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81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8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tup Sheet" sheetId="1" r:id="rId3"/>
    <sheet state="visible" name="JP Comparison" sheetId="2" r:id="rId4"/>
    <sheet state="visible" name="JP APDrop Table" sheetId="3" r:id="rId5"/>
    <sheet state="visible" name="JP Droprate Table" sheetId="4" r:id="rId6"/>
    <sheet state="visible" name="NA Comparison" sheetId="5" r:id="rId7"/>
    <sheet state="visible" name="NA APDrop Table" sheetId="6" r:id="rId8"/>
    <sheet state="visible" name="NA Droprate Table" sheetId="7" r:id="rId9"/>
    <sheet state="visible" name="Treasure Vault" sheetId="8" r:id="rId10"/>
  </sheets>
  <definedNames/>
  <calcPr/>
</workbook>
</file>

<file path=xl/sharedStrings.xml><?xml version="1.0" encoding="utf-8"?>
<sst xmlns="http://schemas.openxmlformats.org/spreadsheetml/2006/main" count="48" uniqueCount="42">
  <si>
    <t>JP Sheet:</t>
  </si>
  <si>
    <t>https://docs.google.com/spreadsheets/d/1T4vfu9kZ7L6tS3xnOPICSna9kYTYSRWQ66rQI_1jWV4/edit</t>
  </si>
  <si>
    <t>NA Sheet:</t>
  </si>
  <si>
    <t>https://docs.google.com/spreadsheets/d/1sxse_7jcGfju0MOIO59TV8_10-qAp5UUXqPzXX_TxcE/edit</t>
  </si>
  <si>
    <t>Sheet 1:</t>
  </si>
  <si>
    <t>JP Best 5 AP/Drop</t>
  </si>
  <si>
    <t>Sheet 1 Range:</t>
  </si>
  <si>
    <t>A1:AF209</t>
  </si>
  <si>
    <t>Sheet 2:</t>
  </si>
  <si>
    <t>JP Best 5 Droprate</t>
  </si>
  <si>
    <t>Sheet 2 Range:</t>
  </si>
  <si>
    <t>Sheet 3:</t>
  </si>
  <si>
    <t>JP Master AP Sheet</t>
  </si>
  <si>
    <t>Sheet 3 Range:</t>
  </si>
  <si>
    <t>A1:DQ</t>
  </si>
  <si>
    <t>Sheet 4:</t>
  </si>
  <si>
    <t>JP Master Droprate Sheet</t>
  </si>
  <si>
    <t>Sheet 4 Range:</t>
  </si>
  <si>
    <t>Sheet 5:</t>
  </si>
  <si>
    <t>JP Comparison</t>
  </si>
  <si>
    <t>Sheet 5 Range:</t>
  </si>
  <si>
    <t>A1:AJ</t>
  </si>
  <si>
    <t>Sheet 6:</t>
  </si>
  <si>
    <t>NA Best 5 AP/Drop</t>
  </si>
  <si>
    <t>Sheet 6 Range:</t>
  </si>
  <si>
    <t>Sheet 7:</t>
  </si>
  <si>
    <t>NA Best 5 Droprate</t>
  </si>
  <si>
    <t>Sheet 7 Range:</t>
  </si>
  <si>
    <t>Sheet 8:</t>
  </si>
  <si>
    <t>NA Master AP Sheet</t>
  </si>
  <si>
    <t>Sheet 8 Range:</t>
  </si>
  <si>
    <t>Sheet 9:</t>
  </si>
  <si>
    <t>NA Master Droprate Sheet</t>
  </si>
  <si>
    <t>Sheet 9 Range:</t>
  </si>
  <si>
    <t>A1:DT</t>
  </si>
  <si>
    <t>Sheet 10:</t>
  </si>
  <si>
    <t>NA Comparison</t>
  </si>
  <si>
    <t>Sheet 10 Range:</t>
  </si>
  <si>
    <t>Shhet 11:</t>
  </si>
  <si>
    <t>Treasure Vault</t>
  </si>
  <si>
    <t>Sheet 11 Range:</t>
  </si>
  <si>
    <t>A1:AC51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</si>
</sst>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AP"/>
    <numFmt numFmtId="165" formatCode="0.0"/>
    <numFmt numFmtId="166" formatCode="0.0&quot;%&quot;"/>
    <numFmt numFmtId="167" formatCode="0,0QP"/>
    <numFmt numFmtId="168" formatCode="0,0.0kQP"/>
    <numFmt numFmtId="169" formatCode="0,0kQP"/>
  </numFmts>
  <fonts count="33">
    <font>
      <sz val="10.0"/>
      <color rgb="FF000000"/>
      <name val="Arial"/>
    </font>
    <font/>
    <font>
      <name val="Arial"/>
    </font>
    <font>
      <u/>
      <color rgb="FF1155CC"/>
      <name val="Arial"/>
    </font>
    <font>
      <color rgb="FFFFFFFF"/>
    </font>
    <font>
      <color rgb="FF000000"/>
    </font>
    <font>
      <sz val="8.0"/>
      <color rgb="FFFFFFFF"/>
    </font>
    <font>
      <u/>
      <sz val="9.0"/>
      <color rgb="FF0000FF"/>
    </font>
    <font>
      <sz val="8.0"/>
    </font>
    <font>
      <sz val="9.0"/>
    </font>
    <font>
      <u/>
      <sz val="9.0"/>
      <color rgb="FF0000FF"/>
    </font>
    <font>
      <b/>
    </font>
    <font>
      <u/>
      <color rgb="FF0000FF"/>
    </font>
    <font>
      <b/>
      <name val="Arial"/>
    </font>
    <font>
      <b/>
      <color rgb="FFFFFFFF"/>
    </font>
    <font>
      <b/>
      <color rgb="FF000000"/>
    </font>
    <font>
      <u/>
      <color rgb="FF0000FF"/>
    </font>
    <font>
      <u/>
      <color rgb="FF0000FF"/>
    </font>
    <font>
      <u/>
      <color rgb="FF0000FF"/>
    </font>
    <font>
      <sz val="11.0"/>
      <color rgb="FF000000"/>
      <name val="Inconsolata"/>
    </font>
    <font>
      <b/>
      <color rgb="FFFFFF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9.0"/>
      <color rgb="FFFFFFFF"/>
      <name val="Arial"/>
    </font>
    <font>
      <sz val="11.0"/>
      <name val="Arial"/>
    </font>
    <font>
      <sz val="10.0"/>
      <name val="Arial"/>
    </font>
    <font>
      <u/>
      <sz val="23.0"/>
      <color rgb="FF0000FF"/>
    </font>
    <font>
      <sz val="24.0"/>
    </font>
  </fonts>
  <fills count="4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CE8B2"/>
        <bgColor rgb="FFFCE8B2"/>
      </patternFill>
    </fill>
    <fill>
      <patternFill patternType="solid">
        <fgColor rgb="FFB7E1CD"/>
        <bgColor rgb="FFB7E1CD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E4F6DD"/>
        <bgColor rgb="FFE4F6DD"/>
      </patternFill>
    </fill>
    <fill>
      <patternFill patternType="solid">
        <fgColor rgb="FFF1C232"/>
        <bgColor rgb="FFF1C232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45DD6"/>
        <bgColor rgb="FFD45DD6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434343"/>
        <bgColor rgb="FF434343"/>
      </patternFill>
    </fill>
    <fill>
      <patternFill patternType="solid">
        <fgColor rgb="FF506654"/>
        <bgColor rgb="FF506654"/>
      </patternFill>
    </fill>
    <fill>
      <patternFill patternType="solid">
        <fgColor rgb="FF783F04"/>
        <bgColor rgb="FF783F04"/>
      </patternFill>
    </fill>
    <fill>
      <patternFill patternType="solid">
        <fgColor rgb="FF980000"/>
        <bgColor rgb="FF980000"/>
      </patternFill>
    </fill>
    <fill>
      <patternFill patternType="solid">
        <fgColor rgb="FFE6B8AF"/>
        <bgColor rgb="FFE6B8AF"/>
      </patternFill>
    </fill>
    <fill>
      <patternFill patternType="solid">
        <fgColor rgb="FF5D4697"/>
        <bgColor rgb="FF5D4697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660000"/>
        <bgColor rgb="FF660000"/>
      </patternFill>
    </fill>
    <fill>
      <patternFill patternType="solid">
        <fgColor rgb="FFFF00FF"/>
        <bgColor rgb="FFFF00FF"/>
      </patternFill>
    </fill>
    <fill>
      <patternFill patternType="solid">
        <fgColor rgb="FFFFC0FF"/>
        <bgColor rgb="FFFFC0FF"/>
      </patternFill>
    </fill>
    <fill>
      <patternFill patternType="solid">
        <fgColor rgb="FFCAE6E6"/>
        <bgColor rgb="FFCAE6E6"/>
      </patternFill>
    </fill>
    <fill>
      <patternFill patternType="solid">
        <fgColor rgb="FF7DC49A"/>
        <bgColor rgb="FF7DC49A"/>
      </patternFill>
    </fill>
    <fill>
      <patternFill patternType="solid">
        <fgColor rgb="FFD5A6BD"/>
        <bgColor rgb="FFD5A6BD"/>
      </patternFill>
    </fill>
    <fill>
      <patternFill patternType="solid">
        <fgColor rgb="FF5B0F00"/>
        <bgColor rgb="FF5B0F00"/>
      </patternFill>
    </fill>
    <fill>
      <patternFill patternType="solid">
        <fgColor rgb="FF4C1130"/>
        <bgColor rgb="FF4C1130"/>
      </patternFill>
    </fill>
    <fill>
      <patternFill patternType="solid">
        <fgColor rgb="FFF9CB9C"/>
        <bgColor rgb="FFF9CB9C"/>
      </patternFill>
    </fill>
    <fill>
      <patternFill patternType="solid">
        <fgColor rgb="FFFDEEDE"/>
        <bgColor rgb="FFFDEEDE"/>
      </patternFill>
    </fill>
    <fill>
      <patternFill patternType="solid">
        <fgColor rgb="FFFFFDFB"/>
        <bgColor rgb="FFFFFDFB"/>
      </patternFill>
    </fill>
    <fill>
      <patternFill patternType="solid">
        <fgColor rgb="FF0000FF"/>
        <bgColor rgb="FF0000FF"/>
      </patternFill>
    </fill>
    <fill>
      <patternFill patternType="solid">
        <fgColor rgb="FFEFEFEF"/>
        <bgColor rgb="FFEFEFEF"/>
      </patternFill>
    </fill>
  </fills>
  <borders count="52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73763"/>
      </right>
    </border>
    <border>
      <left style="thin">
        <color rgb="FF073763"/>
      </left>
      <right style="thin">
        <color rgb="FF073763"/>
      </right>
    </border>
    <border>
      <left style="thin">
        <color rgb="FF073763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3F3F3"/>
      </right>
      <top style="thin">
        <color rgb="FF000000"/>
      </top>
      <bottom style="thin">
        <color rgb="FF000000"/>
      </bottom>
    </border>
    <border>
      <left style="thin">
        <color rgb="FFF3F3F3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3F3F3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4C1130"/>
      </right>
    </border>
    <border>
      <left style="thin">
        <color rgb="FF4C1130"/>
      </left>
      <right style="thin">
        <color rgb="FF4C1130"/>
      </right>
    </border>
    <border>
      <left style="thin">
        <color rgb="FF4C1130"/>
      </left>
    </border>
    <border>
      <right style="thin">
        <color rgb="FF000000"/>
      </right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bottom style="thin">
        <color rgb="FF4C1130"/>
      </bottom>
    </border>
    <border>
      <left style="thin">
        <color rgb="FF000000"/>
      </left>
      <bottom style="thin">
        <color rgb="FF4C1130"/>
      </bottom>
    </border>
    <border>
      <right style="thin">
        <color rgb="FF000000"/>
      </right>
      <bottom style="thin">
        <color rgb="FF4C1130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top style="thin">
        <color rgb="FFFFFFFF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FFFFFF"/>
      </top>
    </border>
    <border>
      <right style="thin">
        <color rgb="FF000000"/>
      </right>
      <top style="thin">
        <color rgb="FFFFFFFF"/>
      </top>
    </border>
  </borders>
  <cellStyleXfs count="1">
    <xf borderId="0" fillId="0" fontId="0" numFmtId="0" applyAlignment="1" applyFont="1"/>
  </cellStyleXfs>
  <cellXfs count="47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readingOrder="0" vertical="bottom"/>
    </xf>
    <xf borderId="2" fillId="3" fontId="3" numFmtId="0" xfId="0" applyAlignment="1" applyBorder="1" applyFill="1" applyFont="1">
      <alignment readingOrder="0" vertical="bottom"/>
    </xf>
    <xf borderId="2" fillId="0" fontId="1" numFmtId="0" xfId="0" applyBorder="1" applyFont="1"/>
    <xf borderId="1" fillId="0" fontId="1" numFmtId="0" xfId="0" applyBorder="1" applyFont="1"/>
    <xf borderId="3" fillId="0" fontId="2" numFmtId="0" xfId="0" applyAlignment="1" applyBorder="1" applyFont="1">
      <alignment vertical="bottom"/>
    </xf>
    <xf borderId="4" fillId="3" fontId="2" numFmtId="0" xfId="0" applyAlignment="1" applyBorder="1" applyFont="1">
      <alignment readingOrder="0" vertical="bottom"/>
    </xf>
    <xf borderId="5" fillId="0" fontId="1" numFmtId="0" xfId="0" applyBorder="1" applyFont="1"/>
    <xf borderId="5" fillId="0" fontId="2" numFmtId="0" xfId="0" applyAlignment="1" applyBorder="1" applyFont="1">
      <alignment vertical="bottom"/>
    </xf>
    <xf borderId="4" fillId="0" fontId="1" numFmtId="0" xfId="0" applyBorder="1" applyFont="1"/>
    <xf borderId="4" fillId="3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6" fillId="3" fontId="1" numFmtId="0" xfId="0" applyAlignment="1" applyBorder="1" applyFont="1">
      <alignment readingOrder="0"/>
    </xf>
    <xf borderId="0" fillId="4" fontId="4" numFmtId="0" xfId="0" applyAlignment="1" applyFill="1" applyFont="1">
      <alignment readingOrder="0" shrinkToFit="0" wrapText="1"/>
    </xf>
    <xf borderId="0" fillId="4" fontId="4" numFmtId="0" xfId="0" applyAlignment="1" applyFont="1">
      <alignment readingOrder="0" shrinkToFit="0" vertical="center" wrapText="1"/>
    </xf>
    <xf borderId="0" fillId="4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4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7" fillId="4" fontId="4" numFmtId="0" xfId="0" applyAlignment="1" applyBorder="1" applyFont="1">
      <alignment horizontal="center" shrinkToFit="0" wrapText="1"/>
    </xf>
    <xf borderId="8" fillId="4" fontId="4" numFmtId="0" xfId="0" applyAlignment="1" applyBorder="1" applyFont="1">
      <alignment horizontal="center" readingOrder="0" shrinkToFit="0" vertical="center" wrapText="1"/>
    </xf>
    <xf borderId="8" fillId="4" fontId="4" numFmtId="0" xfId="0" applyAlignment="1" applyBorder="1" applyFont="1">
      <alignment horizontal="center" readingOrder="0"/>
    </xf>
    <xf borderId="8" fillId="4" fontId="4" numFmtId="0" xfId="0" applyAlignment="1" applyBorder="1" applyFont="1">
      <alignment horizontal="center"/>
    </xf>
    <xf borderId="8" fillId="4" fontId="6" numFmtId="0" xfId="0" applyAlignment="1" applyBorder="1" applyFont="1">
      <alignment horizontal="center"/>
    </xf>
    <xf borderId="9" fillId="4" fontId="4" numFmtId="0" xfId="0" applyAlignment="1" applyBorder="1" applyFont="1">
      <alignment horizontal="center" shrinkToFit="0" wrapText="1"/>
    </xf>
    <xf borderId="0" fillId="5" fontId="1" numFmtId="0" xfId="0" applyAlignment="1" applyFill="1" applyFont="1">
      <alignment readingOrder="0"/>
    </xf>
    <xf borderId="10" fillId="5" fontId="1" numFmtId="0" xfId="0" applyAlignment="1" applyBorder="1" applyFont="1">
      <alignment readingOrder="0" shrinkToFit="0" vertical="center" wrapText="1"/>
    </xf>
    <xf borderId="10" fillId="5" fontId="7" numFmtId="0" xfId="0" applyAlignment="1" applyBorder="1" applyFont="1">
      <alignment readingOrder="0" shrinkToFit="0" vertical="center" wrapText="1"/>
    </xf>
    <xf borderId="10" fillId="6" fontId="1" numFmtId="164" xfId="0" applyBorder="1" applyFill="1" applyFont="1" applyNumberFormat="1"/>
    <xf borderId="10" fillId="6" fontId="1" numFmtId="0" xfId="0" applyBorder="1" applyFont="1"/>
    <xf borderId="10" fillId="4" fontId="1" numFmtId="0" xfId="0" applyBorder="1" applyFont="1"/>
    <xf borderId="11" fillId="0" fontId="1" numFmtId="165" xfId="0" applyBorder="1" applyFont="1" applyNumberFormat="1"/>
    <xf borderId="12" fillId="0" fontId="8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3" fillId="4" fontId="1" numFmtId="0" xfId="0" applyBorder="1" applyFont="1"/>
    <xf borderId="10" fillId="5" fontId="9" numFmtId="0" xfId="0" applyAlignment="1" applyBorder="1" applyFont="1">
      <alignment readingOrder="0" shrinkToFit="0" wrapText="1"/>
    </xf>
    <xf borderId="0" fillId="7" fontId="1" numFmtId="0" xfId="0" applyAlignment="1" applyFill="1" applyFont="1">
      <alignment readingOrder="0"/>
    </xf>
    <xf borderId="10" fillId="7" fontId="1" numFmtId="0" xfId="0" applyAlignment="1" applyBorder="1" applyFont="1">
      <alignment readingOrder="0" shrinkToFit="0" vertical="center" wrapText="1"/>
    </xf>
    <xf borderId="10" fillId="7" fontId="10" numFmtId="0" xfId="0" applyAlignment="1" applyBorder="1" applyFont="1">
      <alignment readingOrder="0" shrinkToFit="0" vertical="center" wrapText="1"/>
    </xf>
    <xf borderId="10" fillId="8" fontId="1" numFmtId="164" xfId="0" applyBorder="1" applyFill="1" applyFont="1" applyNumberFormat="1"/>
    <xf borderId="10" fillId="8" fontId="1" numFmtId="0" xfId="0" applyBorder="1" applyFont="1"/>
    <xf borderId="13" fillId="9" fontId="1" numFmtId="165" xfId="0" applyBorder="1" applyFill="1" applyFont="1" applyNumberFormat="1"/>
    <xf borderId="14" fillId="9" fontId="8" numFmtId="0" xfId="0" applyAlignment="1" applyBorder="1" applyFont="1">
      <alignment readingOrder="0"/>
    </xf>
    <xf borderId="15" fillId="9" fontId="1" numFmtId="165" xfId="0" applyBorder="1" applyFont="1" applyNumberFormat="1"/>
    <xf borderId="14" fillId="9" fontId="8" numFmtId="0" xfId="0" applyAlignment="1" applyBorder="1" applyFont="1">
      <alignment readingOrder="0"/>
    </xf>
    <xf borderId="10" fillId="9" fontId="1" numFmtId="0" xfId="0" applyAlignment="1" applyBorder="1" applyFont="1">
      <alignment readingOrder="0"/>
    </xf>
    <xf borderId="10" fillId="9" fontId="1" numFmtId="0" xfId="0" applyBorder="1" applyFont="1"/>
    <xf borderId="10" fillId="7" fontId="9" numFmtId="0" xfId="0" applyAlignment="1" applyBorder="1" applyFont="1">
      <alignment readingOrder="0" shrinkToFit="0" wrapText="1"/>
    </xf>
    <xf borderId="16" fillId="10" fontId="1" numFmtId="0" xfId="0" applyBorder="1" applyFill="1" applyFont="1"/>
    <xf borderId="17" fillId="10" fontId="1" numFmtId="0" xfId="0" applyBorder="1" applyFont="1"/>
    <xf borderId="17" fillId="10" fontId="1" numFmtId="0" xfId="0" applyAlignment="1" applyBorder="1" applyFont="1">
      <alignment readingOrder="0"/>
    </xf>
    <xf borderId="17" fillId="10" fontId="1" numFmtId="0" xfId="0" applyAlignment="1" applyBorder="1" applyFont="1">
      <alignment shrinkToFit="0" wrapText="1"/>
    </xf>
    <xf borderId="17" fillId="10" fontId="1" numFmtId="0" xfId="0" applyAlignment="1" applyBorder="1" applyFont="1">
      <alignment shrinkToFit="0" vertical="center" wrapText="1"/>
    </xf>
    <xf borderId="17" fillId="10" fontId="8" numFmtId="0" xfId="0" applyBorder="1" applyFont="1"/>
    <xf borderId="18" fillId="10" fontId="1" numFmtId="0" xfId="0" applyAlignment="1" applyBorder="1" applyFont="1">
      <alignment shrinkToFit="0" wrapText="1"/>
    </xf>
    <xf borderId="19" fillId="10" fontId="1" numFmtId="0" xfId="0" applyBorder="1" applyFont="1"/>
    <xf borderId="20" fillId="10" fontId="1" numFmtId="0" xfId="0" applyBorder="1" applyFont="1"/>
    <xf borderId="20" fillId="10" fontId="1" numFmtId="0" xfId="0" applyAlignment="1" applyBorder="1" applyFont="1">
      <alignment readingOrder="0"/>
    </xf>
    <xf borderId="20" fillId="10" fontId="1" numFmtId="0" xfId="0" applyAlignment="1" applyBorder="1" applyFont="1">
      <alignment shrinkToFit="0" wrapText="1"/>
    </xf>
    <xf borderId="20" fillId="10" fontId="1" numFmtId="0" xfId="0" applyAlignment="1" applyBorder="1" applyFont="1">
      <alignment shrinkToFit="0" vertical="center" wrapText="1"/>
    </xf>
    <xf borderId="20" fillId="10" fontId="8" numFmtId="0" xfId="0" applyBorder="1" applyFont="1"/>
    <xf borderId="21" fillId="10" fontId="1" numFmtId="0" xfId="0" applyAlignment="1" applyBorder="1" applyFont="1">
      <alignment shrinkToFit="0" wrapText="1"/>
    </xf>
    <xf borderId="10" fillId="7" fontId="9" numFmtId="0" xfId="0" applyAlignment="1" applyBorder="1" applyFont="1">
      <alignment readingOrder="0" shrinkToFit="0" vertical="center" wrapText="1"/>
    </xf>
    <xf borderId="10" fillId="5" fontId="9" numFmtId="0" xfId="0" applyAlignment="1" applyBorder="1" applyFont="1">
      <alignment readingOrder="0" shrinkToFit="0" vertical="center" wrapText="1"/>
    </xf>
    <xf borderId="0" fillId="10" fontId="1" numFmtId="0" xfId="0" applyFont="1"/>
    <xf borderId="0" fillId="10" fontId="1" numFmtId="0" xfId="0" applyAlignment="1" applyFont="1">
      <alignment readingOrder="0"/>
    </xf>
    <xf borderId="0" fillId="10" fontId="1" numFmtId="0" xfId="0" applyAlignment="1" applyFont="1">
      <alignment shrinkToFit="0" wrapText="1"/>
    </xf>
    <xf borderId="0" fillId="10" fontId="1" numFmtId="0" xfId="0" applyAlignment="1" applyFont="1">
      <alignment shrinkToFit="0" vertical="center" wrapText="1"/>
    </xf>
    <xf borderId="0" fillId="10" fontId="8" numFmtId="0" xfId="0" applyFont="1"/>
    <xf borderId="0" fillId="0" fontId="1" numFmtId="0" xfId="0" applyAlignment="1" applyFont="1">
      <alignment horizontal="center" readingOrder="0" shrinkToFit="0" textRotation="0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textRotation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textRotation="0" vertical="bottom"/>
    </xf>
    <xf borderId="0" fillId="0" fontId="2" numFmtId="165" xfId="0" applyAlignment="1" applyFont="1" applyNumberFormat="1">
      <alignment horizontal="center" vertical="bottom"/>
    </xf>
    <xf borderId="0" fillId="11" fontId="2" numFmtId="165" xfId="0" applyAlignment="1" applyFill="1" applyFont="1" applyNumberFormat="1">
      <alignment horizontal="center" textRotation="0" vertical="bottom"/>
    </xf>
    <xf borderId="0" fillId="11" fontId="2" numFmtId="165" xfId="0" applyAlignment="1" applyFont="1" applyNumberFormat="1">
      <alignment horizontal="center" vertical="bottom"/>
    </xf>
    <xf borderId="0" fillId="0" fontId="1" numFmtId="0" xfId="0" applyFont="1"/>
    <xf borderId="0" fillId="0" fontId="1" numFmtId="0" xfId="0" applyAlignment="1" applyFont="1">
      <alignment readingOrder="0"/>
    </xf>
    <xf borderId="4" fillId="0" fontId="1" numFmtId="0" xfId="0" applyAlignment="1" applyBorder="1" applyFont="1">
      <alignment horizontal="center" shrinkToFit="0" textRotation="0" wrapText="0"/>
    </xf>
    <xf borderId="4" fillId="11" fontId="2" numFmtId="0" xfId="0" applyAlignment="1" applyBorder="1" applyFont="1">
      <alignment horizontal="center" vertical="bottom"/>
    </xf>
    <xf borderId="4" fillId="11" fontId="2" numFmtId="165" xfId="0" applyAlignment="1" applyBorder="1" applyFont="1" applyNumberFormat="1">
      <alignment horizontal="center" vertical="bottom"/>
    </xf>
    <xf borderId="0" fillId="12" fontId="11" numFmtId="0" xfId="0" applyAlignment="1" applyFill="1" applyFont="1">
      <alignment horizontal="center" readingOrder="0" textRotation="255" vertical="center"/>
    </xf>
    <xf borderId="0" fillId="0" fontId="12" numFmtId="3" xfId="0" applyFont="1" applyNumberFormat="1"/>
    <xf borderId="22" fillId="0" fontId="1" numFmtId="165" xfId="0" applyAlignment="1" applyBorder="1" applyFont="1" applyNumberFormat="1">
      <alignment horizontal="center" shrinkToFit="0" textRotation="0" wrapText="0"/>
    </xf>
    <xf borderId="23" fillId="0" fontId="1" numFmtId="165" xfId="0" applyAlignment="1" applyBorder="1" applyFont="1" applyNumberFormat="1">
      <alignment horizontal="center" shrinkToFit="0" textRotation="0" wrapText="0"/>
    </xf>
    <xf borderId="24" fillId="0" fontId="1" numFmtId="165" xfId="0" applyAlignment="1" applyBorder="1" applyFont="1" applyNumberFormat="1">
      <alignment horizontal="center" shrinkToFit="0" textRotation="0" wrapText="0"/>
    </xf>
    <xf borderId="25" fillId="10" fontId="2" numFmtId="165" xfId="0" applyAlignment="1" applyBorder="1" applyFont="1" applyNumberFormat="1">
      <alignment horizontal="center" vertical="bottom"/>
    </xf>
    <xf borderId="0" fillId="10" fontId="2" numFmtId="165" xfId="0" applyAlignment="1" applyFont="1" applyNumberFormat="1">
      <alignment horizontal="center" vertical="bottom"/>
    </xf>
    <xf borderId="26" fillId="10" fontId="2" numFmtId="165" xfId="0" applyAlignment="1" applyBorder="1" applyFont="1" applyNumberFormat="1">
      <alignment horizontal="center" vertical="bottom"/>
    </xf>
    <xf borderId="25" fillId="0" fontId="1" numFmtId="165" xfId="0" applyAlignment="1" applyBorder="1" applyFont="1" applyNumberFormat="1">
      <alignment horizontal="center" shrinkToFit="0" textRotation="0" wrapText="0"/>
    </xf>
    <xf borderId="0" fillId="0" fontId="1" numFmtId="165" xfId="0" applyAlignment="1" applyFont="1" applyNumberFormat="1">
      <alignment horizontal="center" shrinkToFit="0" textRotation="0" wrapText="0"/>
    </xf>
    <xf borderId="26" fillId="0" fontId="1" numFmtId="165" xfId="0" applyAlignment="1" applyBorder="1" applyFont="1" applyNumberFormat="1">
      <alignment horizontal="center" shrinkToFit="0" textRotation="0" wrapText="0"/>
    </xf>
    <xf borderId="25" fillId="13" fontId="2" numFmtId="165" xfId="0" applyAlignment="1" applyBorder="1" applyFill="1" applyFont="1" applyNumberFormat="1">
      <alignment horizontal="center" vertical="bottom"/>
    </xf>
    <xf borderId="0" fillId="13" fontId="2" numFmtId="165" xfId="0" applyAlignment="1" applyFont="1" applyNumberFormat="1">
      <alignment horizontal="center" vertical="bottom"/>
    </xf>
    <xf borderId="26" fillId="13" fontId="2" numFmtId="165" xfId="0" applyAlignment="1" applyBorder="1" applyFont="1" applyNumberFormat="1">
      <alignment horizontal="center" vertical="bottom"/>
    </xf>
    <xf borderId="0" fillId="7" fontId="11" numFmtId="0" xfId="0" applyAlignment="1" applyFont="1">
      <alignment horizontal="center" readingOrder="0" textRotation="255" vertical="center"/>
    </xf>
    <xf borderId="0" fillId="0" fontId="1" numFmtId="164" xfId="0" applyFont="1" applyNumberFormat="1"/>
    <xf borderId="25" fillId="5" fontId="2" numFmtId="165" xfId="0" applyAlignment="1" applyBorder="1" applyFont="1" applyNumberFormat="1">
      <alignment horizontal="center" vertical="bottom"/>
    </xf>
    <xf borderId="0" fillId="5" fontId="2" numFmtId="165" xfId="0" applyAlignment="1" applyFont="1" applyNumberFormat="1">
      <alignment horizontal="center" vertical="bottom"/>
    </xf>
    <xf borderId="26" fillId="5" fontId="2" numFmtId="165" xfId="0" applyAlignment="1" applyBorder="1" applyFont="1" applyNumberFormat="1">
      <alignment horizontal="center" vertical="bottom"/>
    </xf>
    <xf borderId="0" fillId="14" fontId="13" numFmtId="165" xfId="0" applyAlignment="1" applyFill="1" applyFont="1" applyNumberFormat="1">
      <alignment horizontal="center" vertical="bottom"/>
    </xf>
    <xf borderId="0" fillId="15" fontId="13" numFmtId="165" xfId="0" applyAlignment="1" applyFill="1" applyFont="1" applyNumberFormat="1">
      <alignment horizontal="center" vertical="bottom"/>
    </xf>
    <xf borderId="26" fillId="14" fontId="13" numFmtId="165" xfId="0" applyAlignment="1" applyBorder="1" applyFont="1" applyNumberFormat="1">
      <alignment horizontal="center" vertical="bottom"/>
    </xf>
    <xf borderId="26" fillId="15" fontId="13" numFmtId="165" xfId="0" applyAlignment="1" applyBorder="1" applyFont="1" applyNumberFormat="1">
      <alignment horizontal="center" vertical="bottom"/>
    </xf>
    <xf borderId="0" fillId="16" fontId="11" numFmtId="0" xfId="0" applyAlignment="1" applyFill="1" applyFont="1">
      <alignment horizontal="center" readingOrder="0" textRotation="255" vertical="center"/>
    </xf>
    <xf borderId="25" fillId="17" fontId="2" numFmtId="165" xfId="0" applyAlignment="1" applyBorder="1" applyFill="1" applyFont="1" applyNumberFormat="1">
      <alignment horizontal="center" vertical="bottom"/>
    </xf>
    <xf borderId="0" fillId="17" fontId="2" numFmtId="165" xfId="0" applyAlignment="1" applyFont="1" applyNumberFormat="1">
      <alignment horizontal="center" vertical="bottom"/>
    </xf>
    <xf borderId="26" fillId="17" fontId="2" numFmtId="165" xfId="0" applyAlignment="1" applyBorder="1" applyFont="1" applyNumberFormat="1">
      <alignment horizontal="center" vertical="bottom"/>
    </xf>
    <xf borderId="0" fillId="10" fontId="13" numFmtId="165" xfId="0" applyAlignment="1" applyFont="1" applyNumberFormat="1">
      <alignment horizontal="center" vertical="bottom"/>
    </xf>
    <xf borderId="0" fillId="18" fontId="11" numFmtId="0" xfId="0" applyAlignment="1" applyFill="1" applyFont="1">
      <alignment horizontal="center" readingOrder="0" textRotation="255" vertical="center"/>
    </xf>
    <xf borderId="25" fillId="19" fontId="2" numFmtId="165" xfId="0" applyAlignment="1" applyBorder="1" applyFill="1" applyFont="1" applyNumberFormat="1">
      <alignment horizontal="center" vertical="bottom"/>
    </xf>
    <xf borderId="0" fillId="19" fontId="2" numFmtId="165" xfId="0" applyAlignment="1" applyFont="1" applyNumberFormat="1">
      <alignment horizontal="center" vertical="bottom"/>
    </xf>
    <xf borderId="26" fillId="19" fontId="2" numFmtId="165" xfId="0" applyAlignment="1" applyBorder="1" applyFont="1" applyNumberFormat="1">
      <alignment horizontal="center" vertical="bottom"/>
    </xf>
    <xf borderId="0" fillId="20" fontId="11" numFmtId="0" xfId="0" applyAlignment="1" applyFill="1" applyFont="1">
      <alignment horizontal="center" readingOrder="0" textRotation="255" vertical="center"/>
    </xf>
    <xf borderId="0" fillId="0" fontId="1" numFmtId="49" xfId="0" applyAlignment="1" applyFont="1" applyNumberFormat="1">
      <alignment readingOrder="0"/>
    </xf>
    <xf borderId="25" fillId="6" fontId="2" numFmtId="165" xfId="0" applyAlignment="1" applyBorder="1" applyFont="1" applyNumberFormat="1">
      <alignment horizontal="center" vertical="bottom"/>
    </xf>
    <xf borderId="0" fillId="6" fontId="2" numFmtId="165" xfId="0" applyAlignment="1" applyFont="1" applyNumberFormat="1">
      <alignment horizontal="center" vertical="bottom"/>
    </xf>
    <xf borderId="26" fillId="6" fontId="2" numFmtId="165" xfId="0" applyAlignment="1" applyBorder="1" applyFont="1" applyNumberFormat="1">
      <alignment horizontal="center" vertical="bottom"/>
    </xf>
    <xf borderId="0" fillId="21" fontId="11" numFmtId="0" xfId="0" applyAlignment="1" applyFill="1" applyFont="1">
      <alignment horizontal="center" readingOrder="0" textRotation="255" vertical="center"/>
    </xf>
    <xf borderId="25" fillId="22" fontId="2" numFmtId="165" xfId="0" applyAlignment="1" applyBorder="1" applyFill="1" applyFont="1" applyNumberFormat="1">
      <alignment horizontal="center" vertical="bottom"/>
    </xf>
    <xf borderId="0" fillId="22" fontId="2" numFmtId="165" xfId="0" applyAlignment="1" applyFont="1" applyNumberFormat="1">
      <alignment horizontal="center" vertical="bottom"/>
    </xf>
    <xf borderId="26" fillId="22" fontId="2" numFmtId="165" xfId="0" applyAlignment="1" applyBorder="1" applyFont="1" applyNumberFormat="1">
      <alignment horizontal="center" vertical="bottom"/>
    </xf>
    <xf borderId="0" fillId="22" fontId="13" numFmtId="165" xfId="0" applyAlignment="1" applyFont="1" applyNumberFormat="1">
      <alignment horizontal="center" textRotation="0" vertical="bottom"/>
    </xf>
    <xf borderId="25" fillId="14" fontId="13" numFmtId="165" xfId="0" applyAlignment="1" applyBorder="1" applyFont="1" applyNumberFormat="1">
      <alignment horizontal="center" vertical="bottom"/>
    </xf>
    <xf borderId="0" fillId="23" fontId="11" numFmtId="0" xfId="0" applyAlignment="1" applyFill="1" applyFont="1">
      <alignment horizontal="center" readingOrder="0" textRotation="255" vertical="center"/>
    </xf>
    <xf borderId="25" fillId="24" fontId="2" numFmtId="165" xfId="0" applyAlignment="1" applyBorder="1" applyFill="1" applyFont="1" applyNumberFormat="1">
      <alignment horizontal="center" vertical="bottom"/>
    </xf>
    <xf borderId="0" fillId="24" fontId="2" numFmtId="165" xfId="0" applyAlignment="1" applyFont="1" applyNumberFormat="1">
      <alignment horizontal="center" vertical="bottom"/>
    </xf>
    <xf borderId="26" fillId="24" fontId="2" numFmtId="165" xfId="0" applyAlignment="1" applyBorder="1" applyFont="1" applyNumberFormat="1">
      <alignment horizontal="center" vertical="bottom"/>
    </xf>
    <xf borderId="26" fillId="14" fontId="13" numFmtId="165" xfId="0" applyAlignment="1" applyBorder="1" applyFont="1" applyNumberFormat="1">
      <alignment horizontal="center" textRotation="0" vertical="bottom"/>
    </xf>
    <xf borderId="0" fillId="25" fontId="11" numFmtId="0" xfId="0" applyAlignment="1" applyFill="1" applyFont="1">
      <alignment horizontal="center" readingOrder="0" textRotation="255" vertical="center"/>
    </xf>
    <xf borderId="25" fillId="26" fontId="2" numFmtId="165" xfId="0" applyAlignment="1" applyBorder="1" applyFill="1" applyFont="1" applyNumberFormat="1">
      <alignment horizontal="center" vertical="bottom"/>
    </xf>
    <xf borderId="0" fillId="26" fontId="2" numFmtId="165" xfId="0" applyAlignment="1" applyFont="1" applyNumberFormat="1">
      <alignment horizontal="center" vertical="bottom"/>
    </xf>
    <xf borderId="26" fillId="26" fontId="2" numFmtId="165" xfId="0" applyAlignment="1" applyBorder="1" applyFont="1" applyNumberFormat="1">
      <alignment horizontal="center" vertical="bottom"/>
    </xf>
    <xf borderId="25" fillId="15" fontId="13" numFmtId="165" xfId="0" applyAlignment="1" applyBorder="1" applyFont="1" applyNumberFormat="1">
      <alignment horizontal="center" textRotation="0" vertical="bottom"/>
    </xf>
    <xf borderId="0" fillId="14" fontId="13" numFmtId="165" xfId="0" applyAlignment="1" applyFont="1" applyNumberFormat="1">
      <alignment horizontal="center" textRotation="0" vertical="bottom"/>
    </xf>
    <xf borderId="0" fillId="27" fontId="11" numFmtId="0" xfId="0" applyAlignment="1" applyFill="1" applyFont="1">
      <alignment horizontal="center" readingOrder="0" textRotation="255" vertical="center"/>
    </xf>
    <xf borderId="26" fillId="13" fontId="13" numFmtId="165" xfId="0" applyAlignment="1" applyBorder="1" applyFont="1" applyNumberFormat="1">
      <alignment horizontal="center" textRotation="0" vertical="bottom"/>
    </xf>
    <xf borderId="0" fillId="15" fontId="13" numFmtId="165" xfId="0" applyAlignment="1" applyFont="1" applyNumberFormat="1">
      <alignment horizontal="center" textRotation="0" vertical="bottom"/>
    </xf>
    <xf borderId="0" fillId="13" fontId="13" numFmtId="165" xfId="0" applyAlignment="1" applyFont="1" applyNumberFormat="1">
      <alignment horizontal="center" textRotation="0" vertical="bottom"/>
    </xf>
    <xf borderId="0" fillId="28" fontId="14" numFmtId="0" xfId="0" applyAlignment="1" applyFill="1" applyFont="1">
      <alignment horizontal="center" readingOrder="0" textRotation="255" vertical="center"/>
    </xf>
    <xf borderId="26" fillId="15" fontId="13" numFmtId="165" xfId="0" applyAlignment="1" applyBorder="1" applyFont="1" applyNumberFormat="1">
      <alignment horizontal="center" textRotation="0" vertical="bottom"/>
    </xf>
    <xf borderId="0" fillId="10" fontId="13" numFmtId="165" xfId="0" applyAlignment="1" applyFont="1" applyNumberFormat="1">
      <alignment horizontal="center" textRotation="0" vertical="bottom"/>
    </xf>
    <xf borderId="26" fillId="24" fontId="13" numFmtId="165" xfId="0" applyAlignment="1" applyBorder="1" applyFont="1" applyNumberFormat="1">
      <alignment horizontal="center" vertical="bottom"/>
    </xf>
    <xf borderId="25" fillId="15" fontId="13" numFmtId="165" xfId="0" applyAlignment="1" applyBorder="1" applyFont="1" applyNumberFormat="1">
      <alignment horizontal="center" vertical="bottom"/>
    </xf>
    <xf borderId="0" fillId="29" fontId="14" numFmtId="0" xfId="0" applyAlignment="1" applyFill="1" applyFont="1">
      <alignment horizontal="center" readingOrder="0" textRotation="255" vertical="center"/>
    </xf>
    <xf borderId="0" fillId="5" fontId="13" numFmtId="165" xfId="0" applyAlignment="1" applyFont="1" applyNumberFormat="1">
      <alignment horizontal="center" textRotation="0" vertical="bottom"/>
    </xf>
    <xf borderId="0" fillId="30" fontId="14" numFmtId="0" xfId="0" applyAlignment="1" applyFill="1" applyFont="1">
      <alignment horizontal="center" readingOrder="0" textRotation="255" vertical="center"/>
    </xf>
    <xf borderId="25" fillId="14" fontId="13" numFmtId="165" xfId="0" applyAlignment="1" applyBorder="1" applyFont="1" applyNumberFormat="1">
      <alignment horizontal="center" textRotation="0" vertical="bottom"/>
    </xf>
    <xf borderId="0" fillId="17" fontId="13" numFmtId="165" xfId="0" applyAlignment="1" applyFont="1" applyNumberFormat="1">
      <alignment horizontal="center" textRotation="0" vertical="bottom"/>
    </xf>
    <xf borderId="0" fillId="31" fontId="14" numFmtId="0" xfId="0" applyAlignment="1" applyFill="1" applyFont="1">
      <alignment horizontal="center" readingOrder="0" textRotation="255" vertical="center"/>
    </xf>
    <xf borderId="25" fillId="32" fontId="2" numFmtId="165" xfId="0" applyAlignment="1" applyBorder="1" applyFill="1" applyFont="1" applyNumberFormat="1">
      <alignment horizontal="center" vertical="bottom"/>
    </xf>
    <xf borderId="0" fillId="32" fontId="2" numFmtId="165" xfId="0" applyAlignment="1" applyFont="1" applyNumberFormat="1">
      <alignment horizontal="center" vertical="bottom"/>
    </xf>
    <xf borderId="26" fillId="32" fontId="2" numFmtId="165" xfId="0" applyAlignment="1" applyBorder="1" applyFont="1" applyNumberFormat="1">
      <alignment horizontal="center" vertical="bottom"/>
    </xf>
    <xf borderId="0" fillId="32" fontId="13" numFmtId="165" xfId="0" applyAlignment="1" applyFont="1" applyNumberFormat="1">
      <alignment horizontal="center" vertical="bottom"/>
    </xf>
    <xf borderId="0" fillId="33" fontId="14" numFmtId="0" xfId="0" applyAlignment="1" applyFill="1" applyFont="1">
      <alignment horizontal="center" readingOrder="0" textRotation="255" vertical="center"/>
    </xf>
    <xf borderId="25" fillId="34" fontId="2" numFmtId="165" xfId="0" applyAlignment="1" applyBorder="1" applyFill="1" applyFont="1" applyNumberFormat="1">
      <alignment horizontal="center" vertical="bottom"/>
    </xf>
    <xf borderId="0" fillId="34" fontId="2" numFmtId="165" xfId="0" applyAlignment="1" applyFont="1" applyNumberFormat="1">
      <alignment horizontal="center" vertical="bottom"/>
    </xf>
    <xf borderId="26" fillId="34" fontId="2" numFmtId="165" xfId="0" applyAlignment="1" applyBorder="1" applyFont="1" applyNumberFormat="1">
      <alignment horizontal="center" vertical="bottom"/>
    </xf>
    <xf borderId="26" fillId="10" fontId="13" numFmtId="165" xfId="0" applyAlignment="1" applyBorder="1" applyFont="1" applyNumberFormat="1">
      <alignment horizontal="center" textRotation="0" vertical="bottom"/>
    </xf>
    <xf borderId="0" fillId="35" fontId="15" numFmtId="0" xfId="0" applyAlignment="1" applyFill="1" applyFont="1">
      <alignment horizontal="center" readingOrder="0" textRotation="255" vertical="center"/>
    </xf>
    <xf borderId="25" fillId="35" fontId="2" numFmtId="165" xfId="0" applyAlignment="1" applyBorder="1" applyFont="1" applyNumberFormat="1">
      <alignment horizontal="center" vertical="bottom"/>
    </xf>
    <xf borderId="0" fillId="35" fontId="2" numFmtId="165" xfId="0" applyAlignment="1" applyFont="1" applyNumberFormat="1">
      <alignment horizontal="center" vertical="bottom"/>
    </xf>
    <xf borderId="26" fillId="35" fontId="2" numFmtId="165" xfId="0" applyAlignment="1" applyBorder="1" applyFont="1" applyNumberFormat="1">
      <alignment horizontal="center" vertical="bottom"/>
    </xf>
    <xf borderId="26" fillId="35" fontId="13" numFmtId="165" xfId="0" applyAlignment="1" applyBorder="1" applyFont="1" applyNumberFormat="1">
      <alignment horizontal="center" vertical="bottom"/>
    </xf>
    <xf borderId="25" fillId="35" fontId="13" numFmtId="165" xfId="0" applyAlignment="1" applyBorder="1" applyFont="1" applyNumberFormat="1">
      <alignment horizontal="center" vertical="bottom"/>
    </xf>
    <xf borderId="25" fillId="10" fontId="13" numFmtId="165" xfId="0" applyAlignment="1" applyBorder="1" applyFont="1" applyNumberFormat="1">
      <alignment horizontal="center" textRotation="0" vertical="bottom"/>
    </xf>
    <xf borderId="26" fillId="10" fontId="13" numFmtId="165" xfId="0" applyAlignment="1" applyBorder="1" applyFont="1" applyNumberFormat="1">
      <alignment horizontal="center" vertical="bottom"/>
    </xf>
    <xf borderId="0" fillId="17" fontId="15" numFmtId="0" xfId="0" applyAlignment="1" applyFont="1">
      <alignment horizontal="center" readingOrder="0" textRotation="255" vertical="center"/>
    </xf>
    <xf borderId="0" fillId="6" fontId="13" numFmtId="165" xfId="0" applyAlignment="1" applyFont="1" applyNumberFormat="1">
      <alignment horizontal="center" textRotation="0" vertical="bottom"/>
    </xf>
    <xf borderId="0" fillId="36" fontId="14" numFmtId="0" xfId="0" applyAlignment="1" applyFill="1" applyFont="1">
      <alignment horizontal="center" readingOrder="0" textRotation="255" vertical="center"/>
    </xf>
    <xf borderId="0" fillId="11" fontId="1" numFmtId="49" xfId="0" applyAlignment="1" applyFont="1" applyNumberFormat="1">
      <alignment readingOrder="0"/>
    </xf>
    <xf borderId="0" fillId="11" fontId="1" numFmtId="0" xfId="0" applyAlignment="1" applyFont="1">
      <alignment readingOrder="0"/>
    </xf>
    <xf borderId="0" fillId="0" fontId="16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26" fillId="32" fontId="13" numFmtId="165" xfId="0" applyAlignment="1" applyBorder="1" applyFont="1" applyNumberFormat="1">
      <alignment horizontal="center" textRotation="0" vertical="bottom"/>
    </xf>
    <xf borderId="26" fillId="32" fontId="13" numFmtId="165" xfId="0" applyAlignment="1" applyBorder="1" applyFont="1" applyNumberFormat="1">
      <alignment horizontal="center" vertical="bottom"/>
    </xf>
    <xf borderId="0" fillId="37" fontId="14" numFmtId="0" xfId="0" applyAlignment="1" applyFill="1" applyFont="1">
      <alignment horizontal="center" readingOrder="0" textRotation="255" vertical="center"/>
    </xf>
    <xf borderId="25" fillId="38" fontId="2" numFmtId="165" xfId="0" applyAlignment="1" applyBorder="1" applyFill="1" applyFont="1" applyNumberFormat="1">
      <alignment horizontal="center" vertical="bottom"/>
    </xf>
    <xf borderId="0" fillId="38" fontId="2" numFmtId="165" xfId="0" applyAlignment="1" applyFont="1" applyNumberFormat="1">
      <alignment horizontal="center" vertical="bottom"/>
    </xf>
    <xf borderId="26" fillId="38" fontId="2" numFmtId="165" xfId="0" applyAlignment="1" applyBorder="1" applyFont="1" applyNumberFormat="1">
      <alignment horizontal="center" vertical="bottom"/>
    </xf>
    <xf borderId="0" fillId="38" fontId="13" numFmtId="165" xfId="0" applyAlignment="1" applyFont="1" applyNumberFormat="1">
      <alignment horizontal="center" textRotation="0" vertical="bottom"/>
    </xf>
    <xf borderId="0" fillId="39" fontId="15" numFmtId="0" xfId="0" applyAlignment="1" applyFill="1" applyFont="1">
      <alignment horizontal="center" readingOrder="0" textRotation="255" vertical="center"/>
    </xf>
    <xf borderId="0" fillId="39" fontId="1" numFmtId="49" xfId="0" applyAlignment="1" applyFont="1" applyNumberFormat="1">
      <alignment readingOrder="0"/>
    </xf>
    <xf borderId="0" fillId="39" fontId="1" numFmtId="0" xfId="0" applyFont="1"/>
    <xf borderId="0" fillId="39" fontId="17" numFmtId="3" xfId="0" applyAlignment="1" applyFont="1" applyNumberFormat="1">
      <alignment readingOrder="0"/>
    </xf>
    <xf borderId="0" fillId="39" fontId="1" numFmtId="0" xfId="0" applyAlignment="1" applyFont="1">
      <alignment readingOrder="0"/>
    </xf>
    <xf borderId="0" fillId="39" fontId="1" numFmtId="164" xfId="0" applyAlignment="1" applyFont="1" applyNumberFormat="1">
      <alignment readingOrder="0"/>
    </xf>
    <xf borderId="25" fillId="39" fontId="1" numFmtId="165" xfId="0" applyAlignment="1" applyBorder="1" applyFont="1" applyNumberFormat="1">
      <alignment horizontal="center" shrinkToFit="0" textRotation="0" wrapText="0"/>
    </xf>
    <xf borderId="0" fillId="39" fontId="1" numFmtId="165" xfId="0" applyAlignment="1" applyFont="1" applyNumberFormat="1">
      <alignment horizontal="center" shrinkToFit="0" textRotation="0" wrapText="0"/>
    </xf>
    <xf borderId="26" fillId="39" fontId="1" numFmtId="165" xfId="0" applyAlignment="1" applyBorder="1" applyFont="1" applyNumberFormat="1">
      <alignment horizontal="center" shrinkToFit="0" textRotation="0" wrapText="0"/>
    </xf>
    <xf borderId="25" fillId="39" fontId="2" numFmtId="165" xfId="0" applyAlignment="1" applyBorder="1" applyFont="1" applyNumberFormat="1">
      <alignment horizontal="center" vertical="bottom"/>
    </xf>
    <xf borderId="0" fillId="39" fontId="2" numFmtId="165" xfId="0" applyAlignment="1" applyFont="1" applyNumberFormat="1">
      <alignment horizontal="center" vertical="bottom"/>
    </xf>
    <xf borderId="26" fillId="39" fontId="2" numFmtId="165" xfId="0" applyAlignment="1" applyBorder="1" applyFont="1" applyNumberFormat="1">
      <alignment horizontal="center" vertical="bottom"/>
    </xf>
    <xf borderId="0" fillId="39" fontId="13" numFmtId="165" xfId="0" applyAlignment="1" applyFont="1" applyNumberFormat="1">
      <alignment horizontal="center" textRotation="0" vertical="bottom"/>
    </xf>
    <xf borderId="0" fillId="10" fontId="1" numFmtId="49" xfId="0" applyAlignment="1" applyFont="1" applyNumberFormat="1">
      <alignment readingOrder="0"/>
    </xf>
    <xf borderId="0" fillId="10" fontId="18" numFmtId="3" xfId="0" applyAlignment="1" applyFont="1" applyNumberFormat="1">
      <alignment readingOrder="0"/>
    </xf>
    <xf borderId="0" fillId="10" fontId="1" numFmtId="164" xfId="0" applyAlignment="1" applyFont="1" applyNumberFormat="1">
      <alignment readingOrder="0"/>
    </xf>
    <xf borderId="25" fillId="10" fontId="1" numFmtId="165" xfId="0" applyAlignment="1" applyBorder="1" applyFont="1" applyNumberFormat="1">
      <alignment horizontal="center" shrinkToFit="0" textRotation="0" wrapText="0"/>
    </xf>
    <xf borderId="0" fillId="10" fontId="1" numFmtId="165" xfId="0" applyAlignment="1" applyFont="1" applyNumberFormat="1">
      <alignment horizontal="center" shrinkToFit="0" textRotation="0" wrapText="0"/>
    </xf>
    <xf borderId="26" fillId="10" fontId="1" numFmtId="165" xfId="0" applyAlignment="1" applyBorder="1" applyFont="1" applyNumberFormat="1">
      <alignment horizontal="center" shrinkToFit="0" textRotation="0" wrapText="0"/>
    </xf>
    <xf borderId="25" fillId="10" fontId="2" numFmtId="165" xfId="0" applyAlignment="1" applyBorder="1" applyFont="1" applyNumberFormat="1">
      <alignment horizontal="center" vertical="bottom"/>
    </xf>
    <xf borderId="0" fillId="10" fontId="2" numFmtId="165" xfId="0" applyAlignment="1" applyFont="1" applyNumberFormat="1">
      <alignment horizontal="center" vertical="bottom"/>
    </xf>
    <xf borderId="26" fillId="10" fontId="2" numFmtId="165" xfId="0" applyAlignment="1" applyBorder="1" applyFont="1" applyNumberFormat="1">
      <alignment horizontal="center" vertical="bottom"/>
    </xf>
    <xf borderId="26" fillId="10" fontId="13" numFmtId="165" xfId="0" applyAlignment="1" applyBorder="1" applyFont="1" applyNumberFormat="1">
      <alignment horizontal="center" textRotation="0" vertical="bottom"/>
    </xf>
    <xf borderId="0" fillId="10" fontId="13" numFmtId="165" xfId="0" applyAlignment="1" applyFont="1" applyNumberFormat="1">
      <alignment horizontal="center" vertical="bottom"/>
    </xf>
    <xf borderId="0" fillId="10" fontId="13" numFmtId="165" xfId="0" applyAlignment="1" applyFont="1" applyNumberFormat="1">
      <alignment horizontal="center" textRotation="0" vertical="bottom"/>
    </xf>
    <xf borderId="0" fillId="39" fontId="13" numFmtId="165" xfId="0" applyAlignment="1" applyFont="1" applyNumberFormat="1">
      <alignment horizontal="center" vertical="bottom"/>
    </xf>
    <xf borderId="0" fillId="40" fontId="11" numFmtId="0" xfId="0" applyAlignment="1" applyFill="1" applyFont="1">
      <alignment horizontal="center" readingOrder="0" textRotation="255" vertical="center"/>
    </xf>
    <xf borderId="0" fillId="0" fontId="1" numFmtId="0" xfId="0" applyAlignment="1" applyFont="1">
      <alignment readingOrder="0"/>
    </xf>
    <xf borderId="25" fillId="0" fontId="2" numFmtId="165" xfId="0" applyAlignment="1" applyBorder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26" fillId="0" fontId="2" numFmtId="165" xfId="0" applyAlignment="1" applyBorder="1" applyFont="1" applyNumberFormat="1">
      <alignment horizontal="center" vertical="bottom"/>
    </xf>
    <xf borderId="0" fillId="40" fontId="2" numFmtId="165" xfId="0" applyAlignment="1" applyFont="1" applyNumberFormat="1">
      <alignment horizontal="center" vertical="bottom"/>
    </xf>
    <xf borderId="26" fillId="40" fontId="2" numFmtId="165" xfId="0" applyAlignment="1" applyBorder="1" applyFont="1" applyNumberFormat="1">
      <alignment horizontal="center" vertical="bottom"/>
    </xf>
    <xf borderId="0" fillId="41" fontId="11" numFmtId="0" xfId="0" applyAlignment="1" applyFill="1" applyFont="1">
      <alignment horizontal="center" readingOrder="0" textRotation="255" vertical="center"/>
    </xf>
    <xf borderId="0" fillId="0" fontId="1" numFmtId="0" xfId="0" applyAlignment="1" applyFont="1">
      <alignment horizontal="center" shrinkToFit="0" textRotation="0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10" fontId="19" numFmtId="0" xfId="0" applyAlignment="1" applyFont="1">
      <alignment readingOrder="0"/>
    </xf>
    <xf borderId="0" fillId="10" fontId="19" numFmtId="166" xfId="0" applyAlignment="1" applyFont="1" applyNumberFormat="1">
      <alignment readingOrder="0"/>
    </xf>
    <xf borderId="0" fillId="0" fontId="1" numFmtId="166" xfId="0" applyAlignment="1" applyFont="1" applyNumberFormat="1">
      <alignment horizontal="center" readingOrder="0" shrinkToFit="0" textRotation="0" wrapText="0"/>
    </xf>
    <xf borderId="0" fillId="0" fontId="1" numFmtId="0" xfId="0" applyAlignment="1" applyFont="1">
      <alignment horizontal="center" shrinkToFit="0" textRotation="0" wrapText="0"/>
    </xf>
    <xf borderId="0" fillId="0" fontId="1" numFmtId="166" xfId="0" applyAlignment="1" applyFont="1" applyNumberFormat="1">
      <alignment horizontal="center" shrinkToFit="0" textRotation="0" wrapText="0"/>
    </xf>
    <xf borderId="25" fillId="0" fontId="1" numFmtId="166" xfId="0" applyAlignment="1" applyBorder="1" applyFont="1" applyNumberFormat="1">
      <alignment horizontal="center" shrinkToFit="0" textRotation="0" wrapText="0"/>
    </xf>
    <xf borderId="0" fillId="0" fontId="1" numFmtId="166" xfId="0" applyAlignment="1" applyFont="1" applyNumberFormat="1">
      <alignment horizontal="center" shrinkToFit="0" textRotation="0" wrapText="0"/>
    </xf>
    <xf borderId="26" fillId="0" fontId="1" numFmtId="166" xfId="0" applyAlignment="1" applyBorder="1" applyFont="1" applyNumberFormat="1">
      <alignment horizontal="center" shrinkToFit="0" textRotation="0" wrapText="0"/>
    </xf>
    <xf borderId="25" fillId="0" fontId="1" numFmtId="166" xfId="0" applyAlignment="1" applyBorder="1" applyFont="1" applyNumberFormat="1">
      <alignment horizontal="center" shrinkToFit="0" textRotation="0" wrapText="0"/>
    </xf>
    <xf borderId="26" fillId="0" fontId="1" numFmtId="166" xfId="0" applyAlignment="1" applyBorder="1" applyFont="1" applyNumberFormat="1">
      <alignment horizontal="center" shrinkToFit="0" textRotation="0" wrapText="0"/>
    </xf>
    <xf borderId="0" fillId="36" fontId="20" numFmtId="0" xfId="0" applyAlignment="1" applyFont="1">
      <alignment horizontal="center" textRotation="255" vertical="center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39" fontId="21" numFmtId="3" xfId="0" applyFont="1" applyNumberFormat="1"/>
    <xf borderId="0" fillId="39" fontId="1" numFmtId="164" xfId="0" applyFont="1" applyNumberFormat="1"/>
    <xf borderId="25" fillId="39" fontId="1" numFmtId="166" xfId="0" applyAlignment="1" applyBorder="1" applyFont="1" applyNumberFormat="1">
      <alignment horizontal="center" shrinkToFit="0" textRotation="0" wrapText="0"/>
    </xf>
    <xf borderId="0" fillId="39" fontId="1" numFmtId="166" xfId="0" applyAlignment="1" applyFont="1" applyNumberFormat="1">
      <alignment horizontal="center" shrinkToFit="0" textRotation="0" wrapText="0"/>
    </xf>
    <xf borderId="26" fillId="39" fontId="1" numFmtId="166" xfId="0" applyAlignment="1" applyBorder="1" applyFont="1" applyNumberFormat="1">
      <alignment horizontal="center" shrinkToFit="0" textRotation="0" wrapText="0"/>
    </xf>
    <xf borderId="25" fillId="39" fontId="1" numFmtId="166" xfId="0" applyAlignment="1" applyBorder="1" applyFont="1" applyNumberFormat="1">
      <alignment horizontal="center" shrinkToFit="0" textRotation="0" wrapText="0"/>
    </xf>
    <xf borderId="0" fillId="39" fontId="1" numFmtId="166" xfId="0" applyAlignment="1" applyFont="1" applyNumberFormat="1">
      <alignment horizontal="center" shrinkToFit="0" textRotation="0" wrapText="0"/>
    </xf>
    <xf borderId="26" fillId="39" fontId="1" numFmtId="166" xfId="0" applyAlignment="1" applyBorder="1" applyFont="1" applyNumberFormat="1">
      <alignment horizontal="center" shrinkToFit="0" textRotation="0" wrapText="0"/>
    </xf>
    <xf borderId="0" fillId="10" fontId="22" numFmtId="3" xfId="0" applyFont="1" applyNumberFormat="1"/>
    <xf borderId="0" fillId="10" fontId="1" numFmtId="164" xfId="0" applyFont="1" applyNumberFormat="1"/>
    <xf borderId="25" fillId="10" fontId="1" numFmtId="166" xfId="0" applyAlignment="1" applyBorder="1" applyFont="1" applyNumberFormat="1">
      <alignment horizontal="center" shrinkToFit="0" textRotation="0" wrapText="0"/>
    </xf>
    <xf borderId="0" fillId="10" fontId="1" numFmtId="166" xfId="0" applyAlignment="1" applyFont="1" applyNumberFormat="1">
      <alignment horizontal="center" shrinkToFit="0" textRotation="0" wrapText="0"/>
    </xf>
    <xf borderId="26" fillId="10" fontId="1" numFmtId="166" xfId="0" applyAlignment="1" applyBorder="1" applyFont="1" applyNumberFormat="1">
      <alignment horizontal="center" shrinkToFit="0" textRotation="0" wrapText="0"/>
    </xf>
    <xf borderId="25" fillId="10" fontId="1" numFmtId="166" xfId="0" applyAlignment="1" applyBorder="1" applyFont="1" applyNumberFormat="1">
      <alignment horizontal="center" shrinkToFit="0" textRotation="0" wrapText="0"/>
    </xf>
    <xf borderId="0" fillId="10" fontId="1" numFmtId="166" xfId="0" applyAlignment="1" applyFont="1" applyNumberFormat="1">
      <alignment horizontal="center" shrinkToFit="0" textRotation="0" wrapText="0"/>
    </xf>
    <xf borderId="26" fillId="10" fontId="1" numFmtId="166" xfId="0" applyAlignment="1" applyBorder="1" applyFont="1" applyNumberFormat="1">
      <alignment horizontal="center" shrinkToFit="0" textRotation="0" wrapText="0"/>
    </xf>
    <xf borderId="26" fillId="0" fontId="2" numFmtId="165" xfId="0" applyAlignment="1" applyBorder="1" applyFont="1" applyNumberFormat="1">
      <alignment horizontal="center" vertical="bottom"/>
    </xf>
    <xf borderId="0" fillId="0" fontId="1" numFmtId="166" xfId="0" applyFont="1" applyNumberFormat="1"/>
    <xf borderId="7" fillId="4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textRotation="0" wrapText="0"/>
    </xf>
    <xf borderId="25" fillId="0" fontId="1" numFmtId="0" xfId="0" applyBorder="1" applyFont="1"/>
    <xf borderId="26" fillId="0" fontId="1" numFmtId="0" xfId="0" applyBorder="1" applyFont="1"/>
    <xf borderId="25" fillId="0" fontId="1" numFmtId="0" xfId="0" applyAlignment="1" applyBorder="1" applyFont="1">
      <alignment horizontal="center" shrinkToFit="0" textRotation="0" wrapText="0"/>
    </xf>
    <xf borderId="26" fillId="0" fontId="1" numFmtId="0" xfId="0" applyAlignment="1" applyBorder="1" applyFont="1">
      <alignment horizontal="center" shrinkToFit="0" textRotation="0" wrapText="0"/>
    </xf>
    <xf borderId="0" fillId="42" fontId="14" numFmtId="0" xfId="0" applyAlignment="1" applyFill="1" applyFont="1">
      <alignment horizontal="center" readingOrder="0" textRotation="255" vertical="center"/>
    </xf>
    <xf borderId="0" fillId="0" fontId="23" numFmtId="0" xfId="0" applyFont="1"/>
    <xf borderId="25" fillId="0" fontId="1" numFmtId="0" xfId="0" applyAlignment="1" applyBorder="1" applyFont="1">
      <alignment horizontal="center" shrinkToFit="0" textRotation="0" wrapText="0"/>
    </xf>
    <xf borderId="0" fillId="0" fontId="1" numFmtId="0" xfId="0" applyAlignment="1" applyFont="1">
      <alignment horizontal="center"/>
    </xf>
    <xf borderId="26" fillId="0" fontId="1" numFmtId="0" xfId="0" applyAlignment="1" applyBorder="1" applyFont="1">
      <alignment horizontal="center"/>
    </xf>
    <xf borderId="25" fillId="0" fontId="1" numFmtId="0" xfId="0" applyAlignment="1" applyBorder="1" applyFont="1">
      <alignment horizontal="center"/>
    </xf>
    <xf borderId="26" fillId="0" fontId="1" numFmtId="165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25" fillId="0" fontId="1" numFmtId="165" xfId="0" applyAlignment="1" applyBorder="1" applyFont="1" applyNumberFormat="1">
      <alignment horizontal="center"/>
    </xf>
    <xf borderId="0" fillId="0" fontId="24" numFmtId="3" xfId="0" applyFont="1" applyNumberFormat="1"/>
    <xf borderId="0" fillId="0" fontId="1" numFmtId="164" xfId="0" applyFont="1" applyNumberFormat="1"/>
    <xf borderId="25" fillId="0" fontId="1" numFmtId="165" xfId="0" applyAlignment="1" applyBorder="1" applyFont="1" applyNumberFormat="1">
      <alignment horizontal="center" shrinkToFit="0" textRotation="0" wrapText="0"/>
    </xf>
    <xf borderId="0" fillId="0" fontId="1" numFmtId="165" xfId="0" applyAlignment="1" applyFont="1" applyNumberFormat="1">
      <alignment horizontal="center" shrinkToFit="0" textRotation="0" wrapText="0"/>
    </xf>
    <xf borderId="26" fillId="0" fontId="1" numFmtId="165" xfId="0" applyAlignment="1" applyBorder="1" applyFont="1" applyNumberFormat="1">
      <alignment horizontal="center" shrinkToFit="0" textRotation="0" wrapText="0"/>
    </xf>
    <xf borderId="0" fillId="0" fontId="1" numFmtId="3" xfId="0" applyFont="1" applyNumberFormat="1"/>
    <xf borderId="0" fillId="0" fontId="1" numFmtId="166" xfId="0" applyAlignment="1" applyFont="1" applyNumberFormat="1">
      <alignment readingOrder="0"/>
    </xf>
    <xf borderId="0" fillId="11" fontId="2" numFmtId="0" xfId="0" applyAlignment="1" applyFont="1">
      <alignment vertical="bottom"/>
    </xf>
    <xf borderId="25" fillId="10" fontId="2" numFmtId="166" xfId="0" applyAlignment="1" applyBorder="1" applyFont="1" applyNumberFormat="1">
      <alignment vertical="bottom"/>
    </xf>
    <xf borderId="0" fillId="15" fontId="13" numFmtId="166" xfId="0" applyAlignment="1" applyFont="1" applyNumberFormat="1">
      <alignment horizontal="center" textRotation="0" vertical="bottom"/>
    </xf>
    <xf borderId="26" fillId="10" fontId="2" numFmtId="166" xfId="0" applyAlignment="1" applyBorder="1" applyFont="1" applyNumberFormat="1">
      <alignment horizontal="center" textRotation="0" vertical="bottom"/>
    </xf>
    <xf borderId="25" fillId="13" fontId="2" numFmtId="166" xfId="0" applyAlignment="1" applyBorder="1" applyFont="1" applyNumberFormat="1">
      <alignment vertical="bottom"/>
    </xf>
    <xf borderId="0" fillId="13" fontId="13" numFmtId="166" xfId="0" applyAlignment="1" applyFont="1" applyNumberFormat="1">
      <alignment horizontal="center" textRotation="0" vertical="bottom"/>
    </xf>
    <xf borderId="26" fillId="13" fontId="2" numFmtId="166" xfId="0" applyAlignment="1" applyBorder="1" applyFont="1" applyNumberFormat="1">
      <alignment horizontal="center" textRotation="0" vertical="bottom"/>
    </xf>
    <xf borderId="0" fillId="10" fontId="2" numFmtId="166" xfId="0" applyAlignment="1" applyFont="1" applyNumberFormat="1">
      <alignment vertical="bottom"/>
    </xf>
    <xf borderId="0" fillId="13" fontId="2" numFmtId="166" xfId="0" applyAlignment="1" applyFont="1" applyNumberFormat="1">
      <alignment vertical="bottom"/>
    </xf>
    <xf borderId="26" fillId="14" fontId="13" numFmtId="166" xfId="0" applyAlignment="1" applyBorder="1" applyFont="1" applyNumberFormat="1">
      <alignment horizontal="center" textRotation="0" vertical="bottom"/>
    </xf>
    <xf borderId="25" fillId="15" fontId="13" numFmtId="166" xfId="0" applyAlignment="1" applyBorder="1" applyFont="1" applyNumberFormat="1">
      <alignment horizontal="center" textRotation="0" vertical="bottom"/>
    </xf>
    <xf borderId="26" fillId="15" fontId="13" numFmtId="166" xfId="0" applyAlignment="1" applyBorder="1" applyFont="1" applyNumberFormat="1">
      <alignment horizontal="center" textRotation="0" vertical="bottom"/>
    </xf>
    <xf borderId="25" fillId="14" fontId="13" numFmtId="166" xfId="0" applyAlignment="1" applyBorder="1" applyFont="1" applyNumberFormat="1">
      <alignment horizontal="center" textRotation="0" vertical="bottom"/>
    </xf>
    <xf borderId="25" fillId="5" fontId="2" numFmtId="166" xfId="0" applyAlignment="1" applyBorder="1" applyFont="1" applyNumberFormat="1">
      <alignment vertical="bottom"/>
    </xf>
    <xf borderId="0" fillId="5" fontId="2" numFmtId="166" xfId="0" applyAlignment="1" applyFont="1" applyNumberFormat="1">
      <alignment vertical="bottom"/>
    </xf>
    <xf borderId="26" fillId="5" fontId="2" numFmtId="166" xfId="0" applyAlignment="1" applyBorder="1" applyFont="1" applyNumberFormat="1">
      <alignment vertical="bottom"/>
    </xf>
    <xf borderId="26" fillId="10" fontId="13" numFmtId="166" xfId="0" applyAlignment="1" applyBorder="1" applyFont="1" applyNumberFormat="1">
      <alignment horizontal="center" textRotation="0" vertical="bottom"/>
    </xf>
    <xf borderId="25" fillId="17" fontId="2" numFmtId="166" xfId="0" applyAlignment="1" applyBorder="1" applyFont="1" applyNumberFormat="1">
      <alignment vertical="bottom"/>
    </xf>
    <xf borderId="0" fillId="17" fontId="2" numFmtId="166" xfId="0" applyAlignment="1" applyFont="1" applyNumberFormat="1">
      <alignment vertical="bottom"/>
    </xf>
    <xf borderId="26" fillId="17" fontId="2" numFmtId="166" xfId="0" applyAlignment="1" applyBorder="1" applyFont="1" applyNumberFormat="1">
      <alignment vertical="bottom"/>
    </xf>
    <xf borderId="25" fillId="19" fontId="2" numFmtId="166" xfId="0" applyAlignment="1" applyBorder="1" applyFont="1" applyNumberFormat="1">
      <alignment vertical="bottom"/>
    </xf>
    <xf borderId="0" fillId="19" fontId="2" numFmtId="166" xfId="0" applyAlignment="1" applyFont="1" applyNumberFormat="1">
      <alignment vertical="bottom"/>
    </xf>
    <xf borderId="26" fillId="19" fontId="2" numFmtId="166" xfId="0" applyAlignment="1" applyBorder="1" applyFont="1" applyNumberFormat="1">
      <alignment vertical="bottom"/>
    </xf>
    <xf borderId="25" fillId="6" fontId="2" numFmtId="166" xfId="0" applyAlignment="1" applyBorder="1" applyFont="1" applyNumberFormat="1">
      <alignment vertical="bottom"/>
    </xf>
    <xf borderId="0" fillId="6" fontId="2" numFmtId="166" xfId="0" applyAlignment="1" applyFont="1" applyNumberFormat="1">
      <alignment vertical="bottom"/>
    </xf>
    <xf borderId="26" fillId="6" fontId="2" numFmtId="166" xfId="0" applyAlignment="1" applyBorder="1" applyFont="1" applyNumberFormat="1">
      <alignment vertical="bottom"/>
    </xf>
    <xf borderId="25" fillId="22" fontId="2" numFmtId="166" xfId="0" applyAlignment="1" applyBorder="1" applyFont="1" applyNumberFormat="1">
      <alignment vertical="bottom"/>
    </xf>
    <xf borderId="0" fillId="22" fontId="2" numFmtId="166" xfId="0" applyAlignment="1" applyFont="1" applyNumberFormat="1">
      <alignment vertical="bottom"/>
    </xf>
    <xf borderId="26" fillId="22" fontId="2" numFmtId="166" xfId="0" applyAlignment="1" applyBorder="1" applyFont="1" applyNumberFormat="1">
      <alignment vertical="bottom"/>
    </xf>
    <xf borderId="25" fillId="9" fontId="2" numFmtId="166" xfId="0" applyAlignment="1" applyBorder="1" applyFont="1" applyNumberFormat="1">
      <alignment vertical="bottom"/>
    </xf>
    <xf borderId="0" fillId="9" fontId="2" numFmtId="166" xfId="0" applyAlignment="1" applyFont="1" applyNumberFormat="1">
      <alignment horizontal="center" textRotation="0" vertical="bottom"/>
    </xf>
    <xf borderId="26" fillId="9" fontId="2" numFmtId="166" xfId="0" applyAlignment="1" applyBorder="1" applyFont="1" applyNumberFormat="1">
      <alignment vertical="bottom"/>
    </xf>
    <xf borderId="25" fillId="26" fontId="2" numFmtId="166" xfId="0" applyAlignment="1" applyBorder="1" applyFont="1" applyNumberFormat="1">
      <alignment vertical="bottom"/>
    </xf>
    <xf borderId="0" fillId="26" fontId="2" numFmtId="166" xfId="0" applyAlignment="1" applyFont="1" applyNumberFormat="1">
      <alignment vertical="bottom"/>
    </xf>
    <xf borderId="26" fillId="26" fontId="2" numFmtId="166" xfId="0" applyAlignment="1" applyBorder="1" applyFont="1" applyNumberFormat="1">
      <alignment vertical="bottom"/>
    </xf>
    <xf borderId="25" fillId="24" fontId="2" numFmtId="166" xfId="0" applyAlignment="1" applyBorder="1" applyFont="1" applyNumberFormat="1">
      <alignment vertical="bottom"/>
    </xf>
    <xf borderId="0" fillId="24" fontId="2" numFmtId="166" xfId="0" applyAlignment="1" applyFont="1" applyNumberFormat="1">
      <alignment vertical="bottom"/>
    </xf>
    <xf borderId="26" fillId="24" fontId="2" numFmtId="166" xfId="0" applyAlignment="1" applyBorder="1" applyFont="1" applyNumberFormat="1">
      <alignment vertical="bottom"/>
    </xf>
    <xf borderId="25" fillId="10" fontId="2" numFmtId="166" xfId="0" applyAlignment="1" applyBorder="1" applyFont="1" applyNumberFormat="1">
      <alignment horizontal="center" textRotation="0" vertical="bottom"/>
    </xf>
    <xf borderId="0" fillId="10" fontId="2" numFmtId="166" xfId="0" applyAlignment="1" applyFont="1" applyNumberFormat="1">
      <alignment horizontal="center" textRotation="0" vertical="bottom"/>
    </xf>
    <xf borderId="25" fillId="5" fontId="2" numFmtId="166" xfId="0" applyAlignment="1" applyBorder="1" applyFont="1" applyNumberFormat="1">
      <alignment horizontal="center" textRotation="0" vertical="bottom"/>
    </xf>
    <xf borderId="0" fillId="5" fontId="2" numFmtId="166" xfId="0" applyAlignment="1" applyFont="1" applyNumberFormat="1">
      <alignment horizontal="center" textRotation="0" vertical="bottom"/>
    </xf>
    <xf borderId="26" fillId="5" fontId="2" numFmtId="166" xfId="0" applyAlignment="1" applyBorder="1" applyFont="1" applyNumberFormat="1">
      <alignment horizontal="center" textRotation="0" vertical="bottom"/>
    </xf>
    <xf borderId="25" fillId="17" fontId="2" numFmtId="166" xfId="0" applyAlignment="1" applyBorder="1" applyFont="1" applyNumberFormat="1">
      <alignment horizontal="center" textRotation="0" vertical="bottom"/>
    </xf>
    <xf borderId="0" fillId="17" fontId="2" numFmtId="166" xfId="0" applyAlignment="1" applyFont="1" applyNumberFormat="1">
      <alignment horizontal="center" textRotation="0" vertical="bottom"/>
    </xf>
    <xf borderId="26" fillId="17" fontId="2" numFmtId="166" xfId="0" applyAlignment="1" applyBorder="1" applyFont="1" applyNumberFormat="1">
      <alignment horizontal="center" textRotation="0" vertical="bottom"/>
    </xf>
    <xf borderId="25" fillId="32" fontId="2" numFmtId="166" xfId="0" applyAlignment="1" applyBorder="1" applyFont="1" applyNumberFormat="1">
      <alignment horizontal="center" textRotation="0" vertical="bottom"/>
    </xf>
    <xf borderId="0" fillId="32" fontId="2" numFmtId="166" xfId="0" applyAlignment="1" applyFont="1" applyNumberFormat="1">
      <alignment horizontal="center" textRotation="0" vertical="bottom"/>
    </xf>
    <xf borderId="26" fillId="32" fontId="2" numFmtId="166" xfId="0" applyAlignment="1" applyBorder="1" applyFont="1" applyNumberFormat="1">
      <alignment horizontal="center" textRotation="0" vertical="bottom"/>
    </xf>
    <xf borderId="25" fillId="34" fontId="2" numFmtId="166" xfId="0" applyAlignment="1" applyBorder="1" applyFont="1" applyNumberFormat="1">
      <alignment horizontal="center" textRotation="0" vertical="bottom"/>
    </xf>
    <xf borderId="0" fillId="34" fontId="2" numFmtId="166" xfId="0" applyAlignment="1" applyFont="1" applyNumberFormat="1">
      <alignment horizontal="center" textRotation="0" vertical="bottom"/>
    </xf>
    <xf borderId="26" fillId="34" fontId="2" numFmtId="166" xfId="0" applyAlignment="1" applyBorder="1" applyFont="1" applyNumberFormat="1">
      <alignment horizontal="center" textRotation="0" vertical="bottom"/>
    </xf>
    <xf borderId="25" fillId="35" fontId="2" numFmtId="166" xfId="0" applyAlignment="1" applyBorder="1" applyFont="1" applyNumberFormat="1">
      <alignment horizontal="center" textRotation="0" vertical="bottom"/>
    </xf>
    <xf borderId="0" fillId="35" fontId="2" numFmtId="166" xfId="0" applyAlignment="1" applyFont="1" applyNumberFormat="1">
      <alignment horizontal="center" textRotation="0" vertical="bottom"/>
    </xf>
    <xf borderId="26" fillId="35" fontId="2" numFmtId="166" xfId="0" applyAlignment="1" applyBorder="1" applyFont="1" applyNumberFormat="1">
      <alignment horizontal="center" textRotation="0" vertical="bottom"/>
    </xf>
    <xf borderId="25" fillId="6" fontId="2" numFmtId="166" xfId="0" applyAlignment="1" applyBorder="1" applyFont="1" applyNumberFormat="1">
      <alignment horizontal="center" textRotation="0" vertical="bottom"/>
    </xf>
    <xf borderId="0" fillId="6" fontId="2" numFmtId="166" xfId="0" applyAlignment="1" applyFont="1" applyNumberFormat="1">
      <alignment horizontal="center" textRotation="0" vertical="bottom"/>
    </xf>
    <xf borderId="26" fillId="6" fontId="2" numFmtId="166" xfId="0" applyAlignment="1" applyBorder="1" applyFont="1" applyNumberFormat="1">
      <alignment horizontal="center" textRotation="0" vertical="bottom"/>
    </xf>
    <xf borderId="25" fillId="10" fontId="2" numFmtId="166" xfId="0" applyAlignment="1" applyBorder="1" applyFont="1" applyNumberFormat="1">
      <alignment horizontal="center" vertical="bottom"/>
    </xf>
    <xf borderId="26" fillId="10" fontId="2" numFmtId="166" xfId="0" applyAlignment="1" applyBorder="1" applyFont="1" applyNumberFormat="1">
      <alignment vertical="bottom"/>
    </xf>
    <xf borderId="26" fillId="0" fontId="1" numFmtId="166" xfId="0" applyAlignment="1" applyBorder="1" applyFont="1" applyNumberFormat="1">
      <alignment horizontal="center"/>
    </xf>
    <xf borderId="25" fillId="0" fontId="1" numFmtId="166" xfId="0" applyAlignment="1" applyBorder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5" fillId="0" fontId="1" numFmtId="166" xfId="0" applyAlignment="1" applyBorder="1" applyFont="1" applyNumberFormat="1">
      <alignment horizontal="center"/>
    </xf>
    <xf borderId="25" fillId="32" fontId="2" numFmtId="166" xfId="0" applyAlignment="1" applyBorder="1" applyFont="1" applyNumberFormat="1">
      <alignment horizontal="center" vertical="bottom"/>
    </xf>
    <xf borderId="0" fillId="32" fontId="2" numFmtId="166" xfId="0" applyAlignment="1" applyFont="1" applyNumberFormat="1">
      <alignment vertical="bottom"/>
    </xf>
    <xf borderId="26" fillId="32" fontId="2" numFmtId="166" xfId="0" applyAlignment="1" applyBorder="1" applyFont="1" applyNumberFormat="1">
      <alignment vertical="bottom"/>
    </xf>
    <xf borderId="25" fillId="0" fontId="2" numFmtId="0" xfId="0" applyAlignment="1" applyBorder="1" applyFont="1">
      <alignment horizontal="center" vertical="bottom"/>
    </xf>
    <xf borderId="26" fillId="0" fontId="2" numFmtId="0" xfId="0" applyAlignment="1" applyBorder="1" applyFont="1">
      <alignment vertical="bottom"/>
    </xf>
    <xf borderId="25" fillId="0" fontId="2" numFmtId="166" xfId="0" applyAlignment="1" applyBorder="1" applyFont="1" applyNumberFormat="1">
      <alignment horizontal="center" vertical="bottom"/>
    </xf>
    <xf borderId="0" fillId="0" fontId="2" numFmtId="166" xfId="0" applyAlignment="1" applyFont="1" applyNumberFormat="1">
      <alignment vertical="bottom"/>
    </xf>
    <xf borderId="26" fillId="0" fontId="2" numFmtId="166" xfId="0" applyAlignment="1" applyBorder="1" applyFont="1" applyNumberFormat="1">
      <alignment vertical="bottom"/>
    </xf>
    <xf borderId="0" fillId="0" fontId="1" numFmtId="166" xfId="0" applyFont="1" applyNumberFormat="1"/>
    <xf borderId="0" fillId="39" fontId="25" numFmtId="0" xfId="0" applyFont="1"/>
    <xf borderId="0" fillId="39" fontId="1" numFmtId="166" xfId="0" applyFont="1" applyNumberFormat="1"/>
    <xf borderId="26" fillId="39" fontId="1" numFmtId="166" xfId="0" applyBorder="1" applyFont="1" applyNumberFormat="1"/>
    <xf borderId="25" fillId="39" fontId="1" numFmtId="166" xfId="0" applyBorder="1" applyFont="1" applyNumberFormat="1"/>
    <xf borderId="25" fillId="39" fontId="1" numFmtId="166" xfId="0" applyBorder="1" applyFont="1" applyNumberFormat="1"/>
    <xf borderId="0" fillId="39" fontId="1" numFmtId="166" xfId="0" applyFont="1" applyNumberFormat="1"/>
    <xf borderId="0" fillId="10" fontId="26" numFmtId="0" xfId="0" applyFont="1"/>
    <xf borderId="0" fillId="10" fontId="1" numFmtId="166" xfId="0" applyFont="1" applyNumberFormat="1"/>
    <xf borderId="26" fillId="10" fontId="1" numFmtId="166" xfId="0" applyBorder="1" applyFont="1" applyNumberFormat="1"/>
    <xf borderId="25" fillId="10" fontId="1" numFmtId="166" xfId="0" applyBorder="1" applyFont="1" applyNumberFormat="1"/>
    <xf borderId="25" fillId="10" fontId="1" numFmtId="166" xfId="0" applyBorder="1" applyFont="1" applyNumberFormat="1"/>
    <xf borderId="0" fillId="10" fontId="1" numFmtId="166" xfId="0" applyFont="1" applyNumberFormat="1"/>
    <xf borderId="26" fillId="0" fontId="1" numFmtId="166" xfId="0" applyBorder="1" applyFont="1" applyNumberFormat="1"/>
    <xf borderId="25" fillId="0" fontId="1" numFmtId="166" xfId="0" applyBorder="1" applyFont="1" applyNumberFormat="1"/>
    <xf borderId="25" fillId="0" fontId="1" numFmtId="166" xfId="0" applyBorder="1" applyFont="1" applyNumberFormat="1"/>
    <xf borderId="0" fillId="0" fontId="1" numFmtId="166" xfId="0" applyFont="1" applyNumberFormat="1"/>
    <xf borderId="0" fillId="0" fontId="27" numFmtId="0" xfId="0" applyFont="1"/>
    <xf borderId="25" fillId="0" fontId="1" numFmtId="166" xfId="0" applyAlignment="1" applyBorder="1" applyFont="1" applyNumberFormat="1">
      <alignment horizontal="center" shrinkToFit="0" textRotation="0" wrapText="0"/>
    </xf>
    <xf borderId="26" fillId="0" fontId="1" numFmtId="166" xfId="0" applyBorder="1" applyFont="1" applyNumberFormat="1"/>
    <xf borderId="25" fillId="0" fontId="1" numFmtId="166" xfId="0" applyBorder="1" applyFont="1" applyNumberFormat="1"/>
    <xf borderId="25" fillId="0" fontId="1" numFmtId="166" xfId="0" applyBorder="1" applyFont="1" applyNumberFormat="1"/>
    <xf borderId="0" fillId="0" fontId="1" numFmtId="166" xfId="0" applyFont="1" applyNumberFormat="1"/>
    <xf borderId="25" fillId="0" fontId="1" numFmtId="0" xfId="0" applyAlignment="1" applyBorder="1" applyFont="1">
      <alignment horizontal="center" shrinkToFit="0" textRotation="0" wrapText="0"/>
    </xf>
    <xf borderId="0" fillId="43" fontId="28" numFmtId="0" xfId="0" applyAlignment="1" applyFill="1" applyFont="1">
      <alignment readingOrder="0" shrinkToFit="0" vertical="center" wrapText="1"/>
    </xf>
    <xf borderId="27" fillId="0" fontId="1" numFmtId="0" xfId="0" applyBorder="1" applyFont="1"/>
    <xf borderId="28" fillId="43" fontId="28" numFmtId="0" xfId="0" applyAlignment="1" applyBorder="1" applyFont="1">
      <alignment readingOrder="0" shrinkToFit="0" vertical="center" wrapText="1"/>
    </xf>
    <xf borderId="29" fillId="43" fontId="28" numFmtId="0" xfId="0" applyAlignment="1" applyBorder="1" applyFont="1">
      <alignment readingOrder="0" shrinkToFit="0" vertical="center" wrapText="1"/>
    </xf>
    <xf borderId="29" fillId="43" fontId="28" numFmtId="0" xfId="0" applyAlignment="1" applyBorder="1" applyFont="1">
      <alignment horizontal="center" readingOrder="0" shrinkToFit="0" vertical="center" wrapText="1"/>
    </xf>
    <xf borderId="18" fillId="43" fontId="28" numFmtId="0" xfId="0" applyAlignment="1" applyBorder="1" applyFont="1">
      <alignment horizontal="center" readingOrder="0" shrinkToFit="0" vertical="center" wrapText="1"/>
    </xf>
    <xf borderId="16" fillId="0" fontId="1" numFmtId="0" xfId="0" applyBorder="1" applyFont="1"/>
    <xf borderId="30" fillId="0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28" fillId="0" fontId="1" numFmtId="0" xfId="0" applyBorder="1" applyFont="1"/>
    <xf borderId="29" fillId="0" fontId="1" numFmtId="0" xfId="0" applyBorder="1" applyFont="1"/>
    <xf borderId="20" fillId="43" fontId="28" numFmtId="0" xfId="0" applyAlignment="1" applyBorder="1" applyFont="1">
      <alignment horizontal="center" readingOrder="0" shrinkToFit="0" vertical="center" wrapText="1"/>
    </xf>
    <xf borderId="31" fillId="43" fontId="28" numFmtId="0" xfId="0" applyAlignment="1" applyBorder="1" applyFont="1">
      <alignment horizontal="center" readingOrder="0" shrinkToFit="0" vertical="center" wrapText="1"/>
    </xf>
    <xf borderId="32" fillId="0" fontId="1" numFmtId="0" xfId="0" applyBorder="1" applyFont="1"/>
    <xf borderId="33" fillId="0" fontId="1" numFmtId="0" xfId="0" applyBorder="1" applyFont="1"/>
    <xf borderId="0" fillId="0" fontId="2" numFmtId="0" xfId="0" applyFont="1"/>
    <xf borderId="0" fillId="22" fontId="29" numFmtId="0" xfId="0" applyAlignment="1" applyFont="1">
      <alignment horizontal="center" readingOrder="0" shrinkToFit="0" vertical="center" wrapText="1"/>
    </xf>
    <xf borderId="0" fillId="44" fontId="30" numFmtId="0" xfId="0" applyAlignment="1" applyFill="1" applyFont="1">
      <alignment readingOrder="0" vertical="bottom"/>
    </xf>
    <xf borderId="0" fillId="44" fontId="30" numFmtId="0" xfId="0" applyAlignment="1" applyFont="1">
      <alignment horizontal="left" readingOrder="0" vertical="bottom"/>
    </xf>
    <xf borderId="26" fillId="44" fontId="1" numFmtId="0" xfId="0" applyAlignment="1" applyBorder="1" applyFont="1">
      <alignment readingOrder="0"/>
    </xf>
    <xf borderId="0" fillId="44" fontId="1" numFmtId="167" xfId="0" applyAlignment="1" applyFont="1" applyNumberFormat="1">
      <alignment readingOrder="0"/>
    </xf>
    <xf borderId="26" fillId="44" fontId="1" numFmtId="167" xfId="0" applyAlignment="1" applyBorder="1" applyFont="1" applyNumberFormat="1">
      <alignment readingOrder="0"/>
    </xf>
    <xf borderId="0" fillId="45" fontId="30" numFmtId="0" xfId="0" applyAlignment="1" applyFill="1" applyFont="1">
      <alignment readingOrder="0" vertical="bottom"/>
    </xf>
    <xf borderId="0" fillId="45" fontId="30" numFmtId="0" xfId="0" applyAlignment="1" applyFont="1">
      <alignment horizontal="left" readingOrder="0" vertical="bottom"/>
    </xf>
    <xf borderId="26" fillId="45" fontId="1" numFmtId="0" xfId="0" applyAlignment="1" applyBorder="1" applyFont="1">
      <alignment readingOrder="0"/>
    </xf>
    <xf borderId="0" fillId="45" fontId="1" numFmtId="167" xfId="0" applyAlignment="1" applyFont="1" applyNumberFormat="1">
      <alignment readingOrder="0"/>
    </xf>
    <xf borderId="26" fillId="45" fontId="1" numFmtId="167" xfId="0" applyAlignment="1" applyBorder="1" applyFont="1" applyNumberFormat="1">
      <alignment readingOrder="0"/>
    </xf>
    <xf borderId="0" fillId="46" fontId="30" numFmtId="0" xfId="0" applyAlignment="1" applyFill="1" applyFont="1">
      <alignment readingOrder="0" vertical="bottom"/>
    </xf>
    <xf borderId="0" fillId="46" fontId="30" numFmtId="0" xfId="0" applyAlignment="1" applyFont="1">
      <alignment horizontal="left" readingOrder="0" vertical="bottom"/>
    </xf>
    <xf borderId="26" fillId="46" fontId="1" numFmtId="0" xfId="0" applyAlignment="1" applyBorder="1" applyFont="1">
      <alignment readingOrder="0"/>
    </xf>
    <xf borderId="0" fillId="46" fontId="1" numFmtId="167" xfId="0" applyAlignment="1" applyFont="1" applyNumberFormat="1">
      <alignment readingOrder="0"/>
    </xf>
    <xf borderId="26" fillId="46" fontId="1" numFmtId="167" xfId="0" applyAlignment="1" applyBorder="1" applyFont="1" applyNumberFormat="1">
      <alignment readingOrder="0"/>
    </xf>
    <xf borderId="0" fillId="0" fontId="30" numFmtId="0" xfId="0" applyAlignment="1" applyFont="1">
      <alignment readingOrder="0" vertical="bottom"/>
    </xf>
    <xf borderId="0" fillId="0" fontId="30" numFmtId="0" xfId="0" applyAlignment="1" applyFont="1">
      <alignment horizontal="left" readingOrder="0" vertical="bottom"/>
    </xf>
    <xf borderId="26" fillId="0" fontId="1" numFmtId="0" xfId="0" applyAlignment="1" applyBorder="1" applyFont="1">
      <alignment readingOrder="0"/>
    </xf>
    <xf borderId="0" fillId="0" fontId="1" numFmtId="167" xfId="0" applyAlignment="1" applyFont="1" applyNumberFormat="1">
      <alignment readingOrder="0"/>
    </xf>
    <xf borderId="26" fillId="0" fontId="1" numFmtId="167" xfId="0" applyAlignment="1" applyBorder="1" applyFont="1" applyNumberFormat="1">
      <alignment readingOrder="0"/>
    </xf>
    <xf borderId="34" fillId="0" fontId="1" numFmtId="0" xfId="0" applyBorder="1" applyFont="1"/>
    <xf borderId="34" fillId="10" fontId="2" numFmtId="0" xfId="0" applyAlignment="1" applyBorder="1" applyFont="1">
      <alignment vertical="bottom"/>
    </xf>
    <xf borderId="35" fillId="10" fontId="2" numFmtId="165" xfId="0" applyAlignment="1" applyBorder="1" applyFont="1" applyNumberFormat="1">
      <alignment vertical="bottom"/>
    </xf>
    <xf borderId="36" fillId="0" fontId="1" numFmtId="0" xfId="0" applyBorder="1" applyFont="1"/>
    <xf borderId="34" fillId="10" fontId="2" numFmtId="165" xfId="0" applyAlignment="1" applyBorder="1" applyFont="1" applyNumberFormat="1">
      <alignment vertical="bottom"/>
    </xf>
    <xf borderId="37" fillId="0" fontId="1" numFmtId="0" xfId="0" applyBorder="1" applyFont="1"/>
    <xf borderId="6" fillId="0" fontId="1" numFmtId="0" xfId="0" applyBorder="1" applyFont="1"/>
    <xf borderId="10" fillId="0" fontId="1" numFmtId="0" xfId="0" applyAlignment="1" applyBorder="1" applyFont="1">
      <alignment horizontal="center"/>
    </xf>
    <xf borderId="38" fillId="0" fontId="1" numFmtId="0" xfId="0" applyBorder="1" applyFont="1"/>
    <xf borderId="10" fillId="0" fontId="1" numFmtId="9" xfId="0" applyAlignment="1" applyBorder="1" applyFont="1" applyNumberFormat="1">
      <alignment horizontal="center"/>
    </xf>
    <xf borderId="39" fillId="0" fontId="31" numFmtId="0" xfId="0" applyBorder="1" applyFont="1"/>
    <xf borderId="40" fillId="0" fontId="1" numFmtId="0" xfId="0" applyBorder="1" applyFont="1"/>
    <xf borderId="20" fillId="0" fontId="1" numFmtId="0" xfId="0" applyBorder="1" applyFont="1"/>
    <xf borderId="41" fillId="0" fontId="1" numFmtId="0" xfId="0" applyBorder="1" applyFont="1"/>
    <xf borderId="22" fillId="22" fontId="32" numFmtId="0" xfId="0" applyAlignment="1" applyBorder="1" applyFont="1">
      <alignment readingOrder="0"/>
    </xf>
    <xf borderId="23" fillId="0" fontId="1" numFmtId="0" xfId="0" applyBorder="1" applyFont="1"/>
    <xf borderId="24" fillId="0" fontId="1" numFmtId="0" xfId="0" applyBorder="1" applyFont="1"/>
    <xf borderId="42" fillId="0" fontId="1" numFmtId="0" xfId="0" applyBorder="1" applyFont="1"/>
    <xf borderId="43" fillId="0" fontId="1" numFmtId="0" xfId="0" applyBorder="1" applyFont="1"/>
    <xf borderId="19" fillId="0" fontId="1" numFmtId="0" xfId="0" applyBorder="1" applyFont="1"/>
    <xf borderId="10" fillId="0" fontId="1" numFmtId="0" xfId="0" applyBorder="1" applyFont="1"/>
    <xf borderId="10" fillId="47" fontId="4" numFmtId="9" xfId="0" applyAlignment="1" applyBorder="1" applyFill="1" applyFont="1" applyNumberFormat="1">
      <alignment horizontal="center" readingOrder="0"/>
    </xf>
    <xf borderId="6" fillId="47" fontId="4" numFmtId="9" xfId="0" applyAlignment="1" applyBorder="1" applyFont="1" applyNumberFormat="1">
      <alignment horizontal="center" readingOrder="0"/>
    </xf>
    <xf borderId="1" fillId="47" fontId="1" numFmtId="0" xfId="0" applyBorder="1" applyFont="1"/>
    <xf borderId="6" fillId="47" fontId="4" numFmtId="0" xfId="0" applyAlignment="1" applyBorder="1" applyFont="1">
      <alignment readingOrder="0"/>
    </xf>
    <xf borderId="10" fillId="47" fontId="4" numFmtId="0" xfId="0" applyAlignment="1" applyBorder="1" applyFont="1">
      <alignment readingOrder="0"/>
    </xf>
    <xf borderId="10" fillId="10" fontId="1" numFmtId="168" xfId="0" applyBorder="1" applyFont="1" applyNumberFormat="1"/>
    <xf borderId="6" fillId="10" fontId="1" numFmtId="168" xfId="0" applyBorder="1" applyFont="1" applyNumberFormat="1"/>
    <xf borderId="1" fillId="10" fontId="1" numFmtId="0" xfId="0" applyBorder="1" applyFont="1"/>
    <xf borderId="6" fillId="10" fontId="1" numFmtId="0" xfId="0" applyBorder="1" applyFont="1"/>
    <xf borderId="10" fillId="10" fontId="1" numFmtId="10" xfId="0" applyBorder="1" applyFont="1" applyNumberFormat="1"/>
    <xf borderId="10" fillId="10" fontId="1" numFmtId="0" xfId="0" applyBorder="1" applyFont="1"/>
    <xf borderId="10" fillId="48" fontId="1" numFmtId="168" xfId="0" applyBorder="1" applyFill="1" applyFont="1" applyNumberFormat="1"/>
    <xf borderId="6" fillId="48" fontId="1" numFmtId="168" xfId="0" applyBorder="1" applyFont="1" applyNumberFormat="1"/>
    <xf borderId="1" fillId="48" fontId="1" numFmtId="0" xfId="0" applyBorder="1" applyFont="1"/>
    <xf borderId="6" fillId="48" fontId="1" numFmtId="0" xfId="0" applyBorder="1" applyFont="1"/>
    <xf borderId="10" fillId="48" fontId="1" numFmtId="10" xfId="0" applyBorder="1" applyFont="1" applyNumberFormat="1"/>
    <xf borderId="10" fillId="48" fontId="1" numFmtId="0" xfId="0" applyBorder="1" applyFont="1"/>
    <xf borderId="44" fillId="10" fontId="1" numFmtId="168" xfId="0" applyBorder="1" applyFont="1" applyNumberFormat="1"/>
    <xf borderId="45" fillId="10" fontId="1" numFmtId="168" xfId="0" applyBorder="1" applyFont="1" applyNumberFormat="1"/>
    <xf borderId="41" fillId="10" fontId="1" numFmtId="168" xfId="0" applyBorder="1" applyFont="1" applyNumberFormat="1"/>
    <xf borderId="45" fillId="10" fontId="1" numFmtId="0" xfId="0" applyBorder="1" applyFont="1"/>
    <xf borderId="46" fillId="10" fontId="1" numFmtId="10" xfId="0" applyBorder="1" applyFont="1" applyNumberFormat="1"/>
    <xf borderId="47" fillId="10" fontId="1" numFmtId="168" xfId="0" applyBorder="1" applyFont="1" applyNumberFormat="1"/>
    <xf borderId="22" fillId="10" fontId="1" numFmtId="168" xfId="0" applyBorder="1" applyFont="1" applyNumberFormat="1"/>
    <xf borderId="24" fillId="10" fontId="1" numFmtId="0" xfId="0" applyBorder="1" applyFont="1"/>
    <xf borderId="48" fillId="10" fontId="1" numFmtId="10" xfId="0" applyBorder="1" applyFont="1" applyNumberFormat="1"/>
    <xf borderId="46" fillId="48" fontId="1" numFmtId="0" xfId="0" applyBorder="1" applyFont="1"/>
    <xf borderId="46" fillId="10" fontId="1" numFmtId="0" xfId="0" applyBorder="1" applyFont="1"/>
    <xf borderId="49" fillId="10" fontId="1" numFmtId="168" xfId="0" applyBorder="1" applyFont="1" applyNumberFormat="1"/>
    <xf borderId="50" fillId="10" fontId="1" numFmtId="168" xfId="0" applyBorder="1" applyFont="1" applyNumberFormat="1"/>
    <xf borderId="42" fillId="10" fontId="1" numFmtId="168" xfId="0" applyBorder="1" applyFont="1" applyNumberFormat="1"/>
    <xf borderId="50" fillId="10" fontId="1" numFmtId="0" xfId="0" applyBorder="1" applyFont="1"/>
    <xf borderId="51" fillId="10" fontId="1" numFmtId="10" xfId="0" applyBorder="1" applyFont="1" applyNumberFormat="1"/>
    <xf borderId="6" fillId="10" fontId="1" numFmtId="0" xfId="0" applyAlignment="1" applyBorder="1" applyFont="1">
      <alignment readingOrder="0"/>
    </xf>
    <xf borderId="2" fillId="10" fontId="1" numFmtId="0" xfId="0" applyBorder="1" applyFont="1"/>
    <xf borderId="10" fillId="10" fontId="1" numFmtId="0" xfId="0" applyAlignment="1" applyBorder="1" applyFont="1">
      <alignment readingOrder="0"/>
    </xf>
    <xf borderId="6" fillId="48" fontId="1" numFmtId="0" xfId="0" applyAlignment="1" applyBorder="1" applyFont="1">
      <alignment readingOrder="0"/>
    </xf>
    <xf borderId="2" fillId="48" fontId="1" numFmtId="0" xfId="0" applyBorder="1" applyFont="1"/>
    <xf borderId="10" fillId="48" fontId="1" numFmtId="169" xfId="0" applyBorder="1" applyFont="1" applyNumberFormat="1"/>
    <xf borderId="21" fillId="0" fontId="1" numFmtId="0" xfId="0" applyBorder="1" applyFont="1"/>
  </cellXfs>
  <cellStyles count="1">
    <cellStyle xfId="0" name="Normal" builtinId="0"/>
  </cellStyles>
  <dxfs count="21">
    <dxf>
      <font>
        <b/>
      </font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CE8B2"/>
          <bgColor rgb="FFFCE8B2"/>
        </patternFill>
      </fill>
      <border/>
    </dxf>
    <dxf>
      <font>
        <b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C0FF"/>
          <bgColor rgb="FFFFC0FF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7DC49A"/>
          <bgColor rgb="FF7DC49A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4F6DD"/>
          <bgColor rgb="FFE4F6DD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</dxfs>
  <tableStyles count="85">
    <tableStyle count="2" pivot="0" name="JP APDrop Table-style">
      <tableStyleElement dxfId="4" type="firstRowStripe"/>
      <tableStyleElement dxfId="5" type="secondRowStripe"/>
    </tableStyle>
    <tableStyle count="2" pivot="0" name="JP APDrop Table-style 2">
      <tableStyleElement dxfId="6" type="firstRowStripe"/>
      <tableStyleElement dxfId="5" type="secondRowStripe"/>
    </tableStyle>
    <tableStyle count="2" pivot="0" name="JP APDrop Table-style 3">
      <tableStyleElement dxfId="7" type="firstRowStripe"/>
      <tableStyleElement dxfId="5" type="secondRowStripe"/>
    </tableStyle>
    <tableStyle count="2" pivot="0" name="JP APDrop Table-style 4">
      <tableStyleElement dxfId="4" type="firstRowStripe"/>
      <tableStyleElement dxfId="5" type="secondRowStripe"/>
    </tableStyle>
    <tableStyle count="2" pivot="0" name="JP APDrop Table-style 5">
      <tableStyleElement dxfId="8" type="firstRowStripe"/>
      <tableStyleElement dxfId="5" type="secondRowStripe"/>
    </tableStyle>
    <tableStyle count="2" pivot="0" name="JP APDrop Table-style 6">
      <tableStyleElement dxfId="9" type="firstRowStripe"/>
      <tableStyleElement dxfId="5" type="secondRowStripe"/>
    </tableStyle>
    <tableStyle count="2" pivot="0" name="JP APDrop Table-style 7">
      <tableStyleElement dxfId="9" type="firstRowStripe"/>
      <tableStyleElement dxfId="5" type="secondRowStripe"/>
    </tableStyle>
    <tableStyle count="2" pivot="0" name="JP APDrop Table-style 8">
      <tableStyleElement dxfId="10" type="firstRowStripe"/>
      <tableStyleElement dxfId="5" type="secondRowStripe"/>
    </tableStyle>
    <tableStyle count="2" pivot="0" name="JP APDrop Table-style 9">
      <tableStyleElement dxfId="11" type="firstRowStripe"/>
      <tableStyleElement dxfId="5" type="secondRowStripe"/>
    </tableStyle>
    <tableStyle count="2" pivot="0" name="JP APDrop Table-style 10">
      <tableStyleElement dxfId="12" type="firstRowStripe"/>
      <tableStyleElement dxfId="5" type="secondRowStripe"/>
    </tableStyle>
    <tableStyle count="2" pivot="0" name="JP APDrop Table-style 11">
      <tableStyleElement dxfId="13" type="firstRowStripe"/>
      <tableStyleElement dxfId="5" type="secondRowStripe"/>
    </tableStyle>
    <tableStyle count="2" pivot="0" name="JP APDrop Table-style 12">
      <tableStyleElement dxfId="14" type="firstRowStripe"/>
      <tableStyleElement dxfId="5" type="secondRowStripe"/>
    </tableStyle>
    <tableStyle count="2" pivot="0" name="JP APDrop Table-style 13">
      <tableStyleElement dxfId="15" type="firstRowStripe"/>
      <tableStyleElement dxfId="5" type="secondRowStripe"/>
    </tableStyle>
    <tableStyle count="3" pivot="0" name="JP APDrop Table-style 14">
      <tableStyleElement dxfId="16" type="headerRow"/>
      <tableStyleElement dxfId="5" type="firstRowStripe"/>
      <tableStyleElement dxfId="17" type="secondRowStripe"/>
    </tableStyle>
    <tableStyle count="3" pivot="0" name="JP APDrop Table-style 15">
      <tableStyleElement dxfId="16" type="headerRow"/>
      <tableStyleElement dxfId="5" type="firstRowStripe"/>
      <tableStyleElement dxfId="17" type="secondRowStripe"/>
    </tableStyle>
    <tableStyle count="3" pivot="0" name="JP APDrop Table-style 16">
      <tableStyleElement dxfId="5" type="headerRow"/>
      <tableStyleElement dxfId="18" type="firstRowStripe"/>
      <tableStyleElement dxfId="5" type="secondRowStripe"/>
    </tableStyle>
    <tableStyle count="2" pivot="0" name="JP APDrop Table-style 17">
      <tableStyleElement dxfId="14" type="firstRowStripe"/>
      <tableStyleElement dxfId="5" type="secondRowStripe"/>
    </tableStyle>
    <tableStyle count="2" pivot="0" name="JP APDrop Table-style 18">
      <tableStyleElement dxfId="19" type="firstRowStripe"/>
      <tableStyleElement dxfId="5" type="secondRowStripe"/>
    </tableStyle>
    <tableStyle count="2" pivot="0" name="JP APDrop Table-style 19">
      <tableStyleElement dxfId="8" type="firstRowStripe"/>
      <tableStyleElement dxfId="5" type="secondRowStripe"/>
    </tableStyle>
    <tableStyle count="2" pivot="0" name="JP APDrop Table-style 20">
      <tableStyleElement dxfId="20" type="firstRowStripe"/>
      <tableStyleElement dxfId="5" type="secondRowStripe"/>
    </tableStyle>
    <tableStyle count="2" pivot="0" name="JP APDrop Table-style 21">
      <tableStyleElement dxfId="18" type="firstRowStripe"/>
      <tableStyleElement dxfId="5" type="secondRowStripe"/>
    </tableStyle>
    <tableStyle count="2" pivot="0" name="JP APDrop Table-style 22">
      <tableStyleElement dxfId="10" type="firstRowStripe"/>
      <tableStyleElement dxfId="5" type="secondRowStripe"/>
    </tableStyle>
    <tableStyle count="2" pivot="0" name="JP Droprate Table-style">
      <tableStyleElement dxfId="9" type="firstRowStripe"/>
      <tableStyleElement dxfId="5" type="secondRowStripe"/>
    </tableStyle>
    <tableStyle count="2" pivot="0" name="JP Droprate Table-style 2">
      <tableStyleElement dxfId="19" type="firstRowStripe"/>
      <tableStyleElement dxfId="5" type="secondRowStripe"/>
    </tableStyle>
    <tableStyle count="3" pivot="0" name="JP Droprate Table-style 3">
      <tableStyleElement dxfId="16" type="headerRow"/>
      <tableStyleElement dxfId="5" type="firstRowStripe"/>
      <tableStyleElement dxfId="17" type="secondRowStripe"/>
    </tableStyle>
    <tableStyle count="2" pivot="0" name="JP Droprate Table-style 4">
      <tableStyleElement dxfId="10" type="firstRowStripe"/>
      <tableStyleElement dxfId="5" type="secondRowStripe"/>
    </tableStyle>
    <tableStyle count="3" pivot="0" name="JP Droprate Table-style 5">
      <tableStyleElement dxfId="5" type="headerRow"/>
      <tableStyleElement dxfId="18" type="firstRowStripe"/>
      <tableStyleElement dxfId="5" type="secondRowStripe"/>
    </tableStyle>
    <tableStyle count="2" pivot="0" name="JP Droprate Table-style 6">
      <tableStyleElement dxfId="10" type="firstRowStripe"/>
      <tableStyleElement dxfId="5" type="secondRowStripe"/>
    </tableStyle>
    <tableStyle count="2" pivot="0" name="JP Droprate Table-style 7">
      <tableStyleElement dxfId="9" type="firstRowStripe"/>
      <tableStyleElement dxfId="5" type="secondRowStripe"/>
    </tableStyle>
    <tableStyle count="2" pivot="0" name="JP Droprate Table-style 8">
      <tableStyleElement dxfId="15" type="firstRowStripe"/>
      <tableStyleElement dxfId="5" type="secondRowStripe"/>
    </tableStyle>
    <tableStyle count="2" pivot="0" name="JP Droprate Table-style 9">
      <tableStyleElement dxfId="8" type="firstRowStripe"/>
      <tableStyleElement dxfId="5" type="secondRowStripe"/>
    </tableStyle>
    <tableStyle count="2" pivot="0" name="JP Droprate Table-style 10">
      <tableStyleElement dxfId="14" type="firstRowStripe"/>
      <tableStyleElement dxfId="5" type="secondRowStripe"/>
    </tableStyle>
    <tableStyle count="2" pivot="0" name="JP Droprate Table-style 11">
      <tableStyleElement dxfId="4" type="firstRowStripe"/>
      <tableStyleElement dxfId="5" type="secondRowStripe"/>
    </tableStyle>
    <tableStyle count="2" pivot="0" name="JP Droprate Table-style 12">
      <tableStyleElement dxfId="11" type="firstRowStripe"/>
      <tableStyleElement dxfId="5" type="secondRowStripe"/>
    </tableStyle>
    <tableStyle count="2" pivot="0" name="JP Droprate Table-style 13">
      <tableStyleElement dxfId="18" type="firstRowStripe"/>
      <tableStyleElement dxfId="5" type="secondRowStripe"/>
    </tableStyle>
    <tableStyle count="2" pivot="0" name="JP Droprate Table-style 14">
      <tableStyleElement dxfId="14" type="firstRowStripe"/>
      <tableStyleElement dxfId="5" type="secondRowStripe"/>
    </tableStyle>
    <tableStyle count="2" pivot="0" name="JP Droprate Table-style 15">
      <tableStyleElement dxfId="4" type="firstRowStripe"/>
      <tableStyleElement dxfId="5" type="secondRowStripe"/>
    </tableStyle>
    <tableStyle count="2" pivot="0" name="JP Droprate Table-style 16">
      <tableStyleElement dxfId="20" type="firstRowStripe"/>
      <tableStyleElement dxfId="5" type="secondRowStripe"/>
    </tableStyle>
    <tableStyle count="2" pivot="0" name="JP Droprate Table-style 17">
      <tableStyleElement dxfId="13" type="firstRowStripe"/>
      <tableStyleElement dxfId="5" type="secondRowStripe"/>
    </tableStyle>
    <tableStyle count="2" pivot="0" name="JP Droprate Table-style 18">
      <tableStyleElement dxfId="7" type="firstRowStripe"/>
      <tableStyleElement dxfId="5" type="secondRowStripe"/>
    </tableStyle>
    <tableStyle count="2" pivot="0" name="JP Droprate Table-style 19">
      <tableStyleElement dxfId="6" type="firstRowStripe"/>
      <tableStyleElement dxfId="5" type="secondRowStripe"/>
    </tableStyle>
    <tableStyle count="2" pivot="0" name="JP Droprate Table-style 20">
      <tableStyleElement dxfId="12" type="firstRowStripe"/>
      <tableStyleElement dxfId="5" type="secondRowStripe"/>
    </tableStyle>
    <tableStyle count="2" pivot="0" name="JP Droprate Table-style 21">
      <tableStyleElement dxfId="8" type="firstRowStripe"/>
      <tableStyleElement dxfId="5" type="secondRowStripe"/>
    </tableStyle>
    <tableStyle count="2" pivot="0" name="NA APDrop Table-style">
      <tableStyleElement dxfId="6" type="firstRowStripe"/>
      <tableStyleElement dxfId="5" type="secondRowStripe"/>
    </tableStyle>
    <tableStyle count="2" pivot="0" name="NA APDrop Table-style 2">
      <tableStyleElement dxfId="8" type="firstRowStripe"/>
      <tableStyleElement dxfId="5" type="secondRowStripe"/>
    </tableStyle>
    <tableStyle count="2" pivot="0" name="NA APDrop Table-style 3">
      <tableStyleElement dxfId="9" type="firstRowStripe"/>
      <tableStyleElement dxfId="5" type="secondRowStripe"/>
    </tableStyle>
    <tableStyle count="2" pivot="0" name="NA APDrop Table-style 4">
      <tableStyleElement dxfId="4" type="firstRowStripe"/>
      <tableStyleElement dxfId="5" type="secondRowStripe"/>
    </tableStyle>
    <tableStyle count="2" pivot="0" name="NA APDrop Table-style 5">
      <tableStyleElement dxfId="7" type="firstRowStripe"/>
      <tableStyleElement dxfId="5" type="secondRowStripe"/>
    </tableStyle>
    <tableStyle count="2" pivot="0" name="NA APDrop Table-style 6">
      <tableStyleElement dxfId="10" type="firstRowStripe"/>
      <tableStyleElement dxfId="5" type="secondRowStripe"/>
    </tableStyle>
    <tableStyle count="2" pivot="0" name="NA APDrop Table-style 7">
      <tableStyleElement dxfId="4" type="firstRowStripe"/>
      <tableStyleElement dxfId="5" type="secondRowStripe"/>
    </tableStyle>
    <tableStyle count="2" pivot="0" name="NA APDrop Table-style 8">
      <tableStyleElement dxfId="11" type="firstRowStripe"/>
      <tableStyleElement dxfId="5" type="secondRowStripe"/>
    </tableStyle>
    <tableStyle count="2" pivot="0" name="NA APDrop Table-style 9">
      <tableStyleElement dxfId="13" type="firstRowStripe"/>
      <tableStyleElement dxfId="5" type="secondRowStripe"/>
    </tableStyle>
    <tableStyle count="2" pivot="0" name="NA APDrop Table-style 10">
      <tableStyleElement dxfId="9" type="firstRowStripe"/>
      <tableStyleElement dxfId="5" type="secondRowStripe"/>
    </tableStyle>
    <tableStyle count="2" pivot="0" name="NA APDrop Table-style 11">
      <tableStyleElement dxfId="19" type="firstRowStripe"/>
      <tableStyleElement dxfId="5" type="secondRowStripe"/>
    </tableStyle>
    <tableStyle count="2" pivot="0" name="NA APDrop Table-style 12">
      <tableStyleElement dxfId="18" type="firstRowStripe"/>
      <tableStyleElement dxfId="5" type="secondRowStripe"/>
    </tableStyle>
    <tableStyle count="2" pivot="0" name="NA APDrop Table-style 13">
      <tableStyleElement dxfId="10" type="firstRowStripe"/>
      <tableStyleElement dxfId="5" type="secondRowStripe"/>
    </tableStyle>
    <tableStyle count="3" pivot="0" name="NA APDrop Table-style 14">
      <tableStyleElement dxfId="16" type="headerRow"/>
      <tableStyleElement dxfId="5" type="firstRowStripe"/>
      <tableStyleElement dxfId="17" type="secondRowStripe"/>
    </tableStyle>
    <tableStyle count="2" pivot="0" name="NA APDrop Table-style 15">
      <tableStyleElement dxfId="20" type="firstRowStripe"/>
      <tableStyleElement dxfId="5" type="secondRowStripe"/>
    </tableStyle>
    <tableStyle count="2" pivot="0" name="NA APDrop Table-style 16">
      <tableStyleElement dxfId="14" type="firstRowStripe"/>
      <tableStyleElement dxfId="5" type="secondRowStripe"/>
    </tableStyle>
    <tableStyle count="2" pivot="0" name="NA APDrop Table-style 17">
      <tableStyleElement dxfId="14" type="firstRowStripe"/>
      <tableStyleElement dxfId="5" type="secondRowStripe"/>
    </tableStyle>
    <tableStyle count="3" pivot="0" name="NA APDrop Table-style 18">
      <tableStyleElement dxfId="16" type="headerRow"/>
      <tableStyleElement dxfId="5" type="firstRowStripe"/>
      <tableStyleElement dxfId="17" type="secondRowStripe"/>
    </tableStyle>
    <tableStyle count="2" pivot="0" name="NA APDrop Table-style 19">
      <tableStyleElement dxfId="18" type="firstRowStripe"/>
      <tableStyleElement dxfId="5" type="secondRowStripe"/>
    </tableStyle>
    <tableStyle count="2" pivot="0" name="NA APDrop Table-style 20">
      <tableStyleElement dxfId="15" type="firstRowStripe"/>
      <tableStyleElement dxfId="5" type="secondRowStripe"/>
    </tableStyle>
    <tableStyle count="2" pivot="0" name="NA APDrop Table-style 21">
      <tableStyleElement dxfId="8" type="firstRowStripe"/>
      <tableStyleElement dxfId="5" type="secondRowStripe"/>
    </tableStyle>
    <tableStyle count="2" pivot="0" name="NA Droprate Table-style">
      <tableStyleElement dxfId="15" type="firstRowStripe"/>
      <tableStyleElement dxfId="5" type="secondRowStripe"/>
    </tableStyle>
    <tableStyle count="2" pivot="0" name="NA Droprate Table-style 2">
      <tableStyleElement dxfId="14" type="firstRowStripe"/>
      <tableStyleElement dxfId="5" type="secondRowStripe"/>
    </tableStyle>
    <tableStyle count="2" pivot="0" name="NA Droprate Table-style 3">
      <tableStyleElement dxfId="8" type="firstRowStripe"/>
      <tableStyleElement dxfId="5" type="secondRowStripe"/>
    </tableStyle>
    <tableStyle count="2" pivot="0" name="NA Droprate Table-style 4">
      <tableStyleElement dxfId="20" type="firstRowStripe"/>
      <tableStyleElement dxfId="5" type="secondRowStripe"/>
    </tableStyle>
    <tableStyle count="2" pivot="0" name="NA Droprate Table-style 5">
      <tableStyleElement dxfId="6" type="firstRowStripe"/>
      <tableStyleElement dxfId="5" type="secondRowStripe"/>
    </tableStyle>
    <tableStyle count="2" pivot="0" name="NA Droprate Table-style 6">
      <tableStyleElement dxfId="4" type="firstRowStripe"/>
      <tableStyleElement dxfId="5" type="secondRowStripe"/>
    </tableStyle>
    <tableStyle count="2" pivot="0" name="NA Droprate Table-style 7">
      <tableStyleElement dxfId="11" type="firstRowStripe"/>
      <tableStyleElement dxfId="5" type="secondRowStripe"/>
    </tableStyle>
    <tableStyle count="2" pivot="0" name="NA Droprate Table-style 8">
      <tableStyleElement dxfId="13" type="firstRowStripe"/>
      <tableStyleElement dxfId="5" type="secondRowStripe"/>
    </tableStyle>
    <tableStyle count="2" pivot="0" name="NA Droprate Table-style 9">
      <tableStyleElement dxfId="10" type="firstRowStripe"/>
      <tableStyleElement dxfId="5" type="secondRowStripe"/>
    </tableStyle>
    <tableStyle count="2" pivot="0" name="NA Droprate Table-style 10">
      <tableStyleElement dxfId="14" type="firstRowStripe"/>
      <tableStyleElement dxfId="5" type="secondRowStripe"/>
    </tableStyle>
    <tableStyle count="3" pivot="0" name="NA Droprate Table-style 11">
      <tableStyleElement dxfId="16" type="headerRow"/>
      <tableStyleElement dxfId="5" type="firstRowStripe"/>
      <tableStyleElement dxfId="17" type="secondRowStripe"/>
    </tableStyle>
    <tableStyle count="3" pivot="0" name="NA Droprate Table-style 12">
      <tableStyleElement dxfId="16" type="headerRow"/>
      <tableStyleElement dxfId="5" type="firstRowStripe"/>
      <tableStyleElement dxfId="17" type="secondRowStripe"/>
    </tableStyle>
    <tableStyle count="2" pivot="0" name="NA Droprate Table-style 13">
      <tableStyleElement dxfId="9" type="firstRowStripe"/>
      <tableStyleElement dxfId="5" type="secondRowStripe"/>
    </tableStyle>
    <tableStyle count="2" pivot="0" name="NA Droprate Table-style 14">
      <tableStyleElement dxfId="18" type="firstRowStripe"/>
      <tableStyleElement dxfId="5" type="secondRowStripe"/>
    </tableStyle>
    <tableStyle count="2" pivot="0" name="NA Droprate Table-style 15">
      <tableStyleElement dxfId="10" type="firstRowStripe"/>
      <tableStyleElement dxfId="5" type="secondRowStripe"/>
    </tableStyle>
    <tableStyle count="2" pivot="0" name="NA Droprate Table-style 16">
      <tableStyleElement dxfId="7" type="firstRowStripe"/>
      <tableStyleElement dxfId="5" type="secondRowStripe"/>
    </tableStyle>
    <tableStyle count="2" pivot="0" name="NA Droprate Table-style 17">
      <tableStyleElement dxfId="9" type="firstRowStripe"/>
      <tableStyleElement dxfId="5" type="secondRowStripe"/>
    </tableStyle>
    <tableStyle count="2" pivot="0" name="NA Droprate Table-style 18">
      <tableStyleElement dxfId="18" type="firstRowStripe"/>
      <tableStyleElement dxfId="5" type="secondRowStripe"/>
    </tableStyle>
    <tableStyle count="2" pivot="0" name="NA Droprate Table-style 19">
      <tableStyleElement dxfId="8" type="firstRowStripe"/>
      <tableStyleElement dxfId="5" type="secondRowStripe"/>
    </tableStyle>
    <tableStyle count="2" pivot="0" name="NA Droprate Table-style 20">
      <tableStyleElement dxfId="4" type="firstRowStripe"/>
      <tableStyleElement dxfId="5" type="secondRowStripe"/>
    </tableStyle>
    <tableStyle count="2" pivot="0" name="NA Droprate Table-style 21">
      <tableStyleElement dxfId="19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0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208:DT218" displayName="Table_1" id="1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APDrop Table-style" showColumnStripes="0" showFirstColumn="1" showLastColumn="1" showRowStripes="1"/>
</table>
</file>

<file path=xl/tables/table2.xml><?xml version="1.0" encoding="utf-8"?>
<table xmlns="http://schemas.openxmlformats.org/spreadsheetml/2006/main" headerRowCount="0" ref="B172:DT182" displayName="Table_2" id="2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JP APDrop Table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83:DT196" displayName="Table_3" id="3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JP APDrop Table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63:DT171" displayName="Table_4" id="4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JP APDrop Table-style 4" showColumnStripes="0" showFirstColumn="1" showLastColumn="1" showRowStripes="1"/>
</table>
</file>

<file path=xl/tables/table5.xml><?xml version="1.0" encoding="utf-8"?>
<table xmlns="http://schemas.openxmlformats.org/spreadsheetml/2006/main" headerRowCount="0" ref="B197:DT207" displayName="Table_5" id="5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JP APDrop Table-style 5" showColumnStripes="0" showFirstColumn="1" showLastColumn="1" showRowStripes="1"/>
</table>
</file>

<file path=xl/tables/table6.xml><?xml version="1.0" encoding="utf-8"?>
<table xmlns="http://schemas.openxmlformats.org/spreadsheetml/2006/main" headerRowCount="0" ref="B151:DT162" displayName="Table_6" id="6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JP APDrop Table-style 6" showColumnStripes="0" showFirstColumn="1" showLastColumn="1" showRowStripes="1"/>
</table>
</file>

<file path=xl/tables/table7.xml><?xml version="1.0" encoding="utf-8"?>
<table xmlns="http://schemas.openxmlformats.org/spreadsheetml/2006/main" headerRowCount="0" ref="B49:DT56" displayName="Table_7" id="7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JP APDrop Table-style 7" showColumnStripes="0" showFirstColumn="1" showLastColumn="1" showRowStripes="1"/>
</table>
</file>

<file path=xl/tables/table8.xml><?xml version="1.0" encoding="utf-8"?>
<table xmlns="http://schemas.openxmlformats.org/spreadsheetml/2006/main" headerRowCount="0" ref="B21:DT48" displayName="Table_8" id="8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JP APDrop Table-style 8" showColumnStripes="0" showFirstColumn="1" showLastColumn="1" showRowStripes="1"/>
</table>
</file>

<file path=xl/tables/table9.xml><?xml version="1.0" encoding="utf-8"?>
<table xmlns="http://schemas.openxmlformats.org/spreadsheetml/2006/main" headerRowCount="0" ref="D219:DT228" displayName="Table_9" id="9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APDrop Table-style 9" showColumnStripes="0" showFirstColumn="1" showLastColumn="1" showRowStripes="1"/>
</table>
</file>

<file path=xl/tables/table10.xml><?xml version="1.0" encoding="utf-8"?>
<table xmlns="http://schemas.openxmlformats.org/spreadsheetml/2006/main" headerRowCount="0" ref="D249:DT261" displayName="Table_10" id="10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APDrop Table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D238:DT248" displayName="Table_11" id="11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APDrop Table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90:DT98" displayName="Table_12" id="12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JP APDrop Table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78:DT89" displayName="Table_13" id="13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JP APDrop Table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4:DT4" displayName="Table_14" id="14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JP APDrop Table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F1:DT1" displayName="Table_15" id="15">
  <tableColumns count="9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</tableColumns>
  <tableStyleInfo name="JP APDrop Table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B5:DT20" displayName="Table_16" id="16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JP APDrop Table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B127:DT140" displayName="Table_17" id="17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JP APDrop Table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B57:DT66" displayName="Table_18" id="18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JP APDrop Table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B67:DT77" displayName="Table_19" id="19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JP APDrop Table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B99:DT112" displayName="Table_20" id="20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JP APDrop Table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B113:DT126" displayName="Table_21" id="21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JP APDrop Table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B141:DT150" displayName="Table_22" id="22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JP APDrop Table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B49:DR56" displayName="Table_23" id="23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" showColumnStripes="0" showFirstColumn="1" showLastColumn="1" showRowStripes="1"/>
</table>
</file>

<file path=xl/tables/table24.xml><?xml version="1.0" encoding="utf-8"?>
<table xmlns="http://schemas.openxmlformats.org/spreadsheetml/2006/main" headerRowCount="0" ref="B57:DR66" displayName="Table_24" id="24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 2" showColumnStripes="0" showFirstColumn="1" showLastColumn="1" showRowStripes="1"/>
</table>
</file>

<file path=xl/tables/table25.xml><?xml version="1.0" encoding="utf-8"?>
<table xmlns="http://schemas.openxmlformats.org/spreadsheetml/2006/main" headerRowCount="0" ref="A4:DR4" displayName="Table_25" id="25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JP Droprate Tabl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B21:DR48" displayName="Table_26" id="26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 4" showColumnStripes="0" showFirstColumn="1" showLastColumn="1" showRowStripes="1"/>
</table>
</file>

<file path=xl/tables/table27.xml><?xml version="1.0" encoding="utf-8"?>
<table xmlns="http://schemas.openxmlformats.org/spreadsheetml/2006/main" headerRowCount="0" ref="B5:DR20" displayName="Table_27" id="27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B141:DR150" displayName="Table_28" id="28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 6" showColumnStripes="0" showFirstColumn="1" showLastColumn="1" showRowStripes="1"/>
</table>
</file>

<file path=xl/tables/table29.xml><?xml version="1.0" encoding="utf-8"?>
<table xmlns="http://schemas.openxmlformats.org/spreadsheetml/2006/main" headerRowCount="0" ref="B151:DR162" displayName="Table_29" id="29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 7" showColumnStripes="0" showFirstColumn="1" showLastColumn="1" showRowStripes="1"/>
</table>
</file>

<file path=xl/tables/table30.xml><?xml version="1.0" encoding="utf-8"?>
<table xmlns="http://schemas.openxmlformats.org/spreadsheetml/2006/main" headerRowCount="0" ref="B78:DR89" displayName="Table_30" id="30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 8" showColumnStripes="0" showFirstColumn="1" showLastColumn="1" showRowStripes="1"/>
</table>
</file>

<file path=xl/tables/table31.xml><?xml version="1.0" encoding="utf-8"?>
<table xmlns="http://schemas.openxmlformats.org/spreadsheetml/2006/main" headerRowCount="0" ref="B67:DR77" displayName="Table_31" id="31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 9" showColumnStripes="0" showFirstColumn="1" showLastColumn="1" showRowStripes="1"/>
</table>
</file>

<file path=xl/tables/table32.xml><?xml version="1.0" encoding="utf-8"?>
<table xmlns="http://schemas.openxmlformats.org/spreadsheetml/2006/main" headerRowCount="0" ref="B90:DR98" displayName="Table_32" id="32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 10" showColumnStripes="0" showFirstColumn="1" showLastColumn="1" showRowStripes="1"/>
</table>
</file>

<file path=xl/tables/table33.xml><?xml version="1.0" encoding="utf-8"?>
<table xmlns="http://schemas.openxmlformats.org/spreadsheetml/2006/main" headerRowCount="0" ref="B208:DR218" displayName="Table_33" id="33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 11" showColumnStripes="0" showFirstColumn="1" showLastColumn="1" showRowStripes="1"/>
</table>
</file>

<file path=xl/tables/table34.xml><?xml version="1.0" encoding="utf-8"?>
<table xmlns="http://schemas.openxmlformats.org/spreadsheetml/2006/main" headerRowCount="0" ref="D219:DR228" displayName="Table_34" id="34">
  <tableColumns count="1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</tableColumns>
  <tableStyleInfo name="JP Droprate Table-style 12" showColumnStripes="0" showFirstColumn="1" showLastColumn="1" showRowStripes="1"/>
</table>
</file>

<file path=xl/tables/table35.xml><?xml version="1.0" encoding="utf-8"?>
<table xmlns="http://schemas.openxmlformats.org/spreadsheetml/2006/main" headerRowCount="0" ref="B113:DR126" displayName="Table_35" id="35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 13" showColumnStripes="0" showFirstColumn="1" showLastColumn="1" showRowStripes="1"/>
</table>
</file>

<file path=xl/tables/table36.xml><?xml version="1.0" encoding="utf-8"?>
<table xmlns="http://schemas.openxmlformats.org/spreadsheetml/2006/main" headerRowCount="0" ref="B127:DR140" displayName="Table_36" id="36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 14" showColumnStripes="0" showFirstColumn="1" showLastColumn="1" showRowStripes="1"/>
</table>
</file>

<file path=xl/tables/table37.xml><?xml version="1.0" encoding="utf-8"?>
<table xmlns="http://schemas.openxmlformats.org/spreadsheetml/2006/main" headerRowCount="0" ref="B163:DR171" displayName="Table_37" id="37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 15" showColumnStripes="0" showFirstColumn="1" showLastColumn="1" showRowStripes="1"/>
</table>
</file>

<file path=xl/tables/table38.xml><?xml version="1.0" encoding="utf-8"?>
<table xmlns="http://schemas.openxmlformats.org/spreadsheetml/2006/main" headerRowCount="0" ref="B99:DR112" displayName="Table_38" id="38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 16" showColumnStripes="0" showFirstColumn="1" showLastColumn="1" showRowStripes="1"/>
</table>
</file>

<file path=xl/tables/table39.xml><?xml version="1.0" encoding="utf-8"?>
<table xmlns="http://schemas.openxmlformats.org/spreadsheetml/2006/main" headerRowCount="0" ref="D238:DR248" displayName="Table_39" id="39">
  <tableColumns count="1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</tableColumns>
  <tableStyleInfo name="JP Droprate Table-style 17" showColumnStripes="0" showFirstColumn="1" showLastColumn="1" showRowStripes="1"/>
</table>
</file>

<file path=xl/tables/table40.xml><?xml version="1.0" encoding="utf-8"?>
<table xmlns="http://schemas.openxmlformats.org/spreadsheetml/2006/main" headerRowCount="0" ref="B183:DR196" displayName="Table_40" id="40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 18" showColumnStripes="0" showFirstColumn="1" showLastColumn="1" showRowStripes="1"/>
</table>
</file>

<file path=xl/tables/table41.xml><?xml version="1.0" encoding="utf-8"?>
<table xmlns="http://schemas.openxmlformats.org/spreadsheetml/2006/main" headerRowCount="0" ref="B172:DR182" displayName="Table_41" id="41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 19" showColumnStripes="0" showFirstColumn="1" showLastColumn="1" showRowStripes="1"/>
</table>
</file>

<file path=xl/tables/table42.xml><?xml version="1.0" encoding="utf-8"?>
<table xmlns="http://schemas.openxmlformats.org/spreadsheetml/2006/main" headerRowCount="0" ref="D249:DR261" displayName="Table_42" id="42">
  <tableColumns count="1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</tableColumns>
  <tableStyleInfo name="JP Droprate Table-style 20" showColumnStripes="0" showFirstColumn="1" showLastColumn="1" showRowStripes="1"/>
</table>
</file>

<file path=xl/tables/table43.xml><?xml version="1.0" encoding="utf-8"?>
<table xmlns="http://schemas.openxmlformats.org/spreadsheetml/2006/main" headerRowCount="0" ref="B197:DR207" displayName="Table_43" id="43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JP Droprate Table-style 21" showColumnStripes="0" showFirstColumn="1" showLastColumn="1" showRowStripes="1"/>
</table>
</file>

<file path=xl/tables/table44.xml><?xml version="1.0" encoding="utf-8"?>
<table xmlns="http://schemas.openxmlformats.org/spreadsheetml/2006/main" headerRowCount="0" ref="B171:DS181" displayName="Table_44" id="44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NA APDrop Table-style" showColumnStripes="0" showFirstColumn="1" showLastColumn="1" showRowStripes="1"/>
</table>
</file>

<file path=xl/tables/table45.xml><?xml version="1.0" encoding="utf-8"?>
<table xmlns="http://schemas.openxmlformats.org/spreadsheetml/2006/main" headerRowCount="0" ref="B196:DS206" displayName="Table_45" id="45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NA APDrop Table-style 2" showColumnStripes="0" showFirstColumn="1" showLastColumn="1" showRowStripes="1"/>
</table>
</file>

<file path=xl/tables/table46.xml><?xml version="1.0" encoding="utf-8"?>
<table xmlns="http://schemas.openxmlformats.org/spreadsheetml/2006/main" headerRowCount="0" ref="B150:DS161" displayName="Table_46" id="46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NA APDrop Table-style 3" showColumnStripes="0" showFirstColumn="1" showLastColumn="1" showRowStripes="1"/>
</table>
</file>

<file path=xl/tables/table47.xml><?xml version="1.0" encoding="utf-8"?>
<table xmlns="http://schemas.openxmlformats.org/spreadsheetml/2006/main" headerRowCount="0" ref="C207:DS217" displayName="Table_47" id="47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NA APDrop Table-style 4" showColumnStripes="0" showFirstColumn="1" showLastColumn="1" showRowStripes="1"/>
</table>
</file>

<file path=xl/tables/table48.xml><?xml version="1.0" encoding="utf-8"?>
<table xmlns="http://schemas.openxmlformats.org/spreadsheetml/2006/main" headerRowCount="0" ref="B182:DS195" displayName="Table_48" id="48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NA APDrop Table-style 5" showColumnStripes="0" showFirstColumn="1" showLastColumn="1" showRowStripes="1"/>
</table>
</file>

<file path=xl/tables/table49.xml><?xml version="1.0" encoding="utf-8"?>
<table xmlns="http://schemas.openxmlformats.org/spreadsheetml/2006/main" headerRowCount="0" ref="B140:DS149" displayName="Table_49" id="49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NA APDrop Table-style 6" showColumnStripes="0" showFirstColumn="1" showLastColumn="1" showRowStripes="1"/>
</table>
</file>

<file path=xl/tables/table50.xml><?xml version="1.0" encoding="utf-8"?>
<table xmlns="http://schemas.openxmlformats.org/spreadsheetml/2006/main" headerRowCount="0" ref="B162:DS170" displayName="Table_50" id="50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NA APDrop Table-style 7" showColumnStripes="0" showFirstColumn="1" showLastColumn="1" showRowStripes="1"/>
</table>
</file>

<file path=xl/tables/table51.xml><?xml version="1.0" encoding="utf-8"?>
<table xmlns="http://schemas.openxmlformats.org/spreadsheetml/2006/main" headerRowCount="0" ref="C218:DS227" displayName="Table_51" id="51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NA APDrop Table-style 8" showColumnStripes="0" showFirstColumn="1" showLastColumn="1" showRowStripes="1"/>
</table>
</file>

<file path=xl/tables/table52.xml><?xml version="1.0" encoding="utf-8"?>
<table xmlns="http://schemas.openxmlformats.org/spreadsheetml/2006/main" headerRowCount="0" ref="C237:DS247" displayName="Table_52" id="52">
  <tableColumns count="1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</tableColumns>
  <tableStyleInfo name="NA APDrop Table-style 9" showColumnStripes="0" showFirstColumn="1" showLastColumn="1" showRowStripes="1"/>
</table>
</file>

<file path=xl/tables/table53.xml><?xml version="1.0" encoding="utf-8"?>
<table xmlns="http://schemas.openxmlformats.org/spreadsheetml/2006/main" headerRowCount="0" ref="B48:DS55" displayName="Table_53" id="53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NA APDrop Table-style 10" showColumnStripes="0" showFirstColumn="1" showLastColumn="1" showRowStripes="1"/>
</table>
</file>

<file path=xl/tables/table54.xml><?xml version="1.0" encoding="utf-8"?>
<table xmlns="http://schemas.openxmlformats.org/spreadsheetml/2006/main" headerRowCount="0" ref="B56:DS65" displayName="Table_54" id="54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NA APDrop Table-style 11" showColumnStripes="0" showFirstColumn="1" showLastColumn="1" showRowStripes="1"/>
</table>
</file>

<file path=xl/tables/table55.xml><?xml version="1.0" encoding="utf-8"?>
<table xmlns="http://schemas.openxmlformats.org/spreadsheetml/2006/main" headerRowCount="0" ref="B4:DS19" displayName="Table_55" id="55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NA APDrop Table-style 12" showColumnStripes="0" showFirstColumn="1" showLastColumn="1" showRowStripes="1"/>
</table>
</file>

<file path=xl/tables/table56.xml><?xml version="1.0" encoding="utf-8"?>
<table xmlns="http://schemas.openxmlformats.org/spreadsheetml/2006/main" headerRowCount="0" ref="B20:DS47" displayName="Table_56" id="56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NA APDrop Table-style 13" showColumnStripes="0" showFirstColumn="1" showLastColumn="1" showRowStripes="1"/>
</table>
</file>

<file path=xl/tables/table57.xml><?xml version="1.0" encoding="utf-8"?>
<table xmlns="http://schemas.openxmlformats.org/spreadsheetml/2006/main" headerRowCount="0" ref="A3:DS3" displayName="Table_57" id="57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NA APDrop Table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8.xml><?xml version="1.0" encoding="utf-8"?>
<table xmlns="http://schemas.openxmlformats.org/spreadsheetml/2006/main" headerRowCount="0" ref="B98:DS111" displayName="Table_58" id="58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NA APDrop Table-style 15" showColumnStripes="0" showFirstColumn="1" showLastColumn="1" showRowStripes="1"/>
</table>
</file>

<file path=xl/tables/table59.xml><?xml version="1.0" encoding="utf-8"?>
<table xmlns="http://schemas.openxmlformats.org/spreadsheetml/2006/main" headerRowCount="0" ref="B89:DS97" displayName="Table_59" id="59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NA APDrop Table-style 16" showColumnStripes="0" showFirstColumn="1" showLastColumn="1" showRowStripes="1"/>
</table>
</file>

<file path=xl/tables/table60.xml><?xml version="1.0" encoding="utf-8"?>
<table xmlns="http://schemas.openxmlformats.org/spreadsheetml/2006/main" headerRowCount="0" ref="B126:DS139" displayName="Table_60" id="60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NA APDrop Table-style 17" showColumnStripes="0" showFirstColumn="1" showLastColumn="1" showRowStripes="1"/>
</table>
</file>

<file path=xl/tables/table61.xml><?xml version="1.0" encoding="utf-8"?>
<table xmlns="http://schemas.openxmlformats.org/spreadsheetml/2006/main" headerRowCount="0" ref="DJ1:DS2" displayName="Table_61" id="6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NA APDrop Table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2.xml><?xml version="1.0" encoding="utf-8"?>
<table xmlns="http://schemas.openxmlformats.org/spreadsheetml/2006/main" headerRowCount="0" ref="B112:DS125" displayName="Table_62" id="62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NA APDrop Table-style 19" showColumnStripes="0" showFirstColumn="1" showLastColumn="1" showRowStripes="1"/>
</table>
</file>

<file path=xl/tables/table63.xml><?xml version="1.0" encoding="utf-8"?>
<table xmlns="http://schemas.openxmlformats.org/spreadsheetml/2006/main" headerRowCount="0" ref="B77:DS88" displayName="Table_63" id="63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NA APDrop Table-style 20" showColumnStripes="0" showFirstColumn="1" showLastColumn="1" showRowStripes="1"/>
</table>
</file>

<file path=xl/tables/table64.xml><?xml version="1.0" encoding="utf-8"?>
<table xmlns="http://schemas.openxmlformats.org/spreadsheetml/2006/main" headerRowCount="0" ref="B66:DS76" displayName="Table_64" id="64">
  <tableColumns count="1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</tableColumns>
  <tableStyleInfo name="NA APDrop Table-style 21" showColumnStripes="0" showFirstColumn="1" showLastColumn="1" showRowStripes="1"/>
</table>
</file>

<file path=xl/tables/table65.xml><?xml version="1.0" encoding="utf-8"?>
<table xmlns="http://schemas.openxmlformats.org/spreadsheetml/2006/main" headerRowCount="0" ref="B77:DU88" displayName="Table_65" id="65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" showColumnStripes="0" showFirstColumn="1" showLastColumn="1" showRowStripes="1"/>
</table>
</file>

<file path=xl/tables/table66.xml><?xml version="1.0" encoding="utf-8"?>
<table xmlns="http://schemas.openxmlformats.org/spreadsheetml/2006/main" headerRowCount="0" ref="B89:DU97" displayName="Table_66" id="66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 2" showColumnStripes="0" showFirstColumn="1" showLastColumn="1" showRowStripes="1"/>
</table>
</file>

<file path=xl/tables/table67.xml><?xml version="1.0" encoding="utf-8"?>
<table xmlns="http://schemas.openxmlformats.org/spreadsheetml/2006/main" headerRowCount="0" ref="B66:DU76" displayName="Table_67" id="67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 3" showColumnStripes="0" showFirstColumn="1" showLastColumn="1" showRowStripes="1"/>
</table>
</file>

<file path=xl/tables/table68.xml><?xml version="1.0" encoding="utf-8"?>
<table xmlns="http://schemas.openxmlformats.org/spreadsheetml/2006/main" headerRowCount="0" ref="B98:DU111" displayName="Table_68" id="68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 4" showColumnStripes="0" showFirstColumn="1" showLastColumn="1" showRowStripes="1"/>
</table>
</file>

<file path=xl/tables/table69.xml><?xml version="1.0" encoding="utf-8"?>
<table xmlns="http://schemas.openxmlformats.org/spreadsheetml/2006/main" headerRowCount="0" ref="B171:DU181" displayName="Table_69" id="69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 5" showColumnStripes="0" showFirstColumn="1" showLastColumn="1" showRowStripes="1"/>
</table>
</file>

<file path=xl/tables/table70.xml><?xml version="1.0" encoding="utf-8"?>
<table xmlns="http://schemas.openxmlformats.org/spreadsheetml/2006/main" headerRowCount="0" ref="B162:DU170" displayName="Table_70" id="70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 6" showColumnStripes="0" showFirstColumn="1" showLastColumn="1" showRowStripes="1"/>
</table>
</file>

<file path=xl/tables/table71.xml><?xml version="1.0" encoding="utf-8"?>
<table xmlns="http://schemas.openxmlformats.org/spreadsheetml/2006/main" headerRowCount="0" ref="C218:DU227" displayName="Table_71" id="71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NA Droprate Table-style 7" showColumnStripes="0" showFirstColumn="1" showLastColumn="1" showRowStripes="1"/>
</table>
</file>

<file path=xl/tables/table72.xml><?xml version="1.0" encoding="utf-8"?>
<table xmlns="http://schemas.openxmlformats.org/spreadsheetml/2006/main" headerRowCount="0" ref="C237:DN247" displayName="Table_72" id="72">
  <tableColumns count="1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</tableColumns>
  <tableStyleInfo name="NA Droprate Table-style 8" showColumnStripes="0" showFirstColumn="1" showLastColumn="1" showRowStripes="1"/>
</table>
</file>

<file path=xl/tables/table73.xml><?xml version="1.0" encoding="utf-8"?>
<table xmlns="http://schemas.openxmlformats.org/spreadsheetml/2006/main" headerRowCount="0" ref="B140:DU149" displayName="Table_73" id="73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 9" showColumnStripes="0" showFirstColumn="1" showLastColumn="1" showRowStripes="1"/>
</table>
</file>

<file path=xl/tables/table74.xml><?xml version="1.0" encoding="utf-8"?>
<table xmlns="http://schemas.openxmlformats.org/spreadsheetml/2006/main" headerRowCount="0" ref="B126:DU139" displayName="Table_74" id="74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 10" showColumnStripes="0" showFirstColumn="1" showLastColumn="1" showRowStripes="1"/>
</table>
</file>

<file path=xl/tables/table75.xml><?xml version="1.0" encoding="utf-8"?>
<table xmlns="http://schemas.openxmlformats.org/spreadsheetml/2006/main" headerRowCount="0" ref="A3:DU3" displayName="Table_75" id="75">
  <tableColumns count="1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</tableColumns>
  <tableStyleInfo name="NA Droprate Table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6.xml><?xml version="1.0" encoding="utf-8"?>
<table xmlns="http://schemas.openxmlformats.org/spreadsheetml/2006/main" ref="DL1:DN2" displayName="Table_76" id="76">
  <tableColumns count="3">
    <tableColumn name="B348" id="1"/>
    <tableColumn name="B351" id="2"/>
    <tableColumn name="B352" id="3"/>
  </tableColumns>
  <tableStyleInfo name="NA Droprate Table-style 12" showColumnStripes="0" showFirstColumn="1" showLastColumn="1" showRowStripes="1"/>
</table>
</file>

<file path=xl/tables/table77.xml><?xml version="1.0" encoding="utf-8"?>
<table xmlns="http://schemas.openxmlformats.org/spreadsheetml/2006/main" headerRowCount="0" ref="B150:DU161" displayName="Table_77" id="77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 13" showColumnStripes="0" showFirstColumn="1" showLastColumn="1" showRowStripes="1"/>
</table>
</file>

<file path=xl/tables/table78.xml><?xml version="1.0" encoding="utf-8"?>
<table xmlns="http://schemas.openxmlformats.org/spreadsheetml/2006/main" headerRowCount="0" ref="B112:DU125" displayName="Table_78" id="78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 14" showColumnStripes="0" showFirstColumn="1" showLastColumn="1" showRowStripes="1"/>
</table>
</file>

<file path=xl/tables/table79.xml><?xml version="1.0" encoding="utf-8"?>
<table xmlns="http://schemas.openxmlformats.org/spreadsheetml/2006/main" headerRowCount="0" ref="B20:DU47" displayName="Table_79" id="79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 15" showColumnStripes="0" showFirstColumn="1" showLastColumn="1" showRowStripes="1"/>
</table>
</file>

<file path=xl/tables/table80.xml><?xml version="1.0" encoding="utf-8"?>
<table xmlns="http://schemas.openxmlformats.org/spreadsheetml/2006/main" headerRowCount="0" ref="B182:DU195" displayName="Table_80" id="80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 16" showColumnStripes="0" showFirstColumn="1" showLastColumn="1" showRowStripes="1"/>
</table>
</file>

<file path=xl/tables/table81.xml><?xml version="1.0" encoding="utf-8"?>
<table xmlns="http://schemas.openxmlformats.org/spreadsheetml/2006/main" headerRowCount="0" ref="B48:DU55" displayName="Table_81" id="81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 17" showColumnStripes="0" showFirstColumn="1" showLastColumn="1" showRowStripes="1"/>
</table>
</file>

<file path=xl/tables/table82.xml><?xml version="1.0" encoding="utf-8"?>
<table xmlns="http://schemas.openxmlformats.org/spreadsheetml/2006/main" headerRowCount="0" ref="B4:DU19" displayName="Table_82" id="82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 18" showColumnStripes="0" showFirstColumn="1" showLastColumn="1" showRowStripes="1"/>
</table>
</file>

<file path=xl/tables/table83.xml><?xml version="1.0" encoding="utf-8"?>
<table xmlns="http://schemas.openxmlformats.org/spreadsheetml/2006/main" headerRowCount="0" ref="B196:DU206" displayName="Table_83" id="83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 19" showColumnStripes="0" showFirstColumn="1" showLastColumn="1" showRowStripes="1"/>
</table>
</file>

<file path=xl/tables/table84.xml><?xml version="1.0" encoding="utf-8"?>
<table xmlns="http://schemas.openxmlformats.org/spreadsheetml/2006/main" headerRowCount="0" ref="B207:DU217" displayName="Table_84" id="84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 20" showColumnStripes="0" showFirstColumn="1" showLastColumn="1" showRowStripes="1"/>
</table>
</file>

<file path=xl/tables/table85.xml><?xml version="1.0" encoding="utf-8"?>
<table xmlns="http://schemas.openxmlformats.org/spreadsheetml/2006/main" headerRowCount="0" ref="B56:DU65" displayName="Table_85" id="85">
  <tableColumns count="1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</tableColumns>
  <tableStyleInfo name="NA Droprate Table-style 21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4vfu9kZ7L6tS3xnOPICSna9kYTYSRWQ66rQI_1jWV4/edit" TargetMode="External"/><Relationship Id="rId2" Type="http://schemas.openxmlformats.org/officeDocument/2006/relationships/hyperlink" Target="https://docs.google.com/spreadsheets/d/1sxse_7jcGfju0MOIO59TV8_10-qAp5UUXqPzXX_TxcE/edi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fategrandorder.fandom.com/wiki/Monday_Daily_Quests" TargetMode="External"/><Relationship Id="rId194" Type="http://schemas.openxmlformats.org/officeDocument/2006/relationships/hyperlink" Target="https://fategrandorder.fandom.com/wiki/Sunday_Daily_Quests" TargetMode="External"/><Relationship Id="rId193" Type="http://schemas.openxmlformats.org/officeDocument/2006/relationships/hyperlink" Target="https://fategrandorder.fandom.com/wiki/Tuesday_Daily_Quests" TargetMode="External"/><Relationship Id="rId192" Type="http://schemas.openxmlformats.org/officeDocument/2006/relationships/hyperlink" Target="https://fategrandorder.fandom.com/wiki/Tuesday_Daily_Quests" TargetMode="External"/><Relationship Id="rId191" Type="http://schemas.openxmlformats.org/officeDocument/2006/relationships/hyperlink" Target="https://fategrandorder.fandom.com/wiki/Monday_Daily_Quests" TargetMode="External"/><Relationship Id="rId187" Type="http://schemas.openxmlformats.org/officeDocument/2006/relationships/hyperlink" Target="https://fategrandorder.fandom.com/wiki/Free_Quests:_Agartha" TargetMode="External"/><Relationship Id="rId186" Type="http://schemas.openxmlformats.org/officeDocument/2006/relationships/hyperlink" Target="https://fategrandorder.fandom.com/wiki/Free_Quests:_Salem" TargetMode="External"/><Relationship Id="rId185" Type="http://schemas.openxmlformats.org/officeDocument/2006/relationships/hyperlink" Target="https://fategrandorder.fandom.com/wiki/Free_Quests:_Yuga_Kshetra" TargetMode="External"/><Relationship Id="rId184" Type="http://schemas.openxmlformats.org/officeDocument/2006/relationships/hyperlink" Target="https://fategrandorder.fandom.com/wiki/Free_Quests:_Agartha" TargetMode="External"/><Relationship Id="rId189" Type="http://schemas.openxmlformats.org/officeDocument/2006/relationships/hyperlink" Target="https://fategrandorder.fandom.com/wiki/Free_Quests:_Okeanos" TargetMode="External"/><Relationship Id="rId188" Type="http://schemas.openxmlformats.org/officeDocument/2006/relationships/hyperlink" Target="https://fategrandorder.fandom.com/wiki/Sunday_Daily_Quests" TargetMode="External"/><Relationship Id="rId183" Type="http://schemas.openxmlformats.org/officeDocument/2006/relationships/hyperlink" Target="https://fategrandorder.fandom.com/wiki/Free_Quests:_Yuga_Kshetra" TargetMode="External"/><Relationship Id="rId182" Type="http://schemas.openxmlformats.org/officeDocument/2006/relationships/hyperlink" Target="https://fategrandorder.fandom.com/wiki/Free_Quests:_Yuga_Kshetra" TargetMode="External"/><Relationship Id="rId181" Type="http://schemas.openxmlformats.org/officeDocument/2006/relationships/hyperlink" Target="https://fategrandorder.fandom.com/wiki/Free_Quests:_Salem" TargetMode="External"/><Relationship Id="rId180" Type="http://schemas.openxmlformats.org/officeDocument/2006/relationships/hyperlink" Target="https://fategrandorder.fandom.com/wiki/Free_Quests:_Salem" TargetMode="External"/><Relationship Id="rId176" Type="http://schemas.openxmlformats.org/officeDocument/2006/relationships/hyperlink" Target="https://fategrandorder.fandom.com/wiki/Friday_Daily_Quests" TargetMode="External"/><Relationship Id="rId297" Type="http://schemas.openxmlformats.org/officeDocument/2006/relationships/hyperlink" Target="https://fategrandorder.fandom.com/wiki/Free_Quests:_Yuga_Kshetra" TargetMode="External"/><Relationship Id="rId175" Type="http://schemas.openxmlformats.org/officeDocument/2006/relationships/hyperlink" Target="https://fategrandorder.fandom.com/wiki/Free_Quests:_Camelot" TargetMode="External"/><Relationship Id="rId296" Type="http://schemas.openxmlformats.org/officeDocument/2006/relationships/hyperlink" Target="https://fategrandorder.fandom.com/wiki/Free_Quests:_Yuga_Kshetra" TargetMode="External"/><Relationship Id="rId174" Type="http://schemas.openxmlformats.org/officeDocument/2006/relationships/hyperlink" Target="https://fategrandorder.fandom.com/wiki/Friday_Daily_Quests" TargetMode="External"/><Relationship Id="rId295" Type="http://schemas.openxmlformats.org/officeDocument/2006/relationships/hyperlink" Target="https://fategrandorder.fandom.com/wiki/Free_Quests:_Yuga_Kshetra" TargetMode="External"/><Relationship Id="rId173" Type="http://schemas.openxmlformats.org/officeDocument/2006/relationships/hyperlink" Target="https://fategrandorder.fandom.com/wiki/Friday_Daily_Quests" TargetMode="External"/><Relationship Id="rId294" Type="http://schemas.openxmlformats.org/officeDocument/2006/relationships/hyperlink" Target="https://fategrandorder.fandom.com/wiki/Free_Quests:_Yuga_Kshetra" TargetMode="External"/><Relationship Id="rId179" Type="http://schemas.openxmlformats.org/officeDocument/2006/relationships/hyperlink" Target="https://fategrandorder.fandom.com/wiki/Free_Quests:_Agartha" TargetMode="External"/><Relationship Id="rId178" Type="http://schemas.openxmlformats.org/officeDocument/2006/relationships/hyperlink" Target="https://fategrandorder.fandom.com/wiki/Free_Quests:_Agartha" TargetMode="External"/><Relationship Id="rId299" Type="http://schemas.openxmlformats.org/officeDocument/2006/relationships/hyperlink" Target="https://fategrandorder.fandom.com/wiki/Free_Quests:_Atlantis" TargetMode="External"/><Relationship Id="rId177" Type="http://schemas.openxmlformats.org/officeDocument/2006/relationships/hyperlink" Target="https://fategrandorder.fandom.com/wiki/Free_Quests:_Salem" TargetMode="External"/><Relationship Id="rId298" Type="http://schemas.openxmlformats.org/officeDocument/2006/relationships/hyperlink" Target="https://fategrandorder.fandom.com/wiki/Free_Quests:_Atlantis" TargetMode="External"/><Relationship Id="rId198" Type="http://schemas.openxmlformats.org/officeDocument/2006/relationships/hyperlink" Target="https://fategrandorder.fandom.com/wiki/Free_Quests:_S_I_N" TargetMode="External"/><Relationship Id="rId197" Type="http://schemas.openxmlformats.org/officeDocument/2006/relationships/hyperlink" Target="https://fategrandorder.fandom.com/wiki/Free_Quests:_E_Pluribus_Unum" TargetMode="External"/><Relationship Id="rId196" Type="http://schemas.openxmlformats.org/officeDocument/2006/relationships/hyperlink" Target="https://fategrandorder.fandom.com/wiki/Free_Quests:_Shinjuku" TargetMode="External"/><Relationship Id="rId195" Type="http://schemas.openxmlformats.org/officeDocument/2006/relationships/hyperlink" Target="https://fategrandorder.fandom.com/wiki/Monday_Daily_Quests" TargetMode="External"/><Relationship Id="rId199" Type="http://schemas.openxmlformats.org/officeDocument/2006/relationships/hyperlink" Target="https://fategrandorder.fandom.com/wiki/Free_Quests:_Shinjuku" TargetMode="External"/><Relationship Id="rId150" Type="http://schemas.openxmlformats.org/officeDocument/2006/relationships/hyperlink" Target="https://fategrandorder.fandom.com/wiki/Saturday_Daily_Quests" TargetMode="External"/><Relationship Id="rId271" Type="http://schemas.openxmlformats.org/officeDocument/2006/relationships/hyperlink" Target="https://fategrandorder.fandom.com/wiki/Free_Quests:_Anastasia" TargetMode="External"/><Relationship Id="rId392" Type="http://schemas.openxmlformats.org/officeDocument/2006/relationships/hyperlink" Target="https://fategrandorder.fandom.com/wiki/Free_Quests:_S_I_N" TargetMode="External"/><Relationship Id="rId270" Type="http://schemas.openxmlformats.org/officeDocument/2006/relationships/hyperlink" Target="https://fategrandorder.fandom.com/wiki/Free_Quests:_Anastasia" TargetMode="External"/><Relationship Id="rId391" Type="http://schemas.openxmlformats.org/officeDocument/2006/relationships/hyperlink" Target="https://fategrandorder.fandom.com/wiki/Free_Quests:_Atlantis" TargetMode="External"/><Relationship Id="rId390" Type="http://schemas.openxmlformats.org/officeDocument/2006/relationships/hyperlink" Target="https://fategrandorder.fandom.com/wiki/Free_Quests:_S_I_N" TargetMode="External"/><Relationship Id="rId1" Type="http://schemas.openxmlformats.org/officeDocument/2006/relationships/hyperlink" Target="https://fategrandorder.fandom.com/wiki/Free_Quests:_Okeanos" TargetMode="External"/><Relationship Id="rId2" Type="http://schemas.openxmlformats.org/officeDocument/2006/relationships/hyperlink" Target="https://fategrandorder.fandom.com/wiki/Free_Quests:_Okeanos" TargetMode="External"/><Relationship Id="rId3" Type="http://schemas.openxmlformats.org/officeDocument/2006/relationships/hyperlink" Target="https://fategrandorder.fandom.com/wiki/Free_Quests:_Orleans" TargetMode="External"/><Relationship Id="rId149" Type="http://schemas.openxmlformats.org/officeDocument/2006/relationships/hyperlink" Target="https://fategrandorder.fandom.com/wiki/Saturday_Daily_Quests" TargetMode="External"/><Relationship Id="rId4" Type="http://schemas.openxmlformats.org/officeDocument/2006/relationships/hyperlink" Target="https://fategrandorder.fandom.com/wiki/Free_Quests:_E_Pluribus_Unum" TargetMode="External"/><Relationship Id="rId148" Type="http://schemas.openxmlformats.org/officeDocument/2006/relationships/hyperlink" Target="https://fategrandorder.fandom.com/wiki/Saturday_Daily_Quests" TargetMode="External"/><Relationship Id="rId269" Type="http://schemas.openxmlformats.org/officeDocument/2006/relationships/hyperlink" Target="https://fategrandorder.fandom.com/wiki/Free_Quests:_Anastasia" TargetMode="External"/><Relationship Id="rId9" Type="http://schemas.openxmlformats.org/officeDocument/2006/relationships/hyperlink" Target="https://fategrandorder.fandom.com/wiki/Free_Quests:_E_Pluribus_Unum" TargetMode="External"/><Relationship Id="rId143" Type="http://schemas.openxmlformats.org/officeDocument/2006/relationships/hyperlink" Target="https://fategrandorder.fandom.com/wiki/Free_Quests:_Shimosa" TargetMode="External"/><Relationship Id="rId264" Type="http://schemas.openxmlformats.org/officeDocument/2006/relationships/hyperlink" Target="https://fategrandorder.fandom.com/wiki/Free_Quests:_Heian-ky%C5%8D" TargetMode="External"/><Relationship Id="rId385" Type="http://schemas.openxmlformats.org/officeDocument/2006/relationships/hyperlink" Target="https://fategrandorder.fandom.com/wiki/Free_Quests:_Olympus" TargetMode="External"/><Relationship Id="rId142" Type="http://schemas.openxmlformats.org/officeDocument/2006/relationships/hyperlink" Target="https://fategrandorder.fandom.com/wiki/Free_Quests:_Okeanos" TargetMode="External"/><Relationship Id="rId263" Type="http://schemas.openxmlformats.org/officeDocument/2006/relationships/hyperlink" Target="https://fategrandorder.fandom.com/wiki/Free_Quests:_Shimosa" TargetMode="External"/><Relationship Id="rId384" Type="http://schemas.openxmlformats.org/officeDocument/2006/relationships/hyperlink" Target="https://fategrandorder.fandom.com/wiki/Free_Quests:_S_I_N" TargetMode="External"/><Relationship Id="rId141" Type="http://schemas.openxmlformats.org/officeDocument/2006/relationships/hyperlink" Target="https://fategrandorder.fandom.com/wiki/Free_Quests:_Camelot" TargetMode="External"/><Relationship Id="rId262" Type="http://schemas.openxmlformats.org/officeDocument/2006/relationships/hyperlink" Target="https://fategrandorder.fandom.com/wiki/Free_Quests:_Shimosa" TargetMode="External"/><Relationship Id="rId383" Type="http://schemas.openxmlformats.org/officeDocument/2006/relationships/hyperlink" Target="https://fategrandorder.fandom.com/wiki/Free_Quests:_Shimosa" TargetMode="External"/><Relationship Id="rId140" Type="http://schemas.openxmlformats.org/officeDocument/2006/relationships/hyperlink" Target="https://fategrandorder.fandom.com/wiki/Free_Quests:_Babylonia" TargetMode="External"/><Relationship Id="rId261" Type="http://schemas.openxmlformats.org/officeDocument/2006/relationships/hyperlink" Target="https://fategrandorder.fandom.com/wiki/Free_Quests:_Shimosa" TargetMode="External"/><Relationship Id="rId382" Type="http://schemas.openxmlformats.org/officeDocument/2006/relationships/hyperlink" Target="https://fategrandorder.fandom.com/wiki/Free_Quests:_Olympus" TargetMode="External"/><Relationship Id="rId5" Type="http://schemas.openxmlformats.org/officeDocument/2006/relationships/hyperlink" Target="https://fategrandorder.fandom.com/wiki/Free_Quests:_Septem" TargetMode="External"/><Relationship Id="rId147" Type="http://schemas.openxmlformats.org/officeDocument/2006/relationships/hyperlink" Target="https://fategrandorder.fandom.com/wiki/Free_Quests:_Septem" TargetMode="External"/><Relationship Id="rId268" Type="http://schemas.openxmlformats.org/officeDocument/2006/relationships/hyperlink" Target="https://fategrandorder.fandom.com/wiki/Free_Quests:_Anastasia" TargetMode="External"/><Relationship Id="rId389" Type="http://schemas.openxmlformats.org/officeDocument/2006/relationships/hyperlink" Target="https://fategrandorder.fandom.com/wiki/Free_Quests:_S_I_N" TargetMode="External"/><Relationship Id="rId6" Type="http://schemas.openxmlformats.org/officeDocument/2006/relationships/hyperlink" Target="https://fategrandorder.fandom.com/wiki/Free_Quests:_Septem" TargetMode="External"/><Relationship Id="rId146" Type="http://schemas.openxmlformats.org/officeDocument/2006/relationships/hyperlink" Target="https://fategrandorder.fandom.com/wiki/Free_Quests:_Shimosa" TargetMode="External"/><Relationship Id="rId267" Type="http://schemas.openxmlformats.org/officeDocument/2006/relationships/hyperlink" Target="https://fategrandorder.fandom.com/wiki/Free_Quests:_Anastasia" TargetMode="External"/><Relationship Id="rId388" Type="http://schemas.openxmlformats.org/officeDocument/2006/relationships/hyperlink" Target="https://fategrandorder.fandom.com/wiki/Free_Quests:_Atlantis" TargetMode="External"/><Relationship Id="rId7" Type="http://schemas.openxmlformats.org/officeDocument/2006/relationships/hyperlink" Target="https://fategrandorder.fandom.com/wiki/Free_Quests:_E_Pluribus_Unum" TargetMode="External"/><Relationship Id="rId145" Type="http://schemas.openxmlformats.org/officeDocument/2006/relationships/hyperlink" Target="https://fategrandorder.fandom.com/wiki/Free_Quests:_Shimosa" TargetMode="External"/><Relationship Id="rId266" Type="http://schemas.openxmlformats.org/officeDocument/2006/relationships/hyperlink" Target="https://fategrandorder.fandom.com/wiki/Free_Quests:_Shimosa" TargetMode="External"/><Relationship Id="rId387" Type="http://schemas.openxmlformats.org/officeDocument/2006/relationships/hyperlink" Target="https://fategrandorder.fandom.com/wiki/Free_Quests:_Olympus" TargetMode="External"/><Relationship Id="rId8" Type="http://schemas.openxmlformats.org/officeDocument/2006/relationships/hyperlink" Target="https://fategrandorder.fandom.com/wiki/Free_Quests:_Septem" TargetMode="External"/><Relationship Id="rId144" Type="http://schemas.openxmlformats.org/officeDocument/2006/relationships/hyperlink" Target="https://fategrandorder.fandom.com/wiki/Free_Quests:_Heian-ky%C5%8D" TargetMode="External"/><Relationship Id="rId265" Type="http://schemas.openxmlformats.org/officeDocument/2006/relationships/hyperlink" Target="https://fategrandorder.fandom.com/wiki/Free_Quests:_Shimosa" TargetMode="External"/><Relationship Id="rId386" Type="http://schemas.openxmlformats.org/officeDocument/2006/relationships/hyperlink" Target="https://fategrandorder.fandom.com/wiki/Free_Quests:_S_I_N" TargetMode="External"/><Relationship Id="rId260" Type="http://schemas.openxmlformats.org/officeDocument/2006/relationships/hyperlink" Target="https://fategrandorder.fandom.com/wiki/Free_Quests:_Heian-ky%C5%8D" TargetMode="External"/><Relationship Id="rId381" Type="http://schemas.openxmlformats.org/officeDocument/2006/relationships/hyperlink" Target="https://fategrandorder.fandom.com/wiki/Free_Quests:_Anastasia" TargetMode="External"/><Relationship Id="rId380" Type="http://schemas.openxmlformats.org/officeDocument/2006/relationships/hyperlink" Target="https://fategrandorder.fandom.com/wiki/Free_Quests:_S_I_N" TargetMode="External"/><Relationship Id="rId139" Type="http://schemas.openxmlformats.org/officeDocument/2006/relationships/hyperlink" Target="https://fategrandorder.fandom.com/wiki/Free_Quests:_Septem" TargetMode="External"/><Relationship Id="rId138" Type="http://schemas.openxmlformats.org/officeDocument/2006/relationships/hyperlink" Target="https://fategrandorder.fandom.com/wiki/Free_Quests:_Anastasia" TargetMode="External"/><Relationship Id="rId259" Type="http://schemas.openxmlformats.org/officeDocument/2006/relationships/hyperlink" Target="https://fategrandorder.fandom.com/wiki/Free_Quests:_Shimosa" TargetMode="External"/><Relationship Id="rId137" Type="http://schemas.openxmlformats.org/officeDocument/2006/relationships/hyperlink" Target="https://fategrandorder.fandom.com/wiki/Free_Quests:_Agartha" TargetMode="External"/><Relationship Id="rId258" Type="http://schemas.openxmlformats.org/officeDocument/2006/relationships/hyperlink" Target="https://fategrandorder.fandom.com/wiki/Free_Quests:_Heian-ky%C5%8D" TargetMode="External"/><Relationship Id="rId379" Type="http://schemas.openxmlformats.org/officeDocument/2006/relationships/hyperlink" Target="https://fategrandorder.fandom.com/wiki/Free_Quests:_Atlantis" TargetMode="External"/><Relationship Id="rId132" Type="http://schemas.openxmlformats.org/officeDocument/2006/relationships/hyperlink" Target="https://fategrandorder.fandom.com/wiki/Free_Quests:_Babylonia" TargetMode="External"/><Relationship Id="rId253" Type="http://schemas.openxmlformats.org/officeDocument/2006/relationships/hyperlink" Target="https://fategrandorder.fandom.com/wiki/Sunday_Daily_Quests" TargetMode="External"/><Relationship Id="rId374" Type="http://schemas.openxmlformats.org/officeDocument/2006/relationships/hyperlink" Target="https://fategrandorder.fandom.com/wiki/Free_Quests:_G%C3%B6tterd%C3%A4mmerung" TargetMode="External"/><Relationship Id="rId131" Type="http://schemas.openxmlformats.org/officeDocument/2006/relationships/hyperlink" Target="https://fategrandorder.fandom.com/wiki/Free_Quests:_G%C3%B6tterd%C3%A4mmerung" TargetMode="External"/><Relationship Id="rId252" Type="http://schemas.openxmlformats.org/officeDocument/2006/relationships/hyperlink" Target="https://fategrandorder.fandom.com/wiki/Free_Quests:_Anastasia" TargetMode="External"/><Relationship Id="rId373" Type="http://schemas.openxmlformats.org/officeDocument/2006/relationships/hyperlink" Target="https://fategrandorder.fandom.com/wiki/Free_Quests:_Babylonia" TargetMode="External"/><Relationship Id="rId130" Type="http://schemas.openxmlformats.org/officeDocument/2006/relationships/hyperlink" Target="https://fategrandorder.fandom.com/wiki/Free_Quests:_Agartha" TargetMode="External"/><Relationship Id="rId251" Type="http://schemas.openxmlformats.org/officeDocument/2006/relationships/hyperlink" Target="https://fategrandorder.fandom.com/wiki/Free_Quests:_Anastasia" TargetMode="External"/><Relationship Id="rId372" Type="http://schemas.openxmlformats.org/officeDocument/2006/relationships/hyperlink" Target="https://fategrandorder.fandom.com/wiki/Free_Quests:_G%C3%B6tterd%C3%A4mmerung" TargetMode="External"/><Relationship Id="rId250" Type="http://schemas.openxmlformats.org/officeDocument/2006/relationships/hyperlink" Target="https://fategrandorder.fandom.com/wiki/Free_Quests:_Atlantis" TargetMode="External"/><Relationship Id="rId371" Type="http://schemas.openxmlformats.org/officeDocument/2006/relationships/hyperlink" Target="https://fategrandorder.fandom.com/wiki/Free_Quests:_G%C3%B6tterd%C3%A4mmerung" TargetMode="External"/><Relationship Id="rId136" Type="http://schemas.openxmlformats.org/officeDocument/2006/relationships/hyperlink" Target="https://fategrandorder.fandom.com/wiki/Free_Quests:_G%C3%B6tterd%C3%A4mmerung" TargetMode="External"/><Relationship Id="rId257" Type="http://schemas.openxmlformats.org/officeDocument/2006/relationships/hyperlink" Target="https://fategrandorder.fandom.com/wiki/Free_Quests:_Shimosa" TargetMode="External"/><Relationship Id="rId378" Type="http://schemas.openxmlformats.org/officeDocument/2006/relationships/hyperlink" Target="https://fategrandorder.fandom.com/wiki/Free_Quests:_Agartha" TargetMode="External"/><Relationship Id="rId135" Type="http://schemas.openxmlformats.org/officeDocument/2006/relationships/hyperlink" Target="https://fategrandorder.fandom.com/wiki/Free_Quests:_Babylonia" TargetMode="External"/><Relationship Id="rId256" Type="http://schemas.openxmlformats.org/officeDocument/2006/relationships/hyperlink" Target="https://fategrandorder.fandom.com/wiki/Sunday_Daily_Quests" TargetMode="External"/><Relationship Id="rId377" Type="http://schemas.openxmlformats.org/officeDocument/2006/relationships/hyperlink" Target="https://fategrandorder.fandom.com/wiki/Free_Quests:_Babylonia" TargetMode="External"/><Relationship Id="rId134" Type="http://schemas.openxmlformats.org/officeDocument/2006/relationships/hyperlink" Target="https://fategrandorder.fandom.com/wiki/Free_Quests:_Babylonia" TargetMode="External"/><Relationship Id="rId255" Type="http://schemas.openxmlformats.org/officeDocument/2006/relationships/hyperlink" Target="https://fategrandorder.fandom.com/wiki/Sunday_Daily_Quests" TargetMode="External"/><Relationship Id="rId376" Type="http://schemas.openxmlformats.org/officeDocument/2006/relationships/hyperlink" Target="https://fategrandorder.fandom.com/wiki/Free_Quests:_Shimosa" TargetMode="External"/><Relationship Id="rId133" Type="http://schemas.openxmlformats.org/officeDocument/2006/relationships/hyperlink" Target="https://fategrandorder.fandom.com/wiki/Free_Quests:_G%C3%B6tterd%C3%A4mmerung" TargetMode="External"/><Relationship Id="rId254" Type="http://schemas.openxmlformats.org/officeDocument/2006/relationships/hyperlink" Target="https://fategrandorder.fandom.com/wiki/Sunday_Daily_Quests" TargetMode="External"/><Relationship Id="rId375" Type="http://schemas.openxmlformats.org/officeDocument/2006/relationships/hyperlink" Target="https://fategrandorder.fandom.com/wiki/Free_Quests:_Babylonia" TargetMode="External"/><Relationship Id="rId172" Type="http://schemas.openxmlformats.org/officeDocument/2006/relationships/hyperlink" Target="https://fategrandorder.fandom.com/wiki/Friday_Daily_Quests" TargetMode="External"/><Relationship Id="rId293" Type="http://schemas.openxmlformats.org/officeDocument/2006/relationships/hyperlink" Target="https://fategrandorder.fandom.com/wiki/Free_Quests:_Yuga_Kshetra" TargetMode="External"/><Relationship Id="rId171" Type="http://schemas.openxmlformats.org/officeDocument/2006/relationships/hyperlink" Target="https://fategrandorder.fandom.com/wiki/Free_Quests:_Okeanos" TargetMode="External"/><Relationship Id="rId292" Type="http://schemas.openxmlformats.org/officeDocument/2006/relationships/hyperlink" Target="https://fategrandorder.fandom.com/wiki/Free_Quests:_Yuga_Kshetra" TargetMode="External"/><Relationship Id="rId170" Type="http://schemas.openxmlformats.org/officeDocument/2006/relationships/hyperlink" Target="https://fategrandorder.fandom.com/wiki/Free_Quests:_Olympus" TargetMode="External"/><Relationship Id="rId291" Type="http://schemas.openxmlformats.org/officeDocument/2006/relationships/hyperlink" Target="https://fategrandorder.fandom.com/wiki/Free_Quests:_Yuga_Kshetra" TargetMode="External"/><Relationship Id="rId290" Type="http://schemas.openxmlformats.org/officeDocument/2006/relationships/hyperlink" Target="https://fategrandorder.fandom.com/wiki/Free_Quests:_S_I_N" TargetMode="External"/><Relationship Id="rId165" Type="http://schemas.openxmlformats.org/officeDocument/2006/relationships/hyperlink" Target="https://fategrandorder.fandom.com/wiki/Free_Quests:_Olympus" TargetMode="External"/><Relationship Id="rId286" Type="http://schemas.openxmlformats.org/officeDocument/2006/relationships/hyperlink" Target="https://fategrandorder.fandom.com/wiki/Free_Quests:_G%C3%B6tterd%C3%A4mmerung" TargetMode="External"/><Relationship Id="rId164" Type="http://schemas.openxmlformats.org/officeDocument/2006/relationships/hyperlink" Target="https://fategrandorder.fandom.com/wiki/Free_Quests:_Agartha" TargetMode="External"/><Relationship Id="rId285" Type="http://schemas.openxmlformats.org/officeDocument/2006/relationships/hyperlink" Target="https://fategrandorder.fandom.com/wiki/Free_Quests:_G%C3%B6tterd%C3%A4mmerung" TargetMode="External"/><Relationship Id="rId163" Type="http://schemas.openxmlformats.org/officeDocument/2006/relationships/hyperlink" Target="https://fategrandorder.fandom.com/wiki/Free_Quests:_Septem" TargetMode="External"/><Relationship Id="rId284" Type="http://schemas.openxmlformats.org/officeDocument/2006/relationships/hyperlink" Target="https://fategrandorder.fandom.com/wiki/Free_Quests:_G%C3%B6tterd%C3%A4mmerung" TargetMode="External"/><Relationship Id="rId162" Type="http://schemas.openxmlformats.org/officeDocument/2006/relationships/hyperlink" Target="https://fategrandorder.fandom.com/wiki/Wednesday_Daily_Quests" TargetMode="External"/><Relationship Id="rId283" Type="http://schemas.openxmlformats.org/officeDocument/2006/relationships/hyperlink" Target="https://fategrandorder.fandom.com/wiki/Free_Quests:_G%C3%B6tterd%C3%A4mmerung" TargetMode="External"/><Relationship Id="rId169" Type="http://schemas.openxmlformats.org/officeDocument/2006/relationships/hyperlink" Target="https://fategrandorder.fandom.com/wiki/Free_Quests:_Atlantis" TargetMode="External"/><Relationship Id="rId168" Type="http://schemas.openxmlformats.org/officeDocument/2006/relationships/hyperlink" Target="https://fategrandorder.fandom.com/wiki/Free_Quests:_Babylonia" TargetMode="External"/><Relationship Id="rId289" Type="http://schemas.openxmlformats.org/officeDocument/2006/relationships/hyperlink" Target="https://fategrandorder.fandom.com/wiki/Free_Quests:_S_I_N" TargetMode="External"/><Relationship Id="rId167" Type="http://schemas.openxmlformats.org/officeDocument/2006/relationships/hyperlink" Target="https://fategrandorder.fandom.com/wiki/Free_Quests:_Olympus" TargetMode="External"/><Relationship Id="rId288" Type="http://schemas.openxmlformats.org/officeDocument/2006/relationships/hyperlink" Target="https://fategrandorder.fandom.com/wiki/Free_Quests:_S_I_N" TargetMode="External"/><Relationship Id="rId166" Type="http://schemas.openxmlformats.org/officeDocument/2006/relationships/hyperlink" Target="https://fategrandorder.fandom.com/wiki/Free_Quests:_Olympus" TargetMode="External"/><Relationship Id="rId287" Type="http://schemas.openxmlformats.org/officeDocument/2006/relationships/hyperlink" Target="https://fategrandorder.fandom.com/wiki/Free_Quests:_S_I_N" TargetMode="External"/><Relationship Id="rId161" Type="http://schemas.openxmlformats.org/officeDocument/2006/relationships/hyperlink" Target="https://fategrandorder.fandom.com/wiki/Wednesday_Daily_Quests" TargetMode="External"/><Relationship Id="rId282" Type="http://schemas.openxmlformats.org/officeDocument/2006/relationships/hyperlink" Target="https://fategrandorder.fandom.com/wiki/Free_Quests:_G%C3%B6tterd%C3%A4mmerung" TargetMode="External"/><Relationship Id="rId160" Type="http://schemas.openxmlformats.org/officeDocument/2006/relationships/hyperlink" Target="https://fategrandorder.fandom.com/wiki/Wednesday_Daily_Quests" TargetMode="External"/><Relationship Id="rId281" Type="http://schemas.openxmlformats.org/officeDocument/2006/relationships/hyperlink" Target="https://fategrandorder.fandom.com/wiki/Free_Quests:_S_I_N" TargetMode="External"/><Relationship Id="rId280" Type="http://schemas.openxmlformats.org/officeDocument/2006/relationships/hyperlink" Target="https://fategrandorder.fandom.com/wiki/Free_Quests:_S_I_N" TargetMode="External"/><Relationship Id="rId159" Type="http://schemas.openxmlformats.org/officeDocument/2006/relationships/hyperlink" Target="https://fategrandorder.fandom.com/wiki/Wednesday_Daily_Quests" TargetMode="External"/><Relationship Id="rId154" Type="http://schemas.openxmlformats.org/officeDocument/2006/relationships/hyperlink" Target="https://fategrandorder.fandom.com/wiki/Free_Quests:_Olympus" TargetMode="External"/><Relationship Id="rId275" Type="http://schemas.openxmlformats.org/officeDocument/2006/relationships/hyperlink" Target="https://fategrandorder.fandom.com/wiki/Free_Quests:_G%C3%B6tterd%C3%A4mmerung" TargetMode="External"/><Relationship Id="rId396" Type="http://schemas.openxmlformats.org/officeDocument/2006/relationships/hyperlink" Target="https://fategrandorder.fandom.com/wiki/Free_Quests:_Shimosa" TargetMode="External"/><Relationship Id="rId153" Type="http://schemas.openxmlformats.org/officeDocument/2006/relationships/hyperlink" Target="https://fategrandorder.fandom.com/wiki/Free_Quests:_Camelot" TargetMode="External"/><Relationship Id="rId274" Type="http://schemas.openxmlformats.org/officeDocument/2006/relationships/hyperlink" Target="https://fategrandorder.fandom.com/wiki/Free_Quests:_S_I_N" TargetMode="External"/><Relationship Id="rId395" Type="http://schemas.openxmlformats.org/officeDocument/2006/relationships/hyperlink" Target="https://fategrandorder.fandom.com/wiki/Free_Quests:_Heian-ky%C5%8D" TargetMode="External"/><Relationship Id="rId152" Type="http://schemas.openxmlformats.org/officeDocument/2006/relationships/hyperlink" Target="https://fategrandorder.fandom.com/wiki/Free_Quests:_Agartha" TargetMode="External"/><Relationship Id="rId273" Type="http://schemas.openxmlformats.org/officeDocument/2006/relationships/hyperlink" Target="https://fategrandorder.fandom.com/wiki/Free_Quests:_G%C3%B6tterd%C3%A4mmerung" TargetMode="External"/><Relationship Id="rId394" Type="http://schemas.openxmlformats.org/officeDocument/2006/relationships/hyperlink" Target="https://fategrandorder.fandom.com/wiki/Free_Quests:_Heian-ky%C5%8D" TargetMode="External"/><Relationship Id="rId151" Type="http://schemas.openxmlformats.org/officeDocument/2006/relationships/hyperlink" Target="https://fategrandorder.fandom.com/wiki/Saturday_Daily_Quests" TargetMode="External"/><Relationship Id="rId272" Type="http://schemas.openxmlformats.org/officeDocument/2006/relationships/hyperlink" Target="https://fategrandorder.fandom.com/wiki/Free_Quests:_Anastasia" TargetMode="External"/><Relationship Id="rId393" Type="http://schemas.openxmlformats.org/officeDocument/2006/relationships/hyperlink" Target="https://fategrandorder.fandom.com/wiki/Free_Quests:_Heian-ky%C5%8D" TargetMode="External"/><Relationship Id="rId158" Type="http://schemas.openxmlformats.org/officeDocument/2006/relationships/hyperlink" Target="https://fategrandorder.fandom.com/wiki/Free_Quests:_Septem" TargetMode="External"/><Relationship Id="rId279" Type="http://schemas.openxmlformats.org/officeDocument/2006/relationships/hyperlink" Target="https://fategrandorder.fandom.com/wiki/Free_Quests:_G%C3%B6tterd%C3%A4mmerung" TargetMode="External"/><Relationship Id="rId157" Type="http://schemas.openxmlformats.org/officeDocument/2006/relationships/hyperlink" Target="https://fategrandorder.fandom.com/wiki/Free_Quests:_Okeanos" TargetMode="External"/><Relationship Id="rId278" Type="http://schemas.openxmlformats.org/officeDocument/2006/relationships/hyperlink" Target="https://fategrandorder.fandom.com/wiki/Free_Quests:_G%C3%B6tterd%C3%A4mmerung" TargetMode="External"/><Relationship Id="rId399" Type="http://schemas.openxmlformats.org/officeDocument/2006/relationships/hyperlink" Target="https://fategrandorder.fandom.com/wiki/Free_Quests:_Yuga_Kshetra" TargetMode="External"/><Relationship Id="rId156" Type="http://schemas.openxmlformats.org/officeDocument/2006/relationships/hyperlink" Target="https://fategrandorder.fandom.com/wiki/Free_Quests:_Shimosa" TargetMode="External"/><Relationship Id="rId277" Type="http://schemas.openxmlformats.org/officeDocument/2006/relationships/hyperlink" Target="https://fategrandorder.fandom.com/wiki/Free_Quests:_G%C3%B6tterd%C3%A4mmerung" TargetMode="External"/><Relationship Id="rId398" Type="http://schemas.openxmlformats.org/officeDocument/2006/relationships/hyperlink" Target="https://fategrandorder.fandom.com/wiki/Free_Quests:_Heian-ky%C5%8D" TargetMode="External"/><Relationship Id="rId155" Type="http://schemas.openxmlformats.org/officeDocument/2006/relationships/hyperlink" Target="https://fategrandorder.fandom.com/wiki/Free_Quests:_G%C3%B6tterd%C3%A4mmerung" TargetMode="External"/><Relationship Id="rId276" Type="http://schemas.openxmlformats.org/officeDocument/2006/relationships/hyperlink" Target="https://fategrandorder.fandom.com/wiki/Free_Quests:_G%C3%B6tterd%C3%A4mmerung" TargetMode="External"/><Relationship Id="rId397" Type="http://schemas.openxmlformats.org/officeDocument/2006/relationships/hyperlink" Target="https://fategrandorder.fandom.com/wiki/Free_Quests:_Heian-ky%C5%8D" TargetMode="External"/><Relationship Id="rId40" Type="http://schemas.openxmlformats.org/officeDocument/2006/relationships/hyperlink" Target="https://fategrandorder.fandom.com/wiki/Monday_Daily_Quests" TargetMode="External"/><Relationship Id="rId42" Type="http://schemas.openxmlformats.org/officeDocument/2006/relationships/hyperlink" Target="https://fategrandorder.fandom.com/wiki/Free_Quests:_Okeanos" TargetMode="External"/><Relationship Id="rId41" Type="http://schemas.openxmlformats.org/officeDocument/2006/relationships/hyperlink" Target="https://fategrandorder.fandom.com/wiki/Free_Quests:_E_Pluribus_Unum" TargetMode="External"/><Relationship Id="rId44" Type="http://schemas.openxmlformats.org/officeDocument/2006/relationships/hyperlink" Target="https://fategrandorder.fandom.com/wiki/Free_Quests:_Okeanos" TargetMode="External"/><Relationship Id="rId43" Type="http://schemas.openxmlformats.org/officeDocument/2006/relationships/hyperlink" Target="https://fategrandorder.fandom.com/wiki/Free_Quests:_Babylonia" TargetMode="External"/><Relationship Id="rId46" Type="http://schemas.openxmlformats.org/officeDocument/2006/relationships/hyperlink" Target="https://fategrandorder.fandom.com/wiki/Free_Quests:_Camelot" TargetMode="External"/><Relationship Id="rId45" Type="http://schemas.openxmlformats.org/officeDocument/2006/relationships/hyperlink" Target="https://fategrandorder.fandom.com/wiki/Free_Quests:_Agartha" TargetMode="External"/><Relationship Id="rId48" Type="http://schemas.openxmlformats.org/officeDocument/2006/relationships/hyperlink" Target="https://fategrandorder.fandom.com/wiki/Free_Quests:_Agartha" TargetMode="External"/><Relationship Id="rId47" Type="http://schemas.openxmlformats.org/officeDocument/2006/relationships/hyperlink" Target="https://fategrandorder.fandom.com/wiki/Free_Quests:_Orleans" TargetMode="External"/><Relationship Id="rId49" Type="http://schemas.openxmlformats.org/officeDocument/2006/relationships/hyperlink" Target="https://fategrandorder.fandom.com/wiki/Free_Quests:_Heian-ky%C5%8D" TargetMode="External"/><Relationship Id="rId31" Type="http://schemas.openxmlformats.org/officeDocument/2006/relationships/hyperlink" Target="https://fategrandorder.fandom.com/wiki/Monday_Daily_Quests" TargetMode="External"/><Relationship Id="rId30" Type="http://schemas.openxmlformats.org/officeDocument/2006/relationships/hyperlink" Target="https://fategrandorder.fandom.com/wiki/Free_Quests:_Fuyuki" TargetMode="External"/><Relationship Id="rId33" Type="http://schemas.openxmlformats.org/officeDocument/2006/relationships/hyperlink" Target="https://fategrandorder.fandom.com/wiki/Free_Quests:_Okeanos" TargetMode="External"/><Relationship Id="rId32" Type="http://schemas.openxmlformats.org/officeDocument/2006/relationships/hyperlink" Target="https://fategrandorder.fandom.com/wiki/Sunday_Daily_Quests" TargetMode="External"/><Relationship Id="rId35" Type="http://schemas.openxmlformats.org/officeDocument/2006/relationships/hyperlink" Target="https://fategrandorder.fandom.com/wiki/Free_Quests:_London" TargetMode="External"/><Relationship Id="rId34" Type="http://schemas.openxmlformats.org/officeDocument/2006/relationships/hyperlink" Target="https://fategrandorder.fandom.com/wiki/Free_Quests:_Septem" TargetMode="External"/><Relationship Id="rId37" Type="http://schemas.openxmlformats.org/officeDocument/2006/relationships/hyperlink" Target="https://fategrandorder.fandom.com/wiki/Free_Quests:_Shimosa" TargetMode="External"/><Relationship Id="rId36" Type="http://schemas.openxmlformats.org/officeDocument/2006/relationships/hyperlink" Target="https://fategrandorder.fandom.com/wiki/Free_Quests:_Heian-ky%C5%8D" TargetMode="External"/><Relationship Id="rId39" Type="http://schemas.openxmlformats.org/officeDocument/2006/relationships/hyperlink" Target="https://fategrandorder.fandom.com/wiki/Free_Quests:_Orleans" TargetMode="External"/><Relationship Id="rId38" Type="http://schemas.openxmlformats.org/officeDocument/2006/relationships/hyperlink" Target="https://fategrandorder.fandom.com/wiki/Free_Quests:_London" TargetMode="External"/><Relationship Id="rId20" Type="http://schemas.openxmlformats.org/officeDocument/2006/relationships/hyperlink" Target="https://fategrandorder.fandom.com/wiki/Free_Quests:_Okeanos" TargetMode="External"/><Relationship Id="rId22" Type="http://schemas.openxmlformats.org/officeDocument/2006/relationships/hyperlink" Target="https://fategrandorder.fandom.com/wiki/Free_Quests:_Fuyuki" TargetMode="External"/><Relationship Id="rId21" Type="http://schemas.openxmlformats.org/officeDocument/2006/relationships/hyperlink" Target="https://fategrandorder.fandom.com/wiki/Free_Quests:_Fuyuki" TargetMode="External"/><Relationship Id="rId24" Type="http://schemas.openxmlformats.org/officeDocument/2006/relationships/hyperlink" Target="https://fategrandorder.fandom.com/wiki/Free_Quests:_Fuyuki" TargetMode="External"/><Relationship Id="rId23" Type="http://schemas.openxmlformats.org/officeDocument/2006/relationships/hyperlink" Target="https://fategrandorder.fandom.com/wiki/Free_Quests:_Fuyuki" TargetMode="External"/><Relationship Id="rId409" Type="http://schemas.openxmlformats.org/officeDocument/2006/relationships/hyperlink" Target="https://fategrandorder.fandom.com/wiki/Free_Quests:_Olympus" TargetMode="External"/><Relationship Id="rId404" Type="http://schemas.openxmlformats.org/officeDocument/2006/relationships/hyperlink" Target="https://fategrandorder.fandom.com/wiki/Free_Quests:_Atlantis" TargetMode="External"/><Relationship Id="rId403" Type="http://schemas.openxmlformats.org/officeDocument/2006/relationships/hyperlink" Target="https://fategrandorder.fandom.com/wiki/Free_Quests:_Olympus" TargetMode="External"/><Relationship Id="rId402" Type="http://schemas.openxmlformats.org/officeDocument/2006/relationships/hyperlink" Target="https://fategrandorder.fandom.com/wiki/Free_Quests:_Olympus" TargetMode="External"/><Relationship Id="rId401" Type="http://schemas.openxmlformats.org/officeDocument/2006/relationships/hyperlink" Target="https://fategrandorder.fandom.com/wiki/Free_Quests:_Yuga_Kshetra" TargetMode="External"/><Relationship Id="rId408" Type="http://schemas.openxmlformats.org/officeDocument/2006/relationships/hyperlink" Target="https://fategrandorder.fandom.com/wiki/Free_Quests:_Olympus" TargetMode="External"/><Relationship Id="rId407" Type="http://schemas.openxmlformats.org/officeDocument/2006/relationships/hyperlink" Target="https://fategrandorder.fandom.com/wiki/Free_Quests:_Olympus" TargetMode="External"/><Relationship Id="rId406" Type="http://schemas.openxmlformats.org/officeDocument/2006/relationships/hyperlink" Target="https://fategrandorder.fandom.com/wiki/Free_Quests:_Olympus" TargetMode="External"/><Relationship Id="rId405" Type="http://schemas.openxmlformats.org/officeDocument/2006/relationships/hyperlink" Target="https://fategrandorder.fandom.com/wiki/Free_Quests:_Atlantis" TargetMode="External"/><Relationship Id="rId26" Type="http://schemas.openxmlformats.org/officeDocument/2006/relationships/hyperlink" Target="https://fategrandorder.fandom.com/wiki/Free_Quests:_Fuyuki" TargetMode="External"/><Relationship Id="rId25" Type="http://schemas.openxmlformats.org/officeDocument/2006/relationships/hyperlink" Target="https://fategrandorder.fandom.com/wiki/Free_Quests:_Camelot" TargetMode="External"/><Relationship Id="rId28" Type="http://schemas.openxmlformats.org/officeDocument/2006/relationships/hyperlink" Target="https://fategrandorder.fandom.com/wiki/Free_Quests:_Fuyuki" TargetMode="External"/><Relationship Id="rId27" Type="http://schemas.openxmlformats.org/officeDocument/2006/relationships/hyperlink" Target="https://fategrandorder.fandom.com/wiki/Free_Quests:_Septem" TargetMode="External"/><Relationship Id="rId400" Type="http://schemas.openxmlformats.org/officeDocument/2006/relationships/hyperlink" Target="https://fategrandorder.fandom.com/wiki/Free_Quests:_Yuga_Kshetra" TargetMode="External"/><Relationship Id="rId29" Type="http://schemas.openxmlformats.org/officeDocument/2006/relationships/hyperlink" Target="https://fategrandorder.fandom.com/wiki/Tuesday_Daily_Quests" TargetMode="External"/><Relationship Id="rId11" Type="http://schemas.openxmlformats.org/officeDocument/2006/relationships/hyperlink" Target="https://fategrandorder.fandom.com/wiki/Free_Quests:_E_Pluribus_Unum" TargetMode="External"/><Relationship Id="rId10" Type="http://schemas.openxmlformats.org/officeDocument/2006/relationships/hyperlink" Target="https://fategrandorder.fandom.com/wiki/Free_Quests:_E_Pluribus_Unum" TargetMode="External"/><Relationship Id="rId13" Type="http://schemas.openxmlformats.org/officeDocument/2006/relationships/hyperlink" Target="https://fategrandorder.fandom.com/wiki/Free_Quests:_E_Pluribus_Unum" TargetMode="External"/><Relationship Id="rId12" Type="http://schemas.openxmlformats.org/officeDocument/2006/relationships/hyperlink" Target="https://fategrandorder.fandom.com/wiki/Free_Quests:_Orleans" TargetMode="External"/><Relationship Id="rId15" Type="http://schemas.openxmlformats.org/officeDocument/2006/relationships/hyperlink" Target="https://fategrandorder.fandom.com/wiki/Free_Quests:_E_Pluribus_Unum" TargetMode="External"/><Relationship Id="rId14" Type="http://schemas.openxmlformats.org/officeDocument/2006/relationships/hyperlink" Target="https://fategrandorder.fandom.com/wiki/Free_Quests:_Orleans" TargetMode="External"/><Relationship Id="rId17" Type="http://schemas.openxmlformats.org/officeDocument/2006/relationships/hyperlink" Target="https://fategrandorder.fandom.com/wiki/Free_Quests:_E_Pluribus_Unum" TargetMode="External"/><Relationship Id="rId16" Type="http://schemas.openxmlformats.org/officeDocument/2006/relationships/hyperlink" Target="https://fategrandorder.fandom.com/wiki/Free_Quests:_Septem" TargetMode="External"/><Relationship Id="rId19" Type="http://schemas.openxmlformats.org/officeDocument/2006/relationships/hyperlink" Target="https://fategrandorder.fandom.com/wiki/Free_Quests:_Camelot" TargetMode="External"/><Relationship Id="rId18" Type="http://schemas.openxmlformats.org/officeDocument/2006/relationships/hyperlink" Target="https://fategrandorder.fandom.com/wiki/Free_Quests:_E_Pluribus_Unum" TargetMode="External"/><Relationship Id="rId84" Type="http://schemas.openxmlformats.org/officeDocument/2006/relationships/hyperlink" Target="https://fategrandorder.fandom.com/wiki/Free_Quests:_Salem" TargetMode="External"/><Relationship Id="rId83" Type="http://schemas.openxmlformats.org/officeDocument/2006/relationships/hyperlink" Target="https://fategrandorder.fandom.com/wiki/Free_Quests:_Camelot" TargetMode="External"/><Relationship Id="rId86" Type="http://schemas.openxmlformats.org/officeDocument/2006/relationships/hyperlink" Target="https://fategrandorder.fandom.com/wiki/Free_Quests:_Agartha" TargetMode="External"/><Relationship Id="rId85" Type="http://schemas.openxmlformats.org/officeDocument/2006/relationships/hyperlink" Target="https://fategrandorder.fandom.com/wiki/Free_Quests:_Agartha" TargetMode="External"/><Relationship Id="rId88" Type="http://schemas.openxmlformats.org/officeDocument/2006/relationships/hyperlink" Target="https://fategrandorder.fandom.com/wiki/Free_Quests:_Yuga_Kshetra" TargetMode="External"/><Relationship Id="rId87" Type="http://schemas.openxmlformats.org/officeDocument/2006/relationships/hyperlink" Target="https://fategrandorder.fandom.com/wiki/Free_Quests:_Camelot" TargetMode="External"/><Relationship Id="rId89" Type="http://schemas.openxmlformats.org/officeDocument/2006/relationships/hyperlink" Target="https://fategrandorder.fandom.com/wiki/Free_Quests:_Yuga_Kshetra" TargetMode="External"/><Relationship Id="rId80" Type="http://schemas.openxmlformats.org/officeDocument/2006/relationships/hyperlink" Target="https://fategrandorder.fandom.com/wiki/Free_Quests:_Anastasia" TargetMode="External"/><Relationship Id="rId82" Type="http://schemas.openxmlformats.org/officeDocument/2006/relationships/hyperlink" Target="https://fategrandorder.fandom.com/wiki/Free_Quests:_Salem" TargetMode="External"/><Relationship Id="rId81" Type="http://schemas.openxmlformats.org/officeDocument/2006/relationships/hyperlink" Target="https://fategrandorder.fandom.com/wiki/Free_Quests:_Camelot" TargetMode="External"/><Relationship Id="rId73" Type="http://schemas.openxmlformats.org/officeDocument/2006/relationships/hyperlink" Target="https://fategrandorder.fandom.com/wiki/Free_Quests:_Shimosa" TargetMode="External"/><Relationship Id="rId72" Type="http://schemas.openxmlformats.org/officeDocument/2006/relationships/hyperlink" Target="https://fategrandorder.fandom.com/wiki/Free_Quests:_Agartha" TargetMode="External"/><Relationship Id="rId75" Type="http://schemas.openxmlformats.org/officeDocument/2006/relationships/hyperlink" Target="https://fategrandorder.fandom.com/wiki/Free_Quests:_Shimosa" TargetMode="External"/><Relationship Id="rId74" Type="http://schemas.openxmlformats.org/officeDocument/2006/relationships/hyperlink" Target="https://fategrandorder.fandom.com/wiki/Free_Quests:_Shinjuku" TargetMode="External"/><Relationship Id="rId77" Type="http://schemas.openxmlformats.org/officeDocument/2006/relationships/hyperlink" Target="https://fategrandorder.fandom.com/wiki/Free_Quests:_Atlantis" TargetMode="External"/><Relationship Id="rId76" Type="http://schemas.openxmlformats.org/officeDocument/2006/relationships/hyperlink" Target="https://fategrandorder.fandom.com/wiki/Free_Quests:_G%C3%B6tterd%C3%A4mmerung" TargetMode="External"/><Relationship Id="rId79" Type="http://schemas.openxmlformats.org/officeDocument/2006/relationships/hyperlink" Target="https://fategrandorder.fandom.com/wiki/Free_Quests:_Heian-ky%C5%8D" TargetMode="External"/><Relationship Id="rId78" Type="http://schemas.openxmlformats.org/officeDocument/2006/relationships/hyperlink" Target="https://fategrandorder.fandom.com/wiki/Free_Quests:_Atlantis" TargetMode="External"/><Relationship Id="rId71" Type="http://schemas.openxmlformats.org/officeDocument/2006/relationships/hyperlink" Target="https://fategrandorder.fandom.com/wiki/Free_Quests:_Agartha" TargetMode="External"/><Relationship Id="rId70" Type="http://schemas.openxmlformats.org/officeDocument/2006/relationships/hyperlink" Target="https://fategrandorder.fandom.com/wiki/Free_Quests:_Olympus" TargetMode="External"/><Relationship Id="rId62" Type="http://schemas.openxmlformats.org/officeDocument/2006/relationships/hyperlink" Target="https://fategrandorder.fandom.com/wiki/Free_Quests:_Camelot" TargetMode="External"/><Relationship Id="rId61" Type="http://schemas.openxmlformats.org/officeDocument/2006/relationships/hyperlink" Target="https://fategrandorder.fandom.com/wiki/Free_Quests:_E_Pluribus_Unum" TargetMode="External"/><Relationship Id="rId64" Type="http://schemas.openxmlformats.org/officeDocument/2006/relationships/hyperlink" Target="https://fategrandorder.fandom.com/wiki/Free_Quests:_Septem" TargetMode="External"/><Relationship Id="rId63" Type="http://schemas.openxmlformats.org/officeDocument/2006/relationships/hyperlink" Target="https://fategrandorder.fandom.com/wiki/Free_Quests:_E_Pluribus_Unum" TargetMode="External"/><Relationship Id="rId66" Type="http://schemas.openxmlformats.org/officeDocument/2006/relationships/hyperlink" Target="https://fategrandorder.fandom.com/wiki/Free_Quests:_G%C3%B6tterd%C3%A4mmerung" TargetMode="External"/><Relationship Id="rId65" Type="http://schemas.openxmlformats.org/officeDocument/2006/relationships/hyperlink" Target="https://fategrandorder.fandom.com/wiki/Free_Quests:_Okeanos" TargetMode="External"/><Relationship Id="rId68" Type="http://schemas.openxmlformats.org/officeDocument/2006/relationships/hyperlink" Target="https://fategrandorder.fandom.com/wiki/Free_Quests:_Yuga_Kshetra" TargetMode="External"/><Relationship Id="rId67" Type="http://schemas.openxmlformats.org/officeDocument/2006/relationships/hyperlink" Target="https://fategrandorder.fandom.com/wiki/Free_Quests:_S_I_N" TargetMode="External"/><Relationship Id="rId60" Type="http://schemas.openxmlformats.org/officeDocument/2006/relationships/hyperlink" Target="https://fategrandorder.fandom.com/wiki/Saturday_Daily_Quests" TargetMode="External"/><Relationship Id="rId69" Type="http://schemas.openxmlformats.org/officeDocument/2006/relationships/hyperlink" Target="https://fategrandorder.fandom.com/wiki/Free_Quests:_Shinjuku" TargetMode="External"/><Relationship Id="rId51" Type="http://schemas.openxmlformats.org/officeDocument/2006/relationships/hyperlink" Target="https://fategrandorder.fandom.com/wiki/Free_Quests:_Orleans" TargetMode="External"/><Relationship Id="rId50" Type="http://schemas.openxmlformats.org/officeDocument/2006/relationships/hyperlink" Target="https://fategrandorder.fandom.com/wiki/Free_Quests:_Salem" TargetMode="External"/><Relationship Id="rId53" Type="http://schemas.openxmlformats.org/officeDocument/2006/relationships/hyperlink" Target="https://fategrandorder.fandom.com/wiki/Thursday_Daily_Quests" TargetMode="External"/><Relationship Id="rId52" Type="http://schemas.openxmlformats.org/officeDocument/2006/relationships/hyperlink" Target="https://fategrandorder.fandom.com/wiki/Thursday_Daily_Quests" TargetMode="External"/><Relationship Id="rId55" Type="http://schemas.openxmlformats.org/officeDocument/2006/relationships/hyperlink" Target="https://fategrandorder.fandom.com/wiki/Free_Quests:_Orleans" TargetMode="External"/><Relationship Id="rId54" Type="http://schemas.openxmlformats.org/officeDocument/2006/relationships/hyperlink" Target="https://fategrandorder.fandom.com/wiki/Free_Quests:_Fuyuki" TargetMode="External"/><Relationship Id="rId57" Type="http://schemas.openxmlformats.org/officeDocument/2006/relationships/hyperlink" Target="https://fategrandorder.fandom.com/wiki/Thursday_Daily_Quests" TargetMode="External"/><Relationship Id="rId56" Type="http://schemas.openxmlformats.org/officeDocument/2006/relationships/hyperlink" Target="https://fategrandorder.fandom.com/wiki/Saturday_Daily_Quests" TargetMode="External"/><Relationship Id="rId59" Type="http://schemas.openxmlformats.org/officeDocument/2006/relationships/hyperlink" Target="https://fategrandorder.fandom.com/wiki/Thursday_Daily_Quests" TargetMode="External"/><Relationship Id="rId58" Type="http://schemas.openxmlformats.org/officeDocument/2006/relationships/hyperlink" Target="https://fategrandorder.fandom.com/wiki/Free_Quests:_Orleans" TargetMode="External"/><Relationship Id="rId107" Type="http://schemas.openxmlformats.org/officeDocument/2006/relationships/hyperlink" Target="https://fategrandorder.fandom.com/wiki/Free_Quests:_Shinjuku" TargetMode="External"/><Relationship Id="rId228" Type="http://schemas.openxmlformats.org/officeDocument/2006/relationships/hyperlink" Target="https://fategrandorder.fandom.com/wiki/Free_Quests:_London" TargetMode="External"/><Relationship Id="rId349" Type="http://schemas.openxmlformats.org/officeDocument/2006/relationships/hyperlink" Target="https://fategrandorder.fandom.com/wiki/Free_Quests:_E_Pluribus_Unum" TargetMode="External"/><Relationship Id="rId106" Type="http://schemas.openxmlformats.org/officeDocument/2006/relationships/hyperlink" Target="https://fategrandorder.fandom.com/wiki/Free_Quests:_Shinjuku" TargetMode="External"/><Relationship Id="rId227" Type="http://schemas.openxmlformats.org/officeDocument/2006/relationships/hyperlink" Target="https://fategrandorder.fandom.com/wiki/Free_Quests:_London" TargetMode="External"/><Relationship Id="rId348" Type="http://schemas.openxmlformats.org/officeDocument/2006/relationships/hyperlink" Target="https://fategrandorder.fandom.com/wiki/Free_Quests:_Camelot" TargetMode="External"/><Relationship Id="rId105" Type="http://schemas.openxmlformats.org/officeDocument/2006/relationships/hyperlink" Target="https://fategrandorder.fandom.com/wiki/Free_Quests:_Shinjuku" TargetMode="External"/><Relationship Id="rId226" Type="http://schemas.openxmlformats.org/officeDocument/2006/relationships/hyperlink" Target="https://fategrandorder.fandom.com/wiki/Free_Quests:_London" TargetMode="External"/><Relationship Id="rId347" Type="http://schemas.openxmlformats.org/officeDocument/2006/relationships/hyperlink" Target="https://fategrandorder.fandom.com/wiki/Free_Quests:_Anastasia" TargetMode="External"/><Relationship Id="rId104" Type="http://schemas.openxmlformats.org/officeDocument/2006/relationships/hyperlink" Target="https://fategrandorder.fandom.com/wiki/Free_Quests:_Shinjuku" TargetMode="External"/><Relationship Id="rId225" Type="http://schemas.openxmlformats.org/officeDocument/2006/relationships/hyperlink" Target="https://fategrandorder.fandom.com/wiki/Free_Quests:_Salem" TargetMode="External"/><Relationship Id="rId346" Type="http://schemas.openxmlformats.org/officeDocument/2006/relationships/hyperlink" Target="https://fategrandorder.fandom.com/wiki/Free_Quests:_Anastasia" TargetMode="External"/><Relationship Id="rId109" Type="http://schemas.openxmlformats.org/officeDocument/2006/relationships/hyperlink" Target="https://fategrandorder.fandom.com/wiki/Free_Quests:_Salem" TargetMode="External"/><Relationship Id="rId108" Type="http://schemas.openxmlformats.org/officeDocument/2006/relationships/hyperlink" Target="https://fategrandorder.fandom.com/wiki/Free_Quests:_Salem" TargetMode="External"/><Relationship Id="rId229" Type="http://schemas.openxmlformats.org/officeDocument/2006/relationships/hyperlink" Target="https://fategrandorder.fandom.com/wiki/Tuesday_Daily_Quests" TargetMode="External"/><Relationship Id="rId220" Type="http://schemas.openxmlformats.org/officeDocument/2006/relationships/hyperlink" Target="https://fategrandorder.fandom.com/wiki/Friday_Daily_Quests" TargetMode="External"/><Relationship Id="rId341" Type="http://schemas.openxmlformats.org/officeDocument/2006/relationships/hyperlink" Target="https://fategrandorder.fandom.com/wiki/Sunday_Daily_Quests" TargetMode="External"/><Relationship Id="rId340" Type="http://schemas.openxmlformats.org/officeDocument/2006/relationships/hyperlink" Target="https://fategrandorder.fandom.com/wiki/Free_Quests:_E_Pluribus_Unum" TargetMode="External"/><Relationship Id="rId103" Type="http://schemas.openxmlformats.org/officeDocument/2006/relationships/hyperlink" Target="https://fategrandorder.fandom.com/wiki/Free_Quests:_Shinjuku" TargetMode="External"/><Relationship Id="rId224" Type="http://schemas.openxmlformats.org/officeDocument/2006/relationships/hyperlink" Target="https://fategrandorder.fandom.com/wiki/Free_Quests:_London" TargetMode="External"/><Relationship Id="rId345" Type="http://schemas.openxmlformats.org/officeDocument/2006/relationships/hyperlink" Target="https://fategrandorder.fandom.com/wiki/Free_Quests:_Anastasia" TargetMode="External"/><Relationship Id="rId102" Type="http://schemas.openxmlformats.org/officeDocument/2006/relationships/hyperlink" Target="https://fategrandorder.fandom.com/wiki/Free_Quests:_Shinjuku" TargetMode="External"/><Relationship Id="rId223" Type="http://schemas.openxmlformats.org/officeDocument/2006/relationships/hyperlink" Target="https://fategrandorder.fandom.com/wiki/Free_Quests:_Camelot" TargetMode="External"/><Relationship Id="rId344" Type="http://schemas.openxmlformats.org/officeDocument/2006/relationships/hyperlink" Target="https://fategrandorder.fandom.com/wiki/Free_Quests:_Yuga_Kshetra" TargetMode="External"/><Relationship Id="rId101" Type="http://schemas.openxmlformats.org/officeDocument/2006/relationships/hyperlink" Target="https://fategrandorder.fandom.com/wiki/Free_Quests:_Anastasia" TargetMode="External"/><Relationship Id="rId222" Type="http://schemas.openxmlformats.org/officeDocument/2006/relationships/hyperlink" Target="https://fategrandorder.fandom.com/wiki/Friday_Daily_Quests" TargetMode="External"/><Relationship Id="rId343" Type="http://schemas.openxmlformats.org/officeDocument/2006/relationships/hyperlink" Target="https://fategrandorder.fandom.com/wiki/Free_Quests:_Agartha" TargetMode="External"/><Relationship Id="rId100" Type="http://schemas.openxmlformats.org/officeDocument/2006/relationships/hyperlink" Target="https://fategrandorder.fandom.com/wiki/Free_Quests:_Babylonia" TargetMode="External"/><Relationship Id="rId221" Type="http://schemas.openxmlformats.org/officeDocument/2006/relationships/hyperlink" Target="https://fategrandorder.fandom.com/wiki/Friday_Daily_Quests" TargetMode="External"/><Relationship Id="rId342" Type="http://schemas.openxmlformats.org/officeDocument/2006/relationships/hyperlink" Target="https://fategrandorder.fandom.com/wiki/Sunday_Daily_Quests" TargetMode="External"/><Relationship Id="rId217" Type="http://schemas.openxmlformats.org/officeDocument/2006/relationships/hyperlink" Target="https://fategrandorder.fandom.com/wiki/Free_Quests:_London" TargetMode="External"/><Relationship Id="rId338" Type="http://schemas.openxmlformats.org/officeDocument/2006/relationships/hyperlink" Target="https://fategrandorder.fandom.com/wiki/Free_Quests:_G%C3%B6tterd%C3%A4mmerung" TargetMode="External"/><Relationship Id="rId216" Type="http://schemas.openxmlformats.org/officeDocument/2006/relationships/hyperlink" Target="https://fategrandorder.fandom.com/wiki/Free_Quests:_Shinjuku" TargetMode="External"/><Relationship Id="rId337" Type="http://schemas.openxmlformats.org/officeDocument/2006/relationships/hyperlink" Target="https://fategrandorder.fandom.com/wiki/Free_Quests:_Shinjuku" TargetMode="External"/><Relationship Id="rId215" Type="http://schemas.openxmlformats.org/officeDocument/2006/relationships/hyperlink" Target="https://fategrandorder.fandom.com/wiki/Sunday_Daily_Quests" TargetMode="External"/><Relationship Id="rId336" Type="http://schemas.openxmlformats.org/officeDocument/2006/relationships/hyperlink" Target="https://fategrandorder.fandom.com/wiki/Free_Quests:_Camelot" TargetMode="External"/><Relationship Id="rId214" Type="http://schemas.openxmlformats.org/officeDocument/2006/relationships/hyperlink" Target="https://fategrandorder.fandom.com/wiki/Saturday_Daily_Quests" TargetMode="External"/><Relationship Id="rId335" Type="http://schemas.openxmlformats.org/officeDocument/2006/relationships/hyperlink" Target="https://fategrandorder.fandom.com/wiki/Thursday_Daily_Quests" TargetMode="External"/><Relationship Id="rId219" Type="http://schemas.openxmlformats.org/officeDocument/2006/relationships/hyperlink" Target="https://fategrandorder.fandom.com/wiki/Friday_Daily_Quests" TargetMode="External"/><Relationship Id="rId218" Type="http://schemas.openxmlformats.org/officeDocument/2006/relationships/hyperlink" Target="https://fategrandorder.fandom.com/wiki/Free_Quests:_Heian-ky%C5%8D" TargetMode="External"/><Relationship Id="rId339" Type="http://schemas.openxmlformats.org/officeDocument/2006/relationships/hyperlink" Target="https://fategrandorder.fandom.com/wiki/Free_Quests:_Atlantis" TargetMode="External"/><Relationship Id="rId330" Type="http://schemas.openxmlformats.org/officeDocument/2006/relationships/hyperlink" Target="https://fategrandorder.fandom.com/wiki/Free_Quests:_Shinjuku" TargetMode="External"/><Relationship Id="rId213" Type="http://schemas.openxmlformats.org/officeDocument/2006/relationships/hyperlink" Target="https://fategrandorder.fandom.com/wiki/Free_Quests:_London" TargetMode="External"/><Relationship Id="rId334" Type="http://schemas.openxmlformats.org/officeDocument/2006/relationships/hyperlink" Target="https://fategrandorder.fandom.com/wiki/Thursday_Daily_Quests" TargetMode="External"/><Relationship Id="rId212" Type="http://schemas.openxmlformats.org/officeDocument/2006/relationships/hyperlink" Target="https://fategrandorder.fandom.com/wiki/Free_Quests:_London" TargetMode="External"/><Relationship Id="rId333" Type="http://schemas.openxmlformats.org/officeDocument/2006/relationships/hyperlink" Target="https://fategrandorder.fandom.com/wiki/Free_Quests:_Babylonia" TargetMode="External"/><Relationship Id="rId211" Type="http://schemas.openxmlformats.org/officeDocument/2006/relationships/hyperlink" Target="https://fategrandorder.fandom.com/wiki/Free_Quests:_London" TargetMode="External"/><Relationship Id="rId332" Type="http://schemas.openxmlformats.org/officeDocument/2006/relationships/hyperlink" Target="https://fategrandorder.fandom.com/wiki/Friday_Daily_Quests" TargetMode="External"/><Relationship Id="rId210" Type="http://schemas.openxmlformats.org/officeDocument/2006/relationships/hyperlink" Target="https://fategrandorder.fandom.com/wiki/Saturday_Daily_Quests" TargetMode="External"/><Relationship Id="rId331" Type="http://schemas.openxmlformats.org/officeDocument/2006/relationships/hyperlink" Target="https://fategrandorder.fandom.com/wiki/Friday_Daily_Quests" TargetMode="External"/><Relationship Id="rId370" Type="http://schemas.openxmlformats.org/officeDocument/2006/relationships/hyperlink" Target="https://fategrandorder.fandom.com/wiki/Free_Quests:_Babylonia" TargetMode="External"/><Relationship Id="rId129" Type="http://schemas.openxmlformats.org/officeDocument/2006/relationships/hyperlink" Target="https://fategrandorder.fandom.com/wiki/Free_Quests:_S_I_N" TargetMode="External"/><Relationship Id="rId128" Type="http://schemas.openxmlformats.org/officeDocument/2006/relationships/hyperlink" Target="https://fategrandorder.fandom.com/wiki/Free_Quests:_Okeanos" TargetMode="External"/><Relationship Id="rId249" Type="http://schemas.openxmlformats.org/officeDocument/2006/relationships/hyperlink" Target="https://fategrandorder.fandom.com/wiki/Free_Quests:_Anastasia" TargetMode="External"/><Relationship Id="rId127" Type="http://schemas.openxmlformats.org/officeDocument/2006/relationships/hyperlink" Target="https://fategrandorder.fandom.com/wiki/Free_Quests:_Salem" TargetMode="External"/><Relationship Id="rId248" Type="http://schemas.openxmlformats.org/officeDocument/2006/relationships/hyperlink" Target="https://fategrandorder.fandom.com/wiki/Free_Quests:_Okeanos" TargetMode="External"/><Relationship Id="rId369" Type="http://schemas.openxmlformats.org/officeDocument/2006/relationships/hyperlink" Target="https://fategrandorder.fandom.com/wiki/Free_Quests:_Camelot" TargetMode="External"/><Relationship Id="rId126" Type="http://schemas.openxmlformats.org/officeDocument/2006/relationships/hyperlink" Target="https://fategrandorder.fandom.com/wiki/Free_Quests:_Shimosa" TargetMode="External"/><Relationship Id="rId247" Type="http://schemas.openxmlformats.org/officeDocument/2006/relationships/hyperlink" Target="https://fategrandorder.fandom.com/wiki/Free_Quests:_Babylonia" TargetMode="External"/><Relationship Id="rId368" Type="http://schemas.openxmlformats.org/officeDocument/2006/relationships/hyperlink" Target="https://fategrandorder.fandom.com/wiki/Free_Quests:_Camelot" TargetMode="External"/><Relationship Id="rId121" Type="http://schemas.openxmlformats.org/officeDocument/2006/relationships/hyperlink" Target="https://fategrandorder.fandom.com/wiki/Free_Quests:_Salem" TargetMode="External"/><Relationship Id="rId242" Type="http://schemas.openxmlformats.org/officeDocument/2006/relationships/hyperlink" Target="https://fategrandorder.fandom.com/wiki/Monday_Daily_Quests" TargetMode="External"/><Relationship Id="rId363" Type="http://schemas.openxmlformats.org/officeDocument/2006/relationships/hyperlink" Target="https://fategrandorder.fandom.com/wiki/Free_Quests:_Salem" TargetMode="External"/><Relationship Id="rId120" Type="http://schemas.openxmlformats.org/officeDocument/2006/relationships/hyperlink" Target="https://fategrandorder.fandom.com/wiki/Free_Quests:_Babylonia" TargetMode="External"/><Relationship Id="rId241" Type="http://schemas.openxmlformats.org/officeDocument/2006/relationships/hyperlink" Target="https://fategrandorder.fandom.com/wiki/Thursday_Daily_Quests" TargetMode="External"/><Relationship Id="rId362" Type="http://schemas.openxmlformats.org/officeDocument/2006/relationships/hyperlink" Target="https://fategrandorder.fandom.com/wiki/Saturday_Daily_Quests" TargetMode="External"/><Relationship Id="rId240" Type="http://schemas.openxmlformats.org/officeDocument/2006/relationships/hyperlink" Target="https://fategrandorder.fandom.com/wiki/Thursday_Daily_Quests" TargetMode="External"/><Relationship Id="rId361" Type="http://schemas.openxmlformats.org/officeDocument/2006/relationships/hyperlink" Target="https://fategrandorder.fandom.com/wiki/Saturday_Daily_Quests" TargetMode="External"/><Relationship Id="rId360" Type="http://schemas.openxmlformats.org/officeDocument/2006/relationships/hyperlink" Target="https://fategrandorder.fandom.com/wiki/Free_Quests:_Heian-ky%C5%8D" TargetMode="External"/><Relationship Id="rId125" Type="http://schemas.openxmlformats.org/officeDocument/2006/relationships/hyperlink" Target="https://fategrandorder.fandom.com/wiki/Free_Quests:_Babylonia" TargetMode="External"/><Relationship Id="rId246" Type="http://schemas.openxmlformats.org/officeDocument/2006/relationships/hyperlink" Target="https://fategrandorder.fandom.com/wiki/Free_Quests:_Camelot" TargetMode="External"/><Relationship Id="rId367" Type="http://schemas.openxmlformats.org/officeDocument/2006/relationships/hyperlink" Target="https://fategrandorder.fandom.com/wiki/Free_Quests:_Atlantis" TargetMode="External"/><Relationship Id="rId124" Type="http://schemas.openxmlformats.org/officeDocument/2006/relationships/hyperlink" Target="https://fategrandorder.fandom.com/wiki/Free_Quests:_Agartha" TargetMode="External"/><Relationship Id="rId245" Type="http://schemas.openxmlformats.org/officeDocument/2006/relationships/hyperlink" Target="https://fategrandorder.fandom.com/wiki/Free_Quests:_Camelot" TargetMode="External"/><Relationship Id="rId366" Type="http://schemas.openxmlformats.org/officeDocument/2006/relationships/hyperlink" Target="https://fategrandorder.fandom.com/wiki/Free_Quests:_Camelot" TargetMode="External"/><Relationship Id="rId123" Type="http://schemas.openxmlformats.org/officeDocument/2006/relationships/hyperlink" Target="https://fategrandorder.fandom.com/wiki/Free_Quests:_Shimosa" TargetMode="External"/><Relationship Id="rId244" Type="http://schemas.openxmlformats.org/officeDocument/2006/relationships/hyperlink" Target="https://fategrandorder.fandom.com/wiki/Free_Quests:_Camelot" TargetMode="External"/><Relationship Id="rId365" Type="http://schemas.openxmlformats.org/officeDocument/2006/relationships/hyperlink" Target="https://fategrandorder.fandom.com/wiki/Free_Quests:_Camelot" TargetMode="External"/><Relationship Id="rId122" Type="http://schemas.openxmlformats.org/officeDocument/2006/relationships/hyperlink" Target="https://fategrandorder.fandom.com/wiki/Free_Quests:_Salem" TargetMode="External"/><Relationship Id="rId243" Type="http://schemas.openxmlformats.org/officeDocument/2006/relationships/hyperlink" Target="https://fategrandorder.fandom.com/wiki/Monday_Daily_Quests" TargetMode="External"/><Relationship Id="rId364" Type="http://schemas.openxmlformats.org/officeDocument/2006/relationships/hyperlink" Target="https://fategrandorder.fandom.com/wiki/Free_Quests:_Yuga_Kshetra" TargetMode="External"/><Relationship Id="rId95" Type="http://schemas.openxmlformats.org/officeDocument/2006/relationships/hyperlink" Target="https://fategrandorder.fandom.com/wiki/Free_Quests:_S_I_N" TargetMode="External"/><Relationship Id="rId94" Type="http://schemas.openxmlformats.org/officeDocument/2006/relationships/hyperlink" Target="https://fategrandorder.fandom.com/wiki/Free_Quests:_Anastasia" TargetMode="External"/><Relationship Id="rId97" Type="http://schemas.openxmlformats.org/officeDocument/2006/relationships/hyperlink" Target="https://fategrandorder.fandom.com/wiki/Free_Quests:_Anastasia" TargetMode="External"/><Relationship Id="rId96" Type="http://schemas.openxmlformats.org/officeDocument/2006/relationships/hyperlink" Target="https://fategrandorder.fandom.com/wiki/Free_Quests:_Babylonia" TargetMode="External"/><Relationship Id="rId99" Type="http://schemas.openxmlformats.org/officeDocument/2006/relationships/hyperlink" Target="https://fategrandorder.fandom.com/wiki/Free_Quests:_S_I_N" TargetMode="External"/><Relationship Id="rId98" Type="http://schemas.openxmlformats.org/officeDocument/2006/relationships/hyperlink" Target="https://fategrandorder.fandom.com/wiki/Free_Quests:_Babylonia" TargetMode="External"/><Relationship Id="rId91" Type="http://schemas.openxmlformats.org/officeDocument/2006/relationships/hyperlink" Target="https://fategrandorder.fandom.com/wiki/Free_Quests:_Babylonia" TargetMode="External"/><Relationship Id="rId90" Type="http://schemas.openxmlformats.org/officeDocument/2006/relationships/hyperlink" Target="https://fategrandorder.fandom.com/wiki/Free_Quests:_Babylonia" TargetMode="External"/><Relationship Id="rId93" Type="http://schemas.openxmlformats.org/officeDocument/2006/relationships/hyperlink" Target="https://fategrandorder.fandom.com/wiki/Free_Quests:_S_I_N" TargetMode="External"/><Relationship Id="rId92" Type="http://schemas.openxmlformats.org/officeDocument/2006/relationships/hyperlink" Target="https://fategrandorder.fandom.com/wiki/Free_Quests:_Anastasia" TargetMode="External"/><Relationship Id="rId118" Type="http://schemas.openxmlformats.org/officeDocument/2006/relationships/hyperlink" Target="https://fategrandorder.fandom.com/wiki/Free_Quests:_Anastasia" TargetMode="External"/><Relationship Id="rId239" Type="http://schemas.openxmlformats.org/officeDocument/2006/relationships/hyperlink" Target="https://fategrandorder.fandom.com/wiki/Thursday_Daily_Quests" TargetMode="External"/><Relationship Id="rId117" Type="http://schemas.openxmlformats.org/officeDocument/2006/relationships/hyperlink" Target="https://fategrandorder.fandom.com/wiki/Free_Quests:_Anastasia" TargetMode="External"/><Relationship Id="rId238" Type="http://schemas.openxmlformats.org/officeDocument/2006/relationships/hyperlink" Target="https://fategrandorder.fandom.com/wiki/Monday_Daily_Quests" TargetMode="External"/><Relationship Id="rId359" Type="http://schemas.openxmlformats.org/officeDocument/2006/relationships/hyperlink" Target="https://fategrandorder.fandom.com/wiki/Free_Quests:_E_Pluribus_Unum" TargetMode="External"/><Relationship Id="rId116" Type="http://schemas.openxmlformats.org/officeDocument/2006/relationships/hyperlink" Target="https://fategrandorder.fandom.com/wiki/Free_Quests:_Anastasia" TargetMode="External"/><Relationship Id="rId237" Type="http://schemas.openxmlformats.org/officeDocument/2006/relationships/hyperlink" Target="https://fategrandorder.fandom.com/wiki/Monday_Daily_Quests" TargetMode="External"/><Relationship Id="rId358" Type="http://schemas.openxmlformats.org/officeDocument/2006/relationships/hyperlink" Target="https://fategrandorder.fandom.com/wiki/Free_Quests:_Babylonia" TargetMode="External"/><Relationship Id="rId115" Type="http://schemas.openxmlformats.org/officeDocument/2006/relationships/hyperlink" Target="https://fategrandorder.fandom.com/wiki/Free_Quests:_Anastasia" TargetMode="External"/><Relationship Id="rId236" Type="http://schemas.openxmlformats.org/officeDocument/2006/relationships/hyperlink" Target="https://fategrandorder.fandom.com/wiki/Thursday_Daily_Quests" TargetMode="External"/><Relationship Id="rId357" Type="http://schemas.openxmlformats.org/officeDocument/2006/relationships/hyperlink" Target="https://fategrandorder.fandom.com/wiki/Free_Quests:_Yuga_Kshetra" TargetMode="External"/><Relationship Id="rId119" Type="http://schemas.openxmlformats.org/officeDocument/2006/relationships/hyperlink" Target="https://fategrandorder.fandom.com/wiki/Free_Quests:_Anastasia" TargetMode="External"/><Relationship Id="rId110" Type="http://schemas.openxmlformats.org/officeDocument/2006/relationships/hyperlink" Target="https://fategrandorder.fandom.com/wiki/Free_Quests:_Salem" TargetMode="External"/><Relationship Id="rId231" Type="http://schemas.openxmlformats.org/officeDocument/2006/relationships/hyperlink" Target="https://fategrandorder.fandom.com/wiki/Tuesday_Daily_Quests" TargetMode="External"/><Relationship Id="rId352" Type="http://schemas.openxmlformats.org/officeDocument/2006/relationships/hyperlink" Target="https://fategrandorder.fandom.com/wiki/Free_Quests:_Shinjuku" TargetMode="External"/><Relationship Id="rId230" Type="http://schemas.openxmlformats.org/officeDocument/2006/relationships/hyperlink" Target="https://fategrandorder.fandom.com/wiki/Free_Quests:_London" TargetMode="External"/><Relationship Id="rId351" Type="http://schemas.openxmlformats.org/officeDocument/2006/relationships/hyperlink" Target="https://fategrandorder.fandom.com/wiki/Tuesday_Daily_Quests" TargetMode="External"/><Relationship Id="rId350" Type="http://schemas.openxmlformats.org/officeDocument/2006/relationships/hyperlink" Target="https://fategrandorder.fandom.com/wiki/Tuesday_Daily_Quests" TargetMode="External"/><Relationship Id="rId114" Type="http://schemas.openxmlformats.org/officeDocument/2006/relationships/hyperlink" Target="https://fategrandorder.fandom.com/wiki/Free_Quests:_Anastasia" TargetMode="External"/><Relationship Id="rId235" Type="http://schemas.openxmlformats.org/officeDocument/2006/relationships/hyperlink" Target="https://fategrandorder.fandom.com/wiki/Free_Quests:_Okeanos" TargetMode="External"/><Relationship Id="rId356" Type="http://schemas.openxmlformats.org/officeDocument/2006/relationships/hyperlink" Target="https://fategrandorder.fandom.com/wiki/Free_Quests:_Agartha" TargetMode="External"/><Relationship Id="rId113" Type="http://schemas.openxmlformats.org/officeDocument/2006/relationships/hyperlink" Target="https://fategrandorder.fandom.com/wiki/Free_Quests:_Anastasia" TargetMode="External"/><Relationship Id="rId234" Type="http://schemas.openxmlformats.org/officeDocument/2006/relationships/hyperlink" Target="https://fategrandorder.fandom.com/wiki/Free_Quests:_Camelot" TargetMode="External"/><Relationship Id="rId355" Type="http://schemas.openxmlformats.org/officeDocument/2006/relationships/hyperlink" Target="https://fategrandorder.fandom.com/wiki/Monday_Daily_Quests" TargetMode="External"/><Relationship Id="rId112" Type="http://schemas.openxmlformats.org/officeDocument/2006/relationships/hyperlink" Target="https://fategrandorder.fandom.com/wiki/Free_Quests:_Salem" TargetMode="External"/><Relationship Id="rId233" Type="http://schemas.openxmlformats.org/officeDocument/2006/relationships/hyperlink" Target="https://fategrandorder.fandom.com/wiki/Tuesday_Daily_Quests" TargetMode="External"/><Relationship Id="rId354" Type="http://schemas.openxmlformats.org/officeDocument/2006/relationships/hyperlink" Target="https://fategrandorder.fandom.com/wiki/Monday_Daily_Quests" TargetMode="External"/><Relationship Id="rId111" Type="http://schemas.openxmlformats.org/officeDocument/2006/relationships/hyperlink" Target="https://fategrandorder.fandom.com/wiki/Free_Quests:_Salem" TargetMode="External"/><Relationship Id="rId232" Type="http://schemas.openxmlformats.org/officeDocument/2006/relationships/hyperlink" Target="https://fategrandorder.fandom.com/wiki/Tuesday_Daily_Quests" TargetMode="External"/><Relationship Id="rId353" Type="http://schemas.openxmlformats.org/officeDocument/2006/relationships/hyperlink" Target="https://fategrandorder.fandom.com/wiki/Free_Quests:_E_Pluribus_Unum" TargetMode="External"/><Relationship Id="rId305" Type="http://schemas.openxmlformats.org/officeDocument/2006/relationships/hyperlink" Target="https://fategrandorder.fandom.com/wiki/Free_Quests:_Olympus" TargetMode="External"/><Relationship Id="rId304" Type="http://schemas.openxmlformats.org/officeDocument/2006/relationships/hyperlink" Target="https://fategrandorder.fandom.com/wiki/Free_Quests:_Atlantis" TargetMode="External"/><Relationship Id="rId303" Type="http://schemas.openxmlformats.org/officeDocument/2006/relationships/hyperlink" Target="https://fategrandorder.fandom.com/wiki/Free_Quests:_Atlantis" TargetMode="External"/><Relationship Id="rId302" Type="http://schemas.openxmlformats.org/officeDocument/2006/relationships/hyperlink" Target="https://fategrandorder.fandom.com/wiki/Free_Quests:_Atlantis" TargetMode="External"/><Relationship Id="rId309" Type="http://schemas.openxmlformats.org/officeDocument/2006/relationships/hyperlink" Target="https://fategrandorder.fandom.com/wiki/Free_Quests:_Olympus" TargetMode="External"/><Relationship Id="rId308" Type="http://schemas.openxmlformats.org/officeDocument/2006/relationships/hyperlink" Target="https://fategrandorder.fandom.com/wiki/Free_Quests:_Olympus" TargetMode="External"/><Relationship Id="rId307" Type="http://schemas.openxmlformats.org/officeDocument/2006/relationships/hyperlink" Target="https://fategrandorder.fandom.com/wiki/Free_Quests:_Olympus" TargetMode="External"/><Relationship Id="rId306" Type="http://schemas.openxmlformats.org/officeDocument/2006/relationships/hyperlink" Target="https://fategrandorder.fandom.com/wiki/Free_Quests:_Olympus" TargetMode="External"/><Relationship Id="rId301" Type="http://schemas.openxmlformats.org/officeDocument/2006/relationships/hyperlink" Target="https://fategrandorder.fandom.com/wiki/Free_Quests:_Atlantis" TargetMode="External"/><Relationship Id="rId300" Type="http://schemas.openxmlformats.org/officeDocument/2006/relationships/hyperlink" Target="https://fategrandorder.fandom.com/wiki/Free_Quests:_Atlantis" TargetMode="External"/><Relationship Id="rId414" Type="http://schemas.openxmlformats.org/officeDocument/2006/relationships/drawing" Target="../drawings/drawing2.xml"/><Relationship Id="rId413" Type="http://schemas.openxmlformats.org/officeDocument/2006/relationships/hyperlink" Target="https://fategrandorder.fandom.com/wiki/Free_Quests:_Heian-ky%C5%8D" TargetMode="External"/><Relationship Id="rId412" Type="http://schemas.openxmlformats.org/officeDocument/2006/relationships/hyperlink" Target="https://fategrandorder.fandom.com/wiki/Free_Quests:_Heian-ky%C5%8D" TargetMode="External"/><Relationship Id="rId411" Type="http://schemas.openxmlformats.org/officeDocument/2006/relationships/hyperlink" Target="https://fategrandorder.fandom.com/wiki/Free_Quests:_Heian-ky%C5%8D" TargetMode="External"/><Relationship Id="rId410" Type="http://schemas.openxmlformats.org/officeDocument/2006/relationships/hyperlink" Target="https://fategrandorder.fandom.com/wiki/Free_Quests:_Heian-ky%C5%8D" TargetMode="External"/><Relationship Id="rId206" Type="http://schemas.openxmlformats.org/officeDocument/2006/relationships/hyperlink" Target="https://fategrandorder.fandom.com/wiki/Free_Quests:_Shinjuku" TargetMode="External"/><Relationship Id="rId327" Type="http://schemas.openxmlformats.org/officeDocument/2006/relationships/hyperlink" Target="https://fategrandorder.fandom.com/wiki/Free_Quests:_Septem" TargetMode="External"/><Relationship Id="rId205" Type="http://schemas.openxmlformats.org/officeDocument/2006/relationships/hyperlink" Target="https://fategrandorder.fandom.com/wiki/Free_Quests:_E_Pluribus_Unum" TargetMode="External"/><Relationship Id="rId326" Type="http://schemas.openxmlformats.org/officeDocument/2006/relationships/hyperlink" Target="https://fategrandorder.fandom.com/wiki/Wednesday_Daily_Quests" TargetMode="External"/><Relationship Id="rId204" Type="http://schemas.openxmlformats.org/officeDocument/2006/relationships/hyperlink" Target="https://fategrandorder.fandom.com/wiki/Free_Quests:_Camelot" TargetMode="External"/><Relationship Id="rId325" Type="http://schemas.openxmlformats.org/officeDocument/2006/relationships/hyperlink" Target="https://fategrandorder.fandom.com/wiki/Wednesday_Daily_Quests" TargetMode="External"/><Relationship Id="rId203" Type="http://schemas.openxmlformats.org/officeDocument/2006/relationships/hyperlink" Target="https://fategrandorder.fandom.com/wiki/Free_Quests:_Heian-ky%C5%8D" TargetMode="External"/><Relationship Id="rId324" Type="http://schemas.openxmlformats.org/officeDocument/2006/relationships/hyperlink" Target="https://fategrandorder.fandom.com/wiki/Free_Quests:_Babylonia" TargetMode="External"/><Relationship Id="rId209" Type="http://schemas.openxmlformats.org/officeDocument/2006/relationships/hyperlink" Target="https://fategrandorder.fandom.com/wiki/Free_Quests:_Shinjuku" TargetMode="External"/><Relationship Id="rId208" Type="http://schemas.openxmlformats.org/officeDocument/2006/relationships/hyperlink" Target="https://fategrandorder.fandom.com/wiki/Free_Quests:_E_Pluribus_Unum" TargetMode="External"/><Relationship Id="rId329" Type="http://schemas.openxmlformats.org/officeDocument/2006/relationships/hyperlink" Target="https://fategrandorder.fandom.com/wiki/Free_Quests:_Salem" TargetMode="External"/><Relationship Id="rId207" Type="http://schemas.openxmlformats.org/officeDocument/2006/relationships/hyperlink" Target="https://fategrandorder.fandom.com/wiki/Free_Quests:_S_I_N" TargetMode="External"/><Relationship Id="rId328" Type="http://schemas.openxmlformats.org/officeDocument/2006/relationships/hyperlink" Target="https://fategrandorder.fandom.com/wiki/Wednesday_Daily_Quests" TargetMode="External"/><Relationship Id="rId202" Type="http://schemas.openxmlformats.org/officeDocument/2006/relationships/hyperlink" Target="https://fategrandorder.fandom.com/wiki/Free_Quests:_S_I_N" TargetMode="External"/><Relationship Id="rId323" Type="http://schemas.openxmlformats.org/officeDocument/2006/relationships/hyperlink" Target="https://fategrandorder.fandom.com/wiki/Free_Quests:_Shinjuku" TargetMode="External"/><Relationship Id="rId201" Type="http://schemas.openxmlformats.org/officeDocument/2006/relationships/hyperlink" Target="https://fategrandorder.fandom.com/wiki/Free_Quests:_London" TargetMode="External"/><Relationship Id="rId322" Type="http://schemas.openxmlformats.org/officeDocument/2006/relationships/hyperlink" Target="https://fategrandorder.fandom.com/wiki/Free_Quests:_Yuga_Kshetra" TargetMode="External"/><Relationship Id="rId200" Type="http://schemas.openxmlformats.org/officeDocument/2006/relationships/hyperlink" Target="https://fategrandorder.fandom.com/wiki/Free_Quests:_S_I_N" TargetMode="External"/><Relationship Id="rId321" Type="http://schemas.openxmlformats.org/officeDocument/2006/relationships/hyperlink" Target="https://fategrandorder.fandom.com/wiki/Free_Quests:_Atlantis" TargetMode="External"/><Relationship Id="rId320" Type="http://schemas.openxmlformats.org/officeDocument/2006/relationships/hyperlink" Target="https://fategrandorder.fandom.com/wiki/Free_Quests:_Olympus" TargetMode="External"/><Relationship Id="rId316" Type="http://schemas.openxmlformats.org/officeDocument/2006/relationships/hyperlink" Target="https://fategrandorder.fandom.com/wiki/Free_Quests:_Heian-ky%C5%8D" TargetMode="External"/><Relationship Id="rId315" Type="http://schemas.openxmlformats.org/officeDocument/2006/relationships/hyperlink" Target="https://fategrandorder.fandom.com/wiki/Free_Quests:_Heian-ky%C5%8D" TargetMode="External"/><Relationship Id="rId314" Type="http://schemas.openxmlformats.org/officeDocument/2006/relationships/hyperlink" Target="https://fategrandorder.fandom.com/wiki/Free_Quests:_Heian-ky%C5%8D" TargetMode="External"/><Relationship Id="rId313" Type="http://schemas.openxmlformats.org/officeDocument/2006/relationships/hyperlink" Target="https://fategrandorder.fandom.com/wiki/Free_Quests:_Heian-ky%C5%8D" TargetMode="External"/><Relationship Id="rId319" Type="http://schemas.openxmlformats.org/officeDocument/2006/relationships/hyperlink" Target="https://fategrandorder.fandom.com/wiki/Free_Quests:_Anastasia" TargetMode="External"/><Relationship Id="rId318" Type="http://schemas.openxmlformats.org/officeDocument/2006/relationships/hyperlink" Target="https://fategrandorder.fandom.com/wiki/Free_Quests:_Agartha" TargetMode="External"/><Relationship Id="rId317" Type="http://schemas.openxmlformats.org/officeDocument/2006/relationships/hyperlink" Target="https://fategrandorder.fandom.com/wiki/Free_Quests:_E_Pluribus_Unum" TargetMode="External"/><Relationship Id="rId312" Type="http://schemas.openxmlformats.org/officeDocument/2006/relationships/hyperlink" Target="https://fategrandorder.fandom.com/wiki/Free_Quests:_Heian-ky%C5%8D" TargetMode="External"/><Relationship Id="rId311" Type="http://schemas.openxmlformats.org/officeDocument/2006/relationships/hyperlink" Target="https://fategrandorder.fandom.com/wiki/Free_Quests:_Heian-ky%C5%8D" TargetMode="External"/><Relationship Id="rId310" Type="http://schemas.openxmlformats.org/officeDocument/2006/relationships/hyperlink" Target="https://fategrandorder.fandom.com/wiki/Free_Quests:_Olympus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fategrandorder.fandom.com/wiki/Free_Quests:_Anastasia" TargetMode="External"/><Relationship Id="rId194" Type="http://schemas.openxmlformats.org/officeDocument/2006/relationships/hyperlink" Target="https://fategrandorder.fandom.com/wiki/Free_Quests:_G%C3%B6tterd%C3%A4mmerung" TargetMode="External"/><Relationship Id="rId193" Type="http://schemas.openxmlformats.org/officeDocument/2006/relationships/hyperlink" Target="https://fategrandorder.fandom.com/wiki/Free_Quests:_G%C3%B6tterd%C3%A4mmerung" TargetMode="External"/><Relationship Id="rId192" Type="http://schemas.openxmlformats.org/officeDocument/2006/relationships/hyperlink" Target="https://fategrandorder.fandom.com/wiki/Free_Quests:_Anastasia" TargetMode="External"/><Relationship Id="rId191" Type="http://schemas.openxmlformats.org/officeDocument/2006/relationships/hyperlink" Target="https://fategrandorder.fandom.com/wiki/Free_Quests:_Anastasia" TargetMode="External"/><Relationship Id="rId187" Type="http://schemas.openxmlformats.org/officeDocument/2006/relationships/hyperlink" Target="https://fategrandorder.fandom.com/wiki/Free_Quests:_Anastasia" TargetMode="External"/><Relationship Id="rId186" Type="http://schemas.openxmlformats.org/officeDocument/2006/relationships/hyperlink" Target="https://fategrandorder.fandom.com/wiki/Free_Quests:_Anastasia" TargetMode="External"/><Relationship Id="rId185" Type="http://schemas.openxmlformats.org/officeDocument/2006/relationships/hyperlink" Target="https://fategrandorder.fandom.com/wiki/Free_Quests:_Anastasia" TargetMode="External"/><Relationship Id="rId184" Type="http://schemas.openxmlformats.org/officeDocument/2006/relationships/hyperlink" Target="https://fategrandorder.fandom.com/wiki/Free_Quests:_Anastasia" TargetMode="External"/><Relationship Id="rId189" Type="http://schemas.openxmlformats.org/officeDocument/2006/relationships/hyperlink" Target="https://fategrandorder.fandom.com/wiki/Free_Quests:_Anastasia" TargetMode="External"/><Relationship Id="rId188" Type="http://schemas.openxmlformats.org/officeDocument/2006/relationships/hyperlink" Target="https://fategrandorder.fandom.com/wiki/Free_Quests:_Anastasia" TargetMode="External"/><Relationship Id="rId183" Type="http://schemas.openxmlformats.org/officeDocument/2006/relationships/hyperlink" Target="https://fategrandorder.fandom.com/wiki/Free_Quests:_Anastasia" TargetMode="External"/><Relationship Id="rId182" Type="http://schemas.openxmlformats.org/officeDocument/2006/relationships/hyperlink" Target="https://fategrandorder.fandom.com/wiki/Free_Quests:_Anastasia" TargetMode="External"/><Relationship Id="rId181" Type="http://schemas.openxmlformats.org/officeDocument/2006/relationships/hyperlink" Target="https://fategrandorder.fandom.com/wiki/Free_Quests:_Anastasia" TargetMode="External"/><Relationship Id="rId180" Type="http://schemas.openxmlformats.org/officeDocument/2006/relationships/hyperlink" Target="https://fategrandorder.fandom.com/wiki/Free_Quests:_Anastasia" TargetMode="External"/><Relationship Id="rId176" Type="http://schemas.openxmlformats.org/officeDocument/2006/relationships/hyperlink" Target="https://fategrandorder.fandom.com/wiki/Free_Quests:_Salem" TargetMode="External"/><Relationship Id="rId297" Type="http://schemas.openxmlformats.org/officeDocument/2006/relationships/table" Target="../tables/table17.xml"/><Relationship Id="rId175" Type="http://schemas.openxmlformats.org/officeDocument/2006/relationships/hyperlink" Target="https://fategrandorder.fandom.com/wiki/Free_Quests:_Salem" TargetMode="External"/><Relationship Id="rId296" Type="http://schemas.openxmlformats.org/officeDocument/2006/relationships/table" Target="../tables/table16.xml"/><Relationship Id="rId174" Type="http://schemas.openxmlformats.org/officeDocument/2006/relationships/hyperlink" Target="https://fategrandorder.fandom.com/wiki/Free_Quests:_Salem" TargetMode="External"/><Relationship Id="rId295" Type="http://schemas.openxmlformats.org/officeDocument/2006/relationships/table" Target="../tables/table15.xml"/><Relationship Id="rId173" Type="http://schemas.openxmlformats.org/officeDocument/2006/relationships/hyperlink" Target="https://fategrandorder.fandom.com/wiki/Free_Quests:_Salem" TargetMode="External"/><Relationship Id="rId294" Type="http://schemas.openxmlformats.org/officeDocument/2006/relationships/table" Target="../tables/table14.xml"/><Relationship Id="rId179" Type="http://schemas.openxmlformats.org/officeDocument/2006/relationships/hyperlink" Target="https://fategrandorder.fandom.com/wiki/Free_Quests:_Anastasia" TargetMode="External"/><Relationship Id="rId178" Type="http://schemas.openxmlformats.org/officeDocument/2006/relationships/hyperlink" Target="https://fategrandorder.fandom.com/wiki/Free_Quests:_Salem" TargetMode="External"/><Relationship Id="rId299" Type="http://schemas.openxmlformats.org/officeDocument/2006/relationships/table" Target="../tables/table19.xml"/><Relationship Id="rId177" Type="http://schemas.openxmlformats.org/officeDocument/2006/relationships/hyperlink" Target="https://fategrandorder.fandom.com/wiki/Free_Quests:_Salem" TargetMode="External"/><Relationship Id="rId298" Type="http://schemas.openxmlformats.org/officeDocument/2006/relationships/table" Target="../tables/table18.xml"/><Relationship Id="rId198" Type="http://schemas.openxmlformats.org/officeDocument/2006/relationships/hyperlink" Target="https://fategrandorder.fandom.com/wiki/Free_Quests:_G%C3%B6tterd%C3%A4mmerung" TargetMode="External"/><Relationship Id="rId197" Type="http://schemas.openxmlformats.org/officeDocument/2006/relationships/hyperlink" Target="https://fategrandorder.fandom.com/wiki/Free_Quests:_G%C3%B6tterd%C3%A4mmerung" TargetMode="External"/><Relationship Id="rId196" Type="http://schemas.openxmlformats.org/officeDocument/2006/relationships/hyperlink" Target="https://fategrandorder.fandom.com/wiki/Free_Quests:_G%C3%B6tterd%C3%A4mmerung" TargetMode="External"/><Relationship Id="rId195" Type="http://schemas.openxmlformats.org/officeDocument/2006/relationships/hyperlink" Target="https://fategrandorder.fandom.com/wiki/Free_Quests:_G%C3%B6tterd%C3%A4mmerung" TargetMode="External"/><Relationship Id="rId199" Type="http://schemas.openxmlformats.org/officeDocument/2006/relationships/hyperlink" Target="https://fategrandorder.fandom.com/wiki/Free_Quests:_G%C3%B6tterd%C3%A4mmerung" TargetMode="External"/><Relationship Id="rId150" Type="http://schemas.openxmlformats.org/officeDocument/2006/relationships/hyperlink" Target="https://fategrandorder.fandom.com/wiki/Free_Quests:_Agartha" TargetMode="External"/><Relationship Id="rId1" Type="http://schemas.openxmlformats.org/officeDocument/2006/relationships/hyperlink" Target="https://fategrandorder.fandom.com/wiki/Monday_Daily_Quests" TargetMode="External"/><Relationship Id="rId2" Type="http://schemas.openxmlformats.org/officeDocument/2006/relationships/hyperlink" Target="https://fategrandorder.fandom.com/wiki/Monday_Daily_Quests" TargetMode="External"/><Relationship Id="rId3" Type="http://schemas.openxmlformats.org/officeDocument/2006/relationships/hyperlink" Target="https://fategrandorder.fandom.com/wiki/Monday_Daily_Quests" TargetMode="External"/><Relationship Id="rId149" Type="http://schemas.openxmlformats.org/officeDocument/2006/relationships/hyperlink" Target="https://fategrandorder.fandom.com/wiki/Free_Quests:_Agartha" TargetMode="External"/><Relationship Id="rId4" Type="http://schemas.openxmlformats.org/officeDocument/2006/relationships/hyperlink" Target="https://fategrandorder.fandom.com/wiki/Monday_Daily_Quests" TargetMode="External"/><Relationship Id="rId148" Type="http://schemas.openxmlformats.org/officeDocument/2006/relationships/hyperlink" Target="https://fategrandorder.fandom.com/wiki/Free_Quests:_Agartha" TargetMode="External"/><Relationship Id="rId9" Type="http://schemas.openxmlformats.org/officeDocument/2006/relationships/hyperlink" Target="https://fategrandorder.fandom.com/wiki/Wednesday_Daily_Quests" TargetMode="External"/><Relationship Id="rId143" Type="http://schemas.openxmlformats.org/officeDocument/2006/relationships/hyperlink" Target="https://fategrandorder.fandom.com/wiki/Free_Quests:_Shinjuku" TargetMode="External"/><Relationship Id="rId142" Type="http://schemas.openxmlformats.org/officeDocument/2006/relationships/hyperlink" Target="https://fategrandorder.fandom.com/wiki/Free_Quests:_Shinjuku" TargetMode="External"/><Relationship Id="rId141" Type="http://schemas.openxmlformats.org/officeDocument/2006/relationships/hyperlink" Target="https://fategrandorder.fandom.com/wiki/Free_Quests:_Shinjuku" TargetMode="External"/><Relationship Id="rId140" Type="http://schemas.openxmlformats.org/officeDocument/2006/relationships/hyperlink" Target="https://fategrandorder.fandom.com/wiki/Free_Quests:_Shinjuku" TargetMode="External"/><Relationship Id="rId5" Type="http://schemas.openxmlformats.org/officeDocument/2006/relationships/hyperlink" Target="https://fategrandorder.fandom.com/wiki/Tuesday_Daily_Quests" TargetMode="External"/><Relationship Id="rId147" Type="http://schemas.openxmlformats.org/officeDocument/2006/relationships/hyperlink" Target="https://fategrandorder.fandom.com/wiki/Free_Quests:_Agartha" TargetMode="External"/><Relationship Id="rId6" Type="http://schemas.openxmlformats.org/officeDocument/2006/relationships/hyperlink" Target="https://fategrandorder.fandom.com/wiki/Tuesday_Daily_Quests" TargetMode="External"/><Relationship Id="rId146" Type="http://schemas.openxmlformats.org/officeDocument/2006/relationships/hyperlink" Target="https://fategrandorder.fandom.com/wiki/Free_Quests:_Shinjuku" TargetMode="External"/><Relationship Id="rId7" Type="http://schemas.openxmlformats.org/officeDocument/2006/relationships/hyperlink" Target="https://fategrandorder.fandom.com/wiki/Tuesday_Daily_Quests" TargetMode="External"/><Relationship Id="rId145" Type="http://schemas.openxmlformats.org/officeDocument/2006/relationships/hyperlink" Target="https://fategrandorder.fandom.com/wiki/Free_Quests:_Shinjuku" TargetMode="External"/><Relationship Id="rId8" Type="http://schemas.openxmlformats.org/officeDocument/2006/relationships/hyperlink" Target="https://fategrandorder.fandom.com/wiki/Tuesday_Daily_Quests" TargetMode="External"/><Relationship Id="rId144" Type="http://schemas.openxmlformats.org/officeDocument/2006/relationships/hyperlink" Target="https://fategrandorder.fandom.com/wiki/Free_Quests:_Shinjuku" TargetMode="External"/><Relationship Id="rId139" Type="http://schemas.openxmlformats.org/officeDocument/2006/relationships/hyperlink" Target="https://fategrandorder.fandom.com/wiki/Free_Quests:_Shinjuku" TargetMode="External"/><Relationship Id="rId138" Type="http://schemas.openxmlformats.org/officeDocument/2006/relationships/hyperlink" Target="https://fategrandorder.fandom.com/wiki/Free_Quests:_Shinjuku" TargetMode="External"/><Relationship Id="rId137" Type="http://schemas.openxmlformats.org/officeDocument/2006/relationships/hyperlink" Target="https://fategrandorder.fandom.com/wiki/Free_Quests:_Shinjuku" TargetMode="External"/><Relationship Id="rId258" Type="http://schemas.openxmlformats.org/officeDocument/2006/relationships/drawing" Target="../drawings/drawing3.xml"/><Relationship Id="rId132" Type="http://schemas.openxmlformats.org/officeDocument/2006/relationships/hyperlink" Target="https://fategrandorder.fandom.com/wiki/Free_Quests:_Babylonia" TargetMode="External"/><Relationship Id="rId253" Type="http://schemas.openxmlformats.org/officeDocument/2006/relationships/hyperlink" Target="https://fategrandorder.fandom.com/wiki/Free_Quests:_Heian-ky%C5%8D" TargetMode="External"/><Relationship Id="rId131" Type="http://schemas.openxmlformats.org/officeDocument/2006/relationships/hyperlink" Target="https://fategrandorder.fandom.com/wiki/Free_Quests:_Babylonia" TargetMode="External"/><Relationship Id="rId252" Type="http://schemas.openxmlformats.org/officeDocument/2006/relationships/hyperlink" Target="https://fategrandorder.fandom.com/wiki/Free_Quests:_Heian-ky%C5%8D" TargetMode="External"/><Relationship Id="rId130" Type="http://schemas.openxmlformats.org/officeDocument/2006/relationships/hyperlink" Target="https://fategrandorder.fandom.com/wiki/Free_Quests:_Babylonia" TargetMode="External"/><Relationship Id="rId251" Type="http://schemas.openxmlformats.org/officeDocument/2006/relationships/hyperlink" Target="https://fategrandorder.fandom.com/wiki/Free_Quests:_Heian-ky%C5%8D" TargetMode="External"/><Relationship Id="rId250" Type="http://schemas.openxmlformats.org/officeDocument/2006/relationships/hyperlink" Target="https://fategrandorder.fandom.com/wiki/Free_Quests:_Heian-ky%C5%8D" TargetMode="External"/><Relationship Id="rId136" Type="http://schemas.openxmlformats.org/officeDocument/2006/relationships/hyperlink" Target="https://fategrandorder.fandom.com/wiki/Free_Quests:_Babylonia" TargetMode="External"/><Relationship Id="rId257" Type="http://schemas.openxmlformats.org/officeDocument/2006/relationships/hyperlink" Target="https://fategrandorder.fandom.com/wiki/Free_Quests:_Heian-ky%C5%8D" TargetMode="External"/><Relationship Id="rId135" Type="http://schemas.openxmlformats.org/officeDocument/2006/relationships/hyperlink" Target="https://fategrandorder.fandom.com/wiki/Free_Quests:_Babylonia" TargetMode="External"/><Relationship Id="rId256" Type="http://schemas.openxmlformats.org/officeDocument/2006/relationships/hyperlink" Target="https://fategrandorder.fandom.com/wiki/Free_Quests:_Heian-ky%C5%8D" TargetMode="External"/><Relationship Id="rId134" Type="http://schemas.openxmlformats.org/officeDocument/2006/relationships/hyperlink" Target="https://fategrandorder.fandom.com/wiki/Free_Quests:_Babylonia" TargetMode="External"/><Relationship Id="rId255" Type="http://schemas.openxmlformats.org/officeDocument/2006/relationships/hyperlink" Target="https://fategrandorder.fandom.com/wiki/Free_Quests:_Heian-ky%C5%8D" TargetMode="External"/><Relationship Id="rId133" Type="http://schemas.openxmlformats.org/officeDocument/2006/relationships/hyperlink" Target="https://fategrandorder.fandom.com/wiki/Free_Quests:_Babylonia" TargetMode="External"/><Relationship Id="rId254" Type="http://schemas.openxmlformats.org/officeDocument/2006/relationships/hyperlink" Target="https://fategrandorder.fandom.com/wiki/Free_Quests:_Heian-ky%C5%8D" TargetMode="External"/><Relationship Id="rId172" Type="http://schemas.openxmlformats.org/officeDocument/2006/relationships/hyperlink" Target="https://fategrandorder.fandom.com/wiki/Free_Quests:_Salem" TargetMode="External"/><Relationship Id="rId293" Type="http://schemas.openxmlformats.org/officeDocument/2006/relationships/table" Target="../tables/table13.xml"/><Relationship Id="rId171" Type="http://schemas.openxmlformats.org/officeDocument/2006/relationships/hyperlink" Target="https://fategrandorder.fandom.com/wiki/Free_Quests:_Salem" TargetMode="External"/><Relationship Id="rId292" Type="http://schemas.openxmlformats.org/officeDocument/2006/relationships/table" Target="../tables/table12.xml"/><Relationship Id="rId170" Type="http://schemas.openxmlformats.org/officeDocument/2006/relationships/hyperlink" Target="https://fategrandorder.fandom.com/wiki/Free_Quests:_Salem" TargetMode="External"/><Relationship Id="rId291" Type="http://schemas.openxmlformats.org/officeDocument/2006/relationships/table" Target="../tables/table11.xml"/><Relationship Id="rId290" Type="http://schemas.openxmlformats.org/officeDocument/2006/relationships/table" Target="../tables/table10.xml"/><Relationship Id="rId165" Type="http://schemas.openxmlformats.org/officeDocument/2006/relationships/hyperlink" Target="https://fategrandorder.fandom.com/wiki/Free_Quests:_Shimosa" TargetMode="External"/><Relationship Id="rId286" Type="http://schemas.openxmlformats.org/officeDocument/2006/relationships/table" Target="../tables/table6.xml"/><Relationship Id="rId164" Type="http://schemas.openxmlformats.org/officeDocument/2006/relationships/hyperlink" Target="https://fategrandorder.fandom.com/wiki/Free_Quests:_Shimosa" TargetMode="External"/><Relationship Id="rId285" Type="http://schemas.openxmlformats.org/officeDocument/2006/relationships/table" Target="../tables/table5.xml"/><Relationship Id="rId163" Type="http://schemas.openxmlformats.org/officeDocument/2006/relationships/hyperlink" Target="https://fategrandorder.fandom.com/wiki/Free_Quests:_Shimosa" TargetMode="External"/><Relationship Id="rId284" Type="http://schemas.openxmlformats.org/officeDocument/2006/relationships/table" Target="../tables/table4.xml"/><Relationship Id="rId162" Type="http://schemas.openxmlformats.org/officeDocument/2006/relationships/hyperlink" Target="https://fategrandorder.fandom.com/wiki/Free_Quests:_Shimosa" TargetMode="External"/><Relationship Id="rId283" Type="http://schemas.openxmlformats.org/officeDocument/2006/relationships/table" Target="../tables/table3.xml"/><Relationship Id="rId169" Type="http://schemas.openxmlformats.org/officeDocument/2006/relationships/hyperlink" Target="https://fategrandorder.fandom.com/wiki/Free_Quests:_Salem" TargetMode="External"/><Relationship Id="rId168" Type="http://schemas.openxmlformats.org/officeDocument/2006/relationships/hyperlink" Target="https://fategrandorder.fandom.com/wiki/Free_Quests:_Salem" TargetMode="External"/><Relationship Id="rId289" Type="http://schemas.openxmlformats.org/officeDocument/2006/relationships/table" Target="../tables/table9.xml"/><Relationship Id="rId167" Type="http://schemas.openxmlformats.org/officeDocument/2006/relationships/hyperlink" Target="https://fategrandorder.fandom.com/wiki/Free_Quests:_Shimosa" TargetMode="External"/><Relationship Id="rId288" Type="http://schemas.openxmlformats.org/officeDocument/2006/relationships/table" Target="../tables/table8.xml"/><Relationship Id="rId166" Type="http://schemas.openxmlformats.org/officeDocument/2006/relationships/hyperlink" Target="https://fategrandorder.fandom.com/wiki/Free_Quests:_Shimosa" TargetMode="External"/><Relationship Id="rId287" Type="http://schemas.openxmlformats.org/officeDocument/2006/relationships/table" Target="../tables/table7.xml"/><Relationship Id="rId161" Type="http://schemas.openxmlformats.org/officeDocument/2006/relationships/hyperlink" Target="https://fategrandorder.fandom.com/wiki/Free_Quests:_Shimosa" TargetMode="External"/><Relationship Id="rId282" Type="http://schemas.openxmlformats.org/officeDocument/2006/relationships/table" Target="../tables/table2.xml"/><Relationship Id="rId160" Type="http://schemas.openxmlformats.org/officeDocument/2006/relationships/hyperlink" Target="https://fategrandorder.fandom.com/wiki/Free_Quests:_Shimosa" TargetMode="External"/><Relationship Id="rId281" Type="http://schemas.openxmlformats.org/officeDocument/2006/relationships/table" Target="../tables/table1.xml"/><Relationship Id="rId159" Type="http://schemas.openxmlformats.org/officeDocument/2006/relationships/hyperlink" Target="https://fategrandorder.fandom.com/wiki/Free_Quests:_Shimosa" TargetMode="External"/><Relationship Id="rId154" Type="http://schemas.openxmlformats.org/officeDocument/2006/relationships/hyperlink" Target="https://fategrandorder.fandom.com/wiki/Free_Quests:_Agartha" TargetMode="External"/><Relationship Id="rId153" Type="http://schemas.openxmlformats.org/officeDocument/2006/relationships/hyperlink" Target="https://fategrandorder.fandom.com/wiki/Free_Quests:_Agartha" TargetMode="External"/><Relationship Id="rId152" Type="http://schemas.openxmlformats.org/officeDocument/2006/relationships/hyperlink" Target="https://fategrandorder.fandom.com/wiki/Free_Quests:_Agartha" TargetMode="External"/><Relationship Id="rId151" Type="http://schemas.openxmlformats.org/officeDocument/2006/relationships/hyperlink" Target="https://fategrandorder.fandom.com/wiki/Free_Quests:_Agartha" TargetMode="External"/><Relationship Id="rId158" Type="http://schemas.openxmlformats.org/officeDocument/2006/relationships/hyperlink" Target="https://fategrandorder.fandom.com/wiki/Free_Quests:_Agartha" TargetMode="External"/><Relationship Id="rId157" Type="http://schemas.openxmlformats.org/officeDocument/2006/relationships/hyperlink" Target="https://fategrandorder.fandom.com/wiki/Free_Quests:_Agartha" TargetMode="External"/><Relationship Id="rId156" Type="http://schemas.openxmlformats.org/officeDocument/2006/relationships/hyperlink" Target="https://fategrandorder.fandom.com/wiki/Free_Quests:_Agartha" TargetMode="External"/><Relationship Id="rId155" Type="http://schemas.openxmlformats.org/officeDocument/2006/relationships/hyperlink" Target="https://fategrandorder.fandom.com/wiki/Free_Quests:_Agartha" TargetMode="External"/><Relationship Id="rId40" Type="http://schemas.openxmlformats.org/officeDocument/2006/relationships/hyperlink" Target="https://fategrandorder.fandom.com/wiki/Saturday_Daily_Quests" TargetMode="External"/><Relationship Id="rId42" Type="http://schemas.openxmlformats.org/officeDocument/2006/relationships/hyperlink" Target="https://fategrandorder.fandom.com/wiki/Sunday_Daily_Quests" TargetMode="External"/><Relationship Id="rId41" Type="http://schemas.openxmlformats.org/officeDocument/2006/relationships/hyperlink" Target="https://fategrandorder.fandom.com/wiki/Sunday_Daily_Quests" TargetMode="External"/><Relationship Id="rId44" Type="http://schemas.openxmlformats.org/officeDocument/2006/relationships/hyperlink" Target="https://fategrandorder.fandom.com/wiki/Sunday_Daily_Quests" TargetMode="External"/><Relationship Id="rId43" Type="http://schemas.openxmlformats.org/officeDocument/2006/relationships/hyperlink" Target="https://fategrandorder.fandom.com/wiki/Sunday_Daily_Quests" TargetMode="External"/><Relationship Id="rId46" Type="http://schemas.openxmlformats.org/officeDocument/2006/relationships/hyperlink" Target="https://fategrandorder.fandom.com/wiki/Free_Quests:_Fuyuki" TargetMode="External"/><Relationship Id="rId45" Type="http://schemas.openxmlformats.org/officeDocument/2006/relationships/hyperlink" Target="https://fategrandorder.fandom.com/wiki/Free_Quests:_Fuyuki" TargetMode="External"/><Relationship Id="rId48" Type="http://schemas.openxmlformats.org/officeDocument/2006/relationships/hyperlink" Target="https://fategrandorder.fandom.com/wiki/Free_Quests:_Fuyuki" TargetMode="External"/><Relationship Id="rId47" Type="http://schemas.openxmlformats.org/officeDocument/2006/relationships/hyperlink" Target="https://fategrandorder.fandom.com/wiki/Free_Quests:_Fuyuki" TargetMode="External"/><Relationship Id="rId49" Type="http://schemas.openxmlformats.org/officeDocument/2006/relationships/hyperlink" Target="https://fategrandorder.fandom.com/wiki/Free_Quests:_Fuyuki" TargetMode="External"/><Relationship Id="rId31" Type="http://schemas.openxmlformats.org/officeDocument/2006/relationships/hyperlink" Target="https://fategrandorder.fandom.com/wiki/Thursday_Daily_Quests" TargetMode="External"/><Relationship Id="rId30" Type="http://schemas.openxmlformats.org/officeDocument/2006/relationships/hyperlink" Target="https://fategrandorder.fandom.com/wiki/Thursday_Daily_Quests" TargetMode="External"/><Relationship Id="rId33" Type="http://schemas.openxmlformats.org/officeDocument/2006/relationships/hyperlink" Target="https://fategrandorder.fandom.com/wiki/Friday_Daily_Quests" TargetMode="External"/><Relationship Id="rId32" Type="http://schemas.openxmlformats.org/officeDocument/2006/relationships/hyperlink" Target="https://fategrandorder.fandom.com/wiki/Thursday_Daily_Quests" TargetMode="External"/><Relationship Id="rId35" Type="http://schemas.openxmlformats.org/officeDocument/2006/relationships/hyperlink" Target="https://fategrandorder.fandom.com/wiki/Friday_Daily_Quests" TargetMode="External"/><Relationship Id="rId34" Type="http://schemas.openxmlformats.org/officeDocument/2006/relationships/hyperlink" Target="https://fategrandorder.fandom.com/wiki/Friday_Daily_Quests" TargetMode="External"/><Relationship Id="rId37" Type="http://schemas.openxmlformats.org/officeDocument/2006/relationships/hyperlink" Target="https://fategrandorder.fandom.com/wiki/Saturday_Daily_Quests" TargetMode="External"/><Relationship Id="rId36" Type="http://schemas.openxmlformats.org/officeDocument/2006/relationships/hyperlink" Target="https://fategrandorder.fandom.com/wiki/Friday_Daily_Quests" TargetMode="External"/><Relationship Id="rId39" Type="http://schemas.openxmlformats.org/officeDocument/2006/relationships/hyperlink" Target="https://fategrandorder.fandom.com/wiki/Saturday_Daily_Quests" TargetMode="External"/><Relationship Id="rId38" Type="http://schemas.openxmlformats.org/officeDocument/2006/relationships/hyperlink" Target="https://fategrandorder.fandom.com/wiki/Saturday_Daily_Quests" TargetMode="External"/><Relationship Id="rId20" Type="http://schemas.openxmlformats.org/officeDocument/2006/relationships/hyperlink" Target="https://fategrandorder.fandom.com/wiki/Monday_Daily_Quests" TargetMode="External"/><Relationship Id="rId22" Type="http://schemas.openxmlformats.org/officeDocument/2006/relationships/hyperlink" Target="https://fategrandorder.fandom.com/wiki/Tuesday_Daily_Quests" TargetMode="External"/><Relationship Id="rId21" Type="http://schemas.openxmlformats.org/officeDocument/2006/relationships/hyperlink" Target="https://fategrandorder.fandom.com/wiki/Tuesday_Daily_Quests" TargetMode="External"/><Relationship Id="rId24" Type="http://schemas.openxmlformats.org/officeDocument/2006/relationships/hyperlink" Target="https://fategrandorder.fandom.com/wiki/Tuesday_Daily_Quests" TargetMode="External"/><Relationship Id="rId23" Type="http://schemas.openxmlformats.org/officeDocument/2006/relationships/hyperlink" Target="https://fategrandorder.fandom.com/wiki/Tuesday_Daily_Quests" TargetMode="External"/><Relationship Id="rId26" Type="http://schemas.openxmlformats.org/officeDocument/2006/relationships/hyperlink" Target="https://fategrandorder.fandom.com/wiki/Wednesday_Daily_Quests" TargetMode="External"/><Relationship Id="rId25" Type="http://schemas.openxmlformats.org/officeDocument/2006/relationships/hyperlink" Target="https://fategrandorder.fandom.com/wiki/Wednesday_Daily_Quests" TargetMode="External"/><Relationship Id="rId28" Type="http://schemas.openxmlformats.org/officeDocument/2006/relationships/hyperlink" Target="https://fategrandorder.fandom.com/wiki/Wednesday_Daily_Quests" TargetMode="External"/><Relationship Id="rId27" Type="http://schemas.openxmlformats.org/officeDocument/2006/relationships/hyperlink" Target="https://fategrandorder.fandom.com/wiki/Wednesday_Daily_Quests" TargetMode="External"/><Relationship Id="rId29" Type="http://schemas.openxmlformats.org/officeDocument/2006/relationships/hyperlink" Target="https://fategrandorder.fandom.com/wiki/Thursday_Daily_Quests" TargetMode="External"/><Relationship Id="rId11" Type="http://schemas.openxmlformats.org/officeDocument/2006/relationships/hyperlink" Target="https://fategrandorder.fandom.com/wiki/Wednesday_Daily_Quests" TargetMode="External"/><Relationship Id="rId10" Type="http://schemas.openxmlformats.org/officeDocument/2006/relationships/hyperlink" Target="https://fategrandorder.fandom.com/wiki/Wednesday_Daily_Quests" TargetMode="External"/><Relationship Id="rId13" Type="http://schemas.openxmlformats.org/officeDocument/2006/relationships/hyperlink" Target="https://fategrandorder.fandom.com/wiki/Sunday_Daily_Quests" TargetMode="External"/><Relationship Id="rId12" Type="http://schemas.openxmlformats.org/officeDocument/2006/relationships/hyperlink" Target="https://fategrandorder.fandom.com/wiki/Wednesday_Daily_Quests" TargetMode="External"/><Relationship Id="rId15" Type="http://schemas.openxmlformats.org/officeDocument/2006/relationships/hyperlink" Target="https://fategrandorder.fandom.com/wiki/Sunday_Daily_Quests" TargetMode="External"/><Relationship Id="rId14" Type="http://schemas.openxmlformats.org/officeDocument/2006/relationships/hyperlink" Target="https://fategrandorder.fandom.com/wiki/Sunday_Daily_Quests" TargetMode="External"/><Relationship Id="rId17" Type="http://schemas.openxmlformats.org/officeDocument/2006/relationships/hyperlink" Target="https://fategrandorder.fandom.com/wiki/Monday_Daily_Quests" TargetMode="External"/><Relationship Id="rId16" Type="http://schemas.openxmlformats.org/officeDocument/2006/relationships/hyperlink" Target="https://fategrandorder.fandom.com/wiki/Sunday_Daily_Quests" TargetMode="External"/><Relationship Id="rId19" Type="http://schemas.openxmlformats.org/officeDocument/2006/relationships/hyperlink" Target="https://fategrandorder.fandom.com/wiki/Monday_Daily_Quests" TargetMode="External"/><Relationship Id="rId18" Type="http://schemas.openxmlformats.org/officeDocument/2006/relationships/hyperlink" Target="https://fategrandorder.fandom.com/wiki/Monday_Daily_Quests" TargetMode="External"/><Relationship Id="rId84" Type="http://schemas.openxmlformats.org/officeDocument/2006/relationships/hyperlink" Target="https://fategrandorder.fandom.com/wiki/Free_Quests:_Okeanos" TargetMode="External"/><Relationship Id="rId83" Type="http://schemas.openxmlformats.org/officeDocument/2006/relationships/hyperlink" Target="https://fategrandorder.fandom.com/wiki/Free_Quests:_Okeanos" TargetMode="External"/><Relationship Id="rId86" Type="http://schemas.openxmlformats.org/officeDocument/2006/relationships/hyperlink" Target="https://fategrandorder.fandom.com/wiki/Free_Quests:_London" TargetMode="External"/><Relationship Id="rId85" Type="http://schemas.openxmlformats.org/officeDocument/2006/relationships/hyperlink" Target="https://fategrandorder.fandom.com/wiki/Free_Quests:_Okeanos" TargetMode="External"/><Relationship Id="rId88" Type="http://schemas.openxmlformats.org/officeDocument/2006/relationships/hyperlink" Target="https://fategrandorder.fandom.com/wiki/Free_Quests:_London" TargetMode="External"/><Relationship Id="rId87" Type="http://schemas.openxmlformats.org/officeDocument/2006/relationships/hyperlink" Target="https://fategrandorder.fandom.com/wiki/Free_Quests:_London" TargetMode="External"/><Relationship Id="rId89" Type="http://schemas.openxmlformats.org/officeDocument/2006/relationships/hyperlink" Target="https://fategrandorder.fandom.com/wiki/Free_Quests:_London" TargetMode="External"/><Relationship Id="rId80" Type="http://schemas.openxmlformats.org/officeDocument/2006/relationships/hyperlink" Target="https://fategrandorder.fandom.com/wiki/Free_Quests:_Okeanos" TargetMode="External"/><Relationship Id="rId82" Type="http://schemas.openxmlformats.org/officeDocument/2006/relationships/hyperlink" Target="https://fategrandorder.fandom.com/wiki/Free_Quests:_Okeanos" TargetMode="External"/><Relationship Id="rId81" Type="http://schemas.openxmlformats.org/officeDocument/2006/relationships/hyperlink" Target="https://fategrandorder.fandom.com/wiki/Free_Quests:_Okeanos" TargetMode="External"/><Relationship Id="rId73" Type="http://schemas.openxmlformats.org/officeDocument/2006/relationships/hyperlink" Target="https://fategrandorder.fandom.com/wiki/Free_Quests:_Septem" TargetMode="External"/><Relationship Id="rId72" Type="http://schemas.openxmlformats.org/officeDocument/2006/relationships/hyperlink" Target="https://fategrandorder.fandom.com/wiki/Free_Quests:_Septem" TargetMode="External"/><Relationship Id="rId75" Type="http://schemas.openxmlformats.org/officeDocument/2006/relationships/hyperlink" Target="https://fategrandorder.fandom.com/wiki/Free_Quests:_Okeanos" TargetMode="External"/><Relationship Id="rId74" Type="http://schemas.openxmlformats.org/officeDocument/2006/relationships/hyperlink" Target="https://fategrandorder.fandom.com/wiki/Free_Quests:_Okeanos" TargetMode="External"/><Relationship Id="rId77" Type="http://schemas.openxmlformats.org/officeDocument/2006/relationships/hyperlink" Target="https://fategrandorder.fandom.com/wiki/Free_Quests:_Okeanos" TargetMode="External"/><Relationship Id="rId76" Type="http://schemas.openxmlformats.org/officeDocument/2006/relationships/hyperlink" Target="https://fategrandorder.fandom.com/wiki/Free_Quests:_Okeanos" TargetMode="External"/><Relationship Id="rId79" Type="http://schemas.openxmlformats.org/officeDocument/2006/relationships/hyperlink" Target="https://fategrandorder.fandom.com/wiki/Free_Quests:_Okeanos" TargetMode="External"/><Relationship Id="rId78" Type="http://schemas.openxmlformats.org/officeDocument/2006/relationships/hyperlink" Target="https://fategrandorder.fandom.com/wiki/Free_Quests:_Okeanos" TargetMode="External"/><Relationship Id="rId71" Type="http://schemas.openxmlformats.org/officeDocument/2006/relationships/hyperlink" Target="https://fategrandorder.fandom.com/wiki/Free_Quests:_Septem" TargetMode="External"/><Relationship Id="rId70" Type="http://schemas.openxmlformats.org/officeDocument/2006/relationships/hyperlink" Target="https://fategrandorder.fandom.com/wiki/Free_Quests:_Septem" TargetMode="External"/><Relationship Id="rId62" Type="http://schemas.openxmlformats.org/officeDocument/2006/relationships/hyperlink" Target="https://fategrandorder.fandom.com/wiki/Free_Quests:_Orleans" TargetMode="External"/><Relationship Id="rId61" Type="http://schemas.openxmlformats.org/officeDocument/2006/relationships/hyperlink" Target="https://fategrandorder.fandom.com/wiki/Free_Quests:_Orleans" TargetMode="External"/><Relationship Id="rId64" Type="http://schemas.openxmlformats.org/officeDocument/2006/relationships/hyperlink" Target="https://fategrandorder.fandom.com/wiki/Free_Quests:_Septem" TargetMode="External"/><Relationship Id="rId63" Type="http://schemas.openxmlformats.org/officeDocument/2006/relationships/hyperlink" Target="https://fategrandorder.fandom.com/wiki/Free_Quests:_Septem" TargetMode="External"/><Relationship Id="rId66" Type="http://schemas.openxmlformats.org/officeDocument/2006/relationships/hyperlink" Target="https://fategrandorder.fandom.com/wiki/Free_Quests:_Septem" TargetMode="External"/><Relationship Id="rId65" Type="http://schemas.openxmlformats.org/officeDocument/2006/relationships/hyperlink" Target="https://fategrandorder.fandom.com/wiki/Free_Quests:_Septem" TargetMode="External"/><Relationship Id="rId68" Type="http://schemas.openxmlformats.org/officeDocument/2006/relationships/hyperlink" Target="https://fategrandorder.fandom.com/wiki/Free_Quests:_Septem" TargetMode="External"/><Relationship Id="rId67" Type="http://schemas.openxmlformats.org/officeDocument/2006/relationships/hyperlink" Target="https://fategrandorder.fandom.com/wiki/Free_Quests:_Septem" TargetMode="External"/><Relationship Id="rId60" Type="http://schemas.openxmlformats.org/officeDocument/2006/relationships/hyperlink" Target="https://fategrandorder.fandom.com/wiki/Free_Quests:_Orleans" TargetMode="External"/><Relationship Id="rId69" Type="http://schemas.openxmlformats.org/officeDocument/2006/relationships/hyperlink" Target="https://fategrandorder.fandom.com/wiki/Free_Quests:_Septem" TargetMode="External"/><Relationship Id="rId51" Type="http://schemas.openxmlformats.org/officeDocument/2006/relationships/hyperlink" Target="https://fategrandorder.fandom.com/wiki/Free_Quests:_Fuyuki" TargetMode="External"/><Relationship Id="rId50" Type="http://schemas.openxmlformats.org/officeDocument/2006/relationships/hyperlink" Target="https://fategrandorder.fandom.com/wiki/Free_Quests:_Fuyuki" TargetMode="External"/><Relationship Id="rId53" Type="http://schemas.openxmlformats.org/officeDocument/2006/relationships/hyperlink" Target="https://fategrandorder.fandom.com/wiki/Free_Quests:_Orleans" TargetMode="External"/><Relationship Id="rId52" Type="http://schemas.openxmlformats.org/officeDocument/2006/relationships/hyperlink" Target="https://fategrandorder.fandom.com/wiki/Free_Quests:_Fuyuki" TargetMode="External"/><Relationship Id="rId55" Type="http://schemas.openxmlformats.org/officeDocument/2006/relationships/hyperlink" Target="https://fategrandorder.fandom.com/wiki/Free_Quests:_Orleans" TargetMode="External"/><Relationship Id="rId54" Type="http://schemas.openxmlformats.org/officeDocument/2006/relationships/hyperlink" Target="https://fategrandorder.fandom.com/wiki/Free_Quests:_Orleans" TargetMode="External"/><Relationship Id="rId57" Type="http://schemas.openxmlformats.org/officeDocument/2006/relationships/hyperlink" Target="https://fategrandorder.fandom.com/wiki/Free_Quests:_Orleans" TargetMode="External"/><Relationship Id="rId56" Type="http://schemas.openxmlformats.org/officeDocument/2006/relationships/hyperlink" Target="https://fategrandorder.fandom.com/wiki/Free_Quests:_Orleans" TargetMode="External"/><Relationship Id="rId59" Type="http://schemas.openxmlformats.org/officeDocument/2006/relationships/hyperlink" Target="https://fategrandorder.fandom.com/wiki/Free_Quests:_Orleans" TargetMode="External"/><Relationship Id="rId58" Type="http://schemas.openxmlformats.org/officeDocument/2006/relationships/hyperlink" Target="https://fategrandorder.fandom.com/wiki/Free_Quests:_Orleans" TargetMode="External"/><Relationship Id="rId107" Type="http://schemas.openxmlformats.org/officeDocument/2006/relationships/hyperlink" Target="https://fategrandorder.fandom.com/wiki/Free_Quests:_E_Pluribus_Unum" TargetMode="External"/><Relationship Id="rId228" Type="http://schemas.openxmlformats.org/officeDocument/2006/relationships/hyperlink" Target="https://fategrandorder.fandom.com/wiki/Free_Quests:_Atlantis" TargetMode="External"/><Relationship Id="rId106" Type="http://schemas.openxmlformats.org/officeDocument/2006/relationships/hyperlink" Target="https://fategrandorder.fandom.com/wiki/Free_Quests:_E_Pluribus_Unum" TargetMode="External"/><Relationship Id="rId227" Type="http://schemas.openxmlformats.org/officeDocument/2006/relationships/hyperlink" Target="https://fategrandorder.fandom.com/wiki/Free_Quests:_Atlantis" TargetMode="External"/><Relationship Id="rId105" Type="http://schemas.openxmlformats.org/officeDocument/2006/relationships/hyperlink" Target="https://fategrandorder.fandom.com/wiki/Free_Quests:_E_Pluribus_Unum" TargetMode="External"/><Relationship Id="rId226" Type="http://schemas.openxmlformats.org/officeDocument/2006/relationships/hyperlink" Target="https://fategrandorder.fandom.com/wiki/Free_Quests:_Atlantis" TargetMode="External"/><Relationship Id="rId104" Type="http://schemas.openxmlformats.org/officeDocument/2006/relationships/hyperlink" Target="https://fategrandorder.fandom.com/wiki/Free_Quests:_E_Pluribus_Unum" TargetMode="External"/><Relationship Id="rId225" Type="http://schemas.openxmlformats.org/officeDocument/2006/relationships/hyperlink" Target="https://fategrandorder.fandom.com/wiki/Free_Quests:_Atlantis" TargetMode="External"/><Relationship Id="rId109" Type="http://schemas.openxmlformats.org/officeDocument/2006/relationships/hyperlink" Target="https://fategrandorder.fandom.com/wiki/Free_Quests:_Camelot" TargetMode="External"/><Relationship Id="rId108" Type="http://schemas.openxmlformats.org/officeDocument/2006/relationships/hyperlink" Target="https://fategrandorder.fandom.com/wiki/Free_Quests:_E_Pluribus_Unum" TargetMode="External"/><Relationship Id="rId229" Type="http://schemas.openxmlformats.org/officeDocument/2006/relationships/hyperlink" Target="https://fategrandorder.fandom.com/wiki/Free_Quests:_Atlantis" TargetMode="External"/><Relationship Id="rId220" Type="http://schemas.openxmlformats.org/officeDocument/2006/relationships/hyperlink" Target="https://fategrandorder.fandom.com/wiki/Free_Quests:_Yuga_Kshetra" TargetMode="External"/><Relationship Id="rId103" Type="http://schemas.openxmlformats.org/officeDocument/2006/relationships/hyperlink" Target="https://fategrandorder.fandom.com/wiki/Free_Quests:_E_Pluribus_Unum" TargetMode="External"/><Relationship Id="rId224" Type="http://schemas.openxmlformats.org/officeDocument/2006/relationships/hyperlink" Target="https://fategrandorder.fandom.com/wiki/Free_Quests:_Yuga_Kshetra" TargetMode="External"/><Relationship Id="rId102" Type="http://schemas.openxmlformats.org/officeDocument/2006/relationships/hyperlink" Target="https://fategrandorder.fandom.com/wiki/Free_Quests:_E_Pluribus_Unum" TargetMode="External"/><Relationship Id="rId223" Type="http://schemas.openxmlformats.org/officeDocument/2006/relationships/hyperlink" Target="https://fategrandorder.fandom.com/wiki/Free_Quests:_Yuga_Kshetra" TargetMode="External"/><Relationship Id="rId101" Type="http://schemas.openxmlformats.org/officeDocument/2006/relationships/hyperlink" Target="https://fategrandorder.fandom.com/wiki/Free_Quests:_E_Pluribus_Unum" TargetMode="External"/><Relationship Id="rId222" Type="http://schemas.openxmlformats.org/officeDocument/2006/relationships/hyperlink" Target="https://fategrandorder.fandom.com/wiki/Free_Quests:_Yuga_Kshetra" TargetMode="External"/><Relationship Id="rId100" Type="http://schemas.openxmlformats.org/officeDocument/2006/relationships/hyperlink" Target="https://fategrandorder.fandom.com/wiki/Free_Quests:_E_Pluribus_Unum" TargetMode="External"/><Relationship Id="rId221" Type="http://schemas.openxmlformats.org/officeDocument/2006/relationships/hyperlink" Target="https://fategrandorder.fandom.com/wiki/Free_Quests:_Yuga_Kshetra" TargetMode="External"/><Relationship Id="rId217" Type="http://schemas.openxmlformats.org/officeDocument/2006/relationships/hyperlink" Target="https://fategrandorder.fandom.com/wiki/Free_Quests:_Yuga_Kshetra" TargetMode="External"/><Relationship Id="rId216" Type="http://schemas.openxmlformats.org/officeDocument/2006/relationships/hyperlink" Target="https://fategrandorder.fandom.com/wiki/Free_Quests:_Yuga_Kshetra" TargetMode="External"/><Relationship Id="rId215" Type="http://schemas.openxmlformats.org/officeDocument/2006/relationships/hyperlink" Target="https://fategrandorder.fandom.com/wiki/Free_Quests:_Yuga_Kshetra" TargetMode="External"/><Relationship Id="rId214" Type="http://schemas.openxmlformats.org/officeDocument/2006/relationships/hyperlink" Target="https://fategrandorder.fandom.com/wiki/Free_Quests:_S_I_N" TargetMode="External"/><Relationship Id="rId219" Type="http://schemas.openxmlformats.org/officeDocument/2006/relationships/hyperlink" Target="https://fategrandorder.fandom.com/wiki/Free_Quests:_Yuga_Kshetra" TargetMode="External"/><Relationship Id="rId218" Type="http://schemas.openxmlformats.org/officeDocument/2006/relationships/hyperlink" Target="https://fategrandorder.fandom.com/wiki/Free_Quests:_Yuga_Kshetra" TargetMode="External"/><Relationship Id="rId213" Type="http://schemas.openxmlformats.org/officeDocument/2006/relationships/hyperlink" Target="https://fategrandorder.fandom.com/wiki/Free_Quests:_S_I_N" TargetMode="External"/><Relationship Id="rId212" Type="http://schemas.openxmlformats.org/officeDocument/2006/relationships/hyperlink" Target="https://fategrandorder.fandom.com/wiki/Free_Quests:_S_I_N" TargetMode="External"/><Relationship Id="rId211" Type="http://schemas.openxmlformats.org/officeDocument/2006/relationships/hyperlink" Target="https://fategrandorder.fandom.com/wiki/Free_Quests:_S_I_N" TargetMode="External"/><Relationship Id="rId210" Type="http://schemas.openxmlformats.org/officeDocument/2006/relationships/hyperlink" Target="https://fategrandorder.fandom.com/wiki/Free_Quests:_S_I_N" TargetMode="External"/><Relationship Id="rId129" Type="http://schemas.openxmlformats.org/officeDocument/2006/relationships/hyperlink" Target="https://fategrandorder.fandom.com/wiki/Free_Quests:_Babylonia" TargetMode="External"/><Relationship Id="rId128" Type="http://schemas.openxmlformats.org/officeDocument/2006/relationships/hyperlink" Target="https://fategrandorder.fandom.com/wiki/Free_Quests:_Babylonia" TargetMode="External"/><Relationship Id="rId249" Type="http://schemas.openxmlformats.org/officeDocument/2006/relationships/hyperlink" Target="https://fategrandorder.fandom.com/wiki/Free_Quests:_Heian-ky%C5%8D" TargetMode="External"/><Relationship Id="rId127" Type="http://schemas.openxmlformats.org/officeDocument/2006/relationships/hyperlink" Target="https://fategrandorder.fandom.com/wiki/Free_Quests:_Babylonia" TargetMode="External"/><Relationship Id="rId248" Type="http://schemas.openxmlformats.org/officeDocument/2006/relationships/hyperlink" Target="https://fategrandorder.fandom.com/wiki/Free_Quests:_Heian-ky%C5%8D" TargetMode="External"/><Relationship Id="rId126" Type="http://schemas.openxmlformats.org/officeDocument/2006/relationships/hyperlink" Target="https://fategrandorder.fandom.com/wiki/Free_Quests:_Babylonia" TargetMode="External"/><Relationship Id="rId247" Type="http://schemas.openxmlformats.org/officeDocument/2006/relationships/hyperlink" Target="https://fategrandorder.fandom.com/wiki/Free_Quests:_Heian-ky%C5%8D" TargetMode="External"/><Relationship Id="rId121" Type="http://schemas.openxmlformats.org/officeDocument/2006/relationships/hyperlink" Target="https://fategrandorder.fandom.com/wiki/Free_Quests:_Camelot" TargetMode="External"/><Relationship Id="rId242" Type="http://schemas.openxmlformats.org/officeDocument/2006/relationships/hyperlink" Target="https://fategrandorder.fandom.com/wiki/Free_Quests:_Olympus" TargetMode="External"/><Relationship Id="rId120" Type="http://schemas.openxmlformats.org/officeDocument/2006/relationships/hyperlink" Target="https://fategrandorder.fandom.com/wiki/Free_Quests:_Camelot" TargetMode="External"/><Relationship Id="rId241" Type="http://schemas.openxmlformats.org/officeDocument/2006/relationships/hyperlink" Target="https://fategrandorder.fandom.com/wiki/Free_Quests:_Olympus" TargetMode="External"/><Relationship Id="rId240" Type="http://schemas.openxmlformats.org/officeDocument/2006/relationships/hyperlink" Target="https://fategrandorder.fandom.com/wiki/Free_Quests:_Olympus" TargetMode="External"/><Relationship Id="rId125" Type="http://schemas.openxmlformats.org/officeDocument/2006/relationships/hyperlink" Target="https://fategrandorder.fandom.com/wiki/Free_Quests:_Babylonia" TargetMode="External"/><Relationship Id="rId246" Type="http://schemas.openxmlformats.org/officeDocument/2006/relationships/hyperlink" Target="https://fategrandorder.fandom.com/wiki/Free_Quests:_Heian-ky%C5%8D" TargetMode="External"/><Relationship Id="rId124" Type="http://schemas.openxmlformats.org/officeDocument/2006/relationships/hyperlink" Target="https://fategrandorder.fandom.com/wiki/Free_Quests:_Babylonia" TargetMode="External"/><Relationship Id="rId245" Type="http://schemas.openxmlformats.org/officeDocument/2006/relationships/hyperlink" Target="https://fategrandorder.fandom.com/wiki/Free_Quests:_Heian-ky%C5%8D" TargetMode="External"/><Relationship Id="rId123" Type="http://schemas.openxmlformats.org/officeDocument/2006/relationships/hyperlink" Target="https://fategrandorder.fandom.com/wiki/Free_Quests:_Babylonia" TargetMode="External"/><Relationship Id="rId244" Type="http://schemas.openxmlformats.org/officeDocument/2006/relationships/hyperlink" Target="https://fategrandorder.fandom.com/wiki/Free_Quests:_Olympus" TargetMode="External"/><Relationship Id="rId122" Type="http://schemas.openxmlformats.org/officeDocument/2006/relationships/hyperlink" Target="https://fategrandorder.fandom.com/wiki/Free_Quests:_Camelot" TargetMode="External"/><Relationship Id="rId243" Type="http://schemas.openxmlformats.org/officeDocument/2006/relationships/hyperlink" Target="https://fategrandorder.fandom.com/wiki/Free_Quests:_Olympus" TargetMode="External"/><Relationship Id="rId95" Type="http://schemas.openxmlformats.org/officeDocument/2006/relationships/hyperlink" Target="https://fategrandorder.fandom.com/wiki/Free_Quests:_E_Pluribus_Unum" TargetMode="External"/><Relationship Id="rId94" Type="http://schemas.openxmlformats.org/officeDocument/2006/relationships/hyperlink" Target="https://fategrandorder.fandom.com/wiki/Free_Quests:_London" TargetMode="External"/><Relationship Id="rId97" Type="http://schemas.openxmlformats.org/officeDocument/2006/relationships/hyperlink" Target="https://fategrandorder.fandom.com/wiki/Free_Quests:_E_Pluribus_Unum" TargetMode="External"/><Relationship Id="rId96" Type="http://schemas.openxmlformats.org/officeDocument/2006/relationships/hyperlink" Target="https://fategrandorder.fandom.com/wiki/Free_Quests:_E_Pluribus_Unum" TargetMode="External"/><Relationship Id="rId99" Type="http://schemas.openxmlformats.org/officeDocument/2006/relationships/hyperlink" Target="https://fategrandorder.fandom.com/wiki/Free_Quests:_E_Pluribus_Unum" TargetMode="External"/><Relationship Id="rId98" Type="http://schemas.openxmlformats.org/officeDocument/2006/relationships/hyperlink" Target="https://fategrandorder.fandom.com/wiki/Free_Quests:_E_Pluribus_Unum" TargetMode="External"/><Relationship Id="rId91" Type="http://schemas.openxmlformats.org/officeDocument/2006/relationships/hyperlink" Target="https://fategrandorder.fandom.com/wiki/Free_Quests:_London" TargetMode="External"/><Relationship Id="rId90" Type="http://schemas.openxmlformats.org/officeDocument/2006/relationships/hyperlink" Target="https://fategrandorder.fandom.com/wiki/Free_Quests:_London" TargetMode="External"/><Relationship Id="rId93" Type="http://schemas.openxmlformats.org/officeDocument/2006/relationships/hyperlink" Target="https://fategrandorder.fandom.com/wiki/Free_Quests:_London" TargetMode="External"/><Relationship Id="rId92" Type="http://schemas.openxmlformats.org/officeDocument/2006/relationships/hyperlink" Target="https://fategrandorder.fandom.com/wiki/Free_Quests:_London" TargetMode="External"/><Relationship Id="rId118" Type="http://schemas.openxmlformats.org/officeDocument/2006/relationships/hyperlink" Target="https://fategrandorder.fandom.com/wiki/Free_Quests:_Camelot" TargetMode="External"/><Relationship Id="rId239" Type="http://schemas.openxmlformats.org/officeDocument/2006/relationships/hyperlink" Target="https://fategrandorder.fandom.com/wiki/Free_Quests:_Olympus" TargetMode="External"/><Relationship Id="rId117" Type="http://schemas.openxmlformats.org/officeDocument/2006/relationships/hyperlink" Target="https://fategrandorder.fandom.com/wiki/Free_Quests:_Camelot" TargetMode="External"/><Relationship Id="rId238" Type="http://schemas.openxmlformats.org/officeDocument/2006/relationships/hyperlink" Target="https://fategrandorder.fandom.com/wiki/Free_Quests:_Olympus" TargetMode="External"/><Relationship Id="rId116" Type="http://schemas.openxmlformats.org/officeDocument/2006/relationships/hyperlink" Target="https://fategrandorder.fandom.com/wiki/Free_Quests:_Camelot" TargetMode="External"/><Relationship Id="rId237" Type="http://schemas.openxmlformats.org/officeDocument/2006/relationships/hyperlink" Target="https://fategrandorder.fandom.com/wiki/Free_Quests:_Olympus" TargetMode="External"/><Relationship Id="rId115" Type="http://schemas.openxmlformats.org/officeDocument/2006/relationships/hyperlink" Target="https://fategrandorder.fandom.com/wiki/Free_Quests:_Camelot" TargetMode="External"/><Relationship Id="rId236" Type="http://schemas.openxmlformats.org/officeDocument/2006/relationships/hyperlink" Target="https://fategrandorder.fandom.com/wiki/Free_Quests:_Olympus" TargetMode="External"/><Relationship Id="rId119" Type="http://schemas.openxmlformats.org/officeDocument/2006/relationships/hyperlink" Target="https://fategrandorder.fandom.com/wiki/Free_Quests:_Camelot" TargetMode="External"/><Relationship Id="rId110" Type="http://schemas.openxmlformats.org/officeDocument/2006/relationships/hyperlink" Target="https://fategrandorder.fandom.com/wiki/Free_Quests:_Camelot" TargetMode="External"/><Relationship Id="rId231" Type="http://schemas.openxmlformats.org/officeDocument/2006/relationships/hyperlink" Target="https://fategrandorder.fandom.com/wiki/Free_Quests:_Atlantis" TargetMode="External"/><Relationship Id="rId230" Type="http://schemas.openxmlformats.org/officeDocument/2006/relationships/hyperlink" Target="https://fategrandorder.fandom.com/wiki/Free_Quests:_Atlantis" TargetMode="External"/><Relationship Id="rId114" Type="http://schemas.openxmlformats.org/officeDocument/2006/relationships/hyperlink" Target="https://fategrandorder.fandom.com/wiki/Free_Quests:_Camelot" TargetMode="External"/><Relationship Id="rId235" Type="http://schemas.openxmlformats.org/officeDocument/2006/relationships/hyperlink" Target="https://fategrandorder.fandom.com/wiki/Free_Quests:_Olympus" TargetMode="External"/><Relationship Id="rId113" Type="http://schemas.openxmlformats.org/officeDocument/2006/relationships/hyperlink" Target="https://fategrandorder.fandom.com/wiki/Free_Quests:_Camelot" TargetMode="External"/><Relationship Id="rId234" Type="http://schemas.openxmlformats.org/officeDocument/2006/relationships/hyperlink" Target="https://fategrandorder.fandom.com/wiki/Free_Quests:_Olympus" TargetMode="External"/><Relationship Id="rId112" Type="http://schemas.openxmlformats.org/officeDocument/2006/relationships/hyperlink" Target="https://fategrandorder.fandom.com/wiki/Free_Quests:_Camelot" TargetMode="External"/><Relationship Id="rId233" Type="http://schemas.openxmlformats.org/officeDocument/2006/relationships/hyperlink" Target="https://fategrandorder.fandom.com/wiki/Free_Quests:_Atlantis" TargetMode="External"/><Relationship Id="rId111" Type="http://schemas.openxmlformats.org/officeDocument/2006/relationships/hyperlink" Target="https://fategrandorder.fandom.com/wiki/Free_Quests:_Camelot" TargetMode="External"/><Relationship Id="rId232" Type="http://schemas.openxmlformats.org/officeDocument/2006/relationships/hyperlink" Target="https://fategrandorder.fandom.com/wiki/Free_Quests:_Atlantis" TargetMode="External"/><Relationship Id="rId302" Type="http://schemas.openxmlformats.org/officeDocument/2006/relationships/table" Target="../tables/table22.xml"/><Relationship Id="rId301" Type="http://schemas.openxmlformats.org/officeDocument/2006/relationships/table" Target="../tables/table21.xml"/><Relationship Id="rId300" Type="http://schemas.openxmlformats.org/officeDocument/2006/relationships/table" Target="../tables/table20.xml"/><Relationship Id="rId206" Type="http://schemas.openxmlformats.org/officeDocument/2006/relationships/hyperlink" Target="https://fategrandorder.fandom.com/wiki/Free_Quests:_S_I_N" TargetMode="External"/><Relationship Id="rId205" Type="http://schemas.openxmlformats.org/officeDocument/2006/relationships/hyperlink" Target="https://fategrandorder.fandom.com/wiki/Free_Quests:_S_I_N" TargetMode="External"/><Relationship Id="rId204" Type="http://schemas.openxmlformats.org/officeDocument/2006/relationships/hyperlink" Target="https://fategrandorder.fandom.com/wiki/Free_Quests:_S_I_N" TargetMode="External"/><Relationship Id="rId203" Type="http://schemas.openxmlformats.org/officeDocument/2006/relationships/hyperlink" Target="https://fategrandorder.fandom.com/wiki/Free_Quests:_G%C3%B6tterd%C3%A4mmerung" TargetMode="External"/><Relationship Id="rId209" Type="http://schemas.openxmlformats.org/officeDocument/2006/relationships/hyperlink" Target="https://fategrandorder.fandom.com/wiki/Free_Quests:_S_I_N" TargetMode="External"/><Relationship Id="rId208" Type="http://schemas.openxmlformats.org/officeDocument/2006/relationships/hyperlink" Target="https://fategrandorder.fandom.com/wiki/Free_Quests:_S_I_N" TargetMode="External"/><Relationship Id="rId207" Type="http://schemas.openxmlformats.org/officeDocument/2006/relationships/hyperlink" Target="https://fategrandorder.fandom.com/wiki/Free_Quests:_S_I_N" TargetMode="External"/><Relationship Id="rId202" Type="http://schemas.openxmlformats.org/officeDocument/2006/relationships/hyperlink" Target="https://fategrandorder.fandom.com/wiki/Free_Quests:_G%C3%B6tterd%C3%A4mmerung" TargetMode="External"/><Relationship Id="rId201" Type="http://schemas.openxmlformats.org/officeDocument/2006/relationships/hyperlink" Target="https://fategrandorder.fandom.com/wiki/Free_Quests:_G%C3%B6tterd%C3%A4mmerung" TargetMode="External"/><Relationship Id="rId200" Type="http://schemas.openxmlformats.org/officeDocument/2006/relationships/hyperlink" Target="https://fategrandorder.fandom.com/wiki/Free_Quests:_G%C3%B6tterd%C3%A4mmerung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fategrandorder.fandom.com/wiki/Free_Quests:_Anastasia" TargetMode="External"/><Relationship Id="rId194" Type="http://schemas.openxmlformats.org/officeDocument/2006/relationships/hyperlink" Target="https://fategrandorder.fandom.com/wiki/Free_Quests:_G%C3%B6tterd%C3%A4mmerung" TargetMode="External"/><Relationship Id="rId193" Type="http://schemas.openxmlformats.org/officeDocument/2006/relationships/hyperlink" Target="https://fategrandorder.fandom.com/wiki/Free_Quests:_G%C3%B6tterd%C3%A4mmerung" TargetMode="External"/><Relationship Id="rId192" Type="http://schemas.openxmlformats.org/officeDocument/2006/relationships/hyperlink" Target="https://fategrandorder.fandom.com/wiki/Free_Quests:_Anastasia" TargetMode="External"/><Relationship Id="rId191" Type="http://schemas.openxmlformats.org/officeDocument/2006/relationships/hyperlink" Target="https://fategrandorder.fandom.com/wiki/Free_Quests:_Anastasia" TargetMode="External"/><Relationship Id="rId187" Type="http://schemas.openxmlformats.org/officeDocument/2006/relationships/hyperlink" Target="https://fategrandorder.fandom.com/wiki/Free_Quests:_Anastasia" TargetMode="External"/><Relationship Id="rId186" Type="http://schemas.openxmlformats.org/officeDocument/2006/relationships/hyperlink" Target="https://fategrandorder.fandom.com/wiki/Free_Quests:_Anastasia" TargetMode="External"/><Relationship Id="rId185" Type="http://schemas.openxmlformats.org/officeDocument/2006/relationships/hyperlink" Target="https://fategrandorder.fandom.com/wiki/Free_Quests:_Anastasia" TargetMode="External"/><Relationship Id="rId184" Type="http://schemas.openxmlformats.org/officeDocument/2006/relationships/hyperlink" Target="https://fategrandorder.fandom.com/wiki/Free_Quests:_Anastasia" TargetMode="External"/><Relationship Id="rId189" Type="http://schemas.openxmlformats.org/officeDocument/2006/relationships/hyperlink" Target="https://fategrandorder.fandom.com/wiki/Free_Quests:_Anastasia" TargetMode="External"/><Relationship Id="rId188" Type="http://schemas.openxmlformats.org/officeDocument/2006/relationships/hyperlink" Target="https://fategrandorder.fandom.com/wiki/Free_Quests:_Anastasia" TargetMode="External"/><Relationship Id="rId183" Type="http://schemas.openxmlformats.org/officeDocument/2006/relationships/hyperlink" Target="https://fategrandorder.fandom.com/wiki/Free_Quests:_Anastasia" TargetMode="External"/><Relationship Id="rId182" Type="http://schemas.openxmlformats.org/officeDocument/2006/relationships/hyperlink" Target="https://fategrandorder.fandom.com/wiki/Free_Quests:_Anastasia" TargetMode="External"/><Relationship Id="rId181" Type="http://schemas.openxmlformats.org/officeDocument/2006/relationships/hyperlink" Target="https://fategrandorder.fandom.com/wiki/Free_Quests:_Anastasia" TargetMode="External"/><Relationship Id="rId180" Type="http://schemas.openxmlformats.org/officeDocument/2006/relationships/hyperlink" Target="https://fategrandorder.fandom.com/wiki/Free_Quests:_Anastasia" TargetMode="External"/><Relationship Id="rId176" Type="http://schemas.openxmlformats.org/officeDocument/2006/relationships/hyperlink" Target="https://fategrandorder.fandom.com/wiki/Free_Quests:_Salem" TargetMode="External"/><Relationship Id="rId297" Type="http://schemas.openxmlformats.org/officeDocument/2006/relationships/table" Target="../tables/table40.xml"/><Relationship Id="rId175" Type="http://schemas.openxmlformats.org/officeDocument/2006/relationships/hyperlink" Target="https://fategrandorder.fandom.com/wiki/Free_Quests:_Salem" TargetMode="External"/><Relationship Id="rId296" Type="http://schemas.openxmlformats.org/officeDocument/2006/relationships/table" Target="../tables/table39.xml"/><Relationship Id="rId174" Type="http://schemas.openxmlformats.org/officeDocument/2006/relationships/hyperlink" Target="https://fategrandorder.fandom.com/wiki/Free_Quests:_Salem" TargetMode="External"/><Relationship Id="rId295" Type="http://schemas.openxmlformats.org/officeDocument/2006/relationships/table" Target="../tables/table38.xml"/><Relationship Id="rId173" Type="http://schemas.openxmlformats.org/officeDocument/2006/relationships/hyperlink" Target="https://fategrandorder.fandom.com/wiki/Free_Quests:_Salem" TargetMode="External"/><Relationship Id="rId294" Type="http://schemas.openxmlformats.org/officeDocument/2006/relationships/table" Target="../tables/table37.xml"/><Relationship Id="rId179" Type="http://schemas.openxmlformats.org/officeDocument/2006/relationships/hyperlink" Target="https://fategrandorder.fandom.com/wiki/Free_Quests:_Anastasia" TargetMode="External"/><Relationship Id="rId178" Type="http://schemas.openxmlformats.org/officeDocument/2006/relationships/hyperlink" Target="https://fategrandorder.fandom.com/wiki/Free_Quests:_Salem" TargetMode="External"/><Relationship Id="rId299" Type="http://schemas.openxmlformats.org/officeDocument/2006/relationships/table" Target="../tables/table42.xml"/><Relationship Id="rId177" Type="http://schemas.openxmlformats.org/officeDocument/2006/relationships/hyperlink" Target="https://fategrandorder.fandom.com/wiki/Free_Quests:_Salem" TargetMode="External"/><Relationship Id="rId298" Type="http://schemas.openxmlformats.org/officeDocument/2006/relationships/table" Target="../tables/table41.xml"/><Relationship Id="rId198" Type="http://schemas.openxmlformats.org/officeDocument/2006/relationships/hyperlink" Target="https://fategrandorder.fandom.com/wiki/Free_Quests:_G%C3%B6tterd%C3%A4mmerung" TargetMode="External"/><Relationship Id="rId197" Type="http://schemas.openxmlformats.org/officeDocument/2006/relationships/hyperlink" Target="https://fategrandorder.fandom.com/wiki/Free_Quests:_G%C3%B6tterd%C3%A4mmerung" TargetMode="External"/><Relationship Id="rId196" Type="http://schemas.openxmlformats.org/officeDocument/2006/relationships/hyperlink" Target="https://fategrandorder.fandom.com/wiki/Free_Quests:_G%C3%B6tterd%C3%A4mmerung" TargetMode="External"/><Relationship Id="rId195" Type="http://schemas.openxmlformats.org/officeDocument/2006/relationships/hyperlink" Target="https://fategrandorder.fandom.com/wiki/Free_Quests:_G%C3%B6tterd%C3%A4mmerung" TargetMode="External"/><Relationship Id="rId199" Type="http://schemas.openxmlformats.org/officeDocument/2006/relationships/hyperlink" Target="https://fategrandorder.fandom.com/wiki/Free_Quests:_G%C3%B6tterd%C3%A4mmerung" TargetMode="External"/><Relationship Id="rId150" Type="http://schemas.openxmlformats.org/officeDocument/2006/relationships/hyperlink" Target="https://fategrandorder.fandom.com/wiki/Free_Quests:_Agartha" TargetMode="External"/><Relationship Id="rId1" Type="http://schemas.openxmlformats.org/officeDocument/2006/relationships/hyperlink" Target="https://fategrandorder.fandom.com/wiki/Monday_Daily_Quests" TargetMode="External"/><Relationship Id="rId2" Type="http://schemas.openxmlformats.org/officeDocument/2006/relationships/hyperlink" Target="https://fategrandorder.fandom.com/wiki/Monday_Daily_Quests" TargetMode="External"/><Relationship Id="rId3" Type="http://schemas.openxmlformats.org/officeDocument/2006/relationships/hyperlink" Target="https://fategrandorder.fandom.com/wiki/Monday_Daily_Quests" TargetMode="External"/><Relationship Id="rId149" Type="http://schemas.openxmlformats.org/officeDocument/2006/relationships/hyperlink" Target="https://fategrandorder.fandom.com/wiki/Free_Quests:_Agartha" TargetMode="External"/><Relationship Id="rId4" Type="http://schemas.openxmlformats.org/officeDocument/2006/relationships/hyperlink" Target="https://fategrandorder.fandom.com/wiki/Monday_Daily_Quests" TargetMode="External"/><Relationship Id="rId148" Type="http://schemas.openxmlformats.org/officeDocument/2006/relationships/hyperlink" Target="https://fategrandorder.fandom.com/wiki/Free_Quests:_Agartha" TargetMode="External"/><Relationship Id="rId9" Type="http://schemas.openxmlformats.org/officeDocument/2006/relationships/hyperlink" Target="https://fategrandorder.fandom.com/wiki/Wednesday_Daily_Quests" TargetMode="External"/><Relationship Id="rId143" Type="http://schemas.openxmlformats.org/officeDocument/2006/relationships/hyperlink" Target="https://fategrandorder.fandom.com/wiki/Free_Quests:_Shinjuku" TargetMode="External"/><Relationship Id="rId142" Type="http://schemas.openxmlformats.org/officeDocument/2006/relationships/hyperlink" Target="https://fategrandorder.fandom.com/wiki/Free_Quests:_Shinjuku" TargetMode="External"/><Relationship Id="rId141" Type="http://schemas.openxmlformats.org/officeDocument/2006/relationships/hyperlink" Target="https://fategrandorder.fandom.com/wiki/Free_Quests:_Shinjuku" TargetMode="External"/><Relationship Id="rId140" Type="http://schemas.openxmlformats.org/officeDocument/2006/relationships/hyperlink" Target="https://fategrandorder.fandom.com/wiki/Free_Quests:_Shinjuku" TargetMode="External"/><Relationship Id="rId5" Type="http://schemas.openxmlformats.org/officeDocument/2006/relationships/hyperlink" Target="https://fategrandorder.fandom.com/wiki/Tuesday_Daily_Quests" TargetMode="External"/><Relationship Id="rId147" Type="http://schemas.openxmlformats.org/officeDocument/2006/relationships/hyperlink" Target="https://fategrandorder.fandom.com/wiki/Free_Quests:_Agartha" TargetMode="External"/><Relationship Id="rId6" Type="http://schemas.openxmlformats.org/officeDocument/2006/relationships/hyperlink" Target="https://fategrandorder.fandom.com/wiki/Tuesday_Daily_Quests" TargetMode="External"/><Relationship Id="rId146" Type="http://schemas.openxmlformats.org/officeDocument/2006/relationships/hyperlink" Target="https://fategrandorder.fandom.com/wiki/Free_Quests:_Shinjuku" TargetMode="External"/><Relationship Id="rId7" Type="http://schemas.openxmlformats.org/officeDocument/2006/relationships/hyperlink" Target="https://fategrandorder.fandom.com/wiki/Tuesday_Daily_Quests" TargetMode="External"/><Relationship Id="rId145" Type="http://schemas.openxmlformats.org/officeDocument/2006/relationships/hyperlink" Target="https://fategrandorder.fandom.com/wiki/Free_Quests:_Shinjuku" TargetMode="External"/><Relationship Id="rId8" Type="http://schemas.openxmlformats.org/officeDocument/2006/relationships/hyperlink" Target="https://fategrandorder.fandom.com/wiki/Tuesday_Daily_Quests" TargetMode="External"/><Relationship Id="rId144" Type="http://schemas.openxmlformats.org/officeDocument/2006/relationships/hyperlink" Target="https://fategrandorder.fandom.com/wiki/Free_Quests:_Shinjuku" TargetMode="External"/><Relationship Id="rId139" Type="http://schemas.openxmlformats.org/officeDocument/2006/relationships/hyperlink" Target="https://fategrandorder.fandom.com/wiki/Free_Quests:_Shinjuku" TargetMode="External"/><Relationship Id="rId138" Type="http://schemas.openxmlformats.org/officeDocument/2006/relationships/hyperlink" Target="https://fategrandorder.fandom.com/wiki/Free_Quests:_Shinjuku" TargetMode="External"/><Relationship Id="rId137" Type="http://schemas.openxmlformats.org/officeDocument/2006/relationships/hyperlink" Target="https://fategrandorder.fandom.com/wiki/Free_Quests:_Shinjuku" TargetMode="External"/><Relationship Id="rId258" Type="http://schemas.openxmlformats.org/officeDocument/2006/relationships/drawing" Target="../drawings/drawing4.xml"/><Relationship Id="rId132" Type="http://schemas.openxmlformats.org/officeDocument/2006/relationships/hyperlink" Target="https://fategrandorder.fandom.com/wiki/Free_Quests:_Babylonia" TargetMode="External"/><Relationship Id="rId253" Type="http://schemas.openxmlformats.org/officeDocument/2006/relationships/hyperlink" Target="https://fategrandorder.fandom.com/wiki/Free_Quests:_Heian-ky%C5%8D" TargetMode="External"/><Relationship Id="rId131" Type="http://schemas.openxmlformats.org/officeDocument/2006/relationships/hyperlink" Target="https://fategrandorder.fandom.com/wiki/Free_Quests:_Babylonia" TargetMode="External"/><Relationship Id="rId252" Type="http://schemas.openxmlformats.org/officeDocument/2006/relationships/hyperlink" Target="https://fategrandorder.fandom.com/wiki/Free_Quests:_Heian-ky%C5%8D" TargetMode="External"/><Relationship Id="rId130" Type="http://schemas.openxmlformats.org/officeDocument/2006/relationships/hyperlink" Target="https://fategrandorder.fandom.com/wiki/Free_Quests:_Babylonia" TargetMode="External"/><Relationship Id="rId251" Type="http://schemas.openxmlformats.org/officeDocument/2006/relationships/hyperlink" Target="https://fategrandorder.fandom.com/wiki/Free_Quests:_Heian-ky%C5%8D" TargetMode="External"/><Relationship Id="rId250" Type="http://schemas.openxmlformats.org/officeDocument/2006/relationships/hyperlink" Target="https://fategrandorder.fandom.com/wiki/Free_Quests:_Heian-ky%C5%8D" TargetMode="External"/><Relationship Id="rId136" Type="http://schemas.openxmlformats.org/officeDocument/2006/relationships/hyperlink" Target="https://fategrandorder.fandom.com/wiki/Free_Quests:_Babylonia" TargetMode="External"/><Relationship Id="rId257" Type="http://schemas.openxmlformats.org/officeDocument/2006/relationships/hyperlink" Target="https://fategrandorder.fandom.com/wiki/Free_Quests:_Heian-ky%C5%8D" TargetMode="External"/><Relationship Id="rId135" Type="http://schemas.openxmlformats.org/officeDocument/2006/relationships/hyperlink" Target="https://fategrandorder.fandom.com/wiki/Free_Quests:_Babylonia" TargetMode="External"/><Relationship Id="rId256" Type="http://schemas.openxmlformats.org/officeDocument/2006/relationships/hyperlink" Target="https://fategrandorder.fandom.com/wiki/Free_Quests:_Heian-ky%C5%8D" TargetMode="External"/><Relationship Id="rId134" Type="http://schemas.openxmlformats.org/officeDocument/2006/relationships/hyperlink" Target="https://fategrandorder.fandom.com/wiki/Free_Quests:_Babylonia" TargetMode="External"/><Relationship Id="rId255" Type="http://schemas.openxmlformats.org/officeDocument/2006/relationships/hyperlink" Target="https://fategrandorder.fandom.com/wiki/Free_Quests:_Heian-ky%C5%8D" TargetMode="External"/><Relationship Id="rId133" Type="http://schemas.openxmlformats.org/officeDocument/2006/relationships/hyperlink" Target="https://fategrandorder.fandom.com/wiki/Free_Quests:_Babylonia" TargetMode="External"/><Relationship Id="rId254" Type="http://schemas.openxmlformats.org/officeDocument/2006/relationships/hyperlink" Target="https://fategrandorder.fandom.com/wiki/Free_Quests:_Heian-ky%C5%8D" TargetMode="External"/><Relationship Id="rId172" Type="http://schemas.openxmlformats.org/officeDocument/2006/relationships/hyperlink" Target="https://fategrandorder.fandom.com/wiki/Free_Quests:_Salem" TargetMode="External"/><Relationship Id="rId293" Type="http://schemas.openxmlformats.org/officeDocument/2006/relationships/table" Target="../tables/table36.xml"/><Relationship Id="rId171" Type="http://schemas.openxmlformats.org/officeDocument/2006/relationships/hyperlink" Target="https://fategrandorder.fandom.com/wiki/Free_Quests:_Salem" TargetMode="External"/><Relationship Id="rId292" Type="http://schemas.openxmlformats.org/officeDocument/2006/relationships/table" Target="../tables/table35.xml"/><Relationship Id="rId170" Type="http://schemas.openxmlformats.org/officeDocument/2006/relationships/hyperlink" Target="https://fategrandorder.fandom.com/wiki/Free_Quests:_Salem" TargetMode="External"/><Relationship Id="rId291" Type="http://schemas.openxmlformats.org/officeDocument/2006/relationships/table" Target="../tables/table34.xml"/><Relationship Id="rId290" Type="http://schemas.openxmlformats.org/officeDocument/2006/relationships/table" Target="../tables/table33.xml"/><Relationship Id="rId165" Type="http://schemas.openxmlformats.org/officeDocument/2006/relationships/hyperlink" Target="https://fategrandorder.fandom.com/wiki/Free_Quests:_Shimosa" TargetMode="External"/><Relationship Id="rId286" Type="http://schemas.openxmlformats.org/officeDocument/2006/relationships/table" Target="../tables/table29.xml"/><Relationship Id="rId164" Type="http://schemas.openxmlformats.org/officeDocument/2006/relationships/hyperlink" Target="https://fategrandorder.fandom.com/wiki/Free_Quests:_Shimosa" TargetMode="External"/><Relationship Id="rId285" Type="http://schemas.openxmlformats.org/officeDocument/2006/relationships/table" Target="../tables/table28.xml"/><Relationship Id="rId163" Type="http://schemas.openxmlformats.org/officeDocument/2006/relationships/hyperlink" Target="https://fategrandorder.fandom.com/wiki/Free_Quests:_Shimosa" TargetMode="External"/><Relationship Id="rId284" Type="http://schemas.openxmlformats.org/officeDocument/2006/relationships/table" Target="../tables/table27.xml"/><Relationship Id="rId162" Type="http://schemas.openxmlformats.org/officeDocument/2006/relationships/hyperlink" Target="https://fategrandorder.fandom.com/wiki/Free_Quests:_Shimosa" TargetMode="External"/><Relationship Id="rId283" Type="http://schemas.openxmlformats.org/officeDocument/2006/relationships/table" Target="../tables/table26.xml"/><Relationship Id="rId169" Type="http://schemas.openxmlformats.org/officeDocument/2006/relationships/hyperlink" Target="https://fategrandorder.fandom.com/wiki/Free_Quests:_Salem" TargetMode="External"/><Relationship Id="rId168" Type="http://schemas.openxmlformats.org/officeDocument/2006/relationships/hyperlink" Target="https://fategrandorder.fandom.com/wiki/Free_Quests:_Salem" TargetMode="External"/><Relationship Id="rId289" Type="http://schemas.openxmlformats.org/officeDocument/2006/relationships/table" Target="../tables/table32.xml"/><Relationship Id="rId167" Type="http://schemas.openxmlformats.org/officeDocument/2006/relationships/hyperlink" Target="https://fategrandorder.fandom.com/wiki/Free_Quests:_Shimosa" TargetMode="External"/><Relationship Id="rId288" Type="http://schemas.openxmlformats.org/officeDocument/2006/relationships/table" Target="../tables/table31.xml"/><Relationship Id="rId166" Type="http://schemas.openxmlformats.org/officeDocument/2006/relationships/hyperlink" Target="https://fategrandorder.fandom.com/wiki/Free_Quests:_Shimosa" TargetMode="External"/><Relationship Id="rId287" Type="http://schemas.openxmlformats.org/officeDocument/2006/relationships/table" Target="../tables/table30.xml"/><Relationship Id="rId161" Type="http://schemas.openxmlformats.org/officeDocument/2006/relationships/hyperlink" Target="https://fategrandorder.fandom.com/wiki/Free_Quests:_Shimosa" TargetMode="External"/><Relationship Id="rId282" Type="http://schemas.openxmlformats.org/officeDocument/2006/relationships/table" Target="../tables/table25.xml"/><Relationship Id="rId160" Type="http://schemas.openxmlformats.org/officeDocument/2006/relationships/hyperlink" Target="https://fategrandorder.fandom.com/wiki/Free_Quests:_Shimosa" TargetMode="External"/><Relationship Id="rId281" Type="http://schemas.openxmlformats.org/officeDocument/2006/relationships/table" Target="../tables/table24.xml"/><Relationship Id="rId280" Type="http://schemas.openxmlformats.org/officeDocument/2006/relationships/table" Target="../tables/table23.xml"/><Relationship Id="rId159" Type="http://schemas.openxmlformats.org/officeDocument/2006/relationships/hyperlink" Target="https://fategrandorder.fandom.com/wiki/Free_Quests:_Shimosa" TargetMode="External"/><Relationship Id="rId154" Type="http://schemas.openxmlformats.org/officeDocument/2006/relationships/hyperlink" Target="https://fategrandorder.fandom.com/wiki/Free_Quests:_Agartha" TargetMode="External"/><Relationship Id="rId153" Type="http://schemas.openxmlformats.org/officeDocument/2006/relationships/hyperlink" Target="https://fategrandorder.fandom.com/wiki/Free_Quests:_Agartha" TargetMode="External"/><Relationship Id="rId152" Type="http://schemas.openxmlformats.org/officeDocument/2006/relationships/hyperlink" Target="https://fategrandorder.fandom.com/wiki/Free_Quests:_Agartha" TargetMode="External"/><Relationship Id="rId151" Type="http://schemas.openxmlformats.org/officeDocument/2006/relationships/hyperlink" Target="https://fategrandorder.fandom.com/wiki/Free_Quests:_Agartha" TargetMode="External"/><Relationship Id="rId158" Type="http://schemas.openxmlformats.org/officeDocument/2006/relationships/hyperlink" Target="https://fategrandorder.fandom.com/wiki/Free_Quests:_Agartha" TargetMode="External"/><Relationship Id="rId157" Type="http://schemas.openxmlformats.org/officeDocument/2006/relationships/hyperlink" Target="https://fategrandorder.fandom.com/wiki/Free_Quests:_Agartha" TargetMode="External"/><Relationship Id="rId156" Type="http://schemas.openxmlformats.org/officeDocument/2006/relationships/hyperlink" Target="https://fategrandorder.fandom.com/wiki/Free_Quests:_Agartha" TargetMode="External"/><Relationship Id="rId155" Type="http://schemas.openxmlformats.org/officeDocument/2006/relationships/hyperlink" Target="https://fategrandorder.fandom.com/wiki/Free_Quests:_Agartha" TargetMode="External"/><Relationship Id="rId40" Type="http://schemas.openxmlformats.org/officeDocument/2006/relationships/hyperlink" Target="https://fategrandorder.fandom.com/wiki/Saturday_Daily_Quests" TargetMode="External"/><Relationship Id="rId42" Type="http://schemas.openxmlformats.org/officeDocument/2006/relationships/hyperlink" Target="https://fategrandorder.fandom.com/wiki/Sunday_Daily_Quests" TargetMode="External"/><Relationship Id="rId41" Type="http://schemas.openxmlformats.org/officeDocument/2006/relationships/hyperlink" Target="https://fategrandorder.fandom.com/wiki/Sunday_Daily_Quests" TargetMode="External"/><Relationship Id="rId44" Type="http://schemas.openxmlformats.org/officeDocument/2006/relationships/hyperlink" Target="https://fategrandorder.fandom.com/wiki/Sunday_Daily_Quests" TargetMode="External"/><Relationship Id="rId43" Type="http://schemas.openxmlformats.org/officeDocument/2006/relationships/hyperlink" Target="https://fategrandorder.fandom.com/wiki/Sunday_Daily_Quests" TargetMode="External"/><Relationship Id="rId46" Type="http://schemas.openxmlformats.org/officeDocument/2006/relationships/hyperlink" Target="https://fategrandorder.fandom.com/wiki/Free_Quests:_Fuyuki" TargetMode="External"/><Relationship Id="rId45" Type="http://schemas.openxmlformats.org/officeDocument/2006/relationships/hyperlink" Target="https://fategrandorder.fandom.com/wiki/Free_Quests:_Fuyuki" TargetMode="External"/><Relationship Id="rId48" Type="http://schemas.openxmlformats.org/officeDocument/2006/relationships/hyperlink" Target="https://fategrandorder.fandom.com/wiki/Free_Quests:_Fuyuki" TargetMode="External"/><Relationship Id="rId47" Type="http://schemas.openxmlformats.org/officeDocument/2006/relationships/hyperlink" Target="https://fategrandorder.fandom.com/wiki/Free_Quests:_Fuyuki" TargetMode="External"/><Relationship Id="rId49" Type="http://schemas.openxmlformats.org/officeDocument/2006/relationships/hyperlink" Target="https://fategrandorder.fandom.com/wiki/Free_Quests:_Fuyuki" TargetMode="External"/><Relationship Id="rId31" Type="http://schemas.openxmlformats.org/officeDocument/2006/relationships/hyperlink" Target="https://fategrandorder.fandom.com/wiki/Thursday_Daily_Quests" TargetMode="External"/><Relationship Id="rId30" Type="http://schemas.openxmlformats.org/officeDocument/2006/relationships/hyperlink" Target="https://fategrandorder.fandom.com/wiki/Thursday_Daily_Quests" TargetMode="External"/><Relationship Id="rId33" Type="http://schemas.openxmlformats.org/officeDocument/2006/relationships/hyperlink" Target="https://fategrandorder.fandom.com/wiki/Friday_Daily_Quests" TargetMode="External"/><Relationship Id="rId32" Type="http://schemas.openxmlformats.org/officeDocument/2006/relationships/hyperlink" Target="https://fategrandorder.fandom.com/wiki/Thursday_Daily_Quests" TargetMode="External"/><Relationship Id="rId35" Type="http://schemas.openxmlformats.org/officeDocument/2006/relationships/hyperlink" Target="https://fategrandorder.fandom.com/wiki/Friday_Daily_Quests" TargetMode="External"/><Relationship Id="rId34" Type="http://schemas.openxmlformats.org/officeDocument/2006/relationships/hyperlink" Target="https://fategrandorder.fandom.com/wiki/Friday_Daily_Quests" TargetMode="External"/><Relationship Id="rId37" Type="http://schemas.openxmlformats.org/officeDocument/2006/relationships/hyperlink" Target="https://fategrandorder.fandom.com/wiki/Saturday_Daily_Quests" TargetMode="External"/><Relationship Id="rId36" Type="http://schemas.openxmlformats.org/officeDocument/2006/relationships/hyperlink" Target="https://fategrandorder.fandom.com/wiki/Friday_Daily_Quests" TargetMode="External"/><Relationship Id="rId39" Type="http://schemas.openxmlformats.org/officeDocument/2006/relationships/hyperlink" Target="https://fategrandorder.fandom.com/wiki/Saturday_Daily_Quests" TargetMode="External"/><Relationship Id="rId38" Type="http://schemas.openxmlformats.org/officeDocument/2006/relationships/hyperlink" Target="https://fategrandorder.fandom.com/wiki/Saturday_Daily_Quests" TargetMode="External"/><Relationship Id="rId20" Type="http://schemas.openxmlformats.org/officeDocument/2006/relationships/hyperlink" Target="https://fategrandorder.fandom.com/wiki/Monday_Daily_Quests" TargetMode="External"/><Relationship Id="rId22" Type="http://schemas.openxmlformats.org/officeDocument/2006/relationships/hyperlink" Target="https://fategrandorder.fandom.com/wiki/Tuesday_Daily_Quests" TargetMode="External"/><Relationship Id="rId21" Type="http://schemas.openxmlformats.org/officeDocument/2006/relationships/hyperlink" Target="https://fategrandorder.fandom.com/wiki/Tuesday_Daily_Quests" TargetMode="External"/><Relationship Id="rId24" Type="http://schemas.openxmlformats.org/officeDocument/2006/relationships/hyperlink" Target="https://fategrandorder.fandom.com/wiki/Tuesday_Daily_Quests" TargetMode="External"/><Relationship Id="rId23" Type="http://schemas.openxmlformats.org/officeDocument/2006/relationships/hyperlink" Target="https://fategrandorder.fandom.com/wiki/Tuesday_Daily_Quests" TargetMode="External"/><Relationship Id="rId26" Type="http://schemas.openxmlformats.org/officeDocument/2006/relationships/hyperlink" Target="https://fategrandorder.fandom.com/wiki/Wednesday_Daily_Quests" TargetMode="External"/><Relationship Id="rId25" Type="http://schemas.openxmlformats.org/officeDocument/2006/relationships/hyperlink" Target="https://fategrandorder.fandom.com/wiki/Wednesday_Daily_Quests" TargetMode="External"/><Relationship Id="rId28" Type="http://schemas.openxmlformats.org/officeDocument/2006/relationships/hyperlink" Target="https://fategrandorder.fandom.com/wiki/Wednesday_Daily_Quests" TargetMode="External"/><Relationship Id="rId27" Type="http://schemas.openxmlformats.org/officeDocument/2006/relationships/hyperlink" Target="https://fategrandorder.fandom.com/wiki/Wednesday_Daily_Quests" TargetMode="External"/><Relationship Id="rId29" Type="http://schemas.openxmlformats.org/officeDocument/2006/relationships/hyperlink" Target="https://fategrandorder.fandom.com/wiki/Thursday_Daily_Quests" TargetMode="External"/><Relationship Id="rId11" Type="http://schemas.openxmlformats.org/officeDocument/2006/relationships/hyperlink" Target="https://fategrandorder.fandom.com/wiki/Wednesday_Daily_Quests" TargetMode="External"/><Relationship Id="rId10" Type="http://schemas.openxmlformats.org/officeDocument/2006/relationships/hyperlink" Target="https://fategrandorder.fandom.com/wiki/Wednesday_Daily_Quests" TargetMode="External"/><Relationship Id="rId13" Type="http://schemas.openxmlformats.org/officeDocument/2006/relationships/hyperlink" Target="https://fategrandorder.fandom.com/wiki/Sunday_Daily_Quests" TargetMode="External"/><Relationship Id="rId12" Type="http://schemas.openxmlformats.org/officeDocument/2006/relationships/hyperlink" Target="https://fategrandorder.fandom.com/wiki/Wednesday_Daily_Quests" TargetMode="External"/><Relationship Id="rId15" Type="http://schemas.openxmlformats.org/officeDocument/2006/relationships/hyperlink" Target="https://fategrandorder.fandom.com/wiki/Sunday_Daily_Quests" TargetMode="External"/><Relationship Id="rId14" Type="http://schemas.openxmlformats.org/officeDocument/2006/relationships/hyperlink" Target="https://fategrandorder.fandom.com/wiki/Sunday_Daily_Quests" TargetMode="External"/><Relationship Id="rId17" Type="http://schemas.openxmlformats.org/officeDocument/2006/relationships/hyperlink" Target="https://fategrandorder.fandom.com/wiki/Monday_Daily_Quests" TargetMode="External"/><Relationship Id="rId16" Type="http://schemas.openxmlformats.org/officeDocument/2006/relationships/hyperlink" Target="https://fategrandorder.fandom.com/wiki/Sunday_Daily_Quests" TargetMode="External"/><Relationship Id="rId19" Type="http://schemas.openxmlformats.org/officeDocument/2006/relationships/hyperlink" Target="https://fategrandorder.fandom.com/wiki/Monday_Daily_Quests" TargetMode="External"/><Relationship Id="rId18" Type="http://schemas.openxmlformats.org/officeDocument/2006/relationships/hyperlink" Target="https://fategrandorder.fandom.com/wiki/Monday_Daily_Quests" TargetMode="External"/><Relationship Id="rId84" Type="http://schemas.openxmlformats.org/officeDocument/2006/relationships/hyperlink" Target="https://fategrandorder.fandom.com/wiki/Free_Quests:_Okeanos" TargetMode="External"/><Relationship Id="rId83" Type="http://schemas.openxmlformats.org/officeDocument/2006/relationships/hyperlink" Target="https://fategrandorder.fandom.com/wiki/Free_Quests:_Okeanos" TargetMode="External"/><Relationship Id="rId86" Type="http://schemas.openxmlformats.org/officeDocument/2006/relationships/hyperlink" Target="https://fategrandorder.fandom.com/wiki/Free_Quests:_London" TargetMode="External"/><Relationship Id="rId85" Type="http://schemas.openxmlformats.org/officeDocument/2006/relationships/hyperlink" Target="https://fategrandorder.fandom.com/wiki/Free_Quests:_Okeanos" TargetMode="External"/><Relationship Id="rId88" Type="http://schemas.openxmlformats.org/officeDocument/2006/relationships/hyperlink" Target="https://fategrandorder.fandom.com/wiki/Free_Quests:_London" TargetMode="External"/><Relationship Id="rId87" Type="http://schemas.openxmlformats.org/officeDocument/2006/relationships/hyperlink" Target="https://fategrandorder.fandom.com/wiki/Free_Quests:_London" TargetMode="External"/><Relationship Id="rId89" Type="http://schemas.openxmlformats.org/officeDocument/2006/relationships/hyperlink" Target="https://fategrandorder.fandom.com/wiki/Free_Quests:_London" TargetMode="External"/><Relationship Id="rId80" Type="http://schemas.openxmlformats.org/officeDocument/2006/relationships/hyperlink" Target="https://fategrandorder.fandom.com/wiki/Free_Quests:_Okeanos" TargetMode="External"/><Relationship Id="rId82" Type="http://schemas.openxmlformats.org/officeDocument/2006/relationships/hyperlink" Target="https://fategrandorder.fandom.com/wiki/Free_Quests:_Okeanos" TargetMode="External"/><Relationship Id="rId81" Type="http://schemas.openxmlformats.org/officeDocument/2006/relationships/hyperlink" Target="https://fategrandorder.fandom.com/wiki/Free_Quests:_Okeanos" TargetMode="External"/><Relationship Id="rId73" Type="http://schemas.openxmlformats.org/officeDocument/2006/relationships/hyperlink" Target="https://fategrandorder.fandom.com/wiki/Free_Quests:_Septem" TargetMode="External"/><Relationship Id="rId72" Type="http://schemas.openxmlformats.org/officeDocument/2006/relationships/hyperlink" Target="https://fategrandorder.fandom.com/wiki/Free_Quests:_Septem" TargetMode="External"/><Relationship Id="rId75" Type="http://schemas.openxmlformats.org/officeDocument/2006/relationships/hyperlink" Target="https://fategrandorder.fandom.com/wiki/Free_Quests:_Okeanos" TargetMode="External"/><Relationship Id="rId74" Type="http://schemas.openxmlformats.org/officeDocument/2006/relationships/hyperlink" Target="https://fategrandorder.fandom.com/wiki/Free_Quests:_Okeanos" TargetMode="External"/><Relationship Id="rId77" Type="http://schemas.openxmlformats.org/officeDocument/2006/relationships/hyperlink" Target="https://fategrandorder.fandom.com/wiki/Free_Quests:_Okeanos" TargetMode="External"/><Relationship Id="rId76" Type="http://schemas.openxmlformats.org/officeDocument/2006/relationships/hyperlink" Target="https://fategrandorder.fandom.com/wiki/Free_Quests:_Okeanos" TargetMode="External"/><Relationship Id="rId79" Type="http://schemas.openxmlformats.org/officeDocument/2006/relationships/hyperlink" Target="https://fategrandorder.fandom.com/wiki/Free_Quests:_Okeanos" TargetMode="External"/><Relationship Id="rId78" Type="http://schemas.openxmlformats.org/officeDocument/2006/relationships/hyperlink" Target="https://fategrandorder.fandom.com/wiki/Free_Quests:_Okeanos" TargetMode="External"/><Relationship Id="rId71" Type="http://schemas.openxmlformats.org/officeDocument/2006/relationships/hyperlink" Target="https://fategrandorder.fandom.com/wiki/Free_Quests:_Septem" TargetMode="External"/><Relationship Id="rId70" Type="http://schemas.openxmlformats.org/officeDocument/2006/relationships/hyperlink" Target="https://fategrandorder.fandom.com/wiki/Free_Quests:_Septem" TargetMode="External"/><Relationship Id="rId62" Type="http://schemas.openxmlformats.org/officeDocument/2006/relationships/hyperlink" Target="https://fategrandorder.fandom.com/wiki/Free_Quests:_Orleans" TargetMode="External"/><Relationship Id="rId61" Type="http://schemas.openxmlformats.org/officeDocument/2006/relationships/hyperlink" Target="https://fategrandorder.fandom.com/wiki/Free_Quests:_Orleans" TargetMode="External"/><Relationship Id="rId64" Type="http://schemas.openxmlformats.org/officeDocument/2006/relationships/hyperlink" Target="https://fategrandorder.fandom.com/wiki/Free_Quests:_Septem" TargetMode="External"/><Relationship Id="rId63" Type="http://schemas.openxmlformats.org/officeDocument/2006/relationships/hyperlink" Target="https://fategrandorder.fandom.com/wiki/Free_Quests:_Septem" TargetMode="External"/><Relationship Id="rId66" Type="http://schemas.openxmlformats.org/officeDocument/2006/relationships/hyperlink" Target="https://fategrandorder.fandom.com/wiki/Free_Quests:_Septem" TargetMode="External"/><Relationship Id="rId65" Type="http://schemas.openxmlformats.org/officeDocument/2006/relationships/hyperlink" Target="https://fategrandorder.fandom.com/wiki/Free_Quests:_Septem" TargetMode="External"/><Relationship Id="rId68" Type="http://schemas.openxmlformats.org/officeDocument/2006/relationships/hyperlink" Target="https://fategrandorder.fandom.com/wiki/Free_Quests:_Septem" TargetMode="External"/><Relationship Id="rId67" Type="http://schemas.openxmlformats.org/officeDocument/2006/relationships/hyperlink" Target="https://fategrandorder.fandom.com/wiki/Free_Quests:_Septem" TargetMode="External"/><Relationship Id="rId60" Type="http://schemas.openxmlformats.org/officeDocument/2006/relationships/hyperlink" Target="https://fategrandorder.fandom.com/wiki/Free_Quests:_Orleans" TargetMode="External"/><Relationship Id="rId69" Type="http://schemas.openxmlformats.org/officeDocument/2006/relationships/hyperlink" Target="https://fategrandorder.fandom.com/wiki/Free_Quests:_Septem" TargetMode="External"/><Relationship Id="rId51" Type="http://schemas.openxmlformats.org/officeDocument/2006/relationships/hyperlink" Target="https://fategrandorder.fandom.com/wiki/Free_Quests:_Fuyuki" TargetMode="External"/><Relationship Id="rId50" Type="http://schemas.openxmlformats.org/officeDocument/2006/relationships/hyperlink" Target="https://fategrandorder.fandom.com/wiki/Free_Quests:_Fuyuki" TargetMode="External"/><Relationship Id="rId53" Type="http://schemas.openxmlformats.org/officeDocument/2006/relationships/hyperlink" Target="https://fategrandorder.fandom.com/wiki/Free_Quests:_Orleans" TargetMode="External"/><Relationship Id="rId52" Type="http://schemas.openxmlformats.org/officeDocument/2006/relationships/hyperlink" Target="https://fategrandorder.fandom.com/wiki/Free_Quests:_Fuyuki" TargetMode="External"/><Relationship Id="rId55" Type="http://schemas.openxmlformats.org/officeDocument/2006/relationships/hyperlink" Target="https://fategrandorder.fandom.com/wiki/Free_Quests:_Orleans" TargetMode="External"/><Relationship Id="rId54" Type="http://schemas.openxmlformats.org/officeDocument/2006/relationships/hyperlink" Target="https://fategrandorder.fandom.com/wiki/Free_Quests:_Orleans" TargetMode="External"/><Relationship Id="rId57" Type="http://schemas.openxmlformats.org/officeDocument/2006/relationships/hyperlink" Target="https://fategrandorder.fandom.com/wiki/Free_Quests:_Orleans" TargetMode="External"/><Relationship Id="rId56" Type="http://schemas.openxmlformats.org/officeDocument/2006/relationships/hyperlink" Target="https://fategrandorder.fandom.com/wiki/Free_Quests:_Orleans" TargetMode="External"/><Relationship Id="rId59" Type="http://schemas.openxmlformats.org/officeDocument/2006/relationships/hyperlink" Target="https://fategrandorder.fandom.com/wiki/Free_Quests:_Orleans" TargetMode="External"/><Relationship Id="rId58" Type="http://schemas.openxmlformats.org/officeDocument/2006/relationships/hyperlink" Target="https://fategrandorder.fandom.com/wiki/Free_Quests:_Orleans" TargetMode="External"/><Relationship Id="rId107" Type="http://schemas.openxmlformats.org/officeDocument/2006/relationships/hyperlink" Target="https://fategrandorder.fandom.com/wiki/Free_Quests:_E_Pluribus_Unum" TargetMode="External"/><Relationship Id="rId228" Type="http://schemas.openxmlformats.org/officeDocument/2006/relationships/hyperlink" Target="https://fategrandorder.fandom.com/wiki/Free_Quests:_Atlantis" TargetMode="External"/><Relationship Id="rId106" Type="http://schemas.openxmlformats.org/officeDocument/2006/relationships/hyperlink" Target="https://fategrandorder.fandom.com/wiki/Free_Quests:_E_Pluribus_Unum" TargetMode="External"/><Relationship Id="rId227" Type="http://schemas.openxmlformats.org/officeDocument/2006/relationships/hyperlink" Target="https://fategrandorder.fandom.com/wiki/Free_Quests:_Atlantis" TargetMode="External"/><Relationship Id="rId105" Type="http://schemas.openxmlformats.org/officeDocument/2006/relationships/hyperlink" Target="https://fategrandorder.fandom.com/wiki/Free_Quests:_E_Pluribus_Unum" TargetMode="External"/><Relationship Id="rId226" Type="http://schemas.openxmlformats.org/officeDocument/2006/relationships/hyperlink" Target="https://fategrandorder.fandom.com/wiki/Free_Quests:_Atlantis" TargetMode="External"/><Relationship Id="rId104" Type="http://schemas.openxmlformats.org/officeDocument/2006/relationships/hyperlink" Target="https://fategrandorder.fandom.com/wiki/Free_Quests:_E_Pluribus_Unum" TargetMode="External"/><Relationship Id="rId225" Type="http://schemas.openxmlformats.org/officeDocument/2006/relationships/hyperlink" Target="https://fategrandorder.fandom.com/wiki/Free_Quests:_Atlantis" TargetMode="External"/><Relationship Id="rId109" Type="http://schemas.openxmlformats.org/officeDocument/2006/relationships/hyperlink" Target="https://fategrandorder.fandom.com/wiki/Free_Quests:_Camelot" TargetMode="External"/><Relationship Id="rId108" Type="http://schemas.openxmlformats.org/officeDocument/2006/relationships/hyperlink" Target="https://fategrandorder.fandom.com/wiki/Free_Quests:_E_Pluribus_Unum" TargetMode="External"/><Relationship Id="rId229" Type="http://schemas.openxmlformats.org/officeDocument/2006/relationships/hyperlink" Target="https://fategrandorder.fandom.com/wiki/Free_Quests:_Atlantis" TargetMode="External"/><Relationship Id="rId220" Type="http://schemas.openxmlformats.org/officeDocument/2006/relationships/hyperlink" Target="https://fategrandorder.fandom.com/wiki/Free_Quests:_Yuga_Kshetra" TargetMode="External"/><Relationship Id="rId103" Type="http://schemas.openxmlformats.org/officeDocument/2006/relationships/hyperlink" Target="https://fategrandorder.fandom.com/wiki/Free_Quests:_E_Pluribus_Unum" TargetMode="External"/><Relationship Id="rId224" Type="http://schemas.openxmlformats.org/officeDocument/2006/relationships/hyperlink" Target="https://fategrandorder.fandom.com/wiki/Free_Quests:_Yuga_Kshetra" TargetMode="External"/><Relationship Id="rId102" Type="http://schemas.openxmlformats.org/officeDocument/2006/relationships/hyperlink" Target="https://fategrandorder.fandom.com/wiki/Free_Quests:_E_Pluribus_Unum" TargetMode="External"/><Relationship Id="rId223" Type="http://schemas.openxmlformats.org/officeDocument/2006/relationships/hyperlink" Target="https://fategrandorder.fandom.com/wiki/Free_Quests:_Yuga_Kshetra" TargetMode="External"/><Relationship Id="rId101" Type="http://schemas.openxmlformats.org/officeDocument/2006/relationships/hyperlink" Target="https://fategrandorder.fandom.com/wiki/Free_Quests:_E_Pluribus_Unum" TargetMode="External"/><Relationship Id="rId222" Type="http://schemas.openxmlformats.org/officeDocument/2006/relationships/hyperlink" Target="https://fategrandorder.fandom.com/wiki/Free_Quests:_Yuga_Kshetra" TargetMode="External"/><Relationship Id="rId100" Type="http://schemas.openxmlformats.org/officeDocument/2006/relationships/hyperlink" Target="https://fategrandorder.fandom.com/wiki/Free_Quests:_E_Pluribus_Unum" TargetMode="External"/><Relationship Id="rId221" Type="http://schemas.openxmlformats.org/officeDocument/2006/relationships/hyperlink" Target="https://fategrandorder.fandom.com/wiki/Free_Quests:_Yuga_Kshetra" TargetMode="External"/><Relationship Id="rId217" Type="http://schemas.openxmlformats.org/officeDocument/2006/relationships/hyperlink" Target="https://fategrandorder.fandom.com/wiki/Free_Quests:_Yuga_Kshetra" TargetMode="External"/><Relationship Id="rId216" Type="http://schemas.openxmlformats.org/officeDocument/2006/relationships/hyperlink" Target="https://fategrandorder.fandom.com/wiki/Free_Quests:_Yuga_Kshetra" TargetMode="External"/><Relationship Id="rId215" Type="http://schemas.openxmlformats.org/officeDocument/2006/relationships/hyperlink" Target="https://fategrandorder.fandom.com/wiki/Free_Quests:_Yuga_Kshetra" TargetMode="External"/><Relationship Id="rId214" Type="http://schemas.openxmlformats.org/officeDocument/2006/relationships/hyperlink" Target="https://fategrandorder.fandom.com/wiki/Free_Quests:_S_I_N" TargetMode="External"/><Relationship Id="rId219" Type="http://schemas.openxmlformats.org/officeDocument/2006/relationships/hyperlink" Target="https://fategrandorder.fandom.com/wiki/Free_Quests:_Yuga_Kshetra" TargetMode="External"/><Relationship Id="rId218" Type="http://schemas.openxmlformats.org/officeDocument/2006/relationships/hyperlink" Target="https://fategrandorder.fandom.com/wiki/Free_Quests:_Yuga_Kshetra" TargetMode="External"/><Relationship Id="rId213" Type="http://schemas.openxmlformats.org/officeDocument/2006/relationships/hyperlink" Target="https://fategrandorder.fandom.com/wiki/Free_Quests:_S_I_N" TargetMode="External"/><Relationship Id="rId212" Type="http://schemas.openxmlformats.org/officeDocument/2006/relationships/hyperlink" Target="https://fategrandorder.fandom.com/wiki/Free_Quests:_S_I_N" TargetMode="External"/><Relationship Id="rId211" Type="http://schemas.openxmlformats.org/officeDocument/2006/relationships/hyperlink" Target="https://fategrandorder.fandom.com/wiki/Free_Quests:_S_I_N" TargetMode="External"/><Relationship Id="rId210" Type="http://schemas.openxmlformats.org/officeDocument/2006/relationships/hyperlink" Target="https://fategrandorder.fandom.com/wiki/Free_Quests:_S_I_N" TargetMode="External"/><Relationship Id="rId129" Type="http://schemas.openxmlformats.org/officeDocument/2006/relationships/hyperlink" Target="https://fategrandorder.fandom.com/wiki/Free_Quests:_Babylonia" TargetMode="External"/><Relationship Id="rId128" Type="http://schemas.openxmlformats.org/officeDocument/2006/relationships/hyperlink" Target="https://fategrandorder.fandom.com/wiki/Free_Quests:_Babylonia" TargetMode="External"/><Relationship Id="rId249" Type="http://schemas.openxmlformats.org/officeDocument/2006/relationships/hyperlink" Target="https://fategrandorder.fandom.com/wiki/Free_Quests:_Heian-ky%C5%8D" TargetMode="External"/><Relationship Id="rId127" Type="http://schemas.openxmlformats.org/officeDocument/2006/relationships/hyperlink" Target="https://fategrandorder.fandom.com/wiki/Free_Quests:_Babylonia" TargetMode="External"/><Relationship Id="rId248" Type="http://schemas.openxmlformats.org/officeDocument/2006/relationships/hyperlink" Target="https://fategrandorder.fandom.com/wiki/Free_Quests:_Heian-ky%C5%8D" TargetMode="External"/><Relationship Id="rId126" Type="http://schemas.openxmlformats.org/officeDocument/2006/relationships/hyperlink" Target="https://fategrandorder.fandom.com/wiki/Free_Quests:_Babylonia" TargetMode="External"/><Relationship Id="rId247" Type="http://schemas.openxmlformats.org/officeDocument/2006/relationships/hyperlink" Target="https://fategrandorder.fandom.com/wiki/Free_Quests:_Heian-ky%C5%8D" TargetMode="External"/><Relationship Id="rId121" Type="http://schemas.openxmlformats.org/officeDocument/2006/relationships/hyperlink" Target="https://fategrandorder.fandom.com/wiki/Free_Quests:_Camelot" TargetMode="External"/><Relationship Id="rId242" Type="http://schemas.openxmlformats.org/officeDocument/2006/relationships/hyperlink" Target="https://fategrandorder.fandom.com/wiki/Free_Quests:_Olympus" TargetMode="External"/><Relationship Id="rId120" Type="http://schemas.openxmlformats.org/officeDocument/2006/relationships/hyperlink" Target="https://fategrandorder.fandom.com/wiki/Free_Quests:_Camelot" TargetMode="External"/><Relationship Id="rId241" Type="http://schemas.openxmlformats.org/officeDocument/2006/relationships/hyperlink" Target="https://fategrandorder.fandom.com/wiki/Free_Quests:_Olympus" TargetMode="External"/><Relationship Id="rId240" Type="http://schemas.openxmlformats.org/officeDocument/2006/relationships/hyperlink" Target="https://fategrandorder.fandom.com/wiki/Free_Quests:_Olympus" TargetMode="External"/><Relationship Id="rId125" Type="http://schemas.openxmlformats.org/officeDocument/2006/relationships/hyperlink" Target="https://fategrandorder.fandom.com/wiki/Free_Quests:_Babylonia" TargetMode="External"/><Relationship Id="rId246" Type="http://schemas.openxmlformats.org/officeDocument/2006/relationships/hyperlink" Target="https://fategrandorder.fandom.com/wiki/Free_Quests:_Heian-ky%C5%8D" TargetMode="External"/><Relationship Id="rId124" Type="http://schemas.openxmlformats.org/officeDocument/2006/relationships/hyperlink" Target="https://fategrandorder.fandom.com/wiki/Free_Quests:_Babylonia" TargetMode="External"/><Relationship Id="rId245" Type="http://schemas.openxmlformats.org/officeDocument/2006/relationships/hyperlink" Target="https://fategrandorder.fandom.com/wiki/Free_Quests:_Heian-ky%C5%8D" TargetMode="External"/><Relationship Id="rId123" Type="http://schemas.openxmlformats.org/officeDocument/2006/relationships/hyperlink" Target="https://fategrandorder.fandom.com/wiki/Free_Quests:_Babylonia" TargetMode="External"/><Relationship Id="rId244" Type="http://schemas.openxmlformats.org/officeDocument/2006/relationships/hyperlink" Target="https://fategrandorder.fandom.com/wiki/Free_Quests:_Olympus" TargetMode="External"/><Relationship Id="rId122" Type="http://schemas.openxmlformats.org/officeDocument/2006/relationships/hyperlink" Target="https://fategrandorder.fandom.com/wiki/Free_Quests:_Camelot" TargetMode="External"/><Relationship Id="rId243" Type="http://schemas.openxmlformats.org/officeDocument/2006/relationships/hyperlink" Target="https://fategrandorder.fandom.com/wiki/Free_Quests:_Olympus" TargetMode="External"/><Relationship Id="rId95" Type="http://schemas.openxmlformats.org/officeDocument/2006/relationships/hyperlink" Target="https://fategrandorder.fandom.com/wiki/Free_Quests:_E_Pluribus_Unum" TargetMode="External"/><Relationship Id="rId94" Type="http://schemas.openxmlformats.org/officeDocument/2006/relationships/hyperlink" Target="https://fategrandorder.fandom.com/wiki/Free_Quests:_London" TargetMode="External"/><Relationship Id="rId97" Type="http://schemas.openxmlformats.org/officeDocument/2006/relationships/hyperlink" Target="https://fategrandorder.fandom.com/wiki/Free_Quests:_E_Pluribus_Unum" TargetMode="External"/><Relationship Id="rId96" Type="http://schemas.openxmlformats.org/officeDocument/2006/relationships/hyperlink" Target="https://fategrandorder.fandom.com/wiki/Free_Quests:_E_Pluribus_Unum" TargetMode="External"/><Relationship Id="rId99" Type="http://schemas.openxmlformats.org/officeDocument/2006/relationships/hyperlink" Target="https://fategrandorder.fandom.com/wiki/Free_Quests:_E_Pluribus_Unum" TargetMode="External"/><Relationship Id="rId98" Type="http://schemas.openxmlformats.org/officeDocument/2006/relationships/hyperlink" Target="https://fategrandorder.fandom.com/wiki/Free_Quests:_E_Pluribus_Unum" TargetMode="External"/><Relationship Id="rId91" Type="http://schemas.openxmlformats.org/officeDocument/2006/relationships/hyperlink" Target="https://fategrandorder.fandom.com/wiki/Free_Quests:_London" TargetMode="External"/><Relationship Id="rId90" Type="http://schemas.openxmlformats.org/officeDocument/2006/relationships/hyperlink" Target="https://fategrandorder.fandom.com/wiki/Free_Quests:_London" TargetMode="External"/><Relationship Id="rId93" Type="http://schemas.openxmlformats.org/officeDocument/2006/relationships/hyperlink" Target="https://fategrandorder.fandom.com/wiki/Free_Quests:_London" TargetMode="External"/><Relationship Id="rId92" Type="http://schemas.openxmlformats.org/officeDocument/2006/relationships/hyperlink" Target="https://fategrandorder.fandom.com/wiki/Free_Quests:_London" TargetMode="External"/><Relationship Id="rId118" Type="http://schemas.openxmlformats.org/officeDocument/2006/relationships/hyperlink" Target="https://fategrandorder.fandom.com/wiki/Free_Quests:_Camelot" TargetMode="External"/><Relationship Id="rId239" Type="http://schemas.openxmlformats.org/officeDocument/2006/relationships/hyperlink" Target="https://fategrandorder.fandom.com/wiki/Free_Quests:_Olympus" TargetMode="External"/><Relationship Id="rId117" Type="http://schemas.openxmlformats.org/officeDocument/2006/relationships/hyperlink" Target="https://fategrandorder.fandom.com/wiki/Free_Quests:_Camelot" TargetMode="External"/><Relationship Id="rId238" Type="http://schemas.openxmlformats.org/officeDocument/2006/relationships/hyperlink" Target="https://fategrandorder.fandom.com/wiki/Free_Quests:_Olympus" TargetMode="External"/><Relationship Id="rId116" Type="http://schemas.openxmlformats.org/officeDocument/2006/relationships/hyperlink" Target="https://fategrandorder.fandom.com/wiki/Free_Quests:_Camelot" TargetMode="External"/><Relationship Id="rId237" Type="http://schemas.openxmlformats.org/officeDocument/2006/relationships/hyperlink" Target="https://fategrandorder.fandom.com/wiki/Free_Quests:_Olympus" TargetMode="External"/><Relationship Id="rId115" Type="http://schemas.openxmlformats.org/officeDocument/2006/relationships/hyperlink" Target="https://fategrandorder.fandom.com/wiki/Free_Quests:_Camelot" TargetMode="External"/><Relationship Id="rId236" Type="http://schemas.openxmlformats.org/officeDocument/2006/relationships/hyperlink" Target="https://fategrandorder.fandom.com/wiki/Free_Quests:_Olympus" TargetMode="External"/><Relationship Id="rId119" Type="http://schemas.openxmlformats.org/officeDocument/2006/relationships/hyperlink" Target="https://fategrandorder.fandom.com/wiki/Free_Quests:_Camelot" TargetMode="External"/><Relationship Id="rId110" Type="http://schemas.openxmlformats.org/officeDocument/2006/relationships/hyperlink" Target="https://fategrandorder.fandom.com/wiki/Free_Quests:_Camelot" TargetMode="External"/><Relationship Id="rId231" Type="http://schemas.openxmlformats.org/officeDocument/2006/relationships/hyperlink" Target="https://fategrandorder.fandom.com/wiki/Free_Quests:_Atlantis" TargetMode="External"/><Relationship Id="rId230" Type="http://schemas.openxmlformats.org/officeDocument/2006/relationships/hyperlink" Target="https://fategrandorder.fandom.com/wiki/Free_Quests:_Atlantis" TargetMode="External"/><Relationship Id="rId114" Type="http://schemas.openxmlformats.org/officeDocument/2006/relationships/hyperlink" Target="https://fategrandorder.fandom.com/wiki/Free_Quests:_Camelot" TargetMode="External"/><Relationship Id="rId235" Type="http://schemas.openxmlformats.org/officeDocument/2006/relationships/hyperlink" Target="https://fategrandorder.fandom.com/wiki/Free_Quests:_Olympus" TargetMode="External"/><Relationship Id="rId113" Type="http://schemas.openxmlformats.org/officeDocument/2006/relationships/hyperlink" Target="https://fategrandorder.fandom.com/wiki/Free_Quests:_Camelot" TargetMode="External"/><Relationship Id="rId234" Type="http://schemas.openxmlformats.org/officeDocument/2006/relationships/hyperlink" Target="https://fategrandorder.fandom.com/wiki/Free_Quests:_Olympus" TargetMode="External"/><Relationship Id="rId112" Type="http://schemas.openxmlformats.org/officeDocument/2006/relationships/hyperlink" Target="https://fategrandorder.fandom.com/wiki/Free_Quests:_Camelot" TargetMode="External"/><Relationship Id="rId233" Type="http://schemas.openxmlformats.org/officeDocument/2006/relationships/hyperlink" Target="https://fategrandorder.fandom.com/wiki/Free_Quests:_Atlantis" TargetMode="External"/><Relationship Id="rId111" Type="http://schemas.openxmlformats.org/officeDocument/2006/relationships/hyperlink" Target="https://fategrandorder.fandom.com/wiki/Free_Quests:_Camelot" TargetMode="External"/><Relationship Id="rId232" Type="http://schemas.openxmlformats.org/officeDocument/2006/relationships/hyperlink" Target="https://fategrandorder.fandom.com/wiki/Free_Quests:_Atlantis" TargetMode="External"/><Relationship Id="rId300" Type="http://schemas.openxmlformats.org/officeDocument/2006/relationships/table" Target="../tables/table43.xml"/><Relationship Id="rId206" Type="http://schemas.openxmlformats.org/officeDocument/2006/relationships/hyperlink" Target="https://fategrandorder.fandom.com/wiki/Free_Quests:_S_I_N" TargetMode="External"/><Relationship Id="rId205" Type="http://schemas.openxmlformats.org/officeDocument/2006/relationships/hyperlink" Target="https://fategrandorder.fandom.com/wiki/Free_Quests:_S_I_N" TargetMode="External"/><Relationship Id="rId204" Type="http://schemas.openxmlformats.org/officeDocument/2006/relationships/hyperlink" Target="https://fategrandorder.fandom.com/wiki/Free_Quests:_S_I_N" TargetMode="External"/><Relationship Id="rId203" Type="http://schemas.openxmlformats.org/officeDocument/2006/relationships/hyperlink" Target="https://fategrandorder.fandom.com/wiki/Free_Quests:_G%C3%B6tterd%C3%A4mmerung" TargetMode="External"/><Relationship Id="rId209" Type="http://schemas.openxmlformats.org/officeDocument/2006/relationships/hyperlink" Target="https://fategrandorder.fandom.com/wiki/Free_Quests:_S_I_N" TargetMode="External"/><Relationship Id="rId208" Type="http://schemas.openxmlformats.org/officeDocument/2006/relationships/hyperlink" Target="https://fategrandorder.fandom.com/wiki/Free_Quests:_S_I_N" TargetMode="External"/><Relationship Id="rId207" Type="http://schemas.openxmlformats.org/officeDocument/2006/relationships/hyperlink" Target="https://fategrandorder.fandom.com/wiki/Free_Quests:_S_I_N" TargetMode="External"/><Relationship Id="rId202" Type="http://schemas.openxmlformats.org/officeDocument/2006/relationships/hyperlink" Target="https://fategrandorder.fandom.com/wiki/Free_Quests:_G%C3%B6tterd%C3%A4mmerung" TargetMode="External"/><Relationship Id="rId201" Type="http://schemas.openxmlformats.org/officeDocument/2006/relationships/hyperlink" Target="https://fategrandorder.fandom.com/wiki/Free_Quests:_G%C3%B6tterd%C3%A4mmerung" TargetMode="External"/><Relationship Id="rId200" Type="http://schemas.openxmlformats.org/officeDocument/2006/relationships/hyperlink" Target="https://fategrandorder.fandom.com/wiki/Free_Quests:_G%C3%B6tterd%C3%A4mmerung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fategrandorder.fandom.com/wiki/Free_Quests:_Anastasia" TargetMode="External"/><Relationship Id="rId194" Type="http://schemas.openxmlformats.org/officeDocument/2006/relationships/hyperlink" Target="https://fategrandorder.fandom.com/wiki/Free_Quests:_S_I_N" TargetMode="External"/><Relationship Id="rId193" Type="http://schemas.openxmlformats.org/officeDocument/2006/relationships/hyperlink" Target="https://fategrandorder.fandom.com/wiki/Free_Quests:_S_I_N" TargetMode="External"/><Relationship Id="rId192" Type="http://schemas.openxmlformats.org/officeDocument/2006/relationships/hyperlink" Target="https://fategrandorder.fandom.com/wiki/Free_Quests:_Babylonia" TargetMode="External"/><Relationship Id="rId191" Type="http://schemas.openxmlformats.org/officeDocument/2006/relationships/hyperlink" Target="https://fategrandorder.fandom.com/wiki/Free_Quests:_Babylonia" TargetMode="External"/><Relationship Id="rId187" Type="http://schemas.openxmlformats.org/officeDocument/2006/relationships/hyperlink" Target="https://fategrandorder.fandom.com/wiki/Free_Quests:_Babylonia" TargetMode="External"/><Relationship Id="rId186" Type="http://schemas.openxmlformats.org/officeDocument/2006/relationships/hyperlink" Target="https://fategrandorder.fandom.com/wiki/Free_Quests:_S_I_N" TargetMode="External"/><Relationship Id="rId185" Type="http://schemas.openxmlformats.org/officeDocument/2006/relationships/hyperlink" Target="https://fategrandorder.fandom.com/wiki/Free_Quests:_S_I_N" TargetMode="External"/><Relationship Id="rId184" Type="http://schemas.openxmlformats.org/officeDocument/2006/relationships/hyperlink" Target="https://fategrandorder.fandom.com/wiki/Free_Quests:_Anastasia" TargetMode="External"/><Relationship Id="rId189" Type="http://schemas.openxmlformats.org/officeDocument/2006/relationships/hyperlink" Target="https://fategrandorder.fandom.com/wiki/Free_Quests:_Anastasia" TargetMode="External"/><Relationship Id="rId188" Type="http://schemas.openxmlformats.org/officeDocument/2006/relationships/hyperlink" Target="https://fategrandorder.fandom.com/wiki/Free_Quests:_Babylonia" TargetMode="External"/><Relationship Id="rId183" Type="http://schemas.openxmlformats.org/officeDocument/2006/relationships/hyperlink" Target="https://fategrandorder.fandom.com/wiki/Free_Quests:_Anastasia" TargetMode="External"/><Relationship Id="rId182" Type="http://schemas.openxmlformats.org/officeDocument/2006/relationships/hyperlink" Target="https://fategrandorder.fandom.com/wiki/Free_Quests:_S_I_N" TargetMode="External"/><Relationship Id="rId181" Type="http://schemas.openxmlformats.org/officeDocument/2006/relationships/hyperlink" Target="https://fategrandorder.fandom.com/wiki/Free_Quests:_S_I_N" TargetMode="External"/><Relationship Id="rId180" Type="http://schemas.openxmlformats.org/officeDocument/2006/relationships/hyperlink" Target="https://fategrandorder.fandom.com/wiki/Free_Quests:_Anastasia" TargetMode="External"/><Relationship Id="rId176" Type="http://schemas.openxmlformats.org/officeDocument/2006/relationships/hyperlink" Target="https://fategrandorder.fandom.com/wiki/Free_Quests:_Babylonia" TargetMode="External"/><Relationship Id="rId297" Type="http://schemas.openxmlformats.org/officeDocument/2006/relationships/hyperlink" Target="https://fategrandorder.fandom.com/wiki/Free_Quests:_Camelot" TargetMode="External"/><Relationship Id="rId175" Type="http://schemas.openxmlformats.org/officeDocument/2006/relationships/hyperlink" Target="https://fategrandorder.fandom.com/wiki/Free_Quests:_Babylonia" TargetMode="External"/><Relationship Id="rId296" Type="http://schemas.openxmlformats.org/officeDocument/2006/relationships/hyperlink" Target="https://fategrandorder.fandom.com/wiki/Free_Quests:_Agartha" TargetMode="External"/><Relationship Id="rId174" Type="http://schemas.openxmlformats.org/officeDocument/2006/relationships/hyperlink" Target="https://fategrandorder.fandom.com/wiki/Free_Quests:_Camelot" TargetMode="External"/><Relationship Id="rId295" Type="http://schemas.openxmlformats.org/officeDocument/2006/relationships/hyperlink" Target="https://fategrandorder.fandom.com/wiki/Free_Quests:_Agartha" TargetMode="External"/><Relationship Id="rId173" Type="http://schemas.openxmlformats.org/officeDocument/2006/relationships/hyperlink" Target="https://fategrandorder.fandom.com/wiki/Free_Quests:_Camelot" TargetMode="External"/><Relationship Id="rId294" Type="http://schemas.openxmlformats.org/officeDocument/2006/relationships/hyperlink" Target="https://fategrandorder.fandom.com/wiki/Saturday_Daily_Quests" TargetMode="External"/><Relationship Id="rId179" Type="http://schemas.openxmlformats.org/officeDocument/2006/relationships/hyperlink" Target="https://fategrandorder.fandom.com/wiki/Free_Quests:_Anastasia" TargetMode="External"/><Relationship Id="rId178" Type="http://schemas.openxmlformats.org/officeDocument/2006/relationships/hyperlink" Target="https://fategrandorder.fandom.com/wiki/Free_Quests:_Babylonia" TargetMode="External"/><Relationship Id="rId299" Type="http://schemas.openxmlformats.org/officeDocument/2006/relationships/hyperlink" Target="https://fategrandorder.fandom.com/wiki/Free_Quests:_G%C3%B6tterd%C3%A4mmerung" TargetMode="External"/><Relationship Id="rId177" Type="http://schemas.openxmlformats.org/officeDocument/2006/relationships/hyperlink" Target="https://fategrandorder.fandom.com/wiki/Free_Quests:_Babylonia" TargetMode="External"/><Relationship Id="rId298" Type="http://schemas.openxmlformats.org/officeDocument/2006/relationships/hyperlink" Target="https://fategrandorder.fandom.com/wiki/Free_Quests:_Camelot" TargetMode="External"/><Relationship Id="rId198" Type="http://schemas.openxmlformats.org/officeDocument/2006/relationships/hyperlink" Target="https://fategrandorder.fandom.com/wiki/Free_Quests:_Anastasia" TargetMode="External"/><Relationship Id="rId197" Type="http://schemas.openxmlformats.org/officeDocument/2006/relationships/hyperlink" Target="https://fategrandorder.fandom.com/wiki/Free_Quests:_Anastasia" TargetMode="External"/><Relationship Id="rId196" Type="http://schemas.openxmlformats.org/officeDocument/2006/relationships/hyperlink" Target="https://fategrandorder.fandom.com/wiki/Free_Quests:_Babylonia" TargetMode="External"/><Relationship Id="rId195" Type="http://schemas.openxmlformats.org/officeDocument/2006/relationships/hyperlink" Target="https://fategrandorder.fandom.com/wiki/Free_Quests:_Babylonia" TargetMode="External"/><Relationship Id="rId199" Type="http://schemas.openxmlformats.org/officeDocument/2006/relationships/hyperlink" Target="https://fategrandorder.fandom.com/wiki/Free_Quests:_Shinjuku" TargetMode="External"/><Relationship Id="rId150" Type="http://schemas.openxmlformats.org/officeDocument/2006/relationships/hyperlink" Target="https://fategrandorder.fandom.com/wiki/Free_Quests:_Anastasia" TargetMode="External"/><Relationship Id="rId271" Type="http://schemas.openxmlformats.org/officeDocument/2006/relationships/hyperlink" Target="https://fategrandorder.fandom.com/wiki/Free_Quests:_Agartha" TargetMode="External"/><Relationship Id="rId392" Type="http://schemas.openxmlformats.org/officeDocument/2006/relationships/hyperlink" Target="https://fategrandorder.fandom.com/wiki/Saturday_Daily_Quests" TargetMode="External"/><Relationship Id="rId270" Type="http://schemas.openxmlformats.org/officeDocument/2006/relationships/hyperlink" Target="https://fategrandorder.fandom.com/wiki/Free_Quests:_Babylonia" TargetMode="External"/><Relationship Id="rId391" Type="http://schemas.openxmlformats.org/officeDocument/2006/relationships/hyperlink" Target="https://fategrandorder.fandom.com/wiki/Saturday_Daily_Quests" TargetMode="External"/><Relationship Id="rId390" Type="http://schemas.openxmlformats.org/officeDocument/2006/relationships/hyperlink" Target="https://fategrandorder.fandom.com/wiki/Free_Quests:_Shinjuku" TargetMode="External"/><Relationship Id="rId1" Type="http://schemas.openxmlformats.org/officeDocument/2006/relationships/hyperlink" Target="https://fategrandorder.fandom.com/wiki/Free_Quests:_Okeanos" TargetMode="External"/><Relationship Id="rId2" Type="http://schemas.openxmlformats.org/officeDocument/2006/relationships/hyperlink" Target="https://fategrandorder.fandom.com/wiki/Free_Quests:_Okeanos" TargetMode="External"/><Relationship Id="rId3" Type="http://schemas.openxmlformats.org/officeDocument/2006/relationships/hyperlink" Target="https://fategrandorder.fandom.com/wiki/Free_Quests:_Orleans" TargetMode="External"/><Relationship Id="rId149" Type="http://schemas.openxmlformats.org/officeDocument/2006/relationships/hyperlink" Target="https://fategrandorder.fandom.com/wiki/Free_Quests:_Anastasia" TargetMode="External"/><Relationship Id="rId4" Type="http://schemas.openxmlformats.org/officeDocument/2006/relationships/hyperlink" Target="https://fategrandorder.fandom.com/wiki/Free_Quests:_Orleans" TargetMode="External"/><Relationship Id="rId148" Type="http://schemas.openxmlformats.org/officeDocument/2006/relationships/hyperlink" Target="https://fategrandorder.fandom.com/wiki/Free_Quests:_G%C3%B6tterd%C3%A4mmerung" TargetMode="External"/><Relationship Id="rId269" Type="http://schemas.openxmlformats.org/officeDocument/2006/relationships/hyperlink" Target="https://fategrandorder.fandom.com/wiki/Free_Quests:_Babylonia" TargetMode="External"/><Relationship Id="rId9" Type="http://schemas.openxmlformats.org/officeDocument/2006/relationships/hyperlink" Target="https://fategrandorder.fandom.com/wiki/Free_Quests:_E_Pluribus_Unum" TargetMode="External"/><Relationship Id="rId143" Type="http://schemas.openxmlformats.org/officeDocument/2006/relationships/hyperlink" Target="https://fategrandorder.fandom.com/wiki/Free_Quests:_Shinjuku" TargetMode="External"/><Relationship Id="rId264" Type="http://schemas.openxmlformats.org/officeDocument/2006/relationships/hyperlink" Target="https://fategrandorder.fandom.com/wiki/Free_Quests:_Orleans" TargetMode="External"/><Relationship Id="rId385" Type="http://schemas.openxmlformats.org/officeDocument/2006/relationships/hyperlink" Target="https://fategrandorder.fandom.com/wiki/Free_Quests:_S_I_N" TargetMode="External"/><Relationship Id="rId142" Type="http://schemas.openxmlformats.org/officeDocument/2006/relationships/hyperlink" Target="https://fategrandorder.fandom.com/wiki/Free_Quests:_Shimosa" TargetMode="External"/><Relationship Id="rId263" Type="http://schemas.openxmlformats.org/officeDocument/2006/relationships/hyperlink" Target="https://fategrandorder.fandom.com/wiki/Free_Quests:_Orleans" TargetMode="External"/><Relationship Id="rId384" Type="http://schemas.openxmlformats.org/officeDocument/2006/relationships/hyperlink" Target="https://fategrandorder.fandom.com/wiki/Free_Quests:_Shinjuku" TargetMode="External"/><Relationship Id="rId141" Type="http://schemas.openxmlformats.org/officeDocument/2006/relationships/hyperlink" Target="https://fategrandorder.fandom.com/wiki/Free_Quests:_Shimosa" TargetMode="External"/><Relationship Id="rId262" Type="http://schemas.openxmlformats.org/officeDocument/2006/relationships/hyperlink" Target="https://fategrandorder.fandom.com/wiki/Free_Quests:_Babylonia" TargetMode="External"/><Relationship Id="rId383" Type="http://schemas.openxmlformats.org/officeDocument/2006/relationships/hyperlink" Target="https://fategrandorder.fandom.com/wiki/Free_Quests:_Shinjuku" TargetMode="External"/><Relationship Id="rId140" Type="http://schemas.openxmlformats.org/officeDocument/2006/relationships/hyperlink" Target="https://fategrandorder.fandom.com/wiki/Free_Quests:_Agartha" TargetMode="External"/><Relationship Id="rId261" Type="http://schemas.openxmlformats.org/officeDocument/2006/relationships/hyperlink" Target="https://fategrandorder.fandom.com/wiki/Free_Quests:_Babylonia" TargetMode="External"/><Relationship Id="rId382" Type="http://schemas.openxmlformats.org/officeDocument/2006/relationships/hyperlink" Target="https://fategrandorder.fandom.com/wiki/Free_Quests:_E_Pluribus_Unum" TargetMode="External"/><Relationship Id="rId5" Type="http://schemas.openxmlformats.org/officeDocument/2006/relationships/hyperlink" Target="https://fategrandorder.fandom.com/wiki/Free_Quests:_Okeanos" TargetMode="External"/><Relationship Id="rId147" Type="http://schemas.openxmlformats.org/officeDocument/2006/relationships/hyperlink" Target="https://fategrandorder.fandom.com/wiki/Free_Quests:_G%C3%B6tterd%C3%A4mmerung" TargetMode="External"/><Relationship Id="rId268" Type="http://schemas.openxmlformats.org/officeDocument/2006/relationships/hyperlink" Target="https://fategrandorder.fandom.com/wiki/Free_Quests:_G%C3%B6tterd%C3%A4mmerung" TargetMode="External"/><Relationship Id="rId389" Type="http://schemas.openxmlformats.org/officeDocument/2006/relationships/hyperlink" Target="https://fategrandorder.fandom.com/wiki/Free_Quests:_Shinjuku" TargetMode="External"/><Relationship Id="rId6" Type="http://schemas.openxmlformats.org/officeDocument/2006/relationships/hyperlink" Target="https://fategrandorder.fandom.com/wiki/Free_Quests:_Okeanos" TargetMode="External"/><Relationship Id="rId146" Type="http://schemas.openxmlformats.org/officeDocument/2006/relationships/hyperlink" Target="https://fategrandorder.fandom.com/wiki/Free_Quests:_Shimosa" TargetMode="External"/><Relationship Id="rId267" Type="http://schemas.openxmlformats.org/officeDocument/2006/relationships/hyperlink" Target="https://fategrandorder.fandom.com/wiki/Free_Quests:_G%C3%B6tterd%C3%A4mmerung" TargetMode="External"/><Relationship Id="rId388" Type="http://schemas.openxmlformats.org/officeDocument/2006/relationships/hyperlink" Target="https://fategrandorder.fandom.com/wiki/Free_Quests:_E_Pluribus_Unum" TargetMode="External"/><Relationship Id="rId7" Type="http://schemas.openxmlformats.org/officeDocument/2006/relationships/hyperlink" Target="https://fategrandorder.fandom.com/wiki/Free_Quests:_Septem" TargetMode="External"/><Relationship Id="rId145" Type="http://schemas.openxmlformats.org/officeDocument/2006/relationships/hyperlink" Target="https://fategrandorder.fandom.com/wiki/Free_Quests:_Shimosa" TargetMode="External"/><Relationship Id="rId266" Type="http://schemas.openxmlformats.org/officeDocument/2006/relationships/hyperlink" Target="https://fategrandorder.fandom.com/wiki/Free_Quests:_Babylonia" TargetMode="External"/><Relationship Id="rId387" Type="http://schemas.openxmlformats.org/officeDocument/2006/relationships/hyperlink" Target="https://fategrandorder.fandom.com/wiki/Free_Quests:_E_Pluribus_Unum" TargetMode="External"/><Relationship Id="rId8" Type="http://schemas.openxmlformats.org/officeDocument/2006/relationships/hyperlink" Target="https://fategrandorder.fandom.com/wiki/Free_Quests:_Septem" TargetMode="External"/><Relationship Id="rId144" Type="http://schemas.openxmlformats.org/officeDocument/2006/relationships/hyperlink" Target="https://fategrandorder.fandom.com/wiki/Free_Quests:_Shinjuku" TargetMode="External"/><Relationship Id="rId265" Type="http://schemas.openxmlformats.org/officeDocument/2006/relationships/hyperlink" Target="https://fategrandorder.fandom.com/wiki/Free_Quests:_Babylonia" TargetMode="External"/><Relationship Id="rId386" Type="http://schemas.openxmlformats.org/officeDocument/2006/relationships/hyperlink" Target="https://fategrandorder.fandom.com/wiki/Free_Quests:_S_I_N" TargetMode="External"/><Relationship Id="rId260" Type="http://schemas.openxmlformats.org/officeDocument/2006/relationships/hyperlink" Target="https://fategrandorder.fandom.com/wiki/Free_Quests:_G%C3%B6tterd%C3%A4mmerung" TargetMode="External"/><Relationship Id="rId381" Type="http://schemas.openxmlformats.org/officeDocument/2006/relationships/hyperlink" Target="https://fategrandorder.fandom.com/wiki/Free_Quests:_E_Pluribus_Unum" TargetMode="External"/><Relationship Id="rId380" Type="http://schemas.openxmlformats.org/officeDocument/2006/relationships/hyperlink" Target="https://fategrandorder.fandom.com/wiki/Free_Quests:_Camelot" TargetMode="External"/><Relationship Id="rId139" Type="http://schemas.openxmlformats.org/officeDocument/2006/relationships/hyperlink" Target="https://fategrandorder.fandom.com/wiki/Free_Quests:_Agartha" TargetMode="External"/><Relationship Id="rId138" Type="http://schemas.openxmlformats.org/officeDocument/2006/relationships/hyperlink" Target="https://fategrandorder.fandom.com/wiki/Free_Quests:_Agartha" TargetMode="External"/><Relationship Id="rId259" Type="http://schemas.openxmlformats.org/officeDocument/2006/relationships/hyperlink" Target="https://fategrandorder.fandom.com/wiki/Free_Quests:_G%C3%B6tterd%C3%A4mmerung" TargetMode="External"/><Relationship Id="rId137" Type="http://schemas.openxmlformats.org/officeDocument/2006/relationships/hyperlink" Target="https://fategrandorder.fandom.com/wiki/Free_Quests:_Agartha" TargetMode="External"/><Relationship Id="rId258" Type="http://schemas.openxmlformats.org/officeDocument/2006/relationships/hyperlink" Target="https://fategrandorder.fandom.com/wiki/Free_Quests:_G%C3%B6tterd%C3%A4mmerung" TargetMode="External"/><Relationship Id="rId379" Type="http://schemas.openxmlformats.org/officeDocument/2006/relationships/hyperlink" Target="https://fategrandorder.fandom.com/wiki/Free_Quests:_Camelot" TargetMode="External"/><Relationship Id="rId132" Type="http://schemas.openxmlformats.org/officeDocument/2006/relationships/hyperlink" Target="https://fategrandorder.fandom.com/wiki/Free_Quests:_G%C3%B6tterd%C3%A4mmerung" TargetMode="External"/><Relationship Id="rId253" Type="http://schemas.openxmlformats.org/officeDocument/2006/relationships/hyperlink" Target="https://fategrandorder.fandom.com/wiki/Free_Quests:_S_I_N" TargetMode="External"/><Relationship Id="rId374" Type="http://schemas.openxmlformats.org/officeDocument/2006/relationships/hyperlink" Target="https://fategrandorder.fandom.com/wiki/Free_Quests:_S_I_N" TargetMode="External"/><Relationship Id="rId495" Type="http://schemas.openxmlformats.org/officeDocument/2006/relationships/hyperlink" Target="https://fategrandorder.fandom.com/wiki/Free_Quests:_Shimosa" TargetMode="External"/><Relationship Id="rId131" Type="http://schemas.openxmlformats.org/officeDocument/2006/relationships/hyperlink" Target="https://fategrandorder.fandom.com/wiki/Free_Quests:_G%C3%B6tterd%C3%A4mmerung" TargetMode="External"/><Relationship Id="rId252" Type="http://schemas.openxmlformats.org/officeDocument/2006/relationships/hyperlink" Target="https://fategrandorder.fandom.com/wiki/Free_Quests:_Salem" TargetMode="External"/><Relationship Id="rId373" Type="http://schemas.openxmlformats.org/officeDocument/2006/relationships/hyperlink" Target="https://fategrandorder.fandom.com/wiki/Free_Quests:_S_I_N" TargetMode="External"/><Relationship Id="rId494" Type="http://schemas.openxmlformats.org/officeDocument/2006/relationships/hyperlink" Target="https://fategrandorder.fandom.com/wiki/Free_Quests:_Shimosa" TargetMode="External"/><Relationship Id="rId130" Type="http://schemas.openxmlformats.org/officeDocument/2006/relationships/hyperlink" Target="https://fategrandorder.fandom.com/wiki/Free_Quests:_Okeanos" TargetMode="External"/><Relationship Id="rId251" Type="http://schemas.openxmlformats.org/officeDocument/2006/relationships/hyperlink" Target="https://fategrandorder.fandom.com/wiki/Free_Quests:_Salem" TargetMode="External"/><Relationship Id="rId372" Type="http://schemas.openxmlformats.org/officeDocument/2006/relationships/hyperlink" Target="https://fategrandorder.fandom.com/wiki/Free_Quests:_Shinjuku" TargetMode="External"/><Relationship Id="rId493" Type="http://schemas.openxmlformats.org/officeDocument/2006/relationships/hyperlink" Target="https://fategrandorder.fandom.com/wiki/Free_Quests:_Shimosa" TargetMode="External"/><Relationship Id="rId250" Type="http://schemas.openxmlformats.org/officeDocument/2006/relationships/hyperlink" Target="https://fategrandorder.fandom.com/wiki/Free_Quests:_Okeanos" TargetMode="External"/><Relationship Id="rId371" Type="http://schemas.openxmlformats.org/officeDocument/2006/relationships/hyperlink" Target="https://fategrandorder.fandom.com/wiki/Free_Quests:_Shinjuku" TargetMode="External"/><Relationship Id="rId492" Type="http://schemas.openxmlformats.org/officeDocument/2006/relationships/hyperlink" Target="https://fategrandorder.fandom.com/wiki/Free_Quests:_Shimosa" TargetMode="External"/><Relationship Id="rId136" Type="http://schemas.openxmlformats.org/officeDocument/2006/relationships/hyperlink" Target="https://fategrandorder.fandom.com/wiki/Free_Quests:_Shinjuku" TargetMode="External"/><Relationship Id="rId257" Type="http://schemas.openxmlformats.org/officeDocument/2006/relationships/hyperlink" Target="https://fategrandorder.fandom.com/wiki/Free_Quests:_G%C3%B6tterd%C3%A4mmerung" TargetMode="External"/><Relationship Id="rId378" Type="http://schemas.openxmlformats.org/officeDocument/2006/relationships/hyperlink" Target="https://fategrandorder.fandom.com/wiki/Free_Quests:_S_I_N" TargetMode="External"/><Relationship Id="rId499" Type="http://schemas.openxmlformats.org/officeDocument/2006/relationships/hyperlink" Target="https://fategrandorder.fandom.com/wiki/Free_Quests:_Anastasia" TargetMode="External"/><Relationship Id="rId135" Type="http://schemas.openxmlformats.org/officeDocument/2006/relationships/hyperlink" Target="https://fategrandorder.fandom.com/wiki/Free_Quests:_Shinjuku" TargetMode="External"/><Relationship Id="rId256" Type="http://schemas.openxmlformats.org/officeDocument/2006/relationships/hyperlink" Target="https://fategrandorder.fandom.com/wiki/Free_Quests:_Agartha" TargetMode="External"/><Relationship Id="rId377" Type="http://schemas.openxmlformats.org/officeDocument/2006/relationships/hyperlink" Target="https://fategrandorder.fandom.com/wiki/Free_Quests:_S_I_N" TargetMode="External"/><Relationship Id="rId498" Type="http://schemas.openxmlformats.org/officeDocument/2006/relationships/hyperlink" Target="https://fategrandorder.fandom.com/wiki/Free_Quests:_Anastasia" TargetMode="External"/><Relationship Id="rId134" Type="http://schemas.openxmlformats.org/officeDocument/2006/relationships/hyperlink" Target="https://fategrandorder.fandom.com/wiki/Free_Quests:_S_I_N" TargetMode="External"/><Relationship Id="rId255" Type="http://schemas.openxmlformats.org/officeDocument/2006/relationships/hyperlink" Target="https://fategrandorder.fandom.com/wiki/Free_Quests:_Agartha" TargetMode="External"/><Relationship Id="rId376" Type="http://schemas.openxmlformats.org/officeDocument/2006/relationships/hyperlink" Target="https://fategrandorder.fandom.com/wiki/Free_Quests:_London" TargetMode="External"/><Relationship Id="rId497" Type="http://schemas.openxmlformats.org/officeDocument/2006/relationships/hyperlink" Target="https://fategrandorder.fandom.com/wiki/Free_Quests:_Anastasia" TargetMode="External"/><Relationship Id="rId133" Type="http://schemas.openxmlformats.org/officeDocument/2006/relationships/hyperlink" Target="https://fategrandorder.fandom.com/wiki/Free_Quests:_S_I_N" TargetMode="External"/><Relationship Id="rId254" Type="http://schemas.openxmlformats.org/officeDocument/2006/relationships/hyperlink" Target="https://fategrandorder.fandom.com/wiki/Free_Quests:_S_I_N" TargetMode="External"/><Relationship Id="rId375" Type="http://schemas.openxmlformats.org/officeDocument/2006/relationships/hyperlink" Target="https://fategrandorder.fandom.com/wiki/Free_Quests:_London" TargetMode="External"/><Relationship Id="rId496" Type="http://schemas.openxmlformats.org/officeDocument/2006/relationships/hyperlink" Target="https://fategrandorder.fandom.com/wiki/Free_Quests:_Shimosa" TargetMode="External"/><Relationship Id="rId172" Type="http://schemas.openxmlformats.org/officeDocument/2006/relationships/hyperlink" Target="https://fategrandorder.fandom.com/wiki/Free_Quests:_Agartha" TargetMode="External"/><Relationship Id="rId293" Type="http://schemas.openxmlformats.org/officeDocument/2006/relationships/hyperlink" Target="https://fategrandorder.fandom.com/wiki/Saturday_Daily_Quests" TargetMode="External"/><Relationship Id="rId171" Type="http://schemas.openxmlformats.org/officeDocument/2006/relationships/hyperlink" Target="https://fategrandorder.fandom.com/wiki/Free_Quests:_Agartha" TargetMode="External"/><Relationship Id="rId292" Type="http://schemas.openxmlformats.org/officeDocument/2006/relationships/hyperlink" Target="https://fategrandorder.fandom.com/wiki/Saturday_Daily_Quests" TargetMode="External"/><Relationship Id="rId170" Type="http://schemas.openxmlformats.org/officeDocument/2006/relationships/hyperlink" Target="https://fategrandorder.fandom.com/wiki/Free_Quests:_Agartha" TargetMode="External"/><Relationship Id="rId291" Type="http://schemas.openxmlformats.org/officeDocument/2006/relationships/hyperlink" Target="https://fategrandorder.fandom.com/wiki/Saturday_Daily_Quests" TargetMode="External"/><Relationship Id="rId290" Type="http://schemas.openxmlformats.org/officeDocument/2006/relationships/hyperlink" Target="https://fategrandorder.fandom.com/wiki/Saturday_Daily_Quests" TargetMode="External"/><Relationship Id="rId165" Type="http://schemas.openxmlformats.org/officeDocument/2006/relationships/hyperlink" Target="https://fategrandorder.fandom.com/wiki/Free_Quests:_Camelot" TargetMode="External"/><Relationship Id="rId286" Type="http://schemas.openxmlformats.org/officeDocument/2006/relationships/hyperlink" Target="https://fategrandorder.fandom.com/wiki/Free_Quests:_Septem" TargetMode="External"/><Relationship Id="rId164" Type="http://schemas.openxmlformats.org/officeDocument/2006/relationships/hyperlink" Target="https://fategrandorder.fandom.com/wiki/Free_Quests:_Salem" TargetMode="External"/><Relationship Id="rId285" Type="http://schemas.openxmlformats.org/officeDocument/2006/relationships/hyperlink" Target="https://fategrandorder.fandom.com/wiki/Free_Quests:_Septem" TargetMode="External"/><Relationship Id="rId163" Type="http://schemas.openxmlformats.org/officeDocument/2006/relationships/hyperlink" Target="https://fategrandorder.fandom.com/wiki/Free_Quests:_Salem" TargetMode="External"/><Relationship Id="rId284" Type="http://schemas.openxmlformats.org/officeDocument/2006/relationships/hyperlink" Target="https://fategrandorder.fandom.com/wiki/Free_Quests:_Shimosa" TargetMode="External"/><Relationship Id="rId162" Type="http://schemas.openxmlformats.org/officeDocument/2006/relationships/hyperlink" Target="https://fategrandorder.fandom.com/wiki/Free_Quests:_Camelot" TargetMode="External"/><Relationship Id="rId283" Type="http://schemas.openxmlformats.org/officeDocument/2006/relationships/hyperlink" Target="https://fategrandorder.fandom.com/wiki/Free_Quests:_Shimosa" TargetMode="External"/><Relationship Id="rId169" Type="http://schemas.openxmlformats.org/officeDocument/2006/relationships/hyperlink" Target="https://fategrandorder.fandom.com/wiki/Free_Quests:_Agartha" TargetMode="External"/><Relationship Id="rId168" Type="http://schemas.openxmlformats.org/officeDocument/2006/relationships/hyperlink" Target="https://fategrandorder.fandom.com/wiki/Free_Quests:_Salem" TargetMode="External"/><Relationship Id="rId289" Type="http://schemas.openxmlformats.org/officeDocument/2006/relationships/hyperlink" Target="https://fategrandorder.fandom.com/wiki/Saturday_Daily_Quests" TargetMode="External"/><Relationship Id="rId167" Type="http://schemas.openxmlformats.org/officeDocument/2006/relationships/hyperlink" Target="https://fategrandorder.fandom.com/wiki/Free_Quests:_Salem" TargetMode="External"/><Relationship Id="rId288" Type="http://schemas.openxmlformats.org/officeDocument/2006/relationships/hyperlink" Target="https://fategrandorder.fandom.com/wiki/Saturday_Daily_Quests" TargetMode="External"/><Relationship Id="rId166" Type="http://schemas.openxmlformats.org/officeDocument/2006/relationships/hyperlink" Target="https://fategrandorder.fandom.com/wiki/Free_Quests:_Camelot" TargetMode="External"/><Relationship Id="rId287" Type="http://schemas.openxmlformats.org/officeDocument/2006/relationships/hyperlink" Target="https://fategrandorder.fandom.com/wiki/Saturday_Daily_Quests" TargetMode="External"/><Relationship Id="rId161" Type="http://schemas.openxmlformats.org/officeDocument/2006/relationships/hyperlink" Target="https://fategrandorder.fandom.com/wiki/Free_Quests:_Camelot" TargetMode="External"/><Relationship Id="rId282" Type="http://schemas.openxmlformats.org/officeDocument/2006/relationships/hyperlink" Target="https://fategrandorder.fandom.com/wiki/Free_Quests:_Shimosa" TargetMode="External"/><Relationship Id="rId160" Type="http://schemas.openxmlformats.org/officeDocument/2006/relationships/hyperlink" Target="https://fategrandorder.fandom.com/wiki/Free_Quests:_S_I_N" TargetMode="External"/><Relationship Id="rId281" Type="http://schemas.openxmlformats.org/officeDocument/2006/relationships/hyperlink" Target="https://fategrandorder.fandom.com/wiki/Free_Quests:_Shimosa" TargetMode="External"/><Relationship Id="rId280" Type="http://schemas.openxmlformats.org/officeDocument/2006/relationships/hyperlink" Target="https://fategrandorder.fandom.com/wiki/Free_Quests:_Okeanos" TargetMode="External"/><Relationship Id="rId159" Type="http://schemas.openxmlformats.org/officeDocument/2006/relationships/hyperlink" Target="https://fategrandorder.fandom.com/wiki/Free_Quests:_S_I_N" TargetMode="External"/><Relationship Id="rId154" Type="http://schemas.openxmlformats.org/officeDocument/2006/relationships/hyperlink" Target="https://fategrandorder.fandom.com/wiki/Free_Quests:_Agartha" TargetMode="External"/><Relationship Id="rId275" Type="http://schemas.openxmlformats.org/officeDocument/2006/relationships/hyperlink" Target="https://fategrandorder.fandom.com/wiki/Free_Quests:_Babylonia" TargetMode="External"/><Relationship Id="rId396" Type="http://schemas.openxmlformats.org/officeDocument/2006/relationships/hyperlink" Target="https://fategrandorder.fandom.com/wiki/Free_Quests:_London" TargetMode="External"/><Relationship Id="rId153" Type="http://schemas.openxmlformats.org/officeDocument/2006/relationships/hyperlink" Target="https://fategrandorder.fandom.com/wiki/Free_Quests:_Agartha" TargetMode="External"/><Relationship Id="rId274" Type="http://schemas.openxmlformats.org/officeDocument/2006/relationships/hyperlink" Target="https://fategrandorder.fandom.com/wiki/Free_Quests:_Anastasia" TargetMode="External"/><Relationship Id="rId395" Type="http://schemas.openxmlformats.org/officeDocument/2006/relationships/hyperlink" Target="https://fategrandorder.fandom.com/wiki/Free_Quests:_London" TargetMode="External"/><Relationship Id="rId152" Type="http://schemas.openxmlformats.org/officeDocument/2006/relationships/hyperlink" Target="https://fategrandorder.fandom.com/wiki/Free_Quests:_Shimosa" TargetMode="External"/><Relationship Id="rId273" Type="http://schemas.openxmlformats.org/officeDocument/2006/relationships/hyperlink" Target="https://fategrandorder.fandom.com/wiki/Free_Quests:_Anastasia" TargetMode="External"/><Relationship Id="rId394" Type="http://schemas.openxmlformats.org/officeDocument/2006/relationships/hyperlink" Target="https://fategrandorder.fandom.com/wiki/Free_Quests:_London" TargetMode="External"/><Relationship Id="rId151" Type="http://schemas.openxmlformats.org/officeDocument/2006/relationships/hyperlink" Target="https://fategrandorder.fandom.com/wiki/Free_Quests:_Shimosa" TargetMode="External"/><Relationship Id="rId272" Type="http://schemas.openxmlformats.org/officeDocument/2006/relationships/hyperlink" Target="https://fategrandorder.fandom.com/wiki/Free_Quests:_Agartha" TargetMode="External"/><Relationship Id="rId393" Type="http://schemas.openxmlformats.org/officeDocument/2006/relationships/hyperlink" Target="https://fategrandorder.fandom.com/wiki/Free_Quests:_London" TargetMode="External"/><Relationship Id="rId158" Type="http://schemas.openxmlformats.org/officeDocument/2006/relationships/hyperlink" Target="https://fategrandorder.fandom.com/wiki/Free_Quests:_S_I_N" TargetMode="External"/><Relationship Id="rId279" Type="http://schemas.openxmlformats.org/officeDocument/2006/relationships/hyperlink" Target="https://fategrandorder.fandom.com/wiki/Free_Quests:_Okeanos" TargetMode="External"/><Relationship Id="rId157" Type="http://schemas.openxmlformats.org/officeDocument/2006/relationships/hyperlink" Target="https://fategrandorder.fandom.com/wiki/Free_Quests:_S_I_N" TargetMode="External"/><Relationship Id="rId278" Type="http://schemas.openxmlformats.org/officeDocument/2006/relationships/hyperlink" Target="https://fategrandorder.fandom.com/wiki/Free_Quests:_Camelot" TargetMode="External"/><Relationship Id="rId399" Type="http://schemas.openxmlformats.org/officeDocument/2006/relationships/hyperlink" Target="https://fategrandorder.fandom.com/wiki/Saturday_Daily_Quests" TargetMode="External"/><Relationship Id="rId156" Type="http://schemas.openxmlformats.org/officeDocument/2006/relationships/hyperlink" Target="https://fategrandorder.fandom.com/wiki/Free_Quests:_Shimosa" TargetMode="External"/><Relationship Id="rId277" Type="http://schemas.openxmlformats.org/officeDocument/2006/relationships/hyperlink" Target="https://fategrandorder.fandom.com/wiki/Free_Quests:_Camelot" TargetMode="External"/><Relationship Id="rId398" Type="http://schemas.openxmlformats.org/officeDocument/2006/relationships/hyperlink" Target="https://fategrandorder.fandom.com/wiki/Free_Quests:_London" TargetMode="External"/><Relationship Id="rId155" Type="http://schemas.openxmlformats.org/officeDocument/2006/relationships/hyperlink" Target="https://fategrandorder.fandom.com/wiki/Free_Quests:_Shimosa" TargetMode="External"/><Relationship Id="rId276" Type="http://schemas.openxmlformats.org/officeDocument/2006/relationships/hyperlink" Target="https://fategrandorder.fandom.com/wiki/Free_Quests:_Babylonia" TargetMode="External"/><Relationship Id="rId397" Type="http://schemas.openxmlformats.org/officeDocument/2006/relationships/hyperlink" Target="https://fategrandorder.fandom.com/wiki/Free_Quests:_London" TargetMode="External"/><Relationship Id="rId40" Type="http://schemas.openxmlformats.org/officeDocument/2006/relationships/hyperlink" Target="https://fategrandorder.fandom.com/wiki/Free_Quests:_Okeanos" TargetMode="External"/><Relationship Id="rId42" Type="http://schemas.openxmlformats.org/officeDocument/2006/relationships/hyperlink" Target="https://fategrandorder.fandom.com/wiki/Free_Quests:_Fuyuki" TargetMode="External"/><Relationship Id="rId41" Type="http://schemas.openxmlformats.org/officeDocument/2006/relationships/hyperlink" Target="https://fategrandorder.fandom.com/wiki/Free_Quests:_Fuyuki" TargetMode="External"/><Relationship Id="rId44" Type="http://schemas.openxmlformats.org/officeDocument/2006/relationships/hyperlink" Target="https://fategrandorder.fandom.com/wiki/Free_Quests:_Fuyuki" TargetMode="External"/><Relationship Id="rId43" Type="http://schemas.openxmlformats.org/officeDocument/2006/relationships/hyperlink" Target="https://fategrandorder.fandom.com/wiki/Free_Quests:_Fuyuki" TargetMode="External"/><Relationship Id="rId46" Type="http://schemas.openxmlformats.org/officeDocument/2006/relationships/hyperlink" Target="https://fategrandorder.fandom.com/wiki/Free_Quests:_Fuyuki" TargetMode="External"/><Relationship Id="rId45" Type="http://schemas.openxmlformats.org/officeDocument/2006/relationships/hyperlink" Target="https://fategrandorder.fandom.com/wiki/Free_Quests:_Fuyuki" TargetMode="External"/><Relationship Id="rId509" Type="http://schemas.openxmlformats.org/officeDocument/2006/relationships/hyperlink" Target="https://fategrandorder.fandom.com/wiki/Free_Quests:_G%C3%B6tterd%C3%A4mmerung" TargetMode="External"/><Relationship Id="rId508" Type="http://schemas.openxmlformats.org/officeDocument/2006/relationships/hyperlink" Target="https://fategrandorder.fandom.com/wiki/Free_Quests:_Anastasia" TargetMode="External"/><Relationship Id="rId629" Type="http://schemas.openxmlformats.org/officeDocument/2006/relationships/hyperlink" Target="https://fategrandorder.fandom.com/wiki/Free_Quests:_Camelot" TargetMode="External"/><Relationship Id="rId503" Type="http://schemas.openxmlformats.org/officeDocument/2006/relationships/hyperlink" Target="https://fategrandorder.fandom.com/wiki/Free_Quests:_Anastasia" TargetMode="External"/><Relationship Id="rId624" Type="http://schemas.openxmlformats.org/officeDocument/2006/relationships/hyperlink" Target="https://fategrandorder.fandom.com/wiki/Free_Quests:_Salem" TargetMode="External"/><Relationship Id="rId502" Type="http://schemas.openxmlformats.org/officeDocument/2006/relationships/hyperlink" Target="https://fategrandorder.fandom.com/wiki/Free_Quests:_Anastasia" TargetMode="External"/><Relationship Id="rId623" Type="http://schemas.openxmlformats.org/officeDocument/2006/relationships/hyperlink" Target="https://fategrandorder.fandom.com/wiki/Free_Quests:_Salem" TargetMode="External"/><Relationship Id="rId501" Type="http://schemas.openxmlformats.org/officeDocument/2006/relationships/hyperlink" Target="https://fategrandorder.fandom.com/wiki/Free_Quests:_Anastasia" TargetMode="External"/><Relationship Id="rId622" Type="http://schemas.openxmlformats.org/officeDocument/2006/relationships/hyperlink" Target="https://fategrandorder.fandom.com/wiki/Saturday_Daily_Quests" TargetMode="External"/><Relationship Id="rId500" Type="http://schemas.openxmlformats.org/officeDocument/2006/relationships/hyperlink" Target="https://fategrandorder.fandom.com/wiki/Free_Quests:_Anastasia" TargetMode="External"/><Relationship Id="rId621" Type="http://schemas.openxmlformats.org/officeDocument/2006/relationships/hyperlink" Target="https://fategrandorder.fandom.com/wiki/Saturday_Daily_Quests" TargetMode="External"/><Relationship Id="rId507" Type="http://schemas.openxmlformats.org/officeDocument/2006/relationships/hyperlink" Target="https://fategrandorder.fandom.com/wiki/Free_Quests:_Anastasia" TargetMode="External"/><Relationship Id="rId628" Type="http://schemas.openxmlformats.org/officeDocument/2006/relationships/hyperlink" Target="https://fategrandorder.fandom.com/wiki/Free_Quests:_Camelot" TargetMode="External"/><Relationship Id="rId506" Type="http://schemas.openxmlformats.org/officeDocument/2006/relationships/hyperlink" Target="https://fategrandorder.fandom.com/wiki/Free_Quests:_Anastasia" TargetMode="External"/><Relationship Id="rId627" Type="http://schemas.openxmlformats.org/officeDocument/2006/relationships/hyperlink" Target="https://fategrandorder.fandom.com/wiki/Free_Quests:_Camelot" TargetMode="External"/><Relationship Id="rId505" Type="http://schemas.openxmlformats.org/officeDocument/2006/relationships/hyperlink" Target="https://fategrandorder.fandom.com/wiki/Free_Quests:_Anastasia" TargetMode="External"/><Relationship Id="rId626" Type="http://schemas.openxmlformats.org/officeDocument/2006/relationships/hyperlink" Target="https://fategrandorder.fandom.com/wiki/Free_Quests:_Camelot" TargetMode="External"/><Relationship Id="rId504" Type="http://schemas.openxmlformats.org/officeDocument/2006/relationships/hyperlink" Target="https://fategrandorder.fandom.com/wiki/Free_Quests:_Anastasia" TargetMode="External"/><Relationship Id="rId625" Type="http://schemas.openxmlformats.org/officeDocument/2006/relationships/hyperlink" Target="https://fategrandorder.fandom.com/wiki/Free_Quests:_Camelot" TargetMode="External"/><Relationship Id="rId48" Type="http://schemas.openxmlformats.org/officeDocument/2006/relationships/hyperlink" Target="https://fategrandorder.fandom.com/wiki/Free_Quests:_Fuyuki" TargetMode="External"/><Relationship Id="rId47" Type="http://schemas.openxmlformats.org/officeDocument/2006/relationships/hyperlink" Target="https://fategrandorder.fandom.com/wiki/Free_Quests:_Fuyuki" TargetMode="External"/><Relationship Id="rId49" Type="http://schemas.openxmlformats.org/officeDocument/2006/relationships/hyperlink" Target="https://fategrandorder.fandom.com/wiki/Free_Quests:_Camelot" TargetMode="External"/><Relationship Id="rId620" Type="http://schemas.openxmlformats.org/officeDocument/2006/relationships/hyperlink" Target="https://fategrandorder.fandom.com/wiki/Saturday_Daily_Quests" TargetMode="External"/><Relationship Id="rId31" Type="http://schemas.openxmlformats.org/officeDocument/2006/relationships/hyperlink" Target="https://fategrandorder.fandom.com/wiki/Free_Quests:_Septem" TargetMode="External"/><Relationship Id="rId30" Type="http://schemas.openxmlformats.org/officeDocument/2006/relationships/hyperlink" Target="https://fategrandorder.fandom.com/wiki/Free_Quests:_E_Pluribus_Unum" TargetMode="External"/><Relationship Id="rId33" Type="http://schemas.openxmlformats.org/officeDocument/2006/relationships/hyperlink" Target="https://fategrandorder.fandom.com/wiki/Free_Quests:_E_Pluribus_Unum" TargetMode="External"/><Relationship Id="rId32" Type="http://schemas.openxmlformats.org/officeDocument/2006/relationships/hyperlink" Target="https://fategrandorder.fandom.com/wiki/Free_Quests:_Septem" TargetMode="External"/><Relationship Id="rId35" Type="http://schemas.openxmlformats.org/officeDocument/2006/relationships/hyperlink" Target="https://fategrandorder.fandom.com/wiki/Free_Quests:_E_Pluribus_Unum" TargetMode="External"/><Relationship Id="rId34" Type="http://schemas.openxmlformats.org/officeDocument/2006/relationships/hyperlink" Target="https://fategrandorder.fandom.com/wiki/Free_Quests:_E_Pluribus_Unum" TargetMode="External"/><Relationship Id="rId619" Type="http://schemas.openxmlformats.org/officeDocument/2006/relationships/hyperlink" Target="https://fategrandorder.fandom.com/wiki/Saturday_Daily_Quests" TargetMode="External"/><Relationship Id="rId618" Type="http://schemas.openxmlformats.org/officeDocument/2006/relationships/hyperlink" Target="https://fategrandorder.fandom.com/wiki/Free_Quests:_E_Pluribus_Unum" TargetMode="External"/><Relationship Id="rId613" Type="http://schemas.openxmlformats.org/officeDocument/2006/relationships/hyperlink" Target="https://fategrandorder.fandom.com/wiki/Free_Quests:_Agartha" TargetMode="External"/><Relationship Id="rId612" Type="http://schemas.openxmlformats.org/officeDocument/2006/relationships/hyperlink" Target="https://fategrandorder.fandom.com/wiki/Monday_Daily_Quests" TargetMode="External"/><Relationship Id="rId611" Type="http://schemas.openxmlformats.org/officeDocument/2006/relationships/hyperlink" Target="https://fategrandorder.fandom.com/wiki/Monday_Daily_Quests" TargetMode="External"/><Relationship Id="rId610" Type="http://schemas.openxmlformats.org/officeDocument/2006/relationships/hyperlink" Target="https://fategrandorder.fandom.com/wiki/Monday_Daily_Quests" TargetMode="External"/><Relationship Id="rId617" Type="http://schemas.openxmlformats.org/officeDocument/2006/relationships/hyperlink" Target="https://fategrandorder.fandom.com/wiki/Free_Quests:_E_Pluribus_Unum" TargetMode="External"/><Relationship Id="rId616" Type="http://schemas.openxmlformats.org/officeDocument/2006/relationships/hyperlink" Target="https://fategrandorder.fandom.com/wiki/Free_Quests:_Babylonia" TargetMode="External"/><Relationship Id="rId615" Type="http://schemas.openxmlformats.org/officeDocument/2006/relationships/hyperlink" Target="https://fategrandorder.fandom.com/wiki/Free_Quests:_Babylonia" TargetMode="External"/><Relationship Id="rId614" Type="http://schemas.openxmlformats.org/officeDocument/2006/relationships/hyperlink" Target="https://fategrandorder.fandom.com/wiki/Free_Quests:_Agartha" TargetMode="External"/><Relationship Id="rId37" Type="http://schemas.openxmlformats.org/officeDocument/2006/relationships/hyperlink" Target="https://fategrandorder.fandom.com/wiki/Free_Quests:_Camelot" TargetMode="External"/><Relationship Id="rId36" Type="http://schemas.openxmlformats.org/officeDocument/2006/relationships/hyperlink" Target="https://fategrandorder.fandom.com/wiki/Free_Quests:_E_Pluribus_Unum" TargetMode="External"/><Relationship Id="rId39" Type="http://schemas.openxmlformats.org/officeDocument/2006/relationships/hyperlink" Target="https://fategrandorder.fandom.com/wiki/Free_Quests:_Okeanos" TargetMode="External"/><Relationship Id="rId38" Type="http://schemas.openxmlformats.org/officeDocument/2006/relationships/hyperlink" Target="https://fategrandorder.fandom.com/wiki/Free_Quests:_Camelot" TargetMode="External"/><Relationship Id="rId20" Type="http://schemas.openxmlformats.org/officeDocument/2006/relationships/hyperlink" Target="https://fategrandorder.fandom.com/wiki/Free_Quests:_E_Pluribus_Unum" TargetMode="External"/><Relationship Id="rId22" Type="http://schemas.openxmlformats.org/officeDocument/2006/relationships/hyperlink" Target="https://fategrandorder.fandom.com/wiki/Free_Quests:_Orleans" TargetMode="External"/><Relationship Id="rId21" Type="http://schemas.openxmlformats.org/officeDocument/2006/relationships/hyperlink" Target="https://fategrandorder.fandom.com/wiki/Free_Quests:_Orleans" TargetMode="External"/><Relationship Id="rId24" Type="http://schemas.openxmlformats.org/officeDocument/2006/relationships/hyperlink" Target="https://fategrandorder.fandom.com/wiki/Free_Quests:_E_Pluribus_Unum" TargetMode="External"/><Relationship Id="rId23" Type="http://schemas.openxmlformats.org/officeDocument/2006/relationships/hyperlink" Target="https://fategrandorder.fandom.com/wiki/Free_Quests:_E_Pluribus_Unum" TargetMode="External"/><Relationship Id="rId409" Type="http://schemas.openxmlformats.org/officeDocument/2006/relationships/hyperlink" Target="https://fategrandorder.fandom.com/wiki/Friday_Daily_Quests" TargetMode="External"/><Relationship Id="rId404" Type="http://schemas.openxmlformats.org/officeDocument/2006/relationships/hyperlink" Target="https://fategrandorder.fandom.com/wiki/Sunday_Daily_Quests" TargetMode="External"/><Relationship Id="rId525" Type="http://schemas.openxmlformats.org/officeDocument/2006/relationships/hyperlink" Target="https://fategrandorder.fandom.com/wiki/Free_Quests:_S_I_N" TargetMode="External"/><Relationship Id="rId646" Type="http://schemas.openxmlformats.org/officeDocument/2006/relationships/hyperlink" Target="https://fategrandorder.fandom.com/wiki/Free_Quests:_Shimosa" TargetMode="External"/><Relationship Id="rId403" Type="http://schemas.openxmlformats.org/officeDocument/2006/relationships/hyperlink" Target="https://fategrandorder.fandom.com/wiki/Sunday_Daily_Quests" TargetMode="External"/><Relationship Id="rId524" Type="http://schemas.openxmlformats.org/officeDocument/2006/relationships/hyperlink" Target="https://fategrandorder.fandom.com/wiki/Free_Quests:_S_I_N" TargetMode="External"/><Relationship Id="rId645" Type="http://schemas.openxmlformats.org/officeDocument/2006/relationships/hyperlink" Target="https://fategrandorder.fandom.com/wiki/Free_Quests:_Shimosa" TargetMode="External"/><Relationship Id="rId402" Type="http://schemas.openxmlformats.org/officeDocument/2006/relationships/hyperlink" Target="https://fategrandorder.fandom.com/wiki/Sunday_Daily_Quests" TargetMode="External"/><Relationship Id="rId523" Type="http://schemas.openxmlformats.org/officeDocument/2006/relationships/hyperlink" Target="https://fategrandorder.fandom.com/wiki/Free_Quests:_S_I_N" TargetMode="External"/><Relationship Id="rId644" Type="http://schemas.openxmlformats.org/officeDocument/2006/relationships/hyperlink" Target="https://fategrandorder.fandom.com/wiki/Free_Quests:_Babylonia" TargetMode="External"/><Relationship Id="rId401" Type="http://schemas.openxmlformats.org/officeDocument/2006/relationships/hyperlink" Target="https://fategrandorder.fandom.com/wiki/Sunday_Daily_Quests" TargetMode="External"/><Relationship Id="rId522" Type="http://schemas.openxmlformats.org/officeDocument/2006/relationships/hyperlink" Target="https://fategrandorder.fandom.com/wiki/Free_Quests:_G%C3%B6tterd%C3%A4mmerung" TargetMode="External"/><Relationship Id="rId643" Type="http://schemas.openxmlformats.org/officeDocument/2006/relationships/hyperlink" Target="https://fategrandorder.fandom.com/wiki/Free_Quests:_Babylonia" TargetMode="External"/><Relationship Id="rId408" Type="http://schemas.openxmlformats.org/officeDocument/2006/relationships/hyperlink" Target="https://fategrandorder.fandom.com/wiki/Free_Quests:_London" TargetMode="External"/><Relationship Id="rId529" Type="http://schemas.openxmlformats.org/officeDocument/2006/relationships/hyperlink" Target="https://fategrandorder.fandom.com/wiki/Free_Quests:_G%C3%B6tterd%C3%A4mmerung" TargetMode="External"/><Relationship Id="rId407" Type="http://schemas.openxmlformats.org/officeDocument/2006/relationships/hyperlink" Target="https://fategrandorder.fandom.com/wiki/Free_Quests:_London" TargetMode="External"/><Relationship Id="rId528" Type="http://schemas.openxmlformats.org/officeDocument/2006/relationships/hyperlink" Target="https://fategrandorder.fandom.com/wiki/Free_Quests:_G%C3%B6tterd%C3%A4mmerung" TargetMode="External"/><Relationship Id="rId649" Type="http://schemas.openxmlformats.org/officeDocument/2006/relationships/hyperlink" Target="https://fategrandorder.fandom.com/wiki/Free_Quests:_Agartha" TargetMode="External"/><Relationship Id="rId406" Type="http://schemas.openxmlformats.org/officeDocument/2006/relationships/hyperlink" Target="https://fategrandorder.fandom.com/wiki/Free_Quests:_Shinjuku" TargetMode="External"/><Relationship Id="rId527" Type="http://schemas.openxmlformats.org/officeDocument/2006/relationships/hyperlink" Target="https://fategrandorder.fandom.com/wiki/Free_Quests:_G%C3%B6tterd%C3%A4mmerung" TargetMode="External"/><Relationship Id="rId648" Type="http://schemas.openxmlformats.org/officeDocument/2006/relationships/hyperlink" Target="https://fategrandorder.fandom.com/wiki/Free_Quests:_Babylonia" TargetMode="External"/><Relationship Id="rId405" Type="http://schemas.openxmlformats.org/officeDocument/2006/relationships/hyperlink" Target="https://fategrandorder.fandom.com/wiki/Free_Quests:_Shinjuku" TargetMode="External"/><Relationship Id="rId526" Type="http://schemas.openxmlformats.org/officeDocument/2006/relationships/hyperlink" Target="https://fategrandorder.fandom.com/wiki/Free_Quests:_S_I_N" TargetMode="External"/><Relationship Id="rId647" Type="http://schemas.openxmlformats.org/officeDocument/2006/relationships/hyperlink" Target="https://fategrandorder.fandom.com/wiki/Free_Quests:_Babylonia" TargetMode="External"/><Relationship Id="rId26" Type="http://schemas.openxmlformats.org/officeDocument/2006/relationships/hyperlink" Target="https://fategrandorder.fandom.com/wiki/Free_Quests:_E_Pluribus_Unum" TargetMode="External"/><Relationship Id="rId25" Type="http://schemas.openxmlformats.org/officeDocument/2006/relationships/hyperlink" Target="https://fategrandorder.fandom.com/wiki/Free_Quests:_E_Pluribus_Unum" TargetMode="External"/><Relationship Id="rId28" Type="http://schemas.openxmlformats.org/officeDocument/2006/relationships/hyperlink" Target="https://fategrandorder.fandom.com/wiki/Free_Quests:_Orleans" TargetMode="External"/><Relationship Id="rId27" Type="http://schemas.openxmlformats.org/officeDocument/2006/relationships/hyperlink" Target="https://fategrandorder.fandom.com/wiki/Free_Quests:_Orleans" TargetMode="External"/><Relationship Id="rId400" Type="http://schemas.openxmlformats.org/officeDocument/2006/relationships/hyperlink" Target="https://fategrandorder.fandom.com/wiki/Saturday_Daily_Quests" TargetMode="External"/><Relationship Id="rId521" Type="http://schemas.openxmlformats.org/officeDocument/2006/relationships/hyperlink" Target="https://fategrandorder.fandom.com/wiki/Free_Quests:_G%C3%B6tterd%C3%A4mmerung" TargetMode="External"/><Relationship Id="rId642" Type="http://schemas.openxmlformats.org/officeDocument/2006/relationships/hyperlink" Target="https://fategrandorder.fandom.com/wiki/Free_Quests:_G%C3%B6tterd%C3%A4mmerung" TargetMode="External"/><Relationship Id="rId29" Type="http://schemas.openxmlformats.org/officeDocument/2006/relationships/hyperlink" Target="https://fategrandorder.fandom.com/wiki/Free_Quests:_E_Pluribus_Unum" TargetMode="External"/><Relationship Id="rId520" Type="http://schemas.openxmlformats.org/officeDocument/2006/relationships/hyperlink" Target="https://fategrandorder.fandom.com/wiki/Free_Quests:_G%C3%B6tterd%C3%A4mmerung" TargetMode="External"/><Relationship Id="rId641" Type="http://schemas.openxmlformats.org/officeDocument/2006/relationships/hyperlink" Target="https://fategrandorder.fandom.com/wiki/Free_Quests:_G%C3%B6tterd%C3%A4mmerung" TargetMode="External"/><Relationship Id="rId640" Type="http://schemas.openxmlformats.org/officeDocument/2006/relationships/hyperlink" Target="https://fategrandorder.fandom.com/wiki/Free_Quests:_Babylonia" TargetMode="External"/><Relationship Id="rId11" Type="http://schemas.openxmlformats.org/officeDocument/2006/relationships/hyperlink" Target="https://fategrandorder.fandom.com/wiki/Free_Quests:_Septem" TargetMode="External"/><Relationship Id="rId10" Type="http://schemas.openxmlformats.org/officeDocument/2006/relationships/hyperlink" Target="https://fategrandorder.fandom.com/wiki/Free_Quests:_E_Pluribus_Unum" TargetMode="External"/><Relationship Id="rId13" Type="http://schemas.openxmlformats.org/officeDocument/2006/relationships/hyperlink" Target="https://fategrandorder.fandom.com/wiki/Free_Quests:_E_Pluribus_Unum" TargetMode="External"/><Relationship Id="rId12" Type="http://schemas.openxmlformats.org/officeDocument/2006/relationships/hyperlink" Target="https://fategrandorder.fandom.com/wiki/Free_Quests:_Septem" TargetMode="External"/><Relationship Id="rId519" Type="http://schemas.openxmlformats.org/officeDocument/2006/relationships/hyperlink" Target="https://fategrandorder.fandom.com/wiki/Free_Quests:_G%C3%B6tterd%C3%A4mmerung" TargetMode="External"/><Relationship Id="rId514" Type="http://schemas.openxmlformats.org/officeDocument/2006/relationships/hyperlink" Target="https://fategrandorder.fandom.com/wiki/Free_Quests:_G%C3%B6tterd%C3%A4mmerung" TargetMode="External"/><Relationship Id="rId635" Type="http://schemas.openxmlformats.org/officeDocument/2006/relationships/hyperlink" Target="https://fategrandorder.fandom.com/wiki/Free_Quests:_Babylonia" TargetMode="External"/><Relationship Id="rId513" Type="http://schemas.openxmlformats.org/officeDocument/2006/relationships/hyperlink" Target="https://fategrandorder.fandom.com/wiki/Free_Quests:_G%C3%B6tterd%C3%A4mmerung" TargetMode="External"/><Relationship Id="rId634" Type="http://schemas.openxmlformats.org/officeDocument/2006/relationships/hyperlink" Target="https://fategrandorder.fandom.com/wiki/Free_Quests:_G%C3%B6tterd%C3%A4mmerung" TargetMode="External"/><Relationship Id="rId512" Type="http://schemas.openxmlformats.org/officeDocument/2006/relationships/hyperlink" Target="https://fategrandorder.fandom.com/wiki/Free_Quests:_S_I_N" TargetMode="External"/><Relationship Id="rId633" Type="http://schemas.openxmlformats.org/officeDocument/2006/relationships/hyperlink" Target="https://fategrandorder.fandom.com/wiki/Free_Quests:_G%C3%B6tterd%C3%A4mmerung" TargetMode="External"/><Relationship Id="rId511" Type="http://schemas.openxmlformats.org/officeDocument/2006/relationships/hyperlink" Target="https://fategrandorder.fandom.com/wiki/Free_Quests:_S_I_N" TargetMode="External"/><Relationship Id="rId632" Type="http://schemas.openxmlformats.org/officeDocument/2006/relationships/hyperlink" Target="https://fategrandorder.fandom.com/wiki/Free_Quests:_Camelot" TargetMode="External"/><Relationship Id="rId518" Type="http://schemas.openxmlformats.org/officeDocument/2006/relationships/hyperlink" Target="https://fategrandorder.fandom.com/wiki/Free_Quests:_G%C3%B6tterd%C3%A4mmerung" TargetMode="External"/><Relationship Id="rId639" Type="http://schemas.openxmlformats.org/officeDocument/2006/relationships/hyperlink" Target="https://fategrandorder.fandom.com/wiki/Free_Quests:_Babylonia" TargetMode="External"/><Relationship Id="rId517" Type="http://schemas.openxmlformats.org/officeDocument/2006/relationships/hyperlink" Target="https://fategrandorder.fandom.com/wiki/Free_Quests:_G%C3%B6tterd%C3%A4mmerung" TargetMode="External"/><Relationship Id="rId638" Type="http://schemas.openxmlformats.org/officeDocument/2006/relationships/hyperlink" Target="https://fategrandorder.fandom.com/wiki/Free_Quests:_G%C3%B6tterd%C3%A4mmerung" TargetMode="External"/><Relationship Id="rId516" Type="http://schemas.openxmlformats.org/officeDocument/2006/relationships/hyperlink" Target="https://fategrandorder.fandom.com/wiki/Free_Quests:_G%C3%B6tterd%C3%A4mmerung" TargetMode="External"/><Relationship Id="rId637" Type="http://schemas.openxmlformats.org/officeDocument/2006/relationships/hyperlink" Target="https://fategrandorder.fandom.com/wiki/Free_Quests:_G%C3%B6tterd%C3%A4mmerung" TargetMode="External"/><Relationship Id="rId515" Type="http://schemas.openxmlformats.org/officeDocument/2006/relationships/hyperlink" Target="https://fategrandorder.fandom.com/wiki/Free_Quests:_G%C3%B6tterd%C3%A4mmerung" TargetMode="External"/><Relationship Id="rId636" Type="http://schemas.openxmlformats.org/officeDocument/2006/relationships/hyperlink" Target="https://fategrandorder.fandom.com/wiki/Free_Quests:_Babylonia" TargetMode="External"/><Relationship Id="rId15" Type="http://schemas.openxmlformats.org/officeDocument/2006/relationships/hyperlink" Target="https://fategrandorder.fandom.com/wiki/Free_Quests:_Septem" TargetMode="External"/><Relationship Id="rId14" Type="http://schemas.openxmlformats.org/officeDocument/2006/relationships/hyperlink" Target="https://fategrandorder.fandom.com/wiki/Free_Quests:_E_Pluribus_Unum" TargetMode="External"/><Relationship Id="rId17" Type="http://schemas.openxmlformats.org/officeDocument/2006/relationships/hyperlink" Target="https://fategrandorder.fandom.com/wiki/Free_Quests:_E_Pluribus_Unum" TargetMode="External"/><Relationship Id="rId16" Type="http://schemas.openxmlformats.org/officeDocument/2006/relationships/hyperlink" Target="https://fategrandorder.fandom.com/wiki/Free_Quests:_Septem" TargetMode="External"/><Relationship Id="rId19" Type="http://schemas.openxmlformats.org/officeDocument/2006/relationships/hyperlink" Target="https://fategrandorder.fandom.com/wiki/Free_Quests:_E_Pluribus_Unum" TargetMode="External"/><Relationship Id="rId510" Type="http://schemas.openxmlformats.org/officeDocument/2006/relationships/hyperlink" Target="https://fategrandorder.fandom.com/wiki/Free_Quests:_G%C3%B6tterd%C3%A4mmerung" TargetMode="External"/><Relationship Id="rId631" Type="http://schemas.openxmlformats.org/officeDocument/2006/relationships/hyperlink" Target="https://fategrandorder.fandom.com/wiki/Free_Quests:_Camelot" TargetMode="External"/><Relationship Id="rId18" Type="http://schemas.openxmlformats.org/officeDocument/2006/relationships/hyperlink" Target="https://fategrandorder.fandom.com/wiki/Free_Quests:_E_Pluribus_Unum" TargetMode="External"/><Relationship Id="rId630" Type="http://schemas.openxmlformats.org/officeDocument/2006/relationships/hyperlink" Target="https://fategrandorder.fandom.com/wiki/Free_Quests:_Camelot" TargetMode="External"/><Relationship Id="rId84" Type="http://schemas.openxmlformats.org/officeDocument/2006/relationships/hyperlink" Target="https://fategrandorder.fandom.com/wiki/Free_Quests:_Okeanos" TargetMode="External"/><Relationship Id="rId83" Type="http://schemas.openxmlformats.org/officeDocument/2006/relationships/hyperlink" Target="https://fategrandorder.fandom.com/wiki/Free_Quests:_Okeanos" TargetMode="External"/><Relationship Id="rId86" Type="http://schemas.openxmlformats.org/officeDocument/2006/relationships/hyperlink" Target="https://fategrandorder.fandom.com/wiki/Free_Quests:_Babylonia" TargetMode="External"/><Relationship Id="rId85" Type="http://schemas.openxmlformats.org/officeDocument/2006/relationships/hyperlink" Target="https://fategrandorder.fandom.com/wiki/Free_Quests:_Babylonia" TargetMode="External"/><Relationship Id="rId88" Type="http://schemas.openxmlformats.org/officeDocument/2006/relationships/hyperlink" Target="https://fategrandorder.fandom.com/wiki/Free_Quests:_Okeanos" TargetMode="External"/><Relationship Id="rId87" Type="http://schemas.openxmlformats.org/officeDocument/2006/relationships/hyperlink" Target="https://fategrandorder.fandom.com/wiki/Free_Quests:_Okeanos" TargetMode="External"/><Relationship Id="rId89" Type="http://schemas.openxmlformats.org/officeDocument/2006/relationships/hyperlink" Target="https://fategrandorder.fandom.com/wiki/Free_Quests:_Agartha" TargetMode="External"/><Relationship Id="rId80" Type="http://schemas.openxmlformats.org/officeDocument/2006/relationships/hyperlink" Target="https://fategrandorder.fandom.com/wiki/Free_Quests:_London" TargetMode="External"/><Relationship Id="rId82" Type="http://schemas.openxmlformats.org/officeDocument/2006/relationships/hyperlink" Target="https://fategrandorder.fandom.com/wiki/Free_Quests:_E_Pluribus_Unum" TargetMode="External"/><Relationship Id="rId81" Type="http://schemas.openxmlformats.org/officeDocument/2006/relationships/hyperlink" Target="https://fategrandorder.fandom.com/wiki/Free_Quests:_E_Pluribus_Unum" TargetMode="External"/><Relationship Id="rId73" Type="http://schemas.openxmlformats.org/officeDocument/2006/relationships/hyperlink" Target="https://fategrandorder.fandom.com/wiki/Free_Quests:_London" TargetMode="External"/><Relationship Id="rId72" Type="http://schemas.openxmlformats.org/officeDocument/2006/relationships/hyperlink" Target="https://fategrandorder.fandom.com/wiki/Free_Quests:_Shimosa" TargetMode="External"/><Relationship Id="rId75" Type="http://schemas.openxmlformats.org/officeDocument/2006/relationships/hyperlink" Target="https://fategrandorder.fandom.com/wiki/Free_Quests:_Orleans" TargetMode="External"/><Relationship Id="rId74" Type="http://schemas.openxmlformats.org/officeDocument/2006/relationships/hyperlink" Target="https://fategrandorder.fandom.com/wiki/Free_Quests:_London" TargetMode="External"/><Relationship Id="rId77" Type="http://schemas.openxmlformats.org/officeDocument/2006/relationships/hyperlink" Target="https://fategrandorder.fandom.com/wiki/Monday_Daily_Quests" TargetMode="External"/><Relationship Id="rId76" Type="http://schemas.openxmlformats.org/officeDocument/2006/relationships/hyperlink" Target="https://fategrandorder.fandom.com/wiki/Free_Quests:_Orleans" TargetMode="External"/><Relationship Id="rId79" Type="http://schemas.openxmlformats.org/officeDocument/2006/relationships/hyperlink" Target="https://fategrandorder.fandom.com/wiki/Free_Quests:_London" TargetMode="External"/><Relationship Id="rId78" Type="http://schemas.openxmlformats.org/officeDocument/2006/relationships/hyperlink" Target="https://fategrandorder.fandom.com/wiki/Monday_Daily_Quests" TargetMode="External"/><Relationship Id="rId71" Type="http://schemas.openxmlformats.org/officeDocument/2006/relationships/hyperlink" Target="https://fategrandorder.fandom.com/wiki/Free_Quests:_Shimosa" TargetMode="External"/><Relationship Id="rId70" Type="http://schemas.openxmlformats.org/officeDocument/2006/relationships/hyperlink" Target="https://fategrandorder.fandom.com/wiki/Free_Quests:_London" TargetMode="External"/><Relationship Id="rId62" Type="http://schemas.openxmlformats.org/officeDocument/2006/relationships/hyperlink" Target="https://fategrandorder.fandom.com/wiki/Monday_Daily_Quests" TargetMode="External"/><Relationship Id="rId61" Type="http://schemas.openxmlformats.org/officeDocument/2006/relationships/hyperlink" Target="https://fategrandorder.fandom.com/wiki/Monday_Daily_Quests" TargetMode="External"/><Relationship Id="rId64" Type="http://schemas.openxmlformats.org/officeDocument/2006/relationships/hyperlink" Target="https://fategrandorder.fandom.com/wiki/Sunday_Daily_Quests" TargetMode="External"/><Relationship Id="rId63" Type="http://schemas.openxmlformats.org/officeDocument/2006/relationships/hyperlink" Target="https://fategrandorder.fandom.com/wiki/Sunday_Daily_Quests" TargetMode="External"/><Relationship Id="rId66" Type="http://schemas.openxmlformats.org/officeDocument/2006/relationships/hyperlink" Target="https://fategrandorder.fandom.com/wiki/Free_Quests:_Septem" TargetMode="External"/><Relationship Id="rId65" Type="http://schemas.openxmlformats.org/officeDocument/2006/relationships/hyperlink" Target="https://fategrandorder.fandom.com/wiki/Free_Quests:_Septem" TargetMode="External"/><Relationship Id="rId68" Type="http://schemas.openxmlformats.org/officeDocument/2006/relationships/hyperlink" Target="https://fategrandorder.fandom.com/wiki/Free_Quests:_Okeanos" TargetMode="External"/><Relationship Id="rId67" Type="http://schemas.openxmlformats.org/officeDocument/2006/relationships/hyperlink" Target="https://fategrandorder.fandom.com/wiki/Free_Quests:_Okeanos" TargetMode="External"/><Relationship Id="rId609" Type="http://schemas.openxmlformats.org/officeDocument/2006/relationships/hyperlink" Target="https://fategrandorder.fandom.com/wiki/Monday_Daily_Quests" TargetMode="External"/><Relationship Id="rId608" Type="http://schemas.openxmlformats.org/officeDocument/2006/relationships/hyperlink" Target="https://fategrandorder.fandom.com/wiki/Free_Quests:_E_Pluribus_Unum" TargetMode="External"/><Relationship Id="rId607" Type="http://schemas.openxmlformats.org/officeDocument/2006/relationships/hyperlink" Target="https://fategrandorder.fandom.com/wiki/Free_Quests:_E_Pluribus_Unum" TargetMode="External"/><Relationship Id="rId60" Type="http://schemas.openxmlformats.org/officeDocument/2006/relationships/hyperlink" Target="https://fategrandorder.fandom.com/wiki/Free_Quests:_Fuyuki" TargetMode="External"/><Relationship Id="rId602" Type="http://schemas.openxmlformats.org/officeDocument/2006/relationships/hyperlink" Target="https://fategrandorder.fandom.com/wiki/Tuesday_Daily_Quests" TargetMode="External"/><Relationship Id="rId601" Type="http://schemas.openxmlformats.org/officeDocument/2006/relationships/hyperlink" Target="https://fategrandorder.fandom.com/wiki/Tuesday_Daily_Quests" TargetMode="External"/><Relationship Id="rId600" Type="http://schemas.openxmlformats.org/officeDocument/2006/relationships/hyperlink" Target="https://fategrandorder.fandom.com/wiki/Free_Quests:_E_Pluribus_Unum" TargetMode="External"/><Relationship Id="rId606" Type="http://schemas.openxmlformats.org/officeDocument/2006/relationships/hyperlink" Target="https://fategrandorder.fandom.com/wiki/Free_Quests:_Shinjuku" TargetMode="External"/><Relationship Id="rId605" Type="http://schemas.openxmlformats.org/officeDocument/2006/relationships/hyperlink" Target="https://fategrandorder.fandom.com/wiki/Free_Quests:_Shinjuku" TargetMode="External"/><Relationship Id="rId604" Type="http://schemas.openxmlformats.org/officeDocument/2006/relationships/hyperlink" Target="https://fategrandorder.fandom.com/wiki/Tuesday_Daily_Quests" TargetMode="External"/><Relationship Id="rId603" Type="http://schemas.openxmlformats.org/officeDocument/2006/relationships/hyperlink" Target="https://fategrandorder.fandom.com/wiki/Tuesday_Daily_Quests" TargetMode="External"/><Relationship Id="rId69" Type="http://schemas.openxmlformats.org/officeDocument/2006/relationships/hyperlink" Target="https://fategrandorder.fandom.com/wiki/Free_Quests:_London" TargetMode="External"/><Relationship Id="rId51" Type="http://schemas.openxmlformats.org/officeDocument/2006/relationships/hyperlink" Target="https://fategrandorder.fandom.com/wiki/Free_Quests:_Fuyuki" TargetMode="External"/><Relationship Id="rId50" Type="http://schemas.openxmlformats.org/officeDocument/2006/relationships/hyperlink" Target="https://fategrandorder.fandom.com/wiki/Free_Quests:_Camelot" TargetMode="External"/><Relationship Id="rId53" Type="http://schemas.openxmlformats.org/officeDocument/2006/relationships/hyperlink" Target="https://fategrandorder.fandom.com/wiki/Free_Quests:_Septem" TargetMode="External"/><Relationship Id="rId52" Type="http://schemas.openxmlformats.org/officeDocument/2006/relationships/hyperlink" Target="https://fategrandorder.fandom.com/wiki/Free_Quests:_Fuyuki" TargetMode="External"/><Relationship Id="rId55" Type="http://schemas.openxmlformats.org/officeDocument/2006/relationships/hyperlink" Target="https://fategrandorder.fandom.com/wiki/Free_Quests:_Fuyuki" TargetMode="External"/><Relationship Id="rId54" Type="http://schemas.openxmlformats.org/officeDocument/2006/relationships/hyperlink" Target="https://fategrandorder.fandom.com/wiki/Free_Quests:_Septem" TargetMode="External"/><Relationship Id="rId57" Type="http://schemas.openxmlformats.org/officeDocument/2006/relationships/hyperlink" Target="https://fategrandorder.fandom.com/wiki/Tuesday_Daily_Quests" TargetMode="External"/><Relationship Id="rId56" Type="http://schemas.openxmlformats.org/officeDocument/2006/relationships/hyperlink" Target="https://fategrandorder.fandom.com/wiki/Free_Quests:_Fuyuki" TargetMode="External"/><Relationship Id="rId59" Type="http://schemas.openxmlformats.org/officeDocument/2006/relationships/hyperlink" Target="https://fategrandorder.fandom.com/wiki/Free_Quests:_Fuyuki" TargetMode="External"/><Relationship Id="rId58" Type="http://schemas.openxmlformats.org/officeDocument/2006/relationships/hyperlink" Target="https://fategrandorder.fandom.com/wiki/Tuesday_Daily_Quests" TargetMode="External"/><Relationship Id="rId590" Type="http://schemas.openxmlformats.org/officeDocument/2006/relationships/hyperlink" Target="https://fategrandorder.fandom.com/wiki/Free_Quests:_Agartha" TargetMode="External"/><Relationship Id="rId107" Type="http://schemas.openxmlformats.org/officeDocument/2006/relationships/hyperlink" Target="https://fategrandorder.fandom.com/wiki/Saturday_Daily_Quests" TargetMode="External"/><Relationship Id="rId228" Type="http://schemas.openxmlformats.org/officeDocument/2006/relationships/hyperlink" Target="https://fategrandorder.fandom.com/wiki/Free_Quests:_Anastasia" TargetMode="External"/><Relationship Id="rId349" Type="http://schemas.openxmlformats.org/officeDocument/2006/relationships/hyperlink" Target="https://fategrandorder.fandom.com/wiki/Sunday_Daily_Quests" TargetMode="External"/><Relationship Id="rId106" Type="http://schemas.openxmlformats.org/officeDocument/2006/relationships/hyperlink" Target="https://fategrandorder.fandom.com/wiki/Free_Quests:_Fuyuki" TargetMode="External"/><Relationship Id="rId227" Type="http://schemas.openxmlformats.org/officeDocument/2006/relationships/hyperlink" Target="https://fategrandorder.fandom.com/wiki/Free_Quests:_Anastasia" TargetMode="External"/><Relationship Id="rId348" Type="http://schemas.openxmlformats.org/officeDocument/2006/relationships/hyperlink" Target="https://fategrandorder.fandom.com/wiki/Free_Quests:_Agartha" TargetMode="External"/><Relationship Id="rId469" Type="http://schemas.openxmlformats.org/officeDocument/2006/relationships/hyperlink" Target="https://fategrandorder.fandom.com/wiki/Free_Quests:_Anastasia" TargetMode="External"/><Relationship Id="rId105" Type="http://schemas.openxmlformats.org/officeDocument/2006/relationships/hyperlink" Target="https://fategrandorder.fandom.com/wiki/Free_Quests:_Fuyuki" TargetMode="External"/><Relationship Id="rId226" Type="http://schemas.openxmlformats.org/officeDocument/2006/relationships/hyperlink" Target="https://fategrandorder.fandom.com/wiki/Free_Quests:_Anastasia" TargetMode="External"/><Relationship Id="rId347" Type="http://schemas.openxmlformats.org/officeDocument/2006/relationships/hyperlink" Target="https://fategrandorder.fandom.com/wiki/Free_Quests:_Agartha" TargetMode="External"/><Relationship Id="rId468" Type="http://schemas.openxmlformats.org/officeDocument/2006/relationships/hyperlink" Target="https://fategrandorder.fandom.com/wiki/Free_Quests:_Okeanos" TargetMode="External"/><Relationship Id="rId589" Type="http://schemas.openxmlformats.org/officeDocument/2006/relationships/hyperlink" Target="https://fategrandorder.fandom.com/wiki/Free_Quests:_Agartha" TargetMode="External"/><Relationship Id="rId104" Type="http://schemas.openxmlformats.org/officeDocument/2006/relationships/hyperlink" Target="https://fategrandorder.fandom.com/wiki/Thursday_Daily_Quests" TargetMode="External"/><Relationship Id="rId225" Type="http://schemas.openxmlformats.org/officeDocument/2006/relationships/hyperlink" Target="https://fategrandorder.fandom.com/wiki/Free_Quests:_Anastasia" TargetMode="External"/><Relationship Id="rId346" Type="http://schemas.openxmlformats.org/officeDocument/2006/relationships/hyperlink" Target="https://fategrandorder.fandom.com/wiki/Free_Quests:_Salem" TargetMode="External"/><Relationship Id="rId467" Type="http://schemas.openxmlformats.org/officeDocument/2006/relationships/hyperlink" Target="https://fategrandorder.fandom.com/wiki/Free_Quests:_Okeanos" TargetMode="External"/><Relationship Id="rId588" Type="http://schemas.openxmlformats.org/officeDocument/2006/relationships/hyperlink" Target="https://fategrandorder.fandom.com/wiki/Sunday_Daily_Quests" TargetMode="External"/><Relationship Id="rId109" Type="http://schemas.openxmlformats.org/officeDocument/2006/relationships/hyperlink" Target="https://fategrandorder.fandom.com/wiki/Thursday_Daily_Quests" TargetMode="External"/><Relationship Id="rId108" Type="http://schemas.openxmlformats.org/officeDocument/2006/relationships/hyperlink" Target="https://fategrandorder.fandom.com/wiki/Saturday_Daily_Quests" TargetMode="External"/><Relationship Id="rId229" Type="http://schemas.openxmlformats.org/officeDocument/2006/relationships/hyperlink" Target="https://fategrandorder.fandom.com/wiki/Free_Quests:_Anastasia" TargetMode="External"/><Relationship Id="rId220" Type="http://schemas.openxmlformats.org/officeDocument/2006/relationships/hyperlink" Target="https://fategrandorder.fandom.com/wiki/Free_Quests:_Salem" TargetMode="External"/><Relationship Id="rId341" Type="http://schemas.openxmlformats.org/officeDocument/2006/relationships/hyperlink" Target="https://fategrandorder.fandom.com/wiki/Free_Quests:_Salem" TargetMode="External"/><Relationship Id="rId462" Type="http://schemas.openxmlformats.org/officeDocument/2006/relationships/hyperlink" Target="https://fategrandorder.fandom.com/wiki/Free_Quests:_Camelot" TargetMode="External"/><Relationship Id="rId583" Type="http://schemas.openxmlformats.org/officeDocument/2006/relationships/hyperlink" Target="https://fategrandorder.fandom.com/wiki/Free_Quests:_E_Pluribus_Unum" TargetMode="External"/><Relationship Id="rId340" Type="http://schemas.openxmlformats.org/officeDocument/2006/relationships/hyperlink" Target="https://fategrandorder.fandom.com/wiki/Free_Quests:_Salem" TargetMode="External"/><Relationship Id="rId461" Type="http://schemas.openxmlformats.org/officeDocument/2006/relationships/hyperlink" Target="https://fategrandorder.fandom.com/wiki/Free_Quests:_Camelot" TargetMode="External"/><Relationship Id="rId582" Type="http://schemas.openxmlformats.org/officeDocument/2006/relationships/hyperlink" Target="https://fategrandorder.fandom.com/wiki/Free_Quests:_G%C3%B6tterd%C3%A4mmerung" TargetMode="External"/><Relationship Id="rId460" Type="http://schemas.openxmlformats.org/officeDocument/2006/relationships/hyperlink" Target="https://fategrandorder.fandom.com/wiki/Free_Quests:_Camelot" TargetMode="External"/><Relationship Id="rId581" Type="http://schemas.openxmlformats.org/officeDocument/2006/relationships/hyperlink" Target="https://fategrandorder.fandom.com/wiki/Free_Quests:_G%C3%B6tterd%C3%A4mmerung" TargetMode="External"/><Relationship Id="rId580" Type="http://schemas.openxmlformats.org/officeDocument/2006/relationships/hyperlink" Target="https://fategrandorder.fandom.com/wiki/Free_Quests:_Shinjuku" TargetMode="External"/><Relationship Id="rId103" Type="http://schemas.openxmlformats.org/officeDocument/2006/relationships/hyperlink" Target="https://fategrandorder.fandom.com/wiki/Thursday_Daily_Quests" TargetMode="External"/><Relationship Id="rId224" Type="http://schemas.openxmlformats.org/officeDocument/2006/relationships/hyperlink" Target="https://fategrandorder.fandom.com/wiki/Free_Quests:_Anastasia" TargetMode="External"/><Relationship Id="rId345" Type="http://schemas.openxmlformats.org/officeDocument/2006/relationships/hyperlink" Target="https://fategrandorder.fandom.com/wiki/Free_Quests:_Salem" TargetMode="External"/><Relationship Id="rId466" Type="http://schemas.openxmlformats.org/officeDocument/2006/relationships/hyperlink" Target="https://fategrandorder.fandom.com/wiki/Free_Quests:_Babylonia" TargetMode="External"/><Relationship Id="rId587" Type="http://schemas.openxmlformats.org/officeDocument/2006/relationships/hyperlink" Target="https://fategrandorder.fandom.com/wiki/Sunday_Daily_Quests" TargetMode="External"/><Relationship Id="rId102" Type="http://schemas.openxmlformats.org/officeDocument/2006/relationships/hyperlink" Target="https://fategrandorder.fandom.com/wiki/Thursday_Daily_Quests" TargetMode="External"/><Relationship Id="rId223" Type="http://schemas.openxmlformats.org/officeDocument/2006/relationships/hyperlink" Target="https://fategrandorder.fandom.com/wiki/Free_Quests:_Anastasia" TargetMode="External"/><Relationship Id="rId344" Type="http://schemas.openxmlformats.org/officeDocument/2006/relationships/hyperlink" Target="https://fategrandorder.fandom.com/wiki/Free_Quests:_Agartha" TargetMode="External"/><Relationship Id="rId465" Type="http://schemas.openxmlformats.org/officeDocument/2006/relationships/hyperlink" Target="https://fategrandorder.fandom.com/wiki/Free_Quests:_Babylonia" TargetMode="External"/><Relationship Id="rId586" Type="http://schemas.openxmlformats.org/officeDocument/2006/relationships/hyperlink" Target="https://fategrandorder.fandom.com/wiki/Sunday_Daily_Quests" TargetMode="External"/><Relationship Id="rId101" Type="http://schemas.openxmlformats.org/officeDocument/2006/relationships/hyperlink" Target="https://fategrandorder.fandom.com/wiki/Thursday_Daily_Quests" TargetMode="External"/><Relationship Id="rId222" Type="http://schemas.openxmlformats.org/officeDocument/2006/relationships/hyperlink" Target="https://fategrandorder.fandom.com/wiki/Free_Quests:_Anastasia" TargetMode="External"/><Relationship Id="rId343" Type="http://schemas.openxmlformats.org/officeDocument/2006/relationships/hyperlink" Target="https://fategrandorder.fandom.com/wiki/Free_Quests:_Agartha" TargetMode="External"/><Relationship Id="rId464" Type="http://schemas.openxmlformats.org/officeDocument/2006/relationships/hyperlink" Target="https://fategrandorder.fandom.com/wiki/Free_Quests:_Camelot" TargetMode="External"/><Relationship Id="rId585" Type="http://schemas.openxmlformats.org/officeDocument/2006/relationships/hyperlink" Target="https://fategrandorder.fandom.com/wiki/Sunday_Daily_Quests" TargetMode="External"/><Relationship Id="rId100" Type="http://schemas.openxmlformats.org/officeDocument/2006/relationships/hyperlink" Target="https://fategrandorder.fandom.com/wiki/Free_Quests:_Orleans" TargetMode="External"/><Relationship Id="rId221" Type="http://schemas.openxmlformats.org/officeDocument/2006/relationships/hyperlink" Target="https://fategrandorder.fandom.com/wiki/Free_Quests:_Anastasia" TargetMode="External"/><Relationship Id="rId342" Type="http://schemas.openxmlformats.org/officeDocument/2006/relationships/hyperlink" Target="https://fategrandorder.fandom.com/wiki/Free_Quests:_Salem" TargetMode="External"/><Relationship Id="rId463" Type="http://schemas.openxmlformats.org/officeDocument/2006/relationships/hyperlink" Target="https://fategrandorder.fandom.com/wiki/Free_Quests:_Camelot" TargetMode="External"/><Relationship Id="rId584" Type="http://schemas.openxmlformats.org/officeDocument/2006/relationships/hyperlink" Target="https://fategrandorder.fandom.com/wiki/Free_Quests:_E_Pluribus_Unum" TargetMode="External"/><Relationship Id="rId217" Type="http://schemas.openxmlformats.org/officeDocument/2006/relationships/hyperlink" Target="https://fategrandorder.fandom.com/wiki/Free_Quests:_Salem" TargetMode="External"/><Relationship Id="rId338" Type="http://schemas.openxmlformats.org/officeDocument/2006/relationships/hyperlink" Target="https://fategrandorder.fandom.com/wiki/Free_Quests:_Agartha" TargetMode="External"/><Relationship Id="rId459" Type="http://schemas.openxmlformats.org/officeDocument/2006/relationships/hyperlink" Target="https://fategrandorder.fandom.com/wiki/Free_Quests:_Camelot" TargetMode="External"/><Relationship Id="rId216" Type="http://schemas.openxmlformats.org/officeDocument/2006/relationships/hyperlink" Target="https://fategrandorder.fandom.com/wiki/Free_Quests:_Salem" TargetMode="External"/><Relationship Id="rId337" Type="http://schemas.openxmlformats.org/officeDocument/2006/relationships/hyperlink" Target="https://fategrandorder.fandom.com/wiki/Free_Quests:_Agartha" TargetMode="External"/><Relationship Id="rId458" Type="http://schemas.openxmlformats.org/officeDocument/2006/relationships/hyperlink" Target="https://fategrandorder.fandom.com/wiki/Monday_Daily_Quests" TargetMode="External"/><Relationship Id="rId579" Type="http://schemas.openxmlformats.org/officeDocument/2006/relationships/hyperlink" Target="https://fategrandorder.fandom.com/wiki/Free_Quests:_Shinjuku" TargetMode="External"/><Relationship Id="rId215" Type="http://schemas.openxmlformats.org/officeDocument/2006/relationships/hyperlink" Target="https://fategrandorder.fandom.com/wiki/Free_Quests:_Salem" TargetMode="External"/><Relationship Id="rId336" Type="http://schemas.openxmlformats.org/officeDocument/2006/relationships/hyperlink" Target="https://fategrandorder.fandom.com/wiki/Free_Quests:_Agartha" TargetMode="External"/><Relationship Id="rId457" Type="http://schemas.openxmlformats.org/officeDocument/2006/relationships/hyperlink" Target="https://fategrandorder.fandom.com/wiki/Monday_Daily_Quests" TargetMode="External"/><Relationship Id="rId578" Type="http://schemas.openxmlformats.org/officeDocument/2006/relationships/hyperlink" Target="https://fategrandorder.fandom.com/wiki/Free_Quests:_Camelot" TargetMode="External"/><Relationship Id="rId214" Type="http://schemas.openxmlformats.org/officeDocument/2006/relationships/hyperlink" Target="https://fategrandorder.fandom.com/wiki/Free_Quests:_Salem" TargetMode="External"/><Relationship Id="rId335" Type="http://schemas.openxmlformats.org/officeDocument/2006/relationships/hyperlink" Target="https://fategrandorder.fandom.com/wiki/Free_Quests:_Agartha" TargetMode="External"/><Relationship Id="rId456" Type="http://schemas.openxmlformats.org/officeDocument/2006/relationships/hyperlink" Target="https://fategrandorder.fandom.com/wiki/Monday_Daily_Quests" TargetMode="External"/><Relationship Id="rId577" Type="http://schemas.openxmlformats.org/officeDocument/2006/relationships/hyperlink" Target="https://fategrandorder.fandom.com/wiki/Free_Quests:_Camelot" TargetMode="External"/><Relationship Id="rId219" Type="http://schemas.openxmlformats.org/officeDocument/2006/relationships/hyperlink" Target="https://fategrandorder.fandom.com/wiki/Free_Quests:_Salem" TargetMode="External"/><Relationship Id="rId218" Type="http://schemas.openxmlformats.org/officeDocument/2006/relationships/hyperlink" Target="https://fategrandorder.fandom.com/wiki/Free_Quests:_Salem" TargetMode="External"/><Relationship Id="rId339" Type="http://schemas.openxmlformats.org/officeDocument/2006/relationships/hyperlink" Target="https://fategrandorder.fandom.com/wiki/Free_Quests:_Salem" TargetMode="External"/><Relationship Id="rId330" Type="http://schemas.openxmlformats.org/officeDocument/2006/relationships/hyperlink" Target="https://fategrandorder.fandom.com/wiki/Friday_Daily_Quests" TargetMode="External"/><Relationship Id="rId451" Type="http://schemas.openxmlformats.org/officeDocument/2006/relationships/hyperlink" Target="https://fategrandorder.fandom.com/wiki/Thursday_Daily_Quests" TargetMode="External"/><Relationship Id="rId572" Type="http://schemas.openxmlformats.org/officeDocument/2006/relationships/hyperlink" Target="https://fategrandorder.fandom.com/wiki/Free_Quests:_Babylonia" TargetMode="External"/><Relationship Id="rId450" Type="http://schemas.openxmlformats.org/officeDocument/2006/relationships/hyperlink" Target="https://fategrandorder.fandom.com/wiki/Monday_Daily_Quests" TargetMode="External"/><Relationship Id="rId571" Type="http://schemas.openxmlformats.org/officeDocument/2006/relationships/hyperlink" Target="https://fategrandorder.fandom.com/wiki/Free_Quests:_Babylonia" TargetMode="External"/><Relationship Id="rId570" Type="http://schemas.openxmlformats.org/officeDocument/2006/relationships/hyperlink" Target="https://fategrandorder.fandom.com/wiki/Friday_Daily_Quests" TargetMode="External"/><Relationship Id="rId213" Type="http://schemas.openxmlformats.org/officeDocument/2006/relationships/hyperlink" Target="https://fategrandorder.fandom.com/wiki/Free_Quests:_Salem" TargetMode="External"/><Relationship Id="rId334" Type="http://schemas.openxmlformats.org/officeDocument/2006/relationships/hyperlink" Target="https://fategrandorder.fandom.com/wiki/Free_Quests:_Salem" TargetMode="External"/><Relationship Id="rId455" Type="http://schemas.openxmlformats.org/officeDocument/2006/relationships/hyperlink" Target="https://fategrandorder.fandom.com/wiki/Monday_Daily_Quests" TargetMode="External"/><Relationship Id="rId576" Type="http://schemas.openxmlformats.org/officeDocument/2006/relationships/hyperlink" Target="https://fategrandorder.fandom.com/wiki/Thursday_Daily_Quests" TargetMode="External"/><Relationship Id="rId212" Type="http://schemas.openxmlformats.org/officeDocument/2006/relationships/hyperlink" Target="https://fategrandorder.fandom.com/wiki/Free_Quests:_Salem" TargetMode="External"/><Relationship Id="rId333" Type="http://schemas.openxmlformats.org/officeDocument/2006/relationships/hyperlink" Target="https://fategrandorder.fandom.com/wiki/Free_Quests:_Salem" TargetMode="External"/><Relationship Id="rId454" Type="http://schemas.openxmlformats.org/officeDocument/2006/relationships/hyperlink" Target="https://fategrandorder.fandom.com/wiki/Thursday_Daily_Quests" TargetMode="External"/><Relationship Id="rId575" Type="http://schemas.openxmlformats.org/officeDocument/2006/relationships/hyperlink" Target="https://fategrandorder.fandom.com/wiki/Thursday_Daily_Quests" TargetMode="External"/><Relationship Id="rId211" Type="http://schemas.openxmlformats.org/officeDocument/2006/relationships/hyperlink" Target="https://fategrandorder.fandom.com/wiki/Free_Quests:_Salem" TargetMode="External"/><Relationship Id="rId332" Type="http://schemas.openxmlformats.org/officeDocument/2006/relationships/hyperlink" Target="https://fategrandorder.fandom.com/wiki/Friday_Daily_Quests" TargetMode="External"/><Relationship Id="rId453" Type="http://schemas.openxmlformats.org/officeDocument/2006/relationships/hyperlink" Target="https://fategrandorder.fandom.com/wiki/Thursday_Daily_Quests" TargetMode="External"/><Relationship Id="rId574" Type="http://schemas.openxmlformats.org/officeDocument/2006/relationships/hyperlink" Target="https://fategrandorder.fandom.com/wiki/Thursday_Daily_Quests" TargetMode="External"/><Relationship Id="rId210" Type="http://schemas.openxmlformats.org/officeDocument/2006/relationships/hyperlink" Target="https://fategrandorder.fandom.com/wiki/Free_Quests:_Shinjuku" TargetMode="External"/><Relationship Id="rId331" Type="http://schemas.openxmlformats.org/officeDocument/2006/relationships/hyperlink" Target="https://fategrandorder.fandom.com/wiki/Friday_Daily_Quests" TargetMode="External"/><Relationship Id="rId452" Type="http://schemas.openxmlformats.org/officeDocument/2006/relationships/hyperlink" Target="https://fategrandorder.fandom.com/wiki/Thursday_Daily_Quests" TargetMode="External"/><Relationship Id="rId573" Type="http://schemas.openxmlformats.org/officeDocument/2006/relationships/hyperlink" Target="https://fategrandorder.fandom.com/wiki/Thursday_Daily_Quests" TargetMode="External"/><Relationship Id="rId370" Type="http://schemas.openxmlformats.org/officeDocument/2006/relationships/hyperlink" Target="https://fategrandorder.fandom.com/wiki/Free_Quests:_S_I_N" TargetMode="External"/><Relationship Id="rId491" Type="http://schemas.openxmlformats.org/officeDocument/2006/relationships/hyperlink" Target="https://fategrandorder.fandom.com/wiki/Free_Quests:_Shimosa" TargetMode="External"/><Relationship Id="rId490" Type="http://schemas.openxmlformats.org/officeDocument/2006/relationships/hyperlink" Target="https://fategrandorder.fandom.com/wiki/Free_Quests:_Shimosa" TargetMode="External"/><Relationship Id="rId129" Type="http://schemas.openxmlformats.org/officeDocument/2006/relationships/hyperlink" Target="https://fategrandorder.fandom.com/wiki/Free_Quests:_Okeanos" TargetMode="External"/><Relationship Id="rId128" Type="http://schemas.openxmlformats.org/officeDocument/2006/relationships/hyperlink" Target="https://fategrandorder.fandom.com/wiki/Free_Quests:_Septem" TargetMode="External"/><Relationship Id="rId249" Type="http://schemas.openxmlformats.org/officeDocument/2006/relationships/hyperlink" Target="https://fategrandorder.fandom.com/wiki/Free_Quests:_Okeanos" TargetMode="External"/><Relationship Id="rId127" Type="http://schemas.openxmlformats.org/officeDocument/2006/relationships/hyperlink" Target="https://fategrandorder.fandom.com/wiki/Free_Quests:_Septem" TargetMode="External"/><Relationship Id="rId248" Type="http://schemas.openxmlformats.org/officeDocument/2006/relationships/hyperlink" Target="https://fategrandorder.fandom.com/wiki/Free_Quests:_Shimosa" TargetMode="External"/><Relationship Id="rId369" Type="http://schemas.openxmlformats.org/officeDocument/2006/relationships/hyperlink" Target="https://fategrandorder.fandom.com/wiki/Free_Quests:_S_I_N" TargetMode="External"/><Relationship Id="rId126" Type="http://schemas.openxmlformats.org/officeDocument/2006/relationships/hyperlink" Target="https://fategrandorder.fandom.com/wiki/Free_Quests:_E_Pluribus_Unum" TargetMode="External"/><Relationship Id="rId247" Type="http://schemas.openxmlformats.org/officeDocument/2006/relationships/hyperlink" Target="https://fategrandorder.fandom.com/wiki/Free_Quests:_Shimosa" TargetMode="External"/><Relationship Id="rId368" Type="http://schemas.openxmlformats.org/officeDocument/2006/relationships/hyperlink" Target="https://fategrandorder.fandom.com/wiki/Free_Quests:_E_Pluribus_Unum" TargetMode="External"/><Relationship Id="rId489" Type="http://schemas.openxmlformats.org/officeDocument/2006/relationships/hyperlink" Target="https://fategrandorder.fandom.com/wiki/Free_Quests:_Shimosa" TargetMode="External"/><Relationship Id="rId121" Type="http://schemas.openxmlformats.org/officeDocument/2006/relationships/hyperlink" Target="https://fategrandorder.fandom.com/wiki/Free_Quests:_E_Pluribus_Unum" TargetMode="External"/><Relationship Id="rId242" Type="http://schemas.openxmlformats.org/officeDocument/2006/relationships/hyperlink" Target="https://fategrandorder.fandom.com/wiki/Free_Quests:_Shimosa" TargetMode="External"/><Relationship Id="rId363" Type="http://schemas.openxmlformats.org/officeDocument/2006/relationships/hyperlink" Target="https://fategrandorder.fandom.com/wiki/Monday_Daily_Quests" TargetMode="External"/><Relationship Id="rId484" Type="http://schemas.openxmlformats.org/officeDocument/2006/relationships/hyperlink" Target="https://fategrandorder.fandom.com/wiki/Free_Quests:_Shimosa" TargetMode="External"/><Relationship Id="rId120" Type="http://schemas.openxmlformats.org/officeDocument/2006/relationships/hyperlink" Target="https://fategrandorder.fandom.com/wiki/Free_Quests:_Okeanos" TargetMode="External"/><Relationship Id="rId241" Type="http://schemas.openxmlformats.org/officeDocument/2006/relationships/hyperlink" Target="https://fategrandorder.fandom.com/wiki/Free_Quests:_Shimosa" TargetMode="External"/><Relationship Id="rId362" Type="http://schemas.openxmlformats.org/officeDocument/2006/relationships/hyperlink" Target="https://fategrandorder.fandom.com/wiki/Sunday_Daily_Quests" TargetMode="External"/><Relationship Id="rId483" Type="http://schemas.openxmlformats.org/officeDocument/2006/relationships/hyperlink" Target="https://fategrandorder.fandom.com/wiki/Free_Quests:_Shimosa" TargetMode="External"/><Relationship Id="rId240" Type="http://schemas.openxmlformats.org/officeDocument/2006/relationships/hyperlink" Target="https://fategrandorder.fandom.com/wiki/Free_Quests:_Salem" TargetMode="External"/><Relationship Id="rId361" Type="http://schemas.openxmlformats.org/officeDocument/2006/relationships/hyperlink" Target="https://fategrandorder.fandom.com/wiki/Sunday_Daily_Quests" TargetMode="External"/><Relationship Id="rId482" Type="http://schemas.openxmlformats.org/officeDocument/2006/relationships/hyperlink" Target="https://fategrandorder.fandom.com/wiki/Sunday_Daily_Quests" TargetMode="External"/><Relationship Id="rId360" Type="http://schemas.openxmlformats.org/officeDocument/2006/relationships/hyperlink" Target="https://fategrandorder.fandom.com/wiki/Tuesday_Daily_Quests" TargetMode="External"/><Relationship Id="rId481" Type="http://schemas.openxmlformats.org/officeDocument/2006/relationships/hyperlink" Target="https://fategrandorder.fandom.com/wiki/Sunday_Daily_Quests" TargetMode="External"/><Relationship Id="rId125" Type="http://schemas.openxmlformats.org/officeDocument/2006/relationships/hyperlink" Target="https://fategrandorder.fandom.com/wiki/Free_Quests:_E_Pluribus_Unum" TargetMode="External"/><Relationship Id="rId246" Type="http://schemas.openxmlformats.org/officeDocument/2006/relationships/hyperlink" Target="https://fategrandorder.fandom.com/wiki/Free_Quests:_Babylonia" TargetMode="External"/><Relationship Id="rId367" Type="http://schemas.openxmlformats.org/officeDocument/2006/relationships/hyperlink" Target="https://fategrandorder.fandom.com/wiki/Free_Quests:_E_Pluribus_Unum" TargetMode="External"/><Relationship Id="rId488" Type="http://schemas.openxmlformats.org/officeDocument/2006/relationships/hyperlink" Target="https://fategrandorder.fandom.com/wiki/Free_Quests:_Shimosa" TargetMode="External"/><Relationship Id="rId124" Type="http://schemas.openxmlformats.org/officeDocument/2006/relationships/hyperlink" Target="https://fategrandorder.fandom.com/wiki/Free_Quests:_Camelot" TargetMode="External"/><Relationship Id="rId245" Type="http://schemas.openxmlformats.org/officeDocument/2006/relationships/hyperlink" Target="https://fategrandorder.fandom.com/wiki/Free_Quests:_Babylonia" TargetMode="External"/><Relationship Id="rId366" Type="http://schemas.openxmlformats.org/officeDocument/2006/relationships/hyperlink" Target="https://fategrandorder.fandom.com/wiki/Free_Quests:_Shinjuku" TargetMode="External"/><Relationship Id="rId487" Type="http://schemas.openxmlformats.org/officeDocument/2006/relationships/hyperlink" Target="https://fategrandorder.fandom.com/wiki/Free_Quests:_Shimosa" TargetMode="External"/><Relationship Id="rId123" Type="http://schemas.openxmlformats.org/officeDocument/2006/relationships/hyperlink" Target="https://fategrandorder.fandom.com/wiki/Free_Quests:_Camelot" TargetMode="External"/><Relationship Id="rId244" Type="http://schemas.openxmlformats.org/officeDocument/2006/relationships/hyperlink" Target="https://fategrandorder.fandom.com/wiki/Free_Quests:_Agartha" TargetMode="External"/><Relationship Id="rId365" Type="http://schemas.openxmlformats.org/officeDocument/2006/relationships/hyperlink" Target="https://fategrandorder.fandom.com/wiki/Free_Quests:_Shinjuku" TargetMode="External"/><Relationship Id="rId486" Type="http://schemas.openxmlformats.org/officeDocument/2006/relationships/hyperlink" Target="https://fategrandorder.fandom.com/wiki/Free_Quests:_Shimosa" TargetMode="External"/><Relationship Id="rId122" Type="http://schemas.openxmlformats.org/officeDocument/2006/relationships/hyperlink" Target="https://fategrandorder.fandom.com/wiki/Free_Quests:_E_Pluribus_Unum" TargetMode="External"/><Relationship Id="rId243" Type="http://schemas.openxmlformats.org/officeDocument/2006/relationships/hyperlink" Target="https://fategrandorder.fandom.com/wiki/Free_Quests:_Agartha" TargetMode="External"/><Relationship Id="rId364" Type="http://schemas.openxmlformats.org/officeDocument/2006/relationships/hyperlink" Target="https://fategrandorder.fandom.com/wiki/Monday_Daily_Quests" TargetMode="External"/><Relationship Id="rId485" Type="http://schemas.openxmlformats.org/officeDocument/2006/relationships/hyperlink" Target="https://fategrandorder.fandom.com/wiki/Free_Quests:_Shimosa" TargetMode="External"/><Relationship Id="rId95" Type="http://schemas.openxmlformats.org/officeDocument/2006/relationships/hyperlink" Target="https://fategrandorder.fandom.com/wiki/Free_Quests:_Agartha" TargetMode="External"/><Relationship Id="rId94" Type="http://schemas.openxmlformats.org/officeDocument/2006/relationships/hyperlink" Target="https://fategrandorder.fandom.com/wiki/Free_Quests:_Orleans" TargetMode="External"/><Relationship Id="rId97" Type="http://schemas.openxmlformats.org/officeDocument/2006/relationships/hyperlink" Target="https://fategrandorder.fandom.com/wiki/Free_Quests:_Salem" TargetMode="External"/><Relationship Id="rId96" Type="http://schemas.openxmlformats.org/officeDocument/2006/relationships/hyperlink" Target="https://fategrandorder.fandom.com/wiki/Free_Quests:_Agartha" TargetMode="External"/><Relationship Id="rId99" Type="http://schemas.openxmlformats.org/officeDocument/2006/relationships/hyperlink" Target="https://fategrandorder.fandom.com/wiki/Free_Quests:_Orleans" TargetMode="External"/><Relationship Id="rId480" Type="http://schemas.openxmlformats.org/officeDocument/2006/relationships/hyperlink" Target="https://fategrandorder.fandom.com/wiki/Sunday_Daily_Quests" TargetMode="External"/><Relationship Id="rId98" Type="http://schemas.openxmlformats.org/officeDocument/2006/relationships/hyperlink" Target="https://fategrandorder.fandom.com/wiki/Free_Quests:_Salem" TargetMode="External"/><Relationship Id="rId91" Type="http://schemas.openxmlformats.org/officeDocument/2006/relationships/hyperlink" Target="https://fategrandorder.fandom.com/wiki/Free_Quests:_Camelot" TargetMode="External"/><Relationship Id="rId90" Type="http://schemas.openxmlformats.org/officeDocument/2006/relationships/hyperlink" Target="https://fategrandorder.fandom.com/wiki/Free_Quests:_Agartha" TargetMode="External"/><Relationship Id="rId93" Type="http://schemas.openxmlformats.org/officeDocument/2006/relationships/hyperlink" Target="https://fategrandorder.fandom.com/wiki/Free_Quests:_Orleans" TargetMode="External"/><Relationship Id="rId92" Type="http://schemas.openxmlformats.org/officeDocument/2006/relationships/hyperlink" Target="https://fategrandorder.fandom.com/wiki/Free_Quests:_Camelot" TargetMode="External"/><Relationship Id="rId118" Type="http://schemas.openxmlformats.org/officeDocument/2006/relationships/hyperlink" Target="https://fategrandorder.fandom.com/wiki/Saturday_Daily_Quests" TargetMode="External"/><Relationship Id="rId239" Type="http://schemas.openxmlformats.org/officeDocument/2006/relationships/hyperlink" Target="https://fategrandorder.fandom.com/wiki/Free_Quests:_Salem" TargetMode="External"/><Relationship Id="rId117" Type="http://schemas.openxmlformats.org/officeDocument/2006/relationships/hyperlink" Target="https://fategrandorder.fandom.com/wiki/Saturday_Daily_Quests" TargetMode="External"/><Relationship Id="rId238" Type="http://schemas.openxmlformats.org/officeDocument/2006/relationships/hyperlink" Target="https://fategrandorder.fandom.com/wiki/Free_Quests:_Salem" TargetMode="External"/><Relationship Id="rId359" Type="http://schemas.openxmlformats.org/officeDocument/2006/relationships/hyperlink" Target="https://fategrandorder.fandom.com/wiki/Tuesday_Daily_Quests" TargetMode="External"/><Relationship Id="rId116" Type="http://schemas.openxmlformats.org/officeDocument/2006/relationships/hyperlink" Target="https://fategrandorder.fandom.com/wiki/Thursday_Daily_Quests" TargetMode="External"/><Relationship Id="rId237" Type="http://schemas.openxmlformats.org/officeDocument/2006/relationships/hyperlink" Target="https://fategrandorder.fandom.com/wiki/Free_Quests:_Salem" TargetMode="External"/><Relationship Id="rId358" Type="http://schemas.openxmlformats.org/officeDocument/2006/relationships/hyperlink" Target="https://fategrandorder.fandom.com/wiki/Tuesday_Daily_Quests" TargetMode="External"/><Relationship Id="rId479" Type="http://schemas.openxmlformats.org/officeDocument/2006/relationships/hyperlink" Target="https://fategrandorder.fandom.com/wiki/Sunday_Daily_Quests" TargetMode="External"/><Relationship Id="rId115" Type="http://schemas.openxmlformats.org/officeDocument/2006/relationships/hyperlink" Target="https://fategrandorder.fandom.com/wiki/Thursday_Daily_Quests" TargetMode="External"/><Relationship Id="rId236" Type="http://schemas.openxmlformats.org/officeDocument/2006/relationships/hyperlink" Target="https://fategrandorder.fandom.com/wiki/Free_Quests:_Babylonia" TargetMode="External"/><Relationship Id="rId357" Type="http://schemas.openxmlformats.org/officeDocument/2006/relationships/hyperlink" Target="https://fategrandorder.fandom.com/wiki/Tuesday_Daily_Quests" TargetMode="External"/><Relationship Id="rId478" Type="http://schemas.openxmlformats.org/officeDocument/2006/relationships/hyperlink" Target="https://fategrandorder.fandom.com/wiki/Sunday_Daily_Quests" TargetMode="External"/><Relationship Id="rId599" Type="http://schemas.openxmlformats.org/officeDocument/2006/relationships/hyperlink" Target="https://fategrandorder.fandom.com/wiki/Free_Quests:_E_Pluribus_Unum" TargetMode="External"/><Relationship Id="rId119" Type="http://schemas.openxmlformats.org/officeDocument/2006/relationships/hyperlink" Target="https://fategrandorder.fandom.com/wiki/Free_Quests:_Okeanos" TargetMode="External"/><Relationship Id="rId110" Type="http://schemas.openxmlformats.org/officeDocument/2006/relationships/hyperlink" Target="https://fategrandorder.fandom.com/wiki/Thursday_Daily_Quests" TargetMode="External"/><Relationship Id="rId231" Type="http://schemas.openxmlformats.org/officeDocument/2006/relationships/hyperlink" Target="https://fategrandorder.fandom.com/wiki/Free_Quests:_Anastasia" TargetMode="External"/><Relationship Id="rId352" Type="http://schemas.openxmlformats.org/officeDocument/2006/relationships/hyperlink" Target="https://fategrandorder.fandom.com/wiki/Free_Quests:_Okeanos" TargetMode="External"/><Relationship Id="rId473" Type="http://schemas.openxmlformats.org/officeDocument/2006/relationships/hyperlink" Target="https://fategrandorder.fandom.com/wiki/Free_Quests:_Anastasia" TargetMode="External"/><Relationship Id="rId594" Type="http://schemas.openxmlformats.org/officeDocument/2006/relationships/hyperlink" Target="https://fategrandorder.fandom.com/wiki/Free_Quests:_Anastasia" TargetMode="External"/><Relationship Id="rId230" Type="http://schemas.openxmlformats.org/officeDocument/2006/relationships/hyperlink" Target="https://fategrandorder.fandom.com/wiki/Free_Quests:_Anastasia" TargetMode="External"/><Relationship Id="rId351" Type="http://schemas.openxmlformats.org/officeDocument/2006/relationships/hyperlink" Target="https://fategrandorder.fandom.com/wiki/Free_Quests:_Okeanos" TargetMode="External"/><Relationship Id="rId472" Type="http://schemas.openxmlformats.org/officeDocument/2006/relationships/hyperlink" Target="https://fategrandorder.fandom.com/wiki/Free_Quests:_Anastasia" TargetMode="External"/><Relationship Id="rId593" Type="http://schemas.openxmlformats.org/officeDocument/2006/relationships/hyperlink" Target="https://fategrandorder.fandom.com/wiki/Free_Quests:_Anastasia" TargetMode="External"/><Relationship Id="rId350" Type="http://schemas.openxmlformats.org/officeDocument/2006/relationships/hyperlink" Target="https://fategrandorder.fandom.com/wiki/Sunday_Daily_Quests" TargetMode="External"/><Relationship Id="rId471" Type="http://schemas.openxmlformats.org/officeDocument/2006/relationships/hyperlink" Target="https://fategrandorder.fandom.com/wiki/Free_Quests:_Anastasia" TargetMode="External"/><Relationship Id="rId592" Type="http://schemas.openxmlformats.org/officeDocument/2006/relationships/hyperlink" Target="https://fategrandorder.fandom.com/wiki/Free_Quests:_Anastasia" TargetMode="External"/><Relationship Id="rId470" Type="http://schemas.openxmlformats.org/officeDocument/2006/relationships/hyperlink" Target="https://fategrandorder.fandom.com/wiki/Free_Quests:_Anastasia" TargetMode="External"/><Relationship Id="rId591" Type="http://schemas.openxmlformats.org/officeDocument/2006/relationships/hyperlink" Target="https://fategrandorder.fandom.com/wiki/Free_Quests:_Anastasia" TargetMode="External"/><Relationship Id="rId114" Type="http://schemas.openxmlformats.org/officeDocument/2006/relationships/hyperlink" Target="https://fategrandorder.fandom.com/wiki/Free_Quests:_Orleans" TargetMode="External"/><Relationship Id="rId235" Type="http://schemas.openxmlformats.org/officeDocument/2006/relationships/hyperlink" Target="https://fategrandorder.fandom.com/wiki/Free_Quests:_Babylonia" TargetMode="External"/><Relationship Id="rId356" Type="http://schemas.openxmlformats.org/officeDocument/2006/relationships/hyperlink" Target="https://fategrandorder.fandom.com/wiki/Monday_Daily_Quests" TargetMode="External"/><Relationship Id="rId477" Type="http://schemas.openxmlformats.org/officeDocument/2006/relationships/hyperlink" Target="https://fategrandorder.fandom.com/wiki/Sunday_Daily_Quests" TargetMode="External"/><Relationship Id="rId598" Type="http://schemas.openxmlformats.org/officeDocument/2006/relationships/hyperlink" Target="https://fategrandorder.fandom.com/wiki/Free_Quests:_Camelot" TargetMode="External"/><Relationship Id="rId113" Type="http://schemas.openxmlformats.org/officeDocument/2006/relationships/hyperlink" Target="https://fategrandorder.fandom.com/wiki/Free_Quests:_Orleans" TargetMode="External"/><Relationship Id="rId234" Type="http://schemas.openxmlformats.org/officeDocument/2006/relationships/hyperlink" Target="https://fategrandorder.fandom.com/wiki/Free_Quests:_Anastasia" TargetMode="External"/><Relationship Id="rId355" Type="http://schemas.openxmlformats.org/officeDocument/2006/relationships/hyperlink" Target="https://fategrandorder.fandom.com/wiki/Monday_Daily_Quests" TargetMode="External"/><Relationship Id="rId476" Type="http://schemas.openxmlformats.org/officeDocument/2006/relationships/hyperlink" Target="https://fategrandorder.fandom.com/wiki/Sunday_Daily_Quests" TargetMode="External"/><Relationship Id="rId597" Type="http://schemas.openxmlformats.org/officeDocument/2006/relationships/hyperlink" Target="https://fategrandorder.fandom.com/wiki/Free_Quests:_Camelot" TargetMode="External"/><Relationship Id="rId112" Type="http://schemas.openxmlformats.org/officeDocument/2006/relationships/hyperlink" Target="https://fategrandorder.fandom.com/wiki/Free_Quests:_Orleans" TargetMode="External"/><Relationship Id="rId233" Type="http://schemas.openxmlformats.org/officeDocument/2006/relationships/hyperlink" Target="https://fategrandorder.fandom.com/wiki/Free_Quests:_Anastasia" TargetMode="External"/><Relationship Id="rId354" Type="http://schemas.openxmlformats.org/officeDocument/2006/relationships/hyperlink" Target="https://fategrandorder.fandom.com/wiki/Monday_Daily_Quests" TargetMode="External"/><Relationship Id="rId475" Type="http://schemas.openxmlformats.org/officeDocument/2006/relationships/hyperlink" Target="https://fategrandorder.fandom.com/wiki/Sunday_Daily_Quests" TargetMode="External"/><Relationship Id="rId596" Type="http://schemas.openxmlformats.org/officeDocument/2006/relationships/hyperlink" Target="https://fategrandorder.fandom.com/wiki/Free_Quests:_Anastasia" TargetMode="External"/><Relationship Id="rId111" Type="http://schemas.openxmlformats.org/officeDocument/2006/relationships/hyperlink" Target="https://fategrandorder.fandom.com/wiki/Free_Quests:_Orleans" TargetMode="External"/><Relationship Id="rId232" Type="http://schemas.openxmlformats.org/officeDocument/2006/relationships/hyperlink" Target="https://fategrandorder.fandom.com/wiki/Free_Quests:_Anastasia" TargetMode="External"/><Relationship Id="rId353" Type="http://schemas.openxmlformats.org/officeDocument/2006/relationships/hyperlink" Target="https://fategrandorder.fandom.com/wiki/Monday_Daily_Quests" TargetMode="External"/><Relationship Id="rId474" Type="http://schemas.openxmlformats.org/officeDocument/2006/relationships/hyperlink" Target="https://fategrandorder.fandom.com/wiki/Free_Quests:_Anastasia" TargetMode="External"/><Relationship Id="rId595" Type="http://schemas.openxmlformats.org/officeDocument/2006/relationships/hyperlink" Target="https://fategrandorder.fandom.com/wiki/Free_Quests:_Anastasia" TargetMode="External"/><Relationship Id="rId305" Type="http://schemas.openxmlformats.org/officeDocument/2006/relationships/hyperlink" Target="https://fategrandorder.fandom.com/wiki/Wednesday_Daily_Quests" TargetMode="External"/><Relationship Id="rId426" Type="http://schemas.openxmlformats.org/officeDocument/2006/relationships/hyperlink" Target="https://fategrandorder.fandom.com/wiki/Free_Quests:_London" TargetMode="External"/><Relationship Id="rId547" Type="http://schemas.openxmlformats.org/officeDocument/2006/relationships/hyperlink" Target="https://fategrandorder.fandom.com/wiki/Free_Quests:_Agartha" TargetMode="External"/><Relationship Id="rId304" Type="http://schemas.openxmlformats.org/officeDocument/2006/relationships/hyperlink" Target="https://fategrandorder.fandom.com/wiki/Free_Quests:_Okeanos" TargetMode="External"/><Relationship Id="rId425" Type="http://schemas.openxmlformats.org/officeDocument/2006/relationships/hyperlink" Target="https://fategrandorder.fandom.com/wiki/Free_Quests:_London" TargetMode="External"/><Relationship Id="rId546" Type="http://schemas.openxmlformats.org/officeDocument/2006/relationships/hyperlink" Target="https://fategrandorder.fandom.com/wiki/Free_Quests:_E_Pluribus_Unum" TargetMode="External"/><Relationship Id="rId667" Type="http://schemas.openxmlformats.org/officeDocument/2006/relationships/drawing" Target="../drawings/drawing5.xml"/><Relationship Id="rId303" Type="http://schemas.openxmlformats.org/officeDocument/2006/relationships/hyperlink" Target="https://fategrandorder.fandom.com/wiki/Free_Quests:_Okeanos" TargetMode="External"/><Relationship Id="rId424" Type="http://schemas.openxmlformats.org/officeDocument/2006/relationships/hyperlink" Target="https://fategrandorder.fandom.com/wiki/Free_Quests:_London" TargetMode="External"/><Relationship Id="rId545" Type="http://schemas.openxmlformats.org/officeDocument/2006/relationships/hyperlink" Target="https://fategrandorder.fandom.com/wiki/Free_Quests:_E_Pluribus_Unum" TargetMode="External"/><Relationship Id="rId666" Type="http://schemas.openxmlformats.org/officeDocument/2006/relationships/hyperlink" Target="https://fategrandorder.fandom.com/wiki/Free_Quests:_S_I_N" TargetMode="External"/><Relationship Id="rId302" Type="http://schemas.openxmlformats.org/officeDocument/2006/relationships/hyperlink" Target="https://fategrandorder.fandom.com/wiki/Free_Quests:_Shimosa" TargetMode="External"/><Relationship Id="rId423" Type="http://schemas.openxmlformats.org/officeDocument/2006/relationships/hyperlink" Target="https://fategrandorder.fandom.com/wiki/Free_Quests:_London" TargetMode="External"/><Relationship Id="rId544" Type="http://schemas.openxmlformats.org/officeDocument/2006/relationships/hyperlink" Target="https://fategrandorder.fandom.com/wiki/Free_Quests:_S_I_N" TargetMode="External"/><Relationship Id="rId665" Type="http://schemas.openxmlformats.org/officeDocument/2006/relationships/hyperlink" Target="https://fategrandorder.fandom.com/wiki/Free_Quests:_S_I_N" TargetMode="External"/><Relationship Id="rId309" Type="http://schemas.openxmlformats.org/officeDocument/2006/relationships/hyperlink" Target="https://fategrandorder.fandom.com/wiki/Wednesday_Daily_Quests" TargetMode="External"/><Relationship Id="rId308" Type="http://schemas.openxmlformats.org/officeDocument/2006/relationships/hyperlink" Target="https://fategrandorder.fandom.com/wiki/Free_Quests:_Septem" TargetMode="External"/><Relationship Id="rId429" Type="http://schemas.openxmlformats.org/officeDocument/2006/relationships/hyperlink" Target="https://fategrandorder.fandom.com/wiki/Tuesday_Daily_Quests" TargetMode="External"/><Relationship Id="rId307" Type="http://schemas.openxmlformats.org/officeDocument/2006/relationships/hyperlink" Target="https://fategrandorder.fandom.com/wiki/Free_Quests:_Septem" TargetMode="External"/><Relationship Id="rId428" Type="http://schemas.openxmlformats.org/officeDocument/2006/relationships/hyperlink" Target="https://fategrandorder.fandom.com/wiki/Free_Quests:_London" TargetMode="External"/><Relationship Id="rId549" Type="http://schemas.openxmlformats.org/officeDocument/2006/relationships/hyperlink" Target="https://fategrandorder.fandom.com/wiki/Free_Quests:_Anastasia" TargetMode="External"/><Relationship Id="rId306" Type="http://schemas.openxmlformats.org/officeDocument/2006/relationships/hyperlink" Target="https://fategrandorder.fandom.com/wiki/Wednesday_Daily_Quests" TargetMode="External"/><Relationship Id="rId427" Type="http://schemas.openxmlformats.org/officeDocument/2006/relationships/hyperlink" Target="https://fategrandorder.fandom.com/wiki/Free_Quests:_London" TargetMode="External"/><Relationship Id="rId548" Type="http://schemas.openxmlformats.org/officeDocument/2006/relationships/hyperlink" Target="https://fategrandorder.fandom.com/wiki/Free_Quests:_Agartha" TargetMode="External"/><Relationship Id="rId660" Type="http://schemas.openxmlformats.org/officeDocument/2006/relationships/hyperlink" Target="https://fategrandorder.fandom.com/wiki/Free_Quests:_S_I_N" TargetMode="External"/><Relationship Id="rId301" Type="http://schemas.openxmlformats.org/officeDocument/2006/relationships/hyperlink" Target="https://fategrandorder.fandom.com/wiki/Free_Quests:_Shimosa" TargetMode="External"/><Relationship Id="rId422" Type="http://schemas.openxmlformats.org/officeDocument/2006/relationships/hyperlink" Target="https://fategrandorder.fandom.com/wiki/Free_Quests:_Salem" TargetMode="External"/><Relationship Id="rId543" Type="http://schemas.openxmlformats.org/officeDocument/2006/relationships/hyperlink" Target="https://fategrandorder.fandom.com/wiki/Free_Quests:_S_I_N" TargetMode="External"/><Relationship Id="rId664" Type="http://schemas.openxmlformats.org/officeDocument/2006/relationships/hyperlink" Target="https://fategrandorder.fandom.com/wiki/Free_Quests:_S_I_N" TargetMode="External"/><Relationship Id="rId300" Type="http://schemas.openxmlformats.org/officeDocument/2006/relationships/hyperlink" Target="https://fategrandorder.fandom.com/wiki/Free_Quests:_G%C3%B6tterd%C3%A4mmerung" TargetMode="External"/><Relationship Id="rId421" Type="http://schemas.openxmlformats.org/officeDocument/2006/relationships/hyperlink" Target="https://fategrandorder.fandom.com/wiki/Free_Quests:_Salem" TargetMode="External"/><Relationship Id="rId542" Type="http://schemas.openxmlformats.org/officeDocument/2006/relationships/hyperlink" Target="https://fategrandorder.fandom.com/wiki/Free_Quests:_S_I_N" TargetMode="External"/><Relationship Id="rId663" Type="http://schemas.openxmlformats.org/officeDocument/2006/relationships/hyperlink" Target="https://fategrandorder.fandom.com/wiki/Free_Quests:_S_I_N" TargetMode="External"/><Relationship Id="rId420" Type="http://schemas.openxmlformats.org/officeDocument/2006/relationships/hyperlink" Target="https://fategrandorder.fandom.com/wiki/Free_Quests:_London" TargetMode="External"/><Relationship Id="rId541" Type="http://schemas.openxmlformats.org/officeDocument/2006/relationships/hyperlink" Target="https://fategrandorder.fandom.com/wiki/Free_Quests:_S_I_N" TargetMode="External"/><Relationship Id="rId662" Type="http://schemas.openxmlformats.org/officeDocument/2006/relationships/hyperlink" Target="https://fategrandorder.fandom.com/wiki/Free_Quests:_S_I_N" TargetMode="External"/><Relationship Id="rId540" Type="http://schemas.openxmlformats.org/officeDocument/2006/relationships/hyperlink" Target="https://fategrandorder.fandom.com/wiki/Free_Quests:_S_I_N" TargetMode="External"/><Relationship Id="rId661" Type="http://schemas.openxmlformats.org/officeDocument/2006/relationships/hyperlink" Target="https://fategrandorder.fandom.com/wiki/Free_Quests:_S_I_N" TargetMode="External"/><Relationship Id="rId415" Type="http://schemas.openxmlformats.org/officeDocument/2006/relationships/hyperlink" Target="https://fategrandorder.fandom.com/wiki/Friday_Daily_Quests" TargetMode="External"/><Relationship Id="rId536" Type="http://schemas.openxmlformats.org/officeDocument/2006/relationships/hyperlink" Target="https://fategrandorder.fandom.com/wiki/Free_Quests:_G%C3%B6tterd%C3%A4mmerung" TargetMode="External"/><Relationship Id="rId657" Type="http://schemas.openxmlformats.org/officeDocument/2006/relationships/hyperlink" Target="https://fategrandorder.fandom.com/wiki/Free_Quests:_S_I_N" TargetMode="External"/><Relationship Id="rId414" Type="http://schemas.openxmlformats.org/officeDocument/2006/relationships/hyperlink" Target="https://fategrandorder.fandom.com/wiki/Friday_Daily_Quests" TargetMode="External"/><Relationship Id="rId535" Type="http://schemas.openxmlformats.org/officeDocument/2006/relationships/hyperlink" Target="https://fategrandorder.fandom.com/wiki/Free_Quests:_G%C3%B6tterd%C3%A4mmerung" TargetMode="External"/><Relationship Id="rId656" Type="http://schemas.openxmlformats.org/officeDocument/2006/relationships/hyperlink" Target="https://fategrandorder.fandom.com/wiki/Free_Quests:_Shimosa" TargetMode="External"/><Relationship Id="rId413" Type="http://schemas.openxmlformats.org/officeDocument/2006/relationships/hyperlink" Target="https://fategrandorder.fandom.com/wiki/Friday_Daily_Quests" TargetMode="External"/><Relationship Id="rId534" Type="http://schemas.openxmlformats.org/officeDocument/2006/relationships/hyperlink" Target="https://fategrandorder.fandom.com/wiki/Free_Quests:_G%C3%B6tterd%C3%A4mmerung" TargetMode="External"/><Relationship Id="rId655" Type="http://schemas.openxmlformats.org/officeDocument/2006/relationships/hyperlink" Target="https://fategrandorder.fandom.com/wiki/Free_Quests:_Shimosa" TargetMode="External"/><Relationship Id="rId412" Type="http://schemas.openxmlformats.org/officeDocument/2006/relationships/hyperlink" Target="https://fategrandorder.fandom.com/wiki/Friday_Daily_Quests" TargetMode="External"/><Relationship Id="rId533" Type="http://schemas.openxmlformats.org/officeDocument/2006/relationships/hyperlink" Target="https://fategrandorder.fandom.com/wiki/Free_Quests:_G%C3%B6tterd%C3%A4mmerung" TargetMode="External"/><Relationship Id="rId654" Type="http://schemas.openxmlformats.org/officeDocument/2006/relationships/hyperlink" Target="https://fategrandorder.fandom.com/wiki/Free_Quests:_Anastasia" TargetMode="External"/><Relationship Id="rId419" Type="http://schemas.openxmlformats.org/officeDocument/2006/relationships/hyperlink" Target="https://fategrandorder.fandom.com/wiki/Free_Quests:_London" TargetMode="External"/><Relationship Id="rId418" Type="http://schemas.openxmlformats.org/officeDocument/2006/relationships/hyperlink" Target="https://fategrandorder.fandom.com/wiki/Free_Quests:_Camelot" TargetMode="External"/><Relationship Id="rId539" Type="http://schemas.openxmlformats.org/officeDocument/2006/relationships/hyperlink" Target="https://fategrandorder.fandom.com/wiki/Free_Quests:_S_I_N" TargetMode="External"/><Relationship Id="rId417" Type="http://schemas.openxmlformats.org/officeDocument/2006/relationships/hyperlink" Target="https://fategrandorder.fandom.com/wiki/Free_Quests:_Camelot" TargetMode="External"/><Relationship Id="rId538" Type="http://schemas.openxmlformats.org/officeDocument/2006/relationships/hyperlink" Target="https://fategrandorder.fandom.com/wiki/Free_Quests:_S_I_N" TargetMode="External"/><Relationship Id="rId659" Type="http://schemas.openxmlformats.org/officeDocument/2006/relationships/hyperlink" Target="https://fategrandorder.fandom.com/wiki/Free_Quests:_S_I_N" TargetMode="External"/><Relationship Id="rId416" Type="http://schemas.openxmlformats.org/officeDocument/2006/relationships/hyperlink" Target="https://fategrandorder.fandom.com/wiki/Friday_Daily_Quests" TargetMode="External"/><Relationship Id="rId537" Type="http://schemas.openxmlformats.org/officeDocument/2006/relationships/hyperlink" Target="https://fategrandorder.fandom.com/wiki/Free_Quests:_S_I_N" TargetMode="External"/><Relationship Id="rId658" Type="http://schemas.openxmlformats.org/officeDocument/2006/relationships/hyperlink" Target="https://fategrandorder.fandom.com/wiki/Free_Quests:_S_I_N" TargetMode="External"/><Relationship Id="rId411" Type="http://schemas.openxmlformats.org/officeDocument/2006/relationships/hyperlink" Target="https://fategrandorder.fandom.com/wiki/Friday_Daily_Quests" TargetMode="External"/><Relationship Id="rId532" Type="http://schemas.openxmlformats.org/officeDocument/2006/relationships/hyperlink" Target="https://fategrandorder.fandom.com/wiki/Free_Quests:_G%C3%B6tterd%C3%A4mmerung" TargetMode="External"/><Relationship Id="rId653" Type="http://schemas.openxmlformats.org/officeDocument/2006/relationships/hyperlink" Target="https://fategrandorder.fandom.com/wiki/Free_Quests:_Anastasia" TargetMode="External"/><Relationship Id="rId410" Type="http://schemas.openxmlformats.org/officeDocument/2006/relationships/hyperlink" Target="https://fategrandorder.fandom.com/wiki/Friday_Daily_Quests" TargetMode="External"/><Relationship Id="rId531" Type="http://schemas.openxmlformats.org/officeDocument/2006/relationships/hyperlink" Target="https://fategrandorder.fandom.com/wiki/Free_Quests:_G%C3%B6tterd%C3%A4mmerung" TargetMode="External"/><Relationship Id="rId652" Type="http://schemas.openxmlformats.org/officeDocument/2006/relationships/hyperlink" Target="https://fategrandorder.fandom.com/wiki/Free_Quests:_S_I_N" TargetMode="External"/><Relationship Id="rId530" Type="http://schemas.openxmlformats.org/officeDocument/2006/relationships/hyperlink" Target="https://fategrandorder.fandom.com/wiki/Free_Quests:_G%C3%B6tterd%C3%A4mmerung" TargetMode="External"/><Relationship Id="rId651" Type="http://schemas.openxmlformats.org/officeDocument/2006/relationships/hyperlink" Target="https://fategrandorder.fandom.com/wiki/Free_Quests:_S_I_N" TargetMode="External"/><Relationship Id="rId650" Type="http://schemas.openxmlformats.org/officeDocument/2006/relationships/hyperlink" Target="https://fategrandorder.fandom.com/wiki/Free_Quests:_Agartha" TargetMode="External"/><Relationship Id="rId206" Type="http://schemas.openxmlformats.org/officeDocument/2006/relationships/hyperlink" Target="https://fategrandorder.fandom.com/wiki/Free_Quests:_Shinjuku" TargetMode="External"/><Relationship Id="rId327" Type="http://schemas.openxmlformats.org/officeDocument/2006/relationships/hyperlink" Target="https://fategrandorder.fandom.com/wiki/Free_Quests:_Camelot" TargetMode="External"/><Relationship Id="rId448" Type="http://schemas.openxmlformats.org/officeDocument/2006/relationships/hyperlink" Target="https://fategrandorder.fandom.com/wiki/Monday_Daily_Quests" TargetMode="External"/><Relationship Id="rId569" Type="http://schemas.openxmlformats.org/officeDocument/2006/relationships/hyperlink" Target="https://fategrandorder.fandom.com/wiki/Friday_Daily_Quests" TargetMode="External"/><Relationship Id="rId205" Type="http://schemas.openxmlformats.org/officeDocument/2006/relationships/hyperlink" Target="https://fategrandorder.fandom.com/wiki/Free_Quests:_Shinjuku" TargetMode="External"/><Relationship Id="rId326" Type="http://schemas.openxmlformats.org/officeDocument/2006/relationships/hyperlink" Target="https://fategrandorder.fandom.com/wiki/Friday_Daily_Quests" TargetMode="External"/><Relationship Id="rId447" Type="http://schemas.openxmlformats.org/officeDocument/2006/relationships/hyperlink" Target="https://fategrandorder.fandom.com/wiki/Monday_Daily_Quests" TargetMode="External"/><Relationship Id="rId568" Type="http://schemas.openxmlformats.org/officeDocument/2006/relationships/hyperlink" Target="https://fategrandorder.fandom.com/wiki/Friday_Daily_Quests" TargetMode="External"/><Relationship Id="rId204" Type="http://schemas.openxmlformats.org/officeDocument/2006/relationships/hyperlink" Target="https://fategrandorder.fandom.com/wiki/Free_Quests:_Shinjuku" TargetMode="External"/><Relationship Id="rId325" Type="http://schemas.openxmlformats.org/officeDocument/2006/relationships/hyperlink" Target="https://fategrandorder.fandom.com/wiki/Friday_Daily_Quests" TargetMode="External"/><Relationship Id="rId446" Type="http://schemas.openxmlformats.org/officeDocument/2006/relationships/hyperlink" Target="https://fategrandorder.fandom.com/wiki/Thursday_Daily_Quests" TargetMode="External"/><Relationship Id="rId567" Type="http://schemas.openxmlformats.org/officeDocument/2006/relationships/hyperlink" Target="https://fategrandorder.fandom.com/wiki/Friday_Daily_Quests" TargetMode="External"/><Relationship Id="rId203" Type="http://schemas.openxmlformats.org/officeDocument/2006/relationships/hyperlink" Target="https://fategrandorder.fandom.com/wiki/Free_Quests:_Shinjuku" TargetMode="External"/><Relationship Id="rId324" Type="http://schemas.openxmlformats.org/officeDocument/2006/relationships/hyperlink" Target="https://fategrandorder.fandom.com/wiki/Friday_Daily_Quests" TargetMode="External"/><Relationship Id="rId445" Type="http://schemas.openxmlformats.org/officeDocument/2006/relationships/hyperlink" Target="https://fategrandorder.fandom.com/wiki/Thursday_Daily_Quests" TargetMode="External"/><Relationship Id="rId566" Type="http://schemas.openxmlformats.org/officeDocument/2006/relationships/hyperlink" Target="https://fategrandorder.fandom.com/wiki/Free_Quests:_Shinjuku" TargetMode="External"/><Relationship Id="rId209" Type="http://schemas.openxmlformats.org/officeDocument/2006/relationships/hyperlink" Target="https://fategrandorder.fandom.com/wiki/Free_Quests:_Shinjuku" TargetMode="External"/><Relationship Id="rId208" Type="http://schemas.openxmlformats.org/officeDocument/2006/relationships/hyperlink" Target="https://fategrandorder.fandom.com/wiki/Free_Quests:_Shinjuku" TargetMode="External"/><Relationship Id="rId329" Type="http://schemas.openxmlformats.org/officeDocument/2006/relationships/hyperlink" Target="https://fategrandorder.fandom.com/wiki/Friday_Daily_Quests" TargetMode="External"/><Relationship Id="rId207" Type="http://schemas.openxmlformats.org/officeDocument/2006/relationships/hyperlink" Target="https://fategrandorder.fandom.com/wiki/Free_Quests:_Shinjuku" TargetMode="External"/><Relationship Id="rId328" Type="http://schemas.openxmlformats.org/officeDocument/2006/relationships/hyperlink" Target="https://fategrandorder.fandom.com/wiki/Free_Quests:_Camelot" TargetMode="External"/><Relationship Id="rId449" Type="http://schemas.openxmlformats.org/officeDocument/2006/relationships/hyperlink" Target="https://fategrandorder.fandom.com/wiki/Monday_Daily_Quests" TargetMode="External"/><Relationship Id="rId440" Type="http://schemas.openxmlformats.org/officeDocument/2006/relationships/hyperlink" Target="https://fategrandorder.fandom.com/wiki/Free_Quests:_Camelot" TargetMode="External"/><Relationship Id="rId561" Type="http://schemas.openxmlformats.org/officeDocument/2006/relationships/hyperlink" Target="https://fategrandorder.fandom.com/wiki/Wednesday_Daily_Quests" TargetMode="External"/><Relationship Id="rId560" Type="http://schemas.openxmlformats.org/officeDocument/2006/relationships/hyperlink" Target="https://fategrandorder.fandom.com/wiki/Wednesday_Daily_Quests" TargetMode="External"/><Relationship Id="rId202" Type="http://schemas.openxmlformats.org/officeDocument/2006/relationships/hyperlink" Target="https://fategrandorder.fandom.com/wiki/Free_Quests:_Shinjuku" TargetMode="External"/><Relationship Id="rId323" Type="http://schemas.openxmlformats.org/officeDocument/2006/relationships/hyperlink" Target="https://fategrandorder.fandom.com/wiki/Friday_Daily_Quests" TargetMode="External"/><Relationship Id="rId444" Type="http://schemas.openxmlformats.org/officeDocument/2006/relationships/hyperlink" Target="https://fategrandorder.fandom.com/wiki/Thursday_Daily_Quests" TargetMode="External"/><Relationship Id="rId565" Type="http://schemas.openxmlformats.org/officeDocument/2006/relationships/hyperlink" Target="https://fategrandorder.fandom.com/wiki/Free_Quests:_Shinjuku" TargetMode="External"/><Relationship Id="rId201" Type="http://schemas.openxmlformats.org/officeDocument/2006/relationships/hyperlink" Target="https://fategrandorder.fandom.com/wiki/Free_Quests:_Shinjuku" TargetMode="External"/><Relationship Id="rId322" Type="http://schemas.openxmlformats.org/officeDocument/2006/relationships/hyperlink" Target="https://fategrandorder.fandom.com/wiki/Free_Quests:_Okeanos" TargetMode="External"/><Relationship Id="rId443" Type="http://schemas.openxmlformats.org/officeDocument/2006/relationships/hyperlink" Target="https://fategrandorder.fandom.com/wiki/Thursday_Daily_Quests" TargetMode="External"/><Relationship Id="rId564" Type="http://schemas.openxmlformats.org/officeDocument/2006/relationships/hyperlink" Target="https://fategrandorder.fandom.com/wiki/Free_Quests:_Salem" TargetMode="External"/><Relationship Id="rId200" Type="http://schemas.openxmlformats.org/officeDocument/2006/relationships/hyperlink" Target="https://fategrandorder.fandom.com/wiki/Free_Quests:_Shinjuku" TargetMode="External"/><Relationship Id="rId321" Type="http://schemas.openxmlformats.org/officeDocument/2006/relationships/hyperlink" Target="https://fategrandorder.fandom.com/wiki/Free_Quests:_Okeanos" TargetMode="External"/><Relationship Id="rId442" Type="http://schemas.openxmlformats.org/officeDocument/2006/relationships/hyperlink" Target="https://fategrandorder.fandom.com/wiki/Free_Quests:_Okeanos" TargetMode="External"/><Relationship Id="rId563" Type="http://schemas.openxmlformats.org/officeDocument/2006/relationships/hyperlink" Target="https://fategrandorder.fandom.com/wiki/Free_Quests:_Salem" TargetMode="External"/><Relationship Id="rId320" Type="http://schemas.openxmlformats.org/officeDocument/2006/relationships/hyperlink" Target="https://fategrandorder.fandom.com/wiki/Free_Quests:_Babylonia" TargetMode="External"/><Relationship Id="rId441" Type="http://schemas.openxmlformats.org/officeDocument/2006/relationships/hyperlink" Target="https://fategrandorder.fandom.com/wiki/Free_Quests:_Okeanos" TargetMode="External"/><Relationship Id="rId562" Type="http://schemas.openxmlformats.org/officeDocument/2006/relationships/hyperlink" Target="https://fategrandorder.fandom.com/wiki/Wednesday_Daily_Quests" TargetMode="External"/><Relationship Id="rId316" Type="http://schemas.openxmlformats.org/officeDocument/2006/relationships/hyperlink" Target="https://fategrandorder.fandom.com/wiki/Free_Quests:_Septem" TargetMode="External"/><Relationship Id="rId437" Type="http://schemas.openxmlformats.org/officeDocument/2006/relationships/hyperlink" Target="https://fategrandorder.fandom.com/wiki/Tuesday_Daily_Quests" TargetMode="External"/><Relationship Id="rId558" Type="http://schemas.openxmlformats.org/officeDocument/2006/relationships/hyperlink" Target="https://fategrandorder.fandom.com/wiki/Free_Quests:_Septem" TargetMode="External"/><Relationship Id="rId315" Type="http://schemas.openxmlformats.org/officeDocument/2006/relationships/hyperlink" Target="https://fategrandorder.fandom.com/wiki/Free_Quests:_Septem" TargetMode="External"/><Relationship Id="rId436" Type="http://schemas.openxmlformats.org/officeDocument/2006/relationships/hyperlink" Target="https://fategrandorder.fandom.com/wiki/Tuesday_Daily_Quests" TargetMode="External"/><Relationship Id="rId557" Type="http://schemas.openxmlformats.org/officeDocument/2006/relationships/hyperlink" Target="https://fategrandorder.fandom.com/wiki/Free_Quests:_Septem" TargetMode="External"/><Relationship Id="rId314" Type="http://schemas.openxmlformats.org/officeDocument/2006/relationships/hyperlink" Target="https://fategrandorder.fandom.com/wiki/Wednesday_Daily_Quests" TargetMode="External"/><Relationship Id="rId435" Type="http://schemas.openxmlformats.org/officeDocument/2006/relationships/hyperlink" Target="https://fategrandorder.fandom.com/wiki/Tuesday_Daily_Quests" TargetMode="External"/><Relationship Id="rId556" Type="http://schemas.openxmlformats.org/officeDocument/2006/relationships/hyperlink" Target="https://fategrandorder.fandom.com/wiki/Wednesday_Daily_Quests" TargetMode="External"/><Relationship Id="rId313" Type="http://schemas.openxmlformats.org/officeDocument/2006/relationships/hyperlink" Target="https://fategrandorder.fandom.com/wiki/Wednesday_Daily_Quests" TargetMode="External"/><Relationship Id="rId434" Type="http://schemas.openxmlformats.org/officeDocument/2006/relationships/hyperlink" Target="https://fategrandorder.fandom.com/wiki/Tuesday_Daily_Quests" TargetMode="External"/><Relationship Id="rId555" Type="http://schemas.openxmlformats.org/officeDocument/2006/relationships/hyperlink" Target="https://fategrandorder.fandom.com/wiki/Wednesday_Daily_Quests" TargetMode="External"/><Relationship Id="rId319" Type="http://schemas.openxmlformats.org/officeDocument/2006/relationships/hyperlink" Target="https://fategrandorder.fandom.com/wiki/Free_Quests:_Babylonia" TargetMode="External"/><Relationship Id="rId318" Type="http://schemas.openxmlformats.org/officeDocument/2006/relationships/hyperlink" Target="https://fategrandorder.fandom.com/wiki/Free_Quests:_Agartha" TargetMode="External"/><Relationship Id="rId439" Type="http://schemas.openxmlformats.org/officeDocument/2006/relationships/hyperlink" Target="https://fategrandorder.fandom.com/wiki/Free_Quests:_Camelot" TargetMode="External"/><Relationship Id="rId317" Type="http://schemas.openxmlformats.org/officeDocument/2006/relationships/hyperlink" Target="https://fategrandorder.fandom.com/wiki/Free_Quests:_Agartha" TargetMode="External"/><Relationship Id="rId438" Type="http://schemas.openxmlformats.org/officeDocument/2006/relationships/hyperlink" Target="https://fategrandorder.fandom.com/wiki/Tuesday_Daily_Quests" TargetMode="External"/><Relationship Id="rId559" Type="http://schemas.openxmlformats.org/officeDocument/2006/relationships/hyperlink" Target="https://fategrandorder.fandom.com/wiki/Wednesday_Daily_Quests" TargetMode="External"/><Relationship Id="rId550" Type="http://schemas.openxmlformats.org/officeDocument/2006/relationships/hyperlink" Target="https://fategrandorder.fandom.com/wiki/Free_Quests:_Anastasia" TargetMode="External"/><Relationship Id="rId312" Type="http://schemas.openxmlformats.org/officeDocument/2006/relationships/hyperlink" Target="https://fategrandorder.fandom.com/wiki/Wednesday_Daily_Quests" TargetMode="External"/><Relationship Id="rId433" Type="http://schemas.openxmlformats.org/officeDocument/2006/relationships/hyperlink" Target="https://fategrandorder.fandom.com/wiki/Tuesday_Daily_Quests" TargetMode="External"/><Relationship Id="rId554" Type="http://schemas.openxmlformats.org/officeDocument/2006/relationships/hyperlink" Target="https://fategrandorder.fandom.com/wiki/Free_Quests:_Babylonia" TargetMode="External"/><Relationship Id="rId311" Type="http://schemas.openxmlformats.org/officeDocument/2006/relationships/hyperlink" Target="https://fategrandorder.fandom.com/wiki/Wednesday_Daily_Quests" TargetMode="External"/><Relationship Id="rId432" Type="http://schemas.openxmlformats.org/officeDocument/2006/relationships/hyperlink" Target="https://fategrandorder.fandom.com/wiki/Free_Quests:_London" TargetMode="External"/><Relationship Id="rId553" Type="http://schemas.openxmlformats.org/officeDocument/2006/relationships/hyperlink" Target="https://fategrandorder.fandom.com/wiki/Free_Quests:_Babylonia" TargetMode="External"/><Relationship Id="rId310" Type="http://schemas.openxmlformats.org/officeDocument/2006/relationships/hyperlink" Target="https://fategrandorder.fandom.com/wiki/Wednesday_Daily_Quests" TargetMode="External"/><Relationship Id="rId431" Type="http://schemas.openxmlformats.org/officeDocument/2006/relationships/hyperlink" Target="https://fategrandorder.fandom.com/wiki/Free_Quests:_London" TargetMode="External"/><Relationship Id="rId552" Type="http://schemas.openxmlformats.org/officeDocument/2006/relationships/hyperlink" Target="https://fategrandorder.fandom.com/wiki/Free_Quests:_Shinjuku" TargetMode="External"/><Relationship Id="rId430" Type="http://schemas.openxmlformats.org/officeDocument/2006/relationships/hyperlink" Target="https://fategrandorder.fandom.com/wiki/Tuesday_Daily_Quests" TargetMode="External"/><Relationship Id="rId551" Type="http://schemas.openxmlformats.org/officeDocument/2006/relationships/hyperlink" Target="https://fategrandorder.fandom.com/wiki/Free_Quests:_Shinjuku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fategrandorder.fandom.com/wiki/Free_Quests:_Anastasia" TargetMode="External"/><Relationship Id="rId194" Type="http://schemas.openxmlformats.org/officeDocument/2006/relationships/hyperlink" Target="https://fategrandorder.fandom.com/wiki/Free_Quests:_G%C3%B6tterd%C3%A4mmerung" TargetMode="External"/><Relationship Id="rId193" Type="http://schemas.openxmlformats.org/officeDocument/2006/relationships/hyperlink" Target="https://fategrandorder.fandom.com/wiki/Free_Quests:_G%C3%B6tterd%C3%A4mmerung" TargetMode="External"/><Relationship Id="rId192" Type="http://schemas.openxmlformats.org/officeDocument/2006/relationships/hyperlink" Target="https://fategrandorder.fandom.com/wiki/Free_Quests:_Anastasia" TargetMode="External"/><Relationship Id="rId191" Type="http://schemas.openxmlformats.org/officeDocument/2006/relationships/hyperlink" Target="https://fategrandorder.fandom.com/wiki/Free_Quests:_Anastasia" TargetMode="External"/><Relationship Id="rId187" Type="http://schemas.openxmlformats.org/officeDocument/2006/relationships/hyperlink" Target="https://fategrandorder.fandom.com/wiki/Free_Quests:_Anastasia" TargetMode="External"/><Relationship Id="rId186" Type="http://schemas.openxmlformats.org/officeDocument/2006/relationships/hyperlink" Target="https://fategrandorder.fandom.com/wiki/Free_Quests:_Anastasia" TargetMode="External"/><Relationship Id="rId185" Type="http://schemas.openxmlformats.org/officeDocument/2006/relationships/hyperlink" Target="https://fategrandorder.fandom.com/wiki/Free_Quests:_Anastasia" TargetMode="External"/><Relationship Id="rId184" Type="http://schemas.openxmlformats.org/officeDocument/2006/relationships/hyperlink" Target="https://fategrandorder.fandom.com/wiki/Free_Quests:_Anastasia" TargetMode="External"/><Relationship Id="rId189" Type="http://schemas.openxmlformats.org/officeDocument/2006/relationships/hyperlink" Target="https://fategrandorder.fandom.com/wiki/Free_Quests:_Anastasia" TargetMode="External"/><Relationship Id="rId188" Type="http://schemas.openxmlformats.org/officeDocument/2006/relationships/hyperlink" Target="https://fategrandorder.fandom.com/wiki/Free_Quests:_Anastasia" TargetMode="External"/><Relationship Id="rId183" Type="http://schemas.openxmlformats.org/officeDocument/2006/relationships/hyperlink" Target="https://fategrandorder.fandom.com/wiki/Free_Quests:_Anastasia" TargetMode="External"/><Relationship Id="rId182" Type="http://schemas.openxmlformats.org/officeDocument/2006/relationships/hyperlink" Target="https://fategrandorder.fandom.com/wiki/Free_Quests:_Anastasia" TargetMode="External"/><Relationship Id="rId181" Type="http://schemas.openxmlformats.org/officeDocument/2006/relationships/hyperlink" Target="https://fategrandorder.fandom.com/wiki/Free_Quests:_Anastasia" TargetMode="External"/><Relationship Id="rId180" Type="http://schemas.openxmlformats.org/officeDocument/2006/relationships/hyperlink" Target="https://fategrandorder.fandom.com/wiki/Free_Quests:_Anastasia" TargetMode="External"/><Relationship Id="rId176" Type="http://schemas.openxmlformats.org/officeDocument/2006/relationships/hyperlink" Target="https://fategrandorder.fandom.com/wiki/Free_Quests:_Salem" TargetMode="External"/><Relationship Id="rId297" Type="http://schemas.openxmlformats.org/officeDocument/2006/relationships/table" Target="../tables/table61.xml"/><Relationship Id="rId175" Type="http://schemas.openxmlformats.org/officeDocument/2006/relationships/hyperlink" Target="https://fategrandorder.fandom.com/wiki/Free_Quests:_Salem" TargetMode="External"/><Relationship Id="rId296" Type="http://schemas.openxmlformats.org/officeDocument/2006/relationships/table" Target="../tables/table60.xml"/><Relationship Id="rId174" Type="http://schemas.openxmlformats.org/officeDocument/2006/relationships/hyperlink" Target="https://fategrandorder.fandom.com/wiki/Free_Quests:_Salem" TargetMode="External"/><Relationship Id="rId295" Type="http://schemas.openxmlformats.org/officeDocument/2006/relationships/table" Target="../tables/table59.xml"/><Relationship Id="rId173" Type="http://schemas.openxmlformats.org/officeDocument/2006/relationships/hyperlink" Target="https://fategrandorder.fandom.com/wiki/Free_Quests:_Salem" TargetMode="External"/><Relationship Id="rId294" Type="http://schemas.openxmlformats.org/officeDocument/2006/relationships/table" Target="../tables/table58.xml"/><Relationship Id="rId179" Type="http://schemas.openxmlformats.org/officeDocument/2006/relationships/hyperlink" Target="https://fategrandorder.fandom.com/wiki/Free_Quests:_Anastasia" TargetMode="External"/><Relationship Id="rId178" Type="http://schemas.openxmlformats.org/officeDocument/2006/relationships/hyperlink" Target="https://fategrandorder.fandom.com/wiki/Free_Quests:_Salem" TargetMode="External"/><Relationship Id="rId299" Type="http://schemas.openxmlformats.org/officeDocument/2006/relationships/table" Target="../tables/table63.xml"/><Relationship Id="rId177" Type="http://schemas.openxmlformats.org/officeDocument/2006/relationships/hyperlink" Target="https://fategrandorder.fandom.com/wiki/Free_Quests:_Salem" TargetMode="External"/><Relationship Id="rId298" Type="http://schemas.openxmlformats.org/officeDocument/2006/relationships/table" Target="../tables/table62.xml"/><Relationship Id="rId198" Type="http://schemas.openxmlformats.org/officeDocument/2006/relationships/hyperlink" Target="https://fategrandorder.fandom.com/wiki/Free_Quests:_G%C3%B6tterd%C3%A4mmerung" TargetMode="External"/><Relationship Id="rId197" Type="http://schemas.openxmlformats.org/officeDocument/2006/relationships/hyperlink" Target="https://fategrandorder.fandom.com/wiki/Free_Quests:_G%C3%B6tterd%C3%A4mmerung" TargetMode="External"/><Relationship Id="rId196" Type="http://schemas.openxmlformats.org/officeDocument/2006/relationships/hyperlink" Target="https://fategrandorder.fandom.com/wiki/Free_Quests:_G%C3%B6tterd%C3%A4mmerung" TargetMode="External"/><Relationship Id="rId195" Type="http://schemas.openxmlformats.org/officeDocument/2006/relationships/hyperlink" Target="https://fategrandorder.fandom.com/wiki/Free_Quests:_G%C3%B6tterd%C3%A4mmerung" TargetMode="External"/><Relationship Id="rId199" Type="http://schemas.openxmlformats.org/officeDocument/2006/relationships/hyperlink" Target="https://fategrandorder.fandom.com/wiki/Free_Quests:_G%C3%B6tterd%C3%A4mmerung" TargetMode="External"/><Relationship Id="rId150" Type="http://schemas.openxmlformats.org/officeDocument/2006/relationships/hyperlink" Target="https://fategrandorder.fandom.com/wiki/Free_Quests:_Agartha" TargetMode="External"/><Relationship Id="rId1" Type="http://schemas.openxmlformats.org/officeDocument/2006/relationships/hyperlink" Target="https://fategrandorder.fandom.com/wiki/Monday_Daily_Quests" TargetMode="External"/><Relationship Id="rId2" Type="http://schemas.openxmlformats.org/officeDocument/2006/relationships/hyperlink" Target="https://fategrandorder.fandom.com/wiki/Monday_Daily_Quests" TargetMode="External"/><Relationship Id="rId3" Type="http://schemas.openxmlformats.org/officeDocument/2006/relationships/hyperlink" Target="https://fategrandorder.fandom.com/wiki/Monday_Daily_Quests" TargetMode="External"/><Relationship Id="rId149" Type="http://schemas.openxmlformats.org/officeDocument/2006/relationships/hyperlink" Target="https://fategrandorder.fandom.com/wiki/Free_Quests:_Agartha" TargetMode="External"/><Relationship Id="rId4" Type="http://schemas.openxmlformats.org/officeDocument/2006/relationships/hyperlink" Target="https://fategrandorder.fandom.com/wiki/Monday_Daily_Quests" TargetMode="External"/><Relationship Id="rId148" Type="http://schemas.openxmlformats.org/officeDocument/2006/relationships/hyperlink" Target="https://fategrandorder.fandom.com/wiki/Free_Quests:_Agartha" TargetMode="External"/><Relationship Id="rId9" Type="http://schemas.openxmlformats.org/officeDocument/2006/relationships/hyperlink" Target="https://fategrandorder.fandom.com/wiki/Wednesday_Daily_Quests" TargetMode="External"/><Relationship Id="rId143" Type="http://schemas.openxmlformats.org/officeDocument/2006/relationships/hyperlink" Target="https://fategrandorder.fandom.com/wiki/Free_Quests:_Shinjuku" TargetMode="External"/><Relationship Id="rId142" Type="http://schemas.openxmlformats.org/officeDocument/2006/relationships/hyperlink" Target="https://fategrandorder.fandom.com/wiki/Free_Quests:_Shinjuku" TargetMode="External"/><Relationship Id="rId141" Type="http://schemas.openxmlformats.org/officeDocument/2006/relationships/hyperlink" Target="https://fategrandorder.fandom.com/wiki/Free_Quests:_Shinjuku" TargetMode="External"/><Relationship Id="rId140" Type="http://schemas.openxmlformats.org/officeDocument/2006/relationships/hyperlink" Target="https://fategrandorder.fandom.com/wiki/Free_Quests:_Shinjuku" TargetMode="External"/><Relationship Id="rId5" Type="http://schemas.openxmlformats.org/officeDocument/2006/relationships/hyperlink" Target="https://fategrandorder.fandom.com/wiki/Tuesday_Daily_Quests" TargetMode="External"/><Relationship Id="rId147" Type="http://schemas.openxmlformats.org/officeDocument/2006/relationships/hyperlink" Target="https://fategrandorder.fandom.com/wiki/Free_Quests:_Agartha" TargetMode="External"/><Relationship Id="rId6" Type="http://schemas.openxmlformats.org/officeDocument/2006/relationships/hyperlink" Target="https://fategrandorder.fandom.com/wiki/Tuesday_Daily_Quests" TargetMode="External"/><Relationship Id="rId146" Type="http://schemas.openxmlformats.org/officeDocument/2006/relationships/hyperlink" Target="https://fategrandorder.fandom.com/wiki/Free_Quests:_Shinjuku" TargetMode="External"/><Relationship Id="rId7" Type="http://schemas.openxmlformats.org/officeDocument/2006/relationships/hyperlink" Target="https://fategrandorder.fandom.com/wiki/Tuesday_Daily_Quests" TargetMode="External"/><Relationship Id="rId145" Type="http://schemas.openxmlformats.org/officeDocument/2006/relationships/hyperlink" Target="https://fategrandorder.fandom.com/wiki/Free_Quests:_Shinjuku" TargetMode="External"/><Relationship Id="rId8" Type="http://schemas.openxmlformats.org/officeDocument/2006/relationships/hyperlink" Target="https://fategrandorder.fandom.com/wiki/Tuesday_Daily_Quests" TargetMode="External"/><Relationship Id="rId144" Type="http://schemas.openxmlformats.org/officeDocument/2006/relationships/hyperlink" Target="https://fategrandorder.fandom.com/wiki/Free_Quests:_Shinjuku" TargetMode="External"/><Relationship Id="rId139" Type="http://schemas.openxmlformats.org/officeDocument/2006/relationships/hyperlink" Target="https://fategrandorder.fandom.com/wiki/Free_Quests:_Shinjuku" TargetMode="External"/><Relationship Id="rId138" Type="http://schemas.openxmlformats.org/officeDocument/2006/relationships/hyperlink" Target="https://fategrandorder.fandom.com/wiki/Free_Quests:_Shinjuku" TargetMode="External"/><Relationship Id="rId137" Type="http://schemas.openxmlformats.org/officeDocument/2006/relationships/hyperlink" Target="https://fategrandorder.fandom.com/wiki/Free_Quests:_Shinjuku" TargetMode="External"/><Relationship Id="rId258" Type="http://schemas.openxmlformats.org/officeDocument/2006/relationships/drawing" Target="../drawings/drawing6.xml"/><Relationship Id="rId132" Type="http://schemas.openxmlformats.org/officeDocument/2006/relationships/hyperlink" Target="https://fategrandorder.fandom.com/wiki/Free_Quests:_Babylonia" TargetMode="External"/><Relationship Id="rId253" Type="http://schemas.openxmlformats.org/officeDocument/2006/relationships/hyperlink" Target="https://fategrandorder.fandom.com/wiki/Free_Quests:_Heian-ky%C5%8D" TargetMode="External"/><Relationship Id="rId131" Type="http://schemas.openxmlformats.org/officeDocument/2006/relationships/hyperlink" Target="https://fategrandorder.fandom.com/wiki/Free_Quests:_Babylonia" TargetMode="External"/><Relationship Id="rId252" Type="http://schemas.openxmlformats.org/officeDocument/2006/relationships/hyperlink" Target="https://fategrandorder.fandom.com/wiki/Free_Quests:_Heian-ky%C5%8D" TargetMode="External"/><Relationship Id="rId130" Type="http://schemas.openxmlformats.org/officeDocument/2006/relationships/hyperlink" Target="https://fategrandorder.fandom.com/wiki/Free_Quests:_Babylonia" TargetMode="External"/><Relationship Id="rId251" Type="http://schemas.openxmlformats.org/officeDocument/2006/relationships/hyperlink" Target="https://fategrandorder.fandom.com/wiki/Free_Quests:_Heian-ky%C5%8D" TargetMode="External"/><Relationship Id="rId250" Type="http://schemas.openxmlformats.org/officeDocument/2006/relationships/hyperlink" Target="https://fategrandorder.fandom.com/wiki/Free_Quests:_Heian-ky%C5%8D" TargetMode="External"/><Relationship Id="rId136" Type="http://schemas.openxmlformats.org/officeDocument/2006/relationships/hyperlink" Target="https://fategrandorder.fandom.com/wiki/Free_Quests:_Babylonia" TargetMode="External"/><Relationship Id="rId257" Type="http://schemas.openxmlformats.org/officeDocument/2006/relationships/hyperlink" Target="https://fategrandorder.fandom.com/wiki/Free_Quests:_Heian-ky%C5%8D" TargetMode="External"/><Relationship Id="rId135" Type="http://schemas.openxmlformats.org/officeDocument/2006/relationships/hyperlink" Target="https://fategrandorder.fandom.com/wiki/Free_Quests:_Babylonia" TargetMode="External"/><Relationship Id="rId256" Type="http://schemas.openxmlformats.org/officeDocument/2006/relationships/hyperlink" Target="https://fategrandorder.fandom.com/wiki/Free_Quests:_Heian-ky%C5%8D" TargetMode="External"/><Relationship Id="rId134" Type="http://schemas.openxmlformats.org/officeDocument/2006/relationships/hyperlink" Target="https://fategrandorder.fandom.com/wiki/Free_Quests:_Babylonia" TargetMode="External"/><Relationship Id="rId255" Type="http://schemas.openxmlformats.org/officeDocument/2006/relationships/hyperlink" Target="https://fategrandorder.fandom.com/wiki/Free_Quests:_Heian-ky%C5%8D" TargetMode="External"/><Relationship Id="rId133" Type="http://schemas.openxmlformats.org/officeDocument/2006/relationships/hyperlink" Target="https://fategrandorder.fandom.com/wiki/Free_Quests:_Babylonia" TargetMode="External"/><Relationship Id="rId254" Type="http://schemas.openxmlformats.org/officeDocument/2006/relationships/hyperlink" Target="https://fategrandorder.fandom.com/wiki/Free_Quests:_Heian-ky%C5%8D" TargetMode="External"/><Relationship Id="rId172" Type="http://schemas.openxmlformats.org/officeDocument/2006/relationships/hyperlink" Target="https://fategrandorder.fandom.com/wiki/Free_Quests:_Salem" TargetMode="External"/><Relationship Id="rId293" Type="http://schemas.openxmlformats.org/officeDocument/2006/relationships/table" Target="../tables/table57.xml"/><Relationship Id="rId171" Type="http://schemas.openxmlformats.org/officeDocument/2006/relationships/hyperlink" Target="https://fategrandorder.fandom.com/wiki/Free_Quests:_Salem" TargetMode="External"/><Relationship Id="rId292" Type="http://schemas.openxmlformats.org/officeDocument/2006/relationships/table" Target="../tables/table56.xml"/><Relationship Id="rId170" Type="http://schemas.openxmlformats.org/officeDocument/2006/relationships/hyperlink" Target="https://fategrandorder.fandom.com/wiki/Free_Quests:_Salem" TargetMode="External"/><Relationship Id="rId291" Type="http://schemas.openxmlformats.org/officeDocument/2006/relationships/table" Target="../tables/table55.xml"/><Relationship Id="rId290" Type="http://schemas.openxmlformats.org/officeDocument/2006/relationships/table" Target="../tables/table54.xml"/><Relationship Id="rId165" Type="http://schemas.openxmlformats.org/officeDocument/2006/relationships/hyperlink" Target="https://fategrandorder.fandom.com/wiki/Free_Quests:_Shimosa" TargetMode="External"/><Relationship Id="rId286" Type="http://schemas.openxmlformats.org/officeDocument/2006/relationships/table" Target="../tables/table50.xml"/><Relationship Id="rId164" Type="http://schemas.openxmlformats.org/officeDocument/2006/relationships/hyperlink" Target="https://fategrandorder.fandom.com/wiki/Free_Quests:_Shimosa" TargetMode="External"/><Relationship Id="rId285" Type="http://schemas.openxmlformats.org/officeDocument/2006/relationships/table" Target="../tables/table49.xml"/><Relationship Id="rId163" Type="http://schemas.openxmlformats.org/officeDocument/2006/relationships/hyperlink" Target="https://fategrandorder.fandom.com/wiki/Free_Quests:_Shimosa" TargetMode="External"/><Relationship Id="rId284" Type="http://schemas.openxmlformats.org/officeDocument/2006/relationships/table" Target="../tables/table48.xml"/><Relationship Id="rId162" Type="http://schemas.openxmlformats.org/officeDocument/2006/relationships/hyperlink" Target="https://fategrandorder.fandom.com/wiki/Free_Quests:_Shimosa" TargetMode="External"/><Relationship Id="rId283" Type="http://schemas.openxmlformats.org/officeDocument/2006/relationships/table" Target="../tables/table47.xml"/><Relationship Id="rId169" Type="http://schemas.openxmlformats.org/officeDocument/2006/relationships/hyperlink" Target="https://fategrandorder.fandom.com/wiki/Free_Quests:_Salem" TargetMode="External"/><Relationship Id="rId168" Type="http://schemas.openxmlformats.org/officeDocument/2006/relationships/hyperlink" Target="https://fategrandorder.fandom.com/wiki/Free_Quests:_Salem" TargetMode="External"/><Relationship Id="rId289" Type="http://schemas.openxmlformats.org/officeDocument/2006/relationships/table" Target="../tables/table53.xml"/><Relationship Id="rId167" Type="http://schemas.openxmlformats.org/officeDocument/2006/relationships/hyperlink" Target="https://fategrandorder.fandom.com/wiki/Free_Quests:_Shimosa" TargetMode="External"/><Relationship Id="rId288" Type="http://schemas.openxmlformats.org/officeDocument/2006/relationships/table" Target="../tables/table52.xml"/><Relationship Id="rId166" Type="http://schemas.openxmlformats.org/officeDocument/2006/relationships/hyperlink" Target="https://fategrandorder.fandom.com/wiki/Free_Quests:_Shimosa" TargetMode="External"/><Relationship Id="rId287" Type="http://schemas.openxmlformats.org/officeDocument/2006/relationships/table" Target="../tables/table51.xml"/><Relationship Id="rId161" Type="http://schemas.openxmlformats.org/officeDocument/2006/relationships/hyperlink" Target="https://fategrandorder.fandom.com/wiki/Free_Quests:_Shimosa" TargetMode="External"/><Relationship Id="rId282" Type="http://schemas.openxmlformats.org/officeDocument/2006/relationships/table" Target="../tables/table46.xml"/><Relationship Id="rId160" Type="http://schemas.openxmlformats.org/officeDocument/2006/relationships/hyperlink" Target="https://fategrandorder.fandom.com/wiki/Free_Quests:_Shimosa" TargetMode="External"/><Relationship Id="rId281" Type="http://schemas.openxmlformats.org/officeDocument/2006/relationships/table" Target="../tables/table45.xml"/><Relationship Id="rId280" Type="http://schemas.openxmlformats.org/officeDocument/2006/relationships/table" Target="../tables/table44.xml"/><Relationship Id="rId159" Type="http://schemas.openxmlformats.org/officeDocument/2006/relationships/hyperlink" Target="https://fategrandorder.fandom.com/wiki/Free_Quests:_Shimosa" TargetMode="External"/><Relationship Id="rId154" Type="http://schemas.openxmlformats.org/officeDocument/2006/relationships/hyperlink" Target="https://fategrandorder.fandom.com/wiki/Free_Quests:_Agartha" TargetMode="External"/><Relationship Id="rId153" Type="http://schemas.openxmlformats.org/officeDocument/2006/relationships/hyperlink" Target="https://fategrandorder.fandom.com/wiki/Free_Quests:_Agartha" TargetMode="External"/><Relationship Id="rId152" Type="http://schemas.openxmlformats.org/officeDocument/2006/relationships/hyperlink" Target="https://fategrandorder.fandom.com/wiki/Free_Quests:_Agartha" TargetMode="External"/><Relationship Id="rId151" Type="http://schemas.openxmlformats.org/officeDocument/2006/relationships/hyperlink" Target="https://fategrandorder.fandom.com/wiki/Free_Quests:_Agartha" TargetMode="External"/><Relationship Id="rId158" Type="http://schemas.openxmlformats.org/officeDocument/2006/relationships/hyperlink" Target="https://fategrandorder.fandom.com/wiki/Free_Quests:_Agartha" TargetMode="External"/><Relationship Id="rId157" Type="http://schemas.openxmlformats.org/officeDocument/2006/relationships/hyperlink" Target="https://fategrandorder.fandom.com/wiki/Free_Quests:_Agartha" TargetMode="External"/><Relationship Id="rId156" Type="http://schemas.openxmlformats.org/officeDocument/2006/relationships/hyperlink" Target="https://fategrandorder.fandom.com/wiki/Free_Quests:_Agartha" TargetMode="External"/><Relationship Id="rId155" Type="http://schemas.openxmlformats.org/officeDocument/2006/relationships/hyperlink" Target="https://fategrandorder.fandom.com/wiki/Free_Quests:_Agartha" TargetMode="External"/><Relationship Id="rId40" Type="http://schemas.openxmlformats.org/officeDocument/2006/relationships/hyperlink" Target="https://fategrandorder.fandom.com/wiki/Saturday_Daily_Quests" TargetMode="External"/><Relationship Id="rId42" Type="http://schemas.openxmlformats.org/officeDocument/2006/relationships/hyperlink" Target="https://fategrandorder.fandom.com/wiki/Sunday_Daily_Quests" TargetMode="External"/><Relationship Id="rId41" Type="http://schemas.openxmlformats.org/officeDocument/2006/relationships/hyperlink" Target="https://fategrandorder.fandom.com/wiki/Sunday_Daily_Quests" TargetMode="External"/><Relationship Id="rId44" Type="http://schemas.openxmlformats.org/officeDocument/2006/relationships/hyperlink" Target="https://fategrandorder.fandom.com/wiki/Sunday_Daily_Quests" TargetMode="External"/><Relationship Id="rId43" Type="http://schemas.openxmlformats.org/officeDocument/2006/relationships/hyperlink" Target="https://fategrandorder.fandom.com/wiki/Sunday_Daily_Quests" TargetMode="External"/><Relationship Id="rId46" Type="http://schemas.openxmlformats.org/officeDocument/2006/relationships/hyperlink" Target="https://fategrandorder.fandom.com/wiki/Free_Quests:_Fuyuki" TargetMode="External"/><Relationship Id="rId45" Type="http://schemas.openxmlformats.org/officeDocument/2006/relationships/hyperlink" Target="https://fategrandorder.fandom.com/wiki/Free_Quests:_Fuyuki" TargetMode="External"/><Relationship Id="rId48" Type="http://schemas.openxmlformats.org/officeDocument/2006/relationships/hyperlink" Target="https://fategrandorder.fandom.com/wiki/Free_Quests:_Fuyuki" TargetMode="External"/><Relationship Id="rId47" Type="http://schemas.openxmlformats.org/officeDocument/2006/relationships/hyperlink" Target="https://fategrandorder.fandom.com/wiki/Free_Quests:_Fuyuki" TargetMode="External"/><Relationship Id="rId49" Type="http://schemas.openxmlformats.org/officeDocument/2006/relationships/hyperlink" Target="https://fategrandorder.fandom.com/wiki/Free_Quests:_Fuyuki" TargetMode="External"/><Relationship Id="rId31" Type="http://schemas.openxmlformats.org/officeDocument/2006/relationships/hyperlink" Target="https://fategrandorder.fandom.com/wiki/Thursday_Daily_Quests" TargetMode="External"/><Relationship Id="rId30" Type="http://schemas.openxmlformats.org/officeDocument/2006/relationships/hyperlink" Target="https://fategrandorder.fandom.com/wiki/Thursday_Daily_Quests" TargetMode="External"/><Relationship Id="rId33" Type="http://schemas.openxmlformats.org/officeDocument/2006/relationships/hyperlink" Target="https://fategrandorder.fandom.com/wiki/Friday_Daily_Quests" TargetMode="External"/><Relationship Id="rId32" Type="http://schemas.openxmlformats.org/officeDocument/2006/relationships/hyperlink" Target="https://fategrandorder.fandom.com/wiki/Thursday_Daily_Quests" TargetMode="External"/><Relationship Id="rId35" Type="http://schemas.openxmlformats.org/officeDocument/2006/relationships/hyperlink" Target="https://fategrandorder.fandom.com/wiki/Friday_Daily_Quests" TargetMode="External"/><Relationship Id="rId34" Type="http://schemas.openxmlformats.org/officeDocument/2006/relationships/hyperlink" Target="https://fategrandorder.fandom.com/wiki/Friday_Daily_Quests" TargetMode="External"/><Relationship Id="rId37" Type="http://schemas.openxmlformats.org/officeDocument/2006/relationships/hyperlink" Target="https://fategrandorder.fandom.com/wiki/Saturday_Daily_Quests" TargetMode="External"/><Relationship Id="rId36" Type="http://schemas.openxmlformats.org/officeDocument/2006/relationships/hyperlink" Target="https://fategrandorder.fandom.com/wiki/Friday_Daily_Quests" TargetMode="External"/><Relationship Id="rId39" Type="http://schemas.openxmlformats.org/officeDocument/2006/relationships/hyperlink" Target="https://fategrandorder.fandom.com/wiki/Saturday_Daily_Quests" TargetMode="External"/><Relationship Id="rId38" Type="http://schemas.openxmlformats.org/officeDocument/2006/relationships/hyperlink" Target="https://fategrandorder.fandom.com/wiki/Saturday_Daily_Quests" TargetMode="External"/><Relationship Id="rId20" Type="http://schemas.openxmlformats.org/officeDocument/2006/relationships/hyperlink" Target="https://fategrandorder.fandom.com/wiki/Monday_Daily_Quests" TargetMode="External"/><Relationship Id="rId22" Type="http://schemas.openxmlformats.org/officeDocument/2006/relationships/hyperlink" Target="https://fategrandorder.fandom.com/wiki/Tuesday_Daily_Quests" TargetMode="External"/><Relationship Id="rId21" Type="http://schemas.openxmlformats.org/officeDocument/2006/relationships/hyperlink" Target="https://fategrandorder.fandom.com/wiki/Tuesday_Daily_Quests" TargetMode="External"/><Relationship Id="rId24" Type="http://schemas.openxmlformats.org/officeDocument/2006/relationships/hyperlink" Target="https://fategrandorder.fandom.com/wiki/Tuesday_Daily_Quests" TargetMode="External"/><Relationship Id="rId23" Type="http://schemas.openxmlformats.org/officeDocument/2006/relationships/hyperlink" Target="https://fategrandorder.fandom.com/wiki/Tuesday_Daily_Quests" TargetMode="External"/><Relationship Id="rId26" Type="http://schemas.openxmlformats.org/officeDocument/2006/relationships/hyperlink" Target="https://fategrandorder.fandom.com/wiki/Wednesday_Daily_Quests" TargetMode="External"/><Relationship Id="rId25" Type="http://schemas.openxmlformats.org/officeDocument/2006/relationships/hyperlink" Target="https://fategrandorder.fandom.com/wiki/Wednesday_Daily_Quests" TargetMode="External"/><Relationship Id="rId28" Type="http://schemas.openxmlformats.org/officeDocument/2006/relationships/hyperlink" Target="https://fategrandorder.fandom.com/wiki/Wednesday_Daily_Quests" TargetMode="External"/><Relationship Id="rId27" Type="http://schemas.openxmlformats.org/officeDocument/2006/relationships/hyperlink" Target="https://fategrandorder.fandom.com/wiki/Wednesday_Daily_Quests" TargetMode="External"/><Relationship Id="rId29" Type="http://schemas.openxmlformats.org/officeDocument/2006/relationships/hyperlink" Target="https://fategrandorder.fandom.com/wiki/Thursday_Daily_Quests" TargetMode="External"/><Relationship Id="rId11" Type="http://schemas.openxmlformats.org/officeDocument/2006/relationships/hyperlink" Target="https://fategrandorder.fandom.com/wiki/Wednesday_Daily_Quests" TargetMode="External"/><Relationship Id="rId10" Type="http://schemas.openxmlformats.org/officeDocument/2006/relationships/hyperlink" Target="https://fategrandorder.fandom.com/wiki/Wednesday_Daily_Quests" TargetMode="External"/><Relationship Id="rId13" Type="http://schemas.openxmlformats.org/officeDocument/2006/relationships/hyperlink" Target="https://fategrandorder.fandom.com/wiki/Sunday_Daily_Quests" TargetMode="External"/><Relationship Id="rId12" Type="http://schemas.openxmlformats.org/officeDocument/2006/relationships/hyperlink" Target="https://fategrandorder.fandom.com/wiki/Wednesday_Daily_Quests" TargetMode="External"/><Relationship Id="rId15" Type="http://schemas.openxmlformats.org/officeDocument/2006/relationships/hyperlink" Target="https://fategrandorder.fandom.com/wiki/Sunday_Daily_Quests" TargetMode="External"/><Relationship Id="rId14" Type="http://schemas.openxmlformats.org/officeDocument/2006/relationships/hyperlink" Target="https://fategrandorder.fandom.com/wiki/Sunday_Daily_Quests" TargetMode="External"/><Relationship Id="rId17" Type="http://schemas.openxmlformats.org/officeDocument/2006/relationships/hyperlink" Target="https://fategrandorder.fandom.com/wiki/Monday_Daily_Quests" TargetMode="External"/><Relationship Id="rId16" Type="http://schemas.openxmlformats.org/officeDocument/2006/relationships/hyperlink" Target="https://fategrandorder.fandom.com/wiki/Sunday_Daily_Quests" TargetMode="External"/><Relationship Id="rId19" Type="http://schemas.openxmlformats.org/officeDocument/2006/relationships/hyperlink" Target="https://fategrandorder.fandom.com/wiki/Monday_Daily_Quests" TargetMode="External"/><Relationship Id="rId18" Type="http://schemas.openxmlformats.org/officeDocument/2006/relationships/hyperlink" Target="https://fategrandorder.fandom.com/wiki/Monday_Daily_Quests" TargetMode="External"/><Relationship Id="rId84" Type="http://schemas.openxmlformats.org/officeDocument/2006/relationships/hyperlink" Target="https://fategrandorder.fandom.com/wiki/Free_Quests:_Okeanos" TargetMode="External"/><Relationship Id="rId83" Type="http://schemas.openxmlformats.org/officeDocument/2006/relationships/hyperlink" Target="https://fategrandorder.fandom.com/wiki/Free_Quests:_Okeanos" TargetMode="External"/><Relationship Id="rId86" Type="http://schemas.openxmlformats.org/officeDocument/2006/relationships/hyperlink" Target="https://fategrandorder.fandom.com/wiki/Free_Quests:_London" TargetMode="External"/><Relationship Id="rId85" Type="http://schemas.openxmlformats.org/officeDocument/2006/relationships/hyperlink" Target="https://fategrandorder.fandom.com/wiki/Free_Quests:_Okeanos" TargetMode="External"/><Relationship Id="rId88" Type="http://schemas.openxmlformats.org/officeDocument/2006/relationships/hyperlink" Target="https://fategrandorder.fandom.com/wiki/Free_Quests:_London" TargetMode="External"/><Relationship Id="rId87" Type="http://schemas.openxmlformats.org/officeDocument/2006/relationships/hyperlink" Target="https://fategrandorder.fandom.com/wiki/Free_Quests:_London" TargetMode="External"/><Relationship Id="rId89" Type="http://schemas.openxmlformats.org/officeDocument/2006/relationships/hyperlink" Target="https://fategrandorder.fandom.com/wiki/Free_Quests:_London" TargetMode="External"/><Relationship Id="rId80" Type="http://schemas.openxmlformats.org/officeDocument/2006/relationships/hyperlink" Target="https://fategrandorder.fandom.com/wiki/Free_Quests:_Okeanos" TargetMode="External"/><Relationship Id="rId82" Type="http://schemas.openxmlformats.org/officeDocument/2006/relationships/hyperlink" Target="https://fategrandorder.fandom.com/wiki/Free_Quests:_Okeanos" TargetMode="External"/><Relationship Id="rId81" Type="http://schemas.openxmlformats.org/officeDocument/2006/relationships/hyperlink" Target="https://fategrandorder.fandom.com/wiki/Free_Quests:_Okeanos" TargetMode="External"/><Relationship Id="rId73" Type="http://schemas.openxmlformats.org/officeDocument/2006/relationships/hyperlink" Target="https://fategrandorder.fandom.com/wiki/Free_Quests:_Septem" TargetMode="External"/><Relationship Id="rId72" Type="http://schemas.openxmlformats.org/officeDocument/2006/relationships/hyperlink" Target="https://fategrandorder.fandom.com/wiki/Free_Quests:_Septem" TargetMode="External"/><Relationship Id="rId75" Type="http://schemas.openxmlformats.org/officeDocument/2006/relationships/hyperlink" Target="https://fategrandorder.fandom.com/wiki/Free_Quests:_Okeanos" TargetMode="External"/><Relationship Id="rId74" Type="http://schemas.openxmlformats.org/officeDocument/2006/relationships/hyperlink" Target="https://fategrandorder.fandom.com/wiki/Free_Quests:_Okeanos" TargetMode="External"/><Relationship Id="rId77" Type="http://schemas.openxmlformats.org/officeDocument/2006/relationships/hyperlink" Target="https://fategrandorder.fandom.com/wiki/Free_Quests:_Okeanos" TargetMode="External"/><Relationship Id="rId76" Type="http://schemas.openxmlformats.org/officeDocument/2006/relationships/hyperlink" Target="https://fategrandorder.fandom.com/wiki/Free_Quests:_Okeanos" TargetMode="External"/><Relationship Id="rId79" Type="http://schemas.openxmlformats.org/officeDocument/2006/relationships/hyperlink" Target="https://fategrandorder.fandom.com/wiki/Free_Quests:_Okeanos" TargetMode="External"/><Relationship Id="rId78" Type="http://schemas.openxmlformats.org/officeDocument/2006/relationships/hyperlink" Target="https://fategrandorder.fandom.com/wiki/Free_Quests:_Okeanos" TargetMode="External"/><Relationship Id="rId71" Type="http://schemas.openxmlformats.org/officeDocument/2006/relationships/hyperlink" Target="https://fategrandorder.fandom.com/wiki/Free_Quests:_Septem" TargetMode="External"/><Relationship Id="rId70" Type="http://schemas.openxmlformats.org/officeDocument/2006/relationships/hyperlink" Target="https://fategrandorder.fandom.com/wiki/Free_Quests:_Septem" TargetMode="External"/><Relationship Id="rId62" Type="http://schemas.openxmlformats.org/officeDocument/2006/relationships/hyperlink" Target="https://fategrandorder.fandom.com/wiki/Free_Quests:_Orleans" TargetMode="External"/><Relationship Id="rId61" Type="http://schemas.openxmlformats.org/officeDocument/2006/relationships/hyperlink" Target="https://fategrandorder.fandom.com/wiki/Free_Quests:_Orleans" TargetMode="External"/><Relationship Id="rId64" Type="http://schemas.openxmlformats.org/officeDocument/2006/relationships/hyperlink" Target="https://fategrandorder.fandom.com/wiki/Free_Quests:_Septem" TargetMode="External"/><Relationship Id="rId63" Type="http://schemas.openxmlformats.org/officeDocument/2006/relationships/hyperlink" Target="https://fategrandorder.fandom.com/wiki/Free_Quests:_Septem" TargetMode="External"/><Relationship Id="rId66" Type="http://schemas.openxmlformats.org/officeDocument/2006/relationships/hyperlink" Target="https://fategrandorder.fandom.com/wiki/Free_Quests:_Septem" TargetMode="External"/><Relationship Id="rId65" Type="http://schemas.openxmlformats.org/officeDocument/2006/relationships/hyperlink" Target="https://fategrandorder.fandom.com/wiki/Free_Quests:_Septem" TargetMode="External"/><Relationship Id="rId68" Type="http://schemas.openxmlformats.org/officeDocument/2006/relationships/hyperlink" Target="https://fategrandorder.fandom.com/wiki/Free_Quests:_Septem" TargetMode="External"/><Relationship Id="rId67" Type="http://schemas.openxmlformats.org/officeDocument/2006/relationships/hyperlink" Target="https://fategrandorder.fandom.com/wiki/Free_Quests:_Septem" TargetMode="External"/><Relationship Id="rId60" Type="http://schemas.openxmlformats.org/officeDocument/2006/relationships/hyperlink" Target="https://fategrandorder.fandom.com/wiki/Free_Quests:_Orleans" TargetMode="External"/><Relationship Id="rId69" Type="http://schemas.openxmlformats.org/officeDocument/2006/relationships/hyperlink" Target="https://fategrandorder.fandom.com/wiki/Free_Quests:_Septem" TargetMode="External"/><Relationship Id="rId51" Type="http://schemas.openxmlformats.org/officeDocument/2006/relationships/hyperlink" Target="https://fategrandorder.fandom.com/wiki/Free_Quests:_Fuyuki" TargetMode="External"/><Relationship Id="rId50" Type="http://schemas.openxmlformats.org/officeDocument/2006/relationships/hyperlink" Target="https://fategrandorder.fandom.com/wiki/Free_Quests:_Fuyuki" TargetMode="External"/><Relationship Id="rId53" Type="http://schemas.openxmlformats.org/officeDocument/2006/relationships/hyperlink" Target="https://fategrandorder.fandom.com/wiki/Free_Quests:_Orleans" TargetMode="External"/><Relationship Id="rId52" Type="http://schemas.openxmlformats.org/officeDocument/2006/relationships/hyperlink" Target="https://fategrandorder.fandom.com/wiki/Free_Quests:_Fuyuki" TargetMode="External"/><Relationship Id="rId55" Type="http://schemas.openxmlformats.org/officeDocument/2006/relationships/hyperlink" Target="https://fategrandorder.fandom.com/wiki/Free_Quests:_Orleans" TargetMode="External"/><Relationship Id="rId54" Type="http://schemas.openxmlformats.org/officeDocument/2006/relationships/hyperlink" Target="https://fategrandorder.fandom.com/wiki/Free_Quests:_Orleans" TargetMode="External"/><Relationship Id="rId57" Type="http://schemas.openxmlformats.org/officeDocument/2006/relationships/hyperlink" Target="https://fategrandorder.fandom.com/wiki/Free_Quests:_Orleans" TargetMode="External"/><Relationship Id="rId56" Type="http://schemas.openxmlformats.org/officeDocument/2006/relationships/hyperlink" Target="https://fategrandorder.fandom.com/wiki/Free_Quests:_Orleans" TargetMode="External"/><Relationship Id="rId59" Type="http://schemas.openxmlformats.org/officeDocument/2006/relationships/hyperlink" Target="https://fategrandorder.fandom.com/wiki/Free_Quests:_Orleans" TargetMode="External"/><Relationship Id="rId58" Type="http://schemas.openxmlformats.org/officeDocument/2006/relationships/hyperlink" Target="https://fategrandorder.fandom.com/wiki/Free_Quests:_Orleans" TargetMode="External"/><Relationship Id="rId107" Type="http://schemas.openxmlformats.org/officeDocument/2006/relationships/hyperlink" Target="https://fategrandorder.fandom.com/wiki/Free_Quests:_E_Pluribus_Unum" TargetMode="External"/><Relationship Id="rId228" Type="http://schemas.openxmlformats.org/officeDocument/2006/relationships/hyperlink" Target="https://fategrandorder.fandom.com/wiki/Free_Quests:_Atlantis" TargetMode="External"/><Relationship Id="rId106" Type="http://schemas.openxmlformats.org/officeDocument/2006/relationships/hyperlink" Target="https://fategrandorder.fandom.com/wiki/Free_Quests:_E_Pluribus_Unum" TargetMode="External"/><Relationship Id="rId227" Type="http://schemas.openxmlformats.org/officeDocument/2006/relationships/hyperlink" Target="https://fategrandorder.fandom.com/wiki/Free_Quests:_Atlantis" TargetMode="External"/><Relationship Id="rId105" Type="http://schemas.openxmlformats.org/officeDocument/2006/relationships/hyperlink" Target="https://fategrandorder.fandom.com/wiki/Free_Quests:_E_Pluribus_Unum" TargetMode="External"/><Relationship Id="rId226" Type="http://schemas.openxmlformats.org/officeDocument/2006/relationships/hyperlink" Target="https://fategrandorder.fandom.com/wiki/Free_Quests:_Atlantis" TargetMode="External"/><Relationship Id="rId104" Type="http://schemas.openxmlformats.org/officeDocument/2006/relationships/hyperlink" Target="https://fategrandorder.fandom.com/wiki/Free_Quests:_E_Pluribus_Unum" TargetMode="External"/><Relationship Id="rId225" Type="http://schemas.openxmlformats.org/officeDocument/2006/relationships/hyperlink" Target="https://fategrandorder.fandom.com/wiki/Free_Quests:_Atlantis" TargetMode="External"/><Relationship Id="rId109" Type="http://schemas.openxmlformats.org/officeDocument/2006/relationships/hyperlink" Target="https://fategrandorder.fandom.com/wiki/Free_Quests:_Camelot" TargetMode="External"/><Relationship Id="rId108" Type="http://schemas.openxmlformats.org/officeDocument/2006/relationships/hyperlink" Target="https://fategrandorder.fandom.com/wiki/Free_Quests:_E_Pluribus_Unum" TargetMode="External"/><Relationship Id="rId229" Type="http://schemas.openxmlformats.org/officeDocument/2006/relationships/hyperlink" Target="https://fategrandorder.fandom.com/wiki/Free_Quests:_Atlantis" TargetMode="External"/><Relationship Id="rId220" Type="http://schemas.openxmlformats.org/officeDocument/2006/relationships/hyperlink" Target="https://fategrandorder.fandom.com/wiki/Free_Quests:_Yuga_Kshetra" TargetMode="External"/><Relationship Id="rId103" Type="http://schemas.openxmlformats.org/officeDocument/2006/relationships/hyperlink" Target="https://fategrandorder.fandom.com/wiki/Free_Quests:_E_Pluribus_Unum" TargetMode="External"/><Relationship Id="rId224" Type="http://schemas.openxmlformats.org/officeDocument/2006/relationships/hyperlink" Target="https://fategrandorder.fandom.com/wiki/Free_Quests:_Yuga_Kshetra" TargetMode="External"/><Relationship Id="rId102" Type="http://schemas.openxmlformats.org/officeDocument/2006/relationships/hyperlink" Target="https://fategrandorder.fandom.com/wiki/Free_Quests:_E_Pluribus_Unum" TargetMode="External"/><Relationship Id="rId223" Type="http://schemas.openxmlformats.org/officeDocument/2006/relationships/hyperlink" Target="https://fategrandorder.fandom.com/wiki/Free_Quests:_Yuga_Kshetra" TargetMode="External"/><Relationship Id="rId101" Type="http://schemas.openxmlformats.org/officeDocument/2006/relationships/hyperlink" Target="https://fategrandorder.fandom.com/wiki/Free_Quests:_E_Pluribus_Unum" TargetMode="External"/><Relationship Id="rId222" Type="http://schemas.openxmlformats.org/officeDocument/2006/relationships/hyperlink" Target="https://fategrandorder.fandom.com/wiki/Free_Quests:_Yuga_Kshetra" TargetMode="External"/><Relationship Id="rId100" Type="http://schemas.openxmlformats.org/officeDocument/2006/relationships/hyperlink" Target="https://fategrandorder.fandom.com/wiki/Free_Quests:_E_Pluribus_Unum" TargetMode="External"/><Relationship Id="rId221" Type="http://schemas.openxmlformats.org/officeDocument/2006/relationships/hyperlink" Target="https://fategrandorder.fandom.com/wiki/Free_Quests:_Yuga_Kshetra" TargetMode="External"/><Relationship Id="rId217" Type="http://schemas.openxmlformats.org/officeDocument/2006/relationships/hyperlink" Target="https://fategrandorder.fandom.com/wiki/Free_Quests:_Yuga_Kshetra" TargetMode="External"/><Relationship Id="rId216" Type="http://schemas.openxmlformats.org/officeDocument/2006/relationships/hyperlink" Target="https://fategrandorder.fandom.com/wiki/Free_Quests:_Yuga_Kshetra" TargetMode="External"/><Relationship Id="rId215" Type="http://schemas.openxmlformats.org/officeDocument/2006/relationships/hyperlink" Target="https://fategrandorder.fandom.com/wiki/Free_Quests:_Yuga_Kshetra" TargetMode="External"/><Relationship Id="rId214" Type="http://schemas.openxmlformats.org/officeDocument/2006/relationships/hyperlink" Target="https://fategrandorder.fandom.com/wiki/Free_Quests:_S_I_N" TargetMode="External"/><Relationship Id="rId219" Type="http://schemas.openxmlformats.org/officeDocument/2006/relationships/hyperlink" Target="https://fategrandorder.fandom.com/wiki/Free_Quests:_Yuga_Kshetra" TargetMode="External"/><Relationship Id="rId218" Type="http://schemas.openxmlformats.org/officeDocument/2006/relationships/hyperlink" Target="https://fategrandorder.fandom.com/wiki/Free_Quests:_Yuga_Kshetra" TargetMode="External"/><Relationship Id="rId213" Type="http://schemas.openxmlformats.org/officeDocument/2006/relationships/hyperlink" Target="https://fategrandorder.fandom.com/wiki/Free_Quests:_S_I_N" TargetMode="External"/><Relationship Id="rId212" Type="http://schemas.openxmlformats.org/officeDocument/2006/relationships/hyperlink" Target="https://fategrandorder.fandom.com/wiki/Free_Quests:_S_I_N" TargetMode="External"/><Relationship Id="rId211" Type="http://schemas.openxmlformats.org/officeDocument/2006/relationships/hyperlink" Target="https://fategrandorder.fandom.com/wiki/Free_Quests:_S_I_N" TargetMode="External"/><Relationship Id="rId210" Type="http://schemas.openxmlformats.org/officeDocument/2006/relationships/hyperlink" Target="https://fategrandorder.fandom.com/wiki/Free_Quests:_S_I_N" TargetMode="External"/><Relationship Id="rId129" Type="http://schemas.openxmlformats.org/officeDocument/2006/relationships/hyperlink" Target="https://fategrandorder.fandom.com/wiki/Free_Quests:_Babylonia" TargetMode="External"/><Relationship Id="rId128" Type="http://schemas.openxmlformats.org/officeDocument/2006/relationships/hyperlink" Target="https://fategrandorder.fandom.com/wiki/Free_Quests:_Babylonia" TargetMode="External"/><Relationship Id="rId249" Type="http://schemas.openxmlformats.org/officeDocument/2006/relationships/hyperlink" Target="https://fategrandorder.fandom.com/wiki/Free_Quests:_Heian-ky%C5%8D" TargetMode="External"/><Relationship Id="rId127" Type="http://schemas.openxmlformats.org/officeDocument/2006/relationships/hyperlink" Target="https://fategrandorder.fandom.com/wiki/Free_Quests:_Babylonia" TargetMode="External"/><Relationship Id="rId248" Type="http://schemas.openxmlformats.org/officeDocument/2006/relationships/hyperlink" Target="https://fategrandorder.fandom.com/wiki/Free_Quests:_Heian-ky%C5%8D" TargetMode="External"/><Relationship Id="rId126" Type="http://schemas.openxmlformats.org/officeDocument/2006/relationships/hyperlink" Target="https://fategrandorder.fandom.com/wiki/Free_Quests:_Babylonia" TargetMode="External"/><Relationship Id="rId247" Type="http://schemas.openxmlformats.org/officeDocument/2006/relationships/hyperlink" Target="https://fategrandorder.fandom.com/wiki/Free_Quests:_Heian-ky%C5%8D" TargetMode="External"/><Relationship Id="rId121" Type="http://schemas.openxmlformats.org/officeDocument/2006/relationships/hyperlink" Target="https://fategrandorder.fandom.com/wiki/Free_Quests:_Camelot" TargetMode="External"/><Relationship Id="rId242" Type="http://schemas.openxmlformats.org/officeDocument/2006/relationships/hyperlink" Target="https://fategrandorder.fandom.com/wiki/Free_Quests:_Olympus" TargetMode="External"/><Relationship Id="rId120" Type="http://schemas.openxmlformats.org/officeDocument/2006/relationships/hyperlink" Target="https://fategrandorder.fandom.com/wiki/Free_Quests:_Camelot" TargetMode="External"/><Relationship Id="rId241" Type="http://schemas.openxmlformats.org/officeDocument/2006/relationships/hyperlink" Target="https://fategrandorder.fandom.com/wiki/Free_Quests:_Olympus" TargetMode="External"/><Relationship Id="rId240" Type="http://schemas.openxmlformats.org/officeDocument/2006/relationships/hyperlink" Target="https://fategrandorder.fandom.com/wiki/Free_Quests:_Olympus" TargetMode="External"/><Relationship Id="rId125" Type="http://schemas.openxmlformats.org/officeDocument/2006/relationships/hyperlink" Target="https://fategrandorder.fandom.com/wiki/Free_Quests:_Babylonia" TargetMode="External"/><Relationship Id="rId246" Type="http://schemas.openxmlformats.org/officeDocument/2006/relationships/hyperlink" Target="https://fategrandorder.fandom.com/wiki/Free_Quests:_Heian-ky%C5%8D" TargetMode="External"/><Relationship Id="rId124" Type="http://schemas.openxmlformats.org/officeDocument/2006/relationships/hyperlink" Target="https://fategrandorder.fandom.com/wiki/Free_Quests:_Babylonia" TargetMode="External"/><Relationship Id="rId245" Type="http://schemas.openxmlformats.org/officeDocument/2006/relationships/hyperlink" Target="https://fategrandorder.fandom.com/wiki/Free_Quests:_Heian-ky%C5%8D" TargetMode="External"/><Relationship Id="rId123" Type="http://schemas.openxmlformats.org/officeDocument/2006/relationships/hyperlink" Target="https://fategrandorder.fandom.com/wiki/Free_Quests:_Babylonia" TargetMode="External"/><Relationship Id="rId244" Type="http://schemas.openxmlformats.org/officeDocument/2006/relationships/hyperlink" Target="https://fategrandorder.fandom.com/wiki/Free_Quests:_Olympus" TargetMode="External"/><Relationship Id="rId122" Type="http://schemas.openxmlformats.org/officeDocument/2006/relationships/hyperlink" Target="https://fategrandorder.fandom.com/wiki/Free_Quests:_Camelot" TargetMode="External"/><Relationship Id="rId243" Type="http://schemas.openxmlformats.org/officeDocument/2006/relationships/hyperlink" Target="https://fategrandorder.fandom.com/wiki/Free_Quests:_Olympus" TargetMode="External"/><Relationship Id="rId95" Type="http://schemas.openxmlformats.org/officeDocument/2006/relationships/hyperlink" Target="https://fategrandorder.fandom.com/wiki/Free_Quests:_E_Pluribus_Unum" TargetMode="External"/><Relationship Id="rId94" Type="http://schemas.openxmlformats.org/officeDocument/2006/relationships/hyperlink" Target="https://fategrandorder.fandom.com/wiki/Free_Quests:_London" TargetMode="External"/><Relationship Id="rId97" Type="http://schemas.openxmlformats.org/officeDocument/2006/relationships/hyperlink" Target="https://fategrandorder.fandom.com/wiki/Free_Quests:_E_Pluribus_Unum" TargetMode="External"/><Relationship Id="rId96" Type="http://schemas.openxmlformats.org/officeDocument/2006/relationships/hyperlink" Target="https://fategrandorder.fandom.com/wiki/Free_Quests:_E_Pluribus_Unum" TargetMode="External"/><Relationship Id="rId99" Type="http://schemas.openxmlformats.org/officeDocument/2006/relationships/hyperlink" Target="https://fategrandorder.fandom.com/wiki/Free_Quests:_E_Pluribus_Unum" TargetMode="External"/><Relationship Id="rId98" Type="http://schemas.openxmlformats.org/officeDocument/2006/relationships/hyperlink" Target="https://fategrandorder.fandom.com/wiki/Free_Quests:_E_Pluribus_Unum" TargetMode="External"/><Relationship Id="rId91" Type="http://schemas.openxmlformats.org/officeDocument/2006/relationships/hyperlink" Target="https://fategrandorder.fandom.com/wiki/Free_Quests:_London" TargetMode="External"/><Relationship Id="rId90" Type="http://schemas.openxmlformats.org/officeDocument/2006/relationships/hyperlink" Target="https://fategrandorder.fandom.com/wiki/Free_Quests:_London" TargetMode="External"/><Relationship Id="rId93" Type="http://schemas.openxmlformats.org/officeDocument/2006/relationships/hyperlink" Target="https://fategrandorder.fandom.com/wiki/Free_Quests:_London" TargetMode="External"/><Relationship Id="rId92" Type="http://schemas.openxmlformats.org/officeDocument/2006/relationships/hyperlink" Target="https://fategrandorder.fandom.com/wiki/Free_Quests:_London" TargetMode="External"/><Relationship Id="rId118" Type="http://schemas.openxmlformats.org/officeDocument/2006/relationships/hyperlink" Target="https://fategrandorder.fandom.com/wiki/Free_Quests:_Camelot" TargetMode="External"/><Relationship Id="rId239" Type="http://schemas.openxmlformats.org/officeDocument/2006/relationships/hyperlink" Target="https://fategrandorder.fandom.com/wiki/Free_Quests:_Olympus" TargetMode="External"/><Relationship Id="rId117" Type="http://schemas.openxmlformats.org/officeDocument/2006/relationships/hyperlink" Target="https://fategrandorder.fandom.com/wiki/Free_Quests:_Camelot" TargetMode="External"/><Relationship Id="rId238" Type="http://schemas.openxmlformats.org/officeDocument/2006/relationships/hyperlink" Target="https://fategrandorder.fandom.com/wiki/Free_Quests:_Olympus" TargetMode="External"/><Relationship Id="rId116" Type="http://schemas.openxmlformats.org/officeDocument/2006/relationships/hyperlink" Target="https://fategrandorder.fandom.com/wiki/Free_Quests:_Camelot" TargetMode="External"/><Relationship Id="rId237" Type="http://schemas.openxmlformats.org/officeDocument/2006/relationships/hyperlink" Target="https://fategrandorder.fandom.com/wiki/Free_Quests:_Olympus" TargetMode="External"/><Relationship Id="rId115" Type="http://schemas.openxmlformats.org/officeDocument/2006/relationships/hyperlink" Target="https://fategrandorder.fandom.com/wiki/Free_Quests:_Camelot" TargetMode="External"/><Relationship Id="rId236" Type="http://schemas.openxmlformats.org/officeDocument/2006/relationships/hyperlink" Target="https://fategrandorder.fandom.com/wiki/Free_Quests:_Olympus" TargetMode="External"/><Relationship Id="rId119" Type="http://schemas.openxmlformats.org/officeDocument/2006/relationships/hyperlink" Target="https://fategrandorder.fandom.com/wiki/Free_Quests:_Camelot" TargetMode="External"/><Relationship Id="rId110" Type="http://schemas.openxmlformats.org/officeDocument/2006/relationships/hyperlink" Target="https://fategrandorder.fandom.com/wiki/Free_Quests:_Camelot" TargetMode="External"/><Relationship Id="rId231" Type="http://schemas.openxmlformats.org/officeDocument/2006/relationships/hyperlink" Target="https://fategrandorder.fandom.com/wiki/Free_Quests:_Atlantis" TargetMode="External"/><Relationship Id="rId230" Type="http://schemas.openxmlformats.org/officeDocument/2006/relationships/hyperlink" Target="https://fategrandorder.fandom.com/wiki/Free_Quests:_Atlantis" TargetMode="External"/><Relationship Id="rId114" Type="http://schemas.openxmlformats.org/officeDocument/2006/relationships/hyperlink" Target="https://fategrandorder.fandom.com/wiki/Free_Quests:_Camelot" TargetMode="External"/><Relationship Id="rId235" Type="http://schemas.openxmlformats.org/officeDocument/2006/relationships/hyperlink" Target="https://fategrandorder.fandom.com/wiki/Free_Quests:_Olympus" TargetMode="External"/><Relationship Id="rId113" Type="http://schemas.openxmlformats.org/officeDocument/2006/relationships/hyperlink" Target="https://fategrandorder.fandom.com/wiki/Free_Quests:_Camelot" TargetMode="External"/><Relationship Id="rId234" Type="http://schemas.openxmlformats.org/officeDocument/2006/relationships/hyperlink" Target="https://fategrandorder.fandom.com/wiki/Free_Quests:_Olympus" TargetMode="External"/><Relationship Id="rId112" Type="http://schemas.openxmlformats.org/officeDocument/2006/relationships/hyperlink" Target="https://fategrandorder.fandom.com/wiki/Free_Quests:_Camelot" TargetMode="External"/><Relationship Id="rId233" Type="http://schemas.openxmlformats.org/officeDocument/2006/relationships/hyperlink" Target="https://fategrandorder.fandom.com/wiki/Free_Quests:_Atlantis" TargetMode="External"/><Relationship Id="rId111" Type="http://schemas.openxmlformats.org/officeDocument/2006/relationships/hyperlink" Target="https://fategrandorder.fandom.com/wiki/Free_Quests:_Camelot" TargetMode="External"/><Relationship Id="rId232" Type="http://schemas.openxmlformats.org/officeDocument/2006/relationships/hyperlink" Target="https://fategrandorder.fandom.com/wiki/Free_Quests:_Atlantis" TargetMode="External"/><Relationship Id="rId300" Type="http://schemas.openxmlformats.org/officeDocument/2006/relationships/table" Target="../tables/table64.xml"/><Relationship Id="rId206" Type="http://schemas.openxmlformats.org/officeDocument/2006/relationships/hyperlink" Target="https://fategrandorder.fandom.com/wiki/Free_Quests:_S_I_N" TargetMode="External"/><Relationship Id="rId205" Type="http://schemas.openxmlformats.org/officeDocument/2006/relationships/hyperlink" Target="https://fategrandorder.fandom.com/wiki/Free_Quests:_S_I_N" TargetMode="External"/><Relationship Id="rId204" Type="http://schemas.openxmlformats.org/officeDocument/2006/relationships/hyperlink" Target="https://fategrandorder.fandom.com/wiki/Free_Quests:_S_I_N" TargetMode="External"/><Relationship Id="rId203" Type="http://schemas.openxmlformats.org/officeDocument/2006/relationships/hyperlink" Target="https://fategrandorder.fandom.com/wiki/Free_Quests:_G%C3%B6tterd%C3%A4mmerung" TargetMode="External"/><Relationship Id="rId209" Type="http://schemas.openxmlformats.org/officeDocument/2006/relationships/hyperlink" Target="https://fategrandorder.fandom.com/wiki/Free_Quests:_S_I_N" TargetMode="External"/><Relationship Id="rId208" Type="http://schemas.openxmlformats.org/officeDocument/2006/relationships/hyperlink" Target="https://fategrandorder.fandom.com/wiki/Free_Quests:_S_I_N" TargetMode="External"/><Relationship Id="rId207" Type="http://schemas.openxmlformats.org/officeDocument/2006/relationships/hyperlink" Target="https://fategrandorder.fandom.com/wiki/Free_Quests:_S_I_N" TargetMode="External"/><Relationship Id="rId202" Type="http://schemas.openxmlformats.org/officeDocument/2006/relationships/hyperlink" Target="https://fategrandorder.fandom.com/wiki/Free_Quests:_G%C3%B6tterd%C3%A4mmerung" TargetMode="External"/><Relationship Id="rId201" Type="http://schemas.openxmlformats.org/officeDocument/2006/relationships/hyperlink" Target="https://fategrandorder.fandom.com/wiki/Free_Quests:_G%C3%B6tterd%C3%A4mmerung" TargetMode="External"/><Relationship Id="rId200" Type="http://schemas.openxmlformats.org/officeDocument/2006/relationships/hyperlink" Target="https://fategrandorder.fandom.com/wiki/Free_Quests:_G%C3%B6tterd%C3%A4mmerung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fategrandorder.fandom.com/wiki/Free_Quests:_Anastasia" TargetMode="External"/><Relationship Id="rId194" Type="http://schemas.openxmlformats.org/officeDocument/2006/relationships/hyperlink" Target="https://fategrandorder.fandom.com/wiki/Free_Quests:_G%C3%B6tterd%C3%A4mmerung" TargetMode="External"/><Relationship Id="rId193" Type="http://schemas.openxmlformats.org/officeDocument/2006/relationships/hyperlink" Target="https://fategrandorder.fandom.com/wiki/Free_Quests:_G%C3%B6tterd%C3%A4mmerung" TargetMode="External"/><Relationship Id="rId192" Type="http://schemas.openxmlformats.org/officeDocument/2006/relationships/hyperlink" Target="https://fategrandorder.fandom.com/wiki/Free_Quests:_Anastasia" TargetMode="External"/><Relationship Id="rId191" Type="http://schemas.openxmlformats.org/officeDocument/2006/relationships/hyperlink" Target="https://fategrandorder.fandom.com/wiki/Free_Quests:_Anastasia" TargetMode="External"/><Relationship Id="rId187" Type="http://schemas.openxmlformats.org/officeDocument/2006/relationships/hyperlink" Target="https://fategrandorder.fandom.com/wiki/Free_Quests:_Anastasia" TargetMode="External"/><Relationship Id="rId186" Type="http://schemas.openxmlformats.org/officeDocument/2006/relationships/hyperlink" Target="https://fategrandorder.fandom.com/wiki/Free_Quests:_Anastasia" TargetMode="External"/><Relationship Id="rId185" Type="http://schemas.openxmlformats.org/officeDocument/2006/relationships/hyperlink" Target="https://fategrandorder.fandom.com/wiki/Free_Quests:_Anastasia" TargetMode="External"/><Relationship Id="rId184" Type="http://schemas.openxmlformats.org/officeDocument/2006/relationships/hyperlink" Target="https://fategrandorder.fandom.com/wiki/Free_Quests:_Anastasia" TargetMode="External"/><Relationship Id="rId189" Type="http://schemas.openxmlformats.org/officeDocument/2006/relationships/hyperlink" Target="https://fategrandorder.fandom.com/wiki/Free_Quests:_Anastasia" TargetMode="External"/><Relationship Id="rId188" Type="http://schemas.openxmlformats.org/officeDocument/2006/relationships/hyperlink" Target="https://fategrandorder.fandom.com/wiki/Free_Quests:_Anastasia" TargetMode="External"/><Relationship Id="rId183" Type="http://schemas.openxmlformats.org/officeDocument/2006/relationships/hyperlink" Target="https://fategrandorder.fandom.com/wiki/Free_Quests:_Anastasia" TargetMode="External"/><Relationship Id="rId182" Type="http://schemas.openxmlformats.org/officeDocument/2006/relationships/hyperlink" Target="https://fategrandorder.fandom.com/wiki/Free_Quests:_Anastasia" TargetMode="External"/><Relationship Id="rId181" Type="http://schemas.openxmlformats.org/officeDocument/2006/relationships/hyperlink" Target="https://fategrandorder.fandom.com/wiki/Free_Quests:_Anastasia" TargetMode="External"/><Relationship Id="rId180" Type="http://schemas.openxmlformats.org/officeDocument/2006/relationships/hyperlink" Target="https://fategrandorder.fandom.com/wiki/Free_Quests:_Anastasia" TargetMode="External"/><Relationship Id="rId176" Type="http://schemas.openxmlformats.org/officeDocument/2006/relationships/hyperlink" Target="https://fategrandorder.fandom.com/wiki/Free_Quests:_Salem" TargetMode="External"/><Relationship Id="rId297" Type="http://schemas.openxmlformats.org/officeDocument/2006/relationships/table" Target="../tables/table82.xml"/><Relationship Id="rId175" Type="http://schemas.openxmlformats.org/officeDocument/2006/relationships/hyperlink" Target="https://fategrandorder.fandom.com/wiki/Free_Quests:_Salem" TargetMode="External"/><Relationship Id="rId296" Type="http://schemas.openxmlformats.org/officeDocument/2006/relationships/table" Target="../tables/table81.xml"/><Relationship Id="rId174" Type="http://schemas.openxmlformats.org/officeDocument/2006/relationships/hyperlink" Target="https://fategrandorder.fandom.com/wiki/Free_Quests:_Salem" TargetMode="External"/><Relationship Id="rId295" Type="http://schemas.openxmlformats.org/officeDocument/2006/relationships/table" Target="../tables/table80.xml"/><Relationship Id="rId173" Type="http://schemas.openxmlformats.org/officeDocument/2006/relationships/hyperlink" Target="https://fategrandorder.fandom.com/wiki/Free_Quests:_Salem" TargetMode="External"/><Relationship Id="rId294" Type="http://schemas.openxmlformats.org/officeDocument/2006/relationships/table" Target="../tables/table79.xml"/><Relationship Id="rId179" Type="http://schemas.openxmlformats.org/officeDocument/2006/relationships/hyperlink" Target="https://fategrandorder.fandom.com/wiki/Free_Quests:_Anastasia" TargetMode="External"/><Relationship Id="rId178" Type="http://schemas.openxmlformats.org/officeDocument/2006/relationships/hyperlink" Target="https://fategrandorder.fandom.com/wiki/Free_Quests:_Salem" TargetMode="External"/><Relationship Id="rId299" Type="http://schemas.openxmlformats.org/officeDocument/2006/relationships/table" Target="../tables/table84.xml"/><Relationship Id="rId177" Type="http://schemas.openxmlformats.org/officeDocument/2006/relationships/hyperlink" Target="https://fategrandorder.fandom.com/wiki/Free_Quests:_Salem" TargetMode="External"/><Relationship Id="rId298" Type="http://schemas.openxmlformats.org/officeDocument/2006/relationships/table" Target="../tables/table83.xml"/><Relationship Id="rId198" Type="http://schemas.openxmlformats.org/officeDocument/2006/relationships/hyperlink" Target="https://fategrandorder.fandom.com/wiki/Free_Quests:_G%C3%B6tterd%C3%A4mmerung" TargetMode="External"/><Relationship Id="rId197" Type="http://schemas.openxmlformats.org/officeDocument/2006/relationships/hyperlink" Target="https://fategrandorder.fandom.com/wiki/Free_Quests:_G%C3%B6tterd%C3%A4mmerung" TargetMode="External"/><Relationship Id="rId196" Type="http://schemas.openxmlformats.org/officeDocument/2006/relationships/hyperlink" Target="https://fategrandorder.fandom.com/wiki/Free_Quests:_G%C3%B6tterd%C3%A4mmerung" TargetMode="External"/><Relationship Id="rId195" Type="http://schemas.openxmlformats.org/officeDocument/2006/relationships/hyperlink" Target="https://fategrandorder.fandom.com/wiki/Free_Quests:_G%C3%B6tterd%C3%A4mmerung" TargetMode="External"/><Relationship Id="rId199" Type="http://schemas.openxmlformats.org/officeDocument/2006/relationships/hyperlink" Target="https://fategrandorder.fandom.com/wiki/Free_Quests:_G%C3%B6tterd%C3%A4mmerung" TargetMode="External"/><Relationship Id="rId150" Type="http://schemas.openxmlformats.org/officeDocument/2006/relationships/hyperlink" Target="https://fategrandorder.fandom.com/wiki/Free_Quests:_Agartha" TargetMode="External"/><Relationship Id="rId1" Type="http://schemas.openxmlformats.org/officeDocument/2006/relationships/hyperlink" Target="https://fategrandorder.fandom.com/wiki/Monday_Daily_Quests" TargetMode="External"/><Relationship Id="rId2" Type="http://schemas.openxmlformats.org/officeDocument/2006/relationships/hyperlink" Target="https://fategrandorder.fandom.com/wiki/Monday_Daily_Quests" TargetMode="External"/><Relationship Id="rId3" Type="http://schemas.openxmlformats.org/officeDocument/2006/relationships/hyperlink" Target="https://fategrandorder.fandom.com/wiki/Monday_Daily_Quests" TargetMode="External"/><Relationship Id="rId149" Type="http://schemas.openxmlformats.org/officeDocument/2006/relationships/hyperlink" Target="https://fategrandorder.fandom.com/wiki/Free_Quests:_Agartha" TargetMode="External"/><Relationship Id="rId4" Type="http://schemas.openxmlformats.org/officeDocument/2006/relationships/hyperlink" Target="https://fategrandorder.fandom.com/wiki/Monday_Daily_Quests" TargetMode="External"/><Relationship Id="rId148" Type="http://schemas.openxmlformats.org/officeDocument/2006/relationships/hyperlink" Target="https://fategrandorder.fandom.com/wiki/Free_Quests:_Agartha" TargetMode="External"/><Relationship Id="rId9" Type="http://schemas.openxmlformats.org/officeDocument/2006/relationships/hyperlink" Target="https://fategrandorder.fandom.com/wiki/Wednesday_Daily_Quests" TargetMode="External"/><Relationship Id="rId143" Type="http://schemas.openxmlformats.org/officeDocument/2006/relationships/hyperlink" Target="https://fategrandorder.fandom.com/wiki/Free_Quests:_Shinjuku" TargetMode="External"/><Relationship Id="rId142" Type="http://schemas.openxmlformats.org/officeDocument/2006/relationships/hyperlink" Target="https://fategrandorder.fandom.com/wiki/Free_Quests:_Shinjuku" TargetMode="External"/><Relationship Id="rId141" Type="http://schemas.openxmlformats.org/officeDocument/2006/relationships/hyperlink" Target="https://fategrandorder.fandom.com/wiki/Free_Quests:_Shinjuku" TargetMode="External"/><Relationship Id="rId140" Type="http://schemas.openxmlformats.org/officeDocument/2006/relationships/hyperlink" Target="https://fategrandorder.fandom.com/wiki/Free_Quests:_Shinjuku" TargetMode="External"/><Relationship Id="rId5" Type="http://schemas.openxmlformats.org/officeDocument/2006/relationships/hyperlink" Target="https://fategrandorder.fandom.com/wiki/Tuesday_Daily_Quests" TargetMode="External"/><Relationship Id="rId147" Type="http://schemas.openxmlformats.org/officeDocument/2006/relationships/hyperlink" Target="https://fategrandorder.fandom.com/wiki/Free_Quests:_Agartha" TargetMode="External"/><Relationship Id="rId6" Type="http://schemas.openxmlformats.org/officeDocument/2006/relationships/hyperlink" Target="https://fategrandorder.fandom.com/wiki/Tuesday_Daily_Quests" TargetMode="External"/><Relationship Id="rId146" Type="http://schemas.openxmlformats.org/officeDocument/2006/relationships/hyperlink" Target="https://fategrandorder.fandom.com/wiki/Free_Quests:_Shinjuku" TargetMode="External"/><Relationship Id="rId7" Type="http://schemas.openxmlformats.org/officeDocument/2006/relationships/hyperlink" Target="https://fategrandorder.fandom.com/wiki/Tuesday_Daily_Quests" TargetMode="External"/><Relationship Id="rId145" Type="http://schemas.openxmlformats.org/officeDocument/2006/relationships/hyperlink" Target="https://fategrandorder.fandom.com/wiki/Free_Quests:_Shinjuku" TargetMode="External"/><Relationship Id="rId8" Type="http://schemas.openxmlformats.org/officeDocument/2006/relationships/hyperlink" Target="https://fategrandorder.fandom.com/wiki/Tuesday_Daily_Quests" TargetMode="External"/><Relationship Id="rId144" Type="http://schemas.openxmlformats.org/officeDocument/2006/relationships/hyperlink" Target="https://fategrandorder.fandom.com/wiki/Free_Quests:_Shinjuku" TargetMode="External"/><Relationship Id="rId139" Type="http://schemas.openxmlformats.org/officeDocument/2006/relationships/hyperlink" Target="https://fategrandorder.fandom.com/wiki/Free_Quests:_Shinjuku" TargetMode="External"/><Relationship Id="rId138" Type="http://schemas.openxmlformats.org/officeDocument/2006/relationships/hyperlink" Target="https://fategrandorder.fandom.com/wiki/Free_Quests:_Shinjuku" TargetMode="External"/><Relationship Id="rId137" Type="http://schemas.openxmlformats.org/officeDocument/2006/relationships/hyperlink" Target="https://fategrandorder.fandom.com/wiki/Free_Quests:_Shinjuku" TargetMode="External"/><Relationship Id="rId258" Type="http://schemas.openxmlformats.org/officeDocument/2006/relationships/drawing" Target="../drawings/drawing7.xml"/><Relationship Id="rId132" Type="http://schemas.openxmlformats.org/officeDocument/2006/relationships/hyperlink" Target="https://fategrandorder.fandom.com/wiki/Free_Quests:_Babylonia" TargetMode="External"/><Relationship Id="rId253" Type="http://schemas.openxmlformats.org/officeDocument/2006/relationships/hyperlink" Target="https://fategrandorder.fandom.com/wiki/Free_Quests:_Heian-ky%C5%8D" TargetMode="External"/><Relationship Id="rId131" Type="http://schemas.openxmlformats.org/officeDocument/2006/relationships/hyperlink" Target="https://fategrandorder.fandom.com/wiki/Free_Quests:_Babylonia" TargetMode="External"/><Relationship Id="rId252" Type="http://schemas.openxmlformats.org/officeDocument/2006/relationships/hyperlink" Target="https://fategrandorder.fandom.com/wiki/Free_Quests:_Heian-ky%C5%8D" TargetMode="External"/><Relationship Id="rId130" Type="http://schemas.openxmlformats.org/officeDocument/2006/relationships/hyperlink" Target="https://fategrandorder.fandom.com/wiki/Free_Quests:_Babylonia" TargetMode="External"/><Relationship Id="rId251" Type="http://schemas.openxmlformats.org/officeDocument/2006/relationships/hyperlink" Target="https://fategrandorder.fandom.com/wiki/Free_Quests:_Heian-ky%C5%8D" TargetMode="External"/><Relationship Id="rId250" Type="http://schemas.openxmlformats.org/officeDocument/2006/relationships/hyperlink" Target="https://fategrandorder.fandom.com/wiki/Free_Quests:_Heian-ky%C5%8D" TargetMode="External"/><Relationship Id="rId136" Type="http://schemas.openxmlformats.org/officeDocument/2006/relationships/hyperlink" Target="https://fategrandorder.fandom.com/wiki/Free_Quests:_Babylonia" TargetMode="External"/><Relationship Id="rId257" Type="http://schemas.openxmlformats.org/officeDocument/2006/relationships/hyperlink" Target="https://fategrandorder.fandom.com/wiki/Free_Quests:_Heian-ky%C5%8D" TargetMode="External"/><Relationship Id="rId135" Type="http://schemas.openxmlformats.org/officeDocument/2006/relationships/hyperlink" Target="https://fategrandorder.fandom.com/wiki/Free_Quests:_Babylonia" TargetMode="External"/><Relationship Id="rId256" Type="http://schemas.openxmlformats.org/officeDocument/2006/relationships/hyperlink" Target="https://fategrandorder.fandom.com/wiki/Free_Quests:_Heian-ky%C5%8D" TargetMode="External"/><Relationship Id="rId134" Type="http://schemas.openxmlformats.org/officeDocument/2006/relationships/hyperlink" Target="https://fategrandorder.fandom.com/wiki/Free_Quests:_Babylonia" TargetMode="External"/><Relationship Id="rId255" Type="http://schemas.openxmlformats.org/officeDocument/2006/relationships/hyperlink" Target="https://fategrandorder.fandom.com/wiki/Free_Quests:_Heian-ky%C5%8D" TargetMode="External"/><Relationship Id="rId133" Type="http://schemas.openxmlformats.org/officeDocument/2006/relationships/hyperlink" Target="https://fategrandorder.fandom.com/wiki/Free_Quests:_Babylonia" TargetMode="External"/><Relationship Id="rId254" Type="http://schemas.openxmlformats.org/officeDocument/2006/relationships/hyperlink" Target="https://fategrandorder.fandom.com/wiki/Free_Quests:_Heian-ky%C5%8D" TargetMode="External"/><Relationship Id="rId172" Type="http://schemas.openxmlformats.org/officeDocument/2006/relationships/hyperlink" Target="https://fategrandorder.fandom.com/wiki/Free_Quests:_Salem" TargetMode="External"/><Relationship Id="rId293" Type="http://schemas.openxmlformats.org/officeDocument/2006/relationships/table" Target="../tables/table78.xml"/><Relationship Id="rId171" Type="http://schemas.openxmlformats.org/officeDocument/2006/relationships/hyperlink" Target="https://fategrandorder.fandom.com/wiki/Free_Quests:_Salem" TargetMode="External"/><Relationship Id="rId292" Type="http://schemas.openxmlformats.org/officeDocument/2006/relationships/table" Target="../tables/table77.xml"/><Relationship Id="rId170" Type="http://schemas.openxmlformats.org/officeDocument/2006/relationships/hyperlink" Target="https://fategrandorder.fandom.com/wiki/Free_Quests:_Salem" TargetMode="External"/><Relationship Id="rId291" Type="http://schemas.openxmlformats.org/officeDocument/2006/relationships/table" Target="../tables/table76.xml"/><Relationship Id="rId290" Type="http://schemas.openxmlformats.org/officeDocument/2006/relationships/table" Target="../tables/table75.xml"/><Relationship Id="rId165" Type="http://schemas.openxmlformats.org/officeDocument/2006/relationships/hyperlink" Target="https://fategrandorder.fandom.com/wiki/Free_Quests:_Shimosa" TargetMode="External"/><Relationship Id="rId286" Type="http://schemas.openxmlformats.org/officeDocument/2006/relationships/table" Target="../tables/table71.xml"/><Relationship Id="rId164" Type="http://schemas.openxmlformats.org/officeDocument/2006/relationships/hyperlink" Target="https://fategrandorder.fandom.com/wiki/Free_Quests:_Shimosa" TargetMode="External"/><Relationship Id="rId285" Type="http://schemas.openxmlformats.org/officeDocument/2006/relationships/table" Target="../tables/table70.xml"/><Relationship Id="rId163" Type="http://schemas.openxmlformats.org/officeDocument/2006/relationships/hyperlink" Target="https://fategrandorder.fandom.com/wiki/Free_Quests:_Shimosa" TargetMode="External"/><Relationship Id="rId284" Type="http://schemas.openxmlformats.org/officeDocument/2006/relationships/table" Target="../tables/table69.xml"/><Relationship Id="rId162" Type="http://schemas.openxmlformats.org/officeDocument/2006/relationships/hyperlink" Target="https://fategrandorder.fandom.com/wiki/Free_Quests:_Shimosa" TargetMode="External"/><Relationship Id="rId283" Type="http://schemas.openxmlformats.org/officeDocument/2006/relationships/table" Target="../tables/table68.xml"/><Relationship Id="rId169" Type="http://schemas.openxmlformats.org/officeDocument/2006/relationships/hyperlink" Target="https://fategrandorder.fandom.com/wiki/Free_Quests:_Salem" TargetMode="External"/><Relationship Id="rId168" Type="http://schemas.openxmlformats.org/officeDocument/2006/relationships/hyperlink" Target="https://fategrandorder.fandom.com/wiki/Free_Quests:_Salem" TargetMode="External"/><Relationship Id="rId289" Type="http://schemas.openxmlformats.org/officeDocument/2006/relationships/table" Target="../tables/table74.xml"/><Relationship Id="rId167" Type="http://schemas.openxmlformats.org/officeDocument/2006/relationships/hyperlink" Target="https://fategrandorder.fandom.com/wiki/Free_Quests:_Shimosa" TargetMode="External"/><Relationship Id="rId288" Type="http://schemas.openxmlformats.org/officeDocument/2006/relationships/table" Target="../tables/table73.xml"/><Relationship Id="rId166" Type="http://schemas.openxmlformats.org/officeDocument/2006/relationships/hyperlink" Target="https://fategrandorder.fandom.com/wiki/Free_Quests:_Shimosa" TargetMode="External"/><Relationship Id="rId287" Type="http://schemas.openxmlformats.org/officeDocument/2006/relationships/table" Target="../tables/table72.xml"/><Relationship Id="rId161" Type="http://schemas.openxmlformats.org/officeDocument/2006/relationships/hyperlink" Target="https://fategrandorder.fandom.com/wiki/Free_Quests:_Shimosa" TargetMode="External"/><Relationship Id="rId282" Type="http://schemas.openxmlformats.org/officeDocument/2006/relationships/table" Target="../tables/table67.xml"/><Relationship Id="rId160" Type="http://schemas.openxmlformats.org/officeDocument/2006/relationships/hyperlink" Target="https://fategrandorder.fandom.com/wiki/Free_Quests:_Shimosa" TargetMode="External"/><Relationship Id="rId281" Type="http://schemas.openxmlformats.org/officeDocument/2006/relationships/table" Target="../tables/table66.xml"/><Relationship Id="rId280" Type="http://schemas.openxmlformats.org/officeDocument/2006/relationships/table" Target="../tables/table65.xml"/><Relationship Id="rId159" Type="http://schemas.openxmlformats.org/officeDocument/2006/relationships/hyperlink" Target="https://fategrandorder.fandom.com/wiki/Free_Quests:_Shimosa" TargetMode="External"/><Relationship Id="rId154" Type="http://schemas.openxmlformats.org/officeDocument/2006/relationships/hyperlink" Target="https://fategrandorder.fandom.com/wiki/Free_Quests:_Agartha" TargetMode="External"/><Relationship Id="rId153" Type="http://schemas.openxmlformats.org/officeDocument/2006/relationships/hyperlink" Target="https://fategrandorder.fandom.com/wiki/Free_Quests:_Agartha" TargetMode="External"/><Relationship Id="rId152" Type="http://schemas.openxmlformats.org/officeDocument/2006/relationships/hyperlink" Target="https://fategrandorder.fandom.com/wiki/Free_Quests:_Agartha" TargetMode="External"/><Relationship Id="rId151" Type="http://schemas.openxmlformats.org/officeDocument/2006/relationships/hyperlink" Target="https://fategrandorder.fandom.com/wiki/Free_Quests:_Agartha" TargetMode="External"/><Relationship Id="rId158" Type="http://schemas.openxmlformats.org/officeDocument/2006/relationships/hyperlink" Target="https://fategrandorder.fandom.com/wiki/Free_Quests:_Agartha" TargetMode="External"/><Relationship Id="rId157" Type="http://schemas.openxmlformats.org/officeDocument/2006/relationships/hyperlink" Target="https://fategrandorder.fandom.com/wiki/Free_Quests:_Agartha" TargetMode="External"/><Relationship Id="rId156" Type="http://schemas.openxmlformats.org/officeDocument/2006/relationships/hyperlink" Target="https://fategrandorder.fandom.com/wiki/Free_Quests:_Agartha" TargetMode="External"/><Relationship Id="rId155" Type="http://schemas.openxmlformats.org/officeDocument/2006/relationships/hyperlink" Target="https://fategrandorder.fandom.com/wiki/Free_Quests:_Agartha" TargetMode="External"/><Relationship Id="rId40" Type="http://schemas.openxmlformats.org/officeDocument/2006/relationships/hyperlink" Target="https://fategrandorder.fandom.com/wiki/Saturday_Daily_Quests" TargetMode="External"/><Relationship Id="rId42" Type="http://schemas.openxmlformats.org/officeDocument/2006/relationships/hyperlink" Target="https://fategrandorder.fandom.com/wiki/Sunday_Daily_Quests" TargetMode="External"/><Relationship Id="rId41" Type="http://schemas.openxmlformats.org/officeDocument/2006/relationships/hyperlink" Target="https://fategrandorder.fandom.com/wiki/Sunday_Daily_Quests" TargetMode="External"/><Relationship Id="rId44" Type="http://schemas.openxmlformats.org/officeDocument/2006/relationships/hyperlink" Target="https://fategrandorder.fandom.com/wiki/Sunday_Daily_Quests" TargetMode="External"/><Relationship Id="rId43" Type="http://schemas.openxmlformats.org/officeDocument/2006/relationships/hyperlink" Target="https://fategrandorder.fandom.com/wiki/Sunday_Daily_Quests" TargetMode="External"/><Relationship Id="rId46" Type="http://schemas.openxmlformats.org/officeDocument/2006/relationships/hyperlink" Target="https://fategrandorder.fandom.com/wiki/Free_Quests:_Fuyuki" TargetMode="External"/><Relationship Id="rId45" Type="http://schemas.openxmlformats.org/officeDocument/2006/relationships/hyperlink" Target="https://fategrandorder.fandom.com/wiki/Free_Quests:_Fuyuki" TargetMode="External"/><Relationship Id="rId48" Type="http://schemas.openxmlformats.org/officeDocument/2006/relationships/hyperlink" Target="https://fategrandorder.fandom.com/wiki/Free_Quests:_Fuyuki" TargetMode="External"/><Relationship Id="rId47" Type="http://schemas.openxmlformats.org/officeDocument/2006/relationships/hyperlink" Target="https://fategrandorder.fandom.com/wiki/Free_Quests:_Fuyuki" TargetMode="External"/><Relationship Id="rId49" Type="http://schemas.openxmlformats.org/officeDocument/2006/relationships/hyperlink" Target="https://fategrandorder.fandom.com/wiki/Free_Quests:_Fuyuki" TargetMode="External"/><Relationship Id="rId31" Type="http://schemas.openxmlformats.org/officeDocument/2006/relationships/hyperlink" Target="https://fategrandorder.fandom.com/wiki/Thursday_Daily_Quests" TargetMode="External"/><Relationship Id="rId30" Type="http://schemas.openxmlformats.org/officeDocument/2006/relationships/hyperlink" Target="https://fategrandorder.fandom.com/wiki/Thursday_Daily_Quests" TargetMode="External"/><Relationship Id="rId33" Type="http://schemas.openxmlformats.org/officeDocument/2006/relationships/hyperlink" Target="https://fategrandorder.fandom.com/wiki/Friday_Daily_Quests" TargetMode="External"/><Relationship Id="rId32" Type="http://schemas.openxmlformats.org/officeDocument/2006/relationships/hyperlink" Target="https://fategrandorder.fandom.com/wiki/Thursday_Daily_Quests" TargetMode="External"/><Relationship Id="rId35" Type="http://schemas.openxmlformats.org/officeDocument/2006/relationships/hyperlink" Target="https://fategrandorder.fandom.com/wiki/Friday_Daily_Quests" TargetMode="External"/><Relationship Id="rId34" Type="http://schemas.openxmlformats.org/officeDocument/2006/relationships/hyperlink" Target="https://fategrandorder.fandom.com/wiki/Friday_Daily_Quests" TargetMode="External"/><Relationship Id="rId37" Type="http://schemas.openxmlformats.org/officeDocument/2006/relationships/hyperlink" Target="https://fategrandorder.fandom.com/wiki/Saturday_Daily_Quests" TargetMode="External"/><Relationship Id="rId36" Type="http://schemas.openxmlformats.org/officeDocument/2006/relationships/hyperlink" Target="https://fategrandorder.fandom.com/wiki/Friday_Daily_Quests" TargetMode="External"/><Relationship Id="rId39" Type="http://schemas.openxmlformats.org/officeDocument/2006/relationships/hyperlink" Target="https://fategrandorder.fandom.com/wiki/Saturday_Daily_Quests" TargetMode="External"/><Relationship Id="rId38" Type="http://schemas.openxmlformats.org/officeDocument/2006/relationships/hyperlink" Target="https://fategrandorder.fandom.com/wiki/Saturday_Daily_Quests" TargetMode="External"/><Relationship Id="rId20" Type="http://schemas.openxmlformats.org/officeDocument/2006/relationships/hyperlink" Target="https://fategrandorder.fandom.com/wiki/Monday_Daily_Quests" TargetMode="External"/><Relationship Id="rId22" Type="http://schemas.openxmlformats.org/officeDocument/2006/relationships/hyperlink" Target="https://fategrandorder.fandom.com/wiki/Tuesday_Daily_Quests" TargetMode="External"/><Relationship Id="rId21" Type="http://schemas.openxmlformats.org/officeDocument/2006/relationships/hyperlink" Target="https://fategrandorder.fandom.com/wiki/Tuesday_Daily_Quests" TargetMode="External"/><Relationship Id="rId24" Type="http://schemas.openxmlformats.org/officeDocument/2006/relationships/hyperlink" Target="https://fategrandorder.fandom.com/wiki/Tuesday_Daily_Quests" TargetMode="External"/><Relationship Id="rId23" Type="http://schemas.openxmlformats.org/officeDocument/2006/relationships/hyperlink" Target="https://fategrandorder.fandom.com/wiki/Tuesday_Daily_Quests" TargetMode="External"/><Relationship Id="rId26" Type="http://schemas.openxmlformats.org/officeDocument/2006/relationships/hyperlink" Target="https://fategrandorder.fandom.com/wiki/Wednesday_Daily_Quests" TargetMode="External"/><Relationship Id="rId25" Type="http://schemas.openxmlformats.org/officeDocument/2006/relationships/hyperlink" Target="https://fategrandorder.fandom.com/wiki/Wednesday_Daily_Quests" TargetMode="External"/><Relationship Id="rId28" Type="http://schemas.openxmlformats.org/officeDocument/2006/relationships/hyperlink" Target="https://fategrandorder.fandom.com/wiki/Wednesday_Daily_Quests" TargetMode="External"/><Relationship Id="rId27" Type="http://schemas.openxmlformats.org/officeDocument/2006/relationships/hyperlink" Target="https://fategrandorder.fandom.com/wiki/Wednesday_Daily_Quests" TargetMode="External"/><Relationship Id="rId29" Type="http://schemas.openxmlformats.org/officeDocument/2006/relationships/hyperlink" Target="https://fategrandorder.fandom.com/wiki/Thursday_Daily_Quests" TargetMode="External"/><Relationship Id="rId11" Type="http://schemas.openxmlformats.org/officeDocument/2006/relationships/hyperlink" Target="https://fategrandorder.fandom.com/wiki/Wednesday_Daily_Quests" TargetMode="External"/><Relationship Id="rId10" Type="http://schemas.openxmlformats.org/officeDocument/2006/relationships/hyperlink" Target="https://fategrandorder.fandom.com/wiki/Wednesday_Daily_Quests" TargetMode="External"/><Relationship Id="rId13" Type="http://schemas.openxmlformats.org/officeDocument/2006/relationships/hyperlink" Target="https://fategrandorder.fandom.com/wiki/Sunday_Daily_Quests" TargetMode="External"/><Relationship Id="rId12" Type="http://schemas.openxmlformats.org/officeDocument/2006/relationships/hyperlink" Target="https://fategrandorder.fandom.com/wiki/Wednesday_Daily_Quests" TargetMode="External"/><Relationship Id="rId15" Type="http://schemas.openxmlformats.org/officeDocument/2006/relationships/hyperlink" Target="https://fategrandorder.fandom.com/wiki/Sunday_Daily_Quests" TargetMode="External"/><Relationship Id="rId14" Type="http://schemas.openxmlformats.org/officeDocument/2006/relationships/hyperlink" Target="https://fategrandorder.fandom.com/wiki/Sunday_Daily_Quests" TargetMode="External"/><Relationship Id="rId17" Type="http://schemas.openxmlformats.org/officeDocument/2006/relationships/hyperlink" Target="https://fategrandorder.fandom.com/wiki/Monday_Daily_Quests" TargetMode="External"/><Relationship Id="rId16" Type="http://schemas.openxmlformats.org/officeDocument/2006/relationships/hyperlink" Target="https://fategrandorder.fandom.com/wiki/Sunday_Daily_Quests" TargetMode="External"/><Relationship Id="rId19" Type="http://schemas.openxmlformats.org/officeDocument/2006/relationships/hyperlink" Target="https://fategrandorder.fandom.com/wiki/Monday_Daily_Quests" TargetMode="External"/><Relationship Id="rId18" Type="http://schemas.openxmlformats.org/officeDocument/2006/relationships/hyperlink" Target="https://fategrandorder.fandom.com/wiki/Monday_Daily_Quests" TargetMode="External"/><Relationship Id="rId84" Type="http://schemas.openxmlformats.org/officeDocument/2006/relationships/hyperlink" Target="https://fategrandorder.fandom.com/wiki/Free_Quests:_Okeanos" TargetMode="External"/><Relationship Id="rId83" Type="http://schemas.openxmlformats.org/officeDocument/2006/relationships/hyperlink" Target="https://fategrandorder.fandom.com/wiki/Free_Quests:_Okeanos" TargetMode="External"/><Relationship Id="rId86" Type="http://schemas.openxmlformats.org/officeDocument/2006/relationships/hyperlink" Target="https://fategrandorder.fandom.com/wiki/Free_Quests:_London" TargetMode="External"/><Relationship Id="rId85" Type="http://schemas.openxmlformats.org/officeDocument/2006/relationships/hyperlink" Target="https://fategrandorder.fandom.com/wiki/Free_Quests:_Okeanos" TargetMode="External"/><Relationship Id="rId88" Type="http://schemas.openxmlformats.org/officeDocument/2006/relationships/hyperlink" Target="https://fategrandorder.fandom.com/wiki/Free_Quests:_London" TargetMode="External"/><Relationship Id="rId87" Type="http://schemas.openxmlformats.org/officeDocument/2006/relationships/hyperlink" Target="https://fategrandorder.fandom.com/wiki/Free_Quests:_London" TargetMode="External"/><Relationship Id="rId89" Type="http://schemas.openxmlformats.org/officeDocument/2006/relationships/hyperlink" Target="https://fategrandorder.fandom.com/wiki/Free_Quests:_London" TargetMode="External"/><Relationship Id="rId80" Type="http://schemas.openxmlformats.org/officeDocument/2006/relationships/hyperlink" Target="https://fategrandorder.fandom.com/wiki/Free_Quests:_Okeanos" TargetMode="External"/><Relationship Id="rId82" Type="http://schemas.openxmlformats.org/officeDocument/2006/relationships/hyperlink" Target="https://fategrandorder.fandom.com/wiki/Free_Quests:_Okeanos" TargetMode="External"/><Relationship Id="rId81" Type="http://schemas.openxmlformats.org/officeDocument/2006/relationships/hyperlink" Target="https://fategrandorder.fandom.com/wiki/Free_Quests:_Okeanos" TargetMode="External"/><Relationship Id="rId73" Type="http://schemas.openxmlformats.org/officeDocument/2006/relationships/hyperlink" Target="https://fategrandorder.fandom.com/wiki/Free_Quests:_Septem" TargetMode="External"/><Relationship Id="rId72" Type="http://schemas.openxmlformats.org/officeDocument/2006/relationships/hyperlink" Target="https://fategrandorder.fandom.com/wiki/Free_Quests:_Septem" TargetMode="External"/><Relationship Id="rId75" Type="http://schemas.openxmlformats.org/officeDocument/2006/relationships/hyperlink" Target="https://fategrandorder.fandom.com/wiki/Free_Quests:_Okeanos" TargetMode="External"/><Relationship Id="rId74" Type="http://schemas.openxmlformats.org/officeDocument/2006/relationships/hyperlink" Target="https://fategrandorder.fandom.com/wiki/Free_Quests:_Okeanos" TargetMode="External"/><Relationship Id="rId77" Type="http://schemas.openxmlformats.org/officeDocument/2006/relationships/hyperlink" Target="https://fategrandorder.fandom.com/wiki/Free_Quests:_Okeanos" TargetMode="External"/><Relationship Id="rId76" Type="http://schemas.openxmlformats.org/officeDocument/2006/relationships/hyperlink" Target="https://fategrandorder.fandom.com/wiki/Free_Quests:_Okeanos" TargetMode="External"/><Relationship Id="rId79" Type="http://schemas.openxmlformats.org/officeDocument/2006/relationships/hyperlink" Target="https://fategrandorder.fandom.com/wiki/Free_Quests:_Okeanos" TargetMode="External"/><Relationship Id="rId78" Type="http://schemas.openxmlformats.org/officeDocument/2006/relationships/hyperlink" Target="https://fategrandorder.fandom.com/wiki/Free_Quests:_Okeanos" TargetMode="External"/><Relationship Id="rId71" Type="http://schemas.openxmlformats.org/officeDocument/2006/relationships/hyperlink" Target="https://fategrandorder.fandom.com/wiki/Free_Quests:_Septem" TargetMode="External"/><Relationship Id="rId70" Type="http://schemas.openxmlformats.org/officeDocument/2006/relationships/hyperlink" Target="https://fategrandorder.fandom.com/wiki/Free_Quests:_Septem" TargetMode="External"/><Relationship Id="rId62" Type="http://schemas.openxmlformats.org/officeDocument/2006/relationships/hyperlink" Target="https://fategrandorder.fandom.com/wiki/Free_Quests:_Orleans" TargetMode="External"/><Relationship Id="rId61" Type="http://schemas.openxmlformats.org/officeDocument/2006/relationships/hyperlink" Target="https://fategrandorder.fandom.com/wiki/Free_Quests:_Orleans" TargetMode="External"/><Relationship Id="rId64" Type="http://schemas.openxmlformats.org/officeDocument/2006/relationships/hyperlink" Target="https://fategrandorder.fandom.com/wiki/Free_Quests:_Septem" TargetMode="External"/><Relationship Id="rId63" Type="http://schemas.openxmlformats.org/officeDocument/2006/relationships/hyperlink" Target="https://fategrandorder.fandom.com/wiki/Free_Quests:_Septem" TargetMode="External"/><Relationship Id="rId66" Type="http://schemas.openxmlformats.org/officeDocument/2006/relationships/hyperlink" Target="https://fategrandorder.fandom.com/wiki/Free_Quests:_Septem" TargetMode="External"/><Relationship Id="rId65" Type="http://schemas.openxmlformats.org/officeDocument/2006/relationships/hyperlink" Target="https://fategrandorder.fandom.com/wiki/Free_Quests:_Septem" TargetMode="External"/><Relationship Id="rId68" Type="http://schemas.openxmlformats.org/officeDocument/2006/relationships/hyperlink" Target="https://fategrandorder.fandom.com/wiki/Free_Quests:_Septem" TargetMode="External"/><Relationship Id="rId67" Type="http://schemas.openxmlformats.org/officeDocument/2006/relationships/hyperlink" Target="https://fategrandorder.fandom.com/wiki/Free_Quests:_Septem" TargetMode="External"/><Relationship Id="rId60" Type="http://schemas.openxmlformats.org/officeDocument/2006/relationships/hyperlink" Target="https://fategrandorder.fandom.com/wiki/Free_Quests:_Orleans" TargetMode="External"/><Relationship Id="rId69" Type="http://schemas.openxmlformats.org/officeDocument/2006/relationships/hyperlink" Target="https://fategrandorder.fandom.com/wiki/Free_Quests:_Septem" TargetMode="External"/><Relationship Id="rId51" Type="http://schemas.openxmlformats.org/officeDocument/2006/relationships/hyperlink" Target="https://fategrandorder.fandom.com/wiki/Free_Quests:_Fuyuki" TargetMode="External"/><Relationship Id="rId50" Type="http://schemas.openxmlformats.org/officeDocument/2006/relationships/hyperlink" Target="https://fategrandorder.fandom.com/wiki/Free_Quests:_Fuyuki" TargetMode="External"/><Relationship Id="rId53" Type="http://schemas.openxmlformats.org/officeDocument/2006/relationships/hyperlink" Target="https://fategrandorder.fandom.com/wiki/Free_Quests:_Orleans" TargetMode="External"/><Relationship Id="rId52" Type="http://schemas.openxmlformats.org/officeDocument/2006/relationships/hyperlink" Target="https://fategrandorder.fandom.com/wiki/Free_Quests:_Fuyuki" TargetMode="External"/><Relationship Id="rId55" Type="http://schemas.openxmlformats.org/officeDocument/2006/relationships/hyperlink" Target="https://fategrandorder.fandom.com/wiki/Free_Quests:_Orleans" TargetMode="External"/><Relationship Id="rId54" Type="http://schemas.openxmlformats.org/officeDocument/2006/relationships/hyperlink" Target="https://fategrandorder.fandom.com/wiki/Free_Quests:_Orleans" TargetMode="External"/><Relationship Id="rId57" Type="http://schemas.openxmlformats.org/officeDocument/2006/relationships/hyperlink" Target="https://fategrandorder.fandom.com/wiki/Free_Quests:_Orleans" TargetMode="External"/><Relationship Id="rId56" Type="http://schemas.openxmlformats.org/officeDocument/2006/relationships/hyperlink" Target="https://fategrandorder.fandom.com/wiki/Free_Quests:_Orleans" TargetMode="External"/><Relationship Id="rId59" Type="http://schemas.openxmlformats.org/officeDocument/2006/relationships/hyperlink" Target="https://fategrandorder.fandom.com/wiki/Free_Quests:_Orleans" TargetMode="External"/><Relationship Id="rId58" Type="http://schemas.openxmlformats.org/officeDocument/2006/relationships/hyperlink" Target="https://fategrandorder.fandom.com/wiki/Free_Quests:_Orleans" TargetMode="External"/><Relationship Id="rId107" Type="http://schemas.openxmlformats.org/officeDocument/2006/relationships/hyperlink" Target="https://fategrandorder.fandom.com/wiki/Free_Quests:_E_Pluribus_Unum" TargetMode="External"/><Relationship Id="rId228" Type="http://schemas.openxmlformats.org/officeDocument/2006/relationships/hyperlink" Target="https://fategrandorder.fandom.com/wiki/Free_Quests:_Atlantis" TargetMode="External"/><Relationship Id="rId106" Type="http://schemas.openxmlformats.org/officeDocument/2006/relationships/hyperlink" Target="https://fategrandorder.fandom.com/wiki/Free_Quests:_E_Pluribus_Unum" TargetMode="External"/><Relationship Id="rId227" Type="http://schemas.openxmlformats.org/officeDocument/2006/relationships/hyperlink" Target="https://fategrandorder.fandom.com/wiki/Free_Quests:_Atlantis" TargetMode="External"/><Relationship Id="rId105" Type="http://schemas.openxmlformats.org/officeDocument/2006/relationships/hyperlink" Target="https://fategrandorder.fandom.com/wiki/Free_Quests:_E_Pluribus_Unum" TargetMode="External"/><Relationship Id="rId226" Type="http://schemas.openxmlformats.org/officeDocument/2006/relationships/hyperlink" Target="https://fategrandorder.fandom.com/wiki/Free_Quests:_Atlantis" TargetMode="External"/><Relationship Id="rId104" Type="http://schemas.openxmlformats.org/officeDocument/2006/relationships/hyperlink" Target="https://fategrandorder.fandom.com/wiki/Free_Quests:_E_Pluribus_Unum" TargetMode="External"/><Relationship Id="rId225" Type="http://schemas.openxmlformats.org/officeDocument/2006/relationships/hyperlink" Target="https://fategrandorder.fandom.com/wiki/Free_Quests:_Atlantis" TargetMode="External"/><Relationship Id="rId109" Type="http://schemas.openxmlformats.org/officeDocument/2006/relationships/hyperlink" Target="https://fategrandorder.fandom.com/wiki/Free_Quests:_Camelot" TargetMode="External"/><Relationship Id="rId108" Type="http://schemas.openxmlformats.org/officeDocument/2006/relationships/hyperlink" Target="https://fategrandorder.fandom.com/wiki/Free_Quests:_E_Pluribus_Unum" TargetMode="External"/><Relationship Id="rId229" Type="http://schemas.openxmlformats.org/officeDocument/2006/relationships/hyperlink" Target="https://fategrandorder.fandom.com/wiki/Free_Quests:_Atlantis" TargetMode="External"/><Relationship Id="rId220" Type="http://schemas.openxmlformats.org/officeDocument/2006/relationships/hyperlink" Target="https://fategrandorder.fandom.com/wiki/Free_Quests:_Yuga_Kshetra" TargetMode="External"/><Relationship Id="rId103" Type="http://schemas.openxmlformats.org/officeDocument/2006/relationships/hyperlink" Target="https://fategrandorder.fandom.com/wiki/Free_Quests:_E_Pluribus_Unum" TargetMode="External"/><Relationship Id="rId224" Type="http://schemas.openxmlformats.org/officeDocument/2006/relationships/hyperlink" Target="https://fategrandorder.fandom.com/wiki/Free_Quests:_Yuga_Kshetra" TargetMode="External"/><Relationship Id="rId102" Type="http://schemas.openxmlformats.org/officeDocument/2006/relationships/hyperlink" Target="https://fategrandorder.fandom.com/wiki/Free_Quests:_E_Pluribus_Unum" TargetMode="External"/><Relationship Id="rId223" Type="http://schemas.openxmlformats.org/officeDocument/2006/relationships/hyperlink" Target="https://fategrandorder.fandom.com/wiki/Free_Quests:_Yuga_Kshetra" TargetMode="External"/><Relationship Id="rId101" Type="http://schemas.openxmlformats.org/officeDocument/2006/relationships/hyperlink" Target="https://fategrandorder.fandom.com/wiki/Free_Quests:_E_Pluribus_Unum" TargetMode="External"/><Relationship Id="rId222" Type="http://schemas.openxmlformats.org/officeDocument/2006/relationships/hyperlink" Target="https://fategrandorder.fandom.com/wiki/Free_Quests:_Yuga_Kshetra" TargetMode="External"/><Relationship Id="rId100" Type="http://schemas.openxmlformats.org/officeDocument/2006/relationships/hyperlink" Target="https://fategrandorder.fandom.com/wiki/Free_Quests:_E_Pluribus_Unum" TargetMode="External"/><Relationship Id="rId221" Type="http://schemas.openxmlformats.org/officeDocument/2006/relationships/hyperlink" Target="https://fategrandorder.fandom.com/wiki/Free_Quests:_Yuga_Kshetra" TargetMode="External"/><Relationship Id="rId217" Type="http://schemas.openxmlformats.org/officeDocument/2006/relationships/hyperlink" Target="https://fategrandorder.fandom.com/wiki/Free_Quests:_Yuga_Kshetra" TargetMode="External"/><Relationship Id="rId216" Type="http://schemas.openxmlformats.org/officeDocument/2006/relationships/hyperlink" Target="https://fategrandorder.fandom.com/wiki/Free_Quests:_Yuga_Kshetra" TargetMode="External"/><Relationship Id="rId215" Type="http://schemas.openxmlformats.org/officeDocument/2006/relationships/hyperlink" Target="https://fategrandorder.fandom.com/wiki/Free_Quests:_Yuga_Kshetra" TargetMode="External"/><Relationship Id="rId214" Type="http://schemas.openxmlformats.org/officeDocument/2006/relationships/hyperlink" Target="https://fategrandorder.fandom.com/wiki/Free_Quests:_S_I_N" TargetMode="External"/><Relationship Id="rId219" Type="http://schemas.openxmlformats.org/officeDocument/2006/relationships/hyperlink" Target="https://fategrandorder.fandom.com/wiki/Free_Quests:_Yuga_Kshetra" TargetMode="External"/><Relationship Id="rId218" Type="http://schemas.openxmlformats.org/officeDocument/2006/relationships/hyperlink" Target="https://fategrandorder.fandom.com/wiki/Free_Quests:_Yuga_Kshetra" TargetMode="External"/><Relationship Id="rId213" Type="http://schemas.openxmlformats.org/officeDocument/2006/relationships/hyperlink" Target="https://fategrandorder.fandom.com/wiki/Free_Quests:_S_I_N" TargetMode="External"/><Relationship Id="rId212" Type="http://schemas.openxmlformats.org/officeDocument/2006/relationships/hyperlink" Target="https://fategrandorder.fandom.com/wiki/Free_Quests:_S_I_N" TargetMode="External"/><Relationship Id="rId211" Type="http://schemas.openxmlformats.org/officeDocument/2006/relationships/hyperlink" Target="https://fategrandorder.fandom.com/wiki/Free_Quests:_S_I_N" TargetMode="External"/><Relationship Id="rId210" Type="http://schemas.openxmlformats.org/officeDocument/2006/relationships/hyperlink" Target="https://fategrandorder.fandom.com/wiki/Free_Quests:_S_I_N" TargetMode="External"/><Relationship Id="rId129" Type="http://schemas.openxmlformats.org/officeDocument/2006/relationships/hyperlink" Target="https://fategrandorder.fandom.com/wiki/Free_Quests:_Babylonia" TargetMode="External"/><Relationship Id="rId128" Type="http://schemas.openxmlformats.org/officeDocument/2006/relationships/hyperlink" Target="https://fategrandorder.fandom.com/wiki/Free_Quests:_Babylonia" TargetMode="External"/><Relationship Id="rId249" Type="http://schemas.openxmlformats.org/officeDocument/2006/relationships/hyperlink" Target="https://fategrandorder.fandom.com/wiki/Free_Quests:_Heian-ky%C5%8D" TargetMode="External"/><Relationship Id="rId127" Type="http://schemas.openxmlformats.org/officeDocument/2006/relationships/hyperlink" Target="https://fategrandorder.fandom.com/wiki/Free_Quests:_Babylonia" TargetMode="External"/><Relationship Id="rId248" Type="http://schemas.openxmlformats.org/officeDocument/2006/relationships/hyperlink" Target="https://fategrandorder.fandom.com/wiki/Free_Quests:_Heian-ky%C5%8D" TargetMode="External"/><Relationship Id="rId126" Type="http://schemas.openxmlformats.org/officeDocument/2006/relationships/hyperlink" Target="https://fategrandorder.fandom.com/wiki/Free_Quests:_Babylonia" TargetMode="External"/><Relationship Id="rId247" Type="http://schemas.openxmlformats.org/officeDocument/2006/relationships/hyperlink" Target="https://fategrandorder.fandom.com/wiki/Free_Quests:_Heian-ky%C5%8D" TargetMode="External"/><Relationship Id="rId121" Type="http://schemas.openxmlformats.org/officeDocument/2006/relationships/hyperlink" Target="https://fategrandorder.fandom.com/wiki/Free_Quests:_Camelot" TargetMode="External"/><Relationship Id="rId242" Type="http://schemas.openxmlformats.org/officeDocument/2006/relationships/hyperlink" Target="https://fategrandorder.fandom.com/wiki/Free_Quests:_Olympus" TargetMode="External"/><Relationship Id="rId120" Type="http://schemas.openxmlformats.org/officeDocument/2006/relationships/hyperlink" Target="https://fategrandorder.fandom.com/wiki/Free_Quests:_Camelot" TargetMode="External"/><Relationship Id="rId241" Type="http://schemas.openxmlformats.org/officeDocument/2006/relationships/hyperlink" Target="https://fategrandorder.fandom.com/wiki/Free_Quests:_Olympus" TargetMode="External"/><Relationship Id="rId240" Type="http://schemas.openxmlformats.org/officeDocument/2006/relationships/hyperlink" Target="https://fategrandorder.fandom.com/wiki/Free_Quests:_Olympus" TargetMode="External"/><Relationship Id="rId125" Type="http://schemas.openxmlformats.org/officeDocument/2006/relationships/hyperlink" Target="https://fategrandorder.fandom.com/wiki/Free_Quests:_Babylonia" TargetMode="External"/><Relationship Id="rId246" Type="http://schemas.openxmlformats.org/officeDocument/2006/relationships/hyperlink" Target="https://fategrandorder.fandom.com/wiki/Free_Quests:_Heian-ky%C5%8D" TargetMode="External"/><Relationship Id="rId124" Type="http://schemas.openxmlformats.org/officeDocument/2006/relationships/hyperlink" Target="https://fategrandorder.fandom.com/wiki/Free_Quests:_Babylonia" TargetMode="External"/><Relationship Id="rId245" Type="http://schemas.openxmlformats.org/officeDocument/2006/relationships/hyperlink" Target="https://fategrandorder.fandom.com/wiki/Free_Quests:_Heian-ky%C5%8D" TargetMode="External"/><Relationship Id="rId123" Type="http://schemas.openxmlformats.org/officeDocument/2006/relationships/hyperlink" Target="https://fategrandorder.fandom.com/wiki/Free_Quests:_Babylonia" TargetMode="External"/><Relationship Id="rId244" Type="http://schemas.openxmlformats.org/officeDocument/2006/relationships/hyperlink" Target="https://fategrandorder.fandom.com/wiki/Free_Quests:_Olympus" TargetMode="External"/><Relationship Id="rId122" Type="http://schemas.openxmlformats.org/officeDocument/2006/relationships/hyperlink" Target="https://fategrandorder.fandom.com/wiki/Free_Quests:_Camelot" TargetMode="External"/><Relationship Id="rId243" Type="http://schemas.openxmlformats.org/officeDocument/2006/relationships/hyperlink" Target="https://fategrandorder.fandom.com/wiki/Free_Quests:_Olympus" TargetMode="External"/><Relationship Id="rId95" Type="http://schemas.openxmlformats.org/officeDocument/2006/relationships/hyperlink" Target="https://fategrandorder.fandom.com/wiki/Free_Quests:_E_Pluribus_Unum" TargetMode="External"/><Relationship Id="rId94" Type="http://schemas.openxmlformats.org/officeDocument/2006/relationships/hyperlink" Target="https://fategrandorder.fandom.com/wiki/Free_Quests:_London" TargetMode="External"/><Relationship Id="rId97" Type="http://schemas.openxmlformats.org/officeDocument/2006/relationships/hyperlink" Target="https://fategrandorder.fandom.com/wiki/Free_Quests:_E_Pluribus_Unum" TargetMode="External"/><Relationship Id="rId96" Type="http://schemas.openxmlformats.org/officeDocument/2006/relationships/hyperlink" Target="https://fategrandorder.fandom.com/wiki/Free_Quests:_E_Pluribus_Unum" TargetMode="External"/><Relationship Id="rId99" Type="http://schemas.openxmlformats.org/officeDocument/2006/relationships/hyperlink" Target="https://fategrandorder.fandom.com/wiki/Free_Quests:_E_Pluribus_Unum" TargetMode="External"/><Relationship Id="rId98" Type="http://schemas.openxmlformats.org/officeDocument/2006/relationships/hyperlink" Target="https://fategrandorder.fandom.com/wiki/Free_Quests:_E_Pluribus_Unum" TargetMode="External"/><Relationship Id="rId91" Type="http://schemas.openxmlformats.org/officeDocument/2006/relationships/hyperlink" Target="https://fategrandorder.fandom.com/wiki/Free_Quests:_London" TargetMode="External"/><Relationship Id="rId90" Type="http://schemas.openxmlformats.org/officeDocument/2006/relationships/hyperlink" Target="https://fategrandorder.fandom.com/wiki/Free_Quests:_London" TargetMode="External"/><Relationship Id="rId93" Type="http://schemas.openxmlformats.org/officeDocument/2006/relationships/hyperlink" Target="https://fategrandorder.fandom.com/wiki/Free_Quests:_London" TargetMode="External"/><Relationship Id="rId92" Type="http://schemas.openxmlformats.org/officeDocument/2006/relationships/hyperlink" Target="https://fategrandorder.fandom.com/wiki/Free_Quests:_London" TargetMode="External"/><Relationship Id="rId118" Type="http://schemas.openxmlformats.org/officeDocument/2006/relationships/hyperlink" Target="https://fategrandorder.fandom.com/wiki/Free_Quests:_Camelot" TargetMode="External"/><Relationship Id="rId239" Type="http://schemas.openxmlformats.org/officeDocument/2006/relationships/hyperlink" Target="https://fategrandorder.fandom.com/wiki/Free_Quests:_Olympus" TargetMode="External"/><Relationship Id="rId117" Type="http://schemas.openxmlformats.org/officeDocument/2006/relationships/hyperlink" Target="https://fategrandorder.fandom.com/wiki/Free_Quests:_Camelot" TargetMode="External"/><Relationship Id="rId238" Type="http://schemas.openxmlformats.org/officeDocument/2006/relationships/hyperlink" Target="https://fategrandorder.fandom.com/wiki/Free_Quests:_Olympus" TargetMode="External"/><Relationship Id="rId116" Type="http://schemas.openxmlformats.org/officeDocument/2006/relationships/hyperlink" Target="https://fategrandorder.fandom.com/wiki/Free_Quests:_Camelot" TargetMode="External"/><Relationship Id="rId237" Type="http://schemas.openxmlformats.org/officeDocument/2006/relationships/hyperlink" Target="https://fategrandorder.fandom.com/wiki/Free_Quests:_Olympus" TargetMode="External"/><Relationship Id="rId115" Type="http://schemas.openxmlformats.org/officeDocument/2006/relationships/hyperlink" Target="https://fategrandorder.fandom.com/wiki/Free_Quests:_Camelot" TargetMode="External"/><Relationship Id="rId236" Type="http://schemas.openxmlformats.org/officeDocument/2006/relationships/hyperlink" Target="https://fategrandorder.fandom.com/wiki/Free_Quests:_Olympus" TargetMode="External"/><Relationship Id="rId119" Type="http://schemas.openxmlformats.org/officeDocument/2006/relationships/hyperlink" Target="https://fategrandorder.fandom.com/wiki/Free_Quests:_Camelot" TargetMode="External"/><Relationship Id="rId110" Type="http://schemas.openxmlformats.org/officeDocument/2006/relationships/hyperlink" Target="https://fategrandorder.fandom.com/wiki/Free_Quests:_Camelot" TargetMode="External"/><Relationship Id="rId231" Type="http://schemas.openxmlformats.org/officeDocument/2006/relationships/hyperlink" Target="https://fategrandorder.fandom.com/wiki/Free_Quests:_Atlantis" TargetMode="External"/><Relationship Id="rId230" Type="http://schemas.openxmlformats.org/officeDocument/2006/relationships/hyperlink" Target="https://fategrandorder.fandom.com/wiki/Free_Quests:_Atlantis" TargetMode="External"/><Relationship Id="rId114" Type="http://schemas.openxmlformats.org/officeDocument/2006/relationships/hyperlink" Target="https://fategrandorder.fandom.com/wiki/Free_Quests:_Camelot" TargetMode="External"/><Relationship Id="rId235" Type="http://schemas.openxmlformats.org/officeDocument/2006/relationships/hyperlink" Target="https://fategrandorder.fandom.com/wiki/Free_Quests:_Olympus" TargetMode="External"/><Relationship Id="rId113" Type="http://schemas.openxmlformats.org/officeDocument/2006/relationships/hyperlink" Target="https://fategrandorder.fandom.com/wiki/Free_Quests:_Camelot" TargetMode="External"/><Relationship Id="rId234" Type="http://schemas.openxmlformats.org/officeDocument/2006/relationships/hyperlink" Target="https://fategrandorder.fandom.com/wiki/Free_Quests:_Olympus" TargetMode="External"/><Relationship Id="rId112" Type="http://schemas.openxmlformats.org/officeDocument/2006/relationships/hyperlink" Target="https://fategrandorder.fandom.com/wiki/Free_Quests:_Camelot" TargetMode="External"/><Relationship Id="rId233" Type="http://schemas.openxmlformats.org/officeDocument/2006/relationships/hyperlink" Target="https://fategrandorder.fandom.com/wiki/Free_Quests:_Atlantis" TargetMode="External"/><Relationship Id="rId111" Type="http://schemas.openxmlformats.org/officeDocument/2006/relationships/hyperlink" Target="https://fategrandorder.fandom.com/wiki/Free_Quests:_Camelot" TargetMode="External"/><Relationship Id="rId232" Type="http://schemas.openxmlformats.org/officeDocument/2006/relationships/hyperlink" Target="https://fategrandorder.fandom.com/wiki/Free_Quests:_Atlantis" TargetMode="External"/><Relationship Id="rId300" Type="http://schemas.openxmlformats.org/officeDocument/2006/relationships/table" Target="../tables/table85.xml"/><Relationship Id="rId206" Type="http://schemas.openxmlformats.org/officeDocument/2006/relationships/hyperlink" Target="https://fategrandorder.fandom.com/wiki/Free_Quests:_S_I_N" TargetMode="External"/><Relationship Id="rId205" Type="http://schemas.openxmlformats.org/officeDocument/2006/relationships/hyperlink" Target="https://fategrandorder.fandom.com/wiki/Free_Quests:_S_I_N" TargetMode="External"/><Relationship Id="rId204" Type="http://schemas.openxmlformats.org/officeDocument/2006/relationships/hyperlink" Target="https://fategrandorder.fandom.com/wiki/Free_Quests:_S_I_N" TargetMode="External"/><Relationship Id="rId203" Type="http://schemas.openxmlformats.org/officeDocument/2006/relationships/hyperlink" Target="https://fategrandorder.fandom.com/wiki/Free_Quests:_G%C3%B6tterd%C3%A4mmerung" TargetMode="External"/><Relationship Id="rId209" Type="http://schemas.openxmlformats.org/officeDocument/2006/relationships/hyperlink" Target="https://fategrandorder.fandom.com/wiki/Free_Quests:_S_I_N" TargetMode="External"/><Relationship Id="rId208" Type="http://schemas.openxmlformats.org/officeDocument/2006/relationships/hyperlink" Target="https://fategrandorder.fandom.com/wiki/Free_Quests:_S_I_N" TargetMode="External"/><Relationship Id="rId207" Type="http://schemas.openxmlformats.org/officeDocument/2006/relationships/hyperlink" Target="https://fategrandorder.fandom.com/wiki/Free_Quests:_S_I_N" TargetMode="External"/><Relationship Id="rId202" Type="http://schemas.openxmlformats.org/officeDocument/2006/relationships/hyperlink" Target="https://fategrandorder.fandom.com/wiki/Free_Quests:_G%C3%B6tterd%C3%A4mmerung" TargetMode="External"/><Relationship Id="rId201" Type="http://schemas.openxmlformats.org/officeDocument/2006/relationships/hyperlink" Target="https://fategrandorder.fandom.com/wiki/Free_Quests:_G%C3%B6tterd%C3%A4mmerung" TargetMode="External"/><Relationship Id="rId200" Type="http://schemas.openxmlformats.org/officeDocument/2006/relationships/hyperlink" Target="https://fategrandorder.fandom.com/wiki/Free_Quests:_G%C3%B6tterd%C3%A4mmerung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I6LSXkvpI39-ylGZ7Kf5bmcX74vlMmrO-grLunCnaA/edit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5" width="15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2" t="s">
        <v>0</v>
      </c>
      <c r="C2" s="3" t="s">
        <v>1</v>
      </c>
      <c r="D2" s="4"/>
      <c r="E2" s="4"/>
      <c r="F2" s="4"/>
      <c r="G2" s="4"/>
      <c r="H2" s="4"/>
      <c r="I2" s="5"/>
      <c r="J2" s="1"/>
      <c r="K2" s="1"/>
    </row>
    <row r="3">
      <c r="A3" s="1"/>
      <c r="B3" s="2" t="s">
        <v>2</v>
      </c>
      <c r="C3" s="3" t="s">
        <v>3</v>
      </c>
      <c r="D3" s="4"/>
      <c r="E3" s="4"/>
      <c r="F3" s="4"/>
      <c r="G3" s="4"/>
      <c r="H3" s="4"/>
      <c r="I3" s="5"/>
      <c r="J3" s="1"/>
      <c r="K3" s="1"/>
    </row>
    <row r="4">
      <c r="A4" s="1"/>
      <c r="B4" s="6" t="s">
        <v>4</v>
      </c>
      <c r="C4" s="7" t="s">
        <v>5</v>
      </c>
      <c r="D4" s="8"/>
      <c r="E4" s="9" t="s">
        <v>6</v>
      </c>
      <c r="F4" s="7" t="s">
        <v>7</v>
      </c>
      <c r="G4" s="10"/>
      <c r="H4" s="10"/>
      <c r="I4" s="10"/>
      <c r="J4" s="1"/>
      <c r="K4" s="1"/>
    </row>
    <row r="5">
      <c r="A5" s="1"/>
      <c r="B5" s="6" t="s">
        <v>8</v>
      </c>
      <c r="C5" s="11" t="s">
        <v>9</v>
      </c>
      <c r="D5" s="8"/>
      <c r="E5" s="12" t="s">
        <v>10</v>
      </c>
      <c r="F5" s="7" t="s">
        <v>7</v>
      </c>
      <c r="G5" s="10"/>
      <c r="H5" s="10"/>
      <c r="I5" s="10"/>
      <c r="J5" s="1"/>
      <c r="K5" s="1"/>
    </row>
    <row r="6">
      <c r="A6" s="1"/>
      <c r="B6" s="6" t="s">
        <v>11</v>
      </c>
      <c r="C6" s="7" t="s">
        <v>12</v>
      </c>
      <c r="D6" s="8"/>
      <c r="E6" s="13" t="s">
        <v>13</v>
      </c>
      <c r="F6" s="7" t="s">
        <v>14</v>
      </c>
      <c r="G6" s="10"/>
      <c r="H6" s="10"/>
      <c r="I6" s="10"/>
      <c r="J6" s="1"/>
      <c r="K6" s="1"/>
    </row>
    <row r="7">
      <c r="A7" s="1"/>
      <c r="B7" s="14" t="s">
        <v>15</v>
      </c>
      <c r="C7" s="7" t="s">
        <v>16</v>
      </c>
      <c r="D7" s="8"/>
      <c r="E7" s="13" t="s">
        <v>17</v>
      </c>
      <c r="F7" s="7" t="s">
        <v>14</v>
      </c>
      <c r="G7" s="10"/>
      <c r="H7" s="10"/>
      <c r="I7" s="10"/>
      <c r="J7" s="1"/>
      <c r="K7" s="1"/>
    </row>
    <row r="8">
      <c r="A8" s="1"/>
      <c r="B8" s="14" t="s">
        <v>18</v>
      </c>
      <c r="C8" s="7" t="s">
        <v>19</v>
      </c>
      <c r="D8" s="8"/>
      <c r="E8" s="13" t="s">
        <v>20</v>
      </c>
      <c r="F8" s="7" t="s">
        <v>21</v>
      </c>
      <c r="G8" s="10"/>
      <c r="H8" s="10"/>
      <c r="I8" s="10"/>
      <c r="J8" s="1"/>
      <c r="K8" s="1"/>
    </row>
    <row r="9">
      <c r="A9" s="1"/>
      <c r="B9" s="14" t="s">
        <v>22</v>
      </c>
      <c r="C9" s="7" t="s">
        <v>23</v>
      </c>
      <c r="D9" s="8"/>
      <c r="E9" s="13" t="s">
        <v>24</v>
      </c>
      <c r="F9" s="7" t="s">
        <v>7</v>
      </c>
      <c r="G9" s="10"/>
      <c r="H9" s="10"/>
      <c r="I9" s="10"/>
      <c r="J9" s="1"/>
      <c r="K9" s="1"/>
    </row>
    <row r="10">
      <c r="A10" s="1"/>
      <c r="B10" s="14" t="s">
        <v>25</v>
      </c>
      <c r="C10" s="7" t="s">
        <v>26</v>
      </c>
      <c r="D10" s="8"/>
      <c r="E10" s="13" t="s">
        <v>27</v>
      </c>
      <c r="F10" s="7" t="s">
        <v>7</v>
      </c>
      <c r="G10" s="10"/>
      <c r="H10" s="10"/>
      <c r="I10" s="10"/>
      <c r="J10" s="1"/>
      <c r="K10" s="1"/>
    </row>
    <row r="11">
      <c r="A11" s="1"/>
      <c r="B11" s="14" t="s">
        <v>28</v>
      </c>
      <c r="C11" s="7" t="s">
        <v>29</v>
      </c>
      <c r="D11" s="8"/>
      <c r="E11" s="13" t="s">
        <v>30</v>
      </c>
      <c r="F11" s="7" t="s">
        <v>14</v>
      </c>
      <c r="G11" s="10"/>
      <c r="H11" s="10"/>
      <c r="I11" s="10"/>
      <c r="J11" s="1"/>
      <c r="K11" s="1"/>
    </row>
    <row r="12">
      <c r="A12" s="1"/>
      <c r="B12" s="14" t="s">
        <v>31</v>
      </c>
      <c r="C12" s="7" t="s">
        <v>32</v>
      </c>
      <c r="D12" s="8"/>
      <c r="E12" s="13" t="s">
        <v>33</v>
      </c>
      <c r="F12" s="7" t="s">
        <v>34</v>
      </c>
      <c r="G12" s="10"/>
      <c r="H12" s="10"/>
      <c r="I12" s="10"/>
      <c r="J12" s="1"/>
      <c r="K12" s="1"/>
    </row>
    <row r="13">
      <c r="A13" s="1"/>
      <c r="B13" s="14" t="s">
        <v>35</v>
      </c>
      <c r="C13" s="7" t="s">
        <v>36</v>
      </c>
      <c r="D13" s="8"/>
      <c r="E13" s="13" t="s">
        <v>37</v>
      </c>
      <c r="F13" s="7" t="s">
        <v>21</v>
      </c>
      <c r="G13" s="10"/>
      <c r="H13" s="10"/>
      <c r="I13" s="10"/>
      <c r="J13" s="1"/>
      <c r="K13" s="1"/>
    </row>
    <row r="14">
      <c r="A14" s="1"/>
      <c r="B14" s="14" t="s">
        <v>38</v>
      </c>
      <c r="C14" s="7" t="s">
        <v>39</v>
      </c>
      <c r="D14" s="8"/>
      <c r="E14" s="13" t="s">
        <v>40</v>
      </c>
      <c r="F14" s="15" t="s">
        <v>41</v>
      </c>
      <c r="G14" s="4"/>
      <c r="H14" s="4"/>
      <c r="I14" s="5"/>
      <c r="J14" s="1"/>
      <c r="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</sheetData>
  <mergeCells count="24">
    <mergeCell ref="F7:I7"/>
    <mergeCell ref="F8:I8"/>
    <mergeCell ref="F9:I9"/>
    <mergeCell ref="F10:I10"/>
    <mergeCell ref="F11:I11"/>
    <mergeCell ref="F12:I12"/>
    <mergeCell ref="F13:I13"/>
    <mergeCell ref="F14:I14"/>
    <mergeCell ref="C2:I2"/>
    <mergeCell ref="C3:I3"/>
    <mergeCell ref="C4:D4"/>
    <mergeCell ref="F4:I4"/>
    <mergeCell ref="C5:D5"/>
    <mergeCell ref="F5:I5"/>
    <mergeCell ref="F6:I6"/>
    <mergeCell ref="C13:D13"/>
    <mergeCell ref="C14:D14"/>
    <mergeCell ref="C6:D6"/>
    <mergeCell ref="C7:D7"/>
    <mergeCell ref="C8:D8"/>
    <mergeCell ref="C9:D9"/>
    <mergeCell ref="C10:D10"/>
    <mergeCell ref="C11:D11"/>
    <mergeCell ref="C12:D12"/>
  </mergeCells>
  <hyperlinks>
    <hyperlink r:id="rId1" ref="C2"/>
    <hyperlink r:id="rId2" ref="C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7.14"/>
    <col customWidth="1" hidden="1" min="2" max="2" width="7.14"/>
    <col customWidth="1" hidden="1" min="3" max="3" width="8.0"/>
    <col customWidth="1" min="4" max="4" width="12.57"/>
    <col customWidth="1" min="5" max="5" width="19.14"/>
    <col customWidth="1" min="6" max="6" width="5.71"/>
    <col customWidth="1" min="7" max="7" width="7.29"/>
    <col customWidth="1" min="8" max="8" width="4.43"/>
    <col customWidth="1" min="9" max="9" width="8.14"/>
    <col customWidth="1" min="10" max="10" width="2.71"/>
    <col customWidth="1" min="11" max="11" width="8.43"/>
    <col customWidth="1" min="12" max="12" width="2.71"/>
    <col customWidth="1" hidden="1" min="13" max="13" width="3.14"/>
    <col customWidth="1" hidden="1" min="14" max="14" width="8.71"/>
    <col customWidth="1" min="15" max="15" width="4.43"/>
    <col customWidth="1" min="16" max="16" width="8.14"/>
    <col customWidth="1" min="17" max="17" width="2.71"/>
    <col customWidth="1" min="18" max="18" width="8.43"/>
    <col customWidth="1" min="19" max="19" width="2.71"/>
    <col customWidth="1" hidden="1" min="20" max="20" width="3.14"/>
    <col customWidth="1" hidden="1" min="21" max="21" width="8.71"/>
    <col customWidth="1" min="22" max="22" width="4.43"/>
    <col customWidth="1" min="23" max="23" width="8.14"/>
    <col customWidth="1" min="24" max="24" width="2.71"/>
    <col customWidth="1" min="25" max="25" width="8.43"/>
    <col customWidth="1" min="26" max="26" width="2.71"/>
    <col customWidth="1" hidden="1" min="27" max="27" width="3.14"/>
    <col customWidth="1" hidden="1" min="28" max="28" width="8.71"/>
    <col customWidth="1" min="29" max="29" width="4.43"/>
    <col customWidth="1" min="30" max="30" width="8.14"/>
    <col customWidth="1" min="31" max="31" width="2.71"/>
    <col customWidth="1" min="32" max="32" width="8.43"/>
    <col customWidth="1" min="33" max="33" width="2.71"/>
    <col customWidth="1" min="34" max="34" width="5.71"/>
    <col customWidth="1" min="35" max="35" width="7.29"/>
    <col customWidth="1" min="36" max="36" width="21.57"/>
  </cols>
  <sheetData>
    <row r="1" ht="16.5" customHeight="1">
      <c r="A1" s="16" t="str">
        <f>IFERROR(__xludf.DUMMYFUNCTION("IMPORTRANGE('Setup Sheet'!C2,'Setup Sheet'!C8&amp;""!""&amp;'Setup Sheet'!F8)"),"#")</f>
        <v>#</v>
      </c>
      <c r="B1" s="16" t="str">
        <f>IFERROR(__xludf.DUMMYFUNCTION("""COMPUTED_VALUE"""),"Item ID")</f>
        <v>Item ID</v>
      </c>
      <c r="C1" s="16" t="str">
        <f>IFERROR(__xludf.DUMMYFUNCTION("""COMPUTED_VALUE"""),"Node ID")</f>
        <v>Node ID</v>
      </c>
      <c r="D1" s="16" t="str">
        <f>IFERROR(__xludf.DUMMYFUNCTION("""COMPUTED_VALUE"""),"Chapter")</f>
        <v>Chapter</v>
      </c>
      <c r="E1" s="17" t="str">
        <f>IFERROR(__xludf.DUMMYFUNCTION("""COMPUTED_VALUE"""),"Node Name")</f>
        <v>Node Name</v>
      </c>
      <c r="F1" s="18" t="str">
        <f>IFERROR(__xludf.DUMMYFUNCTION("""COMPUTED_VALUE"""),"AP")</f>
        <v>AP</v>
      </c>
      <c r="G1" s="18" t="str">
        <f>IFERROR(__xludf.DUMMYFUNCTION("""COMPUTED_VALUE"""),"Runs")</f>
        <v>Runs</v>
      </c>
      <c r="H1" s="18" t="str">
        <f>IFERROR(__xludf.DUMMYFUNCTION("""COMPUTED_VALUE"""),"Mat")</f>
        <v>Mat</v>
      </c>
      <c r="I1" s="19" t="str">
        <f>IFERROR(__xludf.DUMMYFUNCTION("""COMPUTED_VALUE"""),"AP/Drop")</f>
        <v>AP/Drop</v>
      </c>
      <c r="K1" s="19" t="str">
        <f>IFERROR(__xludf.DUMMYFUNCTION("""COMPUTED_VALUE"""),"Droprate")</f>
        <v>Droprate</v>
      </c>
      <c r="M1" s="18" t="str">
        <f>IFERROR(__xludf.DUMMYFUNCTION("""COMPUTED_VALUE"""),"#2")</f>
        <v>#2</v>
      </c>
      <c r="N1" s="18" t="str">
        <f>IFERROR(__xludf.DUMMYFUNCTION("""COMPUTED_VALUE"""),"Item 2 ID")</f>
        <v>Item 2 ID</v>
      </c>
      <c r="O1" s="18" t="str">
        <f>IFERROR(__xludf.DUMMYFUNCTION("""COMPUTED_VALUE"""),"Mat")</f>
        <v>Mat</v>
      </c>
      <c r="P1" s="19" t="str">
        <f>IFERROR(__xludf.DUMMYFUNCTION("""COMPUTED_VALUE"""),"AP/Drop")</f>
        <v>AP/Drop</v>
      </c>
      <c r="R1" s="19" t="str">
        <f>IFERROR(__xludf.DUMMYFUNCTION("""COMPUTED_VALUE"""),"Droprate")</f>
        <v>Droprate</v>
      </c>
      <c r="T1" s="18" t="str">
        <f>IFERROR(__xludf.DUMMYFUNCTION("""COMPUTED_VALUE"""),"#3")</f>
        <v>#3</v>
      </c>
      <c r="U1" s="18" t="str">
        <f>IFERROR(__xludf.DUMMYFUNCTION("""COMPUTED_VALUE"""),"Item 2 ID")</f>
        <v>Item 2 ID</v>
      </c>
      <c r="V1" s="18" t="str">
        <f>IFERROR(__xludf.DUMMYFUNCTION("""COMPUTED_VALUE"""),"Mat")</f>
        <v>Mat</v>
      </c>
      <c r="W1" s="19" t="str">
        <f>IFERROR(__xludf.DUMMYFUNCTION("""COMPUTED_VALUE"""),"AP/Drop")</f>
        <v>AP/Drop</v>
      </c>
      <c r="Y1" s="19" t="str">
        <f>IFERROR(__xludf.DUMMYFUNCTION("""COMPUTED_VALUE"""),"Droprate")</f>
        <v>Droprate</v>
      </c>
      <c r="AA1" s="18" t="str">
        <f>IFERROR(__xludf.DUMMYFUNCTION("""COMPUTED_VALUE"""),"#4")</f>
        <v>#4</v>
      </c>
      <c r="AB1" s="18" t="str">
        <f>IFERROR(__xludf.DUMMYFUNCTION("""COMPUTED_VALUE"""),"Item 3 ID")</f>
        <v>Item 3 ID</v>
      </c>
      <c r="AC1" s="18" t="str">
        <f>IFERROR(__xludf.DUMMYFUNCTION("""COMPUTED_VALUE"""),"Mat")</f>
        <v>Mat</v>
      </c>
      <c r="AD1" s="19" t="str">
        <f>IFERROR(__xludf.DUMMYFUNCTION("""COMPUTED_VALUE"""),"AP/Drop")</f>
        <v>AP/Drop</v>
      </c>
      <c r="AE1" s="19"/>
      <c r="AF1" s="19" t="str">
        <f>IFERROR(__xludf.DUMMYFUNCTION("""COMPUTED_VALUE"""),"Droprate")</f>
        <v>Droprate</v>
      </c>
      <c r="AG1" s="19"/>
      <c r="AH1" s="18" t="str">
        <f>IFERROR(__xludf.DUMMYFUNCTION("""COMPUTED_VALUE"""),"AP")</f>
        <v>AP</v>
      </c>
      <c r="AI1" s="18" t="str">
        <f>IFERROR(__xludf.DUMMYFUNCTION("""COMPUTED_VALUE"""),"Runs")</f>
        <v>Runs</v>
      </c>
      <c r="AJ1" s="16" t="str">
        <f>IFERROR(__xludf.DUMMYFUNCTION("""COMPUTED_VALUE"""),"JP Node Name")</f>
        <v>JP Node Name</v>
      </c>
    </row>
    <row r="2" ht="33.0" customHeight="1">
      <c r="A2" s="20" t="str">
        <f>IFERROR(__xludf.DUMMYFUNCTION("""COMPUTED_VALUE""")," ")</f>
        <v> </v>
      </c>
      <c r="B2" s="21" t="str">
        <f>IFERROR(__xludf.DUMMYFUNCTION("""COMPUTED_VALUE"""),"A301")</f>
        <v>A301</v>
      </c>
      <c r="C2" s="20"/>
      <c r="D2" s="22" t="str">
        <f>IFERROR(__xludf.DUMMYFUNCTION("""COMPUTED_VALUE"""),"")</f>
        <v/>
      </c>
      <c r="E2" s="23" t="str">
        <f>IFERROR(__xludf.DUMMYFUNCTION("""COMPUTED_VALUE"""),"Proof of Hero")</f>
        <v>Proof of Hero</v>
      </c>
      <c r="F2" s="24"/>
      <c r="G2" s="24"/>
      <c r="H2" s="25"/>
      <c r="I2" s="25"/>
      <c r="J2" s="26"/>
      <c r="K2" s="25"/>
      <c r="L2" s="26"/>
      <c r="M2" s="25"/>
      <c r="N2" s="25"/>
      <c r="O2" s="25"/>
      <c r="P2" s="25"/>
      <c r="Q2" s="26"/>
      <c r="R2" s="25"/>
      <c r="S2" s="26"/>
      <c r="T2" s="25"/>
      <c r="U2" s="25"/>
      <c r="V2" s="25"/>
      <c r="W2" s="25"/>
      <c r="X2" s="26"/>
      <c r="Y2" s="25"/>
      <c r="Z2" s="26"/>
      <c r="AA2" s="25"/>
      <c r="AB2" s="25"/>
      <c r="AC2" s="25"/>
      <c r="AD2" s="25"/>
      <c r="AE2" s="26"/>
      <c r="AF2" s="25"/>
      <c r="AG2" s="26"/>
      <c r="AH2" s="24"/>
      <c r="AI2" s="25"/>
      <c r="AJ2" s="27"/>
    </row>
    <row r="3" ht="24.75" customHeight="1">
      <c r="A3" s="28">
        <f>IFERROR(__xludf.DUMMYFUNCTION("""COMPUTED_VALUE"""),1.0)</f>
        <v>1</v>
      </c>
      <c r="B3" s="28" t="str">
        <f>IFERROR(__xludf.DUMMYFUNCTION("""COMPUTED_VALUE"""),"A301")</f>
        <v>A301</v>
      </c>
      <c r="C3" s="28" t="str">
        <f>IFERROR(__xludf.DUMMYFUNCTION("""COMPUTED_VALUE"""),"OKN1")</f>
        <v>OKN1</v>
      </c>
      <c r="D3" s="29" t="str">
        <f>IFERROR(__xludf.DUMMYFUNCTION("""COMPUTED_VALUE"""),"Okeanos")</f>
        <v>Okeanos</v>
      </c>
      <c r="E3" s="30" t="str">
        <f>IFERROR(__xludf.DUMMYFUNCTION("""COMPUTED_VALUE"""),"Pirate Ship")</f>
        <v>Pirate Ship</v>
      </c>
      <c r="F3" s="31">
        <f>IFERROR(__xludf.DUMMYFUNCTION("""COMPUTED_VALUE"""),12.0)</f>
        <v>12</v>
      </c>
      <c r="G3" s="32">
        <f>IFERROR(__xludf.DUMMYFUNCTION("""COMPUTED_VALUE"""),6605.0)</f>
        <v>6605</v>
      </c>
      <c r="H3" s="33" t="str">
        <f>IFERROR(__xludf.DUMMYFUNCTION("""COMPUTED_VALUE"""),"")</f>
        <v/>
      </c>
      <c r="I3" s="34">
        <f>IFERROR(__xludf.DUMMYFUNCTION("""COMPUTED_VALUE"""),20.5)</f>
        <v>20.5</v>
      </c>
      <c r="J3" s="35" t="str">
        <f>IFERROR(__xludf.DUMMYFUNCTION("""COMPUTED_VALUE"""),"AP")</f>
        <v>AP</v>
      </c>
      <c r="K3" s="34">
        <f>IFERROR(__xludf.DUMMYFUNCTION("""COMPUTED_VALUE"""),58.7)</f>
        <v>58.7</v>
      </c>
      <c r="L3" s="35" t="str">
        <f>IFERROR(__xludf.DUMMYFUNCTION("""COMPUTED_VALUE"""),"%")</f>
        <v>%</v>
      </c>
      <c r="M3" s="36">
        <f>IFERROR(__xludf.DUMMYFUNCTION("""COMPUTED_VALUE"""),1.0)</f>
        <v>1</v>
      </c>
      <c r="N3" s="37"/>
      <c r="O3" s="38"/>
      <c r="P3" s="34" t="str">
        <f>IFERROR(__xludf.DUMMYFUNCTION("""COMPUTED_VALUE"""),"")</f>
        <v/>
      </c>
      <c r="Q3" s="35" t="str">
        <f>IFERROR(__xludf.DUMMYFUNCTION("""COMPUTED_VALUE"""),"AP")</f>
        <v>AP</v>
      </c>
      <c r="R3" s="34" t="str">
        <f>IFERROR(__xludf.DUMMYFUNCTION("""COMPUTED_VALUE"""),"")</f>
        <v/>
      </c>
      <c r="S3" s="35" t="str">
        <f>IFERROR(__xludf.DUMMYFUNCTION("""COMPUTED_VALUE"""),"%")</f>
        <v>%</v>
      </c>
      <c r="T3" s="36">
        <f>IFERROR(__xludf.DUMMYFUNCTION("""COMPUTED_VALUE"""),2.0)</f>
        <v>2</v>
      </c>
      <c r="U3" s="37"/>
      <c r="V3" s="38"/>
      <c r="W3" s="34" t="str">
        <f>IFERROR(__xludf.DUMMYFUNCTION("""COMPUTED_VALUE"""),"")</f>
        <v/>
      </c>
      <c r="X3" s="35" t="str">
        <f>IFERROR(__xludf.DUMMYFUNCTION("""COMPUTED_VALUE"""),"AP")</f>
        <v>AP</v>
      </c>
      <c r="Y3" s="34" t="str">
        <f>IFERROR(__xludf.DUMMYFUNCTION("""COMPUTED_VALUE"""),"")</f>
        <v/>
      </c>
      <c r="Z3" s="35" t="str">
        <f>IFERROR(__xludf.DUMMYFUNCTION("""COMPUTED_VALUE"""),"%")</f>
        <v>%</v>
      </c>
      <c r="AA3" s="36">
        <f>IFERROR(__xludf.DUMMYFUNCTION("""COMPUTED_VALUE"""),3.0)</f>
        <v>3</v>
      </c>
      <c r="AB3" s="37"/>
      <c r="AC3" s="38"/>
      <c r="AD3" s="34" t="str">
        <f>IFERROR(__xludf.DUMMYFUNCTION("""COMPUTED_VALUE"""),"")</f>
        <v/>
      </c>
      <c r="AE3" s="35" t="str">
        <f>IFERROR(__xludf.DUMMYFUNCTION("""COMPUTED_VALUE"""),"AP")</f>
        <v>AP</v>
      </c>
      <c r="AF3" s="34" t="str">
        <f>IFERROR(__xludf.DUMMYFUNCTION("""COMPUTED_VALUE"""),"")</f>
        <v/>
      </c>
      <c r="AG3" s="35" t="str">
        <f>IFERROR(__xludf.DUMMYFUNCTION("""COMPUTED_VALUE"""),"%")</f>
        <v>%</v>
      </c>
      <c r="AH3" s="31">
        <f>IFERROR(__xludf.DUMMYFUNCTION("""COMPUTED_VALUE"""),12.0)</f>
        <v>12</v>
      </c>
      <c r="AI3" s="32">
        <f>IFERROR(__xludf.DUMMYFUNCTION("""COMPUTED_VALUE"""),6605.0)</f>
        <v>6605</v>
      </c>
      <c r="AJ3" s="39" t="str">
        <f>IFERROR(__xludf.DUMMYFUNCTION("""COMPUTED_VALUE"""),"海賊船")</f>
        <v>海賊船</v>
      </c>
    </row>
    <row r="4" ht="24.75" customHeight="1">
      <c r="A4" s="40">
        <f>IFERROR(__xludf.DUMMYFUNCTION("""COMPUTED_VALUE"""),2.0)</f>
        <v>2</v>
      </c>
      <c r="B4" s="40" t="str">
        <f>IFERROR(__xludf.DUMMYFUNCTION("""COMPUTED_VALUE"""),"A301")</f>
        <v>A301</v>
      </c>
      <c r="C4" s="40" t="str">
        <f>IFERROR(__xludf.DUMMYFUNCTION("""COMPUTED_VALUE"""),"OKN2")</f>
        <v>OKN2</v>
      </c>
      <c r="D4" s="41" t="str">
        <f>IFERROR(__xludf.DUMMYFUNCTION("""COMPUTED_VALUE"""),"Okeanos")</f>
        <v>Okeanos</v>
      </c>
      <c r="E4" s="42" t="str">
        <f>IFERROR(__xludf.DUMMYFUNCTION("""COMPUTED_VALUE"""),"Pirate Island")</f>
        <v>Pirate Island</v>
      </c>
      <c r="F4" s="43">
        <f>IFERROR(__xludf.DUMMYFUNCTION("""COMPUTED_VALUE"""),13.0)</f>
        <v>13</v>
      </c>
      <c r="G4" s="44">
        <f>IFERROR(__xludf.DUMMYFUNCTION("""COMPUTED_VALUE"""),1260.0)</f>
        <v>1260</v>
      </c>
      <c r="H4" s="33" t="str">
        <f>IFERROR(__xludf.DUMMYFUNCTION("""COMPUTED_VALUE"""),"")</f>
        <v/>
      </c>
      <c r="I4" s="45">
        <f>IFERROR(__xludf.DUMMYFUNCTION("""COMPUTED_VALUE"""),23.2)</f>
        <v>23.2</v>
      </c>
      <c r="J4" s="46" t="str">
        <f>IFERROR(__xludf.DUMMYFUNCTION("""COMPUTED_VALUE"""),"AP")</f>
        <v>AP</v>
      </c>
      <c r="K4" s="47">
        <f>IFERROR(__xludf.DUMMYFUNCTION("""COMPUTED_VALUE"""),56.0)</f>
        <v>56</v>
      </c>
      <c r="L4" s="48" t="str">
        <f>IFERROR(__xludf.DUMMYFUNCTION("""COMPUTED_VALUE"""),"%")</f>
        <v>%</v>
      </c>
      <c r="M4" s="49">
        <f>IFERROR(__xludf.DUMMYFUNCTION("""COMPUTED_VALUE"""),1.0)</f>
        <v>1</v>
      </c>
      <c r="N4" s="50" t="str">
        <f>IFERROR(__xludf.DUMMYFUNCTION("""COMPUTED_VALUE"""),"A304")</f>
        <v>A304</v>
      </c>
      <c r="O4" s="38" t="str">
        <f>IFERROR(__xludf.DUMMYFUNCTION("""COMPUTED_VALUE"""),"")</f>
        <v/>
      </c>
      <c r="P4" s="45">
        <f>IFERROR(__xludf.DUMMYFUNCTION("""COMPUTED_VALUE"""),113.0)</f>
        <v>113</v>
      </c>
      <c r="Q4" s="46" t="str">
        <f>IFERROR(__xludf.DUMMYFUNCTION("""COMPUTED_VALUE"""),"AP")</f>
        <v>AP</v>
      </c>
      <c r="R4" s="47">
        <f>IFERROR(__xludf.DUMMYFUNCTION("""COMPUTED_VALUE"""),11.5)</f>
        <v>11.5</v>
      </c>
      <c r="S4" s="48" t="str">
        <f>IFERROR(__xludf.DUMMYFUNCTION("""COMPUTED_VALUE"""),"%")</f>
        <v>%</v>
      </c>
      <c r="T4" s="49">
        <f>IFERROR(__xludf.DUMMYFUNCTION("""COMPUTED_VALUE"""),2.0)</f>
        <v>2</v>
      </c>
      <c r="U4" s="50"/>
      <c r="V4" s="38"/>
      <c r="W4" s="45" t="str">
        <f>IFERROR(__xludf.DUMMYFUNCTION("""COMPUTED_VALUE"""),"")</f>
        <v/>
      </c>
      <c r="X4" s="46" t="str">
        <f>IFERROR(__xludf.DUMMYFUNCTION("""COMPUTED_VALUE"""),"AP")</f>
        <v>AP</v>
      </c>
      <c r="Y4" s="47" t="str">
        <f>IFERROR(__xludf.DUMMYFUNCTION("""COMPUTED_VALUE"""),"")</f>
        <v/>
      </c>
      <c r="Z4" s="48" t="str">
        <f>IFERROR(__xludf.DUMMYFUNCTION("""COMPUTED_VALUE"""),"%")</f>
        <v>%</v>
      </c>
      <c r="AA4" s="49">
        <f>IFERROR(__xludf.DUMMYFUNCTION("""COMPUTED_VALUE"""),3.0)</f>
        <v>3</v>
      </c>
      <c r="AB4" s="50"/>
      <c r="AC4" s="38"/>
      <c r="AD4" s="45" t="str">
        <f>IFERROR(__xludf.DUMMYFUNCTION("""COMPUTED_VALUE"""),"")</f>
        <v/>
      </c>
      <c r="AE4" s="46" t="str">
        <f>IFERROR(__xludf.DUMMYFUNCTION("""COMPUTED_VALUE"""),"AP")</f>
        <v>AP</v>
      </c>
      <c r="AF4" s="47" t="str">
        <f>IFERROR(__xludf.DUMMYFUNCTION("""COMPUTED_VALUE"""),"")</f>
        <v/>
      </c>
      <c r="AG4" s="48" t="str">
        <f>IFERROR(__xludf.DUMMYFUNCTION("""COMPUTED_VALUE"""),"%")</f>
        <v>%</v>
      </c>
      <c r="AH4" s="43">
        <f>IFERROR(__xludf.DUMMYFUNCTION("""COMPUTED_VALUE"""),13.0)</f>
        <v>13</v>
      </c>
      <c r="AI4" s="44">
        <f>IFERROR(__xludf.DUMMYFUNCTION("""COMPUTED_VALUE"""),1260.0)</f>
        <v>1260</v>
      </c>
      <c r="AJ4" s="51" t="str">
        <f>IFERROR(__xludf.DUMMYFUNCTION("""COMPUTED_VALUE"""),"海賊島")</f>
        <v>海賊島</v>
      </c>
    </row>
    <row r="5" ht="24.75" customHeight="1">
      <c r="A5" s="28">
        <f>IFERROR(__xludf.DUMMYFUNCTION("""COMPUTED_VALUE"""),3.0)</f>
        <v>3</v>
      </c>
      <c r="B5" s="28" t="str">
        <f>IFERROR(__xludf.DUMMYFUNCTION("""COMPUTED_VALUE"""),"A301")</f>
        <v>A301</v>
      </c>
      <c r="C5" s="28" t="str">
        <f>IFERROR(__xludf.DUMMYFUNCTION("""COMPUTED_VALUE"""),"ORL6")</f>
        <v>ORL6</v>
      </c>
      <c r="D5" s="29" t="str">
        <f>IFERROR(__xludf.DUMMYFUNCTION("""COMPUTED_VALUE"""),"Orleans")</f>
        <v>Orleans</v>
      </c>
      <c r="E5" s="30" t="str">
        <f>IFERROR(__xludf.DUMMYFUNCTION("""COMPUTED_VALUE"""),"Marseille")</f>
        <v>Marseille</v>
      </c>
      <c r="F5" s="31">
        <f>IFERROR(__xludf.DUMMYFUNCTION("""COMPUTED_VALUE"""),7.0)</f>
        <v>7</v>
      </c>
      <c r="G5" s="32">
        <f>IFERROR(__xludf.DUMMYFUNCTION("""COMPUTED_VALUE"""),1680.0)</f>
        <v>1680</v>
      </c>
      <c r="H5" s="33" t="str">
        <f>IFERROR(__xludf.DUMMYFUNCTION("""COMPUTED_VALUE"""),"")</f>
        <v/>
      </c>
      <c r="I5" s="34">
        <f>IFERROR(__xludf.DUMMYFUNCTION("""COMPUTED_VALUE"""),23.5)</f>
        <v>23.5</v>
      </c>
      <c r="J5" s="35" t="str">
        <f>IFERROR(__xludf.DUMMYFUNCTION("""COMPUTED_VALUE"""),"AP")</f>
        <v>AP</v>
      </c>
      <c r="K5" s="34">
        <f>IFERROR(__xludf.DUMMYFUNCTION("""COMPUTED_VALUE"""),29.8)</f>
        <v>29.8</v>
      </c>
      <c r="L5" s="35" t="str">
        <f>IFERROR(__xludf.DUMMYFUNCTION("""COMPUTED_VALUE"""),"%")</f>
        <v>%</v>
      </c>
      <c r="M5" s="36">
        <f>IFERROR(__xludf.DUMMYFUNCTION("""COMPUTED_VALUE"""),1.0)</f>
        <v>1</v>
      </c>
      <c r="N5" s="37"/>
      <c r="O5" s="38"/>
      <c r="P5" s="34" t="str">
        <f>IFERROR(__xludf.DUMMYFUNCTION("""COMPUTED_VALUE"""),"")</f>
        <v/>
      </c>
      <c r="Q5" s="35" t="str">
        <f>IFERROR(__xludf.DUMMYFUNCTION("""COMPUTED_VALUE"""),"AP")</f>
        <v>AP</v>
      </c>
      <c r="R5" s="34" t="str">
        <f>IFERROR(__xludf.DUMMYFUNCTION("""COMPUTED_VALUE"""),"")</f>
        <v/>
      </c>
      <c r="S5" s="35" t="str">
        <f>IFERROR(__xludf.DUMMYFUNCTION("""COMPUTED_VALUE"""),"%")</f>
        <v>%</v>
      </c>
      <c r="T5" s="36">
        <f>IFERROR(__xludf.DUMMYFUNCTION("""COMPUTED_VALUE"""),2.0)</f>
        <v>2</v>
      </c>
      <c r="U5" s="37"/>
      <c r="V5" s="38"/>
      <c r="W5" s="34" t="str">
        <f>IFERROR(__xludf.DUMMYFUNCTION("""COMPUTED_VALUE"""),"")</f>
        <v/>
      </c>
      <c r="X5" s="35" t="str">
        <f>IFERROR(__xludf.DUMMYFUNCTION("""COMPUTED_VALUE"""),"AP")</f>
        <v>AP</v>
      </c>
      <c r="Y5" s="34" t="str">
        <f>IFERROR(__xludf.DUMMYFUNCTION("""COMPUTED_VALUE"""),"")</f>
        <v/>
      </c>
      <c r="Z5" s="35" t="str">
        <f>IFERROR(__xludf.DUMMYFUNCTION("""COMPUTED_VALUE"""),"%")</f>
        <v>%</v>
      </c>
      <c r="AA5" s="36">
        <f>IFERROR(__xludf.DUMMYFUNCTION("""COMPUTED_VALUE"""),3.0)</f>
        <v>3</v>
      </c>
      <c r="AB5" s="37"/>
      <c r="AC5" s="38"/>
      <c r="AD5" s="34" t="str">
        <f>IFERROR(__xludf.DUMMYFUNCTION("""COMPUTED_VALUE"""),"")</f>
        <v/>
      </c>
      <c r="AE5" s="35" t="str">
        <f>IFERROR(__xludf.DUMMYFUNCTION("""COMPUTED_VALUE"""),"AP")</f>
        <v>AP</v>
      </c>
      <c r="AF5" s="34" t="str">
        <f>IFERROR(__xludf.DUMMYFUNCTION("""COMPUTED_VALUE"""),"")</f>
        <v/>
      </c>
      <c r="AG5" s="35" t="str">
        <f>IFERROR(__xludf.DUMMYFUNCTION("""COMPUTED_VALUE"""),"%")</f>
        <v>%</v>
      </c>
      <c r="AH5" s="31">
        <f>IFERROR(__xludf.DUMMYFUNCTION("""COMPUTED_VALUE"""),7.0)</f>
        <v>7</v>
      </c>
      <c r="AI5" s="32">
        <f>IFERROR(__xludf.DUMMYFUNCTION("""COMPUTED_VALUE"""),1680.0)</f>
        <v>1680</v>
      </c>
      <c r="AJ5" s="39" t="str">
        <f>IFERROR(__xludf.DUMMYFUNCTION("""COMPUTED_VALUE"""),"マルセイユ")</f>
        <v>マルセイユ</v>
      </c>
    </row>
    <row r="6" ht="24.75" customHeight="1">
      <c r="A6" s="40">
        <f>IFERROR(__xludf.DUMMYFUNCTION("""COMPUTED_VALUE"""),4.0)</f>
        <v>4</v>
      </c>
      <c r="B6" s="40" t="str">
        <f>IFERROR(__xludf.DUMMYFUNCTION("""COMPUTED_VALUE"""),"A301")</f>
        <v>A301</v>
      </c>
      <c r="C6" s="40" t="str">
        <f>IFERROR(__xludf.DUMMYFUNCTION("""COMPUTED_VALUE"""),"EPU5")</f>
        <v>EPU5</v>
      </c>
      <c r="D6" s="41" t="str">
        <f>IFERROR(__xludf.DUMMYFUNCTION("""COMPUTED_VALUE"""),"E Pluribus Unum")</f>
        <v>E Pluribus Unum</v>
      </c>
      <c r="E6" s="42" t="str">
        <f>IFERROR(__xludf.DUMMYFUNCTION("""COMPUTED_VALUE"""),"Dallas")</f>
        <v>Dallas</v>
      </c>
      <c r="F6" s="43">
        <f>IFERROR(__xludf.DUMMYFUNCTION("""COMPUTED_VALUE"""),17.0)</f>
        <v>17</v>
      </c>
      <c r="G6" s="44">
        <f>IFERROR(__xludf.DUMMYFUNCTION("""COMPUTED_VALUE"""),7709.0)</f>
        <v>7709</v>
      </c>
      <c r="H6" s="33" t="str">
        <f>IFERROR(__xludf.DUMMYFUNCTION("""COMPUTED_VALUE"""),"")</f>
        <v/>
      </c>
      <c r="I6" s="45">
        <f>IFERROR(__xludf.DUMMYFUNCTION("""COMPUTED_VALUE"""),25.6)</f>
        <v>25.6</v>
      </c>
      <c r="J6" s="46" t="str">
        <f>IFERROR(__xludf.DUMMYFUNCTION("""COMPUTED_VALUE"""),"AP")</f>
        <v>AP</v>
      </c>
      <c r="K6" s="47">
        <f>IFERROR(__xludf.DUMMYFUNCTION("""COMPUTED_VALUE"""),66.4)</f>
        <v>66.4</v>
      </c>
      <c r="L6" s="48" t="str">
        <f>IFERROR(__xludf.DUMMYFUNCTION("""COMPUTED_VALUE"""),"%")</f>
        <v>%</v>
      </c>
      <c r="M6" s="49">
        <f>IFERROR(__xludf.DUMMYFUNCTION("""COMPUTED_VALUE"""),1.0)</f>
        <v>1</v>
      </c>
      <c r="N6" s="50"/>
      <c r="O6" s="38"/>
      <c r="P6" s="45" t="str">
        <f>IFERROR(__xludf.DUMMYFUNCTION("""COMPUTED_VALUE"""),"")</f>
        <v/>
      </c>
      <c r="Q6" s="46" t="str">
        <f>IFERROR(__xludf.DUMMYFUNCTION("""COMPUTED_VALUE"""),"AP")</f>
        <v>AP</v>
      </c>
      <c r="R6" s="47" t="str">
        <f>IFERROR(__xludf.DUMMYFUNCTION("""COMPUTED_VALUE"""),"")</f>
        <v/>
      </c>
      <c r="S6" s="48" t="str">
        <f>IFERROR(__xludf.DUMMYFUNCTION("""COMPUTED_VALUE"""),"%")</f>
        <v>%</v>
      </c>
      <c r="T6" s="49">
        <f>IFERROR(__xludf.DUMMYFUNCTION("""COMPUTED_VALUE"""),2.0)</f>
        <v>2</v>
      </c>
      <c r="U6" s="50"/>
      <c r="V6" s="38"/>
      <c r="W6" s="45" t="str">
        <f>IFERROR(__xludf.DUMMYFUNCTION("""COMPUTED_VALUE"""),"")</f>
        <v/>
      </c>
      <c r="X6" s="46" t="str">
        <f>IFERROR(__xludf.DUMMYFUNCTION("""COMPUTED_VALUE"""),"AP")</f>
        <v>AP</v>
      </c>
      <c r="Y6" s="47" t="str">
        <f>IFERROR(__xludf.DUMMYFUNCTION("""COMPUTED_VALUE"""),"")</f>
        <v/>
      </c>
      <c r="Z6" s="48" t="str">
        <f>IFERROR(__xludf.DUMMYFUNCTION("""COMPUTED_VALUE"""),"%")</f>
        <v>%</v>
      </c>
      <c r="AA6" s="49">
        <f>IFERROR(__xludf.DUMMYFUNCTION("""COMPUTED_VALUE"""),3.0)</f>
        <v>3</v>
      </c>
      <c r="AB6" s="50"/>
      <c r="AC6" s="38"/>
      <c r="AD6" s="45" t="str">
        <f>IFERROR(__xludf.DUMMYFUNCTION("""COMPUTED_VALUE"""),"")</f>
        <v/>
      </c>
      <c r="AE6" s="46" t="str">
        <f>IFERROR(__xludf.DUMMYFUNCTION("""COMPUTED_VALUE"""),"AP")</f>
        <v>AP</v>
      </c>
      <c r="AF6" s="47" t="str">
        <f>IFERROR(__xludf.DUMMYFUNCTION("""COMPUTED_VALUE"""),"")</f>
        <v/>
      </c>
      <c r="AG6" s="48" t="str">
        <f>IFERROR(__xludf.DUMMYFUNCTION("""COMPUTED_VALUE"""),"%")</f>
        <v>%</v>
      </c>
      <c r="AH6" s="43">
        <f>IFERROR(__xludf.DUMMYFUNCTION("""COMPUTED_VALUE"""),17.0)</f>
        <v>17</v>
      </c>
      <c r="AI6" s="44">
        <f>IFERROR(__xludf.DUMMYFUNCTION("""COMPUTED_VALUE"""),7709.0)</f>
        <v>7709</v>
      </c>
      <c r="AJ6" s="51" t="str">
        <f>IFERROR(__xludf.DUMMYFUNCTION("""COMPUTED_VALUE"""),"ダラス")</f>
        <v>ダラス</v>
      </c>
    </row>
    <row r="7" ht="24.75" customHeight="1">
      <c r="A7" s="28">
        <f>IFERROR(__xludf.DUMMYFUNCTION("""COMPUTED_VALUE"""),5.0)</f>
        <v>5</v>
      </c>
      <c r="B7" s="28" t="str">
        <f>IFERROR(__xludf.DUMMYFUNCTION("""COMPUTED_VALUE"""),"A301")</f>
        <v>A301</v>
      </c>
      <c r="C7" s="28" t="str">
        <f>IFERROR(__xludf.DUMMYFUNCTION("""COMPUTED_VALUE"""),"SEP5")</f>
        <v>SEP5</v>
      </c>
      <c r="D7" s="29" t="str">
        <f>IFERROR(__xludf.DUMMYFUNCTION("""COMPUTED_VALUE"""),"Septem")</f>
        <v>Septem</v>
      </c>
      <c r="E7" s="30" t="str">
        <f>IFERROR(__xludf.DUMMYFUNCTION("""COMPUTED_VALUE"""),"Mediolanum")</f>
        <v>Mediolanum</v>
      </c>
      <c r="F7" s="31">
        <f>IFERROR(__xludf.DUMMYFUNCTION("""COMPUTED_VALUE"""),9.0)</f>
        <v>9</v>
      </c>
      <c r="G7" s="32">
        <f>IFERROR(__xludf.DUMMYFUNCTION("""COMPUTED_VALUE"""),1101.0)</f>
        <v>1101</v>
      </c>
      <c r="H7" s="33" t="str">
        <f>IFERROR(__xludf.DUMMYFUNCTION("""COMPUTED_VALUE"""),"")</f>
        <v/>
      </c>
      <c r="I7" s="34">
        <f>IFERROR(__xludf.DUMMYFUNCTION("""COMPUTED_VALUE"""),25.8)</f>
        <v>25.8</v>
      </c>
      <c r="J7" s="35" t="str">
        <f>IFERROR(__xludf.DUMMYFUNCTION("""COMPUTED_VALUE"""),"AP")</f>
        <v>AP</v>
      </c>
      <c r="K7" s="34">
        <f>IFERROR(__xludf.DUMMYFUNCTION("""COMPUTED_VALUE"""),34.9)</f>
        <v>34.9</v>
      </c>
      <c r="L7" s="35" t="str">
        <f>IFERROR(__xludf.DUMMYFUNCTION("""COMPUTED_VALUE"""),"%")</f>
        <v>%</v>
      </c>
      <c r="M7" s="36">
        <f>IFERROR(__xludf.DUMMYFUNCTION("""COMPUTED_VALUE"""),1.0)</f>
        <v>1</v>
      </c>
      <c r="N7" s="37"/>
      <c r="O7" s="38"/>
      <c r="P7" s="34" t="str">
        <f>IFERROR(__xludf.DUMMYFUNCTION("""COMPUTED_VALUE"""),"")</f>
        <v/>
      </c>
      <c r="Q7" s="35" t="str">
        <f>IFERROR(__xludf.DUMMYFUNCTION("""COMPUTED_VALUE"""),"AP")</f>
        <v>AP</v>
      </c>
      <c r="R7" s="34" t="str">
        <f>IFERROR(__xludf.DUMMYFUNCTION("""COMPUTED_VALUE"""),"")</f>
        <v/>
      </c>
      <c r="S7" s="35" t="str">
        <f>IFERROR(__xludf.DUMMYFUNCTION("""COMPUTED_VALUE"""),"%")</f>
        <v>%</v>
      </c>
      <c r="T7" s="36">
        <f>IFERROR(__xludf.DUMMYFUNCTION("""COMPUTED_VALUE"""),2.0)</f>
        <v>2</v>
      </c>
      <c r="U7" s="37"/>
      <c r="V7" s="38"/>
      <c r="W7" s="34" t="str">
        <f>IFERROR(__xludf.DUMMYFUNCTION("""COMPUTED_VALUE"""),"")</f>
        <v/>
      </c>
      <c r="X7" s="35" t="str">
        <f>IFERROR(__xludf.DUMMYFUNCTION("""COMPUTED_VALUE"""),"AP")</f>
        <v>AP</v>
      </c>
      <c r="Y7" s="34" t="str">
        <f>IFERROR(__xludf.DUMMYFUNCTION("""COMPUTED_VALUE"""),"")</f>
        <v/>
      </c>
      <c r="Z7" s="35" t="str">
        <f>IFERROR(__xludf.DUMMYFUNCTION("""COMPUTED_VALUE"""),"%")</f>
        <v>%</v>
      </c>
      <c r="AA7" s="36">
        <f>IFERROR(__xludf.DUMMYFUNCTION("""COMPUTED_VALUE"""),3.0)</f>
        <v>3</v>
      </c>
      <c r="AB7" s="37"/>
      <c r="AC7" s="38"/>
      <c r="AD7" s="34" t="str">
        <f>IFERROR(__xludf.DUMMYFUNCTION("""COMPUTED_VALUE"""),"")</f>
        <v/>
      </c>
      <c r="AE7" s="35" t="str">
        <f>IFERROR(__xludf.DUMMYFUNCTION("""COMPUTED_VALUE"""),"AP")</f>
        <v>AP</v>
      </c>
      <c r="AF7" s="34" t="str">
        <f>IFERROR(__xludf.DUMMYFUNCTION("""COMPUTED_VALUE"""),"")</f>
        <v/>
      </c>
      <c r="AG7" s="35" t="str">
        <f>IFERROR(__xludf.DUMMYFUNCTION("""COMPUTED_VALUE"""),"%")</f>
        <v>%</v>
      </c>
      <c r="AH7" s="31">
        <f>IFERROR(__xludf.DUMMYFUNCTION("""COMPUTED_VALUE"""),9.0)</f>
        <v>9</v>
      </c>
      <c r="AI7" s="32">
        <f>IFERROR(__xludf.DUMMYFUNCTION("""COMPUTED_VALUE"""),1101.0)</f>
        <v>1101</v>
      </c>
      <c r="AJ7" s="39" t="str">
        <f>IFERROR(__xludf.DUMMYFUNCTION("""COMPUTED_VALUE"""),"メディオラヌム")</f>
        <v>メディオラヌム</v>
      </c>
    </row>
    <row r="8" ht="24.75" customHeight="1">
      <c r="A8" s="40">
        <f>IFERROR(__xludf.DUMMYFUNCTION("""COMPUTED_VALUE"""),6.0)</f>
        <v>6</v>
      </c>
      <c r="B8" s="40" t="str">
        <f>IFERROR(__xludf.DUMMYFUNCTION("""COMPUTED_VALUE"""),"A301")</f>
        <v>A301</v>
      </c>
      <c r="C8" s="40" t="str">
        <f>IFERROR(__xludf.DUMMYFUNCTION("""COMPUTED_VALUE"""),"SEP1")</f>
        <v>SEP1</v>
      </c>
      <c r="D8" s="41" t="str">
        <f>IFERROR(__xludf.DUMMYFUNCTION("""COMPUTED_VALUE"""),"Septem")</f>
        <v>Septem</v>
      </c>
      <c r="E8" s="42" t="str">
        <f>IFERROR(__xludf.DUMMYFUNCTION("""COMPUTED_VALUE"""),"Appia Road")</f>
        <v>Appia Road</v>
      </c>
      <c r="F8" s="43">
        <f>IFERROR(__xludf.DUMMYFUNCTION("""COMPUTED_VALUE"""),9.0)</f>
        <v>9</v>
      </c>
      <c r="G8" s="44">
        <f>IFERROR(__xludf.DUMMYFUNCTION("""COMPUTED_VALUE"""),1110.0)</f>
        <v>1110</v>
      </c>
      <c r="H8" s="33" t="str">
        <f>IFERROR(__xludf.DUMMYFUNCTION("""COMPUTED_VALUE"""),"")</f>
        <v/>
      </c>
      <c r="I8" s="45">
        <f>IFERROR(__xludf.DUMMYFUNCTION("""COMPUTED_VALUE"""),25.9)</f>
        <v>25.9</v>
      </c>
      <c r="J8" s="46" t="str">
        <f>IFERROR(__xludf.DUMMYFUNCTION("""COMPUTED_VALUE"""),"AP")</f>
        <v>AP</v>
      </c>
      <c r="K8" s="47">
        <f>IFERROR(__xludf.DUMMYFUNCTION("""COMPUTED_VALUE"""),34.7)</f>
        <v>34.7</v>
      </c>
      <c r="L8" s="48" t="str">
        <f>IFERROR(__xludf.DUMMYFUNCTION("""COMPUTED_VALUE"""),"%")</f>
        <v>%</v>
      </c>
      <c r="M8" s="49">
        <f>IFERROR(__xludf.DUMMYFUNCTION("""COMPUTED_VALUE"""),1.0)</f>
        <v>1</v>
      </c>
      <c r="N8" s="50" t="str">
        <f>IFERROR(__xludf.DUMMYFUNCTION("""COMPUTED_VALUE"""),"A304")</f>
        <v>A304</v>
      </c>
      <c r="O8" s="38" t="str">
        <f>IFERROR(__xludf.DUMMYFUNCTION("""COMPUTED_VALUE"""),"")</f>
        <v/>
      </c>
      <c r="P8" s="45">
        <f>IFERROR(__xludf.DUMMYFUNCTION("""COMPUTED_VALUE"""),113.5)</f>
        <v>113.5</v>
      </c>
      <c r="Q8" s="46" t="str">
        <f>IFERROR(__xludf.DUMMYFUNCTION("""COMPUTED_VALUE"""),"AP")</f>
        <v>AP</v>
      </c>
      <c r="R8" s="47">
        <f>IFERROR(__xludf.DUMMYFUNCTION("""COMPUTED_VALUE"""),7.9)</f>
        <v>7.9</v>
      </c>
      <c r="S8" s="48" t="str">
        <f>IFERROR(__xludf.DUMMYFUNCTION("""COMPUTED_VALUE"""),"%")</f>
        <v>%</v>
      </c>
      <c r="T8" s="49">
        <f>IFERROR(__xludf.DUMMYFUNCTION("""COMPUTED_VALUE"""),2.0)</f>
        <v>2</v>
      </c>
      <c r="U8" s="50"/>
      <c r="V8" s="38"/>
      <c r="W8" s="45" t="str">
        <f>IFERROR(__xludf.DUMMYFUNCTION("""COMPUTED_VALUE"""),"")</f>
        <v/>
      </c>
      <c r="X8" s="46" t="str">
        <f>IFERROR(__xludf.DUMMYFUNCTION("""COMPUTED_VALUE"""),"AP")</f>
        <v>AP</v>
      </c>
      <c r="Y8" s="47" t="str">
        <f>IFERROR(__xludf.DUMMYFUNCTION("""COMPUTED_VALUE"""),"")</f>
        <v/>
      </c>
      <c r="Z8" s="48" t="str">
        <f>IFERROR(__xludf.DUMMYFUNCTION("""COMPUTED_VALUE"""),"%")</f>
        <v>%</v>
      </c>
      <c r="AA8" s="49">
        <f>IFERROR(__xludf.DUMMYFUNCTION("""COMPUTED_VALUE"""),3.0)</f>
        <v>3</v>
      </c>
      <c r="AB8" s="50"/>
      <c r="AC8" s="38"/>
      <c r="AD8" s="45" t="str">
        <f>IFERROR(__xludf.DUMMYFUNCTION("""COMPUTED_VALUE"""),"")</f>
        <v/>
      </c>
      <c r="AE8" s="46" t="str">
        <f>IFERROR(__xludf.DUMMYFUNCTION("""COMPUTED_VALUE"""),"AP")</f>
        <v>AP</v>
      </c>
      <c r="AF8" s="47" t="str">
        <f>IFERROR(__xludf.DUMMYFUNCTION("""COMPUTED_VALUE"""),"")</f>
        <v/>
      </c>
      <c r="AG8" s="48" t="str">
        <f>IFERROR(__xludf.DUMMYFUNCTION("""COMPUTED_VALUE"""),"%")</f>
        <v>%</v>
      </c>
      <c r="AH8" s="43">
        <f>IFERROR(__xludf.DUMMYFUNCTION("""COMPUTED_VALUE"""),9.0)</f>
        <v>9</v>
      </c>
      <c r="AI8" s="44">
        <f>IFERROR(__xludf.DUMMYFUNCTION("""COMPUTED_VALUE"""),1110.0)</f>
        <v>1110</v>
      </c>
      <c r="AJ8" s="51" t="str">
        <f>IFERROR(__xludf.DUMMYFUNCTION("""COMPUTED_VALUE"""),"アッピア街道")</f>
        <v>アッピア街道</v>
      </c>
    </row>
    <row r="9" ht="24.75" customHeight="1">
      <c r="A9" s="28">
        <f>IFERROR(__xludf.DUMMYFUNCTION("""COMPUTED_VALUE"""),7.0)</f>
        <v>7</v>
      </c>
      <c r="B9" s="28" t="str">
        <f>IFERROR(__xludf.DUMMYFUNCTION("""COMPUTED_VALUE"""),"A301")</f>
        <v>A301</v>
      </c>
      <c r="C9" s="28" t="str">
        <f>IFERROR(__xludf.DUMMYFUNCTION("""COMPUTED_VALUE"""),"EPU8")</f>
        <v>EPU8</v>
      </c>
      <c r="D9" s="29" t="str">
        <f>IFERROR(__xludf.DUMMYFUNCTION("""COMPUTED_VALUE"""),"E Pluribus Unum")</f>
        <v>E Pluribus Unum</v>
      </c>
      <c r="E9" s="30" t="str">
        <f>IFERROR(__xludf.DUMMYFUNCTION("""COMPUTED_VALUE"""),"Montgomery")</f>
        <v>Montgomery</v>
      </c>
      <c r="F9" s="31">
        <f>IFERROR(__xludf.DUMMYFUNCTION("""COMPUTED_VALUE"""),18.0)</f>
        <v>18</v>
      </c>
      <c r="G9" s="32">
        <f>IFERROR(__xludf.DUMMYFUNCTION("""COMPUTED_VALUE"""),4484.0)</f>
        <v>4484</v>
      </c>
      <c r="H9" s="33" t="str">
        <f>IFERROR(__xludf.DUMMYFUNCTION("""COMPUTED_VALUE"""),"")</f>
        <v/>
      </c>
      <c r="I9" s="34">
        <f>IFERROR(__xludf.DUMMYFUNCTION("""COMPUTED_VALUE"""),28.8)</f>
        <v>28.8</v>
      </c>
      <c r="J9" s="35" t="str">
        <f>IFERROR(__xludf.DUMMYFUNCTION("""COMPUTED_VALUE"""),"AP")</f>
        <v>AP</v>
      </c>
      <c r="K9" s="34">
        <f>IFERROR(__xludf.DUMMYFUNCTION("""COMPUTED_VALUE"""),62.5)</f>
        <v>62.5</v>
      </c>
      <c r="L9" s="35" t="str">
        <f>IFERROR(__xludf.DUMMYFUNCTION("""COMPUTED_VALUE"""),"%")</f>
        <v>%</v>
      </c>
      <c r="M9" s="36">
        <f>IFERROR(__xludf.DUMMYFUNCTION("""COMPUTED_VALUE"""),1.0)</f>
        <v>1</v>
      </c>
      <c r="N9" s="37" t="str">
        <f>IFERROR(__xludf.DUMMYFUNCTION("""COMPUTED_VALUE"""),"A304")</f>
        <v>A304</v>
      </c>
      <c r="O9" s="38" t="str">
        <f>IFERROR(__xludf.DUMMYFUNCTION("""COMPUTED_VALUE"""),"")</f>
        <v/>
      </c>
      <c r="P9" s="34">
        <f>IFERROR(__xludf.DUMMYFUNCTION("""COMPUTED_VALUE"""),116.7)</f>
        <v>116.7</v>
      </c>
      <c r="Q9" s="35" t="str">
        <f>IFERROR(__xludf.DUMMYFUNCTION("""COMPUTED_VALUE"""),"AP")</f>
        <v>AP</v>
      </c>
      <c r="R9" s="34">
        <f>IFERROR(__xludf.DUMMYFUNCTION("""COMPUTED_VALUE"""),15.4)</f>
        <v>15.4</v>
      </c>
      <c r="S9" s="35" t="str">
        <f>IFERROR(__xludf.DUMMYFUNCTION("""COMPUTED_VALUE"""),"%")</f>
        <v>%</v>
      </c>
      <c r="T9" s="36">
        <f>IFERROR(__xludf.DUMMYFUNCTION("""COMPUTED_VALUE"""),2.0)</f>
        <v>2</v>
      </c>
      <c r="U9" s="37"/>
      <c r="V9" s="38"/>
      <c r="W9" s="34" t="str">
        <f>IFERROR(__xludf.DUMMYFUNCTION("""COMPUTED_VALUE"""),"")</f>
        <v/>
      </c>
      <c r="X9" s="35" t="str">
        <f>IFERROR(__xludf.DUMMYFUNCTION("""COMPUTED_VALUE"""),"AP")</f>
        <v>AP</v>
      </c>
      <c r="Y9" s="34" t="str">
        <f>IFERROR(__xludf.DUMMYFUNCTION("""COMPUTED_VALUE"""),"")</f>
        <v/>
      </c>
      <c r="Z9" s="35" t="str">
        <f>IFERROR(__xludf.DUMMYFUNCTION("""COMPUTED_VALUE"""),"%")</f>
        <v>%</v>
      </c>
      <c r="AA9" s="36">
        <f>IFERROR(__xludf.DUMMYFUNCTION("""COMPUTED_VALUE"""),3.0)</f>
        <v>3</v>
      </c>
      <c r="AB9" s="37"/>
      <c r="AC9" s="38"/>
      <c r="AD9" s="34" t="str">
        <f>IFERROR(__xludf.DUMMYFUNCTION("""COMPUTED_VALUE"""),"")</f>
        <v/>
      </c>
      <c r="AE9" s="35" t="str">
        <f>IFERROR(__xludf.DUMMYFUNCTION("""COMPUTED_VALUE"""),"AP")</f>
        <v>AP</v>
      </c>
      <c r="AF9" s="34" t="str">
        <f>IFERROR(__xludf.DUMMYFUNCTION("""COMPUTED_VALUE"""),"")</f>
        <v/>
      </c>
      <c r="AG9" s="35" t="str">
        <f>IFERROR(__xludf.DUMMYFUNCTION("""COMPUTED_VALUE"""),"%")</f>
        <v>%</v>
      </c>
      <c r="AH9" s="31">
        <f>IFERROR(__xludf.DUMMYFUNCTION("""COMPUTED_VALUE"""),18.0)</f>
        <v>18</v>
      </c>
      <c r="AI9" s="32">
        <f>IFERROR(__xludf.DUMMYFUNCTION("""COMPUTED_VALUE"""),4484.0)</f>
        <v>4484</v>
      </c>
      <c r="AJ9" s="39" t="str">
        <f>IFERROR(__xludf.DUMMYFUNCTION("""COMPUTED_VALUE"""),"モントゴメリー")</f>
        <v>モントゴメリー</v>
      </c>
    </row>
    <row r="10" ht="24.75" customHeight="1">
      <c r="A10" s="40">
        <f>IFERROR(__xludf.DUMMYFUNCTION("""COMPUTED_VALUE"""),8.0)</f>
        <v>8</v>
      </c>
      <c r="B10" s="40" t="str">
        <f>IFERROR(__xludf.DUMMYFUNCTION("""COMPUTED_VALUE"""),"A301")</f>
        <v>A301</v>
      </c>
      <c r="C10" s="40" t="str">
        <f>IFERROR(__xludf.DUMMYFUNCTION("""COMPUTED_VALUE"""),"SEP4")</f>
        <v>SEP4</v>
      </c>
      <c r="D10" s="41" t="str">
        <f>IFERROR(__xludf.DUMMYFUNCTION("""COMPUTED_VALUE"""),"Septem")</f>
        <v>Septem</v>
      </c>
      <c r="E10" s="42" t="str">
        <f>IFERROR(__xludf.DUMMYFUNCTION("""COMPUTED_VALUE"""),"Florence")</f>
        <v>Florence</v>
      </c>
      <c r="F10" s="43">
        <f>IFERROR(__xludf.DUMMYFUNCTION("""COMPUTED_VALUE"""),9.0)</f>
        <v>9</v>
      </c>
      <c r="G10" s="44">
        <f>IFERROR(__xludf.DUMMYFUNCTION("""COMPUTED_VALUE"""),1121.0)</f>
        <v>1121</v>
      </c>
      <c r="H10" s="33" t="str">
        <f>IFERROR(__xludf.DUMMYFUNCTION("""COMPUTED_VALUE"""),"")</f>
        <v/>
      </c>
      <c r="I10" s="45">
        <f>IFERROR(__xludf.DUMMYFUNCTION("""COMPUTED_VALUE"""),29.2)</f>
        <v>29.2</v>
      </c>
      <c r="J10" s="46" t="str">
        <f>IFERROR(__xludf.DUMMYFUNCTION("""COMPUTED_VALUE"""),"AP")</f>
        <v>AP</v>
      </c>
      <c r="K10" s="47">
        <f>IFERROR(__xludf.DUMMYFUNCTION("""COMPUTED_VALUE"""),30.8)</f>
        <v>30.8</v>
      </c>
      <c r="L10" s="48" t="str">
        <f>IFERROR(__xludf.DUMMYFUNCTION("""COMPUTED_VALUE"""),"%")</f>
        <v>%</v>
      </c>
      <c r="M10" s="49">
        <f>IFERROR(__xludf.DUMMYFUNCTION("""COMPUTED_VALUE"""),1.0)</f>
        <v>1</v>
      </c>
      <c r="N10" s="50"/>
      <c r="O10" s="38"/>
      <c r="P10" s="45" t="str">
        <f>IFERROR(__xludf.DUMMYFUNCTION("""COMPUTED_VALUE"""),"")</f>
        <v/>
      </c>
      <c r="Q10" s="46" t="str">
        <f>IFERROR(__xludf.DUMMYFUNCTION("""COMPUTED_VALUE"""),"AP")</f>
        <v>AP</v>
      </c>
      <c r="R10" s="47" t="str">
        <f>IFERROR(__xludf.DUMMYFUNCTION("""COMPUTED_VALUE"""),"")</f>
        <v/>
      </c>
      <c r="S10" s="48" t="str">
        <f>IFERROR(__xludf.DUMMYFUNCTION("""COMPUTED_VALUE"""),"%")</f>
        <v>%</v>
      </c>
      <c r="T10" s="49">
        <f>IFERROR(__xludf.DUMMYFUNCTION("""COMPUTED_VALUE"""),2.0)</f>
        <v>2</v>
      </c>
      <c r="U10" s="50"/>
      <c r="V10" s="38"/>
      <c r="W10" s="45" t="str">
        <f>IFERROR(__xludf.DUMMYFUNCTION("""COMPUTED_VALUE"""),"")</f>
        <v/>
      </c>
      <c r="X10" s="46" t="str">
        <f>IFERROR(__xludf.DUMMYFUNCTION("""COMPUTED_VALUE"""),"AP")</f>
        <v>AP</v>
      </c>
      <c r="Y10" s="47" t="str">
        <f>IFERROR(__xludf.DUMMYFUNCTION("""COMPUTED_VALUE"""),"")</f>
        <v/>
      </c>
      <c r="Z10" s="48" t="str">
        <f>IFERROR(__xludf.DUMMYFUNCTION("""COMPUTED_VALUE"""),"%")</f>
        <v>%</v>
      </c>
      <c r="AA10" s="49">
        <f>IFERROR(__xludf.DUMMYFUNCTION("""COMPUTED_VALUE"""),3.0)</f>
        <v>3</v>
      </c>
      <c r="AB10" s="50"/>
      <c r="AC10" s="38"/>
      <c r="AD10" s="45" t="str">
        <f>IFERROR(__xludf.DUMMYFUNCTION("""COMPUTED_VALUE"""),"")</f>
        <v/>
      </c>
      <c r="AE10" s="46" t="str">
        <f>IFERROR(__xludf.DUMMYFUNCTION("""COMPUTED_VALUE"""),"AP")</f>
        <v>AP</v>
      </c>
      <c r="AF10" s="47" t="str">
        <f>IFERROR(__xludf.DUMMYFUNCTION("""COMPUTED_VALUE"""),"")</f>
        <v/>
      </c>
      <c r="AG10" s="48" t="str">
        <f>IFERROR(__xludf.DUMMYFUNCTION("""COMPUTED_VALUE"""),"%")</f>
        <v>%</v>
      </c>
      <c r="AH10" s="43">
        <f>IFERROR(__xludf.DUMMYFUNCTION("""COMPUTED_VALUE"""),9.0)</f>
        <v>9</v>
      </c>
      <c r="AI10" s="44">
        <f>IFERROR(__xludf.DUMMYFUNCTION("""COMPUTED_VALUE"""),1121.0)</f>
        <v>1121</v>
      </c>
      <c r="AJ10" s="51" t="str">
        <f>IFERROR(__xludf.DUMMYFUNCTION("""COMPUTED_VALUE"""),"フロレンティア")</f>
        <v>フロレンティア</v>
      </c>
    </row>
    <row r="11" ht="24.75" customHeight="1">
      <c r="A11" s="28">
        <f>IFERROR(__xludf.DUMMYFUNCTION("""COMPUTED_VALUE"""),9.0)</f>
        <v>9</v>
      </c>
      <c r="B11" s="28" t="str">
        <f>IFERROR(__xludf.DUMMYFUNCTION("""COMPUTED_VALUE"""),"A301")</f>
        <v>A301</v>
      </c>
      <c r="C11" s="28" t="str">
        <f>IFERROR(__xludf.DUMMYFUNCTION("""COMPUTED_VALUE"""),"EPU11")</f>
        <v>EPU11</v>
      </c>
      <c r="D11" s="29" t="str">
        <f>IFERROR(__xludf.DUMMYFUNCTION("""COMPUTED_VALUE"""),"E Pluribus Unum")</f>
        <v>E Pluribus Unum</v>
      </c>
      <c r="E11" s="30" t="str">
        <f>IFERROR(__xludf.DUMMYFUNCTION("""COMPUTED_VALUE"""),"Kearney")</f>
        <v>Kearney</v>
      </c>
      <c r="F11" s="31">
        <f>IFERROR(__xludf.DUMMYFUNCTION("""COMPUTED_VALUE"""),18.0)</f>
        <v>18</v>
      </c>
      <c r="G11" s="32">
        <f>IFERROR(__xludf.DUMMYFUNCTION("""COMPUTED_VALUE"""),2205.0)</f>
        <v>2205</v>
      </c>
      <c r="H11" s="33" t="str">
        <f>IFERROR(__xludf.DUMMYFUNCTION("""COMPUTED_VALUE"""),"")</f>
        <v/>
      </c>
      <c r="I11" s="34">
        <f>IFERROR(__xludf.DUMMYFUNCTION("""COMPUTED_VALUE"""),32.5)</f>
        <v>32.5</v>
      </c>
      <c r="J11" s="35" t="str">
        <f>IFERROR(__xludf.DUMMYFUNCTION("""COMPUTED_VALUE"""),"AP")</f>
        <v>AP</v>
      </c>
      <c r="K11" s="34">
        <f>IFERROR(__xludf.DUMMYFUNCTION("""COMPUTED_VALUE"""),55.5)</f>
        <v>55.5</v>
      </c>
      <c r="L11" s="35" t="str">
        <f>IFERROR(__xludf.DUMMYFUNCTION("""COMPUTED_VALUE"""),"%")</f>
        <v>%</v>
      </c>
      <c r="M11" s="36">
        <f>IFERROR(__xludf.DUMMYFUNCTION("""COMPUTED_VALUE"""),1.0)</f>
        <v>1</v>
      </c>
      <c r="N11" s="37" t="str">
        <f>IFERROR(__xludf.DUMMYFUNCTION("""COMPUTED_VALUE"""),"A105")</f>
        <v>A105</v>
      </c>
      <c r="O11" s="38" t="str">
        <f>IFERROR(__xludf.DUMMYFUNCTION("""COMPUTED_VALUE"""),"")</f>
        <v/>
      </c>
      <c r="P11" s="34">
        <f>IFERROR(__xludf.DUMMYFUNCTION("""COMPUTED_VALUE"""),145.4)</f>
        <v>145.4</v>
      </c>
      <c r="Q11" s="35" t="str">
        <f>IFERROR(__xludf.DUMMYFUNCTION("""COMPUTED_VALUE"""),"AP")</f>
        <v>AP</v>
      </c>
      <c r="R11" s="34">
        <f>IFERROR(__xludf.DUMMYFUNCTION("""COMPUTED_VALUE"""),12.4)</f>
        <v>12.4</v>
      </c>
      <c r="S11" s="35" t="str">
        <f>IFERROR(__xludf.DUMMYFUNCTION("""COMPUTED_VALUE"""),"%")</f>
        <v>%</v>
      </c>
      <c r="T11" s="36">
        <f>IFERROR(__xludf.DUMMYFUNCTION("""COMPUTED_VALUE"""),2.0)</f>
        <v>2</v>
      </c>
      <c r="U11" s="37" t="str">
        <f>IFERROR(__xludf.DUMMYFUNCTION("""COMPUTED_VALUE"""),"B113")</f>
        <v>B113</v>
      </c>
      <c r="V11" s="38" t="str">
        <f>IFERROR(__xludf.DUMMYFUNCTION("""COMPUTED_VALUE"""),"")</f>
        <v/>
      </c>
      <c r="W11" s="34">
        <f>IFERROR(__xludf.DUMMYFUNCTION("""COMPUTED_VALUE"""),193.3)</f>
        <v>193.3</v>
      </c>
      <c r="X11" s="35" t="str">
        <f>IFERROR(__xludf.DUMMYFUNCTION("""COMPUTED_VALUE"""),"AP")</f>
        <v>AP</v>
      </c>
      <c r="Y11" s="34">
        <f>IFERROR(__xludf.DUMMYFUNCTION("""COMPUTED_VALUE"""),9.3)</f>
        <v>9.3</v>
      </c>
      <c r="Z11" s="35" t="str">
        <f>IFERROR(__xludf.DUMMYFUNCTION("""COMPUTED_VALUE"""),"%")</f>
        <v>%</v>
      </c>
      <c r="AA11" s="36">
        <f>IFERROR(__xludf.DUMMYFUNCTION("""COMPUTED_VALUE"""),3.0)</f>
        <v>3</v>
      </c>
      <c r="AB11" s="37"/>
      <c r="AC11" s="38"/>
      <c r="AD11" s="34" t="str">
        <f>IFERROR(__xludf.DUMMYFUNCTION("""COMPUTED_VALUE"""),"")</f>
        <v/>
      </c>
      <c r="AE11" s="35" t="str">
        <f>IFERROR(__xludf.DUMMYFUNCTION("""COMPUTED_VALUE"""),"AP")</f>
        <v>AP</v>
      </c>
      <c r="AF11" s="34" t="str">
        <f>IFERROR(__xludf.DUMMYFUNCTION("""COMPUTED_VALUE"""),"")</f>
        <v/>
      </c>
      <c r="AG11" s="35" t="str">
        <f>IFERROR(__xludf.DUMMYFUNCTION("""COMPUTED_VALUE"""),"%")</f>
        <v>%</v>
      </c>
      <c r="AH11" s="31">
        <f>IFERROR(__xludf.DUMMYFUNCTION("""COMPUTED_VALUE"""),18.0)</f>
        <v>18</v>
      </c>
      <c r="AI11" s="32">
        <f>IFERROR(__xludf.DUMMYFUNCTION("""COMPUTED_VALUE"""),2205.0)</f>
        <v>2205</v>
      </c>
      <c r="AJ11" s="39" t="str">
        <f>IFERROR(__xludf.DUMMYFUNCTION("""COMPUTED_VALUE"""),"カーニー")</f>
        <v>カーニー</v>
      </c>
    </row>
    <row r="12" ht="24.75" customHeight="1">
      <c r="A12" s="40">
        <f>IFERROR(__xludf.DUMMYFUNCTION("""COMPUTED_VALUE"""),10.0)</f>
        <v>10</v>
      </c>
      <c r="B12" s="40" t="str">
        <f>IFERROR(__xludf.DUMMYFUNCTION("""COMPUTED_VALUE"""),"A301")</f>
        <v>A301</v>
      </c>
      <c r="C12" s="40" t="str">
        <f>IFERROR(__xludf.DUMMYFUNCTION("""COMPUTED_VALUE"""),"EPU9")</f>
        <v>EPU9</v>
      </c>
      <c r="D12" s="41" t="str">
        <f>IFERROR(__xludf.DUMMYFUNCTION("""COMPUTED_VALUE"""),"E Pluribus Unum")</f>
        <v>E Pluribus Unum</v>
      </c>
      <c r="E12" s="42" t="str">
        <f>IFERROR(__xludf.DUMMYFUNCTION("""COMPUTED_VALUE"""),"Lubbock")</f>
        <v>Lubbock</v>
      </c>
      <c r="F12" s="43">
        <f>IFERROR(__xludf.DUMMYFUNCTION("""COMPUTED_VALUE"""),18.0)</f>
        <v>18</v>
      </c>
      <c r="G12" s="44">
        <f>IFERROR(__xludf.DUMMYFUNCTION("""COMPUTED_VALUE"""),1005.0)</f>
        <v>1005</v>
      </c>
      <c r="H12" s="33" t="str">
        <f>IFERROR(__xludf.DUMMYFUNCTION("""COMPUTED_VALUE"""),"")</f>
        <v/>
      </c>
      <c r="I12" s="45">
        <f>IFERROR(__xludf.DUMMYFUNCTION("""COMPUTED_VALUE"""),33.3)</f>
        <v>33.3</v>
      </c>
      <c r="J12" s="46" t="str">
        <f>IFERROR(__xludf.DUMMYFUNCTION("""COMPUTED_VALUE"""),"AP")</f>
        <v>AP</v>
      </c>
      <c r="K12" s="47">
        <f>IFERROR(__xludf.DUMMYFUNCTION("""COMPUTED_VALUE"""),54.1)</f>
        <v>54.1</v>
      </c>
      <c r="L12" s="48" t="str">
        <f>IFERROR(__xludf.DUMMYFUNCTION("""COMPUTED_VALUE"""),"%")</f>
        <v>%</v>
      </c>
      <c r="M12" s="49">
        <f>IFERROR(__xludf.DUMMYFUNCTION("""COMPUTED_VALUE"""),1.0)</f>
        <v>1</v>
      </c>
      <c r="N12" s="50" t="str">
        <f>IFERROR(__xludf.DUMMYFUNCTION("""COMPUTED_VALUE"""),"A107")</f>
        <v>A107</v>
      </c>
      <c r="O12" s="38" t="str">
        <f>IFERROR(__xludf.DUMMYFUNCTION("""COMPUTED_VALUE"""),"")</f>
        <v/>
      </c>
      <c r="P12" s="45">
        <f>IFERROR(__xludf.DUMMYFUNCTION("""COMPUTED_VALUE"""),145.9)</f>
        <v>145.9</v>
      </c>
      <c r="Q12" s="46" t="str">
        <f>IFERROR(__xludf.DUMMYFUNCTION("""COMPUTED_VALUE"""),"AP")</f>
        <v>AP</v>
      </c>
      <c r="R12" s="47">
        <f>IFERROR(__xludf.DUMMYFUNCTION("""COMPUTED_VALUE"""),12.3)</f>
        <v>12.3</v>
      </c>
      <c r="S12" s="48" t="str">
        <f>IFERROR(__xludf.DUMMYFUNCTION("""COMPUTED_VALUE"""),"%")</f>
        <v>%</v>
      </c>
      <c r="T12" s="49">
        <f>IFERROR(__xludf.DUMMYFUNCTION("""COMPUTED_VALUE"""),2.0)</f>
        <v>2</v>
      </c>
      <c r="U12" s="50" t="str">
        <f>IFERROR(__xludf.DUMMYFUNCTION("""COMPUTED_VALUE"""),"B116")</f>
        <v>B116</v>
      </c>
      <c r="V12" s="38" t="str">
        <f>IFERROR(__xludf.DUMMYFUNCTION("""COMPUTED_VALUE"""),"")</f>
        <v/>
      </c>
      <c r="W12" s="45">
        <f>IFERROR(__xludf.DUMMYFUNCTION("""COMPUTED_VALUE"""),218.0)</f>
        <v>218</v>
      </c>
      <c r="X12" s="46" t="str">
        <f>IFERROR(__xludf.DUMMYFUNCTION("""COMPUTED_VALUE"""),"AP")</f>
        <v>AP</v>
      </c>
      <c r="Y12" s="47">
        <f>IFERROR(__xludf.DUMMYFUNCTION("""COMPUTED_VALUE"""),8.3)</f>
        <v>8.3</v>
      </c>
      <c r="Z12" s="48" t="str">
        <f>IFERROR(__xludf.DUMMYFUNCTION("""COMPUTED_VALUE"""),"%")</f>
        <v>%</v>
      </c>
      <c r="AA12" s="49">
        <f>IFERROR(__xludf.DUMMYFUNCTION("""COMPUTED_VALUE"""),3.0)</f>
        <v>3</v>
      </c>
      <c r="AB12" s="50"/>
      <c r="AC12" s="38"/>
      <c r="AD12" s="45" t="str">
        <f>IFERROR(__xludf.DUMMYFUNCTION("""COMPUTED_VALUE"""),"")</f>
        <v/>
      </c>
      <c r="AE12" s="46" t="str">
        <f>IFERROR(__xludf.DUMMYFUNCTION("""COMPUTED_VALUE"""),"AP")</f>
        <v>AP</v>
      </c>
      <c r="AF12" s="47" t="str">
        <f>IFERROR(__xludf.DUMMYFUNCTION("""COMPUTED_VALUE"""),"")</f>
        <v/>
      </c>
      <c r="AG12" s="48" t="str">
        <f>IFERROR(__xludf.DUMMYFUNCTION("""COMPUTED_VALUE"""),"%")</f>
        <v>%</v>
      </c>
      <c r="AH12" s="43">
        <f>IFERROR(__xludf.DUMMYFUNCTION("""COMPUTED_VALUE"""),18.0)</f>
        <v>18</v>
      </c>
      <c r="AI12" s="44">
        <f>IFERROR(__xludf.DUMMYFUNCTION("""COMPUTED_VALUE"""),1005.0)</f>
        <v>1005</v>
      </c>
      <c r="AJ12" s="51" t="str">
        <f>IFERROR(__xludf.DUMMYFUNCTION("""COMPUTED_VALUE"""),"ラボック")</f>
        <v>ラボック</v>
      </c>
    </row>
    <row r="13" ht="24.75" customHeight="1">
      <c r="A13" s="28">
        <f>IFERROR(__xludf.DUMMYFUNCTION("""COMPUTED_VALUE"""),11.0)</f>
        <v>11</v>
      </c>
      <c r="B13" s="28" t="str">
        <f>IFERROR(__xludf.DUMMYFUNCTION("""COMPUTED_VALUE"""),"A301")</f>
        <v>A301</v>
      </c>
      <c r="C13" s="28" t="str">
        <f>IFERROR(__xludf.DUMMYFUNCTION("""COMPUTED_VALUE"""),"EPU10")</f>
        <v>EPU10</v>
      </c>
      <c r="D13" s="29" t="str">
        <f>IFERROR(__xludf.DUMMYFUNCTION("""COMPUTED_VALUE"""),"E Pluribus Unum")</f>
        <v>E Pluribus Unum</v>
      </c>
      <c r="E13" s="30" t="str">
        <f>IFERROR(__xludf.DUMMYFUNCTION("""COMPUTED_VALUE"""),"Alexandria")</f>
        <v>Alexandria</v>
      </c>
      <c r="F13" s="31">
        <f>IFERROR(__xludf.DUMMYFUNCTION("""COMPUTED_VALUE"""),18.0)</f>
        <v>18</v>
      </c>
      <c r="G13" s="32">
        <f>IFERROR(__xludf.DUMMYFUNCTION("""COMPUTED_VALUE"""),12696.0)</f>
        <v>12696</v>
      </c>
      <c r="H13" s="33" t="str">
        <f>IFERROR(__xludf.DUMMYFUNCTION("""COMPUTED_VALUE"""),"")</f>
        <v/>
      </c>
      <c r="I13" s="34">
        <f>IFERROR(__xludf.DUMMYFUNCTION("""COMPUTED_VALUE"""),33.7)</f>
        <v>33.7</v>
      </c>
      <c r="J13" s="35" t="str">
        <f>IFERROR(__xludf.DUMMYFUNCTION("""COMPUTED_VALUE"""),"AP")</f>
        <v>AP</v>
      </c>
      <c r="K13" s="34">
        <f>IFERROR(__xludf.DUMMYFUNCTION("""COMPUTED_VALUE"""),53.4)</f>
        <v>53.4</v>
      </c>
      <c r="L13" s="35" t="str">
        <f>IFERROR(__xludf.DUMMYFUNCTION("""COMPUTED_VALUE"""),"%")</f>
        <v>%</v>
      </c>
      <c r="M13" s="36">
        <f>IFERROR(__xludf.DUMMYFUNCTION("""COMPUTED_VALUE"""),1.0)</f>
        <v>1</v>
      </c>
      <c r="N13" s="37" t="str">
        <f>IFERROR(__xludf.DUMMYFUNCTION("""COMPUTED_VALUE"""),"A106")</f>
        <v>A106</v>
      </c>
      <c r="O13" s="38" t="str">
        <f>IFERROR(__xludf.DUMMYFUNCTION("""COMPUTED_VALUE"""),"")</f>
        <v/>
      </c>
      <c r="P13" s="34">
        <f>IFERROR(__xludf.DUMMYFUNCTION("""COMPUTED_VALUE"""),148.6)</f>
        <v>148.6</v>
      </c>
      <c r="Q13" s="35" t="str">
        <f>IFERROR(__xludf.DUMMYFUNCTION("""COMPUTED_VALUE"""),"AP")</f>
        <v>AP</v>
      </c>
      <c r="R13" s="34">
        <f>IFERROR(__xludf.DUMMYFUNCTION("""COMPUTED_VALUE"""),12.1)</f>
        <v>12.1</v>
      </c>
      <c r="S13" s="35" t="str">
        <f>IFERROR(__xludf.DUMMYFUNCTION("""COMPUTED_VALUE"""),"%")</f>
        <v>%</v>
      </c>
      <c r="T13" s="36">
        <f>IFERROR(__xludf.DUMMYFUNCTION("""COMPUTED_VALUE"""),2.0)</f>
        <v>2</v>
      </c>
      <c r="U13" s="37" t="str">
        <f>IFERROR(__xludf.DUMMYFUNCTION("""COMPUTED_VALUE"""),"B112")</f>
        <v>B112</v>
      </c>
      <c r="V13" s="38" t="str">
        <f>IFERROR(__xludf.DUMMYFUNCTION("""COMPUTED_VALUE"""),"")</f>
        <v/>
      </c>
      <c r="W13" s="34">
        <f>IFERROR(__xludf.DUMMYFUNCTION("""COMPUTED_VALUE"""),225.2)</f>
        <v>225.2</v>
      </c>
      <c r="X13" s="35" t="str">
        <f>IFERROR(__xludf.DUMMYFUNCTION("""COMPUTED_VALUE"""),"AP")</f>
        <v>AP</v>
      </c>
      <c r="Y13" s="34">
        <f>IFERROR(__xludf.DUMMYFUNCTION("""COMPUTED_VALUE"""),8.0)</f>
        <v>8</v>
      </c>
      <c r="Z13" s="35" t="str">
        <f>IFERROR(__xludf.DUMMYFUNCTION("""COMPUTED_VALUE"""),"%")</f>
        <v>%</v>
      </c>
      <c r="AA13" s="36">
        <f>IFERROR(__xludf.DUMMYFUNCTION("""COMPUTED_VALUE"""),3.0)</f>
        <v>3</v>
      </c>
      <c r="AB13" s="37"/>
      <c r="AC13" s="38"/>
      <c r="AD13" s="34" t="str">
        <f>IFERROR(__xludf.DUMMYFUNCTION("""COMPUTED_VALUE"""),"")</f>
        <v/>
      </c>
      <c r="AE13" s="35" t="str">
        <f>IFERROR(__xludf.DUMMYFUNCTION("""COMPUTED_VALUE"""),"AP")</f>
        <v>AP</v>
      </c>
      <c r="AF13" s="34" t="str">
        <f>IFERROR(__xludf.DUMMYFUNCTION("""COMPUTED_VALUE"""),"")</f>
        <v/>
      </c>
      <c r="AG13" s="35" t="str">
        <f>IFERROR(__xludf.DUMMYFUNCTION("""COMPUTED_VALUE"""),"%")</f>
        <v>%</v>
      </c>
      <c r="AH13" s="31">
        <f>IFERROR(__xludf.DUMMYFUNCTION("""COMPUTED_VALUE"""),18.0)</f>
        <v>18</v>
      </c>
      <c r="AI13" s="32">
        <f>IFERROR(__xludf.DUMMYFUNCTION("""COMPUTED_VALUE"""),12696.0)</f>
        <v>12696</v>
      </c>
      <c r="AJ13" s="39" t="str">
        <f>IFERROR(__xludf.DUMMYFUNCTION("""COMPUTED_VALUE"""),"アレクサンドリア")</f>
        <v>アレクサンドリア</v>
      </c>
    </row>
    <row r="14" ht="24.75" customHeight="1">
      <c r="A14" s="40">
        <f>IFERROR(__xludf.DUMMYFUNCTION("""COMPUTED_VALUE"""),12.0)</f>
        <v>12</v>
      </c>
      <c r="B14" s="40" t="str">
        <f>IFERROR(__xludf.DUMMYFUNCTION("""COMPUTED_VALUE"""),"A301")</f>
        <v>A301</v>
      </c>
      <c r="C14" s="40" t="str">
        <f>IFERROR(__xludf.DUMMYFUNCTION("""COMPUTED_VALUE"""),"ORL1")</f>
        <v>ORL1</v>
      </c>
      <c r="D14" s="41" t="str">
        <f>IFERROR(__xludf.DUMMYFUNCTION("""COMPUTED_VALUE"""),"Orleans")</f>
        <v>Orleans</v>
      </c>
      <c r="E14" s="42" t="str">
        <f>IFERROR(__xludf.DUMMYFUNCTION("""COMPUTED_VALUE"""),"Domremy")</f>
        <v>Domremy</v>
      </c>
      <c r="F14" s="43">
        <f>IFERROR(__xludf.DUMMYFUNCTION("""COMPUTED_VALUE"""),7.0)</f>
        <v>7</v>
      </c>
      <c r="G14" s="44">
        <f>IFERROR(__xludf.DUMMYFUNCTION("""COMPUTED_VALUE"""),1532.0)</f>
        <v>1532</v>
      </c>
      <c r="H14" s="33" t="str">
        <f>IFERROR(__xludf.DUMMYFUNCTION("""COMPUTED_VALUE"""),"")</f>
        <v/>
      </c>
      <c r="I14" s="45">
        <f>IFERROR(__xludf.DUMMYFUNCTION("""COMPUTED_VALUE"""),34.0)</f>
        <v>34</v>
      </c>
      <c r="J14" s="46" t="str">
        <f>IFERROR(__xludf.DUMMYFUNCTION("""COMPUTED_VALUE"""),"AP")</f>
        <v>AP</v>
      </c>
      <c r="K14" s="47">
        <f>IFERROR(__xludf.DUMMYFUNCTION("""COMPUTED_VALUE"""),20.6)</f>
        <v>20.6</v>
      </c>
      <c r="L14" s="48" t="str">
        <f>IFERROR(__xludf.DUMMYFUNCTION("""COMPUTED_VALUE"""),"%")</f>
        <v>%</v>
      </c>
      <c r="M14" s="49">
        <f>IFERROR(__xludf.DUMMYFUNCTION("""COMPUTED_VALUE"""),1.0)</f>
        <v>1</v>
      </c>
      <c r="N14" s="50"/>
      <c r="O14" s="38"/>
      <c r="P14" s="45" t="str">
        <f>IFERROR(__xludf.DUMMYFUNCTION("""COMPUTED_VALUE"""),"")</f>
        <v/>
      </c>
      <c r="Q14" s="46" t="str">
        <f>IFERROR(__xludf.DUMMYFUNCTION("""COMPUTED_VALUE"""),"AP")</f>
        <v>AP</v>
      </c>
      <c r="R14" s="47" t="str">
        <f>IFERROR(__xludf.DUMMYFUNCTION("""COMPUTED_VALUE"""),"")</f>
        <v/>
      </c>
      <c r="S14" s="48" t="str">
        <f>IFERROR(__xludf.DUMMYFUNCTION("""COMPUTED_VALUE"""),"%")</f>
        <v>%</v>
      </c>
      <c r="T14" s="49">
        <f>IFERROR(__xludf.DUMMYFUNCTION("""COMPUTED_VALUE"""),2.0)</f>
        <v>2</v>
      </c>
      <c r="U14" s="50"/>
      <c r="V14" s="38"/>
      <c r="W14" s="45" t="str">
        <f>IFERROR(__xludf.DUMMYFUNCTION("""COMPUTED_VALUE"""),"")</f>
        <v/>
      </c>
      <c r="X14" s="46" t="str">
        <f>IFERROR(__xludf.DUMMYFUNCTION("""COMPUTED_VALUE"""),"AP")</f>
        <v>AP</v>
      </c>
      <c r="Y14" s="47" t="str">
        <f>IFERROR(__xludf.DUMMYFUNCTION("""COMPUTED_VALUE"""),"")</f>
        <v/>
      </c>
      <c r="Z14" s="48" t="str">
        <f>IFERROR(__xludf.DUMMYFUNCTION("""COMPUTED_VALUE"""),"%")</f>
        <v>%</v>
      </c>
      <c r="AA14" s="49">
        <f>IFERROR(__xludf.DUMMYFUNCTION("""COMPUTED_VALUE"""),3.0)</f>
        <v>3</v>
      </c>
      <c r="AB14" s="50"/>
      <c r="AC14" s="38"/>
      <c r="AD14" s="45" t="str">
        <f>IFERROR(__xludf.DUMMYFUNCTION("""COMPUTED_VALUE"""),"")</f>
        <v/>
      </c>
      <c r="AE14" s="46" t="str">
        <f>IFERROR(__xludf.DUMMYFUNCTION("""COMPUTED_VALUE"""),"AP")</f>
        <v>AP</v>
      </c>
      <c r="AF14" s="47" t="str">
        <f>IFERROR(__xludf.DUMMYFUNCTION("""COMPUTED_VALUE"""),"")</f>
        <v/>
      </c>
      <c r="AG14" s="48" t="str">
        <f>IFERROR(__xludf.DUMMYFUNCTION("""COMPUTED_VALUE"""),"%")</f>
        <v>%</v>
      </c>
      <c r="AH14" s="43">
        <f>IFERROR(__xludf.DUMMYFUNCTION("""COMPUTED_VALUE"""),7.0)</f>
        <v>7</v>
      </c>
      <c r="AI14" s="44">
        <f>IFERROR(__xludf.DUMMYFUNCTION("""COMPUTED_VALUE"""),1532.0)</f>
        <v>1532</v>
      </c>
      <c r="AJ14" s="51" t="str">
        <f>IFERROR(__xludf.DUMMYFUNCTION("""COMPUTED_VALUE"""),"ドンレミ")</f>
        <v>ドンレミ</v>
      </c>
    </row>
    <row r="15" ht="24.75" customHeight="1">
      <c r="A15" s="28">
        <f>IFERROR(__xludf.DUMMYFUNCTION("""COMPUTED_VALUE"""),13.0)</f>
        <v>13</v>
      </c>
      <c r="B15" s="28" t="str">
        <f>IFERROR(__xludf.DUMMYFUNCTION("""COMPUTED_VALUE"""),"A301")</f>
        <v>A301</v>
      </c>
      <c r="C15" s="28" t="str">
        <f>IFERROR(__xludf.DUMMYFUNCTION("""COMPUTED_VALUE"""),"EPU6")</f>
        <v>EPU6</v>
      </c>
      <c r="D15" s="29" t="str">
        <f>IFERROR(__xludf.DUMMYFUNCTION("""COMPUTED_VALUE"""),"E Pluribus Unum")</f>
        <v>E Pluribus Unum</v>
      </c>
      <c r="E15" s="30" t="str">
        <f>IFERROR(__xludf.DUMMYFUNCTION("""COMPUTED_VALUE"""),"Alcatraz")</f>
        <v>Alcatraz</v>
      </c>
      <c r="F15" s="31">
        <f>IFERROR(__xludf.DUMMYFUNCTION("""COMPUTED_VALUE"""),18.0)</f>
        <v>18</v>
      </c>
      <c r="G15" s="32">
        <f>IFERROR(__xludf.DUMMYFUNCTION("""COMPUTED_VALUE"""),1210.0)</f>
        <v>1210</v>
      </c>
      <c r="H15" s="33" t="str">
        <f>IFERROR(__xludf.DUMMYFUNCTION("""COMPUTED_VALUE"""),"")</f>
        <v/>
      </c>
      <c r="I15" s="34">
        <f>IFERROR(__xludf.DUMMYFUNCTION("""COMPUTED_VALUE"""),35.2)</f>
        <v>35.2</v>
      </c>
      <c r="J15" s="35" t="str">
        <f>IFERROR(__xludf.DUMMYFUNCTION("""COMPUTED_VALUE"""),"AP")</f>
        <v>AP</v>
      </c>
      <c r="K15" s="34">
        <f>IFERROR(__xludf.DUMMYFUNCTION("""COMPUTED_VALUE"""),51.1)</f>
        <v>51.1</v>
      </c>
      <c r="L15" s="35" t="str">
        <f>IFERROR(__xludf.DUMMYFUNCTION("""COMPUTED_VALUE"""),"%")</f>
        <v>%</v>
      </c>
      <c r="M15" s="36">
        <f>IFERROR(__xludf.DUMMYFUNCTION("""COMPUTED_VALUE"""),1.0)</f>
        <v>1</v>
      </c>
      <c r="N15" s="37" t="str">
        <f>IFERROR(__xludf.DUMMYFUNCTION("""COMPUTED_VALUE"""),"A304")</f>
        <v>A304</v>
      </c>
      <c r="O15" s="38" t="str">
        <f>IFERROR(__xludf.DUMMYFUNCTION("""COMPUTED_VALUE"""),"")</f>
        <v/>
      </c>
      <c r="P15" s="34">
        <f>IFERROR(__xludf.DUMMYFUNCTION("""COMPUTED_VALUE"""),159.0)</f>
        <v>159</v>
      </c>
      <c r="Q15" s="35" t="str">
        <f>IFERROR(__xludf.DUMMYFUNCTION("""COMPUTED_VALUE"""),"AP")</f>
        <v>AP</v>
      </c>
      <c r="R15" s="34">
        <f>IFERROR(__xludf.DUMMYFUNCTION("""COMPUTED_VALUE"""),11.3)</f>
        <v>11.3</v>
      </c>
      <c r="S15" s="35" t="str">
        <f>IFERROR(__xludf.DUMMYFUNCTION("""COMPUTED_VALUE"""),"%")</f>
        <v>%</v>
      </c>
      <c r="T15" s="36">
        <f>IFERROR(__xludf.DUMMYFUNCTION("""COMPUTED_VALUE"""),2.0)</f>
        <v>2</v>
      </c>
      <c r="U15" s="37"/>
      <c r="V15" s="38"/>
      <c r="W15" s="34" t="str">
        <f>IFERROR(__xludf.DUMMYFUNCTION("""COMPUTED_VALUE"""),"")</f>
        <v/>
      </c>
      <c r="X15" s="35" t="str">
        <f>IFERROR(__xludf.DUMMYFUNCTION("""COMPUTED_VALUE"""),"AP")</f>
        <v>AP</v>
      </c>
      <c r="Y15" s="34" t="str">
        <f>IFERROR(__xludf.DUMMYFUNCTION("""COMPUTED_VALUE"""),"")</f>
        <v/>
      </c>
      <c r="Z15" s="35" t="str">
        <f>IFERROR(__xludf.DUMMYFUNCTION("""COMPUTED_VALUE"""),"%")</f>
        <v>%</v>
      </c>
      <c r="AA15" s="36">
        <f>IFERROR(__xludf.DUMMYFUNCTION("""COMPUTED_VALUE"""),3.0)</f>
        <v>3</v>
      </c>
      <c r="AB15" s="37"/>
      <c r="AC15" s="38"/>
      <c r="AD15" s="34" t="str">
        <f>IFERROR(__xludf.DUMMYFUNCTION("""COMPUTED_VALUE"""),"")</f>
        <v/>
      </c>
      <c r="AE15" s="35" t="str">
        <f>IFERROR(__xludf.DUMMYFUNCTION("""COMPUTED_VALUE"""),"AP")</f>
        <v>AP</v>
      </c>
      <c r="AF15" s="34" t="str">
        <f>IFERROR(__xludf.DUMMYFUNCTION("""COMPUTED_VALUE"""),"")</f>
        <v/>
      </c>
      <c r="AG15" s="35" t="str">
        <f>IFERROR(__xludf.DUMMYFUNCTION("""COMPUTED_VALUE"""),"%")</f>
        <v>%</v>
      </c>
      <c r="AH15" s="31">
        <f>IFERROR(__xludf.DUMMYFUNCTION("""COMPUTED_VALUE"""),18.0)</f>
        <v>18</v>
      </c>
      <c r="AI15" s="32">
        <f>IFERROR(__xludf.DUMMYFUNCTION("""COMPUTED_VALUE"""),1210.0)</f>
        <v>1210</v>
      </c>
      <c r="AJ15" s="39" t="str">
        <f>IFERROR(__xludf.DUMMYFUNCTION("""COMPUTED_VALUE"""),"アルカトラズ")</f>
        <v>アルカトラズ</v>
      </c>
    </row>
    <row r="16" ht="24.75" customHeight="1">
      <c r="A16" s="40">
        <f>IFERROR(__xludf.DUMMYFUNCTION("""COMPUTED_VALUE"""),14.0)</f>
        <v>14</v>
      </c>
      <c r="B16" s="40" t="str">
        <f>IFERROR(__xludf.DUMMYFUNCTION("""COMPUTED_VALUE"""),"A301")</f>
        <v>A301</v>
      </c>
      <c r="C16" s="40" t="str">
        <f>IFERROR(__xludf.DUMMYFUNCTION("""COMPUTED_VALUE"""),"ORL5")</f>
        <v>ORL5</v>
      </c>
      <c r="D16" s="41" t="str">
        <f>IFERROR(__xludf.DUMMYFUNCTION("""COMPUTED_VALUE"""),"Orleans")</f>
        <v>Orleans</v>
      </c>
      <c r="E16" s="42" t="str">
        <f>IFERROR(__xludf.DUMMYFUNCTION("""COMPUTED_VALUE"""),"Lyon")</f>
        <v>Lyon</v>
      </c>
      <c r="F16" s="43">
        <f>IFERROR(__xludf.DUMMYFUNCTION("""COMPUTED_VALUE"""),7.0)</f>
        <v>7</v>
      </c>
      <c r="G16" s="44">
        <f>IFERROR(__xludf.DUMMYFUNCTION("""COMPUTED_VALUE"""),1113.0)</f>
        <v>1113</v>
      </c>
      <c r="H16" s="33" t="str">
        <f>IFERROR(__xludf.DUMMYFUNCTION("""COMPUTED_VALUE"""),"")</f>
        <v/>
      </c>
      <c r="I16" s="45">
        <f>IFERROR(__xludf.DUMMYFUNCTION("""COMPUTED_VALUE"""),37.6)</f>
        <v>37.6</v>
      </c>
      <c r="J16" s="46" t="str">
        <f>IFERROR(__xludf.DUMMYFUNCTION("""COMPUTED_VALUE"""),"AP")</f>
        <v>AP</v>
      </c>
      <c r="K16" s="47">
        <f>IFERROR(__xludf.DUMMYFUNCTION("""COMPUTED_VALUE"""),18.6)</f>
        <v>18.6</v>
      </c>
      <c r="L16" s="48" t="str">
        <f>IFERROR(__xludf.DUMMYFUNCTION("""COMPUTED_VALUE"""),"%")</f>
        <v>%</v>
      </c>
      <c r="M16" s="49">
        <f>IFERROR(__xludf.DUMMYFUNCTION("""COMPUTED_VALUE"""),1.0)</f>
        <v>1</v>
      </c>
      <c r="N16" s="50" t="str">
        <f>IFERROR(__xludf.DUMMYFUNCTION("""COMPUTED_VALUE"""),"A304")</f>
        <v>A304</v>
      </c>
      <c r="O16" s="38" t="str">
        <f>IFERROR(__xludf.DUMMYFUNCTION("""COMPUTED_VALUE"""),"")</f>
        <v/>
      </c>
      <c r="P16" s="45">
        <f>IFERROR(__xludf.DUMMYFUNCTION("""COMPUTED_VALUE"""),100.7)</f>
        <v>100.7</v>
      </c>
      <c r="Q16" s="46" t="str">
        <f>IFERROR(__xludf.DUMMYFUNCTION("""COMPUTED_VALUE"""),"AP")</f>
        <v>AP</v>
      </c>
      <c r="R16" s="47">
        <f>IFERROR(__xludf.DUMMYFUNCTION("""COMPUTED_VALUE"""),6.9)</f>
        <v>6.9</v>
      </c>
      <c r="S16" s="48" t="str">
        <f>IFERROR(__xludf.DUMMYFUNCTION("""COMPUTED_VALUE"""),"%")</f>
        <v>%</v>
      </c>
      <c r="T16" s="49">
        <f>IFERROR(__xludf.DUMMYFUNCTION("""COMPUTED_VALUE"""),2.0)</f>
        <v>2</v>
      </c>
      <c r="U16" s="50"/>
      <c r="V16" s="38"/>
      <c r="W16" s="45" t="str">
        <f>IFERROR(__xludf.DUMMYFUNCTION("""COMPUTED_VALUE"""),"")</f>
        <v/>
      </c>
      <c r="X16" s="46" t="str">
        <f>IFERROR(__xludf.DUMMYFUNCTION("""COMPUTED_VALUE"""),"AP")</f>
        <v>AP</v>
      </c>
      <c r="Y16" s="47" t="str">
        <f>IFERROR(__xludf.DUMMYFUNCTION("""COMPUTED_VALUE"""),"")</f>
        <v/>
      </c>
      <c r="Z16" s="48" t="str">
        <f>IFERROR(__xludf.DUMMYFUNCTION("""COMPUTED_VALUE"""),"%")</f>
        <v>%</v>
      </c>
      <c r="AA16" s="49">
        <f>IFERROR(__xludf.DUMMYFUNCTION("""COMPUTED_VALUE"""),3.0)</f>
        <v>3</v>
      </c>
      <c r="AB16" s="50"/>
      <c r="AC16" s="38"/>
      <c r="AD16" s="45" t="str">
        <f>IFERROR(__xludf.DUMMYFUNCTION("""COMPUTED_VALUE"""),"")</f>
        <v/>
      </c>
      <c r="AE16" s="46" t="str">
        <f>IFERROR(__xludf.DUMMYFUNCTION("""COMPUTED_VALUE"""),"AP")</f>
        <v>AP</v>
      </c>
      <c r="AF16" s="47" t="str">
        <f>IFERROR(__xludf.DUMMYFUNCTION("""COMPUTED_VALUE"""),"")</f>
        <v/>
      </c>
      <c r="AG16" s="48" t="str">
        <f>IFERROR(__xludf.DUMMYFUNCTION("""COMPUTED_VALUE"""),"%")</f>
        <v>%</v>
      </c>
      <c r="AH16" s="43">
        <f>IFERROR(__xludf.DUMMYFUNCTION("""COMPUTED_VALUE"""),7.0)</f>
        <v>7</v>
      </c>
      <c r="AI16" s="44">
        <f>IFERROR(__xludf.DUMMYFUNCTION("""COMPUTED_VALUE"""),1113.0)</f>
        <v>1113</v>
      </c>
      <c r="AJ16" s="51" t="str">
        <f>IFERROR(__xludf.DUMMYFUNCTION("""COMPUTED_VALUE"""),"リヨン")</f>
        <v>リヨン</v>
      </c>
    </row>
    <row r="17" ht="24.75" customHeight="1">
      <c r="A17" s="28">
        <f>IFERROR(__xludf.DUMMYFUNCTION("""COMPUTED_VALUE"""),15.0)</f>
        <v>15</v>
      </c>
      <c r="B17" s="28" t="str">
        <f>IFERROR(__xludf.DUMMYFUNCTION("""COMPUTED_VALUE"""),"A301")</f>
        <v>A301</v>
      </c>
      <c r="C17" s="28" t="str">
        <f>IFERROR(__xludf.DUMMYFUNCTION("""COMPUTED_VALUE"""),"EPU13")</f>
        <v>EPU13</v>
      </c>
      <c r="D17" s="29" t="str">
        <f>IFERROR(__xludf.DUMMYFUNCTION("""COMPUTED_VALUE"""),"E Pluribus Unum")</f>
        <v>E Pluribus Unum</v>
      </c>
      <c r="E17" s="30" t="str">
        <f>IFERROR(__xludf.DUMMYFUNCTION("""COMPUTED_VALUE"""),"Washington")</f>
        <v>Washington</v>
      </c>
      <c r="F17" s="31">
        <f>IFERROR(__xludf.DUMMYFUNCTION("""COMPUTED_VALUE"""),20.0)</f>
        <v>20</v>
      </c>
      <c r="G17" s="32">
        <f>IFERROR(__xludf.DUMMYFUNCTION("""COMPUTED_VALUE"""),1551.0)</f>
        <v>1551</v>
      </c>
      <c r="H17" s="33" t="str">
        <f>IFERROR(__xludf.DUMMYFUNCTION("""COMPUTED_VALUE"""),"")</f>
        <v/>
      </c>
      <c r="I17" s="34">
        <f>IFERROR(__xludf.DUMMYFUNCTION("""COMPUTED_VALUE"""),37.9)</f>
        <v>37.9</v>
      </c>
      <c r="J17" s="35" t="str">
        <f>IFERROR(__xludf.DUMMYFUNCTION("""COMPUTED_VALUE"""),"AP")</f>
        <v>AP</v>
      </c>
      <c r="K17" s="34">
        <f>IFERROR(__xludf.DUMMYFUNCTION("""COMPUTED_VALUE"""),52.7)</f>
        <v>52.7</v>
      </c>
      <c r="L17" s="35" t="str">
        <f>IFERROR(__xludf.DUMMYFUNCTION("""COMPUTED_VALUE"""),"%")</f>
        <v>%</v>
      </c>
      <c r="M17" s="36">
        <f>IFERROR(__xludf.DUMMYFUNCTION("""COMPUTED_VALUE"""),1.0)</f>
        <v>1</v>
      </c>
      <c r="N17" s="37" t="str">
        <f>IFERROR(__xludf.DUMMYFUNCTION("""COMPUTED_VALUE"""),"A104")</f>
        <v>A104</v>
      </c>
      <c r="O17" s="38" t="str">
        <f>IFERROR(__xludf.DUMMYFUNCTION("""COMPUTED_VALUE"""),"")</f>
        <v/>
      </c>
      <c r="P17" s="34">
        <f>IFERROR(__xludf.DUMMYFUNCTION("""COMPUTED_VALUE"""),242.3)</f>
        <v>242.3</v>
      </c>
      <c r="Q17" s="35" t="str">
        <f>IFERROR(__xludf.DUMMYFUNCTION("""COMPUTED_VALUE"""),"AP")</f>
        <v>AP</v>
      </c>
      <c r="R17" s="34">
        <f>IFERROR(__xludf.DUMMYFUNCTION("""COMPUTED_VALUE"""),8.3)</f>
        <v>8.3</v>
      </c>
      <c r="S17" s="35" t="str">
        <f>IFERROR(__xludf.DUMMYFUNCTION("""COMPUTED_VALUE"""),"%")</f>
        <v>%</v>
      </c>
      <c r="T17" s="36">
        <f>IFERROR(__xludf.DUMMYFUNCTION("""COMPUTED_VALUE"""),2.0)</f>
        <v>2</v>
      </c>
      <c r="U17" s="37" t="str">
        <f>IFERROR(__xludf.DUMMYFUNCTION("""COMPUTED_VALUE"""),"B101")</f>
        <v>B101</v>
      </c>
      <c r="V17" s="38" t="str">
        <f>IFERROR(__xludf.DUMMYFUNCTION("""COMPUTED_VALUE"""),"")</f>
        <v/>
      </c>
      <c r="W17" s="34">
        <f>IFERROR(__xludf.DUMMYFUNCTION("""COMPUTED_VALUE"""),621.4)</f>
        <v>621.4</v>
      </c>
      <c r="X17" s="35" t="str">
        <f>IFERROR(__xludf.DUMMYFUNCTION("""COMPUTED_VALUE"""),"AP")</f>
        <v>AP</v>
      </c>
      <c r="Y17" s="34">
        <f>IFERROR(__xludf.DUMMYFUNCTION("""COMPUTED_VALUE"""),3.2)</f>
        <v>3.2</v>
      </c>
      <c r="Z17" s="35" t="str">
        <f>IFERROR(__xludf.DUMMYFUNCTION("""COMPUTED_VALUE"""),"%")</f>
        <v>%</v>
      </c>
      <c r="AA17" s="36">
        <f>IFERROR(__xludf.DUMMYFUNCTION("""COMPUTED_VALUE"""),3.0)</f>
        <v>3</v>
      </c>
      <c r="AB17" s="37"/>
      <c r="AC17" s="38"/>
      <c r="AD17" s="34" t="str">
        <f>IFERROR(__xludf.DUMMYFUNCTION("""COMPUTED_VALUE"""),"")</f>
        <v/>
      </c>
      <c r="AE17" s="35" t="str">
        <f>IFERROR(__xludf.DUMMYFUNCTION("""COMPUTED_VALUE"""),"AP")</f>
        <v>AP</v>
      </c>
      <c r="AF17" s="34" t="str">
        <f>IFERROR(__xludf.DUMMYFUNCTION("""COMPUTED_VALUE"""),"")</f>
        <v/>
      </c>
      <c r="AG17" s="35" t="str">
        <f>IFERROR(__xludf.DUMMYFUNCTION("""COMPUTED_VALUE"""),"%")</f>
        <v>%</v>
      </c>
      <c r="AH17" s="31">
        <f>IFERROR(__xludf.DUMMYFUNCTION("""COMPUTED_VALUE"""),20.0)</f>
        <v>20</v>
      </c>
      <c r="AI17" s="32">
        <f>IFERROR(__xludf.DUMMYFUNCTION("""COMPUTED_VALUE"""),1551.0)</f>
        <v>1551</v>
      </c>
      <c r="AJ17" s="39" t="str">
        <f>IFERROR(__xludf.DUMMYFUNCTION("""COMPUTED_VALUE"""),"ワシントン")</f>
        <v>ワシントン</v>
      </c>
    </row>
    <row r="18" ht="24.75" customHeight="1">
      <c r="A18" s="40">
        <f>IFERROR(__xludf.DUMMYFUNCTION("""COMPUTED_VALUE"""),16.0)</f>
        <v>16</v>
      </c>
      <c r="B18" s="40" t="str">
        <f>IFERROR(__xludf.DUMMYFUNCTION("""COMPUTED_VALUE"""),"A301")</f>
        <v>A301</v>
      </c>
      <c r="C18" s="40" t="str">
        <f>IFERROR(__xludf.DUMMYFUNCTION("""COMPUTED_VALUE"""),"SEP2")</f>
        <v>SEP2</v>
      </c>
      <c r="D18" s="41" t="str">
        <f>IFERROR(__xludf.DUMMYFUNCTION("""COMPUTED_VALUE"""),"Septem")</f>
        <v>Septem</v>
      </c>
      <c r="E18" s="42" t="str">
        <f>IFERROR(__xludf.DUMMYFUNCTION("""COMPUTED_VALUE"""),"Rome")</f>
        <v>Rome</v>
      </c>
      <c r="F18" s="43">
        <f>IFERROR(__xludf.DUMMYFUNCTION("""COMPUTED_VALUE"""),9.0)</f>
        <v>9</v>
      </c>
      <c r="G18" s="44">
        <f>IFERROR(__xludf.DUMMYFUNCTION("""COMPUTED_VALUE"""),1797.0)</f>
        <v>1797</v>
      </c>
      <c r="H18" s="33" t="str">
        <f>IFERROR(__xludf.DUMMYFUNCTION("""COMPUTED_VALUE"""),"")</f>
        <v/>
      </c>
      <c r="I18" s="45">
        <f>IFERROR(__xludf.DUMMYFUNCTION("""COMPUTED_VALUE"""),39.5)</f>
        <v>39.5</v>
      </c>
      <c r="J18" s="46" t="str">
        <f>IFERROR(__xludf.DUMMYFUNCTION("""COMPUTED_VALUE"""),"AP")</f>
        <v>AP</v>
      </c>
      <c r="K18" s="47">
        <f>IFERROR(__xludf.DUMMYFUNCTION("""COMPUTED_VALUE"""),22.8)</f>
        <v>22.8</v>
      </c>
      <c r="L18" s="48" t="str">
        <f>IFERROR(__xludf.DUMMYFUNCTION("""COMPUTED_VALUE"""),"%")</f>
        <v>%</v>
      </c>
      <c r="M18" s="49">
        <f>IFERROR(__xludf.DUMMYFUNCTION("""COMPUTED_VALUE"""),1.0)</f>
        <v>1</v>
      </c>
      <c r="N18" s="50"/>
      <c r="O18" s="38"/>
      <c r="P18" s="45" t="str">
        <f>IFERROR(__xludf.DUMMYFUNCTION("""COMPUTED_VALUE"""),"")</f>
        <v/>
      </c>
      <c r="Q18" s="46" t="str">
        <f>IFERROR(__xludf.DUMMYFUNCTION("""COMPUTED_VALUE"""),"AP")</f>
        <v>AP</v>
      </c>
      <c r="R18" s="47" t="str">
        <f>IFERROR(__xludf.DUMMYFUNCTION("""COMPUTED_VALUE"""),"")</f>
        <v/>
      </c>
      <c r="S18" s="48" t="str">
        <f>IFERROR(__xludf.DUMMYFUNCTION("""COMPUTED_VALUE"""),"%")</f>
        <v>%</v>
      </c>
      <c r="T18" s="49">
        <f>IFERROR(__xludf.DUMMYFUNCTION("""COMPUTED_VALUE"""),2.0)</f>
        <v>2</v>
      </c>
      <c r="U18" s="50"/>
      <c r="V18" s="38"/>
      <c r="W18" s="45" t="str">
        <f>IFERROR(__xludf.DUMMYFUNCTION("""COMPUTED_VALUE"""),"")</f>
        <v/>
      </c>
      <c r="X18" s="46" t="str">
        <f>IFERROR(__xludf.DUMMYFUNCTION("""COMPUTED_VALUE"""),"AP")</f>
        <v>AP</v>
      </c>
      <c r="Y18" s="47" t="str">
        <f>IFERROR(__xludf.DUMMYFUNCTION("""COMPUTED_VALUE"""),"")</f>
        <v/>
      </c>
      <c r="Z18" s="48" t="str">
        <f>IFERROR(__xludf.DUMMYFUNCTION("""COMPUTED_VALUE"""),"%")</f>
        <v>%</v>
      </c>
      <c r="AA18" s="49">
        <f>IFERROR(__xludf.DUMMYFUNCTION("""COMPUTED_VALUE"""),3.0)</f>
        <v>3</v>
      </c>
      <c r="AB18" s="50"/>
      <c r="AC18" s="38"/>
      <c r="AD18" s="45" t="str">
        <f>IFERROR(__xludf.DUMMYFUNCTION("""COMPUTED_VALUE"""),"")</f>
        <v/>
      </c>
      <c r="AE18" s="46" t="str">
        <f>IFERROR(__xludf.DUMMYFUNCTION("""COMPUTED_VALUE"""),"AP")</f>
        <v>AP</v>
      </c>
      <c r="AF18" s="47" t="str">
        <f>IFERROR(__xludf.DUMMYFUNCTION("""COMPUTED_VALUE"""),"")</f>
        <v/>
      </c>
      <c r="AG18" s="48" t="str">
        <f>IFERROR(__xludf.DUMMYFUNCTION("""COMPUTED_VALUE"""),"%")</f>
        <v>%</v>
      </c>
      <c r="AH18" s="43">
        <f>IFERROR(__xludf.DUMMYFUNCTION("""COMPUTED_VALUE"""),9.0)</f>
        <v>9</v>
      </c>
      <c r="AI18" s="44">
        <f>IFERROR(__xludf.DUMMYFUNCTION("""COMPUTED_VALUE"""),1797.0)</f>
        <v>1797</v>
      </c>
      <c r="AJ18" s="51" t="str">
        <f>IFERROR(__xludf.DUMMYFUNCTION("""COMPUTED_VALUE"""),"ローマ")</f>
        <v>ローマ</v>
      </c>
    </row>
    <row r="19" ht="24.75" customHeight="1">
      <c r="A19" s="28">
        <f>IFERROR(__xludf.DUMMYFUNCTION("""COMPUTED_VALUE"""),17.0)</f>
        <v>17</v>
      </c>
      <c r="B19" s="28" t="str">
        <f>IFERROR(__xludf.DUMMYFUNCTION("""COMPUTED_VALUE"""),"A301")</f>
        <v>A301</v>
      </c>
      <c r="C19" s="28" t="str">
        <f>IFERROR(__xludf.DUMMYFUNCTION("""COMPUTED_VALUE"""),"EPU2")</f>
        <v>EPU2</v>
      </c>
      <c r="D19" s="29" t="str">
        <f>IFERROR(__xludf.DUMMYFUNCTION("""COMPUTED_VALUE"""),"E Pluribus Unum")</f>
        <v>E Pluribus Unum</v>
      </c>
      <c r="E19" s="30" t="str">
        <f>IFERROR(__xludf.DUMMYFUNCTION("""COMPUTED_VALUE"""),"Riverton")</f>
        <v>Riverton</v>
      </c>
      <c r="F19" s="31">
        <f>IFERROR(__xludf.DUMMYFUNCTION("""COMPUTED_VALUE"""),17.0)</f>
        <v>17</v>
      </c>
      <c r="G19" s="32">
        <f>IFERROR(__xludf.DUMMYFUNCTION("""COMPUTED_VALUE"""),1128.0)</f>
        <v>1128</v>
      </c>
      <c r="H19" s="33" t="str">
        <f>IFERROR(__xludf.DUMMYFUNCTION("""COMPUTED_VALUE"""),"")</f>
        <v/>
      </c>
      <c r="I19" s="34">
        <f>IFERROR(__xludf.DUMMYFUNCTION("""COMPUTED_VALUE"""),40.5)</f>
        <v>40.5</v>
      </c>
      <c r="J19" s="35" t="str">
        <f>IFERROR(__xludf.DUMMYFUNCTION("""COMPUTED_VALUE"""),"AP")</f>
        <v>AP</v>
      </c>
      <c r="K19" s="34">
        <f>IFERROR(__xludf.DUMMYFUNCTION("""COMPUTED_VALUE"""),42.0)</f>
        <v>42</v>
      </c>
      <c r="L19" s="35" t="str">
        <f>IFERROR(__xludf.DUMMYFUNCTION("""COMPUTED_VALUE"""),"%")</f>
        <v>%</v>
      </c>
      <c r="M19" s="36">
        <f>IFERROR(__xludf.DUMMYFUNCTION("""COMPUTED_VALUE"""),1.0)</f>
        <v>1</v>
      </c>
      <c r="N19" s="37" t="str">
        <f>IFERROR(__xludf.DUMMYFUNCTION("""COMPUTED_VALUE"""),"A304")</f>
        <v>A304</v>
      </c>
      <c r="O19" s="38" t="str">
        <f>IFERROR(__xludf.DUMMYFUNCTION("""COMPUTED_VALUE"""),"")</f>
        <v/>
      </c>
      <c r="P19" s="34">
        <f>IFERROR(__xludf.DUMMYFUNCTION("""COMPUTED_VALUE"""),51.5)</f>
        <v>51.5</v>
      </c>
      <c r="Q19" s="35" t="str">
        <f>IFERROR(__xludf.DUMMYFUNCTION("""COMPUTED_VALUE"""),"AP")</f>
        <v>AP</v>
      </c>
      <c r="R19" s="34">
        <f>IFERROR(__xludf.DUMMYFUNCTION("""COMPUTED_VALUE"""),33.0)</f>
        <v>33</v>
      </c>
      <c r="S19" s="35" t="str">
        <f>IFERROR(__xludf.DUMMYFUNCTION("""COMPUTED_VALUE"""),"%")</f>
        <v>%</v>
      </c>
      <c r="T19" s="36">
        <f>IFERROR(__xludf.DUMMYFUNCTION("""COMPUTED_VALUE"""),2.0)</f>
        <v>2</v>
      </c>
      <c r="U19" s="37"/>
      <c r="V19" s="38"/>
      <c r="W19" s="34" t="str">
        <f>IFERROR(__xludf.DUMMYFUNCTION("""COMPUTED_VALUE"""),"")</f>
        <v/>
      </c>
      <c r="X19" s="35" t="str">
        <f>IFERROR(__xludf.DUMMYFUNCTION("""COMPUTED_VALUE"""),"AP")</f>
        <v>AP</v>
      </c>
      <c r="Y19" s="34" t="str">
        <f>IFERROR(__xludf.DUMMYFUNCTION("""COMPUTED_VALUE"""),"")</f>
        <v/>
      </c>
      <c r="Z19" s="35" t="str">
        <f>IFERROR(__xludf.DUMMYFUNCTION("""COMPUTED_VALUE"""),"%")</f>
        <v>%</v>
      </c>
      <c r="AA19" s="36">
        <f>IFERROR(__xludf.DUMMYFUNCTION("""COMPUTED_VALUE"""),3.0)</f>
        <v>3</v>
      </c>
      <c r="AB19" s="37"/>
      <c r="AC19" s="38"/>
      <c r="AD19" s="34" t="str">
        <f>IFERROR(__xludf.DUMMYFUNCTION("""COMPUTED_VALUE"""),"")</f>
        <v/>
      </c>
      <c r="AE19" s="35" t="str">
        <f>IFERROR(__xludf.DUMMYFUNCTION("""COMPUTED_VALUE"""),"AP")</f>
        <v>AP</v>
      </c>
      <c r="AF19" s="34" t="str">
        <f>IFERROR(__xludf.DUMMYFUNCTION("""COMPUTED_VALUE"""),"")</f>
        <v/>
      </c>
      <c r="AG19" s="35" t="str">
        <f>IFERROR(__xludf.DUMMYFUNCTION("""COMPUTED_VALUE"""),"%")</f>
        <v>%</v>
      </c>
      <c r="AH19" s="31">
        <f>IFERROR(__xludf.DUMMYFUNCTION("""COMPUTED_VALUE"""),17.0)</f>
        <v>17</v>
      </c>
      <c r="AI19" s="32">
        <f>IFERROR(__xludf.DUMMYFUNCTION("""COMPUTED_VALUE"""),1128.0)</f>
        <v>1128</v>
      </c>
      <c r="AJ19" s="39" t="str">
        <f>IFERROR(__xludf.DUMMYFUNCTION("""COMPUTED_VALUE"""),"リバートン")</f>
        <v>リバートン</v>
      </c>
    </row>
    <row r="20" ht="24.75" customHeight="1">
      <c r="A20" s="40">
        <f>IFERROR(__xludf.DUMMYFUNCTION("""COMPUTED_VALUE"""),18.0)</f>
        <v>18</v>
      </c>
      <c r="B20" s="40" t="str">
        <f>IFERROR(__xludf.DUMMYFUNCTION("""COMPUTED_VALUE"""),"A301")</f>
        <v>A301</v>
      </c>
      <c r="C20" s="40" t="str">
        <f>IFERROR(__xludf.DUMMYFUNCTION("""COMPUTED_VALUE"""),"EPU12")</f>
        <v>EPU12</v>
      </c>
      <c r="D20" s="41" t="str">
        <f>IFERROR(__xludf.DUMMYFUNCTION("""COMPUTED_VALUE"""),"E Pluribus Unum")</f>
        <v>E Pluribus Unum</v>
      </c>
      <c r="E20" s="42" t="str">
        <f>IFERROR(__xludf.DUMMYFUNCTION("""COMPUTED_VALUE"""),"Charlotte")</f>
        <v>Charlotte</v>
      </c>
      <c r="F20" s="43">
        <f>IFERROR(__xludf.DUMMYFUNCTION("""COMPUTED_VALUE"""),20.0)</f>
        <v>20</v>
      </c>
      <c r="G20" s="44">
        <f>IFERROR(__xludf.DUMMYFUNCTION("""COMPUTED_VALUE"""),358394.0)</f>
        <v>358394</v>
      </c>
      <c r="H20" s="33" t="str">
        <f>IFERROR(__xludf.DUMMYFUNCTION("""COMPUTED_VALUE"""),"")</f>
        <v/>
      </c>
      <c r="I20" s="45">
        <f>IFERROR(__xludf.DUMMYFUNCTION("""COMPUTED_VALUE"""),41.6)</f>
        <v>41.6</v>
      </c>
      <c r="J20" s="46" t="str">
        <f>IFERROR(__xludf.DUMMYFUNCTION("""COMPUTED_VALUE"""),"AP")</f>
        <v>AP</v>
      </c>
      <c r="K20" s="47">
        <f>IFERROR(__xludf.DUMMYFUNCTION("""COMPUTED_VALUE"""),48.1)</f>
        <v>48.1</v>
      </c>
      <c r="L20" s="48" t="str">
        <f>IFERROR(__xludf.DUMMYFUNCTION("""COMPUTED_VALUE"""),"%")</f>
        <v>%</v>
      </c>
      <c r="M20" s="49">
        <f>IFERROR(__xludf.DUMMYFUNCTION("""COMPUTED_VALUE"""),1.0)</f>
        <v>1</v>
      </c>
      <c r="N20" s="50" t="str">
        <f>IFERROR(__xludf.DUMMYFUNCTION("""COMPUTED_VALUE"""),"A304")</f>
        <v>A304</v>
      </c>
      <c r="O20" s="38" t="str">
        <f>IFERROR(__xludf.DUMMYFUNCTION("""COMPUTED_VALUE"""),"")</f>
        <v/>
      </c>
      <c r="P20" s="45">
        <f>IFERROR(__xludf.DUMMYFUNCTION("""COMPUTED_VALUE"""),31.1)</f>
        <v>31.1</v>
      </c>
      <c r="Q20" s="46" t="str">
        <f>IFERROR(__xludf.DUMMYFUNCTION("""COMPUTED_VALUE"""),"AP")</f>
        <v>AP</v>
      </c>
      <c r="R20" s="47">
        <f>IFERROR(__xludf.DUMMYFUNCTION("""COMPUTED_VALUE"""),64.2)</f>
        <v>64.2</v>
      </c>
      <c r="S20" s="48" t="str">
        <f>IFERROR(__xludf.DUMMYFUNCTION("""COMPUTED_VALUE"""),"%")</f>
        <v>%</v>
      </c>
      <c r="T20" s="49">
        <f>IFERROR(__xludf.DUMMYFUNCTION("""COMPUTED_VALUE"""),2.0)</f>
        <v>2</v>
      </c>
      <c r="U20" s="50"/>
      <c r="V20" s="38"/>
      <c r="W20" s="45" t="str">
        <f>IFERROR(__xludf.DUMMYFUNCTION("""COMPUTED_VALUE"""),"")</f>
        <v/>
      </c>
      <c r="X20" s="46" t="str">
        <f>IFERROR(__xludf.DUMMYFUNCTION("""COMPUTED_VALUE"""),"AP")</f>
        <v>AP</v>
      </c>
      <c r="Y20" s="47" t="str">
        <f>IFERROR(__xludf.DUMMYFUNCTION("""COMPUTED_VALUE"""),"")</f>
        <v/>
      </c>
      <c r="Z20" s="48" t="str">
        <f>IFERROR(__xludf.DUMMYFUNCTION("""COMPUTED_VALUE"""),"%")</f>
        <v>%</v>
      </c>
      <c r="AA20" s="49">
        <f>IFERROR(__xludf.DUMMYFUNCTION("""COMPUTED_VALUE"""),3.0)</f>
        <v>3</v>
      </c>
      <c r="AB20" s="50"/>
      <c r="AC20" s="38"/>
      <c r="AD20" s="45" t="str">
        <f>IFERROR(__xludf.DUMMYFUNCTION("""COMPUTED_VALUE"""),"")</f>
        <v/>
      </c>
      <c r="AE20" s="46" t="str">
        <f>IFERROR(__xludf.DUMMYFUNCTION("""COMPUTED_VALUE"""),"AP")</f>
        <v>AP</v>
      </c>
      <c r="AF20" s="47" t="str">
        <f>IFERROR(__xludf.DUMMYFUNCTION("""COMPUTED_VALUE"""),"")</f>
        <v/>
      </c>
      <c r="AG20" s="48" t="str">
        <f>IFERROR(__xludf.DUMMYFUNCTION("""COMPUTED_VALUE"""),"%")</f>
        <v>%</v>
      </c>
      <c r="AH20" s="43">
        <f>IFERROR(__xludf.DUMMYFUNCTION("""COMPUTED_VALUE"""),20.0)</f>
        <v>20</v>
      </c>
      <c r="AI20" s="44">
        <f>IFERROR(__xludf.DUMMYFUNCTION("""COMPUTED_VALUE"""),358394.0)</f>
        <v>358394</v>
      </c>
      <c r="AJ20" s="51" t="str">
        <f>IFERROR(__xludf.DUMMYFUNCTION("""COMPUTED_VALUE"""),"シャーロット")</f>
        <v>シャーロット</v>
      </c>
    </row>
    <row r="21" ht="24.75" customHeight="1">
      <c r="A21" s="28">
        <f>IFERROR(__xludf.DUMMYFUNCTION("""COMPUTED_VALUE"""),19.0)</f>
        <v>19</v>
      </c>
      <c r="B21" s="28" t="str">
        <f>IFERROR(__xludf.DUMMYFUNCTION("""COMPUTED_VALUE"""),"A301")</f>
        <v>A301</v>
      </c>
      <c r="C21" s="28" t="str">
        <f>IFERROR(__xludf.DUMMYFUNCTION("""COMPUTED_VALUE"""),"CML5")</f>
        <v>CML5</v>
      </c>
      <c r="D21" s="29" t="str">
        <f>IFERROR(__xludf.DUMMYFUNCTION("""COMPUTED_VALUE"""),"Camelot")</f>
        <v>Camelot</v>
      </c>
      <c r="E21" s="30" t="str">
        <f>IFERROR(__xludf.DUMMYFUNCTION("""COMPUTED_VALUE"""),"Fortress of the Round Table")</f>
        <v>Fortress of the Round Table</v>
      </c>
      <c r="F21" s="31">
        <f>IFERROR(__xludf.DUMMYFUNCTION("""COMPUTED_VALUE"""),19.0)</f>
        <v>19</v>
      </c>
      <c r="G21" s="32">
        <f>IFERROR(__xludf.DUMMYFUNCTION("""COMPUTED_VALUE"""),3427.0)</f>
        <v>3427</v>
      </c>
      <c r="H21" s="33" t="str">
        <f>IFERROR(__xludf.DUMMYFUNCTION("""COMPUTED_VALUE"""),"")</f>
        <v/>
      </c>
      <c r="I21" s="34">
        <f>IFERROR(__xludf.DUMMYFUNCTION("""COMPUTED_VALUE"""),43.1)</f>
        <v>43.1</v>
      </c>
      <c r="J21" s="35" t="str">
        <f>IFERROR(__xludf.DUMMYFUNCTION("""COMPUTED_VALUE"""),"AP")</f>
        <v>AP</v>
      </c>
      <c r="K21" s="34">
        <f>IFERROR(__xludf.DUMMYFUNCTION("""COMPUTED_VALUE"""),44.1)</f>
        <v>44.1</v>
      </c>
      <c r="L21" s="35" t="str">
        <f>IFERROR(__xludf.DUMMYFUNCTION("""COMPUTED_VALUE"""),"%")</f>
        <v>%</v>
      </c>
      <c r="M21" s="36">
        <f>IFERROR(__xludf.DUMMYFUNCTION("""COMPUTED_VALUE"""),1.0)</f>
        <v>1</v>
      </c>
      <c r="N21" s="37" t="str">
        <f>IFERROR(__xludf.DUMMYFUNCTION("""COMPUTED_VALUE"""),"A210")</f>
        <v>A210</v>
      </c>
      <c r="O21" s="38" t="str">
        <f>IFERROR(__xludf.DUMMYFUNCTION("""COMPUTED_VALUE"""),"")</f>
        <v/>
      </c>
      <c r="P21" s="34">
        <f>IFERROR(__xludf.DUMMYFUNCTION("""COMPUTED_VALUE"""),105.0)</f>
        <v>105</v>
      </c>
      <c r="Q21" s="35" t="str">
        <f>IFERROR(__xludf.DUMMYFUNCTION("""COMPUTED_VALUE"""),"AP")</f>
        <v>AP</v>
      </c>
      <c r="R21" s="34">
        <f>IFERROR(__xludf.DUMMYFUNCTION("""COMPUTED_VALUE"""),18.1)</f>
        <v>18.1</v>
      </c>
      <c r="S21" s="35" t="str">
        <f>IFERROR(__xludf.DUMMYFUNCTION("""COMPUTED_VALUE"""),"%")</f>
        <v>%</v>
      </c>
      <c r="T21" s="36">
        <f>IFERROR(__xludf.DUMMYFUNCTION("""COMPUTED_VALUE"""),2.0)</f>
        <v>2</v>
      </c>
      <c r="U21" s="37" t="str">
        <f>IFERROR(__xludf.DUMMYFUNCTION("""COMPUTED_VALUE"""),"B111")</f>
        <v>B111</v>
      </c>
      <c r="V21" s="38" t="str">
        <f>IFERROR(__xludf.DUMMYFUNCTION("""COMPUTED_VALUE"""),"")</f>
        <v/>
      </c>
      <c r="W21" s="34">
        <f>IFERROR(__xludf.DUMMYFUNCTION("""COMPUTED_VALUE"""),183.2)</f>
        <v>183.2</v>
      </c>
      <c r="X21" s="35" t="str">
        <f>IFERROR(__xludf.DUMMYFUNCTION("""COMPUTED_VALUE"""),"AP")</f>
        <v>AP</v>
      </c>
      <c r="Y21" s="34">
        <f>IFERROR(__xludf.DUMMYFUNCTION("""COMPUTED_VALUE"""),10.4)</f>
        <v>10.4</v>
      </c>
      <c r="Z21" s="35" t="str">
        <f>IFERROR(__xludf.DUMMYFUNCTION("""COMPUTED_VALUE"""),"%")</f>
        <v>%</v>
      </c>
      <c r="AA21" s="36">
        <f>IFERROR(__xludf.DUMMYFUNCTION("""COMPUTED_VALUE"""),3.0)</f>
        <v>3</v>
      </c>
      <c r="AB21" s="37" t="str">
        <f>IFERROR(__xludf.DUMMYFUNCTION("""COMPUTED_VALUE"""),"B113")</f>
        <v>B113</v>
      </c>
      <c r="AC21" s="38" t="str">
        <f>IFERROR(__xludf.DUMMYFUNCTION("""COMPUTED_VALUE"""),"")</f>
        <v/>
      </c>
      <c r="AD21" s="34">
        <f>IFERROR(__xludf.DUMMYFUNCTION("""COMPUTED_VALUE"""),200.5)</f>
        <v>200.5</v>
      </c>
      <c r="AE21" s="35" t="str">
        <f>IFERROR(__xludf.DUMMYFUNCTION("""COMPUTED_VALUE"""),"AP")</f>
        <v>AP</v>
      </c>
      <c r="AF21" s="34">
        <f>IFERROR(__xludf.DUMMYFUNCTION("""COMPUTED_VALUE"""),9.5)</f>
        <v>9.5</v>
      </c>
      <c r="AG21" s="35" t="str">
        <f>IFERROR(__xludf.DUMMYFUNCTION("""COMPUTED_VALUE"""),"%")</f>
        <v>%</v>
      </c>
      <c r="AH21" s="31">
        <f>IFERROR(__xludf.DUMMYFUNCTION("""COMPUTED_VALUE"""),19.0)</f>
        <v>19</v>
      </c>
      <c r="AI21" s="32">
        <f>IFERROR(__xludf.DUMMYFUNCTION("""COMPUTED_VALUE"""),3427.0)</f>
        <v>3427</v>
      </c>
      <c r="AJ21" s="39" t="str">
        <f>IFERROR(__xludf.DUMMYFUNCTION("""COMPUTED_VALUE"""),"円卓の砦")</f>
        <v>円卓の砦</v>
      </c>
    </row>
    <row r="22" ht="24.75" customHeight="1">
      <c r="A22" s="40">
        <f>IFERROR(__xludf.DUMMYFUNCTION("""COMPUTED_VALUE"""),20.0)</f>
        <v>20</v>
      </c>
      <c r="B22" s="40" t="str">
        <f>IFERROR(__xludf.DUMMYFUNCTION("""COMPUTED_VALUE"""),"A301")</f>
        <v>A301</v>
      </c>
      <c r="C22" s="40" t="str">
        <f>IFERROR(__xludf.DUMMYFUNCTION("""COMPUTED_VALUE"""),"OKN3")</f>
        <v>OKN3</v>
      </c>
      <c r="D22" s="41" t="str">
        <f>IFERROR(__xludf.DUMMYFUNCTION("""COMPUTED_VALUE"""),"Okeanos")</f>
        <v>Okeanos</v>
      </c>
      <c r="E22" s="42" t="str">
        <f>IFERROR(__xludf.DUMMYFUNCTION("""COMPUTED_VALUE"""),"King's Abode Island")</f>
        <v>King's Abode Island</v>
      </c>
      <c r="F22" s="43">
        <f>IFERROR(__xludf.DUMMYFUNCTION("""COMPUTED_VALUE"""),13.0)</f>
        <v>13</v>
      </c>
      <c r="G22" s="44">
        <f>IFERROR(__xludf.DUMMYFUNCTION("""COMPUTED_VALUE"""),1159.0)</f>
        <v>1159</v>
      </c>
      <c r="H22" s="33" t="str">
        <f>IFERROR(__xludf.DUMMYFUNCTION("""COMPUTED_VALUE"""),"")</f>
        <v/>
      </c>
      <c r="I22" s="45">
        <f>IFERROR(__xludf.DUMMYFUNCTION("""COMPUTED_VALUE"""),48.4)</f>
        <v>48.4</v>
      </c>
      <c r="J22" s="46" t="str">
        <f>IFERROR(__xludf.DUMMYFUNCTION("""COMPUTED_VALUE"""),"AP")</f>
        <v>AP</v>
      </c>
      <c r="K22" s="47">
        <f>IFERROR(__xludf.DUMMYFUNCTION("""COMPUTED_VALUE"""),26.8)</f>
        <v>26.8</v>
      </c>
      <c r="L22" s="48" t="str">
        <f>IFERROR(__xludf.DUMMYFUNCTION("""COMPUTED_VALUE"""),"%")</f>
        <v>%</v>
      </c>
      <c r="M22" s="49">
        <f>IFERROR(__xludf.DUMMYFUNCTION("""COMPUTED_VALUE"""),1.0)</f>
        <v>1</v>
      </c>
      <c r="N22" s="50" t="str">
        <f>IFERROR(__xludf.DUMMYFUNCTION("""COMPUTED_VALUE"""),"A304")</f>
        <v>A304</v>
      </c>
      <c r="O22" s="38" t="str">
        <f>IFERROR(__xludf.DUMMYFUNCTION("""COMPUTED_VALUE"""),"")</f>
        <v/>
      </c>
      <c r="P22" s="45">
        <f>IFERROR(__xludf.DUMMYFUNCTION("""COMPUTED_VALUE"""),101.8)</f>
        <v>101.8</v>
      </c>
      <c r="Q22" s="46" t="str">
        <f>IFERROR(__xludf.DUMMYFUNCTION("""COMPUTED_VALUE"""),"AP")</f>
        <v>AP</v>
      </c>
      <c r="R22" s="47">
        <f>IFERROR(__xludf.DUMMYFUNCTION("""COMPUTED_VALUE"""),12.8)</f>
        <v>12.8</v>
      </c>
      <c r="S22" s="48" t="str">
        <f>IFERROR(__xludf.DUMMYFUNCTION("""COMPUTED_VALUE"""),"%")</f>
        <v>%</v>
      </c>
      <c r="T22" s="49">
        <f>IFERROR(__xludf.DUMMYFUNCTION("""COMPUTED_VALUE"""),2.0)</f>
        <v>2</v>
      </c>
      <c r="U22" s="50"/>
      <c r="V22" s="38"/>
      <c r="W22" s="45" t="str">
        <f>IFERROR(__xludf.DUMMYFUNCTION("""COMPUTED_VALUE"""),"")</f>
        <v/>
      </c>
      <c r="X22" s="46" t="str">
        <f>IFERROR(__xludf.DUMMYFUNCTION("""COMPUTED_VALUE"""),"AP")</f>
        <v>AP</v>
      </c>
      <c r="Y22" s="47" t="str">
        <f>IFERROR(__xludf.DUMMYFUNCTION("""COMPUTED_VALUE"""),"")</f>
        <v/>
      </c>
      <c r="Z22" s="48" t="str">
        <f>IFERROR(__xludf.DUMMYFUNCTION("""COMPUTED_VALUE"""),"%")</f>
        <v>%</v>
      </c>
      <c r="AA22" s="49">
        <f>IFERROR(__xludf.DUMMYFUNCTION("""COMPUTED_VALUE"""),3.0)</f>
        <v>3</v>
      </c>
      <c r="AB22" s="50"/>
      <c r="AC22" s="38"/>
      <c r="AD22" s="45" t="str">
        <f>IFERROR(__xludf.DUMMYFUNCTION("""COMPUTED_VALUE"""),"")</f>
        <v/>
      </c>
      <c r="AE22" s="46" t="str">
        <f>IFERROR(__xludf.DUMMYFUNCTION("""COMPUTED_VALUE"""),"AP")</f>
        <v>AP</v>
      </c>
      <c r="AF22" s="47" t="str">
        <f>IFERROR(__xludf.DUMMYFUNCTION("""COMPUTED_VALUE"""),"")</f>
        <v/>
      </c>
      <c r="AG22" s="48" t="str">
        <f>IFERROR(__xludf.DUMMYFUNCTION("""COMPUTED_VALUE"""),"%")</f>
        <v>%</v>
      </c>
      <c r="AH22" s="43">
        <f>IFERROR(__xludf.DUMMYFUNCTION("""COMPUTED_VALUE"""),13.0)</f>
        <v>13</v>
      </c>
      <c r="AI22" s="44">
        <f>IFERROR(__xludf.DUMMYFUNCTION("""COMPUTED_VALUE"""),1159.0)</f>
        <v>1159</v>
      </c>
      <c r="AJ22" s="51" t="str">
        <f>IFERROR(__xludf.DUMMYFUNCTION("""COMPUTED_VALUE"""),"王の住まう島")</f>
        <v>王の住まう島</v>
      </c>
    </row>
    <row r="23">
      <c r="A23" s="52"/>
      <c r="B23" s="53"/>
      <c r="C23" s="54"/>
      <c r="D23" s="55"/>
      <c r="E23" s="56"/>
      <c r="F23" s="53"/>
      <c r="G23" s="53"/>
      <c r="H23" s="53"/>
      <c r="I23" s="53"/>
      <c r="J23" s="57"/>
      <c r="K23" s="53"/>
      <c r="L23" s="57"/>
      <c r="M23" s="53"/>
      <c r="N23" s="53"/>
      <c r="O23" s="53"/>
      <c r="P23" s="53"/>
      <c r="Q23" s="57"/>
      <c r="R23" s="53"/>
      <c r="S23" s="57"/>
      <c r="T23" s="53"/>
      <c r="U23" s="53"/>
      <c r="V23" s="53"/>
      <c r="W23" s="53"/>
      <c r="X23" s="57"/>
      <c r="Y23" s="53"/>
      <c r="Z23" s="57"/>
      <c r="AA23" s="53"/>
      <c r="AB23" s="53"/>
      <c r="AC23" s="53"/>
      <c r="AD23" s="53"/>
      <c r="AE23" s="57"/>
      <c r="AF23" s="53"/>
      <c r="AG23" s="57"/>
      <c r="AH23" s="53"/>
      <c r="AI23" s="53"/>
      <c r="AJ23" s="58"/>
    </row>
    <row r="24">
      <c r="A24" s="59"/>
      <c r="B24" s="60"/>
      <c r="C24" s="61"/>
      <c r="D24" s="62"/>
      <c r="E24" s="63"/>
      <c r="F24" s="60"/>
      <c r="G24" s="60"/>
      <c r="H24" s="60"/>
      <c r="I24" s="60"/>
      <c r="J24" s="64"/>
      <c r="K24" s="60"/>
      <c r="L24" s="64"/>
      <c r="M24" s="60"/>
      <c r="N24" s="60"/>
      <c r="O24" s="60"/>
      <c r="P24" s="60"/>
      <c r="Q24" s="64"/>
      <c r="R24" s="60"/>
      <c r="S24" s="64"/>
      <c r="T24" s="60"/>
      <c r="U24" s="60"/>
      <c r="V24" s="60"/>
      <c r="W24" s="60"/>
      <c r="X24" s="64"/>
      <c r="Y24" s="60"/>
      <c r="Z24" s="64"/>
      <c r="AA24" s="60"/>
      <c r="AB24" s="60"/>
      <c r="AC24" s="60"/>
      <c r="AD24" s="60"/>
      <c r="AE24" s="64"/>
      <c r="AF24" s="60"/>
      <c r="AG24" s="64"/>
      <c r="AH24" s="60"/>
      <c r="AI24" s="60"/>
      <c r="AJ24" s="65"/>
    </row>
    <row r="25" ht="33.0" customHeight="1">
      <c r="A25" s="20" t="str">
        <f>IFERROR(__xludf.DUMMYFUNCTION("""COMPUTED_VALUE""")," ")</f>
        <v> </v>
      </c>
      <c r="B25" s="21" t="str">
        <f>IFERROR(__xludf.DUMMYFUNCTION("""COMPUTED_VALUE"""),"A302")</f>
        <v>A302</v>
      </c>
      <c r="C25" s="20"/>
      <c r="D25" s="22" t="str">
        <f>IFERROR(__xludf.DUMMYFUNCTION("""COMPUTED_VALUE"""),"")</f>
        <v/>
      </c>
      <c r="E25" s="23" t="str">
        <f>IFERROR(__xludf.DUMMYFUNCTION("""COMPUTED_VALUE"""),"Evil Bone")</f>
        <v>Evil Bone</v>
      </c>
      <c r="F25" s="24"/>
      <c r="G25" s="24"/>
      <c r="H25" s="25"/>
      <c r="I25" s="25"/>
      <c r="J25" s="26"/>
      <c r="K25" s="25"/>
      <c r="L25" s="26"/>
      <c r="M25" s="25"/>
      <c r="N25" s="25"/>
      <c r="O25" s="25"/>
      <c r="P25" s="25"/>
      <c r="Q25" s="26"/>
      <c r="R25" s="25"/>
      <c r="S25" s="26"/>
      <c r="T25" s="25"/>
      <c r="U25" s="25"/>
      <c r="V25" s="25"/>
      <c r="W25" s="25"/>
      <c r="X25" s="26"/>
      <c r="Y25" s="25"/>
      <c r="Z25" s="26"/>
      <c r="AA25" s="25"/>
      <c r="AB25" s="25"/>
      <c r="AC25" s="25"/>
      <c r="AD25" s="25"/>
      <c r="AE25" s="26"/>
      <c r="AF25" s="25"/>
      <c r="AG25" s="26"/>
      <c r="AH25" s="24"/>
      <c r="AI25" s="25"/>
      <c r="AJ25" s="27"/>
    </row>
    <row r="26" ht="24.75" customHeight="1">
      <c r="A26" s="28">
        <f>IFERROR(__xludf.DUMMYFUNCTION("""COMPUTED_VALUE"""),1.0)</f>
        <v>1</v>
      </c>
      <c r="B26" s="28" t="str">
        <f>IFERROR(__xludf.DUMMYFUNCTION("""COMPUTED_VALUE"""),"A302")</f>
        <v>A302</v>
      </c>
      <c r="C26" s="28" t="str">
        <f>IFERROR(__xludf.DUMMYFUNCTION("""COMPUTED_VALUE"""),"FUY3")</f>
        <v>FUY3</v>
      </c>
      <c r="D26" s="29" t="str">
        <f>IFERROR(__xludf.DUMMYFUNCTION("""COMPUTED_VALUE"""),"Fuyuki")</f>
        <v>Fuyuki</v>
      </c>
      <c r="E26" s="30" t="str">
        <f>IFERROR(__xludf.DUMMYFUNCTION("""COMPUTED_VALUE"""),"Unknown Coordinates X-C")</f>
        <v>Unknown Coordinates X-C</v>
      </c>
      <c r="F26" s="31">
        <f>IFERROR(__xludf.DUMMYFUNCTION("""COMPUTED_VALUE"""),4.0)</f>
        <v>4</v>
      </c>
      <c r="G26" s="32">
        <f>IFERROR(__xludf.DUMMYFUNCTION("""COMPUTED_VALUE"""),58841.0)</f>
        <v>58841</v>
      </c>
      <c r="H26" s="33" t="str">
        <f>IFERROR(__xludf.DUMMYFUNCTION("""COMPUTED_VALUE"""),"")</f>
        <v/>
      </c>
      <c r="I26" s="34">
        <f>IFERROR(__xludf.DUMMYFUNCTION("""COMPUTED_VALUE"""),22.4)</f>
        <v>22.4</v>
      </c>
      <c r="J26" s="35" t="str">
        <f>IFERROR(__xludf.DUMMYFUNCTION("""COMPUTED_VALUE"""),"AP")</f>
        <v>AP</v>
      </c>
      <c r="K26" s="34">
        <f>IFERROR(__xludf.DUMMYFUNCTION("""COMPUTED_VALUE"""),17.9)</f>
        <v>17.9</v>
      </c>
      <c r="L26" s="35" t="str">
        <f>IFERROR(__xludf.DUMMYFUNCTION("""COMPUTED_VALUE"""),"%")</f>
        <v>%</v>
      </c>
      <c r="M26" s="36">
        <f>IFERROR(__xludf.DUMMYFUNCTION("""COMPUTED_VALUE"""),1.0)</f>
        <v>1</v>
      </c>
      <c r="N26" s="37"/>
      <c r="O26" s="38"/>
      <c r="P26" s="34" t="str">
        <f>IFERROR(__xludf.DUMMYFUNCTION("""COMPUTED_VALUE"""),"")</f>
        <v/>
      </c>
      <c r="Q26" s="35" t="str">
        <f>IFERROR(__xludf.DUMMYFUNCTION("""COMPUTED_VALUE"""),"AP")</f>
        <v>AP</v>
      </c>
      <c r="R26" s="34" t="str">
        <f>IFERROR(__xludf.DUMMYFUNCTION("""COMPUTED_VALUE"""),"")</f>
        <v/>
      </c>
      <c r="S26" s="35" t="str">
        <f>IFERROR(__xludf.DUMMYFUNCTION("""COMPUTED_VALUE"""),"%")</f>
        <v>%</v>
      </c>
      <c r="T26" s="36">
        <f>IFERROR(__xludf.DUMMYFUNCTION("""COMPUTED_VALUE"""),2.0)</f>
        <v>2</v>
      </c>
      <c r="U26" s="37"/>
      <c r="V26" s="38"/>
      <c r="W26" s="34" t="str">
        <f>IFERROR(__xludf.DUMMYFUNCTION("""COMPUTED_VALUE"""),"")</f>
        <v/>
      </c>
      <c r="X26" s="35" t="str">
        <f>IFERROR(__xludf.DUMMYFUNCTION("""COMPUTED_VALUE"""),"AP")</f>
        <v>AP</v>
      </c>
      <c r="Y26" s="34" t="str">
        <f>IFERROR(__xludf.DUMMYFUNCTION("""COMPUTED_VALUE"""),"")</f>
        <v/>
      </c>
      <c r="Z26" s="35" t="str">
        <f>IFERROR(__xludf.DUMMYFUNCTION("""COMPUTED_VALUE"""),"%")</f>
        <v>%</v>
      </c>
      <c r="AA26" s="36">
        <f>IFERROR(__xludf.DUMMYFUNCTION("""COMPUTED_VALUE"""),3.0)</f>
        <v>3</v>
      </c>
      <c r="AB26" s="37"/>
      <c r="AC26" s="38"/>
      <c r="AD26" s="34" t="str">
        <f>IFERROR(__xludf.DUMMYFUNCTION("""COMPUTED_VALUE"""),"")</f>
        <v/>
      </c>
      <c r="AE26" s="35" t="str">
        <f>IFERROR(__xludf.DUMMYFUNCTION("""COMPUTED_VALUE"""),"AP")</f>
        <v>AP</v>
      </c>
      <c r="AF26" s="34" t="str">
        <f>IFERROR(__xludf.DUMMYFUNCTION("""COMPUTED_VALUE"""),"")</f>
        <v/>
      </c>
      <c r="AG26" s="35" t="str">
        <f>IFERROR(__xludf.DUMMYFUNCTION("""COMPUTED_VALUE"""),"%")</f>
        <v>%</v>
      </c>
      <c r="AH26" s="31">
        <f>IFERROR(__xludf.DUMMYFUNCTION("""COMPUTED_VALUE"""),4.0)</f>
        <v>4</v>
      </c>
      <c r="AI26" s="32">
        <f>IFERROR(__xludf.DUMMYFUNCTION("""COMPUTED_VALUE"""),58841.0)</f>
        <v>58841</v>
      </c>
      <c r="AJ26" s="39" t="str">
        <f>IFERROR(__xludf.DUMMYFUNCTION("""COMPUTED_VALUE"""),"X-C（大橋）")</f>
        <v>X-C（大橋）</v>
      </c>
    </row>
    <row r="27" ht="24.75" customHeight="1">
      <c r="A27" s="40">
        <f>IFERROR(__xludf.DUMMYFUNCTION("""COMPUTED_VALUE"""),2.0)</f>
        <v>2</v>
      </c>
      <c r="B27" s="40" t="str">
        <f>IFERROR(__xludf.DUMMYFUNCTION("""COMPUTED_VALUE"""),"A302")</f>
        <v>A302</v>
      </c>
      <c r="C27" s="40" t="str">
        <f>IFERROR(__xludf.DUMMYFUNCTION("""COMPUTED_VALUE"""),"FUY7")</f>
        <v>FUY7</v>
      </c>
      <c r="D27" s="41" t="str">
        <f>IFERROR(__xludf.DUMMYFUNCTION("""COMPUTED_VALUE"""),"Fuyuki")</f>
        <v>Fuyuki</v>
      </c>
      <c r="E27" s="42" t="str">
        <f>IFERROR(__xludf.DUMMYFUNCTION("""COMPUTED_VALUE"""),"Unknown Coordinates X-G")</f>
        <v>Unknown Coordinates X-G</v>
      </c>
      <c r="F27" s="43">
        <f>IFERROR(__xludf.DUMMYFUNCTION("""COMPUTED_VALUE"""),15.0)</f>
        <v>15</v>
      </c>
      <c r="G27" s="44">
        <f>IFERROR(__xludf.DUMMYFUNCTION("""COMPUTED_VALUE"""),135227.0)</f>
        <v>135227</v>
      </c>
      <c r="H27" s="33" t="str">
        <f>IFERROR(__xludf.DUMMYFUNCTION("""COMPUTED_VALUE"""),"")</f>
        <v/>
      </c>
      <c r="I27" s="45">
        <f>IFERROR(__xludf.DUMMYFUNCTION("""COMPUTED_VALUE"""),23.5)</f>
        <v>23.5</v>
      </c>
      <c r="J27" s="46" t="str">
        <f>IFERROR(__xludf.DUMMYFUNCTION("""COMPUTED_VALUE"""),"AP")</f>
        <v>AP</v>
      </c>
      <c r="K27" s="47">
        <f>IFERROR(__xludf.DUMMYFUNCTION("""COMPUTED_VALUE"""),63.9)</f>
        <v>63.9</v>
      </c>
      <c r="L27" s="48" t="str">
        <f>IFERROR(__xludf.DUMMYFUNCTION("""COMPUTED_VALUE"""),"%")</f>
        <v>%</v>
      </c>
      <c r="M27" s="49">
        <f>IFERROR(__xludf.DUMMYFUNCTION("""COMPUTED_VALUE"""),1.0)</f>
        <v>1</v>
      </c>
      <c r="N27" s="50"/>
      <c r="O27" s="38"/>
      <c r="P27" s="45" t="str">
        <f>IFERROR(__xludf.DUMMYFUNCTION("""COMPUTED_VALUE"""),"")</f>
        <v/>
      </c>
      <c r="Q27" s="46" t="str">
        <f>IFERROR(__xludf.DUMMYFUNCTION("""COMPUTED_VALUE"""),"AP")</f>
        <v>AP</v>
      </c>
      <c r="R27" s="47" t="str">
        <f>IFERROR(__xludf.DUMMYFUNCTION("""COMPUTED_VALUE"""),"")</f>
        <v/>
      </c>
      <c r="S27" s="48" t="str">
        <f>IFERROR(__xludf.DUMMYFUNCTION("""COMPUTED_VALUE"""),"%")</f>
        <v>%</v>
      </c>
      <c r="T27" s="49">
        <f>IFERROR(__xludf.DUMMYFUNCTION("""COMPUTED_VALUE"""),2.0)</f>
        <v>2</v>
      </c>
      <c r="U27" s="50"/>
      <c r="V27" s="38"/>
      <c r="W27" s="45" t="str">
        <f>IFERROR(__xludf.DUMMYFUNCTION("""COMPUTED_VALUE"""),"")</f>
        <v/>
      </c>
      <c r="X27" s="46" t="str">
        <f>IFERROR(__xludf.DUMMYFUNCTION("""COMPUTED_VALUE"""),"AP")</f>
        <v>AP</v>
      </c>
      <c r="Y27" s="47" t="str">
        <f>IFERROR(__xludf.DUMMYFUNCTION("""COMPUTED_VALUE"""),"")</f>
        <v/>
      </c>
      <c r="Z27" s="48" t="str">
        <f>IFERROR(__xludf.DUMMYFUNCTION("""COMPUTED_VALUE"""),"%")</f>
        <v>%</v>
      </c>
      <c r="AA27" s="49">
        <f>IFERROR(__xludf.DUMMYFUNCTION("""COMPUTED_VALUE"""),3.0)</f>
        <v>3</v>
      </c>
      <c r="AB27" s="50"/>
      <c r="AC27" s="38"/>
      <c r="AD27" s="45" t="str">
        <f>IFERROR(__xludf.DUMMYFUNCTION("""COMPUTED_VALUE"""),"")</f>
        <v/>
      </c>
      <c r="AE27" s="46" t="str">
        <f>IFERROR(__xludf.DUMMYFUNCTION("""COMPUTED_VALUE"""),"AP")</f>
        <v>AP</v>
      </c>
      <c r="AF27" s="47" t="str">
        <f>IFERROR(__xludf.DUMMYFUNCTION("""COMPUTED_VALUE"""),"")</f>
        <v/>
      </c>
      <c r="AG27" s="48" t="str">
        <f>IFERROR(__xludf.DUMMYFUNCTION("""COMPUTED_VALUE"""),"%")</f>
        <v>%</v>
      </c>
      <c r="AH27" s="43">
        <f>IFERROR(__xludf.DUMMYFUNCTION("""COMPUTED_VALUE"""),15.0)</f>
        <v>15</v>
      </c>
      <c r="AI27" s="44">
        <f>IFERROR(__xludf.DUMMYFUNCTION("""COMPUTED_VALUE"""),135227.0)</f>
        <v>135227</v>
      </c>
      <c r="AJ27" s="51" t="str">
        <f>IFERROR(__xludf.DUMMYFUNCTION("""COMPUTED_VALUE"""),"X-G（燃え盛る森）")</f>
        <v>X-G（燃え盛る森）</v>
      </c>
    </row>
    <row r="28" ht="24.75" customHeight="1">
      <c r="A28" s="28">
        <f>IFERROR(__xludf.DUMMYFUNCTION("""COMPUTED_VALUE"""),3.0)</f>
        <v>3</v>
      </c>
      <c r="B28" s="28" t="str">
        <f>IFERROR(__xludf.DUMMYFUNCTION("""COMPUTED_VALUE"""),"A302")</f>
        <v>A302</v>
      </c>
      <c r="C28" s="28" t="str">
        <f>IFERROR(__xludf.DUMMYFUNCTION("""COMPUTED_VALUE"""),"FUY4")</f>
        <v>FUY4</v>
      </c>
      <c r="D28" s="29" t="str">
        <f>IFERROR(__xludf.DUMMYFUNCTION("""COMPUTED_VALUE"""),"Fuyuki")</f>
        <v>Fuyuki</v>
      </c>
      <c r="E28" s="30" t="str">
        <f>IFERROR(__xludf.DUMMYFUNCTION("""COMPUTED_VALUE"""),"Unknown Coordinates X-D")</f>
        <v>Unknown Coordinates X-D</v>
      </c>
      <c r="F28" s="31">
        <f>IFERROR(__xludf.DUMMYFUNCTION("""COMPUTED_VALUE"""),5.0)</f>
        <v>5</v>
      </c>
      <c r="G28" s="32">
        <f>IFERROR(__xludf.DUMMYFUNCTION("""COMPUTED_VALUE"""),2305.0)</f>
        <v>2305</v>
      </c>
      <c r="H28" s="33" t="str">
        <f>IFERROR(__xludf.DUMMYFUNCTION("""COMPUTED_VALUE"""),"")</f>
        <v/>
      </c>
      <c r="I28" s="34">
        <f>IFERROR(__xludf.DUMMYFUNCTION("""COMPUTED_VALUE"""),24.3)</f>
        <v>24.3</v>
      </c>
      <c r="J28" s="35" t="str">
        <f>IFERROR(__xludf.DUMMYFUNCTION("""COMPUTED_VALUE"""),"AP")</f>
        <v>AP</v>
      </c>
      <c r="K28" s="34">
        <f>IFERROR(__xludf.DUMMYFUNCTION("""COMPUTED_VALUE"""),20.6)</f>
        <v>20.6</v>
      </c>
      <c r="L28" s="35" t="str">
        <f>IFERROR(__xludf.DUMMYFUNCTION("""COMPUTED_VALUE"""),"%")</f>
        <v>%</v>
      </c>
      <c r="M28" s="36">
        <f>IFERROR(__xludf.DUMMYFUNCTION("""COMPUTED_VALUE"""),1.0)</f>
        <v>1</v>
      </c>
      <c r="N28" s="37"/>
      <c r="O28" s="38"/>
      <c r="P28" s="34" t="str">
        <f>IFERROR(__xludf.DUMMYFUNCTION("""COMPUTED_VALUE"""),"")</f>
        <v/>
      </c>
      <c r="Q28" s="35" t="str">
        <f>IFERROR(__xludf.DUMMYFUNCTION("""COMPUTED_VALUE"""),"AP")</f>
        <v>AP</v>
      </c>
      <c r="R28" s="34" t="str">
        <f>IFERROR(__xludf.DUMMYFUNCTION("""COMPUTED_VALUE"""),"")</f>
        <v/>
      </c>
      <c r="S28" s="35" t="str">
        <f>IFERROR(__xludf.DUMMYFUNCTION("""COMPUTED_VALUE"""),"%")</f>
        <v>%</v>
      </c>
      <c r="T28" s="36">
        <f>IFERROR(__xludf.DUMMYFUNCTION("""COMPUTED_VALUE"""),2.0)</f>
        <v>2</v>
      </c>
      <c r="U28" s="37"/>
      <c r="V28" s="38"/>
      <c r="W28" s="34" t="str">
        <f>IFERROR(__xludf.DUMMYFUNCTION("""COMPUTED_VALUE"""),"")</f>
        <v/>
      </c>
      <c r="X28" s="35" t="str">
        <f>IFERROR(__xludf.DUMMYFUNCTION("""COMPUTED_VALUE"""),"AP")</f>
        <v>AP</v>
      </c>
      <c r="Y28" s="34" t="str">
        <f>IFERROR(__xludf.DUMMYFUNCTION("""COMPUTED_VALUE"""),"")</f>
        <v/>
      </c>
      <c r="Z28" s="35" t="str">
        <f>IFERROR(__xludf.DUMMYFUNCTION("""COMPUTED_VALUE"""),"%")</f>
        <v>%</v>
      </c>
      <c r="AA28" s="36">
        <f>IFERROR(__xludf.DUMMYFUNCTION("""COMPUTED_VALUE"""),3.0)</f>
        <v>3</v>
      </c>
      <c r="AB28" s="37"/>
      <c r="AC28" s="38"/>
      <c r="AD28" s="34" t="str">
        <f>IFERROR(__xludf.DUMMYFUNCTION("""COMPUTED_VALUE"""),"")</f>
        <v/>
      </c>
      <c r="AE28" s="35" t="str">
        <f>IFERROR(__xludf.DUMMYFUNCTION("""COMPUTED_VALUE"""),"AP")</f>
        <v>AP</v>
      </c>
      <c r="AF28" s="34" t="str">
        <f>IFERROR(__xludf.DUMMYFUNCTION("""COMPUTED_VALUE"""),"")</f>
        <v/>
      </c>
      <c r="AG28" s="35" t="str">
        <f>IFERROR(__xludf.DUMMYFUNCTION("""COMPUTED_VALUE"""),"%")</f>
        <v>%</v>
      </c>
      <c r="AH28" s="31">
        <f>IFERROR(__xludf.DUMMYFUNCTION("""COMPUTED_VALUE"""),5.0)</f>
        <v>5</v>
      </c>
      <c r="AI28" s="32">
        <f>IFERROR(__xludf.DUMMYFUNCTION("""COMPUTED_VALUE"""),2305.0)</f>
        <v>2305</v>
      </c>
      <c r="AJ28" s="39" t="str">
        <f>IFERROR(__xludf.DUMMYFUNCTION("""COMPUTED_VALUE"""),"X-D（港）")</f>
        <v>X-D（港）</v>
      </c>
    </row>
    <row r="29" ht="24.75" customHeight="1">
      <c r="A29" s="40">
        <f>IFERROR(__xludf.DUMMYFUNCTION("""COMPUTED_VALUE"""),4.0)</f>
        <v>4</v>
      </c>
      <c r="B29" s="40" t="str">
        <f>IFERROR(__xludf.DUMMYFUNCTION("""COMPUTED_VALUE"""),"A302")</f>
        <v>A302</v>
      </c>
      <c r="C29" s="40" t="str">
        <f>IFERROR(__xludf.DUMMYFUNCTION("""COMPUTED_VALUE"""),"FUY2")</f>
        <v>FUY2</v>
      </c>
      <c r="D29" s="41" t="str">
        <f>IFERROR(__xludf.DUMMYFUNCTION("""COMPUTED_VALUE"""),"Fuyuki")</f>
        <v>Fuyuki</v>
      </c>
      <c r="E29" s="42" t="str">
        <f>IFERROR(__xludf.DUMMYFUNCTION("""COMPUTED_VALUE"""),"Unknown Coordinates X-B")</f>
        <v>Unknown Coordinates X-B</v>
      </c>
      <c r="F29" s="43">
        <f>IFERROR(__xludf.DUMMYFUNCTION("""COMPUTED_VALUE"""),4.0)</f>
        <v>4</v>
      </c>
      <c r="G29" s="44">
        <f>IFERROR(__xludf.DUMMYFUNCTION("""COMPUTED_VALUE"""),2479.0)</f>
        <v>2479</v>
      </c>
      <c r="H29" s="33" t="str">
        <f>IFERROR(__xludf.DUMMYFUNCTION("""COMPUTED_VALUE"""),"")</f>
        <v/>
      </c>
      <c r="I29" s="45">
        <f>IFERROR(__xludf.DUMMYFUNCTION("""COMPUTED_VALUE"""),29.1)</f>
        <v>29.1</v>
      </c>
      <c r="J29" s="46" t="str">
        <f>IFERROR(__xludf.DUMMYFUNCTION("""COMPUTED_VALUE"""),"AP")</f>
        <v>AP</v>
      </c>
      <c r="K29" s="47">
        <f>IFERROR(__xludf.DUMMYFUNCTION("""COMPUTED_VALUE"""),13.8)</f>
        <v>13.8</v>
      </c>
      <c r="L29" s="48" t="str">
        <f>IFERROR(__xludf.DUMMYFUNCTION("""COMPUTED_VALUE"""),"%")</f>
        <v>%</v>
      </c>
      <c r="M29" s="49">
        <f>IFERROR(__xludf.DUMMYFUNCTION("""COMPUTED_VALUE"""),1.0)</f>
        <v>1</v>
      </c>
      <c r="N29" s="50"/>
      <c r="O29" s="38"/>
      <c r="P29" s="45" t="str">
        <f>IFERROR(__xludf.DUMMYFUNCTION("""COMPUTED_VALUE"""),"")</f>
        <v/>
      </c>
      <c r="Q29" s="46" t="str">
        <f>IFERROR(__xludf.DUMMYFUNCTION("""COMPUTED_VALUE"""),"AP")</f>
        <v>AP</v>
      </c>
      <c r="R29" s="47" t="str">
        <f>IFERROR(__xludf.DUMMYFUNCTION("""COMPUTED_VALUE"""),"")</f>
        <v/>
      </c>
      <c r="S29" s="48" t="str">
        <f>IFERROR(__xludf.DUMMYFUNCTION("""COMPUTED_VALUE"""),"%")</f>
        <v>%</v>
      </c>
      <c r="T29" s="49">
        <f>IFERROR(__xludf.DUMMYFUNCTION("""COMPUTED_VALUE"""),2.0)</f>
        <v>2</v>
      </c>
      <c r="U29" s="50"/>
      <c r="V29" s="38"/>
      <c r="W29" s="45" t="str">
        <f>IFERROR(__xludf.DUMMYFUNCTION("""COMPUTED_VALUE"""),"")</f>
        <v/>
      </c>
      <c r="X29" s="46" t="str">
        <f>IFERROR(__xludf.DUMMYFUNCTION("""COMPUTED_VALUE"""),"AP")</f>
        <v>AP</v>
      </c>
      <c r="Y29" s="47" t="str">
        <f>IFERROR(__xludf.DUMMYFUNCTION("""COMPUTED_VALUE"""),"")</f>
        <v/>
      </c>
      <c r="Z29" s="48" t="str">
        <f>IFERROR(__xludf.DUMMYFUNCTION("""COMPUTED_VALUE"""),"%")</f>
        <v>%</v>
      </c>
      <c r="AA29" s="49">
        <f>IFERROR(__xludf.DUMMYFUNCTION("""COMPUTED_VALUE"""),3.0)</f>
        <v>3</v>
      </c>
      <c r="AB29" s="50"/>
      <c r="AC29" s="38"/>
      <c r="AD29" s="45" t="str">
        <f>IFERROR(__xludf.DUMMYFUNCTION("""COMPUTED_VALUE"""),"")</f>
        <v/>
      </c>
      <c r="AE29" s="46" t="str">
        <f>IFERROR(__xludf.DUMMYFUNCTION("""COMPUTED_VALUE"""),"AP")</f>
        <v>AP</v>
      </c>
      <c r="AF29" s="47" t="str">
        <f>IFERROR(__xludf.DUMMYFUNCTION("""COMPUTED_VALUE"""),"")</f>
        <v/>
      </c>
      <c r="AG29" s="48" t="str">
        <f>IFERROR(__xludf.DUMMYFUNCTION("""COMPUTED_VALUE"""),"%")</f>
        <v>%</v>
      </c>
      <c r="AH29" s="43">
        <f>IFERROR(__xludf.DUMMYFUNCTION("""COMPUTED_VALUE"""),4.0)</f>
        <v>4</v>
      </c>
      <c r="AI29" s="44">
        <f>IFERROR(__xludf.DUMMYFUNCTION("""COMPUTED_VALUE"""),2479.0)</f>
        <v>2479</v>
      </c>
      <c r="AJ29" s="51" t="str">
        <f>IFERROR(__xludf.DUMMYFUNCTION("""COMPUTED_VALUE"""),"X-B（爆心地）")</f>
        <v>X-B（爆心地）</v>
      </c>
    </row>
    <row r="30" ht="24.75" customHeight="1">
      <c r="A30" s="28">
        <f>IFERROR(__xludf.DUMMYFUNCTION("""COMPUTED_VALUE"""),5.0)</f>
        <v>5</v>
      </c>
      <c r="B30" s="28" t="str">
        <f>IFERROR(__xludf.DUMMYFUNCTION("""COMPUTED_VALUE"""),"A302")</f>
        <v>A302</v>
      </c>
      <c r="C30" s="28" t="str">
        <f>IFERROR(__xludf.DUMMYFUNCTION("""COMPUTED_VALUE"""),"CML1")</f>
        <v>CML1</v>
      </c>
      <c r="D30" s="29" t="str">
        <f>IFERROR(__xludf.DUMMYFUNCTION("""COMPUTED_VALUE"""),"Camelot")</f>
        <v>Camelot</v>
      </c>
      <c r="E30" s="30" t="str">
        <f>IFERROR(__xludf.DUMMYFUNCTION("""COMPUTED_VALUE"""),"Sandstorm Desert")</f>
        <v>Sandstorm Desert</v>
      </c>
      <c r="F30" s="31">
        <f>IFERROR(__xludf.DUMMYFUNCTION("""COMPUTED_VALUE"""),19.0)</f>
        <v>19</v>
      </c>
      <c r="G30" s="32">
        <f>IFERROR(__xludf.DUMMYFUNCTION("""COMPUTED_VALUE"""),70842.0)</f>
        <v>70842</v>
      </c>
      <c r="H30" s="33" t="str">
        <f>IFERROR(__xludf.DUMMYFUNCTION("""COMPUTED_VALUE"""),"")</f>
        <v/>
      </c>
      <c r="I30" s="34">
        <f>IFERROR(__xludf.DUMMYFUNCTION("""COMPUTED_VALUE"""),30.1)</f>
        <v>30.1</v>
      </c>
      <c r="J30" s="35" t="str">
        <f>IFERROR(__xludf.DUMMYFUNCTION("""COMPUTED_VALUE"""),"AP")</f>
        <v>AP</v>
      </c>
      <c r="K30" s="34">
        <f>IFERROR(__xludf.DUMMYFUNCTION("""COMPUTED_VALUE"""),63.0)</f>
        <v>63</v>
      </c>
      <c r="L30" s="35" t="str">
        <f>IFERROR(__xludf.DUMMYFUNCTION("""COMPUTED_VALUE"""),"%")</f>
        <v>%</v>
      </c>
      <c r="M30" s="36">
        <f>IFERROR(__xludf.DUMMYFUNCTION("""COMPUTED_VALUE"""),1.0)</f>
        <v>1</v>
      </c>
      <c r="N30" s="37" t="str">
        <f>IFERROR(__xludf.DUMMYFUNCTION("""COMPUTED_VALUE"""),"A109")</f>
        <v>A109</v>
      </c>
      <c r="O30" s="38" t="str">
        <f>IFERROR(__xludf.DUMMYFUNCTION("""COMPUTED_VALUE"""),"")</f>
        <v/>
      </c>
      <c r="P30" s="34">
        <f>IFERROR(__xludf.DUMMYFUNCTION("""COMPUTED_VALUE"""),233.6)</f>
        <v>233.6</v>
      </c>
      <c r="Q30" s="35" t="str">
        <f>IFERROR(__xludf.DUMMYFUNCTION("""COMPUTED_VALUE"""),"AP")</f>
        <v>AP</v>
      </c>
      <c r="R30" s="34">
        <f>IFERROR(__xludf.DUMMYFUNCTION("""COMPUTED_VALUE"""),8.1)</f>
        <v>8.1</v>
      </c>
      <c r="S30" s="35" t="str">
        <f>IFERROR(__xludf.DUMMYFUNCTION("""COMPUTED_VALUE"""),"%")</f>
        <v>%</v>
      </c>
      <c r="T30" s="36">
        <f>IFERROR(__xludf.DUMMYFUNCTION("""COMPUTED_VALUE"""),2.0)</f>
        <v>2</v>
      </c>
      <c r="U30" s="37" t="str">
        <f>IFERROR(__xludf.DUMMYFUNCTION("""COMPUTED_VALUE"""),"B105")</f>
        <v>B105</v>
      </c>
      <c r="V30" s="38" t="str">
        <f>IFERROR(__xludf.DUMMYFUNCTION("""COMPUTED_VALUE"""),"")</f>
        <v/>
      </c>
      <c r="W30" s="34">
        <f>IFERROR(__xludf.DUMMYFUNCTION("""COMPUTED_VALUE"""),616.1)</f>
        <v>616.1</v>
      </c>
      <c r="X30" s="35" t="str">
        <f>IFERROR(__xludf.DUMMYFUNCTION("""COMPUTED_VALUE"""),"AP")</f>
        <v>AP</v>
      </c>
      <c r="Y30" s="34">
        <f>IFERROR(__xludf.DUMMYFUNCTION("""COMPUTED_VALUE"""),3.1)</f>
        <v>3.1</v>
      </c>
      <c r="Z30" s="35" t="str">
        <f>IFERROR(__xludf.DUMMYFUNCTION("""COMPUTED_VALUE"""),"%")</f>
        <v>%</v>
      </c>
      <c r="AA30" s="36">
        <f>IFERROR(__xludf.DUMMYFUNCTION("""COMPUTED_VALUE"""),3.0)</f>
        <v>3</v>
      </c>
      <c r="AB30" s="37"/>
      <c r="AC30" s="38"/>
      <c r="AD30" s="34" t="str">
        <f>IFERROR(__xludf.DUMMYFUNCTION("""COMPUTED_VALUE"""),"")</f>
        <v/>
      </c>
      <c r="AE30" s="35" t="str">
        <f>IFERROR(__xludf.DUMMYFUNCTION("""COMPUTED_VALUE"""),"AP")</f>
        <v>AP</v>
      </c>
      <c r="AF30" s="34" t="str">
        <f>IFERROR(__xludf.DUMMYFUNCTION("""COMPUTED_VALUE"""),"")</f>
        <v/>
      </c>
      <c r="AG30" s="35" t="str">
        <f>IFERROR(__xludf.DUMMYFUNCTION("""COMPUTED_VALUE"""),"%")</f>
        <v>%</v>
      </c>
      <c r="AH30" s="31">
        <f>IFERROR(__xludf.DUMMYFUNCTION("""COMPUTED_VALUE"""),19.0)</f>
        <v>19</v>
      </c>
      <c r="AI30" s="32">
        <f>IFERROR(__xludf.DUMMYFUNCTION("""COMPUTED_VALUE"""),70842.0)</f>
        <v>70842</v>
      </c>
      <c r="AJ30" s="39" t="str">
        <f>IFERROR(__xludf.DUMMYFUNCTION("""COMPUTED_VALUE"""),"砂嵐の砂漠")</f>
        <v>砂嵐の砂漠</v>
      </c>
    </row>
    <row r="31" ht="24.75" customHeight="1">
      <c r="A31" s="40">
        <f>IFERROR(__xludf.DUMMYFUNCTION("""COMPUTED_VALUE"""),6.0)</f>
        <v>6</v>
      </c>
      <c r="B31" s="40" t="str">
        <f>IFERROR(__xludf.DUMMYFUNCTION("""COMPUTED_VALUE"""),"A302")</f>
        <v>A302</v>
      </c>
      <c r="C31" s="40" t="str">
        <f>IFERROR(__xludf.DUMMYFUNCTION("""COMPUTED_VALUE"""),"FUY5")</f>
        <v>FUY5</v>
      </c>
      <c r="D31" s="41" t="str">
        <f>IFERROR(__xludf.DUMMYFUNCTION("""COMPUTED_VALUE"""),"Fuyuki")</f>
        <v>Fuyuki</v>
      </c>
      <c r="E31" s="42" t="str">
        <f>IFERROR(__xludf.DUMMYFUNCTION("""COMPUTED_VALUE"""),"Unknown Coordinates X-E")</f>
        <v>Unknown Coordinates X-E</v>
      </c>
      <c r="F31" s="43">
        <f>IFERROR(__xludf.DUMMYFUNCTION("""COMPUTED_VALUE"""),5.0)</f>
        <v>5</v>
      </c>
      <c r="G31" s="44">
        <f>IFERROR(__xludf.DUMMYFUNCTION("""COMPUTED_VALUE"""),3365.0)</f>
        <v>3365</v>
      </c>
      <c r="H31" s="33" t="str">
        <f>IFERROR(__xludf.DUMMYFUNCTION("""COMPUTED_VALUE"""),"")</f>
        <v/>
      </c>
      <c r="I31" s="45">
        <f>IFERROR(__xludf.DUMMYFUNCTION("""COMPUTED_VALUE"""),30.2)</f>
        <v>30.2</v>
      </c>
      <c r="J31" s="46" t="str">
        <f>IFERROR(__xludf.DUMMYFUNCTION("""COMPUTED_VALUE"""),"AP")</f>
        <v>AP</v>
      </c>
      <c r="K31" s="47">
        <f>IFERROR(__xludf.DUMMYFUNCTION("""COMPUTED_VALUE"""),16.6)</f>
        <v>16.6</v>
      </c>
      <c r="L31" s="48" t="str">
        <f>IFERROR(__xludf.DUMMYFUNCTION("""COMPUTED_VALUE"""),"%")</f>
        <v>%</v>
      </c>
      <c r="M31" s="49">
        <f>IFERROR(__xludf.DUMMYFUNCTION("""COMPUTED_VALUE"""),1.0)</f>
        <v>1</v>
      </c>
      <c r="N31" s="50" t="str">
        <f>IFERROR(__xludf.DUMMYFUNCTION("""COMPUTED_VALUE"""),"A304")</f>
        <v>A304</v>
      </c>
      <c r="O31" s="38" t="str">
        <f>IFERROR(__xludf.DUMMYFUNCTION("""COMPUTED_VALUE"""),"")</f>
        <v/>
      </c>
      <c r="P31" s="45">
        <f>IFERROR(__xludf.DUMMYFUNCTION("""COMPUTED_VALUE"""),110.0)</f>
        <v>110</v>
      </c>
      <c r="Q31" s="46" t="str">
        <f>IFERROR(__xludf.DUMMYFUNCTION("""COMPUTED_VALUE"""),"AP")</f>
        <v>AP</v>
      </c>
      <c r="R31" s="47">
        <f>IFERROR(__xludf.DUMMYFUNCTION("""COMPUTED_VALUE"""),4.5)</f>
        <v>4.5</v>
      </c>
      <c r="S31" s="48" t="str">
        <f>IFERROR(__xludf.DUMMYFUNCTION("""COMPUTED_VALUE"""),"%")</f>
        <v>%</v>
      </c>
      <c r="T31" s="49">
        <f>IFERROR(__xludf.DUMMYFUNCTION("""COMPUTED_VALUE"""),2.0)</f>
        <v>2</v>
      </c>
      <c r="U31" s="50"/>
      <c r="V31" s="38"/>
      <c r="W31" s="45" t="str">
        <f>IFERROR(__xludf.DUMMYFUNCTION("""COMPUTED_VALUE"""),"")</f>
        <v/>
      </c>
      <c r="X31" s="46" t="str">
        <f>IFERROR(__xludf.DUMMYFUNCTION("""COMPUTED_VALUE"""),"AP")</f>
        <v>AP</v>
      </c>
      <c r="Y31" s="47" t="str">
        <f>IFERROR(__xludf.DUMMYFUNCTION("""COMPUTED_VALUE"""),"")</f>
        <v/>
      </c>
      <c r="Z31" s="48" t="str">
        <f>IFERROR(__xludf.DUMMYFUNCTION("""COMPUTED_VALUE"""),"%")</f>
        <v>%</v>
      </c>
      <c r="AA31" s="49">
        <f>IFERROR(__xludf.DUMMYFUNCTION("""COMPUTED_VALUE"""),3.0)</f>
        <v>3</v>
      </c>
      <c r="AB31" s="50"/>
      <c r="AC31" s="38"/>
      <c r="AD31" s="45" t="str">
        <f>IFERROR(__xludf.DUMMYFUNCTION("""COMPUTED_VALUE"""),"")</f>
        <v/>
      </c>
      <c r="AE31" s="46" t="str">
        <f>IFERROR(__xludf.DUMMYFUNCTION("""COMPUTED_VALUE"""),"AP")</f>
        <v>AP</v>
      </c>
      <c r="AF31" s="47" t="str">
        <f>IFERROR(__xludf.DUMMYFUNCTION("""COMPUTED_VALUE"""),"")</f>
        <v/>
      </c>
      <c r="AG31" s="48" t="str">
        <f>IFERROR(__xludf.DUMMYFUNCTION("""COMPUTED_VALUE"""),"%")</f>
        <v>%</v>
      </c>
      <c r="AH31" s="43">
        <f>IFERROR(__xludf.DUMMYFUNCTION("""COMPUTED_VALUE"""),5.0)</f>
        <v>5</v>
      </c>
      <c r="AI31" s="44">
        <f>IFERROR(__xludf.DUMMYFUNCTION("""COMPUTED_VALUE"""),3365.0)</f>
        <v>3365</v>
      </c>
      <c r="AJ31" s="51" t="str">
        <f>IFERROR(__xludf.DUMMYFUNCTION("""COMPUTED_VALUE"""),"X-E（教会）")</f>
        <v>X-E（教会）</v>
      </c>
    </row>
    <row r="32" ht="24.75" customHeight="1">
      <c r="A32" s="28">
        <f>IFERROR(__xludf.DUMMYFUNCTION("""COMPUTED_VALUE"""),7.0)</f>
        <v>7</v>
      </c>
      <c r="B32" s="28" t="str">
        <f>IFERROR(__xludf.DUMMYFUNCTION("""COMPUTED_VALUE"""),"A302")</f>
        <v>A302</v>
      </c>
      <c r="C32" s="28" t="str">
        <f>IFERROR(__xludf.DUMMYFUNCTION("""COMPUTED_VALUE"""),"SEP6")</f>
        <v>SEP6</v>
      </c>
      <c r="D32" s="29" t="str">
        <f>IFERROR(__xludf.DUMMYFUNCTION("""COMPUTED_VALUE"""),"Septem")</f>
        <v>Septem</v>
      </c>
      <c r="E32" s="30" t="str">
        <f>IFERROR(__xludf.DUMMYFUNCTION("""COMPUTED_VALUE"""),"Germania")</f>
        <v>Germania</v>
      </c>
      <c r="F32" s="31">
        <f>IFERROR(__xludf.DUMMYFUNCTION("""COMPUTED_VALUE"""),15.0)</f>
        <v>15</v>
      </c>
      <c r="G32" s="32">
        <f>IFERROR(__xludf.DUMMYFUNCTION("""COMPUTED_VALUE"""),1991.0)</f>
        <v>1991</v>
      </c>
      <c r="H32" s="33" t="str">
        <f>IFERROR(__xludf.DUMMYFUNCTION("""COMPUTED_VALUE"""),"")</f>
        <v/>
      </c>
      <c r="I32" s="34">
        <f>IFERROR(__xludf.DUMMYFUNCTION("""COMPUTED_VALUE"""),30.9)</f>
        <v>30.9</v>
      </c>
      <c r="J32" s="35" t="str">
        <f>IFERROR(__xludf.DUMMYFUNCTION("""COMPUTED_VALUE"""),"AP")</f>
        <v>AP</v>
      </c>
      <c r="K32" s="34">
        <f>IFERROR(__xludf.DUMMYFUNCTION("""COMPUTED_VALUE"""),48.5)</f>
        <v>48.5</v>
      </c>
      <c r="L32" s="35" t="str">
        <f>IFERROR(__xludf.DUMMYFUNCTION("""COMPUTED_VALUE"""),"%")</f>
        <v>%</v>
      </c>
      <c r="M32" s="36">
        <f>IFERROR(__xludf.DUMMYFUNCTION("""COMPUTED_VALUE"""),1.0)</f>
        <v>1</v>
      </c>
      <c r="N32" s="37" t="str">
        <f>IFERROR(__xludf.DUMMYFUNCTION("""COMPUTED_VALUE"""),"A101")</f>
        <v>A101</v>
      </c>
      <c r="O32" s="38" t="str">
        <f>IFERROR(__xludf.DUMMYFUNCTION("""COMPUTED_VALUE"""),"")</f>
        <v/>
      </c>
      <c r="P32" s="34">
        <f>IFERROR(__xludf.DUMMYFUNCTION("""COMPUTED_VALUE"""),506.2)</f>
        <v>506.2</v>
      </c>
      <c r="Q32" s="35" t="str">
        <f>IFERROR(__xludf.DUMMYFUNCTION("""COMPUTED_VALUE"""),"AP")</f>
        <v>AP</v>
      </c>
      <c r="R32" s="34">
        <f>IFERROR(__xludf.DUMMYFUNCTION("""COMPUTED_VALUE"""),3.0)</f>
        <v>3</v>
      </c>
      <c r="S32" s="35" t="str">
        <f>IFERROR(__xludf.DUMMYFUNCTION("""COMPUTED_VALUE"""),"%")</f>
        <v>%</v>
      </c>
      <c r="T32" s="36">
        <f>IFERROR(__xludf.DUMMYFUNCTION("""COMPUTED_VALUE"""),2.0)</f>
        <v>2</v>
      </c>
      <c r="U32" s="37" t="str">
        <f>IFERROR(__xludf.DUMMYFUNCTION("""COMPUTED_VALUE"""),"B117")</f>
        <v>B117</v>
      </c>
      <c r="V32" s="38" t="str">
        <f>IFERROR(__xludf.DUMMYFUNCTION("""COMPUTED_VALUE"""),"")</f>
        <v/>
      </c>
      <c r="W32" s="34">
        <f>IFERROR(__xludf.DUMMYFUNCTION("""COMPUTED_VALUE"""),195.6)</f>
        <v>195.6</v>
      </c>
      <c r="X32" s="35" t="str">
        <f>IFERROR(__xludf.DUMMYFUNCTION("""COMPUTED_VALUE"""),"AP")</f>
        <v>AP</v>
      </c>
      <c r="Y32" s="34">
        <f>IFERROR(__xludf.DUMMYFUNCTION("""COMPUTED_VALUE"""),7.7)</f>
        <v>7.7</v>
      </c>
      <c r="Z32" s="35" t="str">
        <f>IFERROR(__xludf.DUMMYFUNCTION("""COMPUTED_VALUE"""),"%")</f>
        <v>%</v>
      </c>
      <c r="AA32" s="36">
        <f>IFERROR(__xludf.DUMMYFUNCTION("""COMPUTED_VALUE"""),3.0)</f>
        <v>3</v>
      </c>
      <c r="AB32" s="37"/>
      <c r="AC32" s="38"/>
      <c r="AD32" s="34" t="str">
        <f>IFERROR(__xludf.DUMMYFUNCTION("""COMPUTED_VALUE"""),"")</f>
        <v/>
      </c>
      <c r="AE32" s="35" t="str">
        <f>IFERROR(__xludf.DUMMYFUNCTION("""COMPUTED_VALUE"""),"AP")</f>
        <v>AP</v>
      </c>
      <c r="AF32" s="34" t="str">
        <f>IFERROR(__xludf.DUMMYFUNCTION("""COMPUTED_VALUE"""),"")</f>
        <v/>
      </c>
      <c r="AG32" s="35" t="str">
        <f>IFERROR(__xludf.DUMMYFUNCTION("""COMPUTED_VALUE"""),"%")</f>
        <v>%</v>
      </c>
      <c r="AH32" s="31">
        <f>IFERROR(__xludf.DUMMYFUNCTION("""COMPUTED_VALUE"""),15.0)</f>
        <v>15</v>
      </c>
      <c r="AI32" s="32">
        <f>IFERROR(__xludf.DUMMYFUNCTION("""COMPUTED_VALUE"""),1991.0)</f>
        <v>1991</v>
      </c>
      <c r="AJ32" s="39" t="str">
        <f>IFERROR(__xludf.DUMMYFUNCTION("""COMPUTED_VALUE"""),"ゲルマニア")</f>
        <v>ゲルマニア</v>
      </c>
    </row>
    <row r="33" ht="24.75" customHeight="1">
      <c r="A33" s="40">
        <f>IFERROR(__xludf.DUMMYFUNCTION("""COMPUTED_VALUE"""),8.0)</f>
        <v>8</v>
      </c>
      <c r="B33" s="40" t="str">
        <f>IFERROR(__xludf.DUMMYFUNCTION("""COMPUTED_VALUE"""),"A302")</f>
        <v>A302</v>
      </c>
      <c r="C33" s="40" t="str">
        <f>IFERROR(__xludf.DUMMYFUNCTION("""COMPUTED_VALUE"""),"FUY6")</f>
        <v>FUY6</v>
      </c>
      <c r="D33" s="41" t="str">
        <f>IFERROR(__xludf.DUMMYFUNCTION("""COMPUTED_VALUE"""),"Fuyuki")</f>
        <v>Fuyuki</v>
      </c>
      <c r="E33" s="42" t="str">
        <f>IFERROR(__xludf.DUMMYFUNCTION("""COMPUTED_VALUE"""),"Unknown Coordinates X-F")</f>
        <v>Unknown Coordinates X-F</v>
      </c>
      <c r="F33" s="43">
        <f>IFERROR(__xludf.DUMMYFUNCTION("""COMPUTED_VALUE"""),6.0)</f>
        <v>6</v>
      </c>
      <c r="G33" s="44">
        <f>IFERROR(__xludf.DUMMYFUNCTION("""COMPUTED_VALUE"""),7300.0)</f>
        <v>7300</v>
      </c>
      <c r="H33" s="33" t="str">
        <f>IFERROR(__xludf.DUMMYFUNCTION("""COMPUTED_VALUE"""),"")</f>
        <v/>
      </c>
      <c r="I33" s="45">
        <f>IFERROR(__xludf.DUMMYFUNCTION("""COMPUTED_VALUE"""),35.3)</f>
        <v>35.3</v>
      </c>
      <c r="J33" s="46" t="str">
        <f>IFERROR(__xludf.DUMMYFUNCTION("""COMPUTED_VALUE"""),"AP")</f>
        <v>AP</v>
      </c>
      <c r="K33" s="47">
        <f>IFERROR(__xludf.DUMMYFUNCTION("""COMPUTED_VALUE"""),17.0)</f>
        <v>17</v>
      </c>
      <c r="L33" s="48" t="str">
        <f>IFERROR(__xludf.DUMMYFUNCTION("""COMPUTED_VALUE"""),"%")</f>
        <v>%</v>
      </c>
      <c r="M33" s="49">
        <f>IFERROR(__xludf.DUMMYFUNCTION("""COMPUTED_VALUE"""),1.0)</f>
        <v>1</v>
      </c>
      <c r="N33" s="50" t="str">
        <f>IFERROR(__xludf.DUMMYFUNCTION("""COMPUTED_VALUE"""),"A304")</f>
        <v>A304</v>
      </c>
      <c r="O33" s="38" t="str">
        <f>IFERROR(__xludf.DUMMYFUNCTION("""COMPUTED_VALUE"""),"")</f>
        <v/>
      </c>
      <c r="P33" s="45">
        <f>IFERROR(__xludf.DUMMYFUNCTION("""COMPUTED_VALUE"""),75.5)</f>
        <v>75.5</v>
      </c>
      <c r="Q33" s="46" t="str">
        <f>IFERROR(__xludf.DUMMYFUNCTION("""COMPUTED_VALUE"""),"AP")</f>
        <v>AP</v>
      </c>
      <c r="R33" s="47">
        <f>IFERROR(__xludf.DUMMYFUNCTION("""COMPUTED_VALUE"""),7.9)</f>
        <v>7.9</v>
      </c>
      <c r="S33" s="48" t="str">
        <f>IFERROR(__xludf.DUMMYFUNCTION("""COMPUTED_VALUE"""),"%")</f>
        <v>%</v>
      </c>
      <c r="T33" s="49">
        <f>IFERROR(__xludf.DUMMYFUNCTION("""COMPUTED_VALUE"""),2.0)</f>
        <v>2</v>
      </c>
      <c r="U33" s="50"/>
      <c r="V33" s="38"/>
      <c r="W33" s="45" t="str">
        <f>IFERROR(__xludf.DUMMYFUNCTION("""COMPUTED_VALUE"""),"")</f>
        <v/>
      </c>
      <c r="X33" s="46" t="str">
        <f>IFERROR(__xludf.DUMMYFUNCTION("""COMPUTED_VALUE"""),"AP")</f>
        <v>AP</v>
      </c>
      <c r="Y33" s="47" t="str">
        <f>IFERROR(__xludf.DUMMYFUNCTION("""COMPUTED_VALUE"""),"")</f>
        <v/>
      </c>
      <c r="Z33" s="48" t="str">
        <f>IFERROR(__xludf.DUMMYFUNCTION("""COMPUTED_VALUE"""),"%")</f>
        <v>%</v>
      </c>
      <c r="AA33" s="49">
        <f>IFERROR(__xludf.DUMMYFUNCTION("""COMPUTED_VALUE"""),3.0)</f>
        <v>3</v>
      </c>
      <c r="AB33" s="50"/>
      <c r="AC33" s="38"/>
      <c r="AD33" s="45" t="str">
        <f>IFERROR(__xludf.DUMMYFUNCTION("""COMPUTED_VALUE"""),"")</f>
        <v/>
      </c>
      <c r="AE33" s="46" t="str">
        <f>IFERROR(__xludf.DUMMYFUNCTION("""COMPUTED_VALUE"""),"AP")</f>
        <v>AP</v>
      </c>
      <c r="AF33" s="47" t="str">
        <f>IFERROR(__xludf.DUMMYFUNCTION("""COMPUTED_VALUE"""),"")</f>
        <v/>
      </c>
      <c r="AG33" s="48" t="str">
        <f>IFERROR(__xludf.DUMMYFUNCTION("""COMPUTED_VALUE"""),"%")</f>
        <v>%</v>
      </c>
      <c r="AH33" s="43">
        <f>IFERROR(__xludf.DUMMYFUNCTION("""COMPUTED_VALUE"""),6.0)</f>
        <v>6</v>
      </c>
      <c r="AI33" s="44">
        <f>IFERROR(__xludf.DUMMYFUNCTION("""COMPUTED_VALUE"""),7300.0)</f>
        <v>7300</v>
      </c>
      <c r="AJ33" s="51" t="str">
        <f>IFERROR(__xludf.DUMMYFUNCTION("""COMPUTED_VALUE"""),"X-F（校舎）")</f>
        <v>X-F（校舎）</v>
      </c>
    </row>
    <row r="34" ht="24.75" customHeight="1">
      <c r="A34" s="28">
        <f>IFERROR(__xludf.DUMMYFUNCTION("""COMPUTED_VALUE"""),9.0)</f>
        <v>9</v>
      </c>
      <c r="B34" s="28" t="str">
        <f>IFERROR(__xludf.DUMMYFUNCTION("""COMPUTED_VALUE"""),"A302")</f>
        <v>A302</v>
      </c>
      <c r="C34" s="28" t="str">
        <f>IFERROR(__xludf.DUMMYFUNCTION("""COMPUTED_VALUE"""),"TRF5")</f>
        <v>TRF5</v>
      </c>
      <c r="D34" s="29" t="str">
        <f>IFERROR(__xludf.DUMMYFUNCTION("""COMPUTED_VALUE"""),"Chaldea Gate (Tue)")</f>
        <v>Chaldea Gate (Tue)</v>
      </c>
      <c r="E34" s="30" t="str">
        <f>IFERROR(__xludf.DUMMYFUNCTION("""COMPUTED_VALUE"""),"TUE Lancer Training Ground- Nov")</f>
        <v>TUE Lancer Training Ground- Nov</v>
      </c>
      <c r="F34" s="31">
        <f>IFERROR(__xludf.DUMMYFUNCTION("""COMPUTED_VALUE"""),10.0)</f>
        <v>10</v>
      </c>
      <c r="G34" s="32">
        <f>IFERROR(__xludf.DUMMYFUNCTION("""COMPUTED_VALUE"""),1961.0)</f>
        <v>1961</v>
      </c>
      <c r="H34" s="33" t="str">
        <f>IFERROR(__xludf.DUMMYFUNCTION("""COMPUTED_VALUE"""),"")</f>
        <v/>
      </c>
      <c r="I34" s="34">
        <f>IFERROR(__xludf.DUMMYFUNCTION("""COMPUTED_VALUE"""),37.8)</f>
        <v>37.8</v>
      </c>
      <c r="J34" s="35" t="str">
        <f>IFERROR(__xludf.DUMMYFUNCTION("""COMPUTED_VALUE"""),"AP")</f>
        <v>AP</v>
      </c>
      <c r="K34" s="34">
        <f>IFERROR(__xludf.DUMMYFUNCTION("""COMPUTED_VALUE"""),26.5)</f>
        <v>26.5</v>
      </c>
      <c r="L34" s="35" t="str">
        <f>IFERROR(__xludf.DUMMYFUNCTION("""COMPUTED_VALUE"""),"%")</f>
        <v>%</v>
      </c>
      <c r="M34" s="36">
        <f>IFERROR(__xludf.DUMMYFUNCTION("""COMPUTED_VALUE"""),1.0)</f>
        <v>1</v>
      </c>
      <c r="N34" s="37" t="str">
        <f>IFERROR(__xludf.DUMMYFUNCTION("""COMPUTED_VALUE"""),"A208")</f>
        <v>A208</v>
      </c>
      <c r="O34" s="38" t="str">
        <f>IFERROR(__xludf.DUMMYFUNCTION("""COMPUTED_VALUE"""),"")</f>
        <v/>
      </c>
      <c r="P34" s="34">
        <f>IFERROR(__xludf.DUMMYFUNCTION("""COMPUTED_VALUE"""),205.7)</f>
        <v>205.7</v>
      </c>
      <c r="Q34" s="35" t="str">
        <f>IFERROR(__xludf.DUMMYFUNCTION("""COMPUTED_VALUE"""),"AP")</f>
        <v>AP</v>
      </c>
      <c r="R34" s="34">
        <f>IFERROR(__xludf.DUMMYFUNCTION("""COMPUTED_VALUE"""),4.9)</f>
        <v>4.9</v>
      </c>
      <c r="S34" s="35" t="str">
        <f>IFERROR(__xludf.DUMMYFUNCTION("""COMPUTED_VALUE"""),"%")</f>
        <v>%</v>
      </c>
      <c r="T34" s="36">
        <f>IFERROR(__xludf.DUMMYFUNCTION("""COMPUTED_VALUE"""),2.0)</f>
        <v>2</v>
      </c>
      <c r="U34" s="37" t="str">
        <f>IFERROR(__xludf.DUMMYFUNCTION("""COMPUTED_VALUE"""),"A301")</f>
        <v>A301</v>
      </c>
      <c r="V34" s="38" t="str">
        <f>IFERROR(__xludf.DUMMYFUNCTION("""COMPUTED_VALUE"""),"")</f>
        <v/>
      </c>
      <c r="W34" s="34">
        <f>IFERROR(__xludf.DUMMYFUNCTION("""COMPUTED_VALUE"""),83.8)</f>
        <v>83.8</v>
      </c>
      <c r="X34" s="35" t="str">
        <f>IFERROR(__xludf.DUMMYFUNCTION("""COMPUTED_VALUE"""),"AP")</f>
        <v>AP</v>
      </c>
      <c r="Y34" s="34">
        <f>IFERROR(__xludf.DUMMYFUNCTION("""COMPUTED_VALUE"""),11.9)</f>
        <v>11.9</v>
      </c>
      <c r="Z34" s="35" t="str">
        <f>IFERROR(__xludf.DUMMYFUNCTION("""COMPUTED_VALUE"""),"%")</f>
        <v>%</v>
      </c>
      <c r="AA34" s="36">
        <f>IFERROR(__xludf.DUMMYFUNCTION("""COMPUTED_VALUE"""),3.0)</f>
        <v>3</v>
      </c>
      <c r="AB34" s="37" t="str">
        <f>IFERROR(__xludf.DUMMYFUNCTION("""COMPUTED_VALUE"""),"A304")</f>
        <v>A304</v>
      </c>
      <c r="AC34" s="38" t="str">
        <f>IFERROR(__xludf.DUMMYFUNCTION("""COMPUTED_VALUE"""),"")</f>
        <v/>
      </c>
      <c r="AD34" s="34">
        <f>IFERROR(__xludf.DUMMYFUNCTION("""COMPUTED_VALUE"""),186.7)</f>
        <v>186.7</v>
      </c>
      <c r="AE34" s="35" t="str">
        <f>IFERROR(__xludf.DUMMYFUNCTION("""COMPUTED_VALUE"""),"AP")</f>
        <v>AP</v>
      </c>
      <c r="AF34" s="34">
        <f>IFERROR(__xludf.DUMMYFUNCTION("""COMPUTED_VALUE"""),5.4)</f>
        <v>5.4</v>
      </c>
      <c r="AG34" s="35" t="str">
        <f>IFERROR(__xludf.DUMMYFUNCTION("""COMPUTED_VALUE"""),"%")</f>
        <v>%</v>
      </c>
      <c r="AH34" s="31">
        <f>IFERROR(__xludf.DUMMYFUNCTION("""COMPUTED_VALUE"""),10.0)</f>
        <v>10</v>
      </c>
      <c r="AI34" s="32">
        <f>IFERROR(__xludf.DUMMYFUNCTION("""COMPUTED_VALUE"""),1961.0)</f>
        <v>1961</v>
      </c>
      <c r="AJ34" s="39" t="str">
        <f>IFERROR(__xludf.DUMMYFUNCTION("""COMPUTED_VALUE"""),"槍初級")</f>
        <v>槍初級</v>
      </c>
    </row>
    <row r="35" ht="24.75" customHeight="1">
      <c r="A35" s="40">
        <f>IFERROR(__xludf.DUMMYFUNCTION("""COMPUTED_VALUE"""),10.0)</f>
        <v>10</v>
      </c>
      <c r="B35" s="40" t="str">
        <f>IFERROR(__xludf.DUMMYFUNCTION("""COMPUTED_VALUE"""),"A302")</f>
        <v>A302</v>
      </c>
      <c r="C35" s="40" t="str">
        <f>IFERROR(__xludf.DUMMYFUNCTION("""COMPUTED_VALUE"""),"FUY1")</f>
        <v>FUY1</v>
      </c>
      <c r="D35" s="41" t="str">
        <f>IFERROR(__xludf.DUMMYFUNCTION("""COMPUTED_VALUE"""),"Fuyuki")</f>
        <v>Fuyuki</v>
      </c>
      <c r="E35" s="42" t="str">
        <f>IFERROR(__xludf.DUMMYFUNCTION("""COMPUTED_VALUE"""),"Unknown Coordinates X-A")</f>
        <v>Unknown Coordinates X-A</v>
      </c>
      <c r="F35" s="43">
        <f>IFERROR(__xludf.DUMMYFUNCTION("""COMPUTED_VALUE"""),3.0)</f>
        <v>3</v>
      </c>
      <c r="G35" s="44">
        <f>IFERROR(__xludf.DUMMYFUNCTION("""COMPUTED_VALUE"""),636087.0)</f>
        <v>636087</v>
      </c>
      <c r="H35" s="33" t="str">
        <f>IFERROR(__xludf.DUMMYFUNCTION("""COMPUTED_VALUE"""),"")</f>
        <v/>
      </c>
      <c r="I35" s="45">
        <f>IFERROR(__xludf.DUMMYFUNCTION("""COMPUTED_VALUE"""),40.3)</f>
        <v>40.3</v>
      </c>
      <c r="J35" s="46" t="str">
        <f>IFERROR(__xludf.DUMMYFUNCTION("""COMPUTED_VALUE"""),"AP")</f>
        <v>AP</v>
      </c>
      <c r="K35" s="47">
        <f>IFERROR(__xludf.DUMMYFUNCTION("""COMPUTED_VALUE"""),7.4)</f>
        <v>7.4</v>
      </c>
      <c r="L35" s="48" t="str">
        <f>IFERROR(__xludf.DUMMYFUNCTION("""COMPUTED_VALUE"""),"%")</f>
        <v>%</v>
      </c>
      <c r="M35" s="49">
        <f>IFERROR(__xludf.DUMMYFUNCTION("""COMPUTED_VALUE"""),1.0)</f>
        <v>1</v>
      </c>
      <c r="N35" s="50"/>
      <c r="O35" s="38"/>
      <c r="P35" s="45" t="str">
        <f>IFERROR(__xludf.DUMMYFUNCTION("""COMPUTED_VALUE"""),"")</f>
        <v/>
      </c>
      <c r="Q35" s="46" t="str">
        <f>IFERROR(__xludf.DUMMYFUNCTION("""COMPUTED_VALUE"""),"AP")</f>
        <v>AP</v>
      </c>
      <c r="R35" s="47" t="str">
        <f>IFERROR(__xludf.DUMMYFUNCTION("""COMPUTED_VALUE"""),"")</f>
        <v/>
      </c>
      <c r="S35" s="48" t="str">
        <f>IFERROR(__xludf.DUMMYFUNCTION("""COMPUTED_VALUE"""),"%")</f>
        <v>%</v>
      </c>
      <c r="T35" s="49">
        <f>IFERROR(__xludf.DUMMYFUNCTION("""COMPUTED_VALUE"""),2.0)</f>
        <v>2</v>
      </c>
      <c r="U35" s="50"/>
      <c r="V35" s="38"/>
      <c r="W35" s="45" t="str">
        <f>IFERROR(__xludf.DUMMYFUNCTION("""COMPUTED_VALUE"""),"")</f>
        <v/>
      </c>
      <c r="X35" s="46" t="str">
        <f>IFERROR(__xludf.DUMMYFUNCTION("""COMPUTED_VALUE"""),"AP")</f>
        <v>AP</v>
      </c>
      <c r="Y35" s="47" t="str">
        <f>IFERROR(__xludf.DUMMYFUNCTION("""COMPUTED_VALUE"""),"")</f>
        <v/>
      </c>
      <c r="Z35" s="48" t="str">
        <f>IFERROR(__xludf.DUMMYFUNCTION("""COMPUTED_VALUE"""),"%")</f>
        <v>%</v>
      </c>
      <c r="AA35" s="49">
        <f>IFERROR(__xludf.DUMMYFUNCTION("""COMPUTED_VALUE"""),3.0)</f>
        <v>3</v>
      </c>
      <c r="AB35" s="50"/>
      <c r="AC35" s="38"/>
      <c r="AD35" s="45" t="str">
        <f>IFERROR(__xludf.DUMMYFUNCTION("""COMPUTED_VALUE"""),"")</f>
        <v/>
      </c>
      <c r="AE35" s="46" t="str">
        <f>IFERROR(__xludf.DUMMYFUNCTION("""COMPUTED_VALUE"""),"AP")</f>
        <v>AP</v>
      </c>
      <c r="AF35" s="47" t="str">
        <f>IFERROR(__xludf.DUMMYFUNCTION("""COMPUTED_VALUE"""),"")</f>
        <v/>
      </c>
      <c r="AG35" s="48" t="str">
        <f>IFERROR(__xludf.DUMMYFUNCTION("""COMPUTED_VALUE"""),"%")</f>
        <v>%</v>
      </c>
      <c r="AH35" s="43">
        <f>IFERROR(__xludf.DUMMYFUNCTION("""COMPUTED_VALUE"""),3.0)</f>
        <v>3</v>
      </c>
      <c r="AI35" s="44">
        <f>IFERROR(__xludf.DUMMYFUNCTION("""COMPUTED_VALUE"""),636087.0)</f>
        <v>636087</v>
      </c>
      <c r="AJ35" s="51" t="str">
        <f>IFERROR(__xludf.DUMMYFUNCTION("""COMPUTED_VALUE"""),"X-A（屋敷跡）")</f>
        <v>X-A（屋敷跡）</v>
      </c>
    </row>
    <row r="36" ht="24.75" customHeight="1">
      <c r="A36" s="28">
        <f>IFERROR(__xludf.DUMMYFUNCTION("""COMPUTED_VALUE"""),11.0)</f>
        <v>11</v>
      </c>
      <c r="B36" s="28" t="str">
        <f>IFERROR(__xludf.DUMMYFUNCTION("""COMPUTED_VALUE"""),"A302")</f>
        <v>A302</v>
      </c>
      <c r="C36" s="28" t="str">
        <f>IFERROR(__xludf.DUMMYFUNCTION("""COMPUTED_VALUE"""),"TRF1")</f>
        <v>TRF1</v>
      </c>
      <c r="D36" s="29" t="str">
        <f>IFERROR(__xludf.DUMMYFUNCTION("""COMPUTED_VALUE"""),"Chaldea Gate (Mon)")</f>
        <v>Chaldea Gate (Mon)</v>
      </c>
      <c r="E36" s="30" t="str">
        <f>IFERROR(__xludf.DUMMYFUNCTION("""COMPUTED_VALUE"""),"MON Archer Training Ground- Nov")</f>
        <v>MON Archer Training Ground- Nov</v>
      </c>
      <c r="F36" s="31">
        <f>IFERROR(__xludf.DUMMYFUNCTION("""COMPUTED_VALUE"""),10.0)</f>
        <v>10</v>
      </c>
      <c r="G36" s="32">
        <f>IFERROR(__xludf.DUMMYFUNCTION("""COMPUTED_VALUE"""),1610.0)</f>
        <v>1610</v>
      </c>
      <c r="H36" s="33" t="str">
        <f>IFERROR(__xludf.DUMMYFUNCTION("""COMPUTED_VALUE"""),"")</f>
        <v/>
      </c>
      <c r="I36" s="34">
        <f>IFERROR(__xludf.DUMMYFUNCTION("""COMPUTED_VALUE"""),41.1)</f>
        <v>41.1</v>
      </c>
      <c r="J36" s="35" t="str">
        <f>IFERROR(__xludf.DUMMYFUNCTION("""COMPUTED_VALUE"""),"AP")</f>
        <v>AP</v>
      </c>
      <c r="K36" s="34">
        <f>IFERROR(__xludf.DUMMYFUNCTION("""COMPUTED_VALUE"""),24.3)</f>
        <v>24.3</v>
      </c>
      <c r="L36" s="35" t="str">
        <f>IFERROR(__xludf.DUMMYFUNCTION("""COMPUTED_VALUE"""),"%")</f>
        <v>%</v>
      </c>
      <c r="M36" s="36">
        <f>IFERROR(__xludf.DUMMYFUNCTION("""COMPUTED_VALUE"""),1.0)</f>
        <v>1</v>
      </c>
      <c r="N36" s="37" t="str">
        <f>IFERROR(__xludf.DUMMYFUNCTION("""COMPUTED_VALUE"""),"A209")</f>
        <v>A209</v>
      </c>
      <c r="O36" s="38" t="str">
        <f>IFERROR(__xludf.DUMMYFUNCTION("""COMPUTED_VALUE"""),"")</f>
        <v/>
      </c>
      <c r="P36" s="34">
        <f>IFERROR(__xludf.DUMMYFUNCTION("""COMPUTED_VALUE"""),197.2)</f>
        <v>197.2</v>
      </c>
      <c r="Q36" s="35" t="str">
        <f>IFERROR(__xludf.DUMMYFUNCTION("""COMPUTED_VALUE"""),"AP")</f>
        <v>AP</v>
      </c>
      <c r="R36" s="34">
        <f>IFERROR(__xludf.DUMMYFUNCTION("""COMPUTED_VALUE"""),5.1)</f>
        <v>5.1</v>
      </c>
      <c r="S36" s="35" t="str">
        <f>IFERROR(__xludf.DUMMYFUNCTION("""COMPUTED_VALUE"""),"%")</f>
        <v>%</v>
      </c>
      <c r="T36" s="36">
        <f>IFERROR(__xludf.DUMMYFUNCTION("""COMPUTED_VALUE"""),2.0)</f>
        <v>2</v>
      </c>
      <c r="U36" s="37" t="str">
        <f>IFERROR(__xludf.DUMMYFUNCTION("""COMPUTED_VALUE"""),"A301")</f>
        <v>A301</v>
      </c>
      <c r="V36" s="38" t="str">
        <f>IFERROR(__xludf.DUMMYFUNCTION("""COMPUTED_VALUE"""),"")</f>
        <v/>
      </c>
      <c r="W36" s="34">
        <f>IFERROR(__xludf.DUMMYFUNCTION("""COMPUTED_VALUE"""),92.5)</f>
        <v>92.5</v>
      </c>
      <c r="X36" s="35" t="str">
        <f>IFERROR(__xludf.DUMMYFUNCTION("""COMPUTED_VALUE"""),"AP")</f>
        <v>AP</v>
      </c>
      <c r="Y36" s="34">
        <f>IFERROR(__xludf.DUMMYFUNCTION("""COMPUTED_VALUE"""),10.8)</f>
        <v>10.8</v>
      </c>
      <c r="Z36" s="35" t="str">
        <f>IFERROR(__xludf.DUMMYFUNCTION("""COMPUTED_VALUE"""),"%")</f>
        <v>%</v>
      </c>
      <c r="AA36" s="36">
        <f>IFERROR(__xludf.DUMMYFUNCTION("""COMPUTED_VALUE"""),3.0)</f>
        <v>3</v>
      </c>
      <c r="AB36" s="37" t="str">
        <f>IFERROR(__xludf.DUMMYFUNCTION("""COMPUTED_VALUE"""),"A303")</f>
        <v>A303</v>
      </c>
      <c r="AC36" s="38" t="str">
        <f>IFERROR(__xludf.DUMMYFUNCTION("""COMPUTED_VALUE"""),"")</f>
        <v/>
      </c>
      <c r="AD36" s="34">
        <f>IFERROR(__xludf.DUMMYFUNCTION("""COMPUTED_VALUE"""),272.4)</f>
        <v>272.4</v>
      </c>
      <c r="AE36" s="35" t="str">
        <f>IFERROR(__xludf.DUMMYFUNCTION("""COMPUTED_VALUE"""),"AP")</f>
        <v>AP</v>
      </c>
      <c r="AF36" s="34">
        <f>IFERROR(__xludf.DUMMYFUNCTION("""COMPUTED_VALUE"""),3.7)</f>
        <v>3.7</v>
      </c>
      <c r="AG36" s="35" t="str">
        <f>IFERROR(__xludf.DUMMYFUNCTION("""COMPUTED_VALUE"""),"%")</f>
        <v>%</v>
      </c>
      <c r="AH36" s="31">
        <f>IFERROR(__xludf.DUMMYFUNCTION("""COMPUTED_VALUE"""),10.0)</f>
        <v>10</v>
      </c>
      <c r="AI36" s="32">
        <f>IFERROR(__xludf.DUMMYFUNCTION("""COMPUTED_VALUE"""),1610.0)</f>
        <v>1610</v>
      </c>
      <c r="AJ36" s="39" t="str">
        <f>IFERROR(__xludf.DUMMYFUNCTION("""COMPUTED_VALUE"""),"弓初級")</f>
        <v>弓初級</v>
      </c>
    </row>
    <row r="37" ht="24.75" customHeight="1">
      <c r="A37" s="40">
        <f>IFERROR(__xludf.DUMMYFUNCTION("""COMPUTED_VALUE"""),12.0)</f>
        <v>12</v>
      </c>
      <c r="B37" s="40" t="str">
        <f>IFERROR(__xludf.DUMMYFUNCTION("""COMPUTED_VALUE"""),"A302")</f>
        <v>A302</v>
      </c>
      <c r="C37" s="40" t="str">
        <f>IFERROR(__xludf.DUMMYFUNCTION("""COMPUTED_VALUE"""),"TRF25")</f>
        <v>TRF25</v>
      </c>
      <c r="D37" s="41" t="str">
        <f>IFERROR(__xludf.DUMMYFUNCTION("""COMPUTED_VALUE"""),"Chaldea Gate (Sun)")</f>
        <v>Chaldea Gate (Sun)</v>
      </c>
      <c r="E37" s="42" t="str">
        <f>IFERROR(__xludf.DUMMYFUNCTION("""COMPUTED_VALUE"""),"SUN Saber Training Ground- Nov")</f>
        <v>SUN Saber Training Ground- Nov</v>
      </c>
      <c r="F37" s="43">
        <f>IFERROR(__xludf.DUMMYFUNCTION("""COMPUTED_VALUE"""),10.0)</f>
        <v>10</v>
      </c>
      <c r="G37" s="44">
        <f>IFERROR(__xludf.DUMMYFUNCTION("""COMPUTED_VALUE"""),29049.0)</f>
        <v>29049</v>
      </c>
      <c r="H37" s="33" t="str">
        <f>IFERROR(__xludf.DUMMYFUNCTION("""COMPUTED_VALUE"""),"")</f>
        <v/>
      </c>
      <c r="I37" s="45">
        <f>IFERROR(__xludf.DUMMYFUNCTION("""COMPUTED_VALUE"""),42.5)</f>
        <v>42.5</v>
      </c>
      <c r="J37" s="46" t="str">
        <f>IFERROR(__xludf.DUMMYFUNCTION("""COMPUTED_VALUE"""),"AP")</f>
        <v>AP</v>
      </c>
      <c r="K37" s="47">
        <f>IFERROR(__xludf.DUMMYFUNCTION("""COMPUTED_VALUE"""),23.5)</f>
        <v>23.5</v>
      </c>
      <c r="L37" s="48" t="str">
        <f>IFERROR(__xludf.DUMMYFUNCTION("""COMPUTED_VALUE"""),"%")</f>
        <v>%</v>
      </c>
      <c r="M37" s="49">
        <f>IFERROR(__xludf.DUMMYFUNCTION("""COMPUTED_VALUE"""),1.0)</f>
        <v>1</v>
      </c>
      <c r="N37" s="50" t="str">
        <f>IFERROR(__xludf.DUMMYFUNCTION("""COMPUTED_VALUE"""),"A206")</f>
        <v>A206</v>
      </c>
      <c r="O37" s="38" t="str">
        <f>IFERROR(__xludf.DUMMYFUNCTION("""COMPUTED_VALUE"""),"")</f>
        <v/>
      </c>
      <c r="P37" s="45">
        <f>IFERROR(__xludf.DUMMYFUNCTION("""COMPUTED_VALUE"""),219.9)</f>
        <v>219.9</v>
      </c>
      <c r="Q37" s="46" t="str">
        <f>IFERROR(__xludf.DUMMYFUNCTION("""COMPUTED_VALUE"""),"AP")</f>
        <v>AP</v>
      </c>
      <c r="R37" s="47">
        <f>IFERROR(__xludf.DUMMYFUNCTION("""COMPUTED_VALUE"""),4.5)</f>
        <v>4.5</v>
      </c>
      <c r="S37" s="48" t="str">
        <f>IFERROR(__xludf.DUMMYFUNCTION("""COMPUTED_VALUE"""),"%")</f>
        <v>%</v>
      </c>
      <c r="T37" s="49">
        <f>IFERROR(__xludf.DUMMYFUNCTION("""COMPUTED_VALUE"""),2.0)</f>
        <v>2</v>
      </c>
      <c r="U37" s="50" t="str">
        <f>IFERROR(__xludf.DUMMYFUNCTION("""COMPUTED_VALUE"""),"A211")</f>
        <v>A211</v>
      </c>
      <c r="V37" s="38" t="str">
        <f>IFERROR(__xludf.DUMMYFUNCTION("""COMPUTED_VALUE"""),"")</f>
        <v/>
      </c>
      <c r="W37" s="45">
        <f>IFERROR(__xludf.DUMMYFUNCTION("""COMPUTED_VALUE"""),213.3)</f>
        <v>213.3</v>
      </c>
      <c r="X37" s="46" t="str">
        <f>IFERROR(__xludf.DUMMYFUNCTION("""COMPUTED_VALUE"""),"AP")</f>
        <v>AP</v>
      </c>
      <c r="Y37" s="47">
        <f>IFERROR(__xludf.DUMMYFUNCTION("""COMPUTED_VALUE"""),4.7)</f>
        <v>4.7</v>
      </c>
      <c r="Z37" s="48" t="str">
        <f>IFERROR(__xludf.DUMMYFUNCTION("""COMPUTED_VALUE"""),"%")</f>
        <v>%</v>
      </c>
      <c r="AA37" s="49">
        <f>IFERROR(__xludf.DUMMYFUNCTION("""COMPUTED_VALUE"""),3.0)</f>
        <v>3</v>
      </c>
      <c r="AB37" s="50" t="str">
        <f>IFERROR(__xludf.DUMMYFUNCTION("""COMPUTED_VALUE"""),"A301")</f>
        <v>A301</v>
      </c>
      <c r="AC37" s="38" t="str">
        <f>IFERROR(__xludf.DUMMYFUNCTION("""COMPUTED_VALUE"""),"")</f>
        <v/>
      </c>
      <c r="AD37" s="45">
        <f>IFERROR(__xludf.DUMMYFUNCTION("""COMPUTED_VALUE"""),110.0)</f>
        <v>110</v>
      </c>
      <c r="AE37" s="46" t="str">
        <f>IFERROR(__xludf.DUMMYFUNCTION("""COMPUTED_VALUE"""),"AP")</f>
        <v>AP</v>
      </c>
      <c r="AF37" s="47">
        <f>IFERROR(__xludf.DUMMYFUNCTION("""COMPUTED_VALUE"""),9.1)</f>
        <v>9.1</v>
      </c>
      <c r="AG37" s="48" t="str">
        <f>IFERROR(__xludf.DUMMYFUNCTION("""COMPUTED_VALUE"""),"%")</f>
        <v>%</v>
      </c>
      <c r="AH37" s="43">
        <f>IFERROR(__xludf.DUMMYFUNCTION("""COMPUTED_VALUE"""),10.0)</f>
        <v>10</v>
      </c>
      <c r="AI37" s="44">
        <f>IFERROR(__xludf.DUMMYFUNCTION("""COMPUTED_VALUE"""),29049.0)</f>
        <v>29049</v>
      </c>
      <c r="AJ37" s="51" t="str">
        <f>IFERROR(__xludf.DUMMYFUNCTION("""COMPUTED_VALUE"""),"剣初級")</f>
        <v>剣初級</v>
      </c>
    </row>
    <row r="38" ht="24.75" customHeight="1">
      <c r="A38" s="28">
        <f>IFERROR(__xludf.DUMMYFUNCTION("""COMPUTED_VALUE"""),13.0)</f>
        <v>13</v>
      </c>
      <c r="B38" s="28" t="str">
        <f>IFERROR(__xludf.DUMMYFUNCTION("""COMPUTED_VALUE"""),"A302")</f>
        <v>A302</v>
      </c>
      <c r="C38" s="28" t="str">
        <f>IFERROR(__xludf.DUMMYFUNCTION("""COMPUTED_VALUE"""),"OKN5")</f>
        <v>OKN5</v>
      </c>
      <c r="D38" s="29" t="str">
        <f>IFERROR(__xludf.DUMMYFUNCTION("""COMPUTED_VALUE"""),"Okeanos")</f>
        <v>Okeanos</v>
      </c>
      <c r="E38" s="30" t="str">
        <f>IFERROR(__xludf.DUMMYFUNCTION("""COMPUTED_VALUE"""),"Sunken Rock Seas")</f>
        <v>Sunken Rock Seas</v>
      </c>
      <c r="F38" s="31">
        <f>IFERROR(__xludf.DUMMYFUNCTION("""COMPUTED_VALUE"""),17.0)</f>
        <v>17</v>
      </c>
      <c r="G38" s="32">
        <f>IFERROR(__xludf.DUMMYFUNCTION("""COMPUTED_VALUE"""),1278.0)</f>
        <v>1278</v>
      </c>
      <c r="H38" s="33" t="str">
        <f>IFERROR(__xludf.DUMMYFUNCTION("""COMPUTED_VALUE"""),"")</f>
        <v/>
      </c>
      <c r="I38" s="34">
        <f>IFERROR(__xludf.DUMMYFUNCTION("""COMPUTED_VALUE"""),46.8)</f>
        <v>46.8</v>
      </c>
      <c r="J38" s="35" t="str">
        <f>IFERROR(__xludf.DUMMYFUNCTION("""COMPUTED_VALUE"""),"AP")</f>
        <v>AP</v>
      </c>
      <c r="K38" s="34">
        <f>IFERROR(__xludf.DUMMYFUNCTION("""COMPUTED_VALUE"""),36.3)</f>
        <v>36.3</v>
      </c>
      <c r="L38" s="35" t="str">
        <f>IFERROR(__xludf.DUMMYFUNCTION("""COMPUTED_VALUE"""),"%")</f>
        <v>%</v>
      </c>
      <c r="M38" s="36">
        <f>IFERROR(__xludf.DUMMYFUNCTION("""COMPUTED_VALUE"""),1.0)</f>
        <v>1</v>
      </c>
      <c r="N38" s="37" t="str">
        <f>IFERROR(__xludf.DUMMYFUNCTION("""COMPUTED_VALUE"""),"A204")</f>
        <v>A204</v>
      </c>
      <c r="O38" s="38" t="str">
        <f>IFERROR(__xludf.DUMMYFUNCTION("""COMPUTED_VALUE"""),"")</f>
        <v/>
      </c>
      <c r="P38" s="34">
        <f>IFERROR(__xludf.DUMMYFUNCTION("""COMPUTED_VALUE"""),109.7)</f>
        <v>109.7</v>
      </c>
      <c r="Q38" s="35" t="str">
        <f>IFERROR(__xludf.DUMMYFUNCTION("""COMPUTED_VALUE"""),"AP")</f>
        <v>AP</v>
      </c>
      <c r="R38" s="34">
        <f>IFERROR(__xludf.DUMMYFUNCTION("""COMPUTED_VALUE"""),15.5)</f>
        <v>15.5</v>
      </c>
      <c r="S38" s="35" t="str">
        <f>IFERROR(__xludf.DUMMYFUNCTION("""COMPUTED_VALUE"""),"%")</f>
        <v>%</v>
      </c>
      <c r="T38" s="36">
        <f>IFERROR(__xludf.DUMMYFUNCTION("""COMPUTED_VALUE"""),2.0)</f>
        <v>2</v>
      </c>
      <c r="U38" s="37" t="str">
        <f>IFERROR(__xludf.DUMMYFUNCTION("""COMPUTED_VALUE"""),"B115")</f>
        <v>B115</v>
      </c>
      <c r="V38" s="38" t="str">
        <f>IFERROR(__xludf.DUMMYFUNCTION("""COMPUTED_VALUE"""),"")</f>
        <v/>
      </c>
      <c r="W38" s="34">
        <f>IFERROR(__xludf.DUMMYFUNCTION("""COMPUTED_VALUE"""),74.0)</f>
        <v>74</v>
      </c>
      <c r="X38" s="35" t="str">
        <f>IFERROR(__xludf.DUMMYFUNCTION("""COMPUTED_VALUE"""),"AP")</f>
        <v>AP</v>
      </c>
      <c r="Y38" s="34">
        <f>IFERROR(__xludf.DUMMYFUNCTION("""COMPUTED_VALUE"""),23.0)</f>
        <v>23</v>
      </c>
      <c r="Z38" s="35" t="str">
        <f>IFERROR(__xludf.DUMMYFUNCTION("""COMPUTED_VALUE"""),"%")</f>
        <v>%</v>
      </c>
      <c r="AA38" s="36">
        <f>IFERROR(__xludf.DUMMYFUNCTION("""COMPUTED_VALUE"""),3.0)</f>
        <v>3</v>
      </c>
      <c r="AB38" s="37"/>
      <c r="AC38" s="38"/>
      <c r="AD38" s="34" t="str">
        <f>IFERROR(__xludf.DUMMYFUNCTION("""COMPUTED_VALUE"""),"")</f>
        <v/>
      </c>
      <c r="AE38" s="35" t="str">
        <f>IFERROR(__xludf.DUMMYFUNCTION("""COMPUTED_VALUE"""),"AP")</f>
        <v>AP</v>
      </c>
      <c r="AF38" s="34" t="str">
        <f>IFERROR(__xludf.DUMMYFUNCTION("""COMPUTED_VALUE"""),"")</f>
        <v/>
      </c>
      <c r="AG38" s="35" t="str">
        <f>IFERROR(__xludf.DUMMYFUNCTION("""COMPUTED_VALUE"""),"%")</f>
        <v>%</v>
      </c>
      <c r="AH38" s="31">
        <f>IFERROR(__xludf.DUMMYFUNCTION("""COMPUTED_VALUE"""),17.0)</f>
        <v>17</v>
      </c>
      <c r="AI38" s="32">
        <f>IFERROR(__xludf.DUMMYFUNCTION("""COMPUTED_VALUE"""),1278.0)</f>
        <v>1278</v>
      </c>
      <c r="AJ38" s="39" t="str">
        <f>IFERROR(__xludf.DUMMYFUNCTION("""COMPUTED_VALUE"""),"暗礁海域")</f>
        <v>暗礁海域</v>
      </c>
    </row>
    <row r="39" ht="24.75" customHeight="1">
      <c r="A39" s="40">
        <f>IFERROR(__xludf.DUMMYFUNCTION("""COMPUTED_VALUE"""),14.0)</f>
        <v>14</v>
      </c>
      <c r="B39" s="40" t="str">
        <f>IFERROR(__xludf.DUMMYFUNCTION("""COMPUTED_VALUE"""),"A302")</f>
        <v>A302</v>
      </c>
      <c r="C39" s="40" t="str">
        <f>IFERROR(__xludf.DUMMYFUNCTION("""COMPUTED_VALUE"""),"SEP10")</f>
        <v>SEP10</v>
      </c>
      <c r="D39" s="41" t="str">
        <f>IFERROR(__xludf.DUMMYFUNCTION("""COMPUTED_VALUE"""),"Septem")</f>
        <v>Septem</v>
      </c>
      <c r="E39" s="42" t="str">
        <f>IFERROR(__xludf.DUMMYFUNCTION("""COMPUTED_VALUE"""),"Shaped Isle")</f>
        <v>Shaped Isle</v>
      </c>
      <c r="F39" s="43">
        <f>IFERROR(__xludf.DUMMYFUNCTION("""COMPUTED_VALUE"""),9.0)</f>
        <v>9</v>
      </c>
      <c r="G39" s="44">
        <f>IFERROR(__xludf.DUMMYFUNCTION("""COMPUTED_VALUE"""),1006.0)</f>
        <v>1006</v>
      </c>
      <c r="H39" s="33" t="str">
        <f>IFERROR(__xludf.DUMMYFUNCTION("""COMPUTED_VALUE"""),"")</f>
        <v/>
      </c>
      <c r="I39" s="45">
        <f>IFERROR(__xludf.DUMMYFUNCTION("""COMPUTED_VALUE"""),47.7)</f>
        <v>47.7</v>
      </c>
      <c r="J39" s="46" t="str">
        <f>IFERROR(__xludf.DUMMYFUNCTION("""COMPUTED_VALUE"""),"AP")</f>
        <v>AP</v>
      </c>
      <c r="K39" s="47">
        <f>IFERROR(__xludf.DUMMYFUNCTION("""COMPUTED_VALUE"""),18.9)</f>
        <v>18.9</v>
      </c>
      <c r="L39" s="48" t="str">
        <f>IFERROR(__xludf.DUMMYFUNCTION("""COMPUTED_VALUE"""),"%")</f>
        <v>%</v>
      </c>
      <c r="M39" s="49">
        <f>IFERROR(__xludf.DUMMYFUNCTION("""COMPUTED_VALUE"""),1.0)</f>
        <v>1</v>
      </c>
      <c r="N39" s="50" t="str">
        <f>IFERROR(__xludf.DUMMYFUNCTION("""COMPUTED_VALUE"""),"A304")</f>
        <v>A304</v>
      </c>
      <c r="O39" s="38" t="str">
        <f>IFERROR(__xludf.DUMMYFUNCTION("""COMPUTED_VALUE"""),"")</f>
        <v/>
      </c>
      <c r="P39" s="45">
        <f>IFERROR(__xludf.DUMMYFUNCTION("""COMPUTED_VALUE"""),106.5)</f>
        <v>106.5</v>
      </c>
      <c r="Q39" s="46" t="str">
        <f>IFERROR(__xludf.DUMMYFUNCTION("""COMPUTED_VALUE"""),"AP")</f>
        <v>AP</v>
      </c>
      <c r="R39" s="47">
        <f>IFERROR(__xludf.DUMMYFUNCTION("""COMPUTED_VALUE"""),8.4)</f>
        <v>8.4</v>
      </c>
      <c r="S39" s="48" t="str">
        <f>IFERROR(__xludf.DUMMYFUNCTION("""COMPUTED_VALUE"""),"%")</f>
        <v>%</v>
      </c>
      <c r="T39" s="49">
        <f>IFERROR(__xludf.DUMMYFUNCTION("""COMPUTED_VALUE"""),2.0)</f>
        <v>2</v>
      </c>
      <c r="U39" s="50"/>
      <c r="V39" s="38"/>
      <c r="W39" s="45" t="str">
        <f>IFERROR(__xludf.DUMMYFUNCTION("""COMPUTED_VALUE"""),"")</f>
        <v/>
      </c>
      <c r="X39" s="46" t="str">
        <f>IFERROR(__xludf.DUMMYFUNCTION("""COMPUTED_VALUE"""),"AP")</f>
        <v>AP</v>
      </c>
      <c r="Y39" s="47" t="str">
        <f>IFERROR(__xludf.DUMMYFUNCTION("""COMPUTED_VALUE"""),"")</f>
        <v/>
      </c>
      <c r="Z39" s="48" t="str">
        <f>IFERROR(__xludf.DUMMYFUNCTION("""COMPUTED_VALUE"""),"%")</f>
        <v>%</v>
      </c>
      <c r="AA39" s="49">
        <f>IFERROR(__xludf.DUMMYFUNCTION("""COMPUTED_VALUE"""),3.0)</f>
        <v>3</v>
      </c>
      <c r="AB39" s="50"/>
      <c r="AC39" s="38"/>
      <c r="AD39" s="45" t="str">
        <f>IFERROR(__xludf.DUMMYFUNCTION("""COMPUTED_VALUE"""),"")</f>
        <v/>
      </c>
      <c r="AE39" s="46" t="str">
        <f>IFERROR(__xludf.DUMMYFUNCTION("""COMPUTED_VALUE"""),"AP")</f>
        <v>AP</v>
      </c>
      <c r="AF39" s="47" t="str">
        <f>IFERROR(__xludf.DUMMYFUNCTION("""COMPUTED_VALUE"""),"")</f>
        <v/>
      </c>
      <c r="AG39" s="48" t="str">
        <f>IFERROR(__xludf.DUMMYFUNCTION("""COMPUTED_VALUE"""),"%")</f>
        <v>%</v>
      </c>
      <c r="AH39" s="43">
        <f>IFERROR(__xludf.DUMMYFUNCTION("""COMPUTED_VALUE"""),9.0)</f>
        <v>9</v>
      </c>
      <c r="AI39" s="44">
        <f>IFERROR(__xludf.DUMMYFUNCTION("""COMPUTED_VALUE"""),1006.0)</f>
        <v>1006</v>
      </c>
      <c r="AJ39" s="51" t="str">
        <f>IFERROR(__xludf.DUMMYFUNCTION("""COMPUTED_VALUE"""),"形ある島")</f>
        <v>形ある島</v>
      </c>
    </row>
    <row r="40" ht="24.75" customHeight="1">
      <c r="A40" s="28">
        <f>IFERROR(__xludf.DUMMYFUNCTION("""COMPUTED_VALUE"""),15.0)</f>
        <v>15</v>
      </c>
      <c r="B40" s="28" t="str">
        <f>IFERROR(__xludf.DUMMYFUNCTION("""COMPUTED_VALUE"""),"A302")</f>
        <v>A302</v>
      </c>
      <c r="C40" s="28" t="str">
        <f>IFERROR(__xludf.DUMMYFUNCTION("""COMPUTED_VALUE"""),"LDN7")</f>
        <v>LDN7</v>
      </c>
      <c r="D40" s="29" t="str">
        <f>IFERROR(__xludf.DUMMYFUNCTION("""COMPUTED_VALUE"""),"London")</f>
        <v>London</v>
      </c>
      <c r="E40" s="30" t="str">
        <f>IFERROR(__xludf.DUMMYFUNCTION("""COMPUTED_VALUE"""),"Clerkenwell")</f>
        <v>Clerkenwell</v>
      </c>
      <c r="F40" s="31">
        <f>IFERROR(__xludf.DUMMYFUNCTION("""COMPUTED_VALUE"""),18.0)</f>
        <v>18</v>
      </c>
      <c r="G40" s="32">
        <f>IFERROR(__xludf.DUMMYFUNCTION("""COMPUTED_VALUE"""),4808.0)</f>
        <v>4808</v>
      </c>
      <c r="H40" s="33" t="str">
        <f>IFERROR(__xludf.DUMMYFUNCTION("""COMPUTED_VALUE"""),"")</f>
        <v/>
      </c>
      <c r="I40" s="34">
        <f>IFERROR(__xludf.DUMMYFUNCTION("""COMPUTED_VALUE"""),51.5)</f>
        <v>51.5</v>
      </c>
      <c r="J40" s="35" t="str">
        <f>IFERROR(__xludf.DUMMYFUNCTION("""COMPUTED_VALUE"""),"AP")</f>
        <v>AP</v>
      </c>
      <c r="K40" s="34">
        <f>IFERROR(__xludf.DUMMYFUNCTION("""COMPUTED_VALUE"""),34.9)</f>
        <v>34.9</v>
      </c>
      <c r="L40" s="35" t="str">
        <f>IFERROR(__xludf.DUMMYFUNCTION("""COMPUTED_VALUE"""),"%")</f>
        <v>%</v>
      </c>
      <c r="M40" s="36">
        <f>IFERROR(__xludf.DUMMYFUNCTION("""COMPUTED_VALUE"""),1.0)</f>
        <v>1</v>
      </c>
      <c r="N40" s="37" t="str">
        <f>IFERROR(__xludf.DUMMYFUNCTION("""COMPUTED_VALUE"""),"A206")</f>
        <v>A206</v>
      </c>
      <c r="O40" s="38" t="str">
        <f>IFERROR(__xludf.DUMMYFUNCTION("""COMPUTED_VALUE"""),"")</f>
        <v/>
      </c>
      <c r="P40" s="34">
        <f>IFERROR(__xludf.DUMMYFUNCTION("""COMPUTED_VALUE"""),72.2)</f>
        <v>72.2</v>
      </c>
      <c r="Q40" s="35" t="str">
        <f>IFERROR(__xludf.DUMMYFUNCTION("""COMPUTED_VALUE"""),"AP")</f>
        <v>AP</v>
      </c>
      <c r="R40" s="34">
        <f>IFERROR(__xludf.DUMMYFUNCTION("""COMPUTED_VALUE"""),24.9)</f>
        <v>24.9</v>
      </c>
      <c r="S40" s="35" t="str">
        <f>IFERROR(__xludf.DUMMYFUNCTION("""COMPUTED_VALUE"""),"%")</f>
        <v>%</v>
      </c>
      <c r="T40" s="36">
        <f>IFERROR(__xludf.DUMMYFUNCTION("""COMPUTED_VALUE"""),2.0)</f>
        <v>2</v>
      </c>
      <c r="U40" s="37" t="str">
        <f>IFERROR(__xludf.DUMMYFUNCTION("""COMPUTED_VALUE"""),"B106")</f>
        <v>B106</v>
      </c>
      <c r="V40" s="38" t="str">
        <f>IFERROR(__xludf.DUMMYFUNCTION("""COMPUTED_VALUE"""),"")</f>
        <v/>
      </c>
      <c r="W40" s="34">
        <f>IFERROR(__xludf.DUMMYFUNCTION("""COMPUTED_VALUE"""),603.8)</f>
        <v>603.8</v>
      </c>
      <c r="X40" s="35" t="str">
        <f>IFERROR(__xludf.DUMMYFUNCTION("""COMPUTED_VALUE"""),"AP")</f>
        <v>AP</v>
      </c>
      <c r="Y40" s="34">
        <f>IFERROR(__xludf.DUMMYFUNCTION("""COMPUTED_VALUE"""),3.0)</f>
        <v>3</v>
      </c>
      <c r="Z40" s="35" t="str">
        <f>IFERROR(__xludf.DUMMYFUNCTION("""COMPUTED_VALUE"""),"%")</f>
        <v>%</v>
      </c>
      <c r="AA40" s="36">
        <f>IFERROR(__xludf.DUMMYFUNCTION("""COMPUTED_VALUE"""),3.0)</f>
        <v>3</v>
      </c>
      <c r="AB40" s="37" t="str">
        <f>IFERROR(__xludf.DUMMYFUNCTION("""COMPUTED_VALUE"""),"B116")</f>
        <v>B116</v>
      </c>
      <c r="AC40" s="38" t="str">
        <f>IFERROR(__xludf.DUMMYFUNCTION("""COMPUTED_VALUE"""),"")</f>
        <v/>
      </c>
      <c r="AD40" s="34">
        <f>IFERROR(__xludf.DUMMYFUNCTION("""COMPUTED_VALUE"""),118.4)</f>
        <v>118.4</v>
      </c>
      <c r="AE40" s="35" t="str">
        <f>IFERROR(__xludf.DUMMYFUNCTION("""COMPUTED_VALUE"""),"AP")</f>
        <v>AP</v>
      </c>
      <c r="AF40" s="34">
        <f>IFERROR(__xludf.DUMMYFUNCTION("""COMPUTED_VALUE"""),15.2)</f>
        <v>15.2</v>
      </c>
      <c r="AG40" s="35" t="str">
        <f>IFERROR(__xludf.DUMMYFUNCTION("""COMPUTED_VALUE"""),"%")</f>
        <v>%</v>
      </c>
      <c r="AH40" s="31">
        <f>IFERROR(__xludf.DUMMYFUNCTION("""COMPUTED_VALUE"""),18.0)</f>
        <v>18</v>
      </c>
      <c r="AI40" s="32">
        <f>IFERROR(__xludf.DUMMYFUNCTION("""COMPUTED_VALUE"""),4808.0)</f>
        <v>4808</v>
      </c>
      <c r="AJ40" s="39" t="str">
        <f>IFERROR(__xludf.DUMMYFUNCTION("""COMPUTED_VALUE"""),"クラーケンウェル")</f>
        <v>クラーケンウェル</v>
      </c>
    </row>
    <row r="41" ht="24.75" customHeight="1">
      <c r="A41" s="40">
        <f>IFERROR(__xludf.DUMMYFUNCTION("""COMPUTED_VALUE"""),16.0)</f>
        <v>16</v>
      </c>
      <c r="B41" s="40" t="str">
        <f>IFERROR(__xludf.DUMMYFUNCTION("""COMPUTED_VALUE"""),"A302")</f>
        <v>A302</v>
      </c>
      <c r="C41" s="40" t="str">
        <f>IFERROR(__xludf.DUMMYFUNCTION("""COMPUTED_VALUE"""),"HEA12")</f>
        <v>HEA12</v>
      </c>
      <c r="D41" s="41" t="str">
        <f>IFERROR(__xludf.DUMMYFUNCTION("""COMPUTED_VALUE"""),"Heian-kyo")</f>
        <v>Heian-kyo</v>
      </c>
      <c r="E41" s="42" t="str">
        <f>IFERROR(__xludf.DUMMYFUNCTION("""COMPUTED_VALUE"""),"Mount Ōe")</f>
        <v>Mount Ōe</v>
      </c>
      <c r="F41" s="43">
        <f>IFERROR(__xludf.DUMMYFUNCTION("""COMPUTED_VALUE"""),21.0)</f>
        <v>21</v>
      </c>
      <c r="G41" s="44">
        <f>IFERROR(__xludf.DUMMYFUNCTION("""COMPUTED_VALUE"""),4207.0)</f>
        <v>4207</v>
      </c>
      <c r="H41" s="33" t="str">
        <f>IFERROR(__xludf.DUMMYFUNCTION("""COMPUTED_VALUE"""),"")</f>
        <v/>
      </c>
      <c r="I41" s="45">
        <f>IFERROR(__xludf.DUMMYFUNCTION("""COMPUTED_VALUE"""),51.7)</f>
        <v>51.7</v>
      </c>
      <c r="J41" s="46" t="str">
        <f>IFERROR(__xludf.DUMMYFUNCTION("""COMPUTED_VALUE"""),"AP")</f>
        <v>AP</v>
      </c>
      <c r="K41" s="47">
        <f>IFERROR(__xludf.DUMMYFUNCTION("""COMPUTED_VALUE"""),40.6)</f>
        <v>40.6</v>
      </c>
      <c r="L41" s="48" t="str">
        <f>IFERROR(__xludf.DUMMYFUNCTION("""COMPUTED_VALUE"""),"%")</f>
        <v>%</v>
      </c>
      <c r="M41" s="49">
        <f>IFERROR(__xludf.DUMMYFUNCTION("""COMPUTED_VALUE"""),1.0)</f>
        <v>1</v>
      </c>
      <c r="N41" s="50" t="str">
        <f>IFERROR(__xludf.DUMMYFUNCTION("""COMPUTED_VALUE"""),"A118")</f>
        <v>A118</v>
      </c>
      <c r="O41" s="38" t="str">
        <f>IFERROR(__xludf.DUMMYFUNCTION("""COMPUTED_VALUE"""),"")</f>
        <v/>
      </c>
      <c r="P41" s="45">
        <f>IFERROR(__xludf.DUMMYFUNCTION("""COMPUTED_VALUE"""),185.1)</f>
        <v>185.1</v>
      </c>
      <c r="Q41" s="46" t="str">
        <f>IFERROR(__xludf.DUMMYFUNCTION("""COMPUTED_VALUE"""),"AP")</f>
        <v>AP</v>
      </c>
      <c r="R41" s="47">
        <f>IFERROR(__xludf.DUMMYFUNCTION("""COMPUTED_VALUE"""),11.3)</f>
        <v>11.3</v>
      </c>
      <c r="S41" s="48" t="str">
        <f>IFERROR(__xludf.DUMMYFUNCTION("""COMPUTED_VALUE"""),"%")</f>
        <v>%</v>
      </c>
      <c r="T41" s="49">
        <f>IFERROR(__xludf.DUMMYFUNCTION("""COMPUTED_VALUE"""),2.0)</f>
        <v>2</v>
      </c>
      <c r="U41" s="50" t="str">
        <f>IFERROR(__xludf.DUMMYFUNCTION("""COMPUTED_VALUE"""),"B107")</f>
        <v>B107</v>
      </c>
      <c r="V41" s="38" t="str">
        <f>IFERROR(__xludf.DUMMYFUNCTION("""COMPUTED_VALUE"""),"")</f>
        <v/>
      </c>
      <c r="W41" s="45">
        <f>IFERROR(__xludf.DUMMYFUNCTION("""COMPUTED_VALUE"""),488.0)</f>
        <v>488</v>
      </c>
      <c r="X41" s="46" t="str">
        <f>IFERROR(__xludf.DUMMYFUNCTION("""COMPUTED_VALUE"""),"AP")</f>
        <v>AP</v>
      </c>
      <c r="Y41" s="47">
        <f>IFERROR(__xludf.DUMMYFUNCTION("""COMPUTED_VALUE"""),4.3)</f>
        <v>4.3</v>
      </c>
      <c r="Z41" s="48" t="str">
        <f>IFERROR(__xludf.DUMMYFUNCTION("""COMPUTED_VALUE"""),"%")</f>
        <v>%</v>
      </c>
      <c r="AA41" s="49">
        <f>IFERROR(__xludf.DUMMYFUNCTION("""COMPUTED_VALUE"""),3.0)</f>
        <v>3</v>
      </c>
      <c r="AB41" s="50"/>
      <c r="AC41" s="38"/>
      <c r="AD41" s="45" t="str">
        <f>IFERROR(__xludf.DUMMYFUNCTION("""COMPUTED_VALUE"""),"")</f>
        <v/>
      </c>
      <c r="AE41" s="46" t="str">
        <f>IFERROR(__xludf.DUMMYFUNCTION("""COMPUTED_VALUE"""),"AP")</f>
        <v>AP</v>
      </c>
      <c r="AF41" s="47" t="str">
        <f>IFERROR(__xludf.DUMMYFUNCTION("""COMPUTED_VALUE"""),"")</f>
        <v/>
      </c>
      <c r="AG41" s="48" t="str">
        <f>IFERROR(__xludf.DUMMYFUNCTION("""COMPUTED_VALUE"""),"%")</f>
        <v>%</v>
      </c>
      <c r="AH41" s="43">
        <f>IFERROR(__xludf.DUMMYFUNCTION("""COMPUTED_VALUE"""),21.0)</f>
        <v>21</v>
      </c>
      <c r="AI41" s="44">
        <f>IFERROR(__xludf.DUMMYFUNCTION("""COMPUTED_VALUE"""),4207.0)</f>
        <v>4207</v>
      </c>
      <c r="AJ41" s="51" t="str">
        <f>IFERROR(__xludf.DUMMYFUNCTION("""COMPUTED_VALUE"""),"大江山")</f>
        <v>大江山</v>
      </c>
    </row>
    <row r="42" ht="24.75" customHeight="1">
      <c r="A42" s="28">
        <f>IFERROR(__xludf.DUMMYFUNCTION("""COMPUTED_VALUE"""),17.0)</f>
        <v>17</v>
      </c>
      <c r="B42" s="28" t="str">
        <f>IFERROR(__xludf.DUMMYFUNCTION("""COMPUTED_VALUE"""),"A302")</f>
        <v>A302</v>
      </c>
      <c r="C42" s="28" t="str">
        <f>IFERROR(__xludf.DUMMYFUNCTION("""COMPUTED_VALUE"""),"SMS5")</f>
        <v>SMS5</v>
      </c>
      <c r="D42" s="29" t="str">
        <f>IFERROR(__xludf.DUMMYFUNCTION("""COMPUTED_VALUE"""),"Shimosa")</f>
        <v>Shimosa</v>
      </c>
      <c r="E42" s="30" t="str">
        <f>IFERROR(__xludf.DUMMYFUNCTION("""COMPUTED_VALUE"""),"Battlefield")</f>
        <v>Battlefield</v>
      </c>
      <c r="F42" s="31">
        <f>IFERROR(__xludf.DUMMYFUNCTION("""COMPUTED_VALUE"""),21.0)</f>
        <v>21</v>
      </c>
      <c r="G42" s="32">
        <f>IFERROR(__xludf.DUMMYFUNCTION("""COMPUTED_VALUE"""),110438.0)</f>
        <v>110438</v>
      </c>
      <c r="H42" s="33" t="str">
        <f>IFERROR(__xludf.DUMMYFUNCTION("""COMPUTED_VALUE"""),"")</f>
        <v/>
      </c>
      <c r="I42" s="34">
        <f>IFERROR(__xludf.DUMMYFUNCTION("""COMPUTED_VALUE"""),52.6)</f>
        <v>52.6</v>
      </c>
      <c r="J42" s="35" t="str">
        <f>IFERROR(__xludf.DUMMYFUNCTION("""COMPUTED_VALUE"""),"AP")</f>
        <v>AP</v>
      </c>
      <c r="K42" s="34">
        <f>IFERROR(__xludf.DUMMYFUNCTION("""COMPUTED_VALUE"""),39.9)</f>
        <v>39.9</v>
      </c>
      <c r="L42" s="35" t="str">
        <f>IFERROR(__xludf.DUMMYFUNCTION("""COMPUTED_VALUE"""),"%")</f>
        <v>%</v>
      </c>
      <c r="M42" s="36">
        <f>IFERROR(__xludf.DUMMYFUNCTION("""COMPUTED_VALUE"""),1.0)</f>
        <v>1</v>
      </c>
      <c r="N42" s="37" t="str">
        <f>IFERROR(__xludf.DUMMYFUNCTION("""COMPUTED_VALUE"""),"A212")</f>
        <v>A212</v>
      </c>
      <c r="O42" s="38" t="str">
        <f>IFERROR(__xludf.DUMMYFUNCTION("""COMPUTED_VALUE"""),"")</f>
        <v/>
      </c>
      <c r="P42" s="34">
        <f>IFERROR(__xludf.DUMMYFUNCTION("""COMPUTED_VALUE"""),83.2)</f>
        <v>83.2</v>
      </c>
      <c r="Q42" s="35" t="str">
        <f>IFERROR(__xludf.DUMMYFUNCTION("""COMPUTED_VALUE"""),"AP")</f>
        <v>AP</v>
      </c>
      <c r="R42" s="34">
        <f>IFERROR(__xludf.DUMMYFUNCTION("""COMPUTED_VALUE"""),25.2)</f>
        <v>25.2</v>
      </c>
      <c r="S42" s="35" t="str">
        <f>IFERROR(__xludf.DUMMYFUNCTION("""COMPUTED_VALUE"""),"%")</f>
        <v>%</v>
      </c>
      <c r="T42" s="36">
        <f>IFERROR(__xludf.DUMMYFUNCTION("""COMPUTED_VALUE"""),2.0)</f>
        <v>2</v>
      </c>
      <c r="U42" s="37" t="str">
        <f>IFERROR(__xludf.DUMMYFUNCTION("""COMPUTED_VALUE"""),"A304")</f>
        <v>A304</v>
      </c>
      <c r="V42" s="38" t="str">
        <f>IFERROR(__xludf.DUMMYFUNCTION("""COMPUTED_VALUE"""),"")</f>
        <v/>
      </c>
      <c r="W42" s="34">
        <f>IFERROR(__xludf.DUMMYFUNCTION("""COMPUTED_VALUE"""),68.5)</f>
        <v>68.5</v>
      </c>
      <c r="X42" s="35" t="str">
        <f>IFERROR(__xludf.DUMMYFUNCTION("""COMPUTED_VALUE"""),"AP")</f>
        <v>AP</v>
      </c>
      <c r="Y42" s="34">
        <f>IFERROR(__xludf.DUMMYFUNCTION("""COMPUTED_VALUE"""),30.7)</f>
        <v>30.7</v>
      </c>
      <c r="Z42" s="35" t="str">
        <f>IFERROR(__xludf.DUMMYFUNCTION("""COMPUTED_VALUE"""),"%")</f>
        <v>%</v>
      </c>
      <c r="AA42" s="36">
        <f>IFERROR(__xludf.DUMMYFUNCTION("""COMPUTED_VALUE"""),3.0)</f>
        <v>3</v>
      </c>
      <c r="AB42" s="37" t="str">
        <f>IFERROR(__xludf.DUMMYFUNCTION("""COMPUTED_VALUE"""),"B111")</f>
        <v>B111</v>
      </c>
      <c r="AC42" s="38" t="str">
        <f>IFERROR(__xludf.DUMMYFUNCTION("""COMPUTED_VALUE"""),"")</f>
        <v/>
      </c>
      <c r="AD42" s="34">
        <f>IFERROR(__xludf.DUMMYFUNCTION("""COMPUTED_VALUE"""),135.9)</f>
        <v>135.9</v>
      </c>
      <c r="AE42" s="35" t="str">
        <f>IFERROR(__xludf.DUMMYFUNCTION("""COMPUTED_VALUE"""),"AP")</f>
        <v>AP</v>
      </c>
      <c r="AF42" s="34">
        <f>IFERROR(__xludf.DUMMYFUNCTION("""COMPUTED_VALUE"""),15.4)</f>
        <v>15.4</v>
      </c>
      <c r="AG42" s="35" t="str">
        <f>IFERROR(__xludf.DUMMYFUNCTION("""COMPUTED_VALUE"""),"%")</f>
        <v>%</v>
      </c>
      <c r="AH42" s="31">
        <f>IFERROR(__xludf.DUMMYFUNCTION("""COMPUTED_VALUE"""),21.0)</f>
        <v>21</v>
      </c>
      <c r="AI42" s="32">
        <f>IFERROR(__xludf.DUMMYFUNCTION("""COMPUTED_VALUE"""),110438.0)</f>
        <v>110438</v>
      </c>
      <c r="AJ42" s="39" t="str">
        <f>IFERROR(__xludf.DUMMYFUNCTION("""COMPUTED_VALUE"""),"合戦場")</f>
        <v>合戦場</v>
      </c>
    </row>
    <row r="43" ht="24.75" customHeight="1">
      <c r="A43" s="40">
        <f>IFERROR(__xludf.DUMMYFUNCTION("""COMPUTED_VALUE"""),18.0)</f>
        <v>18</v>
      </c>
      <c r="B43" s="40" t="str">
        <f>IFERROR(__xludf.DUMMYFUNCTION("""COMPUTED_VALUE"""),"A302")</f>
        <v>A302</v>
      </c>
      <c r="C43" s="40" t="str">
        <f>IFERROR(__xludf.DUMMYFUNCTION("""COMPUTED_VALUE"""),"LDN9")</f>
        <v>LDN9</v>
      </c>
      <c r="D43" s="41" t="str">
        <f>IFERROR(__xludf.DUMMYFUNCTION("""COMPUTED_VALUE"""),"London")</f>
        <v>London</v>
      </c>
      <c r="E43" s="42" t="str">
        <f>IFERROR(__xludf.DUMMYFUNCTION("""COMPUTED_VALUE"""),"Hyde Park")</f>
        <v>Hyde Park</v>
      </c>
      <c r="F43" s="43">
        <f>IFERROR(__xludf.DUMMYFUNCTION("""COMPUTED_VALUE"""),20.0)</f>
        <v>20</v>
      </c>
      <c r="G43" s="44">
        <f>IFERROR(__xludf.DUMMYFUNCTION("""COMPUTED_VALUE"""),16230.0)</f>
        <v>16230</v>
      </c>
      <c r="H43" s="33" t="str">
        <f>IFERROR(__xludf.DUMMYFUNCTION("""COMPUTED_VALUE"""),"")</f>
        <v/>
      </c>
      <c r="I43" s="45">
        <f>IFERROR(__xludf.DUMMYFUNCTION("""COMPUTED_VALUE"""),54.3)</f>
        <v>54.3</v>
      </c>
      <c r="J43" s="46" t="str">
        <f>IFERROR(__xludf.DUMMYFUNCTION("""COMPUTED_VALUE"""),"AP")</f>
        <v>AP</v>
      </c>
      <c r="K43" s="47">
        <f>IFERROR(__xludf.DUMMYFUNCTION("""COMPUTED_VALUE"""),36.9)</f>
        <v>36.9</v>
      </c>
      <c r="L43" s="48" t="str">
        <f>IFERROR(__xludf.DUMMYFUNCTION("""COMPUTED_VALUE"""),"%")</f>
        <v>%</v>
      </c>
      <c r="M43" s="49">
        <f>IFERROR(__xludf.DUMMYFUNCTION("""COMPUTED_VALUE"""),1.0)</f>
        <v>1</v>
      </c>
      <c r="N43" s="50" t="str">
        <f>IFERROR(__xludf.DUMMYFUNCTION("""COMPUTED_VALUE"""),"A207")</f>
        <v>A207</v>
      </c>
      <c r="O43" s="38" t="str">
        <f>IFERROR(__xludf.DUMMYFUNCTION("""COMPUTED_VALUE"""),"")</f>
        <v/>
      </c>
      <c r="P43" s="45">
        <f>IFERROR(__xludf.DUMMYFUNCTION("""COMPUTED_VALUE"""),73.9)</f>
        <v>73.9</v>
      </c>
      <c r="Q43" s="46" t="str">
        <f>IFERROR(__xludf.DUMMYFUNCTION("""COMPUTED_VALUE"""),"AP")</f>
        <v>AP</v>
      </c>
      <c r="R43" s="47">
        <f>IFERROR(__xludf.DUMMYFUNCTION("""COMPUTED_VALUE"""),27.1)</f>
        <v>27.1</v>
      </c>
      <c r="S43" s="48" t="str">
        <f>IFERROR(__xludf.DUMMYFUNCTION("""COMPUTED_VALUE"""),"%")</f>
        <v>%</v>
      </c>
      <c r="T43" s="49">
        <f>IFERROR(__xludf.DUMMYFUNCTION("""COMPUTED_VALUE"""),2.0)</f>
        <v>2</v>
      </c>
      <c r="U43" s="50" t="str">
        <f>IFERROR(__xludf.DUMMYFUNCTION("""COMPUTED_VALUE"""),"B105")</f>
        <v>B105</v>
      </c>
      <c r="V43" s="38" t="str">
        <f>IFERROR(__xludf.DUMMYFUNCTION("""COMPUTED_VALUE"""),"")</f>
        <v/>
      </c>
      <c r="W43" s="45">
        <f>IFERROR(__xludf.DUMMYFUNCTION("""COMPUTED_VALUE"""),638.6)</f>
        <v>638.6</v>
      </c>
      <c r="X43" s="46" t="str">
        <f>IFERROR(__xludf.DUMMYFUNCTION("""COMPUTED_VALUE"""),"AP")</f>
        <v>AP</v>
      </c>
      <c r="Y43" s="47">
        <f>IFERROR(__xludf.DUMMYFUNCTION("""COMPUTED_VALUE"""),3.1)</f>
        <v>3.1</v>
      </c>
      <c r="Z43" s="48" t="str">
        <f>IFERROR(__xludf.DUMMYFUNCTION("""COMPUTED_VALUE"""),"%")</f>
        <v>%</v>
      </c>
      <c r="AA43" s="49">
        <f>IFERROR(__xludf.DUMMYFUNCTION("""COMPUTED_VALUE"""),3.0)</f>
        <v>3</v>
      </c>
      <c r="AB43" s="50" t="str">
        <f>IFERROR(__xludf.DUMMYFUNCTION("""COMPUTED_VALUE"""),"B115")</f>
        <v>B115</v>
      </c>
      <c r="AC43" s="38" t="str">
        <f>IFERROR(__xludf.DUMMYFUNCTION("""COMPUTED_VALUE"""),"")</f>
        <v/>
      </c>
      <c r="AD43" s="45">
        <f>IFERROR(__xludf.DUMMYFUNCTION("""COMPUTED_VALUE"""),130.5)</f>
        <v>130.5</v>
      </c>
      <c r="AE43" s="46" t="str">
        <f>IFERROR(__xludf.DUMMYFUNCTION("""COMPUTED_VALUE"""),"AP")</f>
        <v>AP</v>
      </c>
      <c r="AF43" s="47">
        <f>IFERROR(__xludf.DUMMYFUNCTION("""COMPUTED_VALUE"""),15.3)</f>
        <v>15.3</v>
      </c>
      <c r="AG43" s="48" t="str">
        <f>IFERROR(__xludf.DUMMYFUNCTION("""COMPUTED_VALUE"""),"%")</f>
        <v>%</v>
      </c>
      <c r="AH43" s="43">
        <f>IFERROR(__xludf.DUMMYFUNCTION("""COMPUTED_VALUE"""),20.0)</f>
        <v>20</v>
      </c>
      <c r="AI43" s="44">
        <f>IFERROR(__xludf.DUMMYFUNCTION("""COMPUTED_VALUE"""),16230.0)</f>
        <v>16230</v>
      </c>
      <c r="AJ43" s="51" t="str">
        <f>IFERROR(__xludf.DUMMYFUNCTION("""COMPUTED_VALUE"""),"ハイドパーク")</f>
        <v>ハイドパーク</v>
      </c>
    </row>
    <row r="44" ht="24.75" customHeight="1">
      <c r="A44" s="28">
        <f>IFERROR(__xludf.DUMMYFUNCTION("""COMPUTED_VALUE"""),19.0)</f>
        <v>19</v>
      </c>
      <c r="B44" s="28" t="str">
        <f>IFERROR(__xludf.DUMMYFUNCTION("""COMPUTED_VALUE"""),"A302")</f>
        <v>A302</v>
      </c>
      <c r="C44" s="28" t="str">
        <f>IFERROR(__xludf.DUMMYFUNCTION("""COMPUTED_VALUE"""),"ORL9")</f>
        <v>ORL9</v>
      </c>
      <c r="D44" s="29" t="str">
        <f>IFERROR(__xludf.DUMMYFUNCTION("""COMPUTED_VALUE"""),"Orleans")</f>
        <v>Orleans</v>
      </c>
      <c r="E44" s="30" t="str">
        <f>IFERROR(__xludf.DUMMYFUNCTION("""COMPUTED_VALUE"""),"Orleans")</f>
        <v>Orleans</v>
      </c>
      <c r="F44" s="31">
        <f>IFERROR(__xludf.DUMMYFUNCTION("""COMPUTED_VALUE"""),8.0)</f>
        <v>8</v>
      </c>
      <c r="G44" s="32">
        <f>IFERROR(__xludf.DUMMYFUNCTION("""COMPUTED_VALUE"""),1211.0)</f>
        <v>1211</v>
      </c>
      <c r="H44" s="33" t="str">
        <f>IFERROR(__xludf.DUMMYFUNCTION("""COMPUTED_VALUE"""),"")</f>
        <v/>
      </c>
      <c r="I44" s="34">
        <f>IFERROR(__xludf.DUMMYFUNCTION("""COMPUTED_VALUE"""),61.3)</f>
        <v>61.3</v>
      </c>
      <c r="J44" s="35" t="str">
        <f>IFERROR(__xludf.DUMMYFUNCTION("""COMPUTED_VALUE"""),"AP")</f>
        <v>AP</v>
      </c>
      <c r="K44" s="34">
        <f>IFERROR(__xludf.DUMMYFUNCTION("""COMPUTED_VALUE"""),13.0)</f>
        <v>13</v>
      </c>
      <c r="L44" s="35" t="str">
        <f>IFERROR(__xludf.DUMMYFUNCTION("""COMPUTED_VALUE"""),"%")</f>
        <v>%</v>
      </c>
      <c r="M44" s="36">
        <f>IFERROR(__xludf.DUMMYFUNCTION("""COMPUTED_VALUE"""),1.0)</f>
        <v>1</v>
      </c>
      <c r="N44" s="37" t="str">
        <f>IFERROR(__xludf.DUMMYFUNCTION("""COMPUTED_VALUE"""),"A303")</f>
        <v>A303</v>
      </c>
      <c r="O44" s="38" t="str">
        <f>IFERROR(__xludf.DUMMYFUNCTION("""COMPUTED_VALUE"""),"")</f>
        <v/>
      </c>
      <c r="P44" s="34">
        <f>IFERROR(__xludf.DUMMYFUNCTION("""COMPUTED_VALUE"""),76.3)</f>
        <v>76.3</v>
      </c>
      <c r="Q44" s="35" t="str">
        <f>IFERROR(__xludf.DUMMYFUNCTION("""COMPUTED_VALUE"""),"AP")</f>
        <v>AP</v>
      </c>
      <c r="R44" s="34">
        <f>IFERROR(__xludf.DUMMYFUNCTION("""COMPUTED_VALUE"""),10.5)</f>
        <v>10.5</v>
      </c>
      <c r="S44" s="35" t="str">
        <f>IFERROR(__xludf.DUMMYFUNCTION("""COMPUTED_VALUE"""),"%")</f>
        <v>%</v>
      </c>
      <c r="T44" s="36">
        <f>IFERROR(__xludf.DUMMYFUNCTION("""COMPUTED_VALUE"""),2.0)</f>
        <v>2</v>
      </c>
      <c r="U44" s="37" t="str">
        <f>IFERROR(__xludf.DUMMYFUNCTION("""COMPUTED_VALUE"""),"A304")</f>
        <v>A304</v>
      </c>
      <c r="V44" s="38" t="str">
        <f>IFERROR(__xludf.DUMMYFUNCTION("""COMPUTED_VALUE"""),"")</f>
        <v/>
      </c>
      <c r="W44" s="34">
        <f>IFERROR(__xludf.DUMMYFUNCTION("""COMPUTED_VALUE"""),90.5)</f>
        <v>90.5</v>
      </c>
      <c r="X44" s="35" t="str">
        <f>IFERROR(__xludf.DUMMYFUNCTION("""COMPUTED_VALUE"""),"AP")</f>
        <v>AP</v>
      </c>
      <c r="Y44" s="34">
        <f>IFERROR(__xludf.DUMMYFUNCTION("""COMPUTED_VALUE"""),8.8)</f>
        <v>8.8</v>
      </c>
      <c r="Z44" s="35" t="str">
        <f>IFERROR(__xludf.DUMMYFUNCTION("""COMPUTED_VALUE"""),"%")</f>
        <v>%</v>
      </c>
      <c r="AA44" s="36">
        <f>IFERROR(__xludf.DUMMYFUNCTION("""COMPUTED_VALUE"""),3.0)</f>
        <v>3</v>
      </c>
      <c r="AB44" s="37" t="str">
        <f>IFERROR(__xludf.DUMMYFUNCTION("""COMPUTED_VALUE"""),"B114")</f>
        <v>B114</v>
      </c>
      <c r="AC44" s="38" t="str">
        <f>IFERROR(__xludf.DUMMYFUNCTION("""COMPUTED_VALUE"""),"")</f>
        <v/>
      </c>
      <c r="AD44" s="34">
        <f>IFERROR(__xludf.DUMMYFUNCTION("""COMPUTED_VALUE"""),138.4)</f>
        <v>138.4</v>
      </c>
      <c r="AE44" s="35" t="str">
        <f>IFERROR(__xludf.DUMMYFUNCTION("""COMPUTED_VALUE"""),"AP")</f>
        <v>AP</v>
      </c>
      <c r="AF44" s="34">
        <f>IFERROR(__xludf.DUMMYFUNCTION("""COMPUTED_VALUE"""),5.8)</f>
        <v>5.8</v>
      </c>
      <c r="AG44" s="35" t="str">
        <f>IFERROR(__xludf.DUMMYFUNCTION("""COMPUTED_VALUE"""),"%")</f>
        <v>%</v>
      </c>
      <c r="AH44" s="31">
        <f>IFERROR(__xludf.DUMMYFUNCTION("""COMPUTED_VALUE"""),8.0)</f>
        <v>8</v>
      </c>
      <c r="AI44" s="32">
        <f>IFERROR(__xludf.DUMMYFUNCTION("""COMPUTED_VALUE"""),1211.0)</f>
        <v>1211</v>
      </c>
      <c r="AJ44" s="39" t="str">
        <f>IFERROR(__xludf.DUMMYFUNCTION("""COMPUTED_VALUE"""),"オルレアン")</f>
        <v>オルレアン</v>
      </c>
    </row>
    <row r="45" ht="24.75" customHeight="1">
      <c r="A45" s="40">
        <f>IFERROR(__xludf.DUMMYFUNCTION("""COMPUTED_VALUE"""),20.0)</f>
        <v>20</v>
      </c>
      <c r="B45" s="40" t="str">
        <f>IFERROR(__xludf.DUMMYFUNCTION("""COMPUTED_VALUE"""),"A302")</f>
        <v>A302</v>
      </c>
      <c r="C45" s="40" t="str">
        <f>IFERROR(__xludf.DUMMYFUNCTION("""COMPUTED_VALUE"""),"TRF2")</f>
        <v>TRF2</v>
      </c>
      <c r="D45" s="41" t="str">
        <f>IFERROR(__xludf.DUMMYFUNCTION("""COMPUTED_VALUE"""),"Chaldea Gate (Mon)")</f>
        <v>Chaldea Gate (Mon)</v>
      </c>
      <c r="E45" s="42" t="str">
        <f>IFERROR(__xludf.DUMMYFUNCTION("""COMPUTED_VALUE"""),"MON Archer Training Ground- Int")</f>
        <v>MON Archer Training Ground- Int</v>
      </c>
      <c r="F45" s="43">
        <f>IFERROR(__xludf.DUMMYFUNCTION("""COMPUTED_VALUE"""),20.0)</f>
        <v>20</v>
      </c>
      <c r="G45" s="44">
        <f>IFERROR(__xludf.DUMMYFUNCTION("""COMPUTED_VALUE"""),1126.0)</f>
        <v>1126</v>
      </c>
      <c r="H45" s="33" t="str">
        <f>IFERROR(__xludf.DUMMYFUNCTION("""COMPUTED_VALUE"""),"")</f>
        <v/>
      </c>
      <c r="I45" s="45">
        <f>IFERROR(__xludf.DUMMYFUNCTION("""COMPUTED_VALUE"""),65.7)</f>
        <v>65.7</v>
      </c>
      <c r="J45" s="46" t="str">
        <f>IFERROR(__xludf.DUMMYFUNCTION("""COMPUTED_VALUE"""),"AP")</f>
        <v>AP</v>
      </c>
      <c r="K45" s="47">
        <f>IFERROR(__xludf.DUMMYFUNCTION("""COMPUTED_VALUE"""),30.5)</f>
        <v>30.5</v>
      </c>
      <c r="L45" s="48" t="str">
        <f>IFERROR(__xludf.DUMMYFUNCTION("""COMPUTED_VALUE"""),"%")</f>
        <v>%</v>
      </c>
      <c r="M45" s="49">
        <f>IFERROR(__xludf.DUMMYFUNCTION("""COMPUTED_VALUE"""),1.0)</f>
        <v>1</v>
      </c>
      <c r="N45" s="50" t="str">
        <f>IFERROR(__xludf.DUMMYFUNCTION("""COMPUTED_VALUE"""),"A201")</f>
        <v>A201</v>
      </c>
      <c r="O45" s="38" t="str">
        <f>IFERROR(__xludf.DUMMYFUNCTION("""COMPUTED_VALUE"""),"")</f>
        <v/>
      </c>
      <c r="P45" s="45">
        <f>IFERROR(__xludf.DUMMYFUNCTION("""COMPUTED_VALUE"""),132.1)</f>
        <v>132.1</v>
      </c>
      <c r="Q45" s="46" t="str">
        <f>IFERROR(__xludf.DUMMYFUNCTION("""COMPUTED_VALUE"""),"AP")</f>
        <v>AP</v>
      </c>
      <c r="R45" s="47">
        <f>IFERROR(__xludf.DUMMYFUNCTION("""COMPUTED_VALUE"""),15.1)</f>
        <v>15.1</v>
      </c>
      <c r="S45" s="48" t="str">
        <f>IFERROR(__xludf.DUMMYFUNCTION("""COMPUTED_VALUE"""),"%")</f>
        <v>%</v>
      </c>
      <c r="T45" s="49">
        <f>IFERROR(__xludf.DUMMYFUNCTION("""COMPUTED_VALUE"""),2.0)</f>
        <v>2</v>
      </c>
      <c r="U45" s="50" t="str">
        <f>IFERROR(__xludf.DUMMYFUNCTION("""COMPUTED_VALUE"""),"A205")</f>
        <v>A205</v>
      </c>
      <c r="V45" s="38" t="str">
        <f>IFERROR(__xludf.DUMMYFUNCTION("""COMPUTED_VALUE"""),"")</f>
        <v/>
      </c>
      <c r="W45" s="45">
        <f>IFERROR(__xludf.DUMMYFUNCTION("""COMPUTED_VALUE"""),2790.0)</f>
        <v>2790</v>
      </c>
      <c r="X45" s="46" t="str">
        <f>IFERROR(__xludf.DUMMYFUNCTION("""COMPUTED_VALUE"""),"AP")</f>
        <v>AP</v>
      </c>
      <c r="Y45" s="47">
        <f>IFERROR(__xludf.DUMMYFUNCTION("""COMPUTED_VALUE"""),0.7)</f>
        <v>0.7</v>
      </c>
      <c r="Z45" s="48" t="str">
        <f>IFERROR(__xludf.DUMMYFUNCTION("""COMPUTED_VALUE"""),"%")</f>
        <v>%</v>
      </c>
      <c r="AA45" s="49">
        <f>IFERROR(__xludf.DUMMYFUNCTION("""COMPUTED_VALUE"""),3.0)</f>
        <v>3</v>
      </c>
      <c r="AB45" s="50" t="str">
        <f>IFERROR(__xludf.DUMMYFUNCTION("""COMPUTED_VALUE"""),"A209")</f>
        <v>A209</v>
      </c>
      <c r="AC45" s="38" t="str">
        <f>IFERROR(__xludf.DUMMYFUNCTION("""COMPUTED_VALUE"""),"")</f>
        <v/>
      </c>
      <c r="AD45" s="45">
        <f>IFERROR(__xludf.DUMMYFUNCTION("""COMPUTED_VALUE"""),192.5)</f>
        <v>192.5</v>
      </c>
      <c r="AE45" s="46" t="str">
        <f>IFERROR(__xludf.DUMMYFUNCTION("""COMPUTED_VALUE"""),"AP")</f>
        <v>AP</v>
      </c>
      <c r="AF45" s="47">
        <f>IFERROR(__xludf.DUMMYFUNCTION("""COMPUTED_VALUE"""),10.4)</f>
        <v>10.4</v>
      </c>
      <c r="AG45" s="48" t="str">
        <f>IFERROR(__xludf.DUMMYFUNCTION("""COMPUTED_VALUE"""),"%")</f>
        <v>%</v>
      </c>
      <c r="AH45" s="43">
        <f>IFERROR(__xludf.DUMMYFUNCTION("""COMPUTED_VALUE"""),20.0)</f>
        <v>20</v>
      </c>
      <c r="AI45" s="44">
        <f>IFERROR(__xludf.DUMMYFUNCTION("""COMPUTED_VALUE"""),1126.0)</f>
        <v>1126</v>
      </c>
      <c r="AJ45" s="51" t="str">
        <f>IFERROR(__xludf.DUMMYFUNCTION("""COMPUTED_VALUE"""),"弓中級")</f>
        <v>弓中級</v>
      </c>
    </row>
    <row r="46">
      <c r="A46" s="52"/>
      <c r="B46" s="53"/>
      <c r="C46" s="54"/>
      <c r="D46" s="55"/>
      <c r="E46" s="56"/>
      <c r="F46" s="53"/>
      <c r="G46" s="53"/>
      <c r="H46" s="53"/>
      <c r="I46" s="53"/>
      <c r="J46" s="57"/>
      <c r="K46" s="53"/>
      <c r="L46" s="57"/>
      <c r="M46" s="53"/>
      <c r="N46" s="53"/>
      <c r="O46" s="53"/>
      <c r="P46" s="53"/>
      <c r="Q46" s="57"/>
      <c r="R46" s="53"/>
      <c r="S46" s="57"/>
      <c r="T46" s="53"/>
      <c r="U46" s="53"/>
      <c r="V46" s="53"/>
      <c r="W46" s="53"/>
      <c r="X46" s="57"/>
      <c r="Y46" s="53"/>
      <c r="Z46" s="57"/>
      <c r="AA46" s="53"/>
      <c r="AB46" s="53"/>
      <c r="AC46" s="53"/>
      <c r="AD46" s="53"/>
      <c r="AE46" s="57"/>
      <c r="AF46" s="53"/>
      <c r="AG46" s="57"/>
      <c r="AH46" s="53"/>
      <c r="AI46" s="53"/>
      <c r="AJ46" s="58"/>
    </row>
    <row r="47">
      <c r="A47" s="59"/>
      <c r="B47" s="60"/>
      <c r="C47" s="61"/>
      <c r="D47" s="62"/>
      <c r="E47" s="63"/>
      <c r="F47" s="60"/>
      <c r="G47" s="60"/>
      <c r="H47" s="60"/>
      <c r="I47" s="60"/>
      <c r="J47" s="64"/>
      <c r="K47" s="60"/>
      <c r="L47" s="64"/>
      <c r="M47" s="60"/>
      <c r="N47" s="60"/>
      <c r="O47" s="60"/>
      <c r="P47" s="60"/>
      <c r="Q47" s="64"/>
      <c r="R47" s="60"/>
      <c r="S47" s="64"/>
      <c r="T47" s="60"/>
      <c r="U47" s="60"/>
      <c r="V47" s="60"/>
      <c r="W47" s="60"/>
      <c r="X47" s="64"/>
      <c r="Y47" s="60"/>
      <c r="Z47" s="64"/>
      <c r="AA47" s="60"/>
      <c r="AB47" s="60"/>
      <c r="AC47" s="60"/>
      <c r="AD47" s="60"/>
      <c r="AE47" s="64"/>
      <c r="AF47" s="60"/>
      <c r="AG47" s="64"/>
      <c r="AH47" s="60"/>
      <c r="AI47" s="60"/>
      <c r="AJ47" s="65"/>
    </row>
    <row r="48" ht="33.0" customHeight="1">
      <c r="A48" s="20" t="str">
        <f>IFERROR(__xludf.DUMMYFUNCTION("""COMPUTED_VALUE""")," ")</f>
        <v> </v>
      </c>
      <c r="B48" s="21" t="str">
        <f>IFERROR(__xludf.DUMMYFUNCTION("""COMPUTED_VALUE"""),"A303")</f>
        <v>A303</v>
      </c>
      <c r="C48" s="20"/>
      <c r="D48" s="22" t="str">
        <f>IFERROR(__xludf.DUMMYFUNCTION("""COMPUTED_VALUE"""),"")</f>
        <v/>
      </c>
      <c r="E48" s="23" t="str">
        <f>IFERROR(__xludf.DUMMYFUNCTION("""COMPUTED_VALUE"""),"Dragon Fang")</f>
        <v>Dragon Fang</v>
      </c>
      <c r="F48" s="24"/>
      <c r="G48" s="24"/>
      <c r="H48" s="25"/>
      <c r="I48" s="25"/>
      <c r="J48" s="26"/>
      <c r="K48" s="25"/>
      <c r="L48" s="26"/>
      <c r="M48" s="25"/>
      <c r="N48" s="25"/>
      <c r="O48" s="25"/>
      <c r="P48" s="25"/>
      <c r="Q48" s="26"/>
      <c r="R48" s="25"/>
      <c r="S48" s="26"/>
      <c r="T48" s="25"/>
      <c r="U48" s="25"/>
      <c r="V48" s="25"/>
      <c r="W48" s="25"/>
      <c r="X48" s="26"/>
      <c r="Y48" s="25"/>
      <c r="Z48" s="26"/>
      <c r="AA48" s="25"/>
      <c r="AB48" s="25"/>
      <c r="AC48" s="25"/>
      <c r="AD48" s="25"/>
      <c r="AE48" s="26"/>
      <c r="AF48" s="25"/>
      <c r="AG48" s="26"/>
      <c r="AH48" s="24"/>
      <c r="AI48" s="25"/>
      <c r="AJ48" s="27"/>
    </row>
    <row r="49" ht="24.75" customHeight="1">
      <c r="A49" s="28">
        <f>IFERROR(__xludf.DUMMYFUNCTION("""COMPUTED_VALUE"""),1.0)</f>
        <v>1</v>
      </c>
      <c r="B49" s="28" t="str">
        <f>IFERROR(__xludf.DUMMYFUNCTION("""COMPUTED_VALUE"""),"A303")</f>
        <v>A303</v>
      </c>
      <c r="C49" s="28" t="str">
        <f>IFERROR(__xludf.DUMMYFUNCTION("""COMPUTED_VALUE"""),"EPU4")</f>
        <v>EPU4</v>
      </c>
      <c r="D49" s="29" t="str">
        <f>IFERROR(__xludf.DUMMYFUNCTION("""COMPUTED_VALUE"""),"E Pluribus Unum")</f>
        <v>E Pluribus Unum</v>
      </c>
      <c r="E49" s="30" t="str">
        <f>IFERROR(__xludf.DUMMYFUNCTION("""COMPUTED_VALUE"""),"Deming")</f>
        <v>Deming</v>
      </c>
      <c r="F49" s="31">
        <f>IFERROR(__xludf.DUMMYFUNCTION("""COMPUTED_VALUE"""),17.0)</f>
        <v>17</v>
      </c>
      <c r="G49" s="32">
        <f>IFERROR(__xludf.DUMMYFUNCTION("""COMPUTED_VALUE"""),6486.0)</f>
        <v>6486</v>
      </c>
      <c r="H49" s="33" t="str">
        <f>IFERROR(__xludf.DUMMYFUNCTION("""COMPUTED_VALUE"""),"")</f>
        <v/>
      </c>
      <c r="I49" s="34">
        <f>IFERROR(__xludf.DUMMYFUNCTION("""COMPUTED_VALUE"""),27.2)</f>
        <v>27.2</v>
      </c>
      <c r="J49" s="35" t="str">
        <f>IFERROR(__xludf.DUMMYFUNCTION("""COMPUTED_VALUE"""),"AP")</f>
        <v>AP</v>
      </c>
      <c r="K49" s="34">
        <f>IFERROR(__xludf.DUMMYFUNCTION("""COMPUTED_VALUE"""),62.5999999)</f>
        <v>62.5999999</v>
      </c>
      <c r="L49" s="35" t="str">
        <f>IFERROR(__xludf.DUMMYFUNCTION("""COMPUTED_VALUE"""),"%")</f>
        <v>%</v>
      </c>
      <c r="M49" s="36">
        <f>IFERROR(__xludf.DUMMYFUNCTION("""COMPUTED_VALUE"""),1.0)</f>
        <v>1</v>
      </c>
      <c r="N49" s="37" t="str">
        <f>IFERROR(__xludf.DUMMYFUNCTION("""COMPUTED_VALUE"""),"B114")</f>
        <v>B114</v>
      </c>
      <c r="O49" s="38" t="str">
        <f>IFERROR(__xludf.DUMMYFUNCTION("""COMPUTED_VALUE"""),"")</f>
        <v/>
      </c>
      <c r="P49" s="34">
        <f>IFERROR(__xludf.DUMMYFUNCTION("""COMPUTED_VALUE"""),203.6)</f>
        <v>203.6</v>
      </c>
      <c r="Q49" s="35" t="str">
        <f>IFERROR(__xludf.DUMMYFUNCTION("""COMPUTED_VALUE"""),"AP")</f>
        <v>AP</v>
      </c>
      <c r="R49" s="34">
        <f>IFERROR(__xludf.DUMMYFUNCTION("""COMPUTED_VALUE"""),8.3)</f>
        <v>8.3</v>
      </c>
      <c r="S49" s="35" t="str">
        <f>IFERROR(__xludf.DUMMYFUNCTION("""COMPUTED_VALUE"""),"%")</f>
        <v>%</v>
      </c>
      <c r="T49" s="36">
        <f>IFERROR(__xludf.DUMMYFUNCTION("""COMPUTED_VALUE"""),2.0)</f>
        <v>2</v>
      </c>
      <c r="U49" s="37"/>
      <c r="V49" s="38"/>
      <c r="W49" s="34" t="str">
        <f>IFERROR(__xludf.DUMMYFUNCTION("""COMPUTED_VALUE"""),"")</f>
        <v/>
      </c>
      <c r="X49" s="35" t="str">
        <f>IFERROR(__xludf.DUMMYFUNCTION("""COMPUTED_VALUE"""),"AP")</f>
        <v>AP</v>
      </c>
      <c r="Y49" s="34" t="str">
        <f>IFERROR(__xludf.DUMMYFUNCTION("""COMPUTED_VALUE"""),"")</f>
        <v/>
      </c>
      <c r="Z49" s="35" t="str">
        <f>IFERROR(__xludf.DUMMYFUNCTION("""COMPUTED_VALUE"""),"%")</f>
        <v>%</v>
      </c>
      <c r="AA49" s="36">
        <f>IFERROR(__xludf.DUMMYFUNCTION("""COMPUTED_VALUE"""),3.0)</f>
        <v>3</v>
      </c>
      <c r="AB49" s="37"/>
      <c r="AC49" s="38"/>
      <c r="AD49" s="34" t="str">
        <f>IFERROR(__xludf.DUMMYFUNCTION("""COMPUTED_VALUE"""),"")</f>
        <v/>
      </c>
      <c r="AE49" s="35" t="str">
        <f>IFERROR(__xludf.DUMMYFUNCTION("""COMPUTED_VALUE"""),"AP")</f>
        <v>AP</v>
      </c>
      <c r="AF49" s="34" t="str">
        <f>IFERROR(__xludf.DUMMYFUNCTION("""COMPUTED_VALUE"""),"")</f>
        <v/>
      </c>
      <c r="AG49" s="35" t="str">
        <f>IFERROR(__xludf.DUMMYFUNCTION("""COMPUTED_VALUE"""),"%")</f>
        <v>%</v>
      </c>
      <c r="AH49" s="31">
        <f>IFERROR(__xludf.DUMMYFUNCTION("""COMPUTED_VALUE"""),17.0)</f>
        <v>17</v>
      </c>
      <c r="AI49" s="32">
        <f>IFERROR(__xludf.DUMMYFUNCTION("""COMPUTED_VALUE"""),6486.0)</f>
        <v>6486</v>
      </c>
      <c r="AJ49" s="39" t="str">
        <f>IFERROR(__xludf.DUMMYFUNCTION("""COMPUTED_VALUE"""),"デミング")</f>
        <v>デミング</v>
      </c>
    </row>
    <row r="50" ht="24.75" customHeight="1">
      <c r="A50" s="40">
        <f>IFERROR(__xludf.DUMMYFUNCTION("""COMPUTED_VALUE"""),2.0)</f>
        <v>2</v>
      </c>
      <c r="B50" s="40" t="str">
        <f>IFERROR(__xludf.DUMMYFUNCTION("""COMPUTED_VALUE"""),"A303")</f>
        <v>A303</v>
      </c>
      <c r="C50" s="40" t="str">
        <f>IFERROR(__xludf.DUMMYFUNCTION("""COMPUTED_VALUE"""),"OKN7")</f>
        <v>OKN7</v>
      </c>
      <c r="D50" s="41" t="str">
        <f>IFERROR(__xludf.DUMMYFUNCTION("""COMPUTED_VALUE"""),"Okeanos")</f>
        <v>Okeanos</v>
      </c>
      <c r="E50" s="42" t="str">
        <f>IFERROR(__xludf.DUMMYFUNCTION("""COMPUTED_VALUE"""),"Island of Wyverns")</f>
        <v>Island of Wyverns</v>
      </c>
      <c r="F50" s="43">
        <f>IFERROR(__xludf.DUMMYFUNCTION("""COMPUTED_VALUE"""),14.0)</f>
        <v>14</v>
      </c>
      <c r="G50" s="44">
        <f>IFERROR(__xludf.DUMMYFUNCTION("""COMPUTED_VALUE"""),1447.0)</f>
        <v>1447</v>
      </c>
      <c r="H50" s="33" t="str">
        <f>IFERROR(__xludf.DUMMYFUNCTION("""COMPUTED_VALUE"""),"")</f>
        <v/>
      </c>
      <c r="I50" s="45">
        <f>IFERROR(__xludf.DUMMYFUNCTION("""COMPUTED_VALUE"""),28.3)</f>
        <v>28.3</v>
      </c>
      <c r="J50" s="46" t="str">
        <f>IFERROR(__xludf.DUMMYFUNCTION("""COMPUTED_VALUE"""),"AP")</f>
        <v>AP</v>
      </c>
      <c r="K50" s="47">
        <f>IFERROR(__xludf.DUMMYFUNCTION("""COMPUTED_VALUE"""),49.5)</f>
        <v>49.5</v>
      </c>
      <c r="L50" s="48" t="str">
        <f>IFERROR(__xludf.DUMMYFUNCTION("""COMPUTED_VALUE"""),"%")</f>
        <v>%</v>
      </c>
      <c r="M50" s="49">
        <f>IFERROR(__xludf.DUMMYFUNCTION("""COMPUTED_VALUE"""),1.0)</f>
        <v>1</v>
      </c>
      <c r="N50" s="50" t="str">
        <f>IFERROR(__xludf.DUMMYFUNCTION("""COMPUTED_VALUE"""),"B114")</f>
        <v>B114</v>
      </c>
      <c r="O50" s="38" t="str">
        <f>IFERROR(__xludf.DUMMYFUNCTION("""COMPUTED_VALUE"""),"")</f>
        <v/>
      </c>
      <c r="P50" s="45">
        <f>IFERROR(__xludf.DUMMYFUNCTION("""COMPUTED_VALUE"""),279.4)</f>
        <v>279.4</v>
      </c>
      <c r="Q50" s="46" t="str">
        <f>IFERROR(__xludf.DUMMYFUNCTION("""COMPUTED_VALUE"""),"AP")</f>
        <v>AP</v>
      </c>
      <c r="R50" s="47">
        <f>IFERROR(__xludf.DUMMYFUNCTION("""COMPUTED_VALUE"""),5.0)</f>
        <v>5</v>
      </c>
      <c r="S50" s="48" t="str">
        <f>IFERROR(__xludf.DUMMYFUNCTION("""COMPUTED_VALUE"""),"%")</f>
        <v>%</v>
      </c>
      <c r="T50" s="49">
        <f>IFERROR(__xludf.DUMMYFUNCTION("""COMPUTED_VALUE"""),2.0)</f>
        <v>2</v>
      </c>
      <c r="U50" s="50"/>
      <c r="V50" s="38"/>
      <c r="W50" s="45" t="str">
        <f>IFERROR(__xludf.DUMMYFUNCTION("""COMPUTED_VALUE"""),"")</f>
        <v/>
      </c>
      <c r="X50" s="46" t="str">
        <f>IFERROR(__xludf.DUMMYFUNCTION("""COMPUTED_VALUE"""),"AP")</f>
        <v>AP</v>
      </c>
      <c r="Y50" s="47" t="str">
        <f>IFERROR(__xludf.DUMMYFUNCTION("""COMPUTED_VALUE"""),"")</f>
        <v/>
      </c>
      <c r="Z50" s="48" t="str">
        <f>IFERROR(__xludf.DUMMYFUNCTION("""COMPUTED_VALUE"""),"%")</f>
        <v>%</v>
      </c>
      <c r="AA50" s="49">
        <f>IFERROR(__xludf.DUMMYFUNCTION("""COMPUTED_VALUE"""),3.0)</f>
        <v>3</v>
      </c>
      <c r="AB50" s="50"/>
      <c r="AC50" s="38"/>
      <c r="AD50" s="45" t="str">
        <f>IFERROR(__xludf.DUMMYFUNCTION("""COMPUTED_VALUE"""),"")</f>
        <v/>
      </c>
      <c r="AE50" s="46" t="str">
        <f>IFERROR(__xludf.DUMMYFUNCTION("""COMPUTED_VALUE"""),"AP")</f>
        <v>AP</v>
      </c>
      <c r="AF50" s="47" t="str">
        <f>IFERROR(__xludf.DUMMYFUNCTION("""COMPUTED_VALUE"""),"")</f>
        <v/>
      </c>
      <c r="AG50" s="48" t="str">
        <f>IFERROR(__xludf.DUMMYFUNCTION("""COMPUTED_VALUE"""),"%")</f>
        <v>%</v>
      </c>
      <c r="AH50" s="43">
        <f>IFERROR(__xludf.DUMMYFUNCTION("""COMPUTED_VALUE"""),14.0)</f>
        <v>14</v>
      </c>
      <c r="AI50" s="44">
        <f>IFERROR(__xludf.DUMMYFUNCTION("""COMPUTED_VALUE"""),1447.0)</f>
        <v>1447</v>
      </c>
      <c r="AJ50" s="51" t="str">
        <f>IFERROR(__xludf.DUMMYFUNCTION("""COMPUTED_VALUE"""),"翼竜の島")</f>
        <v>翼竜の島</v>
      </c>
    </row>
    <row r="51" ht="24.75" customHeight="1">
      <c r="A51" s="28">
        <f>IFERROR(__xludf.DUMMYFUNCTION("""COMPUTED_VALUE"""),3.0)</f>
        <v>3</v>
      </c>
      <c r="B51" s="28" t="str">
        <f>IFERROR(__xludf.DUMMYFUNCTION("""COMPUTED_VALUE"""),"A303")</f>
        <v>A303</v>
      </c>
      <c r="C51" s="28" t="str">
        <f>IFERROR(__xludf.DUMMYFUNCTION("""COMPUTED_VALUE"""),"BBL7")</f>
        <v>BBL7</v>
      </c>
      <c r="D51" s="29" t="str">
        <f>IFERROR(__xludf.DUMMYFUNCTION("""COMPUTED_VALUE"""),"Babylonia")</f>
        <v>Babylonia</v>
      </c>
      <c r="E51" s="30" t="str">
        <f>IFERROR(__xludf.DUMMYFUNCTION("""COMPUTED_VALUE"""),"Eridu")</f>
        <v>Eridu</v>
      </c>
      <c r="F51" s="31">
        <f>IFERROR(__xludf.DUMMYFUNCTION("""COMPUTED_VALUE"""),21.0)</f>
        <v>21</v>
      </c>
      <c r="G51" s="32">
        <f>IFERROR(__xludf.DUMMYFUNCTION("""COMPUTED_VALUE"""),16194.0)</f>
        <v>16194</v>
      </c>
      <c r="H51" s="33" t="str">
        <f>IFERROR(__xludf.DUMMYFUNCTION("""COMPUTED_VALUE"""),"")</f>
        <v/>
      </c>
      <c r="I51" s="34">
        <f>IFERROR(__xludf.DUMMYFUNCTION("""COMPUTED_VALUE"""),33.4)</f>
        <v>33.4</v>
      </c>
      <c r="J51" s="35" t="str">
        <f>IFERROR(__xludf.DUMMYFUNCTION("""COMPUTED_VALUE"""),"AP")</f>
        <v>AP</v>
      </c>
      <c r="K51" s="34">
        <f>IFERROR(__xludf.DUMMYFUNCTION("""COMPUTED_VALUE"""),62.8)</f>
        <v>62.8</v>
      </c>
      <c r="L51" s="35" t="str">
        <f>IFERROR(__xludf.DUMMYFUNCTION("""COMPUTED_VALUE"""),"%")</f>
        <v>%</v>
      </c>
      <c r="M51" s="36">
        <f>IFERROR(__xludf.DUMMYFUNCTION("""COMPUTED_VALUE"""),1.0)</f>
        <v>1</v>
      </c>
      <c r="N51" s="37" t="str">
        <f>IFERROR(__xludf.DUMMYFUNCTION("""COMPUTED_VALUE"""),"B114")</f>
        <v>B114</v>
      </c>
      <c r="O51" s="38" t="str">
        <f>IFERROR(__xludf.DUMMYFUNCTION("""COMPUTED_VALUE"""),"")</f>
        <v/>
      </c>
      <c r="P51" s="34">
        <f>IFERROR(__xludf.DUMMYFUNCTION("""COMPUTED_VALUE"""),105.9)</f>
        <v>105.9</v>
      </c>
      <c r="Q51" s="35" t="str">
        <f>IFERROR(__xludf.DUMMYFUNCTION("""COMPUTED_VALUE"""),"AP")</f>
        <v>AP</v>
      </c>
      <c r="R51" s="34">
        <f>IFERROR(__xludf.DUMMYFUNCTION("""COMPUTED_VALUE"""),19.8)</f>
        <v>19.8</v>
      </c>
      <c r="S51" s="35" t="str">
        <f>IFERROR(__xludf.DUMMYFUNCTION("""COMPUTED_VALUE"""),"%")</f>
        <v>%</v>
      </c>
      <c r="T51" s="36">
        <f>IFERROR(__xludf.DUMMYFUNCTION("""COMPUTED_VALUE"""),2.0)</f>
        <v>2</v>
      </c>
      <c r="U51" s="37"/>
      <c r="V51" s="38"/>
      <c r="W51" s="34" t="str">
        <f>IFERROR(__xludf.DUMMYFUNCTION("""COMPUTED_VALUE"""),"")</f>
        <v/>
      </c>
      <c r="X51" s="35" t="str">
        <f>IFERROR(__xludf.DUMMYFUNCTION("""COMPUTED_VALUE"""),"AP")</f>
        <v>AP</v>
      </c>
      <c r="Y51" s="34" t="str">
        <f>IFERROR(__xludf.DUMMYFUNCTION("""COMPUTED_VALUE"""),"")</f>
        <v/>
      </c>
      <c r="Z51" s="35" t="str">
        <f>IFERROR(__xludf.DUMMYFUNCTION("""COMPUTED_VALUE"""),"%")</f>
        <v>%</v>
      </c>
      <c r="AA51" s="36">
        <f>IFERROR(__xludf.DUMMYFUNCTION("""COMPUTED_VALUE"""),3.0)</f>
        <v>3</v>
      </c>
      <c r="AB51" s="37"/>
      <c r="AC51" s="38"/>
      <c r="AD51" s="34" t="str">
        <f>IFERROR(__xludf.DUMMYFUNCTION("""COMPUTED_VALUE"""),"")</f>
        <v/>
      </c>
      <c r="AE51" s="35" t="str">
        <f>IFERROR(__xludf.DUMMYFUNCTION("""COMPUTED_VALUE"""),"AP")</f>
        <v>AP</v>
      </c>
      <c r="AF51" s="34" t="str">
        <f>IFERROR(__xludf.DUMMYFUNCTION("""COMPUTED_VALUE"""),"")</f>
        <v/>
      </c>
      <c r="AG51" s="35" t="str">
        <f>IFERROR(__xludf.DUMMYFUNCTION("""COMPUTED_VALUE"""),"%")</f>
        <v>%</v>
      </c>
      <c r="AH51" s="31">
        <f>IFERROR(__xludf.DUMMYFUNCTION("""COMPUTED_VALUE"""),21.0)</f>
        <v>21</v>
      </c>
      <c r="AI51" s="32">
        <f>IFERROR(__xludf.DUMMYFUNCTION("""COMPUTED_VALUE"""),16194.0)</f>
        <v>16194</v>
      </c>
      <c r="AJ51" s="39" t="str">
        <f>IFERROR(__xludf.DUMMYFUNCTION("""COMPUTED_VALUE"""),"エリドゥ")</f>
        <v>エリドゥ</v>
      </c>
    </row>
    <row r="52" ht="24.75" customHeight="1">
      <c r="A52" s="40">
        <f>IFERROR(__xludf.DUMMYFUNCTION("""COMPUTED_VALUE"""),4.0)</f>
        <v>4</v>
      </c>
      <c r="B52" s="40" t="str">
        <f>IFERROR(__xludf.DUMMYFUNCTION("""COMPUTED_VALUE"""),"A303")</f>
        <v>A303</v>
      </c>
      <c r="C52" s="40" t="str">
        <f>IFERROR(__xludf.DUMMYFUNCTION("""COMPUTED_VALUE"""),"OKN4")</f>
        <v>OKN4</v>
      </c>
      <c r="D52" s="41" t="str">
        <f>IFERROR(__xludf.DUMMYFUNCTION("""COMPUTED_VALUE"""),"Okeanos")</f>
        <v>Okeanos</v>
      </c>
      <c r="E52" s="42" t="str">
        <f>IFERROR(__xludf.DUMMYFUNCTION("""COMPUTED_VALUE"""),"Mapped Island")</f>
        <v>Mapped Island</v>
      </c>
      <c r="F52" s="43">
        <f>IFERROR(__xludf.DUMMYFUNCTION("""COMPUTED_VALUE"""),13.0)</f>
        <v>13</v>
      </c>
      <c r="G52" s="44">
        <f>IFERROR(__xludf.DUMMYFUNCTION("""COMPUTED_VALUE"""),1836.0)</f>
        <v>1836</v>
      </c>
      <c r="H52" s="33" t="str">
        <f>IFERROR(__xludf.DUMMYFUNCTION("""COMPUTED_VALUE"""),"")</f>
        <v/>
      </c>
      <c r="I52" s="45">
        <f>IFERROR(__xludf.DUMMYFUNCTION("""COMPUTED_VALUE"""),35.2)</f>
        <v>35.2</v>
      </c>
      <c r="J52" s="46" t="str">
        <f>IFERROR(__xludf.DUMMYFUNCTION("""COMPUTED_VALUE"""),"AP")</f>
        <v>AP</v>
      </c>
      <c r="K52" s="47">
        <f>IFERROR(__xludf.DUMMYFUNCTION("""COMPUTED_VALUE"""),36.9)</f>
        <v>36.9</v>
      </c>
      <c r="L52" s="48" t="str">
        <f>IFERROR(__xludf.DUMMYFUNCTION("""COMPUTED_VALUE"""),"%")</f>
        <v>%</v>
      </c>
      <c r="M52" s="49">
        <f>IFERROR(__xludf.DUMMYFUNCTION("""COMPUTED_VALUE"""),1.0)</f>
        <v>1</v>
      </c>
      <c r="N52" s="50" t="str">
        <f>IFERROR(__xludf.DUMMYFUNCTION("""COMPUTED_VALUE"""),"A304")</f>
        <v>A304</v>
      </c>
      <c r="O52" s="38" t="str">
        <f>IFERROR(__xludf.DUMMYFUNCTION("""COMPUTED_VALUE"""),"")</f>
        <v/>
      </c>
      <c r="P52" s="45">
        <f>IFERROR(__xludf.DUMMYFUNCTION("""COMPUTED_VALUE"""),98.6)</f>
        <v>98.6</v>
      </c>
      <c r="Q52" s="46" t="str">
        <f>IFERROR(__xludf.DUMMYFUNCTION("""COMPUTED_VALUE"""),"AP")</f>
        <v>AP</v>
      </c>
      <c r="R52" s="47">
        <f>IFERROR(__xludf.DUMMYFUNCTION("""COMPUTED_VALUE"""),13.2)</f>
        <v>13.2</v>
      </c>
      <c r="S52" s="48" t="str">
        <f>IFERROR(__xludf.DUMMYFUNCTION("""COMPUTED_VALUE"""),"%")</f>
        <v>%</v>
      </c>
      <c r="T52" s="49">
        <f>IFERROR(__xludf.DUMMYFUNCTION("""COMPUTED_VALUE"""),2.0)</f>
        <v>2</v>
      </c>
      <c r="U52" s="50"/>
      <c r="V52" s="38"/>
      <c r="W52" s="45" t="str">
        <f>IFERROR(__xludf.DUMMYFUNCTION("""COMPUTED_VALUE"""),"")</f>
        <v/>
      </c>
      <c r="X52" s="46" t="str">
        <f>IFERROR(__xludf.DUMMYFUNCTION("""COMPUTED_VALUE"""),"AP")</f>
        <v>AP</v>
      </c>
      <c r="Y52" s="47" t="str">
        <f>IFERROR(__xludf.DUMMYFUNCTION("""COMPUTED_VALUE"""),"")</f>
        <v/>
      </c>
      <c r="Z52" s="48" t="str">
        <f>IFERROR(__xludf.DUMMYFUNCTION("""COMPUTED_VALUE"""),"%")</f>
        <v>%</v>
      </c>
      <c r="AA52" s="49">
        <f>IFERROR(__xludf.DUMMYFUNCTION("""COMPUTED_VALUE"""),3.0)</f>
        <v>3</v>
      </c>
      <c r="AB52" s="50"/>
      <c r="AC52" s="38"/>
      <c r="AD52" s="45" t="str">
        <f>IFERROR(__xludf.DUMMYFUNCTION("""COMPUTED_VALUE"""),"")</f>
        <v/>
      </c>
      <c r="AE52" s="46" t="str">
        <f>IFERROR(__xludf.DUMMYFUNCTION("""COMPUTED_VALUE"""),"AP")</f>
        <v>AP</v>
      </c>
      <c r="AF52" s="47" t="str">
        <f>IFERROR(__xludf.DUMMYFUNCTION("""COMPUTED_VALUE"""),"")</f>
        <v/>
      </c>
      <c r="AG52" s="48" t="str">
        <f>IFERROR(__xludf.DUMMYFUNCTION("""COMPUTED_VALUE"""),"%")</f>
        <v>%</v>
      </c>
      <c r="AH52" s="43">
        <f>IFERROR(__xludf.DUMMYFUNCTION("""COMPUTED_VALUE"""),13.0)</f>
        <v>13</v>
      </c>
      <c r="AI52" s="44">
        <f>IFERROR(__xludf.DUMMYFUNCTION("""COMPUTED_VALUE"""),1836.0)</f>
        <v>1836</v>
      </c>
      <c r="AJ52" s="51" t="str">
        <f>IFERROR(__xludf.DUMMYFUNCTION("""COMPUTED_VALUE"""),"地図に記された島")</f>
        <v>地図に記された島</v>
      </c>
    </row>
    <row r="53" ht="24.75" customHeight="1">
      <c r="A53" s="28">
        <f>IFERROR(__xludf.DUMMYFUNCTION("""COMPUTED_VALUE"""),5.0)</f>
        <v>5</v>
      </c>
      <c r="B53" s="28" t="str">
        <f>IFERROR(__xludf.DUMMYFUNCTION("""COMPUTED_VALUE"""),"A303")</f>
        <v>A303</v>
      </c>
      <c r="C53" s="28" t="str">
        <f>IFERROR(__xludf.DUMMYFUNCTION("""COMPUTED_VALUE"""),"AGT8")</f>
        <v>AGT8</v>
      </c>
      <c r="D53" s="29" t="str">
        <f>IFERROR(__xludf.DUMMYFUNCTION("""COMPUTED_VALUE"""),"Agartha")</f>
        <v>Agartha</v>
      </c>
      <c r="E53" s="30" t="str">
        <f>IFERROR(__xludf.DUMMYFUNCTION("""COMPUTED_VALUE"""),"Foothills Jungle")</f>
        <v>Foothills Jungle</v>
      </c>
      <c r="F53" s="31">
        <f>IFERROR(__xludf.DUMMYFUNCTION("""COMPUTED_VALUE"""),21.0)</f>
        <v>21</v>
      </c>
      <c r="G53" s="32">
        <f>IFERROR(__xludf.DUMMYFUNCTION("""COMPUTED_VALUE"""),23100.0)</f>
        <v>23100</v>
      </c>
      <c r="H53" s="33" t="str">
        <f>IFERROR(__xludf.DUMMYFUNCTION("""COMPUTED_VALUE"""),"")</f>
        <v/>
      </c>
      <c r="I53" s="34">
        <f>IFERROR(__xludf.DUMMYFUNCTION("""COMPUTED_VALUE"""),42.5)</f>
        <v>42.5</v>
      </c>
      <c r="J53" s="35" t="str">
        <f>IFERROR(__xludf.DUMMYFUNCTION("""COMPUTED_VALUE"""),"AP")</f>
        <v>AP</v>
      </c>
      <c r="K53" s="34">
        <f>IFERROR(__xludf.DUMMYFUNCTION("""COMPUTED_VALUE"""),49.4)</f>
        <v>49.4</v>
      </c>
      <c r="L53" s="35" t="str">
        <f>IFERROR(__xludf.DUMMYFUNCTION("""COMPUTED_VALUE"""),"%")</f>
        <v>%</v>
      </c>
      <c r="M53" s="36">
        <f>IFERROR(__xludf.DUMMYFUNCTION("""COMPUTED_VALUE"""),1.0)</f>
        <v>1</v>
      </c>
      <c r="N53" s="37" t="str">
        <f>IFERROR(__xludf.DUMMYFUNCTION("""COMPUTED_VALUE"""),"A201")</f>
        <v>A201</v>
      </c>
      <c r="O53" s="38" t="str">
        <f>IFERROR(__xludf.DUMMYFUNCTION("""COMPUTED_VALUE"""),"")</f>
        <v/>
      </c>
      <c r="P53" s="34">
        <f>IFERROR(__xludf.DUMMYFUNCTION("""COMPUTED_VALUE"""),137.1)</f>
        <v>137.1</v>
      </c>
      <c r="Q53" s="35" t="str">
        <f>IFERROR(__xludf.DUMMYFUNCTION("""COMPUTED_VALUE"""),"AP")</f>
        <v>AP</v>
      </c>
      <c r="R53" s="34">
        <f>IFERROR(__xludf.DUMMYFUNCTION("""COMPUTED_VALUE"""),15.3)</f>
        <v>15.3</v>
      </c>
      <c r="S53" s="35" t="str">
        <f>IFERROR(__xludf.DUMMYFUNCTION("""COMPUTED_VALUE"""),"%")</f>
        <v>%</v>
      </c>
      <c r="T53" s="36">
        <f>IFERROR(__xludf.DUMMYFUNCTION("""COMPUTED_VALUE"""),2.0)</f>
        <v>2</v>
      </c>
      <c r="U53" s="37" t="str">
        <f>IFERROR(__xludf.DUMMYFUNCTION("""COMPUTED_VALUE"""),"A205")</f>
        <v>A205</v>
      </c>
      <c r="V53" s="38" t="str">
        <f>IFERROR(__xludf.DUMMYFUNCTION("""COMPUTED_VALUE"""),"")</f>
        <v/>
      </c>
      <c r="W53" s="34">
        <f>IFERROR(__xludf.DUMMYFUNCTION("""COMPUTED_VALUE"""),146.7)</f>
        <v>146.7</v>
      </c>
      <c r="X53" s="35" t="str">
        <f>IFERROR(__xludf.DUMMYFUNCTION("""COMPUTED_VALUE"""),"AP")</f>
        <v>AP</v>
      </c>
      <c r="Y53" s="34">
        <f>IFERROR(__xludf.DUMMYFUNCTION("""COMPUTED_VALUE"""),14.3)</f>
        <v>14.3</v>
      </c>
      <c r="Z53" s="35" t="str">
        <f>IFERROR(__xludf.DUMMYFUNCTION("""COMPUTED_VALUE"""),"%")</f>
        <v>%</v>
      </c>
      <c r="AA53" s="36">
        <f>IFERROR(__xludf.DUMMYFUNCTION("""COMPUTED_VALUE"""),3.0)</f>
        <v>3</v>
      </c>
      <c r="AB53" s="37" t="str">
        <f>IFERROR(__xludf.DUMMYFUNCTION("""COMPUTED_VALUE"""),"B112")</f>
        <v>B112</v>
      </c>
      <c r="AC53" s="38" t="str">
        <f>IFERROR(__xludf.DUMMYFUNCTION("""COMPUTED_VALUE"""),"")</f>
        <v/>
      </c>
      <c r="AD53" s="34">
        <f>IFERROR(__xludf.DUMMYFUNCTION("""COMPUTED_VALUE"""),213.3)</f>
        <v>213.3</v>
      </c>
      <c r="AE53" s="35" t="str">
        <f>IFERROR(__xludf.DUMMYFUNCTION("""COMPUTED_VALUE"""),"AP")</f>
        <v>AP</v>
      </c>
      <c r="AF53" s="34">
        <f>IFERROR(__xludf.DUMMYFUNCTION("""COMPUTED_VALUE"""),9.8)</f>
        <v>9.8</v>
      </c>
      <c r="AG53" s="35" t="str">
        <f>IFERROR(__xludf.DUMMYFUNCTION("""COMPUTED_VALUE"""),"%")</f>
        <v>%</v>
      </c>
      <c r="AH53" s="31">
        <f>IFERROR(__xludf.DUMMYFUNCTION("""COMPUTED_VALUE"""),21.0)</f>
        <v>21</v>
      </c>
      <c r="AI53" s="32">
        <f>IFERROR(__xludf.DUMMYFUNCTION("""COMPUTED_VALUE"""),23100.0)</f>
        <v>23100</v>
      </c>
      <c r="AJ53" s="39" t="str">
        <f>IFERROR(__xludf.DUMMYFUNCTION("""COMPUTED_VALUE"""),"山裾の密林")</f>
        <v>山裾の密林</v>
      </c>
    </row>
    <row r="54" ht="24.75" customHeight="1">
      <c r="A54" s="40">
        <f>IFERROR(__xludf.DUMMYFUNCTION("""COMPUTED_VALUE"""),6.0)</f>
        <v>6</v>
      </c>
      <c r="B54" s="40" t="str">
        <f>IFERROR(__xludf.DUMMYFUNCTION("""COMPUTED_VALUE"""),"A303")</f>
        <v>A303</v>
      </c>
      <c r="C54" s="40" t="str">
        <f>IFERROR(__xludf.DUMMYFUNCTION("""COMPUTED_VALUE"""),"CML4")</f>
        <v>CML4</v>
      </c>
      <c r="D54" s="41" t="str">
        <f>IFERROR(__xludf.DUMMYFUNCTION("""COMPUTED_VALUE"""),"Camelot")</f>
        <v>Camelot</v>
      </c>
      <c r="E54" s="42" t="str">
        <f>IFERROR(__xludf.DUMMYFUNCTION("""COMPUTED_VALUE"""),"East Village")</f>
        <v>East Village</v>
      </c>
      <c r="F54" s="43">
        <f>IFERROR(__xludf.DUMMYFUNCTION("""COMPUTED_VALUE"""),19.0)</f>
        <v>19</v>
      </c>
      <c r="G54" s="44">
        <f>IFERROR(__xludf.DUMMYFUNCTION("""COMPUTED_VALUE"""),1404.0)</f>
        <v>1404</v>
      </c>
      <c r="H54" s="33" t="str">
        <f>IFERROR(__xludf.DUMMYFUNCTION("""COMPUTED_VALUE"""),"")</f>
        <v/>
      </c>
      <c r="I54" s="45">
        <f>IFERROR(__xludf.DUMMYFUNCTION("""COMPUTED_VALUE"""),46.3)</f>
        <v>46.3</v>
      </c>
      <c r="J54" s="46" t="str">
        <f>IFERROR(__xludf.DUMMYFUNCTION("""COMPUTED_VALUE"""),"AP")</f>
        <v>AP</v>
      </c>
      <c r="K54" s="47">
        <f>IFERROR(__xludf.DUMMYFUNCTION("""COMPUTED_VALUE"""),41.0)</f>
        <v>41</v>
      </c>
      <c r="L54" s="48" t="str">
        <f>IFERROR(__xludf.DUMMYFUNCTION("""COMPUTED_VALUE"""),"%")</f>
        <v>%</v>
      </c>
      <c r="M54" s="49">
        <f>IFERROR(__xludf.DUMMYFUNCTION("""COMPUTED_VALUE"""),1.0)</f>
        <v>1</v>
      </c>
      <c r="N54" s="50" t="str">
        <f>IFERROR(__xludf.DUMMYFUNCTION("""COMPUTED_VALUE"""),"A105")</f>
        <v>A105</v>
      </c>
      <c r="O54" s="38" t="str">
        <f>IFERROR(__xludf.DUMMYFUNCTION("""COMPUTED_VALUE"""),"")</f>
        <v/>
      </c>
      <c r="P54" s="45">
        <f>IFERROR(__xludf.DUMMYFUNCTION("""COMPUTED_VALUE"""),115.0)</f>
        <v>115</v>
      </c>
      <c r="Q54" s="46" t="str">
        <f>IFERROR(__xludf.DUMMYFUNCTION("""COMPUTED_VALUE"""),"AP")</f>
        <v>AP</v>
      </c>
      <c r="R54" s="47">
        <f>IFERROR(__xludf.DUMMYFUNCTION("""COMPUTED_VALUE"""),16.5)</f>
        <v>16.5</v>
      </c>
      <c r="S54" s="48" t="str">
        <f>IFERROR(__xludf.DUMMYFUNCTION("""COMPUTED_VALUE"""),"%")</f>
        <v>%</v>
      </c>
      <c r="T54" s="49">
        <f>IFERROR(__xludf.DUMMYFUNCTION("""COMPUTED_VALUE"""),2.0)</f>
        <v>2</v>
      </c>
      <c r="U54" s="50" t="str">
        <f>IFERROR(__xludf.DUMMYFUNCTION("""COMPUTED_VALUE"""),"B113")</f>
        <v>B113</v>
      </c>
      <c r="V54" s="38" t="str">
        <f>IFERROR(__xludf.DUMMYFUNCTION("""COMPUTED_VALUE"""),"")</f>
        <v/>
      </c>
      <c r="W54" s="45">
        <f>IFERROR(__xludf.DUMMYFUNCTION("""COMPUTED_VALUE"""),233.4)</f>
        <v>233.4</v>
      </c>
      <c r="X54" s="46" t="str">
        <f>IFERROR(__xludf.DUMMYFUNCTION("""COMPUTED_VALUE"""),"AP")</f>
        <v>AP</v>
      </c>
      <c r="Y54" s="47">
        <f>IFERROR(__xludf.DUMMYFUNCTION("""COMPUTED_VALUE"""),8.1)</f>
        <v>8.1</v>
      </c>
      <c r="Z54" s="48" t="str">
        <f>IFERROR(__xludf.DUMMYFUNCTION("""COMPUTED_VALUE"""),"%")</f>
        <v>%</v>
      </c>
      <c r="AA54" s="49">
        <f>IFERROR(__xludf.DUMMYFUNCTION("""COMPUTED_VALUE"""),3.0)</f>
        <v>3</v>
      </c>
      <c r="AB54" s="50"/>
      <c r="AC54" s="38"/>
      <c r="AD54" s="45" t="str">
        <f>IFERROR(__xludf.DUMMYFUNCTION("""COMPUTED_VALUE"""),"")</f>
        <v/>
      </c>
      <c r="AE54" s="46" t="str">
        <f>IFERROR(__xludf.DUMMYFUNCTION("""COMPUTED_VALUE"""),"AP")</f>
        <v>AP</v>
      </c>
      <c r="AF54" s="47" t="str">
        <f>IFERROR(__xludf.DUMMYFUNCTION("""COMPUTED_VALUE"""),"")</f>
        <v/>
      </c>
      <c r="AG54" s="48" t="str">
        <f>IFERROR(__xludf.DUMMYFUNCTION("""COMPUTED_VALUE"""),"%")</f>
        <v>%</v>
      </c>
      <c r="AH54" s="43">
        <f>IFERROR(__xludf.DUMMYFUNCTION("""COMPUTED_VALUE"""),19.0)</f>
        <v>19</v>
      </c>
      <c r="AI54" s="44">
        <f>IFERROR(__xludf.DUMMYFUNCTION("""COMPUTED_VALUE"""),1404.0)</f>
        <v>1404</v>
      </c>
      <c r="AJ54" s="51" t="str">
        <f>IFERROR(__xludf.DUMMYFUNCTION("""COMPUTED_VALUE"""),"東の村")</f>
        <v>東の村</v>
      </c>
    </row>
    <row r="55" ht="24.75" customHeight="1">
      <c r="A55" s="28">
        <f>IFERROR(__xludf.DUMMYFUNCTION("""COMPUTED_VALUE"""),7.0)</f>
        <v>7</v>
      </c>
      <c r="B55" s="28" t="str">
        <f>IFERROR(__xludf.DUMMYFUNCTION("""COMPUTED_VALUE"""),"A303")</f>
        <v>A303</v>
      </c>
      <c r="C55" s="28" t="str">
        <f>IFERROR(__xludf.DUMMYFUNCTION("""COMPUTED_VALUE"""),"ORL7")</f>
        <v>ORL7</v>
      </c>
      <c r="D55" s="29" t="str">
        <f>IFERROR(__xludf.DUMMYFUNCTION("""COMPUTED_VALUE"""),"Orleans")</f>
        <v>Orleans</v>
      </c>
      <c r="E55" s="30" t="str">
        <f>IFERROR(__xludf.DUMMYFUNCTION("""COMPUTED_VALUE"""),"Thiers")</f>
        <v>Thiers</v>
      </c>
      <c r="F55" s="31">
        <f>IFERROR(__xludf.DUMMYFUNCTION("""COMPUTED_VALUE"""),7.0)</f>
        <v>7</v>
      </c>
      <c r="G55" s="32">
        <f>IFERROR(__xludf.DUMMYFUNCTION("""COMPUTED_VALUE"""),1515.0)</f>
        <v>1515</v>
      </c>
      <c r="H55" s="33" t="str">
        <f>IFERROR(__xludf.DUMMYFUNCTION("""COMPUTED_VALUE"""),"")</f>
        <v/>
      </c>
      <c r="I55" s="34">
        <f>IFERROR(__xludf.DUMMYFUNCTION("""COMPUTED_VALUE"""),49.6)</f>
        <v>49.6</v>
      </c>
      <c r="J55" s="35" t="str">
        <f>IFERROR(__xludf.DUMMYFUNCTION("""COMPUTED_VALUE"""),"AP")</f>
        <v>AP</v>
      </c>
      <c r="K55" s="34">
        <f>IFERROR(__xludf.DUMMYFUNCTION("""COMPUTED_VALUE"""),14.1)</f>
        <v>14.1</v>
      </c>
      <c r="L55" s="35" t="str">
        <f>IFERROR(__xludf.DUMMYFUNCTION("""COMPUTED_VALUE"""),"%")</f>
        <v>%</v>
      </c>
      <c r="M55" s="36">
        <f>IFERROR(__xludf.DUMMYFUNCTION("""COMPUTED_VALUE"""),1.0)</f>
        <v>1</v>
      </c>
      <c r="N55" s="37" t="str">
        <f>IFERROR(__xludf.DUMMYFUNCTION("""COMPUTED_VALUE"""),"A304")</f>
        <v>A304</v>
      </c>
      <c r="O55" s="38" t="str">
        <f>IFERROR(__xludf.DUMMYFUNCTION("""COMPUTED_VALUE"""),"")</f>
        <v/>
      </c>
      <c r="P55" s="34">
        <f>IFERROR(__xludf.DUMMYFUNCTION("""COMPUTED_VALUE"""),77.8)</f>
        <v>77.8</v>
      </c>
      <c r="Q55" s="35" t="str">
        <f>IFERROR(__xludf.DUMMYFUNCTION("""COMPUTED_VALUE"""),"AP")</f>
        <v>AP</v>
      </c>
      <c r="R55" s="34">
        <f>IFERROR(__xludf.DUMMYFUNCTION("""COMPUTED_VALUE"""),9.0)</f>
        <v>9</v>
      </c>
      <c r="S55" s="35" t="str">
        <f>IFERROR(__xludf.DUMMYFUNCTION("""COMPUTED_VALUE"""),"%")</f>
        <v>%</v>
      </c>
      <c r="T55" s="36">
        <f>IFERROR(__xludf.DUMMYFUNCTION("""COMPUTED_VALUE"""),2.0)</f>
        <v>2</v>
      </c>
      <c r="U55" s="37"/>
      <c r="V55" s="38"/>
      <c r="W55" s="34" t="str">
        <f>IFERROR(__xludf.DUMMYFUNCTION("""COMPUTED_VALUE"""),"")</f>
        <v/>
      </c>
      <c r="X55" s="35" t="str">
        <f>IFERROR(__xludf.DUMMYFUNCTION("""COMPUTED_VALUE"""),"AP")</f>
        <v>AP</v>
      </c>
      <c r="Y55" s="34" t="str">
        <f>IFERROR(__xludf.DUMMYFUNCTION("""COMPUTED_VALUE"""),"")</f>
        <v/>
      </c>
      <c r="Z55" s="35" t="str">
        <f>IFERROR(__xludf.DUMMYFUNCTION("""COMPUTED_VALUE"""),"%")</f>
        <v>%</v>
      </c>
      <c r="AA55" s="36">
        <f>IFERROR(__xludf.DUMMYFUNCTION("""COMPUTED_VALUE"""),3.0)</f>
        <v>3</v>
      </c>
      <c r="AB55" s="37"/>
      <c r="AC55" s="38"/>
      <c r="AD55" s="34" t="str">
        <f>IFERROR(__xludf.DUMMYFUNCTION("""COMPUTED_VALUE"""),"")</f>
        <v/>
      </c>
      <c r="AE55" s="35" t="str">
        <f>IFERROR(__xludf.DUMMYFUNCTION("""COMPUTED_VALUE"""),"AP")</f>
        <v>AP</v>
      </c>
      <c r="AF55" s="34" t="str">
        <f>IFERROR(__xludf.DUMMYFUNCTION("""COMPUTED_VALUE"""),"")</f>
        <v/>
      </c>
      <c r="AG55" s="35" t="str">
        <f>IFERROR(__xludf.DUMMYFUNCTION("""COMPUTED_VALUE"""),"%")</f>
        <v>%</v>
      </c>
      <c r="AH55" s="31">
        <f>IFERROR(__xludf.DUMMYFUNCTION("""COMPUTED_VALUE"""),7.0)</f>
        <v>7</v>
      </c>
      <c r="AI55" s="32">
        <f>IFERROR(__xludf.DUMMYFUNCTION("""COMPUTED_VALUE"""),1515.0)</f>
        <v>1515</v>
      </c>
      <c r="AJ55" s="39" t="str">
        <f>IFERROR(__xludf.DUMMYFUNCTION("""COMPUTED_VALUE"""),"ティエール")</f>
        <v>ティエール</v>
      </c>
    </row>
    <row r="56" ht="24.75" customHeight="1">
      <c r="A56" s="40">
        <f>IFERROR(__xludf.DUMMYFUNCTION("""COMPUTED_VALUE"""),8.0)</f>
        <v>8</v>
      </c>
      <c r="B56" s="40" t="str">
        <f>IFERROR(__xludf.DUMMYFUNCTION("""COMPUTED_VALUE"""),"A303")</f>
        <v>A303</v>
      </c>
      <c r="C56" s="40" t="str">
        <f>IFERROR(__xludf.DUMMYFUNCTION("""COMPUTED_VALUE"""),"AGT1")</f>
        <v>AGT1</v>
      </c>
      <c r="D56" s="41" t="str">
        <f>IFERROR(__xludf.DUMMYFUNCTION("""COMPUTED_VALUE"""),"Agartha")</f>
        <v>Agartha</v>
      </c>
      <c r="E56" s="42" t="str">
        <f>IFERROR(__xludf.DUMMYFUNCTION("""COMPUTED_VALUE"""),"Underground Plains")</f>
        <v>Underground Plains</v>
      </c>
      <c r="F56" s="43">
        <f>IFERROR(__xludf.DUMMYFUNCTION("""COMPUTED_VALUE"""),20.0)</f>
        <v>20</v>
      </c>
      <c r="G56" s="44">
        <f>IFERROR(__xludf.DUMMYFUNCTION("""COMPUTED_VALUE"""),26340.0)</f>
        <v>26340</v>
      </c>
      <c r="H56" s="33" t="str">
        <f>IFERROR(__xludf.DUMMYFUNCTION("""COMPUTED_VALUE"""),"")</f>
        <v/>
      </c>
      <c r="I56" s="45">
        <f>IFERROR(__xludf.DUMMYFUNCTION("""COMPUTED_VALUE"""),50.1)</f>
        <v>50.1</v>
      </c>
      <c r="J56" s="46" t="str">
        <f>IFERROR(__xludf.DUMMYFUNCTION("""COMPUTED_VALUE"""),"AP")</f>
        <v>AP</v>
      </c>
      <c r="K56" s="47">
        <f>IFERROR(__xludf.DUMMYFUNCTION("""COMPUTED_VALUE"""),39.9)</f>
        <v>39.9</v>
      </c>
      <c r="L56" s="48" t="str">
        <f>IFERROR(__xludf.DUMMYFUNCTION("""COMPUTED_VALUE"""),"%")</f>
        <v>%</v>
      </c>
      <c r="M56" s="49">
        <f>IFERROR(__xludf.DUMMYFUNCTION("""COMPUTED_VALUE"""),1.0)</f>
        <v>1</v>
      </c>
      <c r="N56" s="50" t="str">
        <f>IFERROR(__xludf.DUMMYFUNCTION("""COMPUTED_VALUE"""),"A101")</f>
        <v>A101</v>
      </c>
      <c r="O56" s="38" t="str">
        <f>IFERROR(__xludf.DUMMYFUNCTION("""COMPUTED_VALUE"""),"")</f>
        <v/>
      </c>
      <c r="P56" s="45">
        <f>IFERROR(__xludf.DUMMYFUNCTION("""COMPUTED_VALUE"""),97.5)</f>
        <v>97.5</v>
      </c>
      <c r="Q56" s="46" t="str">
        <f>IFERROR(__xludf.DUMMYFUNCTION("""COMPUTED_VALUE"""),"AP")</f>
        <v>AP</v>
      </c>
      <c r="R56" s="47">
        <f>IFERROR(__xludf.DUMMYFUNCTION("""COMPUTED_VALUE"""),20.4999999)</f>
        <v>20.4999999</v>
      </c>
      <c r="S56" s="48" t="str">
        <f>IFERROR(__xludf.DUMMYFUNCTION("""COMPUTED_VALUE"""),"%")</f>
        <v>%</v>
      </c>
      <c r="T56" s="49">
        <f>IFERROR(__xludf.DUMMYFUNCTION("""COMPUTED_VALUE"""),2.0)</f>
        <v>2</v>
      </c>
      <c r="U56" s="50" t="str">
        <f>IFERROR(__xludf.DUMMYFUNCTION("""COMPUTED_VALUE"""),"B107")</f>
        <v>B107</v>
      </c>
      <c r="V56" s="38" t="str">
        <f>IFERROR(__xludf.DUMMYFUNCTION("""COMPUTED_VALUE"""),"")</f>
        <v/>
      </c>
      <c r="W56" s="45">
        <f>IFERROR(__xludf.DUMMYFUNCTION("""COMPUTED_VALUE"""),393.1)</f>
        <v>393.1</v>
      </c>
      <c r="X56" s="46" t="str">
        <f>IFERROR(__xludf.DUMMYFUNCTION("""COMPUTED_VALUE"""),"AP")</f>
        <v>AP</v>
      </c>
      <c r="Y56" s="47">
        <f>IFERROR(__xludf.DUMMYFUNCTION("""COMPUTED_VALUE"""),5.1)</f>
        <v>5.1</v>
      </c>
      <c r="Z56" s="48" t="str">
        <f>IFERROR(__xludf.DUMMYFUNCTION("""COMPUTED_VALUE"""),"%")</f>
        <v>%</v>
      </c>
      <c r="AA56" s="49">
        <f>IFERROR(__xludf.DUMMYFUNCTION("""COMPUTED_VALUE"""),3.0)</f>
        <v>3</v>
      </c>
      <c r="AB56" s="50"/>
      <c r="AC56" s="38"/>
      <c r="AD56" s="45" t="str">
        <f>IFERROR(__xludf.DUMMYFUNCTION("""COMPUTED_VALUE"""),"")</f>
        <v/>
      </c>
      <c r="AE56" s="46" t="str">
        <f>IFERROR(__xludf.DUMMYFUNCTION("""COMPUTED_VALUE"""),"AP")</f>
        <v>AP</v>
      </c>
      <c r="AF56" s="47" t="str">
        <f>IFERROR(__xludf.DUMMYFUNCTION("""COMPUTED_VALUE"""),"")</f>
        <v/>
      </c>
      <c r="AG56" s="48" t="str">
        <f>IFERROR(__xludf.DUMMYFUNCTION("""COMPUTED_VALUE"""),"%")</f>
        <v>%</v>
      </c>
      <c r="AH56" s="43">
        <f>IFERROR(__xludf.DUMMYFUNCTION("""COMPUTED_VALUE"""),20.0)</f>
        <v>20</v>
      </c>
      <c r="AI56" s="44">
        <f>IFERROR(__xludf.DUMMYFUNCTION("""COMPUTED_VALUE"""),26340.0)</f>
        <v>26340</v>
      </c>
      <c r="AJ56" s="51" t="str">
        <f>IFERROR(__xludf.DUMMYFUNCTION("""COMPUTED_VALUE"""),"地底平原")</f>
        <v>地底平原</v>
      </c>
    </row>
    <row r="57" ht="24.75" customHeight="1">
      <c r="A57" s="28">
        <f>IFERROR(__xludf.DUMMYFUNCTION("""COMPUTED_VALUE"""),9.0)</f>
        <v>9</v>
      </c>
      <c r="B57" s="28" t="str">
        <f>IFERROR(__xludf.DUMMYFUNCTION("""COMPUTED_VALUE"""),"A303")</f>
        <v>A303</v>
      </c>
      <c r="C57" s="28" t="str">
        <f>IFERROR(__xludf.DUMMYFUNCTION("""COMPUTED_VALUE"""),"HEA10")</f>
        <v>HEA10</v>
      </c>
      <c r="D57" s="29" t="str">
        <f>IFERROR(__xludf.DUMMYFUNCTION("""COMPUTED_VALUE"""),"Heian-kyo")</f>
        <v>Heian-kyo</v>
      </c>
      <c r="E57" s="30" t="str">
        <f>IFERROR(__xludf.DUMMYFUNCTION("""COMPUTED_VALUE"""),"Raikou's Residence")</f>
        <v>Raikou's Residence</v>
      </c>
      <c r="F57" s="31">
        <f>IFERROR(__xludf.DUMMYFUNCTION("""COMPUTED_VALUE"""),21.0)</f>
        <v>21</v>
      </c>
      <c r="G57" s="32">
        <f>IFERROR(__xludf.DUMMYFUNCTION("""COMPUTED_VALUE"""),1605.0)</f>
        <v>1605</v>
      </c>
      <c r="H57" s="33" t="str">
        <f>IFERROR(__xludf.DUMMYFUNCTION("""COMPUTED_VALUE"""),"")</f>
        <v/>
      </c>
      <c r="I57" s="34">
        <f>IFERROR(__xludf.DUMMYFUNCTION("""COMPUTED_VALUE"""),51.9)</f>
        <v>51.9</v>
      </c>
      <c r="J57" s="35" t="str">
        <f>IFERROR(__xludf.DUMMYFUNCTION("""COMPUTED_VALUE"""),"AP")</f>
        <v>AP</v>
      </c>
      <c r="K57" s="34">
        <f>IFERROR(__xludf.DUMMYFUNCTION("""COMPUTED_VALUE"""),40.4)</f>
        <v>40.4</v>
      </c>
      <c r="L57" s="35" t="str">
        <f>IFERROR(__xludf.DUMMYFUNCTION("""COMPUTED_VALUE"""),"%")</f>
        <v>%</v>
      </c>
      <c r="M57" s="36">
        <f>IFERROR(__xludf.DUMMYFUNCTION("""COMPUTED_VALUE"""),1.0)</f>
        <v>1</v>
      </c>
      <c r="N57" s="37" t="str">
        <f>IFERROR(__xludf.DUMMYFUNCTION("""COMPUTED_VALUE"""),"A114")</f>
        <v>A114</v>
      </c>
      <c r="O57" s="38" t="str">
        <f>IFERROR(__xludf.DUMMYFUNCTION("""COMPUTED_VALUE"""),"")</f>
        <v/>
      </c>
      <c r="P57" s="34">
        <f>IFERROR(__xludf.DUMMYFUNCTION("""COMPUTED_VALUE"""),166.9)</f>
        <v>166.9</v>
      </c>
      <c r="Q57" s="35" t="str">
        <f>IFERROR(__xludf.DUMMYFUNCTION("""COMPUTED_VALUE"""),"AP")</f>
        <v>AP</v>
      </c>
      <c r="R57" s="34">
        <f>IFERROR(__xludf.DUMMYFUNCTION("""COMPUTED_VALUE"""),12.6)</f>
        <v>12.6</v>
      </c>
      <c r="S57" s="35" t="str">
        <f>IFERROR(__xludf.DUMMYFUNCTION("""COMPUTED_VALUE"""),"%")</f>
        <v>%</v>
      </c>
      <c r="T57" s="36">
        <f>IFERROR(__xludf.DUMMYFUNCTION("""COMPUTED_VALUE"""),2.0)</f>
        <v>2</v>
      </c>
      <c r="U57" s="37" t="str">
        <f>IFERROR(__xludf.DUMMYFUNCTION("""COMPUTED_VALUE"""),"B106")</f>
        <v>B106</v>
      </c>
      <c r="V57" s="38" t="str">
        <f>IFERROR(__xludf.DUMMYFUNCTION("""COMPUTED_VALUE"""),"")</f>
        <v/>
      </c>
      <c r="W57" s="34">
        <f>IFERROR(__xludf.DUMMYFUNCTION("""COMPUTED_VALUE"""),548.6)</f>
        <v>548.6</v>
      </c>
      <c r="X57" s="35" t="str">
        <f>IFERROR(__xludf.DUMMYFUNCTION("""COMPUTED_VALUE"""),"AP")</f>
        <v>AP</v>
      </c>
      <c r="Y57" s="34">
        <f>IFERROR(__xludf.DUMMYFUNCTION("""COMPUTED_VALUE"""),3.8)</f>
        <v>3.8</v>
      </c>
      <c r="Z57" s="35" t="str">
        <f>IFERROR(__xludf.DUMMYFUNCTION("""COMPUTED_VALUE"""),"%")</f>
        <v>%</v>
      </c>
      <c r="AA57" s="36">
        <f>IFERROR(__xludf.DUMMYFUNCTION("""COMPUTED_VALUE"""),3.0)</f>
        <v>3</v>
      </c>
      <c r="AB57" s="37"/>
      <c r="AC57" s="38"/>
      <c r="AD57" s="34" t="str">
        <f>IFERROR(__xludf.DUMMYFUNCTION("""COMPUTED_VALUE"""),"")</f>
        <v/>
      </c>
      <c r="AE57" s="35" t="str">
        <f>IFERROR(__xludf.DUMMYFUNCTION("""COMPUTED_VALUE"""),"AP")</f>
        <v>AP</v>
      </c>
      <c r="AF57" s="34" t="str">
        <f>IFERROR(__xludf.DUMMYFUNCTION("""COMPUTED_VALUE"""),"")</f>
        <v/>
      </c>
      <c r="AG57" s="35" t="str">
        <f>IFERROR(__xludf.DUMMYFUNCTION("""COMPUTED_VALUE"""),"%")</f>
        <v>%</v>
      </c>
      <c r="AH57" s="31">
        <f>IFERROR(__xludf.DUMMYFUNCTION("""COMPUTED_VALUE"""),21.0)</f>
        <v>21</v>
      </c>
      <c r="AI57" s="32">
        <f>IFERROR(__xludf.DUMMYFUNCTION("""COMPUTED_VALUE"""),1605.0)</f>
        <v>1605</v>
      </c>
      <c r="AJ57" s="39" t="str">
        <f>IFERROR(__xludf.DUMMYFUNCTION("""COMPUTED_VALUE"""),"頼光の屋敷")</f>
        <v>頼光の屋敷</v>
      </c>
    </row>
    <row r="58" ht="24.75" customHeight="1">
      <c r="A58" s="40">
        <f>IFERROR(__xludf.DUMMYFUNCTION("""COMPUTED_VALUE"""),10.0)</f>
        <v>10</v>
      </c>
      <c r="B58" s="40" t="str">
        <f>IFERROR(__xludf.DUMMYFUNCTION("""COMPUTED_VALUE"""),"A303")</f>
        <v>A303</v>
      </c>
      <c r="C58" s="40" t="str">
        <f>IFERROR(__xludf.DUMMYFUNCTION("""COMPUTED_VALUE"""),"SLM11")</f>
        <v>SLM11</v>
      </c>
      <c r="D58" s="41" t="str">
        <f>IFERROR(__xludf.DUMMYFUNCTION("""COMPUTED_VALUE"""),"Salem")</f>
        <v>Salem</v>
      </c>
      <c r="E58" s="42" t="str">
        <f>IFERROR(__xludf.DUMMYFUNCTION("""COMPUTED_VALUE"""),"Jail")</f>
        <v>Jail</v>
      </c>
      <c r="F58" s="43">
        <f>IFERROR(__xludf.DUMMYFUNCTION("""COMPUTED_VALUE"""),21.0)</f>
        <v>21</v>
      </c>
      <c r="G58" s="44">
        <f>IFERROR(__xludf.DUMMYFUNCTION("""COMPUTED_VALUE"""),2710.0)</f>
        <v>2710</v>
      </c>
      <c r="H58" s="33" t="str">
        <f>IFERROR(__xludf.DUMMYFUNCTION("""COMPUTED_VALUE"""),"")</f>
        <v/>
      </c>
      <c r="I58" s="45">
        <f>IFERROR(__xludf.DUMMYFUNCTION("""COMPUTED_VALUE"""),52.7)</f>
        <v>52.7</v>
      </c>
      <c r="J58" s="46" t="str">
        <f>IFERROR(__xludf.DUMMYFUNCTION("""COMPUTED_VALUE"""),"AP")</f>
        <v>AP</v>
      </c>
      <c r="K58" s="47">
        <f>IFERROR(__xludf.DUMMYFUNCTION("""COMPUTED_VALUE"""),39.9)</f>
        <v>39.9</v>
      </c>
      <c r="L58" s="48" t="str">
        <f>IFERROR(__xludf.DUMMYFUNCTION("""COMPUTED_VALUE"""),"%")</f>
        <v>%</v>
      </c>
      <c r="M58" s="49">
        <f>IFERROR(__xludf.DUMMYFUNCTION("""COMPUTED_VALUE"""),1.0)</f>
        <v>1</v>
      </c>
      <c r="N58" s="50" t="str">
        <f>IFERROR(__xludf.DUMMYFUNCTION("""COMPUTED_VALUE"""),"A108")</f>
        <v>A108</v>
      </c>
      <c r="O58" s="38" t="str">
        <f>IFERROR(__xludf.DUMMYFUNCTION("""COMPUTED_VALUE"""),"")</f>
        <v/>
      </c>
      <c r="P58" s="45">
        <f>IFERROR(__xludf.DUMMYFUNCTION("""COMPUTED_VALUE"""),100.0)</f>
        <v>100</v>
      </c>
      <c r="Q58" s="46" t="str">
        <f>IFERROR(__xludf.DUMMYFUNCTION("""COMPUTED_VALUE"""),"AP")</f>
        <v>AP</v>
      </c>
      <c r="R58" s="47">
        <f>IFERROR(__xludf.DUMMYFUNCTION("""COMPUTED_VALUE"""),21.0)</f>
        <v>21</v>
      </c>
      <c r="S58" s="48" t="str">
        <f>IFERROR(__xludf.DUMMYFUNCTION("""COMPUTED_VALUE"""),"%")</f>
        <v>%</v>
      </c>
      <c r="T58" s="49">
        <f>IFERROR(__xludf.DUMMYFUNCTION("""COMPUTED_VALUE"""),2.0)</f>
        <v>2</v>
      </c>
      <c r="U58" s="50" t="str">
        <f>IFERROR(__xludf.DUMMYFUNCTION("""COMPUTED_VALUE"""),"B115")</f>
        <v>B115</v>
      </c>
      <c r="V58" s="38" t="str">
        <f>IFERROR(__xludf.DUMMYFUNCTION("""COMPUTED_VALUE"""),"")</f>
        <v/>
      </c>
      <c r="W58" s="45">
        <f>IFERROR(__xludf.DUMMYFUNCTION("""COMPUTED_VALUE"""),275.4)</f>
        <v>275.4</v>
      </c>
      <c r="X58" s="46" t="str">
        <f>IFERROR(__xludf.DUMMYFUNCTION("""COMPUTED_VALUE"""),"AP")</f>
        <v>AP</v>
      </c>
      <c r="Y58" s="47">
        <f>IFERROR(__xludf.DUMMYFUNCTION("""COMPUTED_VALUE"""),7.6)</f>
        <v>7.6</v>
      </c>
      <c r="Z58" s="48" t="str">
        <f>IFERROR(__xludf.DUMMYFUNCTION("""COMPUTED_VALUE"""),"%")</f>
        <v>%</v>
      </c>
      <c r="AA58" s="49">
        <f>IFERROR(__xludf.DUMMYFUNCTION("""COMPUTED_VALUE"""),3.0)</f>
        <v>3</v>
      </c>
      <c r="AB58" s="50"/>
      <c r="AC58" s="38"/>
      <c r="AD58" s="45" t="str">
        <f>IFERROR(__xludf.DUMMYFUNCTION("""COMPUTED_VALUE"""),"")</f>
        <v/>
      </c>
      <c r="AE58" s="46" t="str">
        <f>IFERROR(__xludf.DUMMYFUNCTION("""COMPUTED_VALUE"""),"AP")</f>
        <v>AP</v>
      </c>
      <c r="AF58" s="47" t="str">
        <f>IFERROR(__xludf.DUMMYFUNCTION("""COMPUTED_VALUE"""),"")</f>
        <v/>
      </c>
      <c r="AG58" s="48" t="str">
        <f>IFERROR(__xludf.DUMMYFUNCTION("""COMPUTED_VALUE"""),"%")</f>
        <v>%</v>
      </c>
      <c r="AH58" s="43">
        <f>IFERROR(__xludf.DUMMYFUNCTION("""COMPUTED_VALUE"""),21.0)</f>
        <v>21</v>
      </c>
      <c r="AI58" s="44">
        <f>IFERROR(__xludf.DUMMYFUNCTION("""COMPUTED_VALUE"""),2710.0)</f>
        <v>2710</v>
      </c>
      <c r="AJ58" s="51" t="str">
        <f>IFERROR(__xludf.DUMMYFUNCTION("""COMPUTED_VALUE"""),"留置所")</f>
        <v>留置所</v>
      </c>
    </row>
    <row r="59" ht="24.75" customHeight="1">
      <c r="A59" s="28">
        <f>IFERROR(__xludf.DUMMYFUNCTION("""COMPUTED_VALUE"""),11.0)</f>
        <v>11</v>
      </c>
      <c r="B59" s="28" t="str">
        <f>IFERROR(__xludf.DUMMYFUNCTION("""COMPUTED_VALUE"""),"A303")</f>
        <v>A303</v>
      </c>
      <c r="C59" s="28" t="str">
        <f>IFERROR(__xludf.DUMMYFUNCTION("""COMPUTED_VALUE"""),"ORL3")</f>
        <v>ORL3</v>
      </c>
      <c r="D59" s="29" t="str">
        <f>IFERROR(__xludf.DUMMYFUNCTION("""COMPUTED_VALUE"""),"Orleans")</f>
        <v>Orleans</v>
      </c>
      <c r="E59" s="30" t="str">
        <f>IFERROR(__xludf.DUMMYFUNCTION("""COMPUTED_VALUE"""),"La Charite")</f>
        <v>La Charite</v>
      </c>
      <c r="F59" s="31">
        <f>IFERROR(__xludf.DUMMYFUNCTION("""COMPUTED_VALUE"""),7.0)</f>
        <v>7</v>
      </c>
      <c r="G59" s="32">
        <f>IFERROR(__xludf.DUMMYFUNCTION("""COMPUTED_VALUE"""),1020.0)</f>
        <v>1020</v>
      </c>
      <c r="H59" s="33" t="str">
        <f>IFERROR(__xludf.DUMMYFUNCTION("""COMPUTED_VALUE"""),"")</f>
        <v/>
      </c>
      <c r="I59" s="34">
        <f>IFERROR(__xludf.DUMMYFUNCTION("""COMPUTED_VALUE"""),60.5)</f>
        <v>60.5</v>
      </c>
      <c r="J59" s="35" t="str">
        <f>IFERROR(__xludf.DUMMYFUNCTION("""COMPUTED_VALUE"""),"AP")</f>
        <v>AP</v>
      </c>
      <c r="K59" s="34">
        <f>IFERROR(__xludf.DUMMYFUNCTION("""COMPUTED_VALUE"""),11.6)</f>
        <v>11.6</v>
      </c>
      <c r="L59" s="35" t="str">
        <f>IFERROR(__xludf.DUMMYFUNCTION("""COMPUTED_VALUE"""),"%")</f>
        <v>%</v>
      </c>
      <c r="M59" s="36">
        <f>IFERROR(__xludf.DUMMYFUNCTION("""COMPUTED_VALUE"""),1.0)</f>
        <v>1</v>
      </c>
      <c r="N59" s="37" t="str">
        <f>IFERROR(__xludf.DUMMYFUNCTION("""COMPUTED_VALUE"""),"A301")</f>
        <v>A301</v>
      </c>
      <c r="O59" s="38" t="str">
        <f>IFERROR(__xludf.DUMMYFUNCTION("""COMPUTED_VALUE"""),"")</f>
        <v/>
      </c>
      <c r="P59" s="34">
        <f>IFERROR(__xludf.DUMMYFUNCTION("""COMPUTED_VALUE"""),121.0)</f>
        <v>121</v>
      </c>
      <c r="Q59" s="35" t="str">
        <f>IFERROR(__xludf.DUMMYFUNCTION("""COMPUTED_VALUE"""),"AP")</f>
        <v>AP</v>
      </c>
      <c r="R59" s="34">
        <f>IFERROR(__xludf.DUMMYFUNCTION("""COMPUTED_VALUE"""),5.8)</f>
        <v>5.8</v>
      </c>
      <c r="S59" s="35" t="str">
        <f>IFERROR(__xludf.DUMMYFUNCTION("""COMPUTED_VALUE"""),"%")</f>
        <v>%</v>
      </c>
      <c r="T59" s="36">
        <f>IFERROR(__xludf.DUMMYFUNCTION("""COMPUTED_VALUE"""),2.0)</f>
        <v>2</v>
      </c>
      <c r="U59" s="37"/>
      <c r="V59" s="38"/>
      <c r="W59" s="34" t="str">
        <f>IFERROR(__xludf.DUMMYFUNCTION("""COMPUTED_VALUE"""),"")</f>
        <v/>
      </c>
      <c r="X59" s="35" t="str">
        <f>IFERROR(__xludf.DUMMYFUNCTION("""COMPUTED_VALUE"""),"AP")</f>
        <v>AP</v>
      </c>
      <c r="Y59" s="34" t="str">
        <f>IFERROR(__xludf.DUMMYFUNCTION("""COMPUTED_VALUE"""),"")</f>
        <v/>
      </c>
      <c r="Z59" s="35" t="str">
        <f>IFERROR(__xludf.DUMMYFUNCTION("""COMPUTED_VALUE"""),"%")</f>
        <v>%</v>
      </c>
      <c r="AA59" s="36">
        <f>IFERROR(__xludf.DUMMYFUNCTION("""COMPUTED_VALUE"""),3.0)</f>
        <v>3</v>
      </c>
      <c r="AB59" s="37"/>
      <c r="AC59" s="38"/>
      <c r="AD59" s="34" t="str">
        <f>IFERROR(__xludf.DUMMYFUNCTION("""COMPUTED_VALUE"""),"")</f>
        <v/>
      </c>
      <c r="AE59" s="35" t="str">
        <f>IFERROR(__xludf.DUMMYFUNCTION("""COMPUTED_VALUE"""),"AP")</f>
        <v>AP</v>
      </c>
      <c r="AF59" s="34" t="str">
        <f>IFERROR(__xludf.DUMMYFUNCTION("""COMPUTED_VALUE"""),"")</f>
        <v/>
      </c>
      <c r="AG59" s="35" t="str">
        <f>IFERROR(__xludf.DUMMYFUNCTION("""COMPUTED_VALUE"""),"%")</f>
        <v>%</v>
      </c>
      <c r="AH59" s="31">
        <f>IFERROR(__xludf.DUMMYFUNCTION("""COMPUTED_VALUE"""),7.0)</f>
        <v>7</v>
      </c>
      <c r="AI59" s="32">
        <f>IFERROR(__xludf.DUMMYFUNCTION("""COMPUTED_VALUE"""),1020.0)</f>
        <v>1020</v>
      </c>
      <c r="AJ59" s="39" t="str">
        <f>IFERROR(__xludf.DUMMYFUNCTION("""COMPUTED_VALUE"""),"ラ・シャリテ")</f>
        <v>ラ・シャリテ</v>
      </c>
    </row>
    <row r="60" ht="24.75" customHeight="1">
      <c r="A60" s="40">
        <f>IFERROR(__xludf.DUMMYFUNCTION("""COMPUTED_VALUE"""),12.0)</f>
        <v>12</v>
      </c>
      <c r="B60" s="40" t="str">
        <f>IFERROR(__xludf.DUMMYFUNCTION("""COMPUTED_VALUE"""),"A303")</f>
        <v>A303</v>
      </c>
      <c r="C60" s="40" t="str">
        <f>IFERROR(__xludf.DUMMYFUNCTION("""COMPUTED_VALUE"""),"TRF13")</f>
        <v>TRF13</v>
      </c>
      <c r="D60" s="41" t="str">
        <f>IFERROR(__xludf.DUMMYFUNCTION("""COMPUTED_VALUE"""),"Chaldea Gate (Thu)")</f>
        <v>Chaldea Gate (Thu)</v>
      </c>
      <c r="E60" s="42" t="str">
        <f>IFERROR(__xludf.DUMMYFUNCTION("""COMPUTED_VALUE"""),"THU Rider Training Ground- Nov")</f>
        <v>THU Rider Training Ground- Nov</v>
      </c>
      <c r="F60" s="43">
        <f>IFERROR(__xludf.DUMMYFUNCTION("""COMPUTED_VALUE"""),10.0)</f>
        <v>10</v>
      </c>
      <c r="G60" s="44">
        <f>IFERROR(__xludf.DUMMYFUNCTION("""COMPUTED_VALUE"""),1000.0)</f>
        <v>1000</v>
      </c>
      <c r="H60" s="33" t="str">
        <f>IFERROR(__xludf.DUMMYFUNCTION("""COMPUTED_VALUE"""),"")</f>
        <v/>
      </c>
      <c r="I60" s="45">
        <f>IFERROR(__xludf.DUMMYFUNCTION("""COMPUTED_VALUE"""),61.6)</f>
        <v>61.6</v>
      </c>
      <c r="J60" s="46" t="str">
        <f>IFERROR(__xludf.DUMMYFUNCTION("""COMPUTED_VALUE"""),"AP")</f>
        <v>AP</v>
      </c>
      <c r="K60" s="47">
        <f>IFERROR(__xludf.DUMMYFUNCTION("""COMPUTED_VALUE"""),16.2)</f>
        <v>16.2</v>
      </c>
      <c r="L60" s="48" t="str">
        <f>IFERROR(__xludf.DUMMYFUNCTION("""COMPUTED_VALUE"""),"%")</f>
        <v>%</v>
      </c>
      <c r="M60" s="49">
        <f>IFERROR(__xludf.DUMMYFUNCTION("""COMPUTED_VALUE"""),1.0)</f>
        <v>1</v>
      </c>
      <c r="N60" s="50" t="str">
        <f>IFERROR(__xludf.DUMMYFUNCTION("""COMPUTED_VALUE"""),"A209")</f>
        <v>A209</v>
      </c>
      <c r="O60" s="38" t="str">
        <f>IFERROR(__xludf.DUMMYFUNCTION("""COMPUTED_VALUE"""),"")</f>
        <v/>
      </c>
      <c r="P60" s="45">
        <f>IFERROR(__xludf.DUMMYFUNCTION("""COMPUTED_VALUE"""),199.6)</f>
        <v>199.6</v>
      </c>
      <c r="Q60" s="46" t="str">
        <f>IFERROR(__xludf.DUMMYFUNCTION("""COMPUTED_VALUE"""),"AP")</f>
        <v>AP</v>
      </c>
      <c r="R60" s="47">
        <f>IFERROR(__xludf.DUMMYFUNCTION("""COMPUTED_VALUE"""),5.0)</f>
        <v>5</v>
      </c>
      <c r="S60" s="48" t="str">
        <f>IFERROR(__xludf.DUMMYFUNCTION("""COMPUTED_VALUE"""),"%")</f>
        <v>%</v>
      </c>
      <c r="T60" s="49">
        <f>IFERROR(__xludf.DUMMYFUNCTION("""COMPUTED_VALUE"""),2.0)</f>
        <v>2</v>
      </c>
      <c r="U60" s="50" t="str">
        <f>IFERROR(__xludf.DUMMYFUNCTION("""COMPUTED_VALUE"""),"A304")</f>
        <v>A304</v>
      </c>
      <c r="V60" s="38" t="str">
        <f>IFERROR(__xludf.DUMMYFUNCTION("""COMPUTED_VALUE"""),"")</f>
        <v/>
      </c>
      <c r="W60" s="45">
        <f>IFERROR(__xludf.DUMMYFUNCTION("""COMPUTED_VALUE"""),293.5)</f>
        <v>293.5</v>
      </c>
      <c r="X60" s="46" t="str">
        <f>IFERROR(__xludf.DUMMYFUNCTION("""COMPUTED_VALUE"""),"AP")</f>
        <v>AP</v>
      </c>
      <c r="Y60" s="47">
        <f>IFERROR(__xludf.DUMMYFUNCTION("""COMPUTED_VALUE"""),3.4)</f>
        <v>3.4</v>
      </c>
      <c r="Z60" s="48" t="str">
        <f>IFERROR(__xludf.DUMMYFUNCTION("""COMPUTED_VALUE"""),"%")</f>
        <v>%</v>
      </c>
      <c r="AA60" s="49">
        <f>IFERROR(__xludf.DUMMYFUNCTION("""COMPUTED_VALUE"""),3.0)</f>
        <v>3</v>
      </c>
      <c r="AB60" s="50"/>
      <c r="AC60" s="38"/>
      <c r="AD60" s="45" t="str">
        <f>IFERROR(__xludf.DUMMYFUNCTION("""COMPUTED_VALUE"""),"")</f>
        <v/>
      </c>
      <c r="AE60" s="46" t="str">
        <f>IFERROR(__xludf.DUMMYFUNCTION("""COMPUTED_VALUE"""),"AP")</f>
        <v>AP</v>
      </c>
      <c r="AF60" s="47" t="str">
        <f>IFERROR(__xludf.DUMMYFUNCTION("""COMPUTED_VALUE"""),"")</f>
        <v/>
      </c>
      <c r="AG60" s="48" t="str">
        <f>IFERROR(__xludf.DUMMYFUNCTION("""COMPUTED_VALUE"""),"%")</f>
        <v>%</v>
      </c>
      <c r="AH60" s="43">
        <f>IFERROR(__xludf.DUMMYFUNCTION("""COMPUTED_VALUE"""),10.0)</f>
        <v>10</v>
      </c>
      <c r="AI60" s="44">
        <f>IFERROR(__xludf.DUMMYFUNCTION("""COMPUTED_VALUE"""),1000.0)</f>
        <v>1000</v>
      </c>
      <c r="AJ60" s="51" t="str">
        <f>IFERROR(__xludf.DUMMYFUNCTION("""COMPUTED_VALUE"""),"騎初級")</f>
        <v>騎初級</v>
      </c>
    </row>
    <row r="61" ht="24.75" customHeight="1">
      <c r="A61" s="28">
        <f>IFERROR(__xludf.DUMMYFUNCTION("""COMPUTED_VALUE"""),13.0)</f>
        <v>13</v>
      </c>
      <c r="B61" s="28" t="str">
        <f>IFERROR(__xludf.DUMMYFUNCTION("""COMPUTED_VALUE"""),"A303")</f>
        <v>A303</v>
      </c>
      <c r="C61" s="28" t="str">
        <f>IFERROR(__xludf.DUMMYFUNCTION("""COMPUTED_VALUE"""),"TRF15")</f>
        <v>TRF15</v>
      </c>
      <c r="D61" s="29" t="str">
        <f>IFERROR(__xludf.DUMMYFUNCTION("""COMPUTED_VALUE"""),"Chaldea Gate (Thu)")</f>
        <v>Chaldea Gate (Thu)</v>
      </c>
      <c r="E61" s="30" t="str">
        <f>IFERROR(__xludf.DUMMYFUNCTION("""COMPUTED_VALUE"""),"THU Rider Training Ground- Adv")</f>
        <v>THU Rider Training Ground- Adv</v>
      </c>
      <c r="F61" s="31">
        <f>IFERROR(__xludf.DUMMYFUNCTION("""COMPUTED_VALUE"""),30.0)</f>
        <v>30</v>
      </c>
      <c r="G61" s="32">
        <f>IFERROR(__xludf.DUMMYFUNCTION("""COMPUTED_VALUE"""),2151.0)</f>
        <v>2151</v>
      </c>
      <c r="H61" s="33" t="str">
        <f>IFERROR(__xludf.DUMMYFUNCTION("""COMPUTED_VALUE"""),"")</f>
        <v/>
      </c>
      <c r="I61" s="34">
        <f>IFERROR(__xludf.DUMMYFUNCTION("""COMPUTED_VALUE"""),65.6)</f>
        <v>65.6</v>
      </c>
      <c r="J61" s="35" t="str">
        <f>IFERROR(__xludf.DUMMYFUNCTION("""COMPUTED_VALUE"""),"AP")</f>
        <v>AP</v>
      </c>
      <c r="K61" s="34">
        <f>IFERROR(__xludf.DUMMYFUNCTION("""COMPUTED_VALUE"""),45.7)</f>
        <v>45.7</v>
      </c>
      <c r="L61" s="35" t="str">
        <f>IFERROR(__xludf.DUMMYFUNCTION("""COMPUTED_VALUE"""),"%")</f>
        <v>%</v>
      </c>
      <c r="M61" s="36">
        <f>IFERROR(__xludf.DUMMYFUNCTION("""COMPUTED_VALUE"""),1.0)</f>
        <v>1</v>
      </c>
      <c r="N61" s="37" t="str">
        <f>IFERROR(__xludf.DUMMYFUNCTION("""COMPUTED_VALUE"""),"A103")</f>
        <v>A103</v>
      </c>
      <c r="O61" s="38" t="str">
        <f>IFERROR(__xludf.DUMMYFUNCTION("""COMPUTED_VALUE"""),"")</f>
        <v/>
      </c>
      <c r="P61" s="34">
        <f>IFERROR(__xludf.DUMMYFUNCTION("""COMPUTED_VALUE"""),1019.5)</f>
        <v>1019.5</v>
      </c>
      <c r="Q61" s="35" t="str">
        <f>IFERROR(__xludf.DUMMYFUNCTION("""COMPUTED_VALUE"""),"AP")</f>
        <v>AP</v>
      </c>
      <c r="R61" s="34">
        <f>IFERROR(__xludf.DUMMYFUNCTION("""COMPUTED_VALUE"""),2.9)</f>
        <v>2.9</v>
      </c>
      <c r="S61" s="35" t="str">
        <f>IFERROR(__xludf.DUMMYFUNCTION("""COMPUTED_VALUE"""),"%")</f>
        <v>%</v>
      </c>
      <c r="T61" s="36">
        <f>IFERROR(__xludf.DUMMYFUNCTION("""COMPUTED_VALUE"""),2.0)</f>
        <v>2</v>
      </c>
      <c r="U61" s="37" t="str">
        <f>IFERROR(__xludf.DUMMYFUNCTION("""COMPUTED_VALUE"""),"A209")</f>
        <v>A209</v>
      </c>
      <c r="V61" s="38" t="str">
        <f>IFERROR(__xludf.DUMMYFUNCTION("""COMPUTED_VALUE"""),"")</f>
        <v/>
      </c>
      <c r="W61" s="34">
        <f>IFERROR(__xludf.DUMMYFUNCTION("""COMPUTED_VALUE"""),198.9)</f>
        <v>198.9</v>
      </c>
      <c r="X61" s="35" t="str">
        <f>IFERROR(__xludf.DUMMYFUNCTION("""COMPUTED_VALUE"""),"AP")</f>
        <v>AP</v>
      </c>
      <c r="Y61" s="34">
        <f>IFERROR(__xludf.DUMMYFUNCTION("""COMPUTED_VALUE"""),15.1)</f>
        <v>15.1</v>
      </c>
      <c r="Z61" s="35" t="str">
        <f>IFERROR(__xludf.DUMMYFUNCTION("""COMPUTED_VALUE"""),"%")</f>
        <v>%</v>
      </c>
      <c r="AA61" s="36">
        <f>IFERROR(__xludf.DUMMYFUNCTION("""COMPUTED_VALUE"""),3.0)</f>
        <v>3</v>
      </c>
      <c r="AB61" s="37" t="str">
        <f>IFERROR(__xludf.DUMMYFUNCTION("""COMPUTED_VALUE"""),"A304")</f>
        <v>A304</v>
      </c>
      <c r="AC61" s="38" t="str">
        <f>IFERROR(__xludf.DUMMYFUNCTION("""COMPUTED_VALUE"""),"")</f>
        <v/>
      </c>
      <c r="AD61" s="34">
        <f>IFERROR(__xludf.DUMMYFUNCTION("""COMPUTED_VALUE"""),233.0)</f>
        <v>233</v>
      </c>
      <c r="AE61" s="35" t="str">
        <f>IFERROR(__xludf.DUMMYFUNCTION("""COMPUTED_VALUE"""),"AP")</f>
        <v>AP</v>
      </c>
      <c r="AF61" s="34">
        <f>IFERROR(__xludf.DUMMYFUNCTION("""COMPUTED_VALUE"""),12.9)</f>
        <v>12.9</v>
      </c>
      <c r="AG61" s="35" t="str">
        <f>IFERROR(__xludf.DUMMYFUNCTION("""COMPUTED_VALUE"""),"%")</f>
        <v>%</v>
      </c>
      <c r="AH61" s="31">
        <f>IFERROR(__xludf.DUMMYFUNCTION("""COMPUTED_VALUE"""),30.0)</f>
        <v>30</v>
      </c>
      <c r="AI61" s="32">
        <f>IFERROR(__xludf.DUMMYFUNCTION("""COMPUTED_VALUE"""),2151.0)</f>
        <v>2151</v>
      </c>
      <c r="AJ61" s="39" t="str">
        <f>IFERROR(__xludf.DUMMYFUNCTION("""COMPUTED_VALUE"""),"騎上級")</f>
        <v>騎上級</v>
      </c>
    </row>
    <row r="62" ht="24.75" customHeight="1">
      <c r="A62" s="40">
        <f>IFERROR(__xludf.DUMMYFUNCTION("""COMPUTED_VALUE"""),14.0)</f>
        <v>14</v>
      </c>
      <c r="B62" s="40" t="str">
        <f>IFERROR(__xludf.DUMMYFUNCTION("""COMPUTED_VALUE"""),"A303")</f>
        <v>A303</v>
      </c>
      <c r="C62" s="40" t="str">
        <f>IFERROR(__xludf.DUMMYFUNCTION("""COMPUTED_VALUE"""),"FUY8")</f>
        <v>FUY8</v>
      </c>
      <c r="D62" s="41" t="str">
        <f>IFERROR(__xludf.DUMMYFUNCTION("""COMPUTED_VALUE"""),"Fuyuki")</f>
        <v>Fuyuki</v>
      </c>
      <c r="E62" s="42" t="str">
        <f>IFERROR(__xludf.DUMMYFUNCTION("""COMPUTED_VALUE"""),"Mobile Coordinate No.0")</f>
        <v>Mobile Coordinate No.0</v>
      </c>
      <c r="F62" s="43">
        <f>IFERROR(__xludf.DUMMYFUNCTION("""COMPUTED_VALUE"""),7.0)</f>
        <v>7</v>
      </c>
      <c r="G62" s="44">
        <f>IFERROR(__xludf.DUMMYFUNCTION("""COMPUTED_VALUE"""),1113.0)</f>
        <v>1113</v>
      </c>
      <c r="H62" s="33" t="str">
        <f>IFERROR(__xludf.DUMMYFUNCTION("""COMPUTED_VALUE"""),"")</f>
        <v/>
      </c>
      <c r="I62" s="45">
        <f>IFERROR(__xludf.DUMMYFUNCTION("""COMPUTED_VALUE"""),67.2)</f>
        <v>67.2</v>
      </c>
      <c r="J62" s="46" t="str">
        <f>IFERROR(__xludf.DUMMYFUNCTION("""COMPUTED_VALUE"""),"AP")</f>
        <v>AP</v>
      </c>
      <c r="K62" s="47">
        <f>IFERROR(__xludf.DUMMYFUNCTION("""COMPUTED_VALUE"""),10.4)</f>
        <v>10.4</v>
      </c>
      <c r="L62" s="48" t="str">
        <f>IFERROR(__xludf.DUMMYFUNCTION("""COMPUTED_VALUE"""),"%")</f>
        <v>%</v>
      </c>
      <c r="M62" s="49">
        <f>IFERROR(__xludf.DUMMYFUNCTION("""COMPUTED_VALUE"""),1.0)</f>
        <v>1</v>
      </c>
      <c r="N62" s="50" t="str">
        <f>IFERROR(__xludf.DUMMYFUNCTION("""COMPUTED_VALUE"""),"A304")</f>
        <v>A304</v>
      </c>
      <c r="O62" s="38" t="str">
        <f>IFERROR(__xludf.DUMMYFUNCTION("""COMPUTED_VALUE"""),"")</f>
        <v/>
      </c>
      <c r="P62" s="45">
        <f>IFERROR(__xludf.DUMMYFUNCTION("""COMPUTED_VALUE"""),76.4)</f>
        <v>76.4</v>
      </c>
      <c r="Q62" s="46" t="str">
        <f>IFERROR(__xludf.DUMMYFUNCTION("""COMPUTED_VALUE"""),"AP")</f>
        <v>AP</v>
      </c>
      <c r="R62" s="47">
        <f>IFERROR(__xludf.DUMMYFUNCTION("""COMPUTED_VALUE"""),9.2)</f>
        <v>9.2</v>
      </c>
      <c r="S62" s="48" t="str">
        <f>IFERROR(__xludf.DUMMYFUNCTION("""COMPUTED_VALUE"""),"%")</f>
        <v>%</v>
      </c>
      <c r="T62" s="49">
        <f>IFERROR(__xludf.DUMMYFUNCTION("""COMPUTED_VALUE"""),2.0)</f>
        <v>2</v>
      </c>
      <c r="U62" s="50"/>
      <c r="V62" s="38"/>
      <c r="W62" s="45" t="str">
        <f>IFERROR(__xludf.DUMMYFUNCTION("""COMPUTED_VALUE"""),"")</f>
        <v/>
      </c>
      <c r="X62" s="46" t="str">
        <f>IFERROR(__xludf.DUMMYFUNCTION("""COMPUTED_VALUE"""),"AP")</f>
        <v>AP</v>
      </c>
      <c r="Y62" s="47" t="str">
        <f>IFERROR(__xludf.DUMMYFUNCTION("""COMPUTED_VALUE"""),"")</f>
        <v/>
      </c>
      <c r="Z62" s="48" t="str">
        <f>IFERROR(__xludf.DUMMYFUNCTION("""COMPUTED_VALUE"""),"%")</f>
        <v>%</v>
      </c>
      <c r="AA62" s="49">
        <f>IFERROR(__xludf.DUMMYFUNCTION("""COMPUTED_VALUE"""),3.0)</f>
        <v>3</v>
      </c>
      <c r="AB62" s="50"/>
      <c r="AC62" s="38"/>
      <c r="AD62" s="45" t="str">
        <f>IFERROR(__xludf.DUMMYFUNCTION("""COMPUTED_VALUE"""),"")</f>
        <v/>
      </c>
      <c r="AE62" s="46" t="str">
        <f>IFERROR(__xludf.DUMMYFUNCTION("""COMPUTED_VALUE"""),"AP")</f>
        <v>AP</v>
      </c>
      <c r="AF62" s="47" t="str">
        <f>IFERROR(__xludf.DUMMYFUNCTION("""COMPUTED_VALUE"""),"")</f>
        <v/>
      </c>
      <c r="AG62" s="48" t="str">
        <f>IFERROR(__xludf.DUMMYFUNCTION("""COMPUTED_VALUE"""),"%")</f>
        <v>%</v>
      </c>
      <c r="AH62" s="43">
        <f>IFERROR(__xludf.DUMMYFUNCTION("""COMPUTED_VALUE"""),7.0)</f>
        <v>7</v>
      </c>
      <c r="AI62" s="44">
        <f>IFERROR(__xludf.DUMMYFUNCTION("""COMPUTED_VALUE"""),1113.0)</f>
        <v>1113</v>
      </c>
      <c r="AJ62" s="51" t="str">
        <f>IFERROR(__xludf.DUMMYFUNCTION("""COMPUTED_VALUE"""),"変動座標点0号（大空洞）")</f>
        <v>変動座標点0号（大空洞）</v>
      </c>
    </row>
    <row r="63" ht="24.75" customHeight="1">
      <c r="A63" s="28">
        <f>IFERROR(__xludf.DUMMYFUNCTION("""COMPUTED_VALUE"""),15.0)</f>
        <v>15</v>
      </c>
      <c r="B63" s="28" t="str">
        <f>IFERROR(__xludf.DUMMYFUNCTION("""COMPUTED_VALUE"""),"A303")</f>
        <v>A303</v>
      </c>
      <c r="C63" s="28" t="str">
        <f>IFERROR(__xludf.DUMMYFUNCTION("""COMPUTED_VALUE"""),"ORL9")</f>
        <v>ORL9</v>
      </c>
      <c r="D63" s="29" t="str">
        <f>IFERROR(__xludf.DUMMYFUNCTION("""COMPUTED_VALUE"""),"Orleans")</f>
        <v>Orleans</v>
      </c>
      <c r="E63" s="30" t="str">
        <f>IFERROR(__xludf.DUMMYFUNCTION("""COMPUTED_VALUE"""),"Orleans")</f>
        <v>Orleans</v>
      </c>
      <c r="F63" s="31">
        <f>IFERROR(__xludf.DUMMYFUNCTION("""COMPUTED_VALUE"""),8.0)</f>
        <v>8</v>
      </c>
      <c r="G63" s="32">
        <f>IFERROR(__xludf.DUMMYFUNCTION("""COMPUTED_VALUE"""),1211.0)</f>
        <v>1211</v>
      </c>
      <c r="H63" s="33" t="str">
        <f>IFERROR(__xludf.DUMMYFUNCTION("""COMPUTED_VALUE"""),"")</f>
        <v/>
      </c>
      <c r="I63" s="34">
        <f>IFERROR(__xludf.DUMMYFUNCTION("""COMPUTED_VALUE"""),76.3)</f>
        <v>76.3</v>
      </c>
      <c r="J63" s="35" t="str">
        <f>IFERROR(__xludf.DUMMYFUNCTION("""COMPUTED_VALUE"""),"AP")</f>
        <v>AP</v>
      </c>
      <c r="K63" s="34">
        <f>IFERROR(__xludf.DUMMYFUNCTION("""COMPUTED_VALUE"""),10.5)</f>
        <v>10.5</v>
      </c>
      <c r="L63" s="35" t="str">
        <f>IFERROR(__xludf.DUMMYFUNCTION("""COMPUTED_VALUE"""),"%")</f>
        <v>%</v>
      </c>
      <c r="M63" s="36">
        <f>IFERROR(__xludf.DUMMYFUNCTION("""COMPUTED_VALUE"""),1.0)</f>
        <v>1</v>
      </c>
      <c r="N63" s="37" t="str">
        <f>IFERROR(__xludf.DUMMYFUNCTION("""COMPUTED_VALUE"""),"A302")</f>
        <v>A302</v>
      </c>
      <c r="O63" s="38" t="str">
        <f>IFERROR(__xludf.DUMMYFUNCTION("""COMPUTED_VALUE"""),"")</f>
        <v/>
      </c>
      <c r="P63" s="34">
        <f>IFERROR(__xludf.DUMMYFUNCTION("""COMPUTED_VALUE"""),61.3)</f>
        <v>61.3</v>
      </c>
      <c r="Q63" s="35" t="str">
        <f>IFERROR(__xludf.DUMMYFUNCTION("""COMPUTED_VALUE"""),"AP")</f>
        <v>AP</v>
      </c>
      <c r="R63" s="34">
        <f>IFERROR(__xludf.DUMMYFUNCTION("""COMPUTED_VALUE"""),13.0)</f>
        <v>13</v>
      </c>
      <c r="S63" s="35" t="str">
        <f>IFERROR(__xludf.DUMMYFUNCTION("""COMPUTED_VALUE"""),"%")</f>
        <v>%</v>
      </c>
      <c r="T63" s="36">
        <f>IFERROR(__xludf.DUMMYFUNCTION("""COMPUTED_VALUE"""),2.0)</f>
        <v>2</v>
      </c>
      <c r="U63" s="37" t="str">
        <f>IFERROR(__xludf.DUMMYFUNCTION("""COMPUTED_VALUE"""),"A304")</f>
        <v>A304</v>
      </c>
      <c r="V63" s="38" t="str">
        <f>IFERROR(__xludf.DUMMYFUNCTION("""COMPUTED_VALUE"""),"")</f>
        <v/>
      </c>
      <c r="W63" s="34">
        <f>IFERROR(__xludf.DUMMYFUNCTION("""COMPUTED_VALUE"""),90.5)</f>
        <v>90.5</v>
      </c>
      <c r="X63" s="35" t="str">
        <f>IFERROR(__xludf.DUMMYFUNCTION("""COMPUTED_VALUE"""),"AP")</f>
        <v>AP</v>
      </c>
      <c r="Y63" s="34">
        <f>IFERROR(__xludf.DUMMYFUNCTION("""COMPUTED_VALUE"""),8.8)</f>
        <v>8.8</v>
      </c>
      <c r="Z63" s="35" t="str">
        <f>IFERROR(__xludf.DUMMYFUNCTION("""COMPUTED_VALUE"""),"%")</f>
        <v>%</v>
      </c>
      <c r="AA63" s="36">
        <f>IFERROR(__xludf.DUMMYFUNCTION("""COMPUTED_VALUE"""),3.0)</f>
        <v>3</v>
      </c>
      <c r="AB63" s="37" t="str">
        <f>IFERROR(__xludf.DUMMYFUNCTION("""COMPUTED_VALUE"""),"B114")</f>
        <v>B114</v>
      </c>
      <c r="AC63" s="38" t="str">
        <f>IFERROR(__xludf.DUMMYFUNCTION("""COMPUTED_VALUE"""),"")</f>
        <v/>
      </c>
      <c r="AD63" s="34">
        <f>IFERROR(__xludf.DUMMYFUNCTION("""COMPUTED_VALUE"""),138.4)</f>
        <v>138.4</v>
      </c>
      <c r="AE63" s="35" t="str">
        <f>IFERROR(__xludf.DUMMYFUNCTION("""COMPUTED_VALUE"""),"AP")</f>
        <v>AP</v>
      </c>
      <c r="AF63" s="34">
        <f>IFERROR(__xludf.DUMMYFUNCTION("""COMPUTED_VALUE"""),5.8)</f>
        <v>5.8</v>
      </c>
      <c r="AG63" s="35" t="str">
        <f>IFERROR(__xludf.DUMMYFUNCTION("""COMPUTED_VALUE"""),"%")</f>
        <v>%</v>
      </c>
      <c r="AH63" s="31">
        <f>IFERROR(__xludf.DUMMYFUNCTION("""COMPUTED_VALUE"""),8.0)</f>
        <v>8</v>
      </c>
      <c r="AI63" s="32">
        <f>IFERROR(__xludf.DUMMYFUNCTION("""COMPUTED_VALUE"""),1211.0)</f>
        <v>1211</v>
      </c>
      <c r="AJ63" s="39" t="str">
        <f>IFERROR(__xludf.DUMMYFUNCTION("""COMPUTED_VALUE"""),"オルレアン")</f>
        <v>オルレアン</v>
      </c>
    </row>
    <row r="64" ht="24.75" customHeight="1">
      <c r="A64" s="40">
        <f>IFERROR(__xludf.DUMMYFUNCTION("""COMPUTED_VALUE"""),16.0)</f>
        <v>16</v>
      </c>
      <c r="B64" s="40" t="str">
        <f>IFERROR(__xludf.DUMMYFUNCTION("""COMPUTED_VALUE"""),"A303")</f>
        <v>A303</v>
      </c>
      <c r="C64" s="40" t="str">
        <f>IFERROR(__xludf.DUMMYFUNCTION("""COMPUTED_VALUE"""),"TRF21")</f>
        <v>TRF21</v>
      </c>
      <c r="D64" s="41" t="str">
        <f>IFERROR(__xludf.DUMMYFUNCTION("""COMPUTED_VALUE"""),"Chaldea Gate (Sat)")</f>
        <v>Chaldea Gate (Sat)</v>
      </c>
      <c r="E64" s="42" t="str">
        <f>IFERROR(__xludf.DUMMYFUNCTION("""COMPUTED_VALUE"""),"SAT Assassin Training Ground- Nov")</f>
        <v>SAT Assassin Training Ground- Nov</v>
      </c>
      <c r="F64" s="43">
        <f>IFERROR(__xludf.DUMMYFUNCTION("""COMPUTED_VALUE"""),10.0)</f>
        <v>10</v>
      </c>
      <c r="G64" s="44">
        <f>IFERROR(__xludf.DUMMYFUNCTION("""COMPUTED_VALUE"""),1128.0)</f>
        <v>1128</v>
      </c>
      <c r="H64" s="33" t="str">
        <f>IFERROR(__xludf.DUMMYFUNCTION("""COMPUTED_VALUE"""),"")</f>
        <v/>
      </c>
      <c r="I64" s="45">
        <f>IFERROR(__xludf.DUMMYFUNCTION("""COMPUTED_VALUE"""),77.3)</f>
        <v>77.3</v>
      </c>
      <c r="J64" s="46" t="str">
        <f>IFERROR(__xludf.DUMMYFUNCTION("""COMPUTED_VALUE"""),"AP")</f>
        <v>AP</v>
      </c>
      <c r="K64" s="47">
        <f>IFERROR(__xludf.DUMMYFUNCTION("""COMPUTED_VALUE"""),12.9)</f>
        <v>12.9</v>
      </c>
      <c r="L64" s="48" t="str">
        <f>IFERROR(__xludf.DUMMYFUNCTION("""COMPUTED_VALUE"""),"%")</f>
        <v>%</v>
      </c>
      <c r="M64" s="49">
        <f>IFERROR(__xludf.DUMMYFUNCTION("""COMPUTED_VALUE"""),1.0)</f>
        <v>1</v>
      </c>
      <c r="N64" s="50" t="str">
        <f>IFERROR(__xludf.DUMMYFUNCTION("""COMPUTED_VALUE"""),"A202")</f>
        <v>A202</v>
      </c>
      <c r="O64" s="38" t="str">
        <f>IFERROR(__xludf.DUMMYFUNCTION("""COMPUTED_VALUE"""),"")</f>
        <v/>
      </c>
      <c r="P64" s="45">
        <f>IFERROR(__xludf.DUMMYFUNCTION("""COMPUTED_VALUE"""),372.5)</f>
        <v>372.5</v>
      </c>
      <c r="Q64" s="46" t="str">
        <f>IFERROR(__xludf.DUMMYFUNCTION("""COMPUTED_VALUE"""),"AP")</f>
        <v>AP</v>
      </c>
      <c r="R64" s="47">
        <f>IFERROR(__xludf.DUMMYFUNCTION("""COMPUTED_VALUE"""),2.7)</f>
        <v>2.7</v>
      </c>
      <c r="S64" s="48" t="str">
        <f>IFERROR(__xludf.DUMMYFUNCTION("""COMPUTED_VALUE"""),"%")</f>
        <v>%</v>
      </c>
      <c r="T64" s="49">
        <f>IFERROR(__xludf.DUMMYFUNCTION("""COMPUTED_VALUE"""),2.0)</f>
        <v>2</v>
      </c>
      <c r="U64" s="50" t="str">
        <f>IFERROR(__xludf.DUMMYFUNCTION("""COMPUTED_VALUE"""),"A206")</f>
        <v>A206</v>
      </c>
      <c r="V64" s="38" t="str">
        <f>IFERROR(__xludf.DUMMYFUNCTION("""COMPUTED_VALUE"""),"")</f>
        <v/>
      </c>
      <c r="W64" s="45">
        <f>IFERROR(__xludf.DUMMYFUNCTION("""COMPUTED_VALUE"""),107.9)</f>
        <v>107.9</v>
      </c>
      <c r="X64" s="46" t="str">
        <f>IFERROR(__xludf.DUMMYFUNCTION("""COMPUTED_VALUE"""),"AP")</f>
        <v>AP</v>
      </c>
      <c r="Y64" s="47">
        <f>IFERROR(__xludf.DUMMYFUNCTION("""COMPUTED_VALUE"""),9.3)</f>
        <v>9.3</v>
      </c>
      <c r="Z64" s="48" t="str">
        <f>IFERROR(__xludf.DUMMYFUNCTION("""COMPUTED_VALUE"""),"%")</f>
        <v>%</v>
      </c>
      <c r="AA64" s="49">
        <f>IFERROR(__xludf.DUMMYFUNCTION("""COMPUTED_VALUE"""),3.0)</f>
        <v>3</v>
      </c>
      <c r="AB64" s="50" t="str">
        <f>IFERROR(__xludf.DUMMYFUNCTION("""COMPUTED_VALUE"""),"A304")</f>
        <v>A304</v>
      </c>
      <c r="AC64" s="38" t="str">
        <f>IFERROR(__xludf.DUMMYFUNCTION("""COMPUTED_VALUE"""),"")</f>
        <v/>
      </c>
      <c r="AD64" s="45">
        <f>IFERROR(__xludf.DUMMYFUNCTION("""COMPUTED_VALUE"""),87.4)</f>
        <v>87.4</v>
      </c>
      <c r="AE64" s="46" t="str">
        <f>IFERROR(__xludf.DUMMYFUNCTION("""COMPUTED_VALUE"""),"AP")</f>
        <v>AP</v>
      </c>
      <c r="AF64" s="47">
        <f>IFERROR(__xludf.DUMMYFUNCTION("""COMPUTED_VALUE"""),11.4)</f>
        <v>11.4</v>
      </c>
      <c r="AG64" s="48" t="str">
        <f>IFERROR(__xludf.DUMMYFUNCTION("""COMPUTED_VALUE"""),"%")</f>
        <v>%</v>
      </c>
      <c r="AH64" s="43">
        <f>IFERROR(__xludf.DUMMYFUNCTION("""COMPUTED_VALUE"""),10.0)</f>
        <v>10</v>
      </c>
      <c r="AI64" s="44">
        <f>IFERROR(__xludf.DUMMYFUNCTION("""COMPUTED_VALUE"""),1128.0)</f>
        <v>1128</v>
      </c>
      <c r="AJ64" s="51" t="str">
        <f>IFERROR(__xludf.DUMMYFUNCTION("""COMPUTED_VALUE"""),"殺初級")</f>
        <v>殺初級</v>
      </c>
    </row>
    <row r="65" ht="24.75" customHeight="1">
      <c r="A65" s="28">
        <f>IFERROR(__xludf.DUMMYFUNCTION("""COMPUTED_VALUE"""),17.0)</f>
        <v>17</v>
      </c>
      <c r="B65" s="28" t="str">
        <f>IFERROR(__xludf.DUMMYFUNCTION("""COMPUTED_VALUE"""),"A303")</f>
        <v>A303</v>
      </c>
      <c r="C65" s="28" t="str">
        <f>IFERROR(__xludf.DUMMYFUNCTION("""COMPUTED_VALUE"""),"TRF14")</f>
        <v>TRF14</v>
      </c>
      <c r="D65" s="29" t="str">
        <f>IFERROR(__xludf.DUMMYFUNCTION("""COMPUTED_VALUE"""),"Chaldea Gate (Thu)")</f>
        <v>Chaldea Gate (Thu)</v>
      </c>
      <c r="E65" s="30" t="str">
        <f>IFERROR(__xludf.DUMMYFUNCTION("""COMPUTED_VALUE"""),"THU Rider Training Ground- Int")</f>
        <v>THU Rider Training Ground- Int</v>
      </c>
      <c r="F65" s="31">
        <f>IFERROR(__xludf.DUMMYFUNCTION("""COMPUTED_VALUE"""),20.0)</f>
        <v>20</v>
      </c>
      <c r="G65" s="32">
        <f>IFERROR(__xludf.DUMMYFUNCTION("""COMPUTED_VALUE"""),1106.0)</f>
        <v>1106</v>
      </c>
      <c r="H65" s="33" t="str">
        <f>IFERROR(__xludf.DUMMYFUNCTION("""COMPUTED_VALUE"""),"")</f>
        <v/>
      </c>
      <c r="I65" s="34">
        <f>IFERROR(__xludf.DUMMYFUNCTION("""COMPUTED_VALUE"""),78.2)</f>
        <v>78.2</v>
      </c>
      <c r="J65" s="35" t="str">
        <f>IFERROR(__xludf.DUMMYFUNCTION("""COMPUTED_VALUE"""),"AP")</f>
        <v>AP</v>
      </c>
      <c r="K65" s="34">
        <f>IFERROR(__xludf.DUMMYFUNCTION("""COMPUTED_VALUE"""),25.6)</f>
        <v>25.6</v>
      </c>
      <c r="L65" s="35" t="str">
        <f>IFERROR(__xludf.DUMMYFUNCTION("""COMPUTED_VALUE"""),"%")</f>
        <v>%</v>
      </c>
      <c r="M65" s="36">
        <f>IFERROR(__xludf.DUMMYFUNCTION("""COMPUTED_VALUE"""),1.0)</f>
        <v>1</v>
      </c>
      <c r="N65" s="37" t="str">
        <f>IFERROR(__xludf.DUMMYFUNCTION("""COMPUTED_VALUE"""),"A209")</f>
        <v>A209</v>
      </c>
      <c r="O65" s="38" t="str">
        <f>IFERROR(__xludf.DUMMYFUNCTION("""COMPUTED_VALUE"""),"")</f>
        <v/>
      </c>
      <c r="P65" s="34">
        <f>IFERROR(__xludf.DUMMYFUNCTION("""COMPUTED_VALUE"""),189.1)</f>
        <v>189.1</v>
      </c>
      <c r="Q65" s="35" t="str">
        <f>IFERROR(__xludf.DUMMYFUNCTION("""COMPUTED_VALUE"""),"AP")</f>
        <v>AP</v>
      </c>
      <c r="R65" s="34">
        <f>IFERROR(__xludf.DUMMYFUNCTION("""COMPUTED_VALUE"""),10.6)</f>
        <v>10.6</v>
      </c>
      <c r="S65" s="35" t="str">
        <f>IFERROR(__xludf.DUMMYFUNCTION("""COMPUTED_VALUE"""),"%")</f>
        <v>%</v>
      </c>
      <c r="T65" s="36">
        <f>IFERROR(__xludf.DUMMYFUNCTION("""COMPUTED_VALUE"""),2.0)</f>
        <v>2</v>
      </c>
      <c r="U65" s="37" t="str">
        <f>IFERROR(__xludf.DUMMYFUNCTION("""COMPUTED_VALUE"""),"A304")</f>
        <v>A304</v>
      </c>
      <c r="V65" s="38" t="str">
        <f>IFERROR(__xludf.DUMMYFUNCTION("""COMPUTED_VALUE"""),"")</f>
        <v/>
      </c>
      <c r="W65" s="34">
        <f>IFERROR(__xludf.DUMMYFUNCTION("""COMPUTED_VALUE"""),130.5)</f>
        <v>130.5</v>
      </c>
      <c r="X65" s="35" t="str">
        <f>IFERROR(__xludf.DUMMYFUNCTION("""COMPUTED_VALUE"""),"AP")</f>
        <v>AP</v>
      </c>
      <c r="Y65" s="34">
        <f>IFERROR(__xludf.DUMMYFUNCTION("""COMPUTED_VALUE"""),15.3)</f>
        <v>15.3</v>
      </c>
      <c r="Z65" s="35" t="str">
        <f>IFERROR(__xludf.DUMMYFUNCTION("""COMPUTED_VALUE"""),"%")</f>
        <v>%</v>
      </c>
      <c r="AA65" s="36">
        <f>IFERROR(__xludf.DUMMYFUNCTION("""COMPUTED_VALUE"""),3.0)</f>
        <v>3</v>
      </c>
      <c r="AB65" s="37" t="str">
        <f>IFERROR(__xludf.DUMMYFUNCTION("""COMPUTED_VALUE"""),"B114")</f>
        <v>B114</v>
      </c>
      <c r="AC65" s="38" t="str">
        <f>IFERROR(__xludf.DUMMYFUNCTION("""COMPUTED_VALUE"""),"")</f>
        <v/>
      </c>
      <c r="AD65" s="34">
        <f>IFERROR(__xludf.DUMMYFUNCTION("""COMPUTED_VALUE"""),21.6)</f>
        <v>21.6</v>
      </c>
      <c r="AE65" s="35" t="str">
        <f>IFERROR(__xludf.DUMMYFUNCTION("""COMPUTED_VALUE"""),"AP")</f>
        <v>AP</v>
      </c>
      <c r="AF65" s="34">
        <f>IFERROR(__xludf.DUMMYFUNCTION("""COMPUTED_VALUE"""),92.7)</f>
        <v>92.7</v>
      </c>
      <c r="AG65" s="35" t="str">
        <f>IFERROR(__xludf.DUMMYFUNCTION("""COMPUTED_VALUE"""),"%")</f>
        <v>%</v>
      </c>
      <c r="AH65" s="31">
        <f>IFERROR(__xludf.DUMMYFUNCTION("""COMPUTED_VALUE"""),20.0)</f>
        <v>20</v>
      </c>
      <c r="AI65" s="32">
        <f>IFERROR(__xludf.DUMMYFUNCTION("""COMPUTED_VALUE"""),1106.0)</f>
        <v>1106</v>
      </c>
      <c r="AJ65" s="39" t="str">
        <f>IFERROR(__xludf.DUMMYFUNCTION("""COMPUTED_VALUE"""),"騎中級")</f>
        <v>騎中級</v>
      </c>
    </row>
    <row r="66" ht="24.75" customHeight="1">
      <c r="A66" s="40">
        <f>IFERROR(__xludf.DUMMYFUNCTION("""COMPUTED_VALUE"""),18.0)</f>
        <v>18</v>
      </c>
      <c r="B66" s="40" t="str">
        <f>IFERROR(__xludf.DUMMYFUNCTION("""COMPUTED_VALUE"""),"A303")</f>
        <v>A303</v>
      </c>
      <c r="C66" s="40" t="str">
        <f>IFERROR(__xludf.DUMMYFUNCTION("""COMPUTED_VALUE"""),"ORL2")</f>
        <v>ORL2</v>
      </c>
      <c r="D66" s="41" t="str">
        <f>IFERROR(__xludf.DUMMYFUNCTION("""COMPUTED_VALUE"""),"Orleans")</f>
        <v>Orleans</v>
      </c>
      <c r="E66" s="42" t="str">
        <f>IFERROR(__xludf.DUMMYFUNCTION("""COMPUTED_VALUE"""),"Vaucouleurs")</f>
        <v>Vaucouleurs</v>
      </c>
      <c r="F66" s="43">
        <f>IFERROR(__xludf.DUMMYFUNCTION("""COMPUTED_VALUE"""),7.0)</f>
        <v>7</v>
      </c>
      <c r="G66" s="44">
        <f>IFERROR(__xludf.DUMMYFUNCTION("""COMPUTED_VALUE"""),1014.0)</f>
        <v>1014</v>
      </c>
      <c r="H66" s="33" t="str">
        <f>IFERROR(__xludf.DUMMYFUNCTION("""COMPUTED_VALUE"""),"")</f>
        <v/>
      </c>
      <c r="I66" s="45">
        <f>IFERROR(__xludf.DUMMYFUNCTION("""COMPUTED_VALUE"""),79.8)</f>
        <v>79.8</v>
      </c>
      <c r="J66" s="46" t="str">
        <f>IFERROR(__xludf.DUMMYFUNCTION("""COMPUTED_VALUE"""),"AP")</f>
        <v>AP</v>
      </c>
      <c r="K66" s="47">
        <f>IFERROR(__xludf.DUMMYFUNCTION("""COMPUTED_VALUE"""),8.8)</f>
        <v>8.8</v>
      </c>
      <c r="L66" s="48" t="str">
        <f>IFERROR(__xludf.DUMMYFUNCTION("""COMPUTED_VALUE"""),"%")</f>
        <v>%</v>
      </c>
      <c r="M66" s="49">
        <f>IFERROR(__xludf.DUMMYFUNCTION("""COMPUTED_VALUE"""),1.0)</f>
        <v>1</v>
      </c>
      <c r="N66" s="50" t="str">
        <f>IFERROR(__xludf.DUMMYFUNCTION("""COMPUTED_VALUE"""),"A302")</f>
        <v>A302</v>
      </c>
      <c r="O66" s="38" t="str">
        <f>IFERROR(__xludf.DUMMYFUNCTION("""COMPUTED_VALUE"""),"")</f>
        <v/>
      </c>
      <c r="P66" s="45">
        <f>IFERROR(__xludf.DUMMYFUNCTION("""COMPUTED_VALUE"""),124.5)</f>
        <v>124.5</v>
      </c>
      <c r="Q66" s="46" t="str">
        <f>IFERROR(__xludf.DUMMYFUNCTION("""COMPUTED_VALUE"""),"AP")</f>
        <v>AP</v>
      </c>
      <c r="R66" s="47">
        <f>IFERROR(__xludf.DUMMYFUNCTION("""COMPUTED_VALUE"""),5.6)</f>
        <v>5.6</v>
      </c>
      <c r="S66" s="48" t="str">
        <f>IFERROR(__xludf.DUMMYFUNCTION("""COMPUTED_VALUE"""),"%")</f>
        <v>%</v>
      </c>
      <c r="T66" s="49">
        <f>IFERROR(__xludf.DUMMYFUNCTION("""COMPUTED_VALUE"""),2.0)</f>
        <v>2</v>
      </c>
      <c r="U66" s="50"/>
      <c r="V66" s="38"/>
      <c r="W66" s="45" t="str">
        <f>IFERROR(__xludf.DUMMYFUNCTION("""COMPUTED_VALUE"""),"")</f>
        <v/>
      </c>
      <c r="X66" s="46" t="str">
        <f>IFERROR(__xludf.DUMMYFUNCTION("""COMPUTED_VALUE"""),"AP")</f>
        <v>AP</v>
      </c>
      <c r="Y66" s="47" t="str">
        <f>IFERROR(__xludf.DUMMYFUNCTION("""COMPUTED_VALUE"""),"")</f>
        <v/>
      </c>
      <c r="Z66" s="48" t="str">
        <f>IFERROR(__xludf.DUMMYFUNCTION("""COMPUTED_VALUE"""),"%")</f>
        <v>%</v>
      </c>
      <c r="AA66" s="49">
        <f>IFERROR(__xludf.DUMMYFUNCTION("""COMPUTED_VALUE"""),3.0)</f>
        <v>3</v>
      </c>
      <c r="AB66" s="50"/>
      <c r="AC66" s="38"/>
      <c r="AD66" s="45" t="str">
        <f>IFERROR(__xludf.DUMMYFUNCTION("""COMPUTED_VALUE"""),"")</f>
        <v/>
      </c>
      <c r="AE66" s="46" t="str">
        <f>IFERROR(__xludf.DUMMYFUNCTION("""COMPUTED_VALUE"""),"AP")</f>
        <v>AP</v>
      </c>
      <c r="AF66" s="47" t="str">
        <f>IFERROR(__xludf.DUMMYFUNCTION("""COMPUTED_VALUE"""),"")</f>
        <v/>
      </c>
      <c r="AG66" s="48" t="str">
        <f>IFERROR(__xludf.DUMMYFUNCTION("""COMPUTED_VALUE"""),"%")</f>
        <v>%</v>
      </c>
      <c r="AH66" s="43">
        <f>IFERROR(__xludf.DUMMYFUNCTION("""COMPUTED_VALUE"""),7.0)</f>
        <v>7</v>
      </c>
      <c r="AI66" s="44">
        <f>IFERROR(__xludf.DUMMYFUNCTION("""COMPUTED_VALUE"""),1014.0)</f>
        <v>1014</v>
      </c>
      <c r="AJ66" s="51" t="str">
        <f>IFERROR(__xludf.DUMMYFUNCTION("""COMPUTED_VALUE"""),"ヴォークルール")</f>
        <v>ヴォークルール</v>
      </c>
    </row>
    <row r="67" ht="24.75" customHeight="1">
      <c r="A67" s="28">
        <f>IFERROR(__xludf.DUMMYFUNCTION("""COMPUTED_VALUE"""),19.0)</f>
        <v>19</v>
      </c>
      <c r="B67" s="28" t="str">
        <f>IFERROR(__xludf.DUMMYFUNCTION("""COMPUTED_VALUE"""),"A303")</f>
        <v>A303</v>
      </c>
      <c r="C67" s="28" t="str">
        <f>IFERROR(__xludf.DUMMYFUNCTION("""COMPUTED_VALUE"""),"TRF16")</f>
        <v>TRF16</v>
      </c>
      <c r="D67" s="29" t="str">
        <f>IFERROR(__xludf.DUMMYFUNCTION("""COMPUTED_VALUE"""),"Chaldea Gate (Thu)")</f>
        <v>Chaldea Gate (Thu)</v>
      </c>
      <c r="E67" s="30" t="str">
        <f>IFERROR(__xludf.DUMMYFUNCTION("""COMPUTED_VALUE"""),"THU Rider Training Ground- Exp")</f>
        <v>THU Rider Training Ground- Exp</v>
      </c>
      <c r="F67" s="31">
        <f>IFERROR(__xludf.DUMMYFUNCTION("""COMPUTED_VALUE"""),40.0)</f>
        <v>40</v>
      </c>
      <c r="G67" s="32">
        <f>IFERROR(__xludf.DUMMYFUNCTION("""COMPUTED_VALUE"""),4052.0)</f>
        <v>4052</v>
      </c>
      <c r="H67" s="33" t="str">
        <f>IFERROR(__xludf.DUMMYFUNCTION("""COMPUTED_VALUE"""),"")</f>
        <v/>
      </c>
      <c r="I67" s="34">
        <f>IFERROR(__xludf.DUMMYFUNCTION("""COMPUTED_VALUE"""),85.7)</f>
        <v>85.7</v>
      </c>
      <c r="J67" s="35" t="str">
        <f>IFERROR(__xludf.DUMMYFUNCTION("""COMPUTED_VALUE"""),"AP")</f>
        <v>AP</v>
      </c>
      <c r="K67" s="34">
        <f>IFERROR(__xludf.DUMMYFUNCTION("""COMPUTED_VALUE"""),46.7)</f>
        <v>46.7</v>
      </c>
      <c r="L67" s="35" t="str">
        <f>IFERROR(__xludf.DUMMYFUNCTION("""COMPUTED_VALUE"""),"%")</f>
        <v>%</v>
      </c>
      <c r="M67" s="36">
        <f>IFERROR(__xludf.DUMMYFUNCTION("""COMPUTED_VALUE"""),1.0)</f>
        <v>1</v>
      </c>
      <c r="N67" s="37" t="str">
        <f>IFERROR(__xludf.DUMMYFUNCTION("""COMPUTED_VALUE"""),"A103")</f>
        <v>A103</v>
      </c>
      <c r="O67" s="38" t="str">
        <f>IFERROR(__xludf.DUMMYFUNCTION("""COMPUTED_VALUE"""),"")</f>
        <v/>
      </c>
      <c r="P67" s="34">
        <f>IFERROR(__xludf.DUMMYFUNCTION("""COMPUTED_VALUE"""),542.1)</f>
        <v>542.1</v>
      </c>
      <c r="Q67" s="35" t="str">
        <f>IFERROR(__xludf.DUMMYFUNCTION("""COMPUTED_VALUE"""),"AP")</f>
        <v>AP</v>
      </c>
      <c r="R67" s="34">
        <f>IFERROR(__xludf.DUMMYFUNCTION("""COMPUTED_VALUE"""),7.4)</f>
        <v>7.4</v>
      </c>
      <c r="S67" s="35" t="str">
        <f>IFERROR(__xludf.DUMMYFUNCTION("""COMPUTED_VALUE"""),"%")</f>
        <v>%</v>
      </c>
      <c r="T67" s="36">
        <f>IFERROR(__xludf.DUMMYFUNCTION("""COMPUTED_VALUE"""),2.0)</f>
        <v>2</v>
      </c>
      <c r="U67" s="37" t="str">
        <f>IFERROR(__xludf.DUMMYFUNCTION("""COMPUTED_VALUE"""),"A209")</f>
        <v>A209</v>
      </c>
      <c r="V67" s="38" t="str">
        <f>IFERROR(__xludf.DUMMYFUNCTION("""COMPUTED_VALUE"""),"")</f>
        <v/>
      </c>
      <c r="W67" s="34">
        <f>IFERROR(__xludf.DUMMYFUNCTION("""COMPUTED_VALUE"""),206.5)</f>
        <v>206.5</v>
      </c>
      <c r="X67" s="35" t="str">
        <f>IFERROR(__xludf.DUMMYFUNCTION("""COMPUTED_VALUE"""),"AP")</f>
        <v>AP</v>
      </c>
      <c r="Y67" s="34">
        <f>IFERROR(__xludf.DUMMYFUNCTION("""COMPUTED_VALUE"""),19.4)</f>
        <v>19.4</v>
      </c>
      <c r="Z67" s="35" t="str">
        <f>IFERROR(__xludf.DUMMYFUNCTION("""COMPUTED_VALUE"""),"%")</f>
        <v>%</v>
      </c>
      <c r="AA67" s="36">
        <f>IFERROR(__xludf.DUMMYFUNCTION("""COMPUTED_VALUE"""),3.0)</f>
        <v>3</v>
      </c>
      <c r="AB67" s="37" t="str">
        <f>IFERROR(__xludf.DUMMYFUNCTION("""COMPUTED_VALUE"""),"A304")</f>
        <v>A304</v>
      </c>
      <c r="AC67" s="38" t="str">
        <f>IFERROR(__xludf.DUMMYFUNCTION("""COMPUTED_VALUE"""),"")</f>
        <v/>
      </c>
      <c r="AD67" s="34">
        <f>IFERROR(__xludf.DUMMYFUNCTION("""COMPUTED_VALUE"""),241.5)</f>
        <v>241.5</v>
      </c>
      <c r="AE67" s="35" t="str">
        <f>IFERROR(__xludf.DUMMYFUNCTION("""COMPUTED_VALUE"""),"AP")</f>
        <v>AP</v>
      </c>
      <c r="AF67" s="34">
        <f>IFERROR(__xludf.DUMMYFUNCTION("""COMPUTED_VALUE"""),16.6)</f>
        <v>16.6</v>
      </c>
      <c r="AG67" s="35" t="str">
        <f>IFERROR(__xludf.DUMMYFUNCTION("""COMPUTED_VALUE"""),"%")</f>
        <v>%</v>
      </c>
      <c r="AH67" s="31">
        <f>IFERROR(__xludf.DUMMYFUNCTION("""COMPUTED_VALUE"""),40.0)</f>
        <v>40</v>
      </c>
      <c r="AI67" s="32">
        <f>IFERROR(__xludf.DUMMYFUNCTION("""COMPUTED_VALUE"""),4052.0)</f>
        <v>4052</v>
      </c>
      <c r="AJ67" s="39" t="str">
        <f>IFERROR(__xludf.DUMMYFUNCTION("""COMPUTED_VALUE"""),"騎超級")</f>
        <v>騎超級</v>
      </c>
    </row>
    <row r="68" ht="24.75" customHeight="1">
      <c r="A68" s="40">
        <f>IFERROR(__xludf.DUMMYFUNCTION("""COMPUTED_VALUE"""),20.0)</f>
        <v>20</v>
      </c>
      <c r="B68" s="40" t="str">
        <f>IFERROR(__xludf.DUMMYFUNCTION("""COMPUTED_VALUE"""),"A303")</f>
        <v>A303</v>
      </c>
      <c r="C68" s="40" t="str">
        <f>IFERROR(__xludf.DUMMYFUNCTION("""COMPUTED_VALUE"""),"TRF22")</f>
        <v>TRF22</v>
      </c>
      <c r="D68" s="41" t="str">
        <f>IFERROR(__xludf.DUMMYFUNCTION("""COMPUTED_VALUE"""),"Chaldea Gate (Sat)")</f>
        <v>Chaldea Gate (Sat)</v>
      </c>
      <c r="E68" s="42" t="str">
        <f>IFERROR(__xludf.DUMMYFUNCTION("""COMPUTED_VALUE"""),"SAT Assassin Training Ground- Int")</f>
        <v>SAT Assassin Training Ground- Int</v>
      </c>
      <c r="F68" s="43">
        <f>IFERROR(__xludf.DUMMYFUNCTION("""COMPUTED_VALUE"""),20.0)</f>
        <v>20</v>
      </c>
      <c r="G68" s="44">
        <f>IFERROR(__xludf.DUMMYFUNCTION("""COMPUTED_VALUE"""),1000.0)</f>
        <v>1000</v>
      </c>
      <c r="H68" s="33" t="str">
        <f>IFERROR(__xludf.DUMMYFUNCTION("""COMPUTED_VALUE"""),"")</f>
        <v/>
      </c>
      <c r="I68" s="45">
        <f>IFERROR(__xludf.DUMMYFUNCTION("""COMPUTED_VALUE"""),113.0)</f>
        <v>113</v>
      </c>
      <c r="J68" s="46" t="str">
        <f>IFERROR(__xludf.DUMMYFUNCTION("""COMPUTED_VALUE"""),"AP")</f>
        <v>AP</v>
      </c>
      <c r="K68" s="47">
        <f>IFERROR(__xludf.DUMMYFUNCTION("""COMPUTED_VALUE"""),17.7)</f>
        <v>17.7</v>
      </c>
      <c r="L68" s="48" t="str">
        <f>IFERROR(__xludf.DUMMYFUNCTION("""COMPUTED_VALUE"""),"%")</f>
        <v>%</v>
      </c>
      <c r="M68" s="49">
        <f>IFERROR(__xludf.DUMMYFUNCTION("""COMPUTED_VALUE"""),1.0)</f>
        <v>1</v>
      </c>
      <c r="N68" s="50" t="str">
        <f>IFERROR(__xludf.DUMMYFUNCTION("""COMPUTED_VALUE"""),"A201")</f>
        <v>A201</v>
      </c>
      <c r="O68" s="38" t="str">
        <f>IFERROR(__xludf.DUMMYFUNCTION("""COMPUTED_VALUE"""),"")</f>
        <v/>
      </c>
      <c r="P68" s="45">
        <f>IFERROR(__xludf.DUMMYFUNCTION("""COMPUTED_VALUE"""),241.5)</f>
        <v>241.5</v>
      </c>
      <c r="Q68" s="46" t="str">
        <f>IFERROR(__xludf.DUMMYFUNCTION("""COMPUTED_VALUE"""),"AP")</f>
        <v>AP</v>
      </c>
      <c r="R68" s="47">
        <f>IFERROR(__xludf.DUMMYFUNCTION("""COMPUTED_VALUE"""),8.3)</f>
        <v>8.3</v>
      </c>
      <c r="S68" s="48" t="str">
        <f>IFERROR(__xludf.DUMMYFUNCTION("""COMPUTED_VALUE"""),"%")</f>
        <v>%</v>
      </c>
      <c r="T68" s="49">
        <f>IFERROR(__xludf.DUMMYFUNCTION("""COMPUTED_VALUE"""),2.0)</f>
        <v>2</v>
      </c>
      <c r="U68" s="50" t="str">
        <f>IFERROR(__xludf.DUMMYFUNCTION("""COMPUTED_VALUE"""),"A202")</f>
        <v>A202</v>
      </c>
      <c r="V68" s="38" t="str">
        <f>IFERROR(__xludf.DUMMYFUNCTION("""COMPUTED_VALUE"""),"")</f>
        <v/>
      </c>
      <c r="W68" s="45">
        <f>IFERROR(__xludf.DUMMYFUNCTION("""COMPUTED_VALUE"""),827.8)</f>
        <v>827.8</v>
      </c>
      <c r="X68" s="46" t="str">
        <f>IFERROR(__xludf.DUMMYFUNCTION("""COMPUTED_VALUE"""),"AP")</f>
        <v>AP</v>
      </c>
      <c r="Y68" s="47">
        <f>IFERROR(__xludf.DUMMYFUNCTION("""COMPUTED_VALUE"""),2.4)</f>
        <v>2.4</v>
      </c>
      <c r="Z68" s="48" t="str">
        <f>IFERROR(__xludf.DUMMYFUNCTION("""COMPUTED_VALUE"""),"%")</f>
        <v>%</v>
      </c>
      <c r="AA68" s="49">
        <f>IFERROR(__xludf.DUMMYFUNCTION("""COMPUTED_VALUE"""),3.0)</f>
        <v>3</v>
      </c>
      <c r="AB68" s="50" t="str">
        <f>IFERROR(__xludf.DUMMYFUNCTION("""COMPUTED_VALUE"""),"A206")</f>
        <v>A206</v>
      </c>
      <c r="AC68" s="38" t="str">
        <f>IFERROR(__xludf.DUMMYFUNCTION("""COMPUTED_VALUE"""),"")</f>
        <v/>
      </c>
      <c r="AD68" s="45">
        <f>IFERROR(__xludf.DUMMYFUNCTION("""COMPUTED_VALUE"""),210.5)</f>
        <v>210.5</v>
      </c>
      <c r="AE68" s="46" t="str">
        <f>IFERROR(__xludf.DUMMYFUNCTION("""COMPUTED_VALUE"""),"AP")</f>
        <v>AP</v>
      </c>
      <c r="AF68" s="47">
        <f>IFERROR(__xludf.DUMMYFUNCTION("""COMPUTED_VALUE"""),9.5)</f>
        <v>9.5</v>
      </c>
      <c r="AG68" s="48" t="str">
        <f>IFERROR(__xludf.DUMMYFUNCTION("""COMPUTED_VALUE"""),"%")</f>
        <v>%</v>
      </c>
      <c r="AH68" s="43">
        <f>IFERROR(__xludf.DUMMYFUNCTION("""COMPUTED_VALUE"""),20.0)</f>
        <v>20</v>
      </c>
      <c r="AI68" s="44">
        <f>IFERROR(__xludf.DUMMYFUNCTION("""COMPUTED_VALUE"""),1000.0)</f>
        <v>1000</v>
      </c>
      <c r="AJ68" s="51" t="str">
        <f>IFERROR(__xludf.DUMMYFUNCTION("""COMPUTED_VALUE"""),"殺中級")</f>
        <v>殺中級</v>
      </c>
    </row>
    <row r="69">
      <c r="A69" s="52"/>
      <c r="B69" s="53"/>
      <c r="C69" s="54"/>
      <c r="D69" s="55"/>
      <c r="E69" s="56"/>
      <c r="F69" s="53"/>
      <c r="G69" s="53"/>
      <c r="H69" s="53"/>
      <c r="I69" s="53"/>
      <c r="J69" s="57"/>
      <c r="K69" s="53"/>
      <c r="L69" s="57"/>
      <c r="M69" s="53"/>
      <c r="N69" s="53"/>
      <c r="O69" s="53"/>
      <c r="P69" s="53"/>
      <c r="Q69" s="57"/>
      <c r="R69" s="53"/>
      <c r="S69" s="57"/>
      <c r="T69" s="53"/>
      <c r="U69" s="53"/>
      <c r="V69" s="53"/>
      <c r="W69" s="53"/>
      <c r="X69" s="57"/>
      <c r="Y69" s="53"/>
      <c r="Z69" s="57"/>
      <c r="AA69" s="53"/>
      <c r="AB69" s="53"/>
      <c r="AC69" s="53"/>
      <c r="AD69" s="53"/>
      <c r="AE69" s="57"/>
      <c r="AF69" s="53"/>
      <c r="AG69" s="57"/>
      <c r="AH69" s="53"/>
      <c r="AI69" s="53"/>
      <c r="AJ69" s="58"/>
    </row>
    <row r="70">
      <c r="A70" s="59"/>
      <c r="B70" s="60"/>
      <c r="C70" s="61"/>
      <c r="D70" s="62"/>
      <c r="E70" s="63"/>
      <c r="F70" s="60"/>
      <c r="G70" s="60"/>
      <c r="H70" s="60"/>
      <c r="I70" s="60"/>
      <c r="J70" s="64"/>
      <c r="K70" s="60"/>
      <c r="L70" s="64"/>
      <c r="M70" s="60"/>
      <c r="N70" s="60"/>
      <c r="O70" s="60"/>
      <c r="P70" s="60"/>
      <c r="Q70" s="64"/>
      <c r="R70" s="60"/>
      <c r="S70" s="64"/>
      <c r="T70" s="60"/>
      <c r="U70" s="60"/>
      <c r="V70" s="60"/>
      <c r="W70" s="60"/>
      <c r="X70" s="64"/>
      <c r="Y70" s="60"/>
      <c r="Z70" s="64"/>
      <c r="AA70" s="60"/>
      <c r="AB70" s="60"/>
      <c r="AC70" s="60"/>
      <c r="AD70" s="60"/>
      <c r="AE70" s="64"/>
      <c r="AF70" s="60"/>
      <c r="AG70" s="64"/>
      <c r="AH70" s="60"/>
      <c r="AI70" s="60"/>
      <c r="AJ70" s="65"/>
    </row>
    <row r="71" ht="33.0" customHeight="1">
      <c r="A71" s="20" t="str">
        <f>IFERROR(__xludf.DUMMYFUNCTION("""COMPUTED_VALUE""")," ")</f>
        <v> </v>
      </c>
      <c r="B71" s="21" t="str">
        <f>IFERROR(__xludf.DUMMYFUNCTION("""COMPUTED_VALUE"""),"A304")</f>
        <v>A304</v>
      </c>
      <c r="C71" s="20"/>
      <c r="D71" s="22" t="str">
        <f>IFERROR(__xludf.DUMMYFUNCTION("""COMPUTED_VALUE"""),"")</f>
        <v/>
      </c>
      <c r="E71" s="23" t="str">
        <f>IFERROR(__xludf.DUMMYFUNCTION("""COMPUTED_VALUE"""),"Void's Dust")</f>
        <v>Void's Dust</v>
      </c>
      <c r="F71" s="24"/>
      <c r="G71" s="24"/>
      <c r="H71" s="25"/>
      <c r="I71" s="25"/>
      <c r="J71" s="26"/>
      <c r="K71" s="25"/>
      <c r="L71" s="26"/>
      <c r="M71" s="25"/>
      <c r="N71" s="25"/>
      <c r="O71" s="25"/>
      <c r="P71" s="25"/>
      <c r="Q71" s="26"/>
      <c r="R71" s="25"/>
      <c r="S71" s="26"/>
      <c r="T71" s="25"/>
      <c r="U71" s="25"/>
      <c r="V71" s="25"/>
      <c r="W71" s="25"/>
      <c r="X71" s="26"/>
      <c r="Y71" s="25"/>
      <c r="Z71" s="26"/>
      <c r="AA71" s="25"/>
      <c r="AB71" s="25"/>
      <c r="AC71" s="25"/>
      <c r="AD71" s="25"/>
      <c r="AE71" s="26"/>
      <c r="AF71" s="25"/>
      <c r="AG71" s="26"/>
      <c r="AH71" s="24"/>
      <c r="AI71" s="25"/>
      <c r="AJ71" s="27"/>
    </row>
    <row r="72" ht="24.75" customHeight="1">
      <c r="A72" s="28">
        <f>IFERROR(__xludf.DUMMYFUNCTION("""COMPUTED_VALUE"""),1.0)</f>
        <v>1</v>
      </c>
      <c r="B72" s="28" t="str">
        <f>IFERROR(__xludf.DUMMYFUNCTION("""COMPUTED_VALUE"""),"A304")</f>
        <v>A304</v>
      </c>
      <c r="C72" s="28" t="str">
        <f>IFERROR(__xludf.DUMMYFUNCTION("""COMPUTED_VALUE"""),"EPU12")</f>
        <v>EPU12</v>
      </c>
      <c r="D72" s="29" t="str">
        <f>IFERROR(__xludf.DUMMYFUNCTION("""COMPUTED_VALUE"""),"E Pluribus Unum")</f>
        <v>E Pluribus Unum</v>
      </c>
      <c r="E72" s="30" t="str">
        <f>IFERROR(__xludf.DUMMYFUNCTION("""COMPUTED_VALUE"""),"Charlotte")</f>
        <v>Charlotte</v>
      </c>
      <c r="F72" s="31">
        <f>IFERROR(__xludf.DUMMYFUNCTION("""COMPUTED_VALUE"""),20.0)</f>
        <v>20</v>
      </c>
      <c r="G72" s="32">
        <f>IFERROR(__xludf.DUMMYFUNCTION("""COMPUTED_VALUE"""),358394.0)</f>
        <v>358394</v>
      </c>
      <c r="H72" s="33" t="str">
        <f>IFERROR(__xludf.DUMMYFUNCTION("""COMPUTED_VALUE"""),"")</f>
        <v/>
      </c>
      <c r="I72" s="34">
        <f>IFERROR(__xludf.DUMMYFUNCTION("""COMPUTED_VALUE"""),31.1)</f>
        <v>31.1</v>
      </c>
      <c r="J72" s="35" t="str">
        <f>IFERROR(__xludf.DUMMYFUNCTION("""COMPUTED_VALUE"""),"AP")</f>
        <v>AP</v>
      </c>
      <c r="K72" s="34">
        <f>IFERROR(__xludf.DUMMYFUNCTION("""COMPUTED_VALUE"""),64.2)</f>
        <v>64.2</v>
      </c>
      <c r="L72" s="35" t="str">
        <f>IFERROR(__xludf.DUMMYFUNCTION("""COMPUTED_VALUE"""),"%")</f>
        <v>%</v>
      </c>
      <c r="M72" s="36">
        <f>IFERROR(__xludf.DUMMYFUNCTION("""COMPUTED_VALUE"""),1.0)</f>
        <v>1</v>
      </c>
      <c r="N72" s="37" t="str">
        <f>IFERROR(__xludf.DUMMYFUNCTION("""COMPUTED_VALUE"""),"A301")</f>
        <v>A301</v>
      </c>
      <c r="O72" s="38" t="str">
        <f>IFERROR(__xludf.DUMMYFUNCTION("""COMPUTED_VALUE"""),"")</f>
        <v/>
      </c>
      <c r="P72" s="34">
        <f>IFERROR(__xludf.DUMMYFUNCTION("""COMPUTED_VALUE"""),41.6)</f>
        <v>41.6</v>
      </c>
      <c r="Q72" s="35" t="str">
        <f>IFERROR(__xludf.DUMMYFUNCTION("""COMPUTED_VALUE"""),"AP")</f>
        <v>AP</v>
      </c>
      <c r="R72" s="34">
        <f>IFERROR(__xludf.DUMMYFUNCTION("""COMPUTED_VALUE"""),48.1)</f>
        <v>48.1</v>
      </c>
      <c r="S72" s="35" t="str">
        <f>IFERROR(__xludf.DUMMYFUNCTION("""COMPUTED_VALUE"""),"%")</f>
        <v>%</v>
      </c>
      <c r="T72" s="36">
        <f>IFERROR(__xludf.DUMMYFUNCTION("""COMPUTED_VALUE"""),2.0)</f>
        <v>2</v>
      </c>
      <c r="U72" s="37"/>
      <c r="V72" s="38"/>
      <c r="W72" s="34" t="str">
        <f>IFERROR(__xludf.DUMMYFUNCTION("""COMPUTED_VALUE"""),"")</f>
        <v/>
      </c>
      <c r="X72" s="35" t="str">
        <f>IFERROR(__xludf.DUMMYFUNCTION("""COMPUTED_VALUE"""),"AP")</f>
        <v>AP</v>
      </c>
      <c r="Y72" s="34" t="str">
        <f>IFERROR(__xludf.DUMMYFUNCTION("""COMPUTED_VALUE"""),"")</f>
        <v/>
      </c>
      <c r="Z72" s="35" t="str">
        <f>IFERROR(__xludf.DUMMYFUNCTION("""COMPUTED_VALUE"""),"%")</f>
        <v>%</v>
      </c>
      <c r="AA72" s="36">
        <f>IFERROR(__xludf.DUMMYFUNCTION("""COMPUTED_VALUE"""),3.0)</f>
        <v>3</v>
      </c>
      <c r="AB72" s="37"/>
      <c r="AC72" s="38"/>
      <c r="AD72" s="34" t="str">
        <f>IFERROR(__xludf.DUMMYFUNCTION("""COMPUTED_VALUE"""),"")</f>
        <v/>
      </c>
      <c r="AE72" s="35" t="str">
        <f>IFERROR(__xludf.DUMMYFUNCTION("""COMPUTED_VALUE"""),"AP")</f>
        <v>AP</v>
      </c>
      <c r="AF72" s="34" t="str">
        <f>IFERROR(__xludf.DUMMYFUNCTION("""COMPUTED_VALUE"""),"")</f>
        <v/>
      </c>
      <c r="AG72" s="35" t="str">
        <f>IFERROR(__xludf.DUMMYFUNCTION("""COMPUTED_VALUE"""),"%")</f>
        <v>%</v>
      </c>
      <c r="AH72" s="31">
        <f>IFERROR(__xludf.DUMMYFUNCTION("""COMPUTED_VALUE"""),20.0)</f>
        <v>20</v>
      </c>
      <c r="AI72" s="32">
        <f>IFERROR(__xludf.DUMMYFUNCTION("""COMPUTED_VALUE"""),358394.0)</f>
        <v>358394</v>
      </c>
      <c r="AJ72" s="39" t="str">
        <f>IFERROR(__xludf.DUMMYFUNCTION("""COMPUTED_VALUE"""),"シャーロット")</f>
        <v>シャーロット</v>
      </c>
    </row>
    <row r="73" ht="24.75" customHeight="1">
      <c r="A73" s="40">
        <f>IFERROR(__xludf.DUMMYFUNCTION("""COMPUTED_VALUE"""),2.0)</f>
        <v>2</v>
      </c>
      <c r="B73" s="40" t="str">
        <f>IFERROR(__xludf.DUMMYFUNCTION("""COMPUTED_VALUE"""),"A304")</f>
        <v>A304</v>
      </c>
      <c r="C73" s="40" t="str">
        <f>IFERROR(__xludf.DUMMYFUNCTION("""COMPUTED_VALUE"""),"CML7")</f>
        <v>CML7</v>
      </c>
      <c r="D73" s="41" t="str">
        <f>IFERROR(__xludf.DUMMYFUNCTION("""COMPUTED_VALUE"""),"Camelot")</f>
        <v>Camelot</v>
      </c>
      <c r="E73" s="42" t="str">
        <f>IFERROR(__xludf.DUMMYFUNCTION("""COMPUTED_VALUE"""),"West Village Ruins")</f>
        <v>West Village Ruins</v>
      </c>
      <c r="F73" s="43">
        <f>IFERROR(__xludf.DUMMYFUNCTION("""COMPUTED_VALUE"""),20.0)</f>
        <v>20</v>
      </c>
      <c r="G73" s="44">
        <f>IFERROR(__xludf.DUMMYFUNCTION("""COMPUTED_VALUE"""),1370.0)</f>
        <v>1370</v>
      </c>
      <c r="H73" s="33" t="str">
        <f>IFERROR(__xludf.DUMMYFUNCTION("""COMPUTED_VALUE"""),"")</f>
        <v/>
      </c>
      <c r="I73" s="45">
        <f>IFERROR(__xludf.DUMMYFUNCTION("""COMPUTED_VALUE"""),42.5)</f>
        <v>42.5</v>
      </c>
      <c r="J73" s="46" t="str">
        <f>IFERROR(__xludf.DUMMYFUNCTION("""COMPUTED_VALUE"""),"AP")</f>
        <v>AP</v>
      </c>
      <c r="K73" s="47">
        <f>IFERROR(__xludf.DUMMYFUNCTION("""COMPUTED_VALUE"""),47.1)</f>
        <v>47.1</v>
      </c>
      <c r="L73" s="48" t="str">
        <f>IFERROR(__xludf.DUMMYFUNCTION("""COMPUTED_VALUE"""),"%")</f>
        <v>%</v>
      </c>
      <c r="M73" s="49">
        <f>IFERROR(__xludf.DUMMYFUNCTION("""COMPUTED_VALUE"""),1.0)</f>
        <v>1</v>
      </c>
      <c r="N73" s="50"/>
      <c r="O73" s="38"/>
      <c r="P73" s="45" t="str">
        <f>IFERROR(__xludf.DUMMYFUNCTION("""COMPUTED_VALUE"""),"")</f>
        <v/>
      </c>
      <c r="Q73" s="46" t="str">
        <f>IFERROR(__xludf.DUMMYFUNCTION("""COMPUTED_VALUE"""),"AP")</f>
        <v>AP</v>
      </c>
      <c r="R73" s="47" t="str">
        <f>IFERROR(__xludf.DUMMYFUNCTION("""COMPUTED_VALUE"""),"")</f>
        <v/>
      </c>
      <c r="S73" s="48" t="str">
        <f>IFERROR(__xludf.DUMMYFUNCTION("""COMPUTED_VALUE"""),"%")</f>
        <v>%</v>
      </c>
      <c r="T73" s="49">
        <f>IFERROR(__xludf.DUMMYFUNCTION("""COMPUTED_VALUE"""),2.0)</f>
        <v>2</v>
      </c>
      <c r="U73" s="50"/>
      <c r="V73" s="38"/>
      <c r="W73" s="45" t="str">
        <f>IFERROR(__xludf.DUMMYFUNCTION("""COMPUTED_VALUE"""),"")</f>
        <v/>
      </c>
      <c r="X73" s="46" t="str">
        <f>IFERROR(__xludf.DUMMYFUNCTION("""COMPUTED_VALUE"""),"AP")</f>
        <v>AP</v>
      </c>
      <c r="Y73" s="47" t="str">
        <f>IFERROR(__xludf.DUMMYFUNCTION("""COMPUTED_VALUE"""),"")</f>
        <v/>
      </c>
      <c r="Z73" s="48" t="str">
        <f>IFERROR(__xludf.DUMMYFUNCTION("""COMPUTED_VALUE"""),"%")</f>
        <v>%</v>
      </c>
      <c r="AA73" s="49">
        <f>IFERROR(__xludf.DUMMYFUNCTION("""COMPUTED_VALUE"""),3.0)</f>
        <v>3</v>
      </c>
      <c r="AB73" s="50"/>
      <c r="AC73" s="38"/>
      <c r="AD73" s="45" t="str">
        <f>IFERROR(__xludf.DUMMYFUNCTION("""COMPUTED_VALUE"""),"")</f>
        <v/>
      </c>
      <c r="AE73" s="46" t="str">
        <f>IFERROR(__xludf.DUMMYFUNCTION("""COMPUTED_VALUE"""),"AP")</f>
        <v>AP</v>
      </c>
      <c r="AF73" s="47" t="str">
        <f>IFERROR(__xludf.DUMMYFUNCTION("""COMPUTED_VALUE"""),"")</f>
        <v/>
      </c>
      <c r="AG73" s="48" t="str">
        <f>IFERROR(__xludf.DUMMYFUNCTION("""COMPUTED_VALUE"""),"%")</f>
        <v>%</v>
      </c>
      <c r="AH73" s="43">
        <f>IFERROR(__xludf.DUMMYFUNCTION("""COMPUTED_VALUE"""),20.0)</f>
        <v>20</v>
      </c>
      <c r="AI73" s="44">
        <f>IFERROR(__xludf.DUMMYFUNCTION("""COMPUTED_VALUE"""),1370.0)</f>
        <v>1370</v>
      </c>
      <c r="AJ73" s="51" t="str">
        <f>IFERROR(__xludf.DUMMYFUNCTION("""COMPUTED_VALUE"""),"西の村跡")</f>
        <v>西の村跡</v>
      </c>
    </row>
    <row r="74" ht="24.75" customHeight="1">
      <c r="A74" s="28">
        <f>IFERROR(__xludf.DUMMYFUNCTION("""COMPUTED_VALUE"""),3.0)</f>
        <v>3</v>
      </c>
      <c r="B74" s="28" t="str">
        <f>IFERROR(__xludf.DUMMYFUNCTION("""COMPUTED_VALUE"""),"A304")</f>
        <v>A304</v>
      </c>
      <c r="C74" s="28" t="str">
        <f>IFERROR(__xludf.DUMMYFUNCTION("""COMPUTED_VALUE"""),"EPU2")</f>
        <v>EPU2</v>
      </c>
      <c r="D74" s="29" t="str">
        <f>IFERROR(__xludf.DUMMYFUNCTION("""COMPUTED_VALUE"""),"E Pluribus Unum")</f>
        <v>E Pluribus Unum</v>
      </c>
      <c r="E74" s="30" t="str">
        <f>IFERROR(__xludf.DUMMYFUNCTION("""COMPUTED_VALUE"""),"Riverton")</f>
        <v>Riverton</v>
      </c>
      <c r="F74" s="31">
        <f>IFERROR(__xludf.DUMMYFUNCTION("""COMPUTED_VALUE"""),17.0)</f>
        <v>17</v>
      </c>
      <c r="G74" s="32">
        <f>IFERROR(__xludf.DUMMYFUNCTION("""COMPUTED_VALUE"""),1128.0)</f>
        <v>1128</v>
      </c>
      <c r="H74" s="33" t="str">
        <f>IFERROR(__xludf.DUMMYFUNCTION("""COMPUTED_VALUE"""),"")</f>
        <v/>
      </c>
      <c r="I74" s="34">
        <f>IFERROR(__xludf.DUMMYFUNCTION("""COMPUTED_VALUE"""),51.5)</f>
        <v>51.5</v>
      </c>
      <c r="J74" s="35" t="str">
        <f>IFERROR(__xludf.DUMMYFUNCTION("""COMPUTED_VALUE"""),"AP")</f>
        <v>AP</v>
      </c>
      <c r="K74" s="34">
        <f>IFERROR(__xludf.DUMMYFUNCTION("""COMPUTED_VALUE"""),33.0)</f>
        <v>33</v>
      </c>
      <c r="L74" s="35" t="str">
        <f>IFERROR(__xludf.DUMMYFUNCTION("""COMPUTED_VALUE"""),"%")</f>
        <v>%</v>
      </c>
      <c r="M74" s="36">
        <f>IFERROR(__xludf.DUMMYFUNCTION("""COMPUTED_VALUE"""),1.0)</f>
        <v>1</v>
      </c>
      <c r="N74" s="37" t="str">
        <f>IFERROR(__xludf.DUMMYFUNCTION("""COMPUTED_VALUE"""),"A301")</f>
        <v>A301</v>
      </c>
      <c r="O74" s="38" t="str">
        <f>IFERROR(__xludf.DUMMYFUNCTION("""COMPUTED_VALUE"""),"")</f>
        <v/>
      </c>
      <c r="P74" s="34">
        <f>IFERROR(__xludf.DUMMYFUNCTION("""COMPUTED_VALUE"""),40.5)</f>
        <v>40.5</v>
      </c>
      <c r="Q74" s="35" t="str">
        <f>IFERROR(__xludf.DUMMYFUNCTION("""COMPUTED_VALUE"""),"AP")</f>
        <v>AP</v>
      </c>
      <c r="R74" s="34">
        <f>IFERROR(__xludf.DUMMYFUNCTION("""COMPUTED_VALUE"""),42.0)</f>
        <v>42</v>
      </c>
      <c r="S74" s="35" t="str">
        <f>IFERROR(__xludf.DUMMYFUNCTION("""COMPUTED_VALUE"""),"%")</f>
        <v>%</v>
      </c>
      <c r="T74" s="36">
        <f>IFERROR(__xludf.DUMMYFUNCTION("""COMPUTED_VALUE"""),2.0)</f>
        <v>2</v>
      </c>
      <c r="U74" s="37"/>
      <c r="V74" s="38"/>
      <c r="W74" s="34" t="str">
        <f>IFERROR(__xludf.DUMMYFUNCTION("""COMPUTED_VALUE"""),"")</f>
        <v/>
      </c>
      <c r="X74" s="35" t="str">
        <f>IFERROR(__xludf.DUMMYFUNCTION("""COMPUTED_VALUE"""),"AP")</f>
        <v>AP</v>
      </c>
      <c r="Y74" s="34" t="str">
        <f>IFERROR(__xludf.DUMMYFUNCTION("""COMPUTED_VALUE"""),"")</f>
        <v/>
      </c>
      <c r="Z74" s="35" t="str">
        <f>IFERROR(__xludf.DUMMYFUNCTION("""COMPUTED_VALUE"""),"%")</f>
        <v>%</v>
      </c>
      <c r="AA74" s="36">
        <f>IFERROR(__xludf.DUMMYFUNCTION("""COMPUTED_VALUE"""),3.0)</f>
        <v>3</v>
      </c>
      <c r="AB74" s="37"/>
      <c r="AC74" s="38"/>
      <c r="AD74" s="34" t="str">
        <f>IFERROR(__xludf.DUMMYFUNCTION("""COMPUTED_VALUE"""),"")</f>
        <v/>
      </c>
      <c r="AE74" s="35" t="str">
        <f>IFERROR(__xludf.DUMMYFUNCTION("""COMPUTED_VALUE"""),"AP")</f>
        <v>AP</v>
      </c>
      <c r="AF74" s="34" t="str">
        <f>IFERROR(__xludf.DUMMYFUNCTION("""COMPUTED_VALUE"""),"")</f>
        <v/>
      </c>
      <c r="AG74" s="35" t="str">
        <f>IFERROR(__xludf.DUMMYFUNCTION("""COMPUTED_VALUE"""),"%")</f>
        <v>%</v>
      </c>
      <c r="AH74" s="31">
        <f>IFERROR(__xludf.DUMMYFUNCTION("""COMPUTED_VALUE"""),17.0)</f>
        <v>17</v>
      </c>
      <c r="AI74" s="32">
        <f>IFERROR(__xludf.DUMMYFUNCTION("""COMPUTED_VALUE"""),1128.0)</f>
        <v>1128</v>
      </c>
      <c r="AJ74" s="39" t="str">
        <f>IFERROR(__xludf.DUMMYFUNCTION("""COMPUTED_VALUE"""),"リバートン")</f>
        <v>リバートン</v>
      </c>
    </row>
    <row r="75" ht="24.75" customHeight="1">
      <c r="A75" s="40">
        <f>IFERROR(__xludf.DUMMYFUNCTION("""COMPUTED_VALUE"""),4.0)</f>
        <v>4</v>
      </c>
      <c r="B75" s="40" t="str">
        <f>IFERROR(__xludf.DUMMYFUNCTION("""COMPUTED_VALUE"""),"A304")</f>
        <v>A304</v>
      </c>
      <c r="C75" s="40" t="str">
        <f>IFERROR(__xludf.DUMMYFUNCTION("""COMPUTED_VALUE"""),"SEP7")</f>
        <v>SEP7</v>
      </c>
      <c r="D75" s="41" t="str">
        <f>IFERROR(__xludf.DUMMYFUNCTION("""COMPUTED_VALUE"""),"Septem")</f>
        <v>Septem</v>
      </c>
      <c r="E75" s="42" t="str">
        <f>IFERROR(__xludf.DUMMYFUNCTION("""COMPUTED_VALUE"""),"Massilia")</f>
        <v>Massilia</v>
      </c>
      <c r="F75" s="43">
        <f>IFERROR(__xludf.DUMMYFUNCTION("""COMPUTED_VALUE"""),9.0)</f>
        <v>9</v>
      </c>
      <c r="G75" s="44">
        <f>IFERROR(__xludf.DUMMYFUNCTION("""COMPUTED_VALUE"""),1103.0)</f>
        <v>1103</v>
      </c>
      <c r="H75" s="33" t="str">
        <f>IFERROR(__xludf.DUMMYFUNCTION("""COMPUTED_VALUE"""),"")</f>
        <v/>
      </c>
      <c r="I75" s="45">
        <f>IFERROR(__xludf.DUMMYFUNCTION("""COMPUTED_VALUE"""),55.2)</f>
        <v>55.2</v>
      </c>
      <c r="J75" s="46" t="str">
        <f>IFERROR(__xludf.DUMMYFUNCTION("""COMPUTED_VALUE"""),"AP")</f>
        <v>AP</v>
      </c>
      <c r="K75" s="47">
        <f>IFERROR(__xludf.DUMMYFUNCTION("""COMPUTED_VALUE"""),16.3)</f>
        <v>16.3</v>
      </c>
      <c r="L75" s="48" t="str">
        <f>IFERROR(__xludf.DUMMYFUNCTION("""COMPUTED_VALUE"""),"%")</f>
        <v>%</v>
      </c>
      <c r="M75" s="49">
        <f>IFERROR(__xludf.DUMMYFUNCTION("""COMPUTED_VALUE"""),1.0)</f>
        <v>1</v>
      </c>
      <c r="N75" s="50" t="str">
        <f>IFERROR(__xludf.DUMMYFUNCTION("""COMPUTED_VALUE"""),"A301")</f>
        <v>A301</v>
      </c>
      <c r="O75" s="38" t="str">
        <f>IFERROR(__xludf.DUMMYFUNCTION("""COMPUTED_VALUE"""),"")</f>
        <v/>
      </c>
      <c r="P75" s="45">
        <f>IFERROR(__xludf.DUMMYFUNCTION("""COMPUTED_VALUE"""),64.0)</f>
        <v>64</v>
      </c>
      <c r="Q75" s="46" t="str">
        <f>IFERROR(__xludf.DUMMYFUNCTION("""COMPUTED_VALUE"""),"AP")</f>
        <v>AP</v>
      </c>
      <c r="R75" s="47">
        <f>IFERROR(__xludf.DUMMYFUNCTION("""COMPUTED_VALUE"""),14.1)</f>
        <v>14.1</v>
      </c>
      <c r="S75" s="48" t="str">
        <f>IFERROR(__xludf.DUMMYFUNCTION("""COMPUTED_VALUE"""),"%")</f>
        <v>%</v>
      </c>
      <c r="T75" s="49">
        <f>IFERROR(__xludf.DUMMYFUNCTION("""COMPUTED_VALUE"""),2.0)</f>
        <v>2</v>
      </c>
      <c r="U75" s="50"/>
      <c r="V75" s="38"/>
      <c r="W75" s="45" t="str">
        <f>IFERROR(__xludf.DUMMYFUNCTION("""COMPUTED_VALUE"""),"")</f>
        <v/>
      </c>
      <c r="X75" s="46" t="str">
        <f>IFERROR(__xludf.DUMMYFUNCTION("""COMPUTED_VALUE"""),"AP")</f>
        <v>AP</v>
      </c>
      <c r="Y75" s="47" t="str">
        <f>IFERROR(__xludf.DUMMYFUNCTION("""COMPUTED_VALUE"""),"")</f>
        <v/>
      </c>
      <c r="Z75" s="48" t="str">
        <f>IFERROR(__xludf.DUMMYFUNCTION("""COMPUTED_VALUE"""),"%")</f>
        <v>%</v>
      </c>
      <c r="AA75" s="49">
        <f>IFERROR(__xludf.DUMMYFUNCTION("""COMPUTED_VALUE"""),3.0)</f>
        <v>3</v>
      </c>
      <c r="AB75" s="50"/>
      <c r="AC75" s="38"/>
      <c r="AD75" s="45" t="str">
        <f>IFERROR(__xludf.DUMMYFUNCTION("""COMPUTED_VALUE"""),"")</f>
        <v/>
      </c>
      <c r="AE75" s="46" t="str">
        <f>IFERROR(__xludf.DUMMYFUNCTION("""COMPUTED_VALUE"""),"AP")</f>
        <v>AP</v>
      </c>
      <c r="AF75" s="47" t="str">
        <f>IFERROR(__xludf.DUMMYFUNCTION("""COMPUTED_VALUE"""),"")</f>
        <v/>
      </c>
      <c r="AG75" s="48" t="str">
        <f>IFERROR(__xludf.DUMMYFUNCTION("""COMPUTED_VALUE"""),"%")</f>
        <v>%</v>
      </c>
      <c r="AH75" s="43">
        <f>IFERROR(__xludf.DUMMYFUNCTION("""COMPUTED_VALUE"""),9.0)</f>
        <v>9</v>
      </c>
      <c r="AI75" s="44">
        <f>IFERROR(__xludf.DUMMYFUNCTION("""COMPUTED_VALUE"""),1103.0)</f>
        <v>1103</v>
      </c>
      <c r="AJ75" s="51" t="str">
        <f>IFERROR(__xludf.DUMMYFUNCTION("""COMPUTED_VALUE"""),"マッシリア")</f>
        <v>マッシリア</v>
      </c>
    </row>
    <row r="76" ht="24.75" customHeight="1">
      <c r="A76" s="28">
        <f>IFERROR(__xludf.DUMMYFUNCTION("""COMPUTED_VALUE"""),5.0)</f>
        <v>5</v>
      </c>
      <c r="B76" s="28" t="str">
        <f>IFERROR(__xludf.DUMMYFUNCTION("""COMPUTED_VALUE"""),"A304")</f>
        <v>A304</v>
      </c>
      <c r="C76" s="28" t="str">
        <f>IFERROR(__xludf.DUMMYFUNCTION("""COMPUTED_VALUE"""),"OKN10")</f>
        <v>OKN10</v>
      </c>
      <c r="D76" s="29" t="str">
        <f>IFERROR(__xludf.DUMMYFUNCTION("""COMPUTED_VALUE"""),"Okeanos")</f>
        <v>Okeanos</v>
      </c>
      <c r="E76" s="30" t="str">
        <f>IFERROR(__xludf.DUMMYFUNCTION("""COMPUTED_VALUE"""),"Archipelago (Quiet Bay)")</f>
        <v>Archipelago (Quiet Bay)</v>
      </c>
      <c r="F76" s="31">
        <f>IFERROR(__xludf.DUMMYFUNCTION("""COMPUTED_VALUE"""),15.0)</f>
        <v>15</v>
      </c>
      <c r="G76" s="32">
        <f>IFERROR(__xludf.DUMMYFUNCTION("""COMPUTED_VALUE"""),1130.0)</f>
        <v>1130</v>
      </c>
      <c r="H76" s="33" t="str">
        <f>IFERROR(__xludf.DUMMYFUNCTION("""COMPUTED_VALUE"""),"")</f>
        <v/>
      </c>
      <c r="I76" s="34">
        <f>IFERROR(__xludf.DUMMYFUNCTION("""COMPUTED_VALUE"""),59.9)</f>
        <v>59.9</v>
      </c>
      <c r="J76" s="35" t="str">
        <f>IFERROR(__xludf.DUMMYFUNCTION("""COMPUTED_VALUE"""),"AP")</f>
        <v>AP</v>
      </c>
      <c r="K76" s="34">
        <f>IFERROR(__xludf.DUMMYFUNCTION("""COMPUTED_VALUE"""),25.0)</f>
        <v>25</v>
      </c>
      <c r="L76" s="35" t="str">
        <f>IFERROR(__xludf.DUMMYFUNCTION("""COMPUTED_VALUE"""),"%")</f>
        <v>%</v>
      </c>
      <c r="M76" s="36">
        <f>IFERROR(__xludf.DUMMYFUNCTION("""COMPUTED_VALUE"""),1.0)</f>
        <v>1</v>
      </c>
      <c r="N76" s="37" t="str">
        <f>IFERROR(__xludf.DUMMYFUNCTION("""COMPUTED_VALUE"""),"A301")</f>
        <v>A301</v>
      </c>
      <c r="O76" s="38" t="str">
        <f>IFERROR(__xludf.DUMMYFUNCTION("""COMPUTED_VALUE"""),"")</f>
        <v/>
      </c>
      <c r="P76" s="34">
        <f>IFERROR(__xludf.DUMMYFUNCTION("""COMPUTED_VALUE"""),80.7)</f>
        <v>80.7</v>
      </c>
      <c r="Q76" s="35" t="str">
        <f>IFERROR(__xludf.DUMMYFUNCTION("""COMPUTED_VALUE"""),"AP")</f>
        <v>AP</v>
      </c>
      <c r="R76" s="34">
        <f>IFERROR(__xludf.DUMMYFUNCTION("""COMPUTED_VALUE"""),18.6)</f>
        <v>18.6</v>
      </c>
      <c r="S76" s="35" t="str">
        <f>IFERROR(__xludf.DUMMYFUNCTION("""COMPUTED_VALUE"""),"%")</f>
        <v>%</v>
      </c>
      <c r="T76" s="36">
        <f>IFERROR(__xludf.DUMMYFUNCTION("""COMPUTED_VALUE"""),2.0)</f>
        <v>2</v>
      </c>
      <c r="U76" s="37" t="str">
        <f>IFERROR(__xludf.DUMMYFUNCTION("""COMPUTED_VALUE"""),"A303")</f>
        <v>A303</v>
      </c>
      <c r="V76" s="38" t="str">
        <f>IFERROR(__xludf.DUMMYFUNCTION("""COMPUTED_VALUE"""),"")</f>
        <v/>
      </c>
      <c r="W76" s="34">
        <f>IFERROR(__xludf.DUMMYFUNCTION("""COMPUTED_VALUE"""),122.8)</f>
        <v>122.8</v>
      </c>
      <c r="X76" s="35" t="str">
        <f>IFERROR(__xludf.DUMMYFUNCTION("""COMPUTED_VALUE"""),"AP")</f>
        <v>AP</v>
      </c>
      <c r="Y76" s="34">
        <f>IFERROR(__xludf.DUMMYFUNCTION("""COMPUTED_VALUE"""),12.2)</f>
        <v>12.2</v>
      </c>
      <c r="Z76" s="35" t="str">
        <f>IFERROR(__xludf.DUMMYFUNCTION("""COMPUTED_VALUE"""),"%")</f>
        <v>%</v>
      </c>
      <c r="AA76" s="36">
        <f>IFERROR(__xludf.DUMMYFUNCTION("""COMPUTED_VALUE"""),3.0)</f>
        <v>3</v>
      </c>
      <c r="AB76" s="37"/>
      <c r="AC76" s="38"/>
      <c r="AD76" s="34" t="str">
        <f>IFERROR(__xludf.DUMMYFUNCTION("""COMPUTED_VALUE"""),"")</f>
        <v/>
      </c>
      <c r="AE76" s="35" t="str">
        <f>IFERROR(__xludf.DUMMYFUNCTION("""COMPUTED_VALUE"""),"AP")</f>
        <v>AP</v>
      </c>
      <c r="AF76" s="34" t="str">
        <f>IFERROR(__xludf.DUMMYFUNCTION("""COMPUTED_VALUE"""),"")</f>
        <v/>
      </c>
      <c r="AG76" s="35" t="str">
        <f>IFERROR(__xludf.DUMMYFUNCTION("""COMPUTED_VALUE"""),"%")</f>
        <v>%</v>
      </c>
      <c r="AH76" s="31">
        <f>IFERROR(__xludf.DUMMYFUNCTION("""COMPUTED_VALUE"""),15.0)</f>
        <v>15</v>
      </c>
      <c r="AI76" s="32">
        <f>IFERROR(__xludf.DUMMYFUNCTION("""COMPUTED_VALUE"""),1130.0)</f>
        <v>1130</v>
      </c>
      <c r="AJ76" s="39" t="str">
        <f>IFERROR(__xludf.DUMMYFUNCTION("""COMPUTED_VALUE"""),"群島（静かな入り江）")</f>
        <v>群島（静かな入り江）</v>
      </c>
    </row>
    <row r="77" ht="24.75" customHeight="1">
      <c r="A77" s="40">
        <f>IFERROR(__xludf.DUMMYFUNCTION("""COMPUTED_VALUE"""),6.0)</f>
        <v>6</v>
      </c>
      <c r="B77" s="40" t="str">
        <f>IFERROR(__xludf.DUMMYFUNCTION("""COMPUTED_VALUE"""),"A304")</f>
        <v>A304</v>
      </c>
      <c r="C77" s="40" t="str">
        <f>IFERROR(__xludf.DUMMYFUNCTION("""COMPUTED_VALUE"""),"GTT1")</f>
        <v>GTT1</v>
      </c>
      <c r="D77" s="41" t="str">
        <f>IFERROR(__xludf.DUMMYFUNCTION("""COMPUTED_VALUE"""),"Götterdämmerung")</f>
        <v>Götterdämmerung</v>
      </c>
      <c r="E77" s="42" t="str">
        <f>IFERROR(__xludf.DUMMYFUNCTION("""COMPUTED_VALUE"""),"Landing Point")</f>
        <v>Landing Point</v>
      </c>
      <c r="F77" s="43">
        <f>IFERROR(__xludf.DUMMYFUNCTION("""COMPUTED_VALUE"""),20.0)</f>
        <v>20</v>
      </c>
      <c r="G77" s="44">
        <f>IFERROR(__xludf.DUMMYFUNCTION("""COMPUTED_VALUE"""),7996.0)</f>
        <v>7996</v>
      </c>
      <c r="H77" s="33" t="str">
        <f>IFERROR(__xludf.DUMMYFUNCTION("""COMPUTED_VALUE"""),"")</f>
        <v/>
      </c>
      <c r="I77" s="45">
        <f>IFERROR(__xludf.DUMMYFUNCTION("""COMPUTED_VALUE"""),65.0)</f>
        <v>65</v>
      </c>
      <c r="J77" s="46" t="str">
        <f>IFERROR(__xludf.DUMMYFUNCTION("""COMPUTED_VALUE"""),"AP")</f>
        <v>AP</v>
      </c>
      <c r="K77" s="47">
        <f>IFERROR(__xludf.DUMMYFUNCTION("""COMPUTED_VALUE"""),30.8)</f>
        <v>30.8</v>
      </c>
      <c r="L77" s="48" t="str">
        <f>IFERROR(__xludf.DUMMYFUNCTION("""COMPUTED_VALUE"""),"%")</f>
        <v>%</v>
      </c>
      <c r="M77" s="49">
        <f>IFERROR(__xludf.DUMMYFUNCTION("""COMPUTED_VALUE"""),1.0)</f>
        <v>1</v>
      </c>
      <c r="N77" s="50" t="str">
        <f>IFERROR(__xludf.DUMMYFUNCTION("""COMPUTED_VALUE"""),"A110")</f>
        <v>A110</v>
      </c>
      <c r="O77" s="38" t="str">
        <f>IFERROR(__xludf.DUMMYFUNCTION("""COMPUTED_VALUE"""),"")</f>
        <v/>
      </c>
      <c r="P77" s="45">
        <f>IFERROR(__xludf.DUMMYFUNCTION("""COMPUTED_VALUE"""),164.9)</f>
        <v>164.9</v>
      </c>
      <c r="Q77" s="46" t="str">
        <f>IFERROR(__xludf.DUMMYFUNCTION("""COMPUTED_VALUE"""),"AP")</f>
        <v>AP</v>
      </c>
      <c r="R77" s="47">
        <f>IFERROR(__xludf.DUMMYFUNCTION("""COMPUTED_VALUE"""),12.1)</f>
        <v>12.1</v>
      </c>
      <c r="S77" s="48" t="str">
        <f>IFERROR(__xludf.DUMMYFUNCTION("""COMPUTED_VALUE"""),"%")</f>
        <v>%</v>
      </c>
      <c r="T77" s="49">
        <f>IFERROR(__xludf.DUMMYFUNCTION("""COMPUTED_VALUE"""),2.0)</f>
        <v>2</v>
      </c>
      <c r="U77" s="50" t="str">
        <f>IFERROR(__xludf.DUMMYFUNCTION("""COMPUTED_VALUE"""),"A201")</f>
        <v>A201</v>
      </c>
      <c r="V77" s="38" t="str">
        <f>IFERROR(__xludf.DUMMYFUNCTION("""COMPUTED_VALUE"""),"")</f>
        <v/>
      </c>
      <c r="W77" s="45">
        <f>IFERROR(__xludf.DUMMYFUNCTION("""COMPUTED_VALUE"""),77.3)</f>
        <v>77.3</v>
      </c>
      <c r="X77" s="46" t="str">
        <f>IFERROR(__xludf.DUMMYFUNCTION("""COMPUTED_VALUE"""),"AP")</f>
        <v>AP</v>
      </c>
      <c r="Y77" s="47">
        <f>IFERROR(__xludf.DUMMYFUNCTION("""COMPUTED_VALUE"""),25.9)</f>
        <v>25.9</v>
      </c>
      <c r="Z77" s="48" t="str">
        <f>IFERROR(__xludf.DUMMYFUNCTION("""COMPUTED_VALUE"""),"%")</f>
        <v>%</v>
      </c>
      <c r="AA77" s="49">
        <f>IFERROR(__xludf.DUMMYFUNCTION("""COMPUTED_VALUE"""),3.0)</f>
        <v>3</v>
      </c>
      <c r="AB77" s="50" t="str">
        <f>IFERROR(__xludf.DUMMYFUNCTION("""COMPUTED_VALUE"""),"B116")</f>
        <v>B116</v>
      </c>
      <c r="AC77" s="38" t="str">
        <f>IFERROR(__xludf.DUMMYFUNCTION("""COMPUTED_VALUE"""),"")</f>
        <v/>
      </c>
      <c r="AD77" s="45">
        <f>IFERROR(__xludf.DUMMYFUNCTION("""COMPUTED_VALUE"""),242.4)</f>
        <v>242.4</v>
      </c>
      <c r="AE77" s="46" t="str">
        <f>IFERROR(__xludf.DUMMYFUNCTION("""COMPUTED_VALUE"""),"AP")</f>
        <v>AP</v>
      </c>
      <c r="AF77" s="47">
        <f>IFERROR(__xludf.DUMMYFUNCTION("""COMPUTED_VALUE"""),8.2)</f>
        <v>8.2</v>
      </c>
      <c r="AG77" s="48" t="str">
        <f>IFERROR(__xludf.DUMMYFUNCTION("""COMPUTED_VALUE"""),"%")</f>
        <v>%</v>
      </c>
      <c r="AH77" s="43">
        <f>IFERROR(__xludf.DUMMYFUNCTION("""COMPUTED_VALUE"""),20.0)</f>
        <v>20</v>
      </c>
      <c r="AI77" s="44">
        <f>IFERROR(__xludf.DUMMYFUNCTION("""COMPUTED_VALUE"""),7996.0)</f>
        <v>7996</v>
      </c>
      <c r="AJ77" s="51" t="str">
        <f>IFERROR(__xludf.DUMMYFUNCTION("""COMPUTED_VALUE"""),"ランディングポイント")</f>
        <v>ランディングポイント</v>
      </c>
    </row>
    <row r="78" ht="24.75" customHeight="1">
      <c r="A78" s="28">
        <f>IFERROR(__xludf.DUMMYFUNCTION("""COMPUTED_VALUE"""),7.0)</f>
        <v>7</v>
      </c>
      <c r="B78" s="28" t="str">
        <f>IFERROR(__xludf.DUMMYFUNCTION("""COMPUTED_VALUE"""),"A304")</f>
        <v>A304</v>
      </c>
      <c r="C78" s="28" t="str">
        <f>IFERROR(__xludf.DUMMYFUNCTION("""COMPUTED_VALUE"""),"SIN5")</f>
        <v>SIN5</v>
      </c>
      <c r="D78" s="29" t="str">
        <f>IFERROR(__xludf.DUMMYFUNCTION("""COMPUTED_VALUE"""),"SIN")</f>
        <v>SIN</v>
      </c>
      <c r="E78" s="30" t="str">
        <f>IFERROR(__xludf.DUMMYFUNCTION("""COMPUTED_VALUE"""),"Jingyang Field")</f>
        <v>Jingyang Field</v>
      </c>
      <c r="F78" s="31">
        <f>IFERROR(__xludf.DUMMYFUNCTION("""COMPUTED_VALUE"""),21.0)</f>
        <v>21</v>
      </c>
      <c r="G78" s="32">
        <f>IFERROR(__xludf.DUMMYFUNCTION("""COMPUTED_VALUE"""),5852.0)</f>
        <v>5852</v>
      </c>
      <c r="H78" s="33" t="str">
        <f>IFERROR(__xludf.DUMMYFUNCTION("""COMPUTED_VALUE"""),"")</f>
        <v/>
      </c>
      <c r="I78" s="34">
        <f>IFERROR(__xludf.DUMMYFUNCTION("""COMPUTED_VALUE"""),65.4)</f>
        <v>65.4</v>
      </c>
      <c r="J78" s="35" t="str">
        <f>IFERROR(__xludf.DUMMYFUNCTION("""COMPUTED_VALUE"""),"AP")</f>
        <v>AP</v>
      </c>
      <c r="K78" s="34">
        <f>IFERROR(__xludf.DUMMYFUNCTION("""COMPUTED_VALUE"""),32.1)</f>
        <v>32.1</v>
      </c>
      <c r="L78" s="35" t="str">
        <f>IFERROR(__xludf.DUMMYFUNCTION("""COMPUTED_VALUE"""),"%")</f>
        <v>%</v>
      </c>
      <c r="M78" s="36">
        <f>IFERROR(__xludf.DUMMYFUNCTION("""COMPUTED_VALUE"""),1.0)</f>
        <v>1</v>
      </c>
      <c r="N78" s="37" t="str">
        <f>IFERROR(__xludf.DUMMYFUNCTION("""COMPUTED_VALUE"""),"A113")</f>
        <v>A113</v>
      </c>
      <c r="O78" s="38" t="str">
        <f>IFERROR(__xludf.DUMMYFUNCTION("""COMPUTED_VALUE"""),"")</f>
        <v/>
      </c>
      <c r="P78" s="34">
        <f>IFERROR(__xludf.DUMMYFUNCTION("""COMPUTED_VALUE"""),134.2)</f>
        <v>134.2</v>
      </c>
      <c r="Q78" s="35" t="str">
        <f>IFERROR(__xludf.DUMMYFUNCTION("""COMPUTED_VALUE"""),"AP")</f>
        <v>AP</v>
      </c>
      <c r="R78" s="34">
        <f>IFERROR(__xludf.DUMMYFUNCTION("""COMPUTED_VALUE"""),15.7)</f>
        <v>15.7</v>
      </c>
      <c r="S78" s="35" t="str">
        <f>IFERROR(__xludf.DUMMYFUNCTION("""COMPUTED_VALUE"""),"%")</f>
        <v>%</v>
      </c>
      <c r="T78" s="36">
        <f>IFERROR(__xludf.DUMMYFUNCTION("""COMPUTED_VALUE"""),2.0)</f>
        <v>2</v>
      </c>
      <c r="U78" s="37" t="str">
        <f>IFERROR(__xludf.DUMMYFUNCTION("""COMPUTED_VALUE"""),"A214")</f>
        <v>A214</v>
      </c>
      <c r="V78" s="38" t="str">
        <f>IFERROR(__xludf.DUMMYFUNCTION("""COMPUTED_VALUE"""),"")</f>
        <v/>
      </c>
      <c r="W78" s="34">
        <f>IFERROR(__xludf.DUMMYFUNCTION("""COMPUTED_VALUE"""),101.6)</f>
        <v>101.6</v>
      </c>
      <c r="X78" s="35" t="str">
        <f>IFERROR(__xludf.DUMMYFUNCTION("""COMPUTED_VALUE"""),"AP")</f>
        <v>AP</v>
      </c>
      <c r="Y78" s="34">
        <f>IFERROR(__xludf.DUMMYFUNCTION("""COMPUTED_VALUE"""),20.7)</f>
        <v>20.7</v>
      </c>
      <c r="Z78" s="35" t="str">
        <f>IFERROR(__xludf.DUMMYFUNCTION("""COMPUTED_VALUE"""),"%")</f>
        <v>%</v>
      </c>
      <c r="AA78" s="36">
        <f>IFERROR(__xludf.DUMMYFUNCTION("""COMPUTED_VALUE"""),3.0)</f>
        <v>3</v>
      </c>
      <c r="AB78" s="37" t="str">
        <f>IFERROR(__xludf.DUMMYFUNCTION("""COMPUTED_VALUE"""),"B112")</f>
        <v>B112</v>
      </c>
      <c r="AC78" s="38" t="str">
        <f>IFERROR(__xludf.DUMMYFUNCTION("""COMPUTED_VALUE"""),"")</f>
        <v/>
      </c>
      <c r="AD78" s="34">
        <f>IFERROR(__xludf.DUMMYFUNCTION("""COMPUTED_VALUE"""),207.8)</f>
        <v>207.8</v>
      </c>
      <c r="AE78" s="35" t="str">
        <f>IFERROR(__xludf.DUMMYFUNCTION("""COMPUTED_VALUE"""),"AP")</f>
        <v>AP</v>
      </c>
      <c r="AF78" s="34">
        <f>IFERROR(__xludf.DUMMYFUNCTION("""COMPUTED_VALUE"""),10.1)</f>
        <v>10.1</v>
      </c>
      <c r="AG78" s="35" t="str">
        <f>IFERROR(__xludf.DUMMYFUNCTION("""COMPUTED_VALUE"""),"%")</f>
        <v>%</v>
      </c>
      <c r="AH78" s="31">
        <f>IFERROR(__xludf.DUMMYFUNCTION("""COMPUTED_VALUE"""),21.0)</f>
        <v>21</v>
      </c>
      <c r="AI78" s="32">
        <f>IFERROR(__xludf.DUMMYFUNCTION("""COMPUTED_VALUE"""),5852.0)</f>
        <v>5852</v>
      </c>
      <c r="AJ78" s="39" t="str">
        <f>IFERROR(__xludf.DUMMYFUNCTION("""COMPUTED_VALUE"""),"景陽原")</f>
        <v>景陽原</v>
      </c>
    </row>
    <row r="79" ht="24.75" customHeight="1">
      <c r="A79" s="40">
        <f>IFERROR(__xludf.DUMMYFUNCTION("""COMPUTED_VALUE"""),8.0)</f>
        <v>8</v>
      </c>
      <c r="B79" s="40" t="str">
        <f>IFERROR(__xludf.DUMMYFUNCTION("""COMPUTED_VALUE"""),"A304")</f>
        <v>A304</v>
      </c>
      <c r="C79" s="40" t="str">
        <f>IFERROR(__xludf.DUMMYFUNCTION("""COMPUTED_VALUE"""),"YKS2")</f>
        <v>YKS2</v>
      </c>
      <c r="D79" s="41" t="str">
        <f>IFERROR(__xludf.DUMMYFUNCTION("""COMPUTED_VALUE"""),"Yuga Kurukshetra")</f>
        <v>Yuga Kurukshetra</v>
      </c>
      <c r="E79" s="42" t="str">
        <f>IFERROR(__xludf.DUMMYFUNCTION("""COMPUTED_VALUE"""),"Bich")</f>
        <v>Bich</v>
      </c>
      <c r="F79" s="43">
        <f>IFERROR(__xludf.DUMMYFUNCTION("""COMPUTED_VALUE"""),20.0)</f>
        <v>20</v>
      </c>
      <c r="G79" s="44">
        <f>IFERROR(__xludf.DUMMYFUNCTION("""COMPUTED_VALUE"""),7416.0)</f>
        <v>7416</v>
      </c>
      <c r="H79" s="33" t="str">
        <f>IFERROR(__xludf.DUMMYFUNCTION("""COMPUTED_VALUE"""),"")</f>
        <v/>
      </c>
      <c r="I79" s="45">
        <f>IFERROR(__xludf.DUMMYFUNCTION("""COMPUTED_VALUE"""),65.8)</f>
        <v>65.8</v>
      </c>
      <c r="J79" s="46" t="str">
        <f>IFERROR(__xludf.DUMMYFUNCTION("""COMPUTED_VALUE"""),"AP")</f>
        <v>AP</v>
      </c>
      <c r="K79" s="47">
        <f>IFERROR(__xludf.DUMMYFUNCTION("""COMPUTED_VALUE"""),30.4)</f>
        <v>30.4</v>
      </c>
      <c r="L79" s="48" t="str">
        <f>IFERROR(__xludf.DUMMYFUNCTION("""COMPUTED_VALUE"""),"%")</f>
        <v>%</v>
      </c>
      <c r="M79" s="49">
        <f>IFERROR(__xludf.DUMMYFUNCTION("""COMPUTED_VALUE"""),1.0)</f>
        <v>1</v>
      </c>
      <c r="N79" s="50" t="str">
        <f>IFERROR(__xludf.DUMMYFUNCTION("""COMPUTED_VALUE"""),"A205")</f>
        <v>A205</v>
      </c>
      <c r="O79" s="38" t="str">
        <f>IFERROR(__xludf.DUMMYFUNCTION("""COMPUTED_VALUE"""),"")</f>
        <v/>
      </c>
      <c r="P79" s="45">
        <f>IFERROR(__xludf.DUMMYFUNCTION("""COMPUTED_VALUE"""),131.0)</f>
        <v>131</v>
      </c>
      <c r="Q79" s="46" t="str">
        <f>IFERROR(__xludf.DUMMYFUNCTION("""COMPUTED_VALUE"""),"AP")</f>
        <v>AP</v>
      </c>
      <c r="R79" s="47">
        <f>IFERROR(__xludf.DUMMYFUNCTION("""COMPUTED_VALUE"""),15.3)</f>
        <v>15.3</v>
      </c>
      <c r="S79" s="48" t="str">
        <f>IFERROR(__xludf.DUMMYFUNCTION("""COMPUTED_VALUE"""),"%")</f>
        <v>%</v>
      </c>
      <c r="T79" s="49">
        <f>IFERROR(__xludf.DUMMYFUNCTION("""COMPUTED_VALUE"""),2.0)</f>
        <v>2</v>
      </c>
      <c r="U79" s="50" t="str">
        <f>IFERROR(__xludf.DUMMYFUNCTION("""COMPUTED_VALUE"""),"A217")</f>
        <v>A217</v>
      </c>
      <c r="V79" s="38" t="str">
        <f>IFERROR(__xludf.DUMMYFUNCTION("""COMPUTED_VALUE"""),"")</f>
        <v/>
      </c>
      <c r="W79" s="45">
        <f>IFERROR(__xludf.DUMMYFUNCTION("""COMPUTED_VALUE"""),100.8)</f>
        <v>100.8</v>
      </c>
      <c r="X79" s="46" t="str">
        <f>IFERROR(__xludf.DUMMYFUNCTION("""COMPUTED_VALUE"""),"AP")</f>
        <v>AP</v>
      </c>
      <c r="Y79" s="47">
        <f>IFERROR(__xludf.DUMMYFUNCTION("""COMPUTED_VALUE"""),19.8)</f>
        <v>19.8</v>
      </c>
      <c r="Z79" s="48" t="str">
        <f>IFERROR(__xludf.DUMMYFUNCTION("""COMPUTED_VALUE"""),"%")</f>
        <v>%</v>
      </c>
      <c r="AA79" s="49">
        <f>IFERROR(__xludf.DUMMYFUNCTION("""COMPUTED_VALUE"""),3.0)</f>
        <v>3</v>
      </c>
      <c r="AB79" s="50" t="str">
        <f>IFERROR(__xludf.DUMMYFUNCTION("""COMPUTED_VALUE"""),"B115")</f>
        <v>B115</v>
      </c>
      <c r="AC79" s="38" t="str">
        <f>IFERROR(__xludf.DUMMYFUNCTION("""COMPUTED_VALUE"""),"")</f>
        <v/>
      </c>
      <c r="AD79" s="45">
        <f>IFERROR(__xludf.DUMMYFUNCTION("""COMPUTED_VALUE"""),192.1)</f>
        <v>192.1</v>
      </c>
      <c r="AE79" s="46" t="str">
        <f>IFERROR(__xludf.DUMMYFUNCTION("""COMPUTED_VALUE"""),"AP")</f>
        <v>AP</v>
      </c>
      <c r="AF79" s="47">
        <f>IFERROR(__xludf.DUMMYFUNCTION("""COMPUTED_VALUE"""),10.4)</f>
        <v>10.4</v>
      </c>
      <c r="AG79" s="48" t="str">
        <f>IFERROR(__xludf.DUMMYFUNCTION("""COMPUTED_VALUE"""),"%")</f>
        <v>%</v>
      </c>
      <c r="AH79" s="43">
        <f>IFERROR(__xludf.DUMMYFUNCTION("""COMPUTED_VALUE"""),20.0)</f>
        <v>20</v>
      </c>
      <c r="AI79" s="44">
        <f>IFERROR(__xludf.DUMMYFUNCTION("""COMPUTED_VALUE"""),7416.0)</f>
        <v>7416</v>
      </c>
      <c r="AJ79" s="51" t="str">
        <f>IFERROR(__xludf.DUMMYFUNCTION("""COMPUTED_VALUE"""),"ビーチュ")</f>
        <v>ビーチュ</v>
      </c>
    </row>
    <row r="80" ht="24.75" customHeight="1">
      <c r="A80" s="28">
        <f>IFERROR(__xludf.DUMMYFUNCTION("""COMPUTED_VALUE"""),9.0)</f>
        <v>9</v>
      </c>
      <c r="B80" s="28" t="str">
        <f>IFERROR(__xludf.DUMMYFUNCTION("""COMPUTED_VALUE"""),"A304")</f>
        <v>A304</v>
      </c>
      <c r="C80" s="28" t="str">
        <f>IFERROR(__xludf.DUMMYFUNCTION("""COMPUTED_VALUE"""),"SJK2")</f>
        <v>SJK2</v>
      </c>
      <c r="D80" s="29" t="str">
        <f>IFERROR(__xludf.DUMMYFUNCTION("""COMPUTED_VALUE"""),"Shinjuku")</f>
        <v>Shinjuku</v>
      </c>
      <c r="E80" s="30" t="str">
        <f>IFERROR(__xludf.DUMMYFUNCTION("""COMPUTED_VALUE"""),"Route 20")</f>
        <v>Route 20</v>
      </c>
      <c r="F80" s="31">
        <f>IFERROR(__xludf.DUMMYFUNCTION("""COMPUTED_VALUE"""),20.0)</f>
        <v>20</v>
      </c>
      <c r="G80" s="32">
        <f>IFERROR(__xludf.DUMMYFUNCTION("""COMPUTED_VALUE"""),43124.0)</f>
        <v>43124</v>
      </c>
      <c r="H80" s="33" t="str">
        <f>IFERROR(__xludf.DUMMYFUNCTION("""COMPUTED_VALUE"""),"")</f>
        <v/>
      </c>
      <c r="I80" s="34">
        <f>IFERROR(__xludf.DUMMYFUNCTION("""COMPUTED_VALUE"""),65.9)</f>
        <v>65.9</v>
      </c>
      <c r="J80" s="35" t="str">
        <f>IFERROR(__xludf.DUMMYFUNCTION("""COMPUTED_VALUE"""),"AP")</f>
        <v>AP</v>
      </c>
      <c r="K80" s="34">
        <f>IFERROR(__xludf.DUMMYFUNCTION("""COMPUTED_VALUE"""),30.3)</f>
        <v>30.3</v>
      </c>
      <c r="L80" s="35" t="str">
        <f>IFERROR(__xludf.DUMMYFUNCTION("""COMPUTED_VALUE"""),"%")</f>
        <v>%</v>
      </c>
      <c r="M80" s="36">
        <f>IFERROR(__xludf.DUMMYFUNCTION("""COMPUTED_VALUE"""),1.0)</f>
        <v>1</v>
      </c>
      <c r="N80" s="37" t="str">
        <f>IFERROR(__xludf.DUMMYFUNCTION("""COMPUTED_VALUE"""),"A307")</f>
        <v>A307</v>
      </c>
      <c r="O80" s="38" t="str">
        <f>IFERROR(__xludf.DUMMYFUNCTION("""COMPUTED_VALUE"""),"")</f>
        <v/>
      </c>
      <c r="P80" s="34">
        <f>IFERROR(__xludf.DUMMYFUNCTION("""COMPUTED_VALUE"""),50.1)</f>
        <v>50.1</v>
      </c>
      <c r="Q80" s="35" t="str">
        <f>IFERROR(__xludf.DUMMYFUNCTION("""COMPUTED_VALUE"""),"AP")</f>
        <v>AP</v>
      </c>
      <c r="R80" s="34">
        <f>IFERROR(__xludf.DUMMYFUNCTION("""COMPUTED_VALUE"""),39.9)</f>
        <v>39.9</v>
      </c>
      <c r="S80" s="35" t="str">
        <f>IFERROR(__xludf.DUMMYFUNCTION("""COMPUTED_VALUE"""),"%")</f>
        <v>%</v>
      </c>
      <c r="T80" s="36">
        <f>IFERROR(__xludf.DUMMYFUNCTION("""COMPUTED_VALUE"""),2.0)</f>
        <v>2</v>
      </c>
      <c r="U80" s="37" t="str">
        <f>IFERROR(__xludf.DUMMYFUNCTION("""COMPUTED_VALUE"""),"B112")</f>
        <v>B112</v>
      </c>
      <c r="V80" s="38" t="str">
        <f>IFERROR(__xludf.DUMMYFUNCTION("""COMPUTED_VALUE"""),"")</f>
        <v/>
      </c>
      <c r="W80" s="34">
        <f>IFERROR(__xludf.DUMMYFUNCTION("""COMPUTED_VALUE"""),187.5)</f>
        <v>187.5</v>
      </c>
      <c r="X80" s="35" t="str">
        <f>IFERROR(__xludf.DUMMYFUNCTION("""COMPUTED_VALUE"""),"AP")</f>
        <v>AP</v>
      </c>
      <c r="Y80" s="34">
        <f>IFERROR(__xludf.DUMMYFUNCTION("""COMPUTED_VALUE"""),10.7)</f>
        <v>10.7</v>
      </c>
      <c r="Z80" s="35" t="str">
        <f>IFERROR(__xludf.DUMMYFUNCTION("""COMPUTED_VALUE"""),"%")</f>
        <v>%</v>
      </c>
      <c r="AA80" s="36">
        <f>IFERROR(__xludf.DUMMYFUNCTION("""COMPUTED_VALUE"""),3.0)</f>
        <v>3</v>
      </c>
      <c r="AB80" s="37"/>
      <c r="AC80" s="38"/>
      <c r="AD80" s="34" t="str">
        <f>IFERROR(__xludf.DUMMYFUNCTION("""COMPUTED_VALUE"""),"")</f>
        <v/>
      </c>
      <c r="AE80" s="35" t="str">
        <f>IFERROR(__xludf.DUMMYFUNCTION("""COMPUTED_VALUE"""),"AP")</f>
        <v>AP</v>
      </c>
      <c r="AF80" s="34" t="str">
        <f>IFERROR(__xludf.DUMMYFUNCTION("""COMPUTED_VALUE"""),"")</f>
        <v/>
      </c>
      <c r="AG80" s="35" t="str">
        <f>IFERROR(__xludf.DUMMYFUNCTION("""COMPUTED_VALUE"""),"%")</f>
        <v>%</v>
      </c>
      <c r="AH80" s="31">
        <f>IFERROR(__xludf.DUMMYFUNCTION("""COMPUTED_VALUE"""),20.0)</f>
        <v>20</v>
      </c>
      <c r="AI80" s="32">
        <f>IFERROR(__xludf.DUMMYFUNCTION("""COMPUTED_VALUE"""),43124.0)</f>
        <v>43124</v>
      </c>
      <c r="AJ80" s="39" t="str">
        <f>IFERROR(__xludf.DUMMYFUNCTION("""COMPUTED_VALUE"""),"国道20号")</f>
        <v>国道20号</v>
      </c>
    </row>
    <row r="81" ht="24.75" customHeight="1">
      <c r="A81" s="40">
        <f>IFERROR(__xludf.DUMMYFUNCTION("""COMPUTED_VALUE"""),10.0)</f>
        <v>10</v>
      </c>
      <c r="B81" s="40" t="str">
        <f>IFERROR(__xludf.DUMMYFUNCTION("""COMPUTED_VALUE"""),"A304")</f>
        <v>A304</v>
      </c>
      <c r="C81" s="40" t="str">
        <f>IFERROR(__xludf.DUMMYFUNCTION("""COMPUTED_VALUE"""),"OLP10")</f>
        <v>OLP10</v>
      </c>
      <c r="D81" s="41" t="str">
        <f>IFERROR(__xludf.DUMMYFUNCTION("""COMPUTED_VALUE"""),"Olympus")</f>
        <v>Olympus</v>
      </c>
      <c r="E81" s="42" t="str">
        <f>IFERROR(__xludf.DUMMYFUNCTION("""COMPUTED_VALUE"""),"Grand Altar")</f>
        <v>Grand Altar</v>
      </c>
      <c r="F81" s="43">
        <f>IFERROR(__xludf.DUMMYFUNCTION("""COMPUTED_VALUE"""),21.0)</f>
        <v>21</v>
      </c>
      <c r="G81" s="44">
        <f>IFERROR(__xludf.DUMMYFUNCTION("""COMPUTED_VALUE"""),1624.0)</f>
        <v>1624</v>
      </c>
      <c r="H81" s="33" t="str">
        <f>IFERROR(__xludf.DUMMYFUNCTION("""COMPUTED_VALUE"""),"")</f>
        <v/>
      </c>
      <c r="I81" s="45">
        <f>IFERROR(__xludf.DUMMYFUNCTION("""COMPUTED_VALUE"""),66.0)</f>
        <v>66</v>
      </c>
      <c r="J81" s="46" t="str">
        <f>IFERROR(__xludf.DUMMYFUNCTION("""COMPUTED_VALUE"""),"AP")</f>
        <v>AP</v>
      </c>
      <c r="K81" s="47">
        <f>IFERROR(__xludf.DUMMYFUNCTION("""COMPUTED_VALUE"""),31.8)</f>
        <v>31.8</v>
      </c>
      <c r="L81" s="48" t="str">
        <f>IFERROR(__xludf.DUMMYFUNCTION("""COMPUTED_VALUE"""),"%")</f>
        <v>%</v>
      </c>
      <c r="M81" s="49">
        <f>IFERROR(__xludf.DUMMYFUNCTION("""COMPUTED_VALUE"""),1.0)</f>
        <v>1</v>
      </c>
      <c r="N81" s="50" t="str">
        <f>IFERROR(__xludf.DUMMYFUNCTION("""COMPUTED_VALUE"""),"A204")</f>
        <v>A204</v>
      </c>
      <c r="O81" s="38" t="str">
        <f>IFERROR(__xludf.DUMMYFUNCTION("""COMPUTED_VALUE"""),"")</f>
        <v/>
      </c>
      <c r="P81" s="45">
        <f>IFERROR(__xludf.DUMMYFUNCTION("""COMPUTED_VALUE"""),99.7)</f>
        <v>99.7</v>
      </c>
      <c r="Q81" s="46" t="str">
        <f>IFERROR(__xludf.DUMMYFUNCTION("""COMPUTED_VALUE"""),"AP")</f>
        <v>AP</v>
      </c>
      <c r="R81" s="47">
        <f>IFERROR(__xludf.DUMMYFUNCTION("""COMPUTED_VALUE"""),21.1)</f>
        <v>21.1</v>
      </c>
      <c r="S81" s="48" t="str">
        <f>IFERROR(__xludf.DUMMYFUNCTION("""COMPUTED_VALUE"""),"%")</f>
        <v>%</v>
      </c>
      <c r="T81" s="49">
        <f>IFERROR(__xludf.DUMMYFUNCTION("""COMPUTED_VALUE"""),2.0)</f>
        <v>2</v>
      </c>
      <c r="U81" s="50" t="str">
        <f>IFERROR(__xludf.DUMMYFUNCTION("""COMPUTED_VALUE"""),"A219")</f>
        <v>A219</v>
      </c>
      <c r="V81" s="38" t="str">
        <f>IFERROR(__xludf.DUMMYFUNCTION("""COMPUTED_VALUE"""),"")</f>
        <v/>
      </c>
      <c r="W81" s="45">
        <f>IFERROR(__xludf.DUMMYFUNCTION("""COMPUTED_VALUE"""),110.4)</f>
        <v>110.4</v>
      </c>
      <c r="X81" s="46" t="str">
        <f>IFERROR(__xludf.DUMMYFUNCTION("""COMPUTED_VALUE"""),"AP")</f>
        <v>AP</v>
      </c>
      <c r="Y81" s="47">
        <f>IFERROR(__xludf.DUMMYFUNCTION("""COMPUTED_VALUE"""),19.0)</f>
        <v>19</v>
      </c>
      <c r="Z81" s="48" t="str">
        <f>IFERROR(__xludf.DUMMYFUNCTION("""COMPUTED_VALUE"""),"%")</f>
        <v>%</v>
      </c>
      <c r="AA81" s="49">
        <f>IFERROR(__xludf.DUMMYFUNCTION("""COMPUTED_VALUE"""),3.0)</f>
        <v>3</v>
      </c>
      <c r="AB81" s="50" t="str">
        <f>IFERROR(__xludf.DUMMYFUNCTION("""COMPUTED_VALUE"""),"B115")</f>
        <v>B115</v>
      </c>
      <c r="AC81" s="38" t="str">
        <f>IFERROR(__xludf.DUMMYFUNCTION("""COMPUTED_VALUE"""),"")</f>
        <v/>
      </c>
      <c r="AD81" s="45">
        <f>IFERROR(__xludf.DUMMYFUNCTION("""COMPUTED_VALUE"""),131.2)</f>
        <v>131.2</v>
      </c>
      <c r="AE81" s="46" t="str">
        <f>IFERROR(__xludf.DUMMYFUNCTION("""COMPUTED_VALUE"""),"AP")</f>
        <v>AP</v>
      </c>
      <c r="AF81" s="47">
        <f>IFERROR(__xludf.DUMMYFUNCTION("""COMPUTED_VALUE"""),16.0)</f>
        <v>16</v>
      </c>
      <c r="AG81" s="48" t="str">
        <f>IFERROR(__xludf.DUMMYFUNCTION("""COMPUTED_VALUE"""),"%")</f>
        <v>%</v>
      </c>
      <c r="AH81" s="43">
        <f>IFERROR(__xludf.DUMMYFUNCTION("""COMPUTED_VALUE"""),21.0)</f>
        <v>21</v>
      </c>
      <c r="AI81" s="44">
        <f>IFERROR(__xludf.DUMMYFUNCTION("""COMPUTED_VALUE"""),1624.0)</f>
        <v>1624</v>
      </c>
      <c r="AJ81" s="51" t="str">
        <f>IFERROR(__xludf.DUMMYFUNCTION("""COMPUTED_VALUE"""),"大祭壇")</f>
        <v>大祭壇</v>
      </c>
    </row>
    <row r="82" ht="24.75" customHeight="1">
      <c r="A82" s="28">
        <f>IFERROR(__xludf.DUMMYFUNCTION("""COMPUTED_VALUE"""),11.0)</f>
        <v>11</v>
      </c>
      <c r="B82" s="28" t="str">
        <f>IFERROR(__xludf.DUMMYFUNCTION("""COMPUTED_VALUE"""),"A304")</f>
        <v>A304</v>
      </c>
      <c r="C82" s="28" t="str">
        <f>IFERROR(__xludf.DUMMYFUNCTION("""COMPUTED_VALUE"""),"AGT5")</f>
        <v>AGT5</v>
      </c>
      <c r="D82" s="29" t="str">
        <f>IFERROR(__xludf.DUMMYFUNCTION("""COMPUTED_VALUE"""),"Agartha")</f>
        <v>Agartha</v>
      </c>
      <c r="E82" s="30" t="str">
        <f>IFERROR(__xludf.DUMMYFUNCTION("""COMPUTED_VALUE"""),"Ys")</f>
        <v>Ys</v>
      </c>
      <c r="F82" s="31">
        <f>IFERROR(__xludf.DUMMYFUNCTION("""COMPUTED_VALUE"""),21.0)</f>
        <v>21</v>
      </c>
      <c r="G82" s="32">
        <f>IFERROR(__xludf.DUMMYFUNCTION("""COMPUTED_VALUE"""),5732.0)</f>
        <v>5732</v>
      </c>
      <c r="H82" s="33" t="str">
        <f>IFERROR(__xludf.DUMMYFUNCTION("""COMPUTED_VALUE"""),"")</f>
        <v/>
      </c>
      <c r="I82" s="34">
        <f>IFERROR(__xludf.DUMMYFUNCTION("""COMPUTED_VALUE"""),67.3)</f>
        <v>67.3</v>
      </c>
      <c r="J82" s="35" t="str">
        <f>IFERROR(__xludf.DUMMYFUNCTION("""COMPUTED_VALUE"""),"AP")</f>
        <v>AP</v>
      </c>
      <c r="K82" s="34">
        <f>IFERROR(__xludf.DUMMYFUNCTION("""COMPUTED_VALUE"""),31.2)</f>
        <v>31.2</v>
      </c>
      <c r="L82" s="35" t="str">
        <f>IFERROR(__xludf.DUMMYFUNCTION("""COMPUTED_VALUE"""),"%")</f>
        <v>%</v>
      </c>
      <c r="M82" s="36">
        <f>IFERROR(__xludf.DUMMYFUNCTION("""COMPUTED_VALUE"""),1.0)</f>
        <v>1</v>
      </c>
      <c r="N82" s="37" t="str">
        <f>IFERROR(__xludf.DUMMYFUNCTION("""COMPUTED_VALUE"""),"A301")</f>
        <v>A301</v>
      </c>
      <c r="O82" s="38" t="str">
        <f>IFERROR(__xludf.DUMMYFUNCTION("""COMPUTED_VALUE"""),"")</f>
        <v/>
      </c>
      <c r="P82" s="34">
        <f>IFERROR(__xludf.DUMMYFUNCTION("""COMPUTED_VALUE"""),56.6)</f>
        <v>56.6</v>
      </c>
      <c r="Q82" s="35" t="str">
        <f>IFERROR(__xludf.DUMMYFUNCTION("""COMPUTED_VALUE"""),"AP")</f>
        <v>AP</v>
      </c>
      <c r="R82" s="34">
        <f>IFERROR(__xludf.DUMMYFUNCTION("""COMPUTED_VALUE"""),37.1)</f>
        <v>37.1</v>
      </c>
      <c r="S82" s="35" t="str">
        <f>IFERROR(__xludf.DUMMYFUNCTION("""COMPUTED_VALUE"""),"%")</f>
        <v>%</v>
      </c>
      <c r="T82" s="36">
        <f>IFERROR(__xludf.DUMMYFUNCTION("""COMPUTED_VALUE"""),2.0)</f>
        <v>2</v>
      </c>
      <c r="U82" s="37"/>
      <c r="V82" s="38"/>
      <c r="W82" s="34" t="str">
        <f>IFERROR(__xludf.DUMMYFUNCTION("""COMPUTED_VALUE"""),"")</f>
        <v/>
      </c>
      <c r="X82" s="35" t="str">
        <f>IFERROR(__xludf.DUMMYFUNCTION("""COMPUTED_VALUE"""),"AP")</f>
        <v>AP</v>
      </c>
      <c r="Y82" s="34" t="str">
        <f>IFERROR(__xludf.DUMMYFUNCTION("""COMPUTED_VALUE"""),"")</f>
        <v/>
      </c>
      <c r="Z82" s="35" t="str">
        <f>IFERROR(__xludf.DUMMYFUNCTION("""COMPUTED_VALUE"""),"%")</f>
        <v>%</v>
      </c>
      <c r="AA82" s="36">
        <f>IFERROR(__xludf.DUMMYFUNCTION("""COMPUTED_VALUE"""),3.0)</f>
        <v>3</v>
      </c>
      <c r="AB82" s="37"/>
      <c r="AC82" s="38"/>
      <c r="AD82" s="34" t="str">
        <f>IFERROR(__xludf.DUMMYFUNCTION("""COMPUTED_VALUE"""),"")</f>
        <v/>
      </c>
      <c r="AE82" s="35" t="str">
        <f>IFERROR(__xludf.DUMMYFUNCTION("""COMPUTED_VALUE"""),"AP")</f>
        <v>AP</v>
      </c>
      <c r="AF82" s="34" t="str">
        <f>IFERROR(__xludf.DUMMYFUNCTION("""COMPUTED_VALUE"""),"")</f>
        <v/>
      </c>
      <c r="AG82" s="35" t="str">
        <f>IFERROR(__xludf.DUMMYFUNCTION("""COMPUTED_VALUE"""),"%")</f>
        <v>%</v>
      </c>
      <c r="AH82" s="31">
        <f>IFERROR(__xludf.DUMMYFUNCTION("""COMPUTED_VALUE"""),21.0)</f>
        <v>21</v>
      </c>
      <c r="AI82" s="32">
        <f>IFERROR(__xludf.DUMMYFUNCTION("""COMPUTED_VALUE"""),5732.0)</f>
        <v>5732</v>
      </c>
      <c r="AJ82" s="39" t="str">
        <f>IFERROR(__xludf.DUMMYFUNCTION("""COMPUTED_VALUE"""),"イース")</f>
        <v>イース</v>
      </c>
    </row>
    <row r="83" ht="24.75" customHeight="1">
      <c r="A83" s="40">
        <f>IFERROR(__xludf.DUMMYFUNCTION("""COMPUTED_VALUE"""),12.0)</f>
        <v>12</v>
      </c>
      <c r="B83" s="40" t="str">
        <f>IFERROR(__xludf.DUMMYFUNCTION("""COMPUTED_VALUE"""),"A304")</f>
        <v>A304</v>
      </c>
      <c r="C83" s="40" t="str">
        <f>IFERROR(__xludf.DUMMYFUNCTION("""COMPUTED_VALUE"""),"AGT11")</f>
        <v>AGT11</v>
      </c>
      <c r="D83" s="41" t="str">
        <f>IFERROR(__xludf.DUMMYFUNCTION("""COMPUTED_VALUE"""),"Agartha")</f>
        <v>Agartha</v>
      </c>
      <c r="E83" s="42" t="str">
        <f>IFERROR(__xludf.DUMMYFUNCTION("""COMPUTED_VALUE"""),"El Dorado")</f>
        <v>El Dorado</v>
      </c>
      <c r="F83" s="43">
        <f>IFERROR(__xludf.DUMMYFUNCTION("""COMPUTED_VALUE"""),21.0)</f>
        <v>21</v>
      </c>
      <c r="G83" s="44">
        <f>IFERROR(__xludf.DUMMYFUNCTION("""COMPUTED_VALUE"""),3534.0)</f>
        <v>3534</v>
      </c>
      <c r="H83" s="33" t="str">
        <f>IFERROR(__xludf.DUMMYFUNCTION("""COMPUTED_VALUE"""),"")</f>
        <v/>
      </c>
      <c r="I83" s="45">
        <f>IFERROR(__xludf.DUMMYFUNCTION("""COMPUTED_VALUE"""),68.5)</f>
        <v>68.5</v>
      </c>
      <c r="J83" s="46" t="str">
        <f>IFERROR(__xludf.DUMMYFUNCTION("""COMPUTED_VALUE"""),"AP")</f>
        <v>AP</v>
      </c>
      <c r="K83" s="47">
        <f>IFERROR(__xludf.DUMMYFUNCTION("""COMPUTED_VALUE"""),30.6)</f>
        <v>30.6</v>
      </c>
      <c r="L83" s="48" t="str">
        <f>IFERROR(__xludf.DUMMYFUNCTION("""COMPUTED_VALUE"""),"%")</f>
        <v>%</v>
      </c>
      <c r="M83" s="49">
        <f>IFERROR(__xludf.DUMMYFUNCTION("""COMPUTED_VALUE"""),1.0)</f>
        <v>1</v>
      </c>
      <c r="N83" s="50" t="str">
        <f>IFERROR(__xludf.DUMMYFUNCTION("""COMPUTED_VALUE"""),"A201")</f>
        <v>A201</v>
      </c>
      <c r="O83" s="38" t="str">
        <f>IFERROR(__xludf.DUMMYFUNCTION("""COMPUTED_VALUE"""),"")</f>
        <v/>
      </c>
      <c r="P83" s="45">
        <f>IFERROR(__xludf.DUMMYFUNCTION("""COMPUTED_VALUE"""),62.0)</f>
        <v>62</v>
      </c>
      <c r="Q83" s="46" t="str">
        <f>IFERROR(__xludf.DUMMYFUNCTION("""COMPUTED_VALUE"""),"AP")</f>
        <v>AP</v>
      </c>
      <c r="R83" s="47">
        <f>IFERROR(__xludf.DUMMYFUNCTION("""COMPUTED_VALUE"""),33.9)</f>
        <v>33.9</v>
      </c>
      <c r="S83" s="48" t="str">
        <f>IFERROR(__xludf.DUMMYFUNCTION("""COMPUTED_VALUE"""),"%")</f>
        <v>%</v>
      </c>
      <c r="T83" s="49">
        <f>IFERROR(__xludf.DUMMYFUNCTION("""COMPUTED_VALUE"""),2.0)</f>
        <v>2</v>
      </c>
      <c r="U83" s="50"/>
      <c r="V83" s="38"/>
      <c r="W83" s="45" t="str">
        <f>IFERROR(__xludf.DUMMYFUNCTION("""COMPUTED_VALUE"""),"")</f>
        <v/>
      </c>
      <c r="X83" s="46" t="str">
        <f>IFERROR(__xludf.DUMMYFUNCTION("""COMPUTED_VALUE"""),"AP")</f>
        <v>AP</v>
      </c>
      <c r="Y83" s="47" t="str">
        <f>IFERROR(__xludf.DUMMYFUNCTION("""COMPUTED_VALUE"""),"")</f>
        <v/>
      </c>
      <c r="Z83" s="48" t="str">
        <f>IFERROR(__xludf.DUMMYFUNCTION("""COMPUTED_VALUE"""),"%")</f>
        <v>%</v>
      </c>
      <c r="AA83" s="49">
        <f>IFERROR(__xludf.DUMMYFUNCTION("""COMPUTED_VALUE"""),3.0)</f>
        <v>3</v>
      </c>
      <c r="AB83" s="50"/>
      <c r="AC83" s="38"/>
      <c r="AD83" s="45" t="str">
        <f>IFERROR(__xludf.DUMMYFUNCTION("""COMPUTED_VALUE"""),"")</f>
        <v/>
      </c>
      <c r="AE83" s="46" t="str">
        <f>IFERROR(__xludf.DUMMYFUNCTION("""COMPUTED_VALUE"""),"AP")</f>
        <v>AP</v>
      </c>
      <c r="AF83" s="47" t="str">
        <f>IFERROR(__xludf.DUMMYFUNCTION("""COMPUTED_VALUE"""),"")</f>
        <v/>
      </c>
      <c r="AG83" s="48" t="str">
        <f>IFERROR(__xludf.DUMMYFUNCTION("""COMPUTED_VALUE"""),"%")</f>
        <v>%</v>
      </c>
      <c r="AH83" s="43">
        <f>IFERROR(__xludf.DUMMYFUNCTION("""COMPUTED_VALUE"""),21.0)</f>
        <v>21</v>
      </c>
      <c r="AI83" s="44">
        <f>IFERROR(__xludf.DUMMYFUNCTION("""COMPUTED_VALUE"""),3534.0)</f>
        <v>3534</v>
      </c>
      <c r="AJ83" s="51" t="str">
        <f>IFERROR(__xludf.DUMMYFUNCTION("""COMPUTED_VALUE"""),"エルドラド")</f>
        <v>エルドラド</v>
      </c>
    </row>
    <row r="84" ht="24.75" customHeight="1">
      <c r="A84" s="28">
        <f>IFERROR(__xludf.DUMMYFUNCTION("""COMPUTED_VALUE"""),13.0)</f>
        <v>13</v>
      </c>
      <c r="B84" s="28" t="str">
        <f>IFERROR(__xludf.DUMMYFUNCTION("""COMPUTED_VALUE"""),"A304")</f>
        <v>A304</v>
      </c>
      <c r="C84" s="28" t="str">
        <f>IFERROR(__xludf.DUMMYFUNCTION("""COMPUTED_VALUE"""),"SMS5")</f>
        <v>SMS5</v>
      </c>
      <c r="D84" s="29" t="str">
        <f>IFERROR(__xludf.DUMMYFUNCTION("""COMPUTED_VALUE"""),"Shimosa")</f>
        <v>Shimosa</v>
      </c>
      <c r="E84" s="30" t="str">
        <f>IFERROR(__xludf.DUMMYFUNCTION("""COMPUTED_VALUE"""),"Battlefield")</f>
        <v>Battlefield</v>
      </c>
      <c r="F84" s="31">
        <f>IFERROR(__xludf.DUMMYFUNCTION("""COMPUTED_VALUE"""),21.0)</f>
        <v>21</v>
      </c>
      <c r="G84" s="32">
        <f>IFERROR(__xludf.DUMMYFUNCTION("""COMPUTED_VALUE"""),110438.0)</f>
        <v>110438</v>
      </c>
      <c r="H84" s="33" t="str">
        <f>IFERROR(__xludf.DUMMYFUNCTION("""COMPUTED_VALUE"""),"")</f>
        <v/>
      </c>
      <c r="I84" s="34">
        <f>IFERROR(__xludf.DUMMYFUNCTION("""COMPUTED_VALUE"""),68.5)</f>
        <v>68.5</v>
      </c>
      <c r="J84" s="35" t="str">
        <f>IFERROR(__xludf.DUMMYFUNCTION("""COMPUTED_VALUE"""),"AP")</f>
        <v>AP</v>
      </c>
      <c r="K84" s="34">
        <f>IFERROR(__xludf.DUMMYFUNCTION("""COMPUTED_VALUE"""),30.7)</f>
        <v>30.7</v>
      </c>
      <c r="L84" s="35" t="str">
        <f>IFERROR(__xludf.DUMMYFUNCTION("""COMPUTED_VALUE"""),"%")</f>
        <v>%</v>
      </c>
      <c r="M84" s="36">
        <f>IFERROR(__xludf.DUMMYFUNCTION("""COMPUTED_VALUE"""),1.0)</f>
        <v>1</v>
      </c>
      <c r="N84" s="37" t="str">
        <f>IFERROR(__xludf.DUMMYFUNCTION("""COMPUTED_VALUE"""),"A212")</f>
        <v>A212</v>
      </c>
      <c r="O84" s="38" t="str">
        <f>IFERROR(__xludf.DUMMYFUNCTION("""COMPUTED_VALUE"""),"")</f>
        <v/>
      </c>
      <c r="P84" s="34">
        <f>IFERROR(__xludf.DUMMYFUNCTION("""COMPUTED_VALUE"""),83.2)</f>
        <v>83.2</v>
      </c>
      <c r="Q84" s="35" t="str">
        <f>IFERROR(__xludf.DUMMYFUNCTION("""COMPUTED_VALUE"""),"AP")</f>
        <v>AP</v>
      </c>
      <c r="R84" s="34">
        <f>IFERROR(__xludf.DUMMYFUNCTION("""COMPUTED_VALUE"""),25.2)</f>
        <v>25.2</v>
      </c>
      <c r="S84" s="35" t="str">
        <f>IFERROR(__xludf.DUMMYFUNCTION("""COMPUTED_VALUE"""),"%")</f>
        <v>%</v>
      </c>
      <c r="T84" s="36">
        <f>IFERROR(__xludf.DUMMYFUNCTION("""COMPUTED_VALUE"""),2.0)</f>
        <v>2</v>
      </c>
      <c r="U84" s="37" t="str">
        <f>IFERROR(__xludf.DUMMYFUNCTION("""COMPUTED_VALUE"""),"A302")</f>
        <v>A302</v>
      </c>
      <c r="V84" s="38" t="str">
        <f>IFERROR(__xludf.DUMMYFUNCTION("""COMPUTED_VALUE"""),"")</f>
        <v/>
      </c>
      <c r="W84" s="34">
        <f>IFERROR(__xludf.DUMMYFUNCTION("""COMPUTED_VALUE"""),52.6)</f>
        <v>52.6</v>
      </c>
      <c r="X84" s="35" t="str">
        <f>IFERROR(__xludf.DUMMYFUNCTION("""COMPUTED_VALUE"""),"AP")</f>
        <v>AP</v>
      </c>
      <c r="Y84" s="34">
        <f>IFERROR(__xludf.DUMMYFUNCTION("""COMPUTED_VALUE"""),39.9)</f>
        <v>39.9</v>
      </c>
      <c r="Z84" s="35" t="str">
        <f>IFERROR(__xludf.DUMMYFUNCTION("""COMPUTED_VALUE"""),"%")</f>
        <v>%</v>
      </c>
      <c r="AA84" s="36">
        <f>IFERROR(__xludf.DUMMYFUNCTION("""COMPUTED_VALUE"""),3.0)</f>
        <v>3</v>
      </c>
      <c r="AB84" s="37" t="str">
        <f>IFERROR(__xludf.DUMMYFUNCTION("""COMPUTED_VALUE"""),"B111")</f>
        <v>B111</v>
      </c>
      <c r="AC84" s="38" t="str">
        <f>IFERROR(__xludf.DUMMYFUNCTION("""COMPUTED_VALUE"""),"")</f>
        <v/>
      </c>
      <c r="AD84" s="34">
        <f>IFERROR(__xludf.DUMMYFUNCTION("""COMPUTED_VALUE"""),135.9)</f>
        <v>135.9</v>
      </c>
      <c r="AE84" s="35" t="str">
        <f>IFERROR(__xludf.DUMMYFUNCTION("""COMPUTED_VALUE"""),"AP")</f>
        <v>AP</v>
      </c>
      <c r="AF84" s="34">
        <f>IFERROR(__xludf.DUMMYFUNCTION("""COMPUTED_VALUE"""),15.4)</f>
        <v>15.4</v>
      </c>
      <c r="AG84" s="35" t="str">
        <f>IFERROR(__xludf.DUMMYFUNCTION("""COMPUTED_VALUE"""),"%")</f>
        <v>%</v>
      </c>
      <c r="AH84" s="31">
        <f>IFERROR(__xludf.DUMMYFUNCTION("""COMPUTED_VALUE"""),21.0)</f>
        <v>21</v>
      </c>
      <c r="AI84" s="32">
        <f>IFERROR(__xludf.DUMMYFUNCTION("""COMPUTED_VALUE"""),110438.0)</f>
        <v>110438</v>
      </c>
      <c r="AJ84" s="39" t="str">
        <f>IFERROR(__xludf.DUMMYFUNCTION("""COMPUTED_VALUE"""),"合戦場")</f>
        <v>合戦場</v>
      </c>
    </row>
    <row r="85" ht="24.75" customHeight="1">
      <c r="A85" s="40">
        <f>IFERROR(__xludf.DUMMYFUNCTION("""COMPUTED_VALUE"""),14.0)</f>
        <v>14</v>
      </c>
      <c r="B85" s="40" t="str">
        <f>IFERROR(__xludf.DUMMYFUNCTION("""COMPUTED_VALUE"""),"A304")</f>
        <v>A304</v>
      </c>
      <c r="C85" s="40" t="str">
        <f>IFERROR(__xludf.DUMMYFUNCTION("""COMPUTED_VALUE"""),"SJK5")</f>
        <v>SJK5</v>
      </c>
      <c r="D85" s="41" t="str">
        <f>IFERROR(__xludf.DUMMYFUNCTION("""COMPUTED_VALUE"""),"Shinjuku")</f>
        <v>Shinjuku</v>
      </c>
      <c r="E85" s="42" t="str">
        <f>IFERROR(__xludf.DUMMYFUNCTION("""COMPUTED_VALUE"""),"Kabukicho")</f>
        <v>Kabukicho</v>
      </c>
      <c r="F85" s="43">
        <f>IFERROR(__xludf.DUMMYFUNCTION("""COMPUTED_VALUE"""),21.0)</f>
        <v>21</v>
      </c>
      <c r="G85" s="44">
        <f>IFERROR(__xludf.DUMMYFUNCTION("""COMPUTED_VALUE"""),8459.0)</f>
        <v>8459</v>
      </c>
      <c r="H85" s="33" t="str">
        <f>IFERROR(__xludf.DUMMYFUNCTION("""COMPUTED_VALUE"""),"")</f>
        <v/>
      </c>
      <c r="I85" s="45">
        <f>IFERROR(__xludf.DUMMYFUNCTION("""COMPUTED_VALUE"""),69.1)</f>
        <v>69.1</v>
      </c>
      <c r="J85" s="46" t="str">
        <f>IFERROR(__xludf.DUMMYFUNCTION("""COMPUTED_VALUE"""),"AP")</f>
        <v>AP</v>
      </c>
      <c r="K85" s="47">
        <f>IFERROR(__xludf.DUMMYFUNCTION("""COMPUTED_VALUE"""),30.4)</f>
        <v>30.4</v>
      </c>
      <c r="L85" s="48" t="str">
        <f>IFERROR(__xludf.DUMMYFUNCTION("""COMPUTED_VALUE"""),"%")</f>
        <v>%</v>
      </c>
      <c r="M85" s="49">
        <f>IFERROR(__xludf.DUMMYFUNCTION("""COMPUTED_VALUE"""),1.0)</f>
        <v>1</v>
      </c>
      <c r="N85" s="50" t="str">
        <f>IFERROR(__xludf.DUMMYFUNCTION("""COMPUTED_VALUE"""),"A206")</f>
        <v>A206</v>
      </c>
      <c r="O85" s="38" t="str">
        <f>IFERROR(__xludf.DUMMYFUNCTION("""COMPUTED_VALUE"""),"")</f>
        <v/>
      </c>
      <c r="P85" s="45">
        <f>IFERROR(__xludf.DUMMYFUNCTION("""COMPUTED_VALUE"""),67.3)</f>
        <v>67.3</v>
      </c>
      <c r="Q85" s="46" t="str">
        <f>IFERROR(__xludf.DUMMYFUNCTION("""COMPUTED_VALUE"""),"AP")</f>
        <v>AP</v>
      </c>
      <c r="R85" s="47">
        <f>IFERROR(__xludf.DUMMYFUNCTION("""COMPUTED_VALUE"""),31.2)</f>
        <v>31.2</v>
      </c>
      <c r="S85" s="48" t="str">
        <f>IFERROR(__xludf.DUMMYFUNCTION("""COMPUTED_VALUE"""),"%")</f>
        <v>%</v>
      </c>
      <c r="T85" s="49">
        <f>IFERROR(__xludf.DUMMYFUNCTION("""COMPUTED_VALUE"""),2.0)</f>
        <v>2</v>
      </c>
      <c r="U85" s="50" t="str">
        <f>IFERROR(__xludf.DUMMYFUNCTION("""COMPUTED_VALUE"""),"B116")</f>
        <v>B116</v>
      </c>
      <c r="V85" s="38" t="str">
        <f>IFERROR(__xludf.DUMMYFUNCTION("""COMPUTED_VALUE"""),"")</f>
        <v/>
      </c>
      <c r="W85" s="45">
        <f>IFERROR(__xludf.DUMMYFUNCTION("""COMPUTED_VALUE"""),58.1)</f>
        <v>58.1</v>
      </c>
      <c r="X85" s="46" t="str">
        <f>IFERROR(__xludf.DUMMYFUNCTION("""COMPUTED_VALUE"""),"AP")</f>
        <v>AP</v>
      </c>
      <c r="Y85" s="47">
        <f>IFERROR(__xludf.DUMMYFUNCTION("""COMPUTED_VALUE"""),36.2)</f>
        <v>36.2</v>
      </c>
      <c r="Z85" s="48" t="str">
        <f>IFERROR(__xludf.DUMMYFUNCTION("""COMPUTED_VALUE"""),"%")</f>
        <v>%</v>
      </c>
      <c r="AA85" s="49">
        <f>IFERROR(__xludf.DUMMYFUNCTION("""COMPUTED_VALUE"""),3.0)</f>
        <v>3</v>
      </c>
      <c r="AB85" s="50"/>
      <c r="AC85" s="38"/>
      <c r="AD85" s="45" t="str">
        <f>IFERROR(__xludf.DUMMYFUNCTION("""COMPUTED_VALUE"""),"")</f>
        <v/>
      </c>
      <c r="AE85" s="46" t="str">
        <f>IFERROR(__xludf.DUMMYFUNCTION("""COMPUTED_VALUE"""),"AP")</f>
        <v>AP</v>
      </c>
      <c r="AF85" s="47" t="str">
        <f>IFERROR(__xludf.DUMMYFUNCTION("""COMPUTED_VALUE"""),"")</f>
        <v/>
      </c>
      <c r="AG85" s="48" t="str">
        <f>IFERROR(__xludf.DUMMYFUNCTION("""COMPUTED_VALUE"""),"%")</f>
        <v>%</v>
      </c>
      <c r="AH85" s="43">
        <f>IFERROR(__xludf.DUMMYFUNCTION("""COMPUTED_VALUE"""),21.0)</f>
        <v>21</v>
      </c>
      <c r="AI85" s="44">
        <f>IFERROR(__xludf.DUMMYFUNCTION("""COMPUTED_VALUE"""),8459.0)</f>
        <v>8459</v>
      </c>
      <c r="AJ85" s="51" t="str">
        <f>IFERROR(__xludf.DUMMYFUNCTION("""COMPUTED_VALUE"""),"歌舞伎町")</f>
        <v>歌舞伎町</v>
      </c>
    </row>
    <row r="86" ht="24.75" customHeight="1">
      <c r="A86" s="28">
        <f>IFERROR(__xludf.DUMMYFUNCTION("""COMPUTED_VALUE"""),15.0)</f>
        <v>15</v>
      </c>
      <c r="B86" s="28" t="str">
        <f>IFERROR(__xludf.DUMMYFUNCTION("""COMPUTED_VALUE"""),"A304")</f>
        <v>A304</v>
      </c>
      <c r="C86" s="28" t="str">
        <f>IFERROR(__xludf.DUMMYFUNCTION("""COMPUTED_VALUE"""),"SMS2")</f>
        <v>SMS2</v>
      </c>
      <c r="D86" s="29" t="str">
        <f>IFERROR(__xludf.DUMMYFUNCTION("""COMPUTED_VALUE"""),"Shimosa")</f>
        <v>Shimosa</v>
      </c>
      <c r="E86" s="30" t="str">
        <f>IFERROR(__xludf.DUMMYFUNCTION("""COMPUTED_VALUE"""),"Village")</f>
        <v>Village</v>
      </c>
      <c r="F86" s="31">
        <f>IFERROR(__xludf.DUMMYFUNCTION("""COMPUTED_VALUE"""),21.0)</f>
        <v>21</v>
      </c>
      <c r="G86" s="32">
        <f>IFERROR(__xludf.DUMMYFUNCTION("""COMPUTED_VALUE"""),26324.0)</f>
        <v>26324</v>
      </c>
      <c r="H86" s="33" t="str">
        <f>IFERROR(__xludf.DUMMYFUNCTION("""COMPUTED_VALUE"""),"")</f>
        <v/>
      </c>
      <c r="I86" s="34">
        <f>IFERROR(__xludf.DUMMYFUNCTION("""COMPUTED_VALUE"""),69.2)</f>
        <v>69.2</v>
      </c>
      <c r="J86" s="35" t="str">
        <f>IFERROR(__xludf.DUMMYFUNCTION("""COMPUTED_VALUE"""),"AP")</f>
        <v>AP</v>
      </c>
      <c r="K86" s="34">
        <f>IFERROR(__xludf.DUMMYFUNCTION("""COMPUTED_VALUE"""),30.3)</f>
        <v>30.3</v>
      </c>
      <c r="L86" s="35" t="str">
        <f>IFERROR(__xludf.DUMMYFUNCTION("""COMPUTED_VALUE"""),"%")</f>
        <v>%</v>
      </c>
      <c r="M86" s="36">
        <f>IFERROR(__xludf.DUMMYFUNCTION("""COMPUTED_VALUE"""),1.0)</f>
        <v>1</v>
      </c>
      <c r="N86" s="37" t="str">
        <f>IFERROR(__xludf.DUMMYFUNCTION("""COMPUTED_VALUE"""),"A201")</f>
        <v>A201</v>
      </c>
      <c r="O86" s="38" t="str">
        <f>IFERROR(__xludf.DUMMYFUNCTION("""COMPUTED_VALUE"""),"")</f>
        <v/>
      </c>
      <c r="P86" s="34">
        <f>IFERROR(__xludf.DUMMYFUNCTION("""COMPUTED_VALUE"""),59.6)</f>
        <v>59.6</v>
      </c>
      <c r="Q86" s="35" t="str">
        <f>IFERROR(__xludf.DUMMYFUNCTION("""COMPUTED_VALUE"""),"AP")</f>
        <v>AP</v>
      </c>
      <c r="R86" s="34">
        <f>IFERROR(__xludf.DUMMYFUNCTION("""COMPUTED_VALUE"""),35.2)</f>
        <v>35.2</v>
      </c>
      <c r="S86" s="35" t="str">
        <f>IFERROR(__xludf.DUMMYFUNCTION("""COMPUTED_VALUE"""),"%")</f>
        <v>%</v>
      </c>
      <c r="T86" s="36">
        <f>IFERROR(__xludf.DUMMYFUNCTION("""COMPUTED_VALUE"""),2.0)</f>
        <v>2</v>
      </c>
      <c r="U86" s="37" t="str">
        <f>IFERROR(__xludf.DUMMYFUNCTION("""COMPUTED_VALUE"""),"A212")</f>
        <v>A212</v>
      </c>
      <c r="V86" s="38" t="str">
        <f>IFERROR(__xludf.DUMMYFUNCTION("""COMPUTED_VALUE"""),"")</f>
        <v/>
      </c>
      <c r="W86" s="34">
        <f>IFERROR(__xludf.DUMMYFUNCTION("""COMPUTED_VALUE"""),82.5)</f>
        <v>82.5</v>
      </c>
      <c r="X86" s="35" t="str">
        <f>IFERROR(__xludf.DUMMYFUNCTION("""COMPUTED_VALUE"""),"AP")</f>
        <v>AP</v>
      </c>
      <c r="Y86" s="34">
        <f>IFERROR(__xludf.DUMMYFUNCTION("""COMPUTED_VALUE"""),25.4)</f>
        <v>25.4</v>
      </c>
      <c r="Z86" s="35" t="str">
        <f>IFERROR(__xludf.DUMMYFUNCTION("""COMPUTED_VALUE"""),"%")</f>
        <v>%</v>
      </c>
      <c r="AA86" s="36">
        <f>IFERROR(__xludf.DUMMYFUNCTION("""COMPUTED_VALUE"""),3.0)</f>
        <v>3</v>
      </c>
      <c r="AB86" s="37" t="str">
        <f>IFERROR(__xludf.DUMMYFUNCTION("""COMPUTED_VALUE"""),"B111")</f>
        <v>B111</v>
      </c>
      <c r="AC86" s="38" t="str">
        <f>IFERROR(__xludf.DUMMYFUNCTION("""COMPUTED_VALUE"""),"")</f>
        <v/>
      </c>
      <c r="AD86" s="34">
        <f>IFERROR(__xludf.DUMMYFUNCTION("""COMPUTED_VALUE"""),119.4)</f>
        <v>119.4</v>
      </c>
      <c r="AE86" s="35" t="str">
        <f>IFERROR(__xludf.DUMMYFUNCTION("""COMPUTED_VALUE"""),"AP")</f>
        <v>AP</v>
      </c>
      <c r="AF86" s="34">
        <f>IFERROR(__xludf.DUMMYFUNCTION("""COMPUTED_VALUE"""),17.6)</f>
        <v>17.6</v>
      </c>
      <c r="AG86" s="35" t="str">
        <f>IFERROR(__xludf.DUMMYFUNCTION("""COMPUTED_VALUE"""),"%")</f>
        <v>%</v>
      </c>
      <c r="AH86" s="31">
        <f>IFERROR(__xludf.DUMMYFUNCTION("""COMPUTED_VALUE"""),21.0)</f>
        <v>21</v>
      </c>
      <c r="AI86" s="32">
        <f>IFERROR(__xludf.DUMMYFUNCTION("""COMPUTED_VALUE"""),26324.0)</f>
        <v>26324</v>
      </c>
      <c r="AJ86" s="39" t="str">
        <f>IFERROR(__xludf.DUMMYFUNCTION("""COMPUTED_VALUE"""),"里")</f>
        <v>里</v>
      </c>
    </row>
    <row r="87" ht="24.75" customHeight="1">
      <c r="A87" s="40">
        <f>IFERROR(__xludf.DUMMYFUNCTION("""COMPUTED_VALUE"""),16.0)</f>
        <v>16</v>
      </c>
      <c r="B87" s="40" t="str">
        <f>IFERROR(__xludf.DUMMYFUNCTION("""COMPUTED_VALUE"""),"A304")</f>
        <v>A304</v>
      </c>
      <c r="C87" s="40" t="str">
        <f>IFERROR(__xludf.DUMMYFUNCTION("""COMPUTED_VALUE"""),"GTT10")</f>
        <v>GTT10</v>
      </c>
      <c r="D87" s="41" t="str">
        <f>IFERROR(__xludf.DUMMYFUNCTION("""COMPUTED_VALUE"""),"Götterdämmerung")</f>
        <v>Götterdämmerung</v>
      </c>
      <c r="E87" s="42" t="str">
        <f>IFERROR(__xludf.DUMMYFUNCTION("""COMPUTED_VALUE"""),"North Boundary")</f>
        <v>North Boundary</v>
      </c>
      <c r="F87" s="43">
        <f>IFERROR(__xludf.DUMMYFUNCTION("""COMPUTED_VALUE"""),21.0)</f>
        <v>21</v>
      </c>
      <c r="G87" s="44">
        <f>IFERROR(__xludf.DUMMYFUNCTION("""COMPUTED_VALUE"""),6255.0)</f>
        <v>6255</v>
      </c>
      <c r="H87" s="33" t="str">
        <f>IFERROR(__xludf.DUMMYFUNCTION("""COMPUTED_VALUE"""),"")</f>
        <v/>
      </c>
      <c r="I87" s="45">
        <f>IFERROR(__xludf.DUMMYFUNCTION("""COMPUTED_VALUE"""),69.2)</f>
        <v>69.2</v>
      </c>
      <c r="J87" s="46" t="str">
        <f>IFERROR(__xludf.DUMMYFUNCTION("""COMPUTED_VALUE"""),"AP")</f>
        <v>AP</v>
      </c>
      <c r="K87" s="47">
        <f>IFERROR(__xludf.DUMMYFUNCTION("""COMPUTED_VALUE"""),30.3)</f>
        <v>30.3</v>
      </c>
      <c r="L87" s="48" t="str">
        <f>IFERROR(__xludf.DUMMYFUNCTION("""COMPUTED_VALUE"""),"%")</f>
        <v>%</v>
      </c>
      <c r="M87" s="49">
        <f>IFERROR(__xludf.DUMMYFUNCTION("""COMPUTED_VALUE"""),1.0)</f>
        <v>1</v>
      </c>
      <c r="N87" s="50" t="str">
        <f>IFERROR(__xludf.DUMMYFUNCTION("""COMPUTED_VALUE"""),"A214")</f>
        <v>A214</v>
      </c>
      <c r="O87" s="38" t="str">
        <f>IFERROR(__xludf.DUMMYFUNCTION("""COMPUTED_VALUE"""),"")</f>
        <v/>
      </c>
      <c r="P87" s="45">
        <f>IFERROR(__xludf.DUMMYFUNCTION("""COMPUTED_VALUE"""),83.9)</f>
        <v>83.9</v>
      </c>
      <c r="Q87" s="46" t="str">
        <f>IFERROR(__xludf.DUMMYFUNCTION("""COMPUTED_VALUE"""),"AP")</f>
        <v>AP</v>
      </c>
      <c r="R87" s="47">
        <f>IFERROR(__xludf.DUMMYFUNCTION("""COMPUTED_VALUE"""),25.0)</f>
        <v>25</v>
      </c>
      <c r="S87" s="48" t="str">
        <f>IFERROR(__xludf.DUMMYFUNCTION("""COMPUTED_VALUE"""),"%")</f>
        <v>%</v>
      </c>
      <c r="T87" s="49">
        <f>IFERROR(__xludf.DUMMYFUNCTION("""COMPUTED_VALUE"""),2.0)</f>
        <v>2</v>
      </c>
      <c r="U87" s="50" t="str">
        <f>IFERROR(__xludf.DUMMYFUNCTION("""COMPUTED_VALUE"""),"B117")</f>
        <v>B117</v>
      </c>
      <c r="V87" s="38" t="str">
        <f>IFERROR(__xludf.DUMMYFUNCTION("""COMPUTED_VALUE"""),"")</f>
        <v/>
      </c>
      <c r="W87" s="45">
        <f>IFERROR(__xludf.DUMMYFUNCTION("""COMPUTED_VALUE"""),51.3)</f>
        <v>51.3</v>
      </c>
      <c r="X87" s="46" t="str">
        <f>IFERROR(__xludf.DUMMYFUNCTION("""COMPUTED_VALUE"""),"AP")</f>
        <v>AP</v>
      </c>
      <c r="Y87" s="47">
        <f>IFERROR(__xludf.DUMMYFUNCTION("""COMPUTED_VALUE"""),41.0)</f>
        <v>41</v>
      </c>
      <c r="Z87" s="48" t="str">
        <f>IFERROR(__xludf.DUMMYFUNCTION("""COMPUTED_VALUE"""),"%")</f>
        <v>%</v>
      </c>
      <c r="AA87" s="49">
        <f>IFERROR(__xludf.DUMMYFUNCTION("""COMPUTED_VALUE"""),3.0)</f>
        <v>3</v>
      </c>
      <c r="AB87" s="50"/>
      <c r="AC87" s="38"/>
      <c r="AD87" s="45" t="str">
        <f>IFERROR(__xludf.DUMMYFUNCTION("""COMPUTED_VALUE"""),"")</f>
        <v/>
      </c>
      <c r="AE87" s="46" t="str">
        <f>IFERROR(__xludf.DUMMYFUNCTION("""COMPUTED_VALUE"""),"AP")</f>
        <v>AP</v>
      </c>
      <c r="AF87" s="47" t="str">
        <f>IFERROR(__xludf.DUMMYFUNCTION("""COMPUTED_VALUE"""),"")</f>
        <v/>
      </c>
      <c r="AG87" s="48" t="str">
        <f>IFERROR(__xludf.DUMMYFUNCTION("""COMPUTED_VALUE"""),"%")</f>
        <v>%</v>
      </c>
      <c r="AH87" s="43">
        <f>IFERROR(__xludf.DUMMYFUNCTION("""COMPUTED_VALUE"""),21.0)</f>
        <v>21</v>
      </c>
      <c r="AI87" s="44">
        <f>IFERROR(__xludf.DUMMYFUNCTION("""COMPUTED_VALUE"""),6255.0)</f>
        <v>6255</v>
      </c>
      <c r="AJ87" s="51" t="str">
        <f>IFERROR(__xludf.DUMMYFUNCTION("""COMPUTED_VALUE"""),"北の境界")</f>
        <v>北の境界</v>
      </c>
    </row>
    <row r="88" ht="24.75" customHeight="1">
      <c r="A88" s="28">
        <f>IFERROR(__xludf.DUMMYFUNCTION("""COMPUTED_VALUE"""),17.0)</f>
        <v>17</v>
      </c>
      <c r="B88" s="28" t="str">
        <f>IFERROR(__xludf.DUMMYFUNCTION("""COMPUTED_VALUE"""),"A304")</f>
        <v>A304</v>
      </c>
      <c r="C88" s="28" t="str">
        <f>IFERROR(__xludf.DUMMYFUNCTION("""COMPUTED_VALUE"""),"ATL7")</f>
        <v>ATL7</v>
      </c>
      <c r="D88" s="29" t="str">
        <f>IFERROR(__xludf.DUMMYFUNCTION("""COMPUTED_VALUE"""),"Atlantis")</f>
        <v>Atlantis</v>
      </c>
      <c r="E88" s="30" t="str">
        <f>IFERROR(__xludf.DUMMYFUNCTION("""COMPUTED_VALUE"""),"Eris Island")</f>
        <v>Eris Island</v>
      </c>
      <c r="F88" s="31">
        <f>IFERROR(__xludf.DUMMYFUNCTION("""COMPUTED_VALUE"""),21.0)</f>
        <v>21</v>
      </c>
      <c r="G88" s="32">
        <f>IFERROR(__xludf.DUMMYFUNCTION("""COMPUTED_VALUE"""),4175.0)</f>
        <v>4175</v>
      </c>
      <c r="H88" s="33" t="str">
        <f>IFERROR(__xludf.DUMMYFUNCTION("""COMPUTED_VALUE"""),"")</f>
        <v/>
      </c>
      <c r="I88" s="34">
        <f>IFERROR(__xludf.DUMMYFUNCTION("""COMPUTED_VALUE"""),69.2)</f>
        <v>69.2</v>
      </c>
      <c r="J88" s="35" t="str">
        <f>IFERROR(__xludf.DUMMYFUNCTION("""COMPUTED_VALUE"""),"AP")</f>
        <v>AP</v>
      </c>
      <c r="K88" s="34">
        <f>IFERROR(__xludf.DUMMYFUNCTION("""COMPUTED_VALUE"""),30.3)</f>
        <v>30.3</v>
      </c>
      <c r="L88" s="35" t="str">
        <f>IFERROR(__xludf.DUMMYFUNCTION("""COMPUTED_VALUE"""),"%")</f>
        <v>%</v>
      </c>
      <c r="M88" s="36">
        <f>IFERROR(__xludf.DUMMYFUNCTION("""COMPUTED_VALUE"""),1.0)</f>
        <v>1</v>
      </c>
      <c r="N88" s="37" t="str">
        <f>IFERROR(__xludf.DUMMYFUNCTION("""COMPUTED_VALUE"""),"A113")</f>
        <v>A113</v>
      </c>
      <c r="O88" s="38" t="str">
        <f>IFERROR(__xludf.DUMMYFUNCTION("""COMPUTED_VALUE"""),"")</f>
        <v/>
      </c>
      <c r="P88" s="34">
        <f>IFERROR(__xludf.DUMMYFUNCTION("""COMPUTED_VALUE"""),136.1)</f>
        <v>136.1</v>
      </c>
      <c r="Q88" s="35" t="str">
        <f>IFERROR(__xludf.DUMMYFUNCTION("""COMPUTED_VALUE"""),"AP")</f>
        <v>AP</v>
      </c>
      <c r="R88" s="34">
        <f>IFERROR(__xludf.DUMMYFUNCTION("""COMPUTED_VALUE"""),15.4)</f>
        <v>15.4</v>
      </c>
      <c r="S88" s="35" t="str">
        <f>IFERROR(__xludf.DUMMYFUNCTION("""COMPUTED_VALUE"""),"%")</f>
        <v>%</v>
      </c>
      <c r="T88" s="36">
        <f>IFERROR(__xludf.DUMMYFUNCTION("""COMPUTED_VALUE"""),2.0)</f>
        <v>2</v>
      </c>
      <c r="U88" s="37" t="str">
        <f>IFERROR(__xludf.DUMMYFUNCTION("""COMPUTED_VALUE"""),"A218")</f>
        <v>A218</v>
      </c>
      <c r="V88" s="38" t="str">
        <f>IFERROR(__xludf.DUMMYFUNCTION("""COMPUTED_VALUE"""),"")</f>
        <v/>
      </c>
      <c r="W88" s="34">
        <f>IFERROR(__xludf.DUMMYFUNCTION("""COMPUTED_VALUE"""),105.3)</f>
        <v>105.3</v>
      </c>
      <c r="X88" s="35" t="str">
        <f>IFERROR(__xludf.DUMMYFUNCTION("""COMPUTED_VALUE"""),"AP")</f>
        <v>AP</v>
      </c>
      <c r="Y88" s="34">
        <f>IFERROR(__xludf.DUMMYFUNCTION("""COMPUTED_VALUE"""),20.0)</f>
        <v>20</v>
      </c>
      <c r="Z88" s="35" t="str">
        <f>IFERROR(__xludf.DUMMYFUNCTION("""COMPUTED_VALUE"""),"%")</f>
        <v>%</v>
      </c>
      <c r="AA88" s="36">
        <f>IFERROR(__xludf.DUMMYFUNCTION("""COMPUTED_VALUE"""),3.0)</f>
        <v>3</v>
      </c>
      <c r="AB88" s="37" t="str">
        <f>IFERROR(__xludf.DUMMYFUNCTION("""COMPUTED_VALUE"""),"B113")</f>
        <v>B113</v>
      </c>
      <c r="AC88" s="38" t="str">
        <f>IFERROR(__xludf.DUMMYFUNCTION("""COMPUTED_VALUE"""),"")</f>
        <v/>
      </c>
      <c r="AD88" s="34">
        <f>IFERROR(__xludf.DUMMYFUNCTION("""COMPUTED_VALUE"""),254.8)</f>
        <v>254.8</v>
      </c>
      <c r="AE88" s="35" t="str">
        <f>IFERROR(__xludf.DUMMYFUNCTION("""COMPUTED_VALUE"""),"AP")</f>
        <v>AP</v>
      </c>
      <c r="AF88" s="34">
        <f>IFERROR(__xludf.DUMMYFUNCTION("""COMPUTED_VALUE"""),8.2)</f>
        <v>8.2</v>
      </c>
      <c r="AG88" s="35" t="str">
        <f>IFERROR(__xludf.DUMMYFUNCTION("""COMPUTED_VALUE"""),"%")</f>
        <v>%</v>
      </c>
      <c r="AH88" s="31">
        <f>IFERROR(__xludf.DUMMYFUNCTION("""COMPUTED_VALUE"""),21.0)</f>
        <v>21</v>
      </c>
      <c r="AI88" s="32">
        <f>IFERROR(__xludf.DUMMYFUNCTION("""COMPUTED_VALUE"""),4175.0)</f>
        <v>4175</v>
      </c>
      <c r="AJ88" s="39" t="str">
        <f>IFERROR(__xludf.DUMMYFUNCTION("""COMPUTED_VALUE"""),"エリス島")</f>
        <v>エリス島</v>
      </c>
    </row>
    <row r="89" ht="24.75" customHeight="1">
      <c r="A89" s="40">
        <f>IFERROR(__xludf.DUMMYFUNCTION("""COMPUTED_VALUE"""),18.0)</f>
        <v>18</v>
      </c>
      <c r="B89" s="40" t="str">
        <f>IFERROR(__xludf.DUMMYFUNCTION("""COMPUTED_VALUE"""),"A304")</f>
        <v>A304</v>
      </c>
      <c r="C89" s="40" t="str">
        <f>IFERROR(__xludf.DUMMYFUNCTION("""COMPUTED_VALUE"""),"ATL5")</f>
        <v>ATL5</v>
      </c>
      <c r="D89" s="41" t="str">
        <f>IFERROR(__xludf.DUMMYFUNCTION("""COMPUTED_VALUE"""),"Atlantis")</f>
        <v>Atlantis</v>
      </c>
      <c r="E89" s="42" t="str">
        <f>IFERROR(__xludf.DUMMYFUNCTION("""COMPUTED_VALUE"""),"Astraea Island")</f>
        <v>Astraea Island</v>
      </c>
      <c r="F89" s="43">
        <f>IFERROR(__xludf.DUMMYFUNCTION("""COMPUTED_VALUE"""),21.0)</f>
        <v>21</v>
      </c>
      <c r="G89" s="44">
        <f>IFERROR(__xludf.DUMMYFUNCTION("""COMPUTED_VALUE"""),34644.0)</f>
        <v>34644</v>
      </c>
      <c r="H89" s="33" t="str">
        <f>IFERROR(__xludf.DUMMYFUNCTION("""COMPUTED_VALUE"""),"")</f>
        <v/>
      </c>
      <c r="I89" s="45">
        <f>IFERROR(__xludf.DUMMYFUNCTION("""COMPUTED_VALUE"""),69.6)</f>
        <v>69.6</v>
      </c>
      <c r="J89" s="46" t="str">
        <f>IFERROR(__xludf.DUMMYFUNCTION("""COMPUTED_VALUE"""),"AP")</f>
        <v>AP</v>
      </c>
      <c r="K89" s="47">
        <f>IFERROR(__xludf.DUMMYFUNCTION("""COMPUTED_VALUE"""),30.2)</f>
        <v>30.2</v>
      </c>
      <c r="L89" s="48" t="str">
        <f>IFERROR(__xludf.DUMMYFUNCTION("""COMPUTED_VALUE"""),"%")</f>
        <v>%</v>
      </c>
      <c r="M89" s="49">
        <f>IFERROR(__xludf.DUMMYFUNCTION("""COMPUTED_VALUE"""),1.0)</f>
        <v>1</v>
      </c>
      <c r="N89" s="50" t="str">
        <f>IFERROR(__xludf.DUMMYFUNCTION("""COMPUTED_VALUE"""),"A104")</f>
        <v>A104</v>
      </c>
      <c r="O89" s="38" t="str">
        <f>IFERROR(__xludf.DUMMYFUNCTION("""COMPUTED_VALUE"""),"")</f>
        <v/>
      </c>
      <c r="P89" s="45">
        <f>IFERROR(__xludf.DUMMYFUNCTION("""COMPUTED_VALUE"""),207.6)</f>
        <v>207.6</v>
      </c>
      <c r="Q89" s="46" t="str">
        <f>IFERROR(__xludf.DUMMYFUNCTION("""COMPUTED_VALUE"""),"AP")</f>
        <v>AP</v>
      </c>
      <c r="R89" s="47">
        <f>IFERROR(__xludf.DUMMYFUNCTION("""COMPUTED_VALUE"""),10.1)</f>
        <v>10.1</v>
      </c>
      <c r="S89" s="48" t="str">
        <f>IFERROR(__xludf.DUMMYFUNCTION("""COMPUTED_VALUE"""),"%")</f>
        <v>%</v>
      </c>
      <c r="T89" s="49">
        <f>IFERROR(__xludf.DUMMYFUNCTION("""COMPUTED_VALUE"""),2.0)</f>
        <v>2</v>
      </c>
      <c r="U89" s="50" t="str">
        <f>IFERROR(__xludf.DUMMYFUNCTION("""COMPUTED_VALUE"""),"A218")</f>
        <v>A218</v>
      </c>
      <c r="V89" s="38" t="str">
        <f>IFERROR(__xludf.DUMMYFUNCTION("""COMPUTED_VALUE"""),"")</f>
        <v/>
      </c>
      <c r="W89" s="45">
        <f>IFERROR(__xludf.DUMMYFUNCTION("""COMPUTED_VALUE"""),105.2)</f>
        <v>105.2</v>
      </c>
      <c r="X89" s="46" t="str">
        <f>IFERROR(__xludf.DUMMYFUNCTION("""COMPUTED_VALUE"""),"AP")</f>
        <v>AP</v>
      </c>
      <c r="Y89" s="47">
        <f>IFERROR(__xludf.DUMMYFUNCTION("""COMPUTED_VALUE"""),20.0)</f>
        <v>20</v>
      </c>
      <c r="Z89" s="48" t="str">
        <f>IFERROR(__xludf.DUMMYFUNCTION("""COMPUTED_VALUE"""),"%")</f>
        <v>%</v>
      </c>
      <c r="AA89" s="49">
        <f>IFERROR(__xludf.DUMMYFUNCTION("""COMPUTED_VALUE"""),3.0)</f>
        <v>3</v>
      </c>
      <c r="AB89" s="50" t="str">
        <f>IFERROR(__xludf.DUMMYFUNCTION("""COMPUTED_VALUE"""),"B101")</f>
        <v>B101</v>
      </c>
      <c r="AC89" s="38" t="str">
        <f>IFERROR(__xludf.DUMMYFUNCTION("""COMPUTED_VALUE"""),"")</f>
        <v/>
      </c>
      <c r="AD89" s="45">
        <f>IFERROR(__xludf.DUMMYFUNCTION("""COMPUTED_VALUE"""),645.8)</f>
        <v>645.8</v>
      </c>
      <c r="AE89" s="46" t="str">
        <f>IFERROR(__xludf.DUMMYFUNCTION("""COMPUTED_VALUE"""),"AP")</f>
        <v>AP</v>
      </c>
      <c r="AF89" s="47">
        <f>IFERROR(__xludf.DUMMYFUNCTION("""COMPUTED_VALUE"""),3.3)</f>
        <v>3.3</v>
      </c>
      <c r="AG89" s="48" t="str">
        <f>IFERROR(__xludf.DUMMYFUNCTION("""COMPUTED_VALUE"""),"%")</f>
        <v>%</v>
      </c>
      <c r="AH89" s="43">
        <f>IFERROR(__xludf.DUMMYFUNCTION("""COMPUTED_VALUE"""),21.0)</f>
        <v>21</v>
      </c>
      <c r="AI89" s="44">
        <f>IFERROR(__xludf.DUMMYFUNCTION("""COMPUTED_VALUE"""),34644.0)</f>
        <v>34644</v>
      </c>
      <c r="AJ89" s="51" t="str">
        <f>IFERROR(__xludf.DUMMYFUNCTION("""COMPUTED_VALUE"""),"アストライア島")</f>
        <v>アストライア島</v>
      </c>
    </row>
    <row r="90" ht="24.75" customHeight="1">
      <c r="A90" s="28">
        <f>IFERROR(__xludf.DUMMYFUNCTION("""COMPUTED_VALUE"""),19.0)</f>
        <v>19</v>
      </c>
      <c r="B90" s="28" t="str">
        <f>IFERROR(__xludf.DUMMYFUNCTION("""COMPUTED_VALUE"""),"A304")</f>
        <v>A304</v>
      </c>
      <c r="C90" s="28" t="str">
        <f>IFERROR(__xludf.DUMMYFUNCTION("""COMPUTED_VALUE"""),"HEA9")</f>
        <v>HEA9</v>
      </c>
      <c r="D90" s="29" t="str">
        <f>IFERROR(__xludf.DUMMYFUNCTION("""COMPUTED_VALUE"""),"Heian-kyo")</f>
        <v>Heian-kyo</v>
      </c>
      <c r="E90" s="30" t="str">
        <f>IFERROR(__xludf.DUMMYFUNCTION("""COMPUTED_VALUE"""),"Imperial Palace Main Street")</f>
        <v>Imperial Palace Main Street</v>
      </c>
      <c r="F90" s="31">
        <f>IFERROR(__xludf.DUMMYFUNCTION("""COMPUTED_VALUE"""),21.0)</f>
        <v>21</v>
      </c>
      <c r="G90" s="32">
        <f>IFERROR(__xludf.DUMMYFUNCTION("""COMPUTED_VALUE"""),7620.0)</f>
        <v>7620</v>
      </c>
      <c r="H90" s="33" t="str">
        <f>IFERROR(__xludf.DUMMYFUNCTION("""COMPUTED_VALUE"""),"")</f>
        <v/>
      </c>
      <c r="I90" s="34">
        <f>IFERROR(__xludf.DUMMYFUNCTION("""COMPUTED_VALUE"""),69.6)</f>
        <v>69.6</v>
      </c>
      <c r="J90" s="35" t="str">
        <f>IFERROR(__xludf.DUMMYFUNCTION("""COMPUTED_VALUE"""),"AP")</f>
        <v>AP</v>
      </c>
      <c r="K90" s="34">
        <f>IFERROR(__xludf.DUMMYFUNCTION("""COMPUTED_VALUE"""),30.2)</f>
        <v>30.2</v>
      </c>
      <c r="L90" s="35" t="str">
        <f>IFERROR(__xludf.DUMMYFUNCTION("""COMPUTED_VALUE"""),"%")</f>
        <v>%</v>
      </c>
      <c r="M90" s="36">
        <f>IFERROR(__xludf.DUMMYFUNCTION("""COMPUTED_VALUE"""),1.0)</f>
        <v>1</v>
      </c>
      <c r="N90" s="37" t="str">
        <f>IFERROR(__xludf.DUMMYFUNCTION("""COMPUTED_VALUE"""),"A118")</f>
        <v>A118</v>
      </c>
      <c r="O90" s="38" t="str">
        <f>IFERROR(__xludf.DUMMYFUNCTION("""COMPUTED_VALUE"""),"")</f>
        <v/>
      </c>
      <c r="P90" s="34">
        <f>IFERROR(__xludf.DUMMYFUNCTION("""COMPUTED_VALUE"""),195.6)</f>
        <v>195.6</v>
      </c>
      <c r="Q90" s="35" t="str">
        <f>IFERROR(__xludf.DUMMYFUNCTION("""COMPUTED_VALUE"""),"AP")</f>
        <v>AP</v>
      </c>
      <c r="R90" s="34">
        <f>IFERROR(__xludf.DUMMYFUNCTION("""COMPUTED_VALUE"""),10.7)</f>
        <v>10.7</v>
      </c>
      <c r="S90" s="35" t="str">
        <f>IFERROR(__xludf.DUMMYFUNCTION("""COMPUTED_VALUE"""),"%")</f>
        <v>%</v>
      </c>
      <c r="T90" s="36">
        <f>IFERROR(__xludf.DUMMYFUNCTION("""COMPUTED_VALUE"""),2.0)</f>
        <v>2</v>
      </c>
      <c r="U90" s="37" t="str">
        <f>IFERROR(__xludf.DUMMYFUNCTION("""COMPUTED_VALUE"""),"A302")</f>
        <v>A302</v>
      </c>
      <c r="V90" s="38" t="str">
        <f>IFERROR(__xludf.DUMMYFUNCTION("""COMPUTED_VALUE"""),"")</f>
        <v/>
      </c>
      <c r="W90" s="34">
        <f>IFERROR(__xludf.DUMMYFUNCTION("""COMPUTED_VALUE"""),68.6)</f>
        <v>68.6</v>
      </c>
      <c r="X90" s="35" t="str">
        <f>IFERROR(__xludf.DUMMYFUNCTION("""COMPUTED_VALUE"""),"AP")</f>
        <v>AP</v>
      </c>
      <c r="Y90" s="34">
        <f>IFERROR(__xludf.DUMMYFUNCTION("""COMPUTED_VALUE"""),30.6)</f>
        <v>30.6</v>
      </c>
      <c r="Z90" s="35" t="str">
        <f>IFERROR(__xludf.DUMMYFUNCTION("""COMPUTED_VALUE"""),"%")</f>
        <v>%</v>
      </c>
      <c r="AA90" s="36">
        <f>IFERROR(__xludf.DUMMYFUNCTION("""COMPUTED_VALUE"""),3.0)</f>
        <v>3</v>
      </c>
      <c r="AB90" s="37" t="str">
        <f>IFERROR(__xludf.DUMMYFUNCTION("""COMPUTED_VALUE"""),"B107")</f>
        <v>B107</v>
      </c>
      <c r="AC90" s="38" t="str">
        <f>IFERROR(__xludf.DUMMYFUNCTION("""COMPUTED_VALUE"""),"")</f>
        <v/>
      </c>
      <c r="AD90" s="34">
        <f>IFERROR(__xludf.DUMMYFUNCTION("""COMPUTED_VALUE"""),527.9)</f>
        <v>527.9</v>
      </c>
      <c r="AE90" s="35" t="str">
        <f>IFERROR(__xludf.DUMMYFUNCTION("""COMPUTED_VALUE"""),"AP")</f>
        <v>AP</v>
      </c>
      <c r="AF90" s="34">
        <f>IFERROR(__xludf.DUMMYFUNCTION("""COMPUTED_VALUE"""),4.0)</f>
        <v>4</v>
      </c>
      <c r="AG90" s="35" t="str">
        <f>IFERROR(__xludf.DUMMYFUNCTION("""COMPUTED_VALUE"""),"%")</f>
        <v>%</v>
      </c>
      <c r="AH90" s="31">
        <f>IFERROR(__xludf.DUMMYFUNCTION("""COMPUTED_VALUE"""),21.0)</f>
        <v>21</v>
      </c>
      <c r="AI90" s="32">
        <f>IFERROR(__xludf.DUMMYFUNCTION("""COMPUTED_VALUE"""),7620.0)</f>
        <v>7620</v>
      </c>
      <c r="AJ90" s="39" t="str">
        <f>IFERROR(__xludf.DUMMYFUNCTION("""COMPUTED_VALUE"""),"大宮大路")</f>
        <v>大宮大路</v>
      </c>
    </row>
    <row r="91" ht="24.75" customHeight="1">
      <c r="A91" s="40">
        <f>IFERROR(__xludf.DUMMYFUNCTION("""COMPUTED_VALUE"""),20.0)</f>
        <v>20</v>
      </c>
      <c r="B91" s="40" t="str">
        <f>IFERROR(__xludf.DUMMYFUNCTION("""COMPUTED_VALUE"""),"A304")</f>
        <v>A304</v>
      </c>
      <c r="C91" s="40" t="str">
        <f>IFERROR(__xludf.DUMMYFUNCTION("""COMPUTED_VALUE"""),"ANA13")</f>
        <v>ANA13</v>
      </c>
      <c r="D91" s="41" t="str">
        <f>IFERROR(__xludf.DUMMYFUNCTION("""COMPUTED_VALUE"""),"Anastasia")</f>
        <v>Anastasia</v>
      </c>
      <c r="E91" s="42" t="str">
        <f>IFERROR(__xludf.DUMMYFUNCTION("""COMPUTED_VALUE"""),"Base of the Great Tree")</f>
        <v>Base of the Great Tree</v>
      </c>
      <c r="F91" s="43">
        <f>IFERROR(__xludf.DUMMYFUNCTION("""COMPUTED_VALUE"""),21.0)</f>
        <v>21</v>
      </c>
      <c r="G91" s="44">
        <f>IFERROR(__xludf.DUMMYFUNCTION("""COMPUTED_VALUE"""),13743.0)</f>
        <v>13743</v>
      </c>
      <c r="H91" s="33" t="str">
        <f>IFERROR(__xludf.DUMMYFUNCTION("""COMPUTED_VALUE"""),"")</f>
        <v/>
      </c>
      <c r="I91" s="45">
        <f>IFERROR(__xludf.DUMMYFUNCTION("""COMPUTED_VALUE"""),69.9)</f>
        <v>69.9</v>
      </c>
      <c r="J91" s="46" t="str">
        <f>IFERROR(__xludf.DUMMYFUNCTION("""COMPUTED_VALUE"""),"AP")</f>
        <v>AP</v>
      </c>
      <c r="K91" s="47">
        <f>IFERROR(__xludf.DUMMYFUNCTION("""COMPUTED_VALUE"""),30.0)</f>
        <v>30</v>
      </c>
      <c r="L91" s="48" t="str">
        <f>IFERROR(__xludf.DUMMYFUNCTION("""COMPUTED_VALUE"""),"%")</f>
        <v>%</v>
      </c>
      <c r="M91" s="49">
        <f>IFERROR(__xludf.DUMMYFUNCTION("""COMPUTED_VALUE"""),1.0)</f>
        <v>1</v>
      </c>
      <c r="N91" s="50" t="str">
        <f>IFERROR(__xludf.DUMMYFUNCTION("""COMPUTED_VALUE"""),"A213")</f>
        <v>A213</v>
      </c>
      <c r="O91" s="38" t="str">
        <f>IFERROR(__xludf.DUMMYFUNCTION("""COMPUTED_VALUE"""),"")</f>
        <v/>
      </c>
      <c r="P91" s="45">
        <f>IFERROR(__xludf.DUMMYFUNCTION("""COMPUTED_VALUE"""),104.8)</f>
        <v>104.8</v>
      </c>
      <c r="Q91" s="46" t="str">
        <f>IFERROR(__xludf.DUMMYFUNCTION("""COMPUTED_VALUE"""),"AP")</f>
        <v>AP</v>
      </c>
      <c r="R91" s="47">
        <f>IFERROR(__xludf.DUMMYFUNCTION("""COMPUTED_VALUE"""),20.0)</f>
        <v>20</v>
      </c>
      <c r="S91" s="48" t="str">
        <f>IFERROR(__xludf.DUMMYFUNCTION("""COMPUTED_VALUE"""),"%")</f>
        <v>%</v>
      </c>
      <c r="T91" s="49">
        <f>IFERROR(__xludf.DUMMYFUNCTION("""COMPUTED_VALUE"""),2.0)</f>
        <v>2</v>
      </c>
      <c r="U91" s="50" t="str">
        <f>IFERROR(__xludf.DUMMYFUNCTION("""COMPUTED_VALUE"""),"A306")</f>
        <v>A306</v>
      </c>
      <c r="V91" s="38" t="str">
        <f>IFERROR(__xludf.DUMMYFUNCTION("""COMPUTED_VALUE"""),"")</f>
        <v/>
      </c>
      <c r="W91" s="45">
        <f>IFERROR(__xludf.DUMMYFUNCTION("""COMPUTED_VALUE"""),71.4)</f>
        <v>71.4</v>
      </c>
      <c r="X91" s="46" t="str">
        <f>IFERROR(__xludf.DUMMYFUNCTION("""COMPUTED_VALUE"""),"AP")</f>
        <v>AP</v>
      </c>
      <c r="Y91" s="47">
        <f>IFERROR(__xludf.DUMMYFUNCTION("""COMPUTED_VALUE"""),29.4)</f>
        <v>29.4</v>
      </c>
      <c r="Z91" s="48" t="str">
        <f>IFERROR(__xludf.DUMMYFUNCTION("""COMPUTED_VALUE"""),"%")</f>
        <v>%</v>
      </c>
      <c r="AA91" s="49">
        <f>IFERROR(__xludf.DUMMYFUNCTION("""COMPUTED_VALUE"""),3.0)</f>
        <v>3</v>
      </c>
      <c r="AB91" s="50" t="str">
        <f>IFERROR(__xludf.DUMMYFUNCTION("""COMPUTED_VALUE"""),"B116")</f>
        <v>B116</v>
      </c>
      <c r="AC91" s="38" t="str">
        <f>IFERROR(__xludf.DUMMYFUNCTION("""COMPUTED_VALUE"""),"")</f>
        <v/>
      </c>
      <c r="AD91" s="45">
        <f>IFERROR(__xludf.DUMMYFUNCTION("""COMPUTED_VALUE"""),107.7)</f>
        <v>107.7</v>
      </c>
      <c r="AE91" s="46" t="str">
        <f>IFERROR(__xludf.DUMMYFUNCTION("""COMPUTED_VALUE"""),"AP")</f>
        <v>AP</v>
      </c>
      <c r="AF91" s="47">
        <f>IFERROR(__xludf.DUMMYFUNCTION("""COMPUTED_VALUE"""),19.5)</f>
        <v>19.5</v>
      </c>
      <c r="AG91" s="48" t="str">
        <f>IFERROR(__xludf.DUMMYFUNCTION("""COMPUTED_VALUE"""),"%")</f>
        <v>%</v>
      </c>
      <c r="AH91" s="43">
        <f>IFERROR(__xludf.DUMMYFUNCTION("""COMPUTED_VALUE"""),21.0)</f>
        <v>21</v>
      </c>
      <c r="AI91" s="44">
        <f>IFERROR(__xludf.DUMMYFUNCTION("""COMPUTED_VALUE"""),13743.0)</f>
        <v>13743</v>
      </c>
      <c r="AJ91" s="51" t="str">
        <f>IFERROR(__xludf.DUMMYFUNCTION("""COMPUTED_VALUE"""),"大樹の根元")</f>
        <v>大樹の根元</v>
      </c>
    </row>
    <row r="92">
      <c r="A92" s="52"/>
      <c r="B92" s="53"/>
      <c r="C92" s="54"/>
      <c r="D92" s="55"/>
      <c r="E92" s="56"/>
      <c r="F92" s="53"/>
      <c r="G92" s="53"/>
      <c r="H92" s="53"/>
      <c r="I92" s="53"/>
      <c r="J92" s="57"/>
      <c r="K92" s="53"/>
      <c r="L92" s="57"/>
      <c r="M92" s="53"/>
      <c r="N92" s="53"/>
      <c r="O92" s="53"/>
      <c r="P92" s="53"/>
      <c r="Q92" s="57"/>
      <c r="R92" s="53"/>
      <c r="S92" s="57"/>
      <c r="T92" s="53"/>
      <c r="U92" s="53"/>
      <c r="V92" s="53"/>
      <c r="W92" s="53"/>
      <c r="X92" s="57"/>
      <c r="Y92" s="53"/>
      <c r="Z92" s="57"/>
      <c r="AA92" s="53"/>
      <c r="AB92" s="53"/>
      <c r="AC92" s="53"/>
      <c r="AD92" s="53"/>
      <c r="AE92" s="57"/>
      <c r="AF92" s="53"/>
      <c r="AG92" s="57"/>
      <c r="AH92" s="53"/>
      <c r="AI92" s="53"/>
      <c r="AJ92" s="58"/>
    </row>
    <row r="93">
      <c r="A93" s="59"/>
      <c r="B93" s="60"/>
      <c r="C93" s="61"/>
      <c r="D93" s="62"/>
      <c r="E93" s="63"/>
      <c r="F93" s="60"/>
      <c r="G93" s="60"/>
      <c r="H93" s="60"/>
      <c r="I93" s="60"/>
      <c r="J93" s="64"/>
      <c r="K93" s="60"/>
      <c r="L93" s="64"/>
      <c r="M93" s="60"/>
      <c r="N93" s="60"/>
      <c r="O93" s="60"/>
      <c r="P93" s="60"/>
      <c r="Q93" s="64"/>
      <c r="R93" s="60"/>
      <c r="S93" s="64"/>
      <c r="T93" s="60"/>
      <c r="U93" s="60"/>
      <c r="V93" s="60"/>
      <c r="W93" s="60"/>
      <c r="X93" s="64"/>
      <c r="Y93" s="60"/>
      <c r="Z93" s="64"/>
      <c r="AA93" s="60"/>
      <c r="AB93" s="60"/>
      <c r="AC93" s="60"/>
      <c r="AD93" s="60"/>
      <c r="AE93" s="64"/>
      <c r="AF93" s="60"/>
      <c r="AG93" s="64"/>
      <c r="AH93" s="60"/>
      <c r="AI93" s="60"/>
      <c r="AJ93" s="65"/>
    </row>
    <row r="94" ht="33.0" customHeight="1">
      <c r="A94" s="20" t="str">
        <f>IFERROR(__xludf.DUMMYFUNCTION("""COMPUTED_VALUE""")," ")</f>
        <v> </v>
      </c>
      <c r="B94" s="21" t="str">
        <f>IFERROR(__xludf.DUMMYFUNCTION("""COMPUTED_VALUE"""),"A305")</f>
        <v>A305</v>
      </c>
      <c r="C94" s="20"/>
      <c r="D94" s="22" t="str">
        <f>IFERROR(__xludf.DUMMYFUNCTION("""COMPUTED_VALUE"""),"")</f>
        <v/>
      </c>
      <c r="E94" s="23" t="str">
        <f>IFERROR(__xludf.DUMMYFUNCTION("""COMPUTED_VALUE"""),"Fool's Chain")</f>
        <v>Fool's Chain</v>
      </c>
      <c r="F94" s="24"/>
      <c r="G94" s="24"/>
      <c r="H94" s="25"/>
      <c r="I94" s="25"/>
      <c r="J94" s="26"/>
      <c r="K94" s="25"/>
      <c r="L94" s="26"/>
      <c r="M94" s="25"/>
      <c r="N94" s="25"/>
      <c r="O94" s="25"/>
      <c r="P94" s="25"/>
      <c r="Q94" s="26"/>
      <c r="R94" s="25"/>
      <c r="S94" s="26"/>
      <c r="T94" s="25"/>
      <c r="U94" s="25"/>
      <c r="V94" s="25"/>
      <c r="W94" s="25"/>
      <c r="X94" s="26"/>
      <c r="Y94" s="25"/>
      <c r="Z94" s="26"/>
      <c r="AA94" s="25"/>
      <c r="AB94" s="25"/>
      <c r="AC94" s="25"/>
      <c r="AD94" s="25"/>
      <c r="AE94" s="26"/>
      <c r="AF94" s="25"/>
      <c r="AG94" s="26"/>
      <c r="AH94" s="24"/>
      <c r="AI94" s="25"/>
      <c r="AJ94" s="27"/>
    </row>
    <row r="95" ht="24.75" customHeight="1">
      <c r="A95" s="28">
        <f>IFERROR(__xludf.DUMMYFUNCTION("""COMPUTED_VALUE"""),1.0)</f>
        <v>1</v>
      </c>
      <c r="B95" s="28" t="str">
        <f>IFERROR(__xludf.DUMMYFUNCTION("""COMPUTED_VALUE"""),"A305")</f>
        <v>A305</v>
      </c>
      <c r="C95" s="28" t="str">
        <f>IFERROR(__xludf.DUMMYFUNCTION("""COMPUTED_VALUE"""),"CML3")</f>
        <v>CML3</v>
      </c>
      <c r="D95" s="29" t="str">
        <f>IFERROR(__xludf.DUMMYFUNCTION("""COMPUTED_VALUE"""),"Camelot")</f>
        <v>Camelot</v>
      </c>
      <c r="E95" s="30" t="str">
        <f>IFERROR(__xludf.DUMMYFUNCTION("""COMPUTED_VALUE"""),"Wastelands of Death")</f>
        <v>Wastelands of Death</v>
      </c>
      <c r="F95" s="31">
        <f>IFERROR(__xludf.DUMMYFUNCTION("""COMPUTED_VALUE"""),19.0)</f>
        <v>19</v>
      </c>
      <c r="G95" s="32">
        <f>IFERROR(__xludf.DUMMYFUNCTION("""COMPUTED_VALUE"""),16747.0)</f>
        <v>16747</v>
      </c>
      <c r="H95" s="33" t="str">
        <f>IFERROR(__xludf.DUMMYFUNCTION("""COMPUTED_VALUE"""),"")</f>
        <v/>
      </c>
      <c r="I95" s="34">
        <f>IFERROR(__xludf.DUMMYFUNCTION("""COMPUTED_VALUE"""),29.2)</f>
        <v>29.2</v>
      </c>
      <c r="J95" s="35" t="str">
        <f>IFERROR(__xludf.DUMMYFUNCTION("""COMPUTED_VALUE"""),"AP")</f>
        <v>AP</v>
      </c>
      <c r="K95" s="34">
        <f>IFERROR(__xludf.DUMMYFUNCTION("""COMPUTED_VALUE"""),65.0)</f>
        <v>65</v>
      </c>
      <c r="L95" s="35" t="str">
        <f>IFERROR(__xludf.DUMMYFUNCTION("""COMPUTED_VALUE"""),"%")</f>
        <v>%</v>
      </c>
      <c r="M95" s="36">
        <f>IFERROR(__xludf.DUMMYFUNCTION("""COMPUTED_VALUE"""),1.0)</f>
        <v>1</v>
      </c>
      <c r="N95" s="37"/>
      <c r="O95" s="38"/>
      <c r="P95" s="34" t="str">
        <f>IFERROR(__xludf.DUMMYFUNCTION("""COMPUTED_VALUE"""),"")</f>
        <v/>
      </c>
      <c r="Q95" s="35" t="str">
        <f>IFERROR(__xludf.DUMMYFUNCTION("""COMPUTED_VALUE"""),"AP")</f>
        <v>AP</v>
      </c>
      <c r="R95" s="34" t="str">
        <f>IFERROR(__xludf.DUMMYFUNCTION("""COMPUTED_VALUE"""),"")</f>
        <v/>
      </c>
      <c r="S95" s="35" t="str">
        <f>IFERROR(__xludf.DUMMYFUNCTION("""COMPUTED_VALUE"""),"%")</f>
        <v>%</v>
      </c>
      <c r="T95" s="36">
        <f>IFERROR(__xludf.DUMMYFUNCTION("""COMPUTED_VALUE"""),2.0)</f>
        <v>2</v>
      </c>
      <c r="U95" s="37"/>
      <c r="V95" s="38"/>
      <c r="W95" s="34" t="str">
        <f>IFERROR(__xludf.DUMMYFUNCTION("""COMPUTED_VALUE"""),"")</f>
        <v/>
      </c>
      <c r="X95" s="35" t="str">
        <f>IFERROR(__xludf.DUMMYFUNCTION("""COMPUTED_VALUE"""),"AP")</f>
        <v>AP</v>
      </c>
      <c r="Y95" s="34" t="str">
        <f>IFERROR(__xludf.DUMMYFUNCTION("""COMPUTED_VALUE"""),"")</f>
        <v/>
      </c>
      <c r="Z95" s="35" t="str">
        <f>IFERROR(__xludf.DUMMYFUNCTION("""COMPUTED_VALUE"""),"%")</f>
        <v>%</v>
      </c>
      <c r="AA95" s="36">
        <f>IFERROR(__xludf.DUMMYFUNCTION("""COMPUTED_VALUE"""),3.0)</f>
        <v>3</v>
      </c>
      <c r="AB95" s="37"/>
      <c r="AC95" s="38"/>
      <c r="AD95" s="34" t="str">
        <f>IFERROR(__xludf.DUMMYFUNCTION("""COMPUTED_VALUE"""),"")</f>
        <v/>
      </c>
      <c r="AE95" s="35" t="str">
        <f>IFERROR(__xludf.DUMMYFUNCTION("""COMPUTED_VALUE"""),"AP")</f>
        <v>AP</v>
      </c>
      <c r="AF95" s="34" t="str">
        <f>IFERROR(__xludf.DUMMYFUNCTION("""COMPUTED_VALUE"""),"")</f>
        <v/>
      </c>
      <c r="AG95" s="35" t="str">
        <f>IFERROR(__xludf.DUMMYFUNCTION("""COMPUTED_VALUE"""),"%")</f>
        <v>%</v>
      </c>
      <c r="AH95" s="31">
        <f>IFERROR(__xludf.DUMMYFUNCTION("""COMPUTED_VALUE"""),19.0)</f>
        <v>19</v>
      </c>
      <c r="AI95" s="32">
        <f>IFERROR(__xludf.DUMMYFUNCTION("""COMPUTED_VALUE"""),16747.0)</f>
        <v>16747</v>
      </c>
      <c r="AJ95" s="39" t="str">
        <f>IFERROR(__xludf.DUMMYFUNCTION("""COMPUTED_VALUE"""),"死の荒野")</f>
        <v>死の荒野</v>
      </c>
    </row>
    <row r="96" ht="24.75" customHeight="1">
      <c r="A96" s="40">
        <f>IFERROR(__xludf.DUMMYFUNCTION("""COMPUTED_VALUE"""),2.0)</f>
        <v>2</v>
      </c>
      <c r="B96" s="40" t="str">
        <f>IFERROR(__xludf.DUMMYFUNCTION("""COMPUTED_VALUE"""),"A305")</f>
        <v>A305</v>
      </c>
      <c r="C96" s="40" t="str">
        <f>IFERROR(__xludf.DUMMYFUNCTION("""COMPUTED_VALUE"""),"SLM6")</f>
        <v>SLM6</v>
      </c>
      <c r="D96" s="41" t="str">
        <f>IFERROR(__xludf.DUMMYFUNCTION("""COMPUTED_VALUE"""),"Salem")</f>
        <v>Salem</v>
      </c>
      <c r="E96" s="42" t="str">
        <f>IFERROR(__xludf.DUMMYFUNCTION("""COMPUTED_VALUE"""),"Isolated Mansion")</f>
        <v>Isolated Mansion</v>
      </c>
      <c r="F96" s="43">
        <f>IFERROR(__xludf.DUMMYFUNCTION("""COMPUTED_VALUE"""),21.0)</f>
        <v>21</v>
      </c>
      <c r="G96" s="44">
        <f>IFERROR(__xludf.DUMMYFUNCTION("""COMPUTED_VALUE"""),19538.0)</f>
        <v>19538</v>
      </c>
      <c r="H96" s="33" t="str">
        <f>IFERROR(__xludf.DUMMYFUNCTION("""COMPUTED_VALUE"""),"")</f>
        <v/>
      </c>
      <c r="I96" s="45">
        <f>IFERROR(__xludf.DUMMYFUNCTION("""COMPUTED_VALUE"""),51.5)</f>
        <v>51.5</v>
      </c>
      <c r="J96" s="46" t="str">
        <f>IFERROR(__xludf.DUMMYFUNCTION("""COMPUTED_VALUE"""),"AP")</f>
        <v>AP</v>
      </c>
      <c r="K96" s="47">
        <f>IFERROR(__xludf.DUMMYFUNCTION("""COMPUTED_VALUE"""),40.8)</f>
        <v>40.8</v>
      </c>
      <c r="L96" s="48" t="str">
        <f>IFERROR(__xludf.DUMMYFUNCTION("""COMPUTED_VALUE"""),"%")</f>
        <v>%</v>
      </c>
      <c r="M96" s="49">
        <f>IFERROR(__xludf.DUMMYFUNCTION("""COMPUTED_VALUE"""),1.0)</f>
        <v>1</v>
      </c>
      <c r="N96" s="50" t="str">
        <f>IFERROR(__xludf.DUMMYFUNCTION("""COMPUTED_VALUE"""),"A308")</f>
        <v>A308</v>
      </c>
      <c r="O96" s="38" t="str">
        <f>IFERROR(__xludf.DUMMYFUNCTION("""COMPUTED_VALUE"""),"")</f>
        <v/>
      </c>
      <c r="P96" s="45">
        <f>IFERROR(__xludf.DUMMYFUNCTION("""COMPUTED_VALUE"""),51.6)</f>
        <v>51.6</v>
      </c>
      <c r="Q96" s="46" t="str">
        <f>IFERROR(__xludf.DUMMYFUNCTION("""COMPUTED_VALUE"""),"AP")</f>
        <v>AP</v>
      </c>
      <c r="R96" s="47">
        <f>IFERROR(__xludf.DUMMYFUNCTION("""COMPUTED_VALUE"""),40.7)</f>
        <v>40.7</v>
      </c>
      <c r="S96" s="48" t="str">
        <f>IFERROR(__xludf.DUMMYFUNCTION("""COMPUTED_VALUE"""),"%")</f>
        <v>%</v>
      </c>
      <c r="T96" s="49">
        <f>IFERROR(__xludf.DUMMYFUNCTION("""COMPUTED_VALUE"""),2.0)</f>
        <v>2</v>
      </c>
      <c r="U96" s="50"/>
      <c r="V96" s="38"/>
      <c r="W96" s="45" t="str">
        <f>IFERROR(__xludf.DUMMYFUNCTION("""COMPUTED_VALUE"""),"")</f>
        <v/>
      </c>
      <c r="X96" s="46" t="str">
        <f>IFERROR(__xludf.DUMMYFUNCTION("""COMPUTED_VALUE"""),"AP")</f>
        <v>AP</v>
      </c>
      <c r="Y96" s="47" t="str">
        <f>IFERROR(__xludf.DUMMYFUNCTION("""COMPUTED_VALUE"""),"")</f>
        <v/>
      </c>
      <c r="Z96" s="48" t="str">
        <f>IFERROR(__xludf.DUMMYFUNCTION("""COMPUTED_VALUE"""),"%")</f>
        <v>%</v>
      </c>
      <c r="AA96" s="49">
        <f>IFERROR(__xludf.DUMMYFUNCTION("""COMPUTED_VALUE"""),3.0)</f>
        <v>3</v>
      </c>
      <c r="AB96" s="50"/>
      <c r="AC96" s="38"/>
      <c r="AD96" s="45" t="str">
        <f>IFERROR(__xludf.DUMMYFUNCTION("""COMPUTED_VALUE"""),"")</f>
        <v/>
      </c>
      <c r="AE96" s="46" t="str">
        <f>IFERROR(__xludf.DUMMYFUNCTION("""COMPUTED_VALUE"""),"AP")</f>
        <v>AP</v>
      </c>
      <c r="AF96" s="47" t="str">
        <f>IFERROR(__xludf.DUMMYFUNCTION("""COMPUTED_VALUE"""),"")</f>
        <v/>
      </c>
      <c r="AG96" s="48" t="str">
        <f>IFERROR(__xludf.DUMMYFUNCTION("""COMPUTED_VALUE"""),"%")</f>
        <v>%</v>
      </c>
      <c r="AH96" s="43">
        <f>IFERROR(__xludf.DUMMYFUNCTION("""COMPUTED_VALUE"""),21.0)</f>
        <v>21</v>
      </c>
      <c r="AI96" s="44">
        <f>IFERROR(__xludf.DUMMYFUNCTION("""COMPUTED_VALUE"""),19538.0)</f>
        <v>19538</v>
      </c>
      <c r="AJ96" s="51" t="str">
        <f>IFERROR(__xludf.DUMMYFUNCTION("""COMPUTED_VALUE"""),"郊外の屋敷")</f>
        <v>郊外の屋敷</v>
      </c>
    </row>
    <row r="97" ht="24.75" customHeight="1">
      <c r="A97" s="28">
        <f>IFERROR(__xludf.DUMMYFUNCTION("""COMPUTED_VALUE"""),3.0)</f>
        <v>3</v>
      </c>
      <c r="B97" s="28" t="str">
        <f>IFERROR(__xludf.DUMMYFUNCTION("""COMPUTED_VALUE"""),"A305")</f>
        <v>A305</v>
      </c>
      <c r="C97" s="28" t="str">
        <f>IFERROR(__xludf.DUMMYFUNCTION("""COMPUTED_VALUE"""),"CML14")</f>
        <v>CML14</v>
      </c>
      <c r="D97" s="29" t="str">
        <f>IFERROR(__xludf.DUMMYFUNCTION("""COMPUTED_VALUE"""),"Camelot")</f>
        <v>Camelot</v>
      </c>
      <c r="E97" s="30" t="str">
        <f>IFERROR(__xludf.DUMMYFUNCTION("""COMPUTED_VALUE"""),"Great Temple")</f>
        <v>Great Temple</v>
      </c>
      <c r="F97" s="31">
        <f>IFERROR(__xludf.DUMMYFUNCTION("""COMPUTED_VALUE"""),22.0)</f>
        <v>22</v>
      </c>
      <c r="G97" s="32">
        <f>IFERROR(__xludf.DUMMYFUNCTION("""COMPUTED_VALUE"""),42852.0)</f>
        <v>42852</v>
      </c>
      <c r="H97" s="33" t="str">
        <f>IFERROR(__xludf.DUMMYFUNCTION("""COMPUTED_VALUE"""),"")</f>
        <v/>
      </c>
      <c r="I97" s="34">
        <f>IFERROR(__xludf.DUMMYFUNCTION("""COMPUTED_VALUE"""),51.9)</f>
        <v>51.9</v>
      </c>
      <c r="J97" s="35" t="str">
        <f>IFERROR(__xludf.DUMMYFUNCTION("""COMPUTED_VALUE"""),"AP")</f>
        <v>AP</v>
      </c>
      <c r="K97" s="34">
        <f>IFERROR(__xludf.DUMMYFUNCTION("""COMPUTED_VALUE"""),42.4)</f>
        <v>42.4</v>
      </c>
      <c r="L97" s="35" t="str">
        <f>IFERROR(__xludf.DUMMYFUNCTION("""COMPUTED_VALUE"""),"%")</f>
        <v>%</v>
      </c>
      <c r="M97" s="36">
        <f>IFERROR(__xludf.DUMMYFUNCTION("""COMPUTED_VALUE"""),1.0)</f>
        <v>1</v>
      </c>
      <c r="N97" s="37" t="str">
        <f>IFERROR(__xludf.DUMMYFUNCTION("""COMPUTED_VALUE"""),"A109")</f>
        <v>A109</v>
      </c>
      <c r="O97" s="38" t="str">
        <f>IFERROR(__xludf.DUMMYFUNCTION("""COMPUTED_VALUE"""),"")</f>
        <v/>
      </c>
      <c r="P97" s="34">
        <f>IFERROR(__xludf.DUMMYFUNCTION("""COMPUTED_VALUE"""),181.6)</f>
        <v>181.6</v>
      </c>
      <c r="Q97" s="35" t="str">
        <f>IFERROR(__xludf.DUMMYFUNCTION("""COMPUTED_VALUE"""),"AP")</f>
        <v>AP</v>
      </c>
      <c r="R97" s="34">
        <f>IFERROR(__xludf.DUMMYFUNCTION("""COMPUTED_VALUE"""),12.1)</f>
        <v>12.1</v>
      </c>
      <c r="S97" s="35" t="str">
        <f>IFERROR(__xludf.DUMMYFUNCTION("""COMPUTED_VALUE"""),"%")</f>
        <v>%</v>
      </c>
      <c r="T97" s="36">
        <f>IFERROR(__xludf.DUMMYFUNCTION("""COMPUTED_VALUE"""),2.0)</f>
        <v>2</v>
      </c>
      <c r="U97" s="37" t="str">
        <f>IFERROR(__xludf.DUMMYFUNCTION("""COMPUTED_VALUE"""),"B105")</f>
        <v>B105</v>
      </c>
      <c r="V97" s="38" t="str">
        <f>IFERROR(__xludf.DUMMYFUNCTION("""COMPUTED_VALUE"""),"")</f>
        <v/>
      </c>
      <c r="W97" s="34">
        <f>IFERROR(__xludf.DUMMYFUNCTION("""COMPUTED_VALUE"""),364.9)</f>
        <v>364.9</v>
      </c>
      <c r="X97" s="35" t="str">
        <f>IFERROR(__xludf.DUMMYFUNCTION("""COMPUTED_VALUE"""),"AP")</f>
        <v>AP</v>
      </c>
      <c r="Y97" s="34">
        <f>IFERROR(__xludf.DUMMYFUNCTION("""COMPUTED_VALUE"""),6.0)</f>
        <v>6</v>
      </c>
      <c r="Z97" s="35" t="str">
        <f>IFERROR(__xludf.DUMMYFUNCTION("""COMPUTED_VALUE"""),"%")</f>
        <v>%</v>
      </c>
      <c r="AA97" s="36">
        <f>IFERROR(__xludf.DUMMYFUNCTION("""COMPUTED_VALUE"""),3.0)</f>
        <v>3</v>
      </c>
      <c r="AB97" s="37"/>
      <c r="AC97" s="38"/>
      <c r="AD97" s="34" t="str">
        <f>IFERROR(__xludf.DUMMYFUNCTION("""COMPUTED_VALUE"""),"")</f>
        <v/>
      </c>
      <c r="AE97" s="35" t="str">
        <f>IFERROR(__xludf.DUMMYFUNCTION("""COMPUTED_VALUE"""),"AP")</f>
        <v>AP</v>
      </c>
      <c r="AF97" s="34" t="str">
        <f>IFERROR(__xludf.DUMMYFUNCTION("""COMPUTED_VALUE"""),"")</f>
        <v/>
      </c>
      <c r="AG97" s="35" t="str">
        <f>IFERROR(__xludf.DUMMYFUNCTION("""COMPUTED_VALUE"""),"%")</f>
        <v>%</v>
      </c>
      <c r="AH97" s="31">
        <f>IFERROR(__xludf.DUMMYFUNCTION("""COMPUTED_VALUE"""),22.0)</f>
        <v>22</v>
      </c>
      <c r="AI97" s="32">
        <f>IFERROR(__xludf.DUMMYFUNCTION("""COMPUTED_VALUE"""),42852.0)</f>
        <v>42852</v>
      </c>
      <c r="AJ97" s="39" t="str">
        <f>IFERROR(__xludf.DUMMYFUNCTION("""COMPUTED_VALUE"""),"大神殿")</f>
        <v>大神殿</v>
      </c>
    </row>
    <row r="98" ht="24.75" customHeight="1">
      <c r="A98" s="40">
        <f>IFERROR(__xludf.DUMMYFUNCTION("""COMPUTED_VALUE"""),4.0)</f>
        <v>4</v>
      </c>
      <c r="B98" s="40" t="str">
        <f>IFERROR(__xludf.DUMMYFUNCTION("""COMPUTED_VALUE"""),"A305")</f>
        <v>A305</v>
      </c>
      <c r="C98" s="40" t="str">
        <f>IFERROR(__xludf.DUMMYFUNCTION("""COMPUTED_VALUE"""),"SLM4")</f>
        <v>SLM4</v>
      </c>
      <c r="D98" s="41" t="str">
        <f>IFERROR(__xludf.DUMMYFUNCTION("""COMPUTED_VALUE"""),"Salem")</f>
        <v>Salem</v>
      </c>
      <c r="E98" s="42" t="str">
        <f>IFERROR(__xludf.DUMMYFUNCTION("""COMPUTED_VALUE"""),"Wharf")</f>
        <v>Wharf</v>
      </c>
      <c r="F98" s="43">
        <f>IFERROR(__xludf.DUMMYFUNCTION("""COMPUTED_VALUE"""),21.0)</f>
        <v>21</v>
      </c>
      <c r="G98" s="44">
        <f>IFERROR(__xludf.DUMMYFUNCTION("""COMPUTED_VALUE"""),29538.0)</f>
        <v>29538</v>
      </c>
      <c r="H98" s="33" t="str">
        <f>IFERROR(__xludf.DUMMYFUNCTION("""COMPUTED_VALUE"""),"")</f>
        <v/>
      </c>
      <c r="I98" s="45">
        <f>IFERROR(__xludf.DUMMYFUNCTION("""COMPUTED_VALUE"""),52.6)</f>
        <v>52.6</v>
      </c>
      <c r="J98" s="46" t="str">
        <f>IFERROR(__xludf.DUMMYFUNCTION("""COMPUTED_VALUE"""),"AP")</f>
        <v>AP</v>
      </c>
      <c r="K98" s="47">
        <f>IFERROR(__xludf.DUMMYFUNCTION("""COMPUTED_VALUE"""),39.9)</f>
        <v>39.9</v>
      </c>
      <c r="L98" s="48" t="str">
        <f>IFERROR(__xludf.DUMMYFUNCTION("""COMPUTED_VALUE"""),"%")</f>
        <v>%</v>
      </c>
      <c r="M98" s="49">
        <f>IFERROR(__xludf.DUMMYFUNCTION("""COMPUTED_VALUE"""),1.0)</f>
        <v>1</v>
      </c>
      <c r="N98" s="50" t="str">
        <f>IFERROR(__xludf.DUMMYFUNCTION("""COMPUTED_VALUE"""),"A205")</f>
        <v>A205</v>
      </c>
      <c r="O98" s="38" t="str">
        <f>IFERROR(__xludf.DUMMYFUNCTION("""COMPUTED_VALUE"""),"")</f>
        <v/>
      </c>
      <c r="P98" s="45">
        <f>IFERROR(__xludf.DUMMYFUNCTION("""COMPUTED_VALUE"""),104.3)</f>
        <v>104.3</v>
      </c>
      <c r="Q98" s="46" t="str">
        <f>IFERROR(__xludf.DUMMYFUNCTION("""COMPUTED_VALUE"""),"AP")</f>
        <v>AP</v>
      </c>
      <c r="R98" s="47">
        <f>IFERROR(__xludf.DUMMYFUNCTION("""COMPUTED_VALUE"""),20.1)</f>
        <v>20.1</v>
      </c>
      <c r="S98" s="48" t="str">
        <f>IFERROR(__xludf.DUMMYFUNCTION("""COMPUTED_VALUE"""),"%")</f>
        <v>%</v>
      </c>
      <c r="T98" s="49">
        <f>IFERROR(__xludf.DUMMYFUNCTION("""COMPUTED_VALUE"""),2.0)</f>
        <v>2</v>
      </c>
      <c r="U98" s="50" t="str">
        <f>IFERROR(__xludf.DUMMYFUNCTION("""COMPUTED_VALUE"""),"B115")</f>
        <v>B115</v>
      </c>
      <c r="V98" s="38" t="str">
        <f>IFERROR(__xludf.DUMMYFUNCTION("""COMPUTED_VALUE"""),"")</f>
        <v/>
      </c>
      <c r="W98" s="45">
        <f>IFERROR(__xludf.DUMMYFUNCTION("""COMPUTED_VALUE"""),103.4)</f>
        <v>103.4</v>
      </c>
      <c r="X98" s="46" t="str">
        <f>IFERROR(__xludf.DUMMYFUNCTION("""COMPUTED_VALUE"""),"AP")</f>
        <v>AP</v>
      </c>
      <c r="Y98" s="47">
        <f>IFERROR(__xludf.DUMMYFUNCTION("""COMPUTED_VALUE"""),20.3)</f>
        <v>20.3</v>
      </c>
      <c r="Z98" s="48" t="str">
        <f>IFERROR(__xludf.DUMMYFUNCTION("""COMPUTED_VALUE"""),"%")</f>
        <v>%</v>
      </c>
      <c r="AA98" s="49">
        <f>IFERROR(__xludf.DUMMYFUNCTION("""COMPUTED_VALUE"""),3.0)</f>
        <v>3</v>
      </c>
      <c r="AB98" s="50"/>
      <c r="AC98" s="38"/>
      <c r="AD98" s="45" t="str">
        <f>IFERROR(__xludf.DUMMYFUNCTION("""COMPUTED_VALUE"""),"")</f>
        <v/>
      </c>
      <c r="AE98" s="46" t="str">
        <f>IFERROR(__xludf.DUMMYFUNCTION("""COMPUTED_VALUE"""),"AP")</f>
        <v>AP</v>
      </c>
      <c r="AF98" s="47" t="str">
        <f>IFERROR(__xludf.DUMMYFUNCTION("""COMPUTED_VALUE"""),"")</f>
        <v/>
      </c>
      <c r="AG98" s="48" t="str">
        <f>IFERROR(__xludf.DUMMYFUNCTION("""COMPUTED_VALUE"""),"%")</f>
        <v>%</v>
      </c>
      <c r="AH98" s="43">
        <f>IFERROR(__xludf.DUMMYFUNCTION("""COMPUTED_VALUE"""),21.0)</f>
        <v>21</v>
      </c>
      <c r="AI98" s="44">
        <f>IFERROR(__xludf.DUMMYFUNCTION("""COMPUTED_VALUE"""),29538.0)</f>
        <v>29538</v>
      </c>
      <c r="AJ98" s="51" t="str">
        <f>IFERROR(__xludf.DUMMYFUNCTION("""COMPUTED_VALUE"""),"波止場")</f>
        <v>波止場</v>
      </c>
    </row>
    <row r="99" ht="24.75" customHeight="1">
      <c r="A99" s="28">
        <f>IFERROR(__xludf.DUMMYFUNCTION("""COMPUTED_VALUE"""),5.0)</f>
        <v>5</v>
      </c>
      <c r="B99" s="28" t="str">
        <f>IFERROR(__xludf.DUMMYFUNCTION("""COMPUTED_VALUE"""),"A305")</f>
        <v>A305</v>
      </c>
      <c r="C99" s="28" t="str">
        <f>IFERROR(__xludf.DUMMYFUNCTION("""COMPUTED_VALUE"""),"AGT6")</f>
        <v>AGT6</v>
      </c>
      <c r="D99" s="29" t="str">
        <f>IFERROR(__xludf.DUMMYFUNCTION("""COMPUTED_VALUE"""),"Agartha")</f>
        <v>Agartha</v>
      </c>
      <c r="E99" s="30" t="str">
        <f>IFERROR(__xludf.DUMMYFUNCTION("""COMPUTED_VALUE"""),"Northern Cliffs")</f>
        <v>Northern Cliffs</v>
      </c>
      <c r="F99" s="31">
        <f>IFERROR(__xludf.DUMMYFUNCTION("""COMPUTED_VALUE"""),21.0)</f>
        <v>21</v>
      </c>
      <c r="G99" s="32">
        <f>IFERROR(__xludf.DUMMYFUNCTION("""COMPUTED_VALUE"""),2240.0)</f>
        <v>2240</v>
      </c>
      <c r="H99" s="33" t="str">
        <f>IFERROR(__xludf.DUMMYFUNCTION("""COMPUTED_VALUE"""),"")</f>
        <v/>
      </c>
      <c r="I99" s="34">
        <f>IFERROR(__xludf.DUMMYFUNCTION("""COMPUTED_VALUE"""),52.8)</f>
        <v>52.8</v>
      </c>
      <c r="J99" s="35" t="str">
        <f>IFERROR(__xludf.DUMMYFUNCTION("""COMPUTED_VALUE"""),"AP")</f>
        <v>AP</v>
      </c>
      <c r="K99" s="34">
        <f>IFERROR(__xludf.DUMMYFUNCTION("""COMPUTED_VALUE"""),39.8)</f>
        <v>39.8</v>
      </c>
      <c r="L99" s="35" t="str">
        <f>IFERROR(__xludf.DUMMYFUNCTION("""COMPUTED_VALUE"""),"%")</f>
        <v>%</v>
      </c>
      <c r="M99" s="36">
        <f>IFERROR(__xludf.DUMMYFUNCTION("""COMPUTED_VALUE"""),1.0)</f>
        <v>1</v>
      </c>
      <c r="N99" s="37" t="str">
        <f>IFERROR(__xludf.DUMMYFUNCTION("""COMPUTED_VALUE"""),"A107")</f>
        <v>A107</v>
      </c>
      <c r="O99" s="38" t="str">
        <f>IFERROR(__xludf.DUMMYFUNCTION("""COMPUTED_VALUE"""),"")</f>
        <v/>
      </c>
      <c r="P99" s="34">
        <f>IFERROR(__xludf.DUMMYFUNCTION("""COMPUTED_VALUE"""),102.0)</f>
        <v>102</v>
      </c>
      <c r="Q99" s="35" t="str">
        <f>IFERROR(__xludf.DUMMYFUNCTION("""COMPUTED_VALUE"""),"AP")</f>
        <v>AP</v>
      </c>
      <c r="R99" s="34">
        <f>IFERROR(__xludf.DUMMYFUNCTION("""COMPUTED_VALUE"""),20.6)</f>
        <v>20.6</v>
      </c>
      <c r="S99" s="35" t="str">
        <f>IFERROR(__xludf.DUMMYFUNCTION("""COMPUTED_VALUE"""),"%")</f>
        <v>%</v>
      </c>
      <c r="T99" s="36">
        <f>IFERROR(__xludf.DUMMYFUNCTION("""COMPUTED_VALUE"""),2.0)</f>
        <v>2</v>
      </c>
      <c r="U99" s="37" t="str">
        <f>IFERROR(__xludf.DUMMYFUNCTION("""COMPUTED_VALUE"""),"B116")</f>
        <v>B116</v>
      </c>
      <c r="V99" s="38" t="str">
        <f>IFERROR(__xludf.DUMMYFUNCTION("""COMPUTED_VALUE"""),"")</f>
        <v/>
      </c>
      <c r="W99" s="34">
        <f>IFERROR(__xludf.DUMMYFUNCTION("""COMPUTED_VALUE"""),67.5)</f>
        <v>67.5</v>
      </c>
      <c r="X99" s="35" t="str">
        <f>IFERROR(__xludf.DUMMYFUNCTION("""COMPUTED_VALUE"""),"AP")</f>
        <v>AP</v>
      </c>
      <c r="Y99" s="34">
        <f>IFERROR(__xludf.DUMMYFUNCTION("""COMPUTED_VALUE"""),31.1)</f>
        <v>31.1</v>
      </c>
      <c r="Z99" s="35" t="str">
        <f>IFERROR(__xludf.DUMMYFUNCTION("""COMPUTED_VALUE"""),"%")</f>
        <v>%</v>
      </c>
      <c r="AA99" s="36">
        <f>IFERROR(__xludf.DUMMYFUNCTION("""COMPUTED_VALUE"""),3.0)</f>
        <v>3</v>
      </c>
      <c r="AB99" s="37"/>
      <c r="AC99" s="38"/>
      <c r="AD99" s="34" t="str">
        <f>IFERROR(__xludf.DUMMYFUNCTION("""COMPUTED_VALUE"""),"")</f>
        <v/>
      </c>
      <c r="AE99" s="35" t="str">
        <f>IFERROR(__xludf.DUMMYFUNCTION("""COMPUTED_VALUE"""),"AP")</f>
        <v>AP</v>
      </c>
      <c r="AF99" s="34" t="str">
        <f>IFERROR(__xludf.DUMMYFUNCTION("""COMPUTED_VALUE"""),"")</f>
        <v/>
      </c>
      <c r="AG99" s="35" t="str">
        <f>IFERROR(__xludf.DUMMYFUNCTION("""COMPUTED_VALUE"""),"%")</f>
        <v>%</v>
      </c>
      <c r="AH99" s="31">
        <f>IFERROR(__xludf.DUMMYFUNCTION("""COMPUTED_VALUE"""),21.0)</f>
        <v>21</v>
      </c>
      <c r="AI99" s="32">
        <f>IFERROR(__xludf.DUMMYFUNCTION("""COMPUTED_VALUE"""),2240.0)</f>
        <v>2240</v>
      </c>
      <c r="AJ99" s="39" t="str">
        <f>IFERROR(__xludf.DUMMYFUNCTION("""COMPUTED_VALUE"""),"北の断崖")</f>
        <v>北の断崖</v>
      </c>
    </row>
    <row r="100" ht="24.75" customHeight="1">
      <c r="A100" s="40">
        <f>IFERROR(__xludf.DUMMYFUNCTION("""COMPUTED_VALUE"""),6.0)</f>
        <v>6</v>
      </c>
      <c r="B100" s="40" t="str">
        <f>IFERROR(__xludf.DUMMYFUNCTION("""COMPUTED_VALUE"""),"A305")</f>
        <v>A305</v>
      </c>
      <c r="C100" s="40" t="str">
        <f>IFERROR(__xludf.DUMMYFUNCTION("""COMPUTED_VALUE"""),"AGT7")</f>
        <v>AGT7</v>
      </c>
      <c r="D100" s="41" t="str">
        <f>IFERROR(__xludf.DUMMYFUNCTION("""COMPUTED_VALUE"""),"Agartha")</f>
        <v>Agartha</v>
      </c>
      <c r="E100" s="42" t="str">
        <f>IFERROR(__xludf.DUMMYFUNCTION("""COMPUTED_VALUE"""),"Nightless City")</f>
        <v>Nightless City</v>
      </c>
      <c r="F100" s="43">
        <f>IFERROR(__xludf.DUMMYFUNCTION("""COMPUTED_VALUE"""),21.0)</f>
        <v>21</v>
      </c>
      <c r="G100" s="44">
        <f>IFERROR(__xludf.DUMMYFUNCTION("""COMPUTED_VALUE"""),9158.0)</f>
        <v>9158</v>
      </c>
      <c r="H100" s="33" t="str">
        <f>IFERROR(__xludf.DUMMYFUNCTION("""COMPUTED_VALUE"""),"")</f>
        <v/>
      </c>
      <c r="I100" s="45">
        <f>IFERROR(__xludf.DUMMYFUNCTION("""COMPUTED_VALUE"""),53.7)</f>
        <v>53.7</v>
      </c>
      <c r="J100" s="46" t="str">
        <f>IFERROR(__xludf.DUMMYFUNCTION("""COMPUTED_VALUE"""),"AP")</f>
        <v>AP</v>
      </c>
      <c r="K100" s="47">
        <f>IFERROR(__xludf.DUMMYFUNCTION("""COMPUTED_VALUE"""),39.1)</f>
        <v>39.1</v>
      </c>
      <c r="L100" s="48" t="str">
        <f>IFERROR(__xludf.DUMMYFUNCTION("""COMPUTED_VALUE"""),"%")</f>
        <v>%</v>
      </c>
      <c r="M100" s="49">
        <f>IFERROR(__xludf.DUMMYFUNCTION("""COMPUTED_VALUE"""),1.0)</f>
        <v>1</v>
      </c>
      <c r="N100" s="50" t="str">
        <f>IFERROR(__xludf.DUMMYFUNCTION("""COMPUTED_VALUE"""),"A304")</f>
        <v>A304</v>
      </c>
      <c r="O100" s="38" t="str">
        <f>IFERROR(__xludf.DUMMYFUNCTION("""COMPUTED_VALUE"""),"")</f>
        <v/>
      </c>
      <c r="P100" s="45">
        <f>IFERROR(__xludf.DUMMYFUNCTION("""COMPUTED_VALUE"""),70.1)</f>
        <v>70.1</v>
      </c>
      <c r="Q100" s="46" t="str">
        <f>IFERROR(__xludf.DUMMYFUNCTION("""COMPUTED_VALUE"""),"AP")</f>
        <v>AP</v>
      </c>
      <c r="R100" s="47">
        <f>IFERROR(__xludf.DUMMYFUNCTION("""COMPUTED_VALUE"""),29.9)</f>
        <v>29.9</v>
      </c>
      <c r="S100" s="48" t="str">
        <f>IFERROR(__xludf.DUMMYFUNCTION("""COMPUTED_VALUE"""),"%")</f>
        <v>%</v>
      </c>
      <c r="T100" s="49">
        <f>IFERROR(__xludf.DUMMYFUNCTION("""COMPUTED_VALUE"""),2.0)</f>
        <v>2</v>
      </c>
      <c r="U100" s="50" t="str">
        <f>IFERROR(__xludf.DUMMYFUNCTION("""COMPUTED_VALUE"""),"B116")</f>
        <v>B116</v>
      </c>
      <c r="V100" s="38" t="str">
        <f>IFERROR(__xludf.DUMMYFUNCTION("""COMPUTED_VALUE"""),"")</f>
        <v/>
      </c>
      <c r="W100" s="45">
        <f>IFERROR(__xludf.DUMMYFUNCTION("""COMPUTED_VALUE"""),59.7)</f>
        <v>59.7</v>
      </c>
      <c r="X100" s="46" t="str">
        <f>IFERROR(__xludf.DUMMYFUNCTION("""COMPUTED_VALUE"""),"AP")</f>
        <v>AP</v>
      </c>
      <c r="Y100" s="47">
        <f>IFERROR(__xludf.DUMMYFUNCTION("""COMPUTED_VALUE"""),35.2)</f>
        <v>35.2</v>
      </c>
      <c r="Z100" s="48" t="str">
        <f>IFERROR(__xludf.DUMMYFUNCTION("""COMPUTED_VALUE"""),"%")</f>
        <v>%</v>
      </c>
      <c r="AA100" s="49">
        <f>IFERROR(__xludf.DUMMYFUNCTION("""COMPUTED_VALUE"""),3.0)</f>
        <v>3</v>
      </c>
      <c r="AB100" s="50"/>
      <c r="AC100" s="38"/>
      <c r="AD100" s="45" t="str">
        <f>IFERROR(__xludf.DUMMYFUNCTION("""COMPUTED_VALUE"""),"")</f>
        <v/>
      </c>
      <c r="AE100" s="46" t="str">
        <f>IFERROR(__xludf.DUMMYFUNCTION("""COMPUTED_VALUE"""),"AP")</f>
        <v>AP</v>
      </c>
      <c r="AF100" s="47" t="str">
        <f>IFERROR(__xludf.DUMMYFUNCTION("""COMPUTED_VALUE"""),"")</f>
        <v/>
      </c>
      <c r="AG100" s="48" t="str">
        <f>IFERROR(__xludf.DUMMYFUNCTION("""COMPUTED_VALUE"""),"%")</f>
        <v>%</v>
      </c>
      <c r="AH100" s="43">
        <f>IFERROR(__xludf.DUMMYFUNCTION("""COMPUTED_VALUE"""),21.0)</f>
        <v>21</v>
      </c>
      <c r="AI100" s="44">
        <f>IFERROR(__xludf.DUMMYFUNCTION("""COMPUTED_VALUE"""),9158.0)</f>
        <v>9158</v>
      </c>
      <c r="AJ100" s="51" t="str">
        <f>IFERROR(__xludf.DUMMYFUNCTION("""COMPUTED_VALUE"""),"不夜城")</f>
        <v>不夜城</v>
      </c>
    </row>
    <row r="101" ht="24.75" customHeight="1">
      <c r="A101" s="28">
        <f>IFERROR(__xludf.DUMMYFUNCTION("""COMPUTED_VALUE"""),7.0)</f>
        <v>7</v>
      </c>
      <c r="B101" s="28" t="str">
        <f>IFERROR(__xludf.DUMMYFUNCTION("""COMPUTED_VALUE"""),"A305")</f>
        <v>A305</v>
      </c>
      <c r="C101" s="28" t="str">
        <f>IFERROR(__xludf.DUMMYFUNCTION("""COMPUTED_VALUE"""),"CML11")</f>
        <v>CML11</v>
      </c>
      <c r="D101" s="29" t="str">
        <f>IFERROR(__xludf.DUMMYFUNCTION("""COMPUTED_VALUE"""),"Camelot")</f>
        <v>Camelot</v>
      </c>
      <c r="E101" s="30" t="str">
        <f>IFERROR(__xludf.DUMMYFUNCTION("""COMPUTED_VALUE"""),"Hidden Village")</f>
        <v>Hidden Village</v>
      </c>
      <c r="F101" s="31">
        <f>IFERROR(__xludf.DUMMYFUNCTION("""COMPUTED_VALUE"""),21.0)</f>
        <v>21</v>
      </c>
      <c r="G101" s="32">
        <f>IFERROR(__xludf.DUMMYFUNCTION("""COMPUTED_VALUE"""),123673.0)</f>
        <v>123673</v>
      </c>
      <c r="H101" s="33" t="str">
        <f>IFERROR(__xludf.DUMMYFUNCTION("""COMPUTED_VALUE"""),"")</f>
        <v/>
      </c>
      <c r="I101" s="34">
        <f>IFERROR(__xludf.DUMMYFUNCTION("""COMPUTED_VALUE"""),69.1)</f>
        <v>69.1</v>
      </c>
      <c r="J101" s="35" t="str">
        <f>IFERROR(__xludf.DUMMYFUNCTION("""COMPUTED_VALUE"""),"AP")</f>
        <v>AP</v>
      </c>
      <c r="K101" s="34">
        <f>IFERROR(__xludf.DUMMYFUNCTION("""COMPUTED_VALUE"""),30.4)</f>
        <v>30.4</v>
      </c>
      <c r="L101" s="35" t="str">
        <f>IFERROR(__xludf.DUMMYFUNCTION("""COMPUTED_VALUE"""),"%")</f>
        <v>%</v>
      </c>
      <c r="M101" s="36">
        <f>IFERROR(__xludf.DUMMYFUNCTION("""COMPUTED_VALUE"""),1.0)</f>
        <v>1</v>
      </c>
      <c r="N101" s="37" t="str">
        <f>IFERROR(__xludf.DUMMYFUNCTION("""COMPUTED_VALUE"""),"A108")</f>
        <v>A108</v>
      </c>
      <c r="O101" s="38" t="str">
        <f>IFERROR(__xludf.DUMMYFUNCTION("""COMPUTED_VALUE"""),"")</f>
        <v/>
      </c>
      <c r="P101" s="34">
        <f>IFERROR(__xludf.DUMMYFUNCTION("""COMPUTED_VALUE"""),130.2)</f>
        <v>130.2</v>
      </c>
      <c r="Q101" s="35" t="str">
        <f>IFERROR(__xludf.DUMMYFUNCTION("""COMPUTED_VALUE"""),"AP")</f>
        <v>AP</v>
      </c>
      <c r="R101" s="34">
        <f>IFERROR(__xludf.DUMMYFUNCTION("""COMPUTED_VALUE"""),16.1)</f>
        <v>16.1</v>
      </c>
      <c r="S101" s="35" t="str">
        <f>IFERROR(__xludf.DUMMYFUNCTION("""COMPUTED_VALUE"""),"%")</f>
        <v>%</v>
      </c>
      <c r="T101" s="36">
        <f>IFERROR(__xludf.DUMMYFUNCTION("""COMPUTED_VALUE"""),2.0)</f>
        <v>2</v>
      </c>
      <c r="U101" s="37" t="str">
        <f>IFERROR(__xludf.DUMMYFUNCTION("""COMPUTED_VALUE"""),"B115")</f>
        <v>B115</v>
      </c>
      <c r="V101" s="38" t="str">
        <f>IFERROR(__xludf.DUMMYFUNCTION("""COMPUTED_VALUE"""),"")</f>
        <v/>
      </c>
      <c r="W101" s="34">
        <f>IFERROR(__xludf.DUMMYFUNCTION("""COMPUTED_VALUE"""),266.7)</f>
        <v>266.7</v>
      </c>
      <c r="X101" s="35" t="str">
        <f>IFERROR(__xludf.DUMMYFUNCTION("""COMPUTED_VALUE"""),"AP")</f>
        <v>AP</v>
      </c>
      <c r="Y101" s="34">
        <f>IFERROR(__xludf.DUMMYFUNCTION("""COMPUTED_VALUE"""),7.9)</f>
        <v>7.9</v>
      </c>
      <c r="Z101" s="35" t="str">
        <f>IFERROR(__xludf.DUMMYFUNCTION("""COMPUTED_VALUE"""),"%")</f>
        <v>%</v>
      </c>
      <c r="AA101" s="36">
        <f>IFERROR(__xludf.DUMMYFUNCTION("""COMPUTED_VALUE"""),3.0)</f>
        <v>3</v>
      </c>
      <c r="AB101" s="37"/>
      <c r="AC101" s="38"/>
      <c r="AD101" s="34" t="str">
        <f>IFERROR(__xludf.DUMMYFUNCTION("""COMPUTED_VALUE"""),"")</f>
        <v/>
      </c>
      <c r="AE101" s="35" t="str">
        <f>IFERROR(__xludf.DUMMYFUNCTION("""COMPUTED_VALUE"""),"AP")</f>
        <v>AP</v>
      </c>
      <c r="AF101" s="34" t="str">
        <f>IFERROR(__xludf.DUMMYFUNCTION("""COMPUTED_VALUE"""),"")</f>
        <v/>
      </c>
      <c r="AG101" s="35" t="str">
        <f>IFERROR(__xludf.DUMMYFUNCTION("""COMPUTED_VALUE"""),"%")</f>
        <v>%</v>
      </c>
      <c r="AH101" s="31">
        <f>IFERROR(__xludf.DUMMYFUNCTION("""COMPUTED_VALUE"""),21.0)</f>
        <v>21</v>
      </c>
      <c r="AI101" s="32">
        <f>IFERROR(__xludf.DUMMYFUNCTION("""COMPUTED_VALUE"""),123673.0)</f>
        <v>123673</v>
      </c>
      <c r="AJ101" s="39" t="str">
        <f>IFERROR(__xludf.DUMMYFUNCTION("""COMPUTED_VALUE"""),"隠れ村")</f>
        <v>隠れ村</v>
      </c>
    </row>
    <row r="102" ht="24.75" customHeight="1">
      <c r="A102" s="40">
        <f>IFERROR(__xludf.DUMMYFUNCTION("""COMPUTED_VALUE"""),8.0)</f>
        <v>8</v>
      </c>
      <c r="B102" s="40" t="str">
        <f>IFERROR(__xludf.DUMMYFUNCTION("""COMPUTED_VALUE"""),"A305")</f>
        <v>A305</v>
      </c>
      <c r="C102" s="40" t="str">
        <f>IFERROR(__xludf.DUMMYFUNCTION("""COMPUTED_VALUE"""),"YKS4")</f>
        <v>YKS4</v>
      </c>
      <c r="D102" s="41" t="str">
        <f>IFERROR(__xludf.DUMMYFUNCTION("""COMPUTED_VALUE"""),"Yuga Kurukshetra")</f>
        <v>Yuga Kurukshetra</v>
      </c>
      <c r="E102" s="42" t="str">
        <f>IFERROR(__xludf.DUMMYFUNCTION("""COMPUTED_VALUE"""),"Northern Sacred Mountain")</f>
        <v>Northern Sacred Mountain</v>
      </c>
      <c r="F102" s="43">
        <f>IFERROR(__xludf.DUMMYFUNCTION("""COMPUTED_VALUE"""),21.0)</f>
        <v>21</v>
      </c>
      <c r="G102" s="44">
        <f>IFERROR(__xludf.DUMMYFUNCTION("""COMPUTED_VALUE"""),11672.0)</f>
        <v>11672</v>
      </c>
      <c r="H102" s="33" t="str">
        <f>IFERROR(__xludf.DUMMYFUNCTION("""COMPUTED_VALUE"""),"")</f>
        <v/>
      </c>
      <c r="I102" s="45">
        <f>IFERROR(__xludf.DUMMYFUNCTION("""COMPUTED_VALUE"""),72.8)</f>
        <v>72.8</v>
      </c>
      <c r="J102" s="46" t="str">
        <f>IFERROR(__xludf.DUMMYFUNCTION("""COMPUTED_VALUE"""),"AP")</f>
        <v>AP</v>
      </c>
      <c r="K102" s="47">
        <f>IFERROR(__xludf.DUMMYFUNCTION("""COMPUTED_VALUE"""),28.8)</f>
        <v>28.8</v>
      </c>
      <c r="L102" s="48" t="str">
        <f>IFERROR(__xludf.DUMMYFUNCTION("""COMPUTED_VALUE"""),"%")</f>
        <v>%</v>
      </c>
      <c r="M102" s="49">
        <f>IFERROR(__xludf.DUMMYFUNCTION("""COMPUTED_VALUE"""),1.0)</f>
        <v>1</v>
      </c>
      <c r="N102" s="50" t="str">
        <f>IFERROR(__xludf.DUMMYFUNCTION("""COMPUTED_VALUE"""),"A115")</f>
        <v>A115</v>
      </c>
      <c r="O102" s="38" t="str">
        <f>IFERROR(__xludf.DUMMYFUNCTION("""COMPUTED_VALUE"""),"")</f>
        <v/>
      </c>
      <c r="P102" s="45">
        <f>IFERROR(__xludf.DUMMYFUNCTION("""COMPUTED_VALUE"""),213.5)</f>
        <v>213.5</v>
      </c>
      <c r="Q102" s="46" t="str">
        <f>IFERROR(__xludf.DUMMYFUNCTION("""COMPUTED_VALUE"""),"AP")</f>
        <v>AP</v>
      </c>
      <c r="R102" s="47">
        <f>IFERROR(__xludf.DUMMYFUNCTION("""COMPUTED_VALUE"""),9.8)</f>
        <v>9.8</v>
      </c>
      <c r="S102" s="48" t="str">
        <f>IFERROR(__xludf.DUMMYFUNCTION("""COMPUTED_VALUE"""),"%")</f>
        <v>%</v>
      </c>
      <c r="T102" s="49">
        <f>IFERROR(__xludf.DUMMYFUNCTION("""COMPUTED_VALUE"""),2.0)</f>
        <v>2</v>
      </c>
      <c r="U102" s="50" t="str">
        <f>IFERROR(__xludf.DUMMYFUNCTION("""COMPUTED_VALUE"""),"A304")</f>
        <v>A304</v>
      </c>
      <c r="V102" s="38" t="str">
        <f>IFERROR(__xludf.DUMMYFUNCTION("""COMPUTED_VALUE"""),"")</f>
        <v/>
      </c>
      <c r="W102" s="45">
        <f>IFERROR(__xludf.DUMMYFUNCTION("""COMPUTED_VALUE"""),70.0)</f>
        <v>70</v>
      </c>
      <c r="X102" s="46" t="str">
        <f>IFERROR(__xludf.DUMMYFUNCTION("""COMPUTED_VALUE"""),"AP")</f>
        <v>AP</v>
      </c>
      <c r="Y102" s="47">
        <f>IFERROR(__xludf.DUMMYFUNCTION("""COMPUTED_VALUE"""),30.0)</f>
        <v>30</v>
      </c>
      <c r="Z102" s="48" t="str">
        <f>IFERROR(__xludf.DUMMYFUNCTION("""COMPUTED_VALUE"""),"%")</f>
        <v>%</v>
      </c>
      <c r="AA102" s="49">
        <f>IFERROR(__xludf.DUMMYFUNCTION("""COMPUTED_VALUE"""),3.0)</f>
        <v>3</v>
      </c>
      <c r="AB102" s="50" t="str">
        <f>IFERROR(__xludf.DUMMYFUNCTION("""COMPUTED_VALUE"""),"B103")</f>
        <v>B103</v>
      </c>
      <c r="AC102" s="38" t="str">
        <f>IFERROR(__xludf.DUMMYFUNCTION("""COMPUTED_VALUE"""),"")</f>
        <v/>
      </c>
      <c r="AD102" s="45">
        <f>IFERROR(__xludf.DUMMYFUNCTION("""COMPUTED_VALUE"""),506.1)</f>
        <v>506.1</v>
      </c>
      <c r="AE102" s="46" t="str">
        <f>IFERROR(__xludf.DUMMYFUNCTION("""COMPUTED_VALUE"""),"AP")</f>
        <v>AP</v>
      </c>
      <c r="AF102" s="47">
        <f>IFERROR(__xludf.DUMMYFUNCTION("""COMPUTED_VALUE"""),4.1)</f>
        <v>4.1</v>
      </c>
      <c r="AG102" s="48" t="str">
        <f>IFERROR(__xludf.DUMMYFUNCTION("""COMPUTED_VALUE"""),"%")</f>
        <v>%</v>
      </c>
      <c r="AH102" s="43">
        <f>IFERROR(__xludf.DUMMYFUNCTION("""COMPUTED_VALUE"""),21.0)</f>
        <v>21</v>
      </c>
      <c r="AI102" s="44">
        <f>IFERROR(__xludf.DUMMYFUNCTION("""COMPUTED_VALUE"""),11672.0)</f>
        <v>11672</v>
      </c>
      <c r="AJ102" s="51" t="str">
        <f>IFERROR(__xludf.DUMMYFUNCTION("""COMPUTED_VALUE"""),"北の霊峰")</f>
        <v>北の霊峰</v>
      </c>
    </row>
    <row r="103" ht="24.75" customHeight="1">
      <c r="A103" s="28">
        <f>IFERROR(__xludf.DUMMYFUNCTION("""COMPUTED_VALUE"""),9.0)</f>
        <v>9</v>
      </c>
      <c r="B103" s="28" t="str">
        <f>IFERROR(__xludf.DUMMYFUNCTION("""COMPUTED_VALUE"""),"A305")</f>
        <v>A305</v>
      </c>
      <c r="C103" s="28" t="str">
        <f>IFERROR(__xludf.DUMMYFUNCTION("""COMPUTED_VALUE"""),"YKS8")</f>
        <v>YKS8</v>
      </c>
      <c r="D103" s="29" t="str">
        <f>IFERROR(__xludf.DUMMYFUNCTION("""COMPUTED_VALUE"""),"Yuga Kurukshetra")</f>
        <v>Yuga Kurukshetra</v>
      </c>
      <c r="E103" s="30" t="str">
        <f>IFERROR(__xludf.DUMMYFUNCTION("""COMPUTED_VALUE"""),"Southern Town")</f>
        <v>Southern Town</v>
      </c>
      <c r="F103" s="31">
        <f>IFERROR(__xludf.DUMMYFUNCTION("""COMPUTED_VALUE"""),21.0)</f>
        <v>21</v>
      </c>
      <c r="G103" s="32">
        <f>IFERROR(__xludf.DUMMYFUNCTION("""COMPUTED_VALUE"""),10032.0)</f>
        <v>10032</v>
      </c>
      <c r="H103" s="33" t="str">
        <f>IFERROR(__xludf.DUMMYFUNCTION("""COMPUTED_VALUE"""),"")</f>
        <v/>
      </c>
      <c r="I103" s="34">
        <f>IFERROR(__xludf.DUMMYFUNCTION("""COMPUTED_VALUE"""),84.5)</f>
        <v>84.5</v>
      </c>
      <c r="J103" s="35" t="str">
        <f>IFERROR(__xludf.DUMMYFUNCTION("""COMPUTED_VALUE"""),"AP")</f>
        <v>AP</v>
      </c>
      <c r="K103" s="34">
        <f>IFERROR(__xludf.DUMMYFUNCTION("""COMPUTED_VALUE"""),24.9)</f>
        <v>24.9</v>
      </c>
      <c r="L103" s="35" t="str">
        <f>IFERROR(__xludf.DUMMYFUNCTION("""COMPUTED_VALUE"""),"%")</f>
        <v>%</v>
      </c>
      <c r="M103" s="36">
        <f>IFERROR(__xludf.DUMMYFUNCTION("""COMPUTED_VALUE"""),1.0)</f>
        <v>1</v>
      </c>
      <c r="N103" s="37" t="str">
        <f>IFERROR(__xludf.DUMMYFUNCTION("""COMPUTED_VALUE"""),"A217")</f>
        <v>A217</v>
      </c>
      <c r="O103" s="38" t="str">
        <f>IFERROR(__xludf.DUMMYFUNCTION("""COMPUTED_VALUE"""),"")</f>
        <v/>
      </c>
      <c r="P103" s="34">
        <f>IFERROR(__xludf.DUMMYFUNCTION("""COMPUTED_VALUE"""),113.8)</f>
        <v>113.8</v>
      </c>
      <c r="Q103" s="35" t="str">
        <f>IFERROR(__xludf.DUMMYFUNCTION("""COMPUTED_VALUE"""),"AP")</f>
        <v>AP</v>
      </c>
      <c r="R103" s="34">
        <f>IFERROR(__xludf.DUMMYFUNCTION("""COMPUTED_VALUE"""),18.5)</f>
        <v>18.5</v>
      </c>
      <c r="S103" s="35" t="str">
        <f>IFERROR(__xludf.DUMMYFUNCTION("""COMPUTED_VALUE"""),"%")</f>
        <v>%</v>
      </c>
      <c r="T103" s="36">
        <f>IFERROR(__xludf.DUMMYFUNCTION("""COMPUTED_VALUE"""),2.0)</f>
        <v>2</v>
      </c>
      <c r="U103" s="37" t="str">
        <f>IFERROR(__xludf.DUMMYFUNCTION("""COMPUTED_VALUE"""),"A304")</f>
        <v>A304</v>
      </c>
      <c r="V103" s="38" t="str">
        <f>IFERROR(__xludf.DUMMYFUNCTION("""COMPUTED_VALUE"""),"")</f>
        <v/>
      </c>
      <c r="W103" s="34">
        <f>IFERROR(__xludf.DUMMYFUNCTION("""COMPUTED_VALUE"""),72.5)</f>
        <v>72.5</v>
      </c>
      <c r="X103" s="35" t="str">
        <f>IFERROR(__xludf.DUMMYFUNCTION("""COMPUTED_VALUE"""),"AP")</f>
        <v>AP</v>
      </c>
      <c r="Y103" s="34">
        <f>IFERROR(__xludf.DUMMYFUNCTION("""COMPUTED_VALUE"""),29.0)</f>
        <v>29</v>
      </c>
      <c r="Z103" s="35" t="str">
        <f>IFERROR(__xludf.DUMMYFUNCTION("""COMPUTED_VALUE"""),"%")</f>
        <v>%</v>
      </c>
      <c r="AA103" s="36">
        <f>IFERROR(__xludf.DUMMYFUNCTION("""COMPUTED_VALUE"""),3.0)</f>
        <v>3</v>
      </c>
      <c r="AB103" s="37" t="str">
        <f>IFERROR(__xludf.DUMMYFUNCTION("""COMPUTED_VALUE"""),"B117")</f>
        <v>B117</v>
      </c>
      <c r="AC103" s="38" t="str">
        <f>IFERROR(__xludf.DUMMYFUNCTION("""COMPUTED_VALUE"""),"")</f>
        <v/>
      </c>
      <c r="AD103" s="34">
        <f>IFERROR(__xludf.DUMMYFUNCTION("""COMPUTED_VALUE"""),189.5)</f>
        <v>189.5</v>
      </c>
      <c r="AE103" s="35" t="str">
        <f>IFERROR(__xludf.DUMMYFUNCTION("""COMPUTED_VALUE"""),"AP")</f>
        <v>AP</v>
      </c>
      <c r="AF103" s="34">
        <f>IFERROR(__xludf.DUMMYFUNCTION("""COMPUTED_VALUE"""),11.1)</f>
        <v>11.1</v>
      </c>
      <c r="AG103" s="35" t="str">
        <f>IFERROR(__xludf.DUMMYFUNCTION("""COMPUTED_VALUE"""),"%")</f>
        <v>%</v>
      </c>
      <c r="AH103" s="31">
        <f>IFERROR(__xludf.DUMMYFUNCTION("""COMPUTED_VALUE"""),21.0)</f>
        <v>21</v>
      </c>
      <c r="AI103" s="32">
        <f>IFERROR(__xludf.DUMMYFUNCTION("""COMPUTED_VALUE"""),10032.0)</f>
        <v>10032</v>
      </c>
      <c r="AJ103" s="39" t="str">
        <f>IFERROR(__xludf.DUMMYFUNCTION("""COMPUTED_VALUE"""),"南の町")</f>
        <v>南の町</v>
      </c>
    </row>
    <row r="104" ht="24.75" customHeight="1">
      <c r="A104" s="40">
        <f>IFERROR(__xludf.DUMMYFUNCTION("""COMPUTED_VALUE"""),10.0)</f>
        <v>10</v>
      </c>
      <c r="B104" s="40" t="str">
        <f>IFERROR(__xludf.DUMMYFUNCTION("""COMPUTED_VALUE"""),"A305")</f>
        <v>A305</v>
      </c>
      <c r="C104" s="40"/>
      <c r="D104" s="41"/>
      <c r="E104" s="66"/>
      <c r="F104" s="43"/>
      <c r="G104" s="44"/>
      <c r="H104" s="33" t="str">
        <f>IFERROR(__xludf.DUMMYFUNCTION("""COMPUTED_VALUE""")," ")</f>
        <v> </v>
      </c>
      <c r="I104" s="45"/>
      <c r="J104" s="46" t="str">
        <f>IFERROR(__xludf.DUMMYFUNCTION("""COMPUTED_VALUE"""),"AP")</f>
        <v>AP</v>
      </c>
      <c r="K104" s="47"/>
      <c r="L104" s="48" t="str">
        <f>IFERROR(__xludf.DUMMYFUNCTION("""COMPUTED_VALUE"""),"%")</f>
        <v>%</v>
      </c>
      <c r="M104" s="49">
        <f>IFERROR(__xludf.DUMMYFUNCTION("""COMPUTED_VALUE"""),1.0)</f>
        <v>1</v>
      </c>
      <c r="N104" s="50"/>
      <c r="O104" s="38"/>
      <c r="P104" s="45" t="str">
        <f>IFERROR(__xludf.DUMMYFUNCTION("""COMPUTED_VALUE"""),"")</f>
        <v/>
      </c>
      <c r="Q104" s="46" t="str">
        <f>IFERROR(__xludf.DUMMYFUNCTION("""COMPUTED_VALUE"""),"AP")</f>
        <v>AP</v>
      </c>
      <c r="R104" s="47" t="str">
        <f>IFERROR(__xludf.DUMMYFUNCTION("""COMPUTED_VALUE"""),"")</f>
        <v/>
      </c>
      <c r="S104" s="48" t="str">
        <f>IFERROR(__xludf.DUMMYFUNCTION("""COMPUTED_VALUE"""),"%")</f>
        <v>%</v>
      </c>
      <c r="T104" s="49">
        <f>IFERROR(__xludf.DUMMYFUNCTION("""COMPUTED_VALUE"""),2.0)</f>
        <v>2</v>
      </c>
      <c r="U104" s="50"/>
      <c r="V104" s="38"/>
      <c r="W104" s="45" t="str">
        <f>IFERROR(__xludf.DUMMYFUNCTION("""COMPUTED_VALUE"""),"")</f>
        <v/>
      </c>
      <c r="X104" s="46" t="str">
        <f>IFERROR(__xludf.DUMMYFUNCTION("""COMPUTED_VALUE"""),"AP")</f>
        <v>AP</v>
      </c>
      <c r="Y104" s="47" t="str">
        <f>IFERROR(__xludf.DUMMYFUNCTION("""COMPUTED_VALUE"""),"")</f>
        <v/>
      </c>
      <c r="Z104" s="48" t="str">
        <f>IFERROR(__xludf.DUMMYFUNCTION("""COMPUTED_VALUE"""),"%")</f>
        <v>%</v>
      </c>
      <c r="AA104" s="49">
        <f>IFERROR(__xludf.DUMMYFUNCTION("""COMPUTED_VALUE"""),3.0)</f>
        <v>3</v>
      </c>
      <c r="AB104" s="50"/>
      <c r="AC104" s="38"/>
      <c r="AD104" s="45" t="str">
        <f>IFERROR(__xludf.DUMMYFUNCTION("""COMPUTED_VALUE"""),"")</f>
        <v/>
      </c>
      <c r="AE104" s="46" t="str">
        <f>IFERROR(__xludf.DUMMYFUNCTION("""COMPUTED_VALUE"""),"AP")</f>
        <v>AP</v>
      </c>
      <c r="AF104" s="47" t="str">
        <f>IFERROR(__xludf.DUMMYFUNCTION("""COMPUTED_VALUE"""),"")</f>
        <v/>
      </c>
      <c r="AG104" s="48" t="str">
        <f>IFERROR(__xludf.DUMMYFUNCTION("""COMPUTED_VALUE"""),"%")</f>
        <v>%</v>
      </c>
      <c r="AH104" s="43"/>
      <c r="AI104" s="44"/>
      <c r="AJ104" s="51"/>
    </row>
    <row r="105" ht="24.75" hidden="1" customHeight="1">
      <c r="A105" s="28">
        <f>IFERROR(__xludf.DUMMYFUNCTION("""COMPUTED_VALUE"""),11.0)</f>
        <v>11</v>
      </c>
      <c r="B105" s="28" t="str">
        <f>IFERROR(__xludf.DUMMYFUNCTION("""COMPUTED_VALUE"""),"A305")</f>
        <v>A305</v>
      </c>
      <c r="C105" s="28"/>
      <c r="D105" s="29"/>
      <c r="E105" s="67"/>
      <c r="F105" s="31"/>
      <c r="G105" s="32"/>
      <c r="H105" s="33" t="str">
        <f>IFERROR(__xludf.DUMMYFUNCTION("""COMPUTED_VALUE""")," ")</f>
        <v> </v>
      </c>
      <c r="I105" s="34"/>
      <c r="J105" s="35" t="str">
        <f>IFERROR(__xludf.DUMMYFUNCTION("""COMPUTED_VALUE"""),"AP")</f>
        <v>AP</v>
      </c>
      <c r="K105" s="34"/>
      <c r="L105" s="35" t="str">
        <f>IFERROR(__xludf.DUMMYFUNCTION("""COMPUTED_VALUE"""),"%")</f>
        <v>%</v>
      </c>
      <c r="M105" s="36">
        <f>IFERROR(__xludf.DUMMYFUNCTION("""COMPUTED_VALUE"""),1.0)</f>
        <v>1</v>
      </c>
      <c r="N105" s="37"/>
      <c r="O105" s="38"/>
      <c r="P105" s="34" t="str">
        <f>IFERROR(__xludf.DUMMYFUNCTION("""COMPUTED_VALUE"""),"")</f>
        <v/>
      </c>
      <c r="Q105" s="35" t="str">
        <f>IFERROR(__xludf.DUMMYFUNCTION("""COMPUTED_VALUE"""),"AP")</f>
        <v>AP</v>
      </c>
      <c r="R105" s="34" t="str">
        <f>IFERROR(__xludf.DUMMYFUNCTION("""COMPUTED_VALUE"""),"")</f>
        <v/>
      </c>
      <c r="S105" s="35" t="str">
        <f>IFERROR(__xludf.DUMMYFUNCTION("""COMPUTED_VALUE"""),"%")</f>
        <v>%</v>
      </c>
      <c r="T105" s="36">
        <f>IFERROR(__xludf.DUMMYFUNCTION("""COMPUTED_VALUE"""),2.0)</f>
        <v>2</v>
      </c>
      <c r="U105" s="37"/>
      <c r="V105" s="38"/>
      <c r="W105" s="34" t="str">
        <f>IFERROR(__xludf.DUMMYFUNCTION("""COMPUTED_VALUE"""),"")</f>
        <v/>
      </c>
      <c r="X105" s="35" t="str">
        <f>IFERROR(__xludf.DUMMYFUNCTION("""COMPUTED_VALUE"""),"AP")</f>
        <v>AP</v>
      </c>
      <c r="Y105" s="34" t="str">
        <f>IFERROR(__xludf.DUMMYFUNCTION("""COMPUTED_VALUE"""),"")</f>
        <v/>
      </c>
      <c r="Z105" s="35" t="str">
        <f>IFERROR(__xludf.DUMMYFUNCTION("""COMPUTED_VALUE"""),"%")</f>
        <v>%</v>
      </c>
      <c r="AA105" s="36">
        <f>IFERROR(__xludf.DUMMYFUNCTION("""COMPUTED_VALUE"""),3.0)</f>
        <v>3</v>
      </c>
      <c r="AB105" s="37"/>
      <c r="AC105" s="38"/>
      <c r="AD105" s="34" t="str">
        <f>IFERROR(__xludf.DUMMYFUNCTION("""COMPUTED_VALUE"""),"")</f>
        <v/>
      </c>
      <c r="AE105" s="35" t="str">
        <f>IFERROR(__xludf.DUMMYFUNCTION("""COMPUTED_VALUE"""),"AP")</f>
        <v>AP</v>
      </c>
      <c r="AF105" s="34" t="str">
        <f>IFERROR(__xludf.DUMMYFUNCTION("""COMPUTED_VALUE"""),"")</f>
        <v/>
      </c>
      <c r="AG105" s="35" t="str">
        <f>IFERROR(__xludf.DUMMYFUNCTION("""COMPUTED_VALUE"""),"%")</f>
        <v>%</v>
      </c>
      <c r="AH105" s="31"/>
      <c r="AI105" s="32"/>
      <c r="AJ105" s="39"/>
    </row>
    <row r="106" ht="24.75" hidden="1" customHeight="1">
      <c r="A106" s="40">
        <f>IFERROR(__xludf.DUMMYFUNCTION("""COMPUTED_VALUE"""),12.0)</f>
        <v>12</v>
      </c>
      <c r="B106" s="40" t="str">
        <f>IFERROR(__xludf.DUMMYFUNCTION("""COMPUTED_VALUE"""),"A305")</f>
        <v>A305</v>
      </c>
      <c r="C106" s="40"/>
      <c r="D106" s="41"/>
      <c r="E106" s="66"/>
      <c r="F106" s="43"/>
      <c r="G106" s="44"/>
      <c r="H106" s="33" t="str">
        <f>IFERROR(__xludf.DUMMYFUNCTION("""COMPUTED_VALUE""")," ")</f>
        <v> </v>
      </c>
      <c r="I106" s="45"/>
      <c r="J106" s="46" t="str">
        <f>IFERROR(__xludf.DUMMYFUNCTION("""COMPUTED_VALUE"""),"AP")</f>
        <v>AP</v>
      </c>
      <c r="K106" s="47"/>
      <c r="L106" s="48" t="str">
        <f>IFERROR(__xludf.DUMMYFUNCTION("""COMPUTED_VALUE"""),"%")</f>
        <v>%</v>
      </c>
      <c r="M106" s="49">
        <f>IFERROR(__xludf.DUMMYFUNCTION("""COMPUTED_VALUE"""),1.0)</f>
        <v>1</v>
      </c>
      <c r="N106" s="50"/>
      <c r="O106" s="38"/>
      <c r="P106" s="45" t="str">
        <f>IFERROR(__xludf.DUMMYFUNCTION("""COMPUTED_VALUE"""),"")</f>
        <v/>
      </c>
      <c r="Q106" s="46" t="str">
        <f>IFERROR(__xludf.DUMMYFUNCTION("""COMPUTED_VALUE"""),"AP")</f>
        <v>AP</v>
      </c>
      <c r="R106" s="47" t="str">
        <f>IFERROR(__xludf.DUMMYFUNCTION("""COMPUTED_VALUE"""),"")</f>
        <v/>
      </c>
      <c r="S106" s="48" t="str">
        <f>IFERROR(__xludf.DUMMYFUNCTION("""COMPUTED_VALUE"""),"%")</f>
        <v>%</v>
      </c>
      <c r="T106" s="49">
        <f>IFERROR(__xludf.DUMMYFUNCTION("""COMPUTED_VALUE"""),2.0)</f>
        <v>2</v>
      </c>
      <c r="U106" s="50"/>
      <c r="V106" s="38"/>
      <c r="W106" s="45" t="str">
        <f>IFERROR(__xludf.DUMMYFUNCTION("""COMPUTED_VALUE"""),"")</f>
        <v/>
      </c>
      <c r="X106" s="46" t="str">
        <f>IFERROR(__xludf.DUMMYFUNCTION("""COMPUTED_VALUE"""),"AP")</f>
        <v>AP</v>
      </c>
      <c r="Y106" s="47" t="str">
        <f>IFERROR(__xludf.DUMMYFUNCTION("""COMPUTED_VALUE"""),"")</f>
        <v/>
      </c>
      <c r="Z106" s="48" t="str">
        <f>IFERROR(__xludf.DUMMYFUNCTION("""COMPUTED_VALUE"""),"%")</f>
        <v>%</v>
      </c>
      <c r="AA106" s="49">
        <f>IFERROR(__xludf.DUMMYFUNCTION("""COMPUTED_VALUE"""),3.0)</f>
        <v>3</v>
      </c>
      <c r="AB106" s="50"/>
      <c r="AC106" s="38"/>
      <c r="AD106" s="45" t="str">
        <f>IFERROR(__xludf.DUMMYFUNCTION("""COMPUTED_VALUE"""),"")</f>
        <v/>
      </c>
      <c r="AE106" s="46" t="str">
        <f>IFERROR(__xludf.DUMMYFUNCTION("""COMPUTED_VALUE"""),"AP")</f>
        <v>AP</v>
      </c>
      <c r="AF106" s="47" t="str">
        <f>IFERROR(__xludf.DUMMYFUNCTION("""COMPUTED_VALUE"""),"")</f>
        <v/>
      </c>
      <c r="AG106" s="48" t="str">
        <f>IFERROR(__xludf.DUMMYFUNCTION("""COMPUTED_VALUE"""),"%")</f>
        <v>%</v>
      </c>
      <c r="AH106" s="43"/>
      <c r="AI106" s="44"/>
      <c r="AJ106" s="51"/>
    </row>
    <row r="107" ht="24.75" hidden="1" customHeight="1">
      <c r="A107" s="28">
        <f>IFERROR(__xludf.DUMMYFUNCTION("""COMPUTED_VALUE"""),13.0)</f>
        <v>13</v>
      </c>
      <c r="B107" s="28" t="str">
        <f>IFERROR(__xludf.DUMMYFUNCTION("""COMPUTED_VALUE"""),"A305")</f>
        <v>A305</v>
      </c>
      <c r="C107" s="28"/>
      <c r="D107" s="29"/>
      <c r="E107" s="67"/>
      <c r="F107" s="31"/>
      <c r="G107" s="32"/>
      <c r="H107" s="33" t="str">
        <f>IFERROR(__xludf.DUMMYFUNCTION("""COMPUTED_VALUE""")," ")</f>
        <v> </v>
      </c>
      <c r="I107" s="34"/>
      <c r="J107" s="35" t="str">
        <f>IFERROR(__xludf.DUMMYFUNCTION("""COMPUTED_VALUE"""),"AP")</f>
        <v>AP</v>
      </c>
      <c r="K107" s="34"/>
      <c r="L107" s="35" t="str">
        <f>IFERROR(__xludf.DUMMYFUNCTION("""COMPUTED_VALUE"""),"%")</f>
        <v>%</v>
      </c>
      <c r="M107" s="36">
        <f>IFERROR(__xludf.DUMMYFUNCTION("""COMPUTED_VALUE"""),1.0)</f>
        <v>1</v>
      </c>
      <c r="N107" s="37"/>
      <c r="O107" s="38"/>
      <c r="P107" s="34" t="str">
        <f>IFERROR(__xludf.DUMMYFUNCTION("""COMPUTED_VALUE"""),"")</f>
        <v/>
      </c>
      <c r="Q107" s="35" t="str">
        <f>IFERROR(__xludf.DUMMYFUNCTION("""COMPUTED_VALUE"""),"AP")</f>
        <v>AP</v>
      </c>
      <c r="R107" s="34" t="str">
        <f>IFERROR(__xludf.DUMMYFUNCTION("""COMPUTED_VALUE"""),"")</f>
        <v/>
      </c>
      <c r="S107" s="35" t="str">
        <f>IFERROR(__xludf.DUMMYFUNCTION("""COMPUTED_VALUE"""),"%")</f>
        <v>%</v>
      </c>
      <c r="T107" s="36">
        <f>IFERROR(__xludf.DUMMYFUNCTION("""COMPUTED_VALUE"""),2.0)</f>
        <v>2</v>
      </c>
      <c r="U107" s="37"/>
      <c r="V107" s="38"/>
      <c r="W107" s="34" t="str">
        <f>IFERROR(__xludf.DUMMYFUNCTION("""COMPUTED_VALUE"""),"")</f>
        <v/>
      </c>
      <c r="X107" s="35" t="str">
        <f>IFERROR(__xludf.DUMMYFUNCTION("""COMPUTED_VALUE"""),"AP")</f>
        <v>AP</v>
      </c>
      <c r="Y107" s="34" t="str">
        <f>IFERROR(__xludf.DUMMYFUNCTION("""COMPUTED_VALUE"""),"")</f>
        <v/>
      </c>
      <c r="Z107" s="35" t="str">
        <f>IFERROR(__xludf.DUMMYFUNCTION("""COMPUTED_VALUE"""),"%")</f>
        <v>%</v>
      </c>
      <c r="AA107" s="36">
        <f>IFERROR(__xludf.DUMMYFUNCTION("""COMPUTED_VALUE"""),3.0)</f>
        <v>3</v>
      </c>
      <c r="AB107" s="37"/>
      <c r="AC107" s="38"/>
      <c r="AD107" s="34" t="str">
        <f>IFERROR(__xludf.DUMMYFUNCTION("""COMPUTED_VALUE"""),"")</f>
        <v/>
      </c>
      <c r="AE107" s="35" t="str">
        <f>IFERROR(__xludf.DUMMYFUNCTION("""COMPUTED_VALUE"""),"AP")</f>
        <v>AP</v>
      </c>
      <c r="AF107" s="34" t="str">
        <f>IFERROR(__xludf.DUMMYFUNCTION("""COMPUTED_VALUE"""),"")</f>
        <v/>
      </c>
      <c r="AG107" s="35" t="str">
        <f>IFERROR(__xludf.DUMMYFUNCTION("""COMPUTED_VALUE"""),"%")</f>
        <v>%</v>
      </c>
      <c r="AH107" s="31"/>
      <c r="AI107" s="32"/>
      <c r="AJ107" s="39"/>
    </row>
    <row r="108" ht="24.75" hidden="1" customHeight="1">
      <c r="A108" s="40">
        <f>IFERROR(__xludf.DUMMYFUNCTION("""COMPUTED_VALUE"""),14.0)</f>
        <v>14</v>
      </c>
      <c r="B108" s="40" t="str">
        <f>IFERROR(__xludf.DUMMYFUNCTION("""COMPUTED_VALUE"""),"A305")</f>
        <v>A305</v>
      </c>
      <c r="C108" s="40"/>
      <c r="D108" s="41"/>
      <c r="E108" s="66"/>
      <c r="F108" s="43"/>
      <c r="G108" s="44"/>
      <c r="H108" s="33" t="str">
        <f>IFERROR(__xludf.DUMMYFUNCTION("""COMPUTED_VALUE""")," ")</f>
        <v> </v>
      </c>
      <c r="I108" s="45"/>
      <c r="J108" s="46" t="str">
        <f>IFERROR(__xludf.DUMMYFUNCTION("""COMPUTED_VALUE"""),"AP")</f>
        <v>AP</v>
      </c>
      <c r="K108" s="47"/>
      <c r="L108" s="48" t="str">
        <f>IFERROR(__xludf.DUMMYFUNCTION("""COMPUTED_VALUE"""),"%")</f>
        <v>%</v>
      </c>
      <c r="M108" s="49">
        <f>IFERROR(__xludf.DUMMYFUNCTION("""COMPUTED_VALUE"""),1.0)</f>
        <v>1</v>
      </c>
      <c r="N108" s="50"/>
      <c r="O108" s="38"/>
      <c r="P108" s="45" t="str">
        <f>IFERROR(__xludf.DUMMYFUNCTION("""COMPUTED_VALUE"""),"")</f>
        <v/>
      </c>
      <c r="Q108" s="46" t="str">
        <f>IFERROR(__xludf.DUMMYFUNCTION("""COMPUTED_VALUE"""),"AP")</f>
        <v>AP</v>
      </c>
      <c r="R108" s="47" t="str">
        <f>IFERROR(__xludf.DUMMYFUNCTION("""COMPUTED_VALUE"""),"")</f>
        <v/>
      </c>
      <c r="S108" s="48" t="str">
        <f>IFERROR(__xludf.DUMMYFUNCTION("""COMPUTED_VALUE"""),"%")</f>
        <v>%</v>
      </c>
      <c r="T108" s="49">
        <f>IFERROR(__xludf.DUMMYFUNCTION("""COMPUTED_VALUE"""),2.0)</f>
        <v>2</v>
      </c>
      <c r="U108" s="50"/>
      <c r="V108" s="38"/>
      <c r="W108" s="45" t="str">
        <f>IFERROR(__xludf.DUMMYFUNCTION("""COMPUTED_VALUE"""),"")</f>
        <v/>
      </c>
      <c r="X108" s="46" t="str">
        <f>IFERROR(__xludf.DUMMYFUNCTION("""COMPUTED_VALUE"""),"AP")</f>
        <v>AP</v>
      </c>
      <c r="Y108" s="47" t="str">
        <f>IFERROR(__xludf.DUMMYFUNCTION("""COMPUTED_VALUE"""),"")</f>
        <v/>
      </c>
      <c r="Z108" s="48" t="str">
        <f>IFERROR(__xludf.DUMMYFUNCTION("""COMPUTED_VALUE"""),"%")</f>
        <v>%</v>
      </c>
      <c r="AA108" s="49">
        <f>IFERROR(__xludf.DUMMYFUNCTION("""COMPUTED_VALUE"""),3.0)</f>
        <v>3</v>
      </c>
      <c r="AB108" s="50"/>
      <c r="AC108" s="38"/>
      <c r="AD108" s="45" t="str">
        <f>IFERROR(__xludf.DUMMYFUNCTION("""COMPUTED_VALUE"""),"")</f>
        <v/>
      </c>
      <c r="AE108" s="46" t="str">
        <f>IFERROR(__xludf.DUMMYFUNCTION("""COMPUTED_VALUE"""),"AP")</f>
        <v>AP</v>
      </c>
      <c r="AF108" s="47" t="str">
        <f>IFERROR(__xludf.DUMMYFUNCTION("""COMPUTED_VALUE"""),"")</f>
        <v/>
      </c>
      <c r="AG108" s="48" t="str">
        <f>IFERROR(__xludf.DUMMYFUNCTION("""COMPUTED_VALUE"""),"%")</f>
        <v>%</v>
      </c>
      <c r="AH108" s="43"/>
      <c r="AI108" s="44"/>
      <c r="AJ108" s="51"/>
    </row>
    <row r="109" ht="24.75" hidden="1" customHeight="1">
      <c r="A109" s="28">
        <f>IFERROR(__xludf.DUMMYFUNCTION("""COMPUTED_VALUE"""),15.0)</f>
        <v>15</v>
      </c>
      <c r="B109" s="28" t="str">
        <f>IFERROR(__xludf.DUMMYFUNCTION("""COMPUTED_VALUE"""),"A305")</f>
        <v>A305</v>
      </c>
      <c r="C109" s="28"/>
      <c r="D109" s="29"/>
      <c r="E109" s="67"/>
      <c r="F109" s="31"/>
      <c r="G109" s="32"/>
      <c r="H109" s="33" t="str">
        <f>IFERROR(__xludf.DUMMYFUNCTION("""COMPUTED_VALUE""")," ")</f>
        <v> </v>
      </c>
      <c r="I109" s="34"/>
      <c r="J109" s="35" t="str">
        <f>IFERROR(__xludf.DUMMYFUNCTION("""COMPUTED_VALUE"""),"AP")</f>
        <v>AP</v>
      </c>
      <c r="K109" s="34"/>
      <c r="L109" s="35" t="str">
        <f>IFERROR(__xludf.DUMMYFUNCTION("""COMPUTED_VALUE"""),"%")</f>
        <v>%</v>
      </c>
      <c r="M109" s="36">
        <f>IFERROR(__xludf.DUMMYFUNCTION("""COMPUTED_VALUE"""),1.0)</f>
        <v>1</v>
      </c>
      <c r="N109" s="37"/>
      <c r="O109" s="38"/>
      <c r="P109" s="34" t="str">
        <f>IFERROR(__xludf.DUMMYFUNCTION("""COMPUTED_VALUE"""),"")</f>
        <v/>
      </c>
      <c r="Q109" s="35" t="str">
        <f>IFERROR(__xludf.DUMMYFUNCTION("""COMPUTED_VALUE"""),"AP")</f>
        <v>AP</v>
      </c>
      <c r="R109" s="34" t="str">
        <f>IFERROR(__xludf.DUMMYFUNCTION("""COMPUTED_VALUE"""),"")</f>
        <v/>
      </c>
      <c r="S109" s="35" t="str">
        <f>IFERROR(__xludf.DUMMYFUNCTION("""COMPUTED_VALUE"""),"%")</f>
        <v>%</v>
      </c>
      <c r="T109" s="36">
        <f>IFERROR(__xludf.DUMMYFUNCTION("""COMPUTED_VALUE"""),2.0)</f>
        <v>2</v>
      </c>
      <c r="U109" s="37"/>
      <c r="V109" s="38"/>
      <c r="W109" s="34" t="str">
        <f>IFERROR(__xludf.DUMMYFUNCTION("""COMPUTED_VALUE"""),"")</f>
        <v/>
      </c>
      <c r="X109" s="35" t="str">
        <f>IFERROR(__xludf.DUMMYFUNCTION("""COMPUTED_VALUE"""),"AP")</f>
        <v>AP</v>
      </c>
      <c r="Y109" s="34" t="str">
        <f>IFERROR(__xludf.DUMMYFUNCTION("""COMPUTED_VALUE"""),"")</f>
        <v/>
      </c>
      <c r="Z109" s="35" t="str">
        <f>IFERROR(__xludf.DUMMYFUNCTION("""COMPUTED_VALUE"""),"%")</f>
        <v>%</v>
      </c>
      <c r="AA109" s="36">
        <f>IFERROR(__xludf.DUMMYFUNCTION("""COMPUTED_VALUE"""),3.0)</f>
        <v>3</v>
      </c>
      <c r="AB109" s="37"/>
      <c r="AC109" s="38"/>
      <c r="AD109" s="34" t="str">
        <f>IFERROR(__xludf.DUMMYFUNCTION("""COMPUTED_VALUE"""),"")</f>
        <v/>
      </c>
      <c r="AE109" s="35" t="str">
        <f>IFERROR(__xludf.DUMMYFUNCTION("""COMPUTED_VALUE"""),"AP")</f>
        <v>AP</v>
      </c>
      <c r="AF109" s="34" t="str">
        <f>IFERROR(__xludf.DUMMYFUNCTION("""COMPUTED_VALUE"""),"")</f>
        <v/>
      </c>
      <c r="AG109" s="35" t="str">
        <f>IFERROR(__xludf.DUMMYFUNCTION("""COMPUTED_VALUE"""),"%")</f>
        <v>%</v>
      </c>
      <c r="AH109" s="31"/>
      <c r="AI109" s="32"/>
      <c r="AJ109" s="39"/>
    </row>
    <row r="110" ht="24.75" hidden="1" customHeight="1">
      <c r="A110" s="40">
        <f>IFERROR(__xludf.DUMMYFUNCTION("""COMPUTED_VALUE"""),16.0)</f>
        <v>16</v>
      </c>
      <c r="B110" s="40" t="str">
        <f>IFERROR(__xludf.DUMMYFUNCTION("""COMPUTED_VALUE"""),"A305")</f>
        <v>A305</v>
      </c>
      <c r="C110" s="40"/>
      <c r="D110" s="41"/>
      <c r="E110" s="66"/>
      <c r="F110" s="43"/>
      <c r="G110" s="44"/>
      <c r="H110" s="33" t="str">
        <f>IFERROR(__xludf.DUMMYFUNCTION("""COMPUTED_VALUE""")," ")</f>
        <v> </v>
      </c>
      <c r="I110" s="45"/>
      <c r="J110" s="46" t="str">
        <f>IFERROR(__xludf.DUMMYFUNCTION("""COMPUTED_VALUE"""),"AP")</f>
        <v>AP</v>
      </c>
      <c r="K110" s="47"/>
      <c r="L110" s="48" t="str">
        <f>IFERROR(__xludf.DUMMYFUNCTION("""COMPUTED_VALUE"""),"%")</f>
        <v>%</v>
      </c>
      <c r="M110" s="49">
        <f>IFERROR(__xludf.DUMMYFUNCTION("""COMPUTED_VALUE"""),1.0)</f>
        <v>1</v>
      </c>
      <c r="N110" s="50"/>
      <c r="O110" s="38"/>
      <c r="P110" s="45" t="str">
        <f>IFERROR(__xludf.DUMMYFUNCTION("""COMPUTED_VALUE"""),"")</f>
        <v/>
      </c>
      <c r="Q110" s="46" t="str">
        <f>IFERROR(__xludf.DUMMYFUNCTION("""COMPUTED_VALUE"""),"AP")</f>
        <v>AP</v>
      </c>
      <c r="R110" s="47" t="str">
        <f>IFERROR(__xludf.DUMMYFUNCTION("""COMPUTED_VALUE"""),"")</f>
        <v/>
      </c>
      <c r="S110" s="48" t="str">
        <f>IFERROR(__xludf.DUMMYFUNCTION("""COMPUTED_VALUE"""),"%")</f>
        <v>%</v>
      </c>
      <c r="T110" s="49">
        <f>IFERROR(__xludf.DUMMYFUNCTION("""COMPUTED_VALUE"""),2.0)</f>
        <v>2</v>
      </c>
      <c r="U110" s="50"/>
      <c r="V110" s="38"/>
      <c r="W110" s="45" t="str">
        <f>IFERROR(__xludf.DUMMYFUNCTION("""COMPUTED_VALUE"""),"")</f>
        <v/>
      </c>
      <c r="X110" s="46" t="str">
        <f>IFERROR(__xludf.DUMMYFUNCTION("""COMPUTED_VALUE"""),"AP")</f>
        <v>AP</v>
      </c>
      <c r="Y110" s="47" t="str">
        <f>IFERROR(__xludf.DUMMYFUNCTION("""COMPUTED_VALUE"""),"")</f>
        <v/>
      </c>
      <c r="Z110" s="48" t="str">
        <f>IFERROR(__xludf.DUMMYFUNCTION("""COMPUTED_VALUE"""),"%")</f>
        <v>%</v>
      </c>
      <c r="AA110" s="49">
        <f>IFERROR(__xludf.DUMMYFUNCTION("""COMPUTED_VALUE"""),3.0)</f>
        <v>3</v>
      </c>
      <c r="AB110" s="50"/>
      <c r="AC110" s="38"/>
      <c r="AD110" s="45" t="str">
        <f>IFERROR(__xludf.DUMMYFUNCTION("""COMPUTED_VALUE"""),"")</f>
        <v/>
      </c>
      <c r="AE110" s="46" t="str">
        <f>IFERROR(__xludf.DUMMYFUNCTION("""COMPUTED_VALUE"""),"AP")</f>
        <v>AP</v>
      </c>
      <c r="AF110" s="47" t="str">
        <f>IFERROR(__xludf.DUMMYFUNCTION("""COMPUTED_VALUE"""),"")</f>
        <v/>
      </c>
      <c r="AG110" s="48" t="str">
        <f>IFERROR(__xludf.DUMMYFUNCTION("""COMPUTED_VALUE"""),"%")</f>
        <v>%</v>
      </c>
      <c r="AH110" s="43"/>
      <c r="AI110" s="44"/>
      <c r="AJ110" s="51"/>
    </row>
    <row r="111" ht="24.75" hidden="1" customHeight="1">
      <c r="A111" s="28">
        <f>IFERROR(__xludf.DUMMYFUNCTION("""COMPUTED_VALUE"""),17.0)</f>
        <v>17</v>
      </c>
      <c r="B111" s="28" t="str">
        <f>IFERROR(__xludf.DUMMYFUNCTION("""COMPUTED_VALUE"""),"A305")</f>
        <v>A305</v>
      </c>
      <c r="C111" s="28"/>
      <c r="D111" s="29"/>
      <c r="E111" s="67"/>
      <c r="F111" s="31"/>
      <c r="G111" s="32"/>
      <c r="H111" s="33" t="str">
        <f>IFERROR(__xludf.DUMMYFUNCTION("""COMPUTED_VALUE""")," ")</f>
        <v> </v>
      </c>
      <c r="I111" s="34"/>
      <c r="J111" s="35" t="str">
        <f>IFERROR(__xludf.DUMMYFUNCTION("""COMPUTED_VALUE"""),"AP")</f>
        <v>AP</v>
      </c>
      <c r="K111" s="34"/>
      <c r="L111" s="35" t="str">
        <f>IFERROR(__xludf.DUMMYFUNCTION("""COMPUTED_VALUE"""),"%")</f>
        <v>%</v>
      </c>
      <c r="M111" s="36">
        <f>IFERROR(__xludf.DUMMYFUNCTION("""COMPUTED_VALUE"""),1.0)</f>
        <v>1</v>
      </c>
      <c r="N111" s="37"/>
      <c r="O111" s="38"/>
      <c r="P111" s="34" t="str">
        <f>IFERROR(__xludf.DUMMYFUNCTION("""COMPUTED_VALUE"""),"")</f>
        <v/>
      </c>
      <c r="Q111" s="35" t="str">
        <f>IFERROR(__xludf.DUMMYFUNCTION("""COMPUTED_VALUE"""),"AP")</f>
        <v>AP</v>
      </c>
      <c r="R111" s="34" t="str">
        <f>IFERROR(__xludf.DUMMYFUNCTION("""COMPUTED_VALUE"""),"")</f>
        <v/>
      </c>
      <c r="S111" s="35" t="str">
        <f>IFERROR(__xludf.DUMMYFUNCTION("""COMPUTED_VALUE"""),"%")</f>
        <v>%</v>
      </c>
      <c r="T111" s="36">
        <f>IFERROR(__xludf.DUMMYFUNCTION("""COMPUTED_VALUE"""),2.0)</f>
        <v>2</v>
      </c>
      <c r="U111" s="37"/>
      <c r="V111" s="38"/>
      <c r="W111" s="34" t="str">
        <f>IFERROR(__xludf.DUMMYFUNCTION("""COMPUTED_VALUE"""),"")</f>
        <v/>
      </c>
      <c r="X111" s="35" t="str">
        <f>IFERROR(__xludf.DUMMYFUNCTION("""COMPUTED_VALUE"""),"AP")</f>
        <v>AP</v>
      </c>
      <c r="Y111" s="34" t="str">
        <f>IFERROR(__xludf.DUMMYFUNCTION("""COMPUTED_VALUE"""),"")</f>
        <v/>
      </c>
      <c r="Z111" s="35" t="str">
        <f>IFERROR(__xludf.DUMMYFUNCTION("""COMPUTED_VALUE"""),"%")</f>
        <v>%</v>
      </c>
      <c r="AA111" s="36">
        <f>IFERROR(__xludf.DUMMYFUNCTION("""COMPUTED_VALUE"""),3.0)</f>
        <v>3</v>
      </c>
      <c r="AB111" s="37"/>
      <c r="AC111" s="38"/>
      <c r="AD111" s="34" t="str">
        <f>IFERROR(__xludf.DUMMYFUNCTION("""COMPUTED_VALUE"""),"")</f>
        <v/>
      </c>
      <c r="AE111" s="35" t="str">
        <f>IFERROR(__xludf.DUMMYFUNCTION("""COMPUTED_VALUE"""),"AP")</f>
        <v>AP</v>
      </c>
      <c r="AF111" s="34" t="str">
        <f>IFERROR(__xludf.DUMMYFUNCTION("""COMPUTED_VALUE"""),"")</f>
        <v/>
      </c>
      <c r="AG111" s="35" t="str">
        <f>IFERROR(__xludf.DUMMYFUNCTION("""COMPUTED_VALUE"""),"%")</f>
        <v>%</v>
      </c>
      <c r="AH111" s="31"/>
      <c r="AI111" s="32"/>
      <c r="AJ111" s="39"/>
    </row>
    <row r="112" ht="24.75" hidden="1" customHeight="1">
      <c r="A112" s="40">
        <f>IFERROR(__xludf.DUMMYFUNCTION("""COMPUTED_VALUE"""),18.0)</f>
        <v>18</v>
      </c>
      <c r="B112" s="40" t="str">
        <f>IFERROR(__xludf.DUMMYFUNCTION("""COMPUTED_VALUE"""),"A305")</f>
        <v>A305</v>
      </c>
      <c r="C112" s="40"/>
      <c r="D112" s="41"/>
      <c r="E112" s="66"/>
      <c r="F112" s="43"/>
      <c r="G112" s="44"/>
      <c r="H112" s="33" t="str">
        <f>IFERROR(__xludf.DUMMYFUNCTION("""COMPUTED_VALUE""")," ")</f>
        <v> </v>
      </c>
      <c r="I112" s="45"/>
      <c r="J112" s="46" t="str">
        <f>IFERROR(__xludf.DUMMYFUNCTION("""COMPUTED_VALUE"""),"AP")</f>
        <v>AP</v>
      </c>
      <c r="K112" s="47"/>
      <c r="L112" s="48" t="str">
        <f>IFERROR(__xludf.DUMMYFUNCTION("""COMPUTED_VALUE"""),"%")</f>
        <v>%</v>
      </c>
      <c r="M112" s="49">
        <f>IFERROR(__xludf.DUMMYFUNCTION("""COMPUTED_VALUE"""),1.0)</f>
        <v>1</v>
      </c>
      <c r="N112" s="50"/>
      <c r="O112" s="38"/>
      <c r="P112" s="45" t="str">
        <f>IFERROR(__xludf.DUMMYFUNCTION("""COMPUTED_VALUE"""),"")</f>
        <v/>
      </c>
      <c r="Q112" s="46" t="str">
        <f>IFERROR(__xludf.DUMMYFUNCTION("""COMPUTED_VALUE"""),"AP")</f>
        <v>AP</v>
      </c>
      <c r="R112" s="47" t="str">
        <f>IFERROR(__xludf.DUMMYFUNCTION("""COMPUTED_VALUE"""),"")</f>
        <v/>
      </c>
      <c r="S112" s="48" t="str">
        <f>IFERROR(__xludf.DUMMYFUNCTION("""COMPUTED_VALUE"""),"%")</f>
        <v>%</v>
      </c>
      <c r="T112" s="49">
        <f>IFERROR(__xludf.DUMMYFUNCTION("""COMPUTED_VALUE"""),2.0)</f>
        <v>2</v>
      </c>
      <c r="U112" s="50"/>
      <c r="V112" s="38"/>
      <c r="W112" s="45" t="str">
        <f>IFERROR(__xludf.DUMMYFUNCTION("""COMPUTED_VALUE"""),"")</f>
        <v/>
      </c>
      <c r="X112" s="46" t="str">
        <f>IFERROR(__xludf.DUMMYFUNCTION("""COMPUTED_VALUE"""),"AP")</f>
        <v>AP</v>
      </c>
      <c r="Y112" s="47" t="str">
        <f>IFERROR(__xludf.DUMMYFUNCTION("""COMPUTED_VALUE"""),"")</f>
        <v/>
      </c>
      <c r="Z112" s="48" t="str">
        <f>IFERROR(__xludf.DUMMYFUNCTION("""COMPUTED_VALUE"""),"%")</f>
        <v>%</v>
      </c>
      <c r="AA112" s="49">
        <f>IFERROR(__xludf.DUMMYFUNCTION("""COMPUTED_VALUE"""),3.0)</f>
        <v>3</v>
      </c>
      <c r="AB112" s="50"/>
      <c r="AC112" s="38"/>
      <c r="AD112" s="45" t="str">
        <f>IFERROR(__xludf.DUMMYFUNCTION("""COMPUTED_VALUE"""),"")</f>
        <v/>
      </c>
      <c r="AE112" s="46" t="str">
        <f>IFERROR(__xludf.DUMMYFUNCTION("""COMPUTED_VALUE"""),"AP")</f>
        <v>AP</v>
      </c>
      <c r="AF112" s="47" t="str">
        <f>IFERROR(__xludf.DUMMYFUNCTION("""COMPUTED_VALUE"""),"")</f>
        <v/>
      </c>
      <c r="AG112" s="48" t="str">
        <f>IFERROR(__xludf.DUMMYFUNCTION("""COMPUTED_VALUE"""),"%")</f>
        <v>%</v>
      </c>
      <c r="AH112" s="43"/>
      <c r="AI112" s="44"/>
      <c r="AJ112" s="51"/>
    </row>
    <row r="113" ht="24.75" hidden="1" customHeight="1">
      <c r="A113" s="28">
        <f>IFERROR(__xludf.DUMMYFUNCTION("""COMPUTED_VALUE"""),19.0)</f>
        <v>19</v>
      </c>
      <c r="B113" s="28" t="str">
        <f>IFERROR(__xludf.DUMMYFUNCTION("""COMPUTED_VALUE"""),"A305")</f>
        <v>A305</v>
      </c>
      <c r="C113" s="28"/>
      <c r="D113" s="29"/>
      <c r="E113" s="67"/>
      <c r="F113" s="31"/>
      <c r="G113" s="32"/>
      <c r="H113" s="33" t="str">
        <f>IFERROR(__xludf.DUMMYFUNCTION("""COMPUTED_VALUE""")," ")</f>
        <v> </v>
      </c>
      <c r="I113" s="34"/>
      <c r="J113" s="35" t="str">
        <f>IFERROR(__xludf.DUMMYFUNCTION("""COMPUTED_VALUE"""),"AP")</f>
        <v>AP</v>
      </c>
      <c r="K113" s="34"/>
      <c r="L113" s="35" t="str">
        <f>IFERROR(__xludf.DUMMYFUNCTION("""COMPUTED_VALUE"""),"%")</f>
        <v>%</v>
      </c>
      <c r="M113" s="36">
        <f>IFERROR(__xludf.DUMMYFUNCTION("""COMPUTED_VALUE"""),1.0)</f>
        <v>1</v>
      </c>
      <c r="N113" s="37"/>
      <c r="O113" s="38"/>
      <c r="P113" s="34" t="str">
        <f>IFERROR(__xludf.DUMMYFUNCTION("""COMPUTED_VALUE"""),"")</f>
        <v/>
      </c>
      <c r="Q113" s="35" t="str">
        <f>IFERROR(__xludf.DUMMYFUNCTION("""COMPUTED_VALUE"""),"AP")</f>
        <v>AP</v>
      </c>
      <c r="R113" s="34" t="str">
        <f>IFERROR(__xludf.DUMMYFUNCTION("""COMPUTED_VALUE"""),"")</f>
        <v/>
      </c>
      <c r="S113" s="35" t="str">
        <f>IFERROR(__xludf.DUMMYFUNCTION("""COMPUTED_VALUE"""),"%")</f>
        <v>%</v>
      </c>
      <c r="T113" s="36">
        <f>IFERROR(__xludf.DUMMYFUNCTION("""COMPUTED_VALUE"""),2.0)</f>
        <v>2</v>
      </c>
      <c r="U113" s="37"/>
      <c r="V113" s="38"/>
      <c r="W113" s="34" t="str">
        <f>IFERROR(__xludf.DUMMYFUNCTION("""COMPUTED_VALUE"""),"")</f>
        <v/>
      </c>
      <c r="X113" s="35" t="str">
        <f>IFERROR(__xludf.DUMMYFUNCTION("""COMPUTED_VALUE"""),"AP")</f>
        <v>AP</v>
      </c>
      <c r="Y113" s="34" t="str">
        <f>IFERROR(__xludf.DUMMYFUNCTION("""COMPUTED_VALUE"""),"")</f>
        <v/>
      </c>
      <c r="Z113" s="35" t="str">
        <f>IFERROR(__xludf.DUMMYFUNCTION("""COMPUTED_VALUE"""),"%")</f>
        <v>%</v>
      </c>
      <c r="AA113" s="36">
        <f>IFERROR(__xludf.DUMMYFUNCTION("""COMPUTED_VALUE"""),3.0)</f>
        <v>3</v>
      </c>
      <c r="AB113" s="37"/>
      <c r="AC113" s="38"/>
      <c r="AD113" s="34" t="str">
        <f>IFERROR(__xludf.DUMMYFUNCTION("""COMPUTED_VALUE"""),"")</f>
        <v/>
      </c>
      <c r="AE113" s="35" t="str">
        <f>IFERROR(__xludf.DUMMYFUNCTION("""COMPUTED_VALUE"""),"AP")</f>
        <v>AP</v>
      </c>
      <c r="AF113" s="34" t="str">
        <f>IFERROR(__xludf.DUMMYFUNCTION("""COMPUTED_VALUE"""),"")</f>
        <v/>
      </c>
      <c r="AG113" s="35" t="str">
        <f>IFERROR(__xludf.DUMMYFUNCTION("""COMPUTED_VALUE"""),"%")</f>
        <v>%</v>
      </c>
      <c r="AH113" s="31"/>
      <c r="AI113" s="32"/>
      <c r="AJ113" s="39"/>
    </row>
    <row r="114" ht="24.75" hidden="1" customHeight="1">
      <c r="A114" s="40">
        <f>IFERROR(__xludf.DUMMYFUNCTION("""COMPUTED_VALUE"""),20.0)</f>
        <v>20</v>
      </c>
      <c r="B114" s="40" t="str">
        <f>IFERROR(__xludf.DUMMYFUNCTION("""COMPUTED_VALUE"""),"A305")</f>
        <v>A305</v>
      </c>
      <c r="C114" s="40"/>
      <c r="D114" s="41"/>
      <c r="E114" s="66"/>
      <c r="F114" s="43"/>
      <c r="G114" s="44"/>
      <c r="H114" s="33" t="str">
        <f>IFERROR(__xludf.DUMMYFUNCTION("""COMPUTED_VALUE""")," ")</f>
        <v> </v>
      </c>
      <c r="I114" s="45"/>
      <c r="J114" s="46" t="str">
        <f>IFERROR(__xludf.DUMMYFUNCTION("""COMPUTED_VALUE"""),"AP")</f>
        <v>AP</v>
      </c>
      <c r="K114" s="47"/>
      <c r="L114" s="48" t="str">
        <f>IFERROR(__xludf.DUMMYFUNCTION("""COMPUTED_VALUE"""),"%")</f>
        <v>%</v>
      </c>
      <c r="M114" s="49">
        <f>IFERROR(__xludf.DUMMYFUNCTION("""COMPUTED_VALUE"""),1.0)</f>
        <v>1</v>
      </c>
      <c r="N114" s="50"/>
      <c r="O114" s="38"/>
      <c r="P114" s="45" t="str">
        <f>IFERROR(__xludf.DUMMYFUNCTION("""COMPUTED_VALUE"""),"")</f>
        <v/>
      </c>
      <c r="Q114" s="46" t="str">
        <f>IFERROR(__xludf.DUMMYFUNCTION("""COMPUTED_VALUE"""),"AP")</f>
        <v>AP</v>
      </c>
      <c r="R114" s="47" t="str">
        <f>IFERROR(__xludf.DUMMYFUNCTION("""COMPUTED_VALUE"""),"")</f>
        <v/>
      </c>
      <c r="S114" s="48" t="str">
        <f>IFERROR(__xludf.DUMMYFUNCTION("""COMPUTED_VALUE"""),"%")</f>
        <v>%</v>
      </c>
      <c r="T114" s="49">
        <f>IFERROR(__xludf.DUMMYFUNCTION("""COMPUTED_VALUE"""),2.0)</f>
        <v>2</v>
      </c>
      <c r="U114" s="50"/>
      <c r="V114" s="38"/>
      <c r="W114" s="45" t="str">
        <f>IFERROR(__xludf.DUMMYFUNCTION("""COMPUTED_VALUE"""),"")</f>
        <v/>
      </c>
      <c r="X114" s="46" t="str">
        <f>IFERROR(__xludf.DUMMYFUNCTION("""COMPUTED_VALUE"""),"AP")</f>
        <v>AP</v>
      </c>
      <c r="Y114" s="47" t="str">
        <f>IFERROR(__xludf.DUMMYFUNCTION("""COMPUTED_VALUE"""),"")</f>
        <v/>
      </c>
      <c r="Z114" s="48" t="str">
        <f>IFERROR(__xludf.DUMMYFUNCTION("""COMPUTED_VALUE"""),"%")</f>
        <v>%</v>
      </c>
      <c r="AA114" s="49">
        <f>IFERROR(__xludf.DUMMYFUNCTION("""COMPUTED_VALUE"""),3.0)</f>
        <v>3</v>
      </c>
      <c r="AB114" s="50"/>
      <c r="AC114" s="38"/>
      <c r="AD114" s="45" t="str">
        <f>IFERROR(__xludf.DUMMYFUNCTION("""COMPUTED_VALUE"""),"")</f>
        <v/>
      </c>
      <c r="AE114" s="46" t="str">
        <f>IFERROR(__xludf.DUMMYFUNCTION("""COMPUTED_VALUE"""),"AP")</f>
        <v>AP</v>
      </c>
      <c r="AF114" s="47" t="str">
        <f>IFERROR(__xludf.DUMMYFUNCTION("""COMPUTED_VALUE"""),"")</f>
        <v/>
      </c>
      <c r="AG114" s="48" t="str">
        <f>IFERROR(__xludf.DUMMYFUNCTION("""COMPUTED_VALUE"""),"%")</f>
        <v>%</v>
      </c>
      <c r="AH114" s="43"/>
      <c r="AI114" s="44"/>
      <c r="AJ114" s="51"/>
    </row>
    <row r="115">
      <c r="A115" s="52"/>
      <c r="B115" s="53"/>
      <c r="C115" s="54"/>
      <c r="D115" s="55"/>
      <c r="E115" s="56"/>
      <c r="F115" s="53"/>
      <c r="G115" s="53"/>
      <c r="H115" s="53"/>
      <c r="I115" s="53"/>
      <c r="J115" s="57"/>
      <c r="K115" s="53"/>
      <c r="L115" s="57"/>
      <c r="M115" s="53"/>
      <c r="N115" s="53"/>
      <c r="O115" s="53"/>
      <c r="P115" s="53"/>
      <c r="Q115" s="57"/>
      <c r="R115" s="53"/>
      <c r="S115" s="57"/>
      <c r="T115" s="53"/>
      <c r="U115" s="53"/>
      <c r="V115" s="53"/>
      <c r="W115" s="53"/>
      <c r="X115" s="57"/>
      <c r="Y115" s="53"/>
      <c r="Z115" s="57"/>
      <c r="AA115" s="53"/>
      <c r="AB115" s="53"/>
      <c r="AC115" s="53"/>
      <c r="AD115" s="53"/>
      <c r="AE115" s="57"/>
      <c r="AF115" s="53"/>
      <c r="AG115" s="57"/>
      <c r="AH115" s="53"/>
      <c r="AI115" s="53"/>
      <c r="AJ115" s="58"/>
    </row>
    <row r="116">
      <c r="A116" s="59"/>
      <c r="B116" s="60"/>
      <c r="C116" s="61"/>
      <c r="D116" s="62"/>
      <c r="E116" s="63"/>
      <c r="F116" s="60"/>
      <c r="G116" s="60"/>
      <c r="H116" s="60"/>
      <c r="I116" s="60"/>
      <c r="J116" s="64"/>
      <c r="K116" s="60"/>
      <c r="L116" s="64"/>
      <c r="M116" s="60"/>
      <c r="N116" s="60"/>
      <c r="O116" s="60"/>
      <c r="P116" s="60"/>
      <c r="Q116" s="64"/>
      <c r="R116" s="60"/>
      <c r="S116" s="64"/>
      <c r="T116" s="60"/>
      <c r="U116" s="60"/>
      <c r="V116" s="60"/>
      <c r="W116" s="60"/>
      <c r="X116" s="64"/>
      <c r="Y116" s="60"/>
      <c r="Z116" s="64"/>
      <c r="AA116" s="60"/>
      <c r="AB116" s="60"/>
      <c r="AC116" s="60"/>
      <c r="AD116" s="60"/>
      <c r="AE116" s="64"/>
      <c r="AF116" s="60"/>
      <c r="AG116" s="64"/>
      <c r="AH116" s="60"/>
      <c r="AI116" s="60"/>
      <c r="AJ116" s="65"/>
    </row>
    <row r="117" ht="33.0" customHeight="1">
      <c r="A117" s="20" t="str">
        <f>IFERROR(__xludf.DUMMYFUNCTION("""COMPUTED_VALUE""")," ")</f>
        <v> </v>
      </c>
      <c r="B117" s="21" t="str">
        <f>IFERROR(__xludf.DUMMYFUNCTION("""COMPUTED_VALUE"""),"A306")</f>
        <v>A306</v>
      </c>
      <c r="C117" s="20"/>
      <c r="D117" s="22" t="str">
        <f>IFERROR(__xludf.DUMMYFUNCTION("""COMPUTED_VALUE"""),"")</f>
        <v/>
      </c>
      <c r="E117" s="23" t="str">
        <f>IFERROR(__xludf.DUMMYFUNCTION("""COMPUTED_VALUE"""),"Deadly Poisonous Needle")</f>
        <v>Deadly Poisonous Needle</v>
      </c>
      <c r="F117" s="24"/>
      <c r="G117" s="24"/>
      <c r="H117" s="25"/>
      <c r="I117" s="25"/>
      <c r="J117" s="26"/>
      <c r="K117" s="25"/>
      <c r="L117" s="26"/>
      <c r="M117" s="25"/>
      <c r="N117" s="25"/>
      <c r="O117" s="25"/>
      <c r="P117" s="25"/>
      <c r="Q117" s="26"/>
      <c r="R117" s="25"/>
      <c r="S117" s="26"/>
      <c r="T117" s="25"/>
      <c r="U117" s="25"/>
      <c r="V117" s="25"/>
      <c r="W117" s="25"/>
      <c r="X117" s="26"/>
      <c r="Y117" s="25"/>
      <c r="Z117" s="26"/>
      <c r="AA117" s="25"/>
      <c r="AB117" s="25"/>
      <c r="AC117" s="25"/>
      <c r="AD117" s="25"/>
      <c r="AE117" s="26"/>
      <c r="AF117" s="25"/>
      <c r="AG117" s="26"/>
      <c r="AH117" s="24"/>
      <c r="AI117" s="25"/>
      <c r="AJ117" s="27"/>
    </row>
    <row r="118" ht="24.75" customHeight="1">
      <c r="A118" s="28">
        <f>IFERROR(__xludf.DUMMYFUNCTION("""COMPUTED_VALUE"""),1.0)</f>
        <v>1</v>
      </c>
      <c r="B118" s="28" t="str">
        <f>IFERROR(__xludf.DUMMYFUNCTION("""COMPUTED_VALUE"""),"A306")</f>
        <v>A306</v>
      </c>
      <c r="C118" s="28" t="str">
        <f>IFERROR(__xludf.DUMMYFUNCTION("""COMPUTED_VALUE"""),"BBL9")</f>
        <v>BBL9</v>
      </c>
      <c r="D118" s="29" t="str">
        <f>IFERROR(__xludf.DUMMYFUNCTION("""COMPUTED_VALUE"""),"Babylonia")</f>
        <v>Babylonia</v>
      </c>
      <c r="E118" s="30" t="str">
        <f>IFERROR(__xludf.DUMMYFUNCTION("""COMPUTED_VALUE"""),"Field of Reeds")</f>
        <v>Field of Reeds</v>
      </c>
      <c r="F118" s="31">
        <f>IFERROR(__xludf.DUMMYFUNCTION("""COMPUTED_VALUE"""),21.0)</f>
        <v>21</v>
      </c>
      <c r="G118" s="32">
        <f>IFERROR(__xludf.DUMMYFUNCTION("""COMPUTED_VALUE"""),22327.0)</f>
        <v>22327</v>
      </c>
      <c r="H118" s="33" t="str">
        <f>IFERROR(__xludf.DUMMYFUNCTION("""COMPUTED_VALUE"""),"")</f>
        <v/>
      </c>
      <c r="I118" s="34">
        <f>IFERROR(__xludf.DUMMYFUNCTION("""COMPUTED_VALUE"""),33.6)</f>
        <v>33.6</v>
      </c>
      <c r="J118" s="35" t="str">
        <f>IFERROR(__xludf.DUMMYFUNCTION("""COMPUTED_VALUE"""),"AP")</f>
        <v>AP</v>
      </c>
      <c r="K118" s="34">
        <f>IFERROR(__xludf.DUMMYFUNCTION("""COMPUTED_VALUE"""),62.4)</f>
        <v>62.4</v>
      </c>
      <c r="L118" s="35" t="str">
        <f>IFERROR(__xludf.DUMMYFUNCTION("""COMPUTED_VALUE"""),"%")</f>
        <v>%</v>
      </c>
      <c r="M118" s="36">
        <f>IFERROR(__xludf.DUMMYFUNCTION("""COMPUTED_VALUE"""),1.0)</f>
        <v>1</v>
      </c>
      <c r="N118" s="37"/>
      <c r="O118" s="38"/>
      <c r="P118" s="34" t="str">
        <f>IFERROR(__xludf.DUMMYFUNCTION("""COMPUTED_VALUE"""),"")</f>
        <v/>
      </c>
      <c r="Q118" s="35" t="str">
        <f>IFERROR(__xludf.DUMMYFUNCTION("""COMPUTED_VALUE"""),"AP")</f>
        <v>AP</v>
      </c>
      <c r="R118" s="34" t="str">
        <f>IFERROR(__xludf.DUMMYFUNCTION("""COMPUTED_VALUE"""),"")</f>
        <v/>
      </c>
      <c r="S118" s="35" t="str">
        <f>IFERROR(__xludf.DUMMYFUNCTION("""COMPUTED_VALUE"""),"%")</f>
        <v>%</v>
      </c>
      <c r="T118" s="36">
        <f>IFERROR(__xludf.DUMMYFUNCTION("""COMPUTED_VALUE"""),2.0)</f>
        <v>2</v>
      </c>
      <c r="U118" s="37"/>
      <c r="V118" s="38"/>
      <c r="W118" s="34" t="str">
        <f>IFERROR(__xludf.DUMMYFUNCTION("""COMPUTED_VALUE"""),"")</f>
        <v/>
      </c>
      <c r="X118" s="35" t="str">
        <f>IFERROR(__xludf.DUMMYFUNCTION("""COMPUTED_VALUE"""),"AP")</f>
        <v>AP</v>
      </c>
      <c r="Y118" s="34" t="str">
        <f>IFERROR(__xludf.DUMMYFUNCTION("""COMPUTED_VALUE"""),"")</f>
        <v/>
      </c>
      <c r="Z118" s="35" t="str">
        <f>IFERROR(__xludf.DUMMYFUNCTION("""COMPUTED_VALUE"""),"%")</f>
        <v>%</v>
      </c>
      <c r="AA118" s="36">
        <f>IFERROR(__xludf.DUMMYFUNCTION("""COMPUTED_VALUE"""),3.0)</f>
        <v>3</v>
      </c>
      <c r="AB118" s="37"/>
      <c r="AC118" s="38"/>
      <c r="AD118" s="34" t="str">
        <f>IFERROR(__xludf.DUMMYFUNCTION("""COMPUTED_VALUE"""),"")</f>
        <v/>
      </c>
      <c r="AE118" s="35" t="str">
        <f>IFERROR(__xludf.DUMMYFUNCTION("""COMPUTED_VALUE"""),"AP")</f>
        <v>AP</v>
      </c>
      <c r="AF118" s="34" t="str">
        <f>IFERROR(__xludf.DUMMYFUNCTION("""COMPUTED_VALUE"""),"")</f>
        <v/>
      </c>
      <c r="AG118" s="35" t="str">
        <f>IFERROR(__xludf.DUMMYFUNCTION("""COMPUTED_VALUE"""),"%")</f>
        <v>%</v>
      </c>
      <c r="AH118" s="31">
        <f>IFERROR(__xludf.DUMMYFUNCTION("""COMPUTED_VALUE"""),21.0)</f>
        <v>21</v>
      </c>
      <c r="AI118" s="32">
        <f>IFERROR(__xludf.DUMMYFUNCTION("""COMPUTED_VALUE"""),22327.0)</f>
        <v>22327</v>
      </c>
      <c r="AJ118" s="39" t="str">
        <f>IFERROR(__xludf.DUMMYFUNCTION("""COMPUTED_VALUE"""),"葦の原")</f>
        <v>葦の原</v>
      </c>
    </row>
    <row r="119" ht="24.75" customHeight="1">
      <c r="A119" s="40">
        <f>IFERROR(__xludf.DUMMYFUNCTION("""COMPUTED_VALUE"""),2.0)</f>
        <v>2</v>
      </c>
      <c r="B119" s="40" t="str">
        <f>IFERROR(__xludf.DUMMYFUNCTION("""COMPUTED_VALUE"""),"A306")</f>
        <v>A306</v>
      </c>
      <c r="C119" s="40" t="str">
        <f>IFERROR(__xludf.DUMMYFUNCTION("""COMPUTED_VALUE"""),"BBL4")</f>
        <v>BBL4</v>
      </c>
      <c r="D119" s="41" t="str">
        <f>IFERROR(__xludf.DUMMYFUNCTION("""COMPUTED_VALUE"""),"Babylonia")</f>
        <v>Babylonia</v>
      </c>
      <c r="E119" s="42" t="str">
        <f>IFERROR(__xludf.DUMMYFUNCTION("""COMPUTED_VALUE"""),"Plateau")</f>
        <v>Plateau</v>
      </c>
      <c r="F119" s="43">
        <f>IFERROR(__xludf.DUMMYFUNCTION("""COMPUTED_VALUE"""),20.0)</f>
        <v>20</v>
      </c>
      <c r="G119" s="44">
        <f>IFERROR(__xludf.DUMMYFUNCTION("""COMPUTED_VALUE"""),13305.0)</f>
        <v>13305</v>
      </c>
      <c r="H119" s="33" t="str">
        <f>IFERROR(__xludf.DUMMYFUNCTION("""COMPUTED_VALUE"""),"")</f>
        <v/>
      </c>
      <c r="I119" s="45">
        <f>IFERROR(__xludf.DUMMYFUNCTION("""COMPUTED_VALUE"""),40.5)</f>
        <v>40.5</v>
      </c>
      <c r="J119" s="46" t="str">
        <f>IFERROR(__xludf.DUMMYFUNCTION("""COMPUTED_VALUE"""),"AP")</f>
        <v>AP</v>
      </c>
      <c r="K119" s="47">
        <f>IFERROR(__xludf.DUMMYFUNCTION("""COMPUTED_VALUE"""),49.4)</f>
        <v>49.4</v>
      </c>
      <c r="L119" s="48" t="str">
        <f>IFERROR(__xludf.DUMMYFUNCTION("""COMPUTED_VALUE"""),"%")</f>
        <v>%</v>
      </c>
      <c r="M119" s="49">
        <f>IFERROR(__xludf.DUMMYFUNCTION("""COMPUTED_VALUE"""),1.0)</f>
        <v>1</v>
      </c>
      <c r="N119" s="50" t="str">
        <f>IFERROR(__xludf.DUMMYFUNCTION("""COMPUTED_VALUE"""),"A201")</f>
        <v>A201</v>
      </c>
      <c r="O119" s="38" t="str">
        <f>IFERROR(__xludf.DUMMYFUNCTION("""COMPUTED_VALUE"""),"")</f>
        <v/>
      </c>
      <c r="P119" s="45">
        <f>IFERROR(__xludf.DUMMYFUNCTION("""COMPUTED_VALUE"""),78.6)</f>
        <v>78.6</v>
      </c>
      <c r="Q119" s="46" t="str">
        <f>IFERROR(__xludf.DUMMYFUNCTION("""COMPUTED_VALUE"""),"AP")</f>
        <v>AP</v>
      </c>
      <c r="R119" s="47">
        <f>IFERROR(__xludf.DUMMYFUNCTION("""COMPUTED_VALUE"""),25.4)</f>
        <v>25.4</v>
      </c>
      <c r="S119" s="48" t="str">
        <f>IFERROR(__xludf.DUMMYFUNCTION("""COMPUTED_VALUE"""),"%")</f>
        <v>%</v>
      </c>
      <c r="T119" s="49">
        <f>IFERROR(__xludf.DUMMYFUNCTION("""COMPUTED_VALUE"""),2.0)</f>
        <v>2</v>
      </c>
      <c r="U119" s="50"/>
      <c r="V119" s="38"/>
      <c r="W119" s="45" t="str">
        <f>IFERROR(__xludf.DUMMYFUNCTION("""COMPUTED_VALUE"""),"")</f>
        <v/>
      </c>
      <c r="X119" s="46" t="str">
        <f>IFERROR(__xludf.DUMMYFUNCTION("""COMPUTED_VALUE"""),"AP")</f>
        <v>AP</v>
      </c>
      <c r="Y119" s="47" t="str">
        <f>IFERROR(__xludf.DUMMYFUNCTION("""COMPUTED_VALUE"""),"")</f>
        <v/>
      </c>
      <c r="Z119" s="48" t="str">
        <f>IFERROR(__xludf.DUMMYFUNCTION("""COMPUTED_VALUE"""),"%")</f>
        <v>%</v>
      </c>
      <c r="AA119" s="49">
        <f>IFERROR(__xludf.DUMMYFUNCTION("""COMPUTED_VALUE"""),3.0)</f>
        <v>3</v>
      </c>
      <c r="AB119" s="50"/>
      <c r="AC119" s="38"/>
      <c r="AD119" s="45" t="str">
        <f>IFERROR(__xludf.DUMMYFUNCTION("""COMPUTED_VALUE"""),"")</f>
        <v/>
      </c>
      <c r="AE119" s="46" t="str">
        <f>IFERROR(__xludf.DUMMYFUNCTION("""COMPUTED_VALUE"""),"AP")</f>
        <v>AP</v>
      </c>
      <c r="AF119" s="47" t="str">
        <f>IFERROR(__xludf.DUMMYFUNCTION("""COMPUTED_VALUE"""),"")</f>
        <v/>
      </c>
      <c r="AG119" s="48" t="str">
        <f>IFERROR(__xludf.DUMMYFUNCTION("""COMPUTED_VALUE"""),"%")</f>
        <v>%</v>
      </c>
      <c r="AH119" s="43">
        <f>IFERROR(__xludf.DUMMYFUNCTION("""COMPUTED_VALUE"""),20.0)</f>
        <v>20</v>
      </c>
      <c r="AI119" s="44">
        <f>IFERROR(__xludf.DUMMYFUNCTION("""COMPUTED_VALUE"""),13305.0)</f>
        <v>13305</v>
      </c>
      <c r="AJ119" s="51" t="str">
        <f>IFERROR(__xludf.DUMMYFUNCTION("""COMPUTED_VALUE"""),"高原")</f>
        <v>高原</v>
      </c>
    </row>
    <row r="120" ht="24.75" customHeight="1">
      <c r="A120" s="28">
        <f>IFERROR(__xludf.DUMMYFUNCTION("""COMPUTED_VALUE"""),3.0)</f>
        <v>3</v>
      </c>
      <c r="B120" s="28" t="str">
        <f>IFERROR(__xludf.DUMMYFUNCTION("""COMPUTED_VALUE"""),"A306")</f>
        <v>A306</v>
      </c>
      <c r="C120" s="28" t="str">
        <f>IFERROR(__xludf.DUMMYFUNCTION("""COMPUTED_VALUE"""),"ANA1")</f>
        <v>ANA1</v>
      </c>
      <c r="D120" s="29" t="str">
        <f>IFERROR(__xludf.DUMMYFUNCTION("""COMPUTED_VALUE"""),"Anastasia")</f>
        <v>Anastasia</v>
      </c>
      <c r="E120" s="30" t="str">
        <f>IFERROR(__xludf.DUMMYFUNCTION("""COMPUTED_VALUE"""),"Anchor Point")</f>
        <v>Anchor Point</v>
      </c>
      <c r="F120" s="31">
        <f>IFERROR(__xludf.DUMMYFUNCTION("""COMPUTED_VALUE"""),20.0)</f>
        <v>20</v>
      </c>
      <c r="G120" s="32">
        <f>IFERROR(__xludf.DUMMYFUNCTION("""COMPUTED_VALUE"""),2652.0)</f>
        <v>2652</v>
      </c>
      <c r="H120" s="33" t="str">
        <f>IFERROR(__xludf.DUMMYFUNCTION("""COMPUTED_VALUE"""),"")</f>
        <v/>
      </c>
      <c r="I120" s="34">
        <f>IFERROR(__xludf.DUMMYFUNCTION("""COMPUTED_VALUE"""),48.5)</f>
        <v>48.5</v>
      </c>
      <c r="J120" s="35" t="str">
        <f>IFERROR(__xludf.DUMMYFUNCTION("""COMPUTED_VALUE"""),"AP")</f>
        <v>AP</v>
      </c>
      <c r="K120" s="34">
        <f>IFERROR(__xludf.DUMMYFUNCTION("""COMPUTED_VALUE"""),41.2)</f>
        <v>41.2</v>
      </c>
      <c r="L120" s="35" t="str">
        <f>IFERROR(__xludf.DUMMYFUNCTION("""COMPUTED_VALUE"""),"%")</f>
        <v>%</v>
      </c>
      <c r="M120" s="36">
        <f>IFERROR(__xludf.DUMMYFUNCTION("""COMPUTED_VALUE"""),1.0)</f>
        <v>1</v>
      </c>
      <c r="N120" s="37" t="str">
        <f>IFERROR(__xludf.DUMMYFUNCTION("""COMPUTED_VALUE"""),"A105")</f>
        <v>A105</v>
      </c>
      <c r="O120" s="38" t="str">
        <f>IFERROR(__xludf.DUMMYFUNCTION("""COMPUTED_VALUE"""),"")</f>
        <v/>
      </c>
      <c r="P120" s="34">
        <f>IFERROR(__xludf.DUMMYFUNCTION("""COMPUTED_VALUE"""),98.0)</f>
        <v>98</v>
      </c>
      <c r="Q120" s="35" t="str">
        <f>IFERROR(__xludf.DUMMYFUNCTION("""COMPUTED_VALUE"""),"AP")</f>
        <v>AP</v>
      </c>
      <c r="R120" s="34">
        <f>IFERROR(__xludf.DUMMYFUNCTION("""COMPUTED_VALUE"""),20.4)</f>
        <v>20.4</v>
      </c>
      <c r="S120" s="35" t="str">
        <f>IFERROR(__xludf.DUMMYFUNCTION("""COMPUTED_VALUE"""),"%")</f>
        <v>%</v>
      </c>
      <c r="T120" s="36">
        <f>IFERROR(__xludf.DUMMYFUNCTION("""COMPUTED_VALUE"""),2.0)</f>
        <v>2</v>
      </c>
      <c r="U120" s="37" t="str">
        <f>IFERROR(__xludf.DUMMYFUNCTION("""COMPUTED_VALUE"""),"B113")</f>
        <v>B113</v>
      </c>
      <c r="V120" s="38" t="str">
        <f>IFERROR(__xludf.DUMMYFUNCTION("""COMPUTED_VALUE"""),"")</f>
        <v/>
      </c>
      <c r="W120" s="34">
        <f>IFERROR(__xludf.DUMMYFUNCTION("""COMPUTED_VALUE"""),274.4)</f>
        <v>274.4</v>
      </c>
      <c r="X120" s="35" t="str">
        <f>IFERROR(__xludf.DUMMYFUNCTION("""COMPUTED_VALUE"""),"AP")</f>
        <v>AP</v>
      </c>
      <c r="Y120" s="34">
        <f>IFERROR(__xludf.DUMMYFUNCTION("""COMPUTED_VALUE"""),7.3)</f>
        <v>7.3</v>
      </c>
      <c r="Z120" s="35" t="str">
        <f>IFERROR(__xludf.DUMMYFUNCTION("""COMPUTED_VALUE"""),"%")</f>
        <v>%</v>
      </c>
      <c r="AA120" s="36">
        <f>IFERROR(__xludf.DUMMYFUNCTION("""COMPUTED_VALUE"""),3.0)</f>
        <v>3</v>
      </c>
      <c r="AB120" s="37"/>
      <c r="AC120" s="38"/>
      <c r="AD120" s="34" t="str">
        <f>IFERROR(__xludf.DUMMYFUNCTION("""COMPUTED_VALUE"""),"")</f>
        <v/>
      </c>
      <c r="AE120" s="35" t="str">
        <f>IFERROR(__xludf.DUMMYFUNCTION("""COMPUTED_VALUE"""),"AP")</f>
        <v>AP</v>
      </c>
      <c r="AF120" s="34" t="str">
        <f>IFERROR(__xludf.DUMMYFUNCTION("""COMPUTED_VALUE"""),"")</f>
        <v/>
      </c>
      <c r="AG120" s="35" t="str">
        <f>IFERROR(__xludf.DUMMYFUNCTION("""COMPUTED_VALUE"""),"%")</f>
        <v>%</v>
      </c>
      <c r="AH120" s="31">
        <f>IFERROR(__xludf.DUMMYFUNCTION("""COMPUTED_VALUE"""),20.0)</f>
        <v>20</v>
      </c>
      <c r="AI120" s="32">
        <f>IFERROR(__xludf.DUMMYFUNCTION("""COMPUTED_VALUE"""),2652.0)</f>
        <v>2652</v>
      </c>
      <c r="AJ120" s="39" t="str">
        <f>IFERROR(__xludf.DUMMYFUNCTION("""COMPUTED_VALUE"""),"アンカーポイント")</f>
        <v>アンカーポイント</v>
      </c>
    </row>
    <row r="121" ht="24.75" customHeight="1">
      <c r="A121" s="40">
        <f>IFERROR(__xludf.DUMMYFUNCTION("""COMPUTED_VALUE"""),4.0)</f>
        <v>4</v>
      </c>
      <c r="B121" s="40" t="str">
        <f>IFERROR(__xludf.DUMMYFUNCTION("""COMPUTED_VALUE"""),"A306")</f>
        <v>A306</v>
      </c>
      <c r="C121" s="40" t="str">
        <f>IFERROR(__xludf.DUMMYFUNCTION("""COMPUTED_VALUE"""),"SIN2")</f>
        <v>SIN2</v>
      </c>
      <c r="D121" s="41" t="str">
        <f>IFERROR(__xludf.DUMMYFUNCTION("""COMPUTED_VALUE"""),"SIN")</f>
        <v>SIN</v>
      </c>
      <c r="E121" s="42" t="str">
        <f>IFERROR(__xludf.DUMMYFUNCTION("""COMPUTED_VALUE"""),"Neighboring Village")</f>
        <v>Neighboring Village</v>
      </c>
      <c r="F121" s="43">
        <f>IFERROR(__xludf.DUMMYFUNCTION("""COMPUTED_VALUE"""),20.0)</f>
        <v>20</v>
      </c>
      <c r="G121" s="44">
        <f>IFERROR(__xludf.DUMMYFUNCTION("""COMPUTED_VALUE"""),8011.0)</f>
        <v>8011</v>
      </c>
      <c r="H121" s="33" t="str">
        <f>IFERROR(__xludf.DUMMYFUNCTION("""COMPUTED_VALUE"""),"")</f>
        <v/>
      </c>
      <c r="I121" s="45">
        <f>IFERROR(__xludf.DUMMYFUNCTION("""COMPUTED_VALUE"""),49.299999)</f>
        <v>49.299999</v>
      </c>
      <c r="J121" s="46" t="str">
        <f>IFERROR(__xludf.DUMMYFUNCTION("""COMPUTED_VALUE"""),"AP")</f>
        <v>AP</v>
      </c>
      <c r="K121" s="47">
        <f>IFERROR(__xludf.DUMMYFUNCTION("""COMPUTED_VALUE"""),40.500001)</f>
        <v>40.500001</v>
      </c>
      <c r="L121" s="48" t="str">
        <f>IFERROR(__xludf.DUMMYFUNCTION("""COMPUTED_VALUE"""),"%")</f>
        <v>%</v>
      </c>
      <c r="M121" s="49">
        <f>IFERROR(__xludf.DUMMYFUNCTION("""COMPUTED_VALUE"""),1.0)</f>
        <v>1</v>
      </c>
      <c r="N121" s="50" t="str">
        <f>IFERROR(__xludf.DUMMYFUNCTION("""COMPUTED_VALUE"""),"A214")</f>
        <v>A214</v>
      </c>
      <c r="O121" s="38" t="str">
        <f>IFERROR(__xludf.DUMMYFUNCTION("""COMPUTED_VALUE"""),"")</f>
        <v/>
      </c>
      <c r="P121" s="45">
        <f>IFERROR(__xludf.DUMMYFUNCTION("""COMPUTED_VALUE"""),77.8)</f>
        <v>77.8</v>
      </c>
      <c r="Q121" s="46" t="str">
        <f>IFERROR(__xludf.DUMMYFUNCTION("""COMPUTED_VALUE"""),"AP")</f>
        <v>AP</v>
      </c>
      <c r="R121" s="47">
        <f>IFERROR(__xludf.DUMMYFUNCTION("""COMPUTED_VALUE"""),25.7)</f>
        <v>25.7</v>
      </c>
      <c r="S121" s="48" t="str">
        <f>IFERROR(__xludf.DUMMYFUNCTION("""COMPUTED_VALUE"""),"%")</f>
        <v>%</v>
      </c>
      <c r="T121" s="49">
        <f>IFERROR(__xludf.DUMMYFUNCTION("""COMPUTED_VALUE"""),2.0)</f>
        <v>2</v>
      </c>
      <c r="U121" s="50" t="str">
        <f>IFERROR(__xludf.DUMMYFUNCTION("""COMPUTED_VALUE"""),"B117")</f>
        <v>B117</v>
      </c>
      <c r="V121" s="38" t="str">
        <f>IFERROR(__xludf.DUMMYFUNCTION("""COMPUTED_VALUE"""),"")</f>
        <v/>
      </c>
      <c r="W121" s="45">
        <f>IFERROR(__xludf.DUMMYFUNCTION("""COMPUTED_VALUE"""),143.8)</f>
        <v>143.8</v>
      </c>
      <c r="X121" s="46" t="str">
        <f>IFERROR(__xludf.DUMMYFUNCTION("""COMPUTED_VALUE"""),"AP")</f>
        <v>AP</v>
      </c>
      <c r="Y121" s="47">
        <f>IFERROR(__xludf.DUMMYFUNCTION("""COMPUTED_VALUE"""),13.9)</f>
        <v>13.9</v>
      </c>
      <c r="Z121" s="48" t="str">
        <f>IFERROR(__xludf.DUMMYFUNCTION("""COMPUTED_VALUE"""),"%")</f>
        <v>%</v>
      </c>
      <c r="AA121" s="49">
        <f>IFERROR(__xludf.DUMMYFUNCTION("""COMPUTED_VALUE"""),3.0)</f>
        <v>3</v>
      </c>
      <c r="AB121" s="50"/>
      <c r="AC121" s="38"/>
      <c r="AD121" s="45" t="str">
        <f>IFERROR(__xludf.DUMMYFUNCTION("""COMPUTED_VALUE"""),"")</f>
        <v/>
      </c>
      <c r="AE121" s="46" t="str">
        <f>IFERROR(__xludf.DUMMYFUNCTION("""COMPUTED_VALUE"""),"AP")</f>
        <v>AP</v>
      </c>
      <c r="AF121" s="47" t="str">
        <f>IFERROR(__xludf.DUMMYFUNCTION("""COMPUTED_VALUE"""),"")</f>
        <v/>
      </c>
      <c r="AG121" s="48" t="str">
        <f>IFERROR(__xludf.DUMMYFUNCTION("""COMPUTED_VALUE"""),"%")</f>
        <v>%</v>
      </c>
      <c r="AH121" s="43">
        <f>IFERROR(__xludf.DUMMYFUNCTION("""COMPUTED_VALUE"""),20.0)</f>
        <v>20</v>
      </c>
      <c r="AI121" s="44">
        <f>IFERROR(__xludf.DUMMYFUNCTION("""COMPUTED_VALUE"""),8011.0)</f>
        <v>8011</v>
      </c>
      <c r="AJ121" s="51" t="str">
        <f>IFERROR(__xludf.DUMMYFUNCTION("""COMPUTED_VALUE"""),"隣村")</f>
        <v>隣村</v>
      </c>
    </row>
    <row r="122" ht="24.75" customHeight="1">
      <c r="A122" s="28">
        <f>IFERROR(__xludf.DUMMYFUNCTION("""COMPUTED_VALUE"""),5.0)</f>
        <v>5</v>
      </c>
      <c r="B122" s="28" t="str">
        <f>IFERROR(__xludf.DUMMYFUNCTION("""COMPUTED_VALUE"""),"A306")</f>
        <v>A306</v>
      </c>
      <c r="C122" s="28" t="str">
        <f>IFERROR(__xludf.DUMMYFUNCTION("""COMPUTED_VALUE"""),"ANA3")</f>
        <v>ANA3</v>
      </c>
      <c r="D122" s="29" t="str">
        <f>IFERROR(__xludf.DUMMYFUNCTION("""COMPUTED_VALUE"""),"Anastasia")</f>
        <v>Anastasia</v>
      </c>
      <c r="E122" s="30" t="str">
        <f>IFERROR(__xludf.DUMMYFUNCTION("""COMPUTED_VALUE"""),"Icy Cavern")</f>
        <v>Icy Cavern</v>
      </c>
      <c r="F122" s="31">
        <f>IFERROR(__xludf.DUMMYFUNCTION("""COMPUTED_VALUE"""),20.0)</f>
        <v>20</v>
      </c>
      <c r="G122" s="32">
        <f>IFERROR(__xludf.DUMMYFUNCTION("""COMPUTED_VALUE"""),59379.0)</f>
        <v>59379</v>
      </c>
      <c r="H122" s="33" t="str">
        <f>IFERROR(__xludf.DUMMYFUNCTION("""COMPUTED_VALUE"""),"")</f>
        <v/>
      </c>
      <c r="I122" s="34">
        <f>IFERROR(__xludf.DUMMYFUNCTION("""COMPUTED_VALUE"""),49.500001)</f>
        <v>49.500001</v>
      </c>
      <c r="J122" s="35" t="str">
        <f>IFERROR(__xludf.DUMMYFUNCTION("""COMPUTED_VALUE"""),"AP")</f>
        <v>AP</v>
      </c>
      <c r="K122" s="34">
        <f>IFERROR(__xludf.DUMMYFUNCTION("""COMPUTED_VALUE"""),40.399999)</f>
        <v>40.399999</v>
      </c>
      <c r="L122" s="35" t="str">
        <f>IFERROR(__xludf.DUMMYFUNCTION("""COMPUTED_VALUE"""),"%")</f>
        <v>%</v>
      </c>
      <c r="M122" s="36">
        <f>IFERROR(__xludf.DUMMYFUNCTION("""COMPUTED_VALUE"""),1.0)</f>
        <v>1</v>
      </c>
      <c r="N122" s="37" t="str">
        <f>IFERROR(__xludf.DUMMYFUNCTION("""COMPUTED_VALUE"""),"A211")</f>
        <v>A211</v>
      </c>
      <c r="O122" s="38" t="str">
        <f>IFERROR(__xludf.DUMMYFUNCTION("""COMPUTED_VALUE"""),"")</f>
        <v/>
      </c>
      <c r="P122" s="34">
        <f>IFERROR(__xludf.DUMMYFUNCTION("""COMPUTED_VALUE"""),79.4)</f>
        <v>79.4</v>
      </c>
      <c r="Q122" s="35" t="str">
        <f>IFERROR(__xludf.DUMMYFUNCTION("""COMPUTED_VALUE"""),"AP")</f>
        <v>AP</v>
      </c>
      <c r="R122" s="34">
        <f>IFERROR(__xludf.DUMMYFUNCTION("""COMPUTED_VALUE"""),25.2)</f>
        <v>25.2</v>
      </c>
      <c r="S122" s="35" t="str">
        <f>IFERROR(__xludf.DUMMYFUNCTION("""COMPUTED_VALUE"""),"%")</f>
        <v>%</v>
      </c>
      <c r="T122" s="36">
        <f>IFERROR(__xludf.DUMMYFUNCTION("""COMPUTED_VALUE"""),2.0)</f>
        <v>2</v>
      </c>
      <c r="U122" s="37"/>
      <c r="V122" s="38"/>
      <c r="W122" s="34" t="str">
        <f>IFERROR(__xludf.DUMMYFUNCTION("""COMPUTED_VALUE"""),"")</f>
        <v/>
      </c>
      <c r="X122" s="35" t="str">
        <f>IFERROR(__xludf.DUMMYFUNCTION("""COMPUTED_VALUE"""),"AP")</f>
        <v>AP</v>
      </c>
      <c r="Y122" s="34" t="str">
        <f>IFERROR(__xludf.DUMMYFUNCTION("""COMPUTED_VALUE"""),"")</f>
        <v/>
      </c>
      <c r="Z122" s="35" t="str">
        <f>IFERROR(__xludf.DUMMYFUNCTION("""COMPUTED_VALUE"""),"%")</f>
        <v>%</v>
      </c>
      <c r="AA122" s="36">
        <f>IFERROR(__xludf.DUMMYFUNCTION("""COMPUTED_VALUE"""),3.0)</f>
        <v>3</v>
      </c>
      <c r="AB122" s="37"/>
      <c r="AC122" s="38"/>
      <c r="AD122" s="34" t="str">
        <f>IFERROR(__xludf.DUMMYFUNCTION("""COMPUTED_VALUE"""),"")</f>
        <v/>
      </c>
      <c r="AE122" s="35" t="str">
        <f>IFERROR(__xludf.DUMMYFUNCTION("""COMPUTED_VALUE"""),"AP")</f>
        <v>AP</v>
      </c>
      <c r="AF122" s="34" t="str">
        <f>IFERROR(__xludf.DUMMYFUNCTION("""COMPUTED_VALUE"""),"")</f>
        <v/>
      </c>
      <c r="AG122" s="35" t="str">
        <f>IFERROR(__xludf.DUMMYFUNCTION("""COMPUTED_VALUE"""),"%")</f>
        <v>%</v>
      </c>
      <c r="AH122" s="31">
        <f>IFERROR(__xludf.DUMMYFUNCTION("""COMPUTED_VALUE"""),20.0)</f>
        <v>20</v>
      </c>
      <c r="AI122" s="32">
        <f>IFERROR(__xludf.DUMMYFUNCTION("""COMPUTED_VALUE"""),59379.0)</f>
        <v>59379</v>
      </c>
      <c r="AJ122" s="39" t="str">
        <f>IFERROR(__xludf.DUMMYFUNCTION("""COMPUTED_VALUE"""),"風穴氷窟")</f>
        <v>風穴氷窟</v>
      </c>
    </row>
    <row r="123" ht="24.75" customHeight="1">
      <c r="A123" s="40">
        <f>IFERROR(__xludf.DUMMYFUNCTION("""COMPUTED_VALUE"""),6.0)</f>
        <v>6</v>
      </c>
      <c r="B123" s="40" t="str">
        <f>IFERROR(__xludf.DUMMYFUNCTION("""COMPUTED_VALUE"""),"A306")</f>
        <v>A306</v>
      </c>
      <c r="C123" s="40" t="str">
        <f>IFERROR(__xludf.DUMMYFUNCTION("""COMPUTED_VALUE"""),"SIN1")</f>
        <v>SIN1</v>
      </c>
      <c r="D123" s="41" t="str">
        <f>IFERROR(__xludf.DUMMYFUNCTION("""COMPUTED_VALUE"""),"SIN")</f>
        <v>SIN</v>
      </c>
      <c r="E123" s="42" t="str">
        <f>IFERROR(__xludf.DUMMYFUNCTION("""COMPUTED_VALUE"""),"Seeding Point")</f>
        <v>Seeding Point</v>
      </c>
      <c r="F123" s="43">
        <f>IFERROR(__xludf.DUMMYFUNCTION("""COMPUTED_VALUE"""),20.0)</f>
        <v>20</v>
      </c>
      <c r="G123" s="44">
        <f>IFERROR(__xludf.DUMMYFUNCTION("""COMPUTED_VALUE"""),13260.0)</f>
        <v>13260</v>
      </c>
      <c r="H123" s="33" t="str">
        <f>IFERROR(__xludf.DUMMYFUNCTION("""COMPUTED_VALUE"""),"")</f>
        <v/>
      </c>
      <c r="I123" s="45">
        <f>IFERROR(__xludf.DUMMYFUNCTION("""COMPUTED_VALUE"""),50.8)</f>
        <v>50.8</v>
      </c>
      <c r="J123" s="46" t="str">
        <f>IFERROR(__xludf.DUMMYFUNCTION("""COMPUTED_VALUE"""),"AP")</f>
        <v>AP</v>
      </c>
      <c r="K123" s="47">
        <f>IFERROR(__xludf.DUMMYFUNCTION("""COMPUTED_VALUE"""),39.4)</f>
        <v>39.4</v>
      </c>
      <c r="L123" s="48" t="str">
        <f>IFERROR(__xludf.DUMMYFUNCTION("""COMPUTED_VALUE"""),"%")</f>
        <v>%</v>
      </c>
      <c r="M123" s="49">
        <f>IFERROR(__xludf.DUMMYFUNCTION("""COMPUTED_VALUE"""),1.0)</f>
        <v>1</v>
      </c>
      <c r="N123" s="50" t="str">
        <f>IFERROR(__xludf.DUMMYFUNCTION("""COMPUTED_VALUE"""),"A206")</f>
        <v>A206</v>
      </c>
      <c r="O123" s="38" t="str">
        <f>IFERROR(__xludf.DUMMYFUNCTION("""COMPUTED_VALUE"""),"")</f>
        <v/>
      </c>
      <c r="P123" s="45">
        <f>IFERROR(__xludf.DUMMYFUNCTION("""COMPUTED_VALUE"""),66.5)</f>
        <v>66.5</v>
      </c>
      <c r="Q123" s="46" t="str">
        <f>IFERROR(__xludf.DUMMYFUNCTION("""COMPUTED_VALUE"""),"AP")</f>
        <v>AP</v>
      </c>
      <c r="R123" s="47">
        <f>IFERROR(__xludf.DUMMYFUNCTION("""COMPUTED_VALUE"""),30.1)</f>
        <v>30.1</v>
      </c>
      <c r="S123" s="48" t="str">
        <f>IFERROR(__xludf.DUMMYFUNCTION("""COMPUTED_VALUE"""),"%")</f>
        <v>%</v>
      </c>
      <c r="T123" s="49">
        <f>IFERROR(__xludf.DUMMYFUNCTION("""COMPUTED_VALUE"""),2.0)</f>
        <v>2</v>
      </c>
      <c r="U123" s="50"/>
      <c r="V123" s="38"/>
      <c r="W123" s="45" t="str">
        <f>IFERROR(__xludf.DUMMYFUNCTION("""COMPUTED_VALUE"""),"")</f>
        <v/>
      </c>
      <c r="X123" s="46" t="str">
        <f>IFERROR(__xludf.DUMMYFUNCTION("""COMPUTED_VALUE"""),"AP")</f>
        <v>AP</v>
      </c>
      <c r="Y123" s="47" t="str">
        <f>IFERROR(__xludf.DUMMYFUNCTION("""COMPUTED_VALUE"""),"")</f>
        <v/>
      </c>
      <c r="Z123" s="48" t="str">
        <f>IFERROR(__xludf.DUMMYFUNCTION("""COMPUTED_VALUE"""),"%")</f>
        <v>%</v>
      </c>
      <c r="AA123" s="49">
        <f>IFERROR(__xludf.DUMMYFUNCTION("""COMPUTED_VALUE"""),3.0)</f>
        <v>3</v>
      </c>
      <c r="AB123" s="50"/>
      <c r="AC123" s="38"/>
      <c r="AD123" s="45" t="str">
        <f>IFERROR(__xludf.DUMMYFUNCTION("""COMPUTED_VALUE"""),"")</f>
        <v/>
      </c>
      <c r="AE123" s="46" t="str">
        <f>IFERROR(__xludf.DUMMYFUNCTION("""COMPUTED_VALUE"""),"AP")</f>
        <v>AP</v>
      </c>
      <c r="AF123" s="47" t="str">
        <f>IFERROR(__xludf.DUMMYFUNCTION("""COMPUTED_VALUE"""),"")</f>
        <v/>
      </c>
      <c r="AG123" s="48" t="str">
        <f>IFERROR(__xludf.DUMMYFUNCTION("""COMPUTED_VALUE"""),"%")</f>
        <v>%</v>
      </c>
      <c r="AH123" s="43">
        <f>IFERROR(__xludf.DUMMYFUNCTION("""COMPUTED_VALUE"""),20.0)</f>
        <v>20</v>
      </c>
      <c r="AI123" s="44">
        <f>IFERROR(__xludf.DUMMYFUNCTION("""COMPUTED_VALUE"""),13260.0)</f>
        <v>13260</v>
      </c>
      <c r="AJ123" s="51" t="str">
        <f>IFERROR(__xludf.DUMMYFUNCTION("""COMPUTED_VALUE"""),"シーディングポイント")</f>
        <v>シーディングポイント</v>
      </c>
    </row>
    <row r="124" ht="24.75" customHeight="1">
      <c r="A124" s="28">
        <f>IFERROR(__xludf.DUMMYFUNCTION("""COMPUTED_VALUE"""),7.0)</f>
        <v>7</v>
      </c>
      <c r="B124" s="28" t="str">
        <f>IFERROR(__xludf.DUMMYFUNCTION("""COMPUTED_VALUE"""),"A306")</f>
        <v>A306</v>
      </c>
      <c r="C124" s="28" t="str">
        <f>IFERROR(__xludf.DUMMYFUNCTION("""COMPUTED_VALUE"""),"BBL11")</f>
        <v>BBL11</v>
      </c>
      <c r="D124" s="29" t="str">
        <f>IFERROR(__xludf.DUMMYFUNCTION("""COMPUTED_VALUE"""),"Babylonia")</f>
        <v>Babylonia</v>
      </c>
      <c r="E124" s="30" t="str">
        <f>IFERROR(__xludf.DUMMYFUNCTION("""COMPUTED_VALUE"""),"Northern Wall")</f>
        <v>Northern Wall</v>
      </c>
      <c r="F124" s="31">
        <f>IFERROR(__xludf.DUMMYFUNCTION("""COMPUTED_VALUE"""),21.0)</f>
        <v>21</v>
      </c>
      <c r="G124" s="32">
        <f>IFERROR(__xludf.DUMMYFUNCTION("""COMPUTED_VALUE"""),5788.0)</f>
        <v>5788</v>
      </c>
      <c r="H124" s="33" t="str">
        <f>IFERROR(__xludf.DUMMYFUNCTION("""COMPUTED_VALUE"""),"")</f>
        <v/>
      </c>
      <c r="I124" s="34">
        <f>IFERROR(__xludf.DUMMYFUNCTION("""COMPUTED_VALUE"""),50.9)</f>
        <v>50.9</v>
      </c>
      <c r="J124" s="35" t="str">
        <f>IFERROR(__xludf.DUMMYFUNCTION("""COMPUTED_VALUE"""),"AP")</f>
        <v>AP</v>
      </c>
      <c r="K124" s="34">
        <f>IFERROR(__xludf.DUMMYFUNCTION("""COMPUTED_VALUE"""),41.3)</f>
        <v>41.3</v>
      </c>
      <c r="L124" s="35" t="str">
        <f>IFERROR(__xludf.DUMMYFUNCTION("""COMPUTED_VALUE"""),"%")</f>
        <v>%</v>
      </c>
      <c r="M124" s="36">
        <f>IFERROR(__xludf.DUMMYFUNCTION("""COMPUTED_VALUE"""),1.0)</f>
        <v>1</v>
      </c>
      <c r="N124" s="37" t="str">
        <f>IFERROR(__xludf.DUMMYFUNCTION("""COMPUTED_VALUE"""),"A110")</f>
        <v>A110</v>
      </c>
      <c r="O124" s="38" t="str">
        <f>IFERROR(__xludf.DUMMYFUNCTION("""COMPUTED_VALUE"""),"")</f>
        <v/>
      </c>
      <c r="P124" s="34">
        <f>IFERROR(__xludf.DUMMYFUNCTION("""COMPUTED_VALUE"""),166.0)</f>
        <v>166</v>
      </c>
      <c r="Q124" s="35" t="str">
        <f>IFERROR(__xludf.DUMMYFUNCTION("""COMPUTED_VALUE"""),"AP")</f>
        <v>AP</v>
      </c>
      <c r="R124" s="34">
        <f>IFERROR(__xludf.DUMMYFUNCTION("""COMPUTED_VALUE"""),12.6)</f>
        <v>12.6</v>
      </c>
      <c r="S124" s="35" t="str">
        <f>IFERROR(__xludf.DUMMYFUNCTION("""COMPUTED_VALUE"""),"%")</f>
        <v>%</v>
      </c>
      <c r="T124" s="36">
        <f>IFERROR(__xludf.DUMMYFUNCTION("""COMPUTED_VALUE"""),2.0)</f>
        <v>2</v>
      </c>
      <c r="U124" s="37" t="str">
        <f>IFERROR(__xludf.DUMMYFUNCTION("""COMPUTED_VALUE"""),"B114")</f>
        <v>B114</v>
      </c>
      <c r="V124" s="38" t="str">
        <f>IFERROR(__xludf.DUMMYFUNCTION("""COMPUTED_VALUE"""),"")</f>
        <v/>
      </c>
      <c r="W124" s="34">
        <f>IFERROR(__xludf.DUMMYFUNCTION("""COMPUTED_VALUE"""),277.8)</f>
        <v>277.8</v>
      </c>
      <c r="X124" s="35" t="str">
        <f>IFERROR(__xludf.DUMMYFUNCTION("""COMPUTED_VALUE"""),"AP")</f>
        <v>AP</v>
      </c>
      <c r="Y124" s="34">
        <f>IFERROR(__xludf.DUMMYFUNCTION("""COMPUTED_VALUE"""),7.6)</f>
        <v>7.6</v>
      </c>
      <c r="Z124" s="35" t="str">
        <f>IFERROR(__xludf.DUMMYFUNCTION("""COMPUTED_VALUE"""),"%")</f>
        <v>%</v>
      </c>
      <c r="AA124" s="36">
        <f>IFERROR(__xludf.DUMMYFUNCTION("""COMPUTED_VALUE"""),3.0)</f>
        <v>3</v>
      </c>
      <c r="AB124" s="37"/>
      <c r="AC124" s="38"/>
      <c r="AD124" s="34" t="str">
        <f>IFERROR(__xludf.DUMMYFUNCTION("""COMPUTED_VALUE"""),"")</f>
        <v/>
      </c>
      <c r="AE124" s="35" t="str">
        <f>IFERROR(__xludf.DUMMYFUNCTION("""COMPUTED_VALUE"""),"AP")</f>
        <v>AP</v>
      </c>
      <c r="AF124" s="34" t="str">
        <f>IFERROR(__xludf.DUMMYFUNCTION("""COMPUTED_VALUE"""),"")</f>
        <v/>
      </c>
      <c r="AG124" s="35" t="str">
        <f>IFERROR(__xludf.DUMMYFUNCTION("""COMPUTED_VALUE"""),"%")</f>
        <v>%</v>
      </c>
      <c r="AH124" s="31">
        <f>IFERROR(__xludf.DUMMYFUNCTION("""COMPUTED_VALUE"""),21.0)</f>
        <v>21</v>
      </c>
      <c r="AI124" s="32">
        <f>IFERROR(__xludf.DUMMYFUNCTION("""COMPUTED_VALUE"""),5788.0)</f>
        <v>5788</v>
      </c>
      <c r="AJ124" s="39" t="str">
        <f>IFERROR(__xludf.DUMMYFUNCTION("""COMPUTED_VALUE"""),"北壁")</f>
        <v>北壁</v>
      </c>
    </row>
    <row r="125" ht="24.75" customHeight="1">
      <c r="A125" s="40">
        <f>IFERROR(__xludf.DUMMYFUNCTION("""COMPUTED_VALUE"""),8.0)</f>
        <v>8</v>
      </c>
      <c r="B125" s="40" t="str">
        <f>IFERROR(__xludf.DUMMYFUNCTION("""COMPUTED_VALUE"""),"A306")</f>
        <v>A306</v>
      </c>
      <c r="C125" s="40" t="str">
        <f>IFERROR(__xludf.DUMMYFUNCTION("""COMPUTED_VALUE"""),"ANA7")</f>
        <v>ANA7</v>
      </c>
      <c r="D125" s="41" t="str">
        <f>IFERROR(__xludf.DUMMYFUNCTION("""COMPUTED_VALUE"""),"Anastasia")</f>
        <v>Anastasia</v>
      </c>
      <c r="E125" s="42" t="str">
        <f>IFERROR(__xludf.DUMMYFUNCTION("""COMPUTED_VALUE"""),"Yaga Vyazma")</f>
        <v>Yaga Vyazma</v>
      </c>
      <c r="F125" s="43">
        <f>IFERROR(__xludf.DUMMYFUNCTION("""COMPUTED_VALUE"""),21.0)</f>
        <v>21</v>
      </c>
      <c r="G125" s="44">
        <f>IFERROR(__xludf.DUMMYFUNCTION("""COMPUTED_VALUE"""),52413.0)</f>
        <v>52413</v>
      </c>
      <c r="H125" s="33" t="str">
        <f>IFERROR(__xludf.DUMMYFUNCTION("""COMPUTED_VALUE"""),"")</f>
        <v/>
      </c>
      <c r="I125" s="45">
        <f>IFERROR(__xludf.DUMMYFUNCTION("""COMPUTED_VALUE"""),51.9)</f>
        <v>51.9</v>
      </c>
      <c r="J125" s="46" t="str">
        <f>IFERROR(__xludf.DUMMYFUNCTION("""COMPUTED_VALUE"""),"AP")</f>
        <v>AP</v>
      </c>
      <c r="K125" s="47">
        <f>IFERROR(__xludf.DUMMYFUNCTION("""COMPUTED_VALUE"""),40.5)</f>
        <v>40.5</v>
      </c>
      <c r="L125" s="48" t="str">
        <f>IFERROR(__xludf.DUMMYFUNCTION("""COMPUTED_VALUE"""),"%")</f>
        <v>%</v>
      </c>
      <c r="M125" s="49">
        <f>IFERROR(__xludf.DUMMYFUNCTION("""COMPUTED_VALUE"""),1.0)</f>
        <v>1</v>
      </c>
      <c r="N125" s="50" t="str">
        <f>IFERROR(__xludf.DUMMYFUNCTION("""COMPUTED_VALUE"""),"A309")</f>
        <v>A309</v>
      </c>
      <c r="O125" s="38" t="str">
        <f>IFERROR(__xludf.DUMMYFUNCTION("""COMPUTED_VALUE"""),"")</f>
        <v/>
      </c>
      <c r="P125" s="45">
        <f>IFERROR(__xludf.DUMMYFUNCTION("""COMPUTED_VALUE"""),52.6)</f>
        <v>52.6</v>
      </c>
      <c r="Q125" s="46" t="str">
        <f>IFERROR(__xludf.DUMMYFUNCTION("""COMPUTED_VALUE"""),"AP")</f>
        <v>AP</v>
      </c>
      <c r="R125" s="47">
        <f>IFERROR(__xludf.DUMMYFUNCTION("""COMPUTED_VALUE"""),39.9)</f>
        <v>39.9</v>
      </c>
      <c r="S125" s="48" t="str">
        <f>IFERROR(__xludf.DUMMYFUNCTION("""COMPUTED_VALUE"""),"%")</f>
        <v>%</v>
      </c>
      <c r="T125" s="49">
        <f>IFERROR(__xludf.DUMMYFUNCTION("""COMPUTED_VALUE"""),2.0)</f>
        <v>2</v>
      </c>
      <c r="U125" s="50"/>
      <c r="V125" s="38"/>
      <c r="W125" s="45" t="str">
        <f>IFERROR(__xludf.DUMMYFUNCTION("""COMPUTED_VALUE"""),"")</f>
        <v/>
      </c>
      <c r="X125" s="46" t="str">
        <f>IFERROR(__xludf.DUMMYFUNCTION("""COMPUTED_VALUE"""),"AP")</f>
        <v>AP</v>
      </c>
      <c r="Y125" s="47" t="str">
        <f>IFERROR(__xludf.DUMMYFUNCTION("""COMPUTED_VALUE"""),"")</f>
        <v/>
      </c>
      <c r="Z125" s="48" t="str">
        <f>IFERROR(__xludf.DUMMYFUNCTION("""COMPUTED_VALUE"""),"%")</f>
        <v>%</v>
      </c>
      <c r="AA125" s="49">
        <f>IFERROR(__xludf.DUMMYFUNCTION("""COMPUTED_VALUE"""),3.0)</f>
        <v>3</v>
      </c>
      <c r="AB125" s="50"/>
      <c r="AC125" s="38"/>
      <c r="AD125" s="45" t="str">
        <f>IFERROR(__xludf.DUMMYFUNCTION("""COMPUTED_VALUE"""),"")</f>
        <v/>
      </c>
      <c r="AE125" s="46" t="str">
        <f>IFERROR(__xludf.DUMMYFUNCTION("""COMPUTED_VALUE"""),"AP")</f>
        <v>AP</v>
      </c>
      <c r="AF125" s="47" t="str">
        <f>IFERROR(__xludf.DUMMYFUNCTION("""COMPUTED_VALUE"""),"")</f>
        <v/>
      </c>
      <c r="AG125" s="48" t="str">
        <f>IFERROR(__xludf.DUMMYFUNCTION("""COMPUTED_VALUE"""),"%")</f>
        <v>%</v>
      </c>
      <c r="AH125" s="43">
        <f>IFERROR(__xludf.DUMMYFUNCTION("""COMPUTED_VALUE"""),21.0)</f>
        <v>21</v>
      </c>
      <c r="AI125" s="44">
        <f>IFERROR(__xludf.DUMMYFUNCTION("""COMPUTED_VALUE"""),52413.0)</f>
        <v>52413</v>
      </c>
      <c r="AJ125" s="51" t="str">
        <f>IFERROR(__xludf.DUMMYFUNCTION("""COMPUTED_VALUE"""),"ヤガ・ヴャジマ")</f>
        <v>ヤガ・ヴャジマ</v>
      </c>
    </row>
    <row r="126" ht="24.75" customHeight="1">
      <c r="A126" s="28">
        <f>IFERROR(__xludf.DUMMYFUNCTION("""COMPUTED_VALUE"""),9.0)</f>
        <v>9</v>
      </c>
      <c r="B126" s="28" t="str">
        <f>IFERROR(__xludf.DUMMYFUNCTION("""COMPUTED_VALUE"""),"A306")</f>
        <v>A306</v>
      </c>
      <c r="C126" s="28" t="str">
        <f>IFERROR(__xludf.DUMMYFUNCTION("""COMPUTED_VALUE"""),"BBL5")</f>
        <v>BBL5</v>
      </c>
      <c r="D126" s="29" t="str">
        <f>IFERROR(__xludf.DUMMYFUNCTION("""COMPUTED_VALUE"""),"Babylonia")</f>
        <v>Babylonia</v>
      </c>
      <c r="E126" s="30" t="str">
        <f>IFERROR(__xludf.DUMMYFUNCTION("""COMPUTED_VALUE"""),"Bog")</f>
        <v>Bog</v>
      </c>
      <c r="F126" s="31">
        <f>IFERROR(__xludf.DUMMYFUNCTION("""COMPUTED_VALUE"""),21.0)</f>
        <v>21</v>
      </c>
      <c r="G126" s="32">
        <f>IFERROR(__xludf.DUMMYFUNCTION("""COMPUTED_VALUE"""),1889.0)</f>
        <v>1889</v>
      </c>
      <c r="H126" s="33" t="str">
        <f>IFERROR(__xludf.DUMMYFUNCTION("""COMPUTED_VALUE"""),"")</f>
        <v/>
      </c>
      <c r="I126" s="34">
        <f>IFERROR(__xludf.DUMMYFUNCTION("""COMPUTED_VALUE"""),53.3)</f>
        <v>53.3</v>
      </c>
      <c r="J126" s="35" t="str">
        <f>IFERROR(__xludf.DUMMYFUNCTION("""COMPUTED_VALUE"""),"AP")</f>
        <v>AP</v>
      </c>
      <c r="K126" s="34">
        <f>IFERROR(__xludf.DUMMYFUNCTION("""COMPUTED_VALUE"""),39.4)</f>
        <v>39.4</v>
      </c>
      <c r="L126" s="35" t="str">
        <f>IFERROR(__xludf.DUMMYFUNCTION("""COMPUTED_VALUE"""),"%")</f>
        <v>%</v>
      </c>
      <c r="M126" s="36">
        <f>IFERROR(__xludf.DUMMYFUNCTION("""COMPUTED_VALUE"""),1.0)</f>
        <v>1</v>
      </c>
      <c r="N126" s="37" t="str">
        <f>IFERROR(__xludf.DUMMYFUNCTION("""COMPUTED_VALUE"""),"A204")</f>
        <v>A204</v>
      </c>
      <c r="O126" s="38" t="str">
        <f>IFERROR(__xludf.DUMMYFUNCTION("""COMPUTED_VALUE"""),"")</f>
        <v/>
      </c>
      <c r="P126" s="34">
        <f>IFERROR(__xludf.DUMMYFUNCTION("""COMPUTED_VALUE"""),85.7)</f>
        <v>85.7</v>
      </c>
      <c r="Q126" s="35" t="str">
        <f>IFERROR(__xludf.DUMMYFUNCTION("""COMPUTED_VALUE"""),"AP")</f>
        <v>AP</v>
      </c>
      <c r="R126" s="34">
        <f>IFERROR(__xludf.DUMMYFUNCTION("""COMPUTED_VALUE"""),24.5)</f>
        <v>24.5</v>
      </c>
      <c r="S126" s="35" t="str">
        <f>IFERROR(__xludf.DUMMYFUNCTION("""COMPUTED_VALUE"""),"%")</f>
        <v>%</v>
      </c>
      <c r="T126" s="36">
        <f>IFERROR(__xludf.DUMMYFUNCTION("""COMPUTED_VALUE"""),2.0)</f>
        <v>2</v>
      </c>
      <c r="U126" s="37" t="str">
        <f>IFERROR(__xludf.DUMMYFUNCTION("""COMPUTED_VALUE"""),"B112")</f>
        <v>B112</v>
      </c>
      <c r="V126" s="38" t="str">
        <f>IFERROR(__xludf.DUMMYFUNCTION("""COMPUTED_VALUE"""),"")</f>
        <v/>
      </c>
      <c r="W126" s="34">
        <f>IFERROR(__xludf.DUMMYFUNCTION("""COMPUTED_VALUE"""),126.4)</f>
        <v>126.4</v>
      </c>
      <c r="X126" s="35" t="str">
        <f>IFERROR(__xludf.DUMMYFUNCTION("""COMPUTED_VALUE"""),"AP")</f>
        <v>AP</v>
      </c>
      <c r="Y126" s="34">
        <f>IFERROR(__xludf.DUMMYFUNCTION("""COMPUTED_VALUE"""),16.6)</f>
        <v>16.6</v>
      </c>
      <c r="Z126" s="35" t="str">
        <f>IFERROR(__xludf.DUMMYFUNCTION("""COMPUTED_VALUE"""),"%")</f>
        <v>%</v>
      </c>
      <c r="AA126" s="36">
        <f>IFERROR(__xludf.DUMMYFUNCTION("""COMPUTED_VALUE"""),3.0)</f>
        <v>3</v>
      </c>
      <c r="AB126" s="37"/>
      <c r="AC126" s="38"/>
      <c r="AD126" s="34" t="str">
        <f>IFERROR(__xludf.DUMMYFUNCTION("""COMPUTED_VALUE"""),"")</f>
        <v/>
      </c>
      <c r="AE126" s="35" t="str">
        <f>IFERROR(__xludf.DUMMYFUNCTION("""COMPUTED_VALUE"""),"AP")</f>
        <v>AP</v>
      </c>
      <c r="AF126" s="34" t="str">
        <f>IFERROR(__xludf.DUMMYFUNCTION("""COMPUTED_VALUE"""),"")</f>
        <v/>
      </c>
      <c r="AG126" s="35" t="str">
        <f>IFERROR(__xludf.DUMMYFUNCTION("""COMPUTED_VALUE"""),"%")</f>
        <v>%</v>
      </c>
      <c r="AH126" s="31">
        <f>IFERROR(__xludf.DUMMYFUNCTION("""COMPUTED_VALUE"""),21.0)</f>
        <v>21</v>
      </c>
      <c r="AI126" s="32">
        <f>IFERROR(__xludf.DUMMYFUNCTION("""COMPUTED_VALUE"""),1889.0)</f>
        <v>1889</v>
      </c>
      <c r="AJ126" s="39" t="str">
        <f>IFERROR(__xludf.DUMMYFUNCTION("""COMPUTED_VALUE"""),"湿原")</f>
        <v>湿原</v>
      </c>
    </row>
    <row r="127" ht="24.75" customHeight="1">
      <c r="A127" s="40">
        <f>IFERROR(__xludf.DUMMYFUNCTION("""COMPUTED_VALUE"""),10.0)</f>
        <v>10</v>
      </c>
      <c r="B127" s="40" t="str">
        <f>IFERROR(__xludf.DUMMYFUNCTION("""COMPUTED_VALUE"""),"A306")</f>
        <v>A306</v>
      </c>
      <c r="C127" s="40" t="str">
        <f>IFERROR(__xludf.DUMMYFUNCTION("""COMPUTED_VALUE"""),"SIN6")</f>
        <v>SIN6</v>
      </c>
      <c r="D127" s="41" t="str">
        <f>IFERROR(__xludf.DUMMYFUNCTION("""COMPUTED_VALUE"""),"SIN")</f>
        <v>SIN</v>
      </c>
      <c r="E127" s="42" t="str">
        <f>IFERROR(__xludf.DUMMYFUNCTION("""COMPUTED_VALUE"""),"Shanyang Hill")</f>
        <v>Shanyang Hill</v>
      </c>
      <c r="F127" s="43">
        <f>IFERROR(__xludf.DUMMYFUNCTION("""COMPUTED_VALUE"""),21.0)</f>
        <v>21</v>
      </c>
      <c r="G127" s="44">
        <f>IFERROR(__xludf.DUMMYFUNCTION("""COMPUTED_VALUE"""),5463.0)</f>
        <v>5463</v>
      </c>
      <c r="H127" s="33" t="str">
        <f>IFERROR(__xludf.DUMMYFUNCTION("""COMPUTED_VALUE"""),"")</f>
        <v/>
      </c>
      <c r="I127" s="45">
        <f>IFERROR(__xludf.DUMMYFUNCTION("""COMPUTED_VALUE"""),69.7)</f>
        <v>69.7</v>
      </c>
      <c r="J127" s="46" t="str">
        <f>IFERROR(__xludf.DUMMYFUNCTION("""COMPUTED_VALUE"""),"AP")</f>
        <v>AP</v>
      </c>
      <c r="K127" s="47">
        <f>IFERROR(__xludf.DUMMYFUNCTION("""COMPUTED_VALUE"""),30.1)</f>
        <v>30.1</v>
      </c>
      <c r="L127" s="48" t="str">
        <f>IFERROR(__xludf.DUMMYFUNCTION("""COMPUTED_VALUE"""),"%")</f>
        <v>%</v>
      </c>
      <c r="M127" s="49">
        <f>IFERROR(__xludf.DUMMYFUNCTION("""COMPUTED_VALUE"""),1.0)</f>
        <v>1</v>
      </c>
      <c r="N127" s="50" t="str">
        <f>IFERROR(__xludf.DUMMYFUNCTION("""COMPUTED_VALUE"""),"A113")</f>
        <v>A113</v>
      </c>
      <c r="O127" s="38" t="str">
        <f>IFERROR(__xludf.DUMMYFUNCTION("""COMPUTED_VALUE"""),"")</f>
        <v/>
      </c>
      <c r="P127" s="45">
        <f>IFERROR(__xludf.DUMMYFUNCTION("""COMPUTED_VALUE"""),138.4)</f>
        <v>138.4</v>
      </c>
      <c r="Q127" s="46" t="str">
        <f>IFERROR(__xludf.DUMMYFUNCTION("""COMPUTED_VALUE"""),"AP")</f>
        <v>AP</v>
      </c>
      <c r="R127" s="47">
        <f>IFERROR(__xludf.DUMMYFUNCTION("""COMPUTED_VALUE"""),15.2)</f>
        <v>15.2</v>
      </c>
      <c r="S127" s="48" t="str">
        <f>IFERROR(__xludf.DUMMYFUNCTION("""COMPUTED_VALUE"""),"%")</f>
        <v>%</v>
      </c>
      <c r="T127" s="49">
        <f>IFERROR(__xludf.DUMMYFUNCTION("""COMPUTED_VALUE"""),2.0)</f>
        <v>2</v>
      </c>
      <c r="U127" s="50" t="str">
        <f>IFERROR(__xludf.DUMMYFUNCTION("""COMPUTED_VALUE"""),"A304")</f>
        <v>A304</v>
      </c>
      <c r="V127" s="38" t="str">
        <f>IFERROR(__xludf.DUMMYFUNCTION("""COMPUTED_VALUE"""),"")</f>
        <v/>
      </c>
      <c r="W127" s="45">
        <f>IFERROR(__xludf.DUMMYFUNCTION("""COMPUTED_VALUE"""),71.9)</f>
        <v>71.9</v>
      </c>
      <c r="X127" s="46" t="str">
        <f>IFERROR(__xludf.DUMMYFUNCTION("""COMPUTED_VALUE"""),"AP")</f>
        <v>AP</v>
      </c>
      <c r="Y127" s="47">
        <f>IFERROR(__xludf.DUMMYFUNCTION("""COMPUTED_VALUE"""),29.2)</f>
        <v>29.2</v>
      </c>
      <c r="Z127" s="48" t="str">
        <f>IFERROR(__xludf.DUMMYFUNCTION("""COMPUTED_VALUE"""),"%")</f>
        <v>%</v>
      </c>
      <c r="AA127" s="49">
        <f>IFERROR(__xludf.DUMMYFUNCTION("""COMPUTED_VALUE"""),3.0)</f>
        <v>3</v>
      </c>
      <c r="AB127" s="50" t="str">
        <f>IFERROR(__xludf.DUMMYFUNCTION("""COMPUTED_VALUE"""),"B112")</f>
        <v>B112</v>
      </c>
      <c r="AC127" s="38" t="str">
        <f>IFERROR(__xludf.DUMMYFUNCTION("""COMPUTED_VALUE"""),"")</f>
        <v/>
      </c>
      <c r="AD127" s="45">
        <f>IFERROR(__xludf.DUMMYFUNCTION("""COMPUTED_VALUE"""),172.4)</f>
        <v>172.4</v>
      </c>
      <c r="AE127" s="46" t="str">
        <f>IFERROR(__xludf.DUMMYFUNCTION("""COMPUTED_VALUE"""),"AP")</f>
        <v>AP</v>
      </c>
      <c r="AF127" s="47">
        <f>IFERROR(__xludf.DUMMYFUNCTION("""COMPUTED_VALUE"""),12.2)</f>
        <v>12.2</v>
      </c>
      <c r="AG127" s="48" t="str">
        <f>IFERROR(__xludf.DUMMYFUNCTION("""COMPUTED_VALUE"""),"%")</f>
        <v>%</v>
      </c>
      <c r="AH127" s="43">
        <f>IFERROR(__xludf.DUMMYFUNCTION("""COMPUTED_VALUE"""),21.0)</f>
        <v>21</v>
      </c>
      <c r="AI127" s="44">
        <f>IFERROR(__xludf.DUMMYFUNCTION("""COMPUTED_VALUE"""),5463.0)</f>
        <v>5463</v>
      </c>
      <c r="AJ127" s="51" t="str">
        <f>IFERROR(__xludf.DUMMYFUNCTION("""COMPUTED_VALUE"""),"山陽丘")</f>
        <v>山陽丘</v>
      </c>
    </row>
    <row r="128" ht="24.75" customHeight="1">
      <c r="A128" s="28">
        <f>IFERROR(__xludf.DUMMYFUNCTION("""COMPUTED_VALUE"""),11.0)</f>
        <v>11</v>
      </c>
      <c r="B128" s="28" t="str">
        <f>IFERROR(__xludf.DUMMYFUNCTION("""COMPUTED_VALUE"""),"A306")</f>
        <v>A306</v>
      </c>
      <c r="C128" s="28" t="str">
        <f>IFERROR(__xludf.DUMMYFUNCTION("""COMPUTED_VALUE"""),"BBL12")</f>
        <v>BBL12</v>
      </c>
      <c r="D128" s="29" t="str">
        <f>IFERROR(__xludf.DUMMYFUNCTION("""COMPUTED_VALUE"""),"Babylonia")</f>
        <v>Babylonia</v>
      </c>
      <c r="E128" s="30" t="str">
        <f>IFERROR(__xludf.DUMMYFUNCTION("""COMPUTED_VALUE"""),"Nippur")</f>
        <v>Nippur</v>
      </c>
      <c r="F128" s="31">
        <f>IFERROR(__xludf.DUMMYFUNCTION("""COMPUTED_VALUE"""),21.0)</f>
        <v>21</v>
      </c>
      <c r="G128" s="32">
        <f>IFERROR(__xludf.DUMMYFUNCTION("""COMPUTED_VALUE"""),69855.0)</f>
        <v>69855</v>
      </c>
      <c r="H128" s="33" t="str">
        <f>IFERROR(__xludf.DUMMYFUNCTION("""COMPUTED_VALUE"""),"")</f>
        <v/>
      </c>
      <c r="I128" s="34">
        <f>IFERROR(__xludf.DUMMYFUNCTION("""COMPUTED_VALUE"""),70.0)</f>
        <v>70</v>
      </c>
      <c r="J128" s="35" t="str">
        <f>IFERROR(__xludf.DUMMYFUNCTION("""COMPUTED_VALUE"""),"AP")</f>
        <v>AP</v>
      </c>
      <c r="K128" s="34">
        <f>IFERROR(__xludf.DUMMYFUNCTION("""COMPUTED_VALUE"""),30.0)</f>
        <v>30</v>
      </c>
      <c r="L128" s="35" t="str">
        <f>IFERROR(__xludf.DUMMYFUNCTION("""COMPUTED_VALUE"""),"%")</f>
        <v>%</v>
      </c>
      <c r="M128" s="36">
        <f>IFERROR(__xludf.DUMMYFUNCTION("""COMPUTED_VALUE"""),1.0)</f>
        <v>1</v>
      </c>
      <c r="N128" s="37" t="str">
        <f>IFERROR(__xludf.DUMMYFUNCTION("""COMPUTED_VALUE"""),"A103")</f>
        <v>A103</v>
      </c>
      <c r="O128" s="38" t="str">
        <f>IFERROR(__xludf.DUMMYFUNCTION("""COMPUTED_VALUE"""),"")</f>
        <v/>
      </c>
      <c r="P128" s="34">
        <f>IFERROR(__xludf.DUMMYFUNCTION("""COMPUTED_VALUE"""),173.1)</f>
        <v>173.1</v>
      </c>
      <c r="Q128" s="35" t="str">
        <f>IFERROR(__xludf.DUMMYFUNCTION("""COMPUTED_VALUE"""),"AP")</f>
        <v>AP</v>
      </c>
      <c r="R128" s="34">
        <f>IFERROR(__xludf.DUMMYFUNCTION("""COMPUTED_VALUE"""),12.1)</f>
        <v>12.1</v>
      </c>
      <c r="S128" s="35" t="str">
        <f>IFERROR(__xludf.DUMMYFUNCTION("""COMPUTED_VALUE"""),"%")</f>
        <v>%</v>
      </c>
      <c r="T128" s="36">
        <f>IFERROR(__xludf.DUMMYFUNCTION("""COMPUTED_VALUE"""),2.0)</f>
        <v>2</v>
      </c>
      <c r="U128" s="37" t="str">
        <f>IFERROR(__xludf.DUMMYFUNCTION("""COMPUTED_VALUE"""),"B104")</f>
        <v>B104</v>
      </c>
      <c r="V128" s="38" t="str">
        <f>IFERROR(__xludf.DUMMYFUNCTION("""COMPUTED_VALUE"""),"")</f>
        <v/>
      </c>
      <c r="W128" s="34">
        <f>IFERROR(__xludf.DUMMYFUNCTION("""COMPUTED_VALUE"""),666.1)</f>
        <v>666.1</v>
      </c>
      <c r="X128" s="35" t="str">
        <f>IFERROR(__xludf.DUMMYFUNCTION("""COMPUTED_VALUE"""),"AP")</f>
        <v>AP</v>
      </c>
      <c r="Y128" s="34">
        <f>IFERROR(__xludf.DUMMYFUNCTION("""COMPUTED_VALUE"""),3.2)</f>
        <v>3.2</v>
      </c>
      <c r="Z128" s="35" t="str">
        <f>IFERROR(__xludf.DUMMYFUNCTION("""COMPUTED_VALUE"""),"%")</f>
        <v>%</v>
      </c>
      <c r="AA128" s="36">
        <f>IFERROR(__xludf.DUMMYFUNCTION("""COMPUTED_VALUE"""),3.0)</f>
        <v>3</v>
      </c>
      <c r="AB128" s="37"/>
      <c r="AC128" s="38"/>
      <c r="AD128" s="34" t="str">
        <f>IFERROR(__xludf.DUMMYFUNCTION("""COMPUTED_VALUE"""),"")</f>
        <v/>
      </c>
      <c r="AE128" s="35" t="str">
        <f>IFERROR(__xludf.DUMMYFUNCTION("""COMPUTED_VALUE"""),"AP")</f>
        <v>AP</v>
      </c>
      <c r="AF128" s="34" t="str">
        <f>IFERROR(__xludf.DUMMYFUNCTION("""COMPUTED_VALUE"""),"")</f>
        <v/>
      </c>
      <c r="AG128" s="35" t="str">
        <f>IFERROR(__xludf.DUMMYFUNCTION("""COMPUTED_VALUE"""),"%")</f>
        <v>%</v>
      </c>
      <c r="AH128" s="31">
        <f>IFERROR(__xludf.DUMMYFUNCTION("""COMPUTED_VALUE"""),21.0)</f>
        <v>21</v>
      </c>
      <c r="AI128" s="32">
        <f>IFERROR(__xludf.DUMMYFUNCTION("""COMPUTED_VALUE"""),69855.0)</f>
        <v>69855</v>
      </c>
      <c r="AJ128" s="39" t="str">
        <f>IFERROR(__xludf.DUMMYFUNCTION("""COMPUTED_VALUE"""),"ニップル")</f>
        <v>ニップル</v>
      </c>
    </row>
    <row r="129" ht="24.75" customHeight="1">
      <c r="A129" s="40">
        <f>IFERROR(__xludf.DUMMYFUNCTION("""COMPUTED_VALUE"""),12.0)</f>
        <v>12</v>
      </c>
      <c r="B129" s="40" t="str">
        <f>IFERROR(__xludf.DUMMYFUNCTION("""COMPUTED_VALUE"""),"A306")</f>
        <v>A306</v>
      </c>
      <c r="C129" s="40" t="str">
        <f>IFERROR(__xludf.DUMMYFUNCTION("""COMPUTED_VALUE"""),"ANA13")</f>
        <v>ANA13</v>
      </c>
      <c r="D129" s="41" t="str">
        <f>IFERROR(__xludf.DUMMYFUNCTION("""COMPUTED_VALUE"""),"Anastasia")</f>
        <v>Anastasia</v>
      </c>
      <c r="E129" s="42" t="str">
        <f>IFERROR(__xludf.DUMMYFUNCTION("""COMPUTED_VALUE"""),"Base of the Great Tree")</f>
        <v>Base of the Great Tree</v>
      </c>
      <c r="F129" s="43">
        <f>IFERROR(__xludf.DUMMYFUNCTION("""COMPUTED_VALUE"""),21.0)</f>
        <v>21</v>
      </c>
      <c r="G129" s="44">
        <f>IFERROR(__xludf.DUMMYFUNCTION("""COMPUTED_VALUE"""),13743.0)</f>
        <v>13743</v>
      </c>
      <c r="H129" s="33" t="str">
        <f>IFERROR(__xludf.DUMMYFUNCTION("""COMPUTED_VALUE"""),"")</f>
        <v/>
      </c>
      <c r="I129" s="45">
        <f>IFERROR(__xludf.DUMMYFUNCTION("""COMPUTED_VALUE"""),71.4)</f>
        <v>71.4</v>
      </c>
      <c r="J129" s="46" t="str">
        <f>IFERROR(__xludf.DUMMYFUNCTION("""COMPUTED_VALUE"""),"AP")</f>
        <v>AP</v>
      </c>
      <c r="K129" s="47">
        <f>IFERROR(__xludf.DUMMYFUNCTION("""COMPUTED_VALUE"""),29.4)</f>
        <v>29.4</v>
      </c>
      <c r="L129" s="48" t="str">
        <f>IFERROR(__xludf.DUMMYFUNCTION("""COMPUTED_VALUE"""),"%")</f>
        <v>%</v>
      </c>
      <c r="M129" s="49">
        <f>IFERROR(__xludf.DUMMYFUNCTION("""COMPUTED_VALUE"""),1.0)</f>
        <v>1</v>
      </c>
      <c r="N129" s="50" t="str">
        <f>IFERROR(__xludf.DUMMYFUNCTION("""COMPUTED_VALUE"""),"A213")</f>
        <v>A213</v>
      </c>
      <c r="O129" s="38" t="str">
        <f>IFERROR(__xludf.DUMMYFUNCTION("""COMPUTED_VALUE"""),"")</f>
        <v/>
      </c>
      <c r="P129" s="45">
        <f>IFERROR(__xludf.DUMMYFUNCTION("""COMPUTED_VALUE"""),104.8)</f>
        <v>104.8</v>
      </c>
      <c r="Q129" s="46" t="str">
        <f>IFERROR(__xludf.DUMMYFUNCTION("""COMPUTED_VALUE"""),"AP")</f>
        <v>AP</v>
      </c>
      <c r="R129" s="47">
        <f>IFERROR(__xludf.DUMMYFUNCTION("""COMPUTED_VALUE"""),20.0)</f>
        <v>20</v>
      </c>
      <c r="S129" s="48" t="str">
        <f>IFERROR(__xludf.DUMMYFUNCTION("""COMPUTED_VALUE"""),"%")</f>
        <v>%</v>
      </c>
      <c r="T129" s="49">
        <f>IFERROR(__xludf.DUMMYFUNCTION("""COMPUTED_VALUE"""),2.0)</f>
        <v>2</v>
      </c>
      <c r="U129" s="50" t="str">
        <f>IFERROR(__xludf.DUMMYFUNCTION("""COMPUTED_VALUE"""),"A304")</f>
        <v>A304</v>
      </c>
      <c r="V129" s="38" t="str">
        <f>IFERROR(__xludf.DUMMYFUNCTION("""COMPUTED_VALUE"""),"")</f>
        <v/>
      </c>
      <c r="W129" s="45">
        <f>IFERROR(__xludf.DUMMYFUNCTION("""COMPUTED_VALUE"""),69.9)</f>
        <v>69.9</v>
      </c>
      <c r="X129" s="46" t="str">
        <f>IFERROR(__xludf.DUMMYFUNCTION("""COMPUTED_VALUE"""),"AP")</f>
        <v>AP</v>
      </c>
      <c r="Y129" s="47">
        <f>IFERROR(__xludf.DUMMYFUNCTION("""COMPUTED_VALUE"""),30.0)</f>
        <v>30</v>
      </c>
      <c r="Z129" s="48" t="str">
        <f>IFERROR(__xludf.DUMMYFUNCTION("""COMPUTED_VALUE"""),"%")</f>
        <v>%</v>
      </c>
      <c r="AA129" s="49">
        <f>IFERROR(__xludf.DUMMYFUNCTION("""COMPUTED_VALUE"""),3.0)</f>
        <v>3</v>
      </c>
      <c r="AB129" s="50" t="str">
        <f>IFERROR(__xludf.DUMMYFUNCTION("""COMPUTED_VALUE"""),"B116")</f>
        <v>B116</v>
      </c>
      <c r="AC129" s="38" t="str">
        <f>IFERROR(__xludf.DUMMYFUNCTION("""COMPUTED_VALUE"""),"")</f>
        <v/>
      </c>
      <c r="AD129" s="45">
        <f>IFERROR(__xludf.DUMMYFUNCTION("""COMPUTED_VALUE"""),107.7)</f>
        <v>107.7</v>
      </c>
      <c r="AE129" s="46" t="str">
        <f>IFERROR(__xludf.DUMMYFUNCTION("""COMPUTED_VALUE"""),"AP")</f>
        <v>AP</v>
      </c>
      <c r="AF129" s="47">
        <f>IFERROR(__xludf.DUMMYFUNCTION("""COMPUTED_VALUE"""),19.5)</f>
        <v>19.5</v>
      </c>
      <c r="AG129" s="48" t="str">
        <f>IFERROR(__xludf.DUMMYFUNCTION("""COMPUTED_VALUE"""),"%")</f>
        <v>%</v>
      </c>
      <c r="AH129" s="43">
        <f>IFERROR(__xludf.DUMMYFUNCTION("""COMPUTED_VALUE"""),21.0)</f>
        <v>21</v>
      </c>
      <c r="AI129" s="44">
        <f>IFERROR(__xludf.DUMMYFUNCTION("""COMPUTED_VALUE"""),13743.0)</f>
        <v>13743</v>
      </c>
      <c r="AJ129" s="51" t="str">
        <f>IFERROR(__xludf.DUMMYFUNCTION("""COMPUTED_VALUE"""),"大樹の根元")</f>
        <v>大樹の根元</v>
      </c>
    </row>
    <row r="130" ht="24.75" customHeight="1">
      <c r="A130" s="28">
        <f>IFERROR(__xludf.DUMMYFUNCTION("""COMPUTED_VALUE"""),13.0)</f>
        <v>13</v>
      </c>
      <c r="B130" s="28" t="str">
        <f>IFERROR(__xludf.DUMMYFUNCTION("""COMPUTED_VALUE"""),"A306")</f>
        <v>A306</v>
      </c>
      <c r="C130" s="28"/>
      <c r="D130" s="29"/>
      <c r="E130" s="67"/>
      <c r="F130" s="31"/>
      <c r="G130" s="32"/>
      <c r="H130" s="33" t="str">
        <f>IFERROR(__xludf.DUMMYFUNCTION("""COMPUTED_VALUE""")," ")</f>
        <v> </v>
      </c>
      <c r="I130" s="34"/>
      <c r="J130" s="35" t="str">
        <f>IFERROR(__xludf.DUMMYFUNCTION("""COMPUTED_VALUE"""),"AP")</f>
        <v>AP</v>
      </c>
      <c r="K130" s="34"/>
      <c r="L130" s="35" t="str">
        <f>IFERROR(__xludf.DUMMYFUNCTION("""COMPUTED_VALUE"""),"%")</f>
        <v>%</v>
      </c>
      <c r="M130" s="36">
        <f>IFERROR(__xludf.DUMMYFUNCTION("""COMPUTED_VALUE"""),1.0)</f>
        <v>1</v>
      </c>
      <c r="N130" s="37"/>
      <c r="O130" s="38"/>
      <c r="P130" s="34" t="str">
        <f>IFERROR(__xludf.DUMMYFUNCTION("""COMPUTED_VALUE"""),"")</f>
        <v/>
      </c>
      <c r="Q130" s="35" t="str">
        <f>IFERROR(__xludf.DUMMYFUNCTION("""COMPUTED_VALUE"""),"AP")</f>
        <v>AP</v>
      </c>
      <c r="R130" s="34" t="str">
        <f>IFERROR(__xludf.DUMMYFUNCTION("""COMPUTED_VALUE"""),"")</f>
        <v/>
      </c>
      <c r="S130" s="35" t="str">
        <f>IFERROR(__xludf.DUMMYFUNCTION("""COMPUTED_VALUE"""),"%")</f>
        <v>%</v>
      </c>
      <c r="T130" s="36">
        <f>IFERROR(__xludf.DUMMYFUNCTION("""COMPUTED_VALUE"""),2.0)</f>
        <v>2</v>
      </c>
      <c r="U130" s="37"/>
      <c r="V130" s="38"/>
      <c r="W130" s="34" t="str">
        <f>IFERROR(__xludf.DUMMYFUNCTION("""COMPUTED_VALUE"""),"")</f>
        <v/>
      </c>
      <c r="X130" s="35" t="str">
        <f>IFERROR(__xludf.DUMMYFUNCTION("""COMPUTED_VALUE"""),"AP")</f>
        <v>AP</v>
      </c>
      <c r="Y130" s="34" t="str">
        <f>IFERROR(__xludf.DUMMYFUNCTION("""COMPUTED_VALUE"""),"")</f>
        <v/>
      </c>
      <c r="Z130" s="35" t="str">
        <f>IFERROR(__xludf.DUMMYFUNCTION("""COMPUTED_VALUE"""),"%")</f>
        <v>%</v>
      </c>
      <c r="AA130" s="36">
        <f>IFERROR(__xludf.DUMMYFUNCTION("""COMPUTED_VALUE"""),3.0)</f>
        <v>3</v>
      </c>
      <c r="AB130" s="37"/>
      <c r="AC130" s="38"/>
      <c r="AD130" s="34" t="str">
        <f>IFERROR(__xludf.DUMMYFUNCTION("""COMPUTED_VALUE"""),"")</f>
        <v/>
      </c>
      <c r="AE130" s="35" t="str">
        <f>IFERROR(__xludf.DUMMYFUNCTION("""COMPUTED_VALUE"""),"AP")</f>
        <v>AP</v>
      </c>
      <c r="AF130" s="34" t="str">
        <f>IFERROR(__xludf.DUMMYFUNCTION("""COMPUTED_VALUE"""),"")</f>
        <v/>
      </c>
      <c r="AG130" s="35" t="str">
        <f>IFERROR(__xludf.DUMMYFUNCTION("""COMPUTED_VALUE"""),"%")</f>
        <v>%</v>
      </c>
      <c r="AH130" s="31"/>
      <c r="AI130" s="32"/>
      <c r="AJ130" s="39"/>
    </row>
    <row r="131" ht="24.75" hidden="1" customHeight="1">
      <c r="A131" s="40">
        <f>IFERROR(__xludf.DUMMYFUNCTION("""COMPUTED_VALUE"""),14.0)</f>
        <v>14</v>
      </c>
      <c r="B131" s="40" t="str">
        <f>IFERROR(__xludf.DUMMYFUNCTION("""COMPUTED_VALUE"""),"A306")</f>
        <v>A306</v>
      </c>
      <c r="C131" s="40"/>
      <c r="D131" s="41"/>
      <c r="E131" s="66"/>
      <c r="F131" s="43"/>
      <c r="G131" s="44"/>
      <c r="H131" s="33" t="str">
        <f>IFERROR(__xludf.DUMMYFUNCTION("""COMPUTED_VALUE""")," ")</f>
        <v> </v>
      </c>
      <c r="I131" s="45"/>
      <c r="J131" s="46" t="str">
        <f>IFERROR(__xludf.DUMMYFUNCTION("""COMPUTED_VALUE"""),"AP")</f>
        <v>AP</v>
      </c>
      <c r="K131" s="47"/>
      <c r="L131" s="48" t="str">
        <f>IFERROR(__xludf.DUMMYFUNCTION("""COMPUTED_VALUE"""),"%")</f>
        <v>%</v>
      </c>
      <c r="M131" s="49">
        <f>IFERROR(__xludf.DUMMYFUNCTION("""COMPUTED_VALUE"""),1.0)</f>
        <v>1</v>
      </c>
      <c r="N131" s="50"/>
      <c r="O131" s="38"/>
      <c r="P131" s="45" t="str">
        <f>IFERROR(__xludf.DUMMYFUNCTION("""COMPUTED_VALUE"""),"")</f>
        <v/>
      </c>
      <c r="Q131" s="46" t="str">
        <f>IFERROR(__xludf.DUMMYFUNCTION("""COMPUTED_VALUE"""),"AP")</f>
        <v>AP</v>
      </c>
      <c r="R131" s="47" t="str">
        <f>IFERROR(__xludf.DUMMYFUNCTION("""COMPUTED_VALUE"""),"")</f>
        <v/>
      </c>
      <c r="S131" s="48" t="str">
        <f>IFERROR(__xludf.DUMMYFUNCTION("""COMPUTED_VALUE"""),"%")</f>
        <v>%</v>
      </c>
      <c r="T131" s="49">
        <f>IFERROR(__xludf.DUMMYFUNCTION("""COMPUTED_VALUE"""),2.0)</f>
        <v>2</v>
      </c>
      <c r="U131" s="50"/>
      <c r="V131" s="38"/>
      <c r="W131" s="45" t="str">
        <f>IFERROR(__xludf.DUMMYFUNCTION("""COMPUTED_VALUE"""),"")</f>
        <v/>
      </c>
      <c r="X131" s="46" t="str">
        <f>IFERROR(__xludf.DUMMYFUNCTION("""COMPUTED_VALUE"""),"AP")</f>
        <v>AP</v>
      </c>
      <c r="Y131" s="47" t="str">
        <f>IFERROR(__xludf.DUMMYFUNCTION("""COMPUTED_VALUE"""),"")</f>
        <v/>
      </c>
      <c r="Z131" s="48" t="str">
        <f>IFERROR(__xludf.DUMMYFUNCTION("""COMPUTED_VALUE"""),"%")</f>
        <v>%</v>
      </c>
      <c r="AA131" s="49">
        <f>IFERROR(__xludf.DUMMYFUNCTION("""COMPUTED_VALUE"""),3.0)</f>
        <v>3</v>
      </c>
      <c r="AB131" s="50"/>
      <c r="AC131" s="38"/>
      <c r="AD131" s="45" t="str">
        <f>IFERROR(__xludf.DUMMYFUNCTION("""COMPUTED_VALUE"""),"")</f>
        <v/>
      </c>
      <c r="AE131" s="46" t="str">
        <f>IFERROR(__xludf.DUMMYFUNCTION("""COMPUTED_VALUE"""),"AP")</f>
        <v>AP</v>
      </c>
      <c r="AF131" s="47" t="str">
        <f>IFERROR(__xludf.DUMMYFUNCTION("""COMPUTED_VALUE"""),"")</f>
        <v/>
      </c>
      <c r="AG131" s="48" t="str">
        <f>IFERROR(__xludf.DUMMYFUNCTION("""COMPUTED_VALUE"""),"%")</f>
        <v>%</v>
      </c>
      <c r="AH131" s="43"/>
      <c r="AI131" s="44"/>
      <c r="AJ131" s="51"/>
    </row>
    <row r="132" ht="24.75" hidden="1" customHeight="1">
      <c r="A132" s="28">
        <f>IFERROR(__xludf.DUMMYFUNCTION("""COMPUTED_VALUE"""),15.0)</f>
        <v>15</v>
      </c>
      <c r="B132" s="28" t="str">
        <f>IFERROR(__xludf.DUMMYFUNCTION("""COMPUTED_VALUE"""),"A306")</f>
        <v>A306</v>
      </c>
      <c r="C132" s="28"/>
      <c r="D132" s="29"/>
      <c r="E132" s="67"/>
      <c r="F132" s="31"/>
      <c r="G132" s="32"/>
      <c r="H132" s="33" t="str">
        <f>IFERROR(__xludf.DUMMYFUNCTION("""COMPUTED_VALUE""")," ")</f>
        <v> </v>
      </c>
      <c r="I132" s="34"/>
      <c r="J132" s="35" t="str">
        <f>IFERROR(__xludf.DUMMYFUNCTION("""COMPUTED_VALUE"""),"AP")</f>
        <v>AP</v>
      </c>
      <c r="K132" s="34"/>
      <c r="L132" s="35" t="str">
        <f>IFERROR(__xludf.DUMMYFUNCTION("""COMPUTED_VALUE"""),"%")</f>
        <v>%</v>
      </c>
      <c r="M132" s="36">
        <f>IFERROR(__xludf.DUMMYFUNCTION("""COMPUTED_VALUE"""),1.0)</f>
        <v>1</v>
      </c>
      <c r="N132" s="37"/>
      <c r="O132" s="38"/>
      <c r="P132" s="34" t="str">
        <f>IFERROR(__xludf.DUMMYFUNCTION("""COMPUTED_VALUE"""),"")</f>
        <v/>
      </c>
      <c r="Q132" s="35" t="str">
        <f>IFERROR(__xludf.DUMMYFUNCTION("""COMPUTED_VALUE"""),"AP")</f>
        <v>AP</v>
      </c>
      <c r="R132" s="34" t="str">
        <f>IFERROR(__xludf.DUMMYFUNCTION("""COMPUTED_VALUE"""),"")</f>
        <v/>
      </c>
      <c r="S132" s="35" t="str">
        <f>IFERROR(__xludf.DUMMYFUNCTION("""COMPUTED_VALUE"""),"%")</f>
        <v>%</v>
      </c>
      <c r="T132" s="36">
        <f>IFERROR(__xludf.DUMMYFUNCTION("""COMPUTED_VALUE"""),2.0)</f>
        <v>2</v>
      </c>
      <c r="U132" s="37"/>
      <c r="V132" s="38"/>
      <c r="W132" s="34" t="str">
        <f>IFERROR(__xludf.DUMMYFUNCTION("""COMPUTED_VALUE"""),"")</f>
        <v/>
      </c>
      <c r="X132" s="35" t="str">
        <f>IFERROR(__xludf.DUMMYFUNCTION("""COMPUTED_VALUE"""),"AP")</f>
        <v>AP</v>
      </c>
      <c r="Y132" s="34" t="str">
        <f>IFERROR(__xludf.DUMMYFUNCTION("""COMPUTED_VALUE"""),"")</f>
        <v/>
      </c>
      <c r="Z132" s="35" t="str">
        <f>IFERROR(__xludf.DUMMYFUNCTION("""COMPUTED_VALUE"""),"%")</f>
        <v>%</v>
      </c>
      <c r="AA132" s="36">
        <f>IFERROR(__xludf.DUMMYFUNCTION("""COMPUTED_VALUE"""),3.0)</f>
        <v>3</v>
      </c>
      <c r="AB132" s="37"/>
      <c r="AC132" s="38"/>
      <c r="AD132" s="34" t="str">
        <f>IFERROR(__xludf.DUMMYFUNCTION("""COMPUTED_VALUE"""),"")</f>
        <v/>
      </c>
      <c r="AE132" s="35" t="str">
        <f>IFERROR(__xludf.DUMMYFUNCTION("""COMPUTED_VALUE"""),"AP")</f>
        <v>AP</v>
      </c>
      <c r="AF132" s="34" t="str">
        <f>IFERROR(__xludf.DUMMYFUNCTION("""COMPUTED_VALUE"""),"")</f>
        <v/>
      </c>
      <c r="AG132" s="35" t="str">
        <f>IFERROR(__xludf.DUMMYFUNCTION("""COMPUTED_VALUE"""),"%")</f>
        <v>%</v>
      </c>
      <c r="AH132" s="31"/>
      <c r="AI132" s="32"/>
      <c r="AJ132" s="39"/>
    </row>
    <row r="133" ht="24.75" hidden="1" customHeight="1">
      <c r="A133" s="40">
        <f>IFERROR(__xludf.DUMMYFUNCTION("""COMPUTED_VALUE"""),16.0)</f>
        <v>16</v>
      </c>
      <c r="B133" s="40" t="str">
        <f>IFERROR(__xludf.DUMMYFUNCTION("""COMPUTED_VALUE"""),"A306")</f>
        <v>A306</v>
      </c>
      <c r="C133" s="40"/>
      <c r="D133" s="41"/>
      <c r="E133" s="66"/>
      <c r="F133" s="43"/>
      <c r="G133" s="44"/>
      <c r="H133" s="33" t="str">
        <f>IFERROR(__xludf.DUMMYFUNCTION("""COMPUTED_VALUE""")," ")</f>
        <v> </v>
      </c>
      <c r="I133" s="45"/>
      <c r="J133" s="46" t="str">
        <f>IFERROR(__xludf.DUMMYFUNCTION("""COMPUTED_VALUE"""),"AP")</f>
        <v>AP</v>
      </c>
      <c r="K133" s="47"/>
      <c r="L133" s="48" t="str">
        <f>IFERROR(__xludf.DUMMYFUNCTION("""COMPUTED_VALUE"""),"%")</f>
        <v>%</v>
      </c>
      <c r="M133" s="49">
        <f>IFERROR(__xludf.DUMMYFUNCTION("""COMPUTED_VALUE"""),1.0)</f>
        <v>1</v>
      </c>
      <c r="N133" s="50"/>
      <c r="O133" s="38"/>
      <c r="P133" s="45" t="str">
        <f>IFERROR(__xludf.DUMMYFUNCTION("""COMPUTED_VALUE"""),"")</f>
        <v/>
      </c>
      <c r="Q133" s="46" t="str">
        <f>IFERROR(__xludf.DUMMYFUNCTION("""COMPUTED_VALUE"""),"AP")</f>
        <v>AP</v>
      </c>
      <c r="R133" s="47" t="str">
        <f>IFERROR(__xludf.DUMMYFUNCTION("""COMPUTED_VALUE"""),"")</f>
        <v/>
      </c>
      <c r="S133" s="48" t="str">
        <f>IFERROR(__xludf.DUMMYFUNCTION("""COMPUTED_VALUE"""),"%")</f>
        <v>%</v>
      </c>
      <c r="T133" s="49">
        <f>IFERROR(__xludf.DUMMYFUNCTION("""COMPUTED_VALUE"""),2.0)</f>
        <v>2</v>
      </c>
      <c r="U133" s="50"/>
      <c r="V133" s="38"/>
      <c r="W133" s="45" t="str">
        <f>IFERROR(__xludf.DUMMYFUNCTION("""COMPUTED_VALUE"""),"")</f>
        <v/>
      </c>
      <c r="X133" s="46" t="str">
        <f>IFERROR(__xludf.DUMMYFUNCTION("""COMPUTED_VALUE"""),"AP")</f>
        <v>AP</v>
      </c>
      <c r="Y133" s="47" t="str">
        <f>IFERROR(__xludf.DUMMYFUNCTION("""COMPUTED_VALUE"""),"")</f>
        <v/>
      </c>
      <c r="Z133" s="48" t="str">
        <f>IFERROR(__xludf.DUMMYFUNCTION("""COMPUTED_VALUE"""),"%")</f>
        <v>%</v>
      </c>
      <c r="AA133" s="49">
        <f>IFERROR(__xludf.DUMMYFUNCTION("""COMPUTED_VALUE"""),3.0)</f>
        <v>3</v>
      </c>
      <c r="AB133" s="50"/>
      <c r="AC133" s="38"/>
      <c r="AD133" s="45" t="str">
        <f>IFERROR(__xludf.DUMMYFUNCTION("""COMPUTED_VALUE"""),"")</f>
        <v/>
      </c>
      <c r="AE133" s="46" t="str">
        <f>IFERROR(__xludf.DUMMYFUNCTION("""COMPUTED_VALUE"""),"AP")</f>
        <v>AP</v>
      </c>
      <c r="AF133" s="47" t="str">
        <f>IFERROR(__xludf.DUMMYFUNCTION("""COMPUTED_VALUE"""),"")</f>
        <v/>
      </c>
      <c r="AG133" s="48" t="str">
        <f>IFERROR(__xludf.DUMMYFUNCTION("""COMPUTED_VALUE"""),"%")</f>
        <v>%</v>
      </c>
      <c r="AH133" s="43"/>
      <c r="AI133" s="44"/>
      <c r="AJ133" s="51"/>
    </row>
    <row r="134" ht="24.75" hidden="1" customHeight="1">
      <c r="A134" s="28">
        <f>IFERROR(__xludf.DUMMYFUNCTION("""COMPUTED_VALUE"""),17.0)</f>
        <v>17</v>
      </c>
      <c r="B134" s="28" t="str">
        <f>IFERROR(__xludf.DUMMYFUNCTION("""COMPUTED_VALUE"""),"A306")</f>
        <v>A306</v>
      </c>
      <c r="C134" s="28"/>
      <c r="D134" s="29"/>
      <c r="E134" s="67"/>
      <c r="F134" s="31"/>
      <c r="G134" s="32"/>
      <c r="H134" s="33" t="str">
        <f>IFERROR(__xludf.DUMMYFUNCTION("""COMPUTED_VALUE""")," ")</f>
        <v> </v>
      </c>
      <c r="I134" s="34"/>
      <c r="J134" s="35" t="str">
        <f>IFERROR(__xludf.DUMMYFUNCTION("""COMPUTED_VALUE"""),"AP")</f>
        <v>AP</v>
      </c>
      <c r="K134" s="34"/>
      <c r="L134" s="35" t="str">
        <f>IFERROR(__xludf.DUMMYFUNCTION("""COMPUTED_VALUE"""),"%")</f>
        <v>%</v>
      </c>
      <c r="M134" s="36">
        <f>IFERROR(__xludf.DUMMYFUNCTION("""COMPUTED_VALUE"""),1.0)</f>
        <v>1</v>
      </c>
      <c r="N134" s="37"/>
      <c r="O134" s="38"/>
      <c r="P134" s="34" t="str">
        <f>IFERROR(__xludf.DUMMYFUNCTION("""COMPUTED_VALUE"""),"")</f>
        <v/>
      </c>
      <c r="Q134" s="35" t="str">
        <f>IFERROR(__xludf.DUMMYFUNCTION("""COMPUTED_VALUE"""),"AP")</f>
        <v>AP</v>
      </c>
      <c r="R134" s="34" t="str">
        <f>IFERROR(__xludf.DUMMYFUNCTION("""COMPUTED_VALUE"""),"")</f>
        <v/>
      </c>
      <c r="S134" s="35" t="str">
        <f>IFERROR(__xludf.DUMMYFUNCTION("""COMPUTED_VALUE"""),"%")</f>
        <v>%</v>
      </c>
      <c r="T134" s="36">
        <f>IFERROR(__xludf.DUMMYFUNCTION("""COMPUTED_VALUE"""),2.0)</f>
        <v>2</v>
      </c>
      <c r="U134" s="37"/>
      <c r="V134" s="38"/>
      <c r="W134" s="34" t="str">
        <f>IFERROR(__xludf.DUMMYFUNCTION("""COMPUTED_VALUE"""),"")</f>
        <v/>
      </c>
      <c r="X134" s="35" t="str">
        <f>IFERROR(__xludf.DUMMYFUNCTION("""COMPUTED_VALUE"""),"AP")</f>
        <v>AP</v>
      </c>
      <c r="Y134" s="34" t="str">
        <f>IFERROR(__xludf.DUMMYFUNCTION("""COMPUTED_VALUE"""),"")</f>
        <v/>
      </c>
      <c r="Z134" s="35" t="str">
        <f>IFERROR(__xludf.DUMMYFUNCTION("""COMPUTED_VALUE"""),"%")</f>
        <v>%</v>
      </c>
      <c r="AA134" s="36">
        <f>IFERROR(__xludf.DUMMYFUNCTION("""COMPUTED_VALUE"""),3.0)</f>
        <v>3</v>
      </c>
      <c r="AB134" s="37"/>
      <c r="AC134" s="38"/>
      <c r="AD134" s="34" t="str">
        <f>IFERROR(__xludf.DUMMYFUNCTION("""COMPUTED_VALUE"""),"")</f>
        <v/>
      </c>
      <c r="AE134" s="35" t="str">
        <f>IFERROR(__xludf.DUMMYFUNCTION("""COMPUTED_VALUE"""),"AP")</f>
        <v>AP</v>
      </c>
      <c r="AF134" s="34" t="str">
        <f>IFERROR(__xludf.DUMMYFUNCTION("""COMPUTED_VALUE"""),"")</f>
        <v/>
      </c>
      <c r="AG134" s="35" t="str">
        <f>IFERROR(__xludf.DUMMYFUNCTION("""COMPUTED_VALUE"""),"%")</f>
        <v>%</v>
      </c>
      <c r="AH134" s="31"/>
      <c r="AI134" s="32"/>
      <c r="AJ134" s="39"/>
    </row>
    <row r="135" ht="24.75" hidden="1" customHeight="1">
      <c r="A135" s="40">
        <f>IFERROR(__xludf.DUMMYFUNCTION("""COMPUTED_VALUE"""),18.0)</f>
        <v>18</v>
      </c>
      <c r="B135" s="40" t="str">
        <f>IFERROR(__xludf.DUMMYFUNCTION("""COMPUTED_VALUE"""),"A306")</f>
        <v>A306</v>
      </c>
      <c r="C135" s="40"/>
      <c r="D135" s="41"/>
      <c r="E135" s="66"/>
      <c r="F135" s="43"/>
      <c r="G135" s="44"/>
      <c r="H135" s="33" t="str">
        <f>IFERROR(__xludf.DUMMYFUNCTION("""COMPUTED_VALUE""")," ")</f>
        <v> </v>
      </c>
      <c r="I135" s="45"/>
      <c r="J135" s="46" t="str">
        <f>IFERROR(__xludf.DUMMYFUNCTION("""COMPUTED_VALUE"""),"AP")</f>
        <v>AP</v>
      </c>
      <c r="K135" s="47"/>
      <c r="L135" s="48" t="str">
        <f>IFERROR(__xludf.DUMMYFUNCTION("""COMPUTED_VALUE"""),"%")</f>
        <v>%</v>
      </c>
      <c r="M135" s="49">
        <f>IFERROR(__xludf.DUMMYFUNCTION("""COMPUTED_VALUE"""),1.0)</f>
        <v>1</v>
      </c>
      <c r="N135" s="50"/>
      <c r="O135" s="38"/>
      <c r="P135" s="45" t="str">
        <f>IFERROR(__xludf.DUMMYFUNCTION("""COMPUTED_VALUE"""),"")</f>
        <v/>
      </c>
      <c r="Q135" s="46" t="str">
        <f>IFERROR(__xludf.DUMMYFUNCTION("""COMPUTED_VALUE"""),"AP")</f>
        <v>AP</v>
      </c>
      <c r="R135" s="47" t="str">
        <f>IFERROR(__xludf.DUMMYFUNCTION("""COMPUTED_VALUE"""),"")</f>
        <v/>
      </c>
      <c r="S135" s="48" t="str">
        <f>IFERROR(__xludf.DUMMYFUNCTION("""COMPUTED_VALUE"""),"%")</f>
        <v>%</v>
      </c>
      <c r="T135" s="49">
        <f>IFERROR(__xludf.DUMMYFUNCTION("""COMPUTED_VALUE"""),2.0)</f>
        <v>2</v>
      </c>
      <c r="U135" s="50"/>
      <c r="V135" s="38"/>
      <c r="W135" s="45" t="str">
        <f>IFERROR(__xludf.DUMMYFUNCTION("""COMPUTED_VALUE"""),"")</f>
        <v/>
      </c>
      <c r="X135" s="46" t="str">
        <f>IFERROR(__xludf.DUMMYFUNCTION("""COMPUTED_VALUE"""),"AP")</f>
        <v>AP</v>
      </c>
      <c r="Y135" s="47" t="str">
        <f>IFERROR(__xludf.DUMMYFUNCTION("""COMPUTED_VALUE"""),"")</f>
        <v/>
      </c>
      <c r="Z135" s="48" t="str">
        <f>IFERROR(__xludf.DUMMYFUNCTION("""COMPUTED_VALUE"""),"%")</f>
        <v>%</v>
      </c>
      <c r="AA135" s="49">
        <f>IFERROR(__xludf.DUMMYFUNCTION("""COMPUTED_VALUE"""),3.0)</f>
        <v>3</v>
      </c>
      <c r="AB135" s="50"/>
      <c r="AC135" s="38"/>
      <c r="AD135" s="45" t="str">
        <f>IFERROR(__xludf.DUMMYFUNCTION("""COMPUTED_VALUE"""),"")</f>
        <v/>
      </c>
      <c r="AE135" s="46" t="str">
        <f>IFERROR(__xludf.DUMMYFUNCTION("""COMPUTED_VALUE"""),"AP")</f>
        <v>AP</v>
      </c>
      <c r="AF135" s="47" t="str">
        <f>IFERROR(__xludf.DUMMYFUNCTION("""COMPUTED_VALUE"""),"")</f>
        <v/>
      </c>
      <c r="AG135" s="48" t="str">
        <f>IFERROR(__xludf.DUMMYFUNCTION("""COMPUTED_VALUE"""),"%")</f>
        <v>%</v>
      </c>
      <c r="AH135" s="43"/>
      <c r="AI135" s="44"/>
      <c r="AJ135" s="51"/>
    </row>
    <row r="136" ht="24.75" hidden="1" customHeight="1">
      <c r="A136" s="28">
        <f>IFERROR(__xludf.DUMMYFUNCTION("""COMPUTED_VALUE"""),19.0)</f>
        <v>19</v>
      </c>
      <c r="B136" s="28" t="str">
        <f>IFERROR(__xludf.DUMMYFUNCTION("""COMPUTED_VALUE"""),"A306")</f>
        <v>A306</v>
      </c>
      <c r="C136" s="28"/>
      <c r="D136" s="29"/>
      <c r="E136" s="67"/>
      <c r="F136" s="31"/>
      <c r="G136" s="32"/>
      <c r="H136" s="33" t="str">
        <f>IFERROR(__xludf.DUMMYFUNCTION("""COMPUTED_VALUE""")," ")</f>
        <v> </v>
      </c>
      <c r="I136" s="34"/>
      <c r="J136" s="35" t="str">
        <f>IFERROR(__xludf.DUMMYFUNCTION("""COMPUTED_VALUE"""),"AP")</f>
        <v>AP</v>
      </c>
      <c r="K136" s="34"/>
      <c r="L136" s="35" t="str">
        <f>IFERROR(__xludf.DUMMYFUNCTION("""COMPUTED_VALUE"""),"%")</f>
        <v>%</v>
      </c>
      <c r="M136" s="36">
        <f>IFERROR(__xludf.DUMMYFUNCTION("""COMPUTED_VALUE"""),1.0)</f>
        <v>1</v>
      </c>
      <c r="N136" s="37"/>
      <c r="O136" s="38"/>
      <c r="P136" s="34" t="str">
        <f>IFERROR(__xludf.DUMMYFUNCTION("""COMPUTED_VALUE"""),"")</f>
        <v/>
      </c>
      <c r="Q136" s="35" t="str">
        <f>IFERROR(__xludf.DUMMYFUNCTION("""COMPUTED_VALUE"""),"AP")</f>
        <v>AP</v>
      </c>
      <c r="R136" s="34" t="str">
        <f>IFERROR(__xludf.DUMMYFUNCTION("""COMPUTED_VALUE"""),"")</f>
        <v/>
      </c>
      <c r="S136" s="35" t="str">
        <f>IFERROR(__xludf.DUMMYFUNCTION("""COMPUTED_VALUE"""),"%")</f>
        <v>%</v>
      </c>
      <c r="T136" s="36">
        <f>IFERROR(__xludf.DUMMYFUNCTION("""COMPUTED_VALUE"""),2.0)</f>
        <v>2</v>
      </c>
      <c r="U136" s="37"/>
      <c r="V136" s="38"/>
      <c r="W136" s="34" t="str">
        <f>IFERROR(__xludf.DUMMYFUNCTION("""COMPUTED_VALUE"""),"")</f>
        <v/>
      </c>
      <c r="X136" s="35" t="str">
        <f>IFERROR(__xludf.DUMMYFUNCTION("""COMPUTED_VALUE"""),"AP")</f>
        <v>AP</v>
      </c>
      <c r="Y136" s="34" t="str">
        <f>IFERROR(__xludf.DUMMYFUNCTION("""COMPUTED_VALUE"""),"")</f>
        <v/>
      </c>
      <c r="Z136" s="35" t="str">
        <f>IFERROR(__xludf.DUMMYFUNCTION("""COMPUTED_VALUE"""),"%")</f>
        <v>%</v>
      </c>
      <c r="AA136" s="36">
        <f>IFERROR(__xludf.DUMMYFUNCTION("""COMPUTED_VALUE"""),3.0)</f>
        <v>3</v>
      </c>
      <c r="AB136" s="37"/>
      <c r="AC136" s="38"/>
      <c r="AD136" s="34" t="str">
        <f>IFERROR(__xludf.DUMMYFUNCTION("""COMPUTED_VALUE"""),"")</f>
        <v/>
      </c>
      <c r="AE136" s="35" t="str">
        <f>IFERROR(__xludf.DUMMYFUNCTION("""COMPUTED_VALUE"""),"AP")</f>
        <v>AP</v>
      </c>
      <c r="AF136" s="34" t="str">
        <f>IFERROR(__xludf.DUMMYFUNCTION("""COMPUTED_VALUE"""),"")</f>
        <v/>
      </c>
      <c r="AG136" s="35" t="str">
        <f>IFERROR(__xludf.DUMMYFUNCTION("""COMPUTED_VALUE"""),"%")</f>
        <v>%</v>
      </c>
      <c r="AH136" s="31"/>
      <c r="AI136" s="32"/>
      <c r="AJ136" s="39"/>
    </row>
    <row r="137" ht="24.75" hidden="1" customHeight="1">
      <c r="A137" s="40">
        <f>IFERROR(__xludf.DUMMYFUNCTION("""COMPUTED_VALUE"""),20.0)</f>
        <v>20</v>
      </c>
      <c r="B137" s="40" t="str">
        <f>IFERROR(__xludf.DUMMYFUNCTION("""COMPUTED_VALUE"""),"A306")</f>
        <v>A306</v>
      </c>
      <c r="C137" s="40"/>
      <c r="D137" s="41"/>
      <c r="E137" s="66"/>
      <c r="F137" s="43"/>
      <c r="G137" s="44"/>
      <c r="H137" s="33" t="str">
        <f>IFERROR(__xludf.DUMMYFUNCTION("""COMPUTED_VALUE""")," ")</f>
        <v> </v>
      </c>
      <c r="I137" s="45"/>
      <c r="J137" s="46" t="str">
        <f>IFERROR(__xludf.DUMMYFUNCTION("""COMPUTED_VALUE"""),"AP")</f>
        <v>AP</v>
      </c>
      <c r="K137" s="47"/>
      <c r="L137" s="48" t="str">
        <f>IFERROR(__xludf.DUMMYFUNCTION("""COMPUTED_VALUE"""),"%")</f>
        <v>%</v>
      </c>
      <c r="M137" s="49">
        <f>IFERROR(__xludf.DUMMYFUNCTION("""COMPUTED_VALUE"""),1.0)</f>
        <v>1</v>
      </c>
      <c r="N137" s="50"/>
      <c r="O137" s="38"/>
      <c r="P137" s="45" t="str">
        <f>IFERROR(__xludf.DUMMYFUNCTION("""COMPUTED_VALUE"""),"")</f>
        <v/>
      </c>
      <c r="Q137" s="46" t="str">
        <f>IFERROR(__xludf.DUMMYFUNCTION("""COMPUTED_VALUE"""),"AP")</f>
        <v>AP</v>
      </c>
      <c r="R137" s="47" t="str">
        <f>IFERROR(__xludf.DUMMYFUNCTION("""COMPUTED_VALUE"""),"")</f>
        <v/>
      </c>
      <c r="S137" s="48" t="str">
        <f>IFERROR(__xludf.DUMMYFUNCTION("""COMPUTED_VALUE"""),"%")</f>
        <v>%</v>
      </c>
      <c r="T137" s="49">
        <f>IFERROR(__xludf.DUMMYFUNCTION("""COMPUTED_VALUE"""),2.0)</f>
        <v>2</v>
      </c>
      <c r="U137" s="50"/>
      <c r="V137" s="38"/>
      <c r="W137" s="45" t="str">
        <f>IFERROR(__xludf.DUMMYFUNCTION("""COMPUTED_VALUE"""),"")</f>
        <v/>
      </c>
      <c r="X137" s="46" t="str">
        <f>IFERROR(__xludf.DUMMYFUNCTION("""COMPUTED_VALUE"""),"AP")</f>
        <v>AP</v>
      </c>
      <c r="Y137" s="47" t="str">
        <f>IFERROR(__xludf.DUMMYFUNCTION("""COMPUTED_VALUE"""),"")</f>
        <v/>
      </c>
      <c r="Z137" s="48" t="str">
        <f>IFERROR(__xludf.DUMMYFUNCTION("""COMPUTED_VALUE"""),"%")</f>
        <v>%</v>
      </c>
      <c r="AA137" s="49">
        <f>IFERROR(__xludf.DUMMYFUNCTION("""COMPUTED_VALUE"""),3.0)</f>
        <v>3</v>
      </c>
      <c r="AB137" s="50"/>
      <c r="AC137" s="38"/>
      <c r="AD137" s="45" t="str">
        <f>IFERROR(__xludf.DUMMYFUNCTION("""COMPUTED_VALUE"""),"")</f>
        <v/>
      </c>
      <c r="AE137" s="46" t="str">
        <f>IFERROR(__xludf.DUMMYFUNCTION("""COMPUTED_VALUE"""),"AP")</f>
        <v>AP</v>
      </c>
      <c r="AF137" s="47" t="str">
        <f>IFERROR(__xludf.DUMMYFUNCTION("""COMPUTED_VALUE"""),"")</f>
        <v/>
      </c>
      <c r="AG137" s="48" t="str">
        <f>IFERROR(__xludf.DUMMYFUNCTION("""COMPUTED_VALUE"""),"%")</f>
        <v>%</v>
      </c>
      <c r="AH137" s="43"/>
      <c r="AI137" s="44"/>
      <c r="AJ137" s="51"/>
    </row>
    <row r="138">
      <c r="A138" s="52"/>
      <c r="B138" s="53"/>
      <c r="C138" s="54"/>
      <c r="D138" s="55"/>
      <c r="E138" s="56"/>
      <c r="F138" s="53"/>
      <c r="G138" s="53"/>
      <c r="H138" s="53"/>
      <c r="I138" s="53"/>
      <c r="J138" s="57"/>
      <c r="K138" s="53"/>
      <c r="L138" s="57"/>
      <c r="M138" s="53"/>
      <c r="N138" s="53"/>
      <c r="O138" s="53"/>
      <c r="P138" s="53"/>
      <c r="Q138" s="57"/>
      <c r="R138" s="53"/>
      <c r="S138" s="57"/>
      <c r="T138" s="53"/>
      <c r="U138" s="53"/>
      <c r="V138" s="53"/>
      <c r="W138" s="53"/>
      <c r="X138" s="57"/>
      <c r="Y138" s="53"/>
      <c r="Z138" s="57"/>
      <c r="AA138" s="53"/>
      <c r="AB138" s="53"/>
      <c r="AC138" s="53"/>
      <c r="AD138" s="53"/>
      <c r="AE138" s="57"/>
      <c r="AF138" s="53"/>
      <c r="AG138" s="57"/>
      <c r="AH138" s="53"/>
      <c r="AI138" s="53"/>
      <c r="AJ138" s="58"/>
    </row>
    <row r="139">
      <c r="A139" s="59"/>
      <c r="B139" s="60"/>
      <c r="C139" s="61"/>
      <c r="D139" s="62"/>
      <c r="E139" s="63"/>
      <c r="F139" s="60"/>
      <c r="G139" s="60"/>
      <c r="H139" s="60"/>
      <c r="I139" s="60"/>
      <c r="J139" s="64"/>
      <c r="K139" s="60"/>
      <c r="L139" s="64"/>
      <c r="M139" s="60"/>
      <c r="N139" s="60"/>
      <c r="O139" s="60"/>
      <c r="P139" s="60"/>
      <c r="Q139" s="64"/>
      <c r="R139" s="60"/>
      <c r="S139" s="64"/>
      <c r="T139" s="60"/>
      <c r="U139" s="60"/>
      <c r="V139" s="60"/>
      <c r="W139" s="60"/>
      <c r="X139" s="64"/>
      <c r="Y139" s="60"/>
      <c r="Z139" s="64"/>
      <c r="AA139" s="60"/>
      <c r="AB139" s="60"/>
      <c r="AC139" s="60"/>
      <c r="AD139" s="60"/>
      <c r="AE139" s="64"/>
      <c r="AF139" s="60"/>
      <c r="AG139" s="64"/>
      <c r="AH139" s="60"/>
      <c r="AI139" s="60"/>
      <c r="AJ139" s="65"/>
    </row>
    <row r="140" ht="33.0" customHeight="1">
      <c r="A140" s="20" t="str">
        <f>IFERROR(__xludf.DUMMYFUNCTION("""COMPUTED_VALUE""")," ")</f>
        <v> </v>
      </c>
      <c r="B140" s="21" t="str">
        <f>IFERROR(__xludf.DUMMYFUNCTION("""COMPUTED_VALUE"""),"A307")</f>
        <v>A307</v>
      </c>
      <c r="C140" s="20"/>
      <c r="D140" s="22" t="str">
        <f>IFERROR(__xludf.DUMMYFUNCTION("""COMPUTED_VALUE"""),"")</f>
        <v/>
      </c>
      <c r="E140" s="23" t="str">
        <f>IFERROR(__xludf.DUMMYFUNCTION("""COMPUTED_VALUE"""),"Mystic Spinal Fluid")</f>
        <v>Mystic Spinal Fluid</v>
      </c>
      <c r="F140" s="24"/>
      <c r="G140" s="24"/>
      <c r="H140" s="25"/>
      <c r="I140" s="25"/>
      <c r="J140" s="26"/>
      <c r="K140" s="25"/>
      <c r="L140" s="26"/>
      <c r="M140" s="25"/>
      <c r="N140" s="25"/>
      <c r="O140" s="25"/>
      <c r="P140" s="25"/>
      <c r="Q140" s="26"/>
      <c r="R140" s="25"/>
      <c r="S140" s="26"/>
      <c r="T140" s="25"/>
      <c r="U140" s="25"/>
      <c r="V140" s="25"/>
      <c r="W140" s="25"/>
      <c r="X140" s="26"/>
      <c r="Y140" s="25"/>
      <c r="Z140" s="26"/>
      <c r="AA140" s="25"/>
      <c r="AB140" s="25"/>
      <c r="AC140" s="25"/>
      <c r="AD140" s="25"/>
      <c r="AE140" s="26"/>
      <c r="AF140" s="25"/>
      <c r="AG140" s="26"/>
      <c r="AH140" s="24"/>
      <c r="AI140" s="25"/>
      <c r="AJ140" s="27"/>
    </row>
    <row r="141" ht="24.75" customHeight="1">
      <c r="A141" s="28">
        <f>IFERROR(__xludf.DUMMYFUNCTION("""COMPUTED_VALUE"""),1.0)</f>
        <v>1</v>
      </c>
      <c r="B141" s="28" t="str">
        <f>IFERROR(__xludf.DUMMYFUNCTION("""COMPUTED_VALUE"""),"A307")</f>
        <v>A307</v>
      </c>
      <c r="C141" s="28" t="str">
        <f>IFERROR(__xludf.DUMMYFUNCTION("""COMPUTED_VALUE"""),"SJK3")</f>
        <v>SJK3</v>
      </c>
      <c r="D141" s="29" t="str">
        <f>IFERROR(__xludf.DUMMYFUNCTION("""COMPUTED_VALUE"""),"Shinjuku")</f>
        <v>Shinjuku</v>
      </c>
      <c r="E141" s="30" t="str">
        <f>IFERROR(__xludf.DUMMYFUNCTION("""COMPUTED_VALUE"""),"Shinjuku Station")</f>
        <v>Shinjuku Station</v>
      </c>
      <c r="F141" s="31">
        <f>IFERROR(__xludf.DUMMYFUNCTION("""COMPUTED_VALUE"""),21.0)</f>
        <v>21</v>
      </c>
      <c r="G141" s="32">
        <f>IFERROR(__xludf.DUMMYFUNCTION("""COMPUTED_VALUE"""),62899.0)</f>
        <v>62899</v>
      </c>
      <c r="H141" s="33" t="str">
        <f>IFERROR(__xludf.DUMMYFUNCTION("""COMPUTED_VALUE"""),"")</f>
        <v/>
      </c>
      <c r="I141" s="34">
        <f>IFERROR(__xludf.DUMMYFUNCTION("""COMPUTED_VALUE"""),32.1)</f>
        <v>32.1</v>
      </c>
      <c r="J141" s="35" t="str">
        <f>IFERROR(__xludf.DUMMYFUNCTION("""COMPUTED_VALUE"""),"AP")</f>
        <v>AP</v>
      </c>
      <c r="K141" s="34">
        <f>IFERROR(__xludf.DUMMYFUNCTION("""COMPUTED_VALUE"""),65.5)</f>
        <v>65.5</v>
      </c>
      <c r="L141" s="35" t="str">
        <f>IFERROR(__xludf.DUMMYFUNCTION("""COMPUTED_VALUE"""),"%")</f>
        <v>%</v>
      </c>
      <c r="M141" s="36">
        <f>IFERROR(__xludf.DUMMYFUNCTION("""COMPUTED_VALUE"""),1.0)</f>
        <v>1</v>
      </c>
      <c r="N141" s="37" t="str">
        <f>IFERROR(__xludf.DUMMYFUNCTION("""COMPUTED_VALUE"""),"B112")</f>
        <v>B112</v>
      </c>
      <c r="O141" s="38" t="str">
        <f>IFERROR(__xludf.DUMMYFUNCTION("""COMPUTED_VALUE"""),"")</f>
        <v/>
      </c>
      <c r="P141" s="34">
        <f>IFERROR(__xludf.DUMMYFUNCTION("""COMPUTED_VALUE"""),83.4)</f>
        <v>83.4</v>
      </c>
      <c r="Q141" s="35" t="str">
        <f>IFERROR(__xludf.DUMMYFUNCTION("""COMPUTED_VALUE"""),"AP")</f>
        <v>AP</v>
      </c>
      <c r="R141" s="34">
        <f>IFERROR(__xludf.DUMMYFUNCTION("""COMPUTED_VALUE"""),25.2)</f>
        <v>25.2</v>
      </c>
      <c r="S141" s="35" t="str">
        <f>IFERROR(__xludf.DUMMYFUNCTION("""COMPUTED_VALUE"""),"%")</f>
        <v>%</v>
      </c>
      <c r="T141" s="36">
        <f>IFERROR(__xludf.DUMMYFUNCTION("""COMPUTED_VALUE"""),2.0)</f>
        <v>2</v>
      </c>
      <c r="U141" s="37"/>
      <c r="V141" s="38"/>
      <c r="W141" s="34" t="str">
        <f>IFERROR(__xludf.DUMMYFUNCTION("""COMPUTED_VALUE"""),"")</f>
        <v/>
      </c>
      <c r="X141" s="35" t="str">
        <f>IFERROR(__xludf.DUMMYFUNCTION("""COMPUTED_VALUE"""),"AP")</f>
        <v>AP</v>
      </c>
      <c r="Y141" s="34" t="str">
        <f>IFERROR(__xludf.DUMMYFUNCTION("""COMPUTED_VALUE"""),"")</f>
        <v/>
      </c>
      <c r="Z141" s="35" t="str">
        <f>IFERROR(__xludf.DUMMYFUNCTION("""COMPUTED_VALUE"""),"%")</f>
        <v>%</v>
      </c>
      <c r="AA141" s="36">
        <f>IFERROR(__xludf.DUMMYFUNCTION("""COMPUTED_VALUE"""),3.0)</f>
        <v>3</v>
      </c>
      <c r="AB141" s="37"/>
      <c r="AC141" s="38"/>
      <c r="AD141" s="34" t="str">
        <f>IFERROR(__xludf.DUMMYFUNCTION("""COMPUTED_VALUE"""),"")</f>
        <v/>
      </c>
      <c r="AE141" s="35" t="str">
        <f>IFERROR(__xludf.DUMMYFUNCTION("""COMPUTED_VALUE"""),"AP")</f>
        <v>AP</v>
      </c>
      <c r="AF141" s="34" t="str">
        <f>IFERROR(__xludf.DUMMYFUNCTION("""COMPUTED_VALUE"""),"")</f>
        <v/>
      </c>
      <c r="AG141" s="35" t="str">
        <f>IFERROR(__xludf.DUMMYFUNCTION("""COMPUTED_VALUE"""),"%")</f>
        <v>%</v>
      </c>
      <c r="AH141" s="31">
        <f>IFERROR(__xludf.DUMMYFUNCTION("""COMPUTED_VALUE"""),21.0)</f>
        <v>21</v>
      </c>
      <c r="AI141" s="32">
        <f>IFERROR(__xludf.DUMMYFUNCTION("""COMPUTED_VALUE"""),62899.0)</f>
        <v>62899</v>
      </c>
      <c r="AJ141" s="39" t="str">
        <f>IFERROR(__xludf.DUMMYFUNCTION("""COMPUTED_VALUE"""),"新宿駅")</f>
        <v>新宿駅</v>
      </c>
    </row>
    <row r="142" ht="24.75" customHeight="1">
      <c r="A142" s="40">
        <f>IFERROR(__xludf.DUMMYFUNCTION("""COMPUTED_VALUE"""),2.0)</f>
        <v>2</v>
      </c>
      <c r="B142" s="40" t="str">
        <f>IFERROR(__xludf.DUMMYFUNCTION("""COMPUTED_VALUE"""),"A307")</f>
        <v>A307</v>
      </c>
      <c r="C142" s="40" t="str">
        <f>IFERROR(__xludf.DUMMYFUNCTION("""COMPUTED_VALUE"""),"SJK1")</f>
        <v>SJK1</v>
      </c>
      <c r="D142" s="41" t="str">
        <f>IFERROR(__xludf.DUMMYFUNCTION("""COMPUTED_VALUE"""),"Shinjuku")</f>
        <v>Shinjuku</v>
      </c>
      <c r="E142" s="42" t="str">
        <f>IFERROR(__xludf.DUMMYFUNCTION("""COMPUTED_VALUE"""),"Yoyogi 2-Chome")</f>
        <v>Yoyogi 2-Chome</v>
      </c>
      <c r="F142" s="43">
        <f>IFERROR(__xludf.DUMMYFUNCTION("""COMPUTED_VALUE"""),20.0)</f>
        <v>20</v>
      </c>
      <c r="G142" s="44">
        <f>IFERROR(__xludf.DUMMYFUNCTION("""COMPUTED_VALUE"""),1109.0)</f>
        <v>1109</v>
      </c>
      <c r="H142" s="33" t="str">
        <f>IFERROR(__xludf.DUMMYFUNCTION("""COMPUTED_VALUE"""),"")</f>
        <v/>
      </c>
      <c r="I142" s="45">
        <f>IFERROR(__xludf.DUMMYFUNCTION("""COMPUTED_VALUE"""),49.3)</f>
        <v>49.3</v>
      </c>
      <c r="J142" s="46" t="str">
        <f>IFERROR(__xludf.DUMMYFUNCTION("""COMPUTED_VALUE"""),"AP")</f>
        <v>AP</v>
      </c>
      <c r="K142" s="47">
        <f>IFERROR(__xludf.DUMMYFUNCTION("""COMPUTED_VALUE"""),40.6)</f>
        <v>40.6</v>
      </c>
      <c r="L142" s="48" t="str">
        <f>IFERROR(__xludf.DUMMYFUNCTION("""COMPUTED_VALUE"""),"%")</f>
        <v>%</v>
      </c>
      <c r="M142" s="49">
        <f>IFERROR(__xludf.DUMMYFUNCTION("""COMPUTED_VALUE"""),1.0)</f>
        <v>1</v>
      </c>
      <c r="N142" s="50"/>
      <c r="O142" s="38"/>
      <c r="P142" s="45" t="str">
        <f>IFERROR(__xludf.DUMMYFUNCTION("""COMPUTED_VALUE"""),"")</f>
        <v/>
      </c>
      <c r="Q142" s="46" t="str">
        <f>IFERROR(__xludf.DUMMYFUNCTION("""COMPUTED_VALUE"""),"AP")</f>
        <v>AP</v>
      </c>
      <c r="R142" s="47" t="str">
        <f>IFERROR(__xludf.DUMMYFUNCTION("""COMPUTED_VALUE"""),"")</f>
        <v/>
      </c>
      <c r="S142" s="48" t="str">
        <f>IFERROR(__xludf.DUMMYFUNCTION("""COMPUTED_VALUE"""),"%")</f>
        <v>%</v>
      </c>
      <c r="T142" s="49">
        <f>IFERROR(__xludf.DUMMYFUNCTION("""COMPUTED_VALUE"""),2.0)</f>
        <v>2</v>
      </c>
      <c r="U142" s="50"/>
      <c r="V142" s="38"/>
      <c r="W142" s="45" t="str">
        <f>IFERROR(__xludf.DUMMYFUNCTION("""COMPUTED_VALUE"""),"")</f>
        <v/>
      </c>
      <c r="X142" s="46" t="str">
        <f>IFERROR(__xludf.DUMMYFUNCTION("""COMPUTED_VALUE"""),"AP")</f>
        <v>AP</v>
      </c>
      <c r="Y142" s="47" t="str">
        <f>IFERROR(__xludf.DUMMYFUNCTION("""COMPUTED_VALUE"""),"")</f>
        <v/>
      </c>
      <c r="Z142" s="48" t="str">
        <f>IFERROR(__xludf.DUMMYFUNCTION("""COMPUTED_VALUE"""),"%")</f>
        <v>%</v>
      </c>
      <c r="AA142" s="49">
        <f>IFERROR(__xludf.DUMMYFUNCTION("""COMPUTED_VALUE"""),3.0)</f>
        <v>3</v>
      </c>
      <c r="AB142" s="50"/>
      <c r="AC142" s="38"/>
      <c r="AD142" s="45" t="str">
        <f>IFERROR(__xludf.DUMMYFUNCTION("""COMPUTED_VALUE"""),"")</f>
        <v/>
      </c>
      <c r="AE142" s="46" t="str">
        <f>IFERROR(__xludf.DUMMYFUNCTION("""COMPUTED_VALUE"""),"AP")</f>
        <v>AP</v>
      </c>
      <c r="AF142" s="47" t="str">
        <f>IFERROR(__xludf.DUMMYFUNCTION("""COMPUTED_VALUE"""),"")</f>
        <v/>
      </c>
      <c r="AG142" s="48" t="str">
        <f>IFERROR(__xludf.DUMMYFUNCTION("""COMPUTED_VALUE"""),"%")</f>
        <v>%</v>
      </c>
      <c r="AH142" s="43">
        <f>IFERROR(__xludf.DUMMYFUNCTION("""COMPUTED_VALUE"""),20.0)</f>
        <v>20</v>
      </c>
      <c r="AI142" s="44">
        <f>IFERROR(__xludf.DUMMYFUNCTION("""COMPUTED_VALUE"""),1109.0)</f>
        <v>1109</v>
      </c>
      <c r="AJ142" s="51" t="str">
        <f>IFERROR(__xludf.DUMMYFUNCTION("""COMPUTED_VALUE"""),"代々木二丁目")</f>
        <v>代々木二丁目</v>
      </c>
    </row>
    <row r="143" ht="24.75" customHeight="1">
      <c r="A143" s="28">
        <f>IFERROR(__xludf.DUMMYFUNCTION("""COMPUTED_VALUE"""),3.0)</f>
        <v>3</v>
      </c>
      <c r="B143" s="28" t="str">
        <f>IFERROR(__xludf.DUMMYFUNCTION("""COMPUTED_VALUE"""),"A307")</f>
        <v>A307</v>
      </c>
      <c r="C143" s="28" t="str">
        <f>IFERROR(__xludf.DUMMYFUNCTION("""COMPUTED_VALUE"""),"SJK2")</f>
        <v>SJK2</v>
      </c>
      <c r="D143" s="29" t="str">
        <f>IFERROR(__xludf.DUMMYFUNCTION("""COMPUTED_VALUE"""),"Shinjuku")</f>
        <v>Shinjuku</v>
      </c>
      <c r="E143" s="30" t="str">
        <f>IFERROR(__xludf.DUMMYFUNCTION("""COMPUTED_VALUE"""),"Route 20")</f>
        <v>Route 20</v>
      </c>
      <c r="F143" s="31">
        <f>IFERROR(__xludf.DUMMYFUNCTION("""COMPUTED_VALUE"""),20.0)</f>
        <v>20</v>
      </c>
      <c r="G143" s="32">
        <f>IFERROR(__xludf.DUMMYFUNCTION("""COMPUTED_VALUE"""),43124.0)</f>
        <v>43124</v>
      </c>
      <c r="H143" s="33" t="str">
        <f>IFERROR(__xludf.DUMMYFUNCTION("""COMPUTED_VALUE"""),"")</f>
        <v/>
      </c>
      <c r="I143" s="34">
        <f>IFERROR(__xludf.DUMMYFUNCTION("""COMPUTED_VALUE"""),50.1)</f>
        <v>50.1</v>
      </c>
      <c r="J143" s="35" t="str">
        <f>IFERROR(__xludf.DUMMYFUNCTION("""COMPUTED_VALUE"""),"AP")</f>
        <v>AP</v>
      </c>
      <c r="K143" s="34">
        <f>IFERROR(__xludf.DUMMYFUNCTION("""COMPUTED_VALUE"""),39.9)</f>
        <v>39.9</v>
      </c>
      <c r="L143" s="35" t="str">
        <f>IFERROR(__xludf.DUMMYFUNCTION("""COMPUTED_VALUE"""),"%")</f>
        <v>%</v>
      </c>
      <c r="M143" s="36">
        <f>IFERROR(__xludf.DUMMYFUNCTION("""COMPUTED_VALUE"""),1.0)</f>
        <v>1</v>
      </c>
      <c r="N143" s="37" t="str">
        <f>IFERROR(__xludf.DUMMYFUNCTION("""COMPUTED_VALUE"""),"A304")</f>
        <v>A304</v>
      </c>
      <c r="O143" s="38" t="str">
        <f>IFERROR(__xludf.DUMMYFUNCTION("""COMPUTED_VALUE"""),"")</f>
        <v/>
      </c>
      <c r="P143" s="34">
        <f>IFERROR(__xludf.DUMMYFUNCTION("""COMPUTED_VALUE"""),65.9)</f>
        <v>65.9</v>
      </c>
      <c r="Q143" s="35" t="str">
        <f>IFERROR(__xludf.DUMMYFUNCTION("""COMPUTED_VALUE"""),"AP")</f>
        <v>AP</v>
      </c>
      <c r="R143" s="34">
        <f>IFERROR(__xludf.DUMMYFUNCTION("""COMPUTED_VALUE"""),30.3)</f>
        <v>30.3</v>
      </c>
      <c r="S143" s="35" t="str">
        <f>IFERROR(__xludf.DUMMYFUNCTION("""COMPUTED_VALUE"""),"%")</f>
        <v>%</v>
      </c>
      <c r="T143" s="36">
        <f>IFERROR(__xludf.DUMMYFUNCTION("""COMPUTED_VALUE"""),2.0)</f>
        <v>2</v>
      </c>
      <c r="U143" s="37" t="str">
        <f>IFERROR(__xludf.DUMMYFUNCTION("""COMPUTED_VALUE"""),"B112")</f>
        <v>B112</v>
      </c>
      <c r="V143" s="38" t="str">
        <f>IFERROR(__xludf.DUMMYFUNCTION("""COMPUTED_VALUE"""),"")</f>
        <v/>
      </c>
      <c r="W143" s="34">
        <f>IFERROR(__xludf.DUMMYFUNCTION("""COMPUTED_VALUE"""),187.5)</f>
        <v>187.5</v>
      </c>
      <c r="X143" s="35" t="str">
        <f>IFERROR(__xludf.DUMMYFUNCTION("""COMPUTED_VALUE"""),"AP")</f>
        <v>AP</v>
      </c>
      <c r="Y143" s="34">
        <f>IFERROR(__xludf.DUMMYFUNCTION("""COMPUTED_VALUE"""),10.7)</f>
        <v>10.7</v>
      </c>
      <c r="Z143" s="35" t="str">
        <f>IFERROR(__xludf.DUMMYFUNCTION("""COMPUTED_VALUE"""),"%")</f>
        <v>%</v>
      </c>
      <c r="AA143" s="36">
        <f>IFERROR(__xludf.DUMMYFUNCTION("""COMPUTED_VALUE"""),3.0)</f>
        <v>3</v>
      </c>
      <c r="AB143" s="37"/>
      <c r="AC143" s="38"/>
      <c r="AD143" s="34" t="str">
        <f>IFERROR(__xludf.DUMMYFUNCTION("""COMPUTED_VALUE"""),"")</f>
        <v/>
      </c>
      <c r="AE143" s="35" t="str">
        <f>IFERROR(__xludf.DUMMYFUNCTION("""COMPUTED_VALUE"""),"AP")</f>
        <v>AP</v>
      </c>
      <c r="AF143" s="34" t="str">
        <f>IFERROR(__xludf.DUMMYFUNCTION("""COMPUTED_VALUE"""),"")</f>
        <v/>
      </c>
      <c r="AG143" s="35" t="str">
        <f>IFERROR(__xludf.DUMMYFUNCTION("""COMPUTED_VALUE"""),"%")</f>
        <v>%</v>
      </c>
      <c r="AH143" s="31">
        <f>IFERROR(__xludf.DUMMYFUNCTION("""COMPUTED_VALUE"""),20.0)</f>
        <v>20</v>
      </c>
      <c r="AI143" s="32">
        <f>IFERROR(__xludf.DUMMYFUNCTION("""COMPUTED_VALUE"""),43124.0)</f>
        <v>43124</v>
      </c>
      <c r="AJ143" s="39" t="str">
        <f>IFERROR(__xludf.DUMMYFUNCTION("""COMPUTED_VALUE"""),"国道20号")</f>
        <v>国道20号</v>
      </c>
    </row>
    <row r="144" ht="24.75" customHeight="1">
      <c r="A144" s="40">
        <f>IFERROR(__xludf.DUMMYFUNCTION("""COMPUTED_VALUE"""),4.0)</f>
        <v>4</v>
      </c>
      <c r="B144" s="40" t="str">
        <f>IFERROR(__xludf.DUMMYFUNCTION("""COMPUTED_VALUE"""),"A307")</f>
        <v>A307</v>
      </c>
      <c r="C144" s="40" t="str">
        <f>IFERROR(__xludf.DUMMYFUNCTION("""COMPUTED_VALUE"""),"SJK4")</f>
        <v>SJK4</v>
      </c>
      <c r="D144" s="41" t="str">
        <f>IFERROR(__xludf.DUMMYFUNCTION("""COMPUTED_VALUE"""),"Shinjuku")</f>
        <v>Shinjuku</v>
      </c>
      <c r="E144" s="42" t="str">
        <f>IFERROR(__xludf.DUMMYFUNCTION("""COMPUTED_VALUE"""),"Shinjuku 4-Chome")</f>
        <v>Shinjuku 4-Chome</v>
      </c>
      <c r="F144" s="43">
        <f>IFERROR(__xludf.DUMMYFUNCTION("""COMPUTED_VALUE"""),21.0)</f>
        <v>21</v>
      </c>
      <c r="G144" s="44">
        <f>IFERROR(__xludf.DUMMYFUNCTION("""COMPUTED_VALUE"""),50000.0)</f>
        <v>50000</v>
      </c>
      <c r="H144" s="33" t="str">
        <f>IFERROR(__xludf.DUMMYFUNCTION("""COMPUTED_VALUE"""),"")</f>
        <v/>
      </c>
      <c r="I144" s="45">
        <f>IFERROR(__xludf.DUMMYFUNCTION("""COMPUTED_VALUE"""),51.7)</f>
        <v>51.7</v>
      </c>
      <c r="J144" s="46" t="str">
        <f>IFERROR(__xludf.DUMMYFUNCTION("""COMPUTED_VALUE"""),"AP")</f>
        <v>AP</v>
      </c>
      <c r="K144" s="47">
        <f>IFERROR(__xludf.DUMMYFUNCTION("""COMPUTED_VALUE"""),40.6)</f>
        <v>40.6</v>
      </c>
      <c r="L144" s="48" t="str">
        <f>IFERROR(__xludf.DUMMYFUNCTION("""COMPUTED_VALUE"""),"%")</f>
        <v>%</v>
      </c>
      <c r="M144" s="49">
        <f>IFERROR(__xludf.DUMMYFUNCTION("""COMPUTED_VALUE"""),1.0)</f>
        <v>1</v>
      </c>
      <c r="N144" s="50" t="str">
        <f>IFERROR(__xludf.DUMMYFUNCTION("""COMPUTED_VALUE"""),"A101")</f>
        <v>A101</v>
      </c>
      <c r="O144" s="38" t="str">
        <f>IFERROR(__xludf.DUMMYFUNCTION("""COMPUTED_VALUE"""),"")</f>
        <v/>
      </c>
      <c r="P144" s="45">
        <f>IFERROR(__xludf.DUMMYFUNCTION("""COMPUTED_VALUE"""),116.0)</f>
        <v>116</v>
      </c>
      <c r="Q144" s="46" t="str">
        <f>IFERROR(__xludf.DUMMYFUNCTION("""COMPUTED_VALUE"""),"AP")</f>
        <v>AP</v>
      </c>
      <c r="R144" s="47">
        <f>IFERROR(__xludf.DUMMYFUNCTION("""COMPUTED_VALUE"""),18.1)</f>
        <v>18.1</v>
      </c>
      <c r="S144" s="48" t="str">
        <f>IFERROR(__xludf.DUMMYFUNCTION("""COMPUTED_VALUE"""),"%")</f>
        <v>%</v>
      </c>
      <c r="T144" s="49">
        <f>IFERROR(__xludf.DUMMYFUNCTION("""COMPUTED_VALUE"""),2.0)</f>
        <v>2</v>
      </c>
      <c r="U144" s="50" t="str">
        <f>IFERROR(__xludf.DUMMYFUNCTION("""COMPUTED_VALUE"""),"B107")</f>
        <v>B107</v>
      </c>
      <c r="V144" s="38" t="str">
        <f>IFERROR(__xludf.DUMMYFUNCTION("""COMPUTED_VALUE"""),"")</f>
        <v/>
      </c>
      <c r="W144" s="45">
        <f>IFERROR(__xludf.DUMMYFUNCTION("""COMPUTED_VALUE"""),411.9)</f>
        <v>411.9</v>
      </c>
      <c r="X144" s="46" t="str">
        <f>IFERROR(__xludf.DUMMYFUNCTION("""COMPUTED_VALUE"""),"AP")</f>
        <v>AP</v>
      </c>
      <c r="Y144" s="47">
        <f>IFERROR(__xludf.DUMMYFUNCTION("""COMPUTED_VALUE"""),5.1)</f>
        <v>5.1</v>
      </c>
      <c r="Z144" s="48" t="str">
        <f>IFERROR(__xludf.DUMMYFUNCTION("""COMPUTED_VALUE"""),"%")</f>
        <v>%</v>
      </c>
      <c r="AA144" s="49">
        <f>IFERROR(__xludf.DUMMYFUNCTION("""COMPUTED_VALUE"""),3.0)</f>
        <v>3</v>
      </c>
      <c r="AB144" s="50"/>
      <c r="AC144" s="38"/>
      <c r="AD144" s="45" t="str">
        <f>IFERROR(__xludf.DUMMYFUNCTION("""COMPUTED_VALUE"""),"")</f>
        <v/>
      </c>
      <c r="AE144" s="46" t="str">
        <f>IFERROR(__xludf.DUMMYFUNCTION("""COMPUTED_VALUE"""),"AP")</f>
        <v>AP</v>
      </c>
      <c r="AF144" s="47" t="str">
        <f>IFERROR(__xludf.DUMMYFUNCTION("""COMPUTED_VALUE"""),"")</f>
        <v/>
      </c>
      <c r="AG144" s="48" t="str">
        <f>IFERROR(__xludf.DUMMYFUNCTION("""COMPUTED_VALUE"""),"%")</f>
        <v>%</v>
      </c>
      <c r="AH144" s="43">
        <f>IFERROR(__xludf.DUMMYFUNCTION("""COMPUTED_VALUE"""),21.0)</f>
        <v>21</v>
      </c>
      <c r="AI144" s="44">
        <f>IFERROR(__xludf.DUMMYFUNCTION("""COMPUTED_VALUE"""),50000.0)</f>
        <v>50000</v>
      </c>
      <c r="AJ144" s="51" t="str">
        <f>IFERROR(__xludf.DUMMYFUNCTION("""COMPUTED_VALUE"""),"新宿四丁目")</f>
        <v>新宿四丁目</v>
      </c>
    </row>
    <row r="145" ht="24.75" customHeight="1">
      <c r="A145" s="28">
        <f>IFERROR(__xludf.DUMMYFUNCTION("""COMPUTED_VALUE"""),5.0)</f>
        <v>5</v>
      </c>
      <c r="B145" s="28" t="str">
        <f>IFERROR(__xludf.DUMMYFUNCTION("""COMPUTED_VALUE"""),"A307")</f>
        <v>A307</v>
      </c>
      <c r="C145" s="28" t="str">
        <f>IFERROR(__xludf.DUMMYFUNCTION("""COMPUTED_VALUE"""),"SJK9")</f>
        <v>SJK9</v>
      </c>
      <c r="D145" s="29" t="str">
        <f>IFERROR(__xludf.DUMMYFUNCTION("""COMPUTED_VALUE"""),"Shinjuku")</f>
        <v>Shinjuku</v>
      </c>
      <c r="E145" s="30" t="str">
        <f>IFERROR(__xludf.DUMMYFUNCTION("""COMPUTED_VALUE"""),"Shinjuku Gyoen")</f>
        <v>Shinjuku Gyoen</v>
      </c>
      <c r="F145" s="31">
        <f>IFERROR(__xludf.DUMMYFUNCTION("""COMPUTED_VALUE"""),21.0)</f>
        <v>21</v>
      </c>
      <c r="G145" s="32">
        <f>IFERROR(__xludf.DUMMYFUNCTION("""COMPUTED_VALUE"""),59275.0)</f>
        <v>59275</v>
      </c>
      <c r="H145" s="33" t="str">
        <f>IFERROR(__xludf.DUMMYFUNCTION("""COMPUTED_VALUE"""),"")</f>
        <v/>
      </c>
      <c r="I145" s="34">
        <f>IFERROR(__xludf.DUMMYFUNCTION("""COMPUTED_VALUE"""),69.6)</f>
        <v>69.6</v>
      </c>
      <c r="J145" s="35" t="str">
        <f>IFERROR(__xludf.DUMMYFUNCTION("""COMPUTED_VALUE"""),"AP")</f>
        <v>AP</v>
      </c>
      <c r="K145" s="34">
        <f>IFERROR(__xludf.DUMMYFUNCTION("""COMPUTED_VALUE"""),30.2)</f>
        <v>30.2</v>
      </c>
      <c r="L145" s="35" t="str">
        <f>IFERROR(__xludf.DUMMYFUNCTION("""COMPUTED_VALUE"""),"%")</f>
        <v>%</v>
      </c>
      <c r="M145" s="36">
        <f>IFERROR(__xludf.DUMMYFUNCTION("""COMPUTED_VALUE"""),1.0)</f>
        <v>1</v>
      </c>
      <c r="N145" s="37" t="str">
        <f>IFERROR(__xludf.DUMMYFUNCTION("""COMPUTED_VALUE"""),"A102")</f>
        <v>A102</v>
      </c>
      <c r="O145" s="38" t="str">
        <f>IFERROR(__xludf.DUMMYFUNCTION("""COMPUTED_VALUE"""),"")</f>
        <v/>
      </c>
      <c r="P145" s="34">
        <f>IFERROR(__xludf.DUMMYFUNCTION("""COMPUTED_VALUE"""),175.1)</f>
        <v>175.1</v>
      </c>
      <c r="Q145" s="35" t="str">
        <f>IFERROR(__xludf.DUMMYFUNCTION("""COMPUTED_VALUE"""),"AP")</f>
        <v>AP</v>
      </c>
      <c r="R145" s="34">
        <f>IFERROR(__xludf.DUMMYFUNCTION("""COMPUTED_VALUE"""),12.0)</f>
        <v>12</v>
      </c>
      <c r="S145" s="35" t="str">
        <f>IFERROR(__xludf.DUMMYFUNCTION("""COMPUTED_VALUE"""),"%")</f>
        <v>%</v>
      </c>
      <c r="T145" s="36">
        <f>IFERROR(__xludf.DUMMYFUNCTION("""COMPUTED_VALUE"""),2.0)</f>
        <v>2</v>
      </c>
      <c r="U145" s="37" t="str">
        <f>IFERROR(__xludf.DUMMYFUNCTION("""COMPUTED_VALUE"""),"B105")</f>
        <v>B105</v>
      </c>
      <c r="V145" s="38" t="str">
        <f>IFERROR(__xludf.DUMMYFUNCTION("""COMPUTED_VALUE"""),"")</f>
        <v/>
      </c>
      <c r="W145" s="34">
        <f>IFERROR(__xludf.DUMMYFUNCTION("""COMPUTED_VALUE"""),469.9)</f>
        <v>469.9</v>
      </c>
      <c r="X145" s="35" t="str">
        <f>IFERROR(__xludf.DUMMYFUNCTION("""COMPUTED_VALUE"""),"AP")</f>
        <v>AP</v>
      </c>
      <c r="Y145" s="34">
        <f>IFERROR(__xludf.DUMMYFUNCTION("""COMPUTED_VALUE"""),4.499999999)</f>
        <v>4.499999999</v>
      </c>
      <c r="Z145" s="35" t="str">
        <f>IFERROR(__xludf.DUMMYFUNCTION("""COMPUTED_VALUE"""),"%")</f>
        <v>%</v>
      </c>
      <c r="AA145" s="36">
        <f>IFERROR(__xludf.DUMMYFUNCTION("""COMPUTED_VALUE"""),3.0)</f>
        <v>3</v>
      </c>
      <c r="AB145" s="37"/>
      <c r="AC145" s="38"/>
      <c r="AD145" s="34" t="str">
        <f>IFERROR(__xludf.DUMMYFUNCTION("""COMPUTED_VALUE"""),"")</f>
        <v/>
      </c>
      <c r="AE145" s="35" t="str">
        <f>IFERROR(__xludf.DUMMYFUNCTION("""COMPUTED_VALUE"""),"AP")</f>
        <v>AP</v>
      </c>
      <c r="AF145" s="34" t="str">
        <f>IFERROR(__xludf.DUMMYFUNCTION("""COMPUTED_VALUE"""),"")</f>
        <v/>
      </c>
      <c r="AG145" s="35" t="str">
        <f>IFERROR(__xludf.DUMMYFUNCTION("""COMPUTED_VALUE"""),"%")</f>
        <v>%</v>
      </c>
      <c r="AH145" s="31">
        <f>IFERROR(__xludf.DUMMYFUNCTION("""COMPUTED_VALUE"""),21.0)</f>
        <v>21</v>
      </c>
      <c r="AI145" s="32">
        <f>IFERROR(__xludf.DUMMYFUNCTION("""COMPUTED_VALUE"""),59275.0)</f>
        <v>59275</v>
      </c>
      <c r="AJ145" s="39" t="str">
        <f>IFERROR(__xludf.DUMMYFUNCTION("""COMPUTED_VALUE"""),"新宿御苑")</f>
        <v>新宿御苑</v>
      </c>
    </row>
    <row r="146" ht="24.75" customHeight="1">
      <c r="A146" s="40">
        <f>IFERROR(__xludf.DUMMYFUNCTION("""COMPUTED_VALUE"""),6.0)</f>
        <v>6</v>
      </c>
      <c r="B146" s="40" t="str">
        <f>IFERROR(__xludf.DUMMYFUNCTION("""COMPUTED_VALUE"""),"A307")</f>
        <v>A307</v>
      </c>
      <c r="C146" s="40" t="str">
        <f>IFERROR(__xludf.DUMMYFUNCTION("""COMPUTED_VALUE"""),"SJK7")</f>
        <v>SJK7</v>
      </c>
      <c r="D146" s="41" t="str">
        <f>IFERROR(__xludf.DUMMYFUNCTION("""COMPUTED_VALUE"""),"Shinjuku")</f>
        <v>Shinjuku</v>
      </c>
      <c r="E146" s="42" t="str">
        <f>IFERROR(__xludf.DUMMYFUNCTION("""COMPUTED_VALUE"""),"Party Hall")</f>
        <v>Party Hall</v>
      </c>
      <c r="F146" s="43">
        <f>IFERROR(__xludf.DUMMYFUNCTION("""COMPUTED_VALUE"""),21.0)</f>
        <v>21</v>
      </c>
      <c r="G146" s="44">
        <f>IFERROR(__xludf.DUMMYFUNCTION("""COMPUTED_VALUE"""),2804.0)</f>
        <v>2804</v>
      </c>
      <c r="H146" s="33" t="str">
        <f>IFERROR(__xludf.DUMMYFUNCTION("""COMPUTED_VALUE"""),"")</f>
        <v/>
      </c>
      <c r="I146" s="45">
        <f>IFERROR(__xludf.DUMMYFUNCTION("""COMPUTED_VALUE"""),72.6)</f>
        <v>72.6</v>
      </c>
      <c r="J146" s="46" t="str">
        <f>IFERROR(__xludf.DUMMYFUNCTION("""COMPUTED_VALUE"""),"AP")</f>
        <v>AP</v>
      </c>
      <c r="K146" s="47">
        <f>IFERROR(__xludf.DUMMYFUNCTION("""COMPUTED_VALUE"""),28.9)</f>
        <v>28.9</v>
      </c>
      <c r="L146" s="48" t="str">
        <f>IFERROR(__xludf.DUMMYFUNCTION("""COMPUTED_VALUE"""),"%")</f>
        <v>%</v>
      </c>
      <c r="M146" s="49">
        <f>IFERROR(__xludf.DUMMYFUNCTION("""COMPUTED_VALUE"""),1.0)</f>
        <v>1</v>
      </c>
      <c r="N146" s="50" t="str">
        <f>IFERROR(__xludf.DUMMYFUNCTION("""COMPUTED_VALUE"""),"A206")</f>
        <v>A206</v>
      </c>
      <c r="O146" s="38" t="str">
        <f>IFERROR(__xludf.DUMMYFUNCTION("""COMPUTED_VALUE"""),"")</f>
        <v/>
      </c>
      <c r="P146" s="45">
        <f>IFERROR(__xludf.DUMMYFUNCTION("""COMPUTED_VALUE"""),106.7)</f>
        <v>106.7</v>
      </c>
      <c r="Q146" s="46" t="str">
        <f>IFERROR(__xludf.DUMMYFUNCTION("""COMPUTED_VALUE"""),"AP")</f>
        <v>AP</v>
      </c>
      <c r="R146" s="47">
        <f>IFERROR(__xludf.DUMMYFUNCTION("""COMPUTED_VALUE"""),19.7)</f>
        <v>19.7</v>
      </c>
      <c r="S146" s="48" t="str">
        <f>IFERROR(__xludf.DUMMYFUNCTION("""COMPUTED_VALUE"""),"%")</f>
        <v>%</v>
      </c>
      <c r="T146" s="49">
        <f>IFERROR(__xludf.DUMMYFUNCTION("""COMPUTED_VALUE"""),2.0)</f>
        <v>2</v>
      </c>
      <c r="U146" s="50" t="str">
        <f>IFERROR(__xludf.DUMMYFUNCTION("""COMPUTED_VALUE"""),"A304")</f>
        <v>A304</v>
      </c>
      <c r="V146" s="38" t="str">
        <f>IFERROR(__xludf.DUMMYFUNCTION("""COMPUTED_VALUE"""),"")</f>
        <v/>
      </c>
      <c r="W146" s="45">
        <f>IFERROR(__xludf.DUMMYFUNCTION("""COMPUTED_VALUE"""),74.3)</f>
        <v>74.3</v>
      </c>
      <c r="X146" s="46" t="str">
        <f>IFERROR(__xludf.DUMMYFUNCTION("""COMPUTED_VALUE"""),"AP")</f>
        <v>AP</v>
      </c>
      <c r="Y146" s="47">
        <f>IFERROR(__xludf.DUMMYFUNCTION("""COMPUTED_VALUE"""),28.3)</f>
        <v>28.3</v>
      </c>
      <c r="Z146" s="48" t="str">
        <f>IFERROR(__xludf.DUMMYFUNCTION("""COMPUTED_VALUE"""),"%")</f>
        <v>%</v>
      </c>
      <c r="AA146" s="49">
        <f>IFERROR(__xludf.DUMMYFUNCTION("""COMPUTED_VALUE"""),3.0)</f>
        <v>3</v>
      </c>
      <c r="AB146" s="50" t="str">
        <f>IFERROR(__xludf.DUMMYFUNCTION("""COMPUTED_VALUE"""),"B112")</f>
        <v>B112</v>
      </c>
      <c r="AC146" s="38" t="str">
        <f>IFERROR(__xludf.DUMMYFUNCTION("""COMPUTED_VALUE"""),"")</f>
        <v/>
      </c>
      <c r="AD146" s="45">
        <f>IFERROR(__xludf.DUMMYFUNCTION("""COMPUTED_VALUE"""),193.8)</f>
        <v>193.8</v>
      </c>
      <c r="AE146" s="46" t="str">
        <f>IFERROR(__xludf.DUMMYFUNCTION("""COMPUTED_VALUE"""),"AP")</f>
        <v>AP</v>
      </c>
      <c r="AF146" s="47">
        <f>IFERROR(__xludf.DUMMYFUNCTION("""COMPUTED_VALUE"""),10.8)</f>
        <v>10.8</v>
      </c>
      <c r="AG146" s="48" t="str">
        <f>IFERROR(__xludf.DUMMYFUNCTION("""COMPUTED_VALUE"""),"%")</f>
        <v>%</v>
      </c>
      <c r="AH146" s="43">
        <f>IFERROR(__xludf.DUMMYFUNCTION("""COMPUTED_VALUE"""),21.0)</f>
        <v>21</v>
      </c>
      <c r="AI146" s="44">
        <f>IFERROR(__xludf.DUMMYFUNCTION("""COMPUTED_VALUE"""),2804.0)</f>
        <v>2804</v>
      </c>
      <c r="AJ146" s="51" t="str">
        <f>IFERROR(__xludf.DUMMYFUNCTION("""COMPUTED_VALUE"""),"パーティー会場")</f>
        <v>パーティー会場</v>
      </c>
    </row>
    <row r="147" ht="24.75" customHeight="1">
      <c r="A147" s="28">
        <f>IFERROR(__xludf.DUMMYFUNCTION("""COMPUTED_VALUE"""),7.0)</f>
        <v>7</v>
      </c>
      <c r="B147" s="28" t="str">
        <f>IFERROR(__xludf.DUMMYFUNCTION("""COMPUTED_VALUE"""),"A307")</f>
        <v>A307</v>
      </c>
      <c r="C147" s="28"/>
      <c r="D147" s="29"/>
      <c r="E147" s="67"/>
      <c r="F147" s="31"/>
      <c r="G147" s="32"/>
      <c r="H147" s="33" t="str">
        <f>IFERROR(__xludf.DUMMYFUNCTION("""COMPUTED_VALUE""")," ")</f>
        <v> </v>
      </c>
      <c r="I147" s="34"/>
      <c r="J147" s="35" t="str">
        <f>IFERROR(__xludf.DUMMYFUNCTION("""COMPUTED_VALUE"""),"AP")</f>
        <v>AP</v>
      </c>
      <c r="K147" s="34"/>
      <c r="L147" s="35" t="str">
        <f>IFERROR(__xludf.DUMMYFUNCTION("""COMPUTED_VALUE"""),"%")</f>
        <v>%</v>
      </c>
      <c r="M147" s="36">
        <f>IFERROR(__xludf.DUMMYFUNCTION("""COMPUTED_VALUE"""),1.0)</f>
        <v>1</v>
      </c>
      <c r="N147" s="37"/>
      <c r="O147" s="38"/>
      <c r="P147" s="34" t="str">
        <f>IFERROR(__xludf.DUMMYFUNCTION("""COMPUTED_VALUE"""),"")</f>
        <v/>
      </c>
      <c r="Q147" s="35" t="str">
        <f>IFERROR(__xludf.DUMMYFUNCTION("""COMPUTED_VALUE"""),"AP")</f>
        <v>AP</v>
      </c>
      <c r="R147" s="34" t="str">
        <f>IFERROR(__xludf.DUMMYFUNCTION("""COMPUTED_VALUE"""),"")</f>
        <v/>
      </c>
      <c r="S147" s="35" t="str">
        <f>IFERROR(__xludf.DUMMYFUNCTION("""COMPUTED_VALUE"""),"%")</f>
        <v>%</v>
      </c>
      <c r="T147" s="36">
        <f>IFERROR(__xludf.DUMMYFUNCTION("""COMPUTED_VALUE"""),2.0)</f>
        <v>2</v>
      </c>
      <c r="U147" s="37"/>
      <c r="V147" s="38"/>
      <c r="W147" s="34" t="str">
        <f>IFERROR(__xludf.DUMMYFUNCTION("""COMPUTED_VALUE"""),"")</f>
        <v/>
      </c>
      <c r="X147" s="35" t="str">
        <f>IFERROR(__xludf.DUMMYFUNCTION("""COMPUTED_VALUE"""),"AP")</f>
        <v>AP</v>
      </c>
      <c r="Y147" s="34" t="str">
        <f>IFERROR(__xludf.DUMMYFUNCTION("""COMPUTED_VALUE"""),"")</f>
        <v/>
      </c>
      <c r="Z147" s="35" t="str">
        <f>IFERROR(__xludf.DUMMYFUNCTION("""COMPUTED_VALUE"""),"%")</f>
        <v>%</v>
      </c>
      <c r="AA147" s="36">
        <f>IFERROR(__xludf.DUMMYFUNCTION("""COMPUTED_VALUE"""),3.0)</f>
        <v>3</v>
      </c>
      <c r="AB147" s="37"/>
      <c r="AC147" s="38"/>
      <c r="AD147" s="34" t="str">
        <f>IFERROR(__xludf.DUMMYFUNCTION("""COMPUTED_VALUE"""),"")</f>
        <v/>
      </c>
      <c r="AE147" s="35" t="str">
        <f>IFERROR(__xludf.DUMMYFUNCTION("""COMPUTED_VALUE"""),"AP")</f>
        <v>AP</v>
      </c>
      <c r="AF147" s="34" t="str">
        <f>IFERROR(__xludf.DUMMYFUNCTION("""COMPUTED_VALUE"""),"")</f>
        <v/>
      </c>
      <c r="AG147" s="35" t="str">
        <f>IFERROR(__xludf.DUMMYFUNCTION("""COMPUTED_VALUE"""),"%")</f>
        <v>%</v>
      </c>
      <c r="AH147" s="31"/>
      <c r="AI147" s="32"/>
      <c r="AJ147" s="39"/>
    </row>
    <row r="148" ht="24.75" hidden="1" customHeight="1">
      <c r="A148" s="40">
        <f>IFERROR(__xludf.DUMMYFUNCTION("""COMPUTED_VALUE"""),8.0)</f>
        <v>8</v>
      </c>
      <c r="B148" s="40" t="str">
        <f>IFERROR(__xludf.DUMMYFUNCTION("""COMPUTED_VALUE"""),"A307")</f>
        <v>A307</v>
      </c>
      <c r="C148" s="40"/>
      <c r="D148" s="41"/>
      <c r="E148" s="66"/>
      <c r="F148" s="43"/>
      <c r="G148" s="44"/>
      <c r="H148" s="33" t="str">
        <f>IFERROR(__xludf.DUMMYFUNCTION("""COMPUTED_VALUE""")," ")</f>
        <v> </v>
      </c>
      <c r="I148" s="45"/>
      <c r="J148" s="46" t="str">
        <f>IFERROR(__xludf.DUMMYFUNCTION("""COMPUTED_VALUE"""),"AP")</f>
        <v>AP</v>
      </c>
      <c r="K148" s="47"/>
      <c r="L148" s="48" t="str">
        <f>IFERROR(__xludf.DUMMYFUNCTION("""COMPUTED_VALUE"""),"%")</f>
        <v>%</v>
      </c>
      <c r="M148" s="49">
        <f>IFERROR(__xludf.DUMMYFUNCTION("""COMPUTED_VALUE"""),1.0)</f>
        <v>1</v>
      </c>
      <c r="N148" s="50"/>
      <c r="O148" s="38"/>
      <c r="P148" s="45" t="str">
        <f>IFERROR(__xludf.DUMMYFUNCTION("""COMPUTED_VALUE"""),"")</f>
        <v/>
      </c>
      <c r="Q148" s="46" t="str">
        <f>IFERROR(__xludf.DUMMYFUNCTION("""COMPUTED_VALUE"""),"AP")</f>
        <v>AP</v>
      </c>
      <c r="R148" s="47" t="str">
        <f>IFERROR(__xludf.DUMMYFUNCTION("""COMPUTED_VALUE"""),"")</f>
        <v/>
      </c>
      <c r="S148" s="48" t="str">
        <f>IFERROR(__xludf.DUMMYFUNCTION("""COMPUTED_VALUE"""),"%")</f>
        <v>%</v>
      </c>
      <c r="T148" s="49">
        <f>IFERROR(__xludf.DUMMYFUNCTION("""COMPUTED_VALUE"""),2.0)</f>
        <v>2</v>
      </c>
      <c r="U148" s="50"/>
      <c r="V148" s="38"/>
      <c r="W148" s="45" t="str">
        <f>IFERROR(__xludf.DUMMYFUNCTION("""COMPUTED_VALUE"""),"")</f>
        <v/>
      </c>
      <c r="X148" s="46" t="str">
        <f>IFERROR(__xludf.DUMMYFUNCTION("""COMPUTED_VALUE"""),"AP")</f>
        <v>AP</v>
      </c>
      <c r="Y148" s="47" t="str">
        <f>IFERROR(__xludf.DUMMYFUNCTION("""COMPUTED_VALUE"""),"")</f>
        <v/>
      </c>
      <c r="Z148" s="48" t="str">
        <f>IFERROR(__xludf.DUMMYFUNCTION("""COMPUTED_VALUE"""),"%")</f>
        <v>%</v>
      </c>
      <c r="AA148" s="49">
        <f>IFERROR(__xludf.DUMMYFUNCTION("""COMPUTED_VALUE"""),3.0)</f>
        <v>3</v>
      </c>
      <c r="AB148" s="50"/>
      <c r="AC148" s="38"/>
      <c r="AD148" s="45" t="str">
        <f>IFERROR(__xludf.DUMMYFUNCTION("""COMPUTED_VALUE"""),"")</f>
        <v/>
      </c>
      <c r="AE148" s="46" t="str">
        <f>IFERROR(__xludf.DUMMYFUNCTION("""COMPUTED_VALUE"""),"AP")</f>
        <v>AP</v>
      </c>
      <c r="AF148" s="47" t="str">
        <f>IFERROR(__xludf.DUMMYFUNCTION("""COMPUTED_VALUE"""),"")</f>
        <v/>
      </c>
      <c r="AG148" s="48" t="str">
        <f>IFERROR(__xludf.DUMMYFUNCTION("""COMPUTED_VALUE"""),"%")</f>
        <v>%</v>
      </c>
      <c r="AH148" s="43"/>
      <c r="AI148" s="44"/>
      <c r="AJ148" s="51"/>
    </row>
    <row r="149" ht="24.75" hidden="1" customHeight="1">
      <c r="A149" s="28">
        <f>IFERROR(__xludf.DUMMYFUNCTION("""COMPUTED_VALUE"""),9.0)</f>
        <v>9</v>
      </c>
      <c r="B149" s="28" t="str">
        <f>IFERROR(__xludf.DUMMYFUNCTION("""COMPUTED_VALUE"""),"A307")</f>
        <v>A307</v>
      </c>
      <c r="C149" s="28"/>
      <c r="D149" s="29"/>
      <c r="E149" s="67"/>
      <c r="F149" s="31"/>
      <c r="G149" s="32"/>
      <c r="H149" s="33" t="str">
        <f>IFERROR(__xludf.DUMMYFUNCTION("""COMPUTED_VALUE""")," ")</f>
        <v> </v>
      </c>
      <c r="I149" s="34"/>
      <c r="J149" s="35" t="str">
        <f>IFERROR(__xludf.DUMMYFUNCTION("""COMPUTED_VALUE"""),"AP")</f>
        <v>AP</v>
      </c>
      <c r="K149" s="34"/>
      <c r="L149" s="35" t="str">
        <f>IFERROR(__xludf.DUMMYFUNCTION("""COMPUTED_VALUE"""),"%")</f>
        <v>%</v>
      </c>
      <c r="M149" s="36">
        <f>IFERROR(__xludf.DUMMYFUNCTION("""COMPUTED_VALUE"""),1.0)</f>
        <v>1</v>
      </c>
      <c r="N149" s="37"/>
      <c r="O149" s="38"/>
      <c r="P149" s="34" t="str">
        <f>IFERROR(__xludf.DUMMYFUNCTION("""COMPUTED_VALUE"""),"")</f>
        <v/>
      </c>
      <c r="Q149" s="35" t="str">
        <f>IFERROR(__xludf.DUMMYFUNCTION("""COMPUTED_VALUE"""),"AP")</f>
        <v>AP</v>
      </c>
      <c r="R149" s="34" t="str">
        <f>IFERROR(__xludf.DUMMYFUNCTION("""COMPUTED_VALUE"""),"")</f>
        <v/>
      </c>
      <c r="S149" s="35" t="str">
        <f>IFERROR(__xludf.DUMMYFUNCTION("""COMPUTED_VALUE"""),"%")</f>
        <v>%</v>
      </c>
      <c r="T149" s="36">
        <f>IFERROR(__xludf.DUMMYFUNCTION("""COMPUTED_VALUE"""),2.0)</f>
        <v>2</v>
      </c>
      <c r="U149" s="37"/>
      <c r="V149" s="38"/>
      <c r="W149" s="34" t="str">
        <f>IFERROR(__xludf.DUMMYFUNCTION("""COMPUTED_VALUE"""),"")</f>
        <v/>
      </c>
      <c r="X149" s="35" t="str">
        <f>IFERROR(__xludf.DUMMYFUNCTION("""COMPUTED_VALUE"""),"AP")</f>
        <v>AP</v>
      </c>
      <c r="Y149" s="34" t="str">
        <f>IFERROR(__xludf.DUMMYFUNCTION("""COMPUTED_VALUE"""),"")</f>
        <v/>
      </c>
      <c r="Z149" s="35" t="str">
        <f>IFERROR(__xludf.DUMMYFUNCTION("""COMPUTED_VALUE"""),"%")</f>
        <v>%</v>
      </c>
      <c r="AA149" s="36">
        <f>IFERROR(__xludf.DUMMYFUNCTION("""COMPUTED_VALUE"""),3.0)</f>
        <v>3</v>
      </c>
      <c r="AB149" s="37"/>
      <c r="AC149" s="38"/>
      <c r="AD149" s="34" t="str">
        <f>IFERROR(__xludf.DUMMYFUNCTION("""COMPUTED_VALUE"""),"")</f>
        <v/>
      </c>
      <c r="AE149" s="35" t="str">
        <f>IFERROR(__xludf.DUMMYFUNCTION("""COMPUTED_VALUE"""),"AP")</f>
        <v>AP</v>
      </c>
      <c r="AF149" s="34" t="str">
        <f>IFERROR(__xludf.DUMMYFUNCTION("""COMPUTED_VALUE"""),"")</f>
        <v/>
      </c>
      <c r="AG149" s="35" t="str">
        <f>IFERROR(__xludf.DUMMYFUNCTION("""COMPUTED_VALUE"""),"%")</f>
        <v>%</v>
      </c>
      <c r="AH149" s="31"/>
      <c r="AI149" s="32"/>
      <c r="AJ149" s="39"/>
    </row>
    <row r="150" ht="24.75" hidden="1" customHeight="1">
      <c r="A150" s="40">
        <f>IFERROR(__xludf.DUMMYFUNCTION("""COMPUTED_VALUE"""),10.0)</f>
        <v>10</v>
      </c>
      <c r="B150" s="40" t="str">
        <f>IFERROR(__xludf.DUMMYFUNCTION("""COMPUTED_VALUE"""),"A307")</f>
        <v>A307</v>
      </c>
      <c r="C150" s="40"/>
      <c r="D150" s="41"/>
      <c r="E150" s="66"/>
      <c r="F150" s="43"/>
      <c r="G150" s="44"/>
      <c r="H150" s="33" t="str">
        <f>IFERROR(__xludf.DUMMYFUNCTION("""COMPUTED_VALUE""")," ")</f>
        <v> </v>
      </c>
      <c r="I150" s="45"/>
      <c r="J150" s="46" t="str">
        <f>IFERROR(__xludf.DUMMYFUNCTION("""COMPUTED_VALUE"""),"AP")</f>
        <v>AP</v>
      </c>
      <c r="K150" s="47"/>
      <c r="L150" s="48" t="str">
        <f>IFERROR(__xludf.DUMMYFUNCTION("""COMPUTED_VALUE"""),"%")</f>
        <v>%</v>
      </c>
      <c r="M150" s="49">
        <f>IFERROR(__xludf.DUMMYFUNCTION("""COMPUTED_VALUE"""),1.0)</f>
        <v>1</v>
      </c>
      <c r="N150" s="50"/>
      <c r="O150" s="38"/>
      <c r="P150" s="45" t="str">
        <f>IFERROR(__xludf.DUMMYFUNCTION("""COMPUTED_VALUE"""),"")</f>
        <v/>
      </c>
      <c r="Q150" s="46" t="str">
        <f>IFERROR(__xludf.DUMMYFUNCTION("""COMPUTED_VALUE"""),"AP")</f>
        <v>AP</v>
      </c>
      <c r="R150" s="47" t="str">
        <f>IFERROR(__xludf.DUMMYFUNCTION("""COMPUTED_VALUE"""),"")</f>
        <v/>
      </c>
      <c r="S150" s="48" t="str">
        <f>IFERROR(__xludf.DUMMYFUNCTION("""COMPUTED_VALUE"""),"%")</f>
        <v>%</v>
      </c>
      <c r="T150" s="49">
        <f>IFERROR(__xludf.DUMMYFUNCTION("""COMPUTED_VALUE"""),2.0)</f>
        <v>2</v>
      </c>
      <c r="U150" s="50"/>
      <c r="V150" s="38"/>
      <c r="W150" s="45" t="str">
        <f>IFERROR(__xludf.DUMMYFUNCTION("""COMPUTED_VALUE"""),"")</f>
        <v/>
      </c>
      <c r="X150" s="46" t="str">
        <f>IFERROR(__xludf.DUMMYFUNCTION("""COMPUTED_VALUE"""),"AP")</f>
        <v>AP</v>
      </c>
      <c r="Y150" s="47" t="str">
        <f>IFERROR(__xludf.DUMMYFUNCTION("""COMPUTED_VALUE"""),"")</f>
        <v/>
      </c>
      <c r="Z150" s="48" t="str">
        <f>IFERROR(__xludf.DUMMYFUNCTION("""COMPUTED_VALUE"""),"%")</f>
        <v>%</v>
      </c>
      <c r="AA150" s="49">
        <f>IFERROR(__xludf.DUMMYFUNCTION("""COMPUTED_VALUE"""),3.0)</f>
        <v>3</v>
      </c>
      <c r="AB150" s="50"/>
      <c r="AC150" s="38"/>
      <c r="AD150" s="45" t="str">
        <f>IFERROR(__xludf.DUMMYFUNCTION("""COMPUTED_VALUE"""),"")</f>
        <v/>
      </c>
      <c r="AE150" s="46" t="str">
        <f>IFERROR(__xludf.DUMMYFUNCTION("""COMPUTED_VALUE"""),"AP")</f>
        <v>AP</v>
      </c>
      <c r="AF150" s="47" t="str">
        <f>IFERROR(__xludf.DUMMYFUNCTION("""COMPUTED_VALUE"""),"")</f>
        <v/>
      </c>
      <c r="AG150" s="48" t="str">
        <f>IFERROR(__xludf.DUMMYFUNCTION("""COMPUTED_VALUE"""),"%")</f>
        <v>%</v>
      </c>
      <c r="AH150" s="43"/>
      <c r="AI150" s="44"/>
      <c r="AJ150" s="51"/>
    </row>
    <row r="151" ht="24.75" hidden="1" customHeight="1">
      <c r="A151" s="28">
        <f>IFERROR(__xludf.DUMMYFUNCTION("""COMPUTED_VALUE"""),11.0)</f>
        <v>11</v>
      </c>
      <c r="B151" s="28" t="str">
        <f>IFERROR(__xludf.DUMMYFUNCTION("""COMPUTED_VALUE"""),"A307")</f>
        <v>A307</v>
      </c>
      <c r="C151" s="28"/>
      <c r="D151" s="29"/>
      <c r="E151" s="67"/>
      <c r="F151" s="31"/>
      <c r="G151" s="32"/>
      <c r="H151" s="33" t="str">
        <f>IFERROR(__xludf.DUMMYFUNCTION("""COMPUTED_VALUE""")," ")</f>
        <v> </v>
      </c>
      <c r="I151" s="34"/>
      <c r="J151" s="35" t="str">
        <f>IFERROR(__xludf.DUMMYFUNCTION("""COMPUTED_VALUE"""),"AP")</f>
        <v>AP</v>
      </c>
      <c r="K151" s="34"/>
      <c r="L151" s="35" t="str">
        <f>IFERROR(__xludf.DUMMYFUNCTION("""COMPUTED_VALUE"""),"%")</f>
        <v>%</v>
      </c>
      <c r="M151" s="36">
        <f>IFERROR(__xludf.DUMMYFUNCTION("""COMPUTED_VALUE"""),1.0)</f>
        <v>1</v>
      </c>
      <c r="N151" s="37"/>
      <c r="O151" s="38"/>
      <c r="P151" s="34" t="str">
        <f>IFERROR(__xludf.DUMMYFUNCTION("""COMPUTED_VALUE"""),"")</f>
        <v/>
      </c>
      <c r="Q151" s="35" t="str">
        <f>IFERROR(__xludf.DUMMYFUNCTION("""COMPUTED_VALUE"""),"AP")</f>
        <v>AP</v>
      </c>
      <c r="R151" s="34" t="str">
        <f>IFERROR(__xludf.DUMMYFUNCTION("""COMPUTED_VALUE"""),"")</f>
        <v/>
      </c>
      <c r="S151" s="35" t="str">
        <f>IFERROR(__xludf.DUMMYFUNCTION("""COMPUTED_VALUE"""),"%")</f>
        <v>%</v>
      </c>
      <c r="T151" s="36">
        <f>IFERROR(__xludf.DUMMYFUNCTION("""COMPUTED_VALUE"""),2.0)</f>
        <v>2</v>
      </c>
      <c r="U151" s="37"/>
      <c r="V151" s="38"/>
      <c r="W151" s="34" t="str">
        <f>IFERROR(__xludf.DUMMYFUNCTION("""COMPUTED_VALUE"""),"")</f>
        <v/>
      </c>
      <c r="X151" s="35" t="str">
        <f>IFERROR(__xludf.DUMMYFUNCTION("""COMPUTED_VALUE"""),"AP")</f>
        <v>AP</v>
      </c>
      <c r="Y151" s="34" t="str">
        <f>IFERROR(__xludf.DUMMYFUNCTION("""COMPUTED_VALUE"""),"")</f>
        <v/>
      </c>
      <c r="Z151" s="35" t="str">
        <f>IFERROR(__xludf.DUMMYFUNCTION("""COMPUTED_VALUE"""),"%")</f>
        <v>%</v>
      </c>
      <c r="AA151" s="36">
        <f>IFERROR(__xludf.DUMMYFUNCTION("""COMPUTED_VALUE"""),3.0)</f>
        <v>3</v>
      </c>
      <c r="AB151" s="37"/>
      <c r="AC151" s="38"/>
      <c r="AD151" s="34" t="str">
        <f>IFERROR(__xludf.DUMMYFUNCTION("""COMPUTED_VALUE"""),"")</f>
        <v/>
      </c>
      <c r="AE151" s="35" t="str">
        <f>IFERROR(__xludf.DUMMYFUNCTION("""COMPUTED_VALUE"""),"AP")</f>
        <v>AP</v>
      </c>
      <c r="AF151" s="34" t="str">
        <f>IFERROR(__xludf.DUMMYFUNCTION("""COMPUTED_VALUE"""),"")</f>
        <v/>
      </c>
      <c r="AG151" s="35" t="str">
        <f>IFERROR(__xludf.DUMMYFUNCTION("""COMPUTED_VALUE"""),"%")</f>
        <v>%</v>
      </c>
      <c r="AH151" s="31"/>
      <c r="AI151" s="32"/>
      <c r="AJ151" s="39"/>
    </row>
    <row r="152" ht="24.75" hidden="1" customHeight="1">
      <c r="A152" s="40">
        <f>IFERROR(__xludf.DUMMYFUNCTION("""COMPUTED_VALUE"""),12.0)</f>
        <v>12</v>
      </c>
      <c r="B152" s="40" t="str">
        <f>IFERROR(__xludf.DUMMYFUNCTION("""COMPUTED_VALUE"""),"A307")</f>
        <v>A307</v>
      </c>
      <c r="C152" s="40"/>
      <c r="D152" s="41"/>
      <c r="E152" s="66"/>
      <c r="F152" s="43"/>
      <c r="G152" s="44"/>
      <c r="H152" s="33" t="str">
        <f>IFERROR(__xludf.DUMMYFUNCTION("""COMPUTED_VALUE""")," ")</f>
        <v> </v>
      </c>
      <c r="I152" s="45"/>
      <c r="J152" s="46" t="str">
        <f>IFERROR(__xludf.DUMMYFUNCTION("""COMPUTED_VALUE"""),"AP")</f>
        <v>AP</v>
      </c>
      <c r="K152" s="47"/>
      <c r="L152" s="48" t="str">
        <f>IFERROR(__xludf.DUMMYFUNCTION("""COMPUTED_VALUE"""),"%")</f>
        <v>%</v>
      </c>
      <c r="M152" s="49">
        <f>IFERROR(__xludf.DUMMYFUNCTION("""COMPUTED_VALUE"""),1.0)</f>
        <v>1</v>
      </c>
      <c r="N152" s="50"/>
      <c r="O152" s="38"/>
      <c r="P152" s="45" t="str">
        <f>IFERROR(__xludf.DUMMYFUNCTION("""COMPUTED_VALUE"""),"")</f>
        <v/>
      </c>
      <c r="Q152" s="46" t="str">
        <f>IFERROR(__xludf.DUMMYFUNCTION("""COMPUTED_VALUE"""),"AP")</f>
        <v>AP</v>
      </c>
      <c r="R152" s="47" t="str">
        <f>IFERROR(__xludf.DUMMYFUNCTION("""COMPUTED_VALUE"""),"")</f>
        <v/>
      </c>
      <c r="S152" s="48" t="str">
        <f>IFERROR(__xludf.DUMMYFUNCTION("""COMPUTED_VALUE"""),"%")</f>
        <v>%</v>
      </c>
      <c r="T152" s="49">
        <f>IFERROR(__xludf.DUMMYFUNCTION("""COMPUTED_VALUE"""),2.0)</f>
        <v>2</v>
      </c>
      <c r="U152" s="50"/>
      <c r="V152" s="38"/>
      <c r="W152" s="45" t="str">
        <f>IFERROR(__xludf.DUMMYFUNCTION("""COMPUTED_VALUE"""),"")</f>
        <v/>
      </c>
      <c r="X152" s="46" t="str">
        <f>IFERROR(__xludf.DUMMYFUNCTION("""COMPUTED_VALUE"""),"AP")</f>
        <v>AP</v>
      </c>
      <c r="Y152" s="47" t="str">
        <f>IFERROR(__xludf.DUMMYFUNCTION("""COMPUTED_VALUE"""),"")</f>
        <v/>
      </c>
      <c r="Z152" s="48" t="str">
        <f>IFERROR(__xludf.DUMMYFUNCTION("""COMPUTED_VALUE"""),"%")</f>
        <v>%</v>
      </c>
      <c r="AA152" s="49">
        <f>IFERROR(__xludf.DUMMYFUNCTION("""COMPUTED_VALUE"""),3.0)</f>
        <v>3</v>
      </c>
      <c r="AB152" s="50"/>
      <c r="AC152" s="38"/>
      <c r="AD152" s="45" t="str">
        <f>IFERROR(__xludf.DUMMYFUNCTION("""COMPUTED_VALUE"""),"")</f>
        <v/>
      </c>
      <c r="AE152" s="46" t="str">
        <f>IFERROR(__xludf.DUMMYFUNCTION("""COMPUTED_VALUE"""),"AP")</f>
        <v>AP</v>
      </c>
      <c r="AF152" s="47" t="str">
        <f>IFERROR(__xludf.DUMMYFUNCTION("""COMPUTED_VALUE"""),"")</f>
        <v/>
      </c>
      <c r="AG152" s="48" t="str">
        <f>IFERROR(__xludf.DUMMYFUNCTION("""COMPUTED_VALUE"""),"%")</f>
        <v>%</v>
      </c>
      <c r="AH152" s="43"/>
      <c r="AI152" s="44"/>
      <c r="AJ152" s="51"/>
    </row>
    <row r="153" ht="24.75" hidden="1" customHeight="1">
      <c r="A153" s="28">
        <f>IFERROR(__xludf.DUMMYFUNCTION("""COMPUTED_VALUE"""),13.0)</f>
        <v>13</v>
      </c>
      <c r="B153" s="28" t="str">
        <f>IFERROR(__xludf.DUMMYFUNCTION("""COMPUTED_VALUE"""),"A307")</f>
        <v>A307</v>
      </c>
      <c r="C153" s="28"/>
      <c r="D153" s="29"/>
      <c r="E153" s="67"/>
      <c r="F153" s="31"/>
      <c r="G153" s="32"/>
      <c r="H153" s="33" t="str">
        <f>IFERROR(__xludf.DUMMYFUNCTION("""COMPUTED_VALUE""")," ")</f>
        <v> </v>
      </c>
      <c r="I153" s="34"/>
      <c r="J153" s="35" t="str">
        <f>IFERROR(__xludf.DUMMYFUNCTION("""COMPUTED_VALUE"""),"AP")</f>
        <v>AP</v>
      </c>
      <c r="K153" s="34"/>
      <c r="L153" s="35" t="str">
        <f>IFERROR(__xludf.DUMMYFUNCTION("""COMPUTED_VALUE"""),"%")</f>
        <v>%</v>
      </c>
      <c r="M153" s="36">
        <f>IFERROR(__xludf.DUMMYFUNCTION("""COMPUTED_VALUE"""),1.0)</f>
        <v>1</v>
      </c>
      <c r="N153" s="37"/>
      <c r="O153" s="38"/>
      <c r="P153" s="34" t="str">
        <f>IFERROR(__xludf.DUMMYFUNCTION("""COMPUTED_VALUE"""),"")</f>
        <v/>
      </c>
      <c r="Q153" s="35" t="str">
        <f>IFERROR(__xludf.DUMMYFUNCTION("""COMPUTED_VALUE"""),"AP")</f>
        <v>AP</v>
      </c>
      <c r="R153" s="34" t="str">
        <f>IFERROR(__xludf.DUMMYFUNCTION("""COMPUTED_VALUE"""),"")</f>
        <v/>
      </c>
      <c r="S153" s="35" t="str">
        <f>IFERROR(__xludf.DUMMYFUNCTION("""COMPUTED_VALUE"""),"%")</f>
        <v>%</v>
      </c>
      <c r="T153" s="36">
        <f>IFERROR(__xludf.DUMMYFUNCTION("""COMPUTED_VALUE"""),2.0)</f>
        <v>2</v>
      </c>
      <c r="U153" s="37"/>
      <c r="V153" s="38"/>
      <c r="W153" s="34" t="str">
        <f>IFERROR(__xludf.DUMMYFUNCTION("""COMPUTED_VALUE"""),"")</f>
        <v/>
      </c>
      <c r="X153" s="35" t="str">
        <f>IFERROR(__xludf.DUMMYFUNCTION("""COMPUTED_VALUE"""),"AP")</f>
        <v>AP</v>
      </c>
      <c r="Y153" s="34" t="str">
        <f>IFERROR(__xludf.DUMMYFUNCTION("""COMPUTED_VALUE"""),"")</f>
        <v/>
      </c>
      <c r="Z153" s="35" t="str">
        <f>IFERROR(__xludf.DUMMYFUNCTION("""COMPUTED_VALUE"""),"%")</f>
        <v>%</v>
      </c>
      <c r="AA153" s="36">
        <f>IFERROR(__xludf.DUMMYFUNCTION("""COMPUTED_VALUE"""),3.0)</f>
        <v>3</v>
      </c>
      <c r="AB153" s="37"/>
      <c r="AC153" s="38"/>
      <c r="AD153" s="34" t="str">
        <f>IFERROR(__xludf.DUMMYFUNCTION("""COMPUTED_VALUE"""),"")</f>
        <v/>
      </c>
      <c r="AE153" s="35" t="str">
        <f>IFERROR(__xludf.DUMMYFUNCTION("""COMPUTED_VALUE"""),"AP")</f>
        <v>AP</v>
      </c>
      <c r="AF153" s="34" t="str">
        <f>IFERROR(__xludf.DUMMYFUNCTION("""COMPUTED_VALUE"""),"")</f>
        <v/>
      </c>
      <c r="AG153" s="35" t="str">
        <f>IFERROR(__xludf.DUMMYFUNCTION("""COMPUTED_VALUE"""),"%")</f>
        <v>%</v>
      </c>
      <c r="AH153" s="31"/>
      <c r="AI153" s="32"/>
      <c r="AJ153" s="39"/>
    </row>
    <row r="154" ht="24.75" hidden="1" customHeight="1">
      <c r="A154" s="40">
        <f>IFERROR(__xludf.DUMMYFUNCTION("""COMPUTED_VALUE"""),14.0)</f>
        <v>14</v>
      </c>
      <c r="B154" s="40" t="str">
        <f>IFERROR(__xludf.DUMMYFUNCTION("""COMPUTED_VALUE"""),"A307")</f>
        <v>A307</v>
      </c>
      <c r="C154" s="40"/>
      <c r="D154" s="41"/>
      <c r="E154" s="66"/>
      <c r="F154" s="43"/>
      <c r="G154" s="44"/>
      <c r="H154" s="33" t="str">
        <f>IFERROR(__xludf.DUMMYFUNCTION("""COMPUTED_VALUE""")," ")</f>
        <v> </v>
      </c>
      <c r="I154" s="45"/>
      <c r="J154" s="46" t="str">
        <f>IFERROR(__xludf.DUMMYFUNCTION("""COMPUTED_VALUE"""),"AP")</f>
        <v>AP</v>
      </c>
      <c r="K154" s="47"/>
      <c r="L154" s="48" t="str">
        <f>IFERROR(__xludf.DUMMYFUNCTION("""COMPUTED_VALUE"""),"%")</f>
        <v>%</v>
      </c>
      <c r="M154" s="49">
        <f>IFERROR(__xludf.DUMMYFUNCTION("""COMPUTED_VALUE"""),1.0)</f>
        <v>1</v>
      </c>
      <c r="N154" s="50"/>
      <c r="O154" s="38"/>
      <c r="P154" s="45" t="str">
        <f>IFERROR(__xludf.DUMMYFUNCTION("""COMPUTED_VALUE"""),"")</f>
        <v/>
      </c>
      <c r="Q154" s="46" t="str">
        <f>IFERROR(__xludf.DUMMYFUNCTION("""COMPUTED_VALUE"""),"AP")</f>
        <v>AP</v>
      </c>
      <c r="R154" s="47" t="str">
        <f>IFERROR(__xludf.DUMMYFUNCTION("""COMPUTED_VALUE"""),"")</f>
        <v/>
      </c>
      <c r="S154" s="48" t="str">
        <f>IFERROR(__xludf.DUMMYFUNCTION("""COMPUTED_VALUE"""),"%")</f>
        <v>%</v>
      </c>
      <c r="T154" s="49">
        <f>IFERROR(__xludf.DUMMYFUNCTION("""COMPUTED_VALUE"""),2.0)</f>
        <v>2</v>
      </c>
      <c r="U154" s="50"/>
      <c r="V154" s="38"/>
      <c r="W154" s="45" t="str">
        <f>IFERROR(__xludf.DUMMYFUNCTION("""COMPUTED_VALUE"""),"")</f>
        <v/>
      </c>
      <c r="X154" s="46" t="str">
        <f>IFERROR(__xludf.DUMMYFUNCTION("""COMPUTED_VALUE"""),"AP")</f>
        <v>AP</v>
      </c>
      <c r="Y154" s="47" t="str">
        <f>IFERROR(__xludf.DUMMYFUNCTION("""COMPUTED_VALUE"""),"")</f>
        <v/>
      </c>
      <c r="Z154" s="48" t="str">
        <f>IFERROR(__xludf.DUMMYFUNCTION("""COMPUTED_VALUE"""),"%")</f>
        <v>%</v>
      </c>
      <c r="AA154" s="49">
        <f>IFERROR(__xludf.DUMMYFUNCTION("""COMPUTED_VALUE"""),3.0)</f>
        <v>3</v>
      </c>
      <c r="AB154" s="50"/>
      <c r="AC154" s="38"/>
      <c r="AD154" s="45" t="str">
        <f>IFERROR(__xludf.DUMMYFUNCTION("""COMPUTED_VALUE"""),"")</f>
        <v/>
      </c>
      <c r="AE154" s="46" t="str">
        <f>IFERROR(__xludf.DUMMYFUNCTION("""COMPUTED_VALUE"""),"AP")</f>
        <v>AP</v>
      </c>
      <c r="AF154" s="47" t="str">
        <f>IFERROR(__xludf.DUMMYFUNCTION("""COMPUTED_VALUE"""),"")</f>
        <v/>
      </c>
      <c r="AG154" s="48" t="str">
        <f>IFERROR(__xludf.DUMMYFUNCTION("""COMPUTED_VALUE"""),"%")</f>
        <v>%</v>
      </c>
      <c r="AH154" s="43"/>
      <c r="AI154" s="44"/>
      <c r="AJ154" s="51"/>
    </row>
    <row r="155" ht="24.75" hidden="1" customHeight="1">
      <c r="A155" s="28">
        <f>IFERROR(__xludf.DUMMYFUNCTION("""COMPUTED_VALUE"""),15.0)</f>
        <v>15</v>
      </c>
      <c r="B155" s="28" t="str">
        <f>IFERROR(__xludf.DUMMYFUNCTION("""COMPUTED_VALUE"""),"A307")</f>
        <v>A307</v>
      </c>
      <c r="C155" s="28"/>
      <c r="D155" s="29"/>
      <c r="E155" s="67"/>
      <c r="F155" s="31"/>
      <c r="G155" s="32"/>
      <c r="H155" s="33" t="str">
        <f>IFERROR(__xludf.DUMMYFUNCTION("""COMPUTED_VALUE""")," ")</f>
        <v> </v>
      </c>
      <c r="I155" s="34"/>
      <c r="J155" s="35" t="str">
        <f>IFERROR(__xludf.DUMMYFUNCTION("""COMPUTED_VALUE"""),"AP")</f>
        <v>AP</v>
      </c>
      <c r="K155" s="34"/>
      <c r="L155" s="35" t="str">
        <f>IFERROR(__xludf.DUMMYFUNCTION("""COMPUTED_VALUE"""),"%")</f>
        <v>%</v>
      </c>
      <c r="M155" s="36">
        <f>IFERROR(__xludf.DUMMYFUNCTION("""COMPUTED_VALUE"""),1.0)</f>
        <v>1</v>
      </c>
      <c r="N155" s="37"/>
      <c r="O155" s="38"/>
      <c r="P155" s="34" t="str">
        <f>IFERROR(__xludf.DUMMYFUNCTION("""COMPUTED_VALUE"""),"")</f>
        <v/>
      </c>
      <c r="Q155" s="35" t="str">
        <f>IFERROR(__xludf.DUMMYFUNCTION("""COMPUTED_VALUE"""),"AP")</f>
        <v>AP</v>
      </c>
      <c r="R155" s="34" t="str">
        <f>IFERROR(__xludf.DUMMYFUNCTION("""COMPUTED_VALUE"""),"")</f>
        <v/>
      </c>
      <c r="S155" s="35" t="str">
        <f>IFERROR(__xludf.DUMMYFUNCTION("""COMPUTED_VALUE"""),"%")</f>
        <v>%</v>
      </c>
      <c r="T155" s="36">
        <f>IFERROR(__xludf.DUMMYFUNCTION("""COMPUTED_VALUE"""),2.0)</f>
        <v>2</v>
      </c>
      <c r="U155" s="37"/>
      <c r="V155" s="38"/>
      <c r="W155" s="34" t="str">
        <f>IFERROR(__xludf.DUMMYFUNCTION("""COMPUTED_VALUE"""),"")</f>
        <v/>
      </c>
      <c r="X155" s="35" t="str">
        <f>IFERROR(__xludf.DUMMYFUNCTION("""COMPUTED_VALUE"""),"AP")</f>
        <v>AP</v>
      </c>
      <c r="Y155" s="34" t="str">
        <f>IFERROR(__xludf.DUMMYFUNCTION("""COMPUTED_VALUE"""),"")</f>
        <v/>
      </c>
      <c r="Z155" s="35" t="str">
        <f>IFERROR(__xludf.DUMMYFUNCTION("""COMPUTED_VALUE"""),"%")</f>
        <v>%</v>
      </c>
      <c r="AA155" s="36">
        <f>IFERROR(__xludf.DUMMYFUNCTION("""COMPUTED_VALUE"""),3.0)</f>
        <v>3</v>
      </c>
      <c r="AB155" s="37"/>
      <c r="AC155" s="38"/>
      <c r="AD155" s="34" t="str">
        <f>IFERROR(__xludf.DUMMYFUNCTION("""COMPUTED_VALUE"""),"")</f>
        <v/>
      </c>
      <c r="AE155" s="35" t="str">
        <f>IFERROR(__xludf.DUMMYFUNCTION("""COMPUTED_VALUE"""),"AP")</f>
        <v>AP</v>
      </c>
      <c r="AF155" s="34" t="str">
        <f>IFERROR(__xludf.DUMMYFUNCTION("""COMPUTED_VALUE"""),"")</f>
        <v/>
      </c>
      <c r="AG155" s="35" t="str">
        <f>IFERROR(__xludf.DUMMYFUNCTION("""COMPUTED_VALUE"""),"%")</f>
        <v>%</v>
      </c>
      <c r="AH155" s="31"/>
      <c r="AI155" s="32"/>
      <c r="AJ155" s="39"/>
    </row>
    <row r="156" ht="24.75" hidden="1" customHeight="1">
      <c r="A156" s="40">
        <f>IFERROR(__xludf.DUMMYFUNCTION("""COMPUTED_VALUE"""),16.0)</f>
        <v>16</v>
      </c>
      <c r="B156" s="40" t="str">
        <f>IFERROR(__xludf.DUMMYFUNCTION("""COMPUTED_VALUE"""),"A307")</f>
        <v>A307</v>
      </c>
      <c r="C156" s="40"/>
      <c r="D156" s="41"/>
      <c r="E156" s="66"/>
      <c r="F156" s="43"/>
      <c r="G156" s="44"/>
      <c r="H156" s="33" t="str">
        <f>IFERROR(__xludf.DUMMYFUNCTION("""COMPUTED_VALUE""")," ")</f>
        <v> </v>
      </c>
      <c r="I156" s="45"/>
      <c r="J156" s="46" t="str">
        <f>IFERROR(__xludf.DUMMYFUNCTION("""COMPUTED_VALUE"""),"AP")</f>
        <v>AP</v>
      </c>
      <c r="K156" s="47"/>
      <c r="L156" s="48" t="str">
        <f>IFERROR(__xludf.DUMMYFUNCTION("""COMPUTED_VALUE"""),"%")</f>
        <v>%</v>
      </c>
      <c r="M156" s="49">
        <f>IFERROR(__xludf.DUMMYFUNCTION("""COMPUTED_VALUE"""),1.0)</f>
        <v>1</v>
      </c>
      <c r="N156" s="50"/>
      <c r="O156" s="38"/>
      <c r="P156" s="45" t="str">
        <f>IFERROR(__xludf.DUMMYFUNCTION("""COMPUTED_VALUE"""),"")</f>
        <v/>
      </c>
      <c r="Q156" s="46" t="str">
        <f>IFERROR(__xludf.DUMMYFUNCTION("""COMPUTED_VALUE"""),"AP")</f>
        <v>AP</v>
      </c>
      <c r="R156" s="47" t="str">
        <f>IFERROR(__xludf.DUMMYFUNCTION("""COMPUTED_VALUE"""),"")</f>
        <v/>
      </c>
      <c r="S156" s="48" t="str">
        <f>IFERROR(__xludf.DUMMYFUNCTION("""COMPUTED_VALUE"""),"%")</f>
        <v>%</v>
      </c>
      <c r="T156" s="49">
        <f>IFERROR(__xludf.DUMMYFUNCTION("""COMPUTED_VALUE"""),2.0)</f>
        <v>2</v>
      </c>
      <c r="U156" s="50"/>
      <c r="V156" s="38"/>
      <c r="W156" s="45" t="str">
        <f>IFERROR(__xludf.DUMMYFUNCTION("""COMPUTED_VALUE"""),"")</f>
        <v/>
      </c>
      <c r="X156" s="46" t="str">
        <f>IFERROR(__xludf.DUMMYFUNCTION("""COMPUTED_VALUE"""),"AP")</f>
        <v>AP</v>
      </c>
      <c r="Y156" s="47" t="str">
        <f>IFERROR(__xludf.DUMMYFUNCTION("""COMPUTED_VALUE"""),"")</f>
        <v/>
      </c>
      <c r="Z156" s="48" t="str">
        <f>IFERROR(__xludf.DUMMYFUNCTION("""COMPUTED_VALUE"""),"%")</f>
        <v>%</v>
      </c>
      <c r="AA156" s="49">
        <f>IFERROR(__xludf.DUMMYFUNCTION("""COMPUTED_VALUE"""),3.0)</f>
        <v>3</v>
      </c>
      <c r="AB156" s="50"/>
      <c r="AC156" s="38"/>
      <c r="AD156" s="45" t="str">
        <f>IFERROR(__xludf.DUMMYFUNCTION("""COMPUTED_VALUE"""),"")</f>
        <v/>
      </c>
      <c r="AE156" s="46" t="str">
        <f>IFERROR(__xludf.DUMMYFUNCTION("""COMPUTED_VALUE"""),"AP")</f>
        <v>AP</v>
      </c>
      <c r="AF156" s="47" t="str">
        <f>IFERROR(__xludf.DUMMYFUNCTION("""COMPUTED_VALUE"""),"")</f>
        <v/>
      </c>
      <c r="AG156" s="48" t="str">
        <f>IFERROR(__xludf.DUMMYFUNCTION("""COMPUTED_VALUE"""),"%")</f>
        <v>%</v>
      </c>
      <c r="AH156" s="43"/>
      <c r="AI156" s="44"/>
      <c r="AJ156" s="51"/>
    </row>
    <row r="157" ht="24.75" hidden="1" customHeight="1">
      <c r="A157" s="28">
        <f>IFERROR(__xludf.DUMMYFUNCTION("""COMPUTED_VALUE"""),17.0)</f>
        <v>17</v>
      </c>
      <c r="B157" s="28" t="str">
        <f>IFERROR(__xludf.DUMMYFUNCTION("""COMPUTED_VALUE"""),"A307")</f>
        <v>A307</v>
      </c>
      <c r="C157" s="28"/>
      <c r="D157" s="29"/>
      <c r="E157" s="67"/>
      <c r="F157" s="31"/>
      <c r="G157" s="32"/>
      <c r="H157" s="33" t="str">
        <f>IFERROR(__xludf.DUMMYFUNCTION("""COMPUTED_VALUE""")," ")</f>
        <v> </v>
      </c>
      <c r="I157" s="34"/>
      <c r="J157" s="35" t="str">
        <f>IFERROR(__xludf.DUMMYFUNCTION("""COMPUTED_VALUE"""),"AP")</f>
        <v>AP</v>
      </c>
      <c r="K157" s="34"/>
      <c r="L157" s="35" t="str">
        <f>IFERROR(__xludf.DUMMYFUNCTION("""COMPUTED_VALUE"""),"%")</f>
        <v>%</v>
      </c>
      <c r="M157" s="36">
        <f>IFERROR(__xludf.DUMMYFUNCTION("""COMPUTED_VALUE"""),1.0)</f>
        <v>1</v>
      </c>
      <c r="N157" s="37"/>
      <c r="O157" s="38"/>
      <c r="P157" s="34" t="str">
        <f>IFERROR(__xludf.DUMMYFUNCTION("""COMPUTED_VALUE"""),"")</f>
        <v/>
      </c>
      <c r="Q157" s="35" t="str">
        <f>IFERROR(__xludf.DUMMYFUNCTION("""COMPUTED_VALUE"""),"AP")</f>
        <v>AP</v>
      </c>
      <c r="R157" s="34" t="str">
        <f>IFERROR(__xludf.DUMMYFUNCTION("""COMPUTED_VALUE"""),"")</f>
        <v/>
      </c>
      <c r="S157" s="35" t="str">
        <f>IFERROR(__xludf.DUMMYFUNCTION("""COMPUTED_VALUE"""),"%")</f>
        <v>%</v>
      </c>
      <c r="T157" s="36">
        <f>IFERROR(__xludf.DUMMYFUNCTION("""COMPUTED_VALUE"""),2.0)</f>
        <v>2</v>
      </c>
      <c r="U157" s="37"/>
      <c r="V157" s="38"/>
      <c r="W157" s="34" t="str">
        <f>IFERROR(__xludf.DUMMYFUNCTION("""COMPUTED_VALUE"""),"")</f>
        <v/>
      </c>
      <c r="X157" s="35" t="str">
        <f>IFERROR(__xludf.DUMMYFUNCTION("""COMPUTED_VALUE"""),"AP")</f>
        <v>AP</v>
      </c>
      <c r="Y157" s="34" t="str">
        <f>IFERROR(__xludf.DUMMYFUNCTION("""COMPUTED_VALUE"""),"")</f>
        <v/>
      </c>
      <c r="Z157" s="35" t="str">
        <f>IFERROR(__xludf.DUMMYFUNCTION("""COMPUTED_VALUE"""),"%")</f>
        <v>%</v>
      </c>
      <c r="AA157" s="36">
        <f>IFERROR(__xludf.DUMMYFUNCTION("""COMPUTED_VALUE"""),3.0)</f>
        <v>3</v>
      </c>
      <c r="AB157" s="37"/>
      <c r="AC157" s="38"/>
      <c r="AD157" s="34" t="str">
        <f>IFERROR(__xludf.DUMMYFUNCTION("""COMPUTED_VALUE"""),"")</f>
        <v/>
      </c>
      <c r="AE157" s="35" t="str">
        <f>IFERROR(__xludf.DUMMYFUNCTION("""COMPUTED_VALUE"""),"AP")</f>
        <v>AP</v>
      </c>
      <c r="AF157" s="34" t="str">
        <f>IFERROR(__xludf.DUMMYFUNCTION("""COMPUTED_VALUE"""),"")</f>
        <v/>
      </c>
      <c r="AG157" s="35" t="str">
        <f>IFERROR(__xludf.DUMMYFUNCTION("""COMPUTED_VALUE"""),"%")</f>
        <v>%</v>
      </c>
      <c r="AH157" s="31"/>
      <c r="AI157" s="32"/>
      <c r="AJ157" s="39"/>
    </row>
    <row r="158" ht="24.75" hidden="1" customHeight="1">
      <c r="A158" s="40">
        <f>IFERROR(__xludf.DUMMYFUNCTION("""COMPUTED_VALUE"""),18.0)</f>
        <v>18</v>
      </c>
      <c r="B158" s="40" t="str">
        <f>IFERROR(__xludf.DUMMYFUNCTION("""COMPUTED_VALUE"""),"A307")</f>
        <v>A307</v>
      </c>
      <c r="C158" s="40"/>
      <c r="D158" s="41"/>
      <c r="E158" s="66"/>
      <c r="F158" s="43"/>
      <c r="G158" s="44"/>
      <c r="H158" s="33" t="str">
        <f>IFERROR(__xludf.DUMMYFUNCTION("""COMPUTED_VALUE""")," ")</f>
        <v> </v>
      </c>
      <c r="I158" s="45"/>
      <c r="J158" s="46" t="str">
        <f>IFERROR(__xludf.DUMMYFUNCTION("""COMPUTED_VALUE"""),"AP")</f>
        <v>AP</v>
      </c>
      <c r="K158" s="47"/>
      <c r="L158" s="48" t="str">
        <f>IFERROR(__xludf.DUMMYFUNCTION("""COMPUTED_VALUE"""),"%")</f>
        <v>%</v>
      </c>
      <c r="M158" s="49">
        <f>IFERROR(__xludf.DUMMYFUNCTION("""COMPUTED_VALUE"""),1.0)</f>
        <v>1</v>
      </c>
      <c r="N158" s="50"/>
      <c r="O158" s="38"/>
      <c r="P158" s="45" t="str">
        <f>IFERROR(__xludf.DUMMYFUNCTION("""COMPUTED_VALUE"""),"")</f>
        <v/>
      </c>
      <c r="Q158" s="46" t="str">
        <f>IFERROR(__xludf.DUMMYFUNCTION("""COMPUTED_VALUE"""),"AP")</f>
        <v>AP</v>
      </c>
      <c r="R158" s="47" t="str">
        <f>IFERROR(__xludf.DUMMYFUNCTION("""COMPUTED_VALUE"""),"")</f>
        <v/>
      </c>
      <c r="S158" s="48" t="str">
        <f>IFERROR(__xludf.DUMMYFUNCTION("""COMPUTED_VALUE"""),"%")</f>
        <v>%</v>
      </c>
      <c r="T158" s="49">
        <f>IFERROR(__xludf.DUMMYFUNCTION("""COMPUTED_VALUE"""),2.0)</f>
        <v>2</v>
      </c>
      <c r="U158" s="50"/>
      <c r="V158" s="38"/>
      <c r="W158" s="45" t="str">
        <f>IFERROR(__xludf.DUMMYFUNCTION("""COMPUTED_VALUE"""),"")</f>
        <v/>
      </c>
      <c r="X158" s="46" t="str">
        <f>IFERROR(__xludf.DUMMYFUNCTION("""COMPUTED_VALUE"""),"AP")</f>
        <v>AP</v>
      </c>
      <c r="Y158" s="47" t="str">
        <f>IFERROR(__xludf.DUMMYFUNCTION("""COMPUTED_VALUE"""),"")</f>
        <v/>
      </c>
      <c r="Z158" s="48" t="str">
        <f>IFERROR(__xludf.DUMMYFUNCTION("""COMPUTED_VALUE"""),"%")</f>
        <v>%</v>
      </c>
      <c r="AA158" s="49">
        <f>IFERROR(__xludf.DUMMYFUNCTION("""COMPUTED_VALUE"""),3.0)</f>
        <v>3</v>
      </c>
      <c r="AB158" s="50"/>
      <c r="AC158" s="38"/>
      <c r="AD158" s="45" t="str">
        <f>IFERROR(__xludf.DUMMYFUNCTION("""COMPUTED_VALUE"""),"")</f>
        <v/>
      </c>
      <c r="AE158" s="46" t="str">
        <f>IFERROR(__xludf.DUMMYFUNCTION("""COMPUTED_VALUE"""),"AP")</f>
        <v>AP</v>
      </c>
      <c r="AF158" s="47" t="str">
        <f>IFERROR(__xludf.DUMMYFUNCTION("""COMPUTED_VALUE"""),"")</f>
        <v/>
      </c>
      <c r="AG158" s="48" t="str">
        <f>IFERROR(__xludf.DUMMYFUNCTION("""COMPUTED_VALUE"""),"%")</f>
        <v>%</v>
      </c>
      <c r="AH158" s="43"/>
      <c r="AI158" s="44"/>
      <c r="AJ158" s="51"/>
    </row>
    <row r="159" ht="24.75" hidden="1" customHeight="1">
      <c r="A159" s="28">
        <f>IFERROR(__xludf.DUMMYFUNCTION("""COMPUTED_VALUE"""),19.0)</f>
        <v>19</v>
      </c>
      <c r="B159" s="28" t="str">
        <f>IFERROR(__xludf.DUMMYFUNCTION("""COMPUTED_VALUE"""),"A307")</f>
        <v>A307</v>
      </c>
      <c r="C159" s="28"/>
      <c r="D159" s="29"/>
      <c r="E159" s="67"/>
      <c r="F159" s="31"/>
      <c r="G159" s="32"/>
      <c r="H159" s="33" t="str">
        <f>IFERROR(__xludf.DUMMYFUNCTION("""COMPUTED_VALUE""")," ")</f>
        <v> </v>
      </c>
      <c r="I159" s="34"/>
      <c r="J159" s="35" t="str">
        <f>IFERROR(__xludf.DUMMYFUNCTION("""COMPUTED_VALUE"""),"AP")</f>
        <v>AP</v>
      </c>
      <c r="K159" s="34"/>
      <c r="L159" s="35" t="str">
        <f>IFERROR(__xludf.DUMMYFUNCTION("""COMPUTED_VALUE"""),"%")</f>
        <v>%</v>
      </c>
      <c r="M159" s="36">
        <f>IFERROR(__xludf.DUMMYFUNCTION("""COMPUTED_VALUE"""),1.0)</f>
        <v>1</v>
      </c>
      <c r="N159" s="37"/>
      <c r="O159" s="38"/>
      <c r="P159" s="34" t="str">
        <f>IFERROR(__xludf.DUMMYFUNCTION("""COMPUTED_VALUE"""),"")</f>
        <v/>
      </c>
      <c r="Q159" s="35" t="str">
        <f>IFERROR(__xludf.DUMMYFUNCTION("""COMPUTED_VALUE"""),"AP")</f>
        <v>AP</v>
      </c>
      <c r="R159" s="34" t="str">
        <f>IFERROR(__xludf.DUMMYFUNCTION("""COMPUTED_VALUE"""),"")</f>
        <v/>
      </c>
      <c r="S159" s="35" t="str">
        <f>IFERROR(__xludf.DUMMYFUNCTION("""COMPUTED_VALUE"""),"%")</f>
        <v>%</v>
      </c>
      <c r="T159" s="36">
        <f>IFERROR(__xludf.DUMMYFUNCTION("""COMPUTED_VALUE"""),2.0)</f>
        <v>2</v>
      </c>
      <c r="U159" s="37"/>
      <c r="V159" s="38"/>
      <c r="W159" s="34" t="str">
        <f>IFERROR(__xludf.DUMMYFUNCTION("""COMPUTED_VALUE"""),"")</f>
        <v/>
      </c>
      <c r="X159" s="35" t="str">
        <f>IFERROR(__xludf.DUMMYFUNCTION("""COMPUTED_VALUE"""),"AP")</f>
        <v>AP</v>
      </c>
      <c r="Y159" s="34" t="str">
        <f>IFERROR(__xludf.DUMMYFUNCTION("""COMPUTED_VALUE"""),"")</f>
        <v/>
      </c>
      <c r="Z159" s="35" t="str">
        <f>IFERROR(__xludf.DUMMYFUNCTION("""COMPUTED_VALUE"""),"%")</f>
        <v>%</v>
      </c>
      <c r="AA159" s="36">
        <f>IFERROR(__xludf.DUMMYFUNCTION("""COMPUTED_VALUE"""),3.0)</f>
        <v>3</v>
      </c>
      <c r="AB159" s="37"/>
      <c r="AC159" s="38"/>
      <c r="AD159" s="34" t="str">
        <f>IFERROR(__xludf.DUMMYFUNCTION("""COMPUTED_VALUE"""),"")</f>
        <v/>
      </c>
      <c r="AE159" s="35" t="str">
        <f>IFERROR(__xludf.DUMMYFUNCTION("""COMPUTED_VALUE"""),"AP")</f>
        <v>AP</v>
      </c>
      <c r="AF159" s="34" t="str">
        <f>IFERROR(__xludf.DUMMYFUNCTION("""COMPUTED_VALUE"""),"")</f>
        <v/>
      </c>
      <c r="AG159" s="35" t="str">
        <f>IFERROR(__xludf.DUMMYFUNCTION("""COMPUTED_VALUE"""),"%")</f>
        <v>%</v>
      </c>
      <c r="AH159" s="31"/>
      <c r="AI159" s="32"/>
      <c r="AJ159" s="39"/>
    </row>
    <row r="160" ht="24.75" hidden="1" customHeight="1">
      <c r="A160" s="40">
        <f>IFERROR(__xludf.DUMMYFUNCTION("""COMPUTED_VALUE"""),20.0)</f>
        <v>20</v>
      </c>
      <c r="B160" s="40" t="str">
        <f>IFERROR(__xludf.DUMMYFUNCTION("""COMPUTED_VALUE"""),"A307")</f>
        <v>A307</v>
      </c>
      <c r="C160" s="40"/>
      <c r="D160" s="41"/>
      <c r="E160" s="66"/>
      <c r="F160" s="43"/>
      <c r="G160" s="44"/>
      <c r="H160" s="33" t="str">
        <f>IFERROR(__xludf.DUMMYFUNCTION("""COMPUTED_VALUE""")," ")</f>
        <v> </v>
      </c>
      <c r="I160" s="45"/>
      <c r="J160" s="46" t="str">
        <f>IFERROR(__xludf.DUMMYFUNCTION("""COMPUTED_VALUE"""),"AP")</f>
        <v>AP</v>
      </c>
      <c r="K160" s="47"/>
      <c r="L160" s="48" t="str">
        <f>IFERROR(__xludf.DUMMYFUNCTION("""COMPUTED_VALUE"""),"%")</f>
        <v>%</v>
      </c>
      <c r="M160" s="49">
        <f>IFERROR(__xludf.DUMMYFUNCTION("""COMPUTED_VALUE"""),1.0)</f>
        <v>1</v>
      </c>
      <c r="N160" s="50"/>
      <c r="O160" s="38"/>
      <c r="P160" s="45" t="str">
        <f>IFERROR(__xludf.DUMMYFUNCTION("""COMPUTED_VALUE"""),"")</f>
        <v/>
      </c>
      <c r="Q160" s="46" t="str">
        <f>IFERROR(__xludf.DUMMYFUNCTION("""COMPUTED_VALUE"""),"AP")</f>
        <v>AP</v>
      </c>
      <c r="R160" s="47" t="str">
        <f>IFERROR(__xludf.DUMMYFUNCTION("""COMPUTED_VALUE"""),"")</f>
        <v/>
      </c>
      <c r="S160" s="48" t="str">
        <f>IFERROR(__xludf.DUMMYFUNCTION("""COMPUTED_VALUE"""),"%")</f>
        <v>%</v>
      </c>
      <c r="T160" s="49">
        <f>IFERROR(__xludf.DUMMYFUNCTION("""COMPUTED_VALUE"""),2.0)</f>
        <v>2</v>
      </c>
      <c r="U160" s="50"/>
      <c r="V160" s="38"/>
      <c r="W160" s="45" t="str">
        <f>IFERROR(__xludf.DUMMYFUNCTION("""COMPUTED_VALUE"""),"")</f>
        <v/>
      </c>
      <c r="X160" s="46" t="str">
        <f>IFERROR(__xludf.DUMMYFUNCTION("""COMPUTED_VALUE"""),"AP")</f>
        <v>AP</v>
      </c>
      <c r="Y160" s="47" t="str">
        <f>IFERROR(__xludf.DUMMYFUNCTION("""COMPUTED_VALUE"""),"")</f>
        <v/>
      </c>
      <c r="Z160" s="48" t="str">
        <f>IFERROR(__xludf.DUMMYFUNCTION("""COMPUTED_VALUE"""),"%")</f>
        <v>%</v>
      </c>
      <c r="AA160" s="49">
        <f>IFERROR(__xludf.DUMMYFUNCTION("""COMPUTED_VALUE"""),3.0)</f>
        <v>3</v>
      </c>
      <c r="AB160" s="50"/>
      <c r="AC160" s="38"/>
      <c r="AD160" s="45" t="str">
        <f>IFERROR(__xludf.DUMMYFUNCTION("""COMPUTED_VALUE"""),"")</f>
        <v/>
      </c>
      <c r="AE160" s="46" t="str">
        <f>IFERROR(__xludf.DUMMYFUNCTION("""COMPUTED_VALUE"""),"AP")</f>
        <v>AP</v>
      </c>
      <c r="AF160" s="47" t="str">
        <f>IFERROR(__xludf.DUMMYFUNCTION("""COMPUTED_VALUE"""),"")</f>
        <v/>
      </c>
      <c r="AG160" s="48" t="str">
        <f>IFERROR(__xludf.DUMMYFUNCTION("""COMPUTED_VALUE"""),"%")</f>
        <v>%</v>
      </c>
      <c r="AH160" s="43"/>
      <c r="AI160" s="44"/>
      <c r="AJ160" s="51"/>
    </row>
    <row r="161">
      <c r="A161" s="52"/>
      <c r="B161" s="53"/>
      <c r="C161" s="54"/>
      <c r="D161" s="55"/>
      <c r="E161" s="56"/>
      <c r="F161" s="53"/>
      <c r="G161" s="53"/>
      <c r="H161" s="53"/>
      <c r="I161" s="53"/>
      <c r="J161" s="57"/>
      <c r="K161" s="53"/>
      <c r="L161" s="57"/>
      <c r="M161" s="53"/>
      <c r="N161" s="53"/>
      <c r="O161" s="53"/>
      <c r="P161" s="53"/>
      <c r="Q161" s="57"/>
      <c r="R161" s="53"/>
      <c r="S161" s="57"/>
      <c r="T161" s="53"/>
      <c r="U161" s="53"/>
      <c r="V161" s="53"/>
      <c r="W161" s="53"/>
      <c r="X161" s="57"/>
      <c r="Y161" s="53"/>
      <c r="Z161" s="57"/>
      <c r="AA161" s="53"/>
      <c r="AB161" s="53"/>
      <c r="AC161" s="53"/>
      <c r="AD161" s="53"/>
      <c r="AE161" s="57"/>
      <c r="AF161" s="53"/>
      <c r="AG161" s="57"/>
      <c r="AH161" s="53"/>
      <c r="AI161" s="53"/>
      <c r="AJ161" s="58"/>
    </row>
    <row r="162">
      <c r="A162" s="59"/>
      <c r="B162" s="60"/>
      <c r="C162" s="61"/>
      <c r="D162" s="62"/>
      <c r="E162" s="63"/>
      <c r="F162" s="60"/>
      <c r="G162" s="60"/>
      <c r="H162" s="60"/>
      <c r="I162" s="60"/>
      <c r="J162" s="64"/>
      <c r="K162" s="60"/>
      <c r="L162" s="64"/>
      <c r="M162" s="60"/>
      <c r="N162" s="60"/>
      <c r="O162" s="60"/>
      <c r="P162" s="60"/>
      <c r="Q162" s="64"/>
      <c r="R162" s="60"/>
      <c r="S162" s="64"/>
      <c r="T162" s="60"/>
      <c r="U162" s="60"/>
      <c r="V162" s="60"/>
      <c r="W162" s="60"/>
      <c r="X162" s="64"/>
      <c r="Y162" s="60"/>
      <c r="Z162" s="64"/>
      <c r="AA162" s="60"/>
      <c r="AB162" s="60"/>
      <c r="AC162" s="60"/>
      <c r="AD162" s="60"/>
      <c r="AE162" s="64"/>
      <c r="AF162" s="60"/>
      <c r="AG162" s="64"/>
      <c r="AH162" s="60"/>
      <c r="AI162" s="60"/>
      <c r="AJ162" s="65"/>
    </row>
    <row r="163" ht="33.0" customHeight="1">
      <c r="A163" s="20" t="str">
        <f>IFERROR(__xludf.DUMMYFUNCTION("""COMPUTED_VALUE""")," ")</f>
        <v> </v>
      </c>
      <c r="B163" s="21" t="str">
        <f>IFERROR(__xludf.DUMMYFUNCTION("""COMPUTED_VALUE"""),"A308")</f>
        <v>A308</v>
      </c>
      <c r="C163" s="20"/>
      <c r="D163" s="22" t="str">
        <f>IFERROR(__xludf.DUMMYFUNCTION("""COMPUTED_VALUE"""),"")</f>
        <v/>
      </c>
      <c r="E163" s="23" t="str">
        <f>IFERROR(__xludf.DUMMYFUNCTION("""COMPUTED_VALUE"""),"Stake of Wailing Night")</f>
        <v>Stake of Wailing Night</v>
      </c>
      <c r="F163" s="24"/>
      <c r="G163" s="24"/>
      <c r="H163" s="25"/>
      <c r="I163" s="25"/>
      <c r="J163" s="26"/>
      <c r="K163" s="25"/>
      <c r="L163" s="26"/>
      <c r="M163" s="25"/>
      <c r="N163" s="25"/>
      <c r="O163" s="25"/>
      <c r="P163" s="25"/>
      <c r="Q163" s="26"/>
      <c r="R163" s="25"/>
      <c r="S163" s="26"/>
      <c r="T163" s="25"/>
      <c r="U163" s="25"/>
      <c r="V163" s="25"/>
      <c r="W163" s="25"/>
      <c r="X163" s="26"/>
      <c r="Y163" s="25"/>
      <c r="Z163" s="26"/>
      <c r="AA163" s="25"/>
      <c r="AB163" s="25"/>
      <c r="AC163" s="25"/>
      <c r="AD163" s="25"/>
      <c r="AE163" s="26"/>
      <c r="AF163" s="25"/>
      <c r="AG163" s="26"/>
      <c r="AH163" s="24"/>
      <c r="AI163" s="25"/>
      <c r="AJ163" s="27"/>
    </row>
    <row r="164" ht="24.75" customHeight="1">
      <c r="A164" s="28">
        <f>IFERROR(__xludf.DUMMYFUNCTION("""COMPUTED_VALUE"""),1.0)</f>
        <v>1</v>
      </c>
      <c r="B164" s="28" t="str">
        <f>IFERROR(__xludf.DUMMYFUNCTION("""COMPUTED_VALUE"""),"A308")</f>
        <v>A308</v>
      </c>
      <c r="C164" s="28" t="str">
        <f>IFERROR(__xludf.DUMMYFUNCTION("""COMPUTED_VALUE"""),"SLM7")</f>
        <v>SLM7</v>
      </c>
      <c r="D164" s="29" t="str">
        <f>IFERROR(__xludf.DUMMYFUNCTION("""COMPUTED_VALUE"""),"Salem")</f>
        <v>Salem</v>
      </c>
      <c r="E164" s="30" t="str">
        <f>IFERROR(__xludf.DUMMYFUNCTION("""COMPUTED_VALUE"""),"Gallows Hill")</f>
        <v>Gallows Hill</v>
      </c>
      <c r="F164" s="31">
        <f>IFERROR(__xludf.DUMMYFUNCTION("""COMPUTED_VALUE"""),21.0)</f>
        <v>21</v>
      </c>
      <c r="G164" s="32">
        <f>IFERROR(__xludf.DUMMYFUNCTION("""COMPUTED_VALUE"""),29563.0)</f>
        <v>29563</v>
      </c>
      <c r="H164" s="33" t="str">
        <f>IFERROR(__xludf.DUMMYFUNCTION("""COMPUTED_VALUE"""),"")</f>
        <v/>
      </c>
      <c r="I164" s="34">
        <f>IFERROR(__xludf.DUMMYFUNCTION("""COMPUTED_VALUE"""),31.2)</f>
        <v>31.2</v>
      </c>
      <c r="J164" s="35" t="str">
        <f>IFERROR(__xludf.DUMMYFUNCTION("""COMPUTED_VALUE"""),"AP")</f>
        <v>AP</v>
      </c>
      <c r="K164" s="34">
        <f>IFERROR(__xludf.DUMMYFUNCTION("""COMPUTED_VALUE"""),67.4)</f>
        <v>67.4</v>
      </c>
      <c r="L164" s="35" t="str">
        <f>IFERROR(__xludf.DUMMYFUNCTION("""COMPUTED_VALUE"""),"%")</f>
        <v>%</v>
      </c>
      <c r="M164" s="36">
        <f>IFERROR(__xludf.DUMMYFUNCTION("""COMPUTED_VALUE"""),1.0)</f>
        <v>1</v>
      </c>
      <c r="N164" s="37" t="str">
        <f>IFERROR(__xludf.DUMMYFUNCTION("""COMPUTED_VALUE"""),"B116")</f>
        <v>B116</v>
      </c>
      <c r="O164" s="38" t="str">
        <f>IFERROR(__xludf.DUMMYFUNCTION("""COMPUTED_VALUE"""),"")</f>
        <v/>
      </c>
      <c r="P164" s="34">
        <f>IFERROR(__xludf.DUMMYFUNCTION("""COMPUTED_VALUE"""),137.3)</f>
        <v>137.3</v>
      </c>
      <c r="Q164" s="35" t="str">
        <f>IFERROR(__xludf.DUMMYFUNCTION("""COMPUTED_VALUE"""),"AP")</f>
        <v>AP</v>
      </c>
      <c r="R164" s="34">
        <f>IFERROR(__xludf.DUMMYFUNCTION("""COMPUTED_VALUE"""),15.3)</f>
        <v>15.3</v>
      </c>
      <c r="S164" s="35" t="str">
        <f>IFERROR(__xludf.DUMMYFUNCTION("""COMPUTED_VALUE"""),"%")</f>
        <v>%</v>
      </c>
      <c r="T164" s="36">
        <f>IFERROR(__xludf.DUMMYFUNCTION("""COMPUTED_VALUE"""),2.0)</f>
        <v>2</v>
      </c>
      <c r="U164" s="37"/>
      <c r="V164" s="38"/>
      <c r="W164" s="34" t="str">
        <f>IFERROR(__xludf.DUMMYFUNCTION("""COMPUTED_VALUE"""),"")</f>
        <v/>
      </c>
      <c r="X164" s="35" t="str">
        <f>IFERROR(__xludf.DUMMYFUNCTION("""COMPUTED_VALUE"""),"AP")</f>
        <v>AP</v>
      </c>
      <c r="Y164" s="34" t="str">
        <f>IFERROR(__xludf.DUMMYFUNCTION("""COMPUTED_VALUE"""),"")</f>
        <v/>
      </c>
      <c r="Z164" s="35" t="str">
        <f>IFERROR(__xludf.DUMMYFUNCTION("""COMPUTED_VALUE"""),"%")</f>
        <v>%</v>
      </c>
      <c r="AA164" s="36">
        <f>IFERROR(__xludf.DUMMYFUNCTION("""COMPUTED_VALUE"""),3.0)</f>
        <v>3</v>
      </c>
      <c r="AB164" s="37"/>
      <c r="AC164" s="38"/>
      <c r="AD164" s="34" t="str">
        <f>IFERROR(__xludf.DUMMYFUNCTION("""COMPUTED_VALUE"""),"")</f>
        <v/>
      </c>
      <c r="AE164" s="35" t="str">
        <f>IFERROR(__xludf.DUMMYFUNCTION("""COMPUTED_VALUE"""),"AP")</f>
        <v>AP</v>
      </c>
      <c r="AF164" s="34" t="str">
        <f>IFERROR(__xludf.DUMMYFUNCTION("""COMPUTED_VALUE"""),"")</f>
        <v/>
      </c>
      <c r="AG164" s="35" t="str">
        <f>IFERROR(__xludf.DUMMYFUNCTION("""COMPUTED_VALUE"""),"%")</f>
        <v>%</v>
      </c>
      <c r="AH164" s="31">
        <f>IFERROR(__xludf.DUMMYFUNCTION("""COMPUTED_VALUE"""),21.0)</f>
        <v>21</v>
      </c>
      <c r="AI164" s="32">
        <f>IFERROR(__xludf.DUMMYFUNCTION("""COMPUTED_VALUE"""),29563.0)</f>
        <v>29563</v>
      </c>
      <c r="AJ164" s="39" t="str">
        <f>IFERROR(__xludf.DUMMYFUNCTION("""COMPUTED_VALUE"""),"ガローの丘")</f>
        <v>ガローの丘</v>
      </c>
    </row>
    <row r="165" ht="24.75" customHeight="1">
      <c r="A165" s="40">
        <f>IFERROR(__xludf.DUMMYFUNCTION("""COMPUTED_VALUE"""),2.0)</f>
        <v>2</v>
      </c>
      <c r="B165" s="40" t="str">
        <f>IFERROR(__xludf.DUMMYFUNCTION("""COMPUTED_VALUE"""),"A308")</f>
        <v>A308</v>
      </c>
      <c r="C165" s="40" t="str">
        <f>IFERROR(__xludf.DUMMYFUNCTION("""COMPUTED_VALUE"""),"SLM2")</f>
        <v>SLM2</v>
      </c>
      <c r="D165" s="41" t="str">
        <f>IFERROR(__xludf.DUMMYFUNCTION("""COMPUTED_VALUE"""),"Salem")</f>
        <v>Salem</v>
      </c>
      <c r="E165" s="42" t="str">
        <f>IFERROR(__xludf.DUMMYFUNCTION("""COMPUTED_VALUE"""),"Carter Residence")</f>
        <v>Carter Residence</v>
      </c>
      <c r="F165" s="43">
        <f>IFERROR(__xludf.DUMMYFUNCTION("""COMPUTED_VALUE"""),20.0)</f>
        <v>20</v>
      </c>
      <c r="G165" s="44">
        <f>IFERROR(__xludf.DUMMYFUNCTION("""COMPUTED_VALUE"""),120434.0)</f>
        <v>120434</v>
      </c>
      <c r="H165" s="33" t="str">
        <f>IFERROR(__xludf.DUMMYFUNCTION("""COMPUTED_VALUE"""),"")</f>
        <v/>
      </c>
      <c r="I165" s="45">
        <f>IFERROR(__xludf.DUMMYFUNCTION("""COMPUTED_VALUE"""),50.0)</f>
        <v>50</v>
      </c>
      <c r="J165" s="46" t="str">
        <f>IFERROR(__xludf.DUMMYFUNCTION("""COMPUTED_VALUE"""),"AP")</f>
        <v>AP</v>
      </c>
      <c r="K165" s="47">
        <f>IFERROR(__xludf.DUMMYFUNCTION("""COMPUTED_VALUE"""),40.0)</f>
        <v>40</v>
      </c>
      <c r="L165" s="48" t="str">
        <f>IFERROR(__xludf.DUMMYFUNCTION("""COMPUTED_VALUE"""),"%")</f>
        <v>%</v>
      </c>
      <c r="M165" s="49">
        <f>IFERROR(__xludf.DUMMYFUNCTION("""COMPUTED_VALUE"""),1.0)</f>
        <v>1</v>
      </c>
      <c r="N165" s="50" t="str">
        <f>IFERROR(__xludf.DUMMYFUNCTION("""COMPUTED_VALUE"""),"A102")</f>
        <v>A102</v>
      </c>
      <c r="O165" s="38" t="str">
        <f>IFERROR(__xludf.DUMMYFUNCTION("""COMPUTED_VALUE"""),"")</f>
        <v/>
      </c>
      <c r="P165" s="45">
        <f>IFERROR(__xludf.DUMMYFUNCTION("""COMPUTED_VALUE"""),162.9)</f>
        <v>162.9</v>
      </c>
      <c r="Q165" s="46" t="str">
        <f>IFERROR(__xludf.DUMMYFUNCTION("""COMPUTED_VALUE"""),"AP")</f>
        <v>AP</v>
      </c>
      <c r="R165" s="47">
        <f>IFERROR(__xludf.DUMMYFUNCTION("""COMPUTED_VALUE"""),12.3)</f>
        <v>12.3</v>
      </c>
      <c r="S165" s="48" t="str">
        <f>IFERROR(__xludf.DUMMYFUNCTION("""COMPUTED_VALUE"""),"%")</f>
        <v>%</v>
      </c>
      <c r="T165" s="49">
        <f>IFERROR(__xludf.DUMMYFUNCTION("""COMPUTED_VALUE"""),2.0)</f>
        <v>2</v>
      </c>
      <c r="U165" s="50" t="str">
        <f>IFERROR(__xludf.DUMMYFUNCTION("""COMPUTED_VALUE"""),"B105")</f>
        <v>B105</v>
      </c>
      <c r="V165" s="38" t="str">
        <f>IFERROR(__xludf.DUMMYFUNCTION("""COMPUTED_VALUE"""),"")</f>
        <v/>
      </c>
      <c r="W165" s="45">
        <f>IFERROR(__xludf.DUMMYFUNCTION("""COMPUTED_VALUE"""),454.1)</f>
        <v>454.1</v>
      </c>
      <c r="X165" s="46" t="str">
        <f>IFERROR(__xludf.DUMMYFUNCTION("""COMPUTED_VALUE"""),"AP")</f>
        <v>AP</v>
      </c>
      <c r="Y165" s="47">
        <f>IFERROR(__xludf.DUMMYFUNCTION("""COMPUTED_VALUE"""),4.4)</f>
        <v>4.4</v>
      </c>
      <c r="Z165" s="48" t="str">
        <f>IFERROR(__xludf.DUMMYFUNCTION("""COMPUTED_VALUE"""),"%")</f>
        <v>%</v>
      </c>
      <c r="AA165" s="49">
        <f>IFERROR(__xludf.DUMMYFUNCTION("""COMPUTED_VALUE"""),3.0)</f>
        <v>3</v>
      </c>
      <c r="AB165" s="50" t="str">
        <f>IFERROR(__xludf.DUMMYFUNCTION("""COMPUTED_VALUE"""),"B116")</f>
        <v>B116</v>
      </c>
      <c r="AC165" s="38" t="str">
        <f>IFERROR(__xludf.DUMMYFUNCTION("""COMPUTED_VALUE"""),"")</f>
        <v/>
      </c>
      <c r="AD165" s="45">
        <f>IFERROR(__xludf.DUMMYFUNCTION("""COMPUTED_VALUE"""),80.2)</f>
        <v>80.2</v>
      </c>
      <c r="AE165" s="46" t="str">
        <f>IFERROR(__xludf.DUMMYFUNCTION("""COMPUTED_VALUE"""),"AP")</f>
        <v>AP</v>
      </c>
      <c r="AF165" s="47">
        <f>IFERROR(__xludf.DUMMYFUNCTION("""COMPUTED_VALUE"""),24.9)</f>
        <v>24.9</v>
      </c>
      <c r="AG165" s="48" t="str">
        <f>IFERROR(__xludf.DUMMYFUNCTION("""COMPUTED_VALUE"""),"%")</f>
        <v>%</v>
      </c>
      <c r="AH165" s="43">
        <f>IFERROR(__xludf.DUMMYFUNCTION("""COMPUTED_VALUE"""),20.0)</f>
        <v>20</v>
      </c>
      <c r="AI165" s="44">
        <f>IFERROR(__xludf.DUMMYFUNCTION("""COMPUTED_VALUE"""),120434.0)</f>
        <v>120434</v>
      </c>
      <c r="AJ165" s="51" t="str">
        <f>IFERROR(__xludf.DUMMYFUNCTION("""COMPUTED_VALUE"""),"カーター家")</f>
        <v>カーター家</v>
      </c>
    </row>
    <row r="166" ht="24.75" customHeight="1">
      <c r="A166" s="28">
        <f>IFERROR(__xludf.DUMMYFUNCTION("""COMPUTED_VALUE"""),3.0)</f>
        <v>3</v>
      </c>
      <c r="B166" s="28" t="str">
        <f>IFERROR(__xludf.DUMMYFUNCTION("""COMPUTED_VALUE"""),"A308")</f>
        <v>A308</v>
      </c>
      <c r="C166" s="28" t="str">
        <f>IFERROR(__xludf.DUMMYFUNCTION("""COMPUTED_VALUE"""),"SLM6")</f>
        <v>SLM6</v>
      </c>
      <c r="D166" s="29" t="str">
        <f>IFERROR(__xludf.DUMMYFUNCTION("""COMPUTED_VALUE"""),"Salem")</f>
        <v>Salem</v>
      </c>
      <c r="E166" s="30" t="str">
        <f>IFERROR(__xludf.DUMMYFUNCTION("""COMPUTED_VALUE"""),"Isolated Mansion")</f>
        <v>Isolated Mansion</v>
      </c>
      <c r="F166" s="31">
        <f>IFERROR(__xludf.DUMMYFUNCTION("""COMPUTED_VALUE"""),21.0)</f>
        <v>21</v>
      </c>
      <c r="G166" s="32">
        <f>IFERROR(__xludf.DUMMYFUNCTION("""COMPUTED_VALUE"""),19538.0)</f>
        <v>19538</v>
      </c>
      <c r="H166" s="33" t="str">
        <f>IFERROR(__xludf.DUMMYFUNCTION("""COMPUTED_VALUE"""),"")</f>
        <v/>
      </c>
      <c r="I166" s="34">
        <f>IFERROR(__xludf.DUMMYFUNCTION("""COMPUTED_VALUE"""),51.6)</f>
        <v>51.6</v>
      </c>
      <c r="J166" s="35" t="str">
        <f>IFERROR(__xludf.DUMMYFUNCTION("""COMPUTED_VALUE"""),"AP")</f>
        <v>AP</v>
      </c>
      <c r="K166" s="34">
        <f>IFERROR(__xludf.DUMMYFUNCTION("""COMPUTED_VALUE"""),40.7)</f>
        <v>40.7</v>
      </c>
      <c r="L166" s="35" t="str">
        <f>IFERROR(__xludf.DUMMYFUNCTION("""COMPUTED_VALUE"""),"%")</f>
        <v>%</v>
      </c>
      <c r="M166" s="36">
        <f>IFERROR(__xludf.DUMMYFUNCTION("""COMPUTED_VALUE"""),1.0)</f>
        <v>1</v>
      </c>
      <c r="N166" s="37" t="str">
        <f>IFERROR(__xludf.DUMMYFUNCTION("""COMPUTED_VALUE"""),"A305")</f>
        <v>A305</v>
      </c>
      <c r="O166" s="38" t="str">
        <f>IFERROR(__xludf.DUMMYFUNCTION("""COMPUTED_VALUE"""),"")</f>
        <v/>
      </c>
      <c r="P166" s="34">
        <f>IFERROR(__xludf.DUMMYFUNCTION("""COMPUTED_VALUE"""),51.5)</f>
        <v>51.5</v>
      </c>
      <c r="Q166" s="35" t="str">
        <f>IFERROR(__xludf.DUMMYFUNCTION("""COMPUTED_VALUE"""),"AP")</f>
        <v>AP</v>
      </c>
      <c r="R166" s="34">
        <f>IFERROR(__xludf.DUMMYFUNCTION("""COMPUTED_VALUE"""),40.8)</f>
        <v>40.8</v>
      </c>
      <c r="S166" s="35" t="str">
        <f>IFERROR(__xludf.DUMMYFUNCTION("""COMPUTED_VALUE"""),"%")</f>
        <v>%</v>
      </c>
      <c r="T166" s="36">
        <f>IFERROR(__xludf.DUMMYFUNCTION("""COMPUTED_VALUE"""),2.0)</f>
        <v>2</v>
      </c>
      <c r="U166" s="37"/>
      <c r="V166" s="38"/>
      <c r="W166" s="34" t="str">
        <f>IFERROR(__xludf.DUMMYFUNCTION("""COMPUTED_VALUE"""),"")</f>
        <v/>
      </c>
      <c r="X166" s="35" t="str">
        <f>IFERROR(__xludf.DUMMYFUNCTION("""COMPUTED_VALUE"""),"AP")</f>
        <v>AP</v>
      </c>
      <c r="Y166" s="34" t="str">
        <f>IFERROR(__xludf.DUMMYFUNCTION("""COMPUTED_VALUE"""),"")</f>
        <v/>
      </c>
      <c r="Z166" s="35" t="str">
        <f>IFERROR(__xludf.DUMMYFUNCTION("""COMPUTED_VALUE"""),"%")</f>
        <v>%</v>
      </c>
      <c r="AA166" s="36">
        <f>IFERROR(__xludf.DUMMYFUNCTION("""COMPUTED_VALUE"""),3.0)</f>
        <v>3</v>
      </c>
      <c r="AB166" s="37"/>
      <c r="AC166" s="38"/>
      <c r="AD166" s="34" t="str">
        <f>IFERROR(__xludf.DUMMYFUNCTION("""COMPUTED_VALUE"""),"")</f>
        <v/>
      </c>
      <c r="AE166" s="35" t="str">
        <f>IFERROR(__xludf.DUMMYFUNCTION("""COMPUTED_VALUE"""),"AP")</f>
        <v>AP</v>
      </c>
      <c r="AF166" s="34" t="str">
        <f>IFERROR(__xludf.DUMMYFUNCTION("""COMPUTED_VALUE"""),"")</f>
        <v/>
      </c>
      <c r="AG166" s="35" t="str">
        <f>IFERROR(__xludf.DUMMYFUNCTION("""COMPUTED_VALUE"""),"%")</f>
        <v>%</v>
      </c>
      <c r="AH166" s="31">
        <f>IFERROR(__xludf.DUMMYFUNCTION("""COMPUTED_VALUE"""),21.0)</f>
        <v>21</v>
      </c>
      <c r="AI166" s="32">
        <f>IFERROR(__xludf.DUMMYFUNCTION("""COMPUTED_VALUE"""),19538.0)</f>
        <v>19538</v>
      </c>
      <c r="AJ166" s="39" t="str">
        <f>IFERROR(__xludf.DUMMYFUNCTION("""COMPUTED_VALUE"""),"郊外の屋敷")</f>
        <v>郊外の屋敷</v>
      </c>
    </row>
    <row r="167" ht="24.75" customHeight="1">
      <c r="A167" s="40">
        <f>IFERROR(__xludf.DUMMYFUNCTION("""COMPUTED_VALUE"""),4.0)</f>
        <v>4</v>
      </c>
      <c r="B167" s="40" t="str">
        <f>IFERROR(__xludf.DUMMYFUNCTION("""COMPUTED_VALUE"""),"A308")</f>
        <v>A308</v>
      </c>
      <c r="C167" s="40" t="str">
        <f>IFERROR(__xludf.DUMMYFUNCTION("""COMPUTED_VALUE"""),"SLM9")</f>
        <v>SLM9</v>
      </c>
      <c r="D167" s="41" t="str">
        <f>IFERROR(__xludf.DUMMYFUNCTION("""COMPUTED_VALUE"""),"Salem")</f>
        <v>Salem</v>
      </c>
      <c r="E167" s="42" t="str">
        <f>IFERROR(__xludf.DUMMYFUNCTION("""COMPUTED_VALUE"""),"Empty House")</f>
        <v>Empty House</v>
      </c>
      <c r="F167" s="43">
        <f>IFERROR(__xludf.DUMMYFUNCTION("""COMPUTED_VALUE"""),21.0)</f>
        <v>21</v>
      </c>
      <c r="G167" s="44">
        <f>IFERROR(__xludf.DUMMYFUNCTION("""COMPUTED_VALUE"""),15956.0)</f>
        <v>15956</v>
      </c>
      <c r="H167" s="33" t="str">
        <f>IFERROR(__xludf.DUMMYFUNCTION("""COMPUTED_VALUE"""),"")</f>
        <v/>
      </c>
      <c r="I167" s="45">
        <f>IFERROR(__xludf.DUMMYFUNCTION("""COMPUTED_VALUE"""),51.8)</f>
        <v>51.8</v>
      </c>
      <c r="J167" s="46" t="str">
        <f>IFERROR(__xludf.DUMMYFUNCTION("""COMPUTED_VALUE"""),"AP")</f>
        <v>AP</v>
      </c>
      <c r="K167" s="47">
        <f>IFERROR(__xludf.DUMMYFUNCTION("""COMPUTED_VALUE"""),40.5)</f>
        <v>40.5</v>
      </c>
      <c r="L167" s="48" t="str">
        <f>IFERROR(__xludf.DUMMYFUNCTION("""COMPUTED_VALUE"""),"%")</f>
        <v>%</v>
      </c>
      <c r="M167" s="49">
        <f>IFERROR(__xludf.DUMMYFUNCTION("""COMPUTED_VALUE"""),1.0)</f>
        <v>1</v>
      </c>
      <c r="N167" s="50" t="str">
        <f>IFERROR(__xludf.DUMMYFUNCTION("""COMPUTED_VALUE"""),"A205")</f>
        <v>A205</v>
      </c>
      <c r="O167" s="38" t="str">
        <f>IFERROR(__xludf.DUMMYFUNCTION("""COMPUTED_VALUE"""),"")</f>
        <v/>
      </c>
      <c r="P167" s="45">
        <f>IFERROR(__xludf.DUMMYFUNCTION("""COMPUTED_VALUE"""),101.0)</f>
        <v>101</v>
      </c>
      <c r="Q167" s="46" t="str">
        <f>IFERROR(__xludf.DUMMYFUNCTION("""COMPUTED_VALUE"""),"AP")</f>
        <v>AP</v>
      </c>
      <c r="R167" s="47">
        <f>IFERROR(__xludf.DUMMYFUNCTION("""COMPUTED_VALUE"""),20.8)</f>
        <v>20.8</v>
      </c>
      <c r="S167" s="48" t="str">
        <f>IFERROR(__xludf.DUMMYFUNCTION("""COMPUTED_VALUE"""),"%")</f>
        <v>%</v>
      </c>
      <c r="T167" s="49">
        <f>IFERROR(__xludf.DUMMYFUNCTION("""COMPUTED_VALUE"""),2.0)</f>
        <v>2</v>
      </c>
      <c r="U167" s="50" t="str">
        <f>IFERROR(__xludf.DUMMYFUNCTION("""COMPUTED_VALUE"""),"B115")</f>
        <v>B115</v>
      </c>
      <c r="V167" s="38" t="str">
        <f>IFERROR(__xludf.DUMMYFUNCTION("""COMPUTED_VALUE"""),"")</f>
        <v/>
      </c>
      <c r="W167" s="45">
        <f>IFERROR(__xludf.DUMMYFUNCTION("""COMPUTED_VALUE"""),139.0)</f>
        <v>139</v>
      </c>
      <c r="X167" s="46" t="str">
        <f>IFERROR(__xludf.DUMMYFUNCTION("""COMPUTED_VALUE"""),"AP")</f>
        <v>AP</v>
      </c>
      <c r="Y167" s="47">
        <f>IFERROR(__xludf.DUMMYFUNCTION("""COMPUTED_VALUE"""),15.1)</f>
        <v>15.1</v>
      </c>
      <c r="Z167" s="48" t="str">
        <f>IFERROR(__xludf.DUMMYFUNCTION("""COMPUTED_VALUE"""),"%")</f>
        <v>%</v>
      </c>
      <c r="AA167" s="49">
        <f>IFERROR(__xludf.DUMMYFUNCTION("""COMPUTED_VALUE"""),3.0)</f>
        <v>3</v>
      </c>
      <c r="AB167" s="50"/>
      <c r="AC167" s="38"/>
      <c r="AD167" s="45" t="str">
        <f>IFERROR(__xludf.DUMMYFUNCTION("""COMPUTED_VALUE"""),"")</f>
        <v/>
      </c>
      <c r="AE167" s="46" t="str">
        <f>IFERROR(__xludf.DUMMYFUNCTION("""COMPUTED_VALUE"""),"AP")</f>
        <v>AP</v>
      </c>
      <c r="AF167" s="47" t="str">
        <f>IFERROR(__xludf.DUMMYFUNCTION("""COMPUTED_VALUE"""),"")</f>
        <v/>
      </c>
      <c r="AG167" s="48" t="str">
        <f>IFERROR(__xludf.DUMMYFUNCTION("""COMPUTED_VALUE"""),"%")</f>
        <v>%</v>
      </c>
      <c r="AH167" s="43">
        <f>IFERROR(__xludf.DUMMYFUNCTION("""COMPUTED_VALUE"""),21.0)</f>
        <v>21</v>
      </c>
      <c r="AI167" s="44">
        <f>IFERROR(__xludf.DUMMYFUNCTION("""COMPUTED_VALUE"""),15956.0)</f>
        <v>15956</v>
      </c>
      <c r="AJ167" s="51" t="str">
        <f>IFERROR(__xludf.DUMMYFUNCTION("""COMPUTED_VALUE"""),"空き家")</f>
        <v>空き家</v>
      </c>
    </row>
    <row r="168" ht="24.75" customHeight="1">
      <c r="A168" s="28">
        <f>IFERROR(__xludf.DUMMYFUNCTION("""COMPUTED_VALUE"""),5.0)</f>
        <v>5</v>
      </c>
      <c r="B168" s="28" t="str">
        <f>IFERROR(__xludf.DUMMYFUNCTION("""COMPUTED_VALUE"""),"A308")</f>
        <v>A308</v>
      </c>
      <c r="C168" s="28" t="str">
        <f>IFERROR(__xludf.DUMMYFUNCTION("""COMPUTED_VALUE"""),"SLM8")</f>
        <v>SLM8</v>
      </c>
      <c r="D168" s="29" t="str">
        <f>IFERROR(__xludf.DUMMYFUNCTION("""COMPUTED_VALUE"""),"Salem")</f>
        <v>Salem</v>
      </c>
      <c r="E168" s="30" t="str">
        <f>IFERROR(__xludf.DUMMYFUNCTION("""COMPUTED_VALUE"""),"Meadow")</f>
        <v>Meadow</v>
      </c>
      <c r="F168" s="31">
        <f>IFERROR(__xludf.DUMMYFUNCTION("""COMPUTED_VALUE"""),21.0)</f>
        <v>21</v>
      </c>
      <c r="G168" s="32">
        <f>IFERROR(__xludf.DUMMYFUNCTION("""COMPUTED_VALUE"""),18155.0)</f>
        <v>18155</v>
      </c>
      <c r="H168" s="33" t="str">
        <f>IFERROR(__xludf.DUMMYFUNCTION("""COMPUTED_VALUE"""),"")</f>
        <v/>
      </c>
      <c r="I168" s="34">
        <f>IFERROR(__xludf.DUMMYFUNCTION("""COMPUTED_VALUE"""),52.4)</f>
        <v>52.4</v>
      </c>
      <c r="J168" s="35" t="str">
        <f>IFERROR(__xludf.DUMMYFUNCTION("""COMPUTED_VALUE"""),"AP")</f>
        <v>AP</v>
      </c>
      <c r="K168" s="34">
        <f>IFERROR(__xludf.DUMMYFUNCTION("""COMPUTED_VALUE"""),40.1)</f>
        <v>40.1</v>
      </c>
      <c r="L168" s="35" t="str">
        <f>IFERROR(__xludf.DUMMYFUNCTION("""COMPUTED_VALUE"""),"%")</f>
        <v>%</v>
      </c>
      <c r="M168" s="36">
        <f>IFERROR(__xludf.DUMMYFUNCTION("""COMPUTED_VALUE"""),1.0)</f>
        <v>1</v>
      </c>
      <c r="N168" s="37" t="str">
        <f>IFERROR(__xludf.DUMMYFUNCTION("""COMPUTED_VALUE"""),"A201")</f>
        <v>A201</v>
      </c>
      <c r="O168" s="38" t="str">
        <f>IFERROR(__xludf.DUMMYFUNCTION("""COMPUTED_VALUE"""),"")</f>
        <v/>
      </c>
      <c r="P168" s="34">
        <f>IFERROR(__xludf.DUMMYFUNCTION("""COMPUTED_VALUE"""),59.8)</f>
        <v>59.8</v>
      </c>
      <c r="Q168" s="35" t="str">
        <f>IFERROR(__xludf.DUMMYFUNCTION("""COMPUTED_VALUE"""),"AP")</f>
        <v>AP</v>
      </c>
      <c r="R168" s="34">
        <f>IFERROR(__xludf.DUMMYFUNCTION("""COMPUTED_VALUE"""),35.1)</f>
        <v>35.1</v>
      </c>
      <c r="S168" s="35" t="str">
        <f>IFERROR(__xludf.DUMMYFUNCTION("""COMPUTED_VALUE"""),"%")</f>
        <v>%</v>
      </c>
      <c r="T168" s="36">
        <f>IFERROR(__xludf.DUMMYFUNCTION("""COMPUTED_VALUE"""),2.0)</f>
        <v>2</v>
      </c>
      <c r="U168" s="37"/>
      <c r="V168" s="38"/>
      <c r="W168" s="34" t="str">
        <f>IFERROR(__xludf.DUMMYFUNCTION("""COMPUTED_VALUE"""),"")</f>
        <v/>
      </c>
      <c r="X168" s="35" t="str">
        <f>IFERROR(__xludf.DUMMYFUNCTION("""COMPUTED_VALUE"""),"AP")</f>
        <v>AP</v>
      </c>
      <c r="Y168" s="34" t="str">
        <f>IFERROR(__xludf.DUMMYFUNCTION("""COMPUTED_VALUE"""),"")</f>
        <v/>
      </c>
      <c r="Z168" s="35" t="str">
        <f>IFERROR(__xludf.DUMMYFUNCTION("""COMPUTED_VALUE"""),"%")</f>
        <v>%</v>
      </c>
      <c r="AA168" s="36">
        <f>IFERROR(__xludf.DUMMYFUNCTION("""COMPUTED_VALUE"""),3.0)</f>
        <v>3</v>
      </c>
      <c r="AB168" s="37"/>
      <c r="AC168" s="38"/>
      <c r="AD168" s="34" t="str">
        <f>IFERROR(__xludf.DUMMYFUNCTION("""COMPUTED_VALUE"""),"")</f>
        <v/>
      </c>
      <c r="AE168" s="35" t="str">
        <f>IFERROR(__xludf.DUMMYFUNCTION("""COMPUTED_VALUE"""),"AP")</f>
        <v>AP</v>
      </c>
      <c r="AF168" s="34" t="str">
        <f>IFERROR(__xludf.DUMMYFUNCTION("""COMPUTED_VALUE"""),"")</f>
        <v/>
      </c>
      <c r="AG168" s="35" t="str">
        <f>IFERROR(__xludf.DUMMYFUNCTION("""COMPUTED_VALUE"""),"%")</f>
        <v>%</v>
      </c>
      <c r="AH168" s="31">
        <f>IFERROR(__xludf.DUMMYFUNCTION("""COMPUTED_VALUE"""),21.0)</f>
        <v>21</v>
      </c>
      <c r="AI168" s="32">
        <f>IFERROR(__xludf.DUMMYFUNCTION("""COMPUTED_VALUE"""),18155.0)</f>
        <v>18155</v>
      </c>
      <c r="AJ168" s="39" t="str">
        <f>IFERROR(__xludf.DUMMYFUNCTION("""COMPUTED_VALUE"""),"牧草地")</f>
        <v>牧草地</v>
      </c>
    </row>
    <row r="169" ht="24.75" customHeight="1">
      <c r="A169" s="40">
        <f>IFERROR(__xludf.DUMMYFUNCTION("""COMPUTED_VALUE"""),6.0)</f>
        <v>6</v>
      </c>
      <c r="B169" s="40" t="str">
        <f>IFERROR(__xludf.DUMMYFUNCTION("""COMPUTED_VALUE"""),"A308")</f>
        <v>A308</v>
      </c>
      <c r="C169" s="40"/>
      <c r="D169" s="41"/>
      <c r="E169" s="66"/>
      <c r="F169" s="43"/>
      <c r="G169" s="44"/>
      <c r="H169" s="33" t="str">
        <f>IFERROR(__xludf.DUMMYFUNCTION("""COMPUTED_VALUE""")," ")</f>
        <v> </v>
      </c>
      <c r="I169" s="45"/>
      <c r="J169" s="46" t="str">
        <f>IFERROR(__xludf.DUMMYFUNCTION("""COMPUTED_VALUE"""),"AP")</f>
        <v>AP</v>
      </c>
      <c r="K169" s="47"/>
      <c r="L169" s="48" t="str">
        <f>IFERROR(__xludf.DUMMYFUNCTION("""COMPUTED_VALUE"""),"%")</f>
        <v>%</v>
      </c>
      <c r="M169" s="49">
        <f>IFERROR(__xludf.DUMMYFUNCTION("""COMPUTED_VALUE"""),1.0)</f>
        <v>1</v>
      </c>
      <c r="N169" s="50"/>
      <c r="O169" s="38"/>
      <c r="P169" s="45" t="str">
        <f>IFERROR(__xludf.DUMMYFUNCTION("""COMPUTED_VALUE"""),"")</f>
        <v/>
      </c>
      <c r="Q169" s="46" t="str">
        <f>IFERROR(__xludf.DUMMYFUNCTION("""COMPUTED_VALUE"""),"AP")</f>
        <v>AP</v>
      </c>
      <c r="R169" s="47" t="str">
        <f>IFERROR(__xludf.DUMMYFUNCTION("""COMPUTED_VALUE"""),"")</f>
        <v/>
      </c>
      <c r="S169" s="48" t="str">
        <f>IFERROR(__xludf.DUMMYFUNCTION("""COMPUTED_VALUE"""),"%")</f>
        <v>%</v>
      </c>
      <c r="T169" s="49">
        <f>IFERROR(__xludf.DUMMYFUNCTION("""COMPUTED_VALUE"""),2.0)</f>
        <v>2</v>
      </c>
      <c r="U169" s="50"/>
      <c r="V169" s="38"/>
      <c r="W169" s="45" t="str">
        <f>IFERROR(__xludf.DUMMYFUNCTION("""COMPUTED_VALUE"""),"")</f>
        <v/>
      </c>
      <c r="X169" s="46" t="str">
        <f>IFERROR(__xludf.DUMMYFUNCTION("""COMPUTED_VALUE"""),"AP")</f>
        <v>AP</v>
      </c>
      <c r="Y169" s="47" t="str">
        <f>IFERROR(__xludf.DUMMYFUNCTION("""COMPUTED_VALUE"""),"")</f>
        <v/>
      </c>
      <c r="Z169" s="48" t="str">
        <f>IFERROR(__xludf.DUMMYFUNCTION("""COMPUTED_VALUE"""),"%")</f>
        <v>%</v>
      </c>
      <c r="AA169" s="49">
        <f>IFERROR(__xludf.DUMMYFUNCTION("""COMPUTED_VALUE"""),3.0)</f>
        <v>3</v>
      </c>
      <c r="AB169" s="50"/>
      <c r="AC169" s="38"/>
      <c r="AD169" s="45" t="str">
        <f>IFERROR(__xludf.DUMMYFUNCTION("""COMPUTED_VALUE"""),"")</f>
        <v/>
      </c>
      <c r="AE169" s="46" t="str">
        <f>IFERROR(__xludf.DUMMYFUNCTION("""COMPUTED_VALUE"""),"AP")</f>
        <v>AP</v>
      </c>
      <c r="AF169" s="47" t="str">
        <f>IFERROR(__xludf.DUMMYFUNCTION("""COMPUTED_VALUE"""),"")</f>
        <v/>
      </c>
      <c r="AG169" s="48" t="str">
        <f>IFERROR(__xludf.DUMMYFUNCTION("""COMPUTED_VALUE"""),"%")</f>
        <v>%</v>
      </c>
      <c r="AH169" s="43"/>
      <c r="AI169" s="44"/>
      <c r="AJ169" s="51"/>
    </row>
    <row r="170" ht="24.75" hidden="1" customHeight="1">
      <c r="A170" s="28">
        <f>IFERROR(__xludf.DUMMYFUNCTION("""COMPUTED_VALUE"""),7.0)</f>
        <v>7</v>
      </c>
      <c r="B170" s="28" t="str">
        <f>IFERROR(__xludf.DUMMYFUNCTION("""COMPUTED_VALUE"""),"A308")</f>
        <v>A308</v>
      </c>
      <c r="C170" s="28"/>
      <c r="D170" s="29"/>
      <c r="E170" s="67"/>
      <c r="F170" s="31"/>
      <c r="G170" s="32"/>
      <c r="H170" s="33" t="str">
        <f>IFERROR(__xludf.DUMMYFUNCTION("""COMPUTED_VALUE""")," ")</f>
        <v> </v>
      </c>
      <c r="I170" s="34"/>
      <c r="J170" s="35" t="str">
        <f>IFERROR(__xludf.DUMMYFUNCTION("""COMPUTED_VALUE"""),"AP")</f>
        <v>AP</v>
      </c>
      <c r="K170" s="34"/>
      <c r="L170" s="35" t="str">
        <f>IFERROR(__xludf.DUMMYFUNCTION("""COMPUTED_VALUE"""),"%")</f>
        <v>%</v>
      </c>
      <c r="M170" s="36">
        <f>IFERROR(__xludf.DUMMYFUNCTION("""COMPUTED_VALUE"""),1.0)</f>
        <v>1</v>
      </c>
      <c r="N170" s="37"/>
      <c r="O170" s="38"/>
      <c r="P170" s="34" t="str">
        <f>IFERROR(__xludf.DUMMYFUNCTION("""COMPUTED_VALUE"""),"")</f>
        <v/>
      </c>
      <c r="Q170" s="35" t="str">
        <f>IFERROR(__xludf.DUMMYFUNCTION("""COMPUTED_VALUE"""),"AP")</f>
        <v>AP</v>
      </c>
      <c r="R170" s="34" t="str">
        <f>IFERROR(__xludf.DUMMYFUNCTION("""COMPUTED_VALUE"""),"")</f>
        <v/>
      </c>
      <c r="S170" s="35" t="str">
        <f>IFERROR(__xludf.DUMMYFUNCTION("""COMPUTED_VALUE"""),"%")</f>
        <v>%</v>
      </c>
      <c r="T170" s="36">
        <f>IFERROR(__xludf.DUMMYFUNCTION("""COMPUTED_VALUE"""),2.0)</f>
        <v>2</v>
      </c>
      <c r="U170" s="37"/>
      <c r="V170" s="38"/>
      <c r="W170" s="34" t="str">
        <f>IFERROR(__xludf.DUMMYFUNCTION("""COMPUTED_VALUE"""),"")</f>
        <v/>
      </c>
      <c r="X170" s="35" t="str">
        <f>IFERROR(__xludf.DUMMYFUNCTION("""COMPUTED_VALUE"""),"AP")</f>
        <v>AP</v>
      </c>
      <c r="Y170" s="34" t="str">
        <f>IFERROR(__xludf.DUMMYFUNCTION("""COMPUTED_VALUE"""),"")</f>
        <v/>
      </c>
      <c r="Z170" s="35" t="str">
        <f>IFERROR(__xludf.DUMMYFUNCTION("""COMPUTED_VALUE"""),"%")</f>
        <v>%</v>
      </c>
      <c r="AA170" s="36">
        <f>IFERROR(__xludf.DUMMYFUNCTION("""COMPUTED_VALUE"""),3.0)</f>
        <v>3</v>
      </c>
      <c r="AB170" s="37"/>
      <c r="AC170" s="38"/>
      <c r="AD170" s="34" t="str">
        <f>IFERROR(__xludf.DUMMYFUNCTION("""COMPUTED_VALUE"""),"")</f>
        <v/>
      </c>
      <c r="AE170" s="35" t="str">
        <f>IFERROR(__xludf.DUMMYFUNCTION("""COMPUTED_VALUE"""),"AP")</f>
        <v>AP</v>
      </c>
      <c r="AF170" s="34" t="str">
        <f>IFERROR(__xludf.DUMMYFUNCTION("""COMPUTED_VALUE"""),"")</f>
        <v/>
      </c>
      <c r="AG170" s="35" t="str">
        <f>IFERROR(__xludf.DUMMYFUNCTION("""COMPUTED_VALUE"""),"%")</f>
        <v>%</v>
      </c>
      <c r="AH170" s="31"/>
      <c r="AI170" s="32"/>
      <c r="AJ170" s="39"/>
    </row>
    <row r="171" ht="24.75" hidden="1" customHeight="1">
      <c r="A171" s="40">
        <f>IFERROR(__xludf.DUMMYFUNCTION("""COMPUTED_VALUE"""),8.0)</f>
        <v>8</v>
      </c>
      <c r="B171" s="40" t="str">
        <f>IFERROR(__xludf.DUMMYFUNCTION("""COMPUTED_VALUE"""),"A308")</f>
        <v>A308</v>
      </c>
      <c r="C171" s="40"/>
      <c r="D171" s="41"/>
      <c r="E171" s="66"/>
      <c r="F171" s="43"/>
      <c r="G171" s="44"/>
      <c r="H171" s="33" t="str">
        <f>IFERROR(__xludf.DUMMYFUNCTION("""COMPUTED_VALUE""")," ")</f>
        <v> </v>
      </c>
      <c r="I171" s="45"/>
      <c r="J171" s="46" t="str">
        <f>IFERROR(__xludf.DUMMYFUNCTION("""COMPUTED_VALUE"""),"AP")</f>
        <v>AP</v>
      </c>
      <c r="K171" s="47"/>
      <c r="L171" s="48" t="str">
        <f>IFERROR(__xludf.DUMMYFUNCTION("""COMPUTED_VALUE"""),"%")</f>
        <v>%</v>
      </c>
      <c r="M171" s="49">
        <f>IFERROR(__xludf.DUMMYFUNCTION("""COMPUTED_VALUE"""),1.0)</f>
        <v>1</v>
      </c>
      <c r="N171" s="50"/>
      <c r="O171" s="38"/>
      <c r="P171" s="45" t="str">
        <f>IFERROR(__xludf.DUMMYFUNCTION("""COMPUTED_VALUE"""),"")</f>
        <v/>
      </c>
      <c r="Q171" s="46" t="str">
        <f>IFERROR(__xludf.DUMMYFUNCTION("""COMPUTED_VALUE"""),"AP")</f>
        <v>AP</v>
      </c>
      <c r="R171" s="47" t="str">
        <f>IFERROR(__xludf.DUMMYFUNCTION("""COMPUTED_VALUE"""),"")</f>
        <v/>
      </c>
      <c r="S171" s="48" t="str">
        <f>IFERROR(__xludf.DUMMYFUNCTION("""COMPUTED_VALUE"""),"%")</f>
        <v>%</v>
      </c>
      <c r="T171" s="49">
        <f>IFERROR(__xludf.DUMMYFUNCTION("""COMPUTED_VALUE"""),2.0)</f>
        <v>2</v>
      </c>
      <c r="U171" s="50"/>
      <c r="V171" s="38"/>
      <c r="W171" s="45" t="str">
        <f>IFERROR(__xludf.DUMMYFUNCTION("""COMPUTED_VALUE"""),"")</f>
        <v/>
      </c>
      <c r="X171" s="46" t="str">
        <f>IFERROR(__xludf.DUMMYFUNCTION("""COMPUTED_VALUE"""),"AP")</f>
        <v>AP</v>
      </c>
      <c r="Y171" s="47" t="str">
        <f>IFERROR(__xludf.DUMMYFUNCTION("""COMPUTED_VALUE"""),"")</f>
        <v/>
      </c>
      <c r="Z171" s="48" t="str">
        <f>IFERROR(__xludf.DUMMYFUNCTION("""COMPUTED_VALUE"""),"%")</f>
        <v>%</v>
      </c>
      <c r="AA171" s="49">
        <f>IFERROR(__xludf.DUMMYFUNCTION("""COMPUTED_VALUE"""),3.0)</f>
        <v>3</v>
      </c>
      <c r="AB171" s="50"/>
      <c r="AC171" s="38"/>
      <c r="AD171" s="45" t="str">
        <f>IFERROR(__xludf.DUMMYFUNCTION("""COMPUTED_VALUE"""),"")</f>
        <v/>
      </c>
      <c r="AE171" s="46" t="str">
        <f>IFERROR(__xludf.DUMMYFUNCTION("""COMPUTED_VALUE"""),"AP")</f>
        <v>AP</v>
      </c>
      <c r="AF171" s="47" t="str">
        <f>IFERROR(__xludf.DUMMYFUNCTION("""COMPUTED_VALUE"""),"")</f>
        <v/>
      </c>
      <c r="AG171" s="48" t="str">
        <f>IFERROR(__xludf.DUMMYFUNCTION("""COMPUTED_VALUE"""),"%")</f>
        <v>%</v>
      </c>
      <c r="AH171" s="43"/>
      <c r="AI171" s="44"/>
      <c r="AJ171" s="51"/>
    </row>
    <row r="172" ht="24.75" hidden="1" customHeight="1">
      <c r="A172" s="28">
        <f>IFERROR(__xludf.DUMMYFUNCTION("""COMPUTED_VALUE"""),9.0)</f>
        <v>9</v>
      </c>
      <c r="B172" s="28" t="str">
        <f>IFERROR(__xludf.DUMMYFUNCTION("""COMPUTED_VALUE"""),"A308")</f>
        <v>A308</v>
      </c>
      <c r="C172" s="28"/>
      <c r="D172" s="29"/>
      <c r="E172" s="67"/>
      <c r="F172" s="31"/>
      <c r="G172" s="32"/>
      <c r="H172" s="33" t="str">
        <f>IFERROR(__xludf.DUMMYFUNCTION("""COMPUTED_VALUE""")," ")</f>
        <v> </v>
      </c>
      <c r="I172" s="34"/>
      <c r="J172" s="35" t="str">
        <f>IFERROR(__xludf.DUMMYFUNCTION("""COMPUTED_VALUE"""),"AP")</f>
        <v>AP</v>
      </c>
      <c r="K172" s="34"/>
      <c r="L172" s="35" t="str">
        <f>IFERROR(__xludf.DUMMYFUNCTION("""COMPUTED_VALUE"""),"%")</f>
        <v>%</v>
      </c>
      <c r="M172" s="36">
        <f>IFERROR(__xludf.DUMMYFUNCTION("""COMPUTED_VALUE"""),1.0)</f>
        <v>1</v>
      </c>
      <c r="N172" s="37"/>
      <c r="O172" s="38"/>
      <c r="P172" s="34" t="str">
        <f>IFERROR(__xludf.DUMMYFUNCTION("""COMPUTED_VALUE"""),"")</f>
        <v/>
      </c>
      <c r="Q172" s="35" t="str">
        <f>IFERROR(__xludf.DUMMYFUNCTION("""COMPUTED_VALUE"""),"AP")</f>
        <v>AP</v>
      </c>
      <c r="R172" s="34" t="str">
        <f>IFERROR(__xludf.DUMMYFUNCTION("""COMPUTED_VALUE"""),"")</f>
        <v/>
      </c>
      <c r="S172" s="35" t="str">
        <f>IFERROR(__xludf.DUMMYFUNCTION("""COMPUTED_VALUE"""),"%")</f>
        <v>%</v>
      </c>
      <c r="T172" s="36">
        <f>IFERROR(__xludf.DUMMYFUNCTION("""COMPUTED_VALUE"""),2.0)</f>
        <v>2</v>
      </c>
      <c r="U172" s="37"/>
      <c r="V172" s="38"/>
      <c r="W172" s="34" t="str">
        <f>IFERROR(__xludf.DUMMYFUNCTION("""COMPUTED_VALUE"""),"")</f>
        <v/>
      </c>
      <c r="X172" s="35" t="str">
        <f>IFERROR(__xludf.DUMMYFUNCTION("""COMPUTED_VALUE"""),"AP")</f>
        <v>AP</v>
      </c>
      <c r="Y172" s="34" t="str">
        <f>IFERROR(__xludf.DUMMYFUNCTION("""COMPUTED_VALUE"""),"")</f>
        <v/>
      </c>
      <c r="Z172" s="35" t="str">
        <f>IFERROR(__xludf.DUMMYFUNCTION("""COMPUTED_VALUE"""),"%")</f>
        <v>%</v>
      </c>
      <c r="AA172" s="36">
        <f>IFERROR(__xludf.DUMMYFUNCTION("""COMPUTED_VALUE"""),3.0)</f>
        <v>3</v>
      </c>
      <c r="AB172" s="37"/>
      <c r="AC172" s="38"/>
      <c r="AD172" s="34" t="str">
        <f>IFERROR(__xludf.DUMMYFUNCTION("""COMPUTED_VALUE"""),"")</f>
        <v/>
      </c>
      <c r="AE172" s="35" t="str">
        <f>IFERROR(__xludf.DUMMYFUNCTION("""COMPUTED_VALUE"""),"AP")</f>
        <v>AP</v>
      </c>
      <c r="AF172" s="34" t="str">
        <f>IFERROR(__xludf.DUMMYFUNCTION("""COMPUTED_VALUE"""),"")</f>
        <v/>
      </c>
      <c r="AG172" s="35" t="str">
        <f>IFERROR(__xludf.DUMMYFUNCTION("""COMPUTED_VALUE"""),"%")</f>
        <v>%</v>
      </c>
      <c r="AH172" s="31"/>
      <c r="AI172" s="32"/>
      <c r="AJ172" s="39"/>
    </row>
    <row r="173" ht="24.75" hidden="1" customHeight="1">
      <c r="A173" s="40">
        <f>IFERROR(__xludf.DUMMYFUNCTION("""COMPUTED_VALUE"""),10.0)</f>
        <v>10</v>
      </c>
      <c r="B173" s="40" t="str">
        <f>IFERROR(__xludf.DUMMYFUNCTION("""COMPUTED_VALUE"""),"A308")</f>
        <v>A308</v>
      </c>
      <c r="C173" s="40"/>
      <c r="D173" s="41"/>
      <c r="E173" s="66"/>
      <c r="F173" s="43"/>
      <c r="G173" s="44"/>
      <c r="H173" s="33" t="str">
        <f>IFERROR(__xludf.DUMMYFUNCTION("""COMPUTED_VALUE""")," ")</f>
        <v> </v>
      </c>
      <c r="I173" s="45"/>
      <c r="J173" s="46" t="str">
        <f>IFERROR(__xludf.DUMMYFUNCTION("""COMPUTED_VALUE"""),"AP")</f>
        <v>AP</v>
      </c>
      <c r="K173" s="47"/>
      <c r="L173" s="48" t="str">
        <f>IFERROR(__xludf.DUMMYFUNCTION("""COMPUTED_VALUE"""),"%")</f>
        <v>%</v>
      </c>
      <c r="M173" s="49">
        <f>IFERROR(__xludf.DUMMYFUNCTION("""COMPUTED_VALUE"""),1.0)</f>
        <v>1</v>
      </c>
      <c r="N173" s="50"/>
      <c r="O173" s="38"/>
      <c r="P173" s="45" t="str">
        <f>IFERROR(__xludf.DUMMYFUNCTION("""COMPUTED_VALUE"""),"")</f>
        <v/>
      </c>
      <c r="Q173" s="46" t="str">
        <f>IFERROR(__xludf.DUMMYFUNCTION("""COMPUTED_VALUE"""),"AP")</f>
        <v>AP</v>
      </c>
      <c r="R173" s="47" t="str">
        <f>IFERROR(__xludf.DUMMYFUNCTION("""COMPUTED_VALUE"""),"")</f>
        <v/>
      </c>
      <c r="S173" s="48" t="str">
        <f>IFERROR(__xludf.DUMMYFUNCTION("""COMPUTED_VALUE"""),"%")</f>
        <v>%</v>
      </c>
      <c r="T173" s="49">
        <f>IFERROR(__xludf.DUMMYFUNCTION("""COMPUTED_VALUE"""),2.0)</f>
        <v>2</v>
      </c>
      <c r="U173" s="50"/>
      <c r="V173" s="38"/>
      <c r="W173" s="45" t="str">
        <f>IFERROR(__xludf.DUMMYFUNCTION("""COMPUTED_VALUE"""),"")</f>
        <v/>
      </c>
      <c r="X173" s="46" t="str">
        <f>IFERROR(__xludf.DUMMYFUNCTION("""COMPUTED_VALUE"""),"AP")</f>
        <v>AP</v>
      </c>
      <c r="Y173" s="47" t="str">
        <f>IFERROR(__xludf.DUMMYFUNCTION("""COMPUTED_VALUE"""),"")</f>
        <v/>
      </c>
      <c r="Z173" s="48" t="str">
        <f>IFERROR(__xludf.DUMMYFUNCTION("""COMPUTED_VALUE"""),"%")</f>
        <v>%</v>
      </c>
      <c r="AA173" s="49">
        <f>IFERROR(__xludf.DUMMYFUNCTION("""COMPUTED_VALUE"""),3.0)</f>
        <v>3</v>
      </c>
      <c r="AB173" s="50"/>
      <c r="AC173" s="38"/>
      <c r="AD173" s="45" t="str">
        <f>IFERROR(__xludf.DUMMYFUNCTION("""COMPUTED_VALUE"""),"")</f>
        <v/>
      </c>
      <c r="AE173" s="46" t="str">
        <f>IFERROR(__xludf.DUMMYFUNCTION("""COMPUTED_VALUE"""),"AP")</f>
        <v>AP</v>
      </c>
      <c r="AF173" s="47" t="str">
        <f>IFERROR(__xludf.DUMMYFUNCTION("""COMPUTED_VALUE"""),"")</f>
        <v/>
      </c>
      <c r="AG173" s="48" t="str">
        <f>IFERROR(__xludf.DUMMYFUNCTION("""COMPUTED_VALUE"""),"%")</f>
        <v>%</v>
      </c>
      <c r="AH173" s="43"/>
      <c r="AI173" s="44"/>
      <c r="AJ173" s="51"/>
    </row>
    <row r="174" ht="24.75" hidden="1" customHeight="1">
      <c r="A174" s="28">
        <f>IFERROR(__xludf.DUMMYFUNCTION("""COMPUTED_VALUE"""),11.0)</f>
        <v>11</v>
      </c>
      <c r="B174" s="28" t="str">
        <f>IFERROR(__xludf.DUMMYFUNCTION("""COMPUTED_VALUE"""),"A308")</f>
        <v>A308</v>
      </c>
      <c r="C174" s="28"/>
      <c r="D174" s="29"/>
      <c r="E174" s="67"/>
      <c r="F174" s="31"/>
      <c r="G174" s="32"/>
      <c r="H174" s="33" t="str">
        <f>IFERROR(__xludf.DUMMYFUNCTION("""COMPUTED_VALUE""")," ")</f>
        <v> </v>
      </c>
      <c r="I174" s="34"/>
      <c r="J174" s="35" t="str">
        <f>IFERROR(__xludf.DUMMYFUNCTION("""COMPUTED_VALUE"""),"AP")</f>
        <v>AP</v>
      </c>
      <c r="K174" s="34"/>
      <c r="L174" s="35" t="str">
        <f>IFERROR(__xludf.DUMMYFUNCTION("""COMPUTED_VALUE"""),"%")</f>
        <v>%</v>
      </c>
      <c r="M174" s="36">
        <f>IFERROR(__xludf.DUMMYFUNCTION("""COMPUTED_VALUE"""),1.0)</f>
        <v>1</v>
      </c>
      <c r="N174" s="37"/>
      <c r="O174" s="38"/>
      <c r="P174" s="34" t="str">
        <f>IFERROR(__xludf.DUMMYFUNCTION("""COMPUTED_VALUE"""),"")</f>
        <v/>
      </c>
      <c r="Q174" s="35" t="str">
        <f>IFERROR(__xludf.DUMMYFUNCTION("""COMPUTED_VALUE"""),"AP")</f>
        <v>AP</v>
      </c>
      <c r="R174" s="34" t="str">
        <f>IFERROR(__xludf.DUMMYFUNCTION("""COMPUTED_VALUE"""),"")</f>
        <v/>
      </c>
      <c r="S174" s="35" t="str">
        <f>IFERROR(__xludf.DUMMYFUNCTION("""COMPUTED_VALUE"""),"%")</f>
        <v>%</v>
      </c>
      <c r="T174" s="36">
        <f>IFERROR(__xludf.DUMMYFUNCTION("""COMPUTED_VALUE"""),2.0)</f>
        <v>2</v>
      </c>
      <c r="U174" s="37"/>
      <c r="V174" s="38"/>
      <c r="W174" s="34" t="str">
        <f>IFERROR(__xludf.DUMMYFUNCTION("""COMPUTED_VALUE"""),"")</f>
        <v/>
      </c>
      <c r="X174" s="35" t="str">
        <f>IFERROR(__xludf.DUMMYFUNCTION("""COMPUTED_VALUE"""),"AP")</f>
        <v>AP</v>
      </c>
      <c r="Y174" s="34" t="str">
        <f>IFERROR(__xludf.DUMMYFUNCTION("""COMPUTED_VALUE"""),"")</f>
        <v/>
      </c>
      <c r="Z174" s="35" t="str">
        <f>IFERROR(__xludf.DUMMYFUNCTION("""COMPUTED_VALUE"""),"%")</f>
        <v>%</v>
      </c>
      <c r="AA174" s="36">
        <f>IFERROR(__xludf.DUMMYFUNCTION("""COMPUTED_VALUE"""),3.0)</f>
        <v>3</v>
      </c>
      <c r="AB174" s="37"/>
      <c r="AC174" s="38"/>
      <c r="AD174" s="34" t="str">
        <f>IFERROR(__xludf.DUMMYFUNCTION("""COMPUTED_VALUE"""),"")</f>
        <v/>
      </c>
      <c r="AE174" s="35" t="str">
        <f>IFERROR(__xludf.DUMMYFUNCTION("""COMPUTED_VALUE"""),"AP")</f>
        <v>AP</v>
      </c>
      <c r="AF174" s="34" t="str">
        <f>IFERROR(__xludf.DUMMYFUNCTION("""COMPUTED_VALUE"""),"")</f>
        <v/>
      </c>
      <c r="AG174" s="35" t="str">
        <f>IFERROR(__xludf.DUMMYFUNCTION("""COMPUTED_VALUE"""),"%")</f>
        <v>%</v>
      </c>
      <c r="AH174" s="31"/>
      <c r="AI174" s="32"/>
      <c r="AJ174" s="39"/>
    </row>
    <row r="175" ht="24.75" hidden="1" customHeight="1">
      <c r="A175" s="40">
        <f>IFERROR(__xludf.DUMMYFUNCTION("""COMPUTED_VALUE"""),12.0)</f>
        <v>12</v>
      </c>
      <c r="B175" s="40" t="str">
        <f>IFERROR(__xludf.DUMMYFUNCTION("""COMPUTED_VALUE"""),"A308")</f>
        <v>A308</v>
      </c>
      <c r="C175" s="40"/>
      <c r="D175" s="41"/>
      <c r="E175" s="66"/>
      <c r="F175" s="43"/>
      <c r="G175" s="44"/>
      <c r="H175" s="33" t="str">
        <f>IFERROR(__xludf.DUMMYFUNCTION("""COMPUTED_VALUE""")," ")</f>
        <v> </v>
      </c>
      <c r="I175" s="45"/>
      <c r="J175" s="46" t="str">
        <f>IFERROR(__xludf.DUMMYFUNCTION("""COMPUTED_VALUE"""),"AP")</f>
        <v>AP</v>
      </c>
      <c r="K175" s="47"/>
      <c r="L175" s="48" t="str">
        <f>IFERROR(__xludf.DUMMYFUNCTION("""COMPUTED_VALUE"""),"%")</f>
        <v>%</v>
      </c>
      <c r="M175" s="49">
        <f>IFERROR(__xludf.DUMMYFUNCTION("""COMPUTED_VALUE"""),1.0)</f>
        <v>1</v>
      </c>
      <c r="N175" s="50"/>
      <c r="O175" s="38"/>
      <c r="P175" s="45" t="str">
        <f>IFERROR(__xludf.DUMMYFUNCTION("""COMPUTED_VALUE"""),"")</f>
        <v/>
      </c>
      <c r="Q175" s="46" t="str">
        <f>IFERROR(__xludf.DUMMYFUNCTION("""COMPUTED_VALUE"""),"AP")</f>
        <v>AP</v>
      </c>
      <c r="R175" s="47" t="str">
        <f>IFERROR(__xludf.DUMMYFUNCTION("""COMPUTED_VALUE"""),"")</f>
        <v/>
      </c>
      <c r="S175" s="48" t="str">
        <f>IFERROR(__xludf.DUMMYFUNCTION("""COMPUTED_VALUE"""),"%")</f>
        <v>%</v>
      </c>
      <c r="T175" s="49">
        <f>IFERROR(__xludf.DUMMYFUNCTION("""COMPUTED_VALUE"""),2.0)</f>
        <v>2</v>
      </c>
      <c r="U175" s="50"/>
      <c r="V175" s="38"/>
      <c r="W175" s="45" t="str">
        <f>IFERROR(__xludf.DUMMYFUNCTION("""COMPUTED_VALUE"""),"")</f>
        <v/>
      </c>
      <c r="X175" s="46" t="str">
        <f>IFERROR(__xludf.DUMMYFUNCTION("""COMPUTED_VALUE"""),"AP")</f>
        <v>AP</v>
      </c>
      <c r="Y175" s="47" t="str">
        <f>IFERROR(__xludf.DUMMYFUNCTION("""COMPUTED_VALUE"""),"")</f>
        <v/>
      </c>
      <c r="Z175" s="48" t="str">
        <f>IFERROR(__xludf.DUMMYFUNCTION("""COMPUTED_VALUE"""),"%")</f>
        <v>%</v>
      </c>
      <c r="AA175" s="49">
        <f>IFERROR(__xludf.DUMMYFUNCTION("""COMPUTED_VALUE"""),3.0)</f>
        <v>3</v>
      </c>
      <c r="AB175" s="50"/>
      <c r="AC175" s="38"/>
      <c r="AD175" s="45" t="str">
        <f>IFERROR(__xludf.DUMMYFUNCTION("""COMPUTED_VALUE"""),"")</f>
        <v/>
      </c>
      <c r="AE175" s="46" t="str">
        <f>IFERROR(__xludf.DUMMYFUNCTION("""COMPUTED_VALUE"""),"AP")</f>
        <v>AP</v>
      </c>
      <c r="AF175" s="47" t="str">
        <f>IFERROR(__xludf.DUMMYFUNCTION("""COMPUTED_VALUE"""),"")</f>
        <v/>
      </c>
      <c r="AG175" s="48" t="str">
        <f>IFERROR(__xludf.DUMMYFUNCTION("""COMPUTED_VALUE"""),"%")</f>
        <v>%</v>
      </c>
      <c r="AH175" s="43"/>
      <c r="AI175" s="44"/>
      <c r="AJ175" s="51"/>
    </row>
    <row r="176" ht="24.75" hidden="1" customHeight="1">
      <c r="A176" s="28">
        <f>IFERROR(__xludf.DUMMYFUNCTION("""COMPUTED_VALUE"""),13.0)</f>
        <v>13</v>
      </c>
      <c r="B176" s="28" t="str">
        <f>IFERROR(__xludf.DUMMYFUNCTION("""COMPUTED_VALUE"""),"A308")</f>
        <v>A308</v>
      </c>
      <c r="C176" s="28"/>
      <c r="D176" s="29"/>
      <c r="E176" s="67"/>
      <c r="F176" s="31"/>
      <c r="G176" s="32"/>
      <c r="H176" s="33" t="str">
        <f>IFERROR(__xludf.DUMMYFUNCTION("""COMPUTED_VALUE""")," ")</f>
        <v> </v>
      </c>
      <c r="I176" s="34"/>
      <c r="J176" s="35" t="str">
        <f>IFERROR(__xludf.DUMMYFUNCTION("""COMPUTED_VALUE"""),"AP")</f>
        <v>AP</v>
      </c>
      <c r="K176" s="34"/>
      <c r="L176" s="35" t="str">
        <f>IFERROR(__xludf.DUMMYFUNCTION("""COMPUTED_VALUE"""),"%")</f>
        <v>%</v>
      </c>
      <c r="M176" s="36">
        <f>IFERROR(__xludf.DUMMYFUNCTION("""COMPUTED_VALUE"""),1.0)</f>
        <v>1</v>
      </c>
      <c r="N176" s="37"/>
      <c r="O176" s="38"/>
      <c r="P176" s="34" t="str">
        <f>IFERROR(__xludf.DUMMYFUNCTION("""COMPUTED_VALUE"""),"")</f>
        <v/>
      </c>
      <c r="Q176" s="35" t="str">
        <f>IFERROR(__xludf.DUMMYFUNCTION("""COMPUTED_VALUE"""),"AP")</f>
        <v>AP</v>
      </c>
      <c r="R176" s="34" t="str">
        <f>IFERROR(__xludf.DUMMYFUNCTION("""COMPUTED_VALUE"""),"")</f>
        <v/>
      </c>
      <c r="S176" s="35" t="str">
        <f>IFERROR(__xludf.DUMMYFUNCTION("""COMPUTED_VALUE"""),"%")</f>
        <v>%</v>
      </c>
      <c r="T176" s="36">
        <f>IFERROR(__xludf.DUMMYFUNCTION("""COMPUTED_VALUE"""),2.0)</f>
        <v>2</v>
      </c>
      <c r="U176" s="37"/>
      <c r="V176" s="38"/>
      <c r="W176" s="34" t="str">
        <f>IFERROR(__xludf.DUMMYFUNCTION("""COMPUTED_VALUE"""),"")</f>
        <v/>
      </c>
      <c r="X176" s="35" t="str">
        <f>IFERROR(__xludf.DUMMYFUNCTION("""COMPUTED_VALUE"""),"AP")</f>
        <v>AP</v>
      </c>
      <c r="Y176" s="34" t="str">
        <f>IFERROR(__xludf.DUMMYFUNCTION("""COMPUTED_VALUE"""),"")</f>
        <v/>
      </c>
      <c r="Z176" s="35" t="str">
        <f>IFERROR(__xludf.DUMMYFUNCTION("""COMPUTED_VALUE"""),"%")</f>
        <v>%</v>
      </c>
      <c r="AA176" s="36">
        <f>IFERROR(__xludf.DUMMYFUNCTION("""COMPUTED_VALUE"""),3.0)</f>
        <v>3</v>
      </c>
      <c r="AB176" s="37"/>
      <c r="AC176" s="38"/>
      <c r="AD176" s="34" t="str">
        <f>IFERROR(__xludf.DUMMYFUNCTION("""COMPUTED_VALUE"""),"")</f>
        <v/>
      </c>
      <c r="AE176" s="35" t="str">
        <f>IFERROR(__xludf.DUMMYFUNCTION("""COMPUTED_VALUE"""),"AP")</f>
        <v>AP</v>
      </c>
      <c r="AF176" s="34" t="str">
        <f>IFERROR(__xludf.DUMMYFUNCTION("""COMPUTED_VALUE"""),"")</f>
        <v/>
      </c>
      <c r="AG176" s="35" t="str">
        <f>IFERROR(__xludf.DUMMYFUNCTION("""COMPUTED_VALUE"""),"%")</f>
        <v>%</v>
      </c>
      <c r="AH176" s="31"/>
      <c r="AI176" s="32"/>
      <c r="AJ176" s="39"/>
    </row>
    <row r="177" ht="24.75" hidden="1" customHeight="1">
      <c r="A177" s="40">
        <f>IFERROR(__xludf.DUMMYFUNCTION("""COMPUTED_VALUE"""),14.0)</f>
        <v>14</v>
      </c>
      <c r="B177" s="40" t="str">
        <f>IFERROR(__xludf.DUMMYFUNCTION("""COMPUTED_VALUE"""),"A308")</f>
        <v>A308</v>
      </c>
      <c r="C177" s="40"/>
      <c r="D177" s="41"/>
      <c r="E177" s="66"/>
      <c r="F177" s="43"/>
      <c r="G177" s="44"/>
      <c r="H177" s="33" t="str">
        <f>IFERROR(__xludf.DUMMYFUNCTION("""COMPUTED_VALUE""")," ")</f>
        <v> </v>
      </c>
      <c r="I177" s="45"/>
      <c r="J177" s="46" t="str">
        <f>IFERROR(__xludf.DUMMYFUNCTION("""COMPUTED_VALUE"""),"AP")</f>
        <v>AP</v>
      </c>
      <c r="K177" s="47"/>
      <c r="L177" s="48" t="str">
        <f>IFERROR(__xludf.DUMMYFUNCTION("""COMPUTED_VALUE"""),"%")</f>
        <v>%</v>
      </c>
      <c r="M177" s="49">
        <f>IFERROR(__xludf.DUMMYFUNCTION("""COMPUTED_VALUE"""),1.0)</f>
        <v>1</v>
      </c>
      <c r="N177" s="50"/>
      <c r="O177" s="38"/>
      <c r="P177" s="45" t="str">
        <f>IFERROR(__xludf.DUMMYFUNCTION("""COMPUTED_VALUE"""),"")</f>
        <v/>
      </c>
      <c r="Q177" s="46" t="str">
        <f>IFERROR(__xludf.DUMMYFUNCTION("""COMPUTED_VALUE"""),"AP")</f>
        <v>AP</v>
      </c>
      <c r="R177" s="47" t="str">
        <f>IFERROR(__xludf.DUMMYFUNCTION("""COMPUTED_VALUE"""),"")</f>
        <v/>
      </c>
      <c r="S177" s="48" t="str">
        <f>IFERROR(__xludf.DUMMYFUNCTION("""COMPUTED_VALUE"""),"%")</f>
        <v>%</v>
      </c>
      <c r="T177" s="49">
        <f>IFERROR(__xludf.DUMMYFUNCTION("""COMPUTED_VALUE"""),2.0)</f>
        <v>2</v>
      </c>
      <c r="U177" s="50"/>
      <c r="V177" s="38"/>
      <c r="W177" s="45" t="str">
        <f>IFERROR(__xludf.DUMMYFUNCTION("""COMPUTED_VALUE"""),"")</f>
        <v/>
      </c>
      <c r="X177" s="46" t="str">
        <f>IFERROR(__xludf.DUMMYFUNCTION("""COMPUTED_VALUE"""),"AP")</f>
        <v>AP</v>
      </c>
      <c r="Y177" s="47" t="str">
        <f>IFERROR(__xludf.DUMMYFUNCTION("""COMPUTED_VALUE"""),"")</f>
        <v/>
      </c>
      <c r="Z177" s="48" t="str">
        <f>IFERROR(__xludf.DUMMYFUNCTION("""COMPUTED_VALUE"""),"%")</f>
        <v>%</v>
      </c>
      <c r="AA177" s="49">
        <f>IFERROR(__xludf.DUMMYFUNCTION("""COMPUTED_VALUE"""),3.0)</f>
        <v>3</v>
      </c>
      <c r="AB177" s="50"/>
      <c r="AC177" s="38"/>
      <c r="AD177" s="45" t="str">
        <f>IFERROR(__xludf.DUMMYFUNCTION("""COMPUTED_VALUE"""),"")</f>
        <v/>
      </c>
      <c r="AE177" s="46" t="str">
        <f>IFERROR(__xludf.DUMMYFUNCTION("""COMPUTED_VALUE"""),"AP")</f>
        <v>AP</v>
      </c>
      <c r="AF177" s="47" t="str">
        <f>IFERROR(__xludf.DUMMYFUNCTION("""COMPUTED_VALUE"""),"")</f>
        <v/>
      </c>
      <c r="AG177" s="48" t="str">
        <f>IFERROR(__xludf.DUMMYFUNCTION("""COMPUTED_VALUE"""),"%")</f>
        <v>%</v>
      </c>
      <c r="AH177" s="43"/>
      <c r="AI177" s="44"/>
      <c r="AJ177" s="51"/>
    </row>
    <row r="178" ht="24.75" hidden="1" customHeight="1">
      <c r="A178" s="28">
        <f>IFERROR(__xludf.DUMMYFUNCTION("""COMPUTED_VALUE"""),15.0)</f>
        <v>15</v>
      </c>
      <c r="B178" s="28" t="str">
        <f>IFERROR(__xludf.DUMMYFUNCTION("""COMPUTED_VALUE"""),"A308")</f>
        <v>A308</v>
      </c>
      <c r="C178" s="28"/>
      <c r="D178" s="29"/>
      <c r="E178" s="67"/>
      <c r="F178" s="31"/>
      <c r="G178" s="32"/>
      <c r="H178" s="33" t="str">
        <f>IFERROR(__xludf.DUMMYFUNCTION("""COMPUTED_VALUE""")," ")</f>
        <v> </v>
      </c>
      <c r="I178" s="34"/>
      <c r="J178" s="35" t="str">
        <f>IFERROR(__xludf.DUMMYFUNCTION("""COMPUTED_VALUE"""),"AP")</f>
        <v>AP</v>
      </c>
      <c r="K178" s="34"/>
      <c r="L178" s="35" t="str">
        <f>IFERROR(__xludf.DUMMYFUNCTION("""COMPUTED_VALUE"""),"%")</f>
        <v>%</v>
      </c>
      <c r="M178" s="36">
        <f>IFERROR(__xludf.DUMMYFUNCTION("""COMPUTED_VALUE"""),1.0)</f>
        <v>1</v>
      </c>
      <c r="N178" s="37"/>
      <c r="O178" s="38"/>
      <c r="P178" s="34" t="str">
        <f>IFERROR(__xludf.DUMMYFUNCTION("""COMPUTED_VALUE"""),"")</f>
        <v/>
      </c>
      <c r="Q178" s="35" t="str">
        <f>IFERROR(__xludf.DUMMYFUNCTION("""COMPUTED_VALUE"""),"AP")</f>
        <v>AP</v>
      </c>
      <c r="R178" s="34" t="str">
        <f>IFERROR(__xludf.DUMMYFUNCTION("""COMPUTED_VALUE"""),"")</f>
        <v/>
      </c>
      <c r="S178" s="35" t="str">
        <f>IFERROR(__xludf.DUMMYFUNCTION("""COMPUTED_VALUE"""),"%")</f>
        <v>%</v>
      </c>
      <c r="T178" s="36">
        <f>IFERROR(__xludf.DUMMYFUNCTION("""COMPUTED_VALUE"""),2.0)</f>
        <v>2</v>
      </c>
      <c r="U178" s="37"/>
      <c r="V178" s="38"/>
      <c r="W178" s="34" t="str">
        <f>IFERROR(__xludf.DUMMYFUNCTION("""COMPUTED_VALUE"""),"")</f>
        <v/>
      </c>
      <c r="X178" s="35" t="str">
        <f>IFERROR(__xludf.DUMMYFUNCTION("""COMPUTED_VALUE"""),"AP")</f>
        <v>AP</v>
      </c>
      <c r="Y178" s="34" t="str">
        <f>IFERROR(__xludf.DUMMYFUNCTION("""COMPUTED_VALUE"""),"")</f>
        <v/>
      </c>
      <c r="Z178" s="35" t="str">
        <f>IFERROR(__xludf.DUMMYFUNCTION("""COMPUTED_VALUE"""),"%")</f>
        <v>%</v>
      </c>
      <c r="AA178" s="36">
        <f>IFERROR(__xludf.DUMMYFUNCTION("""COMPUTED_VALUE"""),3.0)</f>
        <v>3</v>
      </c>
      <c r="AB178" s="37"/>
      <c r="AC178" s="38"/>
      <c r="AD178" s="34" t="str">
        <f>IFERROR(__xludf.DUMMYFUNCTION("""COMPUTED_VALUE"""),"")</f>
        <v/>
      </c>
      <c r="AE178" s="35" t="str">
        <f>IFERROR(__xludf.DUMMYFUNCTION("""COMPUTED_VALUE"""),"AP")</f>
        <v>AP</v>
      </c>
      <c r="AF178" s="34" t="str">
        <f>IFERROR(__xludf.DUMMYFUNCTION("""COMPUTED_VALUE"""),"")</f>
        <v/>
      </c>
      <c r="AG178" s="35" t="str">
        <f>IFERROR(__xludf.DUMMYFUNCTION("""COMPUTED_VALUE"""),"%")</f>
        <v>%</v>
      </c>
      <c r="AH178" s="31"/>
      <c r="AI178" s="32"/>
      <c r="AJ178" s="39"/>
    </row>
    <row r="179" ht="24.75" hidden="1" customHeight="1">
      <c r="A179" s="40">
        <f>IFERROR(__xludf.DUMMYFUNCTION("""COMPUTED_VALUE"""),16.0)</f>
        <v>16</v>
      </c>
      <c r="B179" s="40" t="str">
        <f>IFERROR(__xludf.DUMMYFUNCTION("""COMPUTED_VALUE"""),"A308")</f>
        <v>A308</v>
      </c>
      <c r="C179" s="40"/>
      <c r="D179" s="41"/>
      <c r="E179" s="66"/>
      <c r="F179" s="43"/>
      <c r="G179" s="44"/>
      <c r="H179" s="33" t="str">
        <f>IFERROR(__xludf.DUMMYFUNCTION("""COMPUTED_VALUE""")," ")</f>
        <v> </v>
      </c>
      <c r="I179" s="45"/>
      <c r="J179" s="46" t="str">
        <f>IFERROR(__xludf.DUMMYFUNCTION("""COMPUTED_VALUE"""),"AP")</f>
        <v>AP</v>
      </c>
      <c r="K179" s="47"/>
      <c r="L179" s="48" t="str">
        <f>IFERROR(__xludf.DUMMYFUNCTION("""COMPUTED_VALUE"""),"%")</f>
        <v>%</v>
      </c>
      <c r="M179" s="49">
        <f>IFERROR(__xludf.DUMMYFUNCTION("""COMPUTED_VALUE"""),1.0)</f>
        <v>1</v>
      </c>
      <c r="N179" s="50"/>
      <c r="O179" s="38"/>
      <c r="P179" s="45" t="str">
        <f>IFERROR(__xludf.DUMMYFUNCTION("""COMPUTED_VALUE"""),"")</f>
        <v/>
      </c>
      <c r="Q179" s="46" t="str">
        <f>IFERROR(__xludf.DUMMYFUNCTION("""COMPUTED_VALUE"""),"AP")</f>
        <v>AP</v>
      </c>
      <c r="R179" s="47" t="str">
        <f>IFERROR(__xludf.DUMMYFUNCTION("""COMPUTED_VALUE"""),"")</f>
        <v/>
      </c>
      <c r="S179" s="48" t="str">
        <f>IFERROR(__xludf.DUMMYFUNCTION("""COMPUTED_VALUE"""),"%")</f>
        <v>%</v>
      </c>
      <c r="T179" s="49">
        <f>IFERROR(__xludf.DUMMYFUNCTION("""COMPUTED_VALUE"""),2.0)</f>
        <v>2</v>
      </c>
      <c r="U179" s="50"/>
      <c r="V179" s="38"/>
      <c r="W179" s="45" t="str">
        <f>IFERROR(__xludf.DUMMYFUNCTION("""COMPUTED_VALUE"""),"")</f>
        <v/>
      </c>
      <c r="X179" s="46" t="str">
        <f>IFERROR(__xludf.DUMMYFUNCTION("""COMPUTED_VALUE"""),"AP")</f>
        <v>AP</v>
      </c>
      <c r="Y179" s="47" t="str">
        <f>IFERROR(__xludf.DUMMYFUNCTION("""COMPUTED_VALUE"""),"")</f>
        <v/>
      </c>
      <c r="Z179" s="48" t="str">
        <f>IFERROR(__xludf.DUMMYFUNCTION("""COMPUTED_VALUE"""),"%")</f>
        <v>%</v>
      </c>
      <c r="AA179" s="49">
        <f>IFERROR(__xludf.DUMMYFUNCTION("""COMPUTED_VALUE"""),3.0)</f>
        <v>3</v>
      </c>
      <c r="AB179" s="50"/>
      <c r="AC179" s="38"/>
      <c r="AD179" s="45" t="str">
        <f>IFERROR(__xludf.DUMMYFUNCTION("""COMPUTED_VALUE"""),"")</f>
        <v/>
      </c>
      <c r="AE179" s="46" t="str">
        <f>IFERROR(__xludf.DUMMYFUNCTION("""COMPUTED_VALUE"""),"AP")</f>
        <v>AP</v>
      </c>
      <c r="AF179" s="47" t="str">
        <f>IFERROR(__xludf.DUMMYFUNCTION("""COMPUTED_VALUE"""),"")</f>
        <v/>
      </c>
      <c r="AG179" s="48" t="str">
        <f>IFERROR(__xludf.DUMMYFUNCTION("""COMPUTED_VALUE"""),"%")</f>
        <v>%</v>
      </c>
      <c r="AH179" s="43"/>
      <c r="AI179" s="44"/>
      <c r="AJ179" s="51"/>
    </row>
    <row r="180" ht="24.75" hidden="1" customHeight="1">
      <c r="A180" s="28">
        <f>IFERROR(__xludf.DUMMYFUNCTION("""COMPUTED_VALUE"""),17.0)</f>
        <v>17</v>
      </c>
      <c r="B180" s="28" t="str">
        <f>IFERROR(__xludf.DUMMYFUNCTION("""COMPUTED_VALUE"""),"A308")</f>
        <v>A308</v>
      </c>
      <c r="C180" s="28"/>
      <c r="D180" s="29"/>
      <c r="E180" s="67"/>
      <c r="F180" s="31"/>
      <c r="G180" s="32"/>
      <c r="H180" s="33" t="str">
        <f>IFERROR(__xludf.DUMMYFUNCTION("""COMPUTED_VALUE""")," ")</f>
        <v> </v>
      </c>
      <c r="I180" s="34"/>
      <c r="J180" s="35" t="str">
        <f>IFERROR(__xludf.DUMMYFUNCTION("""COMPUTED_VALUE"""),"AP")</f>
        <v>AP</v>
      </c>
      <c r="K180" s="34"/>
      <c r="L180" s="35" t="str">
        <f>IFERROR(__xludf.DUMMYFUNCTION("""COMPUTED_VALUE"""),"%")</f>
        <v>%</v>
      </c>
      <c r="M180" s="36">
        <f>IFERROR(__xludf.DUMMYFUNCTION("""COMPUTED_VALUE"""),1.0)</f>
        <v>1</v>
      </c>
      <c r="N180" s="37"/>
      <c r="O180" s="38"/>
      <c r="P180" s="34" t="str">
        <f>IFERROR(__xludf.DUMMYFUNCTION("""COMPUTED_VALUE"""),"")</f>
        <v/>
      </c>
      <c r="Q180" s="35" t="str">
        <f>IFERROR(__xludf.DUMMYFUNCTION("""COMPUTED_VALUE"""),"AP")</f>
        <v>AP</v>
      </c>
      <c r="R180" s="34" t="str">
        <f>IFERROR(__xludf.DUMMYFUNCTION("""COMPUTED_VALUE"""),"")</f>
        <v/>
      </c>
      <c r="S180" s="35" t="str">
        <f>IFERROR(__xludf.DUMMYFUNCTION("""COMPUTED_VALUE"""),"%")</f>
        <v>%</v>
      </c>
      <c r="T180" s="36">
        <f>IFERROR(__xludf.DUMMYFUNCTION("""COMPUTED_VALUE"""),2.0)</f>
        <v>2</v>
      </c>
      <c r="U180" s="37"/>
      <c r="V180" s="38"/>
      <c r="W180" s="34" t="str">
        <f>IFERROR(__xludf.DUMMYFUNCTION("""COMPUTED_VALUE"""),"")</f>
        <v/>
      </c>
      <c r="X180" s="35" t="str">
        <f>IFERROR(__xludf.DUMMYFUNCTION("""COMPUTED_VALUE"""),"AP")</f>
        <v>AP</v>
      </c>
      <c r="Y180" s="34" t="str">
        <f>IFERROR(__xludf.DUMMYFUNCTION("""COMPUTED_VALUE"""),"")</f>
        <v/>
      </c>
      <c r="Z180" s="35" t="str">
        <f>IFERROR(__xludf.DUMMYFUNCTION("""COMPUTED_VALUE"""),"%")</f>
        <v>%</v>
      </c>
      <c r="AA180" s="36">
        <f>IFERROR(__xludf.DUMMYFUNCTION("""COMPUTED_VALUE"""),3.0)</f>
        <v>3</v>
      </c>
      <c r="AB180" s="37"/>
      <c r="AC180" s="38"/>
      <c r="AD180" s="34" t="str">
        <f>IFERROR(__xludf.DUMMYFUNCTION("""COMPUTED_VALUE"""),"")</f>
        <v/>
      </c>
      <c r="AE180" s="35" t="str">
        <f>IFERROR(__xludf.DUMMYFUNCTION("""COMPUTED_VALUE"""),"AP")</f>
        <v>AP</v>
      </c>
      <c r="AF180" s="34" t="str">
        <f>IFERROR(__xludf.DUMMYFUNCTION("""COMPUTED_VALUE"""),"")</f>
        <v/>
      </c>
      <c r="AG180" s="35" t="str">
        <f>IFERROR(__xludf.DUMMYFUNCTION("""COMPUTED_VALUE"""),"%")</f>
        <v>%</v>
      </c>
      <c r="AH180" s="31"/>
      <c r="AI180" s="32"/>
      <c r="AJ180" s="39"/>
    </row>
    <row r="181" ht="24.75" hidden="1" customHeight="1">
      <c r="A181" s="40">
        <f>IFERROR(__xludf.DUMMYFUNCTION("""COMPUTED_VALUE"""),18.0)</f>
        <v>18</v>
      </c>
      <c r="B181" s="40" t="str">
        <f>IFERROR(__xludf.DUMMYFUNCTION("""COMPUTED_VALUE"""),"A308")</f>
        <v>A308</v>
      </c>
      <c r="C181" s="40"/>
      <c r="D181" s="41"/>
      <c r="E181" s="66"/>
      <c r="F181" s="43"/>
      <c r="G181" s="44"/>
      <c r="H181" s="33" t="str">
        <f>IFERROR(__xludf.DUMMYFUNCTION("""COMPUTED_VALUE""")," ")</f>
        <v> </v>
      </c>
      <c r="I181" s="45"/>
      <c r="J181" s="46" t="str">
        <f>IFERROR(__xludf.DUMMYFUNCTION("""COMPUTED_VALUE"""),"AP")</f>
        <v>AP</v>
      </c>
      <c r="K181" s="47"/>
      <c r="L181" s="48" t="str">
        <f>IFERROR(__xludf.DUMMYFUNCTION("""COMPUTED_VALUE"""),"%")</f>
        <v>%</v>
      </c>
      <c r="M181" s="49">
        <f>IFERROR(__xludf.DUMMYFUNCTION("""COMPUTED_VALUE"""),1.0)</f>
        <v>1</v>
      </c>
      <c r="N181" s="50"/>
      <c r="O181" s="38"/>
      <c r="P181" s="45" t="str">
        <f>IFERROR(__xludf.DUMMYFUNCTION("""COMPUTED_VALUE"""),"")</f>
        <v/>
      </c>
      <c r="Q181" s="46" t="str">
        <f>IFERROR(__xludf.DUMMYFUNCTION("""COMPUTED_VALUE"""),"AP")</f>
        <v>AP</v>
      </c>
      <c r="R181" s="47" t="str">
        <f>IFERROR(__xludf.DUMMYFUNCTION("""COMPUTED_VALUE"""),"")</f>
        <v/>
      </c>
      <c r="S181" s="48" t="str">
        <f>IFERROR(__xludf.DUMMYFUNCTION("""COMPUTED_VALUE"""),"%")</f>
        <v>%</v>
      </c>
      <c r="T181" s="49">
        <f>IFERROR(__xludf.DUMMYFUNCTION("""COMPUTED_VALUE"""),2.0)</f>
        <v>2</v>
      </c>
      <c r="U181" s="50"/>
      <c r="V181" s="38"/>
      <c r="W181" s="45" t="str">
        <f>IFERROR(__xludf.DUMMYFUNCTION("""COMPUTED_VALUE"""),"")</f>
        <v/>
      </c>
      <c r="X181" s="46" t="str">
        <f>IFERROR(__xludf.DUMMYFUNCTION("""COMPUTED_VALUE"""),"AP")</f>
        <v>AP</v>
      </c>
      <c r="Y181" s="47" t="str">
        <f>IFERROR(__xludf.DUMMYFUNCTION("""COMPUTED_VALUE"""),"")</f>
        <v/>
      </c>
      <c r="Z181" s="48" t="str">
        <f>IFERROR(__xludf.DUMMYFUNCTION("""COMPUTED_VALUE"""),"%")</f>
        <v>%</v>
      </c>
      <c r="AA181" s="49">
        <f>IFERROR(__xludf.DUMMYFUNCTION("""COMPUTED_VALUE"""),3.0)</f>
        <v>3</v>
      </c>
      <c r="AB181" s="50"/>
      <c r="AC181" s="38"/>
      <c r="AD181" s="45" t="str">
        <f>IFERROR(__xludf.DUMMYFUNCTION("""COMPUTED_VALUE"""),"")</f>
        <v/>
      </c>
      <c r="AE181" s="46" t="str">
        <f>IFERROR(__xludf.DUMMYFUNCTION("""COMPUTED_VALUE"""),"AP")</f>
        <v>AP</v>
      </c>
      <c r="AF181" s="47" t="str">
        <f>IFERROR(__xludf.DUMMYFUNCTION("""COMPUTED_VALUE"""),"")</f>
        <v/>
      </c>
      <c r="AG181" s="48" t="str">
        <f>IFERROR(__xludf.DUMMYFUNCTION("""COMPUTED_VALUE"""),"%")</f>
        <v>%</v>
      </c>
      <c r="AH181" s="43"/>
      <c r="AI181" s="44"/>
      <c r="AJ181" s="51"/>
    </row>
    <row r="182" ht="24.75" hidden="1" customHeight="1">
      <c r="A182" s="28">
        <f>IFERROR(__xludf.DUMMYFUNCTION("""COMPUTED_VALUE"""),19.0)</f>
        <v>19</v>
      </c>
      <c r="B182" s="28" t="str">
        <f>IFERROR(__xludf.DUMMYFUNCTION("""COMPUTED_VALUE"""),"A308")</f>
        <v>A308</v>
      </c>
      <c r="C182" s="28"/>
      <c r="D182" s="29"/>
      <c r="E182" s="67"/>
      <c r="F182" s="31"/>
      <c r="G182" s="32"/>
      <c r="H182" s="33" t="str">
        <f>IFERROR(__xludf.DUMMYFUNCTION("""COMPUTED_VALUE""")," ")</f>
        <v> </v>
      </c>
      <c r="I182" s="34"/>
      <c r="J182" s="35" t="str">
        <f>IFERROR(__xludf.DUMMYFUNCTION("""COMPUTED_VALUE"""),"AP")</f>
        <v>AP</v>
      </c>
      <c r="K182" s="34"/>
      <c r="L182" s="35" t="str">
        <f>IFERROR(__xludf.DUMMYFUNCTION("""COMPUTED_VALUE"""),"%")</f>
        <v>%</v>
      </c>
      <c r="M182" s="36">
        <f>IFERROR(__xludf.DUMMYFUNCTION("""COMPUTED_VALUE"""),1.0)</f>
        <v>1</v>
      </c>
      <c r="N182" s="37"/>
      <c r="O182" s="38"/>
      <c r="P182" s="34" t="str">
        <f>IFERROR(__xludf.DUMMYFUNCTION("""COMPUTED_VALUE"""),"")</f>
        <v/>
      </c>
      <c r="Q182" s="35" t="str">
        <f>IFERROR(__xludf.DUMMYFUNCTION("""COMPUTED_VALUE"""),"AP")</f>
        <v>AP</v>
      </c>
      <c r="R182" s="34" t="str">
        <f>IFERROR(__xludf.DUMMYFUNCTION("""COMPUTED_VALUE"""),"")</f>
        <v/>
      </c>
      <c r="S182" s="35" t="str">
        <f>IFERROR(__xludf.DUMMYFUNCTION("""COMPUTED_VALUE"""),"%")</f>
        <v>%</v>
      </c>
      <c r="T182" s="36">
        <f>IFERROR(__xludf.DUMMYFUNCTION("""COMPUTED_VALUE"""),2.0)</f>
        <v>2</v>
      </c>
      <c r="U182" s="37"/>
      <c r="V182" s="38"/>
      <c r="W182" s="34" t="str">
        <f>IFERROR(__xludf.DUMMYFUNCTION("""COMPUTED_VALUE"""),"")</f>
        <v/>
      </c>
      <c r="X182" s="35" t="str">
        <f>IFERROR(__xludf.DUMMYFUNCTION("""COMPUTED_VALUE"""),"AP")</f>
        <v>AP</v>
      </c>
      <c r="Y182" s="34" t="str">
        <f>IFERROR(__xludf.DUMMYFUNCTION("""COMPUTED_VALUE"""),"")</f>
        <v/>
      </c>
      <c r="Z182" s="35" t="str">
        <f>IFERROR(__xludf.DUMMYFUNCTION("""COMPUTED_VALUE"""),"%")</f>
        <v>%</v>
      </c>
      <c r="AA182" s="36">
        <f>IFERROR(__xludf.DUMMYFUNCTION("""COMPUTED_VALUE"""),3.0)</f>
        <v>3</v>
      </c>
      <c r="AB182" s="37"/>
      <c r="AC182" s="38"/>
      <c r="AD182" s="34" t="str">
        <f>IFERROR(__xludf.DUMMYFUNCTION("""COMPUTED_VALUE"""),"")</f>
        <v/>
      </c>
      <c r="AE182" s="35" t="str">
        <f>IFERROR(__xludf.DUMMYFUNCTION("""COMPUTED_VALUE"""),"AP")</f>
        <v>AP</v>
      </c>
      <c r="AF182" s="34" t="str">
        <f>IFERROR(__xludf.DUMMYFUNCTION("""COMPUTED_VALUE"""),"")</f>
        <v/>
      </c>
      <c r="AG182" s="35" t="str">
        <f>IFERROR(__xludf.DUMMYFUNCTION("""COMPUTED_VALUE"""),"%")</f>
        <v>%</v>
      </c>
      <c r="AH182" s="31"/>
      <c r="AI182" s="32"/>
      <c r="AJ182" s="39"/>
    </row>
    <row r="183" ht="24.75" hidden="1" customHeight="1">
      <c r="A183" s="40">
        <f>IFERROR(__xludf.DUMMYFUNCTION("""COMPUTED_VALUE"""),20.0)</f>
        <v>20</v>
      </c>
      <c r="B183" s="40" t="str">
        <f>IFERROR(__xludf.DUMMYFUNCTION("""COMPUTED_VALUE"""),"A308")</f>
        <v>A308</v>
      </c>
      <c r="C183" s="40"/>
      <c r="D183" s="41"/>
      <c r="E183" s="66"/>
      <c r="F183" s="43"/>
      <c r="G183" s="44"/>
      <c r="H183" s="33" t="str">
        <f>IFERROR(__xludf.DUMMYFUNCTION("""COMPUTED_VALUE""")," ")</f>
        <v> </v>
      </c>
      <c r="I183" s="45"/>
      <c r="J183" s="46" t="str">
        <f>IFERROR(__xludf.DUMMYFUNCTION("""COMPUTED_VALUE"""),"AP")</f>
        <v>AP</v>
      </c>
      <c r="K183" s="47"/>
      <c r="L183" s="48" t="str">
        <f>IFERROR(__xludf.DUMMYFUNCTION("""COMPUTED_VALUE"""),"%")</f>
        <v>%</v>
      </c>
      <c r="M183" s="49">
        <f>IFERROR(__xludf.DUMMYFUNCTION("""COMPUTED_VALUE"""),1.0)</f>
        <v>1</v>
      </c>
      <c r="N183" s="50"/>
      <c r="O183" s="38"/>
      <c r="P183" s="45" t="str">
        <f>IFERROR(__xludf.DUMMYFUNCTION("""COMPUTED_VALUE"""),"")</f>
        <v/>
      </c>
      <c r="Q183" s="46" t="str">
        <f>IFERROR(__xludf.DUMMYFUNCTION("""COMPUTED_VALUE"""),"AP")</f>
        <v>AP</v>
      </c>
      <c r="R183" s="47" t="str">
        <f>IFERROR(__xludf.DUMMYFUNCTION("""COMPUTED_VALUE"""),"")</f>
        <v/>
      </c>
      <c r="S183" s="48" t="str">
        <f>IFERROR(__xludf.DUMMYFUNCTION("""COMPUTED_VALUE"""),"%")</f>
        <v>%</v>
      </c>
      <c r="T183" s="49">
        <f>IFERROR(__xludf.DUMMYFUNCTION("""COMPUTED_VALUE"""),2.0)</f>
        <v>2</v>
      </c>
      <c r="U183" s="50"/>
      <c r="V183" s="38"/>
      <c r="W183" s="45" t="str">
        <f>IFERROR(__xludf.DUMMYFUNCTION("""COMPUTED_VALUE"""),"")</f>
        <v/>
      </c>
      <c r="X183" s="46" t="str">
        <f>IFERROR(__xludf.DUMMYFUNCTION("""COMPUTED_VALUE"""),"AP")</f>
        <v>AP</v>
      </c>
      <c r="Y183" s="47" t="str">
        <f>IFERROR(__xludf.DUMMYFUNCTION("""COMPUTED_VALUE"""),"")</f>
        <v/>
      </c>
      <c r="Z183" s="48" t="str">
        <f>IFERROR(__xludf.DUMMYFUNCTION("""COMPUTED_VALUE"""),"%")</f>
        <v>%</v>
      </c>
      <c r="AA183" s="49">
        <f>IFERROR(__xludf.DUMMYFUNCTION("""COMPUTED_VALUE"""),3.0)</f>
        <v>3</v>
      </c>
      <c r="AB183" s="50"/>
      <c r="AC183" s="38"/>
      <c r="AD183" s="45" t="str">
        <f>IFERROR(__xludf.DUMMYFUNCTION("""COMPUTED_VALUE"""),"")</f>
        <v/>
      </c>
      <c r="AE183" s="46" t="str">
        <f>IFERROR(__xludf.DUMMYFUNCTION("""COMPUTED_VALUE"""),"AP")</f>
        <v>AP</v>
      </c>
      <c r="AF183" s="47" t="str">
        <f>IFERROR(__xludf.DUMMYFUNCTION("""COMPUTED_VALUE"""),"")</f>
        <v/>
      </c>
      <c r="AG183" s="48" t="str">
        <f>IFERROR(__xludf.DUMMYFUNCTION("""COMPUTED_VALUE"""),"%")</f>
        <v>%</v>
      </c>
      <c r="AH183" s="43"/>
      <c r="AI183" s="44"/>
      <c r="AJ183" s="51"/>
    </row>
    <row r="184">
      <c r="A184" s="52"/>
      <c r="B184" s="53"/>
      <c r="C184" s="54"/>
      <c r="D184" s="55"/>
      <c r="E184" s="56"/>
      <c r="F184" s="53"/>
      <c r="G184" s="53"/>
      <c r="H184" s="53"/>
      <c r="I184" s="53"/>
      <c r="J184" s="57"/>
      <c r="K184" s="53"/>
      <c r="L184" s="57"/>
      <c r="M184" s="53"/>
      <c r="N184" s="53"/>
      <c r="O184" s="53"/>
      <c r="P184" s="53"/>
      <c r="Q184" s="57"/>
      <c r="R184" s="53"/>
      <c r="S184" s="57"/>
      <c r="T184" s="53"/>
      <c r="U184" s="53"/>
      <c r="V184" s="53"/>
      <c r="W184" s="53"/>
      <c r="X184" s="57"/>
      <c r="Y184" s="53"/>
      <c r="Z184" s="57"/>
      <c r="AA184" s="53"/>
      <c r="AB184" s="53"/>
      <c r="AC184" s="53"/>
      <c r="AD184" s="53"/>
      <c r="AE184" s="57"/>
      <c r="AF184" s="53"/>
      <c r="AG184" s="57"/>
      <c r="AH184" s="53"/>
      <c r="AI184" s="53"/>
      <c r="AJ184" s="58"/>
    </row>
    <row r="185">
      <c r="A185" s="59"/>
      <c r="B185" s="60"/>
      <c r="C185" s="61"/>
      <c r="D185" s="62"/>
      <c r="E185" s="63"/>
      <c r="F185" s="60"/>
      <c r="G185" s="60"/>
      <c r="H185" s="60"/>
      <c r="I185" s="60"/>
      <c r="J185" s="64"/>
      <c r="K185" s="60"/>
      <c r="L185" s="64"/>
      <c r="M185" s="60"/>
      <c r="N185" s="60"/>
      <c r="O185" s="60"/>
      <c r="P185" s="60"/>
      <c r="Q185" s="64"/>
      <c r="R185" s="60"/>
      <c r="S185" s="64"/>
      <c r="T185" s="60"/>
      <c r="U185" s="60"/>
      <c r="V185" s="60"/>
      <c r="W185" s="60"/>
      <c r="X185" s="64"/>
      <c r="Y185" s="60"/>
      <c r="Z185" s="64"/>
      <c r="AA185" s="60"/>
      <c r="AB185" s="60"/>
      <c r="AC185" s="60"/>
      <c r="AD185" s="60"/>
      <c r="AE185" s="64"/>
      <c r="AF185" s="60"/>
      <c r="AG185" s="64"/>
      <c r="AH185" s="60"/>
      <c r="AI185" s="60"/>
      <c r="AJ185" s="65"/>
    </row>
    <row r="186" ht="33.0" customHeight="1">
      <c r="A186" s="20" t="str">
        <f>IFERROR(__xludf.DUMMYFUNCTION("""COMPUTED_VALUE""")," ")</f>
        <v> </v>
      </c>
      <c r="B186" s="21" t="str">
        <f>IFERROR(__xludf.DUMMYFUNCTION("""COMPUTED_VALUE"""),"A309")</f>
        <v>A309</v>
      </c>
      <c r="C186" s="20"/>
      <c r="D186" s="22" t="str">
        <f>IFERROR(__xludf.DUMMYFUNCTION("""COMPUTED_VALUE"""),"")</f>
        <v/>
      </c>
      <c r="E186" s="23" t="str">
        <f>IFERROR(__xludf.DUMMYFUNCTION("""COMPUTED_VALUE"""),"Mystic Gunpowder")</f>
        <v>Mystic Gunpowder</v>
      </c>
      <c r="F186" s="24"/>
      <c r="G186" s="24"/>
      <c r="H186" s="25"/>
      <c r="I186" s="25"/>
      <c r="J186" s="26"/>
      <c r="K186" s="25"/>
      <c r="L186" s="26"/>
      <c r="M186" s="25"/>
      <c r="N186" s="25"/>
      <c r="O186" s="25"/>
      <c r="P186" s="25"/>
      <c r="Q186" s="26"/>
      <c r="R186" s="25"/>
      <c r="S186" s="26"/>
      <c r="T186" s="25"/>
      <c r="U186" s="25"/>
      <c r="V186" s="25"/>
      <c r="W186" s="25"/>
      <c r="X186" s="26"/>
      <c r="Y186" s="25"/>
      <c r="Z186" s="26"/>
      <c r="AA186" s="25"/>
      <c r="AB186" s="25"/>
      <c r="AC186" s="25"/>
      <c r="AD186" s="25"/>
      <c r="AE186" s="26"/>
      <c r="AF186" s="25"/>
      <c r="AG186" s="26"/>
      <c r="AH186" s="24"/>
      <c r="AI186" s="25"/>
      <c r="AJ186" s="27"/>
    </row>
    <row r="187" ht="24.75" customHeight="1">
      <c r="A187" s="28">
        <f>IFERROR(__xludf.DUMMYFUNCTION("""COMPUTED_VALUE"""),1.0)</f>
        <v>1</v>
      </c>
      <c r="B187" s="28" t="str">
        <f>IFERROR(__xludf.DUMMYFUNCTION("""COMPUTED_VALUE"""),"A309")</f>
        <v>A309</v>
      </c>
      <c r="C187" s="28" t="str">
        <f>IFERROR(__xludf.DUMMYFUNCTION("""COMPUTED_VALUE"""),"ANA2")</f>
        <v>ANA2</v>
      </c>
      <c r="D187" s="29" t="str">
        <f>IFERROR(__xludf.DUMMYFUNCTION("""COMPUTED_VALUE"""),"Anastasia")</f>
        <v>Anastasia</v>
      </c>
      <c r="E187" s="30" t="str">
        <f>IFERROR(__xludf.DUMMYFUNCTION("""COMPUTED_VALUE"""),"Yaga Smolensk")</f>
        <v>Yaga Smolensk</v>
      </c>
      <c r="F187" s="31">
        <f>IFERROR(__xludf.DUMMYFUNCTION("""COMPUTED_VALUE"""),20.0)</f>
        <v>20</v>
      </c>
      <c r="G187" s="32">
        <f>IFERROR(__xludf.DUMMYFUNCTION("""COMPUTED_VALUE"""),38160.0)</f>
        <v>38160</v>
      </c>
      <c r="H187" s="33" t="str">
        <f>IFERROR(__xludf.DUMMYFUNCTION("""COMPUTED_VALUE"""),"")</f>
        <v/>
      </c>
      <c r="I187" s="34">
        <f>IFERROR(__xludf.DUMMYFUNCTION("""COMPUTED_VALUE"""),30.4)</f>
        <v>30.4</v>
      </c>
      <c r="J187" s="35" t="str">
        <f>IFERROR(__xludf.DUMMYFUNCTION("""COMPUTED_VALUE"""),"AP")</f>
        <v>AP</v>
      </c>
      <c r="K187" s="34">
        <f>IFERROR(__xludf.DUMMYFUNCTION("""COMPUTED_VALUE"""),65.7)</f>
        <v>65.7</v>
      </c>
      <c r="L187" s="35" t="str">
        <f>IFERROR(__xludf.DUMMYFUNCTION("""COMPUTED_VALUE"""),"%")</f>
        <v>%</v>
      </c>
      <c r="M187" s="36">
        <f>IFERROR(__xludf.DUMMYFUNCTION("""COMPUTED_VALUE"""),1.0)</f>
        <v>1</v>
      </c>
      <c r="N187" s="37"/>
      <c r="O187" s="38"/>
      <c r="P187" s="34" t="str">
        <f>IFERROR(__xludf.DUMMYFUNCTION("""COMPUTED_VALUE"""),"")</f>
        <v/>
      </c>
      <c r="Q187" s="35" t="str">
        <f>IFERROR(__xludf.DUMMYFUNCTION("""COMPUTED_VALUE"""),"AP")</f>
        <v>AP</v>
      </c>
      <c r="R187" s="34" t="str">
        <f>IFERROR(__xludf.DUMMYFUNCTION("""COMPUTED_VALUE"""),"")</f>
        <v/>
      </c>
      <c r="S187" s="35" t="str">
        <f>IFERROR(__xludf.DUMMYFUNCTION("""COMPUTED_VALUE"""),"%")</f>
        <v>%</v>
      </c>
      <c r="T187" s="36">
        <f>IFERROR(__xludf.DUMMYFUNCTION("""COMPUTED_VALUE"""),2.0)</f>
        <v>2</v>
      </c>
      <c r="U187" s="37"/>
      <c r="V187" s="38"/>
      <c r="W187" s="34" t="str">
        <f>IFERROR(__xludf.DUMMYFUNCTION("""COMPUTED_VALUE"""),"")</f>
        <v/>
      </c>
      <c r="X187" s="35" t="str">
        <f>IFERROR(__xludf.DUMMYFUNCTION("""COMPUTED_VALUE"""),"AP")</f>
        <v>AP</v>
      </c>
      <c r="Y187" s="34" t="str">
        <f>IFERROR(__xludf.DUMMYFUNCTION("""COMPUTED_VALUE"""),"")</f>
        <v/>
      </c>
      <c r="Z187" s="35" t="str">
        <f>IFERROR(__xludf.DUMMYFUNCTION("""COMPUTED_VALUE"""),"%")</f>
        <v>%</v>
      </c>
      <c r="AA187" s="36">
        <f>IFERROR(__xludf.DUMMYFUNCTION("""COMPUTED_VALUE"""),3.0)</f>
        <v>3</v>
      </c>
      <c r="AB187" s="37"/>
      <c r="AC187" s="38"/>
      <c r="AD187" s="34" t="str">
        <f>IFERROR(__xludf.DUMMYFUNCTION("""COMPUTED_VALUE"""),"")</f>
        <v/>
      </c>
      <c r="AE187" s="35" t="str">
        <f>IFERROR(__xludf.DUMMYFUNCTION("""COMPUTED_VALUE"""),"AP")</f>
        <v>AP</v>
      </c>
      <c r="AF187" s="34" t="str">
        <f>IFERROR(__xludf.DUMMYFUNCTION("""COMPUTED_VALUE"""),"")</f>
        <v/>
      </c>
      <c r="AG187" s="35" t="str">
        <f>IFERROR(__xludf.DUMMYFUNCTION("""COMPUTED_VALUE"""),"%")</f>
        <v>%</v>
      </c>
      <c r="AH187" s="31">
        <f>IFERROR(__xludf.DUMMYFUNCTION("""COMPUTED_VALUE"""),20.0)</f>
        <v>20</v>
      </c>
      <c r="AI187" s="32">
        <f>IFERROR(__xludf.DUMMYFUNCTION("""COMPUTED_VALUE"""),38160.0)</f>
        <v>38160</v>
      </c>
      <c r="AJ187" s="39" t="str">
        <f>IFERROR(__xludf.DUMMYFUNCTION("""COMPUTED_VALUE"""),"ヤガ・スモレンスク")</f>
        <v>ヤガ・スモレンスク</v>
      </c>
    </row>
    <row r="188" ht="24.75" customHeight="1">
      <c r="A188" s="40">
        <f>IFERROR(__xludf.DUMMYFUNCTION("""COMPUTED_VALUE"""),2.0)</f>
        <v>2</v>
      </c>
      <c r="B188" s="40" t="str">
        <f>IFERROR(__xludf.DUMMYFUNCTION("""COMPUTED_VALUE"""),"A309")</f>
        <v>A309</v>
      </c>
      <c r="C188" s="40" t="str">
        <f>IFERROR(__xludf.DUMMYFUNCTION("""COMPUTED_VALUE"""),"ANA4")</f>
        <v>ANA4</v>
      </c>
      <c r="D188" s="41" t="str">
        <f>IFERROR(__xludf.DUMMYFUNCTION("""COMPUTED_VALUE"""),"Anastasia")</f>
        <v>Anastasia</v>
      </c>
      <c r="E188" s="42" t="str">
        <f>IFERROR(__xludf.DUMMYFUNCTION("""COMPUTED_VALUE"""),"Rebel Stronghold")</f>
        <v>Rebel Stronghold</v>
      </c>
      <c r="F188" s="43">
        <f>IFERROR(__xludf.DUMMYFUNCTION("""COMPUTED_VALUE"""),21.0)</f>
        <v>21</v>
      </c>
      <c r="G188" s="44">
        <f>IFERROR(__xludf.DUMMYFUNCTION("""COMPUTED_VALUE"""),3070.0)</f>
        <v>3070</v>
      </c>
      <c r="H188" s="33" t="str">
        <f>IFERROR(__xludf.DUMMYFUNCTION("""COMPUTED_VALUE"""),"")</f>
        <v/>
      </c>
      <c r="I188" s="45">
        <f>IFERROR(__xludf.DUMMYFUNCTION("""COMPUTED_VALUE"""),50.7)</f>
        <v>50.7</v>
      </c>
      <c r="J188" s="46" t="str">
        <f>IFERROR(__xludf.DUMMYFUNCTION("""COMPUTED_VALUE"""),"AP")</f>
        <v>AP</v>
      </c>
      <c r="K188" s="47">
        <f>IFERROR(__xludf.DUMMYFUNCTION("""COMPUTED_VALUE"""),41.4)</f>
        <v>41.4</v>
      </c>
      <c r="L188" s="48" t="str">
        <f>IFERROR(__xludf.DUMMYFUNCTION("""COMPUTED_VALUE"""),"%")</f>
        <v>%</v>
      </c>
      <c r="M188" s="49">
        <f>IFERROR(__xludf.DUMMYFUNCTION("""COMPUTED_VALUE"""),1.0)</f>
        <v>1</v>
      </c>
      <c r="N188" s="50" t="str">
        <f>IFERROR(__xludf.DUMMYFUNCTION("""COMPUTED_VALUE"""),"A105")</f>
        <v>A105</v>
      </c>
      <c r="O188" s="38" t="str">
        <f>IFERROR(__xludf.DUMMYFUNCTION("""COMPUTED_VALUE"""),"")</f>
        <v/>
      </c>
      <c r="P188" s="45">
        <f>IFERROR(__xludf.DUMMYFUNCTION("""COMPUTED_VALUE"""),96.1)</f>
        <v>96.1</v>
      </c>
      <c r="Q188" s="46" t="str">
        <f>IFERROR(__xludf.DUMMYFUNCTION("""COMPUTED_VALUE"""),"AP")</f>
        <v>AP</v>
      </c>
      <c r="R188" s="47">
        <f>IFERROR(__xludf.DUMMYFUNCTION("""COMPUTED_VALUE"""),21.9)</f>
        <v>21.9</v>
      </c>
      <c r="S188" s="48" t="str">
        <f>IFERROR(__xludf.DUMMYFUNCTION("""COMPUTED_VALUE"""),"%")</f>
        <v>%</v>
      </c>
      <c r="T188" s="49">
        <f>IFERROR(__xludf.DUMMYFUNCTION("""COMPUTED_VALUE"""),2.0)</f>
        <v>2</v>
      </c>
      <c r="U188" s="50" t="str">
        <f>IFERROR(__xludf.DUMMYFUNCTION("""COMPUTED_VALUE"""),"B113")</f>
        <v>B113</v>
      </c>
      <c r="V188" s="38" t="str">
        <f>IFERROR(__xludf.DUMMYFUNCTION("""COMPUTED_VALUE"""),"")</f>
        <v/>
      </c>
      <c r="W188" s="45">
        <f>IFERROR(__xludf.DUMMYFUNCTION("""COMPUTED_VALUE"""),257.0)</f>
        <v>257</v>
      </c>
      <c r="X188" s="46" t="str">
        <f>IFERROR(__xludf.DUMMYFUNCTION("""COMPUTED_VALUE"""),"AP")</f>
        <v>AP</v>
      </c>
      <c r="Y188" s="47">
        <f>IFERROR(__xludf.DUMMYFUNCTION("""COMPUTED_VALUE"""),8.2)</f>
        <v>8.2</v>
      </c>
      <c r="Z188" s="48" t="str">
        <f>IFERROR(__xludf.DUMMYFUNCTION("""COMPUTED_VALUE"""),"%")</f>
        <v>%</v>
      </c>
      <c r="AA188" s="49">
        <f>IFERROR(__xludf.DUMMYFUNCTION("""COMPUTED_VALUE"""),3.0)</f>
        <v>3</v>
      </c>
      <c r="AB188" s="50"/>
      <c r="AC188" s="38"/>
      <c r="AD188" s="45" t="str">
        <f>IFERROR(__xludf.DUMMYFUNCTION("""COMPUTED_VALUE"""),"")</f>
        <v/>
      </c>
      <c r="AE188" s="46" t="str">
        <f>IFERROR(__xludf.DUMMYFUNCTION("""COMPUTED_VALUE"""),"AP")</f>
        <v>AP</v>
      </c>
      <c r="AF188" s="47" t="str">
        <f>IFERROR(__xludf.DUMMYFUNCTION("""COMPUTED_VALUE"""),"")</f>
        <v/>
      </c>
      <c r="AG188" s="48" t="str">
        <f>IFERROR(__xludf.DUMMYFUNCTION("""COMPUTED_VALUE"""),"%")</f>
        <v>%</v>
      </c>
      <c r="AH188" s="43">
        <f>IFERROR(__xludf.DUMMYFUNCTION("""COMPUTED_VALUE"""),21.0)</f>
        <v>21</v>
      </c>
      <c r="AI188" s="44">
        <f>IFERROR(__xludf.DUMMYFUNCTION("""COMPUTED_VALUE"""),3070.0)</f>
        <v>3070</v>
      </c>
      <c r="AJ188" s="51" t="str">
        <f>IFERROR(__xludf.DUMMYFUNCTION("""COMPUTED_VALUE"""),"叛逆軍の砦")</f>
        <v>叛逆軍の砦</v>
      </c>
    </row>
    <row r="189" ht="24.75" customHeight="1">
      <c r="A189" s="28">
        <f>IFERROR(__xludf.DUMMYFUNCTION("""COMPUTED_VALUE"""),3.0)</f>
        <v>3</v>
      </c>
      <c r="B189" s="28" t="str">
        <f>IFERROR(__xludf.DUMMYFUNCTION("""COMPUTED_VALUE"""),"A309")</f>
        <v>A309</v>
      </c>
      <c r="C189" s="28" t="str">
        <f>IFERROR(__xludf.DUMMYFUNCTION("""COMPUTED_VALUE"""),"ANA5")</f>
        <v>ANA5</v>
      </c>
      <c r="D189" s="29" t="str">
        <f>IFERROR(__xludf.DUMMYFUNCTION("""COMPUTED_VALUE"""),"Anastasia")</f>
        <v>Anastasia</v>
      </c>
      <c r="E189" s="30" t="str">
        <f>IFERROR(__xludf.DUMMYFUNCTION("""COMPUTED_VALUE"""),"Yaga Sychyovka")</f>
        <v>Yaga Sychyovka</v>
      </c>
      <c r="F189" s="31">
        <f>IFERROR(__xludf.DUMMYFUNCTION("""COMPUTED_VALUE"""),21.0)</f>
        <v>21</v>
      </c>
      <c r="G189" s="32">
        <f>IFERROR(__xludf.DUMMYFUNCTION("""COMPUTED_VALUE"""),15732.0)</f>
        <v>15732</v>
      </c>
      <c r="H189" s="33" t="str">
        <f>IFERROR(__xludf.DUMMYFUNCTION("""COMPUTED_VALUE"""),"")</f>
        <v/>
      </c>
      <c r="I189" s="34">
        <f>IFERROR(__xludf.DUMMYFUNCTION("""COMPUTED_VALUE"""),50.7)</f>
        <v>50.7</v>
      </c>
      <c r="J189" s="35" t="str">
        <f>IFERROR(__xludf.DUMMYFUNCTION("""COMPUTED_VALUE"""),"AP")</f>
        <v>AP</v>
      </c>
      <c r="K189" s="34">
        <f>IFERROR(__xludf.DUMMYFUNCTION("""COMPUTED_VALUE"""),41.4)</f>
        <v>41.4</v>
      </c>
      <c r="L189" s="35" t="str">
        <f>IFERROR(__xludf.DUMMYFUNCTION("""COMPUTED_VALUE"""),"%")</f>
        <v>%</v>
      </c>
      <c r="M189" s="36">
        <f>IFERROR(__xludf.DUMMYFUNCTION("""COMPUTED_VALUE"""),1.0)</f>
        <v>1</v>
      </c>
      <c r="N189" s="37" t="str">
        <f>IFERROR(__xludf.DUMMYFUNCTION("""COMPUTED_VALUE"""),"A201")</f>
        <v>A201</v>
      </c>
      <c r="O189" s="38" t="str">
        <f>IFERROR(__xludf.DUMMYFUNCTION("""COMPUTED_VALUE"""),"")</f>
        <v/>
      </c>
      <c r="P189" s="34">
        <f>IFERROR(__xludf.DUMMYFUNCTION("""COMPUTED_VALUE"""),84.8)</f>
        <v>84.8</v>
      </c>
      <c r="Q189" s="35" t="str">
        <f>IFERROR(__xludf.DUMMYFUNCTION("""COMPUTED_VALUE"""),"AP")</f>
        <v>AP</v>
      </c>
      <c r="R189" s="34">
        <f>IFERROR(__xludf.DUMMYFUNCTION("""COMPUTED_VALUE"""),24.8)</f>
        <v>24.8</v>
      </c>
      <c r="S189" s="35" t="str">
        <f>IFERROR(__xludf.DUMMYFUNCTION("""COMPUTED_VALUE"""),"%")</f>
        <v>%</v>
      </c>
      <c r="T189" s="36">
        <f>IFERROR(__xludf.DUMMYFUNCTION("""COMPUTED_VALUE"""),2.0)</f>
        <v>2</v>
      </c>
      <c r="U189" s="37" t="str">
        <f>IFERROR(__xludf.DUMMYFUNCTION("""COMPUTED_VALUE"""),"B117")</f>
        <v>B117</v>
      </c>
      <c r="V189" s="38" t="str">
        <f>IFERROR(__xludf.DUMMYFUNCTION("""COMPUTED_VALUE"""),"")</f>
        <v/>
      </c>
      <c r="W189" s="34">
        <f>IFERROR(__xludf.DUMMYFUNCTION("""COMPUTED_VALUE"""),102.9)</f>
        <v>102.9</v>
      </c>
      <c r="X189" s="35" t="str">
        <f>IFERROR(__xludf.DUMMYFUNCTION("""COMPUTED_VALUE"""),"AP")</f>
        <v>AP</v>
      </c>
      <c r="Y189" s="34">
        <f>IFERROR(__xludf.DUMMYFUNCTION("""COMPUTED_VALUE"""),20.4)</f>
        <v>20.4</v>
      </c>
      <c r="Z189" s="35" t="str">
        <f>IFERROR(__xludf.DUMMYFUNCTION("""COMPUTED_VALUE"""),"%")</f>
        <v>%</v>
      </c>
      <c r="AA189" s="36">
        <f>IFERROR(__xludf.DUMMYFUNCTION("""COMPUTED_VALUE"""),3.0)</f>
        <v>3</v>
      </c>
      <c r="AB189" s="37"/>
      <c r="AC189" s="38"/>
      <c r="AD189" s="34" t="str">
        <f>IFERROR(__xludf.DUMMYFUNCTION("""COMPUTED_VALUE"""),"")</f>
        <v/>
      </c>
      <c r="AE189" s="35" t="str">
        <f>IFERROR(__xludf.DUMMYFUNCTION("""COMPUTED_VALUE"""),"AP")</f>
        <v>AP</v>
      </c>
      <c r="AF189" s="34" t="str">
        <f>IFERROR(__xludf.DUMMYFUNCTION("""COMPUTED_VALUE"""),"")</f>
        <v/>
      </c>
      <c r="AG189" s="35" t="str">
        <f>IFERROR(__xludf.DUMMYFUNCTION("""COMPUTED_VALUE"""),"%")</f>
        <v>%</v>
      </c>
      <c r="AH189" s="31">
        <f>IFERROR(__xludf.DUMMYFUNCTION("""COMPUTED_VALUE"""),21.0)</f>
        <v>21</v>
      </c>
      <c r="AI189" s="32">
        <f>IFERROR(__xludf.DUMMYFUNCTION("""COMPUTED_VALUE"""),15732.0)</f>
        <v>15732</v>
      </c>
      <c r="AJ189" s="39" t="str">
        <f>IFERROR(__xludf.DUMMYFUNCTION("""COMPUTED_VALUE"""),"ヤガ・スィチョーフカ")</f>
        <v>ヤガ・スィチョーフカ</v>
      </c>
    </row>
    <row r="190" ht="24.75" customHeight="1">
      <c r="A190" s="40">
        <f>IFERROR(__xludf.DUMMYFUNCTION("""COMPUTED_VALUE"""),4.0)</f>
        <v>4</v>
      </c>
      <c r="B190" s="40" t="str">
        <f>IFERROR(__xludf.DUMMYFUNCTION("""COMPUTED_VALUE"""),"A309")</f>
        <v>A309</v>
      </c>
      <c r="C190" s="40" t="str">
        <f>IFERROR(__xludf.DUMMYFUNCTION("""COMPUTED_VALUE"""),"ANA6")</f>
        <v>ANA6</v>
      </c>
      <c r="D190" s="41" t="str">
        <f>IFERROR(__xludf.DUMMYFUNCTION("""COMPUTED_VALUE"""),"Anastasia")</f>
        <v>Anastasia</v>
      </c>
      <c r="E190" s="42" t="str">
        <f>IFERROR(__xludf.DUMMYFUNCTION("""COMPUTED_VALUE"""),"Burned Village")</f>
        <v>Burned Village</v>
      </c>
      <c r="F190" s="43">
        <f>IFERROR(__xludf.DUMMYFUNCTION("""COMPUTED_VALUE"""),21.0)</f>
        <v>21</v>
      </c>
      <c r="G190" s="44">
        <f>IFERROR(__xludf.DUMMYFUNCTION("""COMPUTED_VALUE"""),89379.0)</f>
        <v>89379</v>
      </c>
      <c r="H190" s="33" t="str">
        <f>IFERROR(__xludf.DUMMYFUNCTION("""COMPUTED_VALUE"""),"")</f>
        <v/>
      </c>
      <c r="I190" s="45">
        <f>IFERROR(__xludf.DUMMYFUNCTION("""COMPUTED_VALUE"""),52.0)</f>
        <v>52</v>
      </c>
      <c r="J190" s="46" t="str">
        <f>IFERROR(__xludf.DUMMYFUNCTION("""COMPUTED_VALUE"""),"AP")</f>
        <v>AP</v>
      </c>
      <c r="K190" s="47">
        <f>IFERROR(__xludf.DUMMYFUNCTION("""COMPUTED_VALUE"""),40.4)</f>
        <v>40.4</v>
      </c>
      <c r="L190" s="48" t="str">
        <f>IFERROR(__xludf.DUMMYFUNCTION("""COMPUTED_VALUE"""),"%")</f>
        <v>%</v>
      </c>
      <c r="M190" s="49">
        <f>IFERROR(__xludf.DUMMYFUNCTION("""COMPUTED_VALUE"""),1.0)</f>
        <v>1</v>
      </c>
      <c r="N190" s="50" t="str">
        <f>IFERROR(__xludf.DUMMYFUNCTION("""COMPUTED_VALUE"""),"A211")</f>
        <v>A211</v>
      </c>
      <c r="O190" s="38" t="str">
        <f>IFERROR(__xludf.DUMMYFUNCTION("""COMPUTED_VALUE"""),"")</f>
        <v/>
      </c>
      <c r="P190" s="45">
        <f>IFERROR(__xludf.DUMMYFUNCTION("""COMPUTED_VALUE"""),84.3)</f>
        <v>84.3</v>
      </c>
      <c r="Q190" s="46" t="str">
        <f>IFERROR(__xludf.DUMMYFUNCTION("""COMPUTED_VALUE"""),"AP")</f>
        <v>AP</v>
      </c>
      <c r="R190" s="47">
        <f>IFERROR(__xludf.DUMMYFUNCTION("""COMPUTED_VALUE"""),24.9)</f>
        <v>24.9</v>
      </c>
      <c r="S190" s="48" t="str">
        <f>IFERROR(__xludf.DUMMYFUNCTION("""COMPUTED_VALUE"""),"%")</f>
        <v>%</v>
      </c>
      <c r="T190" s="49">
        <f>IFERROR(__xludf.DUMMYFUNCTION("""COMPUTED_VALUE"""),2.0)</f>
        <v>2</v>
      </c>
      <c r="U190" s="50"/>
      <c r="V190" s="38"/>
      <c r="W190" s="45" t="str">
        <f>IFERROR(__xludf.DUMMYFUNCTION("""COMPUTED_VALUE"""),"")</f>
        <v/>
      </c>
      <c r="X190" s="46" t="str">
        <f>IFERROR(__xludf.DUMMYFUNCTION("""COMPUTED_VALUE"""),"AP")</f>
        <v>AP</v>
      </c>
      <c r="Y190" s="47" t="str">
        <f>IFERROR(__xludf.DUMMYFUNCTION("""COMPUTED_VALUE"""),"")</f>
        <v/>
      </c>
      <c r="Z190" s="48" t="str">
        <f>IFERROR(__xludf.DUMMYFUNCTION("""COMPUTED_VALUE"""),"%")</f>
        <v>%</v>
      </c>
      <c r="AA190" s="49">
        <f>IFERROR(__xludf.DUMMYFUNCTION("""COMPUTED_VALUE"""),3.0)</f>
        <v>3</v>
      </c>
      <c r="AB190" s="50"/>
      <c r="AC190" s="38"/>
      <c r="AD190" s="45" t="str">
        <f>IFERROR(__xludf.DUMMYFUNCTION("""COMPUTED_VALUE"""),"")</f>
        <v/>
      </c>
      <c r="AE190" s="46" t="str">
        <f>IFERROR(__xludf.DUMMYFUNCTION("""COMPUTED_VALUE"""),"AP")</f>
        <v>AP</v>
      </c>
      <c r="AF190" s="47" t="str">
        <f>IFERROR(__xludf.DUMMYFUNCTION("""COMPUTED_VALUE"""),"")</f>
        <v/>
      </c>
      <c r="AG190" s="48" t="str">
        <f>IFERROR(__xludf.DUMMYFUNCTION("""COMPUTED_VALUE"""),"%")</f>
        <v>%</v>
      </c>
      <c r="AH190" s="43">
        <f>IFERROR(__xludf.DUMMYFUNCTION("""COMPUTED_VALUE"""),21.0)</f>
        <v>21</v>
      </c>
      <c r="AI190" s="44">
        <f>IFERROR(__xludf.DUMMYFUNCTION("""COMPUTED_VALUE"""),89379.0)</f>
        <v>89379</v>
      </c>
      <c r="AJ190" s="51" t="str">
        <f>IFERROR(__xludf.DUMMYFUNCTION("""COMPUTED_VALUE"""),"焼き払われた村")</f>
        <v>焼き払われた村</v>
      </c>
    </row>
    <row r="191" ht="24.75" customHeight="1">
      <c r="A191" s="28">
        <f>IFERROR(__xludf.DUMMYFUNCTION("""COMPUTED_VALUE"""),5.0)</f>
        <v>5</v>
      </c>
      <c r="B191" s="28" t="str">
        <f>IFERROR(__xludf.DUMMYFUNCTION("""COMPUTED_VALUE"""),"A309")</f>
        <v>A309</v>
      </c>
      <c r="C191" s="28" t="str">
        <f>IFERROR(__xludf.DUMMYFUNCTION("""COMPUTED_VALUE"""),"ANA7")</f>
        <v>ANA7</v>
      </c>
      <c r="D191" s="29" t="str">
        <f>IFERROR(__xludf.DUMMYFUNCTION("""COMPUTED_VALUE"""),"Anastasia")</f>
        <v>Anastasia</v>
      </c>
      <c r="E191" s="30" t="str">
        <f>IFERROR(__xludf.DUMMYFUNCTION("""COMPUTED_VALUE"""),"Yaga Vyazma")</f>
        <v>Yaga Vyazma</v>
      </c>
      <c r="F191" s="31">
        <f>IFERROR(__xludf.DUMMYFUNCTION("""COMPUTED_VALUE"""),21.0)</f>
        <v>21</v>
      </c>
      <c r="G191" s="32">
        <f>IFERROR(__xludf.DUMMYFUNCTION("""COMPUTED_VALUE"""),52413.0)</f>
        <v>52413</v>
      </c>
      <c r="H191" s="33" t="str">
        <f>IFERROR(__xludf.DUMMYFUNCTION("""COMPUTED_VALUE"""),"")</f>
        <v/>
      </c>
      <c r="I191" s="34">
        <f>IFERROR(__xludf.DUMMYFUNCTION("""COMPUTED_VALUE"""),52.6)</f>
        <v>52.6</v>
      </c>
      <c r="J191" s="35" t="str">
        <f>IFERROR(__xludf.DUMMYFUNCTION("""COMPUTED_VALUE"""),"AP")</f>
        <v>AP</v>
      </c>
      <c r="K191" s="34">
        <f>IFERROR(__xludf.DUMMYFUNCTION("""COMPUTED_VALUE"""),39.9)</f>
        <v>39.9</v>
      </c>
      <c r="L191" s="35" t="str">
        <f>IFERROR(__xludf.DUMMYFUNCTION("""COMPUTED_VALUE"""),"%")</f>
        <v>%</v>
      </c>
      <c r="M191" s="36">
        <f>IFERROR(__xludf.DUMMYFUNCTION("""COMPUTED_VALUE"""),1.0)</f>
        <v>1</v>
      </c>
      <c r="N191" s="37" t="str">
        <f>IFERROR(__xludf.DUMMYFUNCTION("""COMPUTED_VALUE"""),"A306")</f>
        <v>A306</v>
      </c>
      <c r="O191" s="38" t="str">
        <f>IFERROR(__xludf.DUMMYFUNCTION("""COMPUTED_VALUE"""),"")</f>
        <v/>
      </c>
      <c r="P191" s="34">
        <f>IFERROR(__xludf.DUMMYFUNCTION("""COMPUTED_VALUE"""),51.9)</f>
        <v>51.9</v>
      </c>
      <c r="Q191" s="35" t="str">
        <f>IFERROR(__xludf.DUMMYFUNCTION("""COMPUTED_VALUE"""),"AP")</f>
        <v>AP</v>
      </c>
      <c r="R191" s="34">
        <f>IFERROR(__xludf.DUMMYFUNCTION("""COMPUTED_VALUE"""),40.5)</f>
        <v>40.5</v>
      </c>
      <c r="S191" s="35" t="str">
        <f>IFERROR(__xludf.DUMMYFUNCTION("""COMPUTED_VALUE"""),"%")</f>
        <v>%</v>
      </c>
      <c r="T191" s="36">
        <f>IFERROR(__xludf.DUMMYFUNCTION("""COMPUTED_VALUE"""),2.0)</f>
        <v>2</v>
      </c>
      <c r="U191" s="37"/>
      <c r="V191" s="38"/>
      <c r="W191" s="34" t="str">
        <f>IFERROR(__xludf.DUMMYFUNCTION("""COMPUTED_VALUE"""),"")</f>
        <v/>
      </c>
      <c r="X191" s="35" t="str">
        <f>IFERROR(__xludf.DUMMYFUNCTION("""COMPUTED_VALUE"""),"AP")</f>
        <v>AP</v>
      </c>
      <c r="Y191" s="34" t="str">
        <f>IFERROR(__xludf.DUMMYFUNCTION("""COMPUTED_VALUE"""),"")</f>
        <v/>
      </c>
      <c r="Z191" s="35" t="str">
        <f>IFERROR(__xludf.DUMMYFUNCTION("""COMPUTED_VALUE"""),"%")</f>
        <v>%</v>
      </c>
      <c r="AA191" s="36">
        <f>IFERROR(__xludf.DUMMYFUNCTION("""COMPUTED_VALUE"""),3.0)</f>
        <v>3</v>
      </c>
      <c r="AB191" s="37"/>
      <c r="AC191" s="38"/>
      <c r="AD191" s="34" t="str">
        <f>IFERROR(__xludf.DUMMYFUNCTION("""COMPUTED_VALUE"""),"")</f>
        <v/>
      </c>
      <c r="AE191" s="35" t="str">
        <f>IFERROR(__xludf.DUMMYFUNCTION("""COMPUTED_VALUE"""),"AP")</f>
        <v>AP</v>
      </c>
      <c r="AF191" s="34" t="str">
        <f>IFERROR(__xludf.DUMMYFUNCTION("""COMPUTED_VALUE"""),"")</f>
        <v/>
      </c>
      <c r="AG191" s="35" t="str">
        <f>IFERROR(__xludf.DUMMYFUNCTION("""COMPUTED_VALUE"""),"%")</f>
        <v>%</v>
      </c>
      <c r="AH191" s="31">
        <f>IFERROR(__xludf.DUMMYFUNCTION("""COMPUTED_VALUE"""),21.0)</f>
        <v>21</v>
      </c>
      <c r="AI191" s="32">
        <f>IFERROR(__xludf.DUMMYFUNCTION("""COMPUTED_VALUE"""),52413.0)</f>
        <v>52413</v>
      </c>
      <c r="AJ191" s="39" t="str">
        <f>IFERROR(__xludf.DUMMYFUNCTION("""COMPUTED_VALUE"""),"ヤガ・ヴャジマ")</f>
        <v>ヤガ・ヴャジマ</v>
      </c>
    </row>
    <row r="192" ht="24.75" customHeight="1">
      <c r="A192" s="40">
        <f>IFERROR(__xludf.DUMMYFUNCTION("""COMPUTED_VALUE"""),6.0)</f>
        <v>6</v>
      </c>
      <c r="B192" s="40" t="str">
        <f>IFERROR(__xludf.DUMMYFUNCTION("""COMPUTED_VALUE"""),"A309")</f>
        <v>A309</v>
      </c>
      <c r="C192" s="40" t="str">
        <f>IFERROR(__xludf.DUMMYFUNCTION("""COMPUTED_VALUE"""),"ANA9")</f>
        <v>ANA9</v>
      </c>
      <c r="D192" s="41" t="str">
        <f>IFERROR(__xludf.DUMMYFUNCTION("""COMPUTED_VALUE"""),"Anastasia")</f>
        <v>Anastasia</v>
      </c>
      <c r="E192" s="42" t="str">
        <f>IFERROR(__xludf.DUMMYFUNCTION("""COMPUTED_VALUE"""),"Yaga Tula")</f>
        <v>Yaga Tula</v>
      </c>
      <c r="F192" s="43">
        <f>IFERROR(__xludf.DUMMYFUNCTION("""COMPUTED_VALUE"""),21.0)</f>
        <v>21</v>
      </c>
      <c r="G192" s="44">
        <f>IFERROR(__xludf.DUMMYFUNCTION("""COMPUTED_VALUE"""),32304.0)</f>
        <v>32304</v>
      </c>
      <c r="H192" s="33" t="str">
        <f>IFERROR(__xludf.DUMMYFUNCTION("""COMPUTED_VALUE"""),"")</f>
        <v/>
      </c>
      <c r="I192" s="45">
        <f>IFERROR(__xludf.DUMMYFUNCTION("""COMPUTED_VALUE"""),69.6)</f>
        <v>69.6</v>
      </c>
      <c r="J192" s="46" t="str">
        <f>IFERROR(__xludf.DUMMYFUNCTION("""COMPUTED_VALUE"""),"AP")</f>
        <v>AP</v>
      </c>
      <c r="K192" s="47">
        <f>IFERROR(__xludf.DUMMYFUNCTION("""COMPUTED_VALUE"""),30.2)</f>
        <v>30.2</v>
      </c>
      <c r="L192" s="48" t="str">
        <f>IFERROR(__xludf.DUMMYFUNCTION("""COMPUTED_VALUE"""),"%")</f>
        <v>%</v>
      </c>
      <c r="M192" s="49">
        <f>IFERROR(__xludf.DUMMYFUNCTION("""COMPUTED_VALUE"""),1.0)</f>
        <v>1</v>
      </c>
      <c r="N192" s="50" t="str">
        <f>IFERROR(__xludf.DUMMYFUNCTION("""COMPUTED_VALUE"""),"A213")</f>
        <v>A213</v>
      </c>
      <c r="O192" s="38" t="str">
        <f>IFERROR(__xludf.DUMMYFUNCTION("""COMPUTED_VALUE"""),"")</f>
        <v/>
      </c>
      <c r="P192" s="45">
        <f>IFERROR(__xludf.DUMMYFUNCTION("""COMPUTED_VALUE"""),103.7)</f>
        <v>103.7</v>
      </c>
      <c r="Q192" s="46" t="str">
        <f>IFERROR(__xludf.DUMMYFUNCTION("""COMPUTED_VALUE"""),"AP")</f>
        <v>AP</v>
      </c>
      <c r="R192" s="47">
        <f>IFERROR(__xludf.DUMMYFUNCTION("""COMPUTED_VALUE"""),20.2)</f>
        <v>20.2</v>
      </c>
      <c r="S192" s="48" t="str">
        <f>IFERROR(__xludf.DUMMYFUNCTION("""COMPUTED_VALUE"""),"%")</f>
        <v>%</v>
      </c>
      <c r="T192" s="49">
        <f>IFERROR(__xludf.DUMMYFUNCTION("""COMPUTED_VALUE"""),2.0)</f>
        <v>2</v>
      </c>
      <c r="U192" s="50" t="str">
        <f>IFERROR(__xludf.DUMMYFUNCTION("""COMPUTED_VALUE"""),"A304")</f>
        <v>A304</v>
      </c>
      <c r="V192" s="38" t="str">
        <f>IFERROR(__xludf.DUMMYFUNCTION("""COMPUTED_VALUE"""),"")</f>
        <v/>
      </c>
      <c r="W192" s="45">
        <f>IFERROR(__xludf.DUMMYFUNCTION("""COMPUTED_VALUE"""),71.0)</f>
        <v>71</v>
      </c>
      <c r="X192" s="46" t="str">
        <f>IFERROR(__xludf.DUMMYFUNCTION("""COMPUTED_VALUE"""),"AP")</f>
        <v>AP</v>
      </c>
      <c r="Y192" s="47">
        <f>IFERROR(__xludf.DUMMYFUNCTION("""COMPUTED_VALUE"""),29.6)</f>
        <v>29.6</v>
      </c>
      <c r="Z192" s="48" t="str">
        <f>IFERROR(__xludf.DUMMYFUNCTION("""COMPUTED_VALUE"""),"%")</f>
        <v>%</v>
      </c>
      <c r="AA192" s="49">
        <f>IFERROR(__xludf.DUMMYFUNCTION("""COMPUTED_VALUE"""),3.0)</f>
        <v>3</v>
      </c>
      <c r="AB192" s="50" t="str">
        <f>IFERROR(__xludf.DUMMYFUNCTION("""COMPUTED_VALUE"""),"B116")</f>
        <v>B116</v>
      </c>
      <c r="AC192" s="38" t="str">
        <f>IFERROR(__xludf.DUMMYFUNCTION("""COMPUTED_VALUE"""),"")</f>
        <v/>
      </c>
      <c r="AD192" s="45">
        <f>IFERROR(__xludf.DUMMYFUNCTION("""COMPUTED_VALUE"""),84.2)</f>
        <v>84.2</v>
      </c>
      <c r="AE192" s="46" t="str">
        <f>IFERROR(__xludf.DUMMYFUNCTION("""COMPUTED_VALUE"""),"AP")</f>
        <v>AP</v>
      </c>
      <c r="AF192" s="47">
        <f>IFERROR(__xludf.DUMMYFUNCTION("""COMPUTED_VALUE"""),24.9)</f>
        <v>24.9</v>
      </c>
      <c r="AG192" s="48" t="str">
        <f>IFERROR(__xludf.DUMMYFUNCTION("""COMPUTED_VALUE"""),"%")</f>
        <v>%</v>
      </c>
      <c r="AH192" s="43">
        <f>IFERROR(__xludf.DUMMYFUNCTION("""COMPUTED_VALUE"""),21.0)</f>
        <v>21</v>
      </c>
      <c r="AI192" s="44">
        <f>IFERROR(__xludf.DUMMYFUNCTION("""COMPUTED_VALUE"""),32304.0)</f>
        <v>32304</v>
      </c>
      <c r="AJ192" s="51" t="str">
        <f>IFERROR(__xludf.DUMMYFUNCTION("""COMPUTED_VALUE"""),"ヤガ・トゥーラ")</f>
        <v>ヤガ・トゥーラ</v>
      </c>
    </row>
    <row r="193" ht="24.75" customHeight="1">
      <c r="A193" s="28">
        <f>IFERROR(__xludf.DUMMYFUNCTION("""COMPUTED_VALUE"""),7.0)</f>
        <v>7</v>
      </c>
      <c r="B193" s="28" t="str">
        <f>IFERROR(__xludf.DUMMYFUNCTION("""COMPUTED_VALUE"""),"A309")</f>
        <v>A309</v>
      </c>
      <c r="C193" s="28" t="str">
        <f>IFERROR(__xludf.DUMMYFUNCTION("""COMPUTED_VALUE"""),"ANA12")</f>
        <v>ANA12</v>
      </c>
      <c r="D193" s="29" t="str">
        <f>IFERROR(__xludf.DUMMYFUNCTION("""COMPUTED_VALUE"""),"Anastasia")</f>
        <v>Anastasia</v>
      </c>
      <c r="E193" s="30" t="str">
        <f>IFERROR(__xludf.DUMMYFUNCTION("""COMPUTED_VALUE"""),"Strath Stronghold")</f>
        <v>Strath Stronghold</v>
      </c>
      <c r="F193" s="31">
        <f>IFERROR(__xludf.DUMMYFUNCTION("""COMPUTED_VALUE"""),21.0)</f>
        <v>21</v>
      </c>
      <c r="G193" s="32">
        <f>IFERROR(__xludf.DUMMYFUNCTION("""COMPUTED_VALUE"""),14193.0)</f>
        <v>14193</v>
      </c>
      <c r="H193" s="33" t="str">
        <f>IFERROR(__xludf.DUMMYFUNCTION("""COMPUTED_VALUE"""),"")</f>
        <v/>
      </c>
      <c r="I193" s="34">
        <f>IFERROR(__xludf.DUMMYFUNCTION("""COMPUTED_VALUE"""),73.7)</f>
        <v>73.7</v>
      </c>
      <c r="J193" s="35" t="str">
        <f>IFERROR(__xludf.DUMMYFUNCTION("""COMPUTED_VALUE"""),"AP")</f>
        <v>AP</v>
      </c>
      <c r="K193" s="34">
        <f>IFERROR(__xludf.DUMMYFUNCTION("""COMPUTED_VALUE"""),28.5)</f>
        <v>28.5</v>
      </c>
      <c r="L193" s="35" t="str">
        <f>IFERROR(__xludf.DUMMYFUNCTION("""COMPUTED_VALUE"""),"%")</f>
        <v>%</v>
      </c>
      <c r="M193" s="36">
        <f>IFERROR(__xludf.DUMMYFUNCTION("""COMPUTED_VALUE"""),1.0)</f>
        <v>1</v>
      </c>
      <c r="N193" s="37" t="str">
        <f>IFERROR(__xludf.DUMMYFUNCTION("""COMPUTED_VALUE"""),"A112")</f>
        <v>A112</v>
      </c>
      <c r="O193" s="38" t="str">
        <f>IFERROR(__xludf.DUMMYFUNCTION("""COMPUTED_VALUE"""),"")</f>
        <v/>
      </c>
      <c r="P193" s="34">
        <f>IFERROR(__xludf.DUMMYFUNCTION("""COMPUTED_VALUE"""),207.3)</f>
        <v>207.3</v>
      </c>
      <c r="Q193" s="35" t="str">
        <f>IFERROR(__xludf.DUMMYFUNCTION("""COMPUTED_VALUE"""),"AP")</f>
        <v>AP</v>
      </c>
      <c r="R193" s="34">
        <f>IFERROR(__xludf.DUMMYFUNCTION("""COMPUTED_VALUE"""),10.1)</f>
        <v>10.1</v>
      </c>
      <c r="S193" s="35" t="str">
        <f>IFERROR(__xludf.DUMMYFUNCTION("""COMPUTED_VALUE"""),"%")</f>
        <v>%</v>
      </c>
      <c r="T193" s="36">
        <f>IFERROR(__xludf.DUMMYFUNCTION("""COMPUTED_VALUE"""),2.0)</f>
        <v>2</v>
      </c>
      <c r="U193" s="37" t="str">
        <f>IFERROR(__xludf.DUMMYFUNCTION("""COMPUTED_VALUE"""),"A304")</f>
        <v>A304</v>
      </c>
      <c r="V193" s="38" t="str">
        <f>IFERROR(__xludf.DUMMYFUNCTION("""COMPUTED_VALUE"""),"")</f>
        <v/>
      </c>
      <c r="W193" s="34">
        <f>IFERROR(__xludf.DUMMYFUNCTION("""COMPUTED_VALUE"""),71.1)</f>
        <v>71.1</v>
      </c>
      <c r="X193" s="35" t="str">
        <f>IFERROR(__xludf.DUMMYFUNCTION("""COMPUTED_VALUE"""),"AP")</f>
        <v>AP</v>
      </c>
      <c r="Y193" s="34">
        <f>IFERROR(__xludf.DUMMYFUNCTION("""COMPUTED_VALUE"""),29.5)</f>
        <v>29.5</v>
      </c>
      <c r="Z193" s="35" t="str">
        <f>IFERROR(__xludf.DUMMYFUNCTION("""COMPUTED_VALUE"""),"%")</f>
        <v>%</v>
      </c>
      <c r="AA193" s="36">
        <f>IFERROR(__xludf.DUMMYFUNCTION("""COMPUTED_VALUE"""),3.0)</f>
        <v>3</v>
      </c>
      <c r="AB193" s="37" t="str">
        <f>IFERROR(__xludf.DUMMYFUNCTION("""COMPUTED_VALUE"""),"B106")</f>
        <v>B106</v>
      </c>
      <c r="AC193" s="38" t="str">
        <f>IFERROR(__xludf.DUMMYFUNCTION("""COMPUTED_VALUE"""),"")</f>
        <v/>
      </c>
      <c r="AD193" s="34">
        <f>IFERROR(__xludf.DUMMYFUNCTION("""COMPUTED_VALUE"""),506.9)</f>
        <v>506.9</v>
      </c>
      <c r="AE193" s="35" t="str">
        <f>IFERROR(__xludf.DUMMYFUNCTION("""COMPUTED_VALUE"""),"AP")</f>
        <v>AP</v>
      </c>
      <c r="AF193" s="34">
        <f>IFERROR(__xludf.DUMMYFUNCTION("""COMPUTED_VALUE"""),4.1)</f>
        <v>4.1</v>
      </c>
      <c r="AG193" s="35" t="str">
        <f>IFERROR(__xludf.DUMMYFUNCTION("""COMPUTED_VALUE"""),"%")</f>
        <v>%</v>
      </c>
      <c r="AH193" s="31">
        <f>IFERROR(__xludf.DUMMYFUNCTION("""COMPUTED_VALUE"""),21.0)</f>
        <v>21</v>
      </c>
      <c r="AI193" s="32">
        <f>IFERROR(__xludf.DUMMYFUNCTION("""COMPUTED_VALUE"""),14193.0)</f>
        <v>14193</v>
      </c>
      <c r="AJ193" s="39" t="str">
        <f>IFERROR(__xludf.DUMMYFUNCTION("""COMPUTED_VALUE"""),"大渓谷の砦")</f>
        <v>大渓谷の砦</v>
      </c>
    </row>
    <row r="194" ht="24.75" customHeight="1">
      <c r="A194" s="40">
        <f>IFERROR(__xludf.DUMMYFUNCTION("""COMPUTED_VALUE"""),8.0)</f>
        <v>8</v>
      </c>
      <c r="B194" s="40" t="str">
        <f>IFERROR(__xludf.DUMMYFUNCTION("""COMPUTED_VALUE"""),"A309")</f>
        <v>A309</v>
      </c>
      <c r="C194" s="40"/>
      <c r="D194" s="41"/>
      <c r="E194" s="66"/>
      <c r="F194" s="43"/>
      <c r="G194" s="44"/>
      <c r="H194" s="33" t="str">
        <f>IFERROR(__xludf.DUMMYFUNCTION("""COMPUTED_VALUE""")," ")</f>
        <v> </v>
      </c>
      <c r="I194" s="45"/>
      <c r="J194" s="46" t="str">
        <f>IFERROR(__xludf.DUMMYFUNCTION("""COMPUTED_VALUE"""),"AP")</f>
        <v>AP</v>
      </c>
      <c r="K194" s="47"/>
      <c r="L194" s="48" t="str">
        <f>IFERROR(__xludf.DUMMYFUNCTION("""COMPUTED_VALUE"""),"%")</f>
        <v>%</v>
      </c>
      <c r="M194" s="49">
        <f>IFERROR(__xludf.DUMMYFUNCTION("""COMPUTED_VALUE"""),1.0)</f>
        <v>1</v>
      </c>
      <c r="N194" s="50"/>
      <c r="O194" s="38"/>
      <c r="P194" s="45" t="str">
        <f>IFERROR(__xludf.DUMMYFUNCTION("""COMPUTED_VALUE"""),"")</f>
        <v/>
      </c>
      <c r="Q194" s="46" t="str">
        <f>IFERROR(__xludf.DUMMYFUNCTION("""COMPUTED_VALUE"""),"AP")</f>
        <v>AP</v>
      </c>
      <c r="R194" s="47" t="str">
        <f>IFERROR(__xludf.DUMMYFUNCTION("""COMPUTED_VALUE"""),"")</f>
        <v/>
      </c>
      <c r="S194" s="48" t="str">
        <f>IFERROR(__xludf.DUMMYFUNCTION("""COMPUTED_VALUE"""),"%")</f>
        <v>%</v>
      </c>
      <c r="T194" s="49">
        <f>IFERROR(__xludf.DUMMYFUNCTION("""COMPUTED_VALUE"""),2.0)</f>
        <v>2</v>
      </c>
      <c r="U194" s="50"/>
      <c r="V194" s="38"/>
      <c r="W194" s="45" t="str">
        <f>IFERROR(__xludf.DUMMYFUNCTION("""COMPUTED_VALUE"""),"")</f>
        <v/>
      </c>
      <c r="X194" s="46" t="str">
        <f>IFERROR(__xludf.DUMMYFUNCTION("""COMPUTED_VALUE"""),"AP")</f>
        <v>AP</v>
      </c>
      <c r="Y194" s="47" t="str">
        <f>IFERROR(__xludf.DUMMYFUNCTION("""COMPUTED_VALUE"""),"")</f>
        <v/>
      </c>
      <c r="Z194" s="48" t="str">
        <f>IFERROR(__xludf.DUMMYFUNCTION("""COMPUTED_VALUE"""),"%")</f>
        <v>%</v>
      </c>
      <c r="AA194" s="49">
        <f>IFERROR(__xludf.DUMMYFUNCTION("""COMPUTED_VALUE"""),3.0)</f>
        <v>3</v>
      </c>
      <c r="AB194" s="50"/>
      <c r="AC194" s="38"/>
      <c r="AD194" s="45" t="str">
        <f>IFERROR(__xludf.DUMMYFUNCTION("""COMPUTED_VALUE"""),"")</f>
        <v/>
      </c>
      <c r="AE194" s="46" t="str">
        <f>IFERROR(__xludf.DUMMYFUNCTION("""COMPUTED_VALUE"""),"AP")</f>
        <v>AP</v>
      </c>
      <c r="AF194" s="47" t="str">
        <f>IFERROR(__xludf.DUMMYFUNCTION("""COMPUTED_VALUE"""),"")</f>
        <v/>
      </c>
      <c r="AG194" s="48" t="str">
        <f>IFERROR(__xludf.DUMMYFUNCTION("""COMPUTED_VALUE"""),"%")</f>
        <v>%</v>
      </c>
      <c r="AH194" s="43"/>
      <c r="AI194" s="44"/>
      <c r="AJ194" s="51"/>
    </row>
    <row r="195" ht="24.75" hidden="1" customHeight="1">
      <c r="A195" s="28">
        <f>IFERROR(__xludf.DUMMYFUNCTION("""COMPUTED_VALUE"""),9.0)</f>
        <v>9</v>
      </c>
      <c r="B195" s="28" t="str">
        <f>IFERROR(__xludf.DUMMYFUNCTION("""COMPUTED_VALUE"""),"A309")</f>
        <v>A309</v>
      </c>
      <c r="C195" s="28"/>
      <c r="D195" s="29"/>
      <c r="E195" s="67"/>
      <c r="F195" s="31"/>
      <c r="G195" s="32"/>
      <c r="H195" s="33" t="str">
        <f>IFERROR(__xludf.DUMMYFUNCTION("""COMPUTED_VALUE""")," ")</f>
        <v> </v>
      </c>
      <c r="I195" s="34"/>
      <c r="J195" s="35" t="str">
        <f>IFERROR(__xludf.DUMMYFUNCTION("""COMPUTED_VALUE"""),"AP")</f>
        <v>AP</v>
      </c>
      <c r="K195" s="34"/>
      <c r="L195" s="35" t="str">
        <f>IFERROR(__xludf.DUMMYFUNCTION("""COMPUTED_VALUE"""),"%")</f>
        <v>%</v>
      </c>
      <c r="M195" s="36">
        <f>IFERROR(__xludf.DUMMYFUNCTION("""COMPUTED_VALUE"""),1.0)</f>
        <v>1</v>
      </c>
      <c r="N195" s="37"/>
      <c r="O195" s="38"/>
      <c r="P195" s="34" t="str">
        <f>IFERROR(__xludf.DUMMYFUNCTION("""COMPUTED_VALUE"""),"")</f>
        <v/>
      </c>
      <c r="Q195" s="35" t="str">
        <f>IFERROR(__xludf.DUMMYFUNCTION("""COMPUTED_VALUE"""),"AP")</f>
        <v>AP</v>
      </c>
      <c r="R195" s="34" t="str">
        <f>IFERROR(__xludf.DUMMYFUNCTION("""COMPUTED_VALUE"""),"")</f>
        <v/>
      </c>
      <c r="S195" s="35" t="str">
        <f>IFERROR(__xludf.DUMMYFUNCTION("""COMPUTED_VALUE"""),"%")</f>
        <v>%</v>
      </c>
      <c r="T195" s="36">
        <f>IFERROR(__xludf.DUMMYFUNCTION("""COMPUTED_VALUE"""),2.0)</f>
        <v>2</v>
      </c>
      <c r="U195" s="37"/>
      <c r="V195" s="38"/>
      <c r="W195" s="34" t="str">
        <f>IFERROR(__xludf.DUMMYFUNCTION("""COMPUTED_VALUE"""),"")</f>
        <v/>
      </c>
      <c r="X195" s="35" t="str">
        <f>IFERROR(__xludf.DUMMYFUNCTION("""COMPUTED_VALUE"""),"AP")</f>
        <v>AP</v>
      </c>
      <c r="Y195" s="34" t="str">
        <f>IFERROR(__xludf.DUMMYFUNCTION("""COMPUTED_VALUE"""),"")</f>
        <v/>
      </c>
      <c r="Z195" s="35" t="str">
        <f>IFERROR(__xludf.DUMMYFUNCTION("""COMPUTED_VALUE"""),"%")</f>
        <v>%</v>
      </c>
      <c r="AA195" s="36">
        <f>IFERROR(__xludf.DUMMYFUNCTION("""COMPUTED_VALUE"""),3.0)</f>
        <v>3</v>
      </c>
      <c r="AB195" s="37"/>
      <c r="AC195" s="38"/>
      <c r="AD195" s="34" t="str">
        <f>IFERROR(__xludf.DUMMYFUNCTION("""COMPUTED_VALUE"""),"")</f>
        <v/>
      </c>
      <c r="AE195" s="35" t="str">
        <f>IFERROR(__xludf.DUMMYFUNCTION("""COMPUTED_VALUE"""),"AP")</f>
        <v>AP</v>
      </c>
      <c r="AF195" s="34" t="str">
        <f>IFERROR(__xludf.DUMMYFUNCTION("""COMPUTED_VALUE"""),"")</f>
        <v/>
      </c>
      <c r="AG195" s="35" t="str">
        <f>IFERROR(__xludf.DUMMYFUNCTION("""COMPUTED_VALUE"""),"%")</f>
        <v>%</v>
      </c>
      <c r="AH195" s="31"/>
      <c r="AI195" s="32"/>
      <c r="AJ195" s="39"/>
    </row>
    <row r="196" ht="24.75" hidden="1" customHeight="1">
      <c r="A196" s="40">
        <f>IFERROR(__xludf.DUMMYFUNCTION("""COMPUTED_VALUE"""),10.0)</f>
        <v>10</v>
      </c>
      <c r="B196" s="40" t="str">
        <f>IFERROR(__xludf.DUMMYFUNCTION("""COMPUTED_VALUE"""),"A309")</f>
        <v>A309</v>
      </c>
      <c r="C196" s="40"/>
      <c r="D196" s="41"/>
      <c r="E196" s="66"/>
      <c r="F196" s="43"/>
      <c r="G196" s="44"/>
      <c r="H196" s="33" t="str">
        <f>IFERROR(__xludf.DUMMYFUNCTION("""COMPUTED_VALUE""")," ")</f>
        <v> </v>
      </c>
      <c r="I196" s="45"/>
      <c r="J196" s="46" t="str">
        <f>IFERROR(__xludf.DUMMYFUNCTION("""COMPUTED_VALUE"""),"AP")</f>
        <v>AP</v>
      </c>
      <c r="K196" s="47"/>
      <c r="L196" s="48" t="str">
        <f>IFERROR(__xludf.DUMMYFUNCTION("""COMPUTED_VALUE"""),"%")</f>
        <v>%</v>
      </c>
      <c r="M196" s="49">
        <f>IFERROR(__xludf.DUMMYFUNCTION("""COMPUTED_VALUE"""),1.0)</f>
        <v>1</v>
      </c>
      <c r="N196" s="50"/>
      <c r="O196" s="38"/>
      <c r="P196" s="45" t="str">
        <f>IFERROR(__xludf.DUMMYFUNCTION("""COMPUTED_VALUE"""),"")</f>
        <v/>
      </c>
      <c r="Q196" s="46" t="str">
        <f>IFERROR(__xludf.DUMMYFUNCTION("""COMPUTED_VALUE"""),"AP")</f>
        <v>AP</v>
      </c>
      <c r="R196" s="47" t="str">
        <f>IFERROR(__xludf.DUMMYFUNCTION("""COMPUTED_VALUE"""),"")</f>
        <v/>
      </c>
      <c r="S196" s="48" t="str">
        <f>IFERROR(__xludf.DUMMYFUNCTION("""COMPUTED_VALUE"""),"%")</f>
        <v>%</v>
      </c>
      <c r="T196" s="49">
        <f>IFERROR(__xludf.DUMMYFUNCTION("""COMPUTED_VALUE"""),2.0)</f>
        <v>2</v>
      </c>
      <c r="U196" s="50"/>
      <c r="V196" s="38"/>
      <c r="W196" s="45" t="str">
        <f>IFERROR(__xludf.DUMMYFUNCTION("""COMPUTED_VALUE"""),"")</f>
        <v/>
      </c>
      <c r="X196" s="46" t="str">
        <f>IFERROR(__xludf.DUMMYFUNCTION("""COMPUTED_VALUE"""),"AP")</f>
        <v>AP</v>
      </c>
      <c r="Y196" s="47" t="str">
        <f>IFERROR(__xludf.DUMMYFUNCTION("""COMPUTED_VALUE"""),"")</f>
        <v/>
      </c>
      <c r="Z196" s="48" t="str">
        <f>IFERROR(__xludf.DUMMYFUNCTION("""COMPUTED_VALUE"""),"%")</f>
        <v>%</v>
      </c>
      <c r="AA196" s="49">
        <f>IFERROR(__xludf.DUMMYFUNCTION("""COMPUTED_VALUE"""),3.0)</f>
        <v>3</v>
      </c>
      <c r="AB196" s="50"/>
      <c r="AC196" s="38"/>
      <c r="AD196" s="45" t="str">
        <f>IFERROR(__xludf.DUMMYFUNCTION("""COMPUTED_VALUE"""),"")</f>
        <v/>
      </c>
      <c r="AE196" s="46" t="str">
        <f>IFERROR(__xludf.DUMMYFUNCTION("""COMPUTED_VALUE"""),"AP")</f>
        <v>AP</v>
      </c>
      <c r="AF196" s="47" t="str">
        <f>IFERROR(__xludf.DUMMYFUNCTION("""COMPUTED_VALUE"""),"")</f>
        <v/>
      </c>
      <c r="AG196" s="48" t="str">
        <f>IFERROR(__xludf.DUMMYFUNCTION("""COMPUTED_VALUE"""),"%")</f>
        <v>%</v>
      </c>
      <c r="AH196" s="43"/>
      <c r="AI196" s="44"/>
      <c r="AJ196" s="51"/>
    </row>
    <row r="197" ht="24.75" hidden="1" customHeight="1">
      <c r="A197" s="28">
        <f>IFERROR(__xludf.DUMMYFUNCTION("""COMPUTED_VALUE"""),11.0)</f>
        <v>11</v>
      </c>
      <c r="B197" s="28" t="str">
        <f>IFERROR(__xludf.DUMMYFUNCTION("""COMPUTED_VALUE"""),"A309")</f>
        <v>A309</v>
      </c>
      <c r="C197" s="28"/>
      <c r="D197" s="29"/>
      <c r="E197" s="67"/>
      <c r="F197" s="31"/>
      <c r="G197" s="32"/>
      <c r="H197" s="33" t="str">
        <f>IFERROR(__xludf.DUMMYFUNCTION("""COMPUTED_VALUE""")," ")</f>
        <v> </v>
      </c>
      <c r="I197" s="34"/>
      <c r="J197" s="35" t="str">
        <f>IFERROR(__xludf.DUMMYFUNCTION("""COMPUTED_VALUE"""),"AP")</f>
        <v>AP</v>
      </c>
      <c r="K197" s="34"/>
      <c r="L197" s="35" t="str">
        <f>IFERROR(__xludf.DUMMYFUNCTION("""COMPUTED_VALUE"""),"%")</f>
        <v>%</v>
      </c>
      <c r="M197" s="36">
        <f>IFERROR(__xludf.DUMMYFUNCTION("""COMPUTED_VALUE"""),1.0)</f>
        <v>1</v>
      </c>
      <c r="N197" s="37"/>
      <c r="O197" s="38"/>
      <c r="P197" s="34" t="str">
        <f>IFERROR(__xludf.DUMMYFUNCTION("""COMPUTED_VALUE"""),"")</f>
        <v/>
      </c>
      <c r="Q197" s="35" t="str">
        <f>IFERROR(__xludf.DUMMYFUNCTION("""COMPUTED_VALUE"""),"AP")</f>
        <v>AP</v>
      </c>
      <c r="R197" s="34" t="str">
        <f>IFERROR(__xludf.DUMMYFUNCTION("""COMPUTED_VALUE"""),"")</f>
        <v/>
      </c>
      <c r="S197" s="35" t="str">
        <f>IFERROR(__xludf.DUMMYFUNCTION("""COMPUTED_VALUE"""),"%")</f>
        <v>%</v>
      </c>
      <c r="T197" s="36">
        <f>IFERROR(__xludf.DUMMYFUNCTION("""COMPUTED_VALUE"""),2.0)</f>
        <v>2</v>
      </c>
      <c r="U197" s="37"/>
      <c r="V197" s="38"/>
      <c r="W197" s="34" t="str">
        <f>IFERROR(__xludf.DUMMYFUNCTION("""COMPUTED_VALUE"""),"")</f>
        <v/>
      </c>
      <c r="X197" s="35" t="str">
        <f>IFERROR(__xludf.DUMMYFUNCTION("""COMPUTED_VALUE"""),"AP")</f>
        <v>AP</v>
      </c>
      <c r="Y197" s="34" t="str">
        <f>IFERROR(__xludf.DUMMYFUNCTION("""COMPUTED_VALUE"""),"")</f>
        <v/>
      </c>
      <c r="Z197" s="35" t="str">
        <f>IFERROR(__xludf.DUMMYFUNCTION("""COMPUTED_VALUE"""),"%")</f>
        <v>%</v>
      </c>
      <c r="AA197" s="36">
        <f>IFERROR(__xludf.DUMMYFUNCTION("""COMPUTED_VALUE"""),3.0)</f>
        <v>3</v>
      </c>
      <c r="AB197" s="37"/>
      <c r="AC197" s="38"/>
      <c r="AD197" s="34" t="str">
        <f>IFERROR(__xludf.DUMMYFUNCTION("""COMPUTED_VALUE"""),"")</f>
        <v/>
      </c>
      <c r="AE197" s="35" t="str">
        <f>IFERROR(__xludf.DUMMYFUNCTION("""COMPUTED_VALUE"""),"AP")</f>
        <v>AP</v>
      </c>
      <c r="AF197" s="34" t="str">
        <f>IFERROR(__xludf.DUMMYFUNCTION("""COMPUTED_VALUE"""),"")</f>
        <v/>
      </c>
      <c r="AG197" s="35" t="str">
        <f>IFERROR(__xludf.DUMMYFUNCTION("""COMPUTED_VALUE"""),"%")</f>
        <v>%</v>
      </c>
      <c r="AH197" s="31"/>
      <c r="AI197" s="32"/>
      <c r="AJ197" s="39"/>
    </row>
    <row r="198" ht="24.75" hidden="1" customHeight="1">
      <c r="A198" s="40">
        <f>IFERROR(__xludf.DUMMYFUNCTION("""COMPUTED_VALUE"""),12.0)</f>
        <v>12</v>
      </c>
      <c r="B198" s="40" t="str">
        <f>IFERROR(__xludf.DUMMYFUNCTION("""COMPUTED_VALUE"""),"A309")</f>
        <v>A309</v>
      </c>
      <c r="C198" s="40"/>
      <c r="D198" s="41"/>
      <c r="E198" s="66"/>
      <c r="F198" s="43"/>
      <c r="G198" s="44"/>
      <c r="H198" s="33" t="str">
        <f>IFERROR(__xludf.DUMMYFUNCTION("""COMPUTED_VALUE""")," ")</f>
        <v> </v>
      </c>
      <c r="I198" s="45"/>
      <c r="J198" s="46" t="str">
        <f>IFERROR(__xludf.DUMMYFUNCTION("""COMPUTED_VALUE"""),"AP")</f>
        <v>AP</v>
      </c>
      <c r="K198" s="47"/>
      <c r="L198" s="48" t="str">
        <f>IFERROR(__xludf.DUMMYFUNCTION("""COMPUTED_VALUE"""),"%")</f>
        <v>%</v>
      </c>
      <c r="M198" s="49">
        <f>IFERROR(__xludf.DUMMYFUNCTION("""COMPUTED_VALUE"""),1.0)</f>
        <v>1</v>
      </c>
      <c r="N198" s="50"/>
      <c r="O198" s="38"/>
      <c r="P198" s="45" t="str">
        <f>IFERROR(__xludf.DUMMYFUNCTION("""COMPUTED_VALUE"""),"")</f>
        <v/>
      </c>
      <c r="Q198" s="46" t="str">
        <f>IFERROR(__xludf.DUMMYFUNCTION("""COMPUTED_VALUE"""),"AP")</f>
        <v>AP</v>
      </c>
      <c r="R198" s="47" t="str">
        <f>IFERROR(__xludf.DUMMYFUNCTION("""COMPUTED_VALUE"""),"")</f>
        <v/>
      </c>
      <c r="S198" s="48" t="str">
        <f>IFERROR(__xludf.DUMMYFUNCTION("""COMPUTED_VALUE"""),"%")</f>
        <v>%</v>
      </c>
      <c r="T198" s="49">
        <f>IFERROR(__xludf.DUMMYFUNCTION("""COMPUTED_VALUE"""),2.0)</f>
        <v>2</v>
      </c>
      <c r="U198" s="50"/>
      <c r="V198" s="38"/>
      <c r="W198" s="45" t="str">
        <f>IFERROR(__xludf.DUMMYFUNCTION("""COMPUTED_VALUE"""),"")</f>
        <v/>
      </c>
      <c r="X198" s="46" t="str">
        <f>IFERROR(__xludf.DUMMYFUNCTION("""COMPUTED_VALUE"""),"AP")</f>
        <v>AP</v>
      </c>
      <c r="Y198" s="47" t="str">
        <f>IFERROR(__xludf.DUMMYFUNCTION("""COMPUTED_VALUE"""),"")</f>
        <v/>
      </c>
      <c r="Z198" s="48" t="str">
        <f>IFERROR(__xludf.DUMMYFUNCTION("""COMPUTED_VALUE"""),"%")</f>
        <v>%</v>
      </c>
      <c r="AA198" s="49">
        <f>IFERROR(__xludf.DUMMYFUNCTION("""COMPUTED_VALUE"""),3.0)</f>
        <v>3</v>
      </c>
      <c r="AB198" s="50"/>
      <c r="AC198" s="38"/>
      <c r="AD198" s="45" t="str">
        <f>IFERROR(__xludf.DUMMYFUNCTION("""COMPUTED_VALUE"""),"")</f>
        <v/>
      </c>
      <c r="AE198" s="46" t="str">
        <f>IFERROR(__xludf.DUMMYFUNCTION("""COMPUTED_VALUE"""),"AP")</f>
        <v>AP</v>
      </c>
      <c r="AF198" s="47" t="str">
        <f>IFERROR(__xludf.DUMMYFUNCTION("""COMPUTED_VALUE"""),"")</f>
        <v/>
      </c>
      <c r="AG198" s="48" t="str">
        <f>IFERROR(__xludf.DUMMYFUNCTION("""COMPUTED_VALUE"""),"%")</f>
        <v>%</v>
      </c>
      <c r="AH198" s="43"/>
      <c r="AI198" s="44"/>
      <c r="AJ198" s="51"/>
    </row>
    <row r="199" ht="24.75" hidden="1" customHeight="1">
      <c r="A199" s="28">
        <f>IFERROR(__xludf.DUMMYFUNCTION("""COMPUTED_VALUE"""),13.0)</f>
        <v>13</v>
      </c>
      <c r="B199" s="28" t="str">
        <f>IFERROR(__xludf.DUMMYFUNCTION("""COMPUTED_VALUE"""),"A309")</f>
        <v>A309</v>
      </c>
      <c r="C199" s="28"/>
      <c r="D199" s="29"/>
      <c r="E199" s="67"/>
      <c r="F199" s="31"/>
      <c r="G199" s="32"/>
      <c r="H199" s="33" t="str">
        <f>IFERROR(__xludf.DUMMYFUNCTION("""COMPUTED_VALUE""")," ")</f>
        <v> </v>
      </c>
      <c r="I199" s="34"/>
      <c r="J199" s="35" t="str">
        <f>IFERROR(__xludf.DUMMYFUNCTION("""COMPUTED_VALUE"""),"AP")</f>
        <v>AP</v>
      </c>
      <c r="K199" s="34"/>
      <c r="L199" s="35" t="str">
        <f>IFERROR(__xludf.DUMMYFUNCTION("""COMPUTED_VALUE"""),"%")</f>
        <v>%</v>
      </c>
      <c r="M199" s="36">
        <f>IFERROR(__xludf.DUMMYFUNCTION("""COMPUTED_VALUE"""),1.0)</f>
        <v>1</v>
      </c>
      <c r="N199" s="37"/>
      <c r="O199" s="38"/>
      <c r="P199" s="34" t="str">
        <f>IFERROR(__xludf.DUMMYFUNCTION("""COMPUTED_VALUE"""),"")</f>
        <v/>
      </c>
      <c r="Q199" s="35" t="str">
        <f>IFERROR(__xludf.DUMMYFUNCTION("""COMPUTED_VALUE"""),"AP")</f>
        <v>AP</v>
      </c>
      <c r="R199" s="34" t="str">
        <f>IFERROR(__xludf.DUMMYFUNCTION("""COMPUTED_VALUE"""),"")</f>
        <v/>
      </c>
      <c r="S199" s="35" t="str">
        <f>IFERROR(__xludf.DUMMYFUNCTION("""COMPUTED_VALUE"""),"%")</f>
        <v>%</v>
      </c>
      <c r="T199" s="36">
        <f>IFERROR(__xludf.DUMMYFUNCTION("""COMPUTED_VALUE"""),2.0)</f>
        <v>2</v>
      </c>
      <c r="U199" s="37"/>
      <c r="V199" s="38"/>
      <c r="W199" s="34" t="str">
        <f>IFERROR(__xludf.DUMMYFUNCTION("""COMPUTED_VALUE"""),"")</f>
        <v/>
      </c>
      <c r="X199" s="35" t="str">
        <f>IFERROR(__xludf.DUMMYFUNCTION("""COMPUTED_VALUE"""),"AP")</f>
        <v>AP</v>
      </c>
      <c r="Y199" s="34" t="str">
        <f>IFERROR(__xludf.DUMMYFUNCTION("""COMPUTED_VALUE"""),"")</f>
        <v/>
      </c>
      <c r="Z199" s="35" t="str">
        <f>IFERROR(__xludf.DUMMYFUNCTION("""COMPUTED_VALUE"""),"%")</f>
        <v>%</v>
      </c>
      <c r="AA199" s="36">
        <f>IFERROR(__xludf.DUMMYFUNCTION("""COMPUTED_VALUE"""),3.0)</f>
        <v>3</v>
      </c>
      <c r="AB199" s="37"/>
      <c r="AC199" s="38"/>
      <c r="AD199" s="34" t="str">
        <f>IFERROR(__xludf.DUMMYFUNCTION("""COMPUTED_VALUE"""),"")</f>
        <v/>
      </c>
      <c r="AE199" s="35" t="str">
        <f>IFERROR(__xludf.DUMMYFUNCTION("""COMPUTED_VALUE"""),"AP")</f>
        <v>AP</v>
      </c>
      <c r="AF199" s="34" t="str">
        <f>IFERROR(__xludf.DUMMYFUNCTION("""COMPUTED_VALUE"""),"")</f>
        <v/>
      </c>
      <c r="AG199" s="35" t="str">
        <f>IFERROR(__xludf.DUMMYFUNCTION("""COMPUTED_VALUE"""),"%")</f>
        <v>%</v>
      </c>
      <c r="AH199" s="31"/>
      <c r="AI199" s="32"/>
      <c r="AJ199" s="39"/>
    </row>
    <row r="200" ht="24.75" hidden="1" customHeight="1">
      <c r="A200" s="40">
        <f>IFERROR(__xludf.DUMMYFUNCTION("""COMPUTED_VALUE"""),14.0)</f>
        <v>14</v>
      </c>
      <c r="B200" s="40" t="str">
        <f>IFERROR(__xludf.DUMMYFUNCTION("""COMPUTED_VALUE"""),"A309")</f>
        <v>A309</v>
      </c>
      <c r="C200" s="40"/>
      <c r="D200" s="41"/>
      <c r="E200" s="66"/>
      <c r="F200" s="43"/>
      <c r="G200" s="44"/>
      <c r="H200" s="33" t="str">
        <f>IFERROR(__xludf.DUMMYFUNCTION("""COMPUTED_VALUE""")," ")</f>
        <v> </v>
      </c>
      <c r="I200" s="45"/>
      <c r="J200" s="46" t="str">
        <f>IFERROR(__xludf.DUMMYFUNCTION("""COMPUTED_VALUE"""),"AP")</f>
        <v>AP</v>
      </c>
      <c r="K200" s="47"/>
      <c r="L200" s="48" t="str">
        <f>IFERROR(__xludf.DUMMYFUNCTION("""COMPUTED_VALUE"""),"%")</f>
        <v>%</v>
      </c>
      <c r="M200" s="49">
        <f>IFERROR(__xludf.DUMMYFUNCTION("""COMPUTED_VALUE"""),1.0)</f>
        <v>1</v>
      </c>
      <c r="N200" s="50"/>
      <c r="O200" s="38"/>
      <c r="P200" s="45" t="str">
        <f>IFERROR(__xludf.DUMMYFUNCTION("""COMPUTED_VALUE"""),"")</f>
        <v/>
      </c>
      <c r="Q200" s="46" t="str">
        <f>IFERROR(__xludf.DUMMYFUNCTION("""COMPUTED_VALUE"""),"AP")</f>
        <v>AP</v>
      </c>
      <c r="R200" s="47" t="str">
        <f>IFERROR(__xludf.DUMMYFUNCTION("""COMPUTED_VALUE"""),"")</f>
        <v/>
      </c>
      <c r="S200" s="48" t="str">
        <f>IFERROR(__xludf.DUMMYFUNCTION("""COMPUTED_VALUE"""),"%")</f>
        <v>%</v>
      </c>
      <c r="T200" s="49">
        <f>IFERROR(__xludf.DUMMYFUNCTION("""COMPUTED_VALUE"""),2.0)</f>
        <v>2</v>
      </c>
      <c r="U200" s="50"/>
      <c r="V200" s="38"/>
      <c r="W200" s="45" t="str">
        <f>IFERROR(__xludf.DUMMYFUNCTION("""COMPUTED_VALUE"""),"")</f>
        <v/>
      </c>
      <c r="X200" s="46" t="str">
        <f>IFERROR(__xludf.DUMMYFUNCTION("""COMPUTED_VALUE"""),"AP")</f>
        <v>AP</v>
      </c>
      <c r="Y200" s="47" t="str">
        <f>IFERROR(__xludf.DUMMYFUNCTION("""COMPUTED_VALUE"""),"")</f>
        <v/>
      </c>
      <c r="Z200" s="48" t="str">
        <f>IFERROR(__xludf.DUMMYFUNCTION("""COMPUTED_VALUE"""),"%")</f>
        <v>%</v>
      </c>
      <c r="AA200" s="49">
        <f>IFERROR(__xludf.DUMMYFUNCTION("""COMPUTED_VALUE"""),3.0)</f>
        <v>3</v>
      </c>
      <c r="AB200" s="50"/>
      <c r="AC200" s="38"/>
      <c r="AD200" s="45" t="str">
        <f>IFERROR(__xludf.DUMMYFUNCTION("""COMPUTED_VALUE"""),"")</f>
        <v/>
      </c>
      <c r="AE200" s="46" t="str">
        <f>IFERROR(__xludf.DUMMYFUNCTION("""COMPUTED_VALUE"""),"AP")</f>
        <v>AP</v>
      </c>
      <c r="AF200" s="47" t="str">
        <f>IFERROR(__xludf.DUMMYFUNCTION("""COMPUTED_VALUE"""),"")</f>
        <v/>
      </c>
      <c r="AG200" s="48" t="str">
        <f>IFERROR(__xludf.DUMMYFUNCTION("""COMPUTED_VALUE"""),"%")</f>
        <v>%</v>
      </c>
      <c r="AH200" s="43"/>
      <c r="AI200" s="44"/>
      <c r="AJ200" s="51"/>
    </row>
    <row r="201" ht="24.75" hidden="1" customHeight="1">
      <c r="A201" s="28">
        <f>IFERROR(__xludf.DUMMYFUNCTION("""COMPUTED_VALUE"""),15.0)</f>
        <v>15</v>
      </c>
      <c r="B201" s="28" t="str">
        <f>IFERROR(__xludf.DUMMYFUNCTION("""COMPUTED_VALUE"""),"A309")</f>
        <v>A309</v>
      </c>
      <c r="C201" s="28"/>
      <c r="D201" s="29"/>
      <c r="E201" s="67"/>
      <c r="F201" s="31"/>
      <c r="G201" s="32"/>
      <c r="H201" s="33" t="str">
        <f>IFERROR(__xludf.DUMMYFUNCTION("""COMPUTED_VALUE""")," ")</f>
        <v> </v>
      </c>
      <c r="I201" s="34"/>
      <c r="J201" s="35" t="str">
        <f>IFERROR(__xludf.DUMMYFUNCTION("""COMPUTED_VALUE"""),"AP")</f>
        <v>AP</v>
      </c>
      <c r="K201" s="34"/>
      <c r="L201" s="35" t="str">
        <f>IFERROR(__xludf.DUMMYFUNCTION("""COMPUTED_VALUE"""),"%")</f>
        <v>%</v>
      </c>
      <c r="M201" s="36">
        <f>IFERROR(__xludf.DUMMYFUNCTION("""COMPUTED_VALUE"""),1.0)</f>
        <v>1</v>
      </c>
      <c r="N201" s="37"/>
      <c r="O201" s="38"/>
      <c r="P201" s="34" t="str">
        <f>IFERROR(__xludf.DUMMYFUNCTION("""COMPUTED_VALUE"""),"")</f>
        <v/>
      </c>
      <c r="Q201" s="35" t="str">
        <f>IFERROR(__xludf.DUMMYFUNCTION("""COMPUTED_VALUE"""),"AP")</f>
        <v>AP</v>
      </c>
      <c r="R201" s="34" t="str">
        <f>IFERROR(__xludf.DUMMYFUNCTION("""COMPUTED_VALUE"""),"")</f>
        <v/>
      </c>
      <c r="S201" s="35" t="str">
        <f>IFERROR(__xludf.DUMMYFUNCTION("""COMPUTED_VALUE"""),"%")</f>
        <v>%</v>
      </c>
      <c r="T201" s="36">
        <f>IFERROR(__xludf.DUMMYFUNCTION("""COMPUTED_VALUE"""),2.0)</f>
        <v>2</v>
      </c>
      <c r="U201" s="37"/>
      <c r="V201" s="38"/>
      <c r="W201" s="34" t="str">
        <f>IFERROR(__xludf.DUMMYFUNCTION("""COMPUTED_VALUE"""),"")</f>
        <v/>
      </c>
      <c r="X201" s="35" t="str">
        <f>IFERROR(__xludf.DUMMYFUNCTION("""COMPUTED_VALUE"""),"AP")</f>
        <v>AP</v>
      </c>
      <c r="Y201" s="34" t="str">
        <f>IFERROR(__xludf.DUMMYFUNCTION("""COMPUTED_VALUE"""),"")</f>
        <v/>
      </c>
      <c r="Z201" s="35" t="str">
        <f>IFERROR(__xludf.DUMMYFUNCTION("""COMPUTED_VALUE"""),"%")</f>
        <v>%</v>
      </c>
      <c r="AA201" s="36">
        <f>IFERROR(__xludf.DUMMYFUNCTION("""COMPUTED_VALUE"""),3.0)</f>
        <v>3</v>
      </c>
      <c r="AB201" s="37"/>
      <c r="AC201" s="38"/>
      <c r="AD201" s="34" t="str">
        <f>IFERROR(__xludf.DUMMYFUNCTION("""COMPUTED_VALUE"""),"")</f>
        <v/>
      </c>
      <c r="AE201" s="35" t="str">
        <f>IFERROR(__xludf.DUMMYFUNCTION("""COMPUTED_VALUE"""),"AP")</f>
        <v>AP</v>
      </c>
      <c r="AF201" s="34" t="str">
        <f>IFERROR(__xludf.DUMMYFUNCTION("""COMPUTED_VALUE"""),"")</f>
        <v/>
      </c>
      <c r="AG201" s="35" t="str">
        <f>IFERROR(__xludf.DUMMYFUNCTION("""COMPUTED_VALUE"""),"%")</f>
        <v>%</v>
      </c>
      <c r="AH201" s="31"/>
      <c r="AI201" s="32"/>
      <c r="AJ201" s="39"/>
    </row>
    <row r="202" ht="24.75" hidden="1" customHeight="1">
      <c r="A202" s="40">
        <f>IFERROR(__xludf.DUMMYFUNCTION("""COMPUTED_VALUE"""),16.0)</f>
        <v>16</v>
      </c>
      <c r="B202" s="40" t="str">
        <f>IFERROR(__xludf.DUMMYFUNCTION("""COMPUTED_VALUE"""),"A309")</f>
        <v>A309</v>
      </c>
      <c r="C202" s="40"/>
      <c r="D202" s="41"/>
      <c r="E202" s="66"/>
      <c r="F202" s="43"/>
      <c r="G202" s="44"/>
      <c r="H202" s="33" t="str">
        <f>IFERROR(__xludf.DUMMYFUNCTION("""COMPUTED_VALUE""")," ")</f>
        <v> </v>
      </c>
      <c r="I202" s="45"/>
      <c r="J202" s="46" t="str">
        <f>IFERROR(__xludf.DUMMYFUNCTION("""COMPUTED_VALUE"""),"AP")</f>
        <v>AP</v>
      </c>
      <c r="K202" s="47"/>
      <c r="L202" s="48" t="str">
        <f>IFERROR(__xludf.DUMMYFUNCTION("""COMPUTED_VALUE"""),"%")</f>
        <v>%</v>
      </c>
      <c r="M202" s="49">
        <f>IFERROR(__xludf.DUMMYFUNCTION("""COMPUTED_VALUE"""),1.0)</f>
        <v>1</v>
      </c>
      <c r="N202" s="50"/>
      <c r="O202" s="38"/>
      <c r="P202" s="45" t="str">
        <f>IFERROR(__xludf.DUMMYFUNCTION("""COMPUTED_VALUE"""),"")</f>
        <v/>
      </c>
      <c r="Q202" s="46" t="str">
        <f>IFERROR(__xludf.DUMMYFUNCTION("""COMPUTED_VALUE"""),"AP")</f>
        <v>AP</v>
      </c>
      <c r="R202" s="47" t="str">
        <f>IFERROR(__xludf.DUMMYFUNCTION("""COMPUTED_VALUE"""),"")</f>
        <v/>
      </c>
      <c r="S202" s="48" t="str">
        <f>IFERROR(__xludf.DUMMYFUNCTION("""COMPUTED_VALUE"""),"%")</f>
        <v>%</v>
      </c>
      <c r="T202" s="49">
        <f>IFERROR(__xludf.DUMMYFUNCTION("""COMPUTED_VALUE"""),2.0)</f>
        <v>2</v>
      </c>
      <c r="U202" s="50"/>
      <c r="V202" s="38"/>
      <c r="W202" s="45" t="str">
        <f>IFERROR(__xludf.DUMMYFUNCTION("""COMPUTED_VALUE"""),"")</f>
        <v/>
      </c>
      <c r="X202" s="46" t="str">
        <f>IFERROR(__xludf.DUMMYFUNCTION("""COMPUTED_VALUE"""),"AP")</f>
        <v>AP</v>
      </c>
      <c r="Y202" s="47" t="str">
        <f>IFERROR(__xludf.DUMMYFUNCTION("""COMPUTED_VALUE"""),"")</f>
        <v/>
      </c>
      <c r="Z202" s="48" t="str">
        <f>IFERROR(__xludf.DUMMYFUNCTION("""COMPUTED_VALUE"""),"%")</f>
        <v>%</v>
      </c>
      <c r="AA202" s="49">
        <f>IFERROR(__xludf.DUMMYFUNCTION("""COMPUTED_VALUE"""),3.0)</f>
        <v>3</v>
      </c>
      <c r="AB202" s="50"/>
      <c r="AC202" s="38"/>
      <c r="AD202" s="45" t="str">
        <f>IFERROR(__xludf.DUMMYFUNCTION("""COMPUTED_VALUE"""),"")</f>
        <v/>
      </c>
      <c r="AE202" s="46" t="str">
        <f>IFERROR(__xludf.DUMMYFUNCTION("""COMPUTED_VALUE"""),"AP")</f>
        <v>AP</v>
      </c>
      <c r="AF202" s="47" t="str">
        <f>IFERROR(__xludf.DUMMYFUNCTION("""COMPUTED_VALUE"""),"")</f>
        <v/>
      </c>
      <c r="AG202" s="48" t="str">
        <f>IFERROR(__xludf.DUMMYFUNCTION("""COMPUTED_VALUE"""),"%")</f>
        <v>%</v>
      </c>
      <c r="AH202" s="43"/>
      <c r="AI202" s="44"/>
      <c r="AJ202" s="51"/>
    </row>
    <row r="203" ht="24.75" hidden="1" customHeight="1">
      <c r="A203" s="28">
        <f>IFERROR(__xludf.DUMMYFUNCTION("""COMPUTED_VALUE"""),17.0)</f>
        <v>17</v>
      </c>
      <c r="B203" s="28" t="str">
        <f>IFERROR(__xludf.DUMMYFUNCTION("""COMPUTED_VALUE"""),"A309")</f>
        <v>A309</v>
      </c>
      <c r="C203" s="28"/>
      <c r="D203" s="29"/>
      <c r="E203" s="67"/>
      <c r="F203" s="31"/>
      <c r="G203" s="32"/>
      <c r="H203" s="33" t="str">
        <f>IFERROR(__xludf.DUMMYFUNCTION("""COMPUTED_VALUE""")," ")</f>
        <v> </v>
      </c>
      <c r="I203" s="34"/>
      <c r="J203" s="35" t="str">
        <f>IFERROR(__xludf.DUMMYFUNCTION("""COMPUTED_VALUE"""),"AP")</f>
        <v>AP</v>
      </c>
      <c r="K203" s="34"/>
      <c r="L203" s="35" t="str">
        <f>IFERROR(__xludf.DUMMYFUNCTION("""COMPUTED_VALUE"""),"%")</f>
        <v>%</v>
      </c>
      <c r="M203" s="36">
        <f>IFERROR(__xludf.DUMMYFUNCTION("""COMPUTED_VALUE"""),1.0)</f>
        <v>1</v>
      </c>
      <c r="N203" s="37"/>
      <c r="O203" s="38"/>
      <c r="P203" s="34" t="str">
        <f>IFERROR(__xludf.DUMMYFUNCTION("""COMPUTED_VALUE"""),"")</f>
        <v/>
      </c>
      <c r="Q203" s="35" t="str">
        <f>IFERROR(__xludf.DUMMYFUNCTION("""COMPUTED_VALUE"""),"AP")</f>
        <v>AP</v>
      </c>
      <c r="R203" s="34" t="str">
        <f>IFERROR(__xludf.DUMMYFUNCTION("""COMPUTED_VALUE"""),"")</f>
        <v/>
      </c>
      <c r="S203" s="35" t="str">
        <f>IFERROR(__xludf.DUMMYFUNCTION("""COMPUTED_VALUE"""),"%")</f>
        <v>%</v>
      </c>
      <c r="T203" s="36">
        <f>IFERROR(__xludf.DUMMYFUNCTION("""COMPUTED_VALUE"""),2.0)</f>
        <v>2</v>
      </c>
      <c r="U203" s="37"/>
      <c r="V203" s="38"/>
      <c r="W203" s="34" t="str">
        <f>IFERROR(__xludf.DUMMYFUNCTION("""COMPUTED_VALUE"""),"")</f>
        <v/>
      </c>
      <c r="X203" s="35" t="str">
        <f>IFERROR(__xludf.DUMMYFUNCTION("""COMPUTED_VALUE"""),"AP")</f>
        <v>AP</v>
      </c>
      <c r="Y203" s="34" t="str">
        <f>IFERROR(__xludf.DUMMYFUNCTION("""COMPUTED_VALUE"""),"")</f>
        <v/>
      </c>
      <c r="Z203" s="35" t="str">
        <f>IFERROR(__xludf.DUMMYFUNCTION("""COMPUTED_VALUE"""),"%")</f>
        <v>%</v>
      </c>
      <c r="AA203" s="36">
        <f>IFERROR(__xludf.DUMMYFUNCTION("""COMPUTED_VALUE"""),3.0)</f>
        <v>3</v>
      </c>
      <c r="AB203" s="37"/>
      <c r="AC203" s="38"/>
      <c r="AD203" s="34" t="str">
        <f>IFERROR(__xludf.DUMMYFUNCTION("""COMPUTED_VALUE"""),"")</f>
        <v/>
      </c>
      <c r="AE203" s="35" t="str">
        <f>IFERROR(__xludf.DUMMYFUNCTION("""COMPUTED_VALUE"""),"AP")</f>
        <v>AP</v>
      </c>
      <c r="AF203" s="34" t="str">
        <f>IFERROR(__xludf.DUMMYFUNCTION("""COMPUTED_VALUE"""),"")</f>
        <v/>
      </c>
      <c r="AG203" s="35" t="str">
        <f>IFERROR(__xludf.DUMMYFUNCTION("""COMPUTED_VALUE"""),"%")</f>
        <v>%</v>
      </c>
      <c r="AH203" s="31"/>
      <c r="AI203" s="32"/>
      <c r="AJ203" s="39"/>
    </row>
    <row r="204" ht="24.75" hidden="1" customHeight="1">
      <c r="A204" s="40">
        <f>IFERROR(__xludf.DUMMYFUNCTION("""COMPUTED_VALUE"""),18.0)</f>
        <v>18</v>
      </c>
      <c r="B204" s="40" t="str">
        <f>IFERROR(__xludf.DUMMYFUNCTION("""COMPUTED_VALUE"""),"A309")</f>
        <v>A309</v>
      </c>
      <c r="C204" s="40"/>
      <c r="D204" s="41"/>
      <c r="E204" s="66"/>
      <c r="F204" s="43"/>
      <c r="G204" s="44"/>
      <c r="H204" s="33" t="str">
        <f>IFERROR(__xludf.DUMMYFUNCTION("""COMPUTED_VALUE""")," ")</f>
        <v> </v>
      </c>
      <c r="I204" s="45"/>
      <c r="J204" s="46" t="str">
        <f>IFERROR(__xludf.DUMMYFUNCTION("""COMPUTED_VALUE"""),"AP")</f>
        <v>AP</v>
      </c>
      <c r="K204" s="47"/>
      <c r="L204" s="48" t="str">
        <f>IFERROR(__xludf.DUMMYFUNCTION("""COMPUTED_VALUE"""),"%")</f>
        <v>%</v>
      </c>
      <c r="M204" s="49">
        <f>IFERROR(__xludf.DUMMYFUNCTION("""COMPUTED_VALUE"""),1.0)</f>
        <v>1</v>
      </c>
      <c r="N204" s="50"/>
      <c r="O204" s="38"/>
      <c r="P204" s="45" t="str">
        <f>IFERROR(__xludf.DUMMYFUNCTION("""COMPUTED_VALUE"""),"")</f>
        <v/>
      </c>
      <c r="Q204" s="46" t="str">
        <f>IFERROR(__xludf.DUMMYFUNCTION("""COMPUTED_VALUE"""),"AP")</f>
        <v>AP</v>
      </c>
      <c r="R204" s="47" t="str">
        <f>IFERROR(__xludf.DUMMYFUNCTION("""COMPUTED_VALUE"""),"")</f>
        <v/>
      </c>
      <c r="S204" s="48" t="str">
        <f>IFERROR(__xludf.DUMMYFUNCTION("""COMPUTED_VALUE"""),"%")</f>
        <v>%</v>
      </c>
      <c r="T204" s="49">
        <f>IFERROR(__xludf.DUMMYFUNCTION("""COMPUTED_VALUE"""),2.0)</f>
        <v>2</v>
      </c>
      <c r="U204" s="50"/>
      <c r="V204" s="38"/>
      <c r="W204" s="45" t="str">
        <f>IFERROR(__xludf.DUMMYFUNCTION("""COMPUTED_VALUE"""),"")</f>
        <v/>
      </c>
      <c r="X204" s="46" t="str">
        <f>IFERROR(__xludf.DUMMYFUNCTION("""COMPUTED_VALUE"""),"AP")</f>
        <v>AP</v>
      </c>
      <c r="Y204" s="47" t="str">
        <f>IFERROR(__xludf.DUMMYFUNCTION("""COMPUTED_VALUE"""),"")</f>
        <v/>
      </c>
      <c r="Z204" s="48" t="str">
        <f>IFERROR(__xludf.DUMMYFUNCTION("""COMPUTED_VALUE"""),"%")</f>
        <v>%</v>
      </c>
      <c r="AA204" s="49">
        <f>IFERROR(__xludf.DUMMYFUNCTION("""COMPUTED_VALUE"""),3.0)</f>
        <v>3</v>
      </c>
      <c r="AB204" s="50"/>
      <c r="AC204" s="38"/>
      <c r="AD204" s="45" t="str">
        <f>IFERROR(__xludf.DUMMYFUNCTION("""COMPUTED_VALUE"""),"")</f>
        <v/>
      </c>
      <c r="AE204" s="46" t="str">
        <f>IFERROR(__xludf.DUMMYFUNCTION("""COMPUTED_VALUE"""),"AP")</f>
        <v>AP</v>
      </c>
      <c r="AF204" s="47" t="str">
        <f>IFERROR(__xludf.DUMMYFUNCTION("""COMPUTED_VALUE"""),"")</f>
        <v/>
      </c>
      <c r="AG204" s="48" t="str">
        <f>IFERROR(__xludf.DUMMYFUNCTION("""COMPUTED_VALUE"""),"%")</f>
        <v>%</v>
      </c>
      <c r="AH204" s="43"/>
      <c r="AI204" s="44"/>
      <c r="AJ204" s="51"/>
    </row>
    <row r="205" ht="24.75" hidden="1" customHeight="1">
      <c r="A205" s="28">
        <f>IFERROR(__xludf.DUMMYFUNCTION("""COMPUTED_VALUE"""),19.0)</f>
        <v>19</v>
      </c>
      <c r="B205" s="28" t="str">
        <f>IFERROR(__xludf.DUMMYFUNCTION("""COMPUTED_VALUE"""),"A309")</f>
        <v>A309</v>
      </c>
      <c r="C205" s="28"/>
      <c r="D205" s="29"/>
      <c r="E205" s="67"/>
      <c r="F205" s="31"/>
      <c r="G205" s="32"/>
      <c r="H205" s="33" t="str">
        <f>IFERROR(__xludf.DUMMYFUNCTION("""COMPUTED_VALUE""")," ")</f>
        <v> </v>
      </c>
      <c r="I205" s="34"/>
      <c r="J205" s="35" t="str">
        <f>IFERROR(__xludf.DUMMYFUNCTION("""COMPUTED_VALUE"""),"AP")</f>
        <v>AP</v>
      </c>
      <c r="K205" s="34"/>
      <c r="L205" s="35" t="str">
        <f>IFERROR(__xludf.DUMMYFUNCTION("""COMPUTED_VALUE"""),"%")</f>
        <v>%</v>
      </c>
      <c r="M205" s="36">
        <f>IFERROR(__xludf.DUMMYFUNCTION("""COMPUTED_VALUE"""),1.0)</f>
        <v>1</v>
      </c>
      <c r="N205" s="37"/>
      <c r="O205" s="38"/>
      <c r="P205" s="34" t="str">
        <f>IFERROR(__xludf.DUMMYFUNCTION("""COMPUTED_VALUE"""),"")</f>
        <v/>
      </c>
      <c r="Q205" s="35" t="str">
        <f>IFERROR(__xludf.DUMMYFUNCTION("""COMPUTED_VALUE"""),"AP")</f>
        <v>AP</v>
      </c>
      <c r="R205" s="34" t="str">
        <f>IFERROR(__xludf.DUMMYFUNCTION("""COMPUTED_VALUE"""),"")</f>
        <v/>
      </c>
      <c r="S205" s="35" t="str">
        <f>IFERROR(__xludf.DUMMYFUNCTION("""COMPUTED_VALUE"""),"%")</f>
        <v>%</v>
      </c>
      <c r="T205" s="36">
        <f>IFERROR(__xludf.DUMMYFUNCTION("""COMPUTED_VALUE"""),2.0)</f>
        <v>2</v>
      </c>
      <c r="U205" s="37"/>
      <c r="V205" s="38"/>
      <c r="W205" s="34" t="str">
        <f>IFERROR(__xludf.DUMMYFUNCTION("""COMPUTED_VALUE"""),"")</f>
        <v/>
      </c>
      <c r="X205" s="35" t="str">
        <f>IFERROR(__xludf.DUMMYFUNCTION("""COMPUTED_VALUE"""),"AP")</f>
        <v>AP</v>
      </c>
      <c r="Y205" s="34" t="str">
        <f>IFERROR(__xludf.DUMMYFUNCTION("""COMPUTED_VALUE"""),"")</f>
        <v/>
      </c>
      <c r="Z205" s="35" t="str">
        <f>IFERROR(__xludf.DUMMYFUNCTION("""COMPUTED_VALUE"""),"%")</f>
        <v>%</v>
      </c>
      <c r="AA205" s="36">
        <f>IFERROR(__xludf.DUMMYFUNCTION("""COMPUTED_VALUE"""),3.0)</f>
        <v>3</v>
      </c>
      <c r="AB205" s="37"/>
      <c r="AC205" s="38"/>
      <c r="AD205" s="34" t="str">
        <f>IFERROR(__xludf.DUMMYFUNCTION("""COMPUTED_VALUE"""),"")</f>
        <v/>
      </c>
      <c r="AE205" s="35" t="str">
        <f>IFERROR(__xludf.DUMMYFUNCTION("""COMPUTED_VALUE"""),"AP")</f>
        <v>AP</v>
      </c>
      <c r="AF205" s="34" t="str">
        <f>IFERROR(__xludf.DUMMYFUNCTION("""COMPUTED_VALUE"""),"")</f>
        <v/>
      </c>
      <c r="AG205" s="35" t="str">
        <f>IFERROR(__xludf.DUMMYFUNCTION("""COMPUTED_VALUE"""),"%")</f>
        <v>%</v>
      </c>
      <c r="AH205" s="31"/>
      <c r="AI205" s="32"/>
      <c r="AJ205" s="39"/>
    </row>
    <row r="206" ht="24.75" hidden="1" customHeight="1">
      <c r="A206" s="40">
        <f>IFERROR(__xludf.DUMMYFUNCTION("""COMPUTED_VALUE"""),20.0)</f>
        <v>20</v>
      </c>
      <c r="B206" s="40" t="str">
        <f>IFERROR(__xludf.DUMMYFUNCTION("""COMPUTED_VALUE"""),"A309")</f>
        <v>A309</v>
      </c>
      <c r="C206" s="40"/>
      <c r="D206" s="41"/>
      <c r="E206" s="66"/>
      <c r="F206" s="43"/>
      <c r="G206" s="44"/>
      <c r="H206" s="33" t="str">
        <f>IFERROR(__xludf.DUMMYFUNCTION("""COMPUTED_VALUE""")," ")</f>
        <v> </v>
      </c>
      <c r="I206" s="45"/>
      <c r="J206" s="46" t="str">
        <f>IFERROR(__xludf.DUMMYFUNCTION("""COMPUTED_VALUE"""),"AP")</f>
        <v>AP</v>
      </c>
      <c r="K206" s="47"/>
      <c r="L206" s="48" t="str">
        <f>IFERROR(__xludf.DUMMYFUNCTION("""COMPUTED_VALUE"""),"%")</f>
        <v>%</v>
      </c>
      <c r="M206" s="49">
        <f>IFERROR(__xludf.DUMMYFUNCTION("""COMPUTED_VALUE"""),1.0)</f>
        <v>1</v>
      </c>
      <c r="N206" s="50"/>
      <c r="O206" s="38"/>
      <c r="P206" s="45" t="str">
        <f>IFERROR(__xludf.DUMMYFUNCTION("""COMPUTED_VALUE"""),"")</f>
        <v/>
      </c>
      <c r="Q206" s="46" t="str">
        <f>IFERROR(__xludf.DUMMYFUNCTION("""COMPUTED_VALUE"""),"AP")</f>
        <v>AP</v>
      </c>
      <c r="R206" s="47" t="str">
        <f>IFERROR(__xludf.DUMMYFUNCTION("""COMPUTED_VALUE"""),"")</f>
        <v/>
      </c>
      <c r="S206" s="48" t="str">
        <f>IFERROR(__xludf.DUMMYFUNCTION("""COMPUTED_VALUE"""),"%")</f>
        <v>%</v>
      </c>
      <c r="T206" s="49">
        <f>IFERROR(__xludf.DUMMYFUNCTION("""COMPUTED_VALUE"""),2.0)</f>
        <v>2</v>
      </c>
      <c r="U206" s="50"/>
      <c r="V206" s="38"/>
      <c r="W206" s="45" t="str">
        <f>IFERROR(__xludf.DUMMYFUNCTION("""COMPUTED_VALUE"""),"")</f>
        <v/>
      </c>
      <c r="X206" s="46" t="str">
        <f>IFERROR(__xludf.DUMMYFUNCTION("""COMPUTED_VALUE"""),"AP")</f>
        <v>AP</v>
      </c>
      <c r="Y206" s="47" t="str">
        <f>IFERROR(__xludf.DUMMYFUNCTION("""COMPUTED_VALUE"""),"")</f>
        <v/>
      </c>
      <c r="Z206" s="48" t="str">
        <f>IFERROR(__xludf.DUMMYFUNCTION("""COMPUTED_VALUE"""),"%")</f>
        <v>%</v>
      </c>
      <c r="AA206" s="49">
        <f>IFERROR(__xludf.DUMMYFUNCTION("""COMPUTED_VALUE"""),3.0)</f>
        <v>3</v>
      </c>
      <c r="AB206" s="50"/>
      <c r="AC206" s="38"/>
      <c r="AD206" s="45" t="str">
        <f>IFERROR(__xludf.DUMMYFUNCTION("""COMPUTED_VALUE"""),"")</f>
        <v/>
      </c>
      <c r="AE206" s="46" t="str">
        <f>IFERROR(__xludf.DUMMYFUNCTION("""COMPUTED_VALUE"""),"AP")</f>
        <v>AP</v>
      </c>
      <c r="AF206" s="47" t="str">
        <f>IFERROR(__xludf.DUMMYFUNCTION("""COMPUTED_VALUE"""),"")</f>
        <v/>
      </c>
      <c r="AG206" s="48" t="str">
        <f>IFERROR(__xludf.DUMMYFUNCTION("""COMPUTED_VALUE"""),"%")</f>
        <v>%</v>
      </c>
      <c r="AH206" s="43"/>
      <c r="AI206" s="44"/>
      <c r="AJ206" s="51"/>
    </row>
    <row r="207">
      <c r="A207" s="52"/>
      <c r="B207" s="53"/>
      <c r="C207" s="54"/>
      <c r="D207" s="55"/>
      <c r="E207" s="56"/>
      <c r="F207" s="53"/>
      <c r="G207" s="53"/>
      <c r="H207" s="53"/>
      <c r="I207" s="53"/>
      <c r="J207" s="57"/>
      <c r="K207" s="53"/>
      <c r="L207" s="57"/>
      <c r="M207" s="53"/>
      <c r="N207" s="53"/>
      <c r="O207" s="53"/>
      <c r="P207" s="53"/>
      <c r="Q207" s="57"/>
      <c r="R207" s="53"/>
      <c r="S207" s="57"/>
      <c r="T207" s="53"/>
      <c r="U207" s="53"/>
      <c r="V207" s="53"/>
      <c r="W207" s="53"/>
      <c r="X207" s="57"/>
      <c r="Y207" s="53"/>
      <c r="Z207" s="57"/>
      <c r="AA207" s="53"/>
      <c r="AB207" s="53"/>
      <c r="AC207" s="53"/>
      <c r="AD207" s="53"/>
      <c r="AE207" s="57"/>
      <c r="AF207" s="53"/>
      <c r="AG207" s="57"/>
      <c r="AH207" s="53"/>
      <c r="AI207" s="53"/>
      <c r="AJ207" s="58"/>
    </row>
    <row r="208">
      <c r="A208" s="59"/>
      <c r="B208" s="60"/>
      <c r="C208" s="61"/>
      <c r="D208" s="62"/>
      <c r="E208" s="63"/>
      <c r="F208" s="60"/>
      <c r="G208" s="60"/>
      <c r="H208" s="60"/>
      <c r="I208" s="60"/>
      <c r="J208" s="64"/>
      <c r="K208" s="60"/>
      <c r="L208" s="64"/>
      <c r="M208" s="60"/>
      <c r="N208" s="60"/>
      <c r="O208" s="60"/>
      <c r="P208" s="60"/>
      <c r="Q208" s="64"/>
      <c r="R208" s="60"/>
      <c r="S208" s="64"/>
      <c r="T208" s="60"/>
      <c r="U208" s="60"/>
      <c r="V208" s="60"/>
      <c r="W208" s="60"/>
      <c r="X208" s="64"/>
      <c r="Y208" s="60"/>
      <c r="Z208" s="64"/>
      <c r="AA208" s="60"/>
      <c r="AB208" s="60"/>
      <c r="AC208" s="60"/>
      <c r="AD208" s="60"/>
      <c r="AE208" s="64"/>
      <c r="AF208" s="60"/>
      <c r="AG208" s="64"/>
      <c r="AH208" s="60"/>
      <c r="AI208" s="60"/>
      <c r="AJ208" s="65"/>
    </row>
    <row r="209" ht="33.0" customHeight="1">
      <c r="A209" s="20" t="str">
        <f>IFERROR(__xludf.DUMMYFUNCTION("""COMPUTED_VALUE""")," ")</f>
        <v> </v>
      </c>
      <c r="B209" s="21" t="str">
        <f>IFERROR(__xludf.DUMMYFUNCTION("""COMPUTED_VALUE"""),"A201")</f>
        <v>A201</v>
      </c>
      <c r="C209" s="20"/>
      <c r="D209" s="22" t="str">
        <f>IFERROR(__xludf.DUMMYFUNCTION("""COMPUTED_VALUE"""),"")</f>
        <v/>
      </c>
      <c r="E209" s="23" t="str">
        <f>IFERROR(__xludf.DUMMYFUNCTION("""COMPUTED_VALUE"""),"Seed of Yggdrasil")</f>
        <v>Seed of Yggdrasil</v>
      </c>
      <c r="F209" s="24"/>
      <c r="G209" s="24"/>
      <c r="H209" s="25"/>
      <c r="I209" s="25"/>
      <c r="J209" s="26"/>
      <c r="K209" s="25"/>
      <c r="L209" s="26"/>
      <c r="M209" s="25"/>
      <c r="N209" s="25"/>
      <c r="O209" s="25"/>
      <c r="P209" s="25"/>
      <c r="Q209" s="26"/>
      <c r="R209" s="25"/>
      <c r="S209" s="26"/>
      <c r="T209" s="25"/>
      <c r="U209" s="25"/>
      <c r="V209" s="25"/>
      <c r="W209" s="25"/>
      <c r="X209" s="26"/>
      <c r="Y209" s="25"/>
      <c r="Z209" s="26"/>
      <c r="AA209" s="25"/>
      <c r="AB209" s="25"/>
      <c r="AC209" s="25"/>
      <c r="AD209" s="25"/>
      <c r="AE209" s="26"/>
      <c r="AF209" s="25"/>
      <c r="AG209" s="26"/>
      <c r="AH209" s="24"/>
      <c r="AI209" s="25"/>
      <c r="AJ209" s="27"/>
    </row>
    <row r="210" ht="24.75" customHeight="1">
      <c r="A210" s="28">
        <f>IFERROR(__xludf.DUMMYFUNCTION("""COMPUTED_VALUE"""),1.0)</f>
        <v>1</v>
      </c>
      <c r="B210" s="28" t="str">
        <f>IFERROR(__xludf.DUMMYFUNCTION("""COMPUTED_VALUE"""),"A201")</f>
        <v>A201</v>
      </c>
      <c r="C210" s="28" t="str">
        <f>IFERROR(__xludf.DUMMYFUNCTION("""COMPUTED_VALUE"""),"BBL1")</f>
        <v>BBL1</v>
      </c>
      <c r="D210" s="29" t="str">
        <f>IFERROR(__xludf.DUMMYFUNCTION("""COMPUTED_VALUE"""),"Babylonia")</f>
        <v>Babylonia</v>
      </c>
      <c r="E210" s="30" t="str">
        <f>IFERROR(__xludf.DUMMYFUNCTION("""COMPUTED_VALUE"""),"Fallen Babylon")</f>
        <v>Fallen Babylon</v>
      </c>
      <c r="F210" s="31">
        <f>IFERROR(__xludf.DUMMYFUNCTION("""COMPUTED_VALUE"""),20.0)</f>
        <v>20</v>
      </c>
      <c r="G210" s="32">
        <f>IFERROR(__xludf.DUMMYFUNCTION("""COMPUTED_VALUE"""),13741.0)</f>
        <v>13741</v>
      </c>
      <c r="H210" s="33" t="str">
        <f>IFERROR(__xludf.DUMMYFUNCTION("""COMPUTED_VALUE"""),"")</f>
        <v/>
      </c>
      <c r="I210" s="34">
        <f>IFERROR(__xludf.DUMMYFUNCTION("""COMPUTED_VALUE"""),40.3)</f>
        <v>40.3</v>
      </c>
      <c r="J210" s="35" t="str">
        <f>IFERROR(__xludf.DUMMYFUNCTION("""COMPUTED_VALUE"""),"AP")</f>
        <v>AP</v>
      </c>
      <c r="K210" s="34">
        <f>IFERROR(__xludf.DUMMYFUNCTION("""COMPUTED_VALUE"""),49.6)</f>
        <v>49.6</v>
      </c>
      <c r="L210" s="35" t="str">
        <f>IFERROR(__xludf.DUMMYFUNCTION("""COMPUTED_VALUE"""),"%")</f>
        <v>%</v>
      </c>
      <c r="M210" s="36">
        <f>IFERROR(__xludf.DUMMYFUNCTION("""COMPUTED_VALUE"""),1.0)</f>
        <v>1</v>
      </c>
      <c r="N210" s="37"/>
      <c r="O210" s="38"/>
      <c r="P210" s="34" t="str">
        <f>IFERROR(__xludf.DUMMYFUNCTION("""COMPUTED_VALUE"""),"")</f>
        <v/>
      </c>
      <c r="Q210" s="35" t="str">
        <f>IFERROR(__xludf.DUMMYFUNCTION("""COMPUTED_VALUE"""),"AP")</f>
        <v>AP</v>
      </c>
      <c r="R210" s="34" t="str">
        <f>IFERROR(__xludf.DUMMYFUNCTION("""COMPUTED_VALUE"""),"")</f>
        <v/>
      </c>
      <c r="S210" s="35" t="str">
        <f>IFERROR(__xludf.DUMMYFUNCTION("""COMPUTED_VALUE"""),"%")</f>
        <v>%</v>
      </c>
      <c r="T210" s="36">
        <f>IFERROR(__xludf.DUMMYFUNCTION("""COMPUTED_VALUE"""),2.0)</f>
        <v>2</v>
      </c>
      <c r="U210" s="37"/>
      <c r="V210" s="38"/>
      <c r="W210" s="34" t="str">
        <f>IFERROR(__xludf.DUMMYFUNCTION("""COMPUTED_VALUE"""),"")</f>
        <v/>
      </c>
      <c r="X210" s="35" t="str">
        <f>IFERROR(__xludf.DUMMYFUNCTION("""COMPUTED_VALUE"""),"AP")</f>
        <v>AP</v>
      </c>
      <c r="Y210" s="34" t="str">
        <f>IFERROR(__xludf.DUMMYFUNCTION("""COMPUTED_VALUE"""),"")</f>
        <v/>
      </c>
      <c r="Z210" s="35" t="str">
        <f>IFERROR(__xludf.DUMMYFUNCTION("""COMPUTED_VALUE"""),"%")</f>
        <v>%</v>
      </c>
      <c r="AA210" s="36">
        <f>IFERROR(__xludf.DUMMYFUNCTION("""COMPUTED_VALUE"""),3.0)</f>
        <v>3</v>
      </c>
      <c r="AB210" s="37"/>
      <c r="AC210" s="38"/>
      <c r="AD210" s="34" t="str">
        <f>IFERROR(__xludf.DUMMYFUNCTION("""COMPUTED_VALUE"""),"")</f>
        <v/>
      </c>
      <c r="AE210" s="35" t="str">
        <f>IFERROR(__xludf.DUMMYFUNCTION("""COMPUTED_VALUE"""),"AP")</f>
        <v>AP</v>
      </c>
      <c r="AF210" s="34" t="str">
        <f>IFERROR(__xludf.DUMMYFUNCTION("""COMPUTED_VALUE"""),"")</f>
        <v/>
      </c>
      <c r="AG210" s="35" t="str">
        <f>IFERROR(__xludf.DUMMYFUNCTION("""COMPUTED_VALUE"""),"%")</f>
        <v>%</v>
      </c>
      <c r="AH210" s="31">
        <f>IFERROR(__xludf.DUMMYFUNCTION("""COMPUTED_VALUE"""),20.0)</f>
        <v>20</v>
      </c>
      <c r="AI210" s="32">
        <f>IFERROR(__xludf.DUMMYFUNCTION("""COMPUTED_VALUE"""),13741.0)</f>
        <v>13741</v>
      </c>
      <c r="AJ210" s="39" t="str">
        <f>IFERROR(__xludf.DUMMYFUNCTION("""COMPUTED_VALUE"""),"廃都バビロン")</f>
        <v>廃都バビロン</v>
      </c>
    </row>
    <row r="211" ht="24.75" customHeight="1">
      <c r="A211" s="40">
        <f>IFERROR(__xludf.DUMMYFUNCTION("""COMPUTED_VALUE"""),2.0)</f>
        <v>2</v>
      </c>
      <c r="B211" s="40" t="str">
        <f>IFERROR(__xludf.DUMMYFUNCTION("""COMPUTED_VALUE"""),"A201")</f>
        <v>A201</v>
      </c>
      <c r="C211" s="40" t="str">
        <f>IFERROR(__xludf.DUMMYFUNCTION("""COMPUTED_VALUE"""),"SLM1")</f>
        <v>SLM1</v>
      </c>
      <c r="D211" s="41" t="str">
        <f>IFERROR(__xludf.DUMMYFUNCTION("""COMPUTED_VALUE"""),"Salem")</f>
        <v>Salem</v>
      </c>
      <c r="E211" s="42" t="str">
        <f>IFERROR(__xludf.DUMMYFUNCTION("""COMPUTED_VALUE"""),"Quiet Forest")</f>
        <v>Quiet Forest</v>
      </c>
      <c r="F211" s="43">
        <f>IFERROR(__xludf.DUMMYFUNCTION("""COMPUTED_VALUE"""),20.0)</f>
        <v>20</v>
      </c>
      <c r="G211" s="44">
        <f>IFERROR(__xludf.DUMMYFUNCTION("""COMPUTED_VALUE"""),3543.0)</f>
        <v>3543</v>
      </c>
      <c r="H211" s="33" t="str">
        <f>IFERROR(__xludf.DUMMYFUNCTION("""COMPUTED_VALUE"""),"")</f>
        <v/>
      </c>
      <c r="I211" s="45">
        <f>IFERROR(__xludf.DUMMYFUNCTION("""COMPUTED_VALUE"""),41.5)</f>
        <v>41.5</v>
      </c>
      <c r="J211" s="46" t="str">
        <f>IFERROR(__xludf.DUMMYFUNCTION("""COMPUTED_VALUE"""),"AP")</f>
        <v>AP</v>
      </c>
      <c r="K211" s="47">
        <f>IFERROR(__xludf.DUMMYFUNCTION("""COMPUTED_VALUE"""),48.2)</f>
        <v>48.2</v>
      </c>
      <c r="L211" s="48" t="str">
        <f>IFERROR(__xludf.DUMMYFUNCTION("""COMPUTED_VALUE"""),"%")</f>
        <v>%</v>
      </c>
      <c r="M211" s="49">
        <f>IFERROR(__xludf.DUMMYFUNCTION("""COMPUTED_VALUE"""),1.0)</f>
        <v>1</v>
      </c>
      <c r="N211" s="50"/>
      <c r="O211" s="38"/>
      <c r="P211" s="45" t="str">
        <f>IFERROR(__xludf.DUMMYFUNCTION("""COMPUTED_VALUE"""),"")</f>
        <v/>
      </c>
      <c r="Q211" s="46" t="str">
        <f>IFERROR(__xludf.DUMMYFUNCTION("""COMPUTED_VALUE"""),"AP")</f>
        <v>AP</v>
      </c>
      <c r="R211" s="47" t="str">
        <f>IFERROR(__xludf.DUMMYFUNCTION("""COMPUTED_VALUE"""),"")</f>
        <v/>
      </c>
      <c r="S211" s="48" t="str">
        <f>IFERROR(__xludf.DUMMYFUNCTION("""COMPUTED_VALUE"""),"%")</f>
        <v>%</v>
      </c>
      <c r="T211" s="49">
        <f>IFERROR(__xludf.DUMMYFUNCTION("""COMPUTED_VALUE"""),2.0)</f>
        <v>2</v>
      </c>
      <c r="U211" s="50"/>
      <c r="V211" s="38"/>
      <c r="W211" s="45" t="str">
        <f>IFERROR(__xludf.DUMMYFUNCTION("""COMPUTED_VALUE"""),"")</f>
        <v/>
      </c>
      <c r="X211" s="46" t="str">
        <f>IFERROR(__xludf.DUMMYFUNCTION("""COMPUTED_VALUE"""),"AP")</f>
        <v>AP</v>
      </c>
      <c r="Y211" s="47" t="str">
        <f>IFERROR(__xludf.DUMMYFUNCTION("""COMPUTED_VALUE"""),"")</f>
        <v/>
      </c>
      <c r="Z211" s="48" t="str">
        <f>IFERROR(__xludf.DUMMYFUNCTION("""COMPUTED_VALUE"""),"%")</f>
        <v>%</v>
      </c>
      <c r="AA211" s="49">
        <f>IFERROR(__xludf.DUMMYFUNCTION("""COMPUTED_VALUE"""),3.0)</f>
        <v>3</v>
      </c>
      <c r="AB211" s="50"/>
      <c r="AC211" s="38"/>
      <c r="AD211" s="45" t="str">
        <f>IFERROR(__xludf.DUMMYFUNCTION("""COMPUTED_VALUE"""),"")</f>
        <v/>
      </c>
      <c r="AE211" s="46" t="str">
        <f>IFERROR(__xludf.DUMMYFUNCTION("""COMPUTED_VALUE"""),"AP")</f>
        <v>AP</v>
      </c>
      <c r="AF211" s="47" t="str">
        <f>IFERROR(__xludf.DUMMYFUNCTION("""COMPUTED_VALUE"""),"")</f>
        <v/>
      </c>
      <c r="AG211" s="48" t="str">
        <f>IFERROR(__xludf.DUMMYFUNCTION("""COMPUTED_VALUE"""),"%")</f>
        <v>%</v>
      </c>
      <c r="AH211" s="43">
        <f>IFERROR(__xludf.DUMMYFUNCTION("""COMPUTED_VALUE"""),20.0)</f>
        <v>20</v>
      </c>
      <c r="AI211" s="44">
        <f>IFERROR(__xludf.DUMMYFUNCTION("""COMPUTED_VALUE"""),3543.0)</f>
        <v>3543</v>
      </c>
      <c r="AJ211" s="51" t="str">
        <f>IFERROR(__xludf.DUMMYFUNCTION("""COMPUTED_VALUE"""),"静寂な森")</f>
        <v>静寂な森</v>
      </c>
    </row>
    <row r="212" ht="24.75" customHeight="1">
      <c r="A212" s="28">
        <f>IFERROR(__xludf.DUMMYFUNCTION("""COMPUTED_VALUE"""),3.0)</f>
        <v>3</v>
      </c>
      <c r="B212" s="28" t="str">
        <f>IFERROR(__xludf.DUMMYFUNCTION("""COMPUTED_VALUE"""),"A201")</f>
        <v>A201</v>
      </c>
      <c r="C212" s="28" t="str">
        <f>IFERROR(__xludf.DUMMYFUNCTION("""COMPUTED_VALUE"""),"SLM10")</f>
        <v>SLM10</v>
      </c>
      <c r="D212" s="29" t="str">
        <f>IFERROR(__xludf.DUMMYFUNCTION("""COMPUTED_VALUE"""),"Salem")</f>
        <v>Salem</v>
      </c>
      <c r="E212" s="30" t="str">
        <f>IFERROR(__xludf.DUMMYFUNCTION("""COMPUTED_VALUE"""),"Hideout")</f>
        <v>Hideout</v>
      </c>
      <c r="F212" s="31">
        <f>IFERROR(__xludf.DUMMYFUNCTION("""COMPUTED_VALUE"""),21.0)</f>
        <v>21</v>
      </c>
      <c r="G212" s="32">
        <f>IFERROR(__xludf.DUMMYFUNCTION("""COMPUTED_VALUE"""),10589.0)</f>
        <v>10589</v>
      </c>
      <c r="H212" s="33" t="str">
        <f>IFERROR(__xludf.DUMMYFUNCTION("""COMPUTED_VALUE"""),"")</f>
        <v/>
      </c>
      <c r="I212" s="34">
        <f>IFERROR(__xludf.DUMMYFUNCTION("""COMPUTED_VALUE"""),46.5)</f>
        <v>46.5</v>
      </c>
      <c r="J212" s="35" t="str">
        <f>IFERROR(__xludf.DUMMYFUNCTION("""COMPUTED_VALUE"""),"AP")</f>
        <v>AP</v>
      </c>
      <c r="K212" s="34">
        <f>IFERROR(__xludf.DUMMYFUNCTION("""COMPUTED_VALUE"""),45.1)</f>
        <v>45.1</v>
      </c>
      <c r="L212" s="35" t="str">
        <f>IFERROR(__xludf.DUMMYFUNCTION("""COMPUTED_VALUE"""),"%")</f>
        <v>%</v>
      </c>
      <c r="M212" s="36">
        <f>IFERROR(__xludf.DUMMYFUNCTION("""COMPUTED_VALUE"""),1.0)</f>
        <v>1</v>
      </c>
      <c r="N212" s="37" t="str">
        <f>IFERROR(__xludf.DUMMYFUNCTION("""COMPUTED_VALUE"""),"A205")</f>
        <v>A205</v>
      </c>
      <c r="O212" s="38" t="str">
        <f>IFERROR(__xludf.DUMMYFUNCTION("""COMPUTED_VALUE"""),"")</f>
        <v/>
      </c>
      <c r="P212" s="34">
        <f>IFERROR(__xludf.DUMMYFUNCTION("""COMPUTED_VALUE"""),140.2)</f>
        <v>140.2</v>
      </c>
      <c r="Q212" s="35" t="str">
        <f>IFERROR(__xludf.DUMMYFUNCTION("""COMPUTED_VALUE"""),"AP")</f>
        <v>AP</v>
      </c>
      <c r="R212" s="34">
        <f>IFERROR(__xludf.DUMMYFUNCTION("""COMPUTED_VALUE"""),15.0)</f>
        <v>15</v>
      </c>
      <c r="S212" s="35" t="str">
        <f>IFERROR(__xludf.DUMMYFUNCTION("""COMPUTED_VALUE"""),"%")</f>
        <v>%</v>
      </c>
      <c r="T212" s="36">
        <f>IFERROR(__xludf.DUMMYFUNCTION("""COMPUTED_VALUE"""),2.0)</f>
        <v>2</v>
      </c>
      <c r="U212" s="37" t="str">
        <f>IFERROR(__xludf.DUMMYFUNCTION("""COMPUTED_VALUE"""),"B115")</f>
        <v>B115</v>
      </c>
      <c r="V212" s="38" t="str">
        <f>IFERROR(__xludf.DUMMYFUNCTION("""COMPUTED_VALUE"""),"")</f>
        <v/>
      </c>
      <c r="W212" s="34">
        <f>IFERROR(__xludf.DUMMYFUNCTION("""COMPUTED_VALUE"""),138.4)</f>
        <v>138.4</v>
      </c>
      <c r="X212" s="35" t="str">
        <f>IFERROR(__xludf.DUMMYFUNCTION("""COMPUTED_VALUE"""),"AP")</f>
        <v>AP</v>
      </c>
      <c r="Y212" s="34">
        <f>IFERROR(__xludf.DUMMYFUNCTION("""COMPUTED_VALUE"""),15.2)</f>
        <v>15.2</v>
      </c>
      <c r="Z212" s="35" t="str">
        <f>IFERROR(__xludf.DUMMYFUNCTION("""COMPUTED_VALUE"""),"%")</f>
        <v>%</v>
      </c>
      <c r="AA212" s="36">
        <f>IFERROR(__xludf.DUMMYFUNCTION("""COMPUTED_VALUE"""),3.0)</f>
        <v>3</v>
      </c>
      <c r="AB212" s="37"/>
      <c r="AC212" s="38"/>
      <c r="AD212" s="34" t="str">
        <f>IFERROR(__xludf.DUMMYFUNCTION("""COMPUTED_VALUE"""),"")</f>
        <v/>
      </c>
      <c r="AE212" s="35" t="str">
        <f>IFERROR(__xludf.DUMMYFUNCTION("""COMPUTED_VALUE"""),"AP")</f>
        <v>AP</v>
      </c>
      <c r="AF212" s="34" t="str">
        <f>IFERROR(__xludf.DUMMYFUNCTION("""COMPUTED_VALUE"""),"")</f>
        <v/>
      </c>
      <c r="AG212" s="35" t="str">
        <f>IFERROR(__xludf.DUMMYFUNCTION("""COMPUTED_VALUE"""),"%")</f>
        <v>%</v>
      </c>
      <c r="AH212" s="31">
        <f>IFERROR(__xludf.DUMMYFUNCTION("""COMPUTED_VALUE"""),21.0)</f>
        <v>21</v>
      </c>
      <c r="AI212" s="32">
        <f>IFERROR(__xludf.DUMMYFUNCTION("""COMPUTED_VALUE"""),10589.0)</f>
        <v>10589</v>
      </c>
      <c r="AJ212" s="39" t="str">
        <f>IFERROR(__xludf.DUMMYFUNCTION("""COMPUTED_VALUE"""),"隠れ家")</f>
        <v>隠れ家</v>
      </c>
    </row>
    <row r="213" ht="24.75" customHeight="1">
      <c r="A213" s="40">
        <f>IFERROR(__xludf.DUMMYFUNCTION("""COMPUTED_VALUE"""),4.0)</f>
        <v>4</v>
      </c>
      <c r="B213" s="40" t="str">
        <f>IFERROR(__xludf.DUMMYFUNCTION("""COMPUTED_VALUE"""),"A201")</f>
        <v>A201</v>
      </c>
      <c r="C213" s="40" t="str">
        <f>IFERROR(__xludf.DUMMYFUNCTION("""COMPUTED_VALUE"""),"SMS1")</f>
        <v>SMS1</v>
      </c>
      <c r="D213" s="41" t="str">
        <f>IFERROR(__xludf.DUMMYFUNCTION("""COMPUTED_VALUE"""),"Shimosa")</f>
        <v>Shimosa</v>
      </c>
      <c r="E213" s="42" t="str">
        <f>IFERROR(__xludf.DUMMYFUNCTION("""COMPUTED_VALUE"""),"Rice Field")</f>
        <v>Rice Field</v>
      </c>
      <c r="F213" s="43">
        <f>IFERROR(__xludf.DUMMYFUNCTION("""COMPUTED_VALUE"""),20.0)</f>
        <v>20</v>
      </c>
      <c r="G213" s="44">
        <f>IFERROR(__xludf.DUMMYFUNCTION("""COMPUTED_VALUE"""),49597.0)</f>
        <v>49597</v>
      </c>
      <c r="H213" s="33" t="str">
        <f>IFERROR(__xludf.DUMMYFUNCTION("""COMPUTED_VALUE"""),"")</f>
        <v/>
      </c>
      <c r="I213" s="45">
        <f>IFERROR(__xludf.DUMMYFUNCTION("""COMPUTED_VALUE"""),50.3)</f>
        <v>50.3</v>
      </c>
      <c r="J213" s="46" t="str">
        <f>IFERROR(__xludf.DUMMYFUNCTION("""COMPUTED_VALUE"""),"AP")</f>
        <v>AP</v>
      </c>
      <c r="K213" s="47">
        <f>IFERROR(__xludf.DUMMYFUNCTION("""COMPUTED_VALUE"""),39.8)</f>
        <v>39.8</v>
      </c>
      <c r="L213" s="48" t="str">
        <f>IFERROR(__xludf.DUMMYFUNCTION("""COMPUTED_VALUE"""),"%")</f>
        <v>%</v>
      </c>
      <c r="M213" s="49">
        <f>IFERROR(__xludf.DUMMYFUNCTION("""COMPUTED_VALUE"""),1.0)</f>
        <v>1</v>
      </c>
      <c r="N213" s="50" t="str">
        <f>IFERROR(__xludf.DUMMYFUNCTION("""COMPUTED_VALUE"""),"A202")</f>
        <v>A202</v>
      </c>
      <c r="O213" s="38" t="str">
        <f>IFERROR(__xludf.DUMMYFUNCTION("""COMPUTED_VALUE"""),"")</f>
        <v/>
      </c>
      <c r="P213" s="45">
        <f>IFERROR(__xludf.DUMMYFUNCTION("""COMPUTED_VALUE"""),77.9)</f>
        <v>77.9</v>
      </c>
      <c r="Q213" s="46" t="str">
        <f>IFERROR(__xludf.DUMMYFUNCTION("""COMPUTED_VALUE"""),"AP")</f>
        <v>AP</v>
      </c>
      <c r="R213" s="47">
        <f>IFERROR(__xludf.DUMMYFUNCTION("""COMPUTED_VALUE"""),25.7)</f>
        <v>25.7</v>
      </c>
      <c r="S213" s="48" t="str">
        <f>IFERROR(__xludf.DUMMYFUNCTION("""COMPUTED_VALUE"""),"%")</f>
        <v>%</v>
      </c>
      <c r="T213" s="49">
        <f>IFERROR(__xludf.DUMMYFUNCTION("""COMPUTED_VALUE"""),2.0)</f>
        <v>2</v>
      </c>
      <c r="U213" s="50"/>
      <c r="V213" s="38"/>
      <c r="W213" s="45" t="str">
        <f>IFERROR(__xludf.DUMMYFUNCTION("""COMPUTED_VALUE"""),"")</f>
        <v/>
      </c>
      <c r="X213" s="46" t="str">
        <f>IFERROR(__xludf.DUMMYFUNCTION("""COMPUTED_VALUE"""),"AP")</f>
        <v>AP</v>
      </c>
      <c r="Y213" s="47" t="str">
        <f>IFERROR(__xludf.DUMMYFUNCTION("""COMPUTED_VALUE"""),"")</f>
        <v/>
      </c>
      <c r="Z213" s="48" t="str">
        <f>IFERROR(__xludf.DUMMYFUNCTION("""COMPUTED_VALUE"""),"%")</f>
        <v>%</v>
      </c>
      <c r="AA213" s="49">
        <f>IFERROR(__xludf.DUMMYFUNCTION("""COMPUTED_VALUE"""),3.0)</f>
        <v>3</v>
      </c>
      <c r="AB213" s="50"/>
      <c r="AC213" s="38"/>
      <c r="AD213" s="45" t="str">
        <f>IFERROR(__xludf.DUMMYFUNCTION("""COMPUTED_VALUE"""),"")</f>
        <v/>
      </c>
      <c r="AE213" s="46" t="str">
        <f>IFERROR(__xludf.DUMMYFUNCTION("""COMPUTED_VALUE"""),"AP")</f>
        <v>AP</v>
      </c>
      <c r="AF213" s="47" t="str">
        <f>IFERROR(__xludf.DUMMYFUNCTION("""COMPUTED_VALUE"""),"")</f>
        <v/>
      </c>
      <c r="AG213" s="48" t="str">
        <f>IFERROR(__xludf.DUMMYFUNCTION("""COMPUTED_VALUE"""),"%")</f>
        <v>%</v>
      </c>
      <c r="AH213" s="43">
        <f>IFERROR(__xludf.DUMMYFUNCTION("""COMPUTED_VALUE"""),20.0)</f>
        <v>20</v>
      </c>
      <c r="AI213" s="44">
        <f>IFERROR(__xludf.DUMMYFUNCTION("""COMPUTED_VALUE"""),49597.0)</f>
        <v>49597</v>
      </c>
      <c r="AJ213" s="51" t="str">
        <f>IFERROR(__xludf.DUMMYFUNCTION("""COMPUTED_VALUE"""),"田んぼ")</f>
        <v>田んぼ</v>
      </c>
    </row>
    <row r="214" ht="24.75" customHeight="1">
      <c r="A214" s="28">
        <f>IFERROR(__xludf.DUMMYFUNCTION("""COMPUTED_VALUE"""),5.0)</f>
        <v>5</v>
      </c>
      <c r="B214" s="28" t="str">
        <f>IFERROR(__xludf.DUMMYFUNCTION("""COMPUTED_VALUE"""),"A201")</f>
        <v>A201</v>
      </c>
      <c r="C214" s="28" t="str">
        <f>IFERROR(__xludf.DUMMYFUNCTION("""COMPUTED_VALUE"""),"AGT3")</f>
        <v>AGT3</v>
      </c>
      <c r="D214" s="29" t="str">
        <f>IFERROR(__xludf.DUMMYFUNCTION("""COMPUTED_VALUE"""),"Agartha")</f>
        <v>Agartha</v>
      </c>
      <c r="E214" s="30" t="str">
        <f>IFERROR(__xludf.DUMMYFUNCTION("""COMPUTED_VALUE"""),"Riverside Town")</f>
        <v>Riverside Town</v>
      </c>
      <c r="F214" s="31">
        <f>IFERROR(__xludf.DUMMYFUNCTION("""COMPUTED_VALUE"""),20.0)</f>
        <v>20</v>
      </c>
      <c r="G214" s="32">
        <f>IFERROR(__xludf.DUMMYFUNCTION("""COMPUTED_VALUE"""),20334.0)</f>
        <v>20334</v>
      </c>
      <c r="H214" s="33" t="str">
        <f>IFERROR(__xludf.DUMMYFUNCTION("""COMPUTED_VALUE"""),"")</f>
        <v/>
      </c>
      <c r="I214" s="34">
        <f>IFERROR(__xludf.DUMMYFUNCTION("""COMPUTED_VALUE"""),50.7)</f>
        <v>50.7</v>
      </c>
      <c r="J214" s="35" t="str">
        <f>IFERROR(__xludf.DUMMYFUNCTION("""COMPUTED_VALUE"""),"AP")</f>
        <v>AP</v>
      </c>
      <c r="K214" s="34">
        <f>IFERROR(__xludf.DUMMYFUNCTION("""COMPUTED_VALUE"""),39.4)</f>
        <v>39.4</v>
      </c>
      <c r="L214" s="35" t="str">
        <f>IFERROR(__xludf.DUMMYFUNCTION("""COMPUTED_VALUE"""),"%")</f>
        <v>%</v>
      </c>
      <c r="M214" s="36">
        <f>IFERROR(__xludf.DUMMYFUNCTION("""COMPUTED_VALUE"""),1.0)</f>
        <v>1</v>
      </c>
      <c r="N214" s="37" t="str">
        <f>IFERROR(__xludf.DUMMYFUNCTION("""COMPUTED_VALUE"""),"A205")</f>
        <v>A205</v>
      </c>
      <c r="O214" s="38" t="str">
        <f>IFERROR(__xludf.DUMMYFUNCTION("""COMPUTED_VALUE"""),"")</f>
        <v/>
      </c>
      <c r="P214" s="34">
        <f>IFERROR(__xludf.DUMMYFUNCTION("""COMPUTED_VALUE"""),97.5)</f>
        <v>97.5</v>
      </c>
      <c r="Q214" s="35" t="str">
        <f>IFERROR(__xludf.DUMMYFUNCTION("""COMPUTED_VALUE"""),"AP")</f>
        <v>AP</v>
      </c>
      <c r="R214" s="34">
        <f>IFERROR(__xludf.DUMMYFUNCTION("""COMPUTED_VALUE"""),20.4999999)</f>
        <v>20.4999999</v>
      </c>
      <c r="S214" s="35" t="str">
        <f>IFERROR(__xludf.DUMMYFUNCTION("""COMPUTED_VALUE"""),"%")</f>
        <v>%</v>
      </c>
      <c r="T214" s="36">
        <f>IFERROR(__xludf.DUMMYFUNCTION("""COMPUTED_VALUE"""),2.0)</f>
        <v>2</v>
      </c>
      <c r="U214" s="37" t="str">
        <f>IFERROR(__xludf.DUMMYFUNCTION("""COMPUTED_VALUE"""),"B101")</f>
        <v>B101</v>
      </c>
      <c r="V214" s="38" t="str">
        <f>IFERROR(__xludf.DUMMYFUNCTION("""COMPUTED_VALUE"""),"")</f>
        <v/>
      </c>
      <c r="W214" s="34">
        <f>IFERROR(__xludf.DUMMYFUNCTION("""COMPUTED_VALUE"""),591.3)</f>
        <v>591.3</v>
      </c>
      <c r="X214" s="35" t="str">
        <f>IFERROR(__xludf.DUMMYFUNCTION("""COMPUTED_VALUE"""),"AP")</f>
        <v>AP</v>
      </c>
      <c r="Y214" s="34">
        <f>IFERROR(__xludf.DUMMYFUNCTION("""COMPUTED_VALUE"""),3.4)</f>
        <v>3.4</v>
      </c>
      <c r="Z214" s="35" t="str">
        <f>IFERROR(__xludf.DUMMYFUNCTION("""COMPUTED_VALUE"""),"%")</f>
        <v>%</v>
      </c>
      <c r="AA214" s="36">
        <f>IFERROR(__xludf.DUMMYFUNCTION("""COMPUTED_VALUE"""),3.0)</f>
        <v>3</v>
      </c>
      <c r="AB214" s="37" t="str">
        <f>IFERROR(__xludf.DUMMYFUNCTION("""COMPUTED_VALUE"""),"B111")</f>
        <v>B111</v>
      </c>
      <c r="AC214" s="38" t="str">
        <f>IFERROR(__xludf.DUMMYFUNCTION("""COMPUTED_VALUE"""),"")</f>
        <v/>
      </c>
      <c r="AD214" s="34">
        <f>IFERROR(__xludf.DUMMYFUNCTION("""COMPUTED_VALUE"""),134.1)</f>
        <v>134.1</v>
      </c>
      <c r="AE214" s="35" t="str">
        <f>IFERROR(__xludf.DUMMYFUNCTION("""COMPUTED_VALUE"""),"AP")</f>
        <v>AP</v>
      </c>
      <c r="AF214" s="34">
        <f>IFERROR(__xludf.DUMMYFUNCTION("""COMPUTED_VALUE"""),14.9)</f>
        <v>14.9</v>
      </c>
      <c r="AG214" s="35" t="str">
        <f>IFERROR(__xludf.DUMMYFUNCTION("""COMPUTED_VALUE"""),"%")</f>
        <v>%</v>
      </c>
      <c r="AH214" s="31">
        <f>IFERROR(__xludf.DUMMYFUNCTION("""COMPUTED_VALUE"""),20.0)</f>
        <v>20</v>
      </c>
      <c r="AI214" s="32">
        <f>IFERROR(__xludf.DUMMYFUNCTION("""COMPUTED_VALUE"""),20334.0)</f>
        <v>20334</v>
      </c>
      <c r="AJ214" s="39" t="str">
        <f>IFERROR(__xludf.DUMMYFUNCTION("""COMPUTED_VALUE"""),"川辺の町")</f>
        <v>川辺の町</v>
      </c>
    </row>
    <row r="215" ht="24.75" customHeight="1">
      <c r="A215" s="40">
        <f>IFERROR(__xludf.DUMMYFUNCTION("""COMPUTED_VALUE"""),6.0)</f>
        <v>6</v>
      </c>
      <c r="B215" s="40" t="str">
        <f>IFERROR(__xludf.DUMMYFUNCTION("""COMPUTED_VALUE"""),"A201")</f>
        <v>A201</v>
      </c>
      <c r="C215" s="40" t="str">
        <f>IFERROR(__xludf.DUMMYFUNCTION("""COMPUTED_VALUE"""),"BBL3")</f>
        <v>BBL3</v>
      </c>
      <c r="D215" s="41" t="str">
        <f>IFERROR(__xludf.DUMMYFUNCTION("""COMPUTED_VALUE"""),"Babylonia")</f>
        <v>Babylonia</v>
      </c>
      <c r="E215" s="42" t="str">
        <f>IFERROR(__xludf.DUMMYFUNCTION("""COMPUTED_VALUE"""),"Black Cedar Forest")</f>
        <v>Black Cedar Forest</v>
      </c>
      <c r="F215" s="43">
        <f>IFERROR(__xludf.DUMMYFUNCTION("""COMPUTED_VALUE"""),20.0)</f>
        <v>20</v>
      </c>
      <c r="G215" s="44">
        <f>IFERROR(__xludf.DUMMYFUNCTION("""COMPUTED_VALUE"""),1916.0)</f>
        <v>1916</v>
      </c>
      <c r="H215" s="33" t="str">
        <f>IFERROR(__xludf.DUMMYFUNCTION("""COMPUTED_VALUE"""),"")</f>
        <v/>
      </c>
      <c r="I215" s="45">
        <f>IFERROR(__xludf.DUMMYFUNCTION("""COMPUTED_VALUE"""),58.6)</f>
        <v>58.6</v>
      </c>
      <c r="J215" s="46" t="str">
        <f>IFERROR(__xludf.DUMMYFUNCTION("""COMPUTED_VALUE"""),"AP")</f>
        <v>AP</v>
      </c>
      <c r="K215" s="47">
        <f>IFERROR(__xludf.DUMMYFUNCTION("""COMPUTED_VALUE"""),34.1)</f>
        <v>34.1</v>
      </c>
      <c r="L215" s="48" t="str">
        <f>IFERROR(__xludf.DUMMYFUNCTION("""COMPUTED_VALUE"""),"%")</f>
        <v>%</v>
      </c>
      <c r="M215" s="49">
        <f>IFERROR(__xludf.DUMMYFUNCTION("""COMPUTED_VALUE"""),1.0)</f>
        <v>1</v>
      </c>
      <c r="N215" s="50" t="str">
        <f>IFERROR(__xludf.DUMMYFUNCTION("""COMPUTED_VALUE"""),"A110")</f>
        <v>A110</v>
      </c>
      <c r="O215" s="38" t="str">
        <f>IFERROR(__xludf.DUMMYFUNCTION("""COMPUTED_VALUE"""),"")</f>
        <v/>
      </c>
      <c r="P215" s="45">
        <f>IFERROR(__xludf.DUMMYFUNCTION("""COMPUTED_VALUE"""),150.9)</f>
        <v>150.9</v>
      </c>
      <c r="Q215" s="46" t="str">
        <f>IFERROR(__xludf.DUMMYFUNCTION("""COMPUTED_VALUE"""),"AP")</f>
        <v>AP</v>
      </c>
      <c r="R215" s="47">
        <f>IFERROR(__xludf.DUMMYFUNCTION("""COMPUTED_VALUE"""),13.3)</f>
        <v>13.3</v>
      </c>
      <c r="S215" s="48" t="str">
        <f>IFERROR(__xludf.DUMMYFUNCTION("""COMPUTED_VALUE"""),"%")</f>
        <v>%</v>
      </c>
      <c r="T215" s="49">
        <f>IFERROR(__xludf.DUMMYFUNCTION("""COMPUTED_VALUE"""),2.0)</f>
        <v>2</v>
      </c>
      <c r="U215" s="50" t="str">
        <f>IFERROR(__xludf.DUMMYFUNCTION("""COMPUTED_VALUE"""),"B114")</f>
        <v>B114</v>
      </c>
      <c r="V215" s="38" t="str">
        <f>IFERROR(__xludf.DUMMYFUNCTION("""COMPUTED_VALUE"""),"")</f>
        <v/>
      </c>
      <c r="W215" s="45">
        <f>IFERROR(__xludf.DUMMYFUNCTION("""COMPUTED_VALUE"""),232.0)</f>
        <v>232</v>
      </c>
      <c r="X215" s="46" t="str">
        <f>IFERROR(__xludf.DUMMYFUNCTION("""COMPUTED_VALUE"""),"AP")</f>
        <v>AP</v>
      </c>
      <c r="Y215" s="47">
        <f>IFERROR(__xludf.DUMMYFUNCTION("""COMPUTED_VALUE"""),8.6)</f>
        <v>8.6</v>
      </c>
      <c r="Z215" s="48" t="str">
        <f>IFERROR(__xludf.DUMMYFUNCTION("""COMPUTED_VALUE"""),"%")</f>
        <v>%</v>
      </c>
      <c r="AA215" s="49">
        <f>IFERROR(__xludf.DUMMYFUNCTION("""COMPUTED_VALUE"""),3.0)</f>
        <v>3</v>
      </c>
      <c r="AB215" s="50"/>
      <c r="AC215" s="38"/>
      <c r="AD215" s="45" t="str">
        <f>IFERROR(__xludf.DUMMYFUNCTION("""COMPUTED_VALUE"""),"")</f>
        <v/>
      </c>
      <c r="AE215" s="46" t="str">
        <f>IFERROR(__xludf.DUMMYFUNCTION("""COMPUTED_VALUE"""),"AP")</f>
        <v>AP</v>
      </c>
      <c r="AF215" s="47" t="str">
        <f>IFERROR(__xludf.DUMMYFUNCTION("""COMPUTED_VALUE"""),"")</f>
        <v/>
      </c>
      <c r="AG215" s="48" t="str">
        <f>IFERROR(__xludf.DUMMYFUNCTION("""COMPUTED_VALUE"""),"%")</f>
        <v>%</v>
      </c>
      <c r="AH215" s="43">
        <f>IFERROR(__xludf.DUMMYFUNCTION("""COMPUTED_VALUE"""),20.0)</f>
        <v>20</v>
      </c>
      <c r="AI215" s="44">
        <f>IFERROR(__xludf.DUMMYFUNCTION("""COMPUTED_VALUE"""),1916.0)</f>
        <v>1916</v>
      </c>
      <c r="AJ215" s="51" t="str">
        <f>IFERROR(__xludf.DUMMYFUNCTION("""COMPUTED_VALUE"""),"黒い杉の森")</f>
        <v>黒い杉の森</v>
      </c>
    </row>
    <row r="216" ht="24.75" customHeight="1">
      <c r="A216" s="28">
        <f>IFERROR(__xludf.DUMMYFUNCTION("""COMPUTED_VALUE"""),7.0)</f>
        <v>7</v>
      </c>
      <c r="B216" s="28" t="str">
        <f>IFERROR(__xludf.DUMMYFUNCTION("""COMPUTED_VALUE"""),"A201")</f>
        <v>A201</v>
      </c>
      <c r="C216" s="28" t="str">
        <f>IFERROR(__xludf.DUMMYFUNCTION("""COMPUTED_VALUE"""),"SMS2")</f>
        <v>SMS2</v>
      </c>
      <c r="D216" s="29" t="str">
        <f>IFERROR(__xludf.DUMMYFUNCTION("""COMPUTED_VALUE"""),"Shimosa")</f>
        <v>Shimosa</v>
      </c>
      <c r="E216" s="30" t="str">
        <f>IFERROR(__xludf.DUMMYFUNCTION("""COMPUTED_VALUE"""),"Village")</f>
        <v>Village</v>
      </c>
      <c r="F216" s="31">
        <f>IFERROR(__xludf.DUMMYFUNCTION("""COMPUTED_VALUE"""),21.0)</f>
        <v>21</v>
      </c>
      <c r="G216" s="32">
        <f>IFERROR(__xludf.DUMMYFUNCTION("""COMPUTED_VALUE"""),26324.0)</f>
        <v>26324</v>
      </c>
      <c r="H216" s="33" t="str">
        <f>IFERROR(__xludf.DUMMYFUNCTION("""COMPUTED_VALUE"""),"")</f>
        <v/>
      </c>
      <c r="I216" s="34">
        <f>IFERROR(__xludf.DUMMYFUNCTION("""COMPUTED_VALUE"""),59.6)</f>
        <v>59.6</v>
      </c>
      <c r="J216" s="35" t="str">
        <f>IFERROR(__xludf.DUMMYFUNCTION("""COMPUTED_VALUE"""),"AP")</f>
        <v>AP</v>
      </c>
      <c r="K216" s="34">
        <f>IFERROR(__xludf.DUMMYFUNCTION("""COMPUTED_VALUE"""),35.2)</f>
        <v>35.2</v>
      </c>
      <c r="L216" s="35" t="str">
        <f>IFERROR(__xludf.DUMMYFUNCTION("""COMPUTED_VALUE"""),"%")</f>
        <v>%</v>
      </c>
      <c r="M216" s="36">
        <f>IFERROR(__xludf.DUMMYFUNCTION("""COMPUTED_VALUE"""),1.0)</f>
        <v>1</v>
      </c>
      <c r="N216" s="37" t="str">
        <f>IFERROR(__xludf.DUMMYFUNCTION("""COMPUTED_VALUE"""),"A212")</f>
        <v>A212</v>
      </c>
      <c r="O216" s="38" t="str">
        <f>IFERROR(__xludf.DUMMYFUNCTION("""COMPUTED_VALUE"""),"")</f>
        <v/>
      </c>
      <c r="P216" s="34">
        <f>IFERROR(__xludf.DUMMYFUNCTION("""COMPUTED_VALUE"""),82.5)</f>
        <v>82.5</v>
      </c>
      <c r="Q216" s="35" t="str">
        <f>IFERROR(__xludf.DUMMYFUNCTION("""COMPUTED_VALUE"""),"AP")</f>
        <v>AP</v>
      </c>
      <c r="R216" s="34">
        <f>IFERROR(__xludf.DUMMYFUNCTION("""COMPUTED_VALUE"""),25.4)</f>
        <v>25.4</v>
      </c>
      <c r="S216" s="35" t="str">
        <f>IFERROR(__xludf.DUMMYFUNCTION("""COMPUTED_VALUE"""),"%")</f>
        <v>%</v>
      </c>
      <c r="T216" s="36">
        <f>IFERROR(__xludf.DUMMYFUNCTION("""COMPUTED_VALUE"""),2.0)</f>
        <v>2</v>
      </c>
      <c r="U216" s="37" t="str">
        <f>IFERROR(__xludf.DUMMYFUNCTION("""COMPUTED_VALUE"""),"A304")</f>
        <v>A304</v>
      </c>
      <c r="V216" s="38" t="str">
        <f>IFERROR(__xludf.DUMMYFUNCTION("""COMPUTED_VALUE"""),"")</f>
        <v/>
      </c>
      <c r="W216" s="34">
        <f>IFERROR(__xludf.DUMMYFUNCTION("""COMPUTED_VALUE"""),69.2)</f>
        <v>69.2</v>
      </c>
      <c r="X216" s="35" t="str">
        <f>IFERROR(__xludf.DUMMYFUNCTION("""COMPUTED_VALUE"""),"AP")</f>
        <v>AP</v>
      </c>
      <c r="Y216" s="34">
        <f>IFERROR(__xludf.DUMMYFUNCTION("""COMPUTED_VALUE"""),30.3)</f>
        <v>30.3</v>
      </c>
      <c r="Z216" s="35" t="str">
        <f>IFERROR(__xludf.DUMMYFUNCTION("""COMPUTED_VALUE"""),"%")</f>
        <v>%</v>
      </c>
      <c r="AA216" s="36">
        <f>IFERROR(__xludf.DUMMYFUNCTION("""COMPUTED_VALUE"""),3.0)</f>
        <v>3</v>
      </c>
      <c r="AB216" s="37" t="str">
        <f>IFERROR(__xludf.DUMMYFUNCTION("""COMPUTED_VALUE"""),"B111")</f>
        <v>B111</v>
      </c>
      <c r="AC216" s="38" t="str">
        <f>IFERROR(__xludf.DUMMYFUNCTION("""COMPUTED_VALUE"""),"")</f>
        <v/>
      </c>
      <c r="AD216" s="34">
        <f>IFERROR(__xludf.DUMMYFUNCTION("""COMPUTED_VALUE"""),119.4)</f>
        <v>119.4</v>
      </c>
      <c r="AE216" s="35" t="str">
        <f>IFERROR(__xludf.DUMMYFUNCTION("""COMPUTED_VALUE"""),"AP")</f>
        <v>AP</v>
      </c>
      <c r="AF216" s="34">
        <f>IFERROR(__xludf.DUMMYFUNCTION("""COMPUTED_VALUE"""),17.6)</f>
        <v>17.6</v>
      </c>
      <c r="AG216" s="35" t="str">
        <f>IFERROR(__xludf.DUMMYFUNCTION("""COMPUTED_VALUE"""),"%")</f>
        <v>%</v>
      </c>
      <c r="AH216" s="31">
        <f>IFERROR(__xludf.DUMMYFUNCTION("""COMPUTED_VALUE"""),21.0)</f>
        <v>21</v>
      </c>
      <c r="AI216" s="32">
        <f>IFERROR(__xludf.DUMMYFUNCTION("""COMPUTED_VALUE"""),26324.0)</f>
        <v>26324</v>
      </c>
      <c r="AJ216" s="39" t="str">
        <f>IFERROR(__xludf.DUMMYFUNCTION("""COMPUTED_VALUE"""),"里")</f>
        <v>里</v>
      </c>
    </row>
    <row r="217" ht="24.75" customHeight="1">
      <c r="A217" s="40">
        <f>IFERROR(__xludf.DUMMYFUNCTION("""COMPUTED_VALUE"""),8.0)</f>
        <v>8</v>
      </c>
      <c r="B217" s="40" t="str">
        <f>IFERROR(__xludf.DUMMYFUNCTION("""COMPUTED_VALUE"""),"A201")</f>
        <v>A201</v>
      </c>
      <c r="C217" s="40" t="str">
        <f>IFERROR(__xludf.DUMMYFUNCTION("""COMPUTED_VALUE"""),"SLM8")</f>
        <v>SLM8</v>
      </c>
      <c r="D217" s="41" t="str">
        <f>IFERROR(__xludf.DUMMYFUNCTION("""COMPUTED_VALUE"""),"Salem")</f>
        <v>Salem</v>
      </c>
      <c r="E217" s="42" t="str">
        <f>IFERROR(__xludf.DUMMYFUNCTION("""COMPUTED_VALUE"""),"Meadow")</f>
        <v>Meadow</v>
      </c>
      <c r="F217" s="43">
        <f>IFERROR(__xludf.DUMMYFUNCTION("""COMPUTED_VALUE"""),21.0)</f>
        <v>21</v>
      </c>
      <c r="G217" s="44">
        <f>IFERROR(__xludf.DUMMYFUNCTION("""COMPUTED_VALUE"""),18155.0)</f>
        <v>18155</v>
      </c>
      <c r="H217" s="33" t="str">
        <f>IFERROR(__xludf.DUMMYFUNCTION("""COMPUTED_VALUE"""),"")</f>
        <v/>
      </c>
      <c r="I217" s="45">
        <f>IFERROR(__xludf.DUMMYFUNCTION("""COMPUTED_VALUE"""),59.8)</f>
        <v>59.8</v>
      </c>
      <c r="J217" s="46" t="str">
        <f>IFERROR(__xludf.DUMMYFUNCTION("""COMPUTED_VALUE"""),"AP")</f>
        <v>AP</v>
      </c>
      <c r="K217" s="47">
        <f>IFERROR(__xludf.DUMMYFUNCTION("""COMPUTED_VALUE"""),35.1)</f>
        <v>35.1</v>
      </c>
      <c r="L217" s="48" t="str">
        <f>IFERROR(__xludf.DUMMYFUNCTION("""COMPUTED_VALUE"""),"%")</f>
        <v>%</v>
      </c>
      <c r="M217" s="49">
        <f>IFERROR(__xludf.DUMMYFUNCTION("""COMPUTED_VALUE"""),1.0)</f>
        <v>1</v>
      </c>
      <c r="N217" s="50" t="str">
        <f>IFERROR(__xludf.DUMMYFUNCTION("""COMPUTED_VALUE"""),"A308")</f>
        <v>A308</v>
      </c>
      <c r="O217" s="38" t="str">
        <f>IFERROR(__xludf.DUMMYFUNCTION("""COMPUTED_VALUE"""),"")</f>
        <v/>
      </c>
      <c r="P217" s="45">
        <f>IFERROR(__xludf.DUMMYFUNCTION("""COMPUTED_VALUE"""),52.4)</f>
        <v>52.4</v>
      </c>
      <c r="Q217" s="46" t="str">
        <f>IFERROR(__xludf.DUMMYFUNCTION("""COMPUTED_VALUE"""),"AP")</f>
        <v>AP</v>
      </c>
      <c r="R217" s="47">
        <f>IFERROR(__xludf.DUMMYFUNCTION("""COMPUTED_VALUE"""),40.1)</f>
        <v>40.1</v>
      </c>
      <c r="S217" s="48" t="str">
        <f>IFERROR(__xludf.DUMMYFUNCTION("""COMPUTED_VALUE"""),"%")</f>
        <v>%</v>
      </c>
      <c r="T217" s="49">
        <f>IFERROR(__xludf.DUMMYFUNCTION("""COMPUTED_VALUE"""),2.0)</f>
        <v>2</v>
      </c>
      <c r="U217" s="50"/>
      <c r="V217" s="38"/>
      <c r="W217" s="45" t="str">
        <f>IFERROR(__xludf.DUMMYFUNCTION("""COMPUTED_VALUE"""),"")</f>
        <v/>
      </c>
      <c r="X217" s="46" t="str">
        <f>IFERROR(__xludf.DUMMYFUNCTION("""COMPUTED_VALUE"""),"AP")</f>
        <v>AP</v>
      </c>
      <c r="Y217" s="47" t="str">
        <f>IFERROR(__xludf.DUMMYFUNCTION("""COMPUTED_VALUE"""),"")</f>
        <v/>
      </c>
      <c r="Z217" s="48" t="str">
        <f>IFERROR(__xludf.DUMMYFUNCTION("""COMPUTED_VALUE"""),"%")</f>
        <v>%</v>
      </c>
      <c r="AA217" s="49">
        <f>IFERROR(__xludf.DUMMYFUNCTION("""COMPUTED_VALUE"""),3.0)</f>
        <v>3</v>
      </c>
      <c r="AB217" s="50"/>
      <c r="AC217" s="38"/>
      <c r="AD217" s="45" t="str">
        <f>IFERROR(__xludf.DUMMYFUNCTION("""COMPUTED_VALUE"""),"")</f>
        <v/>
      </c>
      <c r="AE217" s="46" t="str">
        <f>IFERROR(__xludf.DUMMYFUNCTION("""COMPUTED_VALUE"""),"AP")</f>
        <v>AP</v>
      </c>
      <c r="AF217" s="47" t="str">
        <f>IFERROR(__xludf.DUMMYFUNCTION("""COMPUTED_VALUE"""),"")</f>
        <v/>
      </c>
      <c r="AG217" s="48" t="str">
        <f>IFERROR(__xludf.DUMMYFUNCTION("""COMPUTED_VALUE"""),"%")</f>
        <v>%</v>
      </c>
      <c r="AH217" s="43">
        <f>IFERROR(__xludf.DUMMYFUNCTION("""COMPUTED_VALUE"""),21.0)</f>
        <v>21</v>
      </c>
      <c r="AI217" s="44">
        <f>IFERROR(__xludf.DUMMYFUNCTION("""COMPUTED_VALUE"""),18155.0)</f>
        <v>18155</v>
      </c>
      <c r="AJ217" s="51" t="str">
        <f>IFERROR(__xludf.DUMMYFUNCTION("""COMPUTED_VALUE"""),"牧草地")</f>
        <v>牧草地</v>
      </c>
    </row>
    <row r="218" ht="24.75" customHeight="1">
      <c r="A218" s="28">
        <f>IFERROR(__xludf.DUMMYFUNCTION("""COMPUTED_VALUE"""),9.0)</f>
        <v>9</v>
      </c>
      <c r="B218" s="28" t="str">
        <f>IFERROR(__xludf.DUMMYFUNCTION("""COMPUTED_VALUE"""),"A201")</f>
        <v>A201</v>
      </c>
      <c r="C218" s="28" t="str">
        <f>IFERROR(__xludf.DUMMYFUNCTION("""COMPUTED_VALUE"""),"OKN12")</f>
        <v>OKN12</v>
      </c>
      <c r="D218" s="29" t="str">
        <f>IFERROR(__xludf.DUMMYFUNCTION("""COMPUTED_VALUE"""),"Okeanos")</f>
        <v>Okeanos</v>
      </c>
      <c r="E218" s="30" t="str">
        <f>IFERROR(__xludf.DUMMYFUNCTION("""COMPUTED_VALUE"""),"Bountiful Sea")</f>
        <v>Bountiful Sea</v>
      </c>
      <c r="F218" s="31">
        <f>IFERROR(__xludf.DUMMYFUNCTION("""COMPUTED_VALUE"""),18.0)</f>
        <v>18</v>
      </c>
      <c r="G218" s="32">
        <f>IFERROR(__xludf.DUMMYFUNCTION("""COMPUTED_VALUE"""),18199.0)</f>
        <v>18199</v>
      </c>
      <c r="H218" s="33" t="str">
        <f>IFERROR(__xludf.DUMMYFUNCTION("""COMPUTED_VALUE"""),"")</f>
        <v/>
      </c>
      <c r="I218" s="34">
        <f>IFERROR(__xludf.DUMMYFUNCTION("""COMPUTED_VALUE"""),60.0)</f>
        <v>60</v>
      </c>
      <c r="J218" s="35" t="str">
        <f>IFERROR(__xludf.DUMMYFUNCTION("""COMPUTED_VALUE"""),"AP")</f>
        <v>AP</v>
      </c>
      <c r="K218" s="34">
        <f>IFERROR(__xludf.DUMMYFUNCTION("""COMPUTED_VALUE"""),30.0)</f>
        <v>30</v>
      </c>
      <c r="L218" s="35" t="str">
        <f>IFERROR(__xludf.DUMMYFUNCTION("""COMPUTED_VALUE"""),"%")</f>
        <v>%</v>
      </c>
      <c r="M218" s="36">
        <f>IFERROR(__xludf.DUMMYFUNCTION("""COMPUTED_VALUE"""),1.0)</f>
        <v>1</v>
      </c>
      <c r="N218" s="37" t="str">
        <f>IFERROR(__xludf.DUMMYFUNCTION("""COMPUTED_VALUE"""),"A205")</f>
        <v>A205</v>
      </c>
      <c r="O218" s="38" t="str">
        <f>IFERROR(__xludf.DUMMYFUNCTION("""COMPUTED_VALUE"""),"")</f>
        <v/>
      </c>
      <c r="P218" s="34">
        <f>IFERROR(__xludf.DUMMYFUNCTION("""COMPUTED_VALUE"""),191.1)</f>
        <v>191.1</v>
      </c>
      <c r="Q218" s="35" t="str">
        <f>IFERROR(__xludf.DUMMYFUNCTION("""COMPUTED_VALUE"""),"AP")</f>
        <v>AP</v>
      </c>
      <c r="R218" s="34">
        <f>IFERROR(__xludf.DUMMYFUNCTION("""COMPUTED_VALUE"""),9.4)</f>
        <v>9.4</v>
      </c>
      <c r="S218" s="35" t="str">
        <f>IFERROR(__xludf.DUMMYFUNCTION("""COMPUTED_VALUE"""),"%")</f>
        <v>%</v>
      </c>
      <c r="T218" s="36">
        <f>IFERROR(__xludf.DUMMYFUNCTION("""COMPUTED_VALUE"""),2.0)</f>
        <v>2</v>
      </c>
      <c r="U218" s="37" t="str">
        <f>IFERROR(__xludf.DUMMYFUNCTION("""COMPUTED_VALUE"""),"B112")</f>
        <v>B112</v>
      </c>
      <c r="V218" s="38" t="str">
        <f>IFERROR(__xludf.DUMMYFUNCTION("""COMPUTED_VALUE"""),"")</f>
        <v/>
      </c>
      <c r="W218" s="34">
        <f>IFERROR(__xludf.DUMMYFUNCTION("""COMPUTED_VALUE"""),180.5)</f>
        <v>180.5</v>
      </c>
      <c r="X218" s="35" t="str">
        <f>IFERROR(__xludf.DUMMYFUNCTION("""COMPUTED_VALUE"""),"AP")</f>
        <v>AP</v>
      </c>
      <c r="Y218" s="34">
        <f>IFERROR(__xludf.DUMMYFUNCTION("""COMPUTED_VALUE"""),10.0)</f>
        <v>10</v>
      </c>
      <c r="Z218" s="35" t="str">
        <f>IFERROR(__xludf.DUMMYFUNCTION("""COMPUTED_VALUE"""),"%")</f>
        <v>%</v>
      </c>
      <c r="AA218" s="36">
        <f>IFERROR(__xludf.DUMMYFUNCTION("""COMPUTED_VALUE"""),3.0)</f>
        <v>3</v>
      </c>
      <c r="AB218" s="37" t="str">
        <f>IFERROR(__xludf.DUMMYFUNCTION("""COMPUTED_VALUE"""),"B113")</f>
        <v>B113</v>
      </c>
      <c r="AC218" s="38" t="str">
        <f>IFERROR(__xludf.DUMMYFUNCTION("""COMPUTED_VALUE"""),"")</f>
        <v/>
      </c>
      <c r="AD218" s="34">
        <f>IFERROR(__xludf.DUMMYFUNCTION("""COMPUTED_VALUE"""),352.6)</f>
        <v>352.6</v>
      </c>
      <c r="AE218" s="35" t="str">
        <f>IFERROR(__xludf.DUMMYFUNCTION("""COMPUTED_VALUE"""),"AP")</f>
        <v>AP</v>
      </c>
      <c r="AF218" s="34">
        <f>IFERROR(__xludf.DUMMYFUNCTION("""COMPUTED_VALUE"""),5.1)</f>
        <v>5.1</v>
      </c>
      <c r="AG218" s="35" t="str">
        <f>IFERROR(__xludf.DUMMYFUNCTION("""COMPUTED_VALUE"""),"%")</f>
        <v>%</v>
      </c>
      <c r="AH218" s="31">
        <f>IFERROR(__xludf.DUMMYFUNCTION("""COMPUTED_VALUE"""),18.0)</f>
        <v>18</v>
      </c>
      <c r="AI218" s="32">
        <f>IFERROR(__xludf.DUMMYFUNCTION("""COMPUTED_VALUE"""),18199.0)</f>
        <v>18199</v>
      </c>
      <c r="AJ218" s="39" t="str">
        <f>IFERROR(__xludf.DUMMYFUNCTION("""COMPUTED_VALUE"""),"豊かな海")</f>
        <v>豊かな海</v>
      </c>
    </row>
    <row r="219" ht="24.75" customHeight="1">
      <c r="A219" s="40">
        <f>IFERROR(__xludf.DUMMYFUNCTION("""COMPUTED_VALUE"""),10.0)</f>
        <v>10</v>
      </c>
      <c r="B219" s="40" t="str">
        <f>IFERROR(__xludf.DUMMYFUNCTION("""COMPUTED_VALUE"""),"A201")</f>
        <v>A201</v>
      </c>
      <c r="C219" s="40" t="str">
        <f>IFERROR(__xludf.DUMMYFUNCTION("""COMPUTED_VALUE"""),"SIN3")</f>
        <v>SIN3</v>
      </c>
      <c r="D219" s="41" t="str">
        <f>IFERROR(__xludf.DUMMYFUNCTION("""COMPUTED_VALUE"""),"SIN")</f>
        <v>SIN</v>
      </c>
      <c r="E219" s="42" t="str">
        <f>IFERROR(__xludf.DUMMYFUNCTION("""COMPUTED_VALUE"""),"Icy Cave")</f>
        <v>Icy Cave</v>
      </c>
      <c r="F219" s="43">
        <f>IFERROR(__xludf.DUMMYFUNCTION("""COMPUTED_VALUE"""),20.0)</f>
        <v>20</v>
      </c>
      <c r="G219" s="44">
        <f>IFERROR(__xludf.DUMMYFUNCTION("""COMPUTED_VALUE"""),1872.0)</f>
        <v>1872</v>
      </c>
      <c r="H219" s="33" t="str">
        <f>IFERROR(__xludf.DUMMYFUNCTION("""COMPUTED_VALUE"""),"")</f>
        <v/>
      </c>
      <c r="I219" s="45">
        <f>IFERROR(__xludf.DUMMYFUNCTION("""COMPUTED_VALUE"""),60.7)</f>
        <v>60.7</v>
      </c>
      <c r="J219" s="46" t="str">
        <f>IFERROR(__xludf.DUMMYFUNCTION("""COMPUTED_VALUE"""),"AP")</f>
        <v>AP</v>
      </c>
      <c r="K219" s="47">
        <f>IFERROR(__xludf.DUMMYFUNCTION("""COMPUTED_VALUE"""),33.0)</f>
        <v>33</v>
      </c>
      <c r="L219" s="48" t="str">
        <f>IFERROR(__xludf.DUMMYFUNCTION("""COMPUTED_VALUE"""),"%")</f>
        <v>%</v>
      </c>
      <c r="M219" s="49">
        <f>IFERROR(__xludf.DUMMYFUNCTION("""COMPUTED_VALUE"""),1.0)</f>
        <v>1</v>
      </c>
      <c r="N219" s="50" t="str">
        <f>IFERROR(__xludf.DUMMYFUNCTION("""COMPUTED_VALUE"""),"A112")</f>
        <v>A112</v>
      </c>
      <c r="O219" s="38" t="str">
        <f>IFERROR(__xludf.DUMMYFUNCTION("""COMPUTED_VALUE"""),"")</f>
        <v/>
      </c>
      <c r="P219" s="45">
        <f>IFERROR(__xludf.DUMMYFUNCTION("""COMPUTED_VALUE"""),197.1)</f>
        <v>197.1</v>
      </c>
      <c r="Q219" s="46" t="str">
        <f>IFERROR(__xludf.DUMMYFUNCTION("""COMPUTED_VALUE"""),"AP")</f>
        <v>AP</v>
      </c>
      <c r="R219" s="47">
        <f>IFERROR(__xludf.DUMMYFUNCTION("""COMPUTED_VALUE"""),10.1)</f>
        <v>10.1</v>
      </c>
      <c r="S219" s="48" t="str">
        <f>IFERROR(__xludf.DUMMYFUNCTION("""COMPUTED_VALUE"""),"%")</f>
        <v>%</v>
      </c>
      <c r="T219" s="49">
        <f>IFERROR(__xludf.DUMMYFUNCTION("""COMPUTED_VALUE"""),2.0)</f>
        <v>2</v>
      </c>
      <c r="U219" s="50" t="str">
        <f>IFERROR(__xludf.DUMMYFUNCTION("""COMPUTED_VALUE"""),"B106")</f>
        <v>B106</v>
      </c>
      <c r="V219" s="38" t="str">
        <f>IFERROR(__xludf.DUMMYFUNCTION("""COMPUTED_VALUE"""),"")</f>
        <v/>
      </c>
      <c r="W219" s="45">
        <f>IFERROR(__xludf.DUMMYFUNCTION("""COMPUTED_VALUE"""),558.8)</f>
        <v>558.8</v>
      </c>
      <c r="X219" s="46" t="str">
        <f>IFERROR(__xludf.DUMMYFUNCTION("""COMPUTED_VALUE"""),"AP")</f>
        <v>AP</v>
      </c>
      <c r="Y219" s="47">
        <f>IFERROR(__xludf.DUMMYFUNCTION("""COMPUTED_VALUE"""),3.6)</f>
        <v>3.6</v>
      </c>
      <c r="Z219" s="48" t="str">
        <f>IFERROR(__xludf.DUMMYFUNCTION("""COMPUTED_VALUE"""),"%")</f>
        <v>%</v>
      </c>
      <c r="AA219" s="49">
        <f>IFERROR(__xludf.DUMMYFUNCTION("""COMPUTED_VALUE"""),3.0)</f>
        <v>3</v>
      </c>
      <c r="AB219" s="50"/>
      <c r="AC219" s="38"/>
      <c r="AD219" s="45" t="str">
        <f>IFERROR(__xludf.DUMMYFUNCTION("""COMPUTED_VALUE"""),"")</f>
        <v/>
      </c>
      <c r="AE219" s="46" t="str">
        <f>IFERROR(__xludf.DUMMYFUNCTION("""COMPUTED_VALUE"""),"AP")</f>
        <v>AP</v>
      </c>
      <c r="AF219" s="47" t="str">
        <f>IFERROR(__xludf.DUMMYFUNCTION("""COMPUTED_VALUE"""),"")</f>
        <v/>
      </c>
      <c r="AG219" s="48" t="str">
        <f>IFERROR(__xludf.DUMMYFUNCTION("""COMPUTED_VALUE"""),"%")</f>
        <v>%</v>
      </c>
      <c r="AH219" s="43">
        <f>IFERROR(__xludf.DUMMYFUNCTION("""COMPUTED_VALUE"""),20.0)</f>
        <v>20</v>
      </c>
      <c r="AI219" s="44">
        <f>IFERROR(__xludf.DUMMYFUNCTION("""COMPUTED_VALUE"""),1872.0)</f>
        <v>1872</v>
      </c>
      <c r="AJ219" s="51" t="str">
        <f>IFERROR(__xludf.DUMMYFUNCTION("""COMPUTED_VALUE"""),"氷冷窟")</f>
        <v>氷冷窟</v>
      </c>
    </row>
    <row r="220" ht="24.75" customHeight="1">
      <c r="A220" s="28">
        <f>IFERROR(__xludf.DUMMYFUNCTION("""COMPUTED_VALUE"""),11.0)</f>
        <v>11</v>
      </c>
      <c r="B220" s="28" t="str">
        <f>IFERROR(__xludf.DUMMYFUNCTION("""COMPUTED_VALUE"""),"A201")</f>
        <v>A201</v>
      </c>
      <c r="C220" s="28" t="str">
        <f>IFERROR(__xludf.DUMMYFUNCTION("""COMPUTED_VALUE"""),"AGT11")</f>
        <v>AGT11</v>
      </c>
      <c r="D220" s="29" t="str">
        <f>IFERROR(__xludf.DUMMYFUNCTION("""COMPUTED_VALUE"""),"Agartha")</f>
        <v>Agartha</v>
      </c>
      <c r="E220" s="30" t="str">
        <f>IFERROR(__xludf.DUMMYFUNCTION("""COMPUTED_VALUE"""),"El Dorado")</f>
        <v>El Dorado</v>
      </c>
      <c r="F220" s="31">
        <f>IFERROR(__xludf.DUMMYFUNCTION("""COMPUTED_VALUE"""),21.0)</f>
        <v>21</v>
      </c>
      <c r="G220" s="32">
        <f>IFERROR(__xludf.DUMMYFUNCTION("""COMPUTED_VALUE"""),3534.0)</f>
        <v>3534</v>
      </c>
      <c r="H220" s="33" t="str">
        <f>IFERROR(__xludf.DUMMYFUNCTION("""COMPUTED_VALUE"""),"")</f>
        <v/>
      </c>
      <c r="I220" s="34">
        <f>IFERROR(__xludf.DUMMYFUNCTION("""COMPUTED_VALUE"""),62.0)</f>
        <v>62</v>
      </c>
      <c r="J220" s="35" t="str">
        <f>IFERROR(__xludf.DUMMYFUNCTION("""COMPUTED_VALUE"""),"AP")</f>
        <v>AP</v>
      </c>
      <c r="K220" s="34">
        <f>IFERROR(__xludf.DUMMYFUNCTION("""COMPUTED_VALUE"""),33.9)</f>
        <v>33.9</v>
      </c>
      <c r="L220" s="35" t="str">
        <f>IFERROR(__xludf.DUMMYFUNCTION("""COMPUTED_VALUE"""),"%")</f>
        <v>%</v>
      </c>
      <c r="M220" s="36">
        <f>IFERROR(__xludf.DUMMYFUNCTION("""COMPUTED_VALUE"""),1.0)</f>
        <v>1</v>
      </c>
      <c r="N220" s="37" t="str">
        <f>IFERROR(__xludf.DUMMYFUNCTION("""COMPUTED_VALUE"""),"A304")</f>
        <v>A304</v>
      </c>
      <c r="O220" s="38" t="str">
        <f>IFERROR(__xludf.DUMMYFUNCTION("""COMPUTED_VALUE"""),"")</f>
        <v/>
      </c>
      <c r="P220" s="34">
        <f>IFERROR(__xludf.DUMMYFUNCTION("""COMPUTED_VALUE"""),68.5)</f>
        <v>68.5</v>
      </c>
      <c r="Q220" s="35" t="str">
        <f>IFERROR(__xludf.DUMMYFUNCTION("""COMPUTED_VALUE"""),"AP")</f>
        <v>AP</v>
      </c>
      <c r="R220" s="34">
        <f>IFERROR(__xludf.DUMMYFUNCTION("""COMPUTED_VALUE"""),30.6)</f>
        <v>30.6</v>
      </c>
      <c r="S220" s="35" t="str">
        <f>IFERROR(__xludf.DUMMYFUNCTION("""COMPUTED_VALUE"""),"%")</f>
        <v>%</v>
      </c>
      <c r="T220" s="36">
        <f>IFERROR(__xludf.DUMMYFUNCTION("""COMPUTED_VALUE"""),2.0)</f>
        <v>2</v>
      </c>
      <c r="U220" s="37"/>
      <c r="V220" s="38"/>
      <c r="W220" s="34" t="str">
        <f>IFERROR(__xludf.DUMMYFUNCTION("""COMPUTED_VALUE"""),"")</f>
        <v/>
      </c>
      <c r="X220" s="35" t="str">
        <f>IFERROR(__xludf.DUMMYFUNCTION("""COMPUTED_VALUE"""),"AP")</f>
        <v>AP</v>
      </c>
      <c r="Y220" s="34" t="str">
        <f>IFERROR(__xludf.DUMMYFUNCTION("""COMPUTED_VALUE"""),"")</f>
        <v/>
      </c>
      <c r="Z220" s="35" t="str">
        <f>IFERROR(__xludf.DUMMYFUNCTION("""COMPUTED_VALUE"""),"%")</f>
        <v>%</v>
      </c>
      <c r="AA220" s="36">
        <f>IFERROR(__xludf.DUMMYFUNCTION("""COMPUTED_VALUE"""),3.0)</f>
        <v>3</v>
      </c>
      <c r="AB220" s="37"/>
      <c r="AC220" s="38"/>
      <c r="AD220" s="34" t="str">
        <f>IFERROR(__xludf.DUMMYFUNCTION("""COMPUTED_VALUE"""),"")</f>
        <v/>
      </c>
      <c r="AE220" s="35" t="str">
        <f>IFERROR(__xludf.DUMMYFUNCTION("""COMPUTED_VALUE"""),"AP")</f>
        <v>AP</v>
      </c>
      <c r="AF220" s="34" t="str">
        <f>IFERROR(__xludf.DUMMYFUNCTION("""COMPUTED_VALUE"""),"")</f>
        <v/>
      </c>
      <c r="AG220" s="35" t="str">
        <f>IFERROR(__xludf.DUMMYFUNCTION("""COMPUTED_VALUE"""),"%")</f>
        <v>%</v>
      </c>
      <c r="AH220" s="31">
        <f>IFERROR(__xludf.DUMMYFUNCTION("""COMPUTED_VALUE"""),21.0)</f>
        <v>21</v>
      </c>
      <c r="AI220" s="32">
        <f>IFERROR(__xludf.DUMMYFUNCTION("""COMPUTED_VALUE"""),3534.0)</f>
        <v>3534</v>
      </c>
      <c r="AJ220" s="39" t="str">
        <f>IFERROR(__xludf.DUMMYFUNCTION("""COMPUTED_VALUE"""),"エルドラド")</f>
        <v>エルドラド</v>
      </c>
    </row>
    <row r="221" ht="24.75" customHeight="1">
      <c r="A221" s="40">
        <f>IFERROR(__xludf.DUMMYFUNCTION("""COMPUTED_VALUE"""),12.0)</f>
        <v>12</v>
      </c>
      <c r="B221" s="40" t="str">
        <f>IFERROR(__xludf.DUMMYFUNCTION("""COMPUTED_VALUE"""),"A201")</f>
        <v>A201</v>
      </c>
      <c r="C221" s="40" t="str">
        <f>IFERROR(__xludf.DUMMYFUNCTION("""COMPUTED_VALUE"""),"GTT1")</f>
        <v>GTT1</v>
      </c>
      <c r="D221" s="41" t="str">
        <f>IFERROR(__xludf.DUMMYFUNCTION("""COMPUTED_VALUE"""),"Götterdämmerung")</f>
        <v>Götterdämmerung</v>
      </c>
      <c r="E221" s="42" t="str">
        <f>IFERROR(__xludf.DUMMYFUNCTION("""COMPUTED_VALUE"""),"Landing Point")</f>
        <v>Landing Point</v>
      </c>
      <c r="F221" s="43">
        <f>IFERROR(__xludf.DUMMYFUNCTION("""COMPUTED_VALUE"""),20.0)</f>
        <v>20</v>
      </c>
      <c r="G221" s="44">
        <f>IFERROR(__xludf.DUMMYFUNCTION("""COMPUTED_VALUE"""),7996.0)</f>
        <v>7996</v>
      </c>
      <c r="H221" s="33" t="str">
        <f>IFERROR(__xludf.DUMMYFUNCTION("""COMPUTED_VALUE"""),"")</f>
        <v/>
      </c>
      <c r="I221" s="45">
        <f>IFERROR(__xludf.DUMMYFUNCTION("""COMPUTED_VALUE"""),77.3)</f>
        <v>77.3</v>
      </c>
      <c r="J221" s="46" t="str">
        <f>IFERROR(__xludf.DUMMYFUNCTION("""COMPUTED_VALUE"""),"AP")</f>
        <v>AP</v>
      </c>
      <c r="K221" s="47">
        <f>IFERROR(__xludf.DUMMYFUNCTION("""COMPUTED_VALUE"""),25.9)</f>
        <v>25.9</v>
      </c>
      <c r="L221" s="48" t="str">
        <f>IFERROR(__xludf.DUMMYFUNCTION("""COMPUTED_VALUE"""),"%")</f>
        <v>%</v>
      </c>
      <c r="M221" s="49">
        <f>IFERROR(__xludf.DUMMYFUNCTION("""COMPUTED_VALUE"""),1.0)</f>
        <v>1</v>
      </c>
      <c r="N221" s="50" t="str">
        <f>IFERROR(__xludf.DUMMYFUNCTION("""COMPUTED_VALUE"""),"A110")</f>
        <v>A110</v>
      </c>
      <c r="O221" s="38" t="str">
        <f>IFERROR(__xludf.DUMMYFUNCTION("""COMPUTED_VALUE"""),"")</f>
        <v/>
      </c>
      <c r="P221" s="45">
        <f>IFERROR(__xludf.DUMMYFUNCTION("""COMPUTED_VALUE"""),164.9)</f>
        <v>164.9</v>
      </c>
      <c r="Q221" s="46" t="str">
        <f>IFERROR(__xludf.DUMMYFUNCTION("""COMPUTED_VALUE"""),"AP")</f>
        <v>AP</v>
      </c>
      <c r="R221" s="47">
        <f>IFERROR(__xludf.DUMMYFUNCTION("""COMPUTED_VALUE"""),12.1)</f>
        <v>12.1</v>
      </c>
      <c r="S221" s="48" t="str">
        <f>IFERROR(__xludf.DUMMYFUNCTION("""COMPUTED_VALUE"""),"%")</f>
        <v>%</v>
      </c>
      <c r="T221" s="49">
        <f>IFERROR(__xludf.DUMMYFUNCTION("""COMPUTED_VALUE"""),2.0)</f>
        <v>2</v>
      </c>
      <c r="U221" s="50" t="str">
        <f>IFERROR(__xludf.DUMMYFUNCTION("""COMPUTED_VALUE"""),"A304")</f>
        <v>A304</v>
      </c>
      <c r="V221" s="38" t="str">
        <f>IFERROR(__xludf.DUMMYFUNCTION("""COMPUTED_VALUE"""),"")</f>
        <v/>
      </c>
      <c r="W221" s="45">
        <f>IFERROR(__xludf.DUMMYFUNCTION("""COMPUTED_VALUE"""),65.0)</f>
        <v>65</v>
      </c>
      <c r="X221" s="46" t="str">
        <f>IFERROR(__xludf.DUMMYFUNCTION("""COMPUTED_VALUE"""),"AP")</f>
        <v>AP</v>
      </c>
      <c r="Y221" s="47">
        <f>IFERROR(__xludf.DUMMYFUNCTION("""COMPUTED_VALUE"""),30.8)</f>
        <v>30.8</v>
      </c>
      <c r="Z221" s="48" t="str">
        <f>IFERROR(__xludf.DUMMYFUNCTION("""COMPUTED_VALUE"""),"%")</f>
        <v>%</v>
      </c>
      <c r="AA221" s="49">
        <f>IFERROR(__xludf.DUMMYFUNCTION("""COMPUTED_VALUE"""),3.0)</f>
        <v>3</v>
      </c>
      <c r="AB221" s="50" t="str">
        <f>IFERROR(__xludf.DUMMYFUNCTION("""COMPUTED_VALUE"""),"B116")</f>
        <v>B116</v>
      </c>
      <c r="AC221" s="38" t="str">
        <f>IFERROR(__xludf.DUMMYFUNCTION("""COMPUTED_VALUE"""),"")</f>
        <v/>
      </c>
      <c r="AD221" s="45">
        <f>IFERROR(__xludf.DUMMYFUNCTION("""COMPUTED_VALUE"""),242.4)</f>
        <v>242.4</v>
      </c>
      <c r="AE221" s="46" t="str">
        <f>IFERROR(__xludf.DUMMYFUNCTION("""COMPUTED_VALUE"""),"AP")</f>
        <v>AP</v>
      </c>
      <c r="AF221" s="47">
        <f>IFERROR(__xludf.DUMMYFUNCTION("""COMPUTED_VALUE"""),8.2)</f>
        <v>8.2</v>
      </c>
      <c r="AG221" s="48" t="str">
        <f>IFERROR(__xludf.DUMMYFUNCTION("""COMPUTED_VALUE"""),"%")</f>
        <v>%</v>
      </c>
      <c r="AH221" s="43">
        <f>IFERROR(__xludf.DUMMYFUNCTION("""COMPUTED_VALUE"""),20.0)</f>
        <v>20</v>
      </c>
      <c r="AI221" s="44">
        <f>IFERROR(__xludf.DUMMYFUNCTION("""COMPUTED_VALUE"""),7996.0)</f>
        <v>7996</v>
      </c>
      <c r="AJ221" s="51" t="str">
        <f>IFERROR(__xludf.DUMMYFUNCTION("""COMPUTED_VALUE"""),"ランディングポイント")</f>
        <v>ランディングポイント</v>
      </c>
    </row>
    <row r="222" ht="24.75" customHeight="1">
      <c r="A222" s="28">
        <f>IFERROR(__xludf.DUMMYFUNCTION("""COMPUTED_VALUE"""),13.0)</f>
        <v>13</v>
      </c>
      <c r="B222" s="28" t="str">
        <f>IFERROR(__xludf.DUMMYFUNCTION("""COMPUTED_VALUE"""),"A201")</f>
        <v>A201</v>
      </c>
      <c r="C222" s="28" t="str">
        <f>IFERROR(__xludf.DUMMYFUNCTION("""COMPUTED_VALUE"""),"BBL4")</f>
        <v>BBL4</v>
      </c>
      <c r="D222" s="29" t="str">
        <f>IFERROR(__xludf.DUMMYFUNCTION("""COMPUTED_VALUE"""),"Babylonia")</f>
        <v>Babylonia</v>
      </c>
      <c r="E222" s="30" t="str">
        <f>IFERROR(__xludf.DUMMYFUNCTION("""COMPUTED_VALUE"""),"Plateau")</f>
        <v>Plateau</v>
      </c>
      <c r="F222" s="31">
        <f>IFERROR(__xludf.DUMMYFUNCTION("""COMPUTED_VALUE"""),20.0)</f>
        <v>20</v>
      </c>
      <c r="G222" s="32">
        <f>IFERROR(__xludf.DUMMYFUNCTION("""COMPUTED_VALUE"""),13305.0)</f>
        <v>13305</v>
      </c>
      <c r="H222" s="33" t="str">
        <f>IFERROR(__xludf.DUMMYFUNCTION("""COMPUTED_VALUE"""),"")</f>
        <v/>
      </c>
      <c r="I222" s="34">
        <f>IFERROR(__xludf.DUMMYFUNCTION("""COMPUTED_VALUE"""),78.6)</f>
        <v>78.6</v>
      </c>
      <c r="J222" s="35" t="str">
        <f>IFERROR(__xludf.DUMMYFUNCTION("""COMPUTED_VALUE"""),"AP")</f>
        <v>AP</v>
      </c>
      <c r="K222" s="34">
        <f>IFERROR(__xludf.DUMMYFUNCTION("""COMPUTED_VALUE"""),25.4)</f>
        <v>25.4</v>
      </c>
      <c r="L222" s="35" t="str">
        <f>IFERROR(__xludf.DUMMYFUNCTION("""COMPUTED_VALUE"""),"%")</f>
        <v>%</v>
      </c>
      <c r="M222" s="36">
        <f>IFERROR(__xludf.DUMMYFUNCTION("""COMPUTED_VALUE"""),1.0)</f>
        <v>1</v>
      </c>
      <c r="N222" s="37" t="str">
        <f>IFERROR(__xludf.DUMMYFUNCTION("""COMPUTED_VALUE"""),"A306")</f>
        <v>A306</v>
      </c>
      <c r="O222" s="38" t="str">
        <f>IFERROR(__xludf.DUMMYFUNCTION("""COMPUTED_VALUE"""),"")</f>
        <v/>
      </c>
      <c r="P222" s="34">
        <f>IFERROR(__xludf.DUMMYFUNCTION("""COMPUTED_VALUE"""),40.5)</f>
        <v>40.5</v>
      </c>
      <c r="Q222" s="35" t="str">
        <f>IFERROR(__xludf.DUMMYFUNCTION("""COMPUTED_VALUE"""),"AP")</f>
        <v>AP</v>
      </c>
      <c r="R222" s="34">
        <f>IFERROR(__xludf.DUMMYFUNCTION("""COMPUTED_VALUE"""),49.4)</f>
        <v>49.4</v>
      </c>
      <c r="S222" s="35" t="str">
        <f>IFERROR(__xludf.DUMMYFUNCTION("""COMPUTED_VALUE"""),"%")</f>
        <v>%</v>
      </c>
      <c r="T222" s="36">
        <f>IFERROR(__xludf.DUMMYFUNCTION("""COMPUTED_VALUE"""),2.0)</f>
        <v>2</v>
      </c>
      <c r="U222" s="37"/>
      <c r="V222" s="38"/>
      <c r="W222" s="34" t="str">
        <f>IFERROR(__xludf.DUMMYFUNCTION("""COMPUTED_VALUE"""),"")</f>
        <v/>
      </c>
      <c r="X222" s="35" t="str">
        <f>IFERROR(__xludf.DUMMYFUNCTION("""COMPUTED_VALUE"""),"AP")</f>
        <v>AP</v>
      </c>
      <c r="Y222" s="34" t="str">
        <f>IFERROR(__xludf.DUMMYFUNCTION("""COMPUTED_VALUE"""),"")</f>
        <v/>
      </c>
      <c r="Z222" s="35" t="str">
        <f>IFERROR(__xludf.DUMMYFUNCTION("""COMPUTED_VALUE"""),"%")</f>
        <v>%</v>
      </c>
      <c r="AA222" s="36">
        <f>IFERROR(__xludf.DUMMYFUNCTION("""COMPUTED_VALUE"""),3.0)</f>
        <v>3</v>
      </c>
      <c r="AB222" s="37"/>
      <c r="AC222" s="38"/>
      <c r="AD222" s="34" t="str">
        <f>IFERROR(__xludf.DUMMYFUNCTION("""COMPUTED_VALUE"""),"")</f>
        <v/>
      </c>
      <c r="AE222" s="35" t="str">
        <f>IFERROR(__xludf.DUMMYFUNCTION("""COMPUTED_VALUE"""),"AP")</f>
        <v>AP</v>
      </c>
      <c r="AF222" s="34" t="str">
        <f>IFERROR(__xludf.DUMMYFUNCTION("""COMPUTED_VALUE"""),"")</f>
        <v/>
      </c>
      <c r="AG222" s="35" t="str">
        <f>IFERROR(__xludf.DUMMYFUNCTION("""COMPUTED_VALUE"""),"%")</f>
        <v>%</v>
      </c>
      <c r="AH222" s="31">
        <f>IFERROR(__xludf.DUMMYFUNCTION("""COMPUTED_VALUE"""),20.0)</f>
        <v>20</v>
      </c>
      <c r="AI222" s="32">
        <f>IFERROR(__xludf.DUMMYFUNCTION("""COMPUTED_VALUE"""),13305.0)</f>
        <v>13305</v>
      </c>
      <c r="AJ222" s="39" t="str">
        <f>IFERROR(__xludf.DUMMYFUNCTION("""COMPUTED_VALUE"""),"高原")</f>
        <v>高原</v>
      </c>
    </row>
    <row r="223" ht="24.75" customHeight="1">
      <c r="A223" s="40">
        <f>IFERROR(__xludf.DUMMYFUNCTION("""COMPUTED_VALUE"""),14.0)</f>
        <v>14</v>
      </c>
      <c r="B223" s="40" t="str">
        <f>IFERROR(__xludf.DUMMYFUNCTION("""COMPUTED_VALUE"""),"A201")</f>
        <v>A201</v>
      </c>
      <c r="C223" s="40" t="str">
        <f>IFERROR(__xludf.DUMMYFUNCTION("""COMPUTED_VALUE"""),"GTT2")</f>
        <v>GTT2</v>
      </c>
      <c r="D223" s="41" t="str">
        <f>IFERROR(__xludf.DUMMYFUNCTION("""COMPUTED_VALUE"""),"Götterdämmerung")</f>
        <v>Götterdämmerung</v>
      </c>
      <c r="E223" s="42" t="str">
        <f>IFERROR(__xludf.DUMMYFUNCTION("""COMPUTED_VALUE"""),"Thin Ice Hill")</f>
        <v>Thin Ice Hill</v>
      </c>
      <c r="F223" s="43">
        <f>IFERROR(__xludf.DUMMYFUNCTION("""COMPUTED_VALUE"""),20.0)</f>
        <v>20</v>
      </c>
      <c r="G223" s="44">
        <f>IFERROR(__xludf.DUMMYFUNCTION("""COMPUTED_VALUE"""),4180.0)</f>
        <v>4180</v>
      </c>
      <c r="H223" s="33" t="str">
        <f>IFERROR(__xludf.DUMMYFUNCTION("""COMPUTED_VALUE"""),"")</f>
        <v/>
      </c>
      <c r="I223" s="45">
        <f>IFERROR(__xludf.DUMMYFUNCTION("""COMPUTED_VALUE"""),78.6)</f>
        <v>78.6</v>
      </c>
      <c r="J223" s="46" t="str">
        <f>IFERROR(__xludf.DUMMYFUNCTION("""COMPUTED_VALUE"""),"AP")</f>
        <v>AP</v>
      </c>
      <c r="K223" s="47">
        <f>IFERROR(__xludf.DUMMYFUNCTION("""COMPUTED_VALUE"""),25.5)</f>
        <v>25.5</v>
      </c>
      <c r="L223" s="48" t="str">
        <f>IFERROR(__xludf.DUMMYFUNCTION("""COMPUTED_VALUE"""),"%")</f>
        <v>%</v>
      </c>
      <c r="M223" s="49">
        <f>IFERROR(__xludf.DUMMYFUNCTION("""COMPUTED_VALUE"""),1.0)</f>
        <v>1</v>
      </c>
      <c r="N223" s="50" t="str">
        <f>IFERROR(__xludf.DUMMYFUNCTION("""COMPUTED_VALUE"""),"A214")</f>
        <v>A214</v>
      </c>
      <c r="O223" s="38" t="str">
        <f>IFERROR(__xludf.DUMMYFUNCTION("""COMPUTED_VALUE"""),"")</f>
        <v/>
      </c>
      <c r="P223" s="45">
        <f>IFERROR(__xludf.DUMMYFUNCTION("""COMPUTED_VALUE"""),79.6)</f>
        <v>79.6</v>
      </c>
      <c r="Q223" s="46" t="str">
        <f>IFERROR(__xludf.DUMMYFUNCTION("""COMPUTED_VALUE"""),"AP")</f>
        <v>AP</v>
      </c>
      <c r="R223" s="47">
        <f>IFERROR(__xludf.DUMMYFUNCTION("""COMPUTED_VALUE"""),25.1)</f>
        <v>25.1</v>
      </c>
      <c r="S223" s="48" t="str">
        <f>IFERROR(__xludf.DUMMYFUNCTION("""COMPUTED_VALUE"""),"%")</f>
        <v>%</v>
      </c>
      <c r="T223" s="49">
        <f>IFERROR(__xludf.DUMMYFUNCTION("""COMPUTED_VALUE"""),2.0)</f>
        <v>2</v>
      </c>
      <c r="U223" s="50" t="str">
        <f>IFERROR(__xludf.DUMMYFUNCTION("""COMPUTED_VALUE"""),"B117")</f>
        <v>B117</v>
      </c>
      <c r="V223" s="38" t="str">
        <f>IFERROR(__xludf.DUMMYFUNCTION("""COMPUTED_VALUE"""),"")</f>
        <v/>
      </c>
      <c r="W223" s="45">
        <f>IFERROR(__xludf.DUMMYFUNCTION("""COMPUTED_VALUE"""),81.6)</f>
        <v>81.6</v>
      </c>
      <c r="X223" s="46" t="str">
        <f>IFERROR(__xludf.DUMMYFUNCTION("""COMPUTED_VALUE"""),"AP")</f>
        <v>AP</v>
      </c>
      <c r="Y223" s="47">
        <f>IFERROR(__xludf.DUMMYFUNCTION("""COMPUTED_VALUE"""),24.5)</f>
        <v>24.5</v>
      </c>
      <c r="Z223" s="48" t="str">
        <f>IFERROR(__xludf.DUMMYFUNCTION("""COMPUTED_VALUE"""),"%")</f>
        <v>%</v>
      </c>
      <c r="AA223" s="49">
        <f>IFERROR(__xludf.DUMMYFUNCTION("""COMPUTED_VALUE"""),3.0)</f>
        <v>3</v>
      </c>
      <c r="AB223" s="50"/>
      <c r="AC223" s="38"/>
      <c r="AD223" s="45" t="str">
        <f>IFERROR(__xludf.DUMMYFUNCTION("""COMPUTED_VALUE"""),"")</f>
        <v/>
      </c>
      <c r="AE223" s="46" t="str">
        <f>IFERROR(__xludf.DUMMYFUNCTION("""COMPUTED_VALUE"""),"AP")</f>
        <v>AP</v>
      </c>
      <c r="AF223" s="47" t="str">
        <f>IFERROR(__xludf.DUMMYFUNCTION("""COMPUTED_VALUE"""),"")</f>
        <v/>
      </c>
      <c r="AG223" s="48" t="str">
        <f>IFERROR(__xludf.DUMMYFUNCTION("""COMPUTED_VALUE"""),"%")</f>
        <v>%</v>
      </c>
      <c r="AH223" s="43">
        <f>IFERROR(__xludf.DUMMYFUNCTION("""COMPUTED_VALUE"""),20.0)</f>
        <v>20</v>
      </c>
      <c r="AI223" s="44">
        <f>IFERROR(__xludf.DUMMYFUNCTION("""COMPUTED_VALUE"""),4180.0)</f>
        <v>4180</v>
      </c>
      <c r="AJ223" s="51" t="str">
        <f>IFERROR(__xludf.DUMMYFUNCTION("""COMPUTED_VALUE"""),"薄氷の丘")</f>
        <v>薄氷の丘</v>
      </c>
    </row>
    <row r="224" ht="24.75" customHeight="1">
      <c r="A224" s="28">
        <f>IFERROR(__xludf.DUMMYFUNCTION("""COMPUTED_VALUE"""),15.0)</f>
        <v>15</v>
      </c>
      <c r="B224" s="28" t="str">
        <f>IFERROR(__xludf.DUMMYFUNCTION("""COMPUTED_VALUE"""),"A201")</f>
        <v>A201</v>
      </c>
      <c r="C224" s="28" t="str">
        <f>IFERROR(__xludf.DUMMYFUNCTION("""COMPUTED_VALUE"""),"BBL2")</f>
        <v>BBL2</v>
      </c>
      <c r="D224" s="29" t="str">
        <f>IFERROR(__xludf.DUMMYFUNCTION("""COMPUTED_VALUE"""),"Babylonia")</f>
        <v>Babylonia</v>
      </c>
      <c r="E224" s="30" t="str">
        <f>IFERROR(__xludf.DUMMYFUNCTION("""COMPUTED_VALUE"""),"Northern Hill")</f>
        <v>Northern Hill</v>
      </c>
      <c r="F224" s="31">
        <f>IFERROR(__xludf.DUMMYFUNCTION("""COMPUTED_VALUE"""),20.0)</f>
        <v>20</v>
      </c>
      <c r="G224" s="32">
        <f>IFERROR(__xludf.DUMMYFUNCTION("""COMPUTED_VALUE"""),14135.0)</f>
        <v>14135</v>
      </c>
      <c r="H224" s="33" t="str">
        <f>IFERROR(__xludf.DUMMYFUNCTION("""COMPUTED_VALUE"""),"")</f>
        <v/>
      </c>
      <c r="I224" s="34">
        <f>IFERROR(__xludf.DUMMYFUNCTION("""COMPUTED_VALUE"""),80.2)</f>
        <v>80.2</v>
      </c>
      <c r="J224" s="35" t="str">
        <f>IFERROR(__xludf.DUMMYFUNCTION("""COMPUTED_VALUE"""),"AP")</f>
        <v>AP</v>
      </c>
      <c r="K224" s="34">
        <f>IFERROR(__xludf.DUMMYFUNCTION("""COMPUTED_VALUE"""),24.9)</f>
        <v>24.9</v>
      </c>
      <c r="L224" s="35" t="str">
        <f>IFERROR(__xludf.DUMMYFUNCTION("""COMPUTED_VALUE"""),"%")</f>
        <v>%</v>
      </c>
      <c r="M224" s="36">
        <f>IFERROR(__xludf.DUMMYFUNCTION("""COMPUTED_VALUE"""),1.0)</f>
        <v>1</v>
      </c>
      <c r="N224" s="37" t="str">
        <f>IFERROR(__xludf.DUMMYFUNCTION("""COMPUTED_VALUE"""),"A107")</f>
        <v>A107</v>
      </c>
      <c r="O224" s="38" t="str">
        <f>IFERROR(__xludf.DUMMYFUNCTION("""COMPUTED_VALUE"""),"")</f>
        <v/>
      </c>
      <c r="P224" s="34">
        <f>IFERROR(__xludf.DUMMYFUNCTION("""COMPUTED_VALUE"""),113.2)</f>
        <v>113.2</v>
      </c>
      <c r="Q224" s="35" t="str">
        <f>IFERROR(__xludf.DUMMYFUNCTION("""COMPUTED_VALUE"""),"AP")</f>
        <v>AP</v>
      </c>
      <c r="R224" s="34">
        <f>IFERROR(__xludf.DUMMYFUNCTION("""COMPUTED_VALUE"""),17.7)</f>
        <v>17.7</v>
      </c>
      <c r="S224" s="35" t="str">
        <f>IFERROR(__xludf.DUMMYFUNCTION("""COMPUTED_VALUE"""),"%")</f>
        <v>%</v>
      </c>
      <c r="T224" s="36">
        <f>IFERROR(__xludf.DUMMYFUNCTION("""COMPUTED_VALUE"""),2.0)</f>
        <v>2</v>
      </c>
      <c r="U224" s="37" t="str">
        <f>IFERROR(__xludf.DUMMYFUNCTION("""COMPUTED_VALUE"""),"B116")</f>
        <v>B116</v>
      </c>
      <c r="V224" s="38" t="str">
        <f>IFERROR(__xludf.DUMMYFUNCTION("""COMPUTED_VALUE"""),"")</f>
        <v/>
      </c>
      <c r="W224" s="34">
        <f>IFERROR(__xludf.DUMMYFUNCTION("""COMPUTED_VALUE"""),250.4)</f>
        <v>250.4</v>
      </c>
      <c r="X224" s="35" t="str">
        <f>IFERROR(__xludf.DUMMYFUNCTION("""COMPUTED_VALUE"""),"AP")</f>
        <v>AP</v>
      </c>
      <c r="Y224" s="34">
        <f>IFERROR(__xludf.DUMMYFUNCTION("""COMPUTED_VALUE"""),8.0)</f>
        <v>8</v>
      </c>
      <c r="Z224" s="35" t="str">
        <f>IFERROR(__xludf.DUMMYFUNCTION("""COMPUTED_VALUE"""),"%")</f>
        <v>%</v>
      </c>
      <c r="AA224" s="36">
        <f>IFERROR(__xludf.DUMMYFUNCTION("""COMPUTED_VALUE"""),3.0)</f>
        <v>3</v>
      </c>
      <c r="AB224" s="37"/>
      <c r="AC224" s="38"/>
      <c r="AD224" s="34" t="str">
        <f>IFERROR(__xludf.DUMMYFUNCTION("""COMPUTED_VALUE"""),"")</f>
        <v/>
      </c>
      <c r="AE224" s="35" t="str">
        <f>IFERROR(__xludf.DUMMYFUNCTION("""COMPUTED_VALUE"""),"AP")</f>
        <v>AP</v>
      </c>
      <c r="AF224" s="34" t="str">
        <f>IFERROR(__xludf.DUMMYFUNCTION("""COMPUTED_VALUE"""),"")</f>
        <v/>
      </c>
      <c r="AG224" s="35" t="str">
        <f>IFERROR(__xludf.DUMMYFUNCTION("""COMPUTED_VALUE"""),"%")</f>
        <v>%</v>
      </c>
      <c r="AH224" s="31">
        <f>IFERROR(__xludf.DUMMYFUNCTION("""COMPUTED_VALUE"""),20.0)</f>
        <v>20</v>
      </c>
      <c r="AI224" s="32">
        <f>IFERROR(__xludf.DUMMYFUNCTION("""COMPUTED_VALUE"""),14135.0)</f>
        <v>14135</v>
      </c>
      <c r="AJ224" s="39" t="str">
        <f>IFERROR(__xludf.DUMMYFUNCTION("""COMPUTED_VALUE"""),"北の高台")</f>
        <v>北の高台</v>
      </c>
    </row>
    <row r="225" ht="24.75" customHeight="1">
      <c r="A225" s="40">
        <f>IFERROR(__xludf.DUMMYFUNCTION("""COMPUTED_VALUE"""),16.0)</f>
        <v>16</v>
      </c>
      <c r="B225" s="40" t="str">
        <f>IFERROR(__xludf.DUMMYFUNCTION("""COMPUTED_VALUE"""),"A201")</f>
        <v>A201</v>
      </c>
      <c r="C225" s="40" t="str">
        <f>IFERROR(__xludf.DUMMYFUNCTION("""COMPUTED_VALUE"""),"BBL13")</f>
        <v>BBL13</v>
      </c>
      <c r="D225" s="41" t="str">
        <f>IFERROR(__xludf.DUMMYFUNCTION("""COMPUTED_VALUE"""),"Babylonia")</f>
        <v>Babylonia</v>
      </c>
      <c r="E225" s="42" t="str">
        <f>IFERROR(__xludf.DUMMYFUNCTION("""COMPUTED_VALUE"""),"Mt. Ebih")</f>
        <v>Mt. Ebih</v>
      </c>
      <c r="F225" s="43">
        <f>IFERROR(__xludf.DUMMYFUNCTION("""COMPUTED_VALUE"""),21.0)</f>
        <v>21</v>
      </c>
      <c r="G225" s="44">
        <f>IFERROR(__xludf.DUMMYFUNCTION("""COMPUTED_VALUE"""),29368.0)</f>
        <v>29368</v>
      </c>
      <c r="H225" s="33" t="str">
        <f>IFERROR(__xludf.DUMMYFUNCTION("""COMPUTED_VALUE"""),"")</f>
        <v/>
      </c>
      <c r="I225" s="45">
        <f>IFERROR(__xludf.DUMMYFUNCTION("""COMPUTED_VALUE"""),82.4)</f>
        <v>82.4</v>
      </c>
      <c r="J225" s="46" t="str">
        <f>IFERROR(__xludf.DUMMYFUNCTION("""COMPUTED_VALUE"""),"AP")</f>
        <v>AP</v>
      </c>
      <c r="K225" s="47">
        <f>IFERROR(__xludf.DUMMYFUNCTION("""COMPUTED_VALUE"""),25.5)</f>
        <v>25.5</v>
      </c>
      <c r="L225" s="48" t="str">
        <f>IFERROR(__xludf.DUMMYFUNCTION("""COMPUTED_VALUE"""),"%")</f>
        <v>%</v>
      </c>
      <c r="M225" s="49">
        <f>IFERROR(__xludf.DUMMYFUNCTION("""COMPUTED_VALUE"""),1.0)</f>
        <v>1</v>
      </c>
      <c r="N225" s="50" t="str">
        <f>IFERROR(__xludf.DUMMYFUNCTION("""COMPUTED_VALUE"""),"A111")</f>
        <v>A111</v>
      </c>
      <c r="O225" s="38" t="str">
        <f>IFERROR(__xludf.DUMMYFUNCTION("""COMPUTED_VALUE"""),"")</f>
        <v/>
      </c>
      <c r="P225" s="45">
        <f>IFERROR(__xludf.DUMMYFUNCTION("""COMPUTED_VALUE"""),180.0)</f>
        <v>180</v>
      </c>
      <c r="Q225" s="46" t="str">
        <f>IFERROR(__xludf.DUMMYFUNCTION("""COMPUTED_VALUE"""),"AP")</f>
        <v>AP</v>
      </c>
      <c r="R225" s="47">
        <f>IFERROR(__xludf.DUMMYFUNCTION("""COMPUTED_VALUE"""),11.6999999)</f>
        <v>11.6999999</v>
      </c>
      <c r="S225" s="48" t="str">
        <f>IFERROR(__xludf.DUMMYFUNCTION("""COMPUTED_VALUE"""),"%")</f>
        <v>%</v>
      </c>
      <c r="T225" s="49">
        <f>IFERROR(__xludf.DUMMYFUNCTION("""COMPUTED_VALUE"""),2.0)</f>
        <v>2</v>
      </c>
      <c r="U225" s="50" t="str">
        <f>IFERROR(__xludf.DUMMYFUNCTION("""COMPUTED_VALUE"""),"B107")</f>
        <v>B107</v>
      </c>
      <c r="V225" s="38" t="str">
        <f>IFERROR(__xludf.DUMMYFUNCTION("""COMPUTED_VALUE"""),"")</f>
        <v/>
      </c>
      <c r="W225" s="45">
        <f>IFERROR(__xludf.DUMMYFUNCTION("""COMPUTED_VALUE"""),658.6)</f>
        <v>658.6</v>
      </c>
      <c r="X225" s="46" t="str">
        <f>IFERROR(__xludf.DUMMYFUNCTION("""COMPUTED_VALUE"""),"AP")</f>
        <v>AP</v>
      </c>
      <c r="Y225" s="47">
        <f>IFERROR(__xludf.DUMMYFUNCTION("""COMPUTED_VALUE"""),3.2)</f>
        <v>3.2</v>
      </c>
      <c r="Z225" s="48" t="str">
        <f>IFERROR(__xludf.DUMMYFUNCTION("""COMPUTED_VALUE"""),"%")</f>
        <v>%</v>
      </c>
      <c r="AA225" s="49">
        <f>IFERROR(__xludf.DUMMYFUNCTION("""COMPUTED_VALUE"""),3.0)</f>
        <v>3</v>
      </c>
      <c r="AB225" s="50" t="str">
        <f>IFERROR(__xludf.DUMMYFUNCTION("""COMPUTED_VALUE"""),"B117")</f>
        <v>B117</v>
      </c>
      <c r="AC225" s="38" t="str">
        <f>IFERROR(__xludf.DUMMYFUNCTION("""COMPUTED_VALUE"""),"")</f>
        <v/>
      </c>
      <c r="AD225" s="45">
        <f>IFERROR(__xludf.DUMMYFUNCTION("""COMPUTED_VALUE"""),84.8)</f>
        <v>84.8</v>
      </c>
      <c r="AE225" s="46" t="str">
        <f>IFERROR(__xludf.DUMMYFUNCTION("""COMPUTED_VALUE"""),"AP")</f>
        <v>AP</v>
      </c>
      <c r="AF225" s="47">
        <f>IFERROR(__xludf.DUMMYFUNCTION("""COMPUTED_VALUE"""),24.8)</f>
        <v>24.8</v>
      </c>
      <c r="AG225" s="48" t="str">
        <f>IFERROR(__xludf.DUMMYFUNCTION("""COMPUTED_VALUE"""),"%")</f>
        <v>%</v>
      </c>
      <c r="AH225" s="43">
        <f>IFERROR(__xludf.DUMMYFUNCTION("""COMPUTED_VALUE"""),21.0)</f>
        <v>21</v>
      </c>
      <c r="AI225" s="44">
        <f>IFERROR(__xludf.DUMMYFUNCTION("""COMPUTED_VALUE"""),29368.0)</f>
        <v>29368</v>
      </c>
      <c r="AJ225" s="51" t="str">
        <f>IFERROR(__xludf.DUMMYFUNCTION("""COMPUTED_VALUE"""),"エビフ山")</f>
        <v>エビフ山</v>
      </c>
    </row>
    <row r="226" ht="24.75" customHeight="1">
      <c r="A226" s="28">
        <f>IFERROR(__xludf.DUMMYFUNCTION("""COMPUTED_VALUE"""),17.0)</f>
        <v>17</v>
      </c>
      <c r="B226" s="28" t="str">
        <f>IFERROR(__xludf.DUMMYFUNCTION("""COMPUTED_VALUE"""),"A201")</f>
        <v>A201</v>
      </c>
      <c r="C226" s="28" t="str">
        <f>IFERROR(__xludf.DUMMYFUNCTION("""COMPUTED_VALUE"""),"GTT4")</f>
        <v>GTT4</v>
      </c>
      <c r="D226" s="29" t="str">
        <f>IFERROR(__xludf.DUMMYFUNCTION("""COMPUTED_VALUE"""),"Götterdämmerung")</f>
        <v>Götterdämmerung</v>
      </c>
      <c r="E226" s="30" t="str">
        <f>IFERROR(__xludf.DUMMYFUNCTION("""COMPUTED_VALUE"""),"Village 23")</f>
        <v>Village 23</v>
      </c>
      <c r="F226" s="31">
        <f>IFERROR(__xludf.DUMMYFUNCTION("""COMPUTED_VALUE"""),21.0)</f>
        <v>21</v>
      </c>
      <c r="G226" s="32">
        <f>IFERROR(__xludf.DUMMYFUNCTION("""COMPUTED_VALUE"""),1100.0)</f>
        <v>1100</v>
      </c>
      <c r="H226" s="33" t="str">
        <f>IFERROR(__xludf.DUMMYFUNCTION("""COMPUTED_VALUE"""),"")</f>
        <v/>
      </c>
      <c r="I226" s="34">
        <f>IFERROR(__xludf.DUMMYFUNCTION("""COMPUTED_VALUE"""),83.4)</f>
        <v>83.4</v>
      </c>
      <c r="J226" s="35" t="str">
        <f>IFERROR(__xludf.DUMMYFUNCTION("""COMPUTED_VALUE"""),"AP")</f>
        <v>AP</v>
      </c>
      <c r="K226" s="34">
        <f>IFERROR(__xludf.DUMMYFUNCTION("""COMPUTED_VALUE"""),25.2)</f>
        <v>25.2</v>
      </c>
      <c r="L226" s="35" t="str">
        <f>IFERROR(__xludf.DUMMYFUNCTION("""COMPUTED_VALUE"""),"%")</f>
        <v>%</v>
      </c>
      <c r="M226" s="36">
        <f>IFERROR(__xludf.DUMMYFUNCTION("""COMPUTED_VALUE"""),1.0)</f>
        <v>1</v>
      </c>
      <c r="N226" s="37" t="str">
        <f>IFERROR(__xludf.DUMMYFUNCTION("""COMPUTED_VALUE"""),"A215")</f>
        <v>A215</v>
      </c>
      <c r="O226" s="38" t="str">
        <f>IFERROR(__xludf.DUMMYFUNCTION("""COMPUTED_VALUE"""),"")</f>
        <v/>
      </c>
      <c r="P226" s="34">
        <f>IFERROR(__xludf.DUMMYFUNCTION("""COMPUTED_VALUE"""),84.6)</f>
        <v>84.6</v>
      </c>
      <c r="Q226" s="35" t="str">
        <f>IFERROR(__xludf.DUMMYFUNCTION("""COMPUTED_VALUE"""),"AP")</f>
        <v>AP</v>
      </c>
      <c r="R226" s="34">
        <f>IFERROR(__xludf.DUMMYFUNCTION("""COMPUTED_VALUE"""),24.8)</f>
        <v>24.8</v>
      </c>
      <c r="S226" s="35" t="str">
        <f>IFERROR(__xludf.DUMMYFUNCTION("""COMPUTED_VALUE"""),"%")</f>
        <v>%</v>
      </c>
      <c r="T226" s="36">
        <f>IFERROR(__xludf.DUMMYFUNCTION("""COMPUTED_VALUE"""),2.0)</f>
        <v>2</v>
      </c>
      <c r="U226" s="37" t="str">
        <f>IFERROR(__xludf.DUMMYFUNCTION("""COMPUTED_VALUE"""),"B114")</f>
        <v>B114</v>
      </c>
      <c r="V226" s="38" t="str">
        <f>IFERROR(__xludf.DUMMYFUNCTION("""COMPUTED_VALUE"""),"")</f>
        <v/>
      </c>
      <c r="W226" s="34">
        <f>IFERROR(__xludf.DUMMYFUNCTION("""COMPUTED_VALUE"""),85.6)</f>
        <v>85.6</v>
      </c>
      <c r="X226" s="35" t="str">
        <f>IFERROR(__xludf.DUMMYFUNCTION("""COMPUTED_VALUE"""),"AP")</f>
        <v>AP</v>
      </c>
      <c r="Y226" s="34">
        <f>IFERROR(__xludf.DUMMYFUNCTION("""COMPUTED_VALUE"""),24.5)</f>
        <v>24.5</v>
      </c>
      <c r="Z226" s="35" t="str">
        <f>IFERROR(__xludf.DUMMYFUNCTION("""COMPUTED_VALUE"""),"%")</f>
        <v>%</v>
      </c>
      <c r="AA226" s="36">
        <f>IFERROR(__xludf.DUMMYFUNCTION("""COMPUTED_VALUE"""),3.0)</f>
        <v>3</v>
      </c>
      <c r="AB226" s="37"/>
      <c r="AC226" s="38"/>
      <c r="AD226" s="34" t="str">
        <f>IFERROR(__xludf.DUMMYFUNCTION("""COMPUTED_VALUE"""),"")</f>
        <v/>
      </c>
      <c r="AE226" s="35" t="str">
        <f>IFERROR(__xludf.DUMMYFUNCTION("""COMPUTED_VALUE"""),"AP")</f>
        <v>AP</v>
      </c>
      <c r="AF226" s="34" t="str">
        <f>IFERROR(__xludf.DUMMYFUNCTION("""COMPUTED_VALUE"""),"")</f>
        <v/>
      </c>
      <c r="AG226" s="35" t="str">
        <f>IFERROR(__xludf.DUMMYFUNCTION("""COMPUTED_VALUE"""),"%")</f>
        <v>%</v>
      </c>
      <c r="AH226" s="31">
        <f>IFERROR(__xludf.DUMMYFUNCTION("""COMPUTED_VALUE"""),21.0)</f>
        <v>21</v>
      </c>
      <c r="AI226" s="32">
        <f>IFERROR(__xludf.DUMMYFUNCTION("""COMPUTED_VALUE"""),1100.0)</f>
        <v>1100</v>
      </c>
      <c r="AJ226" s="39" t="str">
        <f>IFERROR(__xludf.DUMMYFUNCTION("""COMPUTED_VALUE"""),"第23集落")</f>
        <v>第23集落</v>
      </c>
    </row>
    <row r="227" ht="24.75" customHeight="1">
      <c r="A227" s="40">
        <f>IFERROR(__xludf.DUMMYFUNCTION("""COMPUTED_VALUE"""),18.0)</f>
        <v>18</v>
      </c>
      <c r="B227" s="40" t="str">
        <f>IFERROR(__xludf.DUMMYFUNCTION("""COMPUTED_VALUE"""),"A201")</f>
        <v>A201</v>
      </c>
      <c r="C227" s="40" t="str">
        <f>IFERROR(__xludf.DUMMYFUNCTION("""COMPUTED_VALUE"""),"AGT10")</f>
        <v>AGT10</v>
      </c>
      <c r="D227" s="41" t="str">
        <f>IFERROR(__xludf.DUMMYFUNCTION("""COMPUTED_VALUE"""),"Agartha")</f>
        <v>Agartha</v>
      </c>
      <c r="E227" s="42" t="str">
        <f>IFERROR(__xludf.DUMMYFUNCTION("""COMPUTED_VALUE"""),"Great Underground River")</f>
        <v>Great Underground River</v>
      </c>
      <c r="F227" s="43">
        <f>IFERROR(__xludf.DUMMYFUNCTION("""COMPUTED_VALUE"""),21.0)</f>
        <v>21</v>
      </c>
      <c r="G227" s="44">
        <f>IFERROR(__xludf.DUMMYFUNCTION("""COMPUTED_VALUE"""),54691.0)</f>
        <v>54691</v>
      </c>
      <c r="H227" s="33" t="str">
        <f>IFERROR(__xludf.DUMMYFUNCTION("""COMPUTED_VALUE"""),"")</f>
        <v/>
      </c>
      <c r="I227" s="45">
        <f>IFERROR(__xludf.DUMMYFUNCTION("""COMPUTED_VALUE"""),83.5)</f>
        <v>83.5</v>
      </c>
      <c r="J227" s="46" t="str">
        <f>IFERROR(__xludf.DUMMYFUNCTION("""COMPUTED_VALUE"""),"AP")</f>
        <v>AP</v>
      </c>
      <c r="K227" s="47">
        <f>IFERROR(__xludf.DUMMYFUNCTION("""COMPUTED_VALUE"""),25.1)</f>
        <v>25.1</v>
      </c>
      <c r="L227" s="48" t="str">
        <f>IFERROR(__xludf.DUMMYFUNCTION("""COMPUTED_VALUE"""),"%")</f>
        <v>%</v>
      </c>
      <c r="M227" s="49">
        <f>IFERROR(__xludf.DUMMYFUNCTION("""COMPUTED_VALUE"""),1.0)</f>
        <v>1</v>
      </c>
      <c r="N227" s="50" t="str">
        <f>IFERROR(__xludf.DUMMYFUNCTION("""COMPUTED_VALUE"""),"A205")</f>
        <v>A205</v>
      </c>
      <c r="O227" s="38" t="str">
        <f>IFERROR(__xludf.DUMMYFUNCTION("""COMPUTED_VALUE"""),"")</f>
        <v/>
      </c>
      <c r="P227" s="45">
        <f>IFERROR(__xludf.DUMMYFUNCTION("""COMPUTED_VALUE"""),69.5)</f>
        <v>69.5</v>
      </c>
      <c r="Q227" s="46" t="str">
        <f>IFERROR(__xludf.DUMMYFUNCTION("""COMPUTED_VALUE"""),"AP")</f>
        <v>AP</v>
      </c>
      <c r="R227" s="47">
        <f>IFERROR(__xludf.DUMMYFUNCTION("""COMPUTED_VALUE"""),30.2)</f>
        <v>30.2</v>
      </c>
      <c r="S227" s="48" t="str">
        <f>IFERROR(__xludf.DUMMYFUNCTION("""COMPUTED_VALUE"""),"%")</f>
        <v>%</v>
      </c>
      <c r="T227" s="49">
        <f>IFERROR(__xludf.DUMMYFUNCTION("""COMPUTED_VALUE"""),2.0)</f>
        <v>2</v>
      </c>
      <c r="U227" s="50" t="str">
        <f>IFERROR(__xludf.DUMMYFUNCTION("""COMPUTED_VALUE"""),"B103")</f>
        <v>B103</v>
      </c>
      <c r="V227" s="38" t="str">
        <f>IFERROR(__xludf.DUMMYFUNCTION("""COMPUTED_VALUE"""),"")</f>
        <v/>
      </c>
      <c r="W227" s="45">
        <f>IFERROR(__xludf.DUMMYFUNCTION("""COMPUTED_VALUE"""),660.9)</f>
        <v>660.9</v>
      </c>
      <c r="X227" s="46" t="str">
        <f>IFERROR(__xludf.DUMMYFUNCTION("""COMPUTED_VALUE"""),"AP")</f>
        <v>AP</v>
      </c>
      <c r="Y227" s="47">
        <f>IFERROR(__xludf.DUMMYFUNCTION("""COMPUTED_VALUE"""),3.2)</f>
        <v>3.2</v>
      </c>
      <c r="Z227" s="48" t="str">
        <f>IFERROR(__xludf.DUMMYFUNCTION("""COMPUTED_VALUE"""),"%")</f>
        <v>%</v>
      </c>
      <c r="AA227" s="49">
        <f>IFERROR(__xludf.DUMMYFUNCTION("""COMPUTED_VALUE"""),3.0)</f>
        <v>3</v>
      </c>
      <c r="AB227" s="50" t="str">
        <f>IFERROR(__xludf.DUMMYFUNCTION("""COMPUTED_VALUE"""),"B113")</f>
        <v>B113</v>
      </c>
      <c r="AC227" s="38" t="str">
        <f>IFERROR(__xludf.DUMMYFUNCTION("""COMPUTED_VALUE"""),"")</f>
        <v/>
      </c>
      <c r="AD227" s="45">
        <f>IFERROR(__xludf.DUMMYFUNCTION("""COMPUTED_VALUE"""),144.1)</f>
        <v>144.1</v>
      </c>
      <c r="AE227" s="46" t="str">
        <f>IFERROR(__xludf.DUMMYFUNCTION("""COMPUTED_VALUE"""),"AP")</f>
        <v>AP</v>
      </c>
      <c r="AF227" s="47">
        <f>IFERROR(__xludf.DUMMYFUNCTION("""COMPUTED_VALUE"""),14.6)</f>
        <v>14.6</v>
      </c>
      <c r="AG227" s="48" t="str">
        <f>IFERROR(__xludf.DUMMYFUNCTION("""COMPUTED_VALUE"""),"%")</f>
        <v>%</v>
      </c>
      <c r="AH227" s="43">
        <f>IFERROR(__xludf.DUMMYFUNCTION("""COMPUTED_VALUE"""),21.0)</f>
        <v>21</v>
      </c>
      <c r="AI227" s="44">
        <f>IFERROR(__xludf.DUMMYFUNCTION("""COMPUTED_VALUE"""),54691.0)</f>
        <v>54691</v>
      </c>
      <c r="AJ227" s="51" t="str">
        <f>IFERROR(__xludf.DUMMYFUNCTION("""COMPUTED_VALUE"""),"地底大河")</f>
        <v>地底大河</v>
      </c>
    </row>
    <row r="228" ht="24.75" customHeight="1">
      <c r="A228" s="28">
        <f>IFERROR(__xludf.DUMMYFUNCTION("""COMPUTED_VALUE"""),19.0)</f>
        <v>19</v>
      </c>
      <c r="B228" s="28" t="str">
        <f>IFERROR(__xludf.DUMMYFUNCTION("""COMPUTED_VALUE"""),"A201")</f>
        <v>A201</v>
      </c>
      <c r="C228" s="28" t="str">
        <f>IFERROR(__xludf.DUMMYFUNCTION("""COMPUTED_VALUE"""),"ANA5")</f>
        <v>ANA5</v>
      </c>
      <c r="D228" s="29" t="str">
        <f>IFERROR(__xludf.DUMMYFUNCTION("""COMPUTED_VALUE"""),"Anastasia")</f>
        <v>Anastasia</v>
      </c>
      <c r="E228" s="30" t="str">
        <f>IFERROR(__xludf.DUMMYFUNCTION("""COMPUTED_VALUE"""),"Yaga Sychyovka")</f>
        <v>Yaga Sychyovka</v>
      </c>
      <c r="F228" s="31">
        <f>IFERROR(__xludf.DUMMYFUNCTION("""COMPUTED_VALUE"""),21.0)</f>
        <v>21</v>
      </c>
      <c r="G228" s="32">
        <f>IFERROR(__xludf.DUMMYFUNCTION("""COMPUTED_VALUE"""),15732.0)</f>
        <v>15732</v>
      </c>
      <c r="H228" s="33" t="str">
        <f>IFERROR(__xludf.DUMMYFUNCTION("""COMPUTED_VALUE"""),"")</f>
        <v/>
      </c>
      <c r="I228" s="34">
        <f>IFERROR(__xludf.DUMMYFUNCTION("""COMPUTED_VALUE"""),84.8)</f>
        <v>84.8</v>
      </c>
      <c r="J228" s="35" t="str">
        <f>IFERROR(__xludf.DUMMYFUNCTION("""COMPUTED_VALUE"""),"AP")</f>
        <v>AP</v>
      </c>
      <c r="K228" s="34">
        <f>IFERROR(__xludf.DUMMYFUNCTION("""COMPUTED_VALUE"""),24.8)</f>
        <v>24.8</v>
      </c>
      <c r="L228" s="35" t="str">
        <f>IFERROR(__xludf.DUMMYFUNCTION("""COMPUTED_VALUE"""),"%")</f>
        <v>%</v>
      </c>
      <c r="M228" s="36">
        <f>IFERROR(__xludf.DUMMYFUNCTION("""COMPUTED_VALUE"""),1.0)</f>
        <v>1</v>
      </c>
      <c r="N228" s="37" t="str">
        <f>IFERROR(__xludf.DUMMYFUNCTION("""COMPUTED_VALUE"""),"A309")</f>
        <v>A309</v>
      </c>
      <c r="O228" s="38" t="str">
        <f>IFERROR(__xludf.DUMMYFUNCTION("""COMPUTED_VALUE"""),"")</f>
        <v/>
      </c>
      <c r="P228" s="34">
        <f>IFERROR(__xludf.DUMMYFUNCTION("""COMPUTED_VALUE"""),50.7)</f>
        <v>50.7</v>
      </c>
      <c r="Q228" s="35" t="str">
        <f>IFERROR(__xludf.DUMMYFUNCTION("""COMPUTED_VALUE"""),"AP")</f>
        <v>AP</v>
      </c>
      <c r="R228" s="34"/>
      <c r="S228" s="35" t="str">
        <f>IFERROR(__xludf.DUMMYFUNCTION("""COMPUTED_VALUE"""),"%")</f>
        <v>%</v>
      </c>
      <c r="T228" s="36">
        <f>IFERROR(__xludf.DUMMYFUNCTION("""COMPUTED_VALUE"""),2.0)</f>
        <v>2</v>
      </c>
      <c r="U228" s="37" t="str">
        <f>IFERROR(__xludf.DUMMYFUNCTION("""COMPUTED_VALUE"""),"B117")</f>
        <v>B117</v>
      </c>
      <c r="V228" s="38" t="str">
        <f>IFERROR(__xludf.DUMMYFUNCTION("""COMPUTED_VALUE"""),"")</f>
        <v/>
      </c>
      <c r="W228" s="34">
        <f>IFERROR(__xludf.DUMMYFUNCTION("""COMPUTED_VALUE"""),102.9)</f>
        <v>102.9</v>
      </c>
      <c r="X228" s="35" t="str">
        <f>IFERROR(__xludf.DUMMYFUNCTION("""COMPUTED_VALUE"""),"AP")</f>
        <v>AP</v>
      </c>
      <c r="Y228" s="34">
        <f>IFERROR(__xludf.DUMMYFUNCTION("""COMPUTED_VALUE"""),20.4)</f>
        <v>20.4</v>
      </c>
      <c r="Z228" s="35" t="str">
        <f>IFERROR(__xludf.DUMMYFUNCTION("""COMPUTED_VALUE"""),"%")</f>
        <v>%</v>
      </c>
      <c r="AA228" s="36">
        <f>IFERROR(__xludf.DUMMYFUNCTION("""COMPUTED_VALUE"""),3.0)</f>
        <v>3</v>
      </c>
      <c r="AB228" s="37"/>
      <c r="AC228" s="38"/>
      <c r="AD228" s="34" t="str">
        <f>IFERROR(__xludf.DUMMYFUNCTION("""COMPUTED_VALUE"""),"")</f>
        <v/>
      </c>
      <c r="AE228" s="35" t="str">
        <f>IFERROR(__xludf.DUMMYFUNCTION("""COMPUTED_VALUE"""),"AP")</f>
        <v>AP</v>
      </c>
      <c r="AF228" s="34" t="str">
        <f>IFERROR(__xludf.DUMMYFUNCTION("""COMPUTED_VALUE"""),"")</f>
        <v/>
      </c>
      <c r="AG228" s="35" t="str">
        <f>IFERROR(__xludf.DUMMYFUNCTION("""COMPUTED_VALUE"""),"%")</f>
        <v>%</v>
      </c>
      <c r="AH228" s="31">
        <f>IFERROR(__xludf.DUMMYFUNCTION("""COMPUTED_VALUE"""),21.0)</f>
        <v>21</v>
      </c>
      <c r="AI228" s="32">
        <f>IFERROR(__xludf.DUMMYFUNCTION("""COMPUTED_VALUE"""),15732.0)</f>
        <v>15732</v>
      </c>
      <c r="AJ228" s="39" t="str">
        <f>IFERROR(__xludf.DUMMYFUNCTION("""COMPUTED_VALUE"""),"ヤガ・スィチョーフカ")</f>
        <v>ヤガ・スィチョーフカ</v>
      </c>
    </row>
    <row r="229" ht="24.75" customHeight="1">
      <c r="A229" s="40">
        <f>IFERROR(__xludf.DUMMYFUNCTION("""COMPUTED_VALUE"""),20.0)</f>
        <v>20</v>
      </c>
      <c r="B229" s="40" t="str">
        <f>IFERROR(__xludf.DUMMYFUNCTION("""COMPUTED_VALUE"""),"A201")</f>
        <v>A201</v>
      </c>
      <c r="C229" s="40" t="str">
        <f>IFERROR(__xludf.DUMMYFUNCTION("""COMPUTED_VALUE"""),"SEP9")</f>
        <v>SEP9</v>
      </c>
      <c r="D229" s="41" t="str">
        <f>IFERROR(__xludf.DUMMYFUNCTION("""COMPUTED_VALUE"""),"Septem")</f>
        <v>Septem</v>
      </c>
      <c r="E229" s="42" t="str">
        <f>IFERROR(__xludf.DUMMYFUNCTION("""COMPUTED_VALUE"""),"Britannia")</f>
        <v>Britannia</v>
      </c>
      <c r="F229" s="43">
        <f>IFERROR(__xludf.DUMMYFUNCTION("""COMPUTED_VALUE"""),10.0)</f>
        <v>10</v>
      </c>
      <c r="G229" s="44">
        <f>IFERROR(__xludf.DUMMYFUNCTION("""COMPUTED_VALUE"""),1135.0)</f>
        <v>1135</v>
      </c>
      <c r="H229" s="33" t="str">
        <f>IFERROR(__xludf.DUMMYFUNCTION("""COMPUTED_VALUE"""),"")</f>
        <v/>
      </c>
      <c r="I229" s="45">
        <f>IFERROR(__xludf.DUMMYFUNCTION("""COMPUTED_VALUE"""),85.3)</f>
        <v>85.3</v>
      </c>
      <c r="J229" s="46" t="str">
        <f>IFERROR(__xludf.DUMMYFUNCTION("""COMPUTED_VALUE"""),"AP")</f>
        <v>AP</v>
      </c>
      <c r="K229" s="47">
        <f>IFERROR(__xludf.DUMMYFUNCTION("""COMPUTED_VALUE"""),11.7)</f>
        <v>11.7</v>
      </c>
      <c r="L229" s="48" t="str">
        <f>IFERROR(__xludf.DUMMYFUNCTION("""COMPUTED_VALUE"""),"%")</f>
        <v>%</v>
      </c>
      <c r="M229" s="49">
        <f>IFERROR(__xludf.DUMMYFUNCTION("""COMPUTED_VALUE"""),1.0)</f>
        <v>1</v>
      </c>
      <c r="N229" s="50"/>
      <c r="O229" s="38"/>
      <c r="P229" s="45" t="str">
        <f>IFERROR(__xludf.DUMMYFUNCTION("""COMPUTED_VALUE"""),"")</f>
        <v/>
      </c>
      <c r="Q229" s="46" t="str">
        <f>IFERROR(__xludf.DUMMYFUNCTION("""COMPUTED_VALUE"""),"AP")</f>
        <v>AP</v>
      </c>
      <c r="R229" s="47" t="str">
        <f>IFERROR(__xludf.DUMMYFUNCTION("""COMPUTED_VALUE"""),"")</f>
        <v/>
      </c>
      <c r="S229" s="48" t="str">
        <f>IFERROR(__xludf.DUMMYFUNCTION("""COMPUTED_VALUE"""),"%")</f>
        <v>%</v>
      </c>
      <c r="T229" s="49">
        <f>IFERROR(__xludf.DUMMYFUNCTION("""COMPUTED_VALUE"""),2.0)</f>
        <v>2</v>
      </c>
      <c r="U229" s="50"/>
      <c r="V229" s="38"/>
      <c r="W229" s="45" t="str">
        <f>IFERROR(__xludf.DUMMYFUNCTION("""COMPUTED_VALUE"""),"")</f>
        <v/>
      </c>
      <c r="X229" s="46" t="str">
        <f>IFERROR(__xludf.DUMMYFUNCTION("""COMPUTED_VALUE"""),"AP")</f>
        <v>AP</v>
      </c>
      <c r="Y229" s="47" t="str">
        <f>IFERROR(__xludf.DUMMYFUNCTION("""COMPUTED_VALUE"""),"")</f>
        <v/>
      </c>
      <c r="Z229" s="48" t="str">
        <f>IFERROR(__xludf.DUMMYFUNCTION("""COMPUTED_VALUE"""),"%")</f>
        <v>%</v>
      </c>
      <c r="AA229" s="49">
        <f>IFERROR(__xludf.DUMMYFUNCTION("""COMPUTED_VALUE"""),3.0)</f>
        <v>3</v>
      </c>
      <c r="AB229" s="50"/>
      <c r="AC229" s="38"/>
      <c r="AD229" s="45" t="str">
        <f>IFERROR(__xludf.DUMMYFUNCTION("""COMPUTED_VALUE"""),"")</f>
        <v/>
      </c>
      <c r="AE229" s="46" t="str">
        <f>IFERROR(__xludf.DUMMYFUNCTION("""COMPUTED_VALUE"""),"AP")</f>
        <v>AP</v>
      </c>
      <c r="AF229" s="47" t="str">
        <f>IFERROR(__xludf.DUMMYFUNCTION("""COMPUTED_VALUE"""),"")</f>
        <v/>
      </c>
      <c r="AG229" s="48" t="str">
        <f>IFERROR(__xludf.DUMMYFUNCTION("""COMPUTED_VALUE"""),"%")</f>
        <v>%</v>
      </c>
      <c r="AH229" s="43">
        <f>IFERROR(__xludf.DUMMYFUNCTION("""COMPUTED_VALUE"""),10.0)</f>
        <v>10</v>
      </c>
      <c r="AI229" s="44">
        <f>IFERROR(__xludf.DUMMYFUNCTION("""COMPUTED_VALUE"""),1135.0)</f>
        <v>1135</v>
      </c>
      <c r="AJ229" s="51" t="str">
        <f>IFERROR(__xludf.DUMMYFUNCTION("""COMPUTED_VALUE"""),"ブリタニア")</f>
        <v>ブリタニア</v>
      </c>
    </row>
    <row r="230">
      <c r="A230" s="52"/>
      <c r="B230" s="53"/>
      <c r="C230" s="54"/>
      <c r="D230" s="55"/>
      <c r="E230" s="56"/>
      <c r="F230" s="53"/>
      <c r="G230" s="53"/>
      <c r="H230" s="53"/>
      <c r="I230" s="53"/>
      <c r="J230" s="57"/>
      <c r="K230" s="53"/>
      <c r="L230" s="57"/>
      <c r="M230" s="53"/>
      <c r="N230" s="53"/>
      <c r="O230" s="53"/>
      <c r="P230" s="53"/>
      <c r="Q230" s="57"/>
      <c r="R230" s="53"/>
      <c r="S230" s="57"/>
      <c r="T230" s="53"/>
      <c r="U230" s="53"/>
      <c r="V230" s="53"/>
      <c r="W230" s="53"/>
      <c r="X230" s="57"/>
      <c r="Y230" s="53"/>
      <c r="Z230" s="57"/>
      <c r="AA230" s="53"/>
      <c r="AB230" s="53"/>
      <c r="AC230" s="53"/>
      <c r="AD230" s="53"/>
      <c r="AE230" s="57"/>
      <c r="AF230" s="53"/>
      <c r="AG230" s="57"/>
      <c r="AH230" s="53"/>
      <c r="AI230" s="53"/>
      <c r="AJ230" s="58"/>
    </row>
    <row r="231">
      <c r="A231" s="59"/>
      <c r="B231" s="60"/>
      <c r="C231" s="61"/>
      <c r="D231" s="62"/>
      <c r="E231" s="63"/>
      <c r="F231" s="60"/>
      <c r="G231" s="60"/>
      <c r="H231" s="60"/>
      <c r="I231" s="60"/>
      <c r="J231" s="64"/>
      <c r="K231" s="60"/>
      <c r="L231" s="64"/>
      <c r="M231" s="60"/>
      <c r="N231" s="60"/>
      <c r="O231" s="60"/>
      <c r="P231" s="60"/>
      <c r="Q231" s="64"/>
      <c r="R231" s="60"/>
      <c r="S231" s="64"/>
      <c r="T231" s="60"/>
      <c r="U231" s="60"/>
      <c r="V231" s="60"/>
      <c r="W231" s="60"/>
      <c r="X231" s="64"/>
      <c r="Y231" s="60"/>
      <c r="Z231" s="64"/>
      <c r="AA231" s="60"/>
      <c r="AB231" s="60"/>
      <c r="AC231" s="60"/>
      <c r="AD231" s="60"/>
      <c r="AE231" s="64"/>
      <c r="AF231" s="60"/>
      <c r="AG231" s="64"/>
      <c r="AH231" s="60"/>
      <c r="AI231" s="60"/>
      <c r="AJ231" s="65"/>
    </row>
    <row r="232" ht="33.0" customHeight="1">
      <c r="A232" s="20" t="str">
        <f>IFERROR(__xludf.DUMMYFUNCTION("""COMPUTED_VALUE""")," ")</f>
        <v> </v>
      </c>
      <c r="B232" s="21" t="str">
        <f>IFERROR(__xludf.DUMMYFUNCTION("""COMPUTED_VALUE"""),"A202")</f>
        <v>A202</v>
      </c>
      <c r="C232" s="20"/>
      <c r="D232" s="22" t="str">
        <f>IFERROR(__xludf.DUMMYFUNCTION("""COMPUTED_VALUE"""),"")</f>
        <v/>
      </c>
      <c r="E232" s="23" t="str">
        <f>IFERROR(__xludf.DUMMYFUNCTION("""COMPUTED_VALUE"""),"Ghost Lantern")</f>
        <v>Ghost Lantern</v>
      </c>
      <c r="F232" s="24"/>
      <c r="G232" s="24"/>
      <c r="H232" s="25"/>
      <c r="I232" s="25"/>
      <c r="J232" s="26"/>
      <c r="K232" s="25"/>
      <c r="L232" s="26"/>
      <c r="M232" s="25"/>
      <c r="N232" s="25"/>
      <c r="O232" s="25"/>
      <c r="P232" s="25"/>
      <c r="Q232" s="26"/>
      <c r="R232" s="25"/>
      <c r="S232" s="26"/>
      <c r="T232" s="25"/>
      <c r="U232" s="25"/>
      <c r="V232" s="25"/>
      <c r="W232" s="25"/>
      <c r="X232" s="26"/>
      <c r="Y232" s="25"/>
      <c r="Z232" s="26"/>
      <c r="AA232" s="25"/>
      <c r="AB232" s="25"/>
      <c r="AC232" s="25"/>
      <c r="AD232" s="25"/>
      <c r="AE232" s="26"/>
      <c r="AF232" s="25"/>
      <c r="AG232" s="26"/>
      <c r="AH232" s="24"/>
      <c r="AI232" s="25"/>
      <c r="AJ232" s="27"/>
    </row>
    <row r="233" ht="24.75" customHeight="1">
      <c r="A233" s="28">
        <f>IFERROR(__xludf.DUMMYFUNCTION("""COMPUTED_VALUE"""),1.0)</f>
        <v>1</v>
      </c>
      <c r="B233" s="28" t="str">
        <f>IFERROR(__xludf.DUMMYFUNCTION("""COMPUTED_VALUE"""),"A202")</f>
        <v>A202</v>
      </c>
      <c r="C233" s="28" t="str">
        <f>IFERROR(__xludf.DUMMYFUNCTION("""COMPUTED_VALUE"""),"BBL10")</f>
        <v>BBL10</v>
      </c>
      <c r="D233" s="29" t="str">
        <f>IFERROR(__xludf.DUMMYFUNCTION("""COMPUTED_VALUE"""),"Babylonia")</f>
        <v>Babylonia</v>
      </c>
      <c r="E233" s="30" t="str">
        <f>IFERROR(__xludf.DUMMYFUNCTION("""COMPUTED_VALUE"""),"Kutha")</f>
        <v>Kutha</v>
      </c>
      <c r="F233" s="31">
        <f>IFERROR(__xludf.DUMMYFUNCTION("""COMPUTED_VALUE"""),21.0)</f>
        <v>21</v>
      </c>
      <c r="G233" s="32">
        <f>IFERROR(__xludf.DUMMYFUNCTION("""COMPUTED_VALUE"""),13611.0)</f>
        <v>13611</v>
      </c>
      <c r="H233" s="33" t="str">
        <f>IFERROR(__xludf.DUMMYFUNCTION("""COMPUTED_VALUE"""),"")</f>
        <v/>
      </c>
      <c r="I233" s="34">
        <f>IFERROR(__xludf.DUMMYFUNCTION("""COMPUTED_VALUE"""),52.2)</f>
        <v>52.2</v>
      </c>
      <c r="J233" s="35" t="str">
        <f>IFERROR(__xludf.DUMMYFUNCTION("""COMPUTED_VALUE"""),"AP")</f>
        <v>AP</v>
      </c>
      <c r="K233" s="34">
        <f>IFERROR(__xludf.DUMMYFUNCTION("""COMPUTED_VALUE"""),40.2)</f>
        <v>40.2</v>
      </c>
      <c r="L233" s="35" t="str">
        <f>IFERROR(__xludf.DUMMYFUNCTION("""COMPUTED_VALUE"""),"%")</f>
        <v>%</v>
      </c>
      <c r="M233" s="36">
        <f>IFERROR(__xludf.DUMMYFUNCTION("""COMPUTED_VALUE"""),1.0)</f>
        <v>1</v>
      </c>
      <c r="N233" s="37" t="str">
        <f>IFERROR(__xludf.DUMMYFUNCTION("""COMPUTED_VALUE"""),"B116")</f>
        <v>B116</v>
      </c>
      <c r="O233" s="38" t="str">
        <f>IFERROR(__xludf.DUMMYFUNCTION("""COMPUTED_VALUE"""),"")</f>
        <v/>
      </c>
      <c r="P233" s="34">
        <f>IFERROR(__xludf.DUMMYFUNCTION("""COMPUTED_VALUE"""),172.3)</f>
        <v>172.3</v>
      </c>
      <c r="Q233" s="35" t="str">
        <f>IFERROR(__xludf.DUMMYFUNCTION("""COMPUTED_VALUE"""),"AP")</f>
        <v>AP</v>
      </c>
      <c r="R233" s="34">
        <f>IFERROR(__xludf.DUMMYFUNCTION("""COMPUTED_VALUE"""),12.2)</f>
        <v>12.2</v>
      </c>
      <c r="S233" s="35" t="str">
        <f>IFERROR(__xludf.DUMMYFUNCTION("""COMPUTED_VALUE"""),"%")</f>
        <v>%</v>
      </c>
      <c r="T233" s="36">
        <f>IFERROR(__xludf.DUMMYFUNCTION("""COMPUTED_VALUE"""),2.0)</f>
        <v>2</v>
      </c>
      <c r="U233" s="37"/>
      <c r="V233" s="38"/>
      <c r="W233" s="34" t="str">
        <f>IFERROR(__xludf.DUMMYFUNCTION("""COMPUTED_VALUE"""),"")</f>
        <v/>
      </c>
      <c r="X233" s="35" t="str">
        <f>IFERROR(__xludf.DUMMYFUNCTION("""COMPUTED_VALUE"""),"AP")</f>
        <v>AP</v>
      </c>
      <c r="Y233" s="34" t="str">
        <f>IFERROR(__xludf.DUMMYFUNCTION("""COMPUTED_VALUE"""),"")</f>
        <v/>
      </c>
      <c r="Z233" s="35" t="str">
        <f>IFERROR(__xludf.DUMMYFUNCTION("""COMPUTED_VALUE"""),"%")</f>
        <v>%</v>
      </c>
      <c r="AA233" s="36">
        <f>IFERROR(__xludf.DUMMYFUNCTION("""COMPUTED_VALUE"""),3.0)</f>
        <v>3</v>
      </c>
      <c r="AB233" s="37"/>
      <c r="AC233" s="38"/>
      <c r="AD233" s="34" t="str">
        <f>IFERROR(__xludf.DUMMYFUNCTION("""COMPUTED_VALUE"""),"")</f>
        <v/>
      </c>
      <c r="AE233" s="35" t="str">
        <f>IFERROR(__xludf.DUMMYFUNCTION("""COMPUTED_VALUE"""),"AP")</f>
        <v>AP</v>
      </c>
      <c r="AF233" s="34" t="str">
        <f>IFERROR(__xludf.DUMMYFUNCTION("""COMPUTED_VALUE"""),"")</f>
        <v/>
      </c>
      <c r="AG233" s="35" t="str">
        <f>IFERROR(__xludf.DUMMYFUNCTION("""COMPUTED_VALUE"""),"%")</f>
        <v>%</v>
      </c>
      <c r="AH233" s="31">
        <f>IFERROR(__xludf.DUMMYFUNCTION("""COMPUTED_VALUE"""),21.0)</f>
        <v>21</v>
      </c>
      <c r="AI233" s="32">
        <f>IFERROR(__xludf.DUMMYFUNCTION("""COMPUTED_VALUE"""),13611.0)</f>
        <v>13611</v>
      </c>
      <c r="AJ233" s="39" t="str">
        <f>IFERROR(__xludf.DUMMYFUNCTION("""COMPUTED_VALUE"""),"クタ")</f>
        <v>クタ</v>
      </c>
    </row>
    <row r="234" ht="24.75" customHeight="1">
      <c r="A234" s="40">
        <f>IFERROR(__xludf.DUMMYFUNCTION("""COMPUTED_VALUE"""),2.0)</f>
        <v>2</v>
      </c>
      <c r="B234" s="40" t="str">
        <f>IFERROR(__xludf.DUMMYFUNCTION("""COMPUTED_VALUE"""),"A202")</f>
        <v>A202</v>
      </c>
      <c r="C234" s="40" t="str">
        <f>IFERROR(__xludf.DUMMYFUNCTION("""COMPUTED_VALUE"""),"CML6")</f>
        <v>CML6</v>
      </c>
      <c r="D234" s="41" t="str">
        <f>IFERROR(__xludf.DUMMYFUNCTION("""COMPUTED_VALUE"""),"Camelot")</f>
        <v>Camelot</v>
      </c>
      <c r="E234" s="42" t="str">
        <f>IFERROR(__xludf.DUMMYFUNCTION("""COMPUTED_VALUE"""),"Mausoleum of the Evening Bell")</f>
        <v>Mausoleum of the Evening Bell</v>
      </c>
      <c r="F234" s="43">
        <f>IFERROR(__xludf.DUMMYFUNCTION("""COMPUTED_VALUE"""),19.0)</f>
        <v>19</v>
      </c>
      <c r="G234" s="44">
        <f>IFERROR(__xludf.DUMMYFUNCTION("""COMPUTED_VALUE"""),2303.0)</f>
        <v>2303</v>
      </c>
      <c r="H234" s="33" t="str">
        <f>IFERROR(__xludf.DUMMYFUNCTION("""COMPUTED_VALUE"""),"")</f>
        <v/>
      </c>
      <c r="I234" s="45">
        <f>IFERROR(__xludf.DUMMYFUNCTION("""COMPUTED_VALUE"""),59.2)</f>
        <v>59.2</v>
      </c>
      <c r="J234" s="46" t="str">
        <f>IFERROR(__xludf.DUMMYFUNCTION("""COMPUTED_VALUE"""),"AP")</f>
        <v>AP</v>
      </c>
      <c r="K234" s="47">
        <f>IFERROR(__xludf.DUMMYFUNCTION("""COMPUTED_VALUE"""),32.1)</f>
        <v>32.1</v>
      </c>
      <c r="L234" s="48" t="str">
        <f>IFERROR(__xludf.DUMMYFUNCTION("""COMPUTED_VALUE"""),"%")</f>
        <v>%</v>
      </c>
      <c r="M234" s="49">
        <f>IFERROR(__xludf.DUMMYFUNCTION("""COMPUTED_VALUE"""),1.0)</f>
        <v>1</v>
      </c>
      <c r="N234" s="50" t="str">
        <f>IFERROR(__xludf.DUMMYFUNCTION("""COMPUTED_VALUE"""),"B116")</f>
        <v>B116</v>
      </c>
      <c r="O234" s="38" t="str">
        <f>IFERROR(__xludf.DUMMYFUNCTION("""COMPUTED_VALUE"""),"")</f>
        <v/>
      </c>
      <c r="P234" s="45">
        <f>IFERROR(__xludf.DUMMYFUNCTION("""COMPUTED_VALUE"""),829.7)</f>
        <v>829.7</v>
      </c>
      <c r="Q234" s="46" t="str">
        <f>IFERROR(__xludf.DUMMYFUNCTION("""COMPUTED_VALUE"""),"AP")</f>
        <v>AP</v>
      </c>
      <c r="R234" s="47">
        <f>IFERROR(__xludf.DUMMYFUNCTION("""COMPUTED_VALUE"""),2.3)</f>
        <v>2.3</v>
      </c>
      <c r="S234" s="48" t="str">
        <f>IFERROR(__xludf.DUMMYFUNCTION("""COMPUTED_VALUE"""),"%")</f>
        <v>%</v>
      </c>
      <c r="T234" s="49">
        <f>IFERROR(__xludf.DUMMYFUNCTION("""COMPUTED_VALUE"""),2.0)</f>
        <v>2</v>
      </c>
      <c r="U234" s="50"/>
      <c r="V234" s="38"/>
      <c r="W234" s="45" t="str">
        <f>IFERROR(__xludf.DUMMYFUNCTION("""COMPUTED_VALUE"""),"")</f>
        <v/>
      </c>
      <c r="X234" s="46" t="str">
        <f>IFERROR(__xludf.DUMMYFUNCTION("""COMPUTED_VALUE"""),"AP")</f>
        <v>AP</v>
      </c>
      <c r="Y234" s="47" t="str">
        <f>IFERROR(__xludf.DUMMYFUNCTION("""COMPUTED_VALUE"""),"")</f>
        <v/>
      </c>
      <c r="Z234" s="48" t="str">
        <f>IFERROR(__xludf.DUMMYFUNCTION("""COMPUTED_VALUE"""),"%")</f>
        <v>%</v>
      </c>
      <c r="AA234" s="49">
        <f>IFERROR(__xludf.DUMMYFUNCTION("""COMPUTED_VALUE"""),3.0)</f>
        <v>3</v>
      </c>
      <c r="AB234" s="50"/>
      <c r="AC234" s="38"/>
      <c r="AD234" s="45" t="str">
        <f>IFERROR(__xludf.DUMMYFUNCTION("""COMPUTED_VALUE"""),"")</f>
        <v/>
      </c>
      <c r="AE234" s="46" t="str">
        <f>IFERROR(__xludf.DUMMYFUNCTION("""COMPUTED_VALUE"""),"AP")</f>
        <v>AP</v>
      </c>
      <c r="AF234" s="47" t="str">
        <f>IFERROR(__xludf.DUMMYFUNCTION("""COMPUTED_VALUE"""),"")</f>
        <v/>
      </c>
      <c r="AG234" s="48" t="str">
        <f>IFERROR(__xludf.DUMMYFUNCTION("""COMPUTED_VALUE"""),"%")</f>
        <v>%</v>
      </c>
      <c r="AH234" s="43">
        <f>IFERROR(__xludf.DUMMYFUNCTION("""COMPUTED_VALUE"""),19.0)</f>
        <v>19</v>
      </c>
      <c r="AI234" s="44">
        <f>IFERROR(__xludf.DUMMYFUNCTION("""COMPUTED_VALUE"""),2303.0)</f>
        <v>2303</v>
      </c>
      <c r="AJ234" s="51" t="str">
        <f>IFERROR(__xludf.DUMMYFUNCTION("""COMPUTED_VALUE"""),"晩鐘廟")</f>
        <v>晩鐘廟</v>
      </c>
    </row>
    <row r="235" ht="24.75" customHeight="1">
      <c r="A235" s="28">
        <f>IFERROR(__xludf.DUMMYFUNCTION("""COMPUTED_VALUE"""),3.0)</f>
        <v>3</v>
      </c>
      <c r="B235" s="28" t="str">
        <f>IFERROR(__xludf.DUMMYFUNCTION("""COMPUTED_VALUE"""),"A202")</f>
        <v>A202</v>
      </c>
      <c r="C235" s="28" t="str">
        <f>IFERROR(__xludf.DUMMYFUNCTION("""COMPUTED_VALUE"""),"OKN9")</f>
        <v>OKN9</v>
      </c>
      <c r="D235" s="29" t="str">
        <f>IFERROR(__xludf.DUMMYFUNCTION("""COMPUTED_VALUE"""),"Okeanos")</f>
        <v>Okeanos</v>
      </c>
      <c r="E235" s="30" t="str">
        <f>IFERROR(__xludf.DUMMYFUNCTION("""COMPUTED_VALUE"""),"Stormy Seas")</f>
        <v>Stormy Seas</v>
      </c>
      <c r="F235" s="31">
        <f>IFERROR(__xludf.DUMMYFUNCTION("""COMPUTED_VALUE"""),15.0)</f>
        <v>15</v>
      </c>
      <c r="G235" s="32">
        <f>IFERROR(__xludf.DUMMYFUNCTION("""COMPUTED_VALUE"""),1905.0)</f>
        <v>1905</v>
      </c>
      <c r="H235" s="33" t="str">
        <f>IFERROR(__xludf.DUMMYFUNCTION("""COMPUTED_VALUE"""),"")</f>
        <v/>
      </c>
      <c r="I235" s="34">
        <f>IFERROR(__xludf.DUMMYFUNCTION("""COMPUTED_VALUE"""),70.0)</f>
        <v>70</v>
      </c>
      <c r="J235" s="35" t="str">
        <f>IFERROR(__xludf.DUMMYFUNCTION("""COMPUTED_VALUE"""),"AP")</f>
        <v>AP</v>
      </c>
      <c r="K235" s="34">
        <f>IFERROR(__xludf.DUMMYFUNCTION("""COMPUTED_VALUE"""),21.4)</f>
        <v>21.4</v>
      </c>
      <c r="L235" s="35" t="str">
        <f>IFERROR(__xludf.DUMMYFUNCTION("""COMPUTED_VALUE"""),"%")</f>
        <v>%</v>
      </c>
      <c r="M235" s="36">
        <f>IFERROR(__xludf.DUMMYFUNCTION("""COMPUTED_VALUE"""),1.0)</f>
        <v>1</v>
      </c>
      <c r="N235" s="37"/>
      <c r="O235" s="38"/>
      <c r="P235" s="34" t="str">
        <f>IFERROR(__xludf.DUMMYFUNCTION("""COMPUTED_VALUE"""),"")</f>
        <v/>
      </c>
      <c r="Q235" s="35" t="str">
        <f>IFERROR(__xludf.DUMMYFUNCTION("""COMPUTED_VALUE"""),"AP")</f>
        <v>AP</v>
      </c>
      <c r="R235" s="34" t="str">
        <f>IFERROR(__xludf.DUMMYFUNCTION("""COMPUTED_VALUE"""),"")</f>
        <v/>
      </c>
      <c r="S235" s="35" t="str">
        <f>IFERROR(__xludf.DUMMYFUNCTION("""COMPUTED_VALUE"""),"%")</f>
        <v>%</v>
      </c>
      <c r="T235" s="36">
        <f>IFERROR(__xludf.DUMMYFUNCTION("""COMPUTED_VALUE"""),2.0)</f>
        <v>2</v>
      </c>
      <c r="U235" s="37"/>
      <c r="V235" s="38"/>
      <c r="W235" s="34" t="str">
        <f>IFERROR(__xludf.DUMMYFUNCTION("""COMPUTED_VALUE"""),"")</f>
        <v/>
      </c>
      <c r="X235" s="35" t="str">
        <f>IFERROR(__xludf.DUMMYFUNCTION("""COMPUTED_VALUE"""),"AP")</f>
        <v>AP</v>
      </c>
      <c r="Y235" s="34" t="str">
        <f>IFERROR(__xludf.DUMMYFUNCTION("""COMPUTED_VALUE"""),"")</f>
        <v/>
      </c>
      <c r="Z235" s="35" t="str">
        <f>IFERROR(__xludf.DUMMYFUNCTION("""COMPUTED_VALUE"""),"%")</f>
        <v>%</v>
      </c>
      <c r="AA235" s="36">
        <f>IFERROR(__xludf.DUMMYFUNCTION("""COMPUTED_VALUE"""),3.0)</f>
        <v>3</v>
      </c>
      <c r="AB235" s="37"/>
      <c r="AC235" s="38"/>
      <c r="AD235" s="34" t="str">
        <f>IFERROR(__xludf.DUMMYFUNCTION("""COMPUTED_VALUE"""),"")</f>
        <v/>
      </c>
      <c r="AE235" s="35" t="str">
        <f>IFERROR(__xludf.DUMMYFUNCTION("""COMPUTED_VALUE"""),"AP")</f>
        <v>AP</v>
      </c>
      <c r="AF235" s="34" t="str">
        <f>IFERROR(__xludf.DUMMYFUNCTION("""COMPUTED_VALUE"""),"")</f>
        <v/>
      </c>
      <c r="AG235" s="35" t="str">
        <f>IFERROR(__xludf.DUMMYFUNCTION("""COMPUTED_VALUE"""),"%")</f>
        <v>%</v>
      </c>
      <c r="AH235" s="31">
        <f>IFERROR(__xludf.DUMMYFUNCTION("""COMPUTED_VALUE"""),15.0)</f>
        <v>15</v>
      </c>
      <c r="AI235" s="32">
        <f>IFERROR(__xludf.DUMMYFUNCTION("""COMPUTED_VALUE"""),1905.0)</f>
        <v>1905</v>
      </c>
      <c r="AJ235" s="39" t="str">
        <f>IFERROR(__xludf.DUMMYFUNCTION("""COMPUTED_VALUE"""),"嵐の海域")</f>
        <v>嵐の海域</v>
      </c>
    </row>
    <row r="236" ht="24.75" customHeight="1">
      <c r="A236" s="40">
        <f>IFERROR(__xludf.DUMMYFUNCTION("""COMPUTED_VALUE"""),4.0)</f>
        <v>4</v>
      </c>
      <c r="B236" s="40" t="str">
        <f>IFERROR(__xludf.DUMMYFUNCTION("""COMPUTED_VALUE"""),"A202")</f>
        <v>A202</v>
      </c>
      <c r="C236" s="40" t="str">
        <f>IFERROR(__xludf.DUMMYFUNCTION("""COMPUTED_VALUE"""),"SMS1")</f>
        <v>SMS1</v>
      </c>
      <c r="D236" s="41" t="str">
        <f>IFERROR(__xludf.DUMMYFUNCTION("""COMPUTED_VALUE"""),"Shimosa")</f>
        <v>Shimosa</v>
      </c>
      <c r="E236" s="42" t="str">
        <f>IFERROR(__xludf.DUMMYFUNCTION("""COMPUTED_VALUE"""),"Rice Field")</f>
        <v>Rice Field</v>
      </c>
      <c r="F236" s="43">
        <f>IFERROR(__xludf.DUMMYFUNCTION("""COMPUTED_VALUE"""),20.0)</f>
        <v>20</v>
      </c>
      <c r="G236" s="44">
        <f>IFERROR(__xludf.DUMMYFUNCTION("""COMPUTED_VALUE"""),49597.0)</f>
        <v>49597</v>
      </c>
      <c r="H236" s="33" t="str">
        <f>IFERROR(__xludf.DUMMYFUNCTION("""COMPUTED_VALUE"""),"")</f>
        <v/>
      </c>
      <c r="I236" s="45">
        <f>IFERROR(__xludf.DUMMYFUNCTION("""COMPUTED_VALUE"""),77.9)</f>
        <v>77.9</v>
      </c>
      <c r="J236" s="46" t="str">
        <f>IFERROR(__xludf.DUMMYFUNCTION("""COMPUTED_VALUE"""),"AP")</f>
        <v>AP</v>
      </c>
      <c r="K236" s="47">
        <f>IFERROR(__xludf.DUMMYFUNCTION("""COMPUTED_VALUE"""),25.7)</f>
        <v>25.7</v>
      </c>
      <c r="L236" s="48" t="str">
        <f>IFERROR(__xludf.DUMMYFUNCTION("""COMPUTED_VALUE"""),"%")</f>
        <v>%</v>
      </c>
      <c r="M236" s="49">
        <f>IFERROR(__xludf.DUMMYFUNCTION("""COMPUTED_VALUE"""),1.0)</f>
        <v>1</v>
      </c>
      <c r="N236" s="50" t="str">
        <f>IFERROR(__xludf.DUMMYFUNCTION("""COMPUTED_VALUE"""),"A201")</f>
        <v>A201</v>
      </c>
      <c r="O236" s="38" t="str">
        <f>IFERROR(__xludf.DUMMYFUNCTION("""COMPUTED_VALUE"""),"")</f>
        <v/>
      </c>
      <c r="P236" s="45">
        <f>IFERROR(__xludf.DUMMYFUNCTION("""COMPUTED_VALUE"""),50.3)</f>
        <v>50.3</v>
      </c>
      <c r="Q236" s="46" t="str">
        <f>IFERROR(__xludf.DUMMYFUNCTION("""COMPUTED_VALUE"""),"AP")</f>
        <v>AP</v>
      </c>
      <c r="R236" s="47">
        <f>IFERROR(__xludf.DUMMYFUNCTION("""COMPUTED_VALUE"""),39.8)</f>
        <v>39.8</v>
      </c>
      <c r="S236" s="48" t="str">
        <f>IFERROR(__xludf.DUMMYFUNCTION("""COMPUTED_VALUE"""),"%")</f>
        <v>%</v>
      </c>
      <c r="T236" s="49">
        <f>IFERROR(__xludf.DUMMYFUNCTION("""COMPUTED_VALUE"""),2.0)</f>
        <v>2</v>
      </c>
      <c r="U236" s="50"/>
      <c r="V236" s="38"/>
      <c r="W236" s="45" t="str">
        <f>IFERROR(__xludf.DUMMYFUNCTION("""COMPUTED_VALUE"""),"")</f>
        <v/>
      </c>
      <c r="X236" s="46" t="str">
        <f>IFERROR(__xludf.DUMMYFUNCTION("""COMPUTED_VALUE"""),"AP")</f>
        <v>AP</v>
      </c>
      <c r="Y236" s="47" t="str">
        <f>IFERROR(__xludf.DUMMYFUNCTION("""COMPUTED_VALUE"""),"")</f>
        <v/>
      </c>
      <c r="Z236" s="48" t="str">
        <f>IFERROR(__xludf.DUMMYFUNCTION("""COMPUTED_VALUE"""),"%")</f>
        <v>%</v>
      </c>
      <c r="AA236" s="49">
        <f>IFERROR(__xludf.DUMMYFUNCTION("""COMPUTED_VALUE"""),3.0)</f>
        <v>3</v>
      </c>
      <c r="AB236" s="50"/>
      <c r="AC236" s="38"/>
      <c r="AD236" s="45" t="str">
        <f>IFERROR(__xludf.DUMMYFUNCTION("""COMPUTED_VALUE"""),"")</f>
        <v/>
      </c>
      <c r="AE236" s="46" t="str">
        <f>IFERROR(__xludf.DUMMYFUNCTION("""COMPUTED_VALUE"""),"AP")</f>
        <v>AP</v>
      </c>
      <c r="AF236" s="47" t="str">
        <f>IFERROR(__xludf.DUMMYFUNCTION("""COMPUTED_VALUE"""),"")</f>
        <v/>
      </c>
      <c r="AG236" s="48" t="str">
        <f>IFERROR(__xludf.DUMMYFUNCTION("""COMPUTED_VALUE"""),"%")</f>
        <v>%</v>
      </c>
      <c r="AH236" s="43">
        <f>IFERROR(__xludf.DUMMYFUNCTION("""COMPUTED_VALUE"""),20.0)</f>
        <v>20</v>
      </c>
      <c r="AI236" s="44">
        <f>IFERROR(__xludf.DUMMYFUNCTION("""COMPUTED_VALUE"""),49597.0)</f>
        <v>49597</v>
      </c>
      <c r="AJ236" s="51" t="str">
        <f>IFERROR(__xludf.DUMMYFUNCTION("""COMPUTED_VALUE"""),"田んぼ")</f>
        <v>田んぼ</v>
      </c>
    </row>
    <row r="237" ht="24.75" customHeight="1">
      <c r="A237" s="28">
        <f>IFERROR(__xludf.DUMMYFUNCTION("""COMPUTED_VALUE"""),5.0)</f>
        <v>5</v>
      </c>
      <c r="B237" s="28" t="str">
        <f>IFERROR(__xludf.DUMMYFUNCTION("""COMPUTED_VALUE"""),"A202")</f>
        <v>A202</v>
      </c>
      <c r="C237" s="28" t="str">
        <f>IFERROR(__xludf.DUMMYFUNCTION("""COMPUTED_VALUE"""),"HEA7")</f>
        <v>HEA7</v>
      </c>
      <c r="D237" s="29" t="str">
        <f>IFERROR(__xludf.DUMMYFUNCTION("""COMPUTED_VALUE"""),"Heian-kyo")</f>
        <v>Heian-kyo</v>
      </c>
      <c r="E237" s="30" t="str">
        <f>IFERROR(__xludf.DUMMYFUNCTION("""COMPUTED_VALUE"""),"Suzaku Main Street")</f>
        <v>Suzaku Main Street</v>
      </c>
      <c r="F237" s="31">
        <f>IFERROR(__xludf.DUMMYFUNCTION("""COMPUTED_VALUE"""),21.0)</f>
        <v>21</v>
      </c>
      <c r="G237" s="32">
        <f>IFERROR(__xludf.DUMMYFUNCTION("""COMPUTED_VALUE"""),1655.0)</f>
        <v>1655</v>
      </c>
      <c r="H237" s="33" t="str">
        <f>IFERROR(__xludf.DUMMYFUNCTION("""COMPUTED_VALUE"""),"")</f>
        <v/>
      </c>
      <c r="I237" s="34">
        <f>IFERROR(__xludf.DUMMYFUNCTION("""COMPUTED_VALUE"""),80.0)</f>
        <v>80</v>
      </c>
      <c r="J237" s="35" t="str">
        <f>IFERROR(__xludf.DUMMYFUNCTION("""COMPUTED_VALUE"""),"AP")</f>
        <v>AP</v>
      </c>
      <c r="K237" s="34">
        <f>IFERROR(__xludf.DUMMYFUNCTION("""COMPUTED_VALUE"""),26.3)</f>
        <v>26.3</v>
      </c>
      <c r="L237" s="35" t="str">
        <f>IFERROR(__xludf.DUMMYFUNCTION("""COMPUTED_VALUE"""),"%")</f>
        <v>%</v>
      </c>
      <c r="M237" s="36">
        <f>IFERROR(__xludf.DUMMYFUNCTION("""COMPUTED_VALUE"""),1.0)</f>
        <v>1</v>
      </c>
      <c r="N237" s="37" t="str">
        <f>IFERROR(__xludf.DUMMYFUNCTION("""COMPUTED_VALUE"""),"A220")</f>
        <v>A220</v>
      </c>
      <c r="O237" s="38" t="str">
        <f>IFERROR(__xludf.DUMMYFUNCTION("""COMPUTED_VALUE"""),"")</f>
        <v/>
      </c>
      <c r="P237" s="34">
        <f>IFERROR(__xludf.DUMMYFUNCTION("""COMPUTED_VALUE"""),81.6)</f>
        <v>81.6</v>
      </c>
      <c r="Q237" s="35" t="str">
        <f>IFERROR(__xludf.DUMMYFUNCTION("""COMPUTED_VALUE"""),"AP")</f>
        <v>AP</v>
      </c>
      <c r="R237" s="34">
        <f>IFERROR(__xludf.DUMMYFUNCTION("""COMPUTED_VALUE"""),25.7)</f>
        <v>25.7</v>
      </c>
      <c r="S237" s="35" t="str">
        <f>IFERROR(__xludf.DUMMYFUNCTION("""COMPUTED_VALUE"""),"%")</f>
        <v>%</v>
      </c>
      <c r="T237" s="36">
        <f>IFERROR(__xludf.DUMMYFUNCTION("""COMPUTED_VALUE"""),2.0)</f>
        <v>2</v>
      </c>
      <c r="U237" s="37" t="str">
        <f>IFERROR(__xludf.DUMMYFUNCTION("""COMPUTED_VALUE"""),"B113")</f>
        <v>B113</v>
      </c>
      <c r="V237" s="38" t="str">
        <f>IFERROR(__xludf.DUMMYFUNCTION("""COMPUTED_VALUE"""),"")</f>
        <v/>
      </c>
      <c r="W237" s="34">
        <f>IFERROR(__xludf.DUMMYFUNCTION("""COMPUTED_VALUE"""),112.5)</f>
        <v>112.5</v>
      </c>
      <c r="X237" s="35" t="str">
        <f>IFERROR(__xludf.DUMMYFUNCTION("""COMPUTED_VALUE"""),"AP")</f>
        <v>AP</v>
      </c>
      <c r="Y237" s="34">
        <f>IFERROR(__xludf.DUMMYFUNCTION("""COMPUTED_VALUE"""),18.7)</f>
        <v>18.7</v>
      </c>
      <c r="Z237" s="35" t="str">
        <f>IFERROR(__xludf.DUMMYFUNCTION("""COMPUTED_VALUE"""),"%")</f>
        <v>%</v>
      </c>
      <c r="AA237" s="36">
        <f>IFERROR(__xludf.DUMMYFUNCTION("""COMPUTED_VALUE"""),3.0)</f>
        <v>3</v>
      </c>
      <c r="AB237" s="37"/>
      <c r="AC237" s="38"/>
      <c r="AD237" s="34" t="str">
        <f>IFERROR(__xludf.DUMMYFUNCTION("""COMPUTED_VALUE"""),"")</f>
        <v/>
      </c>
      <c r="AE237" s="35" t="str">
        <f>IFERROR(__xludf.DUMMYFUNCTION("""COMPUTED_VALUE"""),"AP")</f>
        <v>AP</v>
      </c>
      <c r="AF237" s="34" t="str">
        <f>IFERROR(__xludf.DUMMYFUNCTION("""COMPUTED_VALUE"""),"")</f>
        <v/>
      </c>
      <c r="AG237" s="35" t="str">
        <f>IFERROR(__xludf.DUMMYFUNCTION("""COMPUTED_VALUE"""),"%")</f>
        <v>%</v>
      </c>
      <c r="AH237" s="31">
        <f>IFERROR(__xludf.DUMMYFUNCTION("""COMPUTED_VALUE"""),21.0)</f>
        <v>21</v>
      </c>
      <c r="AI237" s="32">
        <f>IFERROR(__xludf.DUMMYFUNCTION("""COMPUTED_VALUE"""),1655.0)</f>
        <v>1655</v>
      </c>
      <c r="AJ237" s="39" t="str">
        <f>IFERROR(__xludf.DUMMYFUNCTION("""COMPUTED_VALUE"""),"朱雀大路")</f>
        <v>朱雀大路</v>
      </c>
    </row>
    <row r="238" ht="24.75" customHeight="1">
      <c r="A238" s="40">
        <f>IFERROR(__xludf.DUMMYFUNCTION("""COMPUTED_VALUE"""),6.0)</f>
        <v>6</v>
      </c>
      <c r="B238" s="40" t="str">
        <f>IFERROR(__xludf.DUMMYFUNCTION("""COMPUTED_VALUE"""),"A202")</f>
        <v>A202</v>
      </c>
      <c r="C238" s="40" t="str">
        <f>IFERROR(__xludf.DUMMYFUNCTION("""COMPUTED_VALUE"""),"SMS9")</f>
        <v>SMS9</v>
      </c>
      <c r="D238" s="41" t="str">
        <f>IFERROR(__xludf.DUMMYFUNCTION("""COMPUTED_VALUE"""),"Shimosa")</f>
        <v>Shimosa</v>
      </c>
      <c r="E238" s="42" t="str">
        <f>IFERROR(__xludf.DUMMYFUNCTION("""COMPUTED_VALUE"""),"Rear Mountain (Trembling in Fear)")</f>
        <v>Rear Mountain (Trembling in Fear)</v>
      </c>
      <c r="F238" s="43">
        <f>IFERROR(__xludf.DUMMYFUNCTION("""COMPUTED_VALUE"""),21.0)</f>
        <v>21</v>
      </c>
      <c r="G238" s="44">
        <f>IFERROR(__xludf.DUMMYFUNCTION("""COMPUTED_VALUE"""),25285.0)</f>
        <v>25285</v>
      </c>
      <c r="H238" s="33" t="str">
        <f>IFERROR(__xludf.DUMMYFUNCTION("""COMPUTED_VALUE"""),"")</f>
        <v/>
      </c>
      <c r="I238" s="45">
        <f>IFERROR(__xludf.DUMMYFUNCTION("""COMPUTED_VALUE"""),82.1)</f>
        <v>82.1</v>
      </c>
      <c r="J238" s="46" t="str">
        <f>IFERROR(__xludf.DUMMYFUNCTION("""COMPUTED_VALUE"""),"AP")</f>
        <v>AP</v>
      </c>
      <c r="K238" s="47">
        <f>IFERROR(__xludf.DUMMYFUNCTION("""COMPUTED_VALUE"""),25.6)</f>
        <v>25.6</v>
      </c>
      <c r="L238" s="48" t="str">
        <f>IFERROR(__xludf.DUMMYFUNCTION("""COMPUTED_VALUE"""),"%")</f>
        <v>%</v>
      </c>
      <c r="M238" s="49">
        <f>IFERROR(__xludf.DUMMYFUNCTION("""COMPUTED_VALUE"""),1.0)</f>
        <v>1</v>
      </c>
      <c r="N238" s="50" t="str">
        <f>IFERROR(__xludf.DUMMYFUNCTION("""COMPUTED_VALUE"""),"A114")</f>
        <v>A114</v>
      </c>
      <c r="O238" s="38" t="str">
        <f>IFERROR(__xludf.DUMMYFUNCTION("""COMPUTED_VALUE"""),"")</f>
        <v/>
      </c>
      <c r="P238" s="45">
        <f>IFERROR(__xludf.DUMMYFUNCTION("""COMPUTED_VALUE"""),173.5)</f>
        <v>173.5</v>
      </c>
      <c r="Q238" s="46" t="str">
        <f>IFERROR(__xludf.DUMMYFUNCTION("""COMPUTED_VALUE"""),"AP")</f>
        <v>AP</v>
      </c>
      <c r="R238" s="47">
        <f>IFERROR(__xludf.DUMMYFUNCTION("""COMPUTED_VALUE"""),12.1)</f>
        <v>12.1</v>
      </c>
      <c r="S238" s="48" t="str">
        <f>IFERROR(__xludf.DUMMYFUNCTION("""COMPUTED_VALUE"""),"%")</f>
        <v>%</v>
      </c>
      <c r="T238" s="49">
        <f>IFERROR(__xludf.DUMMYFUNCTION("""COMPUTED_VALUE"""),2.0)</f>
        <v>2</v>
      </c>
      <c r="U238" s="50" t="str">
        <f>IFERROR(__xludf.DUMMYFUNCTION("""COMPUTED_VALUE"""),"B106")</f>
        <v>B106</v>
      </c>
      <c r="V238" s="38" t="str">
        <f>IFERROR(__xludf.DUMMYFUNCTION("""COMPUTED_VALUE"""),"")</f>
        <v/>
      </c>
      <c r="W238" s="45">
        <f>IFERROR(__xludf.DUMMYFUNCTION("""COMPUTED_VALUE"""),497.6)</f>
        <v>497.6</v>
      </c>
      <c r="X238" s="46" t="str">
        <f>IFERROR(__xludf.DUMMYFUNCTION("""COMPUTED_VALUE"""),"AP")</f>
        <v>AP</v>
      </c>
      <c r="Y238" s="47">
        <f>IFERROR(__xludf.DUMMYFUNCTION("""COMPUTED_VALUE"""),4.19999999)</f>
        <v>4.19999999</v>
      </c>
      <c r="Z238" s="48" t="str">
        <f>IFERROR(__xludf.DUMMYFUNCTION("""COMPUTED_VALUE"""),"%")</f>
        <v>%</v>
      </c>
      <c r="AA238" s="49">
        <f>IFERROR(__xludf.DUMMYFUNCTION("""COMPUTED_VALUE"""),3.0)</f>
        <v>3</v>
      </c>
      <c r="AB238" s="50"/>
      <c r="AC238" s="38"/>
      <c r="AD238" s="45" t="str">
        <f>IFERROR(__xludf.DUMMYFUNCTION("""COMPUTED_VALUE"""),"")</f>
        <v/>
      </c>
      <c r="AE238" s="46" t="str">
        <f>IFERROR(__xludf.DUMMYFUNCTION("""COMPUTED_VALUE"""),"AP")</f>
        <v>AP</v>
      </c>
      <c r="AF238" s="47" t="str">
        <f>IFERROR(__xludf.DUMMYFUNCTION("""COMPUTED_VALUE"""),"")</f>
        <v/>
      </c>
      <c r="AG238" s="48" t="str">
        <f>IFERROR(__xludf.DUMMYFUNCTION("""COMPUTED_VALUE"""),"%")</f>
        <v>%</v>
      </c>
      <c r="AH238" s="43">
        <f>IFERROR(__xludf.DUMMYFUNCTION("""COMPUTED_VALUE"""),21.0)</f>
        <v>21</v>
      </c>
      <c r="AI238" s="44">
        <f>IFERROR(__xludf.DUMMYFUNCTION("""COMPUTED_VALUE"""),25285.0)</f>
        <v>25285</v>
      </c>
      <c r="AJ238" s="51" t="str">
        <f>IFERROR(__xludf.DUMMYFUNCTION("""COMPUTED_VALUE"""),"裏山（戦戦恐恐）")</f>
        <v>裏山（戦戦恐恐）</v>
      </c>
    </row>
    <row r="239" ht="24.75" customHeight="1">
      <c r="A239" s="28">
        <f>IFERROR(__xludf.DUMMYFUNCTION("""COMPUTED_VALUE"""),7.0)</f>
        <v>7</v>
      </c>
      <c r="B239" s="28" t="str">
        <f>IFERROR(__xludf.DUMMYFUNCTION("""COMPUTED_VALUE"""),"A202")</f>
        <v>A202</v>
      </c>
      <c r="C239" s="28" t="str">
        <f>IFERROR(__xludf.DUMMYFUNCTION("""COMPUTED_VALUE"""),"SMS3")</f>
        <v>SMS3</v>
      </c>
      <c r="D239" s="29" t="str">
        <f>IFERROR(__xludf.DUMMYFUNCTION("""COMPUTED_VALUE"""),"Shimosa")</f>
        <v>Shimosa</v>
      </c>
      <c r="E239" s="30" t="str">
        <f>IFERROR(__xludf.DUMMYFUNCTION("""COMPUTED_VALUE"""),"Monastery")</f>
        <v>Monastery</v>
      </c>
      <c r="F239" s="31">
        <f>IFERROR(__xludf.DUMMYFUNCTION("""COMPUTED_VALUE"""),21.0)</f>
        <v>21</v>
      </c>
      <c r="G239" s="32">
        <f>IFERROR(__xludf.DUMMYFUNCTION("""COMPUTED_VALUE"""),10300.0)</f>
        <v>10300</v>
      </c>
      <c r="H239" s="33" t="str">
        <f>IFERROR(__xludf.DUMMYFUNCTION("""COMPUTED_VALUE"""),"")</f>
        <v/>
      </c>
      <c r="I239" s="34">
        <f>IFERROR(__xludf.DUMMYFUNCTION("""COMPUTED_VALUE"""),83.4)</f>
        <v>83.4</v>
      </c>
      <c r="J239" s="35" t="str">
        <f>IFERROR(__xludf.DUMMYFUNCTION("""COMPUTED_VALUE"""),"AP")</f>
        <v>AP</v>
      </c>
      <c r="K239" s="34">
        <f>IFERROR(__xludf.DUMMYFUNCTION("""COMPUTED_VALUE"""),25.2)</f>
        <v>25.2</v>
      </c>
      <c r="L239" s="35" t="str">
        <f>IFERROR(__xludf.DUMMYFUNCTION("""COMPUTED_VALUE"""),"%")</f>
        <v>%</v>
      </c>
      <c r="M239" s="36">
        <f>IFERROR(__xludf.DUMMYFUNCTION("""COMPUTED_VALUE"""),1.0)</f>
        <v>1</v>
      </c>
      <c r="N239" s="37" t="str">
        <f>IFERROR(__xludf.DUMMYFUNCTION("""COMPUTED_VALUE"""),"A212")</f>
        <v>A212</v>
      </c>
      <c r="O239" s="38" t="str">
        <f>IFERROR(__xludf.DUMMYFUNCTION("""COMPUTED_VALUE"""),"")</f>
        <v/>
      </c>
      <c r="P239" s="34">
        <f>IFERROR(__xludf.DUMMYFUNCTION("""COMPUTED_VALUE"""),83.4)</f>
        <v>83.4</v>
      </c>
      <c r="Q239" s="35" t="str">
        <f>IFERROR(__xludf.DUMMYFUNCTION("""COMPUTED_VALUE"""),"AP")</f>
        <v>AP</v>
      </c>
      <c r="R239" s="34">
        <f>IFERROR(__xludf.DUMMYFUNCTION("""COMPUTED_VALUE"""),25.2)</f>
        <v>25.2</v>
      </c>
      <c r="S239" s="35" t="str">
        <f>IFERROR(__xludf.DUMMYFUNCTION("""COMPUTED_VALUE"""),"%")</f>
        <v>%</v>
      </c>
      <c r="T239" s="36">
        <f>IFERROR(__xludf.DUMMYFUNCTION("""COMPUTED_VALUE"""),2.0)</f>
        <v>2</v>
      </c>
      <c r="U239" s="37" t="str">
        <f>IFERROR(__xludf.DUMMYFUNCTION("""COMPUTED_VALUE"""),"B111")</f>
        <v>B111</v>
      </c>
      <c r="V239" s="38" t="str">
        <f>IFERROR(__xludf.DUMMYFUNCTION("""COMPUTED_VALUE"""),"")</f>
        <v/>
      </c>
      <c r="W239" s="34">
        <f>IFERROR(__xludf.DUMMYFUNCTION("""COMPUTED_VALUE"""),100.9)</f>
        <v>100.9</v>
      </c>
      <c r="X239" s="35" t="str">
        <f>IFERROR(__xludf.DUMMYFUNCTION("""COMPUTED_VALUE"""),"AP")</f>
        <v>AP</v>
      </c>
      <c r="Y239" s="34">
        <f>IFERROR(__xludf.DUMMYFUNCTION("""COMPUTED_VALUE"""),20.8)</f>
        <v>20.8</v>
      </c>
      <c r="Z239" s="35" t="str">
        <f>IFERROR(__xludf.DUMMYFUNCTION("""COMPUTED_VALUE"""),"%")</f>
        <v>%</v>
      </c>
      <c r="AA239" s="36">
        <f>IFERROR(__xludf.DUMMYFUNCTION("""COMPUTED_VALUE"""),3.0)</f>
        <v>3</v>
      </c>
      <c r="AB239" s="37"/>
      <c r="AC239" s="38"/>
      <c r="AD239" s="34" t="str">
        <f>IFERROR(__xludf.DUMMYFUNCTION("""COMPUTED_VALUE"""),"")</f>
        <v/>
      </c>
      <c r="AE239" s="35" t="str">
        <f>IFERROR(__xludf.DUMMYFUNCTION("""COMPUTED_VALUE"""),"AP")</f>
        <v>AP</v>
      </c>
      <c r="AF239" s="34" t="str">
        <f>IFERROR(__xludf.DUMMYFUNCTION("""COMPUTED_VALUE"""),"")</f>
        <v/>
      </c>
      <c r="AG239" s="35" t="str">
        <f>IFERROR(__xludf.DUMMYFUNCTION("""COMPUTED_VALUE"""),"%")</f>
        <v>%</v>
      </c>
      <c r="AH239" s="31">
        <f>IFERROR(__xludf.DUMMYFUNCTION("""COMPUTED_VALUE"""),21.0)</f>
        <v>21</v>
      </c>
      <c r="AI239" s="32">
        <f>IFERROR(__xludf.DUMMYFUNCTION("""COMPUTED_VALUE"""),10300.0)</f>
        <v>10300</v>
      </c>
      <c r="AJ239" s="39" t="str">
        <f>IFERROR(__xludf.DUMMYFUNCTION("""COMPUTED_VALUE"""),"庵")</f>
        <v>庵</v>
      </c>
    </row>
    <row r="240" ht="24.75" customHeight="1">
      <c r="A240" s="40">
        <f>IFERROR(__xludf.DUMMYFUNCTION("""COMPUTED_VALUE"""),8.0)</f>
        <v>8</v>
      </c>
      <c r="B240" s="40" t="str">
        <f>IFERROR(__xludf.DUMMYFUNCTION("""COMPUTED_VALUE"""),"A202")</f>
        <v>A202</v>
      </c>
      <c r="C240" s="40" t="str">
        <f>IFERROR(__xludf.DUMMYFUNCTION("""COMPUTED_VALUE"""),"SEP3")</f>
        <v>SEP3</v>
      </c>
      <c r="D240" s="41" t="str">
        <f>IFERROR(__xludf.DUMMYFUNCTION("""COMPUTED_VALUE"""),"Septem")</f>
        <v>Septem</v>
      </c>
      <c r="E240" s="42" t="str">
        <f>IFERROR(__xludf.DUMMYFUNCTION("""COMPUTED_VALUE"""),"Mt. Etna")</f>
        <v>Mt. Etna</v>
      </c>
      <c r="F240" s="43">
        <f>IFERROR(__xludf.DUMMYFUNCTION("""COMPUTED_VALUE"""),9.0)</f>
        <v>9</v>
      </c>
      <c r="G240" s="44">
        <f>IFERROR(__xludf.DUMMYFUNCTION("""COMPUTED_VALUE"""),1102.0)</f>
        <v>1102</v>
      </c>
      <c r="H240" s="33" t="str">
        <f>IFERROR(__xludf.DUMMYFUNCTION("""COMPUTED_VALUE"""),"")</f>
        <v/>
      </c>
      <c r="I240" s="45">
        <f>IFERROR(__xludf.DUMMYFUNCTION("""COMPUTED_VALUE"""),110.2)</f>
        <v>110.2</v>
      </c>
      <c r="J240" s="46" t="str">
        <f>IFERROR(__xludf.DUMMYFUNCTION("""COMPUTED_VALUE"""),"AP")</f>
        <v>AP</v>
      </c>
      <c r="K240" s="47">
        <f>IFERROR(__xludf.DUMMYFUNCTION("""COMPUTED_VALUE"""),8.2)</f>
        <v>8.2</v>
      </c>
      <c r="L240" s="48" t="str">
        <f>IFERROR(__xludf.DUMMYFUNCTION("""COMPUTED_VALUE"""),"%")</f>
        <v>%</v>
      </c>
      <c r="M240" s="49">
        <f>IFERROR(__xludf.DUMMYFUNCTION("""COMPUTED_VALUE"""),1.0)</f>
        <v>1</v>
      </c>
      <c r="N240" s="50"/>
      <c r="O240" s="38"/>
      <c r="P240" s="45" t="str">
        <f>IFERROR(__xludf.DUMMYFUNCTION("""COMPUTED_VALUE"""),"")</f>
        <v/>
      </c>
      <c r="Q240" s="46" t="str">
        <f>IFERROR(__xludf.DUMMYFUNCTION("""COMPUTED_VALUE"""),"AP")</f>
        <v>AP</v>
      </c>
      <c r="R240" s="47" t="str">
        <f>IFERROR(__xludf.DUMMYFUNCTION("""COMPUTED_VALUE"""),"")</f>
        <v/>
      </c>
      <c r="S240" s="48" t="str">
        <f>IFERROR(__xludf.DUMMYFUNCTION("""COMPUTED_VALUE"""),"%")</f>
        <v>%</v>
      </c>
      <c r="T240" s="49">
        <f>IFERROR(__xludf.DUMMYFUNCTION("""COMPUTED_VALUE"""),2.0)</f>
        <v>2</v>
      </c>
      <c r="U240" s="50"/>
      <c r="V240" s="38"/>
      <c r="W240" s="45" t="str">
        <f>IFERROR(__xludf.DUMMYFUNCTION("""COMPUTED_VALUE"""),"")</f>
        <v/>
      </c>
      <c r="X240" s="46" t="str">
        <f>IFERROR(__xludf.DUMMYFUNCTION("""COMPUTED_VALUE"""),"AP")</f>
        <v>AP</v>
      </c>
      <c r="Y240" s="47" t="str">
        <f>IFERROR(__xludf.DUMMYFUNCTION("""COMPUTED_VALUE"""),"")</f>
        <v/>
      </c>
      <c r="Z240" s="48" t="str">
        <f>IFERROR(__xludf.DUMMYFUNCTION("""COMPUTED_VALUE"""),"%")</f>
        <v>%</v>
      </c>
      <c r="AA240" s="49">
        <f>IFERROR(__xludf.DUMMYFUNCTION("""COMPUTED_VALUE"""),3.0)</f>
        <v>3</v>
      </c>
      <c r="AB240" s="50"/>
      <c r="AC240" s="38"/>
      <c r="AD240" s="45" t="str">
        <f>IFERROR(__xludf.DUMMYFUNCTION("""COMPUTED_VALUE"""),"")</f>
        <v/>
      </c>
      <c r="AE240" s="46" t="str">
        <f>IFERROR(__xludf.DUMMYFUNCTION("""COMPUTED_VALUE"""),"AP")</f>
        <v>AP</v>
      </c>
      <c r="AF240" s="47" t="str">
        <f>IFERROR(__xludf.DUMMYFUNCTION("""COMPUTED_VALUE"""),"")</f>
        <v/>
      </c>
      <c r="AG240" s="48" t="str">
        <f>IFERROR(__xludf.DUMMYFUNCTION("""COMPUTED_VALUE"""),"%")</f>
        <v>%</v>
      </c>
      <c r="AH240" s="43">
        <f>IFERROR(__xludf.DUMMYFUNCTION("""COMPUTED_VALUE"""),9.0)</f>
        <v>9</v>
      </c>
      <c r="AI240" s="44">
        <f>IFERROR(__xludf.DUMMYFUNCTION("""COMPUTED_VALUE"""),1102.0)</f>
        <v>1102</v>
      </c>
      <c r="AJ240" s="51" t="str">
        <f>IFERROR(__xludf.DUMMYFUNCTION("""COMPUTED_VALUE"""),"エトナ火山")</f>
        <v>エトナ火山</v>
      </c>
    </row>
    <row r="241" ht="24.75" customHeight="1">
      <c r="A241" s="28">
        <f>IFERROR(__xludf.DUMMYFUNCTION("""COMPUTED_VALUE"""),9.0)</f>
        <v>9</v>
      </c>
      <c r="B241" s="28" t="str">
        <f>IFERROR(__xludf.DUMMYFUNCTION("""COMPUTED_VALUE"""),"A202")</f>
        <v>A202</v>
      </c>
      <c r="C241" s="28" t="str">
        <f>IFERROR(__xludf.DUMMYFUNCTION("""COMPUTED_VALUE"""),"TRF23")</f>
        <v>TRF23</v>
      </c>
      <c r="D241" s="29" t="str">
        <f>IFERROR(__xludf.DUMMYFUNCTION("""COMPUTED_VALUE"""),"Chaldea Gate (Sat)")</f>
        <v>Chaldea Gate (Sat)</v>
      </c>
      <c r="E241" s="30" t="str">
        <f>IFERROR(__xludf.DUMMYFUNCTION("""COMPUTED_VALUE"""),"SAT Assassin Training Ground- Adv")</f>
        <v>SAT Assassin Training Ground- Adv</v>
      </c>
      <c r="F241" s="31">
        <f>IFERROR(__xludf.DUMMYFUNCTION("""COMPUTED_VALUE"""),30.0)</f>
        <v>30</v>
      </c>
      <c r="G241" s="32">
        <f>IFERROR(__xludf.DUMMYFUNCTION("""COMPUTED_VALUE"""),1209.0)</f>
        <v>1209</v>
      </c>
      <c r="H241" s="33" t="str">
        <f>IFERROR(__xludf.DUMMYFUNCTION("""COMPUTED_VALUE"""),"")</f>
        <v/>
      </c>
      <c r="I241" s="34">
        <f>IFERROR(__xludf.DUMMYFUNCTION("""COMPUTED_VALUE"""),186.0)</f>
        <v>186</v>
      </c>
      <c r="J241" s="35" t="str">
        <f>IFERROR(__xludf.DUMMYFUNCTION("""COMPUTED_VALUE"""),"AP")</f>
        <v>AP</v>
      </c>
      <c r="K241" s="34">
        <f>IFERROR(__xludf.DUMMYFUNCTION("""COMPUTED_VALUE"""),16.1)</f>
        <v>16.1</v>
      </c>
      <c r="L241" s="35" t="str">
        <f>IFERROR(__xludf.DUMMYFUNCTION("""COMPUTED_VALUE"""),"%")</f>
        <v>%</v>
      </c>
      <c r="M241" s="36">
        <f>IFERROR(__xludf.DUMMYFUNCTION("""COMPUTED_VALUE"""),1.0)</f>
        <v>1</v>
      </c>
      <c r="N241" s="37" t="str">
        <f>IFERROR(__xludf.DUMMYFUNCTION("""COMPUTED_VALUE"""),"A107")</f>
        <v>A107</v>
      </c>
      <c r="O241" s="38" t="str">
        <f>IFERROR(__xludf.DUMMYFUNCTION("""COMPUTED_VALUE"""),"")</f>
        <v/>
      </c>
      <c r="P241" s="34">
        <f>IFERROR(__xludf.DUMMYFUNCTION("""COMPUTED_VALUE"""),510.8)</f>
        <v>510.8</v>
      </c>
      <c r="Q241" s="35" t="str">
        <f>IFERROR(__xludf.DUMMYFUNCTION("""COMPUTED_VALUE"""),"AP")</f>
        <v>AP</v>
      </c>
      <c r="R241" s="34">
        <f>IFERROR(__xludf.DUMMYFUNCTION("""COMPUTED_VALUE"""),5.9)</f>
        <v>5.9</v>
      </c>
      <c r="S241" s="35" t="str">
        <f>IFERROR(__xludf.DUMMYFUNCTION("""COMPUTED_VALUE"""),"%")</f>
        <v>%</v>
      </c>
      <c r="T241" s="36">
        <f>IFERROR(__xludf.DUMMYFUNCTION("""COMPUTED_VALUE"""),2.0)</f>
        <v>2</v>
      </c>
      <c r="U241" s="37" t="str">
        <f>IFERROR(__xludf.DUMMYFUNCTION("""COMPUTED_VALUE"""),"A201")</f>
        <v>A201</v>
      </c>
      <c r="V241" s="38" t="str">
        <f>IFERROR(__xludf.DUMMYFUNCTION("""COMPUTED_VALUE"""),"")</f>
        <v/>
      </c>
      <c r="W241" s="34">
        <f>IFERROR(__xludf.DUMMYFUNCTION("""COMPUTED_VALUE"""),191.9)</f>
        <v>191.9</v>
      </c>
      <c r="X241" s="35" t="str">
        <f>IFERROR(__xludf.DUMMYFUNCTION("""COMPUTED_VALUE"""),"AP")</f>
        <v>AP</v>
      </c>
      <c r="Y241" s="34">
        <f>IFERROR(__xludf.DUMMYFUNCTION("""COMPUTED_VALUE"""),15.6)</f>
        <v>15.6</v>
      </c>
      <c r="Z241" s="35" t="str">
        <f>IFERROR(__xludf.DUMMYFUNCTION("""COMPUTED_VALUE"""),"%")</f>
        <v>%</v>
      </c>
      <c r="AA241" s="36">
        <f>IFERROR(__xludf.DUMMYFUNCTION("""COMPUTED_VALUE"""),3.0)</f>
        <v>3</v>
      </c>
      <c r="AB241" s="37" t="str">
        <f>IFERROR(__xludf.DUMMYFUNCTION("""COMPUTED_VALUE"""),"A206")</f>
        <v>A206</v>
      </c>
      <c r="AC241" s="38" t="str">
        <f>IFERROR(__xludf.DUMMYFUNCTION("""COMPUTED_VALUE"""),"")</f>
        <v/>
      </c>
      <c r="AD241" s="34">
        <f>IFERROR(__xludf.DUMMYFUNCTION("""COMPUTED_VALUE"""),188.9)</f>
        <v>188.9</v>
      </c>
      <c r="AE241" s="35" t="str">
        <f>IFERROR(__xludf.DUMMYFUNCTION("""COMPUTED_VALUE"""),"AP")</f>
        <v>AP</v>
      </c>
      <c r="AF241" s="34">
        <f>IFERROR(__xludf.DUMMYFUNCTION("""COMPUTED_VALUE"""),15.9)</f>
        <v>15.9</v>
      </c>
      <c r="AG241" s="35" t="str">
        <f>IFERROR(__xludf.DUMMYFUNCTION("""COMPUTED_VALUE"""),"%")</f>
        <v>%</v>
      </c>
      <c r="AH241" s="31">
        <f>IFERROR(__xludf.DUMMYFUNCTION("""COMPUTED_VALUE"""),30.0)</f>
        <v>30</v>
      </c>
      <c r="AI241" s="32">
        <f>IFERROR(__xludf.DUMMYFUNCTION("""COMPUTED_VALUE"""),1209.0)</f>
        <v>1209</v>
      </c>
      <c r="AJ241" s="39" t="str">
        <f>IFERROR(__xludf.DUMMYFUNCTION("""COMPUTED_VALUE"""),"殺上級")</f>
        <v>殺上級</v>
      </c>
    </row>
    <row r="242" ht="24.75" customHeight="1">
      <c r="A242" s="40">
        <f>IFERROR(__xludf.DUMMYFUNCTION("""COMPUTED_VALUE"""),10.0)</f>
        <v>10</v>
      </c>
      <c r="B242" s="40" t="str">
        <f>IFERROR(__xludf.DUMMYFUNCTION("""COMPUTED_VALUE"""),"A202")</f>
        <v>A202</v>
      </c>
      <c r="C242" s="40" t="str">
        <f>IFERROR(__xludf.DUMMYFUNCTION("""COMPUTED_VALUE"""),"TRF24")</f>
        <v>TRF24</v>
      </c>
      <c r="D242" s="41" t="str">
        <f>IFERROR(__xludf.DUMMYFUNCTION("""COMPUTED_VALUE"""),"Chaldea Gate (Sat)")</f>
        <v>Chaldea Gate (Sat)</v>
      </c>
      <c r="E242" s="42" t="str">
        <f>IFERROR(__xludf.DUMMYFUNCTION("""COMPUTED_VALUE"""),"SAT Assassin Training Ground- Exp")</f>
        <v>SAT Assassin Training Ground- Exp</v>
      </c>
      <c r="F242" s="43">
        <f>IFERROR(__xludf.DUMMYFUNCTION("""COMPUTED_VALUE"""),40.0)</f>
        <v>40</v>
      </c>
      <c r="G242" s="44">
        <f>IFERROR(__xludf.DUMMYFUNCTION("""COMPUTED_VALUE"""),6919.0)</f>
        <v>6919</v>
      </c>
      <c r="H242" s="33" t="str">
        <f>IFERROR(__xludf.DUMMYFUNCTION("""COMPUTED_VALUE"""),"")</f>
        <v/>
      </c>
      <c r="I242" s="45">
        <f>IFERROR(__xludf.DUMMYFUNCTION("""COMPUTED_VALUE"""),217.2)</f>
        <v>217.2</v>
      </c>
      <c r="J242" s="46" t="str">
        <f>IFERROR(__xludf.DUMMYFUNCTION("""COMPUTED_VALUE"""),"AP")</f>
        <v>AP</v>
      </c>
      <c r="K242" s="47">
        <f>IFERROR(__xludf.DUMMYFUNCTION("""COMPUTED_VALUE"""),18.4)</f>
        <v>18.4</v>
      </c>
      <c r="L242" s="48" t="str">
        <f>IFERROR(__xludf.DUMMYFUNCTION("""COMPUTED_VALUE"""),"%")</f>
        <v>%</v>
      </c>
      <c r="M242" s="49">
        <f>IFERROR(__xludf.DUMMYFUNCTION("""COMPUTED_VALUE"""),1.0)</f>
        <v>1</v>
      </c>
      <c r="N242" s="50" t="str">
        <f>IFERROR(__xludf.DUMMYFUNCTION("""COMPUTED_VALUE"""),"A107")</f>
        <v>A107</v>
      </c>
      <c r="O242" s="38" t="str">
        <f>IFERROR(__xludf.DUMMYFUNCTION("""COMPUTED_VALUE"""),"")</f>
        <v/>
      </c>
      <c r="P242" s="45">
        <f>IFERROR(__xludf.DUMMYFUNCTION("""COMPUTED_VALUE"""),333.0)</f>
        <v>333</v>
      </c>
      <c r="Q242" s="46" t="str">
        <f>IFERROR(__xludf.DUMMYFUNCTION("""COMPUTED_VALUE"""),"AP")</f>
        <v>AP</v>
      </c>
      <c r="R242" s="47">
        <f>IFERROR(__xludf.DUMMYFUNCTION("""COMPUTED_VALUE"""),12.0)</f>
        <v>12</v>
      </c>
      <c r="S242" s="48" t="str">
        <f>IFERROR(__xludf.DUMMYFUNCTION("""COMPUTED_VALUE"""),"%")</f>
        <v>%</v>
      </c>
      <c r="T242" s="49">
        <f>IFERROR(__xludf.DUMMYFUNCTION("""COMPUTED_VALUE"""),2.0)</f>
        <v>2</v>
      </c>
      <c r="U242" s="50" t="str">
        <f>IFERROR(__xludf.DUMMYFUNCTION("""COMPUTED_VALUE"""),"A201")</f>
        <v>A201</v>
      </c>
      <c r="V242" s="38" t="str">
        <f>IFERROR(__xludf.DUMMYFUNCTION("""COMPUTED_VALUE"""),"")</f>
        <v/>
      </c>
      <c r="W242" s="45">
        <f>IFERROR(__xludf.DUMMYFUNCTION("""COMPUTED_VALUE"""),128.0)</f>
        <v>128</v>
      </c>
      <c r="X242" s="46" t="str">
        <f>IFERROR(__xludf.DUMMYFUNCTION("""COMPUTED_VALUE"""),"AP")</f>
        <v>AP</v>
      </c>
      <c r="Y242" s="47">
        <f>IFERROR(__xludf.DUMMYFUNCTION("""COMPUTED_VALUE"""),31.3)</f>
        <v>31.3</v>
      </c>
      <c r="Z242" s="48" t="str">
        <f>IFERROR(__xludf.DUMMYFUNCTION("""COMPUTED_VALUE"""),"%")</f>
        <v>%</v>
      </c>
      <c r="AA242" s="49">
        <f>IFERROR(__xludf.DUMMYFUNCTION("""COMPUTED_VALUE"""),3.0)</f>
        <v>3</v>
      </c>
      <c r="AB242" s="50" t="str">
        <f>IFERROR(__xludf.DUMMYFUNCTION("""COMPUTED_VALUE"""),"A206")</f>
        <v>A206</v>
      </c>
      <c r="AC242" s="38" t="str">
        <f>IFERROR(__xludf.DUMMYFUNCTION("""COMPUTED_VALUE"""),"")</f>
        <v/>
      </c>
      <c r="AD242" s="45">
        <f>IFERROR(__xludf.DUMMYFUNCTION("""COMPUTED_VALUE"""),4555.3)</f>
        <v>4555.3</v>
      </c>
      <c r="AE242" s="46" t="str">
        <f>IFERROR(__xludf.DUMMYFUNCTION("""COMPUTED_VALUE"""),"AP")</f>
        <v>AP</v>
      </c>
      <c r="AF242" s="47">
        <f>IFERROR(__xludf.DUMMYFUNCTION("""COMPUTED_VALUE"""),0.9)</f>
        <v>0.9</v>
      </c>
      <c r="AG242" s="48" t="str">
        <f>IFERROR(__xludf.DUMMYFUNCTION("""COMPUTED_VALUE"""),"%")</f>
        <v>%</v>
      </c>
      <c r="AH242" s="43">
        <f>IFERROR(__xludf.DUMMYFUNCTION("""COMPUTED_VALUE"""),40.0)</f>
        <v>40</v>
      </c>
      <c r="AI242" s="44">
        <f>IFERROR(__xludf.DUMMYFUNCTION("""COMPUTED_VALUE"""),6919.0)</f>
        <v>6919</v>
      </c>
      <c r="AJ242" s="51" t="str">
        <f>IFERROR(__xludf.DUMMYFUNCTION("""COMPUTED_VALUE"""),"殺超級")</f>
        <v>殺超級</v>
      </c>
    </row>
    <row r="243" ht="24.75" customHeight="1">
      <c r="A243" s="28">
        <f>IFERROR(__xludf.DUMMYFUNCTION("""COMPUTED_VALUE"""),11.0)</f>
        <v>11</v>
      </c>
      <c r="B243" s="28" t="str">
        <f>IFERROR(__xludf.DUMMYFUNCTION("""COMPUTED_VALUE"""),"A202")</f>
        <v>A202</v>
      </c>
      <c r="C243" s="28" t="str">
        <f>IFERROR(__xludf.DUMMYFUNCTION("""COMPUTED_VALUE"""),"TRF21")</f>
        <v>TRF21</v>
      </c>
      <c r="D243" s="29" t="str">
        <f>IFERROR(__xludf.DUMMYFUNCTION("""COMPUTED_VALUE"""),"Chaldea Gate (Sat)")</f>
        <v>Chaldea Gate (Sat)</v>
      </c>
      <c r="E243" s="30" t="str">
        <f>IFERROR(__xludf.DUMMYFUNCTION("""COMPUTED_VALUE"""),"SAT Assassin Training Ground- Nov")</f>
        <v>SAT Assassin Training Ground- Nov</v>
      </c>
      <c r="F243" s="31">
        <f>IFERROR(__xludf.DUMMYFUNCTION("""COMPUTED_VALUE"""),10.0)</f>
        <v>10</v>
      </c>
      <c r="G243" s="32">
        <f>IFERROR(__xludf.DUMMYFUNCTION("""COMPUTED_VALUE"""),1128.0)</f>
        <v>1128</v>
      </c>
      <c r="H243" s="33" t="str">
        <f>IFERROR(__xludf.DUMMYFUNCTION("""COMPUTED_VALUE"""),"")</f>
        <v/>
      </c>
      <c r="I243" s="34">
        <f>IFERROR(__xludf.DUMMYFUNCTION("""COMPUTED_VALUE"""),372.5)</f>
        <v>372.5</v>
      </c>
      <c r="J243" s="35" t="str">
        <f>IFERROR(__xludf.DUMMYFUNCTION("""COMPUTED_VALUE"""),"AP")</f>
        <v>AP</v>
      </c>
      <c r="K243" s="34">
        <f>IFERROR(__xludf.DUMMYFUNCTION("""COMPUTED_VALUE"""),2.7)</f>
        <v>2.7</v>
      </c>
      <c r="L243" s="35" t="str">
        <f>IFERROR(__xludf.DUMMYFUNCTION("""COMPUTED_VALUE"""),"%")</f>
        <v>%</v>
      </c>
      <c r="M243" s="36">
        <f>IFERROR(__xludf.DUMMYFUNCTION("""COMPUTED_VALUE"""),1.0)</f>
        <v>1</v>
      </c>
      <c r="N243" s="37" t="str">
        <f>IFERROR(__xludf.DUMMYFUNCTION("""COMPUTED_VALUE"""),"A206")</f>
        <v>A206</v>
      </c>
      <c r="O243" s="38" t="str">
        <f>IFERROR(__xludf.DUMMYFUNCTION("""COMPUTED_VALUE"""),"")</f>
        <v/>
      </c>
      <c r="P243" s="34">
        <f>IFERROR(__xludf.DUMMYFUNCTION("""COMPUTED_VALUE"""),107.9)</f>
        <v>107.9</v>
      </c>
      <c r="Q243" s="35" t="str">
        <f>IFERROR(__xludf.DUMMYFUNCTION("""COMPUTED_VALUE"""),"AP")</f>
        <v>AP</v>
      </c>
      <c r="R243" s="34">
        <f>IFERROR(__xludf.DUMMYFUNCTION("""COMPUTED_VALUE"""),9.3)</f>
        <v>9.3</v>
      </c>
      <c r="S243" s="35" t="str">
        <f>IFERROR(__xludf.DUMMYFUNCTION("""COMPUTED_VALUE"""),"%")</f>
        <v>%</v>
      </c>
      <c r="T243" s="36">
        <f>IFERROR(__xludf.DUMMYFUNCTION("""COMPUTED_VALUE"""),2.0)</f>
        <v>2</v>
      </c>
      <c r="U243" s="37" t="str">
        <f>IFERROR(__xludf.DUMMYFUNCTION("""COMPUTED_VALUE"""),"A303")</f>
        <v>A303</v>
      </c>
      <c r="V243" s="38" t="str">
        <f>IFERROR(__xludf.DUMMYFUNCTION("""COMPUTED_VALUE"""),"")</f>
        <v/>
      </c>
      <c r="W243" s="34">
        <f>IFERROR(__xludf.DUMMYFUNCTION("""COMPUTED_VALUE"""),77.3)</f>
        <v>77.3</v>
      </c>
      <c r="X243" s="35" t="str">
        <f>IFERROR(__xludf.DUMMYFUNCTION("""COMPUTED_VALUE"""),"AP")</f>
        <v>AP</v>
      </c>
      <c r="Y243" s="34">
        <f>IFERROR(__xludf.DUMMYFUNCTION("""COMPUTED_VALUE"""),12.9)</f>
        <v>12.9</v>
      </c>
      <c r="Z243" s="35" t="str">
        <f>IFERROR(__xludf.DUMMYFUNCTION("""COMPUTED_VALUE"""),"%")</f>
        <v>%</v>
      </c>
      <c r="AA243" s="36">
        <f>IFERROR(__xludf.DUMMYFUNCTION("""COMPUTED_VALUE"""),3.0)</f>
        <v>3</v>
      </c>
      <c r="AB243" s="37" t="str">
        <f>IFERROR(__xludf.DUMMYFUNCTION("""COMPUTED_VALUE"""),"A304")</f>
        <v>A304</v>
      </c>
      <c r="AC243" s="38" t="str">
        <f>IFERROR(__xludf.DUMMYFUNCTION("""COMPUTED_VALUE"""),"")</f>
        <v/>
      </c>
      <c r="AD243" s="34">
        <f>IFERROR(__xludf.DUMMYFUNCTION("""COMPUTED_VALUE"""),87.4)</f>
        <v>87.4</v>
      </c>
      <c r="AE243" s="35" t="str">
        <f>IFERROR(__xludf.DUMMYFUNCTION("""COMPUTED_VALUE"""),"AP")</f>
        <v>AP</v>
      </c>
      <c r="AF243" s="34">
        <f>IFERROR(__xludf.DUMMYFUNCTION("""COMPUTED_VALUE"""),11.4)</f>
        <v>11.4</v>
      </c>
      <c r="AG243" s="35" t="str">
        <f>IFERROR(__xludf.DUMMYFUNCTION("""COMPUTED_VALUE"""),"%")</f>
        <v>%</v>
      </c>
      <c r="AH243" s="31">
        <f>IFERROR(__xludf.DUMMYFUNCTION("""COMPUTED_VALUE"""),10.0)</f>
        <v>10</v>
      </c>
      <c r="AI243" s="32">
        <f>IFERROR(__xludf.DUMMYFUNCTION("""COMPUTED_VALUE"""),1128.0)</f>
        <v>1128</v>
      </c>
      <c r="AJ243" s="39" t="str">
        <f>IFERROR(__xludf.DUMMYFUNCTION("""COMPUTED_VALUE"""),"殺初級")</f>
        <v>殺初級</v>
      </c>
    </row>
    <row r="244" ht="24.75" customHeight="1">
      <c r="A244" s="40">
        <f>IFERROR(__xludf.DUMMYFUNCTION("""COMPUTED_VALUE"""),12.0)</f>
        <v>12</v>
      </c>
      <c r="B244" s="40" t="str">
        <f>IFERROR(__xludf.DUMMYFUNCTION("""COMPUTED_VALUE"""),"A202")</f>
        <v>A202</v>
      </c>
      <c r="C244" s="40" t="str">
        <f>IFERROR(__xludf.DUMMYFUNCTION("""COMPUTED_VALUE"""),"TRF22")</f>
        <v>TRF22</v>
      </c>
      <c r="D244" s="41" t="str">
        <f>IFERROR(__xludf.DUMMYFUNCTION("""COMPUTED_VALUE"""),"Chaldea Gate (Sat)")</f>
        <v>Chaldea Gate (Sat)</v>
      </c>
      <c r="E244" s="42" t="str">
        <f>IFERROR(__xludf.DUMMYFUNCTION("""COMPUTED_VALUE"""),"SAT Assassin Training Ground- Int")</f>
        <v>SAT Assassin Training Ground- Int</v>
      </c>
      <c r="F244" s="43">
        <f>IFERROR(__xludf.DUMMYFUNCTION("""COMPUTED_VALUE"""),20.0)</f>
        <v>20</v>
      </c>
      <c r="G244" s="44">
        <f>IFERROR(__xludf.DUMMYFUNCTION("""COMPUTED_VALUE"""),1000.0)</f>
        <v>1000</v>
      </c>
      <c r="H244" s="33" t="str">
        <f>IFERROR(__xludf.DUMMYFUNCTION("""COMPUTED_VALUE"""),"")</f>
        <v/>
      </c>
      <c r="I244" s="45">
        <f>IFERROR(__xludf.DUMMYFUNCTION("""COMPUTED_VALUE"""),827.8)</f>
        <v>827.8</v>
      </c>
      <c r="J244" s="46" t="str">
        <f>IFERROR(__xludf.DUMMYFUNCTION("""COMPUTED_VALUE"""),"AP")</f>
        <v>AP</v>
      </c>
      <c r="K244" s="47">
        <f>IFERROR(__xludf.DUMMYFUNCTION("""COMPUTED_VALUE"""),2.4)</f>
        <v>2.4</v>
      </c>
      <c r="L244" s="48" t="str">
        <f>IFERROR(__xludf.DUMMYFUNCTION("""COMPUTED_VALUE"""),"%")</f>
        <v>%</v>
      </c>
      <c r="M244" s="49">
        <f>IFERROR(__xludf.DUMMYFUNCTION("""COMPUTED_VALUE"""),1.0)</f>
        <v>1</v>
      </c>
      <c r="N244" s="50" t="str">
        <f>IFERROR(__xludf.DUMMYFUNCTION("""COMPUTED_VALUE"""),"A201")</f>
        <v>A201</v>
      </c>
      <c r="O244" s="38" t="str">
        <f>IFERROR(__xludf.DUMMYFUNCTION("""COMPUTED_VALUE"""),"")</f>
        <v/>
      </c>
      <c r="P244" s="45">
        <f>IFERROR(__xludf.DUMMYFUNCTION("""COMPUTED_VALUE"""),241.5)</f>
        <v>241.5</v>
      </c>
      <c r="Q244" s="46" t="str">
        <f>IFERROR(__xludf.DUMMYFUNCTION("""COMPUTED_VALUE"""),"AP")</f>
        <v>AP</v>
      </c>
      <c r="R244" s="47">
        <f>IFERROR(__xludf.DUMMYFUNCTION("""COMPUTED_VALUE"""),8.3)</f>
        <v>8.3</v>
      </c>
      <c r="S244" s="48" t="str">
        <f>IFERROR(__xludf.DUMMYFUNCTION("""COMPUTED_VALUE"""),"%")</f>
        <v>%</v>
      </c>
      <c r="T244" s="49">
        <f>IFERROR(__xludf.DUMMYFUNCTION("""COMPUTED_VALUE"""),2.0)</f>
        <v>2</v>
      </c>
      <c r="U244" s="50" t="str">
        <f>IFERROR(__xludf.DUMMYFUNCTION("""COMPUTED_VALUE"""),"A206")</f>
        <v>A206</v>
      </c>
      <c r="V244" s="38" t="str">
        <f>IFERROR(__xludf.DUMMYFUNCTION("""COMPUTED_VALUE"""),"")</f>
        <v/>
      </c>
      <c r="W244" s="45">
        <f>IFERROR(__xludf.DUMMYFUNCTION("""COMPUTED_VALUE"""),210.5)</f>
        <v>210.5</v>
      </c>
      <c r="X244" s="46" t="str">
        <f>IFERROR(__xludf.DUMMYFUNCTION("""COMPUTED_VALUE"""),"AP")</f>
        <v>AP</v>
      </c>
      <c r="Y244" s="47">
        <f>IFERROR(__xludf.DUMMYFUNCTION("""COMPUTED_VALUE"""),9.5)</f>
        <v>9.5</v>
      </c>
      <c r="Z244" s="48" t="str">
        <f>IFERROR(__xludf.DUMMYFUNCTION("""COMPUTED_VALUE"""),"%")</f>
        <v>%</v>
      </c>
      <c r="AA244" s="49">
        <f>IFERROR(__xludf.DUMMYFUNCTION("""COMPUTED_VALUE"""),3.0)</f>
        <v>3</v>
      </c>
      <c r="AB244" s="50" t="str">
        <f>IFERROR(__xludf.DUMMYFUNCTION("""COMPUTED_VALUE"""),"A303")</f>
        <v>A303</v>
      </c>
      <c r="AC244" s="38" t="str">
        <f>IFERROR(__xludf.DUMMYFUNCTION("""COMPUTED_VALUE"""),"")</f>
        <v/>
      </c>
      <c r="AD244" s="45">
        <f>IFERROR(__xludf.DUMMYFUNCTION("""COMPUTED_VALUE"""),113.0)</f>
        <v>113</v>
      </c>
      <c r="AE244" s="46" t="str">
        <f>IFERROR(__xludf.DUMMYFUNCTION("""COMPUTED_VALUE"""),"AP")</f>
        <v>AP</v>
      </c>
      <c r="AF244" s="47">
        <f>IFERROR(__xludf.DUMMYFUNCTION("""COMPUTED_VALUE"""),17.7)</f>
        <v>17.7</v>
      </c>
      <c r="AG244" s="48" t="str">
        <f>IFERROR(__xludf.DUMMYFUNCTION("""COMPUTED_VALUE"""),"%")</f>
        <v>%</v>
      </c>
      <c r="AH244" s="43">
        <f>IFERROR(__xludf.DUMMYFUNCTION("""COMPUTED_VALUE"""),20.0)</f>
        <v>20</v>
      </c>
      <c r="AI244" s="44">
        <f>IFERROR(__xludf.DUMMYFUNCTION("""COMPUTED_VALUE"""),1000.0)</f>
        <v>1000</v>
      </c>
      <c r="AJ244" s="51" t="str">
        <f>IFERROR(__xludf.DUMMYFUNCTION("""COMPUTED_VALUE"""),"殺中級")</f>
        <v>殺中級</v>
      </c>
    </row>
    <row r="245" ht="24.75" hidden="1" customHeight="1">
      <c r="A245" s="28">
        <f>IFERROR(__xludf.DUMMYFUNCTION("""COMPUTED_VALUE"""),13.0)</f>
        <v>13</v>
      </c>
      <c r="B245" s="28" t="str">
        <f>IFERROR(__xludf.DUMMYFUNCTION("""COMPUTED_VALUE"""),"A202")</f>
        <v>A202</v>
      </c>
      <c r="C245" s="28"/>
      <c r="D245" s="29"/>
      <c r="E245" s="67"/>
      <c r="F245" s="31"/>
      <c r="G245" s="32"/>
      <c r="H245" s="33" t="str">
        <f>IFERROR(__xludf.DUMMYFUNCTION("""COMPUTED_VALUE""")," ")</f>
        <v> </v>
      </c>
      <c r="I245" s="34"/>
      <c r="J245" s="35" t="str">
        <f>IFERROR(__xludf.DUMMYFUNCTION("""COMPUTED_VALUE"""),"AP")</f>
        <v>AP</v>
      </c>
      <c r="K245" s="34"/>
      <c r="L245" s="35" t="str">
        <f>IFERROR(__xludf.DUMMYFUNCTION("""COMPUTED_VALUE"""),"%")</f>
        <v>%</v>
      </c>
      <c r="M245" s="36">
        <f>IFERROR(__xludf.DUMMYFUNCTION("""COMPUTED_VALUE"""),1.0)</f>
        <v>1</v>
      </c>
      <c r="N245" s="37"/>
      <c r="O245" s="38"/>
      <c r="P245" s="34" t="str">
        <f>IFERROR(__xludf.DUMMYFUNCTION("""COMPUTED_VALUE"""),"")</f>
        <v/>
      </c>
      <c r="Q245" s="35" t="str">
        <f>IFERROR(__xludf.DUMMYFUNCTION("""COMPUTED_VALUE"""),"AP")</f>
        <v>AP</v>
      </c>
      <c r="R245" s="34" t="str">
        <f>IFERROR(__xludf.DUMMYFUNCTION("""COMPUTED_VALUE"""),"")</f>
        <v/>
      </c>
      <c r="S245" s="35" t="str">
        <f>IFERROR(__xludf.DUMMYFUNCTION("""COMPUTED_VALUE"""),"%")</f>
        <v>%</v>
      </c>
      <c r="T245" s="36">
        <f>IFERROR(__xludf.DUMMYFUNCTION("""COMPUTED_VALUE"""),2.0)</f>
        <v>2</v>
      </c>
      <c r="U245" s="37"/>
      <c r="V245" s="38"/>
      <c r="W245" s="34" t="str">
        <f>IFERROR(__xludf.DUMMYFUNCTION("""COMPUTED_VALUE"""),"")</f>
        <v/>
      </c>
      <c r="X245" s="35" t="str">
        <f>IFERROR(__xludf.DUMMYFUNCTION("""COMPUTED_VALUE"""),"AP")</f>
        <v>AP</v>
      </c>
      <c r="Y245" s="34" t="str">
        <f>IFERROR(__xludf.DUMMYFUNCTION("""COMPUTED_VALUE"""),"")</f>
        <v/>
      </c>
      <c r="Z245" s="35" t="str">
        <f>IFERROR(__xludf.DUMMYFUNCTION("""COMPUTED_VALUE"""),"%")</f>
        <v>%</v>
      </c>
      <c r="AA245" s="36">
        <f>IFERROR(__xludf.DUMMYFUNCTION("""COMPUTED_VALUE"""),3.0)</f>
        <v>3</v>
      </c>
      <c r="AB245" s="37"/>
      <c r="AC245" s="38"/>
      <c r="AD245" s="34" t="str">
        <f>IFERROR(__xludf.DUMMYFUNCTION("""COMPUTED_VALUE"""),"")</f>
        <v/>
      </c>
      <c r="AE245" s="35" t="str">
        <f>IFERROR(__xludf.DUMMYFUNCTION("""COMPUTED_VALUE"""),"AP")</f>
        <v>AP</v>
      </c>
      <c r="AF245" s="34" t="str">
        <f>IFERROR(__xludf.DUMMYFUNCTION("""COMPUTED_VALUE"""),"")</f>
        <v/>
      </c>
      <c r="AG245" s="35" t="str">
        <f>IFERROR(__xludf.DUMMYFUNCTION("""COMPUTED_VALUE"""),"%")</f>
        <v>%</v>
      </c>
      <c r="AH245" s="31"/>
      <c r="AI245" s="32"/>
      <c r="AJ245" s="39"/>
    </row>
    <row r="246" ht="24.75" hidden="1" customHeight="1">
      <c r="A246" s="40">
        <f>IFERROR(__xludf.DUMMYFUNCTION("""COMPUTED_VALUE"""),14.0)</f>
        <v>14</v>
      </c>
      <c r="B246" s="40" t="str">
        <f>IFERROR(__xludf.DUMMYFUNCTION("""COMPUTED_VALUE"""),"A202")</f>
        <v>A202</v>
      </c>
      <c r="C246" s="40"/>
      <c r="D246" s="41"/>
      <c r="E246" s="66"/>
      <c r="F246" s="43"/>
      <c r="G246" s="44"/>
      <c r="H246" s="33" t="str">
        <f>IFERROR(__xludf.DUMMYFUNCTION("""COMPUTED_VALUE""")," ")</f>
        <v> </v>
      </c>
      <c r="I246" s="45"/>
      <c r="J246" s="46" t="str">
        <f>IFERROR(__xludf.DUMMYFUNCTION("""COMPUTED_VALUE"""),"AP")</f>
        <v>AP</v>
      </c>
      <c r="K246" s="47"/>
      <c r="L246" s="48" t="str">
        <f>IFERROR(__xludf.DUMMYFUNCTION("""COMPUTED_VALUE"""),"%")</f>
        <v>%</v>
      </c>
      <c r="M246" s="49">
        <f>IFERROR(__xludf.DUMMYFUNCTION("""COMPUTED_VALUE"""),1.0)</f>
        <v>1</v>
      </c>
      <c r="N246" s="50"/>
      <c r="O246" s="38"/>
      <c r="P246" s="45" t="str">
        <f>IFERROR(__xludf.DUMMYFUNCTION("""COMPUTED_VALUE"""),"")</f>
        <v/>
      </c>
      <c r="Q246" s="46" t="str">
        <f>IFERROR(__xludf.DUMMYFUNCTION("""COMPUTED_VALUE"""),"AP")</f>
        <v>AP</v>
      </c>
      <c r="R246" s="47" t="str">
        <f>IFERROR(__xludf.DUMMYFUNCTION("""COMPUTED_VALUE"""),"")</f>
        <v/>
      </c>
      <c r="S246" s="48" t="str">
        <f>IFERROR(__xludf.DUMMYFUNCTION("""COMPUTED_VALUE"""),"%")</f>
        <v>%</v>
      </c>
      <c r="T246" s="49">
        <f>IFERROR(__xludf.DUMMYFUNCTION("""COMPUTED_VALUE"""),2.0)</f>
        <v>2</v>
      </c>
      <c r="U246" s="50"/>
      <c r="V246" s="38"/>
      <c r="W246" s="45" t="str">
        <f>IFERROR(__xludf.DUMMYFUNCTION("""COMPUTED_VALUE"""),"")</f>
        <v/>
      </c>
      <c r="X246" s="46" t="str">
        <f>IFERROR(__xludf.DUMMYFUNCTION("""COMPUTED_VALUE"""),"AP")</f>
        <v>AP</v>
      </c>
      <c r="Y246" s="47" t="str">
        <f>IFERROR(__xludf.DUMMYFUNCTION("""COMPUTED_VALUE"""),"")</f>
        <v/>
      </c>
      <c r="Z246" s="48" t="str">
        <f>IFERROR(__xludf.DUMMYFUNCTION("""COMPUTED_VALUE"""),"%")</f>
        <v>%</v>
      </c>
      <c r="AA246" s="49">
        <f>IFERROR(__xludf.DUMMYFUNCTION("""COMPUTED_VALUE"""),3.0)</f>
        <v>3</v>
      </c>
      <c r="AB246" s="50"/>
      <c r="AC246" s="38"/>
      <c r="AD246" s="45" t="str">
        <f>IFERROR(__xludf.DUMMYFUNCTION("""COMPUTED_VALUE"""),"")</f>
        <v/>
      </c>
      <c r="AE246" s="46" t="str">
        <f>IFERROR(__xludf.DUMMYFUNCTION("""COMPUTED_VALUE"""),"AP")</f>
        <v>AP</v>
      </c>
      <c r="AF246" s="47" t="str">
        <f>IFERROR(__xludf.DUMMYFUNCTION("""COMPUTED_VALUE"""),"")</f>
        <v/>
      </c>
      <c r="AG246" s="48" t="str">
        <f>IFERROR(__xludf.DUMMYFUNCTION("""COMPUTED_VALUE"""),"%")</f>
        <v>%</v>
      </c>
      <c r="AH246" s="43"/>
      <c r="AI246" s="44"/>
      <c r="AJ246" s="51"/>
    </row>
    <row r="247" ht="24.75" hidden="1" customHeight="1">
      <c r="A247" s="28">
        <f>IFERROR(__xludf.DUMMYFUNCTION("""COMPUTED_VALUE"""),15.0)</f>
        <v>15</v>
      </c>
      <c r="B247" s="28" t="str">
        <f>IFERROR(__xludf.DUMMYFUNCTION("""COMPUTED_VALUE"""),"A202")</f>
        <v>A202</v>
      </c>
      <c r="C247" s="28"/>
      <c r="D247" s="29"/>
      <c r="E247" s="67"/>
      <c r="F247" s="31"/>
      <c r="G247" s="32"/>
      <c r="H247" s="33" t="str">
        <f>IFERROR(__xludf.DUMMYFUNCTION("""COMPUTED_VALUE""")," ")</f>
        <v> </v>
      </c>
      <c r="I247" s="34"/>
      <c r="J247" s="35" t="str">
        <f>IFERROR(__xludf.DUMMYFUNCTION("""COMPUTED_VALUE"""),"AP")</f>
        <v>AP</v>
      </c>
      <c r="K247" s="34"/>
      <c r="L247" s="35" t="str">
        <f>IFERROR(__xludf.DUMMYFUNCTION("""COMPUTED_VALUE"""),"%")</f>
        <v>%</v>
      </c>
      <c r="M247" s="36">
        <f>IFERROR(__xludf.DUMMYFUNCTION("""COMPUTED_VALUE"""),1.0)</f>
        <v>1</v>
      </c>
      <c r="N247" s="37"/>
      <c r="O247" s="38"/>
      <c r="P247" s="34" t="str">
        <f>IFERROR(__xludf.DUMMYFUNCTION("""COMPUTED_VALUE"""),"")</f>
        <v/>
      </c>
      <c r="Q247" s="35" t="str">
        <f>IFERROR(__xludf.DUMMYFUNCTION("""COMPUTED_VALUE"""),"AP")</f>
        <v>AP</v>
      </c>
      <c r="R247" s="34" t="str">
        <f>IFERROR(__xludf.DUMMYFUNCTION("""COMPUTED_VALUE"""),"")</f>
        <v/>
      </c>
      <c r="S247" s="35" t="str">
        <f>IFERROR(__xludf.DUMMYFUNCTION("""COMPUTED_VALUE"""),"%")</f>
        <v>%</v>
      </c>
      <c r="T247" s="36">
        <f>IFERROR(__xludf.DUMMYFUNCTION("""COMPUTED_VALUE"""),2.0)</f>
        <v>2</v>
      </c>
      <c r="U247" s="37"/>
      <c r="V247" s="38"/>
      <c r="W247" s="34" t="str">
        <f>IFERROR(__xludf.DUMMYFUNCTION("""COMPUTED_VALUE"""),"")</f>
        <v/>
      </c>
      <c r="X247" s="35" t="str">
        <f>IFERROR(__xludf.DUMMYFUNCTION("""COMPUTED_VALUE"""),"AP")</f>
        <v>AP</v>
      </c>
      <c r="Y247" s="34" t="str">
        <f>IFERROR(__xludf.DUMMYFUNCTION("""COMPUTED_VALUE"""),"")</f>
        <v/>
      </c>
      <c r="Z247" s="35" t="str">
        <f>IFERROR(__xludf.DUMMYFUNCTION("""COMPUTED_VALUE"""),"%")</f>
        <v>%</v>
      </c>
      <c r="AA247" s="36">
        <f>IFERROR(__xludf.DUMMYFUNCTION("""COMPUTED_VALUE"""),3.0)</f>
        <v>3</v>
      </c>
      <c r="AB247" s="37"/>
      <c r="AC247" s="38"/>
      <c r="AD247" s="34" t="str">
        <f>IFERROR(__xludf.DUMMYFUNCTION("""COMPUTED_VALUE"""),"")</f>
        <v/>
      </c>
      <c r="AE247" s="35" t="str">
        <f>IFERROR(__xludf.DUMMYFUNCTION("""COMPUTED_VALUE"""),"AP")</f>
        <v>AP</v>
      </c>
      <c r="AF247" s="34" t="str">
        <f>IFERROR(__xludf.DUMMYFUNCTION("""COMPUTED_VALUE"""),"")</f>
        <v/>
      </c>
      <c r="AG247" s="35" t="str">
        <f>IFERROR(__xludf.DUMMYFUNCTION("""COMPUTED_VALUE"""),"%")</f>
        <v>%</v>
      </c>
      <c r="AH247" s="31"/>
      <c r="AI247" s="32"/>
      <c r="AJ247" s="39"/>
    </row>
    <row r="248" ht="24.75" hidden="1" customHeight="1">
      <c r="A248" s="40">
        <f>IFERROR(__xludf.DUMMYFUNCTION("""COMPUTED_VALUE"""),16.0)</f>
        <v>16</v>
      </c>
      <c r="B248" s="40" t="str">
        <f>IFERROR(__xludf.DUMMYFUNCTION("""COMPUTED_VALUE"""),"A202")</f>
        <v>A202</v>
      </c>
      <c r="C248" s="40"/>
      <c r="D248" s="41"/>
      <c r="E248" s="66"/>
      <c r="F248" s="43"/>
      <c r="G248" s="44"/>
      <c r="H248" s="33" t="str">
        <f>IFERROR(__xludf.DUMMYFUNCTION("""COMPUTED_VALUE""")," ")</f>
        <v> </v>
      </c>
      <c r="I248" s="45"/>
      <c r="J248" s="46" t="str">
        <f>IFERROR(__xludf.DUMMYFUNCTION("""COMPUTED_VALUE"""),"AP")</f>
        <v>AP</v>
      </c>
      <c r="K248" s="47"/>
      <c r="L248" s="48" t="str">
        <f>IFERROR(__xludf.DUMMYFUNCTION("""COMPUTED_VALUE"""),"%")</f>
        <v>%</v>
      </c>
      <c r="M248" s="49">
        <f>IFERROR(__xludf.DUMMYFUNCTION("""COMPUTED_VALUE"""),1.0)</f>
        <v>1</v>
      </c>
      <c r="N248" s="50"/>
      <c r="O248" s="38"/>
      <c r="P248" s="45" t="str">
        <f>IFERROR(__xludf.DUMMYFUNCTION("""COMPUTED_VALUE"""),"")</f>
        <v/>
      </c>
      <c r="Q248" s="46" t="str">
        <f>IFERROR(__xludf.DUMMYFUNCTION("""COMPUTED_VALUE"""),"AP")</f>
        <v>AP</v>
      </c>
      <c r="R248" s="47" t="str">
        <f>IFERROR(__xludf.DUMMYFUNCTION("""COMPUTED_VALUE"""),"")</f>
        <v/>
      </c>
      <c r="S248" s="48" t="str">
        <f>IFERROR(__xludf.DUMMYFUNCTION("""COMPUTED_VALUE"""),"%")</f>
        <v>%</v>
      </c>
      <c r="T248" s="49">
        <f>IFERROR(__xludf.DUMMYFUNCTION("""COMPUTED_VALUE"""),2.0)</f>
        <v>2</v>
      </c>
      <c r="U248" s="50"/>
      <c r="V248" s="38"/>
      <c r="W248" s="45" t="str">
        <f>IFERROR(__xludf.DUMMYFUNCTION("""COMPUTED_VALUE"""),"")</f>
        <v/>
      </c>
      <c r="X248" s="46" t="str">
        <f>IFERROR(__xludf.DUMMYFUNCTION("""COMPUTED_VALUE"""),"AP")</f>
        <v>AP</v>
      </c>
      <c r="Y248" s="47" t="str">
        <f>IFERROR(__xludf.DUMMYFUNCTION("""COMPUTED_VALUE"""),"")</f>
        <v/>
      </c>
      <c r="Z248" s="48" t="str">
        <f>IFERROR(__xludf.DUMMYFUNCTION("""COMPUTED_VALUE"""),"%")</f>
        <v>%</v>
      </c>
      <c r="AA248" s="49">
        <f>IFERROR(__xludf.DUMMYFUNCTION("""COMPUTED_VALUE"""),3.0)</f>
        <v>3</v>
      </c>
      <c r="AB248" s="50"/>
      <c r="AC248" s="38"/>
      <c r="AD248" s="45" t="str">
        <f>IFERROR(__xludf.DUMMYFUNCTION("""COMPUTED_VALUE"""),"")</f>
        <v/>
      </c>
      <c r="AE248" s="46" t="str">
        <f>IFERROR(__xludf.DUMMYFUNCTION("""COMPUTED_VALUE"""),"AP")</f>
        <v>AP</v>
      </c>
      <c r="AF248" s="47" t="str">
        <f>IFERROR(__xludf.DUMMYFUNCTION("""COMPUTED_VALUE"""),"")</f>
        <v/>
      </c>
      <c r="AG248" s="48" t="str">
        <f>IFERROR(__xludf.DUMMYFUNCTION("""COMPUTED_VALUE"""),"%")</f>
        <v>%</v>
      </c>
      <c r="AH248" s="43"/>
      <c r="AI248" s="44"/>
      <c r="AJ248" s="51"/>
    </row>
    <row r="249" ht="24.75" hidden="1" customHeight="1">
      <c r="A249" s="28">
        <f>IFERROR(__xludf.DUMMYFUNCTION("""COMPUTED_VALUE"""),17.0)</f>
        <v>17</v>
      </c>
      <c r="B249" s="28" t="str">
        <f>IFERROR(__xludf.DUMMYFUNCTION("""COMPUTED_VALUE"""),"A202")</f>
        <v>A202</v>
      </c>
      <c r="C249" s="28"/>
      <c r="D249" s="29"/>
      <c r="E249" s="67"/>
      <c r="F249" s="31"/>
      <c r="G249" s="32"/>
      <c r="H249" s="33" t="str">
        <f>IFERROR(__xludf.DUMMYFUNCTION("""COMPUTED_VALUE""")," ")</f>
        <v> </v>
      </c>
      <c r="I249" s="34"/>
      <c r="J249" s="35" t="str">
        <f>IFERROR(__xludf.DUMMYFUNCTION("""COMPUTED_VALUE"""),"AP")</f>
        <v>AP</v>
      </c>
      <c r="K249" s="34"/>
      <c r="L249" s="35" t="str">
        <f>IFERROR(__xludf.DUMMYFUNCTION("""COMPUTED_VALUE"""),"%")</f>
        <v>%</v>
      </c>
      <c r="M249" s="36">
        <f>IFERROR(__xludf.DUMMYFUNCTION("""COMPUTED_VALUE"""),1.0)</f>
        <v>1</v>
      </c>
      <c r="N249" s="37"/>
      <c r="O249" s="38"/>
      <c r="P249" s="34" t="str">
        <f>IFERROR(__xludf.DUMMYFUNCTION("""COMPUTED_VALUE"""),"")</f>
        <v/>
      </c>
      <c r="Q249" s="35" t="str">
        <f>IFERROR(__xludf.DUMMYFUNCTION("""COMPUTED_VALUE"""),"AP")</f>
        <v>AP</v>
      </c>
      <c r="R249" s="34" t="str">
        <f>IFERROR(__xludf.DUMMYFUNCTION("""COMPUTED_VALUE"""),"")</f>
        <v/>
      </c>
      <c r="S249" s="35" t="str">
        <f>IFERROR(__xludf.DUMMYFUNCTION("""COMPUTED_VALUE"""),"%")</f>
        <v>%</v>
      </c>
      <c r="T249" s="36">
        <f>IFERROR(__xludf.DUMMYFUNCTION("""COMPUTED_VALUE"""),2.0)</f>
        <v>2</v>
      </c>
      <c r="U249" s="37"/>
      <c r="V249" s="38"/>
      <c r="W249" s="34" t="str">
        <f>IFERROR(__xludf.DUMMYFUNCTION("""COMPUTED_VALUE"""),"")</f>
        <v/>
      </c>
      <c r="X249" s="35" t="str">
        <f>IFERROR(__xludf.DUMMYFUNCTION("""COMPUTED_VALUE"""),"AP")</f>
        <v>AP</v>
      </c>
      <c r="Y249" s="34" t="str">
        <f>IFERROR(__xludf.DUMMYFUNCTION("""COMPUTED_VALUE"""),"")</f>
        <v/>
      </c>
      <c r="Z249" s="35" t="str">
        <f>IFERROR(__xludf.DUMMYFUNCTION("""COMPUTED_VALUE"""),"%")</f>
        <v>%</v>
      </c>
      <c r="AA249" s="36">
        <f>IFERROR(__xludf.DUMMYFUNCTION("""COMPUTED_VALUE"""),3.0)</f>
        <v>3</v>
      </c>
      <c r="AB249" s="37"/>
      <c r="AC249" s="38"/>
      <c r="AD249" s="34" t="str">
        <f>IFERROR(__xludf.DUMMYFUNCTION("""COMPUTED_VALUE"""),"")</f>
        <v/>
      </c>
      <c r="AE249" s="35" t="str">
        <f>IFERROR(__xludf.DUMMYFUNCTION("""COMPUTED_VALUE"""),"AP")</f>
        <v>AP</v>
      </c>
      <c r="AF249" s="34" t="str">
        <f>IFERROR(__xludf.DUMMYFUNCTION("""COMPUTED_VALUE"""),"")</f>
        <v/>
      </c>
      <c r="AG249" s="35" t="str">
        <f>IFERROR(__xludf.DUMMYFUNCTION("""COMPUTED_VALUE"""),"%")</f>
        <v>%</v>
      </c>
      <c r="AH249" s="31"/>
      <c r="AI249" s="32"/>
      <c r="AJ249" s="39"/>
    </row>
    <row r="250" ht="24.75" hidden="1" customHeight="1">
      <c r="A250" s="40">
        <f>IFERROR(__xludf.DUMMYFUNCTION("""COMPUTED_VALUE"""),18.0)</f>
        <v>18</v>
      </c>
      <c r="B250" s="40" t="str">
        <f>IFERROR(__xludf.DUMMYFUNCTION("""COMPUTED_VALUE"""),"A202")</f>
        <v>A202</v>
      </c>
      <c r="C250" s="40"/>
      <c r="D250" s="41"/>
      <c r="E250" s="66"/>
      <c r="F250" s="43"/>
      <c r="G250" s="44"/>
      <c r="H250" s="33" t="str">
        <f>IFERROR(__xludf.DUMMYFUNCTION("""COMPUTED_VALUE""")," ")</f>
        <v> </v>
      </c>
      <c r="I250" s="45"/>
      <c r="J250" s="46" t="str">
        <f>IFERROR(__xludf.DUMMYFUNCTION("""COMPUTED_VALUE"""),"AP")</f>
        <v>AP</v>
      </c>
      <c r="K250" s="47"/>
      <c r="L250" s="48" t="str">
        <f>IFERROR(__xludf.DUMMYFUNCTION("""COMPUTED_VALUE"""),"%")</f>
        <v>%</v>
      </c>
      <c r="M250" s="49">
        <f>IFERROR(__xludf.DUMMYFUNCTION("""COMPUTED_VALUE"""),1.0)</f>
        <v>1</v>
      </c>
      <c r="N250" s="50"/>
      <c r="O250" s="38"/>
      <c r="P250" s="45" t="str">
        <f>IFERROR(__xludf.DUMMYFUNCTION("""COMPUTED_VALUE"""),"")</f>
        <v/>
      </c>
      <c r="Q250" s="46" t="str">
        <f>IFERROR(__xludf.DUMMYFUNCTION("""COMPUTED_VALUE"""),"AP")</f>
        <v>AP</v>
      </c>
      <c r="R250" s="47" t="str">
        <f>IFERROR(__xludf.DUMMYFUNCTION("""COMPUTED_VALUE"""),"")</f>
        <v/>
      </c>
      <c r="S250" s="48" t="str">
        <f>IFERROR(__xludf.DUMMYFUNCTION("""COMPUTED_VALUE"""),"%")</f>
        <v>%</v>
      </c>
      <c r="T250" s="49">
        <f>IFERROR(__xludf.DUMMYFUNCTION("""COMPUTED_VALUE"""),2.0)</f>
        <v>2</v>
      </c>
      <c r="U250" s="50"/>
      <c r="V250" s="38"/>
      <c r="W250" s="45" t="str">
        <f>IFERROR(__xludf.DUMMYFUNCTION("""COMPUTED_VALUE"""),"")</f>
        <v/>
      </c>
      <c r="X250" s="46" t="str">
        <f>IFERROR(__xludf.DUMMYFUNCTION("""COMPUTED_VALUE"""),"AP")</f>
        <v>AP</v>
      </c>
      <c r="Y250" s="47" t="str">
        <f>IFERROR(__xludf.DUMMYFUNCTION("""COMPUTED_VALUE"""),"")</f>
        <v/>
      </c>
      <c r="Z250" s="48" t="str">
        <f>IFERROR(__xludf.DUMMYFUNCTION("""COMPUTED_VALUE"""),"%")</f>
        <v>%</v>
      </c>
      <c r="AA250" s="49">
        <f>IFERROR(__xludf.DUMMYFUNCTION("""COMPUTED_VALUE"""),3.0)</f>
        <v>3</v>
      </c>
      <c r="AB250" s="50"/>
      <c r="AC250" s="38"/>
      <c r="AD250" s="45" t="str">
        <f>IFERROR(__xludf.DUMMYFUNCTION("""COMPUTED_VALUE"""),"")</f>
        <v/>
      </c>
      <c r="AE250" s="46" t="str">
        <f>IFERROR(__xludf.DUMMYFUNCTION("""COMPUTED_VALUE"""),"AP")</f>
        <v>AP</v>
      </c>
      <c r="AF250" s="47" t="str">
        <f>IFERROR(__xludf.DUMMYFUNCTION("""COMPUTED_VALUE"""),"")</f>
        <v/>
      </c>
      <c r="AG250" s="48" t="str">
        <f>IFERROR(__xludf.DUMMYFUNCTION("""COMPUTED_VALUE"""),"%")</f>
        <v>%</v>
      </c>
      <c r="AH250" s="43"/>
      <c r="AI250" s="44"/>
      <c r="AJ250" s="51"/>
    </row>
    <row r="251" ht="24.75" hidden="1" customHeight="1">
      <c r="A251" s="28">
        <f>IFERROR(__xludf.DUMMYFUNCTION("""COMPUTED_VALUE"""),19.0)</f>
        <v>19</v>
      </c>
      <c r="B251" s="28" t="str">
        <f>IFERROR(__xludf.DUMMYFUNCTION("""COMPUTED_VALUE"""),"A202")</f>
        <v>A202</v>
      </c>
      <c r="C251" s="28"/>
      <c r="D251" s="29"/>
      <c r="E251" s="67"/>
      <c r="F251" s="31"/>
      <c r="G251" s="32"/>
      <c r="H251" s="33" t="str">
        <f>IFERROR(__xludf.DUMMYFUNCTION("""COMPUTED_VALUE""")," ")</f>
        <v> </v>
      </c>
      <c r="I251" s="34"/>
      <c r="J251" s="35" t="str">
        <f>IFERROR(__xludf.DUMMYFUNCTION("""COMPUTED_VALUE"""),"AP")</f>
        <v>AP</v>
      </c>
      <c r="K251" s="34"/>
      <c r="L251" s="35" t="str">
        <f>IFERROR(__xludf.DUMMYFUNCTION("""COMPUTED_VALUE"""),"%")</f>
        <v>%</v>
      </c>
      <c r="M251" s="36">
        <f>IFERROR(__xludf.DUMMYFUNCTION("""COMPUTED_VALUE"""),1.0)</f>
        <v>1</v>
      </c>
      <c r="N251" s="37"/>
      <c r="O251" s="38"/>
      <c r="P251" s="34" t="str">
        <f>IFERROR(__xludf.DUMMYFUNCTION("""COMPUTED_VALUE"""),"")</f>
        <v/>
      </c>
      <c r="Q251" s="35" t="str">
        <f>IFERROR(__xludf.DUMMYFUNCTION("""COMPUTED_VALUE"""),"AP")</f>
        <v>AP</v>
      </c>
      <c r="R251" s="34" t="str">
        <f>IFERROR(__xludf.DUMMYFUNCTION("""COMPUTED_VALUE"""),"")</f>
        <v/>
      </c>
      <c r="S251" s="35" t="str">
        <f>IFERROR(__xludf.DUMMYFUNCTION("""COMPUTED_VALUE"""),"%")</f>
        <v>%</v>
      </c>
      <c r="T251" s="36">
        <f>IFERROR(__xludf.DUMMYFUNCTION("""COMPUTED_VALUE"""),2.0)</f>
        <v>2</v>
      </c>
      <c r="U251" s="37"/>
      <c r="V251" s="38"/>
      <c r="W251" s="34" t="str">
        <f>IFERROR(__xludf.DUMMYFUNCTION("""COMPUTED_VALUE"""),"")</f>
        <v/>
      </c>
      <c r="X251" s="35" t="str">
        <f>IFERROR(__xludf.DUMMYFUNCTION("""COMPUTED_VALUE"""),"AP")</f>
        <v>AP</v>
      </c>
      <c r="Y251" s="34" t="str">
        <f>IFERROR(__xludf.DUMMYFUNCTION("""COMPUTED_VALUE"""),"")</f>
        <v/>
      </c>
      <c r="Z251" s="35" t="str">
        <f>IFERROR(__xludf.DUMMYFUNCTION("""COMPUTED_VALUE"""),"%")</f>
        <v>%</v>
      </c>
      <c r="AA251" s="36">
        <f>IFERROR(__xludf.DUMMYFUNCTION("""COMPUTED_VALUE"""),3.0)</f>
        <v>3</v>
      </c>
      <c r="AB251" s="37"/>
      <c r="AC251" s="38"/>
      <c r="AD251" s="34" t="str">
        <f>IFERROR(__xludf.DUMMYFUNCTION("""COMPUTED_VALUE"""),"")</f>
        <v/>
      </c>
      <c r="AE251" s="35" t="str">
        <f>IFERROR(__xludf.DUMMYFUNCTION("""COMPUTED_VALUE"""),"AP")</f>
        <v>AP</v>
      </c>
      <c r="AF251" s="34" t="str">
        <f>IFERROR(__xludf.DUMMYFUNCTION("""COMPUTED_VALUE"""),"")</f>
        <v/>
      </c>
      <c r="AG251" s="35" t="str">
        <f>IFERROR(__xludf.DUMMYFUNCTION("""COMPUTED_VALUE"""),"%")</f>
        <v>%</v>
      </c>
      <c r="AH251" s="31"/>
      <c r="AI251" s="32"/>
      <c r="AJ251" s="39"/>
    </row>
    <row r="252" ht="24.75" hidden="1" customHeight="1">
      <c r="A252" s="40">
        <f>IFERROR(__xludf.DUMMYFUNCTION("""COMPUTED_VALUE"""),20.0)</f>
        <v>20</v>
      </c>
      <c r="B252" s="40" t="str">
        <f>IFERROR(__xludf.DUMMYFUNCTION("""COMPUTED_VALUE"""),"A202")</f>
        <v>A202</v>
      </c>
      <c r="C252" s="40"/>
      <c r="D252" s="41"/>
      <c r="E252" s="66"/>
      <c r="F252" s="43"/>
      <c r="G252" s="44"/>
      <c r="H252" s="33" t="str">
        <f>IFERROR(__xludf.DUMMYFUNCTION("""COMPUTED_VALUE""")," ")</f>
        <v> </v>
      </c>
      <c r="I252" s="45"/>
      <c r="J252" s="46" t="str">
        <f>IFERROR(__xludf.DUMMYFUNCTION("""COMPUTED_VALUE"""),"AP")</f>
        <v>AP</v>
      </c>
      <c r="K252" s="47"/>
      <c r="L252" s="48" t="str">
        <f>IFERROR(__xludf.DUMMYFUNCTION("""COMPUTED_VALUE"""),"%")</f>
        <v>%</v>
      </c>
      <c r="M252" s="49">
        <f>IFERROR(__xludf.DUMMYFUNCTION("""COMPUTED_VALUE"""),1.0)</f>
        <v>1</v>
      </c>
      <c r="N252" s="50"/>
      <c r="O252" s="38"/>
      <c r="P252" s="45" t="str">
        <f>IFERROR(__xludf.DUMMYFUNCTION("""COMPUTED_VALUE"""),"")</f>
        <v/>
      </c>
      <c r="Q252" s="46" t="str">
        <f>IFERROR(__xludf.DUMMYFUNCTION("""COMPUTED_VALUE"""),"AP")</f>
        <v>AP</v>
      </c>
      <c r="R252" s="47" t="str">
        <f>IFERROR(__xludf.DUMMYFUNCTION("""COMPUTED_VALUE"""),"")</f>
        <v/>
      </c>
      <c r="S252" s="48" t="str">
        <f>IFERROR(__xludf.DUMMYFUNCTION("""COMPUTED_VALUE"""),"%")</f>
        <v>%</v>
      </c>
      <c r="T252" s="49">
        <f>IFERROR(__xludf.DUMMYFUNCTION("""COMPUTED_VALUE"""),2.0)</f>
        <v>2</v>
      </c>
      <c r="U252" s="50"/>
      <c r="V252" s="38"/>
      <c r="W252" s="45" t="str">
        <f>IFERROR(__xludf.DUMMYFUNCTION("""COMPUTED_VALUE"""),"")</f>
        <v/>
      </c>
      <c r="X252" s="46" t="str">
        <f>IFERROR(__xludf.DUMMYFUNCTION("""COMPUTED_VALUE"""),"AP")</f>
        <v>AP</v>
      </c>
      <c r="Y252" s="47" t="str">
        <f>IFERROR(__xludf.DUMMYFUNCTION("""COMPUTED_VALUE"""),"")</f>
        <v/>
      </c>
      <c r="Z252" s="48" t="str">
        <f>IFERROR(__xludf.DUMMYFUNCTION("""COMPUTED_VALUE"""),"%")</f>
        <v>%</v>
      </c>
      <c r="AA252" s="49">
        <f>IFERROR(__xludf.DUMMYFUNCTION("""COMPUTED_VALUE"""),3.0)</f>
        <v>3</v>
      </c>
      <c r="AB252" s="50"/>
      <c r="AC252" s="38"/>
      <c r="AD252" s="45" t="str">
        <f>IFERROR(__xludf.DUMMYFUNCTION("""COMPUTED_VALUE"""),"")</f>
        <v/>
      </c>
      <c r="AE252" s="46" t="str">
        <f>IFERROR(__xludf.DUMMYFUNCTION("""COMPUTED_VALUE"""),"AP")</f>
        <v>AP</v>
      </c>
      <c r="AF252" s="47" t="str">
        <f>IFERROR(__xludf.DUMMYFUNCTION("""COMPUTED_VALUE"""),"")</f>
        <v/>
      </c>
      <c r="AG252" s="48" t="str">
        <f>IFERROR(__xludf.DUMMYFUNCTION("""COMPUTED_VALUE"""),"%")</f>
        <v>%</v>
      </c>
      <c r="AH252" s="43"/>
      <c r="AI252" s="44"/>
      <c r="AJ252" s="51"/>
    </row>
    <row r="253">
      <c r="A253" s="52"/>
      <c r="B253" s="53"/>
      <c r="C253" s="54"/>
      <c r="D253" s="55"/>
      <c r="E253" s="56"/>
      <c r="F253" s="53"/>
      <c r="G253" s="53"/>
      <c r="H253" s="53"/>
      <c r="I253" s="53"/>
      <c r="J253" s="57"/>
      <c r="K253" s="53"/>
      <c r="L253" s="57"/>
      <c r="M253" s="53"/>
      <c r="N253" s="53"/>
      <c r="O253" s="53"/>
      <c r="P253" s="53"/>
      <c r="Q253" s="57"/>
      <c r="R253" s="53"/>
      <c r="S253" s="57"/>
      <c r="T253" s="53"/>
      <c r="U253" s="53"/>
      <c r="V253" s="53"/>
      <c r="W253" s="53"/>
      <c r="X253" s="57"/>
      <c r="Y253" s="53"/>
      <c r="Z253" s="57"/>
      <c r="AA253" s="53"/>
      <c r="AB253" s="53"/>
      <c r="AC253" s="53"/>
      <c r="AD253" s="53"/>
      <c r="AE253" s="57"/>
      <c r="AF253" s="53"/>
      <c r="AG253" s="57"/>
      <c r="AH253" s="53"/>
      <c r="AI253" s="53"/>
      <c r="AJ253" s="58"/>
    </row>
    <row r="254">
      <c r="A254" s="59"/>
      <c r="B254" s="60"/>
      <c r="C254" s="61"/>
      <c r="D254" s="62"/>
      <c r="E254" s="63"/>
      <c r="F254" s="60"/>
      <c r="G254" s="60"/>
      <c r="H254" s="60"/>
      <c r="I254" s="60"/>
      <c r="J254" s="64"/>
      <c r="K254" s="60"/>
      <c r="L254" s="64"/>
      <c r="M254" s="60"/>
      <c r="N254" s="60"/>
      <c r="O254" s="60"/>
      <c r="P254" s="60"/>
      <c r="Q254" s="64"/>
      <c r="R254" s="60"/>
      <c r="S254" s="64"/>
      <c r="T254" s="60"/>
      <c r="U254" s="60"/>
      <c r="V254" s="60"/>
      <c r="W254" s="60"/>
      <c r="X254" s="64"/>
      <c r="Y254" s="60"/>
      <c r="Z254" s="64"/>
      <c r="AA254" s="60"/>
      <c r="AB254" s="60"/>
      <c r="AC254" s="60"/>
      <c r="AD254" s="60"/>
      <c r="AE254" s="64"/>
      <c r="AF254" s="60"/>
      <c r="AG254" s="64"/>
      <c r="AH254" s="60"/>
      <c r="AI254" s="60"/>
      <c r="AJ254" s="65"/>
    </row>
    <row r="255" ht="33.0" customHeight="1">
      <c r="A255" s="20" t="str">
        <f>IFERROR(__xludf.DUMMYFUNCTION("""COMPUTED_VALUE""")," ")</f>
        <v> </v>
      </c>
      <c r="B255" s="21" t="str">
        <f>IFERROR(__xludf.DUMMYFUNCTION("""COMPUTED_VALUE"""),"A203")</f>
        <v>A203</v>
      </c>
      <c r="C255" s="20"/>
      <c r="D255" s="22" t="str">
        <f>IFERROR(__xludf.DUMMYFUNCTION("""COMPUTED_VALUE"""),"")</f>
        <v/>
      </c>
      <c r="E255" s="23" t="str">
        <f>IFERROR(__xludf.DUMMYFUNCTION("""COMPUTED_VALUE"""),"Octuplet Crystal")</f>
        <v>Octuplet Crystal</v>
      </c>
      <c r="F255" s="24"/>
      <c r="G255" s="24"/>
      <c r="H255" s="25"/>
      <c r="I255" s="25"/>
      <c r="J255" s="26"/>
      <c r="K255" s="25"/>
      <c r="L255" s="26"/>
      <c r="M255" s="25"/>
      <c r="N255" s="25"/>
      <c r="O255" s="25"/>
      <c r="P255" s="25"/>
      <c r="Q255" s="26"/>
      <c r="R255" s="25"/>
      <c r="S255" s="26"/>
      <c r="T255" s="25"/>
      <c r="U255" s="25"/>
      <c r="V255" s="25"/>
      <c r="W255" s="25"/>
      <c r="X255" s="26"/>
      <c r="Y255" s="25"/>
      <c r="Z255" s="26"/>
      <c r="AA255" s="25"/>
      <c r="AB255" s="25"/>
      <c r="AC255" s="25"/>
      <c r="AD255" s="25"/>
      <c r="AE255" s="26"/>
      <c r="AF255" s="25"/>
      <c r="AG255" s="26"/>
      <c r="AH255" s="24"/>
      <c r="AI255" s="25"/>
      <c r="AJ255" s="27"/>
    </row>
    <row r="256" ht="24.75" customHeight="1">
      <c r="A256" s="28">
        <f>IFERROR(__xludf.DUMMYFUNCTION("""COMPUTED_VALUE"""),1.0)</f>
        <v>1</v>
      </c>
      <c r="B256" s="28" t="str">
        <f>IFERROR(__xludf.DUMMYFUNCTION("""COMPUTED_VALUE"""),"A203")</f>
        <v>A203</v>
      </c>
      <c r="C256" s="28" t="str">
        <f>IFERROR(__xludf.DUMMYFUNCTION("""COMPUTED_VALUE"""),"AGT4")</f>
        <v>AGT4</v>
      </c>
      <c r="D256" s="29" t="str">
        <f>IFERROR(__xludf.DUMMYFUNCTION("""COMPUTED_VALUE"""),"Agartha")</f>
        <v>Agartha</v>
      </c>
      <c r="E256" s="30" t="str">
        <f>IFERROR(__xludf.DUMMYFUNCTION("""COMPUTED_VALUE"""),"Peach Blossom Shangri-La")</f>
        <v>Peach Blossom Shangri-La</v>
      </c>
      <c r="F256" s="31">
        <f>IFERROR(__xludf.DUMMYFUNCTION("""COMPUTED_VALUE"""),21.0)</f>
        <v>21</v>
      </c>
      <c r="G256" s="32">
        <f>IFERROR(__xludf.DUMMYFUNCTION("""COMPUTED_VALUE"""),19323.0)</f>
        <v>19323</v>
      </c>
      <c r="H256" s="33" t="str">
        <f>IFERROR(__xludf.DUMMYFUNCTION("""COMPUTED_VALUE"""),"")</f>
        <v/>
      </c>
      <c r="I256" s="34">
        <f>IFERROR(__xludf.DUMMYFUNCTION("""COMPUTED_VALUE"""),52.0)</f>
        <v>52</v>
      </c>
      <c r="J256" s="35" t="str">
        <f>IFERROR(__xludf.DUMMYFUNCTION("""COMPUTED_VALUE"""),"AP")</f>
        <v>AP</v>
      </c>
      <c r="K256" s="34">
        <f>IFERROR(__xludf.DUMMYFUNCTION("""COMPUTED_VALUE"""),40.4)</f>
        <v>40.4</v>
      </c>
      <c r="L256" s="35" t="str">
        <f>IFERROR(__xludf.DUMMYFUNCTION("""COMPUTED_VALUE"""),"%")</f>
        <v>%</v>
      </c>
      <c r="M256" s="36">
        <f>IFERROR(__xludf.DUMMYFUNCTION("""COMPUTED_VALUE"""),1.0)</f>
        <v>1</v>
      </c>
      <c r="N256" s="37" t="str">
        <f>IFERROR(__xludf.DUMMYFUNCTION("""COMPUTED_VALUE"""),"B107")</f>
        <v>B107</v>
      </c>
      <c r="O256" s="38" t="str">
        <f>IFERROR(__xludf.DUMMYFUNCTION("""COMPUTED_VALUE"""),"")</f>
        <v/>
      </c>
      <c r="P256" s="34">
        <f>IFERROR(__xludf.DUMMYFUNCTION("""COMPUTED_VALUE"""),548.6)</f>
        <v>548.6</v>
      </c>
      <c r="Q256" s="35" t="str">
        <f>IFERROR(__xludf.DUMMYFUNCTION("""COMPUTED_VALUE"""),"AP")</f>
        <v>AP</v>
      </c>
      <c r="R256" s="34">
        <f>IFERROR(__xludf.DUMMYFUNCTION("""COMPUTED_VALUE"""),3.8)</f>
        <v>3.8</v>
      </c>
      <c r="S256" s="35" t="str">
        <f>IFERROR(__xludf.DUMMYFUNCTION("""COMPUTED_VALUE"""),"%")</f>
        <v>%</v>
      </c>
      <c r="T256" s="36">
        <f>IFERROR(__xludf.DUMMYFUNCTION("""COMPUTED_VALUE"""),2.0)</f>
        <v>2</v>
      </c>
      <c r="U256" s="37" t="str">
        <f>IFERROR(__xludf.DUMMYFUNCTION("""COMPUTED_VALUE"""),"B117")</f>
        <v>B117</v>
      </c>
      <c r="V256" s="38" t="str">
        <f>IFERROR(__xludf.DUMMYFUNCTION("""COMPUTED_VALUE"""),"")</f>
        <v/>
      </c>
      <c r="W256" s="34">
        <f>IFERROR(__xludf.DUMMYFUNCTION("""COMPUTED_VALUE"""),227.6)</f>
        <v>227.6</v>
      </c>
      <c r="X256" s="35" t="str">
        <f>IFERROR(__xludf.DUMMYFUNCTION("""COMPUTED_VALUE"""),"AP")</f>
        <v>AP</v>
      </c>
      <c r="Y256" s="34">
        <f>IFERROR(__xludf.DUMMYFUNCTION("""COMPUTED_VALUE"""),9.2)</f>
        <v>9.2</v>
      </c>
      <c r="Z256" s="35" t="str">
        <f>IFERROR(__xludf.DUMMYFUNCTION("""COMPUTED_VALUE"""),"%")</f>
        <v>%</v>
      </c>
      <c r="AA256" s="36">
        <f>IFERROR(__xludf.DUMMYFUNCTION("""COMPUTED_VALUE"""),3.0)</f>
        <v>3</v>
      </c>
      <c r="AB256" s="37"/>
      <c r="AC256" s="38"/>
      <c r="AD256" s="34" t="str">
        <f>IFERROR(__xludf.DUMMYFUNCTION("""COMPUTED_VALUE"""),"")</f>
        <v/>
      </c>
      <c r="AE256" s="35" t="str">
        <f>IFERROR(__xludf.DUMMYFUNCTION("""COMPUTED_VALUE"""),"AP")</f>
        <v>AP</v>
      </c>
      <c r="AF256" s="34" t="str">
        <f>IFERROR(__xludf.DUMMYFUNCTION("""COMPUTED_VALUE"""),"")</f>
        <v/>
      </c>
      <c r="AG256" s="35" t="str">
        <f>IFERROR(__xludf.DUMMYFUNCTION("""COMPUTED_VALUE"""),"%")</f>
        <v>%</v>
      </c>
      <c r="AH256" s="31">
        <f>IFERROR(__xludf.DUMMYFUNCTION("""COMPUTED_VALUE"""),21.0)</f>
        <v>21</v>
      </c>
      <c r="AI256" s="32">
        <f>IFERROR(__xludf.DUMMYFUNCTION("""COMPUTED_VALUE"""),19323.0)</f>
        <v>19323</v>
      </c>
      <c r="AJ256" s="39" t="str">
        <f>IFERROR(__xludf.DUMMYFUNCTION("""COMPUTED_VALUE"""),"桃源郷")</f>
        <v>桃源郷</v>
      </c>
    </row>
    <row r="257" ht="24.75" customHeight="1">
      <c r="A257" s="40">
        <f>IFERROR(__xludf.DUMMYFUNCTION("""COMPUTED_VALUE"""),2.0)</f>
        <v>2</v>
      </c>
      <c r="B257" s="40" t="str">
        <f>IFERROR(__xludf.DUMMYFUNCTION("""COMPUTED_VALUE"""),"A203")</f>
        <v>A203</v>
      </c>
      <c r="C257" s="40" t="str">
        <f>IFERROR(__xludf.DUMMYFUNCTION("""COMPUTED_VALUE"""),"CML10")</f>
        <v>CML10</v>
      </c>
      <c r="D257" s="41" t="str">
        <f>IFERROR(__xludf.DUMMYFUNCTION("""COMPUTED_VALUE"""),"Camelot")</f>
        <v>Camelot</v>
      </c>
      <c r="E257" s="42" t="str">
        <f>IFERROR(__xludf.DUMMYFUNCTION("""COMPUTED_VALUE"""),"Holy City")</f>
        <v>Holy City</v>
      </c>
      <c r="F257" s="43">
        <f>IFERROR(__xludf.DUMMYFUNCTION("""COMPUTED_VALUE"""),20.0)</f>
        <v>20</v>
      </c>
      <c r="G257" s="44">
        <f>IFERROR(__xludf.DUMMYFUNCTION("""COMPUTED_VALUE"""),28629.0)</f>
        <v>28629</v>
      </c>
      <c r="H257" s="33" t="str">
        <f>IFERROR(__xludf.DUMMYFUNCTION("""COMPUTED_VALUE"""),"")</f>
        <v/>
      </c>
      <c r="I257" s="45">
        <f>IFERROR(__xludf.DUMMYFUNCTION("""COMPUTED_VALUE"""),73.1)</f>
        <v>73.1</v>
      </c>
      <c r="J257" s="46" t="str">
        <f>IFERROR(__xludf.DUMMYFUNCTION("""COMPUTED_VALUE"""),"AP")</f>
        <v>AP</v>
      </c>
      <c r="K257" s="47">
        <f>IFERROR(__xludf.DUMMYFUNCTION("""COMPUTED_VALUE"""),27.4)</f>
        <v>27.4</v>
      </c>
      <c r="L257" s="48" t="str">
        <f>IFERROR(__xludf.DUMMYFUNCTION("""COMPUTED_VALUE"""),"%")</f>
        <v>%</v>
      </c>
      <c r="M257" s="49">
        <f>IFERROR(__xludf.DUMMYFUNCTION("""COMPUTED_VALUE"""),1.0)</f>
        <v>1</v>
      </c>
      <c r="N257" s="50" t="str">
        <f>IFERROR(__xludf.DUMMYFUNCTION("""COMPUTED_VALUE"""),"A104")</f>
        <v>A104</v>
      </c>
      <c r="O257" s="38" t="str">
        <f>IFERROR(__xludf.DUMMYFUNCTION("""COMPUTED_VALUE"""),"")</f>
        <v/>
      </c>
      <c r="P257" s="45">
        <f>IFERROR(__xludf.DUMMYFUNCTION("""COMPUTED_VALUE"""),166.3)</f>
        <v>166.3</v>
      </c>
      <c r="Q257" s="46" t="str">
        <f>IFERROR(__xludf.DUMMYFUNCTION("""COMPUTED_VALUE"""),"AP")</f>
        <v>AP</v>
      </c>
      <c r="R257" s="47">
        <f>IFERROR(__xludf.DUMMYFUNCTION("""COMPUTED_VALUE"""),12.0)</f>
        <v>12</v>
      </c>
      <c r="S257" s="48" t="str">
        <f>IFERROR(__xludf.DUMMYFUNCTION("""COMPUTED_VALUE"""),"%")</f>
        <v>%</v>
      </c>
      <c r="T257" s="49">
        <f>IFERROR(__xludf.DUMMYFUNCTION("""COMPUTED_VALUE"""),2.0)</f>
        <v>2</v>
      </c>
      <c r="U257" s="50" t="str">
        <f>IFERROR(__xludf.DUMMYFUNCTION("""COMPUTED_VALUE"""),"A301")</f>
        <v>A301</v>
      </c>
      <c r="V257" s="38" t="str">
        <f>IFERROR(__xludf.DUMMYFUNCTION("""COMPUTED_VALUE"""),"")</f>
        <v/>
      </c>
      <c r="W257" s="45">
        <f>IFERROR(__xludf.DUMMYFUNCTION("""COMPUTED_VALUE"""),55.9)</f>
        <v>55.9</v>
      </c>
      <c r="X257" s="46" t="str">
        <f>IFERROR(__xludf.DUMMYFUNCTION("""COMPUTED_VALUE"""),"AP")</f>
        <v>AP</v>
      </c>
      <c r="Y257" s="47">
        <f>IFERROR(__xludf.DUMMYFUNCTION("""COMPUTED_VALUE"""),35.8)</f>
        <v>35.8</v>
      </c>
      <c r="Z257" s="48" t="str">
        <f>IFERROR(__xludf.DUMMYFUNCTION("""COMPUTED_VALUE"""),"%")</f>
        <v>%</v>
      </c>
      <c r="AA257" s="49">
        <f>IFERROR(__xludf.DUMMYFUNCTION("""COMPUTED_VALUE"""),3.0)</f>
        <v>3</v>
      </c>
      <c r="AB257" s="50" t="str">
        <f>IFERROR(__xludf.DUMMYFUNCTION("""COMPUTED_VALUE"""),"B101")</f>
        <v>B101</v>
      </c>
      <c r="AC257" s="38" t="str">
        <f>IFERROR(__xludf.DUMMYFUNCTION("""COMPUTED_VALUE"""),"")</f>
        <v/>
      </c>
      <c r="AD257" s="45">
        <f>IFERROR(__xludf.DUMMYFUNCTION("""COMPUTED_VALUE"""),610.3)</f>
        <v>610.3</v>
      </c>
      <c r="AE257" s="46" t="str">
        <f>IFERROR(__xludf.DUMMYFUNCTION("""COMPUTED_VALUE"""),"AP")</f>
        <v>AP</v>
      </c>
      <c r="AF257" s="47">
        <f>IFERROR(__xludf.DUMMYFUNCTION("""COMPUTED_VALUE"""),3.3)</f>
        <v>3.3</v>
      </c>
      <c r="AG257" s="48" t="str">
        <f>IFERROR(__xludf.DUMMYFUNCTION("""COMPUTED_VALUE"""),"%")</f>
        <v>%</v>
      </c>
      <c r="AH257" s="43">
        <f>IFERROR(__xludf.DUMMYFUNCTION("""COMPUTED_VALUE"""),20.0)</f>
        <v>20</v>
      </c>
      <c r="AI257" s="44">
        <f>IFERROR(__xludf.DUMMYFUNCTION("""COMPUTED_VALUE"""),28629.0)</f>
        <v>28629</v>
      </c>
      <c r="AJ257" s="51" t="str">
        <f>IFERROR(__xludf.DUMMYFUNCTION("""COMPUTED_VALUE"""),"聖都市街")</f>
        <v>聖都市街</v>
      </c>
    </row>
    <row r="258" ht="24.75" customHeight="1">
      <c r="A258" s="28">
        <f>IFERROR(__xludf.DUMMYFUNCTION("""COMPUTED_VALUE"""),3.0)</f>
        <v>3</v>
      </c>
      <c r="B258" s="28" t="str">
        <f>IFERROR(__xludf.DUMMYFUNCTION("""COMPUTED_VALUE"""),"A203")</f>
        <v>A203</v>
      </c>
      <c r="C258" s="28" t="str">
        <f>IFERROR(__xludf.DUMMYFUNCTION("""COMPUTED_VALUE"""),"OLP4")</f>
        <v>OLP4</v>
      </c>
      <c r="D258" s="29" t="str">
        <f>IFERROR(__xludf.DUMMYFUNCTION("""COMPUTED_VALUE"""),"Olympus")</f>
        <v>Olympus</v>
      </c>
      <c r="E258" s="30" t="str">
        <f>IFERROR(__xludf.DUMMYFUNCTION("""COMPUTED_VALUE"""),"Interstellar City: East")</f>
        <v>Interstellar City: East</v>
      </c>
      <c r="F258" s="31">
        <f>IFERROR(__xludf.DUMMYFUNCTION("""COMPUTED_VALUE"""),21.0)</f>
        <v>21</v>
      </c>
      <c r="G258" s="32">
        <f>IFERROR(__xludf.DUMMYFUNCTION("""COMPUTED_VALUE"""),3293.0)</f>
        <v>3293</v>
      </c>
      <c r="H258" s="33" t="str">
        <f>IFERROR(__xludf.DUMMYFUNCTION("""COMPUTED_VALUE"""),"")</f>
        <v/>
      </c>
      <c r="I258" s="34">
        <f>IFERROR(__xludf.DUMMYFUNCTION("""COMPUTED_VALUE"""),84.1)</f>
        <v>84.1</v>
      </c>
      <c r="J258" s="35" t="str">
        <f>IFERROR(__xludf.DUMMYFUNCTION("""COMPUTED_VALUE"""),"AP")</f>
        <v>AP</v>
      </c>
      <c r="K258" s="34">
        <f>IFERROR(__xludf.DUMMYFUNCTION("""COMPUTED_VALUE"""),25.0)</f>
        <v>25</v>
      </c>
      <c r="L258" s="35" t="str">
        <f>IFERROR(__xludf.DUMMYFUNCTION("""COMPUTED_VALUE"""),"%")</f>
        <v>%</v>
      </c>
      <c r="M258" s="36">
        <f>IFERROR(__xludf.DUMMYFUNCTION("""COMPUTED_VALUE"""),1.0)</f>
        <v>1</v>
      </c>
      <c r="N258" s="37" t="str">
        <f>IFERROR(__xludf.DUMMYFUNCTION("""COMPUTED_VALUE"""),"A117")</f>
        <v>A117</v>
      </c>
      <c r="O258" s="38" t="str">
        <f>IFERROR(__xludf.DUMMYFUNCTION("""COMPUTED_VALUE"""),"")</f>
        <v/>
      </c>
      <c r="P258" s="34">
        <f>IFERROR(__xludf.DUMMYFUNCTION("""COMPUTED_VALUE"""),107.4)</f>
        <v>107.4</v>
      </c>
      <c r="Q258" s="35" t="str">
        <f>IFERROR(__xludf.DUMMYFUNCTION("""COMPUTED_VALUE"""),"AP")</f>
        <v>AP</v>
      </c>
      <c r="R258" s="34">
        <f>IFERROR(__xludf.DUMMYFUNCTION("""COMPUTED_VALUE"""),19.6)</f>
        <v>19.6</v>
      </c>
      <c r="S258" s="35" t="str">
        <f>IFERROR(__xludf.DUMMYFUNCTION("""COMPUTED_VALUE"""),"%")</f>
        <v>%</v>
      </c>
      <c r="T258" s="36">
        <f>IFERROR(__xludf.DUMMYFUNCTION("""COMPUTED_VALUE"""),2.0)</f>
        <v>2</v>
      </c>
      <c r="U258" s="37" t="str">
        <f>IFERROR(__xludf.DUMMYFUNCTION("""COMPUTED_VALUE"""),"B107")</f>
        <v>B107</v>
      </c>
      <c r="V258" s="38" t="str">
        <f>IFERROR(__xludf.DUMMYFUNCTION("""COMPUTED_VALUE"""),"")</f>
        <v/>
      </c>
      <c r="W258" s="34">
        <f>IFERROR(__xludf.DUMMYFUNCTION("""COMPUTED_VALUE"""),398.9)</f>
        <v>398.9</v>
      </c>
      <c r="X258" s="35" t="str">
        <f>IFERROR(__xludf.DUMMYFUNCTION("""COMPUTED_VALUE"""),"AP")</f>
        <v>AP</v>
      </c>
      <c r="Y258" s="34">
        <f>IFERROR(__xludf.DUMMYFUNCTION("""COMPUTED_VALUE"""),5.3)</f>
        <v>5.3</v>
      </c>
      <c r="Z258" s="35" t="str">
        <f>IFERROR(__xludf.DUMMYFUNCTION("""COMPUTED_VALUE"""),"%")</f>
        <v>%</v>
      </c>
      <c r="AA258" s="36">
        <f>IFERROR(__xludf.DUMMYFUNCTION("""COMPUTED_VALUE"""),3.0)</f>
        <v>3</v>
      </c>
      <c r="AB258" s="37" t="str">
        <f>IFERROR(__xludf.DUMMYFUNCTION("""COMPUTED_VALUE"""),"B113")</f>
        <v>B113</v>
      </c>
      <c r="AC258" s="38" t="str">
        <f>IFERROR(__xludf.DUMMYFUNCTION("""COMPUTED_VALUE"""),"")</f>
        <v/>
      </c>
      <c r="AD258" s="34">
        <f>IFERROR(__xludf.DUMMYFUNCTION("""COMPUTED_VALUE"""),153.7)</f>
        <v>153.7</v>
      </c>
      <c r="AE258" s="35" t="str">
        <f>IFERROR(__xludf.DUMMYFUNCTION("""COMPUTED_VALUE"""),"AP")</f>
        <v>AP</v>
      </c>
      <c r="AF258" s="34">
        <f>IFERROR(__xludf.DUMMYFUNCTION("""COMPUTED_VALUE"""),13.7)</f>
        <v>13.7</v>
      </c>
      <c r="AG258" s="35" t="str">
        <f>IFERROR(__xludf.DUMMYFUNCTION("""COMPUTED_VALUE"""),"%")</f>
        <v>%</v>
      </c>
      <c r="AH258" s="31">
        <f>IFERROR(__xludf.DUMMYFUNCTION("""COMPUTED_VALUE"""),21.0)</f>
        <v>21</v>
      </c>
      <c r="AI258" s="32">
        <f>IFERROR(__xludf.DUMMYFUNCTION("""COMPUTED_VALUE"""),3293.0)</f>
        <v>3293</v>
      </c>
      <c r="AJ258" s="39" t="str">
        <f>IFERROR(__xludf.DUMMYFUNCTION("""COMPUTED_VALUE"""),"星間都市東部")</f>
        <v>星間都市東部</v>
      </c>
    </row>
    <row r="259" ht="24.75" customHeight="1">
      <c r="A259" s="40">
        <f>IFERROR(__xludf.DUMMYFUNCTION("""COMPUTED_VALUE"""),4.0)</f>
        <v>4</v>
      </c>
      <c r="B259" s="40" t="str">
        <f>IFERROR(__xludf.DUMMYFUNCTION("""COMPUTED_VALUE"""),"A203")</f>
        <v>A203</v>
      </c>
      <c r="C259" s="40" t="str">
        <f>IFERROR(__xludf.DUMMYFUNCTION("""COMPUTED_VALUE"""),"GTT5")</f>
        <v>GTT5</v>
      </c>
      <c r="D259" s="41" t="str">
        <f>IFERROR(__xludf.DUMMYFUNCTION("""COMPUTED_VALUE"""),"Götterdämmerung")</f>
        <v>Götterdämmerung</v>
      </c>
      <c r="E259" s="42" t="str">
        <f>IFERROR(__xludf.DUMMYFUNCTION("""COMPUTED_VALUE"""),"Hero's Lair")</f>
        <v>Hero's Lair</v>
      </c>
      <c r="F259" s="43">
        <f>IFERROR(__xludf.DUMMYFUNCTION("""COMPUTED_VALUE"""),21.0)</f>
        <v>21</v>
      </c>
      <c r="G259" s="44">
        <f>IFERROR(__xludf.DUMMYFUNCTION("""COMPUTED_VALUE"""),8524.0)</f>
        <v>8524</v>
      </c>
      <c r="H259" s="33" t="str">
        <f>IFERROR(__xludf.DUMMYFUNCTION("""COMPUTED_VALUE"""),"")</f>
        <v/>
      </c>
      <c r="I259" s="45">
        <f>IFERROR(__xludf.DUMMYFUNCTION("""COMPUTED_VALUE"""),84.8)</f>
        <v>84.8</v>
      </c>
      <c r="J259" s="46" t="str">
        <f>IFERROR(__xludf.DUMMYFUNCTION("""COMPUTED_VALUE"""),"AP")</f>
        <v>AP</v>
      </c>
      <c r="K259" s="47">
        <f>IFERROR(__xludf.DUMMYFUNCTION("""COMPUTED_VALUE"""),24.8)</f>
        <v>24.8</v>
      </c>
      <c r="L259" s="48" t="str">
        <f>IFERROR(__xludf.DUMMYFUNCTION("""COMPUTED_VALUE"""),"%")</f>
        <v>%</v>
      </c>
      <c r="M259" s="49">
        <f>IFERROR(__xludf.DUMMYFUNCTION("""COMPUTED_VALUE"""),1.0)</f>
        <v>1</v>
      </c>
      <c r="N259" s="50" t="str">
        <f>IFERROR(__xludf.DUMMYFUNCTION("""COMPUTED_VALUE"""),"A214")</f>
        <v>A214</v>
      </c>
      <c r="O259" s="38" t="str">
        <f>IFERROR(__xludf.DUMMYFUNCTION("""COMPUTED_VALUE"""),"")</f>
        <v/>
      </c>
      <c r="P259" s="45">
        <f>IFERROR(__xludf.DUMMYFUNCTION("""COMPUTED_VALUE"""),82.1)</f>
        <v>82.1</v>
      </c>
      <c r="Q259" s="46" t="str">
        <f>IFERROR(__xludf.DUMMYFUNCTION("""COMPUTED_VALUE"""),"AP")</f>
        <v>AP</v>
      </c>
      <c r="R259" s="47">
        <f>IFERROR(__xludf.DUMMYFUNCTION("""COMPUTED_VALUE"""),25.6)</f>
        <v>25.6</v>
      </c>
      <c r="S259" s="48" t="str">
        <f>IFERROR(__xludf.DUMMYFUNCTION("""COMPUTED_VALUE"""),"%")</f>
        <v>%</v>
      </c>
      <c r="T259" s="49">
        <f>IFERROR(__xludf.DUMMYFUNCTION("""COMPUTED_VALUE"""),2.0)</f>
        <v>2</v>
      </c>
      <c r="U259" s="50" t="str">
        <f>IFERROR(__xludf.DUMMYFUNCTION("""COMPUTED_VALUE"""),"B107")</f>
        <v>B107</v>
      </c>
      <c r="V259" s="38" t="str">
        <f>IFERROR(__xludf.DUMMYFUNCTION("""COMPUTED_VALUE"""),"")</f>
        <v/>
      </c>
      <c r="W259" s="45">
        <f>IFERROR(__xludf.DUMMYFUNCTION("""COMPUTED_VALUE"""),427.7)</f>
        <v>427.7</v>
      </c>
      <c r="X259" s="46" t="str">
        <f>IFERROR(__xludf.DUMMYFUNCTION("""COMPUTED_VALUE"""),"AP")</f>
        <v>AP</v>
      </c>
      <c r="Y259" s="47">
        <f>IFERROR(__xludf.DUMMYFUNCTION("""COMPUTED_VALUE"""),4.9)</f>
        <v>4.9</v>
      </c>
      <c r="Z259" s="48" t="str">
        <f>IFERROR(__xludf.DUMMYFUNCTION("""COMPUTED_VALUE"""),"%")</f>
        <v>%</v>
      </c>
      <c r="AA259" s="49">
        <f>IFERROR(__xludf.DUMMYFUNCTION("""COMPUTED_VALUE"""),3.0)</f>
        <v>3</v>
      </c>
      <c r="AB259" s="50" t="str">
        <f>IFERROR(__xludf.DUMMYFUNCTION("""COMPUTED_VALUE"""),"B117")</f>
        <v>B117</v>
      </c>
      <c r="AC259" s="38" t="str">
        <f>IFERROR(__xludf.DUMMYFUNCTION("""COMPUTED_VALUE"""),"")</f>
        <v/>
      </c>
      <c r="AD259" s="45">
        <f>IFERROR(__xludf.DUMMYFUNCTION("""COMPUTED_VALUE"""),67.3)</f>
        <v>67.3</v>
      </c>
      <c r="AE259" s="46" t="str">
        <f>IFERROR(__xludf.DUMMYFUNCTION("""COMPUTED_VALUE"""),"AP")</f>
        <v>AP</v>
      </c>
      <c r="AF259" s="47">
        <f>IFERROR(__xludf.DUMMYFUNCTION("""COMPUTED_VALUE"""),31.2)</f>
        <v>31.2</v>
      </c>
      <c r="AG259" s="48" t="str">
        <f>IFERROR(__xludf.DUMMYFUNCTION("""COMPUTED_VALUE"""),"%")</f>
        <v>%</v>
      </c>
      <c r="AH259" s="43">
        <f>IFERROR(__xludf.DUMMYFUNCTION("""COMPUTED_VALUE"""),21.0)</f>
        <v>21</v>
      </c>
      <c r="AI259" s="44">
        <f>IFERROR(__xludf.DUMMYFUNCTION("""COMPUTED_VALUE"""),8524.0)</f>
        <v>8524</v>
      </c>
      <c r="AJ259" s="51" t="str">
        <f>IFERROR(__xludf.DUMMYFUNCTION("""COMPUTED_VALUE"""),"英雄の穴倉")</f>
        <v>英雄の穴倉</v>
      </c>
    </row>
    <row r="260" ht="24.75" customHeight="1">
      <c r="A260" s="28">
        <f>IFERROR(__xludf.DUMMYFUNCTION("""COMPUTED_VALUE"""),5.0)</f>
        <v>5</v>
      </c>
      <c r="B260" s="28" t="str">
        <f>IFERROR(__xludf.DUMMYFUNCTION("""COMPUTED_VALUE"""),"A203")</f>
        <v>A203</v>
      </c>
      <c r="C260" s="28" t="str">
        <f>IFERROR(__xludf.DUMMYFUNCTION("""COMPUTED_VALUE"""),"SMS7")</f>
        <v>SMS7</v>
      </c>
      <c r="D260" s="29" t="str">
        <f>IFERROR(__xludf.DUMMYFUNCTION("""COMPUTED_VALUE"""),"Shimosa")</f>
        <v>Shimosa</v>
      </c>
      <c r="E260" s="30" t="str">
        <f>IFERROR(__xludf.DUMMYFUNCTION("""COMPUTED_VALUE"""),"Rear Mountain (Nameless Sacred Mountain)")</f>
        <v>Rear Mountain (Nameless Sacred Mountain)</v>
      </c>
      <c r="F260" s="31">
        <f>IFERROR(__xludf.DUMMYFUNCTION("""COMPUTED_VALUE"""),21.0)</f>
        <v>21</v>
      </c>
      <c r="G260" s="32">
        <f>IFERROR(__xludf.DUMMYFUNCTION("""COMPUTED_VALUE"""),15395.0)</f>
        <v>15395</v>
      </c>
      <c r="H260" s="33" t="str">
        <f>IFERROR(__xludf.DUMMYFUNCTION("""COMPUTED_VALUE"""),"")</f>
        <v/>
      </c>
      <c r="I260" s="34">
        <f>IFERROR(__xludf.DUMMYFUNCTION("""COMPUTED_VALUE"""),86.1)</f>
        <v>86.1</v>
      </c>
      <c r="J260" s="35" t="str">
        <f>IFERROR(__xludf.DUMMYFUNCTION("""COMPUTED_VALUE"""),"AP")</f>
        <v>AP</v>
      </c>
      <c r="K260" s="34">
        <f>IFERROR(__xludf.DUMMYFUNCTION("""COMPUTED_VALUE"""),24.4)</f>
        <v>24.4</v>
      </c>
      <c r="L260" s="35" t="str">
        <f>IFERROR(__xludf.DUMMYFUNCTION("""COMPUTED_VALUE"""),"%")</f>
        <v>%</v>
      </c>
      <c r="M260" s="36">
        <f>IFERROR(__xludf.DUMMYFUNCTION("""COMPUTED_VALUE"""),1.0)</f>
        <v>1</v>
      </c>
      <c r="N260" s="37" t="str">
        <f>IFERROR(__xludf.DUMMYFUNCTION("""COMPUTED_VALUE"""),"A212")</f>
        <v>A212</v>
      </c>
      <c r="O260" s="38" t="str">
        <f>IFERROR(__xludf.DUMMYFUNCTION("""COMPUTED_VALUE"""),"")</f>
        <v/>
      </c>
      <c r="P260" s="34">
        <f>IFERROR(__xludf.DUMMYFUNCTION("""COMPUTED_VALUE"""),87.1)</f>
        <v>87.1</v>
      </c>
      <c r="Q260" s="35" t="str">
        <f>IFERROR(__xludf.DUMMYFUNCTION("""COMPUTED_VALUE"""),"AP")</f>
        <v>AP</v>
      </c>
      <c r="R260" s="34">
        <f>IFERROR(__xludf.DUMMYFUNCTION("""COMPUTED_VALUE"""),24.1)</f>
        <v>24.1</v>
      </c>
      <c r="S260" s="35" t="str">
        <f>IFERROR(__xludf.DUMMYFUNCTION("""COMPUTED_VALUE"""),"%")</f>
        <v>%</v>
      </c>
      <c r="T260" s="36">
        <f>IFERROR(__xludf.DUMMYFUNCTION("""COMPUTED_VALUE"""),2.0)</f>
        <v>2</v>
      </c>
      <c r="U260" s="37" t="str">
        <f>IFERROR(__xludf.DUMMYFUNCTION("""COMPUTED_VALUE"""),"A304")</f>
        <v>A304</v>
      </c>
      <c r="V260" s="38" t="str">
        <f>IFERROR(__xludf.DUMMYFUNCTION("""COMPUTED_VALUE"""),"")</f>
        <v/>
      </c>
      <c r="W260" s="34">
        <f>IFERROR(__xludf.DUMMYFUNCTION("""COMPUTED_VALUE"""),70.3)</f>
        <v>70.3</v>
      </c>
      <c r="X260" s="35" t="str">
        <f>IFERROR(__xludf.DUMMYFUNCTION("""COMPUTED_VALUE"""),"AP")</f>
        <v>AP</v>
      </c>
      <c r="Y260" s="34">
        <f>IFERROR(__xludf.DUMMYFUNCTION("""COMPUTED_VALUE"""),29.9)</f>
        <v>29.9</v>
      </c>
      <c r="Z260" s="35" t="str">
        <f>IFERROR(__xludf.DUMMYFUNCTION("""COMPUTED_VALUE"""),"%")</f>
        <v>%</v>
      </c>
      <c r="AA260" s="36">
        <f>IFERROR(__xludf.DUMMYFUNCTION("""COMPUTED_VALUE"""),3.0)</f>
        <v>3</v>
      </c>
      <c r="AB260" s="37" t="str">
        <f>IFERROR(__xludf.DUMMYFUNCTION("""COMPUTED_VALUE"""),"B111")</f>
        <v>B111</v>
      </c>
      <c r="AC260" s="38" t="str">
        <f>IFERROR(__xludf.DUMMYFUNCTION("""COMPUTED_VALUE"""),"")</f>
        <v/>
      </c>
      <c r="AD260" s="34">
        <f>IFERROR(__xludf.DUMMYFUNCTION("""COMPUTED_VALUE"""),86.3)</f>
        <v>86.3</v>
      </c>
      <c r="AE260" s="35" t="str">
        <f>IFERROR(__xludf.DUMMYFUNCTION("""COMPUTED_VALUE"""),"AP")</f>
        <v>AP</v>
      </c>
      <c r="AF260" s="34">
        <f>IFERROR(__xludf.DUMMYFUNCTION("""COMPUTED_VALUE"""),24.3)</f>
        <v>24.3</v>
      </c>
      <c r="AG260" s="35" t="str">
        <f>IFERROR(__xludf.DUMMYFUNCTION("""COMPUTED_VALUE"""),"%")</f>
        <v>%</v>
      </c>
      <c r="AH260" s="31">
        <f>IFERROR(__xludf.DUMMYFUNCTION("""COMPUTED_VALUE"""),21.0)</f>
        <v>21</v>
      </c>
      <c r="AI260" s="32">
        <f>IFERROR(__xludf.DUMMYFUNCTION("""COMPUTED_VALUE"""),15395.0)</f>
        <v>15395</v>
      </c>
      <c r="AJ260" s="39" t="str">
        <f>IFERROR(__xludf.DUMMYFUNCTION("""COMPUTED_VALUE"""),"裏山（名もなき霊峰）")</f>
        <v>裏山（名もなき霊峰）</v>
      </c>
    </row>
    <row r="261" ht="24.75" customHeight="1">
      <c r="A261" s="40">
        <f>IFERROR(__xludf.DUMMYFUNCTION("""COMPUTED_VALUE"""),6.0)</f>
        <v>6</v>
      </c>
      <c r="B261" s="40" t="str">
        <f>IFERROR(__xludf.DUMMYFUNCTION("""COMPUTED_VALUE"""),"A203")</f>
        <v>A203</v>
      </c>
      <c r="C261" s="40" t="str">
        <f>IFERROR(__xludf.DUMMYFUNCTION("""COMPUTED_VALUE"""),"OKN6")</f>
        <v>OKN6</v>
      </c>
      <c r="D261" s="41" t="str">
        <f>IFERROR(__xludf.DUMMYFUNCTION("""COMPUTED_VALUE"""),"Okeanos")</f>
        <v>Okeanos</v>
      </c>
      <c r="E261" s="42" t="str">
        <f>IFERROR(__xludf.DUMMYFUNCTION("""COMPUTED_VALUE"""),"Two-Current Sea")</f>
        <v>Two-Current Sea</v>
      </c>
      <c r="F261" s="43">
        <f>IFERROR(__xludf.DUMMYFUNCTION("""COMPUTED_VALUE"""),14.0)</f>
        <v>14</v>
      </c>
      <c r="G261" s="44">
        <f>IFERROR(__xludf.DUMMYFUNCTION("""COMPUTED_VALUE"""),1250.0)</f>
        <v>1250</v>
      </c>
      <c r="H261" s="33" t="str">
        <f>IFERROR(__xludf.DUMMYFUNCTION("""COMPUTED_VALUE"""),"")</f>
        <v/>
      </c>
      <c r="I261" s="45">
        <f>IFERROR(__xludf.DUMMYFUNCTION("""COMPUTED_VALUE"""),125.9)</f>
        <v>125.9</v>
      </c>
      <c r="J261" s="46" t="str">
        <f>IFERROR(__xludf.DUMMYFUNCTION("""COMPUTED_VALUE"""),"AP")</f>
        <v>AP</v>
      </c>
      <c r="K261" s="47">
        <f>IFERROR(__xludf.DUMMYFUNCTION("""COMPUTED_VALUE"""),11.1)</f>
        <v>11.1</v>
      </c>
      <c r="L261" s="48" t="str">
        <f>IFERROR(__xludf.DUMMYFUNCTION("""COMPUTED_VALUE"""),"%")</f>
        <v>%</v>
      </c>
      <c r="M261" s="49">
        <f>IFERROR(__xludf.DUMMYFUNCTION("""COMPUTED_VALUE"""),1.0)</f>
        <v>1</v>
      </c>
      <c r="N261" s="50" t="str">
        <f>IFERROR(__xludf.DUMMYFUNCTION("""COMPUTED_VALUE"""),"A301")</f>
        <v>A301</v>
      </c>
      <c r="O261" s="38" t="str">
        <f>IFERROR(__xludf.DUMMYFUNCTION("""COMPUTED_VALUE"""),"")</f>
        <v/>
      </c>
      <c r="P261" s="45">
        <f>IFERROR(__xludf.DUMMYFUNCTION("""COMPUTED_VALUE"""),55.4)</f>
        <v>55.4</v>
      </c>
      <c r="Q261" s="46" t="str">
        <f>IFERROR(__xludf.DUMMYFUNCTION("""COMPUTED_VALUE"""),"AP")</f>
        <v>AP</v>
      </c>
      <c r="R261" s="47">
        <f>IFERROR(__xludf.DUMMYFUNCTION("""COMPUTED_VALUE"""),25.3)</f>
        <v>25.3</v>
      </c>
      <c r="S261" s="48" t="str">
        <f>IFERROR(__xludf.DUMMYFUNCTION("""COMPUTED_VALUE"""),"%")</f>
        <v>%</v>
      </c>
      <c r="T261" s="49">
        <f>IFERROR(__xludf.DUMMYFUNCTION("""COMPUTED_VALUE"""),2.0)</f>
        <v>2</v>
      </c>
      <c r="U261" s="50" t="str">
        <f>IFERROR(__xludf.DUMMYFUNCTION("""COMPUTED_VALUE"""),"B117")</f>
        <v>B117</v>
      </c>
      <c r="V261" s="38" t="str">
        <f>IFERROR(__xludf.DUMMYFUNCTION("""COMPUTED_VALUE"""),"")</f>
        <v/>
      </c>
      <c r="W261" s="45">
        <f>IFERROR(__xludf.DUMMYFUNCTION("""COMPUTED_VALUE"""),309.6)</f>
        <v>309.6</v>
      </c>
      <c r="X261" s="46" t="str">
        <f>IFERROR(__xludf.DUMMYFUNCTION("""COMPUTED_VALUE"""),"AP")</f>
        <v>AP</v>
      </c>
      <c r="Y261" s="47">
        <f>IFERROR(__xludf.DUMMYFUNCTION("""COMPUTED_VALUE"""),4.5)</f>
        <v>4.5</v>
      </c>
      <c r="Z261" s="48" t="str">
        <f>IFERROR(__xludf.DUMMYFUNCTION("""COMPUTED_VALUE"""),"%")</f>
        <v>%</v>
      </c>
      <c r="AA261" s="49">
        <f>IFERROR(__xludf.DUMMYFUNCTION("""COMPUTED_VALUE"""),3.0)</f>
        <v>3</v>
      </c>
      <c r="AB261" s="50"/>
      <c r="AC261" s="38"/>
      <c r="AD261" s="45" t="str">
        <f>IFERROR(__xludf.DUMMYFUNCTION("""COMPUTED_VALUE"""),"")</f>
        <v/>
      </c>
      <c r="AE261" s="46" t="str">
        <f>IFERROR(__xludf.DUMMYFUNCTION("""COMPUTED_VALUE"""),"AP")</f>
        <v>AP</v>
      </c>
      <c r="AF261" s="47" t="str">
        <f>IFERROR(__xludf.DUMMYFUNCTION("""COMPUTED_VALUE"""),"")</f>
        <v/>
      </c>
      <c r="AG261" s="48" t="str">
        <f>IFERROR(__xludf.DUMMYFUNCTION("""COMPUTED_VALUE"""),"%")</f>
        <v>%</v>
      </c>
      <c r="AH261" s="43">
        <f>IFERROR(__xludf.DUMMYFUNCTION("""COMPUTED_VALUE"""),14.0)</f>
        <v>14</v>
      </c>
      <c r="AI261" s="44">
        <f>IFERROR(__xludf.DUMMYFUNCTION("""COMPUTED_VALUE"""),1250.0)</f>
        <v>1250</v>
      </c>
      <c r="AJ261" s="51" t="str">
        <f>IFERROR(__xludf.DUMMYFUNCTION("""COMPUTED_VALUE"""),"潮目の海")</f>
        <v>潮目の海</v>
      </c>
    </row>
    <row r="262" ht="24.75" customHeight="1">
      <c r="A262" s="28">
        <f>IFERROR(__xludf.DUMMYFUNCTION("""COMPUTED_VALUE"""),7.0)</f>
        <v>7</v>
      </c>
      <c r="B262" s="28" t="str">
        <f>IFERROR(__xludf.DUMMYFUNCTION("""COMPUTED_VALUE"""),"A203")</f>
        <v>A203</v>
      </c>
      <c r="C262" s="28" t="str">
        <f>IFERROR(__xludf.DUMMYFUNCTION("""COMPUTED_VALUE"""),"SEP8")</f>
        <v>SEP8</v>
      </c>
      <c r="D262" s="29" t="str">
        <f>IFERROR(__xludf.DUMMYFUNCTION("""COMPUTED_VALUE"""),"Septem")</f>
        <v>Septem</v>
      </c>
      <c r="E262" s="30" t="str">
        <f>IFERROR(__xludf.DUMMYFUNCTION("""COMPUTED_VALUE"""),"Gaul")</f>
        <v>Gaul</v>
      </c>
      <c r="F262" s="31">
        <f>IFERROR(__xludf.DUMMYFUNCTION("""COMPUTED_VALUE"""),9.0)</f>
        <v>9</v>
      </c>
      <c r="G262" s="32">
        <f>IFERROR(__xludf.DUMMYFUNCTION("""COMPUTED_VALUE"""),1160.0)</f>
        <v>1160</v>
      </c>
      <c r="H262" s="33" t="str">
        <f>IFERROR(__xludf.DUMMYFUNCTION("""COMPUTED_VALUE"""),"")</f>
        <v/>
      </c>
      <c r="I262" s="34">
        <f>IFERROR(__xludf.DUMMYFUNCTION("""COMPUTED_VALUE"""),151.3)</f>
        <v>151.3</v>
      </c>
      <c r="J262" s="35" t="str">
        <f>IFERROR(__xludf.DUMMYFUNCTION("""COMPUTED_VALUE"""),"AP")</f>
        <v>AP</v>
      </c>
      <c r="K262" s="34">
        <f>IFERROR(__xludf.DUMMYFUNCTION("""COMPUTED_VALUE"""),5.9)</f>
        <v>5.9</v>
      </c>
      <c r="L262" s="35" t="str">
        <f>IFERROR(__xludf.DUMMYFUNCTION("""COMPUTED_VALUE"""),"%")</f>
        <v>%</v>
      </c>
      <c r="M262" s="36">
        <f>IFERROR(__xludf.DUMMYFUNCTION("""COMPUTED_VALUE"""),1.0)</f>
        <v>1</v>
      </c>
      <c r="N262" s="37" t="str">
        <f>IFERROR(__xludf.DUMMYFUNCTION("""COMPUTED_VALUE"""),"A301")</f>
        <v>A301</v>
      </c>
      <c r="O262" s="38" t="str">
        <f>IFERROR(__xludf.DUMMYFUNCTION("""COMPUTED_VALUE"""),"")</f>
        <v/>
      </c>
      <c r="P262" s="34">
        <f>IFERROR(__xludf.DUMMYFUNCTION("""COMPUTED_VALUE"""),60.3)</f>
        <v>60.3</v>
      </c>
      <c r="Q262" s="35" t="str">
        <f>IFERROR(__xludf.DUMMYFUNCTION("""COMPUTED_VALUE"""),"AP")</f>
        <v>AP</v>
      </c>
      <c r="R262" s="34">
        <f>IFERROR(__xludf.DUMMYFUNCTION("""COMPUTED_VALUE"""),14.9)</f>
        <v>14.9</v>
      </c>
      <c r="S262" s="35" t="str">
        <f>IFERROR(__xludf.DUMMYFUNCTION("""COMPUTED_VALUE"""),"%")</f>
        <v>%</v>
      </c>
      <c r="T262" s="36">
        <f>IFERROR(__xludf.DUMMYFUNCTION("""COMPUTED_VALUE"""),2.0)</f>
        <v>2</v>
      </c>
      <c r="U262" s="37" t="str">
        <f>IFERROR(__xludf.DUMMYFUNCTION("""COMPUTED_VALUE"""),"A304")</f>
        <v>A304</v>
      </c>
      <c r="V262" s="38" t="str">
        <f>IFERROR(__xludf.DUMMYFUNCTION("""COMPUTED_VALUE"""),"")</f>
        <v/>
      </c>
      <c r="W262" s="34">
        <f>IFERROR(__xludf.DUMMYFUNCTION("""COMPUTED_VALUE"""),113.5)</f>
        <v>113.5</v>
      </c>
      <c r="X262" s="35" t="str">
        <f>IFERROR(__xludf.DUMMYFUNCTION("""COMPUTED_VALUE"""),"AP")</f>
        <v>AP</v>
      </c>
      <c r="Y262" s="34">
        <f>IFERROR(__xludf.DUMMYFUNCTION("""COMPUTED_VALUE"""),7.9)</f>
        <v>7.9</v>
      </c>
      <c r="Z262" s="35" t="str">
        <f>IFERROR(__xludf.DUMMYFUNCTION("""COMPUTED_VALUE"""),"%")</f>
        <v>%</v>
      </c>
      <c r="AA262" s="36">
        <f>IFERROR(__xludf.DUMMYFUNCTION("""COMPUTED_VALUE"""),3.0)</f>
        <v>3</v>
      </c>
      <c r="AB262" s="37"/>
      <c r="AC262" s="38"/>
      <c r="AD262" s="34" t="str">
        <f>IFERROR(__xludf.DUMMYFUNCTION("""COMPUTED_VALUE"""),"")</f>
        <v/>
      </c>
      <c r="AE262" s="35" t="str">
        <f>IFERROR(__xludf.DUMMYFUNCTION("""COMPUTED_VALUE"""),"AP")</f>
        <v>AP</v>
      </c>
      <c r="AF262" s="34" t="str">
        <f>IFERROR(__xludf.DUMMYFUNCTION("""COMPUTED_VALUE"""),"")</f>
        <v/>
      </c>
      <c r="AG262" s="35" t="str">
        <f>IFERROR(__xludf.DUMMYFUNCTION("""COMPUTED_VALUE"""),"%")</f>
        <v>%</v>
      </c>
      <c r="AH262" s="31">
        <f>IFERROR(__xludf.DUMMYFUNCTION("""COMPUTED_VALUE"""),9.0)</f>
        <v>9</v>
      </c>
      <c r="AI262" s="32">
        <f>IFERROR(__xludf.DUMMYFUNCTION("""COMPUTED_VALUE"""),1160.0)</f>
        <v>1160</v>
      </c>
      <c r="AJ262" s="39" t="str">
        <f>IFERROR(__xludf.DUMMYFUNCTION("""COMPUTED_VALUE"""),"ガリア")</f>
        <v>ガリア</v>
      </c>
    </row>
    <row r="263" ht="24.75" customHeight="1">
      <c r="A263" s="40">
        <f>IFERROR(__xludf.DUMMYFUNCTION("""COMPUTED_VALUE"""),8.0)</f>
        <v>8</v>
      </c>
      <c r="B263" s="40" t="str">
        <f>IFERROR(__xludf.DUMMYFUNCTION("""COMPUTED_VALUE"""),"A203")</f>
        <v>A203</v>
      </c>
      <c r="C263" s="40" t="str">
        <f>IFERROR(__xludf.DUMMYFUNCTION("""COMPUTED_VALUE"""),"TRF10")</f>
        <v>TRF10</v>
      </c>
      <c r="D263" s="41" t="str">
        <f>IFERROR(__xludf.DUMMYFUNCTION("""COMPUTED_VALUE"""),"Chaldea Gate (Wed)")</f>
        <v>Chaldea Gate (Wed)</v>
      </c>
      <c r="E263" s="42" t="str">
        <f>IFERROR(__xludf.DUMMYFUNCTION("""COMPUTED_VALUE"""),"WED Berserker Training Ground- Int")</f>
        <v>WED Berserker Training Ground- Int</v>
      </c>
      <c r="F263" s="43">
        <f>IFERROR(__xludf.DUMMYFUNCTION("""COMPUTED_VALUE"""),20.0)</f>
        <v>20</v>
      </c>
      <c r="G263" s="44">
        <f>IFERROR(__xludf.DUMMYFUNCTION("""COMPUTED_VALUE"""),1018.0)</f>
        <v>1018</v>
      </c>
      <c r="H263" s="33" t="str">
        <f>IFERROR(__xludf.DUMMYFUNCTION("""COMPUTED_VALUE"""),"")</f>
        <v/>
      </c>
      <c r="I263" s="45">
        <f>IFERROR(__xludf.DUMMYFUNCTION("""COMPUTED_VALUE"""),172.5)</f>
        <v>172.5</v>
      </c>
      <c r="J263" s="46" t="str">
        <f>IFERROR(__xludf.DUMMYFUNCTION("""COMPUTED_VALUE"""),"AP")</f>
        <v>AP</v>
      </c>
      <c r="K263" s="47">
        <f>IFERROR(__xludf.DUMMYFUNCTION("""COMPUTED_VALUE"""),11.6)</f>
        <v>11.6</v>
      </c>
      <c r="L263" s="48" t="str">
        <f>IFERROR(__xludf.DUMMYFUNCTION("""COMPUTED_VALUE"""),"%")</f>
        <v>%</v>
      </c>
      <c r="M263" s="49">
        <f>IFERROR(__xludf.DUMMYFUNCTION("""COMPUTED_VALUE"""),1.0)</f>
        <v>1</v>
      </c>
      <c r="N263" s="50" t="str">
        <f>IFERROR(__xludf.DUMMYFUNCTION("""COMPUTED_VALUE"""),"A101")</f>
        <v>A101</v>
      </c>
      <c r="O263" s="38" t="str">
        <f>IFERROR(__xludf.DUMMYFUNCTION("""COMPUTED_VALUE"""),"")</f>
        <v/>
      </c>
      <c r="P263" s="45">
        <f>IFERROR(__xludf.DUMMYFUNCTION("""COMPUTED_VALUE"""),598.8)</f>
        <v>598.8</v>
      </c>
      <c r="Q263" s="46" t="str">
        <f>IFERROR(__xludf.DUMMYFUNCTION("""COMPUTED_VALUE"""),"AP")</f>
        <v>AP</v>
      </c>
      <c r="R263" s="47">
        <f>IFERROR(__xludf.DUMMYFUNCTION("""COMPUTED_VALUE"""),3.3)</f>
        <v>3.3</v>
      </c>
      <c r="S263" s="48" t="str">
        <f>IFERROR(__xludf.DUMMYFUNCTION("""COMPUTED_VALUE"""),"%")</f>
        <v>%</v>
      </c>
      <c r="T263" s="49">
        <f>IFERROR(__xludf.DUMMYFUNCTION("""COMPUTED_VALUE"""),2.0)</f>
        <v>2</v>
      </c>
      <c r="U263" s="50" t="str">
        <f>IFERROR(__xludf.DUMMYFUNCTION("""COMPUTED_VALUE"""),"A301")</f>
        <v>A301</v>
      </c>
      <c r="V263" s="38" t="str">
        <f>IFERROR(__xludf.DUMMYFUNCTION("""COMPUTED_VALUE"""),"")</f>
        <v/>
      </c>
      <c r="W263" s="45">
        <f>IFERROR(__xludf.DUMMYFUNCTION("""COMPUTED_VALUE"""),333.8)</f>
        <v>333.8</v>
      </c>
      <c r="X263" s="46" t="str">
        <f>IFERROR(__xludf.DUMMYFUNCTION("""COMPUTED_VALUE"""),"AP")</f>
        <v>AP</v>
      </c>
      <c r="Y263" s="47">
        <f>IFERROR(__xludf.DUMMYFUNCTION("""COMPUTED_VALUE"""),6.0)</f>
        <v>6</v>
      </c>
      <c r="Z263" s="48" t="str">
        <f>IFERROR(__xludf.DUMMYFUNCTION("""COMPUTED_VALUE"""),"%")</f>
        <v>%</v>
      </c>
      <c r="AA263" s="49">
        <f>IFERROR(__xludf.DUMMYFUNCTION("""COMPUTED_VALUE"""),3.0)</f>
        <v>3</v>
      </c>
      <c r="AB263" s="50" t="str">
        <f>IFERROR(__xludf.DUMMYFUNCTION("""COMPUTED_VALUE"""),"A304")</f>
        <v>A304</v>
      </c>
      <c r="AC263" s="38" t="str">
        <f>IFERROR(__xludf.DUMMYFUNCTION("""COMPUTED_VALUE"""),"")</f>
        <v/>
      </c>
      <c r="AD263" s="45">
        <f>IFERROR(__xludf.DUMMYFUNCTION("""COMPUTED_VALUE"""),105.5)</f>
        <v>105.5</v>
      </c>
      <c r="AE263" s="46" t="str">
        <f>IFERROR(__xludf.DUMMYFUNCTION("""COMPUTED_VALUE"""),"AP")</f>
        <v>AP</v>
      </c>
      <c r="AF263" s="47">
        <f>IFERROR(__xludf.DUMMYFUNCTION("""COMPUTED_VALUE"""),19.0)</f>
        <v>19</v>
      </c>
      <c r="AG263" s="48" t="str">
        <f>IFERROR(__xludf.DUMMYFUNCTION("""COMPUTED_VALUE"""),"%")</f>
        <v>%</v>
      </c>
      <c r="AH263" s="43">
        <f>IFERROR(__xludf.DUMMYFUNCTION("""COMPUTED_VALUE"""),20.0)</f>
        <v>20</v>
      </c>
      <c r="AI263" s="44">
        <f>IFERROR(__xludf.DUMMYFUNCTION("""COMPUTED_VALUE"""),1018.0)</f>
        <v>1018</v>
      </c>
      <c r="AJ263" s="51" t="str">
        <f>IFERROR(__xludf.DUMMYFUNCTION("""COMPUTED_VALUE"""),"狂中級")</f>
        <v>狂中級</v>
      </c>
    </row>
    <row r="264" ht="24.75" customHeight="1">
      <c r="A264" s="28">
        <f>IFERROR(__xludf.DUMMYFUNCTION("""COMPUTED_VALUE"""),9.0)</f>
        <v>9</v>
      </c>
      <c r="B264" s="28" t="str">
        <f>IFERROR(__xludf.DUMMYFUNCTION("""COMPUTED_VALUE"""),"A203")</f>
        <v>A203</v>
      </c>
      <c r="C264" s="28" t="str">
        <f>IFERROR(__xludf.DUMMYFUNCTION("""COMPUTED_VALUE"""),"TRF9")</f>
        <v>TRF9</v>
      </c>
      <c r="D264" s="29" t="str">
        <f>IFERROR(__xludf.DUMMYFUNCTION("""COMPUTED_VALUE"""),"Chaldea Gate (Wed)")</f>
        <v>Chaldea Gate (Wed)</v>
      </c>
      <c r="E264" s="30" t="str">
        <f>IFERROR(__xludf.DUMMYFUNCTION("""COMPUTED_VALUE"""),"WED Berserker Training Ground- Nov")</f>
        <v>WED Berserker Training Ground- Nov</v>
      </c>
      <c r="F264" s="31">
        <f>IFERROR(__xludf.DUMMYFUNCTION("""COMPUTED_VALUE"""),10.0)</f>
        <v>10</v>
      </c>
      <c r="G264" s="32">
        <f>IFERROR(__xludf.DUMMYFUNCTION("""COMPUTED_VALUE"""),1000.0)</f>
        <v>1000</v>
      </c>
      <c r="H264" s="33" t="str">
        <f>IFERROR(__xludf.DUMMYFUNCTION("""COMPUTED_VALUE"""),"")</f>
        <v/>
      </c>
      <c r="I264" s="34">
        <f>IFERROR(__xludf.DUMMYFUNCTION("""COMPUTED_VALUE"""),190.2)</f>
        <v>190.2</v>
      </c>
      <c r="J264" s="35" t="str">
        <f>IFERROR(__xludf.DUMMYFUNCTION("""COMPUTED_VALUE"""),"AP")</f>
        <v>AP</v>
      </c>
      <c r="K264" s="34">
        <f>IFERROR(__xludf.DUMMYFUNCTION("""COMPUTED_VALUE"""),5.3)</f>
        <v>5.3</v>
      </c>
      <c r="L264" s="35" t="str">
        <f>IFERROR(__xludf.DUMMYFUNCTION("""COMPUTED_VALUE"""),"%")</f>
        <v>%</v>
      </c>
      <c r="M264" s="36">
        <f>IFERROR(__xludf.DUMMYFUNCTION("""COMPUTED_VALUE"""),1.0)</f>
        <v>1</v>
      </c>
      <c r="N264" s="37" t="str">
        <f>IFERROR(__xludf.DUMMYFUNCTION("""COMPUTED_VALUE"""),"A301")</f>
        <v>A301</v>
      </c>
      <c r="O264" s="38" t="str">
        <f>IFERROR(__xludf.DUMMYFUNCTION("""COMPUTED_VALUE"""),"")</f>
        <v/>
      </c>
      <c r="P264" s="34">
        <f>IFERROR(__xludf.DUMMYFUNCTION("""COMPUTED_VALUE"""),90.5)</f>
        <v>90.5</v>
      </c>
      <c r="Q264" s="35" t="str">
        <f>IFERROR(__xludf.DUMMYFUNCTION("""COMPUTED_VALUE"""),"AP")</f>
        <v>AP</v>
      </c>
      <c r="R264" s="34">
        <f>IFERROR(__xludf.DUMMYFUNCTION("""COMPUTED_VALUE"""),11.1)</f>
        <v>11.1</v>
      </c>
      <c r="S264" s="35" t="str">
        <f>IFERROR(__xludf.DUMMYFUNCTION("""COMPUTED_VALUE"""),"%")</f>
        <v>%</v>
      </c>
      <c r="T264" s="36">
        <f>IFERROR(__xludf.DUMMYFUNCTION("""COMPUTED_VALUE"""),2.0)</f>
        <v>2</v>
      </c>
      <c r="U264" s="37" t="str">
        <f>IFERROR(__xludf.DUMMYFUNCTION("""COMPUTED_VALUE"""),"A304")</f>
        <v>A304</v>
      </c>
      <c r="V264" s="38" t="str">
        <f>IFERROR(__xludf.DUMMYFUNCTION("""COMPUTED_VALUE"""),"")</f>
        <v/>
      </c>
      <c r="W264" s="34">
        <f>IFERROR(__xludf.DUMMYFUNCTION("""COMPUTED_VALUE"""),263.3)</f>
        <v>263.3</v>
      </c>
      <c r="X264" s="35" t="str">
        <f>IFERROR(__xludf.DUMMYFUNCTION("""COMPUTED_VALUE"""),"AP")</f>
        <v>AP</v>
      </c>
      <c r="Y264" s="34">
        <f>IFERROR(__xludf.DUMMYFUNCTION("""COMPUTED_VALUE"""),3.8)</f>
        <v>3.8</v>
      </c>
      <c r="Z264" s="35" t="str">
        <f>IFERROR(__xludf.DUMMYFUNCTION("""COMPUTED_VALUE"""),"%")</f>
        <v>%</v>
      </c>
      <c r="AA264" s="36">
        <f>IFERROR(__xludf.DUMMYFUNCTION("""COMPUTED_VALUE"""),3.0)</f>
        <v>3</v>
      </c>
      <c r="AB264" s="37"/>
      <c r="AC264" s="38"/>
      <c r="AD264" s="34" t="str">
        <f>IFERROR(__xludf.DUMMYFUNCTION("""COMPUTED_VALUE"""),"")</f>
        <v/>
      </c>
      <c r="AE264" s="35" t="str">
        <f>IFERROR(__xludf.DUMMYFUNCTION("""COMPUTED_VALUE"""),"AP")</f>
        <v>AP</v>
      </c>
      <c r="AF264" s="34" t="str">
        <f>IFERROR(__xludf.DUMMYFUNCTION("""COMPUTED_VALUE"""),"")</f>
        <v/>
      </c>
      <c r="AG264" s="35" t="str">
        <f>IFERROR(__xludf.DUMMYFUNCTION("""COMPUTED_VALUE"""),"%")</f>
        <v>%</v>
      </c>
      <c r="AH264" s="31">
        <f>IFERROR(__xludf.DUMMYFUNCTION("""COMPUTED_VALUE"""),10.0)</f>
        <v>10</v>
      </c>
      <c r="AI264" s="32">
        <f>IFERROR(__xludf.DUMMYFUNCTION("""COMPUTED_VALUE"""),1000.0)</f>
        <v>1000</v>
      </c>
      <c r="AJ264" s="39" t="str">
        <f>IFERROR(__xludf.DUMMYFUNCTION("""COMPUTED_VALUE"""),"狂初級")</f>
        <v>狂初級</v>
      </c>
    </row>
    <row r="265" ht="24.75" customHeight="1">
      <c r="A265" s="40">
        <f>IFERROR(__xludf.DUMMYFUNCTION("""COMPUTED_VALUE"""),10.0)</f>
        <v>10</v>
      </c>
      <c r="B265" s="40" t="str">
        <f>IFERROR(__xludf.DUMMYFUNCTION("""COMPUTED_VALUE"""),"A203")</f>
        <v>A203</v>
      </c>
      <c r="C265" s="40" t="str">
        <f>IFERROR(__xludf.DUMMYFUNCTION("""COMPUTED_VALUE"""),"TRF11")</f>
        <v>TRF11</v>
      </c>
      <c r="D265" s="41" t="str">
        <f>IFERROR(__xludf.DUMMYFUNCTION("""COMPUTED_VALUE"""),"Chaldea Gate (Wed)")</f>
        <v>Chaldea Gate (Wed)</v>
      </c>
      <c r="E265" s="42" t="str">
        <f>IFERROR(__xludf.DUMMYFUNCTION("""COMPUTED_VALUE"""),"WED Berserker Training Ground- Adv")</f>
        <v>WED Berserker Training Ground- Adv</v>
      </c>
      <c r="F265" s="43">
        <f>IFERROR(__xludf.DUMMYFUNCTION("""COMPUTED_VALUE"""),30.0)</f>
        <v>30</v>
      </c>
      <c r="G265" s="44">
        <f>IFERROR(__xludf.DUMMYFUNCTION("""COMPUTED_VALUE"""),1000.0)</f>
        <v>1000</v>
      </c>
      <c r="H265" s="33" t="str">
        <f>IFERROR(__xludf.DUMMYFUNCTION("""COMPUTED_VALUE"""),"")</f>
        <v/>
      </c>
      <c r="I265" s="45">
        <f>IFERROR(__xludf.DUMMYFUNCTION("""COMPUTED_VALUE"""),241.9)</f>
        <v>241.9</v>
      </c>
      <c r="J265" s="46" t="str">
        <f>IFERROR(__xludf.DUMMYFUNCTION("""COMPUTED_VALUE"""),"AP")</f>
        <v>AP</v>
      </c>
      <c r="K265" s="47">
        <f>IFERROR(__xludf.DUMMYFUNCTION("""COMPUTED_VALUE"""),13.4)</f>
        <v>13.4</v>
      </c>
      <c r="L265" s="48" t="str">
        <f>IFERROR(__xludf.DUMMYFUNCTION("""COMPUTED_VALUE"""),"%")</f>
        <v>%</v>
      </c>
      <c r="M265" s="49">
        <f>IFERROR(__xludf.DUMMYFUNCTION("""COMPUTED_VALUE"""),1.0)</f>
        <v>1</v>
      </c>
      <c r="N265" s="50" t="str">
        <f>IFERROR(__xludf.DUMMYFUNCTION("""COMPUTED_VALUE"""),"A101")</f>
        <v>A101</v>
      </c>
      <c r="O265" s="38" t="str">
        <f>IFERROR(__xludf.DUMMYFUNCTION("""COMPUTED_VALUE"""),"")</f>
        <v/>
      </c>
      <c r="P265" s="45">
        <f>IFERROR(__xludf.DUMMYFUNCTION("""COMPUTED_VALUE"""),389.6)</f>
        <v>389.6</v>
      </c>
      <c r="Q265" s="46" t="str">
        <f>IFERROR(__xludf.DUMMYFUNCTION("""COMPUTED_VALUE"""),"AP")</f>
        <v>AP</v>
      </c>
      <c r="R265" s="47">
        <f>IFERROR(__xludf.DUMMYFUNCTION("""COMPUTED_VALUE"""),7.7)</f>
        <v>7.7</v>
      </c>
      <c r="S265" s="48" t="str">
        <f>IFERROR(__xludf.DUMMYFUNCTION("""COMPUTED_VALUE"""),"%")</f>
        <v>%</v>
      </c>
      <c r="T265" s="49">
        <f>IFERROR(__xludf.DUMMYFUNCTION("""COMPUTED_VALUE"""),2.0)</f>
        <v>2</v>
      </c>
      <c r="U265" s="50" t="str">
        <f>IFERROR(__xludf.DUMMYFUNCTION("""COMPUTED_VALUE"""),"A301")</f>
        <v>A301</v>
      </c>
      <c r="V265" s="38" t="str">
        <f>IFERROR(__xludf.DUMMYFUNCTION("""COMPUTED_VALUE"""),"")</f>
        <v/>
      </c>
      <c r="W265" s="45">
        <f>IFERROR(__xludf.DUMMYFUNCTION("""COMPUTED_VALUE"""),223.9)</f>
        <v>223.9</v>
      </c>
      <c r="X265" s="46" t="str">
        <f>IFERROR(__xludf.DUMMYFUNCTION("""COMPUTED_VALUE"""),"AP")</f>
        <v>AP</v>
      </c>
      <c r="Y265" s="47">
        <f>IFERROR(__xludf.DUMMYFUNCTION("""COMPUTED_VALUE"""),13.4)</f>
        <v>13.4</v>
      </c>
      <c r="Z265" s="48" t="str">
        <f>IFERROR(__xludf.DUMMYFUNCTION("""COMPUTED_VALUE"""),"%")</f>
        <v>%</v>
      </c>
      <c r="AA265" s="49">
        <f>IFERROR(__xludf.DUMMYFUNCTION("""COMPUTED_VALUE"""),3.0)</f>
        <v>3</v>
      </c>
      <c r="AB265" s="50" t="str">
        <f>IFERROR(__xludf.DUMMYFUNCTION("""COMPUTED_VALUE"""),"A304")</f>
        <v>A304</v>
      </c>
      <c r="AC265" s="38" t="str">
        <f>IFERROR(__xludf.DUMMYFUNCTION("""COMPUTED_VALUE"""),"")</f>
        <v/>
      </c>
      <c r="AD265" s="45">
        <f>IFERROR(__xludf.DUMMYFUNCTION("""COMPUTED_VALUE"""),153.8)</f>
        <v>153.8</v>
      </c>
      <c r="AE265" s="46" t="str">
        <f>IFERROR(__xludf.DUMMYFUNCTION("""COMPUTED_VALUE"""),"AP")</f>
        <v>AP</v>
      </c>
      <c r="AF265" s="47">
        <f>IFERROR(__xludf.DUMMYFUNCTION("""COMPUTED_VALUE"""),19.5)</f>
        <v>19.5</v>
      </c>
      <c r="AG265" s="48" t="str">
        <f>IFERROR(__xludf.DUMMYFUNCTION("""COMPUTED_VALUE"""),"%")</f>
        <v>%</v>
      </c>
      <c r="AH265" s="43">
        <f>IFERROR(__xludf.DUMMYFUNCTION("""COMPUTED_VALUE"""),30.0)</f>
        <v>30</v>
      </c>
      <c r="AI265" s="44">
        <f>IFERROR(__xludf.DUMMYFUNCTION("""COMPUTED_VALUE"""),1000.0)</f>
        <v>1000</v>
      </c>
      <c r="AJ265" s="51" t="str">
        <f>IFERROR(__xludf.DUMMYFUNCTION("""COMPUTED_VALUE"""),"狂上級")</f>
        <v>狂上級</v>
      </c>
    </row>
    <row r="266" ht="24.75" customHeight="1">
      <c r="A266" s="28">
        <f>IFERROR(__xludf.DUMMYFUNCTION("""COMPUTED_VALUE"""),11.0)</f>
        <v>11</v>
      </c>
      <c r="B266" s="28" t="str">
        <f>IFERROR(__xludf.DUMMYFUNCTION("""COMPUTED_VALUE"""),"A203")</f>
        <v>A203</v>
      </c>
      <c r="C266" s="28" t="str">
        <f>IFERROR(__xludf.DUMMYFUNCTION("""COMPUTED_VALUE"""),"TRF12")</f>
        <v>TRF12</v>
      </c>
      <c r="D266" s="29" t="str">
        <f>IFERROR(__xludf.DUMMYFUNCTION("""COMPUTED_VALUE"""),"Chaldea Gate (Wed)")</f>
        <v>Chaldea Gate (Wed)</v>
      </c>
      <c r="E266" s="30" t="str">
        <f>IFERROR(__xludf.DUMMYFUNCTION("""COMPUTED_VALUE"""),"WED Berserker Training Ground- Exp")</f>
        <v>WED Berserker Training Ground- Exp</v>
      </c>
      <c r="F266" s="31">
        <f>IFERROR(__xludf.DUMMYFUNCTION("""COMPUTED_VALUE"""),40.0)</f>
        <v>40</v>
      </c>
      <c r="G266" s="32">
        <f>IFERROR(__xludf.DUMMYFUNCTION("""COMPUTED_VALUE"""),3145.0)</f>
        <v>3145</v>
      </c>
      <c r="H266" s="33" t="str">
        <f>IFERROR(__xludf.DUMMYFUNCTION("""COMPUTED_VALUE"""),"")</f>
        <v/>
      </c>
      <c r="I266" s="34">
        <f>IFERROR(__xludf.DUMMYFUNCTION("""COMPUTED_VALUE"""),255.0)</f>
        <v>255</v>
      </c>
      <c r="J266" s="35" t="str">
        <f>IFERROR(__xludf.DUMMYFUNCTION("""COMPUTED_VALUE"""),"AP")</f>
        <v>AP</v>
      </c>
      <c r="K266" s="34">
        <f>IFERROR(__xludf.DUMMYFUNCTION("""COMPUTED_VALUE"""),15.7)</f>
        <v>15.7</v>
      </c>
      <c r="L266" s="35" t="str">
        <f>IFERROR(__xludf.DUMMYFUNCTION("""COMPUTED_VALUE"""),"%")</f>
        <v>%</v>
      </c>
      <c r="M266" s="36">
        <f>IFERROR(__xludf.DUMMYFUNCTION("""COMPUTED_VALUE"""),1.0)</f>
        <v>1</v>
      </c>
      <c r="N266" s="37" t="str">
        <f>IFERROR(__xludf.DUMMYFUNCTION("""COMPUTED_VALUE"""),"A101")</f>
        <v>A101</v>
      </c>
      <c r="O266" s="38" t="str">
        <f>IFERROR(__xludf.DUMMYFUNCTION("""COMPUTED_VALUE"""),"")</f>
        <v/>
      </c>
      <c r="P266" s="34">
        <f>IFERROR(__xludf.DUMMYFUNCTION("""COMPUTED_VALUE"""),487.0)</f>
        <v>487</v>
      </c>
      <c r="Q266" s="35" t="str">
        <f>IFERROR(__xludf.DUMMYFUNCTION("""COMPUTED_VALUE"""),"AP")</f>
        <v>AP</v>
      </c>
      <c r="R266" s="34">
        <f>IFERROR(__xludf.DUMMYFUNCTION("""COMPUTED_VALUE"""),8.2)</f>
        <v>8.2</v>
      </c>
      <c r="S266" s="35" t="str">
        <f>IFERROR(__xludf.DUMMYFUNCTION("""COMPUTED_VALUE"""),"%")</f>
        <v>%</v>
      </c>
      <c r="T266" s="36">
        <f>IFERROR(__xludf.DUMMYFUNCTION("""COMPUTED_VALUE"""),2.0)</f>
        <v>2</v>
      </c>
      <c r="U266" s="37" t="str">
        <f>IFERROR(__xludf.DUMMYFUNCTION("""COMPUTED_VALUE"""),"A301")</f>
        <v>A301</v>
      </c>
      <c r="V266" s="38" t="str">
        <f>IFERROR(__xludf.DUMMYFUNCTION("""COMPUTED_VALUE"""),"")</f>
        <v/>
      </c>
      <c r="W266" s="34">
        <f>IFERROR(__xludf.DUMMYFUNCTION("""COMPUTED_VALUE"""),169.6)</f>
        <v>169.6</v>
      </c>
      <c r="X266" s="35" t="str">
        <f>IFERROR(__xludf.DUMMYFUNCTION("""COMPUTED_VALUE"""),"AP")</f>
        <v>AP</v>
      </c>
      <c r="Y266" s="34">
        <f>IFERROR(__xludf.DUMMYFUNCTION("""COMPUTED_VALUE"""),23.6)</f>
        <v>23.6</v>
      </c>
      <c r="Z266" s="35" t="str">
        <f>IFERROR(__xludf.DUMMYFUNCTION("""COMPUTED_VALUE"""),"%")</f>
        <v>%</v>
      </c>
      <c r="AA266" s="36">
        <f>IFERROR(__xludf.DUMMYFUNCTION("""COMPUTED_VALUE"""),3.0)</f>
        <v>3</v>
      </c>
      <c r="AB266" s="37" t="str">
        <f>IFERROR(__xludf.DUMMYFUNCTION("""COMPUTED_VALUE"""),"A304")</f>
        <v>A304</v>
      </c>
      <c r="AC266" s="38" t="str">
        <f>IFERROR(__xludf.DUMMYFUNCTION("""COMPUTED_VALUE"""),"")</f>
        <v/>
      </c>
      <c r="AD266" s="34">
        <f>IFERROR(__xludf.DUMMYFUNCTION("""COMPUTED_VALUE"""),173.2)</f>
        <v>173.2</v>
      </c>
      <c r="AE266" s="35" t="str">
        <f>IFERROR(__xludf.DUMMYFUNCTION("""COMPUTED_VALUE"""),"AP")</f>
        <v>AP</v>
      </c>
      <c r="AF266" s="34">
        <f>IFERROR(__xludf.DUMMYFUNCTION("""COMPUTED_VALUE"""),23.1)</f>
        <v>23.1</v>
      </c>
      <c r="AG266" s="35" t="str">
        <f>IFERROR(__xludf.DUMMYFUNCTION("""COMPUTED_VALUE"""),"%")</f>
        <v>%</v>
      </c>
      <c r="AH266" s="31">
        <f>IFERROR(__xludf.DUMMYFUNCTION("""COMPUTED_VALUE"""),40.0)</f>
        <v>40</v>
      </c>
      <c r="AI266" s="32">
        <f>IFERROR(__xludf.DUMMYFUNCTION("""COMPUTED_VALUE"""),3145.0)</f>
        <v>3145</v>
      </c>
      <c r="AJ266" s="39" t="str">
        <f>IFERROR(__xludf.DUMMYFUNCTION("""COMPUTED_VALUE"""),"狂超級")</f>
        <v>狂超級</v>
      </c>
    </row>
    <row r="267" ht="24.75" customHeight="1">
      <c r="A267" s="40">
        <f>IFERROR(__xludf.DUMMYFUNCTION("""COMPUTED_VALUE"""),12.0)</f>
        <v>12</v>
      </c>
      <c r="B267" s="40" t="str">
        <f>IFERROR(__xludf.DUMMYFUNCTION("""COMPUTED_VALUE"""),"A203")</f>
        <v>A203</v>
      </c>
      <c r="C267" s="40" t="str">
        <f>IFERROR(__xludf.DUMMYFUNCTION("""COMPUTED_VALUE"""),"SEP11")</f>
        <v>SEP11</v>
      </c>
      <c r="D267" s="41" t="str">
        <f>IFERROR(__xludf.DUMMYFUNCTION("""COMPUTED_VALUE"""),"Septem")</f>
        <v>Septem</v>
      </c>
      <c r="E267" s="42" t="str">
        <f>IFERROR(__xludf.DUMMYFUNCTION("""COMPUTED_VALUE"""),"Alliance Capital")</f>
        <v>Alliance Capital</v>
      </c>
      <c r="F267" s="43">
        <f>IFERROR(__xludf.DUMMYFUNCTION("""COMPUTED_VALUE"""),10.0)</f>
        <v>10</v>
      </c>
      <c r="G267" s="44">
        <f>IFERROR(__xludf.DUMMYFUNCTION("""COMPUTED_VALUE"""),1175.0)</f>
        <v>1175</v>
      </c>
      <c r="H267" s="33" t="str">
        <f>IFERROR(__xludf.DUMMYFUNCTION("""COMPUTED_VALUE"""),"")</f>
        <v/>
      </c>
      <c r="I267" s="45">
        <f>IFERROR(__xludf.DUMMYFUNCTION("""COMPUTED_VALUE"""),405.2)</f>
        <v>405.2</v>
      </c>
      <c r="J267" s="46" t="str">
        <f>IFERROR(__xludf.DUMMYFUNCTION("""COMPUTED_VALUE"""),"AP")</f>
        <v>AP</v>
      </c>
      <c r="K267" s="47">
        <f>IFERROR(__xludf.DUMMYFUNCTION("""COMPUTED_VALUE"""),2.5)</f>
        <v>2.5</v>
      </c>
      <c r="L267" s="48" t="str">
        <f>IFERROR(__xludf.DUMMYFUNCTION("""COMPUTED_VALUE"""),"%")</f>
        <v>%</v>
      </c>
      <c r="M267" s="49">
        <f>IFERROR(__xludf.DUMMYFUNCTION("""COMPUTED_VALUE"""),1.0)</f>
        <v>1</v>
      </c>
      <c r="N267" s="50" t="str">
        <f>IFERROR(__xludf.DUMMYFUNCTION("""COMPUTED_VALUE"""),"A301")</f>
        <v>A301</v>
      </c>
      <c r="O267" s="38" t="str">
        <f>IFERROR(__xludf.DUMMYFUNCTION("""COMPUTED_VALUE"""),"")</f>
        <v/>
      </c>
      <c r="P267" s="45">
        <f>IFERROR(__xludf.DUMMYFUNCTION("""COMPUTED_VALUE"""),55.7)</f>
        <v>55.7</v>
      </c>
      <c r="Q267" s="46" t="str">
        <f>IFERROR(__xludf.DUMMYFUNCTION("""COMPUTED_VALUE"""),"AP")</f>
        <v>AP</v>
      </c>
      <c r="R267" s="47">
        <f>IFERROR(__xludf.DUMMYFUNCTION("""COMPUTED_VALUE"""),18.0)</f>
        <v>18</v>
      </c>
      <c r="S267" s="48" t="str">
        <f>IFERROR(__xludf.DUMMYFUNCTION("""COMPUTED_VALUE"""),"%")</f>
        <v>%</v>
      </c>
      <c r="T267" s="49">
        <f>IFERROR(__xludf.DUMMYFUNCTION("""COMPUTED_VALUE"""),2.0)</f>
        <v>2</v>
      </c>
      <c r="U267" s="50" t="str">
        <f>IFERROR(__xludf.DUMMYFUNCTION("""COMPUTED_VALUE"""),"A304")</f>
        <v>A304</v>
      </c>
      <c r="V267" s="38" t="str">
        <f>IFERROR(__xludf.DUMMYFUNCTION("""COMPUTED_VALUE"""),"")</f>
        <v/>
      </c>
      <c r="W267" s="45">
        <f>IFERROR(__xludf.DUMMYFUNCTION("""COMPUTED_VALUE"""),127.7)</f>
        <v>127.7</v>
      </c>
      <c r="X267" s="46" t="str">
        <f>IFERROR(__xludf.DUMMYFUNCTION("""COMPUTED_VALUE"""),"AP")</f>
        <v>AP</v>
      </c>
      <c r="Y267" s="47">
        <f>IFERROR(__xludf.DUMMYFUNCTION("""COMPUTED_VALUE"""),7.8)</f>
        <v>7.8</v>
      </c>
      <c r="Z267" s="48" t="str">
        <f>IFERROR(__xludf.DUMMYFUNCTION("""COMPUTED_VALUE"""),"%")</f>
        <v>%</v>
      </c>
      <c r="AA267" s="49">
        <f>IFERROR(__xludf.DUMMYFUNCTION("""COMPUTED_VALUE"""),3.0)</f>
        <v>3</v>
      </c>
      <c r="AB267" s="50"/>
      <c r="AC267" s="38"/>
      <c r="AD267" s="45" t="str">
        <f>IFERROR(__xludf.DUMMYFUNCTION("""COMPUTED_VALUE"""),"")</f>
        <v/>
      </c>
      <c r="AE267" s="46" t="str">
        <f>IFERROR(__xludf.DUMMYFUNCTION("""COMPUTED_VALUE"""),"AP")</f>
        <v>AP</v>
      </c>
      <c r="AF267" s="47" t="str">
        <f>IFERROR(__xludf.DUMMYFUNCTION("""COMPUTED_VALUE"""),"")</f>
        <v/>
      </c>
      <c r="AG267" s="48" t="str">
        <f>IFERROR(__xludf.DUMMYFUNCTION("""COMPUTED_VALUE"""),"%")</f>
        <v>%</v>
      </c>
      <c r="AH267" s="43">
        <f>IFERROR(__xludf.DUMMYFUNCTION("""COMPUTED_VALUE"""),10.0)</f>
        <v>10</v>
      </c>
      <c r="AI267" s="44">
        <f>IFERROR(__xludf.DUMMYFUNCTION("""COMPUTED_VALUE"""),1175.0)</f>
        <v>1175</v>
      </c>
      <c r="AJ267" s="51" t="str">
        <f>IFERROR(__xludf.DUMMYFUNCTION("""COMPUTED_VALUE"""),"連合首都")</f>
        <v>連合首都</v>
      </c>
    </row>
    <row r="268" ht="24.75" customHeight="1">
      <c r="A268" s="28">
        <f>IFERROR(__xludf.DUMMYFUNCTION("""COMPUTED_VALUE"""),13.0)</f>
        <v>13</v>
      </c>
      <c r="B268" s="28" t="str">
        <f>IFERROR(__xludf.DUMMYFUNCTION("""COMPUTED_VALUE"""),"A203")</f>
        <v>A203</v>
      </c>
      <c r="C268" s="28"/>
      <c r="D268" s="29"/>
      <c r="E268" s="67"/>
      <c r="F268" s="31"/>
      <c r="G268" s="32"/>
      <c r="H268" s="33" t="str">
        <f>IFERROR(__xludf.DUMMYFUNCTION("""COMPUTED_VALUE""")," ")</f>
        <v> </v>
      </c>
      <c r="I268" s="34"/>
      <c r="J268" s="35" t="str">
        <f>IFERROR(__xludf.DUMMYFUNCTION("""COMPUTED_VALUE"""),"AP")</f>
        <v>AP</v>
      </c>
      <c r="K268" s="34"/>
      <c r="L268" s="35" t="str">
        <f>IFERROR(__xludf.DUMMYFUNCTION("""COMPUTED_VALUE"""),"%")</f>
        <v>%</v>
      </c>
      <c r="M268" s="36">
        <f>IFERROR(__xludf.DUMMYFUNCTION("""COMPUTED_VALUE"""),1.0)</f>
        <v>1</v>
      </c>
      <c r="N268" s="37"/>
      <c r="O268" s="38"/>
      <c r="P268" s="34" t="str">
        <f>IFERROR(__xludf.DUMMYFUNCTION("""COMPUTED_VALUE"""),"")</f>
        <v/>
      </c>
      <c r="Q268" s="35" t="str">
        <f>IFERROR(__xludf.DUMMYFUNCTION("""COMPUTED_VALUE"""),"AP")</f>
        <v>AP</v>
      </c>
      <c r="R268" s="34" t="str">
        <f>IFERROR(__xludf.DUMMYFUNCTION("""COMPUTED_VALUE"""),"")</f>
        <v/>
      </c>
      <c r="S268" s="35" t="str">
        <f>IFERROR(__xludf.DUMMYFUNCTION("""COMPUTED_VALUE"""),"%")</f>
        <v>%</v>
      </c>
      <c r="T268" s="36">
        <f>IFERROR(__xludf.DUMMYFUNCTION("""COMPUTED_VALUE"""),2.0)</f>
        <v>2</v>
      </c>
      <c r="U268" s="37"/>
      <c r="V268" s="38"/>
      <c r="W268" s="34" t="str">
        <f>IFERROR(__xludf.DUMMYFUNCTION("""COMPUTED_VALUE"""),"")</f>
        <v/>
      </c>
      <c r="X268" s="35" t="str">
        <f>IFERROR(__xludf.DUMMYFUNCTION("""COMPUTED_VALUE"""),"AP")</f>
        <v>AP</v>
      </c>
      <c r="Y268" s="34" t="str">
        <f>IFERROR(__xludf.DUMMYFUNCTION("""COMPUTED_VALUE"""),"")</f>
        <v/>
      </c>
      <c r="Z268" s="35" t="str">
        <f>IFERROR(__xludf.DUMMYFUNCTION("""COMPUTED_VALUE"""),"%")</f>
        <v>%</v>
      </c>
      <c r="AA268" s="36">
        <f>IFERROR(__xludf.DUMMYFUNCTION("""COMPUTED_VALUE"""),3.0)</f>
        <v>3</v>
      </c>
      <c r="AB268" s="37"/>
      <c r="AC268" s="38"/>
      <c r="AD268" s="34" t="str">
        <f>IFERROR(__xludf.DUMMYFUNCTION("""COMPUTED_VALUE"""),"")</f>
        <v/>
      </c>
      <c r="AE268" s="35" t="str">
        <f>IFERROR(__xludf.DUMMYFUNCTION("""COMPUTED_VALUE"""),"AP")</f>
        <v>AP</v>
      </c>
      <c r="AF268" s="34" t="str">
        <f>IFERROR(__xludf.DUMMYFUNCTION("""COMPUTED_VALUE"""),"")</f>
        <v/>
      </c>
      <c r="AG268" s="35" t="str">
        <f>IFERROR(__xludf.DUMMYFUNCTION("""COMPUTED_VALUE"""),"%")</f>
        <v>%</v>
      </c>
      <c r="AH268" s="31"/>
      <c r="AI268" s="32"/>
      <c r="AJ268" s="39"/>
    </row>
    <row r="269" ht="24.75" hidden="1" customHeight="1">
      <c r="A269" s="40">
        <f>IFERROR(__xludf.DUMMYFUNCTION("""COMPUTED_VALUE"""),14.0)</f>
        <v>14</v>
      </c>
      <c r="B269" s="40" t="str">
        <f>IFERROR(__xludf.DUMMYFUNCTION("""COMPUTED_VALUE"""),"A203")</f>
        <v>A203</v>
      </c>
      <c r="C269" s="40"/>
      <c r="D269" s="41"/>
      <c r="E269" s="66"/>
      <c r="F269" s="43"/>
      <c r="G269" s="44"/>
      <c r="H269" s="33" t="str">
        <f>IFERROR(__xludf.DUMMYFUNCTION("""COMPUTED_VALUE""")," ")</f>
        <v> </v>
      </c>
      <c r="I269" s="45"/>
      <c r="J269" s="46" t="str">
        <f>IFERROR(__xludf.DUMMYFUNCTION("""COMPUTED_VALUE"""),"AP")</f>
        <v>AP</v>
      </c>
      <c r="K269" s="47"/>
      <c r="L269" s="48" t="str">
        <f>IFERROR(__xludf.DUMMYFUNCTION("""COMPUTED_VALUE"""),"%")</f>
        <v>%</v>
      </c>
      <c r="M269" s="49">
        <f>IFERROR(__xludf.DUMMYFUNCTION("""COMPUTED_VALUE"""),1.0)</f>
        <v>1</v>
      </c>
      <c r="N269" s="50"/>
      <c r="O269" s="38"/>
      <c r="P269" s="45" t="str">
        <f>IFERROR(__xludf.DUMMYFUNCTION("""COMPUTED_VALUE"""),"")</f>
        <v/>
      </c>
      <c r="Q269" s="46" t="str">
        <f>IFERROR(__xludf.DUMMYFUNCTION("""COMPUTED_VALUE"""),"AP")</f>
        <v>AP</v>
      </c>
      <c r="R269" s="47" t="str">
        <f>IFERROR(__xludf.DUMMYFUNCTION("""COMPUTED_VALUE"""),"")</f>
        <v/>
      </c>
      <c r="S269" s="48" t="str">
        <f>IFERROR(__xludf.DUMMYFUNCTION("""COMPUTED_VALUE"""),"%")</f>
        <v>%</v>
      </c>
      <c r="T269" s="49">
        <f>IFERROR(__xludf.DUMMYFUNCTION("""COMPUTED_VALUE"""),2.0)</f>
        <v>2</v>
      </c>
      <c r="U269" s="50"/>
      <c r="V269" s="38"/>
      <c r="W269" s="45" t="str">
        <f>IFERROR(__xludf.DUMMYFUNCTION("""COMPUTED_VALUE"""),"")</f>
        <v/>
      </c>
      <c r="X269" s="46" t="str">
        <f>IFERROR(__xludf.DUMMYFUNCTION("""COMPUTED_VALUE"""),"AP")</f>
        <v>AP</v>
      </c>
      <c r="Y269" s="47" t="str">
        <f>IFERROR(__xludf.DUMMYFUNCTION("""COMPUTED_VALUE"""),"")</f>
        <v/>
      </c>
      <c r="Z269" s="48" t="str">
        <f>IFERROR(__xludf.DUMMYFUNCTION("""COMPUTED_VALUE"""),"%")</f>
        <v>%</v>
      </c>
      <c r="AA269" s="49">
        <f>IFERROR(__xludf.DUMMYFUNCTION("""COMPUTED_VALUE"""),3.0)</f>
        <v>3</v>
      </c>
      <c r="AB269" s="50"/>
      <c r="AC269" s="38"/>
      <c r="AD269" s="45" t="str">
        <f>IFERROR(__xludf.DUMMYFUNCTION("""COMPUTED_VALUE"""),"")</f>
        <v/>
      </c>
      <c r="AE269" s="46" t="str">
        <f>IFERROR(__xludf.DUMMYFUNCTION("""COMPUTED_VALUE"""),"AP")</f>
        <v>AP</v>
      </c>
      <c r="AF269" s="47" t="str">
        <f>IFERROR(__xludf.DUMMYFUNCTION("""COMPUTED_VALUE"""),"")</f>
        <v/>
      </c>
      <c r="AG269" s="48" t="str">
        <f>IFERROR(__xludf.DUMMYFUNCTION("""COMPUTED_VALUE"""),"%")</f>
        <v>%</v>
      </c>
      <c r="AH269" s="43"/>
      <c r="AI269" s="44"/>
      <c r="AJ269" s="51"/>
    </row>
    <row r="270" ht="24.75" hidden="1" customHeight="1">
      <c r="A270" s="28">
        <f>IFERROR(__xludf.DUMMYFUNCTION("""COMPUTED_VALUE"""),15.0)</f>
        <v>15</v>
      </c>
      <c r="B270" s="28" t="str">
        <f>IFERROR(__xludf.DUMMYFUNCTION("""COMPUTED_VALUE"""),"A203")</f>
        <v>A203</v>
      </c>
      <c r="C270" s="28"/>
      <c r="D270" s="29"/>
      <c r="E270" s="67"/>
      <c r="F270" s="31"/>
      <c r="G270" s="32"/>
      <c r="H270" s="33" t="str">
        <f>IFERROR(__xludf.DUMMYFUNCTION("""COMPUTED_VALUE""")," ")</f>
        <v> </v>
      </c>
      <c r="I270" s="34"/>
      <c r="J270" s="35" t="str">
        <f>IFERROR(__xludf.DUMMYFUNCTION("""COMPUTED_VALUE"""),"AP")</f>
        <v>AP</v>
      </c>
      <c r="K270" s="34"/>
      <c r="L270" s="35" t="str">
        <f>IFERROR(__xludf.DUMMYFUNCTION("""COMPUTED_VALUE"""),"%")</f>
        <v>%</v>
      </c>
      <c r="M270" s="36">
        <f>IFERROR(__xludf.DUMMYFUNCTION("""COMPUTED_VALUE"""),1.0)</f>
        <v>1</v>
      </c>
      <c r="N270" s="37"/>
      <c r="O270" s="38"/>
      <c r="P270" s="34" t="str">
        <f>IFERROR(__xludf.DUMMYFUNCTION("""COMPUTED_VALUE"""),"")</f>
        <v/>
      </c>
      <c r="Q270" s="35" t="str">
        <f>IFERROR(__xludf.DUMMYFUNCTION("""COMPUTED_VALUE"""),"AP")</f>
        <v>AP</v>
      </c>
      <c r="R270" s="34" t="str">
        <f>IFERROR(__xludf.DUMMYFUNCTION("""COMPUTED_VALUE"""),"")</f>
        <v/>
      </c>
      <c r="S270" s="35" t="str">
        <f>IFERROR(__xludf.DUMMYFUNCTION("""COMPUTED_VALUE"""),"%")</f>
        <v>%</v>
      </c>
      <c r="T270" s="36">
        <f>IFERROR(__xludf.DUMMYFUNCTION("""COMPUTED_VALUE"""),2.0)</f>
        <v>2</v>
      </c>
      <c r="U270" s="37"/>
      <c r="V270" s="38"/>
      <c r="W270" s="34" t="str">
        <f>IFERROR(__xludf.DUMMYFUNCTION("""COMPUTED_VALUE"""),"")</f>
        <v/>
      </c>
      <c r="X270" s="35" t="str">
        <f>IFERROR(__xludf.DUMMYFUNCTION("""COMPUTED_VALUE"""),"AP")</f>
        <v>AP</v>
      </c>
      <c r="Y270" s="34" t="str">
        <f>IFERROR(__xludf.DUMMYFUNCTION("""COMPUTED_VALUE"""),"")</f>
        <v/>
      </c>
      <c r="Z270" s="35" t="str">
        <f>IFERROR(__xludf.DUMMYFUNCTION("""COMPUTED_VALUE"""),"%")</f>
        <v>%</v>
      </c>
      <c r="AA270" s="36">
        <f>IFERROR(__xludf.DUMMYFUNCTION("""COMPUTED_VALUE"""),3.0)</f>
        <v>3</v>
      </c>
      <c r="AB270" s="37"/>
      <c r="AC270" s="38"/>
      <c r="AD270" s="34" t="str">
        <f>IFERROR(__xludf.DUMMYFUNCTION("""COMPUTED_VALUE"""),"")</f>
        <v/>
      </c>
      <c r="AE270" s="35" t="str">
        <f>IFERROR(__xludf.DUMMYFUNCTION("""COMPUTED_VALUE"""),"AP")</f>
        <v>AP</v>
      </c>
      <c r="AF270" s="34" t="str">
        <f>IFERROR(__xludf.DUMMYFUNCTION("""COMPUTED_VALUE"""),"")</f>
        <v/>
      </c>
      <c r="AG270" s="35" t="str">
        <f>IFERROR(__xludf.DUMMYFUNCTION("""COMPUTED_VALUE"""),"%")</f>
        <v>%</v>
      </c>
      <c r="AH270" s="31"/>
      <c r="AI270" s="32"/>
      <c r="AJ270" s="39"/>
    </row>
    <row r="271" ht="24.75" hidden="1" customHeight="1">
      <c r="A271" s="40">
        <f>IFERROR(__xludf.DUMMYFUNCTION("""COMPUTED_VALUE"""),16.0)</f>
        <v>16</v>
      </c>
      <c r="B271" s="40" t="str">
        <f>IFERROR(__xludf.DUMMYFUNCTION("""COMPUTED_VALUE"""),"A203")</f>
        <v>A203</v>
      </c>
      <c r="C271" s="40"/>
      <c r="D271" s="41"/>
      <c r="E271" s="66"/>
      <c r="F271" s="43"/>
      <c r="G271" s="44"/>
      <c r="H271" s="33" t="str">
        <f>IFERROR(__xludf.DUMMYFUNCTION("""COMPUTED_VALUE""")," ")</f>
        <v> </v>
      </c>
      <c r="I271" s="45"/>
      <c r="J271" s="46" t="str">
        <f>IFERROR(__xludf.DUMMYFUNCTION("""COMPUTED_VALUE"""),"AP")</f>
        <v>AP</v>
      </c>
      <c r="K271" s="47"/>
      <c r="L271" s="48" t="str">
        <f>IFERROR(__xludf.DUMMYFUNCTION("""COMPUTED_VALUE"""),"%")</f>
        <v>%</v>
      </c>
      <c r="M271" s="49">
        <f>IFERROR(__xludf.DUMMYFUNCTION("""COMPUTED_VALUE"""),1.0)</f>
        <v>1</v>
      </c>
      <c r="N271" s="50"/>
      <c r="O271" s="38"/>
      <c r="P271" s="45" t="str">
        <f>IFERROR(__xludf.DUMMYFUNCTION("""COMPUTED_VALUE"""),"")</f>
        <v/>
      </c>
      <c r="Q271" s="46" t="str">
        <f>IFERROR(__xludf.DUMMYFUNCTION("""COMPUTED_VALUE"""),"AP")</f>
        <v>AP</v>
      </c>
      <c r="R271" s="47" t="str">
        <f>IFERROR(__xludf.DUMMYFUNCTION("""COMPUTED_VALUE"""),"")</f>
        <v/>
      </c>
      <c r="S271" s="48" t="str">
        <f>IFERROR(__xludf.DUMMYFUNCTION("""COMPUTED_VALUE"""),"%")</f>
        <v>%</v>
      </c>
      <c r="T271" s="49">
        <f>IFERROR(__xludf.DUMMYFUNCTION("""COMPUTED_VALUE"""),2.0)</f>
        <v>2</v>
      </c>
      <c r="U271" s="50"/>
      <c r="V271" s="38"/>
      <c r="W271" s="45" t="str">
        <f>IFERROR(__xludf.DUMMYFUNCTION("""COMPUTED_VALUE"""),"")</f>
        <v/>
      </c>
      <c r="X271" s="46" t="str">
        <f>IFERROR(__xludf.DUMMYFUNCTION("""COMPUTED_VALUE"""),"AP")</f>
        <v>AP</v>
      </c>
      <c r="Y271" s="47" t="str">
        <f>IFERROR(__xludf.DUMMYFUNCTION("""COMPUTED_VALUE"""),"")</f>
        <v/>
      </c>
      <c r="Z271" s="48" t="str">
        <f>IFERROR(__xludf.DUMMYFUNCTION("""COMPUTED_VALUE"""),"%")</f>
        <v>%</v>
      </c>
      <c r="AA271" s="49">
        <f>IFERROR(__xludf.DUMMYFUNCTION("""COMPUTED_VALUE"""),3.0)</f>
        <v>3</v>
      </c>
      <c r="AB271" s="50"/>
      <c r="AC271" s="38"/>
      <c r="AD271" s="45" t="str">
        <f>IFERROR(__xludf.DUMMYFUNCTION("""COMPUTED_VALUE"""),"")</f>
        <v/>
      </c>
      <c r="AE271" s="46" t="str">
        <f>IFERROR(__xludf.DUMMYFUNCTION("""COMPUTED_VALUE"""),"AP")</f>
        <v>AP</v>
      </c>
      <c r="AF271" s="47" t="str">
        <f>IFERROR(__xludf.DUMMYFUNCTION("""COMPUTED_VALUE"""),"")</f>
        <v/>
      </c>
      <c r="AG271" s="48" t="str">
        <f>IFERROR(__xludf.DUMMYFUNCTION("""COMPUTED_VALUE"""),"%")</f>
        <v>%</v>
      </c>
      <c r="AH271" s="43"/>
      <c r="AI271" s="44"/>
      <c r="AJ271" s="51"/>
    </row>
    <row r="272" ht="24.75" hidden="1" customHeight="1">
      <c r="A272" s="28">
        <f>IFERROR(__xludf.DUMMYFUNCTION("""COMPUTED_VALUE"""),17.0)</f>
        <v>17</v>
      </c>
      <c r="B272" s="28" t="str">
        <f>IFERROR(__xludf.DUMMYFUNCTION("""COMPUTED_VALUE"""),"A203")</f>
        <v>A203</v>
      </c>
      <c r="C272" s="28"/>
      <c r="D272" s="29"/>
      <c r="E272" s="67"/>
      <c r="F272" s="31"/>
      <c r="G272" s="32"/>
      <c r="H272" s="33" t="str">
        <f>IFERROR(__xludf.DUMMYFUNCTION("""COMPUTED_VALUE""")," ")</f>
        <v> </v>
      </c>
      <c r="I272" s="34"/>
      <c r="J272" s="35" t="str">
        <f>IFERROR(__xludf.DUMMYFUNCTION("""COMPUTED_VALUE"""),"AP")</f>
        <v>AP</v>
      </c>
      <c r="K272" s="34"/>
      <c r="L272" s="35" t="str">
        <f>IFERROR(__xludf.DUMMYFUNCTION("""COMPUTED_VALUE"""),"%")</f>
        <v>%</v>
      </c>
      <c r="M272" s="36">
        <f>IFERROR(__xludf.DUMMYFUNCTION("""COMPUTED_VALUE"""),1.0)</f>
        <v>1</v>
      </c>
      <c r="N272" s="37"/>
      <c r="O272" s="38"/>
      <c r="P272" s="34" t="str">
        <f>IFERROR(__xludf.DUMMYFUNCTION("""COMPUTED_VALUE"""),"")</f>
        <v/>
      </c>
      <c r="Q272" s="35" t="str">
        <f>IFERROR(__xludf.DUMMYFUNCTION("""COMPUTED_VALUE"""),"AP")</f>
        <v>AP</v>
      </c>
      <c r="R272" s="34" t="str">
        <f>IFERROR(__xludf.DUMMYFUNCTION("""COMPUTED_VALUE"""),"")</f>
        <v/>
      </c>
      <c r="S272" s="35" t="str">
        <f>IFERROR(__xludf.DUMMYFUNCTION("""COMPUTED_VALUE"""),"%")</f>
        <v>%</v>
      </c>
      <c r="T272" s="36">
        <f>IFERROR(__xludf.DUMMYFUNCTION("""COMPUTED_VALUE"""),2.0)</f>
        <v>2</v>
      </c>
      <c r="U272" s="37"/>
      <c r="V272" s="38"/>
      <c r="W272" s="34" t="str">
        <f>IFERROR(__xludf.DUMMYFUNCTION("""COMPUTED_VALUE"""),"")</f>
        <v/>
      </c>
      <c r="X272" s="35" t="str">
        <f>IFERROR(__xludf.DUMMYFUNCTION("""COMPUTED_VALUE"""),"AP")</f>
        <v>AP</v>
      </c>
      <c r="Y272" s="34" t="str">
        <f>IFERROR(__xludf.DUMMYFUNCTION("""COMPUTED_VALUE"""),"")</f>
        <v/>
      </c>
      <c r="Z272" s="35" t="str">
        <f>IFERROR(__xludf.DUMMYFUNCTION("""COMPUTED_VALUE"""),"%")</f>
        <v>%</v>
      </c>
      <c r="AA272" s="36">
        <f>IFERROR(__xludf.DUMMYFUNCTION("""COMPUTED_VALUE"""),3.0)</f>
        <v>3</v>
      </c>
      <c r="AB272" s="37"/>
      <c r="AC272" s="38"/>
      <c r="AD272" s="34" t="str">
        <f>IFERROR(__xludf.DUMMYFUNCTION("""COMPUTED_VALUE"""),"")</f>
        <v/>
      </c>
      <c r="AE272" s="35" t="str">
        <f>IFERROR(__xludf.DUMMYFUNCTION("""COMPUTED_VALUE"""),"AP")</f>
        <v>AP</v>
      </c>
      <c r="AF272" s="34" t="str">
        <f>IFERROR(__xludf.DUMMYFUNCTION("""COMPUTED_VALUE"""),"")</f>
        <v/>
      </c>
      <c r="AG272" s="35" t="str">
        <f>IFERROR(__xludf.DUMMYFUNCTION("""COMPUTED_VALUE"""),"%")</f>
        <v>%</v>
      </c>
      <c r="AH272" s="31"/>
      <c r="AI272" s="32"/>
      <c r="AJ272" s="39"/>
    </row>
    <row r="273" ht="24.75" hidden="1" customHeight="1">
      <c r="A273" s="40">
        <f>IFERROR(__xludf.DUMMYFUNCTION("""COMPUTED_VALUE"""),18.0)</f>
        <v>18</v>
      </c>
      <c r="B273" s="40" t="str">
        <f>IFERROR(__xludf.DUMMYFUNCTION("""COMPUTED_VALUE"""),"A203")</f>
        <v>A203</v>
      </c>
      <c r="C273" s="40"/>
      <c r="D273" s="41"/>
      <c r="E273" s="66"/>
      <c r="F273" s="43"/>
      <c r="G273" s="44"/>
      <c r="H273" s="33" t="str">
        <f>IFERROR(__xludf.DUMMYFUNCTION("""COMPUTED_VALUE""")," ")</f>
        <v> </v>
      </c>
      <c r="I273" s="45"/>
      <c r="J273" s="46" t="str">
        <f>IFERROR(__xludf.DUMMYFUNCTION("""COMPUTED_VALUE"""),"AP")</f>
        <v>AP</v>
      </c>
      <c r="K273" s="47"/>
      <c r="L273" s="48" t="str">
        <f>IFERROR(__xludf.DUMMYFUNCTION("""COMPUTED_VALUE"""),"%")</f>
        <v>%</v>
      </c>
      <c r="M273" s="49">
        <f>IFERROR(__xludf.DUMMYFUNCTION("""COMPUTED_VALUE"""),1.0)</f>
        <v>1</v>
      </c>
      <c r="N273" s="50"/>
      <c r="O273" s="38"/>
      <c r="P273" s="45" t="str">
        <f>IFERROR(__xludf.DUMMYFUNCTION("""COMPUTED_VALUE"""),"")</f>
        <v/>
      </c>
      <c r="Q273" s="46" t="str">
        <f>IFERROR(__xludf.DUMMYFUNCTION("""COMPUTED_VALUE"""),"AP")</f>
        <v>AP</v>
      </c>
      <c r="R273" s="47" t="str">
        <f>IFERROR(__xludf.DUMMYFUNCTION("""COMPUTED_VALUE"""),"")</f>
        <v/>
      </c>
      <c r="S273" s="48" t="str">
        <f>IFERROR(__xludf.DUMMYFUNCTION("""COMPUTED_VALUE"""),"%")</f>
        <v>%</v>
      </c>
      <c r="T273" s="49">
        <f>IFERROR(__xludf.DUMMYFUNCTION("""COMPUTED_VALUE"""),2.0)</f>
        <v>2</v>
      </c>
      <c r="U273" s="50"/>
      <c r="V273" s="38"/>
      <c r="W273" s="45" t="str">
        <f>IFERROR(__xludf.DUMMYFUNCTION("""COMPUTED_VALUE"""),"")</f>
        <v/>
      </c>
      <c r="X273" s="46" t="str">
        <f>IFERROR(__xludf.DUMMYFUNCTION("""COMPUTED_VALUE"""),"AP")</f>
        <v>AP</v>
      </c>
      <c r="Y273" s="47" t="str">
        <f>IFERROR(__xludf.DUMMYFUNCTION("""COMPUTED_VALUE"""),"")</f>
        <v/>
      </c>
      <c r="Z273" s="48" t="str">
        <f>IFERROR(__xludf.DUMMYFUNCTION("""COMPUTED_VALUE"""),"%")</f>
        <v>%</v>
      </c>
      <c r="AA273" s="49">
        <f>IFERROR(__xludf.DUMMYFUNCTION("""COMPUTED_VALUE"""),3.0)</f>
        <v>3</v>
      </c>
      <c r="AB273" s="50"/>
      <c r="AC273" s="38"/>
      <c r="AD273" s="45" t="str">
        <f>IFERROR(__xludf.DUMMYFUNCTION("""COMPUTED_VALUE"""),"")</f>
        <v/>
      </c>
      <c r="AE273" s="46" t="str">
        <f>IFERROR(__xludf.DUMMYFUNCTION("""COMPUTED_VALUE"""),"AP")</f>
        <v>AP</v>
      </c>
      <c r="AF273" s="47" t="str">
        <f>IFERROR(__xludf.DUMMYFUNCTION("""COMPUTED_VALUE"""),"")</f>
        <v/>
      </c>
      <c r="AG273" s="48" t="str">
        <f>IFERROR(__xludf.DUMMYFUNCTION("""COMPUTED_VALUE"""),"%")</f>
        <v>%</v>
      </c>
      <c r="AH273" s="43"/>
      <c r="AI273" s="44"/>
      <c r="AJ273" s="51"/>
    </row>
    <row r="274" ht="24.75" hidden="1" customHeight="1">
      <c r="A274" s="28">
        <f>IFERROR(__xludf.DUMMYFUNCTION("""COMPUTED_VALUE"""),19.0)</f>
        <v>19</v>
      </c>
      <c r="B274" s="28" t="str">
        <f>IFERROR(__xludf.DUMMYFUNCTION("""COMPUTED_VALUE"""),"A203")</f>
        <v>A203</v>
      </c>
      <c r="C274" s="28"/>
      <c r="D274" s="29"/>
      <c r="E274" s="67"/>
      <c r="F274" s="31"/>
      <c r="G274" s="32"/>
      <c r="H274" s="33" t="str">
        <f>IFERROR(__xludf.DUMMYFUNCTION("""COMPUTED_VALUE""")," ")</f>
        <v> </v>
      </c>
      <c r="I274" s="34"/>
      <c r="J274" s="35" t="str">
        <f>IFERROR(__xludf.DUMMYFUNCTION("""COMPUTED_VALUE"""),"AP")</f>
        <v>AP</v>
      </c>
      <c r="K274" s="34"/>
      <c r="L274" s="35" t="str">
        <f>IFERROR(__xludf.DUMMYFUNCTION("""COMPUTED_VALUE"""),"%")</f>
        <v>%</v>
      </c>
      <c r="M274" s="36">
        <f>IFERROR(__xludf.DUMMYFUNCTION("""COMPUTED_VALUE"""),1.0)</f>
        <v>1</v>
      </c>
      <c r="N274" s="37"/>
      <c r="O274" s="38"/>
      <c r="P274" s="34" t="str">
        <f>IFERROR(__xludf.DUMMYFUNCTION("""COMPUTED_VALUE"""),"")</f>
        <v/>
      </c>
      <c r="Q274" s="35" t="str">
        <f>IFERROR(__xludf.DUMMYFUNCTION("""COMPUTED_VALUE"""),"AP")</f>
        <v>AP</v>
      </c>
      <c r="R274" s="34" t="str">
        <f>IFERROR(__xludf.DUMMYFUNCTION("""COMPUTED_VALUE"""),"")</f>
        <v/>
      </c>
      <c r="S274" s="35" t="str">
        <f>IFERROR(__xludf.DUMMYFUNCTION("""COMPUTED_VALUE"""),"%")</f>
        <v>%</v>
      </c>
      <c r="T274" s="36">
        <f>IFERROR(__xludf.DUMMYFUNCTION("""COMPUTED_VALUE"""),2.0)</f>
        <v>2</v>
      </c>
      <c r="U274" s="37"/>
      <c r="V274" s="38"/>
      <c r="W274" s="34" t="str">
        <f>IFERROR(__xludf.DUMMYFUNCTION("""COMPUTED_VALUE"""),"")</f>
        <v/>
      </c>
      <c r="X274" s="35" t="str">
        <f>IFERROR(__xludf.DUMMYFUNCTION("""COMPUTED_VALUE"""),"AP")</f>
        <v>AP</v>
      </c>
      <c r="Y274" s="34" t="str">
        <f>IFERROR(__xludf.DUMMYFUNCTION("""COMPUTED_VALUE"""),"")</f>
        <v/>
      </c>
      <c r="Z274" s="35" t="str">
        <f>IFERROR(__xludf.DUMMYFUNCTION("""COMPUTED_VALUE"""),"%")</f>
        <v>%</v>
      </c>
      <c r="AA274" s="36">
        <f>IFERROR(__xludf.DUMMYFUNCTION("""COMPUTED_VALUE"""),3.0)</f>
        <v>3</v>
      </c>
      <c r="AB274" s="37"/>
      <c r="AC274" s="38"/>
      <c r="AD274" s="34" t="str">
        <f>IFERROR(__xludf.DUMMYFUNCTION("""COMPUTED_VALUE"""),"")</f>
        <v/>
      </c>
      <c r="AE274" s="35" t="str">
        <f>IFERROR(__xludf.DUMMYFUNCTION("""COMPUTED_VALUE"""),"AP")</f>
        <v>AP</v>
      </c>
      <c r="AF274" s="34" t="str">
        <f>IFERROR(__xludf.DUMMYFUNCTION("""COMPUTED_VALUE"""),"")</f>
        <v/>
      </c>
      <c r="AG274" s="35" t="str">
        <f>IFERROR(__xludf.DUMMYFUNCTION("""COMPUTED_VALUE"""),"%")</f>
        <v>%</v>
      </c>
      <c r="AH274" s="31"/>
      <c r="AI274" s="32"/>
      <c r="AJ274" s="39"/>
    </row>
    <row r="275" ht="24.75" hidden="1" customHeight="1">
      <c r="A275" s="40">
        <f>IFERROR(__xludf.DUMMYFUNCTION("""COMPUTED_VALUE"""),20.0)</f>
        <v>20</v>
      </c>
      <c r="B275" s="40" t="str">
        <f>IFERROR(__xludf.DUMMYFUNCTION("""COMPUTED_VALUE"""),"A203")</f>
        <v>A203</v>
      </c>
      <c r="C275" s="40"/>
      <c r="D275" s="41"/>
      <c r="E275" s="66"/>
      <c r="F275" s="43"/>
      <c r="G275" s="44"/>
      <c r="H275" s="33" t="str">
        <f>IFERROR(__xludf.DUMMYFUNCTION("""COMPUTED_VALUE""")," ")</f>
        <v> </v>
      </c>
      <c r="I275" s="45"/>
      <c r="J275" s="46" t="str">
        <f>IFERROR(__xludf.DUMMYFUNCTION("""COMPUTED_VALUE"""),"AP")</f>
        <v>AP</v>
      </c>
      <c r="K275" s="47"/>
      <c r="L275" s="48" t="str">
        <f>IFERROR(__xludf.DUMMYFUNCTION("""COMPUTED_VALUE"""),"%")</f>
        <v>%</v>
      </c>
      <c r="M275" s="49">
        <f>IFERROR(__xludf.DUMMYFUNCTION("""COMPUTED_VALUE"""),1.0)</f>
        <v>1</v>
      </c>
      <c r="N275" s="50"/>
      <c r="O275" s="38"/>
      <c r="P275" s="45" t="str">
        <f>IFERROR(__xludf.DUMMYFUNCTION("""COMPUTED_VALUE"""),"")</f>
        <v/>
      </c>
      <c r="Q275" s="46" t="str">
        <f>IFERROR(__xludf.DUMMYFUNCTION("""COMPUTED_VALUE"""),"AP")</f>
        <v>AP</v>
      </c>
      <c r="R275" s="47" t="str">
        <f>IFERROR(__xludf.DUMMYFUNCTION("""COMPUTED_VALUE"""),"")</f>
        <v/>
      </c>
      <c r="S275" s="48" t="str">
        <f>IFERROR(__xludf.DUMMYFUNCTION("""COMPUTED_VALUE"""),"%")</f>
        <v>%</v>
      </c>
      <c r="T275" s="49">
        <f>IFERROR(__xludf.DUMMYFUNCTION("""COMPUTED_VALUE"""),2.0)</f>
        <v>2</v>
      </c>
      <c r="U275" s="50"/>
      <c r="V275" s="38"/>
      <c r="W275" s="45" t="str">
        <f>IFERROR(__xludf.DUMMYFUNCTION("""COMPUTED_VALUE"""),"")</f>
        <v/>
      </c>
      <c r="X275" s="46" t="str">
        <f>IFERROR(__xludf.DUMMYFUNCTION("""COMPUTED_VALUE"""),"AP")</f>
        <v>AP</v>
      </c>
      <c r="Y275" s="47" t="str">
        <f>IFERROR(__xludf.DUMMYFUNCTION("""COMPUTED_VALUE"""),"")</f>
        <v/>
      </c>
      <c r="Z275" s="48" t="str">
        <f>IFERROR(__xludf.DUMMYFUNCTION("""COMPUTED_VALUE"""),"%")</f>
        <v>%</v>
      </c>
      <c r="AA275" s="49">
        <f>IFERROR(__xludf.DUMMYFUNCTION("""COMPUTED_VALUE"""),3.0)</f>
        <v>3</v>
      </c>
      <c r="AB275" s="50"/>
      <c r="AC275" s="38"/>
      <c r="AD275" s="45" t="str">
        <f>IFERROR(__xludf.DUMMYFUNCTION("""COMPUTED_VALUE"""),"")</f>
        <v/>
      </c>
      <c r="AE275" s="46" t="str">
        <f>IFERROR(__xludf.DUMMYFUNCTION("""COMPUTED_VALUE"""),"AP")</f>
        <v>AP</v>
      </c>
      <c r="AF275" s="47" t="str">
        <f>IFERROR(__xludf.DUMMYFUNCTION("""COMPUTED_VALUE"""),"")</f>
        <v/>
      </c>
      <c r="AG275" s="48" t="str">
        <f>IFERROR(__xludf.DUMMYFUNCTION("""COMPUTED_VALUE"""),"%")</f>
        <v>%</v>
      </c>
      <c r="AH275" s="43"/>
      <c r="AI275" s="44"/>
      <c r="AJ275" s="51"/>
    </row>
    <row r="276">
      <c r="A276" s="52"/>
      <c r="B276" s="53"/>
      <c r="C276" s="54"/>
      <c r="D276" s="55"/>
      <c r="E276" s="56"/>
      <c r="F276" s="53"/>
      <c r="G276" s="53"/>
      <c r="H276" s="53"/>
      <c r="I276" s="53"/>
      <c r="J276" s="57"/>
      <c r="K276" s="53"/>
      <c r="L276" s="57"/>
      <c r="M276" s="53"/>
      <c r="N276" s="53"/>
      <c r="O276" s="53"/>
      <c r="P276" s="53"/>
      <c r="Q276" s="57"/>
      <c r="R276" s="53"/>
      <c r="S276" s="57"/>
      <c r="T276" s="53"/>
      <c r="U276" s="53"/>
      <c r="V276" s="53"/>
      <c r="W276" s="53"/>
      <c r="X276" s="57"/>
      <c r="Y276" s="53"/>
      <c r="Z276" s="57"/>
      <c r="AA276" s="53"/>
      <c r="AB276" s="53"/>
      <c r="AC276" s="53"/>
      <c r="AD276" s="53"/>
      <c r="AE276" s="57"/>
      <c r="AF276" s="53"/>
      <c r="AG276" s="57"/>
      <c r="AH276" s="53"/>
      <c r="AI276" s="53"/>
      <c r="AJ276" s="58"/>
    </row>
    <row r="277">
      <c r="A277" s="59"/>
      <c r="B277" s="60"/>
      <c r="C277" s="61"/>
      <c r="D277" s="62"/>
      <c r="E277" s="63"/>
      <c r="F277" s="60"/>
      <c r="G277" s="60"/>
      <c r="H277" s="60"/>
      <c r="I277" s="60"/>
      <c r="J277" s="64"/>
      <c r="K277" s="60"/>
      <c r="L277" s="64"/>
      <c r="M277" s="60"/>
      <c r="N277" s="60"/>
      <c r="O277" s="60"/>
      <c r="P277" s="60"/>
      <c r="Q277" s="64"/>
      <c r="R277" s="60"/>
      <c r="S277" s="64"/>
      <c r="T277" s="60"/>
      <c r="U277" s="60"/>
      <c r="V277" s="60"/>
      <c r="W277" s="60"/>
      <c r="X277" s="64"/>
      <c r="Y277" s="60"/>
      <c r="Z277" s="64"/>
      <c r="AA277" s="60"/>
      <c r="AB277" s="60"/>
      <c r="AC277" s="60"/>
      <c r="AD277" s="60"/>
      <c r="AE277" s="64"/>
      <c r="AF277" s="60"/>
      <c r="AG277" s="64"/>
      <c r="AH277" s="60"/>
      <c r="AI277" s="60"/>
      <c r="AJ277" s="65"/>
    </row>
    <row r="278" ht="33.0" customHeight="1">
      <c r="A278" s="20" t="str">
        <f>IFERROR(__xludf.DUMMYFUNCTION("""COMPUTED_VALUE""")," ")</f>
        <v> </v>
      </c>
      <c r="B278" s="21" t="str">
        <f>IFERROR(__xludf.DUMMYFUNCTION("""COMPUTED_VALUE"""),"A204")</f>
        <v>A204</v>
      </c>
      <c r="C278" s="20"/>
      <c r="D278" s="22" t="str">
        <f>IFERROR(__xludf.DUMMYFUNCTION("""COMPUTED_VALUE"""),"")</f>
        <v/>
      </c>
      <c r="E278" s="23" t="str">
        <f>IFERROR(__xludf.DUMMYFUNCTION("""COMPUTED_VALUE"""),"Serpent Jewel")</f>
        <v>Serpent Jewel</v>
      </c>
      <c r="F278" s="24"/>
      <c r="G278" s="24"/>
      <c r="H278" s="25"/>
      <c r="I278" s="25"/>
      <c r="J278" s="26"/>
      <c r="K278" s="25"/>
      <c r="L278" s="26"/>
      <c r="M278" s="25"/>
      <c r="N278" s="25"/>
      <c r="O278" s="25"/>
      <c r="P278" s="25"/>
      <c r="Q278" s="26"/>
      <c r="R278" s="25"/>
      <c r="S278" s="26"/>
      <c r="T278" s="25"/>
      <c r="U278" s="25"/>
      <c r="V278" s="25"/>
      <c r="W278" s="25"/>
      <c r="X278" s="26"/>
      <c r="Y278" s="25"/>
      <c r="Z278" s="26"/>
      <c r="AA278" s="25"/>
      <c r="AB278" s="25"/>
      <c r="AC278" s="25"/>
      <c r="AD278" s="25"/>
      <c r="AE278" s="26"/>
      <c r="AF278" s="25"/>
      <c r="AG278" s="26"/>
      <c r="AH278" s="24"/>
      <c r="AI278" s="25"/>
      <c r="AJ278" s="27"/>
    </row>
    <row r="279" ht="24.75" customHeight="1">
      <c r="A279" s="28">
        <f>IFERROR(__xludf.DUMMYFUNCTION("""COMPUTED_VALUE"""),1.0)</f>
        <v>1</v>
      </c>
      <c r="B279" s="28" t="str">
        <f>IFERROR(__xludf.DUMMYFUNCTION("""COMPUTED_VALUE"""),"A204")</f>
        <v>A204</v>
      </c>
      <c r="C279" s="28" t="str">
        <f>IFERROR(__xludf.DUMMYFUNCTION("""COMPUTED_VALUE"""),"AGT12")</f>
        <v>AGT12</v>
      </c>
      <c r="D279" s="29" t="str">
        <f>IFERROR(__xludf.DUMMYFUNCTION("""COMPUTED_VALUE"""),"Agartha")</f>
        <v>Agartha</v>
      </c>
      <c r="E279" s="30" t="str">
        <f>IFERROR(__xludf.DUMMYFUNCTION("""COMPUTED_VALUE"""),"Chasm in the Earth")</f>
        <v>Chasm in the Earth</v>
      </c>
      <c r="F279" s="31">
        <f>IFERROR(__xludf.DUMMYFUNCTION("""COMPUTED_VALUE"""),21.0)</f>
        <v>21</v>
      </c>
      <c r="G279" s="32">
        <f>IFERROR(__xludf.DUMMYFUNCTION("""COMPUTED_VALUE"""),1611.0)</f>
        <v>1611</v>
      </c>
      <c r="H279" s="33" t="str">
        <f>IFERROR(__xludf.DUMMYFUNCTION("""COMPUTED_VALUE"""),"")</f>
        <v/>
      </c>
      <c r="I279" s="34">
        <f>IFERROR(__xludf.DUMMYFUNCTION("""COMPUTED_VALUE"""),52.7)</f>
        <v>52.7</v>
      </c>
      <c r="J279" s="35" t="str">
        <f>IFERROR(__xludf.DUMMYFUNCTION("""COMPUTED_VALUE"""),"AP")</f>
        <v>AP</v>
      </c>
      <c r="K279" s="34">
        <f>IFERROR(__xludf.DUMMYFUNCTION("""COMPUTED_VALUE"""),39.9)</f>
        <v>39.9</v>
      </c>
      <c r="L279" s="35" t="str">
        <f>IFERROR(__xludf.DUMMYFUNCTION("""COMPUTED_VALUE"""),"%")</f>
        <v>%</v>
      </c>
      <c r="M279" s="36">
        <f>IFERROR(__xludf.DUMMYFUNCTION("""COMPUTED_VALUE"""),1.0)</f>
        <v>1</v>
      </c>
      <c r="N279" s="37" t="str">
        <f>IFERROR(__xludf.DUMMYFUNCTION("""COMPUTED_VALUE"""),"B105")</f>
        <v>B105</v>
      </c>
      <c r="O279" s="38" t="str">
        <f>IFERROR(__xludf.DUMMYFUNCTION("""COMPUTED_VALUE"""),"")</f>
        <v/>
      </c>
      <c r="P279" s="34">
        <f>IFERROR(__xludf.DUMMYFUNCTION("""COMPUTED_VALUE"""),681.8)</f>
        <v>681.8</v>
      </c>
      <c r="Q279" s="35" t="str">
        <f>IFERROR(__xludf.DUMMYFUNCTION("""COMPUTED_VALUE"""),"AP")</f>
        <v>AP</v>
      </c>
      <c r="R279" s="34">
        <f>IFERROR(__xludf.DUMMYFUNCTION("""COMPUTED_VALUE"""),3.1)</f>
        <v>3.1</v>
      </c>
      <c r="S279" s="35" t="str">
        <f>IFERROR(__xludf.DUMMYFUNCTION("""COMPUTED_VALUE"""),"%")</f>
        <v>%</v>
      </c>
      <c r="T279" s="36">
        <f>IFERROR(__xludf.DUMMYFUNCTION("""COMPUTED_VALUE"""),2.0)</f>
        <v>2</v>
      </c>
      <c r="U279" s="37" t="str">
        <f>IFERROR(__xludf.DUMMYFUNCTION("""COMPUTED_VALUE"""),"B115")</f>
        <v>B115</v>
      </c>
      <c r="V279" s="38" t="str">
        <f>IFERROR(__xludf.DUMMYFUNCTION("""COMPUTED_VALUE"""),"")</f>
        <v/>
      </c>
      <c r="W279" s="34">
        <f>IFERROR(__xludf.DUMMYFUNCTION("""COMPUTED_VALUE"""),43.3)</f>
        <v>43.3</v>
      </c>
      <c r="X279" s="35" t="str">
        <f>IFERROR(__xludf.DUMMYFUNCTION("""COMPUTED_VALUE"""),"AP")</f>
        <v>AP</v>
      </c>
      <c r="Y279" s="34">
        <f>IFERROR(__xludf.DUMMYFUNCTION("""COMPUTED_VALUE"""),48.5)</f>
        <v>48.5</v>
      </c>
      <c r="Z279" s="35" t="str">
        <f>IFERROR(__xludf.DUMMYFUNCTION("""COMPUTED_VALUE"""),"%")</f>
        <v>%</v>
      </c>
      <c r="AA279" s="36">
        <f>IFERROR(__xludf.DUMMYFUNCTION("""COMPUTED_VALUE"""),3.0)</f>
        <v>3</v>
      </c>
      <c r="AB279" s="37"/>
      <c r="AC279" s="38"/>
      <c r="AD279" s="34" t="str">
        <f>IFERROR(__xludf.DUMMYFUNCTION("""COMPUTED_VALUE"""),"")</f>
        <v/>
      </c>
      <c r="AE279" s="35" t="str">
        <f>IFERROR(__xludf.DUMMYFUNCTION("""COMPUTED_VALUE"""),"AP")</f>
        <v>AP</v>
      </c>
      <c r="AF279" s="34" t="str">
        <f>IFERROR(__xludf.DUMMYFUNCTION("""COMPUTED_VALUE"""),"")</f>
        <v/>
      </c>
      <c r="AG279" s="35" t="str">
        <f>IFERROR(__xludf.DUMMYFUNCTION("""COMPUTED_VALUE"""),"%")</f>
        <v>%</v>
      </c>
      <c r="AH279" s="31">
        <f>IFERROR(__xludf.DUMMYFUNCTION("""COMPUTED_VALUE"""),21.0)</f>
        <v>21</v>
      </c>
      <c r="AI279" s="32">
        <f>IFERROR(__xludf.DUMMYFUNCTION("""COMPUTED_VALUE"""),1611.0)</f>
        <v>1611</v>
      </c>
      <c r="AJ279" s="39" t="str">
        <f>IFERROR(__xludf.DUMMYFUNCTION("""COMPUTED_VALUE"""),"大地の裂け目")</f>
        <v>大地の裂け目</v>
      </c>
    </row>
    <row r="280" ht="24.75" customHeight="1">
      <c r="A280" s="40">
        <f>IFERROR(__xludf.DUMMYFUNCTION("""COMPUTED_VALUE"""),2.0)</f>
        <v>2</v>
      </c>
      <c r="B280" s="40" t="str">
        <f>IFERROR(__xludf.DUMMYFUNCTION("""COMPUTED_VALUE"""),"A204")</f>
        <v>A204</v>
      </c>
      <c r="C280" s="40" t="str">
        <f>IFERROR(__xludf.DUMMYFUNCTION("""COMPUTED_VALUE"""),"OLP9")</f>
        <v>OLP9</v>
      </c>
      <c r="D280" s="41" t="str">
        <f>IFERROR(__xludf.DUMMYFUNCTION("""COMPUTED_VALUE"""),"Olympus")</f>
        <v>Olympus</v>
      </c>
      <c r="E280" s="42" t="str">
        <f>IFERROR(__xludf.DUMMYFUNCTION("""COMPUTED_VALUE"""),"Machine God's Cloister")</f>
        <v>Machine God's Cloister</v>
      </c>
      <c r="F280" s="43">
        <f>IFERROR(__xludf.DUMMYFUNCTION("""COMPUTED_VALUE"""),21.0)</f>
        <v>21</v>
      </c>
      <c r="G280" s="44">
        <f>IFERROR(__xludf.DUMMYFUNCTION("""COMPUTED_VALUE"""),3310.0)</f>
        <v>3310</v>
      </c>
      <c r="H280" s="33" t="str">
        <f>IFERROR(__xludf.DUMMYFUNCTION("""COMPUTED_VALUE"""),"")</f>
        <v/>
      </c>
      <c r="I280" s="45">
        <f>IFERROR(__xludf.DUMMYFUNCTION("""COMPUTED_VALUE"""),80.7)</f>
        <v>80.7</v>
      </c>
      <c r="J280" s="46" t="str">
        <f>IFERROR(__xludf.DUMMYFUNCTION("""COMPUTED_VALUE"""),"AP")</f>
        <v>AP</v>
      </c>
      <c r="K280" s="47">
        <f>IFERROR(__xludf.DUMMYFUNCTION("""COMPUTED_VALUE"""),26.0)</f>
        <v>26</v>
      </c>
      <c r="L280" s="48" t="str">
        <f>IFERROR(__xludf.DUMMYFUNCTION("""COMPUTED_VALUE"""),"%")</f>
        <v>%</v>
      </c>
      <c r="M280" s="49">
        <f>IFERROR(__xludf.DUMMYFUNCTION("""COMPUTED_VALUE"""),1.0)</f>
        <v>1</v>
      </c>
      <c r="N280" s="50" t="str">
        <f>IFERROR(__xludf.DUMMYFUNCTION("""COMPUTED_VALUE"""),"A116")</f>
        <v>A116</v>
      </c>
      <c r="O280" s="38" t="str">
        <f>IFERROR(__xludf.DUMMYFUNCTION("""COMPUTED_VALUE"""),"")</f>
        <v/>
      </c>
      <c r="P280" s="45">
        <f>IFERROR(__xludf.DUMMYFUNCTION("""COMPUTED_VALUE"""),167.9)</f>
        <v>167.9</v>
      </c>
      <c r="Q280" s="46" t="str">
        <f>IFERROR(__xludf.DUMMYFUNCTION("""COMPUTED_VALUE"""),"AP")</f>
        <v>AP</v>
      </c>
      <c r="R280" s="47">
        <f>IFERROR(__xludf.DUMMYFUNCTION("""COMPUTED_VALUE"""),12.5)</f>
        <v>12.5</v>
      </c>
      <c r="S280" s="48" t="str">
        <f>IFERROR(__xludf.DUMMYFUNCTION("""COMPUTED_VALUE"""),"%")</f>
        <v>%</v>
      </c>
      <c r="T280" s="49">
        <f>IFERROR(__xludf.DUMMYFUNCTION("""COMPUTED_VALUE"""),2.0)</f>
        <v>2</v>
      </c>
      <c r="U280" s="50" t="str">
        <f>IFERROR(__xludf.DUMMYFUNCTION("""COMPUTED_VALUE"""),"B104")</f>
        <v>B104</v>
      </c>
      <c r="V280" s="38" t="str">
        <f>IFERROR(__xludf.DUMMYFUNCTION("""COMPUTED_VALUE"""),"")</f>
        <v/>
      </c>
      <c r="W280" s="45">
        <f>IFERROR(__xludf.DUMMYFUNCTION("""COMPUTED_VALUE"""),471.7)</f>
        <v>471.7</v>
      </c>
      <c r="X280" s="46" t="str">
        <f>IFERROR(__xludf.DUMMYFUNCTION("""COMPUTED_VALUE"""),"AP")</f>
        <v>AP</v>
      </c>
      <c r="Y280" s="47">
        <f>IFERROR(__xludf.DUMMYFUNCTION("""COMPUTED_VALUE"""),4.5)</f>
        <v>4.5</v>
      </c>
      <c r="Z280" s="48" t="str">
        <f>IFERROR(__xludf.DUMMYFUNCTION("""COMPUTED_VALUE"""),"%")</f>
        <v>%</v>
      </c>
      <c r="AA280" s="49">
        <f>IFERROR(__xludf.DUMMYFUNCTION("""COMPUTED_VALUE"""),3.0)</f>
        <v>3</v>
      </c>
      <c r="AB280" s="50" t="str">
        <f>IFERROR(__xludf.DUMMYFUNCTION("""COMPUTED_VALUE"""),"B115")</f>
        <v>B115</v>
      </c>
      <c r="AC280" s="38" t="str">
        <f>IFERROR(__xludf.DUMMYFUNCTION("""COMPUTED_VALUE"""),"")</f>
        <v/>
      </c>
      <c r="AD280" s="45">
        <f>IFERROR(__xludf.DUMMYFUNCTION("""COMPUTED_VALUE"""),37.9)</f>
        <v>37.9</v>
      </c>
      <c r="AE280" s="46" t="str">
        <f>IFERROR(__xludf.DUMMYFUNCTION("""COMPUTED_VALUE"""),"AP")</f>
        <v>AP</v>
      </c>
      <c r="AF280" s="47">
        <f>IFERROR(__xludf.DUMMYFUNCTION("""COMPUTED_VALUE"""),55.4)</f>
        <v>55.4</v>
      </c>
      <c r="AG280" s="48" t="str">
        <f>IFERROR(__xludf.DUMMYFUNCTION("""COMPUTED_VALUE"""),"%")</f>
        <v>%</v>
      </c>
      <c r="AH280" s="43">
        <f>IFERROR(__xludf.DUMMYFUNCTION("""COMPUTED_VALUE"""),21.0)</f>
        <v>21</v>
      </c>
      <c r="AI280" s="44">
        <f>IFERROR(__xludf.DUMMYFUNCTION("""COMPUTED_VALUE"""),3310.0)</f>
        <v>3310</v>
      </c>
      <c r="AJ280" s="51" t="str">
        <f>IFERROR(__xludf.DUMMYFUNCTION("""COMPUTED_VALUE"""),"機神回廊")</f>
        <v>機神回廊</v>
      </c>
    </row>
    <row r="281" ht="24.75" customHeight="1">
      <c r="A281" s="28">
        <f>IFERROR(__xludf.DUMMYFUNCTION("""COMPUTED_VALUE"""),3.0)</f>
        <v>3</v>
      </c>
      <c r="B281" s="28" t="str">
        <f>IFERROR(__xludf.DUMMYFUNCTION("""COMPUTED_VALUE"""),"A204")</f>
        <v>A204</v>
      </c>
      <c r="C281" s="28" t="str">
        <f>IFERROR(__xludf.DUMMYFUNCTION("""COMPUTED_VALUE"""),"OLP1")</f>
        <v>OLP1</v>
      </c>
      <c r="D281" s="29" t="str">
        <f>IFERROR(__xludf.DUMMYFUNCTION("""COMPUTED_VALUE"""),"Olympus")</f>
        <v>Olympus</v>
      </c>
      <c r="E281" s="30" t="str">
        <f>IFERROR(__xludf.DUMMYFUNCTION("""COMPUTED_VALUE"""),"Gliding Point")</f>
        <v>Gliding Point</v>
      </c>
      <c r="F281" s="31">
        <f>IFERROR(__xludf.DUMMYFUNCTION("""COMPUTED_VALUE"""),21.0)</f>
        <v>21</v>
      </c>
      <c r="G281" s="32">
        <f>IFERROR(__xludf.DUMMYFUNCTION("""COMPUTED_VALUE"""),8211.0)</f>
        <v>8211</v>
      </c>
      <c r="H281" s="33" t="str">
        <f>IFERROR(__xludf.DUMMYFUNCTION("""COMPUTED_VALUE"""),"")</f>
        <v/>
      </c>
      <c r="I281" s="34">
        <f>IFERROR(__xludf.DUMMYFUNCTION("""COMPUTED_VALUE"""),81.3)</f>
        <v>81.3</v>
      </c>
      <c r="J281" s="35" t="str">
        <f>IFERROR(__xludf.DUMMYFUNCTION("""COMPUTED_VALUE"""),"AP")</f>
        <v>AP</v>
      </c>
      <c r="K281" s="34">
        <f>IFERROR(__xludf.DUMMYFUNCTION("""COMPUTED_VALUE"""),25.8)</f>
        <v>25.8</v>
      </c>
      <c r="L281" s="35" t="str">
        <f>IFERROR(__xludf.DUMMYFUNCTION("""COMPUTED_VALUE"""),"%")</f>
        <v>%</v>
      </c>
      <c r="M281" s="36">
        <f>IFERROR(__xludf.DUMMYFUNCTION("""COMPUTED_VALUE"""),1.0)</f>
        <v>1</v>
      </c>
      <c r="N281" s="37" t="str">
        <f>IFERROR(__xludf.DUMMYFUNCTION("""COMPUTED_VALUE"""),"A101")</f>
        <v>A101</v>
      </c>
      <c r="O281" s="38" t="str">
        <f>IFERROR(__xludf.DUMMYFUNCTION("""COMPUTED_VALUE"""),"")</f>
        <v/>
      </c>
      <c r="P281" s="34">
        <f>IFERROR(__xludf.DUMMYFUNCTION("""COMPUTED_VALUE"""),102.3)</f>
        <v>102.3</v>
      </c>
      <c r="Q281" s="35" t="str">
        <f>IFERROR(__xludf.DUMMYFUNCTION("""COMPUTED_VALUE"""),"AP")</f>
        <v>AP</v>
      </c>
      <c r="R281" s="34">
        <f>IFERROR(__xludf.DUMMYFUNCTION("""COMPUTED_VALUE"""),20.5)</f>
        <v>20.5</v>
      </c>
      <c r="S281" s="35" t="str">
        <f>IFERROR(__xludf.DUMMYFUNCTION("""COMPUTED_VALUE"""),"%")</f>
        <v>%</v>
      </c>
      <c r="T281" s="36">
        <f>IFERROR(__xludf.DUMMYFUNCTION("""COMPUTED_VALUE"""),2.0)</f>
        <v>2</v>
      </c>
      <c r="U281" s="37" t="str">
        <f>IFERROR(__xludf.DUMMYFUNCTION("""COMPUTED_VALUE"""),"B115")</f>
        <v>B115</v>
      </c>
      <c r="V281" s="38" t="str">
        <f>IFERROR(__xludf.DUMMYFUNCTION("""COMPUTED_VALUE"""),"")</f>
        <v/>
      </c>
      <c r="W281" s="34">
        <f>IFERROR(__xludf.DUMMYFUNCTION("""COMPUTED_VALUE"""),38.2)</f>
        <v>38.2</v>
      </c>
      <c r="X281" s="35" t="str">
        <f>IFERROR(__xludf.DUMMYFUNCTION("""COMPUTED_VALUE"""),"AP")</f>
        <v>AP</v>
      </c>
      <c r="Y281" s="34">
        <f>IFERROR(__xludf.DUMMYFUNCTION("""COMPUTED_VALUE"""),55.0)</f>
        <v>55</v>
      </c>
      <c r="Z281" s="35" t="str">
        <f>IFERROR(__xludf.DUMMYFUNCTION("""COMPUTED_VALUE"""),"%")</f>
        <v>%</v>
      </c>
      <c r="AA281" s="36">
        <f>IFERROR(__xludf.DUMMYFUNCTION("""COMPUTED_VALUE"""),3.0)</f>
        <v>3</v>
      </c>
      <c r="AB281" s="37" t="str">
        <f>IFERROR(__xludf.DUMMYFUNCTION("""COMPUTED_VALUE"""),"B117")</f>
        <v>B117</v>
      </c>
      <c r="AC281" s="38" t="str">
        <f>IFERROR(__xludf.DUMMYFUNCTION("""COMPUTED_VALUE"""),"")</f>
        <v/>
      </c>
      <c r="AD281" s="34">
        <f>IFERROR(__xludf.DUMMYFUNCTION("""COMPUTED_VALUE"""),294.2)</f>
        <v>294.2</v>
      </c>
      <c r="AE281" s="35" t="str">
        <f>IFERROR(__xludf.DUMMYFUNCTION("""COMPUTED_VALUE"""),"AP")</f>
        <v>AP</v>
      </c>
      <c r="AF281" s="34">
        <f>IFERROR(__xludf.DUMMYFUNCTION("""COMPUTED_VALUE"""),7.1)</f>
        <v>7.1</v>
      </c>
      <c r="AG281" s="35" t="str">
        <f>IFERROR(__xludf.DUMMYFUNCTION("""COMPUTED_VALUE"""),"%")</f>
        <v>%</v>
      </c>
      <c r="AH281" s="31">
        <f>IFERROR(__xludf.DUMMYFUNCTION("""COMPUTED_VALUE"""),21.0)</f>
        <v>21</v>
      </c>
      <c r="AI281" s="32">
        <f>IFERROR(__xludf.DUMMYFUNCTION("""COMPUTED_VALUE"""),8211.0)</f>
        <v>8211</v>
      </c>
      <c r="AJ281" s="39" t="str">
        <f>IFERROR(__xludf.DUMMYFUNCTION("""COMPUTED_VALUE"""),"グライディングポイント")</f>
        <v>グライディングポイント</v>
      </c>
    </row>
    <row r="282" ht="24.75" customHeight="1">
      <c r="A282" s="40">
        <f>IFERROR(__xludf.DUMMYFUNCTION("""COMPUTED_VALUE"""),4.0)</f>
        <v>4</v>
      </c>
      <c r="B282" s="40" t="str">
        <f>IFERROR(__xludf.DUMMYFUNCTION("""COMPUTED_VALUE"""),"A204")</f>
        <v>A204</v>
      </c>
      <c r="C282" s="40" t="str">
        <f>IFERROR(__xludf.DUMMYFUNCTION("""COMPUTED_VALUE"""),"OLP7")</f>
        <v>OLP7</v>
      </c>
      <c r="D282" s="41" t="str">
        <f>IFERROR(__xludf.DUMMYFUNCTION("""COMPUTED_VALUE"""),"Olympus")</f>
        <v>Olympus</v>
      </c>
      <c r="E282" s="42" t="str">
        <f>IFERROR(__xludf.DUMMYFUNCTION("""COMPUTED_VALUE"""),"Altar District")</f>
        <v>Altar District</v>
      </c>
      <c r="F282" s="43">
        <f>IFERROR(__xludf.DUMMYFUNCTION("""COMPUTED_VALUE"""),21.0)</f>
        <v>21</v>
      </c>
      <c r="G282" s="44">
        <f>IFERROR(__xludf.DUMMYFUNCTION("""COMPUTED_VALUE"""),3474.0)</f>
        <v>3474</v>
      </c>
      <c r="H282" s="33" t="str">
        <f>IFERROR(__xludf.DUMMYFUNCTION("""COMPUTED_VALUE"""),"")</f>
        <v/>
      </c>
      <c r="I282" s="45">
        <f>IFERROR(__xludf.DUMMYFUNCTION("""COMPUTED_VALUE"""),84.2)</f>
        <v>84.2</v>
      </c>
      <c r="J282" s="46" t="str">
        <f>IFERROR(__xludf.DUMMYFUNCTION("""COMPUTED_VALUE"""),"AP")</f>
        <v>AP</v>
      </c>
      <c r="K282" s="47">
        <f>IFERROR(__xludf.DUMMYFUNCTION("""COMPUTED_VALUE"""),24.9)</f>
        <v>24.9</v>
      </c>
      <c r="L282" s="48" t="str">
        <f>IFERROR(__xludf.DUMMYFUNCTION("""COMPUTED_VALUE"""),"%")</f>
        <v>%</v>
      </c>
      <c r="M282" s="49">
        <f>IFERROR(__xludf.DUMMYFUNCTION("""COMPUTED_VALUE"""),1.0)</f>
        <v>1</v>
      </c>
      <c r="N282" s="50" t="str">
        <f>IFERROR(__xludf.DUMMYFUNCTION("""COMPUTED_VALUE"""),"A117")</f>
        <v>A117</v>
      </c>
      <c r="O282" s="38" t="str">
        <f>IFERROR(__xludf.DUMMYFUNCTION("""COMPUTED_VALUE"""),"")</f>
        <v/>
      </c>
      <c r="P282" s="45">
        <f>IFERROR(__xludf.DUMMYFUNCTION("""COMPUTED_VALUE"""),129.8)</f>
        <v>129.8</v>
      </c>
      <c r="Q282" s="46" t="str">
        <f>IFERROR(__xludf.DUMMYFUNCTION("""COMPUTED_VALUE"""),"AP")</f>
        <v>AP</v>
      </c>
      <c r="R282" s="47">
        <f>IFERROR(__xludf.DUMMYFUNCTION("""COMPUTED_VALUE"""),16.2)</f>
        <v>16.2</v>
      </c>
      <c r="S282" s="48" t="str">
        <f>IFERROR(__xludf.DUMMYFUNCTION("""COMPUTED_VALUE"""),"%")</f>
        <v>%</v>
      </c>
      <c r="T282" s="49">
        <f>IFERROR(__xludf.DUMMYFUNCTION("""COMPUTED_VALUE"""),2.0)</f>
        <v>2</v>
      </c>
      <c r="U282" s="50" t="str">
        <f>IFERROR(__xludf.DUMMYFUNCTION("""COMPUTED_VALUE"""),"B113")</f>
        <v>B113</v>
      </c>
      <c r="V282" s="38" t="str">
        <f>IFERROR(__xludf.DUMMYFUNCTION("""COMPUTED_VALUE"""),"")</f>
        <v/>
      </c>
      <c r="W282" s="45">
        <f>IFERROR(__xludf.DUMMYFUNCTION("""COMPUTED_VALUE"""),191.5)</f>
        <v>191.5</v>
      </c>
      <c r="X282" s="46" t="str">
        <f>IFERROR(__xludf.DUMMYFUNCTION("""COMPUTED_VALUE"""),"AP")</f>
        <v>AP</v>
      </c>
      <c r="Y282" s="47">
        <f>IFERROR(__xludf.DUMMYFUNCTION("""COMPUTED_VALUE"""),11.0)</f>
        <v>11</v>
      </c>
      <c r="Z282" s="48" t="str">
        <f>IFERROR(__xludf.DUMMYFUNCTION("""COMPUTED_VALUE"""),"%")</f>
        <v>%</v>
      </c>
      <c r="AA282" s="49">
        <f>IFERROR(__xludf.DUMMYFUNCTION("""COMPUTED_VALUE"""),3.0)</f>
        <v>3</v>
      </c>
      <c r="AB282" s="50" t="str">
        <f>IFERROR(__xludf.DUMMYFUNCTION("""COMPUTED_VALUE"""),"B115")</f>
        <v>B115</v>
      </c>
      <c r="AC282" s="38" t="str">
        <f>IFERROR(__xludf.DUMMYFUNCTION("""COMPUTED_VALUE"""),"")</f>
        <v/>
      </c>
      <c r="AD282" s="45">
        <f>IFERROR(__xludf.DUMMYFUNCTION("""COMPUTED_VALUE"""),44.3)</f>
        <v>44.3</v>
      </c>
      <c r="AE282" s="46" t="str">
        <f>IFERROR(__xludf.DUMMYFUNCTION("""COMPUTED_VALUE"""),"AP")</f>
        <v>AP</v>
      </c>
      <c r="AF282" s="47">
        <f>IFERROR(__xludf.DUMMYFUNCTION("""COMPUTED_VALUE"""),47.4)</f>
        <v>47.4</v>
      </c>
      <c r="AG282" s="48" t="str">
        <f>IFERROR(__xludf.DUMMYFUNCTION("""COMPUTED_VALUE"""),"%")</f>
        <v>%</v>
      </c>
      <c r="AH282" s="43">
        <f>IFERROR(__xludf.DUMMYFUNCTION("""COMPUTED_VALUE"""),21.0)</f>
        <v>21</v>
      </c>
      <c r="AI282" s="44">
        <f>IFERROR(__xludf.DUMMYFUNCTION("""COMPUTED_VALUE"""),3474.0)</f>
        <v>3474</v>
      </c>
      <c r="AJ282" s="51" t="str">
        <f>IFERROR(__xludf.DUMMYFUNCTION("""COMPUTED_VALUE"""),"祭壇街")</f>
        <v>祭壇街</v>
      </c>
    </row>
    <row r="283" ht="24.75" customHeight="1">
      <c r="A283" s="28">
        <f>IFERROR(__xludf.DUMMYFUNCTION("""COMPUTED_VALUE"""),5.0)</f>
        <v>5</v>
      </c>
      <c r="B283" s="28" t="str">
        <f>IFERROR(__xludf.DUMMYFUNCTION("""COMPUTED_VALUE"""),"A204")</f>
        <v>A204</v>
      </c>
      <c r="C283" s="28" t="str">
        <f>IFERROR(__xludf.DUMMYFUNCTION("""COMPUTED_VALUE"""),"BBL5")</f>
        <v>BBL5</v>
      </c>
      <c r="D283" s="29" t="str">
        <f>IFERROR(__xludf.DUMMYFUNCTION("""COMPUTED_VALUE"""),"Babylonia")</f>
        <v>Babylonia</v>
      </c>
      <c r="E283" s="30" t="str">
        <f>IFERROR(__xludf.DUMMYFUNCTION("""COMPUTED_VALUE"""),"Bog")</f>
        <v>Bog</v>
      </c>
      <c r="F283" s="31">
        <f>IFERROR(__xludf.DUMMYFUNCTION("""COMPUTED_VALUE"""),21.0)</f>
        <v>21</v>
      </c>
      <c r="G283" s="32">
        <f>IFERROR(__xludf.DUMMYFUNCTION("""COMPUTED_VALUE"""),1889.0)</f>
        <v>1889</v>
      </c>
      <c r="H283" s="33" t="str">
        <f>IFERROR(__xludf.DUMMYFUNCTION("""COMPUTED_VALUE"""),"")</f>
        <v/>
      </c>
      <c r="I283" s="34">
        <f>IFERROR(__xludf.DUMMYFUNCTION("""COMPUTED_VALUE"""),85.7)</f>
        <v>85.7</v>
      </c>
      <c r="J283" s="35" t="str">
        <f>IFERROR(__xludf.DUMMYFUNCTION("""COMPUTED_VALUE"""),"AP")</f>
        <v>AP</v>
      </c>
      <c r="K283" s="34">
        <f>IFERROR(__xludf.DUMMYFUNCTION("""COMPUTED_VALUE"""),24.5)</f>
        <v>24.5</v>
      </c>
      <c r="L283" s="35" t="str">
        <f>IFERROR(__xludf.DUMMYFUNCTION("""COMPUTED_VALUE"""),"%")</f>
        <v>%</v>
      </c>
      <c r="M283" s="36">
        <f>IFERROR(__xludf.DUMMYFUNCTION("""COMPUTED_VALUE"""),1.0)</f>
        <v>1</v>
      </c>
      <c r="N283" s="37" t="str">
        <f>IFERROR(__xludf.DUMMYFUNCTION("""COMPUTED_VALUE"""),"A306")</f>
        <v>A306</v>
      </c>
      <c r="O283" s="38" t="str">
        <f>IFERROR(__xludf.DUMMYFUNCTION("""COMPUTED_VALUE"""),"")</f>
        <v/>
      </c>
      <c r="P283" s="34">
        <f>IFERROR(__xludf.DUMMYFUNCTION("""COMPUTED_VALUE"""),53.3)</f>
        <v>53.3</v>
      </c>
      <c r="Q283" s="35" t="str">
        <f>IFERROR(__xludf.DUMMYFUNCTION("""COMPUTED_VALUE"""),"AP")</f>
        <v>AP</v>
      </c>
      <c r="R283" s="34">
        <f>IFERROR(__xludf.DUMMYFUNCTION("""COMPUTED_VALUE"""),39.4)</f>
        <v>39.4</v>
      </c>
      <c r="S283" s="35" t="str">
        <f>IFERROR(__xludf.DUMMYFUNCTION("""COMPUTED_VALUE"""),"%")</f>
        <v>%</v>
      </c>
      <c r="T283" s="36">
        <f>IFERROR(__xludf.DUMMYFUNCTION("""COMPUTED_VALUE"""),2.0)</f>
        <v>2</v>
      </c>
      <c r="U283" s="37" t="str">
        <f>IFERROR(__xludf.DUMMYFUNCTION("""COMPUTED_VALUE"""),"B112")</f>
        <v>B112</v>
      </c>
      <c r="V283" s="38" t="str">
        <f>IFERROR(__xludf.DUMMYFUNCTION("""COMPUTED_VALUE"""),"")</f>
        <v/>
      </c>
      <c r="W283" s="34">
        <f>IFERROR(__xludf.DUMMYFUNCTION("""COMPUTED_VALUE"""),126.4)</f>
        <v>126.4</v>
      </c>
      <c r="X283" s="35" t="str">
        <f>IFERROR(__xludf.DUMMYFUNCTION("""COMPUTED_VALUE"""),"AP")</f>
        <v>AP</v>
      </c>
      <c r="Y283" s="34">
        <f>IFERROR(__xludf.DUMMYFUNCTION("""COMPUTED_VALUE"""),16.6)</f>
        <v>16.6</v>
      </c>
      <c r="Z283" s="35" t="str">
        <f>IFERROR(__xludf.DUMMYFUNCTION("""COMPUTED_VALUE"""),"%")</f>
        <v>%</v>
      </c>
      <c r="AA283" s="36">
        <f>IFERROR(__xludf.DUMMYFUNCTION("""COMPUTED_VALUE"""),3.0)</f>
        <v>3</v>
      </c>
      <c r="AB283" s="37"/>
      <c r="AC283" s="38"/>
      <c r="AD283" s="34" t="str">
        <f>IFERROR(__xludf.DUMMYFUNCTION("""COMPUTED_VALUE"""),"")</f>
        <v/>
      </c>
      <c r="AE283" s="35" t="str">
        <f>IFERROR(__xludf.DUMMYFUNCTION("""COMPUTED_VALUE"""),"AP")</f>
        <v>AP</v>
      </c>
      <c r="AF283" s="34" t="str">
        <f>IFERROR(__xludf.DUMMYFUNCTION("""COMPUTED_VALUE"""),"")</f>
        <v/>
      </c>
      <c r="AG283" s="35" t="str">
        <f>IFERROR(__xludf.DUMMYFUNCTION("""COMPUTED_VALUE"""),"%")</f>
        <v>%</v>
      </c>
      <c r="AH283" s="31">
        <f>IFERROR(__xludf.DUMMYFUNCTION("""COMPUTED_VALUE"""),21.0)</f>
        <v>21</v>
      </c>
      <c r="AI283" s="32">
        <f>IFERROR(__xludf.DUMMYFUNCTION("""COMPUTED_VALUE"""),1889.0)</f>
        <v>1889</v>
      </c>
      <c r="AJ283" s="39" t="str">
        <f>IFERROR(__xludf.DUMMYFUNCTION("""COMPUTED_VALUE"""),"湿原")</f>
        <v>湿原</v>
      </c>
    </row>
    <row r="284" ht="24.75" customHeight="1">
      <c r="A284" s="40">
        <f>IFERROR(__xludf.DUMMYFUNCTION("""COMPUTED_VALUE"""),6.0)</f>
        <v>6</v>
      </c>
      <c r="B284" s="40" t="str">
        <f>IFERROR(__xludf.DUMMYFUNCTION("""COMPUTED_VALUE"""),"A204")</f>
        <v>A204</v>
      </c>
      <c r="C284" s="40" t="str">
        <f>IFERROR(__xludf.DUMMYFUNCTION("""COMPUTED_VALUE"""),"ATL6")</f>
        <v>ATL6</v>
      </c>
      <c r="D284" s="41" t="str">
        <f>IFERROR(__xludf.DUMMYFUNCTION("""COMPUTED_VALUE"""),"Atlantis")</f>
        <v>Atlantis</v>
      </c>
      <c r="E284" s="42" t="str">
        <f>IFERROR(__xludf.DUMMYFUNCTION("""COMPUTED_VALUE"""),"Thetis Island")</f>
        <v>Thetis Island</v>
      </c>
      <c r="F284" s="43">
        <f>IFERROR(__xludf.DUMMYFUNCTION("""COMPUTED_VALUE"""),21.0)</f>
        <v>21</v>
      </c>
      <c r="G284" s="44">
        <f>IFERROR(__xludf.DUMMYFUNCTION("""COMPUTED_VALUE"""),1367.0)</f>
        <v>1367</v>
      </c>
      <c r="H284" s="33" t="str">
        <f>IFERROR(__xludf.DUMMYFUNCTION("""COMPUTED_VALUE"""),"")</f>
        <v/>
      </c>
      <c r="I284" s="45">
        <f>IFERROR(__xludf.DUMMYFUNCTION("""COMPUTED_VALUE"""),87.5)</f>
        <v>87.5</v>
      </c>
      <c r="J284" s="46" t="str">
        <f>IFERROR(__xludf.DUMMYFUNCTION("""COMPUTED_VALUE"""),"AP")</f>
        <v>AP</v>
      </c>
      <c r="K284" s="47">
        <f>IFERROR(__xludf.DUMMYFUNCTION("""COMPUTED_VALUE"""),24.0)</f>
        <v>24</v>
      </c>
      <c r="L284" s="48" t="str">
        <f>IFERROR(__xludf.DUMMYFUNCTION("""COMPUTED_VALUE"""),"%")</f>
        <v>%</v>
      </c>
      <c r="M284" s="49">
        <f>IFERROR(__xludf.DUMMYFUNCTION("""COMPUTED_VALUE"""),1.0)</f>
        <v>1</v>
      </c>
      <c r="N284" s="50" t="str">
        <f>IFERROR(__xludf.DUMMYFUNCTION("""COMPUTED_VALUE"""),"A113")</f>
        <v>A113</v>
      </c>
      <c r="O284" s="38" t="str">
        <f>IFERROR(__xludf.DUMMYFUNCTION("""COMPUTED_VALUE"""),"")</f>
        <v/>
      </c>
      <c r="P284" s="45">
        <f>IFERROR(__xludf.DUMMYFUNCTION("""COMPUTED_VALUE"""),118.6)</f>
        <v>118.6</v>
      </c>
      <c r="Q284" s="46" t="str">
        <f>IFERROR(__xludf.DUMMYFUNCTION("""COMPUTED_VALUE"""),"AP")</f>
        <v>AP</v>
      </c>
      <c r="R284" s="47">
        <f>IFERROR(__xludf.DUMMYFUNCTION("""COMPUTED_VALUE"""),17.7)</f>
        <v>17.7</v>
      </c>
      <c r="S284" s="48" t="str">
        <f>IFERROR(__xludf.DUMMYFUNCTION("""COMPUTED_VALUE"""),"%")</f>
        <v>%</v>
      </c>
      <c r="T284" s="49">
        <f>IFERROR(__xludf.DUMMYFUNCTION("""COMPUTED_VALUE"""),2.0)</f>
        <v>2</v>
      </c>
      <c r="U284" s="50" t="str">
        <f>IFERROR(__xludf.DUMMYFUNCTION("""COMPUTED_VALUE"""),"B113")</f>
        <v>B113</v>
      </c>
      <c r="V284" s="38" t="str">
        <f>IFERROR(__xludf.DUMMYFUNCTION("""COMPUTED_VALUE"""),"")</f>
        <v/>
      </c>
      <c r="W284" s="45">
        <f>IFERROR(__xludf.DUMMYFUNCTION("""COMPUTED_VALUE"""),176.1)</f>
        <v>176.1</v>
      </c>
      <c r="X284" s="46" t="str">
        <f>IFERROR(__xludf.DUMMYFUNCTION("""COMPUTED_VALUE"""),"AP")</f>
        <v>AP</v>
      </c>
      <c r="Y284" s="47">
        <f>IFERROR(__xludf.DUMMYFUNCTION("""COMPUTED_VALUE"""),11.9)</f>
        <v>11.9</v>
      </c>
      <c r="Z284" s="48" t="str">
        <f>IFERROR(__xludf.DUMMYFUNCTION("""COMPUTED_VALUE"""),"%")</f>
        <v>%</v>
      </c>
      <c r="AA284" s="49">
        <f>IFERROR(__xludf.DUMMYFUNCTION("""COMPUTED_VALUE"""),3.0)</f>
        <v>3</v>
      </c>
      <c r="AB284" s="50" t="str">
        <f>IFERROR(__xludf.DUMMYFUNCTION("""COMPUTED_VALUE"""),"B115")</f>
        <v>B115</v>
      </c>
      <c r="AC284" s="38" t="str">
        <f>IFERROR(__xludf.DUMMYFUNCTION("""COMPUTED_VALUE"""),"")</f>
        <v/>
      </c>
      <c r="AD284" s="45">
        <f>IFERROR(__xludf.DUMMYFUNCTION("""COMPUTED_VALUE"""),46.0)</f>
        <v>46</v>
      </c>
      <c r="AE284" s="46" t="str">
        <f>IFERROR(__xludf.DUMMYFUNCTION("""COMPUTED_VALUE"""),"AP")</f>
        <v>AP</v>
      </c>
      <c r="AF284" s="47">
        <f>IFERROR(__xludf.DUMMYFUNCTION("""COMPUTED_VALUE"""),45.6)</f>
        <v>45.6</v>
      </c>
      <c r="AG284" s="48" t="str">
        <f>IFERROR(__xludf.DUMMYFUNCTION("""COMPUTED_VALUE"""),"%")</f>
        <v>%</v>
      </c>
      <c r="AH284" s="43">
        <f>IFERROR(__xludf.DUMMYFUNCTION("""COMPUTED_VALUE"""),21.0)</f>
        <v>21</v>
      </c>
      <c r="AI284" s="44">
        <f>IFERROR(__xludf.DUMMYFUNCTION("""COMPUTED_VALUE"""),1367.0)</f>
        <v>1367</v>
      </c>
      <c r="AJ284" s="51" t="str">
        <f>IFERROR(__xludf.DUMMYFUNCTION("""COMPUTED_VALUE"""),"テティス島")</f>
        <v>テティス島</v>
      </c>
    </row>
    <row r="285" ht="24.75" customHeight="1">
      <c r="A285" s="28">
        <f>IFERROR(__xludf.DUMMYFUNCTION("""COMPUTED_VALUE"""),7.0)</f>
        <v>7</v>
      </c>
      <c r="B285" s="28" t="str">
        <f>IFERROR(__xludf.DUMMYFUNCTION("""COMPUTED_VALUE"""),"A204")</f>
        <v>A204</v>
      </c>
      <c r="C285" s="28" t="str">
        <f>IFERROR(__xludf.DUMMYFUNCTION("""COMPUTED_VALUE"""),"OLP10")</f>
        <v>OLP10</v>
      </c>
      <c r="D285" s="29" t="str">
        <f>IFERROR(__xludf.DUMMYFUNCTION("""COMPUTED_VALUE"""),"Olympus")</f>
        <v>Olympus</v>
      </c>
      <c r="E285" s="30" t="str">
        <f>IFERROR(__xludf.DUMMYFUNCTION("""COMPUTED_VALUE"""),"Grand Altar")</f>
        <v>Grand Altar</v>
      </c>
      <c r="F285" s="31">
        <f>IFERROR(__xludf.DUMMYFUNCTION("""COMPUTED_VALUE"""),21.0)</f>
        <v>21</v>
      </c>
      <c r="G285" s="32">
        <f>IFERROR(__xludf.DUMMYFUNCTION("""COMPUTED_VALUE"""),1624.0)</f>
        <v>1624</v>
      </c>
      <c r="H285" s="33" t="str">
        <f>IFERROR(__xludf.DUMMYFUNCTION("""COMPUTED_VALUE"""),"")</f>
        <v/>
      </c>
      <c r="I285" s="34">
        <f>IFERROR(__xludf.DUMMYFUNCTION("""COMPUTED_VALUE"""),99.7)</f>
        <v>99.7</v>
      </c>
      <c r="J285" s="35" t="str">
        <f>IFERROR(__xludf.DUMMYFUNCTION("""COMPUTED_VALUE"""),"AP")</f>
        <v>AP</v>
      </c>
      <c r="K285" s="34">
        <f>IFERROR(__xludf.DUMMYFUNCTION("""COMPUTED_VALUE"""),21.1)</f>
        <v>21.1</v>
      </c>
      <c r="L285" s="35" t="str">
        <f>IFERROR(__xludf.DUMMYFUNCTION("""COMPUTED_VALUE"""),"%")</f>
        <v>%</v>
      </c>
      <c r="M285" s="36">
        <f>IFERROR(__xludf.DUMMYFUNCTION("""COMPUTED_VALUE"""),1.0)</f>
        <v>1</v>
      </c>
      <c r="N285" s="37" t="str">
        <f>IFERROR(__xludf.DUMMYFUNCTION("""COMPUTED_VALUE"""),"A219")</f>
        <v>A219</v>
      </c>
      <c r="O285" s="38" t="str">
        <f>IFERROR(__xludf.DUMMYFUNCTION("""COMPUTED_VALUE"""),"")</f>
        <v/>
      </c>
      <c r="P285" s="34">
        <f>IFERROR(__xludf.DUMMYFUNCTION("""COMPUTED_VALUE"""),110.4)</f>
        <v>110.4</v>
      </c>
      <c r="Q285" s="35" t="str">
        <f>IFERROR(__xludf.DUMMYFUNCTION("""COMPUTED_VALUE"""),"AP")</f>
        <v>AP</v>
      </c>
      <c r="R285" s="34">
        <f>IFERROR(__xludf.DUMMYFUNCTION("""COMPUTED_VALUE"""),19.0)</f>
        <v>19</v>
      </c>
      <c r="S285" s="35" t="str">
        <f>IFERROR(__xludf.DUMMYFUNCTION("""COMPUTED_VALUE"""),"%")</f>
        <v>%</v>
      </c>
      <c r="T285" s="36">
        <f>IFERROR(__xludf.DUMMYFUNCTION("""COMPUTED_VALUE"""),2.0)</f>
        <v>2</v>
      </c>
      <c r="U285" s="37" t="str">
        <f>IFERROR(__xludf.DUMMYFUNCTION("""COMPUTED_VALUE"""),"A304")</f>
        <v>A304</v>
      </c>
      <c r="V285" s="38" t="str">
        <f>IFERROR(__xludf.DUMMYFUNCTION("""COMPUTED_VALUE"""),"")</f>
        <v/>
      </c>
      <c r="W285" s="34">
        <f>IFERROR(__xludf.DUMMYFUNCTION("""COMPUTED_VALUE"""),66.0)</f>
        <v>66</v>
      </c>
      <c r="X285" s="35" t="str">
        <f>IFERROR(__xludf.DUMMYFUNCTION("""COMPUTED_VALUE"""),"AP")</f>
        <v>AP</v>
      </c>
      <c r="Y285" s="34">
        <f>IFERROR(__xludf.DUMMYFUNCTION("""COMPUTED_VALUE"""),31.8)</f>
        <v>31.8</v>
      </c>
      <c r="Z285" s="35" t="str">
        <f>IFERROR(__xludf.DUMMYFUNCTION("""COMPUTED_VALUE"""),"%")</f>
        <v>%</v>
      </c>
      <c r="AA285" s="36">
        <f>IFERROR(__xludf.DUMMYFUNCTION("""COMPUTED_VALUE"""),3.0)</f>
        <v>3</v>
      </c>
      <c r="AB285" s="37" t="str">
        <f>IFERROR(__xludf.DUMMYFUNCTION("""COMPUTED_VALUE"""),"B115")</f>
        <v>B115</v>
      </c>
      <c r="AC285" s="38" t="str">
        <f>IFERROR(__xludf.DUMMYFUNCTION("""COMPUTED_VALUE"""),"")</f>
        <v/>
      </c>
      <c r="AD285" s="34">
        <f>IFERROR(__xludf.DUMMYFUNCTION("""COMPUTED_VALUE"""),131.2)</f>
        <v>131.2</v>
      </c>
      <c r="AE285" s="35" t="str">
        <f>IFERROR(__xludf.DUMMYFUNCTION("""COMPUTED_VALUE"""),"AP")</f>
        <v>AP</v>
      </c>
      <c r="AF285" s="34">
        <f>IFERROR(__xludf.DUMMYFUNCTION("""COMPUTED_VALUE"""),16.0)</f>
        <v>16</v>
      </c>
      <c r="AG285" s="35" t="str">
        <f>IFERROR(__xludf.DUMMYFUNCTION("""COMPUTED_VALUE"""),"%")</f>
        <v>%</v>
      </c>
      <c r="AH285" s="31">
        <f>IFERROR(__xludf.DUMMYFUNCTION("""COMPUTED_VALUE"""),21.0)</f>
        <v>21</v>
      </c>
      <c r="AI285" s="32">
        <f>IFERROR(__xludf.DUMMYFUNCTION("""COMPUTED_VALUE"""),1624.0)</f>
        <v>1624</v>
      </c>
      <c r="AJ285" s="39" t="str">
        <f>IFERROR(__xludf.DUMMYFUNCTION("""COMPUTED_VALUE"""),"大祭壇")</f>
        <v>大祭壇</v>
      </c>
    </row>
    <row r="286" ht="24.75" customHeight="1">
      <c r="A286" s="40">
        <f>IFERROR(__xludf.DUMMYFUNCTION("""COMPUTED_VALUE"""),8.0)</f>
        <v>8</v>
      </c>
      <c r="B286" s="40" t="str">
        <f>IFERROR(__xludf.DUMMYFUNCTION("""COMPUTED_VALUE"""),"A204")</f>
        <v>A204</v>
      </c>
      <c r="C286" s="40" t="str">
        <f>IFERROR(__xludf.DUMMYFUNCTION("""COMPUTED_VALUE"""),"OKN5")</f>
        <v>OKN5</v>
      </c>
      <c r="D286" s="41" t="str">
        <f>IFERROR(__xludf.DUMMYFUNCTION("""COMPUTED_VALUE"""),"Okeanos")</f>
        <v>Okeanos</v>
      </c>
      <c r="E286" s="42" t="str">
        <f>IFERROR(__xludf.DUMMYFUNCTION("""COMPUTED_VALUE"""),"Sunken Rock Seas")</f>
        <v>Sunken Rock Seas</v>
      </c>
      <c r="F286" s="43">
        <f>IFERROR(__xludf.DUMMYFUNCTION("""COMPUTED_VALUE"""),17.0)</f>
        <v>17</v>
      </c>
      <c r="G286" s="44">
        <f>IFERROR(__xludf.DUMMYFUNCTION("""COMPUTED_VALUE"""),1278.0)</f>
        <v>1278</v>
      </c>
      <c r="H286" s="33" t="str">
        <f>IFERROR(__xludf.DUMMYFUNCTION("""COMPUTED_VALUE"""),"")</f>
        <v/>
      </c>
      <c r="I286" s="45">
        <f>IFERROR(__xludf.DUMMYFUNCTION("""COMPUTED_VALUE"""),109.7)</f>
        <v>109.7</v>
      </c>
      <c r="J286" s="46" t="str">
        <f>IFERROR(__xludf.DUMMYFUNCTION("""COMPUTED_VALUE"""),"AP")</f>
        <v>AP</v>
      </c>
      <c r="K286" s="47">
        <f>IFERROR(__xludf.DUMMYFUNCTION("""COMPUTED_VALUE"""),15.5)</f>
        <v>15.5</v>
      </c>
      <c r="L286" s="48" t="str">
        <f>IFERROR(__xludf.DUMMYFUNCTION("""COMPUTED_VALUE"""),"%")</f>
        <v>%</v>
      </c>
      <c r="M286" s="49">
        <f>IFERROR(__xludf.DUMMYFUNCTION("""COMPUTED_VALUE"""),1.0)</f>
        <v>1</v>
      </c>
      <c r="N286" s="50" t="str">
        <f>IFERROR(__xludf.DUMMYFUNCTION("""COMPUTED_VALUE"""),"A302")</f>
        <v>A302</v>
      </c>
      <c r="O286" s="38" t="str">
        <f>IFERROR(__xludf.DUMMYFUNCTION("""COMPUTED_VALUE"""),"")</f>
        <v/>
      </c>
      <c r="P286" s="45">
        <f>IFERROR(__xludf.DUMMYFUNCTION("""COMPUTED_VALUE"""),46.8)</f>
        <v>46.8</v>
      </c>
      <c r="Q286" s="46" t="str">
        <f>IFERROR(__xludf.DUMMYFUNCTION("""COMPUTED_VALUE"""),"AP")</f>
        <v>AP</v>
      </c>
      <c r="R286" s="47">
        <f>IFERROR(__xludf.DUMMYFUNCTION("""COMPUTED_VALUE"""),36.3)</f>
        <v>36.3</v>
      </c>
      <c r="S286" s="48" t="str">
        <f>IFERROR(__xludf.DUMMYFUNCTION("""COMPUTED_VALUE"""),"%")</f>
        <v>%</v>
      </c>
      <c r="T286" s="49">
        <f>IFERROR(__xludf.DUMMYFUNCTION("""COMPUTED_VALUE"""),2.0)</f>
        <v>2</v>
      </c>
      <c r="U286" s="50" t="str">
        <f>IFERROR(__xludf.DUMMYFUNCTION("""COMPUTED_VALUE"""),"B115")</f>
        <v>B115</v>
      </c>
      <c r="V286" s="38" t="str">
        <f>IFERROR(__xludf.DUMMYFUNCTION("""COMPUTED_VALUE"""),"")</f>
        <v/>
      </c>
      <c r="W286" s="45">
        <f>IFERROR(__xludf.DUMMYFUNCTION("""COMPUTED_VALUE"""),74.0)</f>
        <v>74</v>
      </c>
      <c r="X286" s="46" t="str">
        <f>IFERROR(__xludf.DUMMYFUNCTION("""COMPUTED_VALUE"""),"AP")</f>
        <v>AP</v>
      </c>
      <c r="Y286" s="47">
        <f>IFERROR(__xludf.DUMMYFUNCTION("""COMPUTED_VALUE"""),23.0)</f>
        <v>23</v>
      </c>
      <c r="Z286" s="48" t="str">
        <f>IFERROR(__xludf.DUMMYFUNCTION("""COMPUTED_VALUE"""),"%")</f>
        <v>%</v>
      </c>
      <c r="AA286" s="49">
        <f>IFERROR(__xludf.DUMMYFUNCTION("""COMPUTED_VALUE"""),3.0)</f>
        <v>3</v>
      </c>
      <c r="AB286" s="50"/>
      <c r="AC286" s="38"/>
      <c r="AD286" s="45" t="str">
        <f>IFERROR(__xludf.DUMMYFUNCTION("""COMPUTED_VALUE"""),"")</f>
        <v/>
      </c>
      <c r="AE286" s="46" t="str">
        <f>IFERROR(__xludf.DUMMYFUNCTION("""COMPUTED_VALUE"""),"AP")</f>
        <v>AP</v>
      </c>
      <c r="AF286" s="47" t="str">
        <f>IFERROR(__xludf.DUMMYFUNCTION("""COMPUTED_VALUE"""),"")</f>
        <v/>
      </c>
      <c r="AG286" s="48" t="str">
        <f>IFERROR(__xludf.DUMMYFUNCTION("""COMPUTED_VALUE"""),"%")</f>
        <v>%</v>
      </c>
      <c r="AH286" s="43">
        <f>IFERROR(__xludf.DUMMYFUNCTION("""COMPUTED_VALUE"""),17.0)</f>
        <v>17</v>
      </c>
      <c r="AI286" s="44">
        <f>IFERROR(__xludf.DUMMYFUNCTION("""COMPUTED_VALUE"""),1278.0)</f>
        <v>1278</v>
      </c>
      <c r="AJ286" s="51" t="str">
        <f>IFERROR(__xludf.DUMMYFUNCTION("""COMPUTED_VALUE"""),"暗礁海域")</f>
        <v>暗礁海域</v>
      </c>
    </row>
    <row r="287" ht="24.75" customHeight="1">
      <c r="A287" s="28">
        <f>IFERROR(__xludf.DUMMYFUNCTION("""COMPUTED_VALUE"""),9.0)</f>
        <v>9</v>
      </c>
      <c r="B287" s="28" t="str">
        <f>IFERROR(__xludf.DUMMYFUNCTION("""COMPUTED_VALUE"""),"A204")</f>
        <v>A204</v>
      </c>
      <c r="C287" s="28" t="str">
        <f>IFERROR(__xludf.DUMMYFUNCTION("""COMPUTED_VALUE"""),"TRF17")</f>
        <v>TRF17</v>
      </c>
      <c r="D287" s="29" t="str">
        <f>IFERROR(__xludf.DUMMYFUNCTION("""COMPUTED_VALUE"""),"Chaldea Gate (Fri)")</f>
        <v>Chaldea Gate (Fri)</v>
      </c>
      <c r="E287" s="30" t="str">
        <f>IFERROR(__xludf.DUMMYFUNCTION("""COMPUTED_VALUE"""),"FRI Caster Training Ground- Nov")</f>
        <v>FRI Caster Training Ground- Nov</v>
      </c>
      <c r="F287" s="31">
        <f>IFERROR(__xludf.DUMMYFUNCTION("""COMPUTED_VALUE"""),10.0)</f>
        <v>10</v>
      </c>
      <c r="G287" s="32">
        <f>IFERROR(__xludf.DUMMYFUNCTION("""COMPUTED_VALUE"""),2983.0)</f>
        <v>2983</v>
      </c>
      <c r="H287" s="33" t="str">
        <f>IFERROR(__xludf.DUMMYFUNCTION("""COMPUTED_VALUE"""),"")</f>
        <v/>
      </c>
      <c r="I287" s="34">
        <f>IFERROR(__xludf.DUMMYFUNCTION("""COMPUTED_VALUE"""),125.8)</f>
        <v>125.8</v>
      </c>
      <c r="J287" s="35" t="str">
        <f>IFERROR(__xludf.DUMMYFUNCTION("""COMPUTED_VALUE"""),"AP")</f>
        <v>AP</v>
      </c>
      <c r="K287" s="34">
        <f>IFERROR(__xludf.DUMMYFUNCTION("""COMPUTED_VALUE"""),7.9)</f>
        <v>7.9</v>
      </c>
      <c r="L287" s="35" t="str">
        <f>IFERROR(__xludf.DUMMYFUNCTION("""COMPUTED_VALUE"""),"%")</f>
        <v>%</v>
      </c>
      <c r="M287" s="36">
        <f>IFERROR(__xludf.DUMMYFUNCTION("""COMPUTED_VALUE"""),1.0)</f>
        <v>1</v>
      </c>
      <c r="N287" s="37" t="str">
        <f>IFERROR(__xludf.DUMMYFUNCTION("""COMPUTED_VALUE"""),"A207")</f>
        <v>A207</v>
      </c>
      <c r="O287" s="38" t="str">
        <f>IFERROR(__xludf.DUMMYFUNCTION("""COMPUTED_VALUE"""),"")</f>
        <v/>
      </c>
      <c r="P287" s="34">
        <f>IFERROR(__xludf.DUMMYFUNCTION("""COMPUTED_VALUE"""),210.2)</f>
        <v>210.2</v>
      </c>
      <c r="Q287" s="35" t="str">
        <f>IFERROR(__xludf.DUMMYFUNCTION("""COMPUTED_VALUE"""),"AP")</f>
        <v>AP</v>
      </c>
      <c r="R287" s="34">
        <f>IFERROR(__xludf.DUMMYFUNCTION("""COMPUTED_VALUE"""),4.8)</f>
        <v>4.8</v>
      </c>
      <c r="S287" s="35" t="str">
        <f>IFERROR(__xludf.DUMMYFUNCTION("""COMPUTED_VALUE"""),"%")</f>
        <v>%</v>
      </c>
      <c r="T287" s="36">
        <f>IFERROR(__xludf.DUMMYFUNCTION("""COMPUTED_VALUE"""),2.0)</f>
        <v>2</v>
      </c>
      <c r="U287" s="37" t="str">
        <f>IFERROR(__xludf.DUMMYFUNCTION("""COMPUTED_VALUE"""),"A304")</f>
        <v>A304</v>
      </c>
      <c r="V287" s="38" t="str">
        <f>IFERROR(__xludf.DUMMYFUNCTION("""COMPUTED_VALUE"""),"")</f>
        <v/>
      </c>
      <c r="W287" s="34">
        <f>IFERROR(__xludf.DUMMYFUNCTION("""COMPUTED_VALUE"""),74.7)</f>
        <v>74.7</v>
      </c>
      <c r="X287" s="35" t="str">
        <f>IFERROR(__xludf.DUMMYFUNCTION("""COMPUTED_VALUE"""),"AP")</f>
        <v>AP</v>
      </c>
      <c r="Y287" s="34">
        <f>IFERROR(__xludf.DUMMYFUNCTION("""COMPUTED_VALUE"""),13.4)</f>
        <v>13.4</v>
      </c>
      <c r="Z287" s="35" t="str">
        <f>IFERROR(__xludf.DUMMYFUNCTION("""COMPUTED_VALUE"""),"%")</f>
        <v>%</v>
      </c>
      <c r="AA287" s="36">
        <f>IFERROR(__xludf.DUMMYFUNCTION("""COMPUTED_VALUE"""),3.0)</f>
        <v>3</v>
      </c>
      <c r="AB287" s="37" t="str">
        <f>IFERROR(__xludf.DUMMYFUNCTION("""COMPUTED_VALUE"""),"B115")</f>
        <v>B115</v>
      </c>
      <c r="AC287" s="38" t="str">
        <f>IFERROR(__xludf.DUMMYFUNCTION("""COMPUTED_VALUE"""),"")</f>
        <v/>
      </c>
      <c r="AD287" s="34">
        <f>IFERROR(__xludf.DUMMYFUNCTION("""COMPUTED_VALUE"""),87.5)</f>
        <v>87.5</v>
      </c>
      <c r="AE287" s="35" t="str">
        <f>IFERROR(__xludf.DUMMYFUNCTION("""COMPUTED_VALUE"""),"AP")</f>
        <v>AP</v>
      </c>
      <c r="AF287" s="34">
        <f>IFERROR(__xludf.DUMMYFUNCTION("""COMPUTED_VALUE"""),11.4)</f>
        <v>11.4</v>
      </c>
      <c r="AG287" s="35" t="str">
        <f>IFERROR(__xludf.DUMMYFUNCTION("""COMPUTED_VALUE"""),"%")</f>
        <v>%</v>
      </c>
      <c r="AH287" s="31">
        <f>IFERROR(__xludf.DUMMYFUNCTION("""COMPUTED_VALUE"""),10.0)</f>
        <v>10</v>
      </c>
      <c r="AI287" s="32">
        <f>IFERROR(__xludf.DUMMYFUNCTION("""COMPUTED_VALUE"""),2983.0)</f>
        <v>2983</v>
      </c>
      <c r="AJ287" s="39" t="str">
        <f>IFERROR(__xludf.DUMMYFUNCTION("""COMPUTED_VALUE"""),"術初級")</f>
        <v>術初級</v>
      </c>
    </row>
    <row r="288" ht="24.75" customHeight="1">
      <c r="A288" s="40">
        <f>IFERROR(__xludf.DUMMYFUNCTION("""COMPUTED_VALUE"""),10.0)</f>
        <v>10</v>
      </c>
      <c r="B288" s="40" t="str">
        <f>IFERROR(__xludf.DUMMYFUNCTION("""COMPUTED_VALUE"""),"A204")</f>
        <v>A204</v>
      </c>
      <c r="C288" s="40" t="str">
        <f>IFERROR(__xludf.DUMMYFUNCTION("""COMPUTED_VALUE"""),"TRF19")</f>
        <v>TRF19</v>
      </c>
      <c r="D288" s="41" t="str">
        <f>IFERROR(__xludf.DUMMYFUNCTION("""COMPUTED_VALUE"""),"Chaldea Gate (Fri)")</f>
        <v>Chaldea Gate (Fri)</v>
      </c>
      <c r="E288" s="42" t="str">
        <f>IFERROR(__xludf.DUMMYFUNCTION("""COMPUTED_VALUE"""),"FRI Caster Training Ground- Adv")</f>
        <v>FRI Caster Training Ground- Adv</v>
      </c>
      <c r="F288" s="43">
        <f>IFERROR(__xludf.DUMMYFUNCTION("""COMPUTED_VALUE"""),30.0)</f>
        <v>30</v>
      </c>
      <c r="G288" s="44">
        <f>IFERROR(__xludf.DUMMYFUNCTION("""COMPUTED_VALUE"""),1394.0)</f>
        <v>1394</v>
      </c>
      <c r="H288" s="33" t="str">
        <f>IFERROR(__xludf.DUMMYFUNCTION("""COMPUTED_VALUE"""),"")</f>
        <v/>
      </c>
      <c r="I288" s="45">
        <f>IFERROR(__xludf.DUMMYFUNCTION("""COMPUTED_VALUE"""),133.4)</f>
        <v>133.4</v>
      </c>
      <c r="J288" s="46" t="str">
        <f>IFERROR(__xludf.DUMMYFUNCTION("""COMPUTED_VALUE"""),"AP")</f>
        <v>AP</v>
      </c>
      <c r="K288" s="47">
        <f>IFERROR(__xludf.DUMMYFUNCTION("""COMPUTED_VALUE"""),22.5)</f>
        <v>22.5</v>
      </c>
      <c r="L288" s="48" t="str">
        <f>IFERROR(__xludf.DUMMYFUNCTION("""COMPUTED_VALUE"""),"%")</f>
        <v>%</v>
      </c>
      <c r="M288" s="49">
        <f>IFERROR(__xludf.DUMMYFUNCTION("""COMPUTED_VALUE"""),1.0)</f>
        <v>1</v>
      </c>
      <c r="N288" s="50" t="str">
        <f>IFERROR(__xludf.DUMMYFUNCTION("""COMPUTED_VALUE"""),"A102")</f>
        <v>A102</v>
      </c>
      <c r="O288" s="38" t="str">
        <f>IFERROR(__xludf.DUMMYFUNCTION("""COMPUTED_VALUE"""),"")</f>
        <v/>
      </c>
      <c r="P288" s="45">
        <f>IFERROR(__xludf.DUMMYFUNCTION("""COMPUTED_VALUE"""),783.4)</f>
        <v>783.4</v>
      </c>
      <c r="Q288" s="46" t="str">
        <f>IFERROR(__xludf.DUMMYFUNCTION("""COMPUTED_VALUE"""),"AP")</f>
        <v>AP</v>
      </c>
      <c r="R288" s="47">
        <f>IFERROR(__xludf.DUMMYFUNCTION("""COMPUTED_VALUE"""),3.8)</f>
        <v>3.8</v>
      </c>
      <c r="S288" s="48" t="str">
        <f>IFERROR(__xludf.DUMMYFUNCTION("""COMPUTED_VALUE"""),"%")</f>
        <v>%</v>
      </c>
      <c r="T288" s="49">
        <f>IFERROR(__xludf.DUMMYFUNCTION("""COMPUTED_VALUE"""),2.0)</f>
        <v>2</v>
      </c>
      <c r="U288" s="50" t="str">
        <f>IFERROR(__xludf.DUMMYFUNCTION("""COMPUTED_VALUE"""),"A207")</f>
        <v>A207</v>
      </c>
      <c r="V288" s="38" t="str">
        <f>IFERROR(__xludf.DUMMYFUNCTION("""COMPUTED_VALUE"""),"")</f>
        <v/>
      </c>
      <c r="W288" s="45">
        <f>IFERROR(__xludf.DUMMYFUNCTION("""COMPUTED_VALUE"""),192.1)</f>
        <v>192.1</v>
      </c>
      <c r="X288" s="46" t="str">
        <f>IFERROR(__xludf.DUMMYFUNCTION("""COMPUTED_VALUE"""),"AP")</f>
        <v>AP</v>
      </c>
      <c r="Y288" s="47">
        <f>IFERROR(__xludf.DUMMYFUNCTION("""COMPUTED_VALUE"""),15.6)</f>
        <v>15.6</v>
      </c>
      <c r="Z288" s="48" t="str">
        <f>IFERROR(__xludf.DUMMYFUNCTION("""COMPUTED_VALUE"""),"%")</f>
        <v>%</v>
      </c>
      <c r="AA288" s="49">
        <f>IFERROR(__xludf.DUMMYFUNCTION("""COMPUTED_VALUE"""),3.0)</f>
        <v>3</v>
      </c>
      <c r="AB288" s="50" t="str">
        <f>IFERROR(__xludf.DUMMYFUNCTION("""COMPUTED_VALUE"""),"A304")</f>
        <v>A304</v>
      </c>
      <c r="AC288" s="38" t="str">
        <f>IFERROR(__xludf.DUMMYFUNCTION("""COMPUTED_VALUE"""),"")</f>
        <v/>
      </c>
      <c r="AD288" s="45">
        <f>IFERROR(__xludf.DUMMYFUNCTION("""COMPUTED_VALUE"""),141.1)</f>
        <v>141.1</v>
      </c>
      <c r="AE288" s="46" t="str">
        <f>IFERROR(__xludf.DUMMYFUNCTION("""COMPUTED_VALUE"""),"AP")</f>
        <v>AP</v>
      </c>
      <c r="AF288" s="47">
        <f>IFERROR(__xludf.DUMMYFUNCTION("""COMPUTED_VALUE"""),21.3)</f>
        <v>21.3</v>
      </c>
      <c r="AG288" s="48" t="str">
        <f>IFERROR(__xludf.DUMMYFUNCTION("""COMPUTED_VALUE"""),"%")</f>
        <v>%</v>
      </c>
      <c r="AH288" s="43">
        <f>IFERROR(__xludf.DUMMYFUNCTION("""COMPUTED_VALUE"""),30.0)</f>
        <v>30</v>
      </c>
      <c r="AI288" s="44">
        <f>IFERROR(__xludf.DUMMYFUNCTION("""COMPUTED_VALUE"""),1394.0)</f>
        <v>1394</v>
      </c>
      <c r="AJ288" s="51" t="str">
        <f>IFERROR(__xludf.DUMMYFUNCTION("""COMPUTED_VALUE"""),"術上級")</f>
        <v>術上級</v>
      </c>
    </row>
    <row r="289" ht="24.75" customHeight="1">
      <c r="A289" s="28">
        <f>IFERROR(__xludf.DUMMYFUNCTION("""COMPUTED_VALUE"""),11.0)</f>
        <v>11</v>
      </c>
      <c r="B289" s="28" t="str">
        <f>IFERROR(__xludf.DUMMYFUNCTION("""COMPUTED_VALUE"""),"A204")</f>
        <v>A204</v>
      </c>
      <c r="C289" s="28" t="str">
        <f>IFERROR(__xludf.DUMMYFUNCTION("""COMPUTED_VALUE"""),"TRF18")</f>
        <v>TRF18</v>
      </c>
      <c r="D289" s="29" t="str">
        <f>IFERROR(__xludf.DUMMYFUNCTION("""COMPUTED_VALUE"""),"Chaldea Gate (Fri)")</f>
        <v>Chaldea Gate (Fri)</v>
      </c>
      <c r="E289" s="30" t="str">
        <f>IFERROR(__xludf.DUMMYFUNCTION("""COMPUTED_VALUE"""),"FRI Caster Training Ground- Int")</f>
        <v>FRI Caster Training Ground- Int</v>
      </c>
      <c r="F289" s="31">
        <f>IFERROR(__xludf.DUMMYFUNCTION("""COMPUTED_VALUE"""),20.0)</f>
        <v>20</v>
      </c>
      <c r="G289" s="32">
        <f>IFERROR(__xludf.DUMMYFUNCTION("""COMPUTED_VALUE"""),1056.0)</f>
        <v>1056</v>
      </c>
      <c r="H289" s="33" t="str">
        <f>IFERROR(__xludf.DUMMYFUNCTION("""COMPUTED_VALUE"""),"")</f>
        <v/>
      </c>
      <c r="I289" s="34">
        <f>IFERROR(__xludf.DUMMYFUNCTION("""COMPUTED_VALUE"""),135.5)</f>
        <v>135.5</v>
      </c>
      <c r="J289" s="35" t="str">
        <f>IFERROR(__xludf.DUMMYFUNCTION("""COMPUTED_VALUE"""),"AP")</f>
        <v>AP</v>
      </c>
      <c r="K289" s="34">
        <f>IFERROR(__xludf.DUMMYFUNCTION("""COMPUTED_VALUE"""),14.8)</f>
        <v>14.8</v>
      </c>
      <c r="L289" s="35" t="str">
        <f>IFERROR(__xludf.DUMMYFUNCTION("""COMPUTED_VALUE"""),"%")</f>
        <v>%</v>
      </c>
      <c r="M289" s="36">
        <f>IFERROR(__xludf.DUMMYFUNCTION("""COMPUTED_VALUE"""),1.0)</f>
        <v>1</v>
      </c>
      <c r="N289" s="37" t="str">
        <f>IFERROR(__xludf.DUMMYFUNCTION("""COMPUTED_VALUE"""),"A207")</f>
        <v>A207</v>
      </c>
      <c r="O289" s="38" t="str">
        <f>IFERROR(__xludf.DUMMYFUNCTION("""COMPUTED_VALUE"""),"")</f>
        <v/>
      </c>
      <c r="P289" s="34">
        <f>IFERROR(__xludf.DUMMYFUNCTION("""COMPUTED_VALUE"""),207.6)</f>
        <v>207.6</v>
      </c>
      <c r="Q289" s="35" t="str">
        <f>IFERROR(__xludf.DUMMYFUNCTION("""COMPUTED_VALUE"""),"AP")</f>
        <v>AP</v>
      </c>
      <c r="R289" s="34">
        <f>IFERROR(__xludf.DUMMYFUNCTION("""COMPUTED_VALUE"""),9.6)</f>
        <v>9.6</v>
      </c>
      <c r="S289" s="35" t="str">
        <f>IFERROR(__xludf.DUMMYFUNCTION("""COMPUTED_VALUE"""),"%")</f>
        <v>%</v>
      </c>
      <c r="T289" s="36">
        <f>IFERROR(__xludf.DUMMYFUNCTION("""COMPUTED_VALUE"""),2.0)</f>
        <v>2</v>
      </c>
      <c r="U289" s="37" t="str">
        <f>IFERROR(__xludf.DUMMYFUNCTION("""COMPUTED_VALUE"""),"A304")</f>
        <v>A304</v>
      </c>
      <c r="V289" s="38" t="str">
        <f>IFERROR(__xludf.DUMMYFUNCTION("""COMPUTED_VALUE"""),"")</f>
        <v/>
      </c>
      <c r="W289" s="34">
        <f>IFERROR(__xludf.DUMMYFUNCTION("""COMPUTED_VALUE"""),95.3)</f>
        <v>95.3</v>
      </c>
      <c r="X289" s="35" t="str">
        <f>IFERROR(__xludf.DUMMYFUNCTION("""COMPUTED_VALUE"""),"AP")</f>
        <v>AP</v>
      </c>
      <c r="Y289" s="34">
        <f>IFERROR(__xludf.DUMMYFUNCTION("""COMPUTED_VALUE"""),21.0)</f>
        <v>21</v>
      </c>
      <c r="Z289" s="35" t="str">
        <f>IFERROR(__xludf.DUMMYFUNCTION("""COMPUTED_VALUE"""),"%")</f>
        <v>%</v>
      </c>
      <c r="AA289" s="36">
        <f>IFERROR(__xludf.DUMMYFUNCTION("""COMPUTED_VALUE"""),3.0)</f>
        <v>3</v>
      </c>
      <c r="AB289" s="37" t="str">
        <f>IFERROR(__xludf.DUMMYFUNCTION("""COMPUTED_VALUE"""),"B115")</f>
        <v>B115</v>
      </c>
      <c r="AC289" s="38" t="str">
        <f>IFERROR(__xludf.DUMMYFUNCTION("""COMPUTED_VALUE"""),"")</f>
        <v/>
      </c>
      <c r="AD289" s="34">
        <f>IFERROR(__xludf.DUMMYFUNCTION("""COMPUTED_VALUE"""),25.5)</f>
        <v>25.5</v>
      </c>
      <c r="AE289" s="35" t="str">
        <f>IFERROR(__xludf.DUMMYFUNCTION("""COMPUTED_VALUE"""),"AP")</f>
        <v>AP</v>
      </c>
      <c r="AF289" s="34">
        <f>IFERROR(__xludf.DUMMYFUNCTION("""COMPUTED_VALUE"""),78.4)</f>
        <v>78.4</v>
      </c>
      <c r="AG289" s="35" t="str">
        <f>IFERROR(__xludf.DUMMYFUNCTION("""COMPUTED_VALUE"""),"%")</f>
        <v>%</v>
      </c>
      <c r="AH289" s="31">
        <f>IFERROR(__xludf.DUMMYFUNCTION("""COMPUTED_VALUE"""),20.0)</f>
        <v>20</v>
      </c>
      <c r="AI289" s="32">
        <f>IFERROR(__xludf.DUMMYFUNCTION("""COMPUTED_VALUE"""),1056.0)</f>
        <v>1056</v>
      </c>
      <c r="AJ289" s="39" t="str">
        <f>IFERROR(__xludf.DUMMYFUNCTION("""COMPUTED_VALUE"""),"術中級")</f>
        <v>術中級</v>
      </c>
    </row>
    <row r="290" ht="24.75" customHeight="1">
      <c r="A290" s="40">
        <f>IFERROR(__xludf.DUMMYFUNCTION("""COMPUTED_VALUE"""),12.0)</f>
        <v>12</v>
      </c>
      <c r="B290" s="40" t="str">
        <f>IFERROR(__xludf.DUMMYFUNCTION("""COMPUTED_VALUE"""),"A204")</f>
        <v>A204</v>
      </c>
      <c r="C290" s="40" t="str">
        <f>IFERROR(__xludf.DUMMYFUNCTION("""COMPUTED_VALUE"""),"CML2")</f>
        <v>CML2</v>
      </c>
      <c r="D290" s="41" t="str">
        <f>IFERROR(__xludf.DUMMYFUNCTION("""COMPUTED_VALUE"""),"Camelot")</f>
        <v>Camelot</v>
      </c>
      <c r="E290" s="42" t="str">
        <f>IFERROR(__xludf.DUMMYFUNCTION("""COMPUTED_VALUE"""),"Dune of Dawn")</f>
        <v>Dune of Dawn</v>
      </c>
      <c r="F290" s="43">
        <f>IFERROR(__xludf.DUMMYFUNCTION("""COMPUTED_VALUE"""),19.0)</f>
        <v>19</v>
      </c>
      <c r="G290" s="44">
        <f>IFERROR(__xludf.DUMMYFUNCTION("""COMPUTED_VALUE"""),1102.0)</f>
        <v>1102</v>
      </c>
      <c r="H290" s="33" t="str">
        <f>IFERROR(__xludf.DUMMYFUNCTION("""COMPUTED_VALUE"""),"")</f>
        <v/>
      </c>
      <c r="I290" s="45">
        <f>IFERROR(__xludf.DUMMYFUNCTION("""COMPUTED_VALUE"""),136.0)</f>
        <v>136</v>
      </c>
      <c r="J290" s="46" t="str">
        <f>IFERROR(__xludf.DUMMYFUNCTION("""COMPUTED_VALUE"""),"AP")</f>
        <v>AP</v>
      </c>
      <c r="K290" s="47">
        <f>IFERROR(__xludf.DUMMYFUNCTION("""COMPUTED_VALUE"""),14.0)</f>
        <v>14</v>
      </c>
      <c r="L290" s="48" t="str">
        <f>IFERROR(__xludf.DUMMYFUNCTION("""COMPUTED_VALUE"""),"%")</f>
        <v>%</v>
      </c>
      <c r="M290" s="49">
        <f>IFERROR(__xludf.DUMMYFUNCTION("""COMPUTED_VALUE"""),1.0)</f>
        <v>1</v>
      </c>
      <c r="N290" s="50" t="str">
        <f>IFERROR(__xludf.DUMMYFUNCTION("""COMPUTED_VALUE"""),"A108")</f>
        <v>A108</v>
      </c>
      <c r="O290" s="38" t="str">
        <f>IFERROR(__xludf.DUMMYFUNCTION("""COMPUTED_VALUE"""),"")</f>
        <v/>
      </c>
      <c r="P290" s="45">
        <f>IFERROR(__xludf.DUMMYFUNCTION("""COMPUTED_VALUE"""),174.5)</f>
        <v>174.5</v>
      </c>
      <c r="Q290" s="46" t="str">
        <f>IFERROR(__xludf.DUMMYFUNCTION("""COMPUTED_VALUE"""),"AP")</f>
        <v>AP</v>
      </c>
      <c r="R290" s="47">
        <f>IFERROR(__xludf.DUMMYFUNCTION("""COMPUTED_VALUE"""),10.9)</f>
        <v>10.9</v>
      </c>
      <c r="S290" s="48" t="str">
        <f>IFERROR(__xludf.DUMMYFUNCTION("""COMPUTED_VALUE"""),"%")</f>
        <v>%</v>
      </c>
      <c r="T290" s="49">
        <f>IFERROR(__xludf.DUMMYFUNCTION("""COMPUTED_VALUE"""),2.0)</f>
        <v>2</v>
      </c>
      <c r="U290" s="50" t="str">
        <f>IFERROR(__xludf.DUMMYFUNCTION("""COMPUTED_VALUE"""),"B115")</f>
        <v>B115</v>
      </c>
      <c r="V290" s="38" t="str">
        <f>IFERROR(__xludf.DUMMYFUNCTION("""COMPUTED_VALUE"""),"")</f>
        <v/>
      </c>
      <c r="W290" s="45">
        <f>IFERROR(__xludf.DUMMYFUNCTION("""COMPUTED_VALUE"""),42.9)</f>
        <v>42.9</v>
      </c>
      <c r="X290" s="46" t="str">
        <f>IFERROR(__xludf.DUMMYFUNCTION("""COMPUTED_VALUE"""),"AP")</f>
        <v>AP</v>
      </c>
      <c r="Y290" s="47">
        <f>IFERROR(__xludf.DUMMYFUNCTION("""COMPUTED_VALUE"""),44.3)</f>
        <v>44.3</v>
      </c>
      <c r="Z290" s="48" t="str">
        <f>IFERROR(__xludf.DUMMYFUNCTION("""COMPUTED_VALUE"""),"%")</f>
        <v>%</v>
      </c>
      <c r="AA290" s="49">
        <f>IFERROR(__xludf.DUMMYFUNCTION("""COMPUTED_VALUE"""),3.0)</f>
        <v>3</v>
      </c>
      <c r="AB290" s="50"/>
      <c r="AC290" s="38"/>
      <c r="AD290" s="45" t="str">
        <f>IFERROR(__xludf.DUMMYFUNCTION("""COMPUTED_VALUE"""),"")</f>
        <v/>
      </c>
      <c r="AE290" s="46" t="str">
        <f>IFERROR(__xludf.DUMMYFUNCTION("""COMPUTED_VALUE"""),"AP")</f>
        <v>AP</v>
      </c>
      <c r="AF290" s="47" t="str">
        <f>IFERROR(__xludf.DUMMYFUNCTION("""COMPUTED_VALUE"""),"")</f>
        <v/>
      </c>
      <c r="AG290" s="48" t="str">
        <f>IFERROR(__xludf.DUMMYFUNCTION("""COMPUTED_VALUE"""),"%")</f>
        <v>%</v>
      </c>
      <c r="AH290" s="43">
        <f>IFERROR(__xludf.DUMMYFUNCTION("""COMPUTED_VALUE"""),19.0)</f>
        <v>19</v>
      </c>
      <c r="AI290" s="44">
        <f>IFERROR(__xludf.DUMMYFUNCTION("""COMPUTED_VALUE"""),1102.0)</f>
        <v>1102</v>
      </c>
      <c r="AJ290" s="51" t="str">
        <f>IFERROR(__xludf.DUMMYFUNCTION("""COMPUTED_VALUE"""),"明けの砂丘")</f>
        <v>明けの砂丘</v>
      </c>
    </row>
    <row r="291" ht="24.75" customHeight="1">
      <c r="A291" s="28">
        <f>IFERROR(__xludf.DUMMYFUNCTION("""COMPUTED_VALUE"""),13.0)</f>
        <v>13</v>
      </c>
      <c r="B291" s="28" t="str">
        <f>IFERROR(__xludf.DUMMYFUNCTION("""COMPUTED_VALUE"""),"A204")</f>
        <v>A204</v>
      </c>
      <c r="C291" s="28" t="str">
        <f>IFERROR(__xludf.DUMMYFUNCTION("""COMPUTED_VALUE"""),"TRF20")</f>
        <v>TRF20</v>
      </c>
      <c r="D291" s="29" t="str">
        <f>IFERROR(__xludf.DUMMYFUNCTION("""COMPUTED_VALUE"""),"Chaldea Gate (Fri)")</f>
        <v>Chaldea Gate (Fri)</v>
      </c>
      <c r="E291" s="30" t="str">
        <f>IFERROR(__xludf.DUMMYFUNCTION("""COMPUTED_VALUE"""),"FRI Caster Training Ground- Exp")</f>
        <v>FRI Caster Training Ground- Exp</v>
      </c>
      <c r="F291" s="31">
        <f>IFERROR(__xludf.DUMMYFUNCTION("""COMPUTED_VALUE"""),40.0)</f>
        <v>40</v>
      </c>
      <c r="G291" s="32">
        <f>IFERROR(__xludf.DUMMYFUNCTION("""COMPUTED_VALUE"""),12077.0)</f>
        <v>12077</v>
      </c>
      <c r="H291" s="33" t="str">
        <f>IFERROR(__xludf.DUMMYFUNCTION("""COMPUTED_VALUE"""),"")</f>
        <v/>
      </c>
      <c r="I291" s="34">
        <f>IFERROR(__xludf.DUMMYFUNCTION("""COMPUTED_VALUE"""),161.4)</f>
        <v>161.4</v>
      </c>
      <c r="J291" s="35" t="str">
        <f>IFERROR(__xludf.DUMMYFUNCTION("""COMPUTED_VALUE"""),"AP")</f>
        <v>AP</v>
      </c>
      <c r="K291" s="34">
        <f>IFERROR(__xludf.DUMMYFUNCTION("""COMPUTED_VALUE"""),24.7999999)</f>
        <v>24.7999999</v>
      </c>
      <c r="L291" s="35" t="str">
        <f>IFERROR(__xludf.DUMMYFUNCTION("""COMPUTED_VALUE"""),"%")</f>
        <v>%</v>
      </c>
      <c r="M291" s="36">
        <f>IFERROR(__xludf.DUMMYFUNCTION("""COMPUTED_VALUE"""),1.0)</f>
        <v>1</v>
      </c>
      <c r="N291" s="37" t="str">
        <f>IFERROR(__xludf.DUMMYFUNCTION("""COMPUTED_VALUE"""),"A102")</f>
        <v>A102</v>
      </c>
      <c r="O291" s="38" t="str">
        <f>IFERROR(__xludf.DUMMYFUNCTION("""COMPUTED_VALUE"""),"")</f>
        <v/>
      </c>
      <c r="P291" s="34">
        <f>IFERROR(__xludf.DUMMYFUNCTION("""COMPUTED_VALUE"""),634.8)</f>
        <v>634.8</v>
      </c>
      <c r="Q291" s="35" t="str">
        <f>IFERROR(__xludf.DUMMYFUNCTION("""COMPUTED_VALUE"""),"AP")</f>
        <v>AP</v>
      </c>
      <c r="R291" s="34">
        <f>IFERROR(__xludf.DUMMYFUNCTION("""COMPUTED_VALUE"""),6.3)</f>
        <v>6.3</v>
      </c>
      <c r="S291" s="35" t="str">
        <f>IFERROR(__xludf.DUMMYFUNCTION("""COMPUTED_VALUE"""),"%")</f>
        <v>%</v>
      </c>
      <c r="T291" s="36">
        <f>IFERROR(__xludf.DUMMYFUNCTION("""COMPUTED_VALUE"""),2.0)</f>
        <v>2</v>
      </c>
      <c r="U291" s="37" t="str">
        <f>IFERROR(__xludf.DUMMYFUNCTION("""COMPUTED_VALUE"""),"A207")</f>
        <v>A207</v>
      </c>
      <c r="V291" s="38" t="str">
        <f>IFERROR(__xludf.DUMMYFUNCTION("""COMPUTED_VALUE"""),"")</f>
        <v/>
      </c>
      <c r="W291" s="34">
        <f>IFERROR(__xludf.DUMMYFUNCTION("""COMPUTED_VALUE"""),194.2)</f>
        <v>194.2</v>
      </c>
      <c r="X291" s="35" t="str">
        <f>IFERROR(__xludf.DUMMYFUNCTION("""COMPUTED_VALUE"""),"AP")</f>
        <v>AP</v>
      </c>
      <c r="Y291" s="34">
        <f>IFERROR(__xludf.DUMMYFUNCTION("""COMPUTED_VALUE"""),20.6)</f>
        <v>20.6</v>
      </c>
      <c r="Z291" s="35" t="str">
        <f>IFERROR(__xludf.DUMMYFUNCTION("""COMPUTED_VALUE"""),"%")</f>
        <v>%</v>
      </c>
      <c r="AA291" s="36">
        <f>IFERROR(__xludf.DUMMYFUNCTION("""COMPUTED_VALUE"""),3.0)</f>
        <v>3</v>
      </c>
      <c r="AB291" s="37" t="str">
        <f>IFERROR(__xludf.DUMMYFUNCTION("""COMPUTED_VALUE"""),"A304")</f>
        <v>A304</v>
      </c>
      <c r="AC291" s="38" t="str">
        <f>IFERROR(__xludf.DUMMYFUNCTION("""COMPUTED_VALUE"""),"")</f>
        <v/>
      </c>
      <c r="AD291" s="34">
        <f>IFERROR(__xludf.DUMMYFUNCTION("""COMPUTED_VALUE"""),162.5)</f>
        <v>162.5</v>
      </c>
      <c r="AE291" s="35" t="str">
        <f>IFERROR(__xludf.DUMMYFUNCTION("""COMPUTED_VALUE"""),"AP")</f>
        <v>AP</v>
      </c>
      <c r="AF291" s="34">
        <f>IFERROR(__xludf.DUMMYFUNCTION("""COMPUTED_VALUE"""),24.6)</f>
        <v>24.6</v>
      </c>
      <c r="AG291" s="35" t="str">
        <f>IFERROR(__xludf.DUMMYFUNCTION("""COMPUTED_VALUE"""),"%")</f>
        <v>%</v>
      </c>
      <c r="AH291" s="31">
        <f>IFERROR(__xludf.DUMMYFUNCTION("""COMPUTED_VALUE"""),40.0)</f>
        <v>40</v>
      </c>
      <c r="AI291" s="32">
        <f>IFERROR(__xludf.DUMMYFUNCTION("""COMPUTED_VALUE"""),12077.0)</f>
        <v>12077</v>
      </c>
      <c r="AJ291" s="39" t="str">
        <f>IFERROR(__xludf.DUMMYFUNCTION("""COMPUTED_VALUE"""),"術超級")</f>
        <v>術超級</v>
      </c>
    </row>
    <row r="292" ht="24.75" customHeight="1">
      <c r="A292" s="40">
        <f>IFERROR(__xludf.DUMMYFUNCTION("""COMPUTED_VALUE"""),14.0)</f>
        <v>14</v>
      </c>
      <c r="B292" s="40" t="str">
        <f>IFERROR(__xludf.DUMMYFUNCTION("""COMPUTED_VALUE"""),"A204")</f>
        <v>A204</v>
      </c>
      <c r="C292" s="40"/>
      <c r="D292" s="41"/>
      <c r="E292" s="66"/>
      <c r="F292" s="43"/>
      <c r="G292" s="44"/>
      <c r="H292" s="33" t="str">
        <f>IFERROR(__xludf.DUMMYFUNCTION("""COMPUTED_VALUE""")," ")</f>
        <v> </v>
      </c>
      <c r="I292" s="45"/>
      <c r="J292" s="46" t="str">
        <f>IFERROR(__xludf.DUMMYFUNCTION("""COMPUTED_VALUE"""),"AP")</f>
        <v>AP</v>
      </c>
      <c r="K292" s="47"/>
      <c r="L292" s="48" t="str">
        <f>IFERROR(__xludf.DUMMYFUNCTION("""COMPUTED_VALUE"""),"%")</f>
        <v>%</v>
      </c>
      <c r="M292" s="49">
        <f>IFERROR(__xludf.DUMMYFUNCTION("""COMPUTED_VALUE"""),1.0)</f>
        <v>1</v>
      </c>
      <c r="N292" s="50"/>
      <c r="O292" s="38"/>
      <c r="P292" s="45" t="str">
        <f>IFERROR(__xludf.DUMMYFUNCTION("""COMPUTED_VALUE"""),"")</f>
        <v/>
      </c>
      <c r="Q292" s="46" t="str">
        <f>IFERROR(__xludf.DUMMYFUNCTION("""COMPUTED_VALUE"""),"AP")</f>
        <v>AP</v>
      </c>
      <c r="R292" s="47" t="str">
        <f>IFERROR(__xludf.DUMMYFUNCTION("""COMPUTED_VALUE"""),"")</f>
        <v/>
      </c>
      <c r="S292" s="48" t="str">
        <f>IFERROR(__xludf.DUMMYFUNCTION("""COMPUTED_VALUE"""),"%")</f>
        <v>%</v>
      </c>
      <c r="T292" s="49">
        <f>IFERROR(__xludf.DUMMYFUNCTION("""COMPUTED_VALUE"""),2.0)</f>
        <v>2</v>
      </c>
      <c r="U292" s="50"/>
      <c r="V292" s="38"/>
      <c r="W292" s="45" t="str">
        <f>IFERROR(__xludf.DUMMYFUNCTION("""COMPUTED_VALUE"""),"")</f>
        <v/>
      </c>
      <c r="X292" s="46" t="str">
        <f>IFERROR(__xludf.DUMMYFUNCTION("""COMPUTED_VALUE"""),"AP")</f>
        <v>AP</v>
      </c>
      <c r="Y292" s="47" t="str">
        <f>IFERROR(__xludf.DUMMYFUNCTION("""COMPUTED_VALUE"""),"")</f>
        <v/>
      </c>
      <c r="Z292" s="48" t="str">
        <f>IFERROR(__xludf.DUMMYFUNCTION("""COMPUTED_VALUE"""),"%")</f>
        <v>%</v>
      </c>
      <c r="AA292" s="49">
        <f>IFERROR(__xludf.DUMMYFUNCTION("""COMPUTED_VALUE"""),3.0)</f>
        <v>3</v>
      </c>
      <c r="AB292" s="50"/>
      <c r="AC292" s="38"/>
      <c r="AD292" s="45" t="str">
        <f>IFERROR(__xludf.DUMMYFUNCTION("""COMPUTED_VALUE"""),"")</f>
        <v/>
      </c>
      <c r="AE292" s="46" t="str">
        <f>IFERROR(__xludf.DUMMYFUNCTION("""COMPUTED_VALUE"""),"AP")</f>
        <v>AP</v>
      </c>
      <c r="AF292" s="47" t="str">
        <f>IFERROR(__xludf.DUMMYFUNCTION("""COMPUTED_VALUE"""),"")</f>
        <v/>
      </c>
      <c r="AG292" s="48" t="str">
        <f>IFERROR(__xludf.DUMMYFUNCTION("""COMPUTED_VALUE"""),"%")</f>
        <v>%</v>
      </c>
      <c r="AH292" s="43"/>
      <c r="AI292" s="44"/>
      <c r="AJ292" s="51"/>
    </row>
    <row r="293" ht="24.75" hidden="1" customHeight="1">
      <c r="A293" s="28">
        <f>IFERROR(__xludf.DUMMYFUNCTION("""COMPUTED_VALUE"""),15.0)</f>
        <v>15</v>
      </c>
      <c r="B293" s="28" t="str">
        <f>IFERROR(__xludf.DUMMYFUNCTION("""COMPUTED_VALUE"""),"A204")</f>
        <v>A204</v>
      </c>
      <c r="C293" s="28"/>
      <c r="D293" s="29"/>
      <c r="E293" s="67"/>
      <c r="F293" s="31"/>
      <c r="G293" s="32"/>
      <c r="H293" s="33" t="str">
        <f>IFERROR(__xludf.DUMMYFUNCTION("""COMPUTED_VALUE""")," ")</f>
        <v> </v>
      </c>
      <c r="I293" s="34"/>
      <c r="J293" s="35" t="str">
        <f>IFERROR(__xludf.DUMMYFUNCTION("""COMPUTED_VALUE"""),"AP")</f>
        <v>AP</v>
      </c>
      <c r="K293" s="34"/>
      <c r="L293" s="35" t="str">
        <f>IFERROR(__xludf.DUMMYFUNCTION("""COMPUTED_VALUE"""),"%")</f>
        <v>%</v>
      </c>
      <c r="M293" s="36">
        <f>IFERROR(__xludf.DUMMYFUNCTION("""COMPUTED_VALUE"""),1.0)</f>
        <v>1</v>
      </c>
      <c r="N293" s="37"/>
      <c r="O293" s="38"/>
      <c r="P293" s="34" t="str">
        <f>IFERROR(__xludf.DUMMYFUNCTION("""COMPUTED_VALUE"""),"")</f>
        <v/>
      </c>
      <c r="Q293" s="35" t="str">
        <f>IFERROR(__xludf.DUMMYFUNCTION("""COMPUTED_VALUE"""),"AP")</f>
        <v>AP</v>
      </c>
      <c r="R293" s="34" t="str">
        <f>IFERROR(__xludf.DUMMYFUNCTION("""COMPUTED_VALUE"""),"")</f>
        <v/>
      </c>
      <c r="S293" s="35" t="str">
        <f>IFERROR(__xludf.DUMMYFUNCTION("""COMPUTED_VALUE"""),"%")</f>
        <v>%</v>
      </c>
      <c r="T293" s="36">
        <f>IFERROR(__xludf.DUMMYFUNCTION("""COMPUTED_VALUE"""),2.0)</f>
        <v>2</v>
      </c>
      <c r="U293" s="37"/>
      <c r="V293" s="38"/>
      <c r="W293" s="34" t="str">
        <f>IFERROR(__xludf.DUMMYFUNCTION("""COMPUTED_VALUE"""),"")</f>
        <v/>
      </c>
      <c r="X293" s="35" t="str">
        <f>IFERROR(__xludf.DUMMYFUNCTION("""COMPUTED_VALUE"""),"AP")</f>
        <v>AP</v>
      </c>
      <c r="Y293" s="34" t="str">
        <f>IFERROR(__xludf.DUMMYFUNCTION("""COMPUTED_VALUE"""),"")</f>
        <v/>
      </c>
      <c r="Z293" s="35" t="str">
        <f>IFERROR(__xludf.DUMMYFUNCTION("""COMPUTED_VALUE"""),"%")</f>
        <v>%</v>
      </c>
      <c r="AA293" s="36">
        <f>IFERROR(__xludf.DUMMYFUNCTION("""COMPUTED_VALUE"""),3.0)</f>
        <v>3</v>
      </c>
      <c r="AB293" s="37"/>
      <c r="AC293" s="38"/>
      <c r="AD293" s="34" t="str">
        <f>IFERROR(__xludf.DUMMYFUNCTION("""COMPUTED_VALUE"""),"")</f>
        <v/>
      </c>
      <c r="AE293" s="35" t="str">
        <f>IFERROR(__xludf.DUMMYFUNCTION("""COMPUTED_VALUE"""),"AP")</f>
        <v>AP</v>
      </c>
      <c r="AF293" s="34" t="str">
        <f>IFERROR(__xludf.DUMMYFUNCTION("""COMPUTED_VALUE"""),"")</f>
        <v/>
      </c>
      <c r="AG293" s="35" t="str">
        <f>IFERROR(__xludf.DUMMYFUNCTION("""COMPUTED_VALUE"""),"%")</f>
        <v>%</v>
      </c>
      <c r="AH293" s="31"/>
      <c r="AI293" s="32"/>
      <c r="AJ293" s="39"/>
    </row>
    <row r="294" ht="24.75" hidden="1" customHeight="1">
      <c r="A294" s="40">
        <f>IFERROR(__xludf.DUMMYFUNCTION("""COMPUTED_VALUE"""),16.0)</f>
        <v>16</v>
      </c>
      <c r="B294" s="40" t="str">
        <f>IFERROR(__xludf.DUMMYFUNCTION("""COMPUTED_VALUE"""),"A204")</f>
        <v>A204</v>
      </c>
      <c r="C294" s="40"/>
      <c r="D294" s="41"/>
      <c r="E294" s="66"/>
      <c r="F294" s="43"/>
      <c r="G294" s="44"/>
      <c r="H294" s="33" t="str">
        <f>IFERROR(__xludf.DUMMYFUNCTION("""COMPUTED_VALUE""")," ")</f>
        <v> </v>
      </c>
      <c r="I294" s="45"/>
      <c r="J294" s="46" t="str">
        <f>IFERROR(__xludf.DUMMYFUNCTION("""COMPUTED_VALUE"""),"AP")</f>
        <v>AP</v>
      </c>
      <c r="K294" s="47"/>
      <c r="L294" s="48" t="str">
        <f>IFERROR(__xludf.DUMMYFUNCTION("""COMPUTED_VALUE"""),"%")</f>
        <v>%</v>
      </c>
      <c r="M294" s="49">
        <f>IFERROR(__xludf.DUMMYFUNCTION("""COMPUTED_VALUE"""),1.0)</f>
        <v>1</v>
      </c>
      <c r="N294" s="50"/>
      <c r="O294" s="38"/>
      <c r="P294" s="45" t="str">
        <f>IFERROR(__xludf.DUMMYFUNCTION("""COMPUTED_VALUE"""),"")</f>
        <v/>
      </c>
      <c r="Q294" s="46" t="str">
        <f>IFERROR(__xludf.DUMMYFUNCTION("""COMPUTED_VALUE"""),"AP")</f>
        <v>AP</v>
      </c>
      <c r="R294" s="47" t="str">
        <f>IFERROR(__xludf.DUMMYFUNCTION("""COMPUTED_VALUE"""),"")</f>
        <v/>
      </c>
      <c r="S294" s="48" t="str">
        <f>IFERROR(__xludf.DUMMYFUNCTION("""COMPUTED_VALUE"""),"%")</f>
        <v>%</v>
      </c>
      <c r="T294" s="49">
        <f>IFERROR(__xludf.DUMMYFUNCTION("""COMPUTED_VALUE"""),2.0)</f>
        <v>2</v>
      </c>
      <c r="U294" s="50"/>
      <c r="V294" s="38"/>
      <c r="W294" s="45" t="str">
        <f>IFERROR(__xludf.DUMMYFUNCTION("""COMPUTED_VALUE"""),"")</f>
        <v/>
      </c>
      <c r="X294" s="46" t="str">
        <f>IFERROR(__xludf.DUMMYFUNCTION("""COMPUTED_VALUE"""),"AP")</f>
        <v>AP</v>
      </c>
      <c r="Y294" s="47" t="str">
        <f>IFERROR(__xludf.DUMMYFUNCTION("""COMPUTED_VALUE"""),"")</f>
        <v/>
      </c>
      <c r="Z294" s="48" t="str">
        <f>IFERROR(__xludf.DUMMYFUNCTION("""COMPUTED_VALUE"""),"%")</f>
        <v>%</v>
      </c>
      <c r="AA294" s="49">
        <f>IFERROR(__xludf.DUMMYFUNCTION("""COMPUTED_VALUE"""),3.0)</f>
        <v>3</v>
      </c>
      <c r="AB294" s="50"/>
      <c r="AC294" s="38"/>
      <c r="AD294" s="45" t="str">
        <f>IFERROR(__xludf.DUMMYFUNCTION("""COMPUTED_VALUE"""),"")</f>
        <v/>
      </c>
      <c r="AE294" s="46" t="str">
        <f>IFERROR(__xludf.DUMMYFUNCTION("""COMPUTED_VALUE"""),"AP")</f>
        <v>AP</v>
      </c>
      <c r="AF294" s="47" t="str">
        <f>IFERROR(__xludf.DUMMYFUNCTION("""COMPUTED_VALUE"""),"")</f>
        <v/>
      </c>
      <c r="AG294" s="48" t="str">
        <f>IFERROR(__xludf.DUMMYFUNCTION("""COMPUTED_VALUE"""),"%")</f>
        <v>%</v>
      </c>
      <c r="AH294" s="43"/>
      <c r="AI294" s="44"/>
      <c r="AJ294" s="51"/>
    </row>
    <row r="295" ht="24.75" hidden="1" customHeight="1">
      <c r="A295" s="28">
        <f>IFERROR(__xludf.DUMMYFUNCTION("""COMPUTED_VALUE"""),17.0)</f>
        <v>17</v>
      </c>
      <c r="B295" s="28" t="str">
        <f>IFERROR(__xludf.DUMMYFUNCTION("""COMPUTED_VALUE"""),"A204")</f>
        <v>A204</v>
      </c>
      <c r="C295" s="28"/>
      <c r="D295" s="29"/>
      <c r="E295" s="67"/>
      <c r="F295" s="31"/>
      <c r="G295" s="32"/>
      <c r="H295" s="33" t="str">
        <f>IFERROR(__xludf.DUMMYFUNCTION("""COMPUTED_VALUE""")," ")</f>
        <v> </v>
      </c>
      <c r="I295" s="34"/>
      <c r="J295" s="35" t="str">
        <f>IFERROR(__xludf.DUMMYFUNCTION("""COMPUTED_VALUE"""),"AP")</f>
        <v>AP</v>
      </c>
      <c r="K295" s="34"/>
      <c r="L295" s="35" t="str">
        <f>IFERROR(__xludf.DUMMYFUNCTION("""COMPUTED_VALUE"""),"%")</f>
        <v>%</v>
      </c>
      <c r="M295" s="36">
        <f>IFERROR(__xludf.DUMMYFUNCTION("""COMPUTED_VALUE"""),1.0)</f>
        <v>1</v>
      </c>
      <c r="N295" s="37"/>
      <c r="O295" s="38"/>
      <c r="P295" s="34" t="str">
        <f>IFERROR(__xludf.DUMMYFUNCTION("""COMPUTED_VALUE"""),"")</f>
        <v/>
      </c>
      <c r="Q295" s="35" t="str">
        <f>IFERROR(__xludf.DUMMYFUNCTION("""COMPUTED_VALUE"""),"AP")</f>
        <v>AP</v>
      </c>
      <c r="R295" s="34" t="str">
        <f>IFERROR(__xludf.DUMMYFUNCTION("""COMPUTED_VALUE"""),"")</f>
        <v/>
      </c>
      <c r="S295" s="35" t="str">
        <f>IFERROR(__xludf.DUMMYFUNCTION("""COMPUTED_VALUE"""),"%")</f>
        <v>%</v>
      </c>
      <c r="T295" s="36">
        <f>IFERROR(__xludf.DUMMYFUNCTION("""COMPUTED_VALUE"""),2.0)</f>
        <v>2</v>
      </c>
      <c r="U295" s="37"/>
      <c r="V295" s="38"/>
      <c r="W295" s="34" t="str">
        <f>IFERROR(__xludf.DUMMYFUNCTION("""COMPUTED_VALUE"""),"")</f>
        <v/>
      </c>
      <c r="X295" s="35" t="str">
        <f>IFERROR(__xludf.DUMMYFUNCTION("""COMPUTED_VALUE"""),"AP")</f>
        <v>AP</v>
      </c>
      <c r="Y295" s="34" t="str">
        <f>IFERROR(__xludf.DUMMYFUNCTION("""COMPUTED_VALUE"""),"")</f>
        <v/>
      </c>
      <c r="Z295" s="35" t="str">
        <f>IFERROR(__xludf.DUMMYFUNCTION("""COMPUTED_VALUE"""),"%")</f>
        <v>%</v>
      </c>
      <c r="AA295" s="36">
        <f>IFERROR(__xludf.DUMMYFUNCTION("""COMPUTED_VALUE"""),3.0)</f>
        <v>3</v>
      </c>
      <c r="AB295" s="37"/>
      <c r="AC295" s="38"/>
      <c r="AD295" s="34" t="str">
        <f>IFERROR(__xludf.DUMMYFUNCTION("""COMPUTED_VALUE"""),"")</f>
        <v/>
      </c>
      <c r="AE295" s="35" t="str">
        <f>IFERROR(__xludf.DUMMYFUNCTION("""COMPUTED_VALUE"""),"AP")</f>
        <v>AP</v>
      </c>
      <c r="AF295" s="34" t="str">
        <f>IFERROR(__xludf.DUMMYFUNCTION("""COMPUTED_VALUE"""),"")</f>
        <v/>
      </c>
      <c r="AG295" s="35" t="str">
        <f>IFERROR(__xludf.DUMMYFUNCTION("""COMPUTED_VALUE"""),"%")</f>
        <v>%</v>
      </c>
      <c r="AH295" s="31"/>
      <c r="AI295" s="32"/>
      <c r="AJ295" s="39"/>
    </row>
    <row r="296" ht="24.75" hidden="1" customHeight="1">
      <c r="A296" s="40">
        <f>IFERROR(__xludf.DUMMYFUNCTION("""COMPUTED_VALUE"""),18.0)</f>
        <v>18</v>
      </c>
      <c r="B296" s="40" t="str">
        <f>IFERROR(__xludf.DUMMYFUNCTION("""COMPUTED_VALUE"""),"A204")</f>
        <v>A204</v>
      </c>
      <c r="C296" s="40"/>
      <c r="D296" s="41"/>
      <c r="E296" s="66"/>
      <c r="F296" s="43"/>
      <c r="G296" s="44"/>
      <c r="H296" s="33" t="str">
        <f>IFERROR(__xludf.DUMMYFUNCTION("""COMPUTED_VALUE""")," ")</f>
        <v> </v>
      </c>
      <c r="I296" s="45"/>
      <c r="J296" s="46" t="str">
        <f>IFERROR(__xludf.DUMMYFUNCTION("""COMPUTED_VALUE"""),"AP")</f>
        <v>AP</v>
      </c>
      <c r="K296" s="47"/>
      <c r="L296" s="48" t="str">
        <f>IFERROR(__xludf.DUMMYFUNCTION("""COMPUTED_VALUE"""),"%")</f>
        <v>%</v>
      </c>
      <c r="M296" s="49">
        <f>IFERROR(__xludf.DUMMYFUNCTION("""COMPUTED_VALUE"""),1.0)</f>
        <v>1</v>
      </c>
      <c r="N296" s="50"/>
      <c r="O296" s="38"/>
      <c r="P296" s="45" t="str">
        <f>IFERROR(__xludf.DUMMYFUNCTION("""COMPUTED_VALUE"""),"")</f>
        <v/>
      </c>
      <c r="Q296" s="46" t="str">
        <f>IFERROR(__xludf.DUMMYFUNCTION("""COMPUTED_VALUE"""),"AP")</f>
        <v>AP</v>
      </c>
      <c r="R296" s="47" t="str">
        <f>IFERROR(__xludf.DUMMYFUNCTION("""COMPUTED_VALUE"""),"")</f>
        <v/>
      </c>
      <c r="S296" s="48" t="str">
        <f>IFERROR(__xludf.DUMMYFUNCTION("""COMPUTED_VALUE"""),"%")</f>
        <v>%</v>
      </c>
      <c r="T296" s="49">
        <f>IFERROR(__xludf.DUMMYFUNCTION("""COMPUTED_VALUE"""),2.0)</f>
        <v>2</v>
      </c>
      <c r="U296" s="50"/>
      <c r="V296" s="38"/>
      <c r="W296" s="45" t="str">
        <f>IFERROR(__xludf.DUMMYFUNCTION("""COMPUTED_VALUE"""),"")</f>
        <v/>
      </c>
      <c r="X296" s="46" t="str">
        <f>IFERROR(__xludf.DUMMYFUNCTION("""COMPUTED_VALUE"""),"AP")</f>
        <v>AP</v>
      </c>
      <c r="Y296" s="47" t="str">
        <f>IFERROR(__xludf.DUMMYFUNCTION("""COMPUTED_VALUE"""),"")</f>
        <v/>
      </c>
      <c r="Z296" s="48" t="str">
        <f>IFERROR(__xludf.DUMMYFUNCTION("""COMPUTED_VALUE"""),"%")</f>
        <v>%</v>
      </c>
      <c r="AA296" s="49">
        <f>IFERROR(__xludf.DUMMYFUNCTION("""COMPUTED_VALUE"""),3.0)</f>
        <v>3</v>
      </c>
      <c r="AB296" s="50"/>
      <c r="AC296" s="38"/>
      <c r="AD296" s="45" t="str">
        <f>IFERROR(__xludf.DUMMYFUNCTION("""COMPUTED_VALUE"""),"")</f>
        <v/>
      </c>
      <c r="AE296" s="46" t="str">
        <f>IFERROR(__xludf.DUMMYFUNCTION("""COMPUTED_VALUE"""),"AP")</f>
        <v>AP</v>
      </c>
      <c r="AF296" s="47" t="str">
        <f>IFERROR(__xludf.DUMMYFUNCTION("""COMPUTED_VALUE"""),"")</f>
        <v/>
      </c>
      <c r="AG296" s="48" t="str">
        <f>IFERROR(__xludf.DUMMYFUNCTION("""COMPUTED_VALUE"""),"%")</f>
        <v>%</v>
      </c>
      <c r="AH296" s="43"/>
      <c r="AI296" s="44"/>
      <c r="AJ296" s="51"/>
    </row>
    <row r="297" ht="24.75" hidden="1" customHeight="1">
      <c r="A297" s="28">
        <f>IFERROR(__xludf.DUMMYFUNCTION("""COMPUTED_VALUE"""),19.0)</f>
        <v>19</v>
      </c>
      <c r="B297" s="28" t="str">
        <f>IFERROR(__xludf.DUMMYFUNCTION("""COMPUTED_VALUE"""),"A204")</f>
        <v>A204</v>
      </c>
      <c r="C297" s="28"/>
      <c r="D297" s="29"/>
      <c r="E297" s="67"/>
      <c r="F297" s="31"/>
      <c r="G297" s="32"/>
      <c r="H297" s="33" t="str">
        <f>IFERROR(__xludf.DUMMYFUNCTION("""COMPUTED_VALUE""")," ")</f>
        <v> </v>
      </c>
      <c r="I297" s="34"/>
      <c r="J297" s="35" t="str">
        <f>IFERROR(__xludf.DUMMYFUNCTION("""COMPUTED_VALUE"""),"AP")</f>
        <v>AP</v>
      </c>
      <c r="K297" s="34"/>
      <c r="L297" s="35" t="str">
        <f>IFERROR(__xludf.DUMMYFUNCTION("""COMPUTED_VALUE"""),"%")</f>
        <v>%</v>
      </c>
      <c r="M297" s="36">
        <f>IFERROR(__xludf.DUMMYFUNCTION("""COMPUTED_VALUE"""),1.0)</f>
        <v>1</v>
      </c>
      <c r="N297" s="37"/>
      <c r="O297" s="38"/>
      <c r="P297" s="34" t="str">
        <f>IFERROR(__xludf.DUMMYFUNCTION("""COMPUTED_VALUE"""),"")</f>
        <v/>
      </c>
      <c r="Q297" s="35" t="str">
        <f>IFERROR(__xludf.DUMMYFUNCTION("""COMPUTED_VALUE"""),"AP")</f>
        <v>AP</v>
      </c>
      <c r="R297" s="34" t="str">
        <f>IFERROR(__xludf.DUMMYFUNCTION("""COMPUTED_VALUE"""),"")</f>
        <v/>
      </c>
      <c r="S297" s="35" t="str">
        <f>IFERROR(__xludf.DUMMYFUNCTION("""COMPUTED_VALUE"""),"%")</f>
        <v>%</v>
      </c>
      <c r="T297" s="36">
        <f>IFERROR(__xludf.DUMMYFUNCTION("""COMPUTED_VALUE"""),2.0)</f>
        <v>2</v>
      </c>
      <c r="U297" s="37"/>
      <c r="V297" s="38"/>
      <c r="W297" s="34" t="str">
        <f>IFERROR(__xludf.DUMMYFUNCTION("""COMPUTED_VALUE"""),"")</f>
        <v/>
      </c>
      <c r="X297" s="35" t="str">
        <f>IFERROR(__xludf.DUMMYFUNCTION("""COMPUTED_VALUE"""),"AP")</f>
        <v>AP</v>
      </c>
      <c r="Y297" s="34" t="str">
        <f>IFERROR(__xludf.DUMMYFUNCTION("""COMPUTED_VALUE"""),"")</f>
        <v/>
      </c>
      <c r="Z297" s="35" t="str">
        <f>IFERROR(__xludf.DUMMYFUNCTION("""COMPUTED_VALUE"""),"%")</f>
        <v>%</v>
      </c>
      <c r="AA297" s="36">
        <f>IFERROR(__xludf.DUMMYFUNCTION("""COMPUTED_VALUE"""),3.0)</f>
        <v>3</v>
      </c>
      <c r="AB297" s="37"/>
      <c r="AC297" s="38"/>
      <c r="AD297" s="34" t="str">
        <f>IFERROR(__xludf.DUMMYFUNCTION("""COMPUTED_VALUE"""),"")</f>
        <v/>
      </c>
      <c r="AE297" s="35" t="str">
        <f>IFERROR(__xludf.DUMMYFUNCTION("""COMPUTED_VALUE"""),"AP")</f>
        <v>AP</v>
      </c>
      <c r="AF297" s="34" t="str">
        <f>IFERROR(__xludf.DUMMYFUNCTION("""COMPUTED_VALUE"""),"")</f>
        <v/>
      </c>
      <c r="AG297" s="35" t="str">
        <f>IFERROR(__xludf.DUMMYFUNCTION("""COMPUTED_VALUE"""),"%")</f>
        <v>%</v>
      </c>
      <c r="AH297" s="31"/>
      <c r="AI297" s="32"/>
      <c r="AJ297" s="39"/>
    </row>
    <row r="298" ht="24.75" hidden="1" customHeight="1">
      <c r="A298" s="40">
        <f>IFERROR(__xludf.DUMMYFUNCTION("""COMPUTED_VALUE"""),20.0)</f>
        <v>20</v>
      </c>
      <c r="B298" s="40" t="str">
        <f>IFERROR(__xludf.DUMMYFUNCTION("""COMPUTED_VALUE"""),"A204")</f>
        <v>A204</v>
      </c>
      <c r="C298" s="40"/>
      <c r="D298" s="41"/>
      <c r="E298" s="66"/>
      <c r="F298" s="43"/>
      <c r="G298" s="44"/>
      <c r="H298" s="33" t="str">
        <f>IFERROR(__xludf.DUMMYFUNCTION("""COMPUTED_VALUE""")," ")</f>
        <v> </v>
      </c>
      <c r="I298" s="45"/>
      <c r="J298" s="46" t="str">
        <f>IFERROR(__xludf.DUMMYFUNCTION("""COMPUTED_VALUE"""),"AP")</f>
        <v>AP</v>
      </c>
      <c r="K298" s="47"/>
      <c r="L298" s="48" t="str">
        <f>IFERROR(__xludf.DUMMYFUNCTION("""COMPUTED_VALUE"""),"%")</f>
        <v>%</v>
      </c>
      <c r="M298" s="49">
        <f>IFERROR(__xludf.DUMMYFUNCTION("""COMPUTED_VALUE"""),1.0)</f>
        <v>1</v>
      </c>
      <c r="N298" s="50"/>
      <c r="O298" s="38"/>
      <c r="P298" s="45" t="str">
        <f>IFERROR(__xludf.DUMMYFUNCTION("""COMPUTED_VALUE"""),"")</f>
        <v/>
      </c>
      <c r="Q298" s="46" t="str">
        <f>IFERROR(__xludf.DUMMYFUNCTION("""COMPUTED_VALUE"""),"AP")</f>
        <v>AP</v>
      </c>
      <c r="R298" s="47" t="str">
        <f>IFERROR(__xludf.DUMMYFUNCTION("""COMPUTED_VALUE"""),"")</f>
        <v/>
      </c>
      <c r="S298" s="48" t="str">
        <f>IFERROR(__xludf.DUMMYFUNCTION("""COMPUTED_VALUE"""),"%")</f>
        <v>%</v>
      </c>
      <c r="T298" s="49">
        <f>IFERROR(__xludf.DUMMYFUNCTION("""COMPUTED_VALUE"""),2.0)</f>
        <v>2</v>
      </c>
      <c r="U298" s="50"/>
      <c r="V298" s="38"/>
      <c r="W298" s="45" t="str">
        <f>IFERROR(__xludf.DUMMYFUNCTION("""COMPUTED_VALUE"""),"")</f>
        <v/>
      </c>
      <c r="X298" s="46" t="str">
        <f>IFERROR(__xludf.DUMMYFUNCTION("""COMPUTED_VALUE"""),"AP")</f>
        <v>AP</v>
      </c>
      <c r="Y298" s="47" t="str">
        <f>IFERROR(__xludf.DUMMYFUNCTION("""COMPUTED_VALUE"""),"")</f>
        <v/>
      </c>
      <c r="Z298" s="48" t="str">
        <f>IFERROR(__xludf.DUMMYFUNCTION("""COMPUTED_VALUE"""),"%")</f>
        <v>%</v>
      </c>
      <c r="AA298" s="49">
        <f>IFERROR(__xludf.DUMMYFUNCTION("""COMPUTED_VALUE"""),3.0)</f>
        <v>3</v>
      </c>
      <c r="AB298" s="50"/>
      <c r="AC298" s="38"/>
      <c r="AD298" s="45" t="str">
        <f>IFERROR(__xludf.DUMMYFUNCTION("""COMPUTED_VALUE"""),"")</f>
        <v/>
      </c>
      <c r="AE298" s="46" t="str">
        <f>IFERROR(__xludf.DUMMYFUNCTION("""COMPUTED_VALUE"""),"AP")</f>
        <v>AP</v>
      </c>
      <c r="AF298" s="47" t="str">
        <f>IFERROR(__xludf.DUMMYFUNCTION("""COMPUTED_VALUE"""),"")</f>
        <v/>
      </c>
      <c r="AG298" s="48" t="str">
        <f>IFERROR(__xludf.DUMMYFUNCTION("""COMPUTED_VALUE"""),"%")</f>
        <v>%</v>
      </c>
      <c r="AH298" s="43"/>
      <c r="AI298" s="44"/>
      <c r="AJ298" s="51"/>
    </row>
    <row r="299">
      <c r="A299" s="52"/>
      <c r="B299" s="53"/>
      <c r="C299" s="54"/>
      <c r="D299" s="55"/>
      <c r="E299" s="56"/>
      <c r="F299" s="53"/>
      <c r="G299" s="53"/>
      <c r="H299" s="53"/>
      <c r="I299" s="53"/>
      <c r="J299" s="57"/>
      <c r="K299" s="53"/>
      <c r="L299" s="57"/>
      <c r="M299" s="53"/>
      <c r="N299" s="53"/>
      <c r="O299" s="53"/>
      <c r="P299" s="53"/>
      <c r="Q299" s="57"/>
      <c r="R299" s="53"/>
      <c r="S299" s="57"/>
      <c r="T299" s="53"/>
      <c r="U299" s="53"/>
      <c r="V299" s="53"/>
      <c r="W299" s="53"/>
      <c r="X299" s="57"/>
      <c r="Y299" s="53"/>
      <c r="Z299" s="57"/>
      <c r="AA299" s="53"/>
      <c r="AB299" s="53"/>
      <c r="AC299" s="53"/>
      <c r="AD299" s="53"/>
      <c r="AE299" s="57"/>
      <c r="AF299" s="53"/>
      <c r="AG299" s="57"/>
      <c r="AH299" s="53"/>
      <c r="AI299" s="53"/>
      <c r="AJ299" s="58"/>
    </row>
    <row r="300">
      <c r="A300" s="59"/>
      <c r="B300" s="60"/>
      <c r="C300" s="61"/>
      <c r="D300" s="62"/>
      <c r="E300" s="63"/>
      <c r="F300" s="60"/>
      <c r="G300" s="60"/>
      <c r="H300" s="60"/>
      <c r="I300" s="60"/>
      <c r="J300" s="64"/>
      <c r="K300" s="60"/>
      <c r="L300" s="64"/>
      <c r="M300" s="60"/>
      <c r="N300" s="60"/>
      <c r="O300" s="60"/>
      <c r="P300" s="60"/>
      <c r="Q300" s="64"/>
      <c r="R300" s="60"/>
      <c r="S300" s="64"/>
      <c r="T300" s="60"/>
      <c r="U300" s="60"/>
      <c r="V300" s="60"/>
      <c r="W300" s="60"/>
      <c r="X300" s="64"/>
      <c r="Y300" s="60"/>
      <c r="Z300" s="64"/>
      <c r="AA300" s="60"/>
      <c r="AB300" s="60"/>
      <c r="AC300" s="60"/>
      <c r="AD300" s="60"/>
      <c r="AE300" s="64"/>
      <c r="AF300" s="60"/>
      <c r="AG300" s="64"/>
      <c r="AH300" s="60"/>
      <c r="AI300" s="60"/>
      <c r="AJ300" s="65"/>
    </row>
    <row r="301" ht="33.0" customHeight="1">
      <c r="A301" s="20" t="str">
        <f>IFERROR(__xludf.DUMMYFUNCTION("""COMPUTED_VALUE""")," ")</f>
        <v> </v>
      </c>
      <c r="B301" s="21" t="str">
        <f>IFERROR(__xludf.DUMMYFUNCTION("""COMPUTED_VALUE"""),"A205")</f>
        <v>A205</v>
      </c>
      <c r="C301" s="20"/>
      <c r="D301" s="22" t="str">
        <f>IFERROR(__xludf.DUMMYFUNCTION("""COMPUTED_VALUE"""),"")</f>
        <v/>
      </c>
      <c r="E301" s="23" t="str">
        <f>IFERROR(__xludf.DUMMYFUNCTION("""COMPUTED_VALUE"""),"Phoenix Feather")</f>
        <v>Phoenix Feather</v>
      </c>
      <c r="F301" s="24"/>
      <c r="G301" s="24"/>
      <c r="H301" s="25"/>
      <c r="I301" s="25"/>
      <c r="J301" s="26"/>
      <c r="K301" s="25"/>
      <c r="L301" s="26"/>
      <c r="M301" s="25"/>
      <c r="N301" s="25"/>
      <c r="O301" s="25"/>
      <c r="P301" s="25"/>
      <c r="Q301" s="26"/>
      <c r="R301" s="25"/>
      <c r="S301" s="26"/>
      <c r="T301" s="25"/>
      <c r="U301" s="25"/>
      <c r="V301" s="25"/>
      <c r="W301" s="25"/>
      <c r="X301" s="26"/>
      <c r="Y301" s="25"/>
      <c r="Z301" s="26"/>
      <c r="AA301" s="25"/>
      <c r="AB301" s="25"/>
      <c r="AC301" s="25"/>
      <c r="AD301" s="25"/>
      <c r="AE301" s="26"/>
      <c r="AF301" s="25"/>
      <c r="AG301" s="26"/>
      <c r="AH301" s="24"/>
      <c r="AI301" s="25"/>
      <c r="AJ301" s="27"/>
    </row>
    <row r="302" ht="24.75" customHeight="1">
      <c r="A302" s="28">
        <f>IFERROR(__xludf.DUMMYFUNCTION("""COMPUTED_VALUE"""),1.0)</f>
        <v>1</v>
      </c>
      <c r="B302" s="28" t="str">
        <f>IFERROR(__xludf.DUMMYFUNCTION("""COMPUTED_VALUE"""),"A205")</f>
        <v>A205</v>
      </c>
      <c r="C302" s="28" t="str">
        <f>IFERROR(__xludf.DUMMYFUNCTION("""COMPUTED_VALUE"""),"SLM3")</f>
        <v>SLM3</v>
      </c>
      <c r="D302" s="29" t="str">
        <f>IFERROR(__xludf.DUMMYFUNCTION("""COMPUTED_VALUE"""),"Salem")</f>
        <v>Salem</v>
      </c>
      <c r="E302" s="30" t="str">
        <f>IFERROR(__xludf.DUMMYFUNCTION("""COMPUTED_VALUE"""),"Town Hall")</f>
        <v>Town Hall</v>
      </c>
      <c r="F302" s="31">
        <f>IFERROR(__xludf.DUMMYFUNCTION("""COMPUTED_VALUE"""),21.0)</f>
        <v>21</v>
      </c>
      <c r="G302" s="32">
        <f>IFERROR(__xludf.DUMMYFUNCTION("""COMPUTED_VALUE"""),35726.0)</f>
        <v>35726</v>
      </c>
      <c r="H302" s="33" t="str">
        <f>IFERROR(__xludf.DUMMYFUNCTION("""COMPUTED_VALUE"""),"")</f>
        <v/>
      </c>
      <c r="I302" s="34">
        <f>IFERROR(__xludf.DUMMYFUNCTION("""COMPUTED_VALUE"""),59.5)</f>
        <v>59.5</v>
      </c>
      <c r="J302" s="35" t="str">
        <f>IFERROR(__xludf.DUMMYFUNCTION("""COMPUTED_VALUE"""),"AP")</f>
        <v>AP</v>
      </c>
      <c r="K302" s="34">
        <f>IFERROR(__xludf.DUMMYFUNCTION("""COMPUTED_VALUE"""),35.3)</f>
        <v>35.3</v>
      </c>
      <c r="L302" s="35" t="str">
        <f>IFERROR(__xludf.DUMMYFUNCTION("""COMPUTED_VALUE"""),"%")</f>
        <v>%</v>
      </c>
      <c r="M302" s="36">
        <f>IFERROR(__xludf.DUMMYFUNCTION("""COMPUTED_VALUE"""),1.0)</f>
        <v>1</v>
      </c>
      <c r="N302" s="37" t="str">
        <f>IFERROR(__xludf.DUMMYFUNCTION("""COMPUTED_VALUE"""),"B115")</f>
        <v>B115</v>
      </c>
      <c r="O302" s="38" t="str">
        <f>IFERROR(__xludf.DUMMYFUNCTION("""COMPUTED_VALUE"""),"")</f>
        <v/>
      </c>
      <c r="P302" s="34">
        <f>IFERROR(__xludf.DUMMYFUNCTION("""COMPUTED_VALUE"""),60.0)</f>
        <v>60</v>
      </c>
      <c r="Q302" s="35" t="str">
        <f>IFERROR(__xludf.DUMMYFUNCTION("""COMPUTED_VALUE"""),"AP")</f>
        <v>AP</v>
      </c>
      <c r="R302" s="34">
        <f>IFERROR(__xludf.DUMMYFUNCTION("""COMPUTED_VALUE"""),35.0)</f>
        <v>35</v>
      </c>
      <c r="S302" s="35" t="str">
        <f>IFERROR(__xludf.DUMMYFUNCTION("""COMPUTED_VALUE"""),"%")</f>
        <v>%</v>
      </c>
      <c r="T302" s="36">
        <f>IFERROR(__xludf.DUMMYFUNCTION("""COMPUTED_VALUE"""),2.0)</f>
        <v>2</v>
      </c>
      <c r="U302" s="37"/>
      <c r="V302" s="38"/>
      <c r="W302" s="34" t="str">
        <f>IFERROR(__xludf.DUMMYFUNCTION("""COMPUTED_VALUE"""),"")</f>
        <v/>
      </c>
      <c r="X302" s="35" t="str">
        <f>IFERROR(__xludf.DUMMYFUNCTION("""COMPUTED_VALUE"""),"AP")</f>
        <v>AP</v>
      </c>
      <c r="Y302" s="34" t="str">
        <f>IFERROR(__xludf.DUMMYFUNCTION("""COMPUTED_VALUE"""),"")</f>
        <v/>
      </c>
      <c r="Z302" s="35" t="str">
        <f>IFERROR(__xludf.DUMMYFUNCTION("""COMPUTED_VALUE"""),"%")</f>
        <v>%</v>
      </c>
      <c r="AA302" s="36">
        <f>IFERROR(__xludf.DUMMYFUNCTION("""COMPUTED_VALUE"""),3.0)</f>
        <v>3</v>
      </c>
      <c r="AB302" s="37"/>
      <c r="AC302" s="38"/>
      <c r="AD302" s="34" t="str">
        <f>IFERROR(__xludf.DUMMYFUNCTION("""COMPUTED_VALUE"""),"")</f>
        <v/>
      </c>
      <c r="AE302" s="35" t="str">
        <f>IFERROR(__xludf.DUMMYFUNCTION("""COMPUTED_VALUE"""),"AP")</f>
        <v>AP</v>
      </c>
      <c r="AF302" s="34" t="str">
        <f>IFERROR(__xludf.DUMMYFUNCTION("""COMPUTED_VALUE"""),"")</f>
        <v/>
      </c>
      <c r="AG302" s="35" t="str">
        <f>IFERROR(__xludf.DUMMYFUNCTION("""COMPUTED_VALUE"""),"%")</f>
        <v>%</v>
      </c>
      <c r="AH302" s="31">
        <f>IFERROR(__xludf.DUMMYFUNCTION("""COMPUTED_VALUE"""),21.0)</f>
        <v>21</v>
      </c>
      <c r="AI302" s="32">
        <f>IFERROR(__xludf.DUMMYFUNCTION("""COMPUTED_VALUE"""),35726.0)</f>
        <v>35726</v>
      </c>
      <c r="AJ302" s="39" t="str">
        <f>IFERROR(__xludf.DUMMYFUNCTION("""COMPUTED_VALUE"""),"公会堂")</f>
        <v>公会堂</v>
      </c>
    </row>
    <row r="303" ht="24.75" customHeight="1">
      <c r="A303" s="40">
        <f>IFERROR(__xludf.DUMMYFUNCTION("""COMPUTED_VALUE"""),2.0)</f>
        <v>2</v>
      </c>
      <c r="B303" s="40" t="str">
        <f>IFERROR(__xludf.DUMMYFUNCTION("""COMPUTED_VALUE"""),"A205")</f>
        <v>A205</v>
      </c>
      <c r="C303" s="40" t="str">
        <f>IFERROR(__xludf.DUMMYFUNCTION("""COMPUTED_VALUE"""),"AGT10")</f>
        <v>AGT10</v>
      </c>
      <c r="D303" s="41" t="str">
        <f>IFERROR(__xludf.DUMMYFUNCTION("""COMPUTED_VALUE"""),"Agartha")</f>
        <v>Agartha</v>
      </c>
      <c r="E303" s="42" t="str">
        <f>IFERROR(__xludf.DUMMYFUNCTION("""COMPUTED_VALUE"""),"Great Underground River")</f>
        <v>Great Underground River</v>
      </c>
      <c r="F303" s="43">
        <f>IFERROR(__xludf.DUMMYFUNCTION("""COMPUTED_VALUE"""),21.0)</f>
        <v>21</v>
      </c>
      <c r="G303" s="44">
        <f>IFERROR(__xludf.DUMMYFUNCTION("""COMPUTED_VALUE"""),54691.0)</f>
        <v>54691</v>
      </c>
      <c r="H303" s="33" t="str">
        <f>IFERROR(__xludf.DUMMYFUNCTION("""COMPUTED_VALUE"""),"")</f>
        <v/>
      </c>
      <c r="I303" s="45">
        <f>IFERROR(__xludf.DUMMYFUNCTION("""COMPUTED_VALUE"""),69.5)</f>
        <v>69.5</v>
      </c>
      <c r="J303" s="46" t="str">
        <f>IFERROR(__xludf.DUMMYFUNCTION("""COMPUTED_VALUE"""),"AP")</f>
        <v>AP</v>
      </c>
      <c r="K303" s="47">
        <f>IFERROR(__xludf.DUMMYFUNCTION("""COMPUTED_VALUE"""),30.2)</f>
        <v>30.2</v>
      </c>
      <c r="L303" s="48" t="str">
        <f>IFERROR(__xludf.DUMMYFUNCTION("""COMPUTED_VALUE"""),"%")</f>
        <v>%</v>
      </c>
      <c r="M303" s="49">
        <f>IFERROR(__xludf.DUMMYFUNCTION("""COMPUTED_VALUE"""),1.0)</f>
        <v>1</v>
      </c>
      <c r="N303" s="50" t="str">
        <f>IFERROR(__xludf.DUMMYFUNCTION("""COMPUTED_VALUE"""),"A201")</f>
        <v>A201</v>
      </c>
      <c r="O303" s="38" t="str">
        <f>IFERROR(__xludf.DUMMYFUNCTION("""COMPUTED_VALUE"""),"")</f>
        <v/>
      </c>
      <c r="P303" s="45">
        <f>IFERROR(__xludf.DUMMYFUNCTION("""COMPUTED_VALUE"""),83.5)</f>
        <v>83.5</v>
      </c>
      <c r="Q303" s="46" t="str">
        <f>IFERROR(__xludf.DUMMYFUNCTION("""COMPUTED_VALUE"""),"AP")</f>
        <v>AP</v>
      </c>
      <c r="R303" s="47">
        <f>IFERROR(__xludf.DUMMYFUNCTION("""COMPUTED_VALUE"""),25.1)</f>
        <v>25.1</v>
      </c>
      <c r="S303" s="48" t="str">
        <f>IFERROR(__xludf.DUMMYFUNCTION("""COMPUTED_VALUE"""),"%")</f>
        <v>%</v>
      </c>
      <c r="T303" s="49">
        <f>IFERROR(__xludf.DUMMYFUNCTION("""COMPUTED_VALUE"""),2.0)</f>
        <v>2</v>
      </c>
      <c r="U303" s="50" t="str">
        <f>IFERROR(__xludf.DUMMYFUNCTION("""COMPUTED_VALUE"""),"B103")</f>
        <v>B103</v>
      </c>
      <c r="V303" s="38" t="str">
        <f>IFERROR(__xludf.DUMMYFUNCTION("""COMPUTED_VALUE"""),"")</f>
        <v/>
      </c>
      <c r="W303" s="45">
        <f>IFERROR(__xludf.DUMMYFUNCTION("""COMPUTED_VALUE"""),660.9)</f>
        <v>660.9</v>
      </c>
      <c r="X303" s="46" t="str">
        <f>IFERROR(__xludf.DUMMYFUNCTION("""COMPUTED_VALUE"""),"AP")</f>
        <v>AP</v>
      </c>
      <c r="Y303" s="47">
        <f>IFERROR(__xludf.DUMMYFUNCTION("""COMPUTED_VALUE"""),3.2)</f>
        <v>3.2</v>
      </c>
      <c r="Z303" s="48" t="str">
        <f>IFERROR(__xludf.DUMMYFUNCTION("""COMPUTED_VALUE"""),"%")</f>
        <v>%</v>
      </c>
      <c r="AA303" s="49">
        <f>IFERROR(__xludf.DUMMYFUNCTION("""COMPUTED_VALUE"""),3.0)</f>
        <v>3</v>
      </c>
      <c r="AB303" s="50" t="str">
        <f>IFERROR(__xludf.DUMMYFUNCTION("""COMPUTED_VALUE"""),"B113")</f>
        <v>B113</v>
      </c>
      <c r="AC303" s="38" t="str">
        <f>IFERROR(__xludf.DUMMYFUNCTION("""COMPUTED_VALUE"""),"")</f>
        <v/>
      </c>
      <c r="AD303" s="45">
        <f>IFERROR(__xludf.DUMMYFUNCTION("""COMPUTED_VALUE"""),144.1)</f>
        <v>144.1</v>
      </c>
      <c r="AE303" s="46" t="str">
        <f>IFERROR(__xludf.DUMMYFUNCTION("""COMPUTED_VALUE"""),"AP")</f>
        <v>AP</v>
      </c>
      <c r="AF303" s="47">
        <f>IFERROR(__xludf.DUMMYFUNCTION("""COMPUTED_VALUE"""),14.6)</f>
        <v>14.6</v>
      </c>
      <c r="AG303" s="48" t="str">
        <f>IFERROR(__xludf.DUMMYFUNCTION("""COMPUTED_VALUE"""),"%")</f>
        <v>%</v>
      </c>
      <c r="AH303" s="43">
        <f>IFERROR(__xludf.DUMMYFUNCTION("""COMPUTED_VALUE"""),21.0)</f>
        <v>21</v>
      </c>
      <c r="AI303" s="44">
        <f>IFERROR(__xludf.DUMMYFUNCTION("""COMPUTED_VALUE"""),54691.0)</f>
        <v>54691</v>
      </c>
      <c r="AJ303" s="51" t="str">
        <f>IFERROR(__xludf.DUMMYFUNCTION("""COMPUTED_VALUE"""),"地底大河")</f>
        <v>地底大河</v>
      </c>
    </row>
    <row r="304" ht="24.75" customHeight="1">
      <c r="A304" s="28">
        <f>IFERROR(__xludf.DUMMYFUNCTION("""COMPUTED_VALUE"""),3.0)</f>
        <v>3</v>
      </c>
      <c r="B304" s="28" t="str">
        <f>IFERROR(__xludf.DUMMYFUNCTION("""COMPUTED_VALUE"""),"A205")</f>
        <v>A205</v>
      </c>
      <c r="C304" s="28" t="str">
        <f>IFERROR(__xludf.DUMMYFUNCTION("""COMPUTED_VALUE"""),"AGT3")</f>
        <v>AGT3</v>
      </c>
      <c r="D304" s="29" t="str">
        <f>IFERROR(__xludf.DUMMYFUNCTION("""COMPUTED_VALUE"""),"Agartha")</f>
        <v>Agartha</v>
      </c>
      <c r="E304" s="30" t="str">
        <f>IFERROR(__xludf.DUMMYFUNCTION("""COMPUTED_VALUE"""),"Riverside Town")</f>
        <v>Riverside Town</v>
      </c>
      <c r="F304" s="31">
        <f>IFERROR(__xludf.DUMMYFUNCTION("""COMPUTED_VALUE"""),20.0)</f>
        <v>20</v>
      </c>
      <c r="G304" s="32">
        <f>IFERROR(__xludf.DUMMYFUNCTION("""COMPUTED_VALUE"""),20334.0)</f>
        <v>20334</v>
      </c>
      <c r="H304" s="33" t="str">
        <f>IFERROR(__xludf.DUMMYFUNCTION("""COMPUTED_VALUE"""),"")</f>
        <v/>
      </c>
      <c r="I304" s="34">
        <f>IFERROR(__xludf.DUMMYFUNCTION("""COMPUTED_VALUE"""),97.5)</f>
        <v>97.5</v>
      </c>
      <c r="J304" s="35" t="str">
        <f>IFERROR(__xludf.DUMMYFUNCTION("""COMPUTED_VALUE"""),"AP")</f>
        <v>AP</v>
      </c>
      <c r="K304" s="34">
        <f>IFERROR(__xludf.DUMMYFUNCTION("""COMPUTED_VALUE"""),20.4999999)</f>
        <v>20.4999999</v>
      </c>
      <c r="L304" s="35" t="str">
        <f>IFERROR(__xludf.DUMMYFUNCTION("""COMPUTED_VALUE"""),"%")</f>
        <v>%</v>
      </c>
      <c r="M304" s="36">
        <f>IFERROR(__xludf.DUMMYFUNCTION("""COMPUTED_VALUE"""),1.0)</f>
        <v>1</v>
      </c>
      <c r="N304" s="37" t="str">
        <f>IFERROR(__xludf.DUMMYFUNCTION("""COMPUTED_VALUE"""),"A201")</f>
        <v>A201</v>
      </c>
      <c r="O304" s="38" t="str">
        <f>IFERROR(__xludf.DUMMYFUNCTION("""COMPUTED_VALUE"""),"")</f>
        <v/>
      </c>
      <c r="P304" s="34">
        <f>IFERROR(__xludf.DUMMYFUNCTION("""COMPUTED_VALUE"""),50.7)</f>
        <v>50.7</v>
      </c>
      <c r="Q304" s="35" t="str">
        <f>IFERROR(__xludf.DUMMYFUNCTION("""COMPUTED_VALUE"""),"AP")</f>
        <v>AP</v>
      </c>
      <c r="R304" s="34">
        <f>IFERROR(__xludf.DUMMYFUNCTION("""COMPUTED_VALUE"""),39.4)</f>
        <v>39.4</v>
      </c>
      <c r="S304" s="35" t="str">
        <f>IFERROR(__xludf.DUMMYFUNCTION("""COMPUTED_VALUE"""),"%")</f>
        <v>%</v>
      </c>
      <c r="T304" s="36">
        <f>IFERROR(__xludf.DUMMYFUNCTION("""COMPUTED_VALUE"""),2.0)</f>
        <v>2</v>
      </c>
      <c r="U304" s="37" t="str">
        <f>IFERROR(__xludf.DUMMYFUNCTION("""COMPUTED_VALUE"""),"B101")</f>
        <v>B101</v>
      </c>
      <c r="V304" s="38" t="str">
        <f>IFERROR(__xludf.DUMMYFUNCTION("""COMPUTED_VALUE"""),"")</f>
        <v/>
      </c>
      <c r="W304" s="34">
        <f>IFERROR(__xludf.DUMMYFUNCTION("""COMPUTED_VALUE"""),591.3)</f>
        <v>591.3</v>
      </c>
      <c r="X304" s="35" t="str">
        <f>IFERROR(__xludf.DUMMYFUNCTION("""COMPUTED_VALUE"""),"AP")</f>
        <v>AP</v>
      </c>
      <c r="Y304" s="34">
        <f>IFERROR(__xludf.DUMMYFUNCTION("""COMPUTED_VALUE"""),3.4)</f>
        <v>3.4</v>
      </c>
      <c r="Z304" s="35" t="str">
        <f>IFERROR(__xludf.DUMMYFUNCTION("""COMPUTED_VALUE"""),"%")</f>
        <v>%</v>
      </c>
      <c r="AA304" s="36">
        <f>IFERROR(__xludf.DUMMYFUNCTION("""COMPUTED_VALUE"""),3.0)</f>
        <v>3</v>
      </c>
      <c r="AB304" s="37" t="str">
        <f>IFERROR(__xludf.DUMMYFUNCTION("""COMPUTED_VALUE"""),"B111")</f>
        <v>B111</v>
      </c>
      <c r="AC304" s="38" t="str">
        <f>IFERROR(__xludf.DUMMYFUNCTION("""COMPUTED_VALUE"""),"")</f>
        <v/>
      </c>
      <c r="AD304" s="34">
        <f>IFERROR(__xludf.DUMMYFUNCTION("""COMPUTED_VALUE"""),134.1)</f>
        <v>134.1</v>
      </c>
      <c r="AE304" s="35" t="str">
        <f>IFERROR(__xludf.DUMMYFUNCTION("""COMPUTED_VALUE"""),"AP")</f>
        <v>AP</v>
      </c>
      <c r="AF304" s="34">
        <f>IFERROR(__xludf.DUMMYFUNCTION("""COMPUTED_VALUE"""),14.9)</f>
        <v>14.9</v>
      </c>
      <c r="AG304" s="35" t="str">
        <f>IFERROR(__xludf.DUMMYFUNCTION("""COMPUTED_VALUE"""),"%")</f>
        <v>%</v>
      </c>
      <c r="AH304" s="31">
        <f>IFERROR(__xludf.DUMMYFUNCTION("""COMPUTED_VALUE"""),20.0)</f>
        <v>20</v>
      </c>
      <c r="AI304" s="32">
        <f>IFERROR(__xludf.DUMMYFUNCTION("""COMPUTED_VALUE"""),20334.0)</f>
        <v>20334</v>
      </c>
      <c r="AJ304" s="39" t="str">
        <f>IFERROR(__xludf.DUMMYFUNCTION("""COMPUTED_VALUE"""),"川辺の町")</f>
        <v>川辺の町</v>
      </c>
    </row>
    <row r="305" ht="24.75" customHeight="1">
      <c r="A305" s="40">
        <f>IFERROR(__xludf.DUMMYFUNCTION("""COMPUTED_VALUE"""),4.0)</f>
        <v>4</v>
      </c>
      <c r="B305" s="40" t="str">
        <f>IFERROR(__xludf.DUMMYFUNCTION("""COMPUTED_VALUE"""),"A205")</f>
        <v>A205</v>
      </c>
      <c r="C305" s="40" t="str">
        <f>IFERROR(__xludf.DUMMYFUNCTION("""COMPUTED_VALUE"""),"SLM9")</f>
        <v>SLM9</v>
      </c>
      <c r="D305" s="41" t="str">
        <f>IFERROR(__xludf.DUMMYFUNCTION("""COMPUTED_VALUE"""),"Salem")</f>
        <v>Salem</v>
      </c>
      <c r="E305" s="42" t="str">
        <f>IFERROR(__xludf.DUMMYFUNCTION("""COMPUTED_VALUE"""),"Empty House")</f>
        <v>Empty House</v>
      </c>
      <c r="F305" s="43">
        <f>IFERROR(__xludf.DUMMYFUNCTION("""COMPUTED_VALUE"""),21.0)</f>
        <v>21</v>
      </c>
      <c r="G305" s="44">
        <f>IFERROR(__xludf.DUMMYFUNCTION("""COMPUTED_VALUE"""),15956.0)</f>
        <v>15956</v>
      </c>
      <c r="H305" s="33" t="str">
        <f>IFERROR(__xludf.DUMMYFUNCTION("""COMPUTED_VALUE"""),"")</f>
        <v/>
      </c>
      <c r="I305" s="45">
        <f>IFERROR(__xludf.DUMMYFUNCTION("""COMPUTED_VALUE"""),101.0)</f>
        <v>101</v>
      </c>
      <c r="J305" s="46" t="str">
        <f>IFERROR(__xludf.DUMMYFUNCTION("""COMPUTED_VALUE"""),"AP")</f>
        <v>AP</v>
      </c>
      <c r="K305" s="47">
        <f>IFERROR(__xludf.DUMMYFUNCTION("""COMPUTED_VALUE"""),20.8)</f>
        <v>20.8</v>
      </c>
      <c r="L305" s="48" t="str">
        <f>IFERROR(__xludf.DUMMYFUNCTION("""COMPUTED_VALUE"""),"%")</f>
        <v>%</v>
      </c>
      <c r="M305" s="49">
        <f>IFERROR(__xludf.DUMMYFUNCTION("""COMPUTED_VALUE"""),1.0)</f>
        <v>1</v>
      </c>
      <c r="N305" s="50" t="str">
        <f>IFERROR(__xludf.DUMMYFUNCTION("""COMPUTED_VALUE"""),"A308")</f>
        <v>A308</v>
      </c>
      <c r="O305" s="38" t="str">
        <f>IFERROR(__xludf.DUMMYFUNCTION("""COMPUTED_VALUE"""),"")</f>
        <v/>
      </c>
      <c r="P305" s="45">
        <f>IFERROR(__xludf.DUMMYFUNCTION("""COMPUTED_VALUE"""),51.8)</f>
        <v>51.8</v>
      </c>
      <c r="Q305" s="46" t="str">
        <f>IFERROR(__xludf.DUMMYFUNCTION("""COMPUTED_VALUE"""),"AP")</f>
        <v>AP</v>
      </c>
      <c r="R305" s="47">
        <f>IFERROR(__xludf.DUMMYFUNCTION("""COMPUTED_VALUE"""),40.5)</f>
        <v>40.5</v>
      </c>
      <c r="S305" s="48" t="str">
        <f>IFERROR(__xludf.DUMMYFUNCTION("""COMPUTED_VALUE"""),"%")</f>
        <v>%</v>
      </c>
      <c r="T305" s="49">
        <f>IFERROR(__xludf.DUMMYFUNCTION("""COMPUTED_VALUE"""),2.0)</f>
        <v>2</v>
      </c>
      <c r="U305" s="50" t="str">
        <f>IFERROR(__xludf.DUMMYFUNCTION("""COMPUTED_VALUE"""),"B115")</f>
        <v>B115</v>
      </c>
      <c r="V305" s="38" t="str">
        <f>IFERROR(__xludf.DUMMYFUNCTION("""COMPUTED_VALUE"""),"")</f>
        <v/>
      </c>
      <c r="W305" s="45">
        <f>IFERROR(__xludf.DUMMYFUNCTION("""COMPUTED_VALUE"""),139.0)</f>
        <v>139</v>
      </c>
      <c r="X305" s="46" t="str">
        <f>IFERROR(__xludf.DUMMYFUNCTION("""COMPUTED_VALUE"""),"AP")</f>
        <v>AP</v>
      </c>
      <c r="Y305" s="47">
        <f>IFERROR(__xludf.DUMMYFUNCTION("""COMPUTED_VALUE"""),15.1)</f>
        <v>15.1</v>
      </c>
      <c r="Z305" s="48" t="str">
        <f>IFERROR(__xludf.DUMMYFUNCTION("""COMPUTED_VALUE"""),"%")</f>
        <v>%</v>
      </c>
      <c r="AA305" s="49">
        <f>IFERROR(__xludf.DUMMYFUNCTION("""COMPUTED_VALUE"""),3.0)</f>
        <v>3</v>
      </c>
      <c r="AB305" s="50"/>
      <c r="AC305" s="38"/>
      <c r="AD305" s="45" t="str">
        <f>IFERROR(__xludf.DUMMYFUNCTION("""COMPUTED_VALUE"""),"")</f>
        <v/>
      </c>
      <c r="AE305" s="46" t="str">
        <f>IFERROR(__xludf.DUMMYFUNCTION("""COMPUTED_VALUE"""),"AP")</f>
        <v>AP</v>
      </c>
      <c r="AF305" s="47" t="str">
        <f>IFERROR(__xludf.DUMMYFUNCTION("""COMPUTED_VALUE"""),"")</f>
        <v/>
      </c>
      <c r="AG305" s="48" t="str">
        <f>IFERROR(__xludf.DUMMYFUNCTION("""COMPUTED_VALUE"""),"%")</f>
        <v>%</v>
      </c>
      <c r="AH305" s="43">
        <f>IFERROR(__xludf.DUMMYFUNCTION("""COMPUTED_VALUE"""),21.0)</f>
        <v>21</v>
      </c>
      <c r="AI305" s="44">
        <f>IFERROR(__xludf.DUMMYFUNCTION("""COMPUTED_VALUE"""),15956.0)</f>
        <v>15956</v>
      </c>
      <c r="AJ305" s="51" t="str">
        <f>IFERROR(__xludf.DUMMYFUNCTION("""COMPUTED_VALUE"""),"空き家")</f>
        <v>空き家</v>
      </c>
    </row>
    <row r="306" ht="24.75" customHeight="1">
      <c r="A306" s="28">
        <f>IFERROR(__xludf.DUMMYFUNCTION("""COMPUTED_VALUE"""),5.0)</f>
        <v>5</v>
      </c>
      <c r="B306" s="28" t="str">
        <f>IFERROR(__xludf.DUMMYFUNCTION("""COMPUTED_VALUE"""),"A205")</f>
        <v>A205</v>
      </c>
      <c r="C306" s="28" t="str">
        <f>IFERROR(__xludf.DUMMYFUNCTION("""COMPUTED_VALUE"""),"SLM4")</f>
        <v>SLM4</v>
      </c>
      <c r="D306" s="29" t="str">
        <f>IFERROR(__xludf.DUMMYFUNCTION("""COMPUTED_VALUE"""),"Salem")</f>
        <v>Salem</v>
      </c>
      <c r="E306" s="30" t="str">
        <f>IFERROR(__xludf.DUMMYFUNCTION("""COMPUTED_VALUE"""),"Wharf")</f>
        <v>Wharf</v>
      </c>
      <c r="F306" s="31">
        <f>IFERROR(__xludf.DUMMYFUNCTION("""COMPUTED_VALUE"""),21.0)</f>
        <v>21</v>
      </c>
      <c r="G306" s="32">
        <f>IFERROR(__xludf.DUMMYFUNCTION("""COMPUTED_VALUE"""),29538.0)</f>
        <v>29538</v>
      </c>
      <c r="H306" s="33" t="str">
        <f>IFERROR(__xludf.DUMMYFUNCTION("""COMPUTED_VALUE"""),"")</f>
        <v/>
      </c>
      <c r="I306" s="34">
        <f>IFERROR(__xludf.DUMMYFUNCTION("""COMPUTED_VALUE"""),104.3)</f>
        <v>104.3</v>
      </c>
      <c r="J306" s="35" t="str">
        <f>IFERROR(__xludf.DUMMYFUNCTION("""COMPUTED_VALUE"""),"AP")</f>
        <v>AP</v>
      </c>
      <c r="K306" s="34">
        <f>IFERROR(__xludf.DUMMYFUNCTION("""COMPUTED_VALUE"""),20.1)</f>
        <v>20.1</v>
      </c>
      <c r="L306" s="35" t="str">
        <f>IFERROR(__xludf.DUMMYFUNCTION("""COMPUTED_VALUE"""),"%")</f>
        <v>%</v>
      </c>
      <c r="M306" s="36">
        <f>IFERROR(__xludf.DUMMYFUNCTION("""COMPUTED_VALUE"""),1.0)</f>
        <v>1</v>
      </c>
      <c r="N306" s="37" t="str">
        <f>IFERROR(__xludf.DUMMYFUNCTION("""COMPUTED_VALUE"""),"A305")</f>
        <v>A305</v>
      </c>
      <c r="O306" s="38" t="str">
        <f>IFERROR(__xludf.DUMMYFUNCTION("""COMPUTED_VALUE"""),"")</f>
        <v/>
      </c>
      <c r="P306" s="34">
        <f>IFERROR(__xludf.DUMMYFUNCTION("""COMPUTED_VALUE"""),52.6)</f>
        <v>52.6</v>
      </c>
      <c r="Q306" s="35" t="str">
        <f>IFERROR(__xludf.DUMMYFUNCTION("""COMPUTED_VALUE"""),"AP")</f>
        <v>AP</v>
      </c>
      <c r="R306" s="34">
        <f>IFERROR(__xludf.DUMMYFUNCTION("""COMPUTED_VALUE"""),39.9)</f>
        <v>39.9</v>
      </c>
      <c r="S306" s="35" t="str">
        <f>IFERROR(__xludf.DUMMYFUNCTION("""COMPUTED_VALUE"""),"%")</f>
        <v>%</v>
      </c>
      <c r="T306" s="36">
        <f>IFERROR(__xludf.DUMMYFUNCTION("""COMPUTED_VALUE"""),2.0)</f>
        <v>2</v>
      </c>
      <c r="U306" s="37" t="str">
        <f>IFERROR(__xludf.DUMMYFUNCTION("""COMPUTED_VALUE"""),"B115")</f>
        <v>B115</v>
      </c>
      <c r="V306" s="38" t="str">
        <f>IFERROR(__xludf.DUMMYFUNCTION("""COMPUTED_VALUE"""),"")</f>
        <v/>
      </c>
      <c r="W306" s="34">
        <f>IFERROR(__xludf.DUMMYFUNCTION("""COMPUTED_VALUE"""),103.4)</f>
        <v>103.4</v>
      </c>
      <c r="X306" s="35" t="str">
        <f>IFERROR(__xludf.DUMMYFUNCTION("""COMPUTED_VALUE"""),"AP")</f>
        <v>AP</v>
      </c>
      <c r="Y306" s="34">
        <f>IFERROR(__xludf.DUMMYFUNCTION("""COMPUTED_VALUE"""),20.3)</f>
        <v>20.3</v>
      </c>
      <c r="Z306" s="35" t="str">
        <f>IFERROR(__xludf.DUMMYFUNCTION("""COMPUTED_VALUE"""),"%")</f>
        <v>%</v>
      </c>
      <c r="AA306" s="36">
        <f>IFERROR(__xludf.DUMMYFUNCTION("""COMPUTED_VALUE"""),3.0)</f>
        <v>3</v>
      </c>
      <c r="AB306" s="37"/>
      <c r="AC306" s="38"/>
      <c r="AD306" s="34" t="str">
        <f>IFERROR(__xludf.DUMMYFUNCTION("""COMPUTED_VALUE"""),"")</f>
        <v/>
      </c>
      <c r="AE306" s="35" t="str">
        <f>IFERROR(__xludf.DUMMYFUNCTION("""COMPUTED_VALUE"""),"AP")</f>
        <v>AP</v>
      </c>
      <c r="AF306" s="34" t="str">
        <f>IFERROR(__xludf.DUMMYFUNCTION("""COMPUTED_VALUE"""),"")</f>
        <v/>
      </c>
      <c r="AG306" s="35" t="str">
        <f>IFERROR(__xludf.DUMMYFUNCTION("""COMPUTED_VALUE"""),"%")</f>
        <v>%</v>
      </c>
      <c r="AH306" s="31">
        <f>IFERROR(__xludf.DUMMYFUNCTION("""COMPUTED_VALUE"""),21.0)</f>
        <v>21</v>
      </c>
      <c r="AI306" s="32">
        <f>IFERROR(__xludf.DUMMYFUNCTION("""COMPUTED_VALUE"""),29538.0)</f>
        <v>29538</v>
      </c>
      <c r="AJ306" s="39" t="str">
        <f>IFERROR(__xludf.DUMMYFUNCTION("""COMPUTED_VALUE"""),"波止場")</f>
        <v>波止場</v>
      </c>
    </row>
    <row r="307" ht="24.75" customHeight="1">
      <c r="A307" s="40">
        <f>IFERROR(__xludf.DUMMYFUNCTION("""COMPUTED_VALUE"""),6.0)</f>
        <v>6</v>
      </c>
      <c r="B307" s="40" t="str">
        <f>IFERROR(__xludf.DUMMYFUNCTION("""COMPUTED_VALUE"""),"A205")</f>
        <v>A205</v>
      </c>
      <c r="C307" s="40" t="str">
        <f>IFERROR(__xludf.DUMMYFUNCTION("""COMPUTED_VALUE"""),"YKS10")</f>
        <v>YKS10</v>
      </c>
      <c r="D307" s="41" t="str">
        <f>IFERROR(__xludf.DUMMYFUNCTION("""COMPUTED_VALUE"""),"Yuga Kurukshetra")</f>
        <v>Yuga Kurukshetra</v>
      </c>
      <c r="E307" s="42" t="str">
        <f>IFERROR(__xludf.DUMMYFUNCTION("""COMPUTED_VALUE"""),"Eastern Flower Garden")</f>
        <v>Eastern Flower Garden</v>
      </c>
      <c r="F307" s="43">
        <f>IFERROR(__xludf.DUMMYFUNCTION("""COMPUTED_VALUE"""),21.0)</f>
        <v>21</v>
      </c>
      <c r="G307" s="44">
        <f>IFERROR(__xludf.DUMMYFUNCTION("""COMPUTED_VALUE"""),6018.0)</f>
        <v>6018</v>
      </c>
      <c r="H307" s="33" t="str">
        <f>IFERROR(__xludf.DUMMYFUNCTION("""COMPUTED_VALUE"""),"")</f>
        <v/>
      </c>
      <c r="I307" s="45">
        <f>IFERROR(__xludf.DUMMYFUNCTION("""COMPUTED_VALUE"""),106.7)</f>
        <v>106.7</v>
      </c>
      <c r="J307" s="46" t="str">
        <f>IFERROR(__xludf.DUMMYFUNCTION("""COMPUTED_VALUE"""),"AP")</f>
        <v>AP</v>
      </c>
      <c r="K307" s="47">
        <f>IFERROR(__xludf.DUMMYFUNCTION("""COMPUTED_VALUE"""),19.7)</f>
        <v>19.7</v>
      </c>
      <c r="L307" s="48" t="str">
        <f>IFERROR(__xludf.DUMMYFUNCTION("""COMPUTED_VALUE"""),"%")</f>
        <v>%</v>
      </c>
      <c r="M307" s="49">
        <f>IFERROR(__xludf.DUMMYFUNCTION("""COMPUTED_VALUE"""),1.0)</f>
        <v>1</v>
      </c>
      <c r="N307" s="50" t="str">
        <f>IFERROR(__xludf.DUMMYFUNCTION("""COMPUTED_VALUE"""),"A108")</f>
        <v>A108</v>
      </c>
      <c r="O307" s="38" t="str">
        <f>IFERROR(__xludf.DUMMYFUNCTION("""COMPUTED_VALUE"""),"")</f>
        <v/>
      </c>
      <c r="P307" s="45">
        <f>IFERROR(__xludf.DUMMYFUNCTION("""COMPUTED_VALUE"""),110.9)</f>
        <v>110.9</v>
      </c>
      <c r="Q307" s="46" t="str">
        <f>IFERROR(__xludf.DUMMYFUNCTION("""COMPUTED_VALUE"""),"AP")</f>
        <v>AP</v>
      </c>
      <c r="R307" s="47">
        <f>IFERROR(__xludf.DUMMYFUNCTION("""COMPUTED_VALUE"""),18.9)</f>
        <v>18.9</v>
      </c>
      <c r="S307" s="48" t="str">
        <f>IFERROR(__xludf.DUMMYFUNCTION("""COMPUTED_VALUE"""),"%")</f>
        <v>%</v>
      </c>
      <c r="T307" s="49">
        <f>IFERROR(__xludf.DUMMYFUNCTION("""COMPUTED_VALUE"""),2.0)</f>
        <v>2</v>
      </c>
      <c r="U307" s="50" t="str">
        <f>IFERROR(__xludf.DUMMYFUNCTION("""COMPUTED_VALUE"""),"B115")</f>
        <v>B115</v>
      </c>
      <c r="V307" s="38" t="str">
        <f>IFERROR(__xludf.DUMMYFUNCTION("""COMPUTED_VALUE"""),"")</f>
        <v/>
      </c>
      <c r="W307" s="45">
        <f>IFERROR(__xludf.DUMMYFUNCTION("""COMPUTED_VALUE"""),51.7)</f>
        <v>51.7</v>
      </c>
      <c r="X307" s="46" t="str">
        <f>IFERROR(__xludf.DUMMYFUNCTION("""COMPUTED_VALUE"""),"AP")</f>
        <v>AP</v>
      </c>
      <c r="Y307" s="47">
        <f>IFERROR(__xludf.DUMMYFUNCTION("""COMPUTED_VALUE"""),40.6)</f>
        <v>40.6</v>
      </c>
      <c r="Z307" s="48" t="str">
        <f>IFERROR(__xludf.DUMMYFUNCTION("""COMPUTED_VALUE"""),"%")</f>
        <v>%</v>
      </c>
      <c r="AA307" s="49">
        <f>IFERROR(__xludf.DUMMYFUNCTION("""COMPUTED_VALUE"""),3.0)</f>
        <v>3</v>
      </c>
      <c r="AB307" s="50"/>
      <c r="AC307" s="38"/>
      <c r="AD307" s="45" t="str">
        <f>IFERROR(__xludf.DUMMYFUNCTION("""COMPUTED_VALUE"""),"")</f>
        <v/>
      </c>
      <c r="AE307" s="46" t="str">
        <f>IFERROR(__xludf.DUMMYFUNCTION("""COMPUTED_VALUE"""),"AP")</f>
        <v>AP</v>
      </c>
      <c r="AF307" s="47" t="str">
        <f>IFERROR(__xludf.DUMMYFUNCTION("""COMPUTED_VALUE"""),"")</f>
        <v/>
      </c>
      <c r="AG307" s="48" t="str">
        <f>IFERROR(__xludf.DUMMYFUNCTION("""COMPUTED_VALUE"""),"%")</f>
        <v>%</v>
      </c>
      <c r="AH307" s="43">
        <f>IFERROR(__xludf.DUMMYFUNCTION("""COMPUTED_VALUE"""),21.0)</f>
        <v>21</v>
      </c>
      <c r="AI307" s="44">
        <f>IFERROR(__xludf.DUMMYFUNCTION("""COMPUTED_VALUE"""),6018.0)</f>
        <v>6018</v>
      </c>
      <c r="AJ307" s="51" t="str">
        <f>IFERROR(__xludf.DUMMYFUNCTION("""COMPUTED_VALUE"""),"東の花園")</f>
        <v>東の花園</v>
      </c>
    </row>
    <row r="308" ht="24.75" customHeight="1">
      <c r="A308" s="28">
        <f>IFERROR(__xludf.DUMMYFUNCTION("""COMPUTED_VALUE"""),7.0)</f>
        <v>7</v>
      </c>
      <c r="B308" s="28" t="str">
        <f>IFERROR(__xludf.DUMMYFUNCTION("""COMPUTED_VALUE"""),"A205")</f>
        <v>A205</v>
      </c>
      <c r="C308" s="28" t="str">
        <f>IFERROR(__xludf.DUMMYFUNCTION("""COMPUTED_VALUE"""),"YKS2")</f>
        <v>YKS2</v>
      </c>
      <c r="D308" s="29" t="str">
        <f>IFERROR(__xludf.DUMMYFUNCTION("""COMPUTED_VALUE"""),"Yuga Kurukshetra")</f>
        <v>Yuga Kurukshetra</v>
      </c>
      <c r="E308" s="30" t="str">
        <f>IFERROR(__xludf.DUMMYFUNCTION("""COMPUTED_VALUE"""),"Bich")</f>
        <v>Bich</v>
      </c>
      <c r="F308" s="31">
        <f>IFERROR(__xludf.DUMMYFUNCTION("""COMPUTED_VALUE"""),20.0)</f>
        <v>20</v>
      </c>
      <c r="G308" s="32">
        <f>IFERROR(__xludf.DUMMYFUNCTION("""COMPUTED_VALUE"""),7416.0)</f>
        <v>7416</v>
      </c>
      <c r="H308" s="33" t="str">
        <f>IFERROR(__xludf.DUMMYFUNCTION("""COMPUTED_VALUE"""),"")</f>
        <v/>
      </c>
      <c r="I308" s="34">
        <f>IFERROR(__xludf.DUMMYFUNCTION("""COMPUTED_VALUE"""),131.0)</f>
        <v>131</v>
      </c>
      <c r="J308" s="35" t="str">
        <f>IFERROR(__xludf.DUMMYFUNCTION("""COMPUTED_VALUE"""),"AP")</f>
        <v>AP</v>
      </c>
      <c r="K308" s="34">
        <f>IFERROR(__xludf.DUMMYFUNCTION("""COMPUTED_VALUE"""),15.3)</f>
        <v>15.3</v>
      </c>
      <c r="L308" s="35" t="str">
        <f>IFERROR(__xludf.DUMMYFUNCTION("""COMPUTED_VALUE"""),"%")</f>
        <v>%</v>
      </c>
      <c r="M308" s="36">
        <f>IFERROR(__xludf.DUMMYFUNCTION("""COMPUTED_VALUE"""),1.0)</f>
        <v>1</v>
      </c>
      <c r="N308" s="37" t="str">
        <f>IFERROR(__xludf.DUMMYFUNCTION("""COMPUTED_VALUE"""),"A217")</f>
        <v>A217</v>
      </c>
      <c r="O308" s="38" t="str">
        <f>IFERROR(__xludf.DUMMYFUNCTION("""COMPUTED_VALUE"""),"")</f>
        <v/>
      </c>
      <c r="P308" s="34">
        <f>IFERROR(__xludf.DUMMYFUNCTION("""COMPUTED_VALUE"""),100.8)</f>
        <v>100.8</v>
      </c>
      <c r="Q308" s="35" t="str">
        <f>IFERROR(__xludf.DUMMYFUNCTION("""COMPUTED_VALUE"""),"AP")</f>
        <v>AP</v>
      </c>
      <c r="R308" s="34">
        <f>IFERROR(__xludf.DUMMYFUNCTION("""COMPUTED_VALUE"""),19.8)</f>
        <v>19.8</v>
      </c>
      <c r="S308" s="35" t="str">
        <f>IFERROR(__xludf.DUMMYFUNCTION("""COMPUTED_VALUE"""),"%")</f>
        <v>%</v>
      </c>
      <c r="T308" s="36">
        <f>IFERROR(__xludf.DUMMYFUNCTION("""COMPUTED_VALUE"""),2.0)</f>
        <v>2</v>
      </c>
      <c r="U308" s="37" t="str">
        <f>IFERROR(__xludf.DUMMYFUNCTION("""COMPUTED_VALUE"""),"A304")</f>
        <v>A304</v>
      </c>
      <c r="V308" s="38" t="str">
        <f>IFERROR(__xludf.DUMMYFUNCTION("""COMPUTED_VALUE"""),"")</f>
        <v/>
      </c>
      <c r="W308" s="34">
        <f>IFERROR(__xludf.DUMMYFUNCTION("""COMPUTED_VALUE"""),65.8)</f>
        <v>65.8</v>
      </c>
      <c r="X308" s="35" t="str">
        <f>IFERROR(__xludf.DUMMYFUNCTION("""COMPUTED_VALUE"""),"AP")</f>
        <v>AP</v>
      </c>
      <c r="Y308" s="34">
        <f>IFERROR(__xludf.DUMMYFUNCTION("""COMPUTED_VALUE"""),30.4)</f>
        <v>30.4</v>
      </c>
      <c r="Z308" s="35" t="str">
        <f>IFERROR(__xludf.DUMMYFUNCTION("""COMPUTED_VALUE"""),"%")</f>
        <v>%</v>
      </c>
      <c r="AA308" s="36">
        <f>IFERROR(__xludf.DUMMYFUNCTION("""COMPUTED_VALUE"""),3.0)</f>
        <v>3</v>
      </c>
      <c r="AB308" s="37" t="str">
        <f>IFERROR(__xludf.DUMMYFUNCTION("""COMPUTED_VALUE"""),"B115")</f>
        <v>B115</v>
      </c>
      <c r="AC308" s="38" t="str">
        <f>IFERROR(__xludf.DUMMYFUNCTION("""COMPUTED_VALUE"""),"")</f>
        <v/>
      </c>
      <c r="AD308" s="34">
        <f>IFERROR(__xludf.DUMMYFUNCTION("""COMPUTED_VALUE"""),192.1)</f>
        <v>192.1</v>
      </c>
      <c r="AE308" s="35" t="str">
        <f>IFERROR(__xludf.DUMMYFUNCTION("""COMPUTED_VALUE"""),"AP")</f>
        <v>AP</v>
      </c>
      <c r="AF308" s="34">
        <f>IFERROR(__xludf.DUMMYFUNCTION("""COMPUTED_VALUE"""),10.4)</f>
        <v>10.4</v>
      </c>
      <c r="AG308" s="35" t="str">
        <f>IFERROR(__xludf.DUMMYFUNCTION("""COMPUTED_VALUE"""),"%")</f>
        <v>%</v>
      </c>
      <c r="AH308" s="31">
        <f>IFERROR(__xludf.DUMMYFUNCTION("""COMPUTED_VALUE"""),20.0)</f>
        <v>20</v>
      </c>
      <c r="AI308" s="32">
        <f>IFERROR(__xludf.DUMMYFUNCTION("""COMPUTED_VALUE"""),7416.0)</f>
        <v>7416</v>
      </c>
      <c r="AJ308" s="39" t="str">
        <f>IFERROR(__xludf.DUMMYFUNCTION("""COMPUTED_VALUE"""),"ビーチュ")</f>
        <v>ビーチュ</v>
      </c>
    </row>
    <row r="309" ht="24.75" customHeight="1">
      <c r="A309" s="40">
        <f>IFERROR(__xludf.DUMMYFUNCTION("""COMPUTED_VALUE"""),8.0)</f>
        <v>8</v>
      </c>
      <c r="B309" s="40" t="str">
        <f>IFERROR(__xludf.DUMMYFUNCTION("""COMPUTED_VALUE"""),"A205")</f>
        <v>A205</v>
      </c>
      <c r="C309" s="40" t="str">
        <f>IFERROR(__xludf.DUMMYFUNCTION("""COMPUTED_VALUE"""),"AGT2")</f>
        <v>AGT2</v>
      </c>
      <c r="D309" s="41" t="str">
        <f>IFERROR(__xludf.DUMMYFUNCTION("""COMPUTED_VALUE"""),"Agartha")</f>
        <v>Agartha</v>
      </c>
      <c r="E309" s="42" t="str">
        <f>IFERROR(__xludf.DUMMYFUNCTION("""COMPUTED_VALUE"""),"Camping Ground")</f>
        <v>Camping Ground</v>
      </c>
      <c r="F309" s="43">
        <f>IFERROR(__xludf.DUMMYFUNCTION("""COMPUTED_VALUE"""),20.0)</f>
        <v>20</v>
      </c>
      <c r="G309" s="44">
        <f>IFERROR(__xludf.DUMMYFUNCTION("""COMPUTED_VALUE"""),2303.0)</f>
        <v>2303</v>
      </c>
      <c r="H309" s="33" t="str">
        <f>IFERROR(__xludf.DUMMYFUNCTION("""COMPUTED_VALUE"""),"")</f>
        <v/>
      </c>
      <c r="I309" s="45">
        <f>IFERROR(__xludf.DUMMYFUNCTION("""COMPUTED_VALUE"""),134.3)</f>
        <v>134.3</v>
      </c>
      <c r="J309" s="46" t="str">
        <f>IFERROR(__xludf.DUMMYFUNCTION("""COMPUTED_VALUE"""),"AP")</f>
        <v>AP</v>
      </c>
      <c r="K309" s="47">
        <f>IFERROR(__xludf.DUMMYFUNCTION("""COMPUTED_VALUE"""),14.9)</f>
        <v>14.9</v>
      </c>
      <c r="L309" s="48" t="str">
        <f>IFERROR(__xludf.DUMMYFUNCTION("""COMPUTED_VALUE"""),"%")</f>
        <v>%</v>
      </c>
      <c r="M309" s="49">
        <f>IFERROR(__xludf.DUMMYFUNCTION("""COMPUTED_VALUE"""),1.0)</f>
        <v>1</v>
      </c>
      <c r="N309" s="50" t="str">
        <f>IFERROR(__xludf.DUMMYFUNCTION("""COMPUTED_VALUE"""),"A105")</f>
        <v>A105</v>
      </c>
      <c r="O309" s="38" t="str">
        <f>IFERROR(__xludf.DUMMYFUNCTION("""COMPUTED_VALUE"""),"")</f>
        <v/>
      </c>
      <c r="P309" s="45">
        <f>IFERROR(__xludf.DUMMYFUNCTION("""COMPUTED_VALUE"""),91.9)</f>
        <v>91.9</v>
      </c>
      <c r="Q309" s="46" t="str">
        <f>IFERROR(__xludf.DUMMYFUNCTION("""COMPUTED_VALUE"""),"AP")</f>
        <v>AP</v>
      </c>
      <c r="R309" s="47">
        <f>IFERROR(__xludf.DUMMYFUNCTION("""COMPUTED_VALUE"""),21.8)</f>
        <v>21.8</v>
      </c>
      <c r="S309" s="48" t="str">
        <f>IFERROR(__xludf.DUMMYFUNCTION("""COMPUTED_VALUE"""),"%")</f>
        <v>%</v>
      </c>
      <c r="T309" s="49">
        <f>IFERROR(__xludf.DUMMYFUNCTION("""COMPUTED_VALUE"""),2.0)</f>
        <v>2</v>
      </c>
      <c r="U309" s="50" t="str">
        <f>IFERROR(__xludf.DUMMYFUNCTION("""COMPUTED_VALUE"""),"A201")</f>
        <v>A201</v>
      </c>
      <c r="V309" s="38" t="str">
        <f>IFERROR(__xludf.DUMMYFUNCTION("""COMPUTED_VALUE"""),"")</f>
        <v/>
      </c>
      <c r="W309" s="45">
        <f>IFERROR(__xludf.DUMMYFUNCTION("""COMPUTED_VALUE"""),117.5)</f>
        <v>117.5</v>
      </c>
      <c r="X309" s="46" t="str">
        <f>IFERROR(__xludf.DUMMYFUNCTION("""COMPUTED_VALUE"""),"AP")</f>
        <v>AP</v>
      </c>
      <c r="Y309" s="47">
        <f>IFERROR(__xludf.DUMMYFUNCTION("""COMPUTED_VALUE"""),17.0)</f>
        <v>17</v>
      </c>
      <c r="Z309" s="48" t="str">
        <f>IFERROR(__xludf.DUMMYFUNCTION("""COMPUTED_VALUE"""),"%")</f>
        <v>%</v>
      </c>
      <c r="AA309" s="49">
        <f>IFERROR(__xludf.DUMMYFUNCTION("""COMPUTED_VALUE"""),3.0)</f>
        <v>3</v>
      </c>
      <c r="AB309" s="50" t="str">
        <f>IFERROR(__xludf.DUMMYFUNCTION("""COMPUTED_VALUE"""),"B113")</f>
        <v>B113</v>
      </c>
      <c r="AC309" s="38" t="str">
        <f>IFERROR(__xludf.DUMMYFUNCTION("""COMPUTED_VALUE"""),"")</f>
        <v/>
      </c>
      <c r="AD309" s="45">
        <f>IFERROR(__xludf.DUMMYFUNCTION("""COMPUTED_VALUE"""),113.3)</f>
        <v>113.3</v>
      </c>
      <c r="AE309" s="46" t="str">
        <f>IFERROR(__xludf.DUMMYFUNCTION("""COMPUTED_VALUE"""),"AP")</f>
        <v>AP</v>
      </c>
      <c r="AF309" s="47">
        <f>IFERROR(__xludf.DUMMYFUNCTION("""COMPUTED_VALUE"""),17.7)</f>
        <v>17.7</v>
      </c>
      <c r="AG309" s="48" t="str">
        <f>IFERROR(__xludf.DUMMYFUNCTION("""COMPUTED_VALUE"""),"%")</f>
        <v>%</v>
      </c>
      <c r="AH309" s="43">
        <f>IFERROR(__xludf.DUMMYFUNCTION("""COMPUTED_VALUE"""),20.0)</f>
        <v>20</v>
      </c>
      <c r="AI309" s="44">
        <f>IFERROR(__xludf.DUMMYFUNCTION("""COMPUTED_VALUE"""),2303.0)</f>
        <v>2303</v>
      </c>
      <c r="AJ309" s="51" t="str">
        <f>IFERROR(__xludf.DUMMYFUNCTION("""COMPUTED_VALUE"""),"野営地")</f>
        <v>野営地</v>
      </c>
    </row>
    <row r="310" ht="24.75" customHeight="1">
      <c r="A310" s="28">
        <f>IFERROR(__xludf.DUMMYFUNCTION("""COMPUTED_VALUE"""),9.0)</f>
        <v>9</v>
      </c>
      <c r="B310" s="28" t="str">
        <f>IFERROR(__xludf.DUMMYFUNCTION("""COMPUTED_VALUE"""),"A205")</f>
        <v>A205</v>
      </c>
      <c r="C310" s="28" t="str">
        <f>IFERROR(__xludf.DUMMYFUNCTION("""COMPUTED_VALUE"""),"YKS9")</f>
        <v>YKS9</v>
      </c>
      <c r="D310" s="29" t="str">
        <f>IFERROR(__xludf.DUMMYFUNCTION("""COMPUTED_VALUE"""),"Yuga Kurukshetra")</f>
        <v>Yuga Kurukshetra</v>
      </c>
      <c r="E310" s="30" t="str">
        <f>IFERROR(__xludf.DUMMYFUNCTION("""COMPUTED_VALUE"""),"Eternal Grounds")</f>
        <v>Eternal Grounds</v>
      </c>
      <c r="F310" s="31">
        <f>IFERROR(__xludf.DUMMYFUNCTION("""COMPUTED_VALUE"""),21.0)</f>
        <v>21</v>
      </c>
      <c r="G310" s="32">
        <f>IFERROR(__xludf.DUMMYFUNCTION("""COMPUTED_VALUE"""),22314.0)</f>
        <v>22314</v>
      </c>
      <c r="H310" s="33" t="str">
        <f>IFERROR(__xludf.DUMMYFUNCTION("""COMPUTED_VALUE"""),"")</f>
        <v/>
      </c>
      <c r="I310" s="34">
        <f>IFERROR(__xludf.DUMMYFUNCTION("""COMPUTED_VALUE"""),136.8)</f>
        <v>136.8</v>
      </c>
      <c r="J310" s="35" t="str">
        <f>IFERROR(__xludf.DUMMYFUNCTION("""COMPUTED_VALUE"""),"AP")</f>
        <v>AP</v>
      </c>
      <c r="K310" s="34">
        <f>IFERROR(__xludf.DUMMYFUNCTION("""COMPUTED_VALUE"""),15.4)</f>
        <v>15.4</v>
      </c>
      <c r="L310" s="35" t="str">
        <f>IFERROR(__xludf.DUMMYFUNCTION("""COMPUTED_VALUE"""),"%")</f>
        <v>%</v>
      </c>
      <c r="M310" s="36">
        <f>IFERROR(__xludf.DUMMYFUNCTION("""COMPUTED_VALUE"""),1.0)</f>
        <v>1</v>
      </c>
      <c r="N310" s="37" t="str">
        <f>IFERROR(__xludf.DUMMYFUNCTION("""COMPUTED_VALUE"""),"A115")</f>
        <v>A115</v>
      </c>
      <c r="O310" s="38" t="str">
        <f>IFERROR(__xludf.DUMMYFUNCTION("""COMPUTED_VALUE"""),"")</f>
        <v/>
      </c>
      <c r="P310" s="34">
        <f>IFERROR(__xludf.DUMMYFUNCTION("""COMPUTED_VALUE"""),202.8)</f>
        <v>202.8</v>
      </c>
      <c r="Q310" s="35" t="str">
        <f>IFERROR(__xludf.DUMMYFUNCTION("""COMPUTED_VALUE"""),"AP")</f>
        <v>AP</v>
      </c>
      <c r="R310" s="34">
        <f>IFERROR(__xludf.DUMMYFUNCTION("""COMPUTED_VALUE"""),10.4)</f>
        <v>10.4</v>
      </c>
      <c r="S310" s="35" t="str">
        <f>IFERROR(__xludf.DUMMYFUNCTION("""COMPUTED_VALUE"""),"%")</f>
        <v>%</v>
      </c>
      <c r="T310" s="36">
        <f>IFERROR(__xludf.DUMMYFUNCTION("""COMPUTED_VALUE"""),2.0)</f>
        <v>2</v>
      </c>
      <c r="U310" s="37" t="str">
        <f>IFERROR(__xludf.DUMMYFUNCTION("""COMPUTED_VALUE"""),"A304")</f>
        <v>A304</v>
      </c>
      <c r="V310" s="38" t="str">
        <f>IFERROR(__xludf.DUMMYFUNCTION("""COMPUTED_VALUE"""),"")</f>
        <v/>
      </c>
      <c r="W310" s="34">
        <f>IFERROR(__xludf.DUMMYFUNCTION("""COMPUTED_VALUE"""),70.4)</f>
        <v>70.4</v>
      </c>
      <c r="X310" s="35" t="str">
        <f>IFERROR(__xludf.DUMMYFUNCTION("""COMPUTED_VALUE"""),"AP")</f>
        <v>AP</v>
      </c>
      <c r="Y310" s="34">
        <f>IFERROR(__xludf.DUMMYFUNCTION("""COMPUTED_VALUE"""),29.8)</f>
        <v>29.8</v>
      </c>
      <c r="Z310" s="35" t="str">
        <f>IFERROR(__xludf.DUMMYFUNCTION("""COMPUTED_VALUE"""),"%")</f>
        <v>%</v>
      </c>
      <c r="AA310" s="36">
        <f>IFERROR(__xludf.DUMMYFUNCTION("""COMPUTED_VALUE"""),3.0)</f>
        <v>3</v>
      </c>
      <c r="AB310" s="37" t="str">
        <f>IFERROR(__xludf.DUMMYFUNCTION("""COMPUTED_VALUE"""),"B103")</f>
        <v>B103</v>
      </c>
      <c r="AC310" s="38" t="str">
        <f>IFERROR(__xludf.DUMMYFUNCTION("""COMPUTED_VALUE"""),"")</f>
        <v/>
      </c>
      <c r="AD310" s="34">
        <f>IFERROR(__xludf.DUMMYFUNCTION("""COMPUTED_VALUE"""),492.1)</f>
        <v>492.1</v>
      </c>
      <c r="AE310" s="35" t="str">
        <f>IFERROR(__xludf.DUMMYFUNCTION("""COMPUTED_VALUE"""),"AP")</f>
        <v>AP</v>
      </c>
      <c r="AF310" s="34">
        <f>IFERROR(__xludf.DUMMYFUNCTION("""COMPUTED_VALUE"""),4.3)</f>
        <v>4.3</v>
      </c>
      <c r="AG310" s="35" t="str">
        <f>IFERROR(__xludf.DUMMYFUNCTION("""COMPUTED_VALUE"""),"%")</f>
        <v>%</v>
      </c>
      <c r="AH310" s="31">
        <f>IFERROR(__xludf.DUMMYFUNCTION("""COMPUTED_VALUE"""),21.0)</f>
        <v>21</v>
      </c>
      <c r="AI310" s="32">
        <f>IFERROR(__xludf.DUMMYFUNCTION("""COMPUTED_VALUE"""),22314.0)</f>
        <v>22314</v>
      </c>
      <c r="AJ310" s="39" t="str">
        <f>IFERROR(__xludf.DUMMYFUNCTION("""COMPUTED_VALUE"""),"無窮の地")</f>
        <v>無窮の地</v>
      </c>
    </row>
    <row r="311" ht="24.75" customHeight="1">
      <c r="A311" s="40">
        <f>IFERROR(__xludf.DUMMYFUNCTION("""COMPUTED_VALUE"""),10.0)</f>
        <v>10</v>
      </c>
      <c r="B311" s="40" t="str">
        <f>IFERROR(__xludf.DUMMYFUNCTION("""COMPUTED_VALUE"""),"A205")</f>
        <v>A205</v>
      </c>
      <c r="C311" s="40" t="str">
        <f>IFERROR(__xludf.DUMMYFUNCTION("""COMPUTED_VALUE"""),"SLM10")</f>
        <v>SLM10</v>
      </c>
      <c r="D311" s="41" t="str">
        <f>IFERROR(__xludf.DUMMYFUNCTION("""COMPUTED_VALUE"""),"Salem")</f>
        <v>Salem</v>
      </c>
      <c r="E311" s="42" t="str">
        <f>IFERROR(__xludf.DUMMYFUNCTION("""COMPUTED_VALUE"""),"Hideout")</f>
        <v>Hideout</v>
      </c>
      <c r="F311" s="43">
        <f>IFERROR(__xludf.DUMMYFUNCTION("""COMPUTED_VALUE"""),21.0)</f>
        <v>21</v>
      </c>
      <c r="G311" s="44">
        <f>IFERROR(__xludf.DUMMYFUNCTION("""COMPUTED_VALUE"""),10589.0)</f>
        <v>10589</v>
      </c>
      <c r="H311" s="33" t="str">
        <f>IFERROR(__xludf.DUMMYFUNCTION("""COMPUTED_VALUE"""),"")</f>
        <v/>
      </c>
      <c r="I311" s="45">
        <f>IFERROR(__xludf.DUMMYFUNCTION("""COMPUTED_VALUE"""),140.2)</f>
        <v>140.2</v>
      </c>
      <c r="J311" s="46" t="str">
        <f>IFERROR(__xludf.DUMMYFUNCTION("""COMPUTED_VALUE"""),"AP")</f>
        <v>AP</v>
      </c>
      <c r="K311" s="47">
        <f>IFERROR(__xludf.DUMMYFUNCTION("""COMPUTED_VALUE"""),15.0)</f>
        <v>15</v>
      </c>
      <c r="L311" s="48" t="str">
        <f>IFERROR(__xludf.DUMMYFUNCTION("""COMPUTED_VALUE"""),"%")</f>
        <v>%</v>
      </c>
      <c r="M311" s="49">
        <f>IFERROR(__xludf.DUMMYFUNCTION("""COMPUTED_VALUE"""),1.0)</f>
        <v>1</v>
      </c>
      <c r="N311" s="50" t="str">
        <f>IFERROR(__xludf.DUMMYFUNCTION("""COMPUTED_VALUE"""),"A201")</f>
        <v>A201</v>
      </c>
      <c r="O311" s="38" t="str">
        <f>IFERROR(__xludf.DUMMYFUNCTION("""COMPUTED_VALUE"""),"")</f>
        <v/>
      </c>
      <c r="P311" s="45">
        <f>IFERROR(__xludf.DUMMYFUNCTION("""COMPUTED_VALUE"""),46.5)</f>
        <v>46.5</v>
      </c>
      <c r="Q311" s="46" t="str">
        <f>IFERROR(__xludf.DUMMYFUNCTION("""COMPUTED_VALUE"""),"AP")</f>
        <v>AP</v>
      </c>
      <c r="R311" s="47">
        <f>IFERROR(__xludf.DUMMYFUNCTION("""COMPUTED_VALUE"""),45.1)</f>
        <v>45.1</v>
      </c>
      <c r="S311" s="48" t="str">
        <f>IFERROR(__xludf.DUMMYFUNCTION("""COMPUTED_VALUE"""),"%")</f>
        <v>%</v>
      </c>
      <c r="T311" s="49">
        <f>IFERROR(__xludf.DUMMYFUNCTION("""COMPUTED_VALUE"""),2.0)</f>
        <v>2</v>
      </c>
      <c r="U311" s="50" t="str">
        <f>IFERROR(__xludf.DUMMYFUNCTION("""COMPUTED_VALUE"""),"B115")</f>
        <v>B115</v>
      </c>
      <c r="V311" s="38" t="str">
        <f>IFERROR(__xludf.DUMMYFUNCTION("""COMPUTED_VALUE"""),"")</f>
        <v/>
      </c>
      <c r="W311" s="45">
        <f>IFERROR(__xludf.DUMMYFUNCTION("""COMPUTED_VALUE"""),138.4)</f>
        <v>138.4</v>
      </c>
      <c r="X311" s="46" t="str">
        <f>IFERROR(__xludf.DUMMYFUNCTION("""COMPUTED_VALUE"""),"AP")</f>
        <v>AP</v>
      </c>
      <c r="Y311" s="47">
        <f>IFERROR(__xludf.DUMMYFUNCTION("""COMPUTED_VALUE"""),15.2)</f>
        <v>15.2</v>
      </c>
      <c r="Z311" s="48" t="str">
        <f>IFERROR(__xludf.DUMMYFUNCTION("""COMPUTED_VALUE"""),"%")</f>
        <v>%</v>
      </c>
      <c r="AA311" s="49">
        <f>IFERROR(__xludf.DUMMYFUNCTION("""COMPUTED_VALUE"""),3.0)</f>
        <v>3</v>
      </c>
      <c r="AB311" s="50"/>
      <c r="AC311" s="38"/>
      <c r="AD311" s="45" t="str">
        <f>IFERROR(__xludf.DUMMYFUNCTION("""COMPUTED_VALUE"""),"")</f>
        <v/>
      </c>
      <c r="AE311" s="46" t="str">
        <f>IFERROR(__xludf.DUMMYFUNCTION("""COMPUTED_VALUE"""),"AP")</f>
        <v>AP</v>
      </c>
      <c r="AF311" s="47" t="str">
        <f>IFERROR(__xludf.DUMMYFUNCTION("""COMPUTED_VALUE"""),"")</f>
        <v/>
      </c>
      <c r="AG311" s="48" t="str">
        <f>IFERROR(__xludf.DUMMYFUNCTION("""COMPUTED_VALUE"""),"%")</f>
        <v>%</v>
      </c>
      <c r="AH311" s="43">
        <f>IFERROR(__xludf.DUMMYFUNCTION("""COMPUTED_VALUE"""),21.0)</f>
        <v>21</v>
      </c>
      <c r="AI311" s="44">
        <f>IFERROR(__xludf.DUMMYFUNCTION("""COMPUTED_VALUE"""),10589.0)</f>
        <v>10589</v>
      </c>
      <c r="AJ311" s="51" t="str">
        <f>IFERROR(__xludf.DUMMYFUNCTION("""COMPUTED_VALUE"""),"隠れ家")</f>
        <v>隠れ家</v>
      </c>
    </row>
    <row r="312" ht="24.75" customHeight="1">
      <c r="A312" s="28">
        <f>IFERROR(__xludf.DUMMYFUNCTION("""COMPUTED_VALUE"""),11.0)</f>
        <v>11</v>
      </c>
      <c r="B312" s="28" t="str">
        <f>IFERROR(__xludf.DUMMYFUNCTION("""COMPUTED_VALUE"""),"A205")</f>
        <v>A205</v>
      </c>
      <c r="C312" s="28" t="str">
        <f>IFERROR(__xludf.DUMMYFUNCTION("""COMPUTED_VALUE"""),"AGT8")</f>
        <v>AGT8</v>
      </c>
      <c r="D312" s="29" t="str">
        <f>IFERROR(__xludf.DUMMYFUNCTION("""COMPUTED_VALUE"""),"Agartha")</f>
        <v>Agartha</v>
      </c>
      <c r="E312" s="30" t="str">
        <f>IFERROR(__xludf.DUMMYFUNCTION("""COMPUTED_VALUE"""),"Foothills Jungle")</f>
        <v>Foothills Jungle</v>
      </c>
      <c r="F312" s="31">
        <f>IFERROR(__xludf.DUMMYFUNCTION("""COMPUTED_VALUE"""),21.0)</f>
        <v>21</v>
      </c>
      <c r="G312" s="32">
        <f>IFERROR(__xludf.DUMMYFUNCTION("""COMPUTED_VALUE"""),23100.0)</f>
        <v>23100</v>
      </c>
      <c r="H312" s="33" t="str">
        <f>IFERROR(__xludf.DUMMYFUNCTION("""COMPUTED_VALUE"""),"")</f>
        <v/>
      </c>
      <c r="I312" s="34">
        <f>IFERROR(__xludf.DUMMYFUNCTION("""COMPUTED_VALUE"""),146.7)</f>
        <v>146.7</v>
      </c>
      <c r="J312" s="35" t="str">
        <f>IFERROR(__xludf.DUMMYFUNCTION("""COMPUTED_VALUE"""),"AP")</f>
        <v>AP</v>
      </c>
      <c r="K312" s="34">
        <f>IFERROR(__xludf.DUMMYFUNCTION("""COMPUTED_VALUE"""),14.3)</f>
        <v>14.3</v>
      </c>
      <c r="L312" s="35" t="str">
        <f>IFERROR(__xludf.DUMMYFUNCTION("""COMPUTED_VALUE"""),"%")</f>
        <v>%</v>
      </c>
      <c r="M312" s="36">
        <f>IFERROR(__xludf.DUMMYFUNCTION("""COMPUTED_VALUE"""),1.0)</f>
        <v>1</v>
      </c>
      <c r="N312" s="37" t="str">
        <f>IFERROR(__xludf.DUMMYFUNCTION("""COMPUTED_VALUE"""),"A201")</f>
        <v>A201</v>
      </c>
      <c r="O312" s="38" t="str">
        <f>IFERROR(__xludf.DUMMYFUNCTION("""COMPUTED_VALUE"""),"")</f>
        <v/>
      </c>
      <c r="P312" s="34">
        <f>IFERROR(__xludf.DUMMYFUNCTION("""COMPUTED_VALUE"""),137.1)</f>
        <v>137.1</v>
      </c>
      <c r="Q312" s="35" t="str">
        <f>IFERROR(__xludf.DUMMYFUNCTION("""COMPUTED_VALUE"""),"AP")</f>
        <v>AP</v>
      </c>
      <c r="R312" s="34">
        <f>IFERROR(__xludf.DUMMYFUNCTION("""COMPUTED_VALUE"""),15.3)</f>
        <v>15.3</v>
      </c>
      <c r="S312" s="35" t="str">
        <f>IFERROR(__xludf.DUMMYFUNCTION("""COMPUTED_VALUE"""),"%")</f>
        <v>%</v>
      </c>
      <c r="T312" s="36">
        <f>IFERROR(__xludf.DUMMYFUNCTION("""COMPUTED_VALUE"""),2.0)</f>
        <v>2</v>
      </c>
      <c r="U312" s="37" t="str">
        <f>IFERROR(__xludf.DUMMYFUNCTION("""COMPUTED_VALUE"""),"A303")</f>
        <v>A303</v>
      </c>
      <c r="V312" s="38" t="str">
        <f>IFERROR(__xludf.DUMMYFUNCTION("""COMPUTED_VALUE"""),"")</f>
        <v/>
      </c>
      <c r="W312" s="34">
        <f>IFERROR(__xludf.DUMMYFUNCTION("""COMPUTED_VALUE"""),42.5)</f>
        <v>42.5</v>
      </c>
      <c r="X312" s="35" t="str">
        <f>IFERROR(__xludf.DUMMYFUNCTION("""COMPUTED_VALUE"""),"AP")</f>
        <v>AP</v>
      </c>
      <c r="Y312" s="34">
        <f>IFERROR(__xludf.DUMMYFUNCTION("""COMPUTED_VALUE"""),49.4)</f>
        <v>49.4</v>
      </c>
      <c r="Z312" s="35" t="str">
        <f>IFERROR(__xludf.DUMMYFUNCTION("""COMPUTED_VALUE"""),"%")</f>
        <v>%</v>
      </c>
      <c r="AA312" s="36">
        <f>IFERROR(__xludf.DUMMYFUNCTION("""COMPUTED_VALUE"""),3.0)</f>
        <v>3</v>
      </c>
      <c r="AB312" s="37" t="str">
        <f>IFERROR(__xludf.DUMMYFUNCTION("""COMPUTED_VALUE"""),"B112")</f>
        <v>B112</v>
      </c>
      <c r="AC312" s="38" t="str">
        <f>IFERROR(__xludf.DUMMYFUNCTION("""COMPUTED_VALUE"""),"")</f>
        <v/>
      </c>
      <c r="AD312" s="34">
        <f>IFERROR(__xludf.DUMMYFUNCTION("""COMPUTED_VALUE"""),213.3)</f>
        <v>213.3</v>
      </c>
      <c r="AE312" s="35" t="str">
        <f>IFERROR(__xludf.DUMMYFUNCTION("""COMPUTED_VALUE"""),"AP")</f>
        <v>AP</v>
      </c>
      <c r="AF312" s="34">
        <f>IFERROR(__xludf.DUMMYFUNCTION("""COMPUTED_VALUE"""),9.8)</f>
        <v>9.8</v>
      </c>
      <c r="AG312" s="35" t="str">
        <f>IFERROR(__xludf.DUMMYFUNCTION("""COMPUTED_VALUE"""),"%")</f>
        <v>%</v>
      </c>
      <c r="AH312" s="31">
        <f>IFERROR(__xludf.DUMMYFUNCTION("""COMPUTED_VALUE"""),21.0)</f>
        <v>21</v>
      </c>
      <c r="AI312" s="32">
        <f>IFERROR(__xludf.DUMMYFUNCTION("""COMPUTED_VALUE"""),23100.0)</f>
        <v>23100</v>
      </c>
      <c r="AJ312" s="39" t="str">
        <f>IFERROR(__xludf.DUMMYFUNCTION("""COMPUTED_VALUE"""),"山裾の密林")</f>
        <v>山裾の密林</v>
      </c>
    </row>
    <row r="313" ht="24.75" customHeight="1">
      <c r="A313" s="40">
        <f>IFERROR(__xludf.DUMMYFUNCTION("""COMPUTED_VALUE"""),12.0)</f>
        <v>12</v>
      </c>
      <c r="B313" s="40" t="str">
        <f>IFERROR(__xludf.DUMMYFUNCTION("""COMPUTED_VALUE"""),"A205")</f>
        <v>A205</v>
      </c>
      <c r="C313" s="40" t="str">
        <f>IFERROR(__xludf.DUMMYFUNCTION("""COMPUTED_VALUE"""),"TRF27")</f>
        <v>TRF27</v>
      </c>
      <c r="D313" s="41" t="str">
        <f>IFERROR(__xludf.DUMMYFUNCTION("""COMPUTED_VALUE"""),"Chaldea Gate (Sun)")</f>
        <v>Chaldea Gate (Sun)</v>
      </c>
      <c r="E313" s="42" t="str">
        <f>IFERROR(__xludf.DUMMYFUNCTION("""COMPUTED_VALUE"""),"SUN Saber Training Ground- Adv")</f>
        <v>SUN Saber Training Ground- Adv</v>
      </c>
      <c r="F313" s="43">
        <f>IFERROR(__xludf.DUMMYFUNCTION("""COMPUTED_VALUE"""),30.0)</f>
        <v>30</v>
      </c>
      <c r="G313" s="44">
        <f>IFERROR(__xludf.DUMMYFUNCTION("""COMPUTED_VALUE"""),3856.0)</f>
        <v>3856</v>
      </c>
      <c r="H313" s="33" t="str">
        <f>IFERROR(__xludf.DUMMYFUNCTION("""COMPUTED_VALUE"""),"")</f>
        <v/>
      </c>
      <c r="I313" s="45">
        <f>IFERROR(__xludf.DUMMYFUNCTION("""COMPUTED_VALUE"""),173.4)</f>
        <v>173.4</v>
      </c>
      <c r="J313" s="46" t="str">
        <f>IFERROR(__xludf.DUMMYFUNCTION("""COMPUTED_VALUE"""),"AP")</f>
        <v>AP</v>
      </c>
      <c r="K313" s="47">
        <f>IFERROR(__xludf.DUMMYFUNCTION("""COMPUTED_VALUE"""),17.3)</f>
        <v>17.3</v>
      </c>
      <c r="L313" s="48" t="str">
        <f>IFERROR(__xludf.DUMMYFUNCTION("""COMPUTED_VALUE"""),"%")</f>
        <v>%</v>
      </c>
      <c r="M313" s="49">
        <f>IFERROR(__xludf.DUMMYFUNCTION("""COMPUTED_VALUE"""),1.0)</f>
        <v>1</v>
      </c>
      <c r="N313" s="50" t="str">
        <f>IFERROR(__xludf.DUMMYFUNCTION("""COMPUTED_VALUE"""),"A104")</f>
        <v>A104</v>
      </c>
      <c r="O313" s="38" t="str">
        <f>IFERROR(__xludf.DUMMYFUNCTION("""COMPUTED_VALUE"""),"")</f>
        <v/>
      </c>
      <c r="P313" s="45">
        <f>IFERROR(__xludf.DUMMYFUNCTION("""COMPUTED_VALUE"""),776.4)</f>
        <v>776.4</v>
      </c>
      <c r="Q313" s="46" t="str">
        <f>IFERROR(__xludf.DUMMYFUNCTION("""COMPUTED_VALUE"""),"AP")</f>
        <v>AP</v>
      </c>
      <c r="R313" s="47">
        <f>IFERROR(__xludf.DUMMYFUNCTION("""COMPUTED_VALUE"""),3.9)</f>
        <v>3.9</v>
      </c>
      <c r="S313" s="48" t="str">
        <f>IFERROR(__xludf.DUMMYFUNCTION("""COMPUTED_VALUE"""),"%")</f>
        <v>%</v>
      </c>
      <c r="T313" s="49">
        <f>IFERROR(__xludf.DUMMYFUNCTION("""COMPUTED_VALUE"""),2.0)</f>
        <v>2</v>
      </c>
      <c r="U313" s="50" t="str">
        <f>IFERROR(__xludf.DUMMYFUNCTION("""COMPUTED_VALUE"""),"A201")</f>
        <v>A201</v>
      </c>
      <c r="V313" s="38" t="str">
        <f>IFERROR(__xludf.DUMMYFUNCTION("""COMPUTED_VALUE"""),"")</f>
        <v/>
      </c>
      <c r="W313" s="45">
        <f>IFERROR(__xludf.DUMMYFUNCTION("""COMPUTED_VALUE"""),124.8)</f>
        <v>124.8</v>
      </c>
      <c r="X313" s="46" t="str">
        <f>IFERROR(__xludf.DUMMYFUNCTION("""COMPUTED_VALUE"""),"AP")</f>
        <v>AP</v>
      </c>
      <c r="Y313" s="47">
        <f>IFERROR(__xludf.DUMMYFUNCTION("""COMPUTED_VALUE"""),24.0)</f>
        <v>24</v>
      </c>
      <c r="Z313" s="48" t="str">
        <f>IFERROR(__xludf.DUMMYFUNCTION("""COMPUTED_VALUE"""),"%")</f>
        <v>%</v>
      </c>
      <c r="AA313" s="49">
        <f>IFERROR(__xludf.DUMMYFUNCTION("""COMPUTED_VALUE"""),3.0)</f>
        <v>3</v>
      </c>
      <c r="AB313" s="50" t="str">
        <f>IFERROR(__xludf.DUMMYFUNCTION("""COMPUTED_VALUE"""),"A206")</f>
        <v>A206</v>
      </c>
      <c r="AC313" s="38" t="str">
        <f>IFERROR(__xludf.DUMMYFUNCTION("""COMPUTED_VALUE"""),"")</f>
        <v/>
      </c>
      <c r="AD313" s="45">
        <f>IFERROR(__xludf.DUMMYFUNCTION("""COMPUTED_VALUE"""),209.9)</f>
        <v>209.9</v>
      </c>
      <c r="AE313" s="46" t="str">
        <f>IFERROR(__xludf.DUMMYFUNCTION("""COMPUTED_VALUE"""),"AP")</f>
        <v>AP</v>
      </c>
      <c r="AF313" s="47">
        <f>IFERROR(__xludf.DUMMYFUNCTION("""COMPUTED_VALUE"""),14.3)</f>
        <v>14.3</v>
      </c>
      <c r="AG313" s="48" t="str">
        <f>IFERROR(__xludf.DUMMYFUNCTION("""COMPUTED_VALUE"""),"%")</f>
        <v>%</v>
      </c>
      <c r="AH313" s="43">
        <f>IFERROR(__xludf.DUMMYFUNCTION("""COMPUTED_VALUE"""),30.0)</f>
        <v>30</v>
      </c>
      <c r="AI313" s="44">
        <f>IFERROR(__xludf.DUMMYFUNCTION("""COMPUTED_VALUE"""),3856.0)</f>
        <v>3856</v>
      </c>
      <c r="AJ313" s="51" t="str">
        <f>IFERROR(__xludf.DUMMYFUNCTION("""COMPUTED_VALUE"""),"剣上級")</f>
        <v>剣上級</v>
      </c>
    </row>
    <row r="314" ht="24.75" customHeight="1">
      <c r="A314" s="28">
        <f>IFERROR(__xludf.DUMMYFUNCTION("""COMPUTED_VALUE"""),13.0)</f>
        <v>13</v>
      </c>
      <c r="B314" s="28" t="str">
        <f>IFERROR(__xludf.DUMMYFUNCTION("""COMPUTED_VALUE"""),"A205")</f>
        <v>A205</v>
      </c>
      <c r="C314" s="28" t="str">
        <f>IFERROR(__xludf.DUMMYFUNCTION("""COMPUTED_VALUE"""),"OKN12")</f>
        <v>OKN12</v>
      </c>
      <c r="D314" s="29" t="str">
        <f>IFERROR(__xludf.DUMMYFUNCTION("""COMPUTED_VALUE"""),"Okeanos")</f>
        <v>Okeanos</v>
      </c>
      <c r="E314" s="30" t="str">
        <f>IFERROR(__xludf.DUMMYFUNCTION("""COMPUTED_VALUE"""),"Bountiful Sea")</f>
        <v>Bountiful Sea</v>
      </c>
      <c r="F314" s="31">
        <f>IFERROR(__xludf.DUMMYFUNCTION("""COMPUTED_VALUE"""),18.0)</f>
        <v>18</v>
      </c>
      <c r="G314" s="32">
        <f>IFERROR(__xludf.DUMMYFUNCTION("""COMPUTED_VALUE"""),18199.0)</f>
        <v>18199</v>
      </c>
      <c r="H314" s="33" t="str">
        <f>IFERROR(__xludf.DUMMYFUNCTION("""COMPUTED_VALUE"""),"")</f>
        <v/>
      </c>
      <c r="I314" s="34">
        <f>IFERROR(__xludf.DUMMYFUNCTION("""COMPUTED_VALUE"""),191.1)</f>
        <v>191.1</v>
      </c>
      <c r="J314" s="35" t="str">
        <f>IFERROR(__xludf.DUMMYFUNCTION("""COMPUTED_VALUE"""),"AP")</f>
        <v>AP</v>
      </c>
      <c r="K314" s="34">
        <f>IFERROR(__xludf.DUMMYFUNCTION("""COMPUTED_VALUE"""),9.4)</f>
        <v>9.4</v>
      </c>
      <c r="L314" s="35" t="str">
        <f>IFERROR(__xludf.DUMMYFUNCTION("""COMPUTED_VALUE"""),"%")</f>
        <v>%</v>
      </c>
      <c r="M314" s="36">
        <f>IFERROR(__xludf.DUMMYFUNCTION("""COMPUTED_VALUE"""),1.0)</f>
        <v>1</v>
      </c>
      <c r="N314" s="37" t="str">
        <f>IFERROR(__xludf.DUMMYFUNCTION("""COMPUTED_VALUE"""),"A201")</f>
        <v>A201</v>
      </c>
      <c r="O314" s="38" t="str">
        <f>IFERROR(__xludf.DUMMYFUNCTION("""COMPUTED_VALUE"""),"")</f>
        <v/>
      </c>
      <c r="P314" s="34">
        <f>IFERROR(__xludf.DUMMYFUNCTION("""COMPUTED_VALUE"""),60.0)</f>
        <v>60</v>
      </c>
      <c r="Q314" s="35" t="str">
        <f>IFERROR(__xludf.DUMMYFUNCTION("""COMPUTED_VALUE"""),"AP")</f>
        <v>AP</v>
      </c>
      <c r="R314" s="34">
        <f>IFERROR(__xludf.DUMMYFUNCTION("""COMPUTED_VALUE"""),30.0)</f>
        <v>30</v>
      </c>
      <c r="S314" s="35" t="str">
        <f>IFERROR(__xludf.DUMMYFUNCTION("""COMPUTED_VALUE"""),"%")</f>
        <v>%</v>
      </c>
      <c r="T314" s="36">
        <f>IFERROR(__xludf.DUMMYFUNCTION("""COMPUTED_VALUE"""),2.0)</f>
        <v>2</v>
      </c>
      <c r="U314" s="37" t="str">
        <f>IFERROR(__xludf.DUMMYFUNCTION("""COMPUTED_VALUE"""),"B112")</f>
        <v>B112</v>
      </c>
      <c r="V314" s="38" t="str">
        <f>IFERROR(__xludf.DUMMYFUNCTION("""COMPUTED_VALUE"""),"")</f>
        <v/>
      </c>
      <c r="W314" s="34">
        <f>IFERROR(__xludf.DUMMYFUNCTION("""COMPUTED_VALUE"""),180.5)</f>
        <v>180.5</v>
      </c>
      <c r="X314" s="35" t="str">
        <f>IFERROR(__xludf.DUMMYFUNCTION("""COMPUTED_VALUE"""),"AP")</f>
        <v>AP</v>
      </c>
      <c r="Y314" s="34">
        <f>IFERROR(__xludf.DUMMYFUNCTION("""COMPUTED_VALUE"""),10.0)</f>
        <v>10</v>
      </c>
      <c r="Z314" s="35" t="str">
        <f>IFERROR(__xludf.DUMMYFUNCTION("""COMPUTED_VALUE"""),"%")</f>
        <v>%</v>
      </c>
      <c r="AA314" s="36">
        <f>IFERROR(__xludf.DUMMYFUNCTION("""COMPUTED_VALUE"""),3.0)</f>
        <v>3</v>
      </c>
      <c r="AB314" s="37" t="str">
        <f>IFERROR(__xludf.DUMMYFUNCTION("""COMPUTED_VALUE"""),"B113")</f>
        <v>B113</v>
      </c>
      <c r="AC314" s="38" t="str">
        <f>IFERROR(__xludf.DUMMYFUNCTION("""COMPUTED_VALUE"""),"")</f>
        <v/>
      </c>
      <c r="AD314" s="34">
        <f>IFERROR(__xludf.DUMMYFUNCTION("""COMPUTED_VALUE"""),352.6)</f>
        <v>352.6</v>
      </c>
      <c r="AE314" s="35" t="str">
        <f>IFERROR(__xludf.DUMMYFUNCTION("""COMPUTED_VALUE"""),"AP")</f>
        <v>AP</v>
      </c>
      <c r="AF314" s="34">
        <f>IFERROR(__xludf.DUMMYFUNCTION("""COMPUTED_VALUE"""),5.1)</f>
        <v>5.1</v>
      </c>
      <c r="AG314" s="35" t="str">
        <f>IFERROR(__xludf.DUMMYFUNCTION("""COMPUTED_VALUE"""),"%")</f>
        <v>%</v>
      </c>
      <c r="AH314" s="31">
        <f>IFERROR(__xludf.DUMMYFUNCTION("""COMPUTED_VALUE"""),18.0)</f>
        <v>18</v>
      </c>
      <c r="AI314" s="32">
        <f>IFERROR(__xludf.DUMMYFUNCTION("""COMPUTED_VALUE"""),18199.0)</f>
        <v>18199</v>
      </c>
      <c r="AJ314" s="39" t="str">
        <f>IFERROR(__xludf.DUMMYFUNCTION("""COMPUTED_VALUE"""),"豊かな海")</f>
        <v>豊かな海</v>
      </c>
    </row>
    <row r="315" ht="24.75" customHeight="1">
      <c r="A315" s="40">
        <f>IFERROR(__xludf.DUMMYFUNCTION("""COMPUTED_VALUE"""),14.0)</f>
        <v>14</v>
      </c>
      <c r="B315" s="40" t="str">
        <f>IFERROR(__xludf.DUMMYFUNCTION("""COMPUTED_VALUE"""),"A205")</f>
        <v>A205</v>
      </c>
      <c r="C315" s="40" t="str">
        <f>IFERROR(__xludf.DUMMYFUNCTION("""COMPUTED_VALUE"""),"TRF4")</f>
        <v>TRF4</v>
      </c>
      <c r="D315" s="41" t="str">
        <f>IFERROR(__xludf.DUMMYFUNCTION("""COMPUTED_VALUE"""),"Chaldea Gate (Mon)")</f>
        <v>Chaldea Gate (Mon)</v>
      </c>
      <c r="E315" s="42" t="str">
        <f>IFERROR(__xludf.DUMMYFUNCTION("""COMPUTED_VALUE"""),"MON Archer Training Ground- Exp")</f>
        <v>MON Archer Training Ground- Exp</v>
      </c>
      <c r="F315" s="43">
        <f>IFERROR(__xludf.DUMMYFUNCTION("""COMPUTED_VALUE"""),40.0)</f>
        <v>40</v>
      </c>
      <c r="G315" s="44">
        <f>IFERROR(__xludf.DUMMYFUNCTION("""COMPUTED_VALUE"""),10115.0)</f>
        <v>10115</v>
      </c>
      <c r="H315" s="33" t="str">
        <f>IFERROR(__xludf.DUMMYFUNCTION("""COMPUTED_VALUE"""),"")</f>
        <v/>
      </c>
      <c r="I315" s="45">
        <f>IFERROR(__xludf.DUMMYFUNCTION("""COMPUTED_VALUE"""),198.8)</f>
        <v>198.8</v>
      </c>
      <c r="J315" s="46" t="str">
        <f>IFERROR(__xludf.DUMMYFUNCTION("""COMPUTED_VALUE"""),"AP")</f>
        <v>AP</v>
      </c>
      <c r="K315" s="47">
        <f>IFERROR(__xludf.DUMMYFUNCTION("""COMPUTED_VALUE"""),20.1)</f>
        <v>20.1</v>
      </c>
      <c r="L315" s="48" t="str">
        <f>IFERROR(__xludf.DUMMYFUNCTION("""COMPUTED_VALUE"""),"%")</f>
        <v>%</v>
      </c>
      <c r="M315" s="49">
        <f>IFERROR(__xludf.DUMMYFUNCTION("""COMPUTED_VALUE"""),1.0)</f>
        <v>1</v>
      </c>
      <c r="N315" s="50" t="str">
        <f>IFERROR(__xludf.DUMMYFUNCTION("""COMPUTED_VALUE"""),"A106")</f>
        <v>A106</v>
      </c>
      <c r="O315" s="38" t="str">
        <f>IFERROR(__xludf.DUMMYFUNCTION("""COMPUTED_VALUE"""),"")</f>
        <v/>
      </c>
      <c r="P315" s="45">
        <f>IFERROR(__xludf.DUMMYFUNCTION("""COMPUTED_VALUE"""),315.5)</f>
        <v>315.5</v>
      </c>
      <c r="Q315" s="46" t="str">
        <f>IFERROR(__xludf.DUMMYFUNCTION("""COMPUTED_VALUE"""),"AP")</f>
        <v>AP</v>
      </c>
      <c r="R315" s="47">
        <f>IFERROR(__xludf.DUMMYFUNCTION("""COMPUTED_VALUE"""),12.7)</f>
        <v>12.7</v>
      </c>
      <c r="S315" s="48" t="str">
        <f>IFERROR(__xludf.DUMMYFUNCTION("""COMPUTED_VALUE"""),"%")</f>
        <v>%</v>
      </c>
      <c r="T315" s="49">
        <f>IFERROR(__xludf.DUMMYFUNCTION("""COMPUTED_VALUE"""),2.0)</f>
        <v>2</v>
      </c>
      <c r="U315" s="50" t="str">
        <f>IFERROR(__xludf.DUMMYFUNCTION("""COMPUTED_VALUE"""),"A201")</f>
        <v>A201</v>
      </c>
      <c r="V315" s="38" t="str">
        <f>IFERROR(__xludf.DUMMYFUNCTION("""COMPUTED_VALUE"""),"")</f>
        <v/>
      </c>
      <c r="W315" s="45">
        <f>IFERROR(__xludf.DUMMYFUNCTION("""COMPUTED_VALUE"""),211.7)</f>
        <v>211.7</v>
      </c>
      <c r="X315" s="46" t="str">
        <f>IFERROR(__xludf.DUMMYFUNCTION("""COMPUTED_VALUE"""),"AP")</f>
        <v>AP</v>
      </c>
      <c r="Y315" s="47">
        <f>IFERROR(__xludf.DUMMYFUNCTION("""COMPUTED_VALUE"""),18.9)</f>
        <v>18.9</v>
      </c>
      <c r="Z315" s="48" t="str">
        <f>IFERROR(__xludf.DUMMYFUNCTION("""COMPUTED_VALUE"""),"%")</f>
        <v>%</v>
      </c>
      <c r="AA315" s="49">
        <f>IFERROR(__xludf.DUMMYFUNCTION("""COMPUTED_VALUE"""),3.0)</f>
        <v>3</v>
      </c>
      <c r="AB315" s="50" t="str">
        <f>IFERROR(__xludf.DUMMYFUNCTION("""COMPUTED_VALUE"""),"A209")</f>
        <v>A209</v>
      </c>
      <c r="AC315" s="38" t="str">
        <f>IFERROR(__xludf.DUMMYFUNCTION("""COMPUTED_VALUE"""),"")</f>
        <v/>
      </c>
      <c r="AD315" s="45">
        <f>IFERROR(__xludf.DUMMYFUNCTION("""COMPUTED_VALUE"""),208.0)</f>
        <v>208</v>
      </c>
      <c r="AE315" s="46" t="str">
        <f>IFERROR(__xludf.DUMMYFUNCTION("""COMPUTED_VALUE"""),"AP")</f>
        <v>AP</v>
      </c>
      <c r="AF315" s="47">
        <f>IFERROR(__xludf.DUMMYFUNCTION("""COMPUTED_VALUE"""),19.2)</f>
        <v>19.2</v>
      </c>
      <c r="AG315" s="48" t="str">
        <f>IFERROR(__xludf.DUMMYFUNCTION("""COMPUTED_VALUE"""),"%")</f>
        <v>%</v>
      </c>
      <c r="AH315" s="43">
        <f>IFERROR(__xludf.DUMMYFUNCTION("""COMPUTED_VALUE"""),40.0)</f>
        <v>40</v>
      </c>
      <c r="AI315" s="44">
        <f>IFERROR(__xludf.DUMMYFUNCTION("""COMPUTED_VALUE"""),10115.0)</f>
        <v>10115</v>
      </c>
      <c r="AJ315" s="51" t="str">
        <f>IFERROR(__xludf.DUMMYFUNCTION("""COMPUTED_VALUE"""),"弓超級")</f>
        <v>弓超級</v>
      </c>
    </row>
    <row r="316" ht="24.75" customHeight="1">
      <c r="A316" s="28">
        <f>IFERROR(__xludf.DUMMYFUNCTION("""COMPUTED_VALUE"""),15.0)</f>
        <v>15</v>
      </c>
      <c r="B316" s="28" t="str">
        <f>IFERROR(__xludf.DUMMYFUNCTION("""COMPUTED_VALUE"""),"A205")</f>
        <v>A205</v>
      </c>
      <c r="C316" s="28" t="str">
        <f>IFERROR(__xludf.DUMMYFUNCTION("""COMPUTED_VALUE"""),"TRF3")</f>
        <v>TRF3</v>
      </c>
      <c r="D316" s="29" t="str">
        <f>IFERROR(__xludf.DUMMYFUNCTION("""COMPUTED_VALUE"""),"Chaldea Gate (Mon)")</f>
        <v>Chaldea Gate (Mon)</v>
      </c>
      <c r="E316" s="30" t="str">
        <f>IFERROR(__xludf.DUMMYFUNCTION("""COMPUTED_VALUE"""),"MON Archer Training Ground- Adv")</f>
        <v>MON Archer Training Ground- Adv</v>
      </c>
      <c r="F316" s="31">
        <f>IFERROR(__xludf.DUMMYFUNCTION("""COMPUTED_VALUE"""),30.0)</f>
        <v>30</v>
      </c>
      <c r="G316" s="32">
        <f>IFERROR(__xludf.DUMMYFUNCTION("""COMPUTED_VALUE"""),1260.0)</f>
        <v>1260</v>
      </c>
      <c r="H316" s="33" t="str">
        <f>IFERROR(__xludf.DUMMYFUNCTION("""COMPUTED_VALUE"""),"")</f>
        <v/>
      </c>
      <c r="I316" s="34">
        <f>IFERROR(__xludf.DUMMYFUNCTION("""COMPUTED_VALUE"""),328.2)</f>
        <v>328.2</v>
      </c>
      <c r="J316" s="35" t="str">
        <f>IFERROR(__xludf.DUMMYFUNCTION("""COMPUTED_VALUE"""),"AP")</f>
        <v>AP</v>
      </c>
      <c r="K316" s="34">
        <f>IFERROR(__xludf.DUMMYFUNCTION("""COMPUTED_VALUE"""),9.1)</f>
        <v>9.1</v>
      </c>
      <c r="L316" s="35" t="str">
        <f>IFERROR(__xludf.DUMMYFUNCTION("""COMPUTED_VALUE"""),"%")</f>
        <v>%</v>
      </c>
      <c r="M316" s="36">
        <f>IFERROR(__xludf.DUMMYFUNCTION("""COMPUTED_VALUE"""),1.0)</f>
        <v>1</v>
      </c>
      <c r="N316" s="37" t="str">
        <f>IFERROR(__xludf.DUMMYFUNCTION("""COMPUTED_VALUE"""),"A106")</f>
        <v>A106</v>
      </c>
      <c r="O316" s="38" t="str">
        <f>IFERROR(__xludf.DUMMYFUNCTION("""COMPUTED_VALUE"""),"")</f>
        <v/>
      </c>
      <c r="P316" s="34">
        <f>IFERROR(__xludf.DUMMYFUNCTION("""COMPUTED_VALUE"""),546.1)</f>
        <v>546.1</v>
      </c>
      <c r="Q316" s="35" t="str">
        <f>IFERROR(__xludf.DUMMYFUNCTION("""COMPUTED_VALUE"""),"AP")</f>
        <v>AP</v>
      </c>
      <c r="R316" s="34">
        <f>IFERROR(__xludf.DUMMYFUNCTION("""COMPUTED_VALUE"""),5.5)</f>
        <v>5.5</v>
      </c>
      <c r="S316" s="35" t="str">
        <f>IFERROR(__xludf.DUMMYFUNCTION("""COMPUTED_VALUE"""),"%")</f>
        <v>%</v>
      </c>
      <c r="T316" s="36">
        <f>IFERROR(__xludf.DUMMYFUNCTION("""COMPUTED_VALUE"""),2.0)</f>
        <v>2</v>
      </c>
      <c r="U316" s="37" t="str">
        <f>IFERROR(__xludf.DUMMYFUNCTION("""COMPUTED_VALUE"""),"A201")</f>
        <v>A201</v>
      </c>
      <c r="V316" s="38" t="str">
        <f>IFERROR(__xludf.DUMMYFUNCTION("""COMPUTED_VALUE"""),"")</f>
        <v/>
      </c>
      <c r="W316" s="34">
        <f>IFERROR(__xludf.DUMMYFUNCTION("""COMPUTED_VALUE"""),201.8)</f>
        <v>201.8</v>
      </c>
      <c r="X316" s="35" t="str">
        <f>IFERROR(__xludf.DUMMYFUNCTION("""COMPUTED_VALUE"""),"AP")</f>
        <v>AP</v>
      </c>
      <c r="Y316" s="34">
        <f>IFERROR(__xludf.DUMMYFUNCTION("""COMPUTED_VALUE"""),14.9)</f>
        <v>14.9</v>
      </c>
      <c r="Z316" s="35" t="str">
        <f>IFERROR(__xludf.DUMMYFUNCTION("""COMPUTED_VALUE"""),"%")</f>
        <v>%</v>
      </c>
      <c r="AA316" s="36">
        <f>IFERROR(__xludf.DUMMYFUNCTION("""COMPUTED_VALUE"""),3.0)</f>
        <v>3</v>
      </c>
      <c r="AB316" s="37" t="str">
        <f>IFERROR(__xludf.DUMMYFUNCTION("""COMPUTED_VALUE"""),"A209")</f>
        <v>A209</v>
      </c>
      <c r="AC316" s="38" t="str">
        <f>IFERROR(__xludf.DUMMYFUNCTION("""COMPUTED_VALUE"""),"")</f>
        <v/>
      </c>
      <c r="AD316" s="34">
        <f>IFERROR(__xludf.DUMMYFUNCTION("""COMPUTED_VALUE"""),223.7)</f>
        <v>223.7</v>
      </c>
      <c r="AE316" s="35" t="str">
        <f>IFERROR(__xludf.DUMMYFUNCTION("""COMPUTED_VALUE"""),"AP")</f>
        <v>AP</v>
      </c>
      <c r="AF316" s="34">
        <f>IFERROR(__xludf.DUMMYFUNCTION("""COMPUTED_VALUE"""),13.4)</f>
        <v>13.4</v>
      </c>
      <c r="AG316" s="35" t="str">
        <f>IFERROR(__xludf.DUMMYFUNCTION("""COMPUTED_VALUE"""),"%")</f>
        <v>%</v>
      </c>
      <c r="AH316" s="31">
        <f>IFERROR(__xludf.DUMMYFUNCTION("""COMPUTED_VALUE"""),30.0)</f>
        <v>30</v>
      </c>
      <c r="AI316" s="32">
        <f>IFERROR(__xludf.DUMMYFUNCTION("""COMPUTED_VALUE"""),1260.0)</f>
        <v>1260</v>
      </c>
      <c r="AJ316" s="39" t="str">
        <f>IFERROR(__xludf.DUMMYFUNCTION("""COMPUTED_VALUE"""),"弓上級")</f>
        <v>弓上級</v>
      </c>
    </row>
    <row r="317" ht="24.75" customHeight="1">
      <c r="A317" s="40">
        <f>IFERROR(__xludf.DUMMYFUNCTION("""COMPUTED_VALUE"""),16.0)</f>
        <v>16</v>
      </c>
      <c r="B317" s="40" t="str">
        <f>IFERROR(__xludf.DUMMYFUNCTION("""COMPUTED_VALUE"""),"A205")</f>
        <v>A205</v>
      </c>
      <c r="C317" s="40" t="str">
        <f>IFERROR(__xludf.DUMMYFUNCTION("""COMPUTED_VALUE"""),"TRF7")</f>
        <v>TRF7</v>
      </c>
      <c r="D317" s="41" t="str">
        <f>IFERROR(__xludf.DUMMYFUNCTION("""COMPUTED_VALUE"""),"Chaldea Gate (Tue)")</f>
        <v>Chaldea Gate (Tue)</v>
      </c>
      <c r="E317" s="42" t="str">
        <f>IFERROR(__xludf.DUMMYFUNCTION("""COMPUTED_VALUE"""),"TUE Lancer Training Ground- Adv")</f>
        <v>TUE Lancer Training Ground- Adv</v>
      </c>
      <c r="F317" s="43">
        <f>IFERROR(__xludf.DUMMYFUNCTION("""COMPUTED_VALUE"""),30.0)</f>
        <v>30</v>
      </c>
      <c r="G317" s="44">
        <f>IFERROR(__xludf.DUMMYFUNCTION("""COMPUTED_VALUE"""),1073.0)</f>
        <v>1073</v>
      </c>
      <c r="H317" s="33" t="str">
        <f>IFERROR(__xludf.DUMMYFUNCTION("""COMPUTED_VALUE"""),"")</f>
        <v/>
      </c>
      <c r="I317" s="45">
        <f>IFERROR(__xludf.DUMMYFUNCTION("""COMPUTED_VALUE"""),349.9)</f>
        <v>349.9</v>
      </c>
      <c r="J317" s="46" t="str">
        <f>IFERROR(__xludf.DUMMYFUNCTION("""COMPUTED_VALUE"""),"AP")</f>
        <v>AP</v>
      </c>
      <c r="K317" s="47">
        <f>IFERROR(__xludf.DUMMYFUNCTION("""COMPUTED_VALUE"""),8.6)</f>
        <v>8.6</v>
      </c>
      <c r="L317" s="48" t="str">
        <f>IFERROR(__xludf.DUMMYFUNCTION("""COMPUTED_VALUE"""),"%")</f>
        <v>%</v>
      </c>
      <c r="M317" s="49">
        <f>IFERROR(__xludf.DUMMYFUNCTION("""COMPUTED_VALUE"""),1.0)</f>
        <v>1</v>
      </c>
      <c r="N317" s="50" t="str">
        <f>IFERROR(__xludf.DUMMYFUNCTION("""COMPUTED_VALUE"""),"A105")</f>
        <v>A105</v>
      </c>
      <c r="O317" s="38" t="str">
        <f>IFERROR(__xludf.DUMMYFUNCTION("""COMPUTED_VALUE"""),"")</f>
        <v/>
      </c>
      <c r="P317" s="45">
        <f>IFERROR(__xludf.DUMMYFUNCTION("""COMPUTED_VALUE"""),511.0)</f>
        <v>511</v>
      </c>
      <c r="Q317" s="46" t="str">
        <f>IFERROR(__xludf.DUMMYFUNCTION("""COMPUTED_VALUE"""),"AP")</f>
        <v>AP</v>
      </c>
      <c r="R317" s="47">
        <f>IFERROR(__xludf.DUMMYFUNCTION("""COMPUTED_VALUE"""),5.9)</f>
        <v>5.9</v>
      </c>
      <c r="S317" s="48" t="str">
        <f>IFERROR(__xludf.DUMMYFUNCTION("""COMPUTED_VALUE"""),"%")</f>
        <v>%</v>
      </c>
      <c r="T317" s="49">
        <f>IFERROR(__xludf.DUMMYFUNCTION("""COMPUTED_VALUE"""),2.0)</f>
        <v>2</v>
      </c>
      <c r="U317" s="50" t="str">
        <f>IFERROR(__xludf.DUMMYFUNCTION("""COMPUTED_VALUE"""),"A201")</f>
        <v>A201</v>
      </c>
      <c r="V317" s="38" t="str">
        <f>IFERROR(__xludf.DUMMYFUNCTION("""COMPUTED_VALUE"""),"")</f>
        <v/>
      </c>
      <c r="W317" s="45">
        <f>IFERROR(__xludf.DUMMYFUNCTION("""COMPUTED_VALUE"""),157.0)</f>
        <v>157</v>
      </c>
      <c r="X317" s="46" t="str">
        <f>IFERROR(__xludf.DUMMYFUNCTION("""COMPUTED_VALUE"""),"AP")</f>
        <v>AP</v>
      </c>
      <c r="Y317" s="47">
        <f>IFERROR(__xludf.DUMMYFUNCTION("""COMPUTED_VALUE"""),19.1)</f>
        <v>19.1</v>
      </c>
      <c r="Z317" s="48" t="str">
        <f>IFERROR(__xludf.DUMMYFUNCTION("""COMPUTED_VALUE"""),"%")</f>
        <v>%</v>
      </c>
      <c r="AA317" s="49">
        <f>IFERROR(__xludf.DUMMYFUNCTION("""COMPUTED_VALUE"""),3.0)</f>
        <v>3</v>
      </c>
      <c r="AB317" s="50" t="str">
        <f>IFERROR(__xludf.DUMMYFUNCTION("""COMPUTED_VALUE"""),"A208")</f>
        <v>A208</v>
      </c>
      <c r="AC317" s="38" t="str">
        <f>IFERROR(__xludf.DUMMYFUNCTION("""COMPUTED_VALUE"""),"")</f>
        <v/>
      </c>
      <c r="AD317" s="45">
        <f>IFERROR(__xludf.DUMMYFUNCTION("""COMPUTED_VALUE"""),166.8)</f>
        <v>166.8</v>
      </c>
      <c r="AE317" s="46" t="str">
        <f>IFERROR(__xludf.DUMMYFUNCTION("""COMPUTED_VALUE"""),"AP")</f>
        <v>AP</v>
      </c>
      <c r="AF317" s="47">
        <f>IFERROR(__xludf.DUMMYFUNCTION("""COMPUTED_VALUE"""),18.0)</f>
        <v>18</v>
      </c>
      <c r="AG317" s="48" t="str">
        <f>IFERROR(__xludf.DUMMYFUNCTION("""COMPUTED_VALUE"""),"%")</f>
        <v>%</v>
      </c>
      <c r="AH317" s="43">
        <f>IFERROR(__xludf.DUMMYFUNCTION("""COMPUTED_VALUE"""),30.0)</f>
        <v>30</v>
      </c>
      <c r="AI317" s="44">
        <f>IFERROR(__xludf.DUMMYFUNCTION("""COMPUTED_VALUE"""),1073.0)</f>
        <v>1073</v>
      </c>
      <c r="AJ317" s="51" t="str">
        <f>IFERROR(__xludf.DUMMYFUNCTION("""COMPUTED_VALUE"""),"槍上級")</f>
        <v>槍上級</v>
      </c>
    </row>
    <row r="318" ht="24.75" customHeight="1">
      <c r="A318" s="28">
        <f>IFERROR(__xludf.DUMMYFUNCTION("""COMPUTED_VALUE"""),17.0)</f>
        <v>17</v>
      </c>
      <c r="B318" s="28" t="str">
        <f>IFERROR(__xludf.DUMMYFUNCTION("""COMPUTED_VALUE"""),"A205")</f>
        <v>A205</v>
      </c>
      <c r="C318" s="28" t="str">
        <f>IFERROR(__xludf.DUMMYFUNCTION("""COMPUTED_VALUE"""),"TRF8")</f>
        <v>TRF8</v>
      </c>
      <c r="D318" s="29" t="str">
        <f>IFERROR(__xludf.DUMMYFUNCTION("""COMPUTED_VALUE"""),"Chaldea Gate (Tue)")</f>
        <v>Chaldea Gate (Tue)</v>
      </c>
      <c r="E318" s="30" t="str">
        <f>IFERROR(__xludf.DUMMYFUNCTION("""COMPUTED_VALUE"""),"TUE Lancer Training Ground- Exp")</f>
        <v>TUE Lancer Training Ground- Exp</v>
      </c>
      <c r="F318" s="31">
        <f>IFERROR(__xludf.DUMMYFUNCTION("""COMPUTED_VALUE"""),40.0)</f>
        <v>40</v>
      </c>
      <c r="G318" s="32">
        <f>IFERROR(__xludf.DUMMYFUNCTION("""COMPUTED_VALUE"""),6290.0)</f>
        <v>6290</v>
      </c>
      <c r="H318" s="33" t="str">
        <f>IFERROR(__xludf.DUMMYFUNCTION("""COMPUTED_VALUE"""),"")</f>
        <v/>
      </c>
      <c r="I318" s="34">
        <f>IFERROR(__xludf.DUMMYFUNCTION("""COMPUTED_VALUE"""),362.7)</f>
        <v>362.7</v>
      </c>
      <c r="J318" s="35" t="str">
        <f>IFERROR(__xludf.DUMMYFUNCTION("""COMPUTED_VALUE"""),"AP")</f>
        <v>AP</v>
      </c>
      <c r="K318" s="34">
        <f>IFERROR(__xludf.DUMMYFUNCTION("""COMPUTED_VALUE"""),11.0)</f>
        <v>11</v>
      </c>
      <c r="L318" s="35" t="str">
        <f>IFERROR(__xludf.DUMMYFUNCTION("""COMPUTED_VALUE"""),"%")</f>
        <v>%</v>
      </c>
      <c r="M318" s="36">
        <f>IFERROR(__xludf.DUMMYFUNCTION("""COMPUTED_VALUE"""),1.0)</f>
        <v>1</v>
      </c>
      <c r="N318" s="37" t="str">
        <f>IFERROR(__xludf.DUMMYFUNCTION("""COMPUTED_VALUE"""),"A105")</f>
        <v>A105</v>
      </c>
      <c r="O318" s="38" t="str">
        <f>IFERROR(__xludf.DUMMYFUNCTION("""COMPUTED_VALUE"""),"")</f>
        <v/>
      </c>
      <c r="P318" s="34">
        <f>IFERROR(__xludf.DUMMYFUNCTION("""COMPUTED_VALUE"""),311.9)</f>
        <v>311.9</v>
      </c>
      <c r="Q318" s="35" t="str">
        <f>IFERROR(__xludf.DUMMYFUNCTION("""COMPUTED_VALUE"""),"AP")</f>
        <v>AP</v>
      </c>
      <c r="R318" s="34">
        <f>IFERROR(__xludf.DUMMYFUNCTION("""COMPUTED_VALUE"""),12.8)</f>
        <v>12.8</v>
      </c>
      <c r="S318" s="35" t="str">
        <f>IFERROR(__xludf.DUMMYFUNCTION("""COMPUTED_VALUE"""),"%")</f>
        <v>%</v>
      </c>
      <c r="T318" s="36">
        <f>IFERROR(__xludf.DUMMYFUNCTION("""COMPUTED_VALUE"""),2.0)</f>
        <v>2</v>
      </c>
      <c r="U318" s="37" t="str">
        <f>IFERROR(__xludf.DUMMYFUNCTION("""COMPUTED_VALUE"""),"A201")</f>
        <v>A201</v>
      </c>
      <c r="V318" s="38" t="str">
        <f>IFERROR(__xludf.DUMMYFUNCTION("""COMPUTED_VALUE"""),"")</f>
        <v/>
      </c>
      <c r="W318" s="34">
        <f>IFERROR(__xludf.DUMMYFUNCTION("""COMPUTED_VALUE"""),155.4)</f>
        <v>155.4</v>
      </c>
      <c r="X318" s="35" t="str">
        <f>IFERROR(__xludf.DUMMYFUNCTION("""COMPUTED_VALUE"""),"AP")</f>
        <v>AP</v>
      </c>
      <c r="Y318" s="34">
        <f>IFERROR(__xludf.DUMMYFUNCTION("""COMPUTED_VALUE"""),25.7)</f>
        <v>25.7</v>
      </c>
      <c r="Z318" s="35" t="str">
        <f>IFERROR(__xludf.DUMMYFUNCTION("""COMPUTED_VALUE"""),"%")</f>
        <v>%</v>
      </c>
      <c r="AA318" s="36">
        <f>IFERROR(__xludf.DUMMYFUNCTION("""COMPUTED_VALUE"""),3.0)</f>
        <v>3</v>
      </c>
      <c r="AB318" s="37" t="str">
        <f>IFERROR(__xludf.DUMMYFUNCTION("""COMPUTED_VALUE"""),"A208")</f>
        <v>A208</v>
      </c>
      <c r="AC318" s="38" t="str">
        <f>IFERROR(__xludf.DUMMYFUNCTION("""COMPUTED_VALUE"""),"")</f>
        <v/>
      </c>
      <c r="AD318" s="34">
        <f>IFERROR(__xludf.DUMMYFUNCTION("""COMPUTED_VALUE"""),189.8)</f>
        <v>189.8</v>
      </c>
      <c r="AE318" s="35" t="str">
        <f>IFERROR(__xludf.DUMMYFUNCTION("""COMPUTED_VALUE"""),"AP")</f>
        <v>AP</v>
      </c>
      <c r="AF318" s="34">
        <f>IFERROR(__xludf.DUMMYFUNCTION("""COMPUTED_VALUE"""),21.1)</f>
        <v>21.1</v>
      </c>
      <c r="AG318" s="35" t="str">
        <f>IFERROR(__xludf.DUMMYFUNCTION("""COMPUTED_VALUE"""),"%")</f>
        <v>%</v>
      </c>
      <c r="AH318" s="31">
        <f>IFERROR(__xludf.DUMMYFUNCTION("""COMPUTED_VALUE"""),40.0)</f>
        <v>40</v>
      </c>
      <c r="AI318" s="32">
        <f>IFERROR(__xludf.DUMMYFUNCTION("""COMPUTED_VALUE"""),6290.0)</f>
        <v>6290</v>
      </c>
      <c r="AJ318" s="39" t="str">
        <f>IFERROR(__xludf.DUMMYFUNCTION("""COMPUTED_VALUE"""),"槍超級")</f>
        <v>槍超級</v>
      </c>
    </row>
    <row r="319" ht="24.75" customHeight="1">
      <c r="A319" s="40">
        <f>IFERROR(__xludf.DUMMYFUNCTION("""COMPUTED_VALUE"""),18.0)</f>
        <v>18</v>
      </c>
      <c r="B319" s="40" t="str">
        <f>IFERROR(__xludf.DUMMYFUNCTION("""COMPUTED_VALUE"""),"A205")</f>
        <v>A205</v>
      </c>
      <c r="C319" s="40" t="str">
        <f>IFERROR(__xludf.DUMMYFUNCTION("""COMPUTED_VALUE"""),"TRF28")</f>
        <v>TRF28</v>
      </c>
      <c r="D319" s="41" t="str">
        <f>IFERROR(__xludf.DUMMYFUNCTION("""COMPUTED_VALUE"""),"Chaldea Gate (Sun)")</f>
        <v>Chaldea Gate (Sun)</v>
      </c>
      <c r="E319" s="42" t="str">
        <f>IFERROR(__xludf.DUMMYFUNCTION("""COMPUTED_VALUE"""),"SUN Saber Training Ground- Exp")</f>
        <v>SUN Saber Training Ground- Exp</v>
      </c>
      <c r="F319" s="43">
        <f>IFERROR(__xludf.DUMMYFUNCTION("""COMPUTED_VALUE"""),40.0)</f>
        <v>40</v>
      </c>
      <c r="G319" s="44">
        <f>IFERROR(__xludf.DUMMYFUNCTION("""COMPUTED_VALUE"""),27682.0)</f>
        <v>27682</v>
      </c>
      <c r="H319" s="33" t="str">
        <f>IFERROR(__xludf.DUMMYFUNCTION("""COMPUTED_VALUE"""),"")</f>
        <v/>
      </c>
      <c r="I319" s="45">
        <f>IFERROR(__xludf.DUMMYFUNCTION("""COMPUTED_VALUE"""),377.3)</f>
        <v>377.3</v>
      </c>
      <c r="J319" s="46" t="str">
        <f>IFERROR(__xludf.DUMMYFUNCTION("""COMPUTED_VALUE"""),"AP")</f>
        <v>AP</v>
      </c>
      <c r="K319" s="47">
        <f>IFERROR(__xludf.DUMMYFUNCTION("""COMPUTED_VALUE"""),10.6)</f>
        <v>10.6</v>
      </c>
      <c r="L319" s="48" t="str">
        <f>IFERROR(__xludf.DUMMYFUNCTION("""COMPUTED_VALUE"""),"%")</f>
        <v>%</v>
      </c>
      <c r="M319" s="49">
        <f>IFERROR(__xludf.DUMMYFUNCTION("""COMPUTED_VALUE"""),1.0)</f>
        <v>1</v>
      </c>
      <c r="N319" s="50" t="str">
        <f>IFERROR(__xludf.DUMMYFUNCTION("""COMPUTED_VALUE"""),"A104")</f>
        <v>A104</v>
      </c>
      <c r="O319" s="38" t="str">
        <f>IFERROR(__xludf.DUMMYFUNCTION("""COMPUTED_VALUE"""),"")</f>
        <v/>
      </c>
      <c r="P319" s="45">
        <f>IFERROR(__xludf.DUMMYFUNCTION("""COMPUTED_VALUE"""),498.8)</f>
        <v>498.8</v>
      </c>
      <c r="Q319" s="46" t="str">
        <f>IFERROR(__xludf.DUMMYFUNCTION("""COMPUTED_VALUE"""),"AP")</f>
        <v>AP</v>
      </c>
      <c r="R319" s="47">
        <f>IFERROR(__xludf.DUMMYFUNCTION("""COMPUTED_VALUE"""),8.0)</f>
        <v>8</v>
      </c>
      <c r="S319" s="48" t="str">
        <f>IFERROR(__xludf.DUMMYFUNCTION("""COMPUTED_VALUE"""),"%")</f>
        <v>%</v>
      </c>
      <c r="T319" s="49">
        <f>IFERROR(__xludf.DUMMYFUNCTION("""COMPUTED_VALUE"""),2.0)</f>
        <v>2</v>
      </c>
      <c r="U319" s="50" t="str">
        <f>IFERROR(__xludf.DUMMYFUNCTION("""COMPUTED_VALUE"""),"A201")</f>
        <v>A201</v>
      </c>
      <c r="V319" s="38" t="str">
        <f>IFERROR(__xludf.DUMMYFUNCTION("""COMPUTED_VALUE"""),"")</f>
        <v/>
      </c>
      <c r="W319" s="45">
        <f>IFERROR(__xludf.DUMMYFUNCTION("""COMPUTED_VALUE"""),149.7)</f>
        <v>149.7</v>
      </c>
      <c r="X319" s="46" t="str">
        <f>IFERROR(__xludf.DUMMYFUNCTION("""COMPUTED_VALUE"""),"AP")</f>
        <v>AP</v>
      </c>
      <c r="Y319" s="47">
        <f>IFERROR(__xludf.DUMMYFUNCTION("""COMPUTED_VALUE"""),26.7)</f>
        <v>26.7</v>
      </c>
      <c r="Z319" s="48" t="str">
        <f>IFERROR(__xludf.DUMMYFUNCTION("""COMPUTED_VALUE"""),"%")</f>
        <v>%</v>
      </c>
      <c r="AA319" s="49">
        <f>IFERROR(__xludf.DUMMYFUNCTION("""COMPUTED_VALUE"""),3.0)</f>
        <v>3</v>
      </c>
      <c r="AB319" s="50" t="str">
        <f>IFERROR(__xludf.DUMMYFUNCTION("""COMPUTED_VALUE"""),"A206")</f>
        <v>A206</v>
      </c>
      <c r="AC319" s="38" t="str">
        <f>IFERROR(__xludf.DUMMYFUNCTION("""COMPUTED_VALUE"""),"")</f>
        <v/>
      </c>
      <c r="AD319" s="45">
        <f>IFERROR(__xludf.DUMMYFUNCTION("""COMPUTED_VALUE"""),196.1)</f>
        <v>196.1</v>
      </c>
      <c r="AE319" s="46" t="str">
        <f>IFERROR(__xludf.DUMMYFUNCTION("""COMPUTED_VALUE"""),"AP")</f>
        <v>AP</v>
      </c>
      <c r="AF319" s="47">
        <f>IFERROR(__xludf.DUMMYFUNCTION("""COMPUTED_VALUE"""),20.4)</f>
        <v>20.4</v>
      </c>
      <c r="AG319" s="48" t="str">
        <f>IFERROR(__xludf.DUMMYFUNCTION("""COMPUTED_VALUE"""),"%")</f>
        <v>%</v>
      </c>
      <c r="AH319" s="43">
        <f>IFERROR(__xludf.DUMMYFUNCTION("""COMPUTED_VALUE"""),40.0)</f>
        <v>40</v>
      </c>
      <c r="AI319" s="44">
        <f>IFERROR(__xludf.DUMMYFUNCTION("""COMPUTED_VALUE"""),27682.0)</f>
        <v>27682</v>
      </c>
      <c r="AJ319" s="51" t="str">
        <f>IFERROR(__xludf.DUMMYFUNCTION("""COMPUTED_VALUE"""),"剣超級")</f>
        <v>剣超級</v>
      </c>
    </row>
    <row r="320" ht="24.75" customHeight="1">
      <c r="A320" s="28">
        <f>IFERROR(__xludf.DUMMYFUNCTION("""COMPUTED_VALUE"""),19.0)</f>
        <v>19</v>
      </c>
      <c r="B320" s="28" t="str">
        <f>IFERROR(__xludf.DUMMYFUNCTION("""COMPUTED_VALUE"""),"A205")</f>
        <v>A205</v>
      </c>
      <c r="C320" s="28" t="str">
        <f>IFERROR(__xludf.DUMMYFUNCTION("""COMPUTED_VALUE"""),"TRF2")</f>
        <v>TRF2</v>
      </c>
      <c r="D320" s="29" t="str">
        <f>IFERROR(__xludf.DUMMYFUNCTION("""COMPUTED_VALUE"""),"Chaldea Gate (Mon)")</f>
        <v>Chaldea Gate (Mon)</v>
      </c>
      <c r="E320" s="30" t="str">
        <f>IFERROR(__xludf.DUMMYFUNCTION("""COMPUTED_VALUE"""),"MON Archer Training Ground- Int")</f>
        <v>MON Archer Training Ground- Int</v>
      </c>
      <c r="F320" s="31">
        <f>IFERROR(__xludf.DUMMYFUNCTION("""COMPUTED_VALUE"""),20.0)</f>
        <v>20</v>
      </c>
      <c r="G320" s="32">
        <f>IFERROR(__xludf.DUMMYFUNCTION("""COMPUTED_VALUE"""),1126.0)</f>
        <v>1126</v>
      </c>
      <c r="H320" s="33" t="str">
        <f>IFERROR(__xludf.DUMMYFUNCTION("""COMPUTED_VALUE"""),"")</f>
        <v/>
      </c>
      <c r="I320" s="34">
        <f>IFERROR(__xludf.DUMMYFUNCTION("""COMPUTED_VALUE"""),2790.0)</f>
        <v>2790</v>
      </c>
      <c r="J320" s="35" t="str">
        <f>IFERROR(__xludf.DUMMYFUNCTION("""COMPUTED_VALUE"""),"AP")</f>
        <v>AP</v>
      </c>
      <c r="K320" s="34">
        <f>IFERROR(__xludf.DUMMYFUNCTION("""COMPUTED_VALUE"""),0.7)</f>
        <v>0.7</v>
      </c>
      <c r="L320" s="35" t="str">
        <f>IFERROR(__xludf.DUMMYFUNCTION("""COMPUTED_VALUE"""),"%")</f>
        <v>%</v>
      </c>
      <c r="M320" s="36">
        <f>IFERROR(__xludf.DUMMYFUNCTION("""COMPUTED_VALUE"""),1.0)</f>
        <v>1</v>
      </c>
      <c r="N320" s="37" t="str">
        <f>IFERROR(__xludf.DUMMYFUNCTION("""COMPUTED_VALUE"""),"A201")</f>
        <v>A201</v>
      </c>
      <c r="O320" s="38" t="str">
        <f>IFERROR(__xludf.DUMMYFUNCTION("""COMPUTED_VALUE"""),"")</f>
        <v/>
      </c>
      <c r="P320" s="34">
        <f>IFERROR(__xludf.DUMMYFUNCTION("""COMPUTED_VALUE"""),132.1)</f>
        <v>132.1</v>
      </c>
      <c r="Q320" s="35" t="str">
        <f>IFERROR(__xludf.DUMMYFUNCTION("""COMPUTED_VALUE"""),"AP")</f>
        <v>AP</v>
      </c>
      <c r="R320" s="34">
        <f>IFERROR(__xludf.DUMMYFUNCTION("""COMPUTED_VALUE"""),15.1)</f>
        <v>15.1</v>
      </c>
      <c r="S320" s="35" t="str">
        <f>IFERROR(__xludf.DUMMYFUNCTION("""COMPUTED_VALUE"""),"%")</f>
        <v>%</v>
      </c>
      <c r="T320" s="36">
        <f>IFERROR(__xludf.DUMMYFUNCTION("""COMPUTED_VALUE"""),2.0)</f>
        <v>2</v>
      </c>
      <c r="U320" s="37" t="str">
        <f>IFERROR(__xludf.DUMMYFUNCTION("""COMPUTED_VALUE"""),"A209")</f>
        <v>A209</v>
      </c>
      <c r="V320" s="38" t="str">
        <f>IFERROR(__xludf.DUMMYFUNCTION("""COMPUTED_VALUE"""),"")</f>
        <v/>
      </c>
      <c r="W320" s="34">
        <f>IFERROR(__xludf.DUMMYFUNCTION("""COMPUTED_VALUE"""),192.5)</f>
        <v>192.5</v>
      </c>
      <c r="X320" s="35" t="str">
        <f>IFERROR(__xludf.DUMMYFUNCTION("""COMPUTED_VALUE"""),"AP")</f>
        <v>AP</v>
      </c>
      <c r="Y320" s="34">
        <f>IFERROR(__xludf.DUMMYFUNCTION("""COMPUTED_VALUE"""),10.4)</f>
        <v>10.4</v>
      </c>
      <c r="Z320" s="35" t="str">
        <f>IFERROR(__xludf.DUMMYFUNCTION("""COMPUTED_VALUE"""),"%")</f>
        <v>%</v>
      </c>
      <c r="AA320" s="36">
        <f>IFERROR(__xludf.DUMMYFUNCTION("""COMPUTED_VALUE"""),3.0)</f>
        <v>3</v>
      </c>
      <c r="AB320" s="37" t="str">
        <f>IFERROR(__xludf.DUMMYFUNCTION("""COMPUTED_VALUE"""),"A301")</f>
        <v>A301</v>
      </c>
      <c r="AC320" s="38" t="str">
        <f>IFERROR(__xludf.DUMMYFUNCTION("""COMPUTED_VALUE"""),"")</f>
        <v/>
      </c>
      <c r="AD320" s="34">
        <f>IFERROR(__xludf.DUMMYFUNCTION("""COMPUTED_VALUE"""),250.8)</f>
        <v>250.8</v>
      </c>
      <c r="AE320" s="35" t="str">
        <f>IFERROR(__xludf.DUMMYFUNCTION("""COMPUTED_VALUE"""),"AP")</f>
        <v>AP</v>
      </c>
      <c r="AF320" s="34">
        <f>IFERROR(__xludf.DUMMYFUNCTION("""COMPUTED_VALUE"""),8.0)</f>
        <v>8</v>
      </c>
      <c r="AG320" s="35" t="str">
        <f>IFERROR(__xludf.DUMMYFUNCTION("""COMPUTED_VALUE"""),"%")</f>
        <v>%</v>
      </c>
      <c r="AH320" s="31">
        <f>IFERROR(__xludf.DUMMYFUNCTION("""COMPUTED_VALUE"""),20.0)</f>
        <v>20</v>
      </c>
      <c r="AI320" s="32">
        <f>IFERROR(__xludf.DUMMYFUNCTION("""COMPUTED_VALUE"""),1126.0)</f>
        <v>1126</v>
      </c>
      <c r="AJ320" s="39" t="str">
        <f>IFERROR(__xludf.DUMMYFUNCTION("""COMPUTED_VALUE"""),"弓中級")</f>
        <v>弓中級</v>
      </c>
    </row>
    <row r="321" ht="24.75" customHeight="1">
      <c r="A321" s="40">
        <f>IFERROR(__xludf.DUMMYFUNCTION("""COMPUTED_VALUE"""),20.0)</f>
        <v>20</v>
      </c>
      <c r="B321" s="40" t="str">
        <f>IFERROR(__xludf.DUMMYFUNCTION("""COMPUTED_VALUE"""),"A205")</f>
        <v>A205</v>
      </c>
      <c r="C321" s="40"/>
      <c r="D321" s="41"/>
      <c r="E321" s="66"/>
      <c r="F321" s="43"/>
      <c r="G321" s="44"/>
      <c r="H321" s="33" t="str">
        <f>IFERROR(__xludf.DUMMYFUNCTION("""COMPUTED_VALUE""")," ")</f>
        <v> </v>
      </c>
      <c r="I321" s="45"/>
      <c r="J321" s="46" t="str">
        <f>IFERROR(__xludf.DUMMYFUNCTION("""COMPUTED_VALUE"""),"AP")</f>
        <v>AP</v>
      </c>
      <c r="K321" s="47"/>
      <c r="L321" s="48" t="str">
        <f>IFERROR(__xludf.DUMMYFUNCTION("""COMPUTED_VALUE"""),"%")</f>
        <v>%</v>
      </c>
      <c r="M321" s="49">
        <f>IFERROR(__xludf.DUMMYFUNCTION("""COMPUTED_VALUE"""),1.0)</f>
        <v>1</v>
      </c>
      <c r="N321" s="50"/>
      <c r="O321" s="38"/>
      <c r="P321" s="45" t="str">
        <f>IFERROR(__xludf.DUMMYFUNCTION("""COMPUTED_VALUE"""),"")</f>
        <v/>
      </c>
      <c r="Q321" s="46" t="str">
        <f>IFERROR(__xludf.DUMMYFUNCTION("""COMPUTED_VALUE"""),"AP")</f>
        <v>AP</v>
      </c>
      <c r="R321" s="47" t="str">
        <f>IFERROR(__xludf.DUMMYFUNCTION("""COMPUTED_VALUE"""),"")</f>
        <v/>
      </c>
      <c r="S321" s="48" t="str">
        <f>IFERROR(__xludf.DUMMYFUNCTION("""COMPUTED_VALUE"""),"%")</f>
        <v>%</v>
      </c>
      <c r="T321" s="49">
        <f>IFERROR(__xludf.DUMMYFUNCTION("""COMPUTED_VALUE"""),2.0)</f>
        <v>2</v>
      </c>
      <c r="U321" s="50"/>
      <c r="V321" s="38"/>
      <c r="W321" s="45" t="str">
        <f>IFERROR(__xludf.DUMMYFUNCTION("""COMPUTED_VALUE"""),"")</f>
        <v/>
      </c>
      <c r="X321" s="46" t="str">
        <f>IFERROR(__xludf.DUMMYFUNCTION("""COMPUTED_VALUE"""),"AP")</f>
        <v>AP</v>
      </c>
      <c r="Y321" s="47" t="str">
        <f>IFERROR(__xludf.DUMMYFUNCTION("""COMPUTED_VALUE"""),"")</f>
        <v/>
      </c>
      <c r="Z321" s="48" t="str">
        <f>IFERROR(__xludf.DUMMYFUNCTION("""COMPUTED_VALUE"""),"%")</f>
        <v>%</v>
      </c>
      <c r="AA321" s="49">
        <f>IFERROR(__xludf.DUMMYFUNCTION("""COMPUTED_VALUE"""),3.0)</f>
        <v>3</v>
      </c>
      <c r="AB321" s="50"/>
      <c r="AC321" s="38"/>
      <c r="AD321" s="45" t="str">
        <f>IFERROR(__xludf.DUMMYFUNCTION("""COMPUTED_VALUE"""),"")</f>
        <v/>
      </c>
      <c r="AE321" s="46" t="str">
        <f>IFERROR(__xludf.DUMMYFUNCTION("""COMPUTED_VALUE"""),"AP")</f>
        <v>AP</v>
      </c>
      <c r="AF321" s="47" t="str">
        <f>IFERROR(__xludf.DUMMYFUNCTION("""COMPUTED_VALUE"""),"")</f>
        <v/>
      </c>
      <c r="AG321" s="48" t="str">
        <f>IFERROR(__xludf.DUMMYFUNCTION("""COMPUTED_VALUE"""),"%")</f>
        <v>%</v>
      </c>
      <c r="AH321" s="43"/>
      <c r="AI321" s="44"/>
      <c r="AJ321" s="51"/>
    </row>
    <row r="322">
      <c r="A322" s="52"/>
      <c r="B322" s="53"/>
      <c r="C322" s="54"/>
      <c r="D322" s="55"/>
      <c r="E322" s="56"/>
      <c r="F322" s="53"/>
      <c r="G322" s="53"/>
      <c r="H322" s="53"/>
      <c r="I322" s="53"/>
      <c r="J322" s="57"/>
      <c r="K322" s="53"/>
      <c r="L322" s="57"/>
      <c r="M322" s="53"/>
      <c r="N322" s="53"/>
      <c r="O322" s="53"/>
      <c r="P322" s="53"/>
      <c r="Q322" s="57"/>
      <c r="R322" s="53"/>
      <c r="S322" s="57"/>
      <c r="T322" s="53"/>
      <c r="U322" s="53"/>
      <c r="V322" s="53"/>
      <c r="W322" s="53"/>
      <c r="X322" s="57"/>
      <c r="Y322" s="53"/>
      <c r="Z322" s="57"/>
      <c r="AA322" s="53"/>
      <c r="AB322" s="53"/>
      <c r="AC322" s="53"/>
      <c r="AD322" s="53"/>
      <c r="AE322" s="57"/>
      <c r="AF322" s="53"/>
      <c r="AG322" s="57"/>
      <c r="AH322" s="53"/>
      <c r="AI322" s="53"/>
      <c r="AJ322" s="58"/>
    </row>
    <row r="323">
      <c r="A323" s="59"/>
      <c r="B323" s="60"/>
      <c r="C323" s="61"/>
      <c r="D323" s="62"/>
      <c r="E323" s="63"/>
      <c r="F323" s="60"/>
      <c r="G323" s="60"/>
      <c r="H323" s="60"/>
      <c r="I323" s="60"/>
      <c r="J323" s="64"/>
      <c r="K323" s="60"/>
      <c r="L323" s="64"/>
      <c r="M323" s="60"/>
      <c r="N323" s="60"/>
      <c r="O323" s="60"/>
      <c r="P323" s="60"/>
      <c r="Q323" s="64"/>
      <c r="R323" s="60"/>
      <c r="S323" s="64"/>
      <c r="T323" s="60"/>
      <c r="U323" s="60"/>
      <c r="V323" s="60"/>
      <c r="W323" s="60"/>
      <c r="X323" s="64"/>
      <c r="Y323" s="60"/>
      <c r="Z323" s="64"/>
      <c r="AA323" s="60"/>
      <c r="AB323" s="60"/>
      <c r="AC323" s="60"/>
      <c r="AD323" s="60"/>
      <c r="AE323" s="64"/>
      <c r="AF323" s="60"/>
      <c r="AG323" s="64"/>
      <c r="AH323" s="60"/>
      <c r="AI323" s="60"/>
      <c r="AJ323" s="65"/>
    </row>
    <row r="324" ht="33.0" customHeight="1">
      <c r="A324" s="20" t="str">
        <f>IFERROR(__xludf.DUMMYFUNCTION("""COMPUTED_VALUE""")," ")</f>
        <v> </v>
      </c>
      <c r="B324" s="21" t="str">
        <f>IFERROR(__xludf.DUMMYFUNCTION("""COMPUTED_VALUE"""),"A206")</f>
        <v>A206</v>
      </c>
      <c r="C324" s="20"/>
      <c r="D324" s="22" t="str">
        <f>IFERROR(__xludf.DUMMYFUNCTION("""COMPUTED_VALUE"""),"")</f>
        <v/>
      </c>
      <c r="E324" s="23" t="str">
        <f>IFERROR(__xludf.DUMMYFUNCTION("""COMPUTED_VALUE"""),"Eternal Gear")</f>
        <v>Eternal Gear</v>
      </c>
      <c r="F324" s="24"/>
      <c r="G324" s="24"/>
      <c r="H324" s="25"/>
      <c r="I324" s="25"/>
      <c r="J324" s="26"/>
      <c r="K324" s="25"/>
      <c r="L324" s="26"/>
      <c r="M324" s="25"/>
      <c r="N324" s="25"/>
      <c r="O324" s="25"/>
      <c r="P324" s="25"/>
      <c r="Q324" s="26"/>
      <c r="R324" s="25"/>
      <c r="S324" s="26"/>
      <c r="T324" s="25"/>
      <c r="U324" s="25"/>
      <c r="V324" s="25"/>
      <c r="W324" s="25"/>
      <c r="X324" s="26"/>
      <c r="Y324" s="25"/>
      <c r="Z324" s="26"/>
      <c r="AA324" s="25"/>
      <c r="AB324" s="25"/>
      <c r="AC324" s="25"/>
      <c r="AD324" s="25"/>
      <c r="AE324" s="26"/>
      <c r="AF324" s="25"/>
      <c r="AG324" s="26"/>
      <c r="AH324" s="24"/>
      <c r="AI324" s="25"/>
      <c r="AJ324" s="27"/>
    </row>
    <row r="325" ht="24.75" customHeight="1">
      <c r="A325" s="28">
        <f>IFERROR(__xludf.DUMMYFUNCTION("""COMPUTED_VALUE"""),1.0)</f>
        <v>1</v>
      </c>
      <c r="B325" s="28" t="str">
        <f>IFERROR(__xludf.DUMMYFUNCTION("""COMPUTED_VALUE"""),"A206")</f>
        <v>A206</v>
      </c>
      <c r="C325" s="28" t="str">
        <f>IFERROR(__xludf.DUMMYFUNCTION("""COMPUTED_VALUE"""),"SJK6")</f>
        <v>SJK6</v>
      </c>
      <c r="D325" s="29" t="str">
        <f>IFERROR(__xludf.DUMMYFUNCTION("""COMPUTED_VALUE"""),"Shinjuku")</f>
        <v>Shinjuku</v>
      </c>
      <c r="E325" s="30" t="str">
        <f>IFERROR(__xludf.DUMMYFUNCTION("""COMPUTED_VALUE"""),"Barrel Tower")</f>
        <v>Barrel Tower</v>
      </c>
      <c r="F325" s="31">
        <f>IFERROR(__xludf.DUMMYFUNCTION("""COMPUTED_VALUE"""),21.0)</f>
        <v>21</v>
      </c>
      <c r="G325" s="32">
        <f>IFERROR(__xludf.DUMMYFUNCTION("""COMPUTED_VALUE"""),14216.0)</f>
        <v>14216</v>
      </c>
      <c r="H325" s="33" t="str">
        <f>IFERROR(__xludf.DUMMYFUNCTION("""COMPUTED_VALUE"""),"")</f>
        <v/>
      </c>
      <c r="I325" s="34">
        <f>IFERROR(__xludf.DUMMYFUNCTION("""COMPUTED_VALUE"""),45.5)</f>
        <v>45.5</v>
      </c>
      <c r="J325" s="35" t="str">
        <f>IFERROR(__xludf.DUMMYFUNCTION("""COMPUTED_VALUE"""),"AP")</f>
        <v>AP</v>
      </c>
      <c r="K325" s="34">
        <f>IFERROR(__xludf.DUMMYFUNCTION("""COMPUTED_VALUE"""),46.2)</f>
        <v>46.2</v>
      </c>
      <c r="L325" s="35" t="str">
        <f>IFERROR(__xludf.DUMMYFUNCTION("""COMPUTED_VALUE"""),"%")</f>
        <v>%</v>
      </c>
      <c r="M325" s="36">
        <f>IFERROR(__xludf.DUMMYFUNCTION("""COMPUTED_VALUE"""),1.0)</f>
        <v>1</v>
      </c>
      <c r="N325" s="37" t="str">
        <f>IFERROR(__xludf.DUMMYFUNCTION("""COMPUTED_VALUE"""),"B116")</f>
        <v>B116</v>
      </c>
      <c r="O325" s="38" t="str">
        <f>IFERROR(__xludf.DUMMYFUNCTION("""COMPUTED_VALUE"""),"")</f>
        <v/>
      </c>
      <c r="P325" s="34">
        <f>IFERROR(__xludf.DUMMYFUNCTION("""COMPUTED_VALUE"""),45.4)</f>
        <v>45.4</v>
      </c>
      <c r="Q325" s="35" t="str">
        <f>IFERROR(__xludf.DUMMYFUNCTION("""COMPUTED_VALUE"""),"AP")</f>
        <v>AP</v>
      </c>
      <c r="R325" s="34">
        <f>IFERROR(__xludf.DUMMYFUNCTION("""COMPUTED_VALUE"""),46.2)</f>
        <v>46.2</v>
      </c>
      <c r="S325" s="35" t="str">
        <f>IFERROR(__xludf.DUMMYFUNCTION("""COMPUTED_VALUE"""),"%")</f>
        <v>%</v>
      </c>
      <c r="T325" s="36">
        <f>IFERROR(__xludf.DUMMYFUNCTION("""COMPUTED_VALUE"""),2.0)</f>
        <v>2</v>
      </c>
      <c r="U325" s="37"/>
      <c r="V325" s="38"/>
      <c r="W325" s="34" t="str">
        <f>IFERROR(__xludf.DUMMYFUNCTION("""COMPUTED_VALUE"""),"")</f>
        <v/>
      </c>
      <c r="X325" s="35" t="str">
        <f>IFERROR(__xludf.DUMMYFUNCTION("""COMPUTED_VALUE"""),"AP")</f>
        <v>AP</v>
      </c>
      <c r="Y325" s="34" t="str">
        <f>IFERROR(__xludf.DUMMYFUNCTION("""COMPUTED_VALUE"""),"")</f>
        <v/>
      </c>
      <c r="Z325" s="35" t="str">
        <f>IFERROR(__xludf.DUMMYFUNCTION("""COMPUTED_VALUE"""),"%")</f>
        <v>%</v>
      </c>
      <c r="AA325" s="36">
        <f>IFERROR(__xludf.DUMMYFUNCTION("""COMPUTED_VALUE"""),3.0)</f>
        <v>3</v>
      </c>
      <c r="AB325" s="37"/>
      <c r="AC325" s="38"/>
      <c r="AD325" s="34" t="str">
        <f>IFERROR(__xludf.DUMMYFUNCTION("""COMPUTED_VALUE"""),"")</f>
        <v/>
      </c>
      <c r="AE325" s="35" t="str">
        <f>IFERROR(__xludf.DUMMYFUNCTION("""COMPUTED_VALUE"""),"AP")</f>
        <v>AP</v>
      </c>
      <c r="AF325" s="34" t="str">
        <f>IFERROR(__xludf.DUMMYFUNCTION("""COMPUTED_VALUE"""),"")</f>
        <v/>
      </c>
      <c r="AG325" s="35" t="str">
        <f>IFERROR(__xludf.DUMMYFUNCTION("""COMPUTED_VALUE"""),"%")</f>
        <v>%</v>
      </c>
      <c r="AH325" s="31">
        <f>IFERROR(__xludf.DUMMYFUNCTION("""COMPUTED_VALUE"""),21.0)</f>
        <v>21</v>
      </c>
      <c r="AI325" s="32">
        <f>IFERROR(__xludf.DUMMYFUNCTION("""COMPUTED_VALUE"""),14216.0)</f>
        <v>14216</v>
      </c>
      <c r="AJ325" s="39" t="str">
        <f>IFERROR(__xludf.DUMMYFUNCTION("""COMPUTED_VALUE"""),"バレルタワー")</f>
        <v>バレルタワー</v>
      </c>
    </row>
    <row r="326" ht="24.75" customHeight="1">
      <c r="A326" s="40">
        <f>IFERROR(__xludf.DUMMYFUNCTION("""COMPUTED_VALUE"""),2.0)</f>
        <v>2</v>
      </c>
      <c r="B326" s="40" t="str">
        <f>IFERROR(__xludf.DUMMYFUNCTION("""COMPUTED_VALUE"""),"A206")</f>
        <v>A206</v>
      </c>
      <c r="C326" s="40" t="str">
        <f>IFERROR(__xludf.DUMMYFUNCTION("""COMPUTED_VALUE"""),"EPU14")</f>
        <v>EPU14</v>
      </c>
      <c r="D326" s="41" t="str">
        <f>IFERROR(__xludf.DUMMYFUNCTION("""COMPUTED_VALUE"""),"E Pluribus Unum")</f>
        <v>E Pluribus Unum</v>
      </c>
      <c r="E326" s="42" t="str">
        <f>IFERROR(__xludf.DUMMYFUNCTION("""COMPUTED_VALUE"""),"Chicago")</f>
        <v>Chicago</v>
      </c>
      <c r="F326" s="43">
        <f>IFERROR(__xludf.DUMMYFUNCTION("""COMPUTED_VALUE"""),21.0)</f>
        <v>21</v>
      </c>
      <c r="G326" s="44">
        <f>IFERROR(__xludf.DUMMYFUNCTION("""COMPUTED_VALUE"""),3494.0)</f>
        <v>3494</v>
      </c>
      <c r="H326" s="33" t="str">
        <f>IFERROR(__xludf.DUMMYFUNCTION("""COMPUTED_VALUE"""),"")</f>
        <v/>
      </c>
      <c r="I326" s="45">
        <f>IFERROR(__xludf.DUMMYFUNCTION("""COMPUTED_VALUE"""),52.0)</f>
        <v>52</v>
      </c>
      <c r="J326" s="46" t="str">
        <f>IFERROR(__xludf.DUMMYFUNCTION("""COMPUTED_VALUE"""),"AP")</f>
        <v>AP</v>
      </c>
      <c r="K326" s="47">
        <f>IFERROR(__xludf.DUMMYFUNCTION("""COMPUTED_VALUE"""),40.4)</f>
        <v>40.4</v>
      </c>
      <c r="L326" s="48" t="str">
        <f>IFERROR(__xludf.DUMMYFUNCTION("""COMPUTED_VALUE"""),"%")</f>
        <v>%</v>
      </c>
      <c r="M326" s="49">
        <f>IFERROR(__xludf.DUMMYFUNCTION("""COMPUTED_VALUE"""),1.0)</f>
        <v>1</v>
      </c>
      <c r="N326" s="50" t="str">
        <f>IFERROR(__xludf.DUMMYFUNCTION("""COMPUTED_VALUE"""),"B102")</f>
        <v>B102</v>
      </c>
      <c r="O326" s="38" t="str">
        <f>IFERROR(__xludf.DUMMYFUNCTION("""COMPUTED_VALUE"""),"")</f>
        <v/>
      </c>
      <c r="P326" s="45">
        <f>IFERROR(__xludf.DUMMYFUNCTION("""COMPUTED_VALUE"""),549.2)</f>
        <v>549.2</v>
      </c>
      <c r="Q326" s="46" t="str">
        <f>IFERROR(__xludf.DUMMYFUNCTION("""COMPUTED_VALUE"""),"AP")</f>
        <v>AP</v>
      </c>
      <c r="R326" s="47">
        <f>IFERROR(__xludf.DUMMYFUNCTION("""COMPUTED_VALUE"""),3.8)</f>
        <v>3.8</v>
      </c>
      <c r="S326" s="48" t="str">
        <f>IFERROR(__xludf.DUMMYFUNCTION("""COMPUTED_VALUE"""),"%")</f>
        <v>%</v>
      </c>
      <c r="T326" s="49">
        <f>IFERROR(__xludf.DUMMYFUNCTION("""COMPUTED_VALUE"""),2.0)</f>
        <v>2</v>
      </c>
      <c r="U326" s="50" t="str">
        <f>IFERROR(__xludf.DUMMYFUNCTION("""COMPUTED_VALUE"""),"B112")</f>
        <v>B112</v>
      </c>
      <c r="V326" s="38" t="str">
        <f>IFERROR(__xludf.DUMMYFUNCTION("""COMPUTED_VALUE"""),"")</f>
        <v/>
      </c>
      <c r="W326" s="45">
        <f>IFERROR(__xludf.DUMMYFUNCTION("""COMPUTED_VALUE"""),129.0)</f>
        <v>129</v>
      </c>
      <c r="X326" s="46" t="str">
        <f>IFERROR(__xludf.DUMMYFUNCTION("""COMPUTED_VALUE"""),"AP")</f>
        <v>AP</v>
      </c>
      <c r="Y326" s="47">
        <f>IFERROR(__xludf.DUMMYFUNCTION("""COMPUTED_VALUE"""),16.3)</f>
        <v>16.3</v>
      </c>
      <c r="Z326" s="48" t="str">
        <f>IFERROR(__xludf.DUMMYFUNCTION("""COMPUTED_VALUE"""),"%")</f>
        <v>%</v>
      </c>
      <c r="AA326" s="49">
        <f>IFERROR(__xludf.DUMMYFUNCTION("""COMPUTED_VALUE"""),3.0)</f>
        <v>3</v>
      </c>
      <c r="AB326" s="50"/>
      <c r="AC326" s="38"/>
      <c r="AD326" s="45" t="str">
        <f>IFERROR(__xludf.DUMMYFUNCTION("""COMPUTED_VALUE"""),"")</f>
        <v/>
      </c>
      <c r="AE326" s="46" t="str">
        <f>IFERROR(__xludf.DUMMYFUNCTION("""COMPUTED_VALUE"""),"AP")</f>
        <v>AP</v>
      </c>
      <c r="AF326" s="47" t="str">
        <f>IFERROR(__xludf.DUMMYFUNCTION("""COMPUTED_VALUE"""),"")</f>
        <v/>
      </c>
      <c r="AG326" s="48" t="str">
        <f>IFERROR(__xludf.DUMMYFUNCTION("""COMPUTED_VALUE"""),"%")</f>
        <v>%</v>
      </c>
      <c r="AH326" s="43">
        <f>IFERROR(__xludf.DUMMYFUNCTION("""COMPUTED_VALUE"""),21.0)</f>
        <v>21</v>
      </c>
      <c r="AI326" s="44">
        <f>IFERROR(__xludf.DUMMYFUNCTION("""COMPUTED_VALUE"""),3494.0)</f>
        <v>3494</v>
      </c>
      <c r="AJ326" s="51" t="str">
        <f>IFERROR(__xludf.DUMMYFUNCTION("""COMPUTED_VALUE"""),"シカゴ")</f>
        <v>シカゴ</v>
      </c>
    </row>
    <row r="327" ht="24.75" customHeight="1">
      <c r="A327" s="28">
        <f>IFERROR(__xludf.DUMMYFUNCTION("""COMPUTED_VALUE"""),3.0)</f>
        <v>3</v>
      </c>
      <c r="B327" s="28" t="str">
        <f>IFERROR(__xludf.DUMMYFUNCTION("""COMPUTED_VALUE"""),"A206")</f>
        <v>A206</v>
      </c>
      <c r="C327" s="28" t="str">
        <f>IFERROR(__xludf.DUMMYFUNCTION("""COMPUTED_VALUE"""),"SIN1")</f>
        <v>SIN1</v>
      </c>
      <c r="D327" s="29" t="str">
        <f>IFERROR(__xludf.DUMMYFUNCTION("""COMPUTED_VALUE"""),"SIN")</f>
        <v>SIN</v>
      </c>
      <c r="E327" s="30" t="str">
        <f>IFERROR(__xludf.DUMMYFUNCTION("""COMPUTED_VALUE"""),"Seeding Point")</f>
        <v>Seeding Point</v>
      </c>
      <c r="F327" s="31">
        <f>IFERROR(__xludf.DUMMYFUNCTION("""COMPUTED_VALUE"""),20.0)</f>
        <v>20</v>
      </c>
      <c r="G327" s="32">
        <f>IFERROR(__xludf.DUMMYFUNCTION("""COMPUTED_VALUE"""),13260.0)</f>
        <v>13260</v>
      </c>
      <c r="H327" s="33" t="str">
        <f>IFERROR(__xludf.DUMMYFUNCTION("""COMPUTED_VALUE"""),"")</f>
        <v/>
      </c>
      <c r="I327" s="34">
        <f>IFERROR(__xludf.DUMMYFUNCTION("""COMPUTED_VALUE"""),66.5)</f>
        <v>66.5</v>
      </c>
      <c r="J327" s="35" t="str">
        <f>IFERROR(__xludf.DUMMYFUNCTION("""COMPUTED_VALUE"""),"AP")</f>
        <v>AP</v>
      </c>
      <c r="K327" s="34">
        <f>IFERROR(__xludf.DUMMYFUNCTION("""COMPUTED_VALUE"""),30.1)</f>
        <v>30.1</v>
      </c>
      <c r="L327" s="35" t="str">
        <f>IFERROR(__xludf.DUMMYFUNCTION("""COMPUTED_VALUE"""),"%")</f>
        <v>%</v>
      </c>
      <c r="M327" s="36">
        <f>IFERROR(__xludf.DUMMYFUNCTION("""COMPUTED_VALUE"""),1.0)</f>
        <v>1</v>
      </c>
      <c r="N327" s="37" t="str">
        <f>IFERROR(__xludf.DUMMYFUNCTION("""COMPUTED_VALUE"""),"A306")</f>
        <v>A306</v>
      </c>
      <c r="O327" s="38" t="str">
        <f>IFERROR(__xludf.DUMMYFUNCTION("""COMPUTED_VALUE"""),"")</f>
        <v/>
      </c>
      <c r="P327" s="34">
        <f>IFERROR(__xludf.DUMMYFUNCTION("""COMPUTED_VALUE"""),50.8)</f>
        <v>50.8</v>
      </c>
      <c r="Q327" s="35" t="str">
        <f>IFERROR(__xludf.DUMMYFUNCTION("""COMPUTED_VALUE"""),"AP")</f>
        <v>AP</v>
      </c>
      <c r="R327" s="34">
        <f>IFERROR(__xludf.DUMMYFUNCTION("""COMPUTED_VALUE"""),39.4)</f>
        <v>39.4</v>
      </c>
      <c r="S327" s="35" t="str">
        <f>IFERROR(__xludf.DUMMYFUNCTION("""COMPUTED_VALUE"""),"%")</f>
        <v>%</v>
      </c>
      <c r="T327" s="36">
        <f>IFERROR(__xludf.DUMMYFUNCTION("""COMPUTED_VALUE"""),2.0)</f>
        <v>2</v>
      </c>
      <c r="U327" s="37"/>
      <c r="V327" s="38"/>
      <c r="W327" s="34" t="str">
        <f>IFERROR(__xludf.DUMMYFUNCTION("""COMPUTED_VALUE"""),"")</f>
        <v/>
      </c>
      <c r="X327" s="35" t="str">
        <f>IFERROR(__xludf.DUMMYFUNCTION("""COMPUTED_VALUE"""),"AP")</f>
        <v>AP</v>
      </c>
      <c r="Y327" s="34" t="str">
        <f>IFERROR(__xludf.DUMMYFUNCTION("""COMPUTED_VALUE"""),"")</f>
        <v/>
      </c>
      <c r="Z327" s="35" t="str">
        <f>IFERROR(__xludf.DUMMYFUNCTION("""COMPUTED_VALUE"""),"%")</f>
        <v>%</v>
      </c>
      <c r="AA327" s="36">
        <f>IFERROR(__xludf.DUMMYFUNCTION("""COMPUTED_VALUE"""),3.0)</f>
        <v>3</v>
      </c>
      <c r="AB327" s="37"/>
      <c r="AC327" s="38"/>
      <c r="AD327" s="34" t="str">
        <f>IFERROR(__xludf.DUMMYFUNCTION("""COMPUTED_VALUE"""),"")</f>
        <v/>
      </c>
      <c r="AE327" s="35" t="str">
        <f>IFERROR(__xludf.DUMMYFUNCTION("""COMPUTED_VALUE"""),"AP")</f>
        <v>AP</v>
      </c>
      <c r="AF327" s="34" t="str">
        <f>IFERROR(__xludf.DUMMYFUNCTION("""COMPUTED_VALUE"""),"")</f>
        <v/>
      </c>
      <c r="AG327" s="35" t="str">
        <f>IFERROR(__xludf.DUMMYFUNCTION("""COMPUTED_VALUE"""),"%")</f>
        <v>%</v>
      </c>
      <c r="AH327" s="31">
        <f>IFERROR(__xludf.DUMMYFUNCTION("""COMPUTED_VALUE"""),20.0)</f>
        <v>20</v>
      </c>
      <c r="AI327" s="32">
        <f>IFERROR(__xludf.DUMMYFUNCTION("""COMPUTED_VALUE"""),13260.0)</f>
        <v>13260</v>
      </c>
      <c r="AJ327" s="39" t="str">
        <f>IFERROR(__xludf.DUMMYFUNCTION("""COMPUTED_VALUE"""),"シーディングポイント")</f>
        <v>シーディングポイント</v>
      </c>
    </row>
    <row r="328" ht="24.75" customHeight="1">
      <c r="A328" s="40">
        <f>IFERROR(__xludf.DUMMYFUNCTION("""COMPUTED_VALUE"""),4.0)</f>
        <v>4</v>
      </c>
      <c r="B328" s="40" t="str">
        <f>IFERROR(__xludf.DUMMYFUNCTION("""COMPUTED_VALUE"""),"A206")</f>
        <v>A206</v>
      </c>
      <c r="C328" s="40" t="str">
        <f>IFERROR(__xludf.DUMMYFUNCTION("""COMPUTED_VALUE"""),"SJK5")</f>
        <v>SJK5</v>
      </c>
      <c r="D328" s="41" t="str">
        <f>IFERROR(__xludf.DUMMYFUNCTION("""COMPUTED_VALUE"""),"Shinjuku")</f>
        <v>Shinjuku</v>
      </c>
      <c r="E328" s="42" t="str">
        <f>IFERROR(__xludf.DUMMYFUNCTION("""COMPUTED_VALUE"""),"Kabukicho")</f>
        <v>Kabukicho</v>
      </c>
      <c r="F328" s="43">
        <f>IFERROR(__xludf.DUMMYFUNCTION("""COMPUTED_VALUE"""),21.0)</f>
        <v>21</v>
      </c>
      <c r="G328" s="44">
        <f>IFERROR(__xludf.DUMMYFUNCTION("""COMPUTED_VALUE"""),8459.0)</f>
        <v>8459</v>
      </c>
      <c r="H328" s="33" t="str">
        <f>IFERROR(__xludf.DUMMYFUNCTION("""COMPUTED_VALUE"""),"")</f>
        <v/>
      </c>
      <c r="I328" s="45">
        <f>IFERROR(__xludf.DUMMYFUNCTION("""COMPUTED_VALUE"""),67.3)</f>
        <v>67.3</v>
      </c>
      <c r="J328" s="46" t="str">
        <f>IFERROR(__xludf.DUMMYFUNCTION("""COMPUTED_VALUE"""),"AP")</f>
        <v>AP</v>
      </c>
      <c r="K328" s="47">
        <f>IFERROR(__xludf.DUMMYFUNCTION("""COMPUTED_VALUE"""),31.2)</f>
        <v>31.2</v>
      </c>
      <c r="L328" s="48" t="str">
        <f>IFERROR(__xludf.DUMMYFUNCTION("""COMPUTED_VALUE"""),"%")</f>
        <v>%</v>
      </c>
      <c r="M328" s="49">
        <f>IFERROR(__xludf.DUMMYFUNCTION("""COMPUTED_VALUE"""),1.0)</f>
        <v>1</v>
      </c>
      <c r="N328" s="50" t="str">
        <f>IFERROR(__xludf.DUMMYFUNCTION("""COMPUTED_VALUE"""),"A304")</f>
        <v>A304</v>
      </c>
      <c r="O328" s="38" t="str">
        <f>IFERROR(__xludf.DUMMYFUNCTION("""COMPUTED_VALUE"""),"")</f>
        <v/>
      </c>
      <c r="P328" s="45">
        <f>IFERROR(__xludf.DUMMYFUNCTION("""COMPUTED_VALUE"""),69.1)</f>
        <v>69.1</v>
      </c>
      <c r="Q328" s="46" t="str">
        <f>IFERROR(__xludf.DUMMYFUNCTION("""COMPUTED_VALUE"""),"AP")</f>
        <v>AP</v>
      </c>
      <c r="R328" s="47">
        <f>IFERROR(__xludf.DUMMYFUNCTION("""COMPUTED_VALUE"""),30.4)</f>
        <v>30.4</v>
      </c>
      <c r="S328" s="48" t="str">
        <f>IFERROR(__xludf.DUMMYFUNCTION("""COMPUTED_VALUE"""),"%")</f>
        <v>%</v>
      </c>
      <c r="T328" s="49">
        <f>IFERROR(__xludf.DUMMYFUNCTION("""COMPUTED_VALUE"""),2.0)</f>
        <v>2</v>
      </c>
      <c r="U328" s="50" t="str">
        <f>IFERROR(__xludf.DUMMYFUNCTION("""COMPUTED_VALUE"""),"B116")</f>
        <v>B116</v>
      </c>
      <c r="V328" s="38" t="str">
        <f>IFERROR(__xludf.DUMMYFUNCTION("""COMPUTED_VALUE"""),"")</f>
        <v/>
      </c>
      <c r="W328" s="45">
        <f>IFERROR(__xludf.DUMMYFUNCTION("""COMPUTED_VALUE"""),58.1)</f>
        <v>58.1</v>
      </c>
      <c r="X328" s="46" t="str">
        <f>IFERROR(__xludf.DUMMYFUNCTION("""COMPUTED_VALUE"""),"AP")</f>
        <v>AP</v>
      </c>
      <c r="Y328" s="47">
        <f>IFERROR(__xludf.DUMMYFUNCTION("""COMPUTED_VALUE"""),36.2)</f>
        <v>36.2</v>
      </c>
      <c r="Z328" s="48" t="str">
        <f>IFERROR(__xludf.DUMMYFUNCTION("""COMPUTED_VALUE"""),"%")</f>
        <v>%</v>
      </c>
      <c r="AA328" s="49">
        <f>IFERROR(__xludf.DUMMYFUNCTION("""COMPUTED_VALUE"""),3.0)</f>
        <v>3</v>
      </c>
      <c r="AB328" s="50"/>
      <c r="AC328" s="38"/>
      <c r="AD328" s="45" t="str">
        <f>IFERROR(__xludf.DUMMYFUNCTION("""COMPUTED_VALUE"""),"")</f>
        <v/>
      </c>
      <c r="AE328" s="46" t="str">
        <f>IFERROR(__xludf.DUMMYFUNCTION("""COMPUTED_VALUE"""),"AP")</f>
        <v>AP</v>
      </c>
      <c r="AF328" s="47" t="str">
        <f>IFERROR(__xludf.DUMMYFUNCTION("""COMPUTED_VALUE"""),"")</f>
        <v/>
      </c>
      <c r="AG328" s="48" t="str">
        <f>IFERROR(__xludf.DUMMYFUNCTION("""COMPUTED_VALUE"""),"%")</f>
        <v>%</v>
      </c>
      <c r="AH328" s="43">
        <f>IFERROR(__xludf.DUMMYFUNCTION("""COMPUTED_VALUE"""),21.0)</f>
        <v>21</v>
      </c>
      <c r="AI328" s="44">
        <f>IFERROR(__xludf.DUMMYFUNCTION("""COMPUTED_VALUE"""),8459.0)</f>
        <v>8459</v>
      </c>
      <c r="AJ328" s="51" t="str">
        <f>IFERROR(__xludf.DUMMYFUNCTION("""COMPUTED_VALUE"""),"歌舞伎町")</f>
        <v>歌舞伎町</v>
      </c>
    </row>
    <row r="329" ht="24.75" customHeight="1">
      <c r="A329" s="28">
        <f>IFERROR(__xludf.DUMMYFUNCTION("""COMPUTED_VALUE"""),5.0)</f>
        <v>5</v>
      </c>
      <c r="B329" s="28" t="str">
        <f>IFERROR(__xludf.DUMMYFUNCTION("""COMPUTED_VALUE"""),"A206")</f>
        <v>A206</v>
      </c>
      <c r="C329" s="28" t="str">
        <f>IFERROR(__xludf.DUMMYFUNCTION("""COMPUTED_VALUE"""),"SIN8")</f>
        <v>SIN8</v>
      </c>
      <c r="D329" s="29" t="str">
        <f>IFERROR(__xludf.DUMMYFUNCTION("""COMPUTED_VALUE"""),"SIN")</f>
        <v>SIN</v>
      </c>
      <c r="E329" s="30" t="str">
        <f>IFERROR(__xludf.DUMMYFUNCTION("""COMPUTED_VALUE"""),"Shiquan Canyon")</f>
        <v>Shiquan Canyon</v>
      </c>
      <c r="F329" s="31">
        <f>IFERROR(__xludf.DUMMYFUNCTION("""COMPUTED_VALUE"""),21.0)</f>
        <v>21</v>
      </c>
      <c r="G329" s="32">
        <f>IFERROR(__xludf.DUMMYFUNCTION("""COMPUTED_VALUE"""),12318.0)</f>
        <v>12318</v>
      </c>
      <c r="H329" s="33" t="str">
        <f>IFERROR(__xludf.DUMMYFUNCTION("""COMPUTED_VALUE"""),"")</f>
        <v/>
      </c>
      <c r="I329" s="34">
        <f>IFERROR(__xludf.DUMMYFUNCTION("""COMPUTED_VALUE"""),69.7)</f>
        <v>69.7</v>
      </c>
      <c r="J329" s="35" t="str">
        <f>IFERROR(__xludf.DUMMYFUNCTION("""COMPUTED_VALUE"""),"AP")</f>
        <v>AP</v>
      </c>
      <c r="K329" s="34">
        <f>IFERROR(__xludf.DUMMYFUNCTION("""COMPUTED_VALUE"""),30.1)</f>
        <v>30.1</v>
      </c>
      <c r="L329" s="35" t="str">
        <f>IFERROR(__xludf.DUMMYFUNCTION("""COMPUTED_VALUE"""),"%")</f>
        <v>%</v>
      </c>
      <c r="M329" s="36">
        <f>IFERROR(__xludf.DUMMYFUNCTION("""COMPUTED_VALUE"""),1.0)</f>
        <v>1</v>
      </c>
      <c r="N329" s="37" t="str">
        <f>IFERROR(__xludf.DUMMYFUNCTION("""COMPUTED_VALUE"""),"A113")</f>
        <v>A113</v>
      </c>
      <c r="O329" s="38" t="str">
        <f>IFERROR(__xludf.DUMMYFUNCTION("""COMPUTED_VALUE"""),"")</f>
        <v/>
      </c>
      <c r="P329" s="34">
        <f>IFERROR(__xludf.DUMMYFUNCTION("""COMPUTED_VALUE"""),105.0)</f>
        <v>105</v>
      </c>
      <c r="Q329" s="35" t="str">
        <f>IFERROR(__xludf.DUMMYFUNCTION("""COMPUTED_VALUE"""),"AP")</f>
        <v>AP</v>
      </c>
      <c r="R329" s="34">
        <f>IFERROR(__xludf.DUMMYFUNCTION("""COMPUTED_VALUE"""),20.0)</f>
        <v>20</v>
      </c>
      <c r="S329" s="35" t="str">
        <f>IFERROR(__xludf.DUMMYFUNCTION("""COMPUTED_VALUE"""),"%")</f>
        <v>%</v>
      </c>
      <c r="T329" s="36">
        <f>IFERROR(__xludf.DUMMYFUNCTION("""COMPUTED_VALUE"""),2.0)</f>
        <v>2</v>
      </c>
      <c r="U329" s="37" t="str">
        <f>IFERROR(__xludf.DUMMYFUNCTION("""COMPUTED_VALUE"""),"B112")</f>
        <v>B112</v>
      </c>
      <c r="V329" s="38" t="str">
        <f>IFERROR(__xludf.DUMMYFUNCTION("""COMPUTED_VALUE"""),"")</f>
        <v/>
      </c>
      <c r="W329" s="34">
        <f>IFERROR(__xludf.DUMMYFUNCTION("""COMPUTED_VALUE"""),107.8)</f>
        <v>107.8</v>
      </c>
      <c r="X329" s="35" t="str">
        <f>IFERROR(__xludf.DUMMYFUNCTION("""COMPUTED_VALUE"""),"AP")</f>
        <v>AP</v>
      </c>
      <c r="Y329" s="34">
        <f>IFERROR(__xludf.DUMMYFUNCTION("""COMPUTED_VALUE"""),19.5)</f>
        <v>19.5</v>
      </c>
      <c r="Z329" s="35" t="str">
        <f>IFERROR(__xludf.DUMMYFUNCTION("""COMPUTED_VALUE"""),"%")</f>
        <v>%</v>
      </c>
      <c r="AA329" s="36">
        <f>IFERROR(__xludf.DUMMYFUNCTION("""COMPUTED_VALUE"""),3.0)</f>
        <v>3</v>
      </c>
      <c r="AB329" s="37"/>
      <c r="AC329" s="38"/>
      <c r="AD329" s="34" t="str">
        <f>IFERROR(__xludf.DUMMYFUNCTION("""COMPUTED_VALUE"""),"")</f>
        <v/>
      </c>
      <c r="AE329" s="35" t="str">
        <f>IFERROR(__xludf.DUMMYFUNCTION("""COMPUTED_VALUE"""),"AP")</f>
        <v>AP</v>
      </c>
      <c r="AF329" s="34" t="str">
        <f>IFERROR(__xludf.DUMMYFUNCTION("""COMPUTED_VALUE"""),"")</f>
        <v/>
      </c>
      <c r="AG329" s="35" t="str">
        <f>IFERROR(__xludf.DUMMYFUNCTION("""COMPUTED_VALUE"""),"%")</f>
        <v>%</v>
      </c>
      <c r="AH329" s="31">
        <f>IFERROR(__xludf.DUMMYFUNCTION("""COMPUTED_VALUE"""),21.0)</f>
        <v>21</v>
      </c>
      <c r="AI329" s="32">
        <f>IFERROR(__xludf.DUMMYFUNCTION("""COMPUTED_VALUE"""),12318.0)</f>
        <v>12318</v>
      </c>
      <c r="AJ329" s="39" t="str">
        <f>IFERROR(__xludf.DUMMYFUNCTION("""COMPUTED_VALUE"""),"石泉峡")</f>
        <v>石泉峡</v>
      </c>
    </row>
    <row r="330" ht="24.75" customHeight="1">
      <c r="A330" s="40">
        <f>IFERROR(__xludf.DUMMYFUNCTION("""COMPUTED_VALUE"""),6.0)</f>
        <v>6</v>
      </c>
      <c r="B330" s="40" t="str">
        <f>IFERROR(__xludf.DUMMYFUNCTION("""COMPUTED_VALUE"""),"A206")</f>
        <v>A206</v>
      </c>
      <c r="C330" s="40" t="str">
        <f>IFERROR(__xludf.DUMMYFUNCTION("""COMPUTED_VALUE"""),"LDN7")</f>
        <v>LDN7</v>
      </c>
      <c r="D330" s="41" t="str">
        <f>IFERROR(__xludf.DUMMYFUNCTION("""COMPUTED_VALUE"""),"London")</f>
        <v>London</v>
      </c>
      <c r="E330" s="42" t="str">
        <f>IFERROR(__xludf.DUMMYFUNCTION("""COMPUTED_VALUE"""),"Clerkenwell")</f>
        <v>Clerkenwell</v>
      </c>
      <c r="F330" s="43">
        <f>IFERROR(__xludf.DUMMYFUNCTION("""COMPUTED_VALUE"""),18.0)</f>
        <v>18</v>
      </c>
      <c r="G330" s="44">
        <f>IFERROR(__xludf.DUMMYFUNCTION("""COMPUTED_VALUE"""),4808.0)</f>
        <v>4808</v>
      </c>
      <c r="H330" s="33" t="str">
        <f>IFERROR(__xludf.DUMMYFUNCTION("""COMPUTED_VALUE"""),"")</f>
        <v/>
      </c>
      <c r="I330" s="45">
        <f>IFERROR(__xludf.DUMMYFUNCTION("""COMPUTED_VALUE"""),72.2)</f>
        <v>72.2</v>
      </c>
      <c r="J330" s="46" t="str">
        <f>IFERROR(__xludf.DUMMYFUNCTION("""COMPUTED_VALUE"""),"AP")</f>
        <v>AP</v>
      </c>
      <c r="K330" s="47">
        <f>IFERROR(__xludf.DUMMYFUNCTION("""COMPUTED_VALUE"""),24.9)</f>
        <v>24.9</v>
      </c>
      <c r="L330" s="48" t="str">
        <f>IFERROR(__xludf.DUMMYFUNCTION("""COMPUTED_VALUE"""),"%")</f>
        <v>%</v>
      </c>
      <c r="M330" s="49">
        <f>IFERROR(__xludf.DUMMYFUNCTION("""COMPUTED_VALUE"""),1.0)</f>
        <v>1</v>
      </c>
      <c r="N330" s="50" t="str">
        <f>IFERROR(__xludf.DUMMYFUNCTION("""COMPUTED_VALUE"""),"A302")</f>
        <v>A302</v>
      </c>
      <c r="O330" s="38" t="str">
        <f>IFERROR(__xludf.DUMMYFUNCTION("""COMPUTED_VALUE"""),"")</f>
        <v/>
      </c>
      <c r="P330" s="45">
        <f>IFERROR(__xludf.DUMMYFUNCTION("""COMPUTED_VALUE"""),51.5)</f>
        <v>51.5</v>
      </c>
      <c r="Q330" s="46" t="str">
        <f>IFERROR(__xludf.DUMMYFUNCTION("""COMPUTED_VALUE"""),"AP")</f>
        <v>AP</v>
      </c>
      <c r="R330" s="47">
        <f>IFERROR(__xludf.DUMMYFUNCTION("""COMPUTED_VALUE"""),34.9)</f>
        <v>34.9</v>
      </c>
      <c r="S330" s="48" t="str">
        <f>IFERROR(__xludf.DUMMYFUNCTION("""COMPUTED_VALUE"""),"%")</f>
        <v>%</v>
      </c>
      <c r="T330" s="49">
        <f>IFERROR(__xludf.DUMMYFUNCTION("""COMPUTED_VALUE"""),2.0)</f>
        <v>2</v>
      </c>
      <c r="U330" s="50" t="str">
        <f>IFERROR(__xludf.DUMMYFUNCTION("""COMPUTED_VALUE"""),"B106")</f>
        <v>B106</v>
      </c>
      <c r="V330" s="38" t="str">
        <f>IFERROR(__xludf.DUMMYFUNCTION("""COMPUTED_VALUE"""),"")</f>
        <v/>
      </c>
      <c r="W330" s="45">
        <f>IFERROR(__xludf.DUMMYFUNCTION("""COMPUTED_VALUE"""),603.8)</f>
        <v>603.8</v>
      </c>
      <c r="X330" s="46" t="str">
        <f>IFERROR(__xludf.DUMMYFUNCTION("""COMPUTED_VALUE"""),"AP")</f>
        <v>AP</v>
      </c>
      <c r="Y330" s="47">
        <f>IFERROR(__xludf.DUMMYFUNCTION("""COMPUTED_VALUE"""),3.0)</f>
        <v>3</v>
      </c>
      <c r="Z330" s="48" t="str">
        <f>IFERROR(__xludf.DUMMYFUNCTION("""COMPUTED_VALUE"""),"%")</f>
        <v>%</v>
      </c>
      <c r="AA330" s="49">
        <f>IFERROR(__xludf.DUMMYFUNCTION("""COMPUTED_VALUE"""),3.0)</f>
        <v>3</v>
      </c>
      <c r="AB330" s="50" t="str">
        <f>IFERROR(__xludf.DUMMYFUNCTION("""COMPUTED_VALUE"""),"B116")</f>
        <v>B116</v>
      </c>
      <c r="AC330" s="38" t="str">
        <f>IFERROR(__xludf.DUMMYFUNCTION("""COMPUTED_VALUE"""),"")</f>
        <v/>
      </c>
      <c r="AD330" s="45">
        <f>IFERROR(__xludf.DUMMYFUNCTION("""COMPUTED_VALUE"""),118.4)</f>
        <v>118.4</v>
      </c>
      <c r="AE330" s="46" t="str">
        <f>IFERROR(__xludf.DUMMYFUNCTION("""COMPUTED_VALUE"""),"AP")</f>
        <v>AP</v>
      </c>
      <c r="AF330" s="47">
        <f>IFERROR(__xludf.DUMMYFUNCTION("""COMPUTED_VALUE"""),15.2)</f>
        <v>15.2</v>
      </c>
      <c r="AG330" s="48" t="str">
        <f>IFERROR(__xludf.DUMMYFUNCTION("""COMPUTED_VALUE"""),"%")</f>
        <v>%</v>
      </c>
      <c r="AH330" s="43">
        <f>IFERROR(__xludf.DUMMYFUNCTION("""COMPUTED_VALUE"""),18.0)</f>
        <v>18</v>
      </c>
      <c r="AI330" s="44">
        <f>IFERROR(__xludf.DUMMYFUNCTION("""COMPUTED_VALUE"""),4808.0)</f>
        <v>4808</v>
      </c>
      <c r="AJ330" s="51" t="str">
        <f>IFERROR(__xludf.DUMMYFUNCTION("""COMPUTED_VALUE"""),"クラーケンウェル")</f>
        <v>クラーケンウェル</v>
      </c>
    </row>
    <row r="331" ht="24.75" customHeight="1">
      <c r="A331" s="28">
        <f>IFERROR(__xludf.DUMMYFUNCTION("""COMPUTED_VALUE"""),7.0)</f>
        <v>7</v>
      </c>
      <c r="B331" s="28" t="str">
        <f>IFERROR(__xludf.DUMMYFUNCTION("""COMPUTED_VALUE"""),"A206")</f>
        <v>A206</v>
      </c>
      <c r="C331" s="28" t="str">
        <f>IFERROR(__xludf.DUMMYFUNCTION("""COMPUTED_VALUE"""),"SIN9")</f>
        <v>SIN9</v>
      </c>
      <c r="D331" s="29" t="str">
        <f>IFERROR(__xludf.DUMMYFUNCTION("""COMPUTED_VALUE"""),"SIN")</f>
        <v>SIN</v>
      </c>
      <c r="E331" s="30" t="str">
        <f>IFERROR(__xludf.DUMMYFUNCTION("""COMPUTED_VALUE"""),"Daping Yu")</f>
        <v>Daping Yu</v>
      </c>
      <c r="F331" s="31">
        <f>IFERROR(__xludf.DUMMYFUNCTION("""COMPUTED_VALUE"""),21.0)</f>
        <v>21</v>
      </c>
      <c r="G331" s="32">
        <f>IFERROR(__xludf.DUMMYFUNCTION("""COMPUTED_VALUE"""),10400.0)</f>
        <v>10400</v>
      </c>
      <c r="H331" s="33" t="str">
        <f>IFERROR(__xludf.DUMMYFUNCTION("""COMPUTED_VALUE"""),"")</f>
        <v/>
      </c>
      <c r="I331" s="34">
        <f>IFERROR(__xludf.DUMMYFUNCTION("""COMPUTED_VALUE"""),72.8)</f>
        <v>72.8</v>
      </c>
      <c r="J331" s="35" t="str">
        <f>IFERROR(__xludf.DUMMYFUNCTION("""COMPUTED_VALUE"""),"AP")</f>
        <v>AP</v>
      </c>
      <c r="K331" s="34">
        <f>IFERROR(__xludf.DUMMYFUNCTION("""COMPUTED_VALUE"""),28.8)</f>
        <v>28.8</v>
      </c>
      <c r="L331" s="35" t="str">
        <f>IFERROR(__xludf.DUMMYFUNCTION("""COMPUTED_VALUE"""),"%")</f>
        <v>%</v>
      </c>
      <c r="M331" s="36">
        <f>IFERROR(__xludf.DUMMYFUNCTION("""COMPUTED_VALUE"""),1.0)</f>
        <v>1</v>
      </c>
      <c r="N331" s="37" t="str">
        <f>IFERROR(__xludf.DUMMYFUNCTION("""COMPUTED_VALUE"""),"A216")</f>
        <v>A216</v>
      </c>
      <c r="O331" s="38" t="str">
        <f>IFERROR(__xludf.DUMMYFUNCTION("""COMPUTED_VALUE"""),"")</f>
        <v/>
      </c>
      <c r="P331" s="34">
        <f>IFERROR(__xludf.DUMMYFUNCTION("""COMPUTED_VALUE"""),82.8)</f>
        <v>82.8</v>
      </c>
      <c r="Q331" s="35" t="str">
        <f>IFERROR(__xludf.DUMMYFUNCTION("""COMPUTED_VALUE"""),"AP")</f>
        <v>AP</v>
      </c>
      <c r="R331" s="34">
        <f>IFERROR(__xludf.DUMMYFUNCTION("""COMPUTED_VALUE"""),25.4)</f>
        <v>25.4</v>
      </c>
      <c r="S331" s="35" t="str">
        <f>IFERROR(__xludf.DUMMYFUNCTION("""COMPUTED_VALUE"""),"%")</f>
        <v>%</v>
      </c>
      <c r="T331" s="36">
        <f>IFERROR(__xludf.DUMMYFUNCTION("""COMPUTED_VALUE"""),2.0)</f>
        <v>2</v>
      </c>
      <c r="U331" s="37" t="str">
        <f>IFERROR(__xludf.DUMMYFUNCTION("""COMPUTED_VALUE"""),"B116")</f>
        <v>B116</v>
      </c>
      <c r="V331" s="38" t="str">
        <f>IFERROR(__xludf.DUMMYFUNCTION("""COMPUTED_VALUE"""),"")</f>
        <v/>
      </c>
      <c r="W331" s="34">
        <f>IFERROR(__xludf.DUMMYFUNCTION("""COMPUTED_VALUE"""),103.4)</f>
        <v>103.4</v>
      </c>
      <c r="X331" s="35" t="str">
        <f>IFERROR(__xludf.DUMMYFUNCTION("""COMPUTED_VALUE"""),"AP")</f>
        <v>AP</v>
      </c>
      <c r="Y331" s="34">
        <f>IFERROR(__xludf.DUMMYFUNCTION("""COMPUTED_VALUE"""),20.3)</f>
        <v>20.3</v>
      </c>
      <c r="Z331" s="35" t="str">
        <f>IFERROR(__xludf.DUMMYFUNCTION("""COMPUTED_VALUE"""),"%")</f>
        <v>%</v>
      </c>
      <c r="AA331" s="36">
        <f>IFERROR(__xludf.DUMMYFUNCTION("""COMPUTED_VALUE"""),3.0)</f>
        <v>3</v>
      </c>
      <c r="AB331" s="37"/>
      <c r="AC331" s="38"/>
      <c r="AD331" s="34" t="str">
        <f>IFERROR(__xludf.DUMMYFUNCTION("""COMPUTED_VALUE"""),"")</f>
        <v/>
      </c>
      <c r="AE331" s="35" t="str">
        <f>IFERROR(__xludf.DUMMYFUNCTION("""COMPUTED_VALUE"""),"AP")</f>
        <v>AP</v>
      </c>
      <c r="AF331" s="34" t="str">
        <f>IFERROR(__xludf.DUMMYFUNCTION("""COMPUTED_VALUE"""),"")</f>
        <v/>
      </c>
      <c r="AG331" s="35" t="str">
        <f>IFERROR(__xludf.DUMMYFUNCTION("""COMPUTED_VALUE"""),"%")</f>
        <v>%</v>
      </c>
      <c r="AH331" s="31">
        <f>IFERROR(__xludf.DUMMYFUNCTION("""COMPUTED_VALUE"""),21.0)</f>
        <v>21</v>
      </c>
      <c r="AI331" s="32">
        <f>IFERROR(__xludf.DUMMYFUNCTION("""COMPUTED_VALUE"""),10400.0)</f>
        <v>10400</v>
      </c>
      <c r="AJ331" s="39" t="str">
        <f>IFERROR(__xludf.DUMMYFUNCTION("""COMPUTED_VALUE"""),"大坪峪")</f>
        <v>大坪峪</v>
      </c>
    </row>
    <row r="332" ht="24.75" customHeight="1">
      <c r="A332" s="40">
        <f>IFERROR(__xludf.DUMMYFUNCTION("""COMPUTED_VALUE"""),8.0)</f>
        <v>8</v>
      </c>
      <c r="B332" s="40" t="str">
        <f>IFERROR(__xludf.DUMMYFUNCTION("""COMPUTED_VALUE"""),"A206")</f>
        <v>A206</v>
      </c>
      <c r="C332" s="40" t="str">
        <f>IFERROR(__xludf.DUMMYFUNCTION("""COMPUTED_VALUE"""),"HEA8")</f>
        <v>HEA8</v>
      </c>
      <c r="D332" s="41" t="str">
        <f>IFERROR(__xludf.DUMMYFUNCTION("""COMPUTED_VALUE"""),"Heian-kyo")</f>
        <v>Heian-kyo</v>
      </c>
      <c r="E332" s="42" t="str">
        <f>IFERROR(__xludf.DUMMYFUNCTION("""COMPUTED_VALUE"""),"Inari Shrine")</f>
        <v>Inari Shrine</v>
      </c>
      <c r="F332" s="43">
        <f>IFERROR(__xludf.DUMMYFUNCTION("""COMPUTED_VALUE"""),21.0)</f>
        <v>21</v>
      </c>
      <c r="G332" s="44">
        <f>IFERROR(__xludf.DUMMYFUNCTION("""COMPUTED_VALUE"""),1003.0)</f>
        <v>1003</v>
      </c>
      <c r="H332" s="33" t="str">
        <f>IFERROR(__xludf.DUMMYFUNCTION("""COMPUTED_VALUE"""),"")</f>
        <v/>
      </c>
      <c r="I332" s="45">
        <f>IFERROR(__xludf.DUMMYFUNCTION("""COMPUTED_VALUE"""),89.6)</f>
        <v>89.6</v>
      </c>
      <c r="J332" s="46" t="str">
        <f>IFERROR(__xludf.DUMMYFUNCTION("""COMPUTED_VALUE"""),"AP")</f>
        <v>AP</v>
      </c>
      <c r="K332" s="47">
        <f>IFERROR(__xludf.DUMMYFUNCTION("""COMPUTED_VALUE"""),23.4)</f>
        <v>23.4</v>
      </c>
      <c r="L332" s="48" t="str">
        <f>IFERROR(__xludf.DUMMYFUNCTION("""COMPUTED_VALUE"""),"%")</f>
        <v>%</v>
      </c>
      <c r="M332" s="49">
        <f>IFERROR(__xludf.DUMMYFUNCTION("""COMPUTED_VALUE"""),1.0)</f>
        <v>1</v>
      </c>
      <c r="N332" s="50" t="str">
        <f>IFERROR(__xludf.DUMMYFUNCTION("""COMPUTED_VALUE"""),"A115")</f>
        <v>A115</v>
      </c>
      <c r="O332" s="38" t="str">
        <f>IFERROR(__xludf.DUMMYFUNCTION("""COMPUTED_VALUE"""),"")</f>
        <v/>
      </c>
      <c r="P332" s="45">
        <f>IFERROR(__xludf.DUMMYFUNCTION("""COMPUTED_VALUE"""),164.6)</f>
        <v>164.6</v>
      </c>
      <c r="Q332" s="46" t="str">
        <f>IFERROR(__xludf.DUMMYFUNCTION("""COMPUTED_VALUE"""),"AP")</f>
        <v>AP</v>
      </c>
      <c r="R332" s="47">
        <f>IFERROR(__xludf.DUMMYFUNCTION("""COMPUTED_VALUE"""),12.8)</f>
        <v>12.8</v>
      </c>
      <c r="S332" s="48" t="str">
        <f>IFERROR(__xludf.DUMMYFUNCTION("""COMPUTED_VALUE"""),"%")</f>
        <v>%</v>
      </c>
      <c r="T332" s="49">
        <f>IFERROR(__xludf.DUMMYFUNCTION("""COMPUTED_VALUE"""),2.0)</f>
        <v>2</v>
      </c>
      <c r="U332" s="50" t="str">
        <f>IFERROR(__xludf.DUMMYFUNCTION("""COMPUTED_VALUE"""),"B103")</f>
        <v>B103</v>
      </c>
      <c r="V332" s="38" t="str">
        <f>IFERROR(__xludf.DUMMYFUNCTION("""COMPUTED_VALUE"""),"")</f>
        <v/>
      </c>
      <c r="W332" s="45">
        <f>IFERROR(__xludf.DUMMYFUNCTION("""COMPUTED_VALUE"""),752.3)</f>
        <v>752.3</v>
      </c>
      <c r="X332" s="46" t="str">
        <f>IFERROR(__xludf.DUMMYFUNCTION("""COMPUTED_VALUE"""),"AP")</f>
        <v>AP</v>
      </c>
      <c r="Y332" s="47">
        <f>IFERROR(__xludf.DUMMYFUNCTION("""COMPUTED_VALUE"""),2.8)</f>
        <v>2.8</v>
      </c>
      <c r="Z332" s="48" t="str">
        <f>IFERROR(__xludf.DUMMYFUNCTION("""COMPUTED_VALUE"""),"%")</f>
        <v>%</v>
      </c>
      <c r="AA332" s="49">
        <f>IFERROR(__xludf.DUMMYFUNCTION("""COMPUTED_VALUE"""),3.0)</f>
        <v>3</v>
      </c>
      <c r="AB332" s="50" t="str">
        <f>IFERROR(__xludf.DUMMYFUNCTION("""COMPUTED_VALUE"""),"B111")</f>
        <v>B111</v>
      </c>
      <c r="AC332" s="38" t="str">
        <f>IFERROR(__xludf.DUMMYFUNCTION("""COMPUTED_VALUE"""),"")</f>
        <v/>
      </c>
      <c r="AD332" s="45">
        <f>IFERROR(__xludf.DUMMYFUNCTION("""COMPUTED_VALUE"""),114.5)</f>
        <v>114.5</v>
      </c>
      <c r="AE332" s="46" t="str">
        <f>IFERROR(__xludf.DUMMYFUNCTION("""COMPUTED_VALUE"""),"AP")</f>
        <v>AP</v>
      </c>
      <c r="AF332" s="47">
        <f>IFERROR(__xludf.DUMMYFUNCTION("""COMPUTED_VALUE"""),18.3)</f>
        <v>18.3</v>
      </c>
      <c r="AG332" s="48" t="str">
        <f>IFERROR(__xludf.DUMMYFUNCTION("""COMPUTED_VALUE"""),"%")</f>
        <v>%</v>
      </c>
      <c r="AH332" s="43">
        <f>IFERROR(__xludf.DUMMYFUNCTION("""COMPUTED_VALUE"""),21.0)</f>
        <v>21</v>
      </c>
      <c r="AI332" s="44">
        <f>IFERROR(__xludf.DUMMYFUNCTION("""COMPUTED_VALUE"""),1003.0)</f>
        <v>1003</v>
      </c>
      <c r="AJ332" s="51" t="str">
        <f>IFERROR(__xludf.DUMMYFUNCTION("""COMPUTED_VALUE"""),"稲荷神社")</f>
        <v>稲荷神社</v>
      </c>
    </row>
    <row r="333" ht="24.75" customHeight="1">
      <c r="A333" s="28">
        <f>IFERROR(__xludf.DUMMYFUNCTION("""COMPUTED_VALUE"""),9.0)</f>
        <v>9</v>
      </c>
      <c r="B333" s="28" t="str">
        <f>IFERROR(__xludf.DUMMYFUNCTION("""COMPUTED_VALUE"""),"A206")</f>
        <v>A206</v>
      </c>
      <c r="C333" s="28" t="str">
        <f>IFERROR(__xludf.DUMMYFUNCTION("""COMPUTED_VALUE"""),"CML8")</f>
        <v>CML8</v>
      </c>
      <c r="D333" s="29" t="str">
        <f>IFERROR(__xludf.DUMMYFUNCTION("""COMPUTED_VALUE"""),"Camelot")</f>
        <v>Camelot</v>
      </c>
      <c r="E333" s="30" t="str">
        <f>IFERROR(__xludf.DUMMYFUNCTION("""COMPUTED_VALUE"""),"Atlas Institute")</f>
        <v>Atlas Institute</v>
      </c>
      <c r="F333" s="31">
        <f>IFERROR(__xludf.DUMMYFUNCTION("""COMPUTED_VALUE"""),20.0)</f>
        <v>20</v>
      </c>
      <c r="G333" s="32">
        <f>IFERROR(__xludf.DUMMYFUNCTION("""COMPUTED_VALUE"""),1106.0)</f>
        <v>1106</v>
      </c>
      <c r="H333" s="33" t="str">
        <f>IFERROR(__xludf.DUMMYFUNCTION("""COMPUTED_VALUE"""),"")</f>
        <v/>
      </c>
      <c r="I333" s="34">
        <f>IFERROR(__xludf.DUMMYFUNCTION("""COMPUTED_VALUE"""),97.4)</f>
        <v>97.4</v>
      </c>
      <c r="J333" s="35" t="str">
        <f>IFERROR(__xludf.DUMMYFUNCTION("""COMPUTED_VALUE"""),"AP")</f>
        <v>AP</v>
      </c>
      <c r="K333" s="34">
        <f>IFERROR(__xludf.DUMMYFUNCTION("""COMPUTED_VALUE"""),20.5)</f>
        <v>20.5</v>
      </c>
      <c r="L333" s="35" t="str">
        <f>IFERROR(__xludf.DUMMYFUNCTION("""COMPUTED_VALUE"""),"%")</f>
        <v>%</v>
      </c>
      <c r="M333" s="36">
        <f>IFERROR(__xludf.DUMMYFUNCTION("""COMPUTED_VALUE"""),1.0)</f>
        <v>1</v>
      </c>
      <c r="N333" s="37" t="str">
        <f>IFERROR(__xludf.DUMMYFUNCTION("""COMPUTED_VALUE"""),"A207")</f>
        <v>A207</v>
      </c>
      <c r="O333" s="38" t="str">
        <f>IFERROR(__xludf.DUMMYFUNCTION("""COMPUTED_VALUE"""),"")</f>
        <v/>
      </c>
      <c r="P333" s="34">
        <f>IFERROR(__xludf.DUMMYFUNCTION("""COMPUTED_VALUE"""),248.5)</f>
        <v>248.5</v>
      </c>
      <c r="Q333" s="35" t="str">
        <f>IFERROR(__xludf.DUMMYFUNCTION("""COMPUTED_VALUE"""),"AP")</f>
        <v>AP</v>
      </c>
      <c r="R333" s="34">
        <f>IFERROR(__xludf.DUMMYFUNCTION("""COMPUTED_VALUE"""),8.0)</f>
        <v>8</v>
      </c>
      <c r="S333" s="35" t="str">
        <f>IFERROR(__xludf.DUMMYFUNCTION("""COMPUTED_VALUE"""),"%")</f>
        <v>%</v>
      </c>
      <c r="T333" s="36">
        <f>IFERROR(__xludf.DUMMYFUNCTION("""COMPUTED_VALUE"""),2.0)</f>
        <v>2</v>
      </c>
      <c r="U333" s="37" t="str">
        <f>IFERROR(__xludf.DUMMYFUNCTION("""COMPUTED_VALUE"""),"B112")</f>
        <v>B112</v>
      </c>
      <c r="V333" s="38" t="str">
        <f>IFERROR(__xludf.DUMMYFUNCTION("""COMPUTED_VALUE"""),"")</f>
        <v/>
      </c>
      <c r="W333" s="34">
        <f>IFERROR(__xludf.DUMMYFUNCTION("""COMPUTED_VALUE"""),120.9)</f>
        <v>120.9</v>
      </c>
      <c r="X333" s="35" t="str">
        <f>IFERROR(__xludf.DUMMYFUNCTION("""COMPUTED_VALUE"""),"AP")</f>
        <v>AP</v>
      </c>
      <c r="Y333" s="34">
        <f>IFERROR(__xludf.DUMMYFUNCTION("""COMPUTED_VALUE"""),16.5)</f>
        <v>16.5</v>
      </c>
      <c r="Z333" s="35" t="str">
        <f>IFERROR(__xludf.DUMMYFUNCTION("""COMPUTED_VALUE"""),"%")</f>
        <v>%</v>
      </c>
      <c r="AA333" s="36">
        <f>IFERROR(__xludf.DUMMYFUNCTION("""COMPUTED_VALUE"""),3.0)</f>
        <v>3</v>
      </c>
      <c r="AB333" s="37" t="str">
        <f>IFERROR(__xludf.DUMMYFUNCTION("""COMPUTED_VALUE"""),"B115")</f>
        <v>B115</v>
      </c>
      <c r="AC333" s="38" t="str">
        <f>IFERROR(__xludf.DUMMYFUNCTION("""COMPUTED_VALUE"""),"")</f>
        <v/>
      </c>
      <c r="AD333" s="34">
        <f>IFERROR(__xludf.DUMMYFUNCTION("""COMPUTED_VALUE"""),127.2)</f>
        <v>127.2</v>
      </c>
      <c r="AE333" s="35" t="str">
        <f>IFERROR(__xludf.DUMMYFUNCTION("""COMPUTED_VALUE"""),"AP")</f>
        <v>AP</v>
      </c>
      <c r="AF333" s="34">
        <f>IFERROR(__xludf.DUMMYFUNCTION("""COMPUTED_VALUE"""),15.7)</f>
        <v>15.7</v>
      </c>
      <c r="AG333" s="35" t="str">
        <f>IFERROR(__xludf.DUMMYFUNCTION("""COMPUTED_VALUE"""),"%")</f>
        <v>%</v>
      </c>
      <c r="AH333" s="31">
        <f>IFERROR(__xludf.DUMMYFUNCTION("""COMPUTED_VALUE"""),20.0)</f>
        <v>20</v>
      </c>
      <c r="AI333" s="32">
        <f>IFERROR(__xludf.DUMMYFUNCTION("""COMPUTED_VALUE"""),1106.0)</f>
        <v>1106</v>
      </c>
      <c r="AJ333" s="39" t="str">
        <f>IFERROR(__xludf.DUMMYFUNCTION("""COMPUTED_VALUE"""),"アトラス院")</f>
        <v>アトラス院</v>
      </c>
    </row>
    <row r="334" ht="24.75" customHeight="1">
      <c r="A334" s="40">
        <f>IFERROR(__xludf.DUMMYFUNCTION("""COMPUTED_VALUE"""),10.0)</f>
        <v>10</v>
      </c>
      <c r="B334" s="40" t="str">
        <f>IFERROR(__xludf.DUMMYFUNCTION("""COMPUTED_VALUE"""),"A206")</f>
        <v>A206</v>
      </c>
      <c r="C334" s="40" t="str">
        <f>IFERROR(__xludf.DUMMYFUNCTION("""COMPUTED_VALUE"""),"EPU3")</f>
        <v>EPU3</v>
      </c>
      <c r="D334" s="41" t="str">
        <f>IFERROR(__xludf.DUMMYFUNCTION("""COMPUTED_VALUE"""),"E Pluribus Unum")</f>
        <v>E Pluribus Unum</v>
      </c>
      <c r="E334" s="42" t="str">
        <f>IFERROR(__xludf.DUMMYFUNCTION("""COMPUTED_VALUE"""),"Denver")</f>
        <v>Denver</v>
      </c>
      <c r="F334" s="43">
        <f>IFERROR(__xludf.DUMMYFUNCTION("""COMPUTED_VALUE"""),17.0)</f>
        <v>17</v>
      </c>
      <c r="G334" s="44">
        <f>IFERROR(__xludf.DUMMYFUNCTION("""COMPUTED_VALUE"""),1152.0)</f>
        <v>1152</v>
      </c>
      <c r="H334" s="33" t="str">
        <f>IFERROR(__xludf.DUMMYFUNCTION("""COMPUTED_VALUE"""),"")</f>
        <v/>
      </c>
      <c r="I334" s="45">
        <f>IFERROR(__xludf.DUMMYFUNCTION("""COMPUTED_VALUE"""),100.9)</f>
        <v>100.9</v>
      </c>
      <c r="J334" s="46" t="str">
        <f>IFERROR(__xludf.DUMMYFUNCTION("""COMPUTED_VALUE"""),"AP")</f>
        <v>AP</v>
      </c>
      <c r="K334" s="47">
        <f>IFERROR(__xludf.DUMMYFUNCTION("""COMPUTED_VALUE"""),16.8)</f>
        <v>16.8</v>
      </c>
      <c r="L334" s="48" t="str">
        <f>IFERROR(__xludf.DUMMYFUNCTION("""COMPUTED_VALUE"""),"%")</f>
        <v>%</v>
      </c>
      <c r="M334" s="49">
        <f>IFERROR(__xludf.DUMMYFUNCTION("""COMPUTED_VALUE"""),1.0)</f>
        <v>1</v>
      </c>
      <c r="N334" s="50" t="str">
        <f>IFERROR(__xludf.DUMMYFUNCTION("""COMPUTED_VALUE"""),"A304")</f>
        <v>A304</v>
      </c>
      <c r="O334" s="38" t="str">
        <f>IFERROR(__xludf.DUMMYFUNCTION("""COMPUTED_VALUE"""),"")</f>
        <v/>
      </c>
      <c r="P334" s="45">
        <f>IFERROR(__xludf.DUMMYFUNCTION("""COMPUTED_VALUE"""),138.9)</f>
        <v>138.9</v>
      </c>
      <c r="Q334" s="46" t="str">
        <f>IFERROR(__xludf.DUMMYFUNCTION("""COMPUTED_VALUE"""),"AP")</f>
        <v>AP</v>
      </c>
      <c r="R334" s="47">
        <f>IFERROR(__xludf.DUMMYFUNCTION("""COMPUTED_VALUE"""),12.2)</f>
        <v>12.2</v>
      </c>
      <c r="S334" s="48" t="str">
        <f>IFERROR(__xludf.DUMMYFUNCTION("""COMPUTED_VALUE"""),"%")</f>
        <v>%</v>
      </c>
      <c r="T334" s="49">
        <f>IFERROR(__xludf.DUMMYFUNCTION("""COMPUTED_VALUE"""),2.0)</f>
        <v>2</v>
      </c>
      <c r="U334" s="50" t="str">
        <f>IFERROR(__xludf.DUMMYFUNCTION("""COMPUTED_VALUE"""),"B112")</f>
        <v>B112</v>
      </c>
      <c r="V334" s="38" t="str">
        <f>IFERROR(__xludf.DUMMYFUNCTION("""COMPUTED_VALUE"""),"")</f>
        <v/>
      </c>
      <c r="W334" s="45">
        <f>IFERROR(__xludf.DUMMYFUNCTION("""COMPUTED_VALUE"""),179.7)</f>
        <v>179.7</v>
      </c>
      <c r="X334" s="46" t="str">
        <f>IFERROR(__xludf.DUMMYFUNCTION("""COMPUTED_VALUE"""),"AP")</f>
        <v>AP</v>
      </c>
      <c r="Y334" s="47">
        <f>IFERROR(__xludf.DUMMYFUNCTION("""COMPUTED_VALUE"""),9.5)</f>
        <v>9.5</v>
      </c>
      <c r="Z334" s="48" t="str">
        <f>IFERROR(__xludf.DUMMYFUNCTION("""COMPUTED_VALUE"""),"%")</f>
        <v>%</v>
      </c>
      <c r="AA334" s="49">
        <f>IFERROR(__xludf.DUMMYFUNCTION("""COMPUTED_VALUE"""),3.0)</f>
        <v>3</v>
      </c>
      <c r="AB334" s="50"/>
      <c r="AC334" s="38"/>
      <c r="AD334" s="45" t="str">
        <f>IFERROR(__xludf.DUMMYFUNCTION("""COMPUTED_VALUE"""),"")</f>
        <v/>
      </c>
      <c r="AE334" s="46" t="str">
        <f>IFERROR(__xludf.DUMMYFUNCTION("""COMPUTED_VALUE"""),"AP")</f>
        <v>AP</v>
      </c>
      <c r="AF334" s="47" t="str">
        <f>IFERROR(__xludf.DUMMYFUNCTION("""COMPUTED_VALUE"""),"")</f>
        <v/>
      </c>
      <c r="AG334" s="48" t="str">
        <f>IFERROR(__xludf.DUMMYFUNCTION("""COMPUTED_VALUE"""),"%")</f>
        <v>%</v>
      </c>
      <c r="AH334" s="43">
        <f>IFERROR(__xludf.DUMMYFUNCTION("""COMPUTED_VALUE"""),17.0)</f>
        <v>17</v>
      </c>
      <c r="AI334" s="44">
        <f>IFERROR(__xludf.DUMMYFUNCTION("""COMPUTED_VALUE"""),1152.0)</f>
        <v>1152</v>
      </c>
      <c r="AJ334" s="51" t="str">
        <f>IFERROR(__xludf.DUMMYFUNCTION("""COMPUTED_VALUE"""),"デンバー")</f>
        <v>デンバー</v>
      </c>
    </row>
    <row r="335" ht="24.75" customHeight="1">
      <c r="A335" s="28">
        <f>IFERROR(__xludf.DUMMYFUNCTION("""COMPUTED_VALUE"""),11.0)</f>
        <v>11</v>
      </c>
      <c r="B335" s="28" t="str">
        <f>IFERROR(__xludf.DUMMYFUNCTION("""COMPUTED_VALUE"""),"A206")</f>
        <v>A206</v>
      </c>
      <c r="C335" s="28" t="str">
        <f>IFERROR(__xludf.DUMMYFUNCTION("""COMPUTED_VALUE"""),"SJK8")</f>
        <v>SJK8</v>
      </c>
      <c r="D335" s="29" t="str">
        <f>IFERROR(__xludf.DUMMYFUNCTION("""COMPUTED_VALUE"""),"Shinjuku")</f>
        <v>Shinjuku</v>
      </c>
      <c r="E335" s="30" t="str">
        <f>IFERROR(__xludf.DUMMYFUNCTION("""COMPUTED_VALUE"""),"Tower - Top Floor")</f>
        <v>Tower - Top Floor</v>
      </c>
      <c r="F335" s="31">
        <f>IFERROR(__xludf.DUMMYFUNCTION("""COMPUTED_VALUE"""),21.0)</f>
        <v>21</v>
      </c>
      <c r="G335" s="32">
        <f>IFERROR(__xludf.DUMMYFUNCTION("""COMPUTED_VALUE"""),13982.0)</f>
        <v>13982</v>
      </c>
      <c r="H335" s="33" t="str">
        <f>IFERROR(__xludf.DUMMYFUNCTION("""COMPUTED_VALUE"""),"")</f>
        <v/>
      </c>
      <c r="I335" s="34">
        <f>IFERROR(__xludf.DUMMYFUNCTION("""COMPUTED_VALUE"""),101.9)</f>
        <v>101.9</v>
      </c>
      <c r="J335" s="35" t="str">
        <f>IFERROR(__xludf.DUMMYFUNCTION("""COMPUTED_VALUE"""),"AP")</f>
        <v>AP</v>
      </c>
      <c r="K335" s="34">
        <f>IFERROR(__xludf.DUMMYFUNCTION("""COMPUTED_VALUE"""),20.6)</f>
        <v>20.6</v>
      </c>
      <c r="L335" s="35" t="str">
        <f>IFERROR(__xludf.DUMMYFUNCTION("""COMPUTED_VALUE"""),"%")</f>
        <v>%</v>
      </c>
      <c r="M335" s="36">
        <f>IFERROR(__xludf.DUMMYFUNCTION("""COMPUTED_VALUE"""),1.0)</f>
        <v>1</v>
      </c>
      <c r="N335" s="37" t="str">
        <f>IFERROR(__xludf.DUMMYFUNCTION("""COMPUTED_VALUE"""),"A104")</f>
        <v>A104</v>
      </c>
      <c r="O335" s="38" t="str">
        <f>IFERROR(__xludf.DUMMYFUNCTION("""COMPUTED_VALUE"""),"")</f>
        <v/>
      </c>
      <c r="P335" s="34">
        <f>IFERROR(__xludf.DUMMYFUNCTION("""COMPUTED_VALUE"""),180.2)</f>
        <v>180.2</v>
      </c>
      <c r="Q335" s="35" t="str">
        <f>IFERROR(__xludf.DUMMYFUNCTION("""COMPUTED_VALUE"""),"AP")</f>
        <v>AP</v>
      </c>
      <c r="R335" s="34">
        <f>IFERROR(__xludf.DUMMYFUNCTION("""COMPUTED_VALUE"""),11.7)</f>
        <v>11.7</v>
      </c>
      <c r="S335" s="35" t="str">
        <f>IFERROR(__xludf.DUMMYFUNCTION("""COMPUTED_VALUE"""),"%")</f>
        <v>%</v>
      </c>
      <c r="T335" s="36">
        <f>IFERROR(__xludf.DUMMYFUNCTION("""COMPUTED_VALUE"""),2.0)</f>
        <v>2</v>
      </c>
      <c r="U335" s="37" t="str">
        <f>IFERROR(__xludf.DUMMYFUNCTION("""COMPUTED_VALUE"""),"B101")</f>
        <v>B101</v>
      </c>
      <c r="V335" s="38" t="str">
        <f>IFERROR(__xludf.DUMMYFUNCTION("""COMPUTED_VALUE"""),"")</f>
        <v/>
      </c>
      <c r="W335" s="34">
        <f>IFERROR(__xludf.DUMMYFUNCTION("""COMPUTED_VALUE"""),497.8)</f>
        <v>497.8</v>
      </c>
      <c r="X335" s="35" t="str">
        <f>IFERROR(__xludf.DUMMYFUNCTION("""COMPUTED_VALUE"""),"AP")</f>
        <v>AP</v>
      </c>
      <c r="Y335" s="34">
        <f>IFERROR(__xludf.DUMMYFUNCTION("""COMPUTED_VALUE"""),4.2)</f>
        <v>4.2</v>
      </c>
      <c r="Z335" s="35" t="str">
        <f>IFERROR(__xludf.DUMMYFUNCTION("""COMPUTED_VALUE"""),"%")</f>
        <v>%</v>
      </c>
      <c r="AA335" s="36">
        <f>IFERROR(__xludf.DUMMYFUNCTION("""COMPUTED_VALUE"""),3.0)</f>
        <v>3</v>
      </c>
      <c r="AB335" s="37" t="str">
        <f>IFERROR(__xludf.DUMMYFUNCTION("""COMPUTED_VALUE"""),"B116")</f>
        <v>B116</v>
      </c>
      <c r="AC335" s="38" t="str">
        <f>IFERROR(__xludf.DUMMYFUNCTION("""COMPUTED_VALUE"""),"")</f>
        <v/>
      </c>
      <c r="AD335" s="34">
        <f>IFERROR(__xludf.DUMMYFUNCTION("""COMPUTED_VALUE"""),79.3)</f>
        <v>79.3</v>
      </c>
      <c r="AE335" s="35" t="str">
        <f>IFERROR(__xludf.DUMMYFUNCTION("""COMPUTED_VALUE"""),"AP")</f>
        <v>AP</v>
      </c>
      <c r="AF335" s="34">
        <f>IFERROR(__xludf.DUMMYFUNCTION("""COMPUTED_VALUE"""),26.5)</f>
        <v>26.5</v>
      </c>
      <c r="AG335" s="35" t="str">
        <f>IFERROR(__xludf.DUMMYFUNCTION("""COMPUTED_VALUE"""),"%")</f>
        <v>%</v>
      </c>
      <c r="AH335" s="31">
        <f>IFERROR(__xludf.DUMMYFUNCTION("""COMPUTED_VALUE"""),21.0)</f>
        <v>21</v>
      </c>
      <c r="AI335" s="32">
        <f>IFERROR(__xludf.DUMMYFUNCTION("""COMPUTED_VALUE"""),13982.0)</f>
        <v>13982</v>
      </c>
      <c r="AJ335" s="39" t="str">
        <f>IFERROR(__xludf.DUMMYFUNCTION("""COMPUTED_VALUE"""),"タワー最上階")</f>
        <v>タワー最上階</v>
      </c>
    </row>
    <row r="336" ht="24.75" customHeight="1">
      <c r="A336" s="40">
        <f>IFERROR(__xludf.DUMMYFUNCTION("""COMPUTED_VALUE"""),12.0)</f>
        <v>12</v>
      </c>
      <c r="B336" s="40" t="str">
        <f>IFERROR(__xludf.DUMMYFUNCTION("""COMPUTED_VALUE"""),"A206")</f>
        <v>A206</v>
      </c>
      <c r="C336" s="40" t="str">
        <f>IFERROR(__xludf.DUMMYFUNCTION("""COMPUTED_VALUE"""),"SIN4")</f>
        <v>SIN4</v>
      </c>
      <c r="D336" s="41" t="str">
        <f>IFERROR(__xludf.DUMMYFUNCTION("""COMPUTED_VALUE"""),"SIN")</f>
        <v>SIN</v>
      </c>
      <c r="E336" s="42" t="str">
        <f>IFERROR(__xludf.DUMMYFUNCTION("""COMPUTED_VALUE"""),"Akuta's Camp")</f>
        <v>Akuta's Camp</v>
      </c>
      <c r="F336" s="43">
        <f>IFERROR(__xludf.DUMMYFUNCTION("""COMPUTED_VALUE"""),21.0)</f>
        <v>21</v>
      </c>
      <c r="G336" s="44">
        <f>IFERROR(__xludf.DUMMYFUNCTION("""COMPUTED_VALUE"""),2492.0)</f>
        <v>2492</v>
      </c>
      <c r="H336" s="33" t="str">
        <f>IFERROR(__xludf.DUMMYFUNCTION("""COMPUTED_VALUE"""),"")</f>
        <v/>
      </c>
      <c r="I336" s="45">
        <f>IFERROR(__xludf.DUMMYFUNCTION("""COMPUTED_VALUE"""),102.2)</f>
        <v>102.2</v>
      </c>
      <c r="J336" s="46" t="str">
        <f>IFERROR(__xludf.DUMMYFUNCTION("""COMPUTED_VALUE"""),"AP")</f>
        <v>AP</v>
      </c>
      <c r="K336" s="47">
        <f>IFERROR(__xludf.DUMMYFUNCTION("""COMPUTED_VALUE"""),20.5)</f>
        <v>20.5</v>
      </c>
      <c r="L336" s="48" t="str">
        <f>IFERROR(__xludf.DUMMYFUNCTION("""COMPUTED_VALUE"""),"%")</f>
        <v>%</v>
      </c>
      <c r="M336" s="49">
        <f>IFERROR(__xludf.DUMMYFUNCTION("""COMPUTED_VALUE"""),1.0)</f>
        <v>1</v>
      </c>
      <c r="N336" s="50" t="str">
        <f>IFERROR(__xludf.DUMMYFUNCTION("""COMPUTED_VALUE"""),"A214")</f>
        <v>A214</v>
      </c>
      <c r="O336" s="38" t="str">
        <f>IFERROR(__xludf.DUMMYFUNCTION("""COMPUTED_VALUE"""),"")</f>
        <v/>
      </c>
      <c r="P336" s="45">
        <f>IFERROR(__xludf.DUMMYFUNCTION("""COMPUTED_VALUE"""),112.5)</f>
        <v>112.5</v>
      </c>
      <c r="Q336" s="46" t="str">
        <f>IFERROR(__xludf.DUMMYFUNCTION("""COMPUTED_VALUE"""),"AP")</f>
        <v>AP</v>
      </c>
      <c r="R336" s="47">
        <f>IFERROR(__xludf.DUMMYFUNCTION("""COMPUTED_VALUE"""),18.7)</f>
        <v>18.7</v>
      </c>
      <c r="S336" s="48" t="str">
        <f>IFERROR(__xludf.DUMMYFUNCTION("""COMPUTED_VALUE"""),"%")</f>
        <v>%</v>
      </c>
      <c r="T336" s="49">
        <f>IFERROR(__xludf.DUMMYFUNCTION("""COMPUTED_VALUE"""),2.0)</f>
        <v>2</v>
      </c>
      <c r="U336" s="50" t="str">
        <f>IFERROR(__xludf.DUMMYFUNCTION("""COMPUTED_VALUE"""),"A304")</f>
        <v>A304</v>
      </c>
      <c r="V336" s="38" t="str">
        <f>IFERROR(__xludf.DUMMYFUNCTION("""COMPUTED_VALUE"""),"")</f>
        <v/>
      </c>
      <c r="W336" s="45">
        <f>IFERROR(__xludf.DUMMYFUNCTION("""COMPUTED_VALUE"""),71.5)</f>
        <v>71.5</v>
      </c>
      <c r="X336" s="46" t="str">
        <f>IFERROR(__xludf.DUMMYFUNCTION("""COMPUTED_VALUE"""),"AP")</f>
        <v>AP</v>
      </c>
      <c r="Y336" s="47">
        <f>IFERROR(__xludf.DUMMYFUNCTION("""COMPUTED_VALUE"""),29.4)</f>
        <v>29.4</v>
      </c>
      <c r="Z336" s="48" t="str">
        <f>IFERROR(__xludf.DUMMYFUNCTION("""COMPUTED_VALUE"""),"%")</f>
        <v>%</v>
      </c>
      <c r="AA336" s="49">
        <f>IFERROR(__xludf.DUMMYFUNCTION("""COMPUTED_VALUE"""),3.0)</f>
        <v>3</v>
      </c>
      <c r="AB336" s="50" t="str">
        <f>IFERROR(__xludf.DUMMYFUNCTION("""COMPUTED_VALUE"""),"B117")</f>
        <v>B117</v>
      </c>
      <c r="AC336" s="38" t="str">
        <f>IFERROR(__xludf.DUMMYFUNCTION("""COMPUTED_VALUE"""),"")</f>
        <v/>
      </c>
      <c r="AD336" s="45">
        <f>IFERROR(__xludf.DUMMYFUNCTION("""COMPUTED_VALUE"""),135.0)</f>
        <v>135</v>
      </c>
      <c r="AE336" s="46" t="str">
        <f>IFERROR(__xludf.DUMMYFUNCTION("""COMPUTED_VALUE"""),"AP")</f>
        <v>AP</v>
      </c>
      <c r="AF336" s="47">
        <f>IFERROR(__xludf.DUMMYFUNCTION("""COMPUTED_VALUE"""),15.6)</f>
        <v>15.6</v>
      </c>
      <c r="AG336" s="48" t="str">
        <f>IFERROR(__xludf.DUMMYFUNCTION("""COMPUTED_VALUE"""),"%")</f>
        <v>%</v>
      </c>
      <c r="AH336" s="43">
        <f>IFERROR(__xludf.DUMMYFUNCTION("""COMPUTED_VALUE"""),21.0)</f>
        <v>21</v>
      </c>
      <c r="AI336" s="44">
        <f>IFERROR(__xludf.DUMMYFUNCTION("""COMPUTED_VALUE"""),2492.0)</f>
        <v>2492</v>
      </c>
      <c r="AJ336" s="51" t="str">
        <f>IFERROR(__xludf.DUMMYFUNCTION("""COMPUTED_VALUE"""),"芥の陣幕")</f>
        <v>芥の陣幕</v>
      </c>
    </row>
    <row r="337" ht="24.75" customHeight="1">
      <c r="A337" s="28">
        <f>IFERROR(__xludf.DUMMYFUNCTION("""COMPUTED_VALUE"""),13.0)</f>
        <v>13</v>
      </c>
      <c r="B337" s="28" t="str">
        <f>IFERROR(__xludf.DUMMYFUNCTION("""COMPUTED_VALUE"""),"A206")</f>
        <v>A206</v>
      </c>
      <c r="C337" s="28" t="str">
        <f>IFERROR(__xludf.DUMMYFUNCTION("""COMPUTED_VALUE"""),"EPU1")</f>
        <v>EPU1</v>
      </c>
      <c r="D337" s="29" t="str">
        <f>IFERROR(__xludf.DUMMYFUNCTION("""COMPUTED_VALUE"""),"E Pluribus Unum")</f>
        <v>E Pluribus Unum</v>
      </c>
      <c r="E337" s="30" t="str">
        <f>IFERROR(__xludf.DUMMYFUNCTION("""COMPUTED_VALUE"""),"Black Hills")</f>
        <v>Black Hills</v>
      </c>
      <c r="F337" s="31">
        <f>IFERROR(__xludf.DUMMYFUNCTION("""COMPUTED_VALUE"""),17.0)</f>
        <v>17</v>
      </c>
      <c r="G337" s="32">
        <f>IFERROR(__xludf.DUMMYFUNCTION("""COMPUTED_VALUE"""),1100.0)</f>
        <v>1100</v>
      </c>
      <c r="H337" s="33" t="str">
        <f>IFERROR(__xludf.DUMMYFUNCTION("""COMPUTED_VALUE"""),"")</f>
        <v/>
      </c>
      <c r="I337" s="34">
        <f>IFERROR(__xludf.DUMMYFUNCTION("""COMPUTED_VALUE"""),103.9)</f>
        <v>103.9</v>
      </c>
      <c r="J337" s="35" t="str">
        <f>IFERROR(__xludf.DUMMYFUNCTION("""COMPUTED_VALUE"""),"AP")</f>
        <v>AP</v>
      </c>
      <c r="K337" s="34">
        <f>IFERROR(__xludf.DUMMYFUNCTION("""COMPUTED_VALUE"""),16.4)</f>
        <v>16.4</v>
      </c>
      <c r="L337" s="35" t="str">
        <f>IFERROR(__xludf.DUMMYFUNCTION("""COMPUTED_VALUE"""),"%")</f>
        <v>%</v>
      </c>
      <c r="M337" s="36">
        <f>IFERROR(__xludf.DUMMYFUNCTION("""COMPUTED_VALUE"""),1.0)</f>
        <v>1</v>
      </c>
      <c r="N337" s="37"/>
      <c r="O337" s="38"/>
      <c r="P337" s="34" t="str">
        <f>IFERROR(__xludf.DUMMYFUNCTION("""COMPUTED_VALUE"""),"")</f>
        <v/>
      </c>
      <c r="Q337" s="35" t="str">
        <f>IFERROR(__xludf.DUMMYFUNCTION("""COMPUTED_VALUE"""),"AP")</f>
        <v>AP</v>
      </c>
      <c r="R337" s="34" t="str">
        <f>IFERROR(__xludf.DUMMYFUNCTION("""COMPUTED_VALUE"""),"")</f>
        <v/>
      </c>
      <c r="S337" s="35" t="str">
        <f>IFERROR(__xludf.DUMMYFUNCTION("""COMPUTED_VALUE"""),"%")</f>
        <v>%</v>
      </c>
      <c r="T337" s="36">
        <f>IFERROR(__xludf.DUMMYFUNCTION("""COMPUTED_VALUE"""),2.0)</f>
        <v>2</v>
      </c>
      <c r="U337" s="37"/>
      <c r="V337" s="38"/>
      <c r="W337" s="34" t="str">
        <f>IFERROR(__xludf.DUMMYFUNCTION("""COMPUTED_VALUE"""),"")</f>
        <v/>
      </c>
      <c r="X337" s="35" t="str">
        <f>IFERROR(__xludf.DUMMYFUNCTION("""COMPUTED_VALUE"""),"AP")</f>
        <v>AP</v>
      </c>
      <c r="Y337" s="34" t="str">
        <f>IFERROR(__xludf.DUMMYFUNCTION("""COMPUTED_VALUE"""),"")</f>
        <v/>
      </c>
      <c r="Z337" s="35" t="str">
        <f>IFERROR(__xludf.DUMMYFUNCTION("""COMPUTED_VALUE"""),"%")</f>
        <v>%</v>
      </c>
      <c r="AA337" s="36">
        <f>IFERROR(__xludf.DUMMYFUNCTION("""COMPUTED_VALUE"""),3.0)</f>
        <v>3</v>
      </c>
      <c r="AB337" s="37"/>
      <c r="AC337" s="38"/>
      <c r="AD337" s="34" t="str">
        <f>IFERROR(__xludf.DUMMYFUNCTION("""COMPUTED_VALUE"""),"")</f>
        <v/>
      </c>
      <c r="AE337" s="35" t="str">
        <f>IFERROR(__xludf.DUMMYFUNCTION("""COMPUTED_VALUE"""),"AP")</f>
        <v>AP</v>
      </c>
      <c r="AF337" s="34" t="str">
        <f>IFERROR(__xludf.DUMMYFUNCTION("""COMPUTED_VALUE"""),"")</f>
        <v/>
      </c>
      <c r="AG337" s="35" t="str">
        <f>IFERROR(__xludf.DUMMYFUNCTION("""COMPUTED_VALUE"""),"%")</f>
        <v>%</v>
      </c>
      <c r="AH337" s="31">
        <f>IFERROR(__xludf.DUMMYFUNCTION("""COMPUTED_VALUE"""),17.0)</f>
        <v>17</v>
      </c>
      <c r="AI337" s="32">
        <f>IFERROR(__xludf.DUMMYFUNCTION("""COMPUTED_VALUE"""),1100.0)</f>
        <v>1100</v>
      </c>
      <c r="AJ337" s="39" t="str">
        <f>IFERROR(__xludf.DUMMYFUNCTION("""COMPUTED_VALUE"""),"ブラックヒルズ")</f>
        <v>ブラックヒルズ</v>
      </c>
    </row>
    <row r="338" ht="24.75" customHeight="1">
      <c r="A338" s="40">
        <f>IFERROR(__xludf.DUMMYFUNCTION("""COMPUTED_VALUE"""),14.0)</f>
        <v>14</v>
      </c>
      <c r="B338" s="40" t="str">
        <f>IFERROR(__xludf.DUMMYFUNCTION("""COMPUTED_VALUE"""),"A206")</f>
        <v>A206</v>
      </c>
      <c r="C338" s="40" t="str">
        <f>IFERROR(__xludf.DUMMYFUNCTION("""COMPUTED_VALUE"""),"SJK7")</f>
        <v>SJK7</v>
      </c>
      <c r="D338" s="41" t="str">
        <f>IFERROR(__xludf.DUMMYFUNCTION("""COMPUTED_VALUE"""),"Shinjuku")</f>
        <v>Shinjuku</v>
      </c>
      <c r="E338" s="42" t="str">
        <f>IFERROR(__xludf.DUMMYFUNCTION("""COMPUTED_VALUE"""),"Party Hall")</f>
        <v>Party Hall</v>
      </c>
      <c r="F338" s="43">
        <f>IFERROR(__xludf.DUMMYFUNCTION("""COMPUTED_VALUE"""),21.0)</f>
        <v>21</v>
      </c>
      <c r="G338" s="44">
        <f>IFERROR(__xludf.DUMMYFUNCTION("""COMPUTED_VALUE"""),2804.0)</f>
        <v>2804</v>
      </c>
      <c r="H338" s="33" t="str">
        <f>IFERROR(__xludf.DUMMYFUNCTION("""COMPUTED_VALUE"""),"")</f>
        <v/>
      </c>
      <c r="I338" s="45">
        <f>IFERROR(__xludf.DUMMYFUNCTION("""COMPUTED_VALUE"""),106.7)</f>
        <v>106.7</v>
      </c>
      <c r="J338" s="46" t="str">
        <f>IFERROR(__xludf.DUMMYFUNCTION("""COMPUTED_VALUE"""),"AP")</f>
        <v>AP</v>
      </c>
      <c r="K338" s="47">
        <f>IFERROR(__xludf.DUMMYFUNCTION("""COMPUTED_VALUE"""),19.7)</f>
        <v>19.7</v>
      </c>
      <c r="L338" s="48" t="str">
        <f>IFERROR(__xludf.DUMMYFUNCTION("""COMPUTED_VALUE"""),"%")</f>
        <v>%</v>
      </c>
      <c r="M338" s="49">
        <f>IFERROR(__xludf.DUMMYFUNCTION("""COMPUTED_VALUE"""),1.0)</f>
        <v>1</v>
      </c>
      <c r="N338" s="50" t="str">
        <f>IFERROR(__xludf.DUMMYFUNCTION("""COMPUTED_VALUE"""),"A304")</f>
        <v>A304</v>
      </c>
      <c r="O338" s="38" t="str">
        <f>IFERROR(__xludf.DUMMYFUNCTION("""COMPUTED_VALUE"""),"")</f>
        <v/>
      </c>
      <c r="P338" s="45">
        <f>IFERROR(__xludf.DUMMYFUNCTION("""COMPUTED_VALUE"""),74.3)</f>
        <v>74.3</v>
      </c>
      <c r="Q338" s="46" t="str">
        <f>IFERROR(__xludf.DUMMYFUNCTION("""COMPUTED_VALUE"""),"AP")</f>
        <v>AP</v>
      </c>
      <c r="R338" s="47">
        <f>IFERROR(__xludf.DUMMYFUNCTION("""COMPUTED_VALUE"""),28.3)</f>
        <v>28.3</v>
      </c>
      <c r="S338" s="48" t="str">
        <f>IFERROR(__xludf.DUMMYFUNCTION("""COMPUTED_VALUE"""),"%")</f>
        <v>%</v>
      </c>
      <c r="T338" s="49">
        <f>IFERROR(__xludf.DUMMYFUNCTION("""COMPUTED_VALUE"""),2.0)</f>
        <v>2</v>
      </c>
      <c r="U338" s="50" t="str">
        <f>IFERROR(__xludf.DUMMYFUNCTION("""COMPUTED_VALUE"""),"A307")</f>
        <v>A307</v>
      </c>
      <c r="V338" s="38" t="str">
        <f>IFERROR(__xludf.DUMMYFUNCTION("""COMPUTED_VALUE"""),"")</f>
        <v/>
      </c>
      <c r="W338" s="45">
        <f>IFERROR(__xludf.DUMMYFUNCTION("""COMPUTED_VALUE"""),72.6)</f>
        <v>72.6</v>
      </c>
      <c r="X338" s="46" t="str">
        <f>IFERROR(__xludf.DUMMYFUNCTION("""COMPUTED_VALUE"""),"AP")</f>
        <v>AP</v>
      </c>
      <c r="Y338" s="47">
        <f>IFERROR(__xludf.DUMMYFUNCTION("""COMPUTED_VALUE"""),28.9)</f>
        <v>28.9</v>
      </c>
      <c r="Z338" s="48" t="str">
        <f>IFERROR(__xludf.DUMMYFUNCTION("""COMPUTED_VALUE"""),"%")</f>
        <v>%</v>
      </c>
      <c r="AA338" s="49">
        <f>IFERROR(__xludf.DUMMYFUNCTION("""COMPUTED_VALUE"""),3.0)</f>
        <v>3</v>
      </c>
      <c r="AB338" s="50" t="str">
        <f>IFERROR(__xludf.DUMMYFUNCTION("""COMPUTED_VALUE"""),"B112")</f>
        <v>B112</v>
      </c>
      <c r="AC338" s="38" t="str">
        <f>IFERROR(__xludf.DUMMYFUNCTION("""COMPUTED_VALUE"""),"")</f>
        <v/>
      </c>
      <c r="AD338" s="45">
        <f>IFERROR(__xludf.DUMMYFUNCTION("""COMPUTED_VALUE"""),193.8)</f>
        <v>193.8</v>
      </c>
      <c r="AE338" s="46" t="str">
        <f>IFERROR(__xludf.DUMMYFUNCTION("""COMPUTED_VALUE"""),"AP")</f>
        <v>AP</v>
      </c>
      <c r="AF338" s="47">
        <f>IFERROR(__xludf.DUMMYFUNCTION("""COMPUTED_VALUE"""),10.8)</f>
        <v>10.8</v>
      </c>
      <c r="AG338" s="48" t="str">
        <f>IFERROR(__xludf.DUMMYFUNCTION("""COMPUTED_VALUE"""),"%")</f>
        <v>%</v>
      </c>
      <c r="AH338" s="43">
        <f>IFERROR(__xludf.DUMMYFUNCTION("""COMPUTED_VALUE"""),21.0)</f>
        <v>21</v>
      </c>
      <c r="AI338" s="44">
        <f>IFERROR(__xludf.DUMMYFUNCTION("""COMPUTED_VALUE"""),2804.0)</f>
        <v>2804</v>
      </c>
      <c r="AJ338" s="51" t="str">
        <f>IFERROR(__xludf.DUMMYFUNCTION("""COMPUTED_VALUE"""),"パーティー会場")</f>
        <v>パーティー会場</v>
      </c>
    </row>
    <row r="339" ht="24.75" customHeight="1">
      <c r="A339" s="28">
        <f>IFERROR(__xludf.DUMMYFUNCTION("""COMPUTED_VALUE"""),15.0)</f>
        <v>15</v>
      </c>
      <c r="B339" s="28" t="str">
        <f>IFERROR(__xludf.DUMMYFUNCTION("""COMPUTED_VALUE"""),"A206")</f>
        <v>A206</v>
      </c>
      <c r="C339" s="28" t="str">
        <f>IFERROR(__xludf.DUMMYFUNCTION("""COMPUTED_VALUE"""),"TRF21")</f>
        <v>TRF21</v>
      </c>
      <c r="D339" s="29" t="str">
        <f>IFERROR(__xludf.DUMMYFUNCTION("""COMPUTED_VALUE"""),"Chaldea Gate (Sat)")</f>
        <v>Chaldea Gate (Sat)</v>
      </c>
      <c r="E339" s="30" t="str">
        <f>IFERROR(__xludf.DUMMYFUNCTION("""COMPUTED_VALUE"""),"SAT Assassin Training Ground- Nov")</f>
        <v>SAT Assassin Training Ground- Nov</v>
      </c>
      <c r="F339" s="31">
        <f>IFERROR(__xludf.DUMMYFUNCTION("""COMPUTED_VALUE"""),10.0)</f>
        <v>10</v>
      </c>
      <c r="G339" s="32">
        <f>IFERROR(__xludf.DUMMYFUNCTION("""COMPUTED_VALUE"""),1128.0)</f>
        <v>1128</v>
      </c>
      <c r="H339" s="33" t="str">
        <f>IFERROR(__xludf.DUMMYFUNCTION("""COMPUTED_VALUE"""),"")</f>
        <v/>
      </c>
      <c r="I339" s="34">
        <f>IFERROR(__xludf.DUMMYFUNCTION("""COMPUTED_VALUE"""),107.9)</f>
        <v>107.9</v>
      </c>
      <c r="J339" s="35" t="str">
        <f>IFERROR(__xludf.DUMMYFUNCTION("""COMPUTED_VALUE"""),"AP")</f>
        <v>AP</v>
      </c>
      <c r="K339" s="34">
        <f>IFERROR(__xludf.DUMMYFUNCTION("""COMPUTED_VALUE"""),9.3)</f>
        <v>9.3</v>
      </c>
      <c r="L339" s="35" t="str">
        <f>IFERROR(__xludf.DUMMYFUNCTION("""COMPUTED_VALUE"""),"%")</f>
        <v>%</v>
      </c>
      <c r="M339" s="36">
        <f>IFERROR(__xludf.DUMMYFUNCTION("""COMPUTED_VALUE"""),1.0)</f>
        <v>1</v>
      </c>
      <c r="N339" s="37" t="str">
        <f>IFERROR(__xludf.DUMMYFUNCTION("""COMPUTED_VALUE"""),"A202")</f>
        <v>A202</v>
      </c>
      <c r="O339" s="38" t="str">
        <f>IFERROR(__xludf.DUMMYFUNCTION("""COMPUTED_VALUE"""),"")</f>
        <v/>
      </c>
      <c r="P339" s="34">
        <f>IFERROR(__xludf.DUMMYFUNCTION("""COMPUTED_VALUE"""),372.5)</f>
        <v>372.5</v>
      </c>
      <c r="Q339" s="35" t="str">
        <f>IFERROR(__xludf.DUMMYFUNCTION("""COMPUTED_VALUE"""),"AP")</f>
        <v>AP</v>
      </c>
      <c r="R339" s="34">
        <f>IFERROR(__xludf.DUMMYFUNCTION("""COMPUTED_VALUE"""),2.7)</f>
        <v>2.7</v>
      </c>
      <c r="S339" s="35" t="str">
        <f>IFERROR(__xludf.DUMMYFUNCTION("""COMPUTED_VALUE"""),"%")</f>
        <v>%</v>
      </c>
      <c r="T339" s="36">
        <f>IFERROR(__xludf.DUMMYFUNCTION("""COMPUTED_VALUE"""),2.0)</f>
        <v>2</v>
      </c>
      <c r="U339" s="37" t="str">
        <f>IFERROR(__xludf.DUMMYFUNCTION("""COMPUTED_VALUE"""),"A303")</f>
        <v>A303</v>
      </c>
      <c r="V339" s="38" t="str">
        <f>IFERROR(__xludf.DUMMYFUNCTION("""COMPUTED_VALUE"""),"")</f>
        <v/>
      </c>
      <c r="W339" s="34">
        <f>IFERROR(__xludf.DUMMYFUNCTION("""COMPUTED_VALUE"""),77.3)</f>
        <v>77.3</v>
      </c>
      <c r="X339" s="35" t="str">
        <f>IFERROR(__xludf.DUMMYFUNCTION("""COMPUTED_VALUE"""),"AP")</f>
        <v>AP</v>
      </c>
      <c r="Y339" s="34">
        <f>IFERROR(__xludf.DUMMYFUNCTION("""COMPUTED_VALUE"""),12.9)</f>
        <v>12.9</v>
      </c>
      <c r="Z339" s="35" t="str">
        <f>IFERROR(__xludf.DUMMYFUNCTION("""COMPUTED_VALUE"""),"%")</f>
        <v>%</v>
      </c>
      <c r="AA339" s="36">
        <f>IFERROR(__xludf.DUMMYFUNCTION("""COMPUTED_VALUE"""),3.0)</f>
        <v>3</v>
      </c>
      <c r="AB339" s="37" t="str">
        <f>IFERROR(__xludf.DUMMYFUNCTION("""COMPUTED_VALUE"""),"A304")</f>
        <v>A304</v>
      </c>
      <c r="AC339" s="38" t="str">
        <f>IFERROR(__xludf.DUMMYFUNCTION("""COMPUTED_VALUE"""),"")</f>
        <v/>
      </c>
      <c r="AD339" s="34">
        <f>IFERROR(__xludf.DUMMYFUNCTION("""COMPUTED_VALUE"""),87.4)</f>
        <v>87.4</v>
      </c>
      <c r="AE339" s="35" t="str">
        <f>IFERROR(__xludf.DUMMYFUNCTION("""COMPUTED_VALUE"""),"AP")</f>
        <v>AP</v>
      </c>
      <c r="AF339" s="34">
        <f>IFERROR(__xludf.DUMMYFUNCTION("""COMPUTED_VALUE"""),11.4)</f>
        <v>11.4</v>
      </c>
      <c r="AG339" s="35" t="str">
        <f>IFERROR(__xludf.DUMMYFUNCTION("""COMPUTED_VALUE"""),"%")</f>
        <v>%</v>
      </c>
      <c r="AH339" s="31">
        <f>IFERROR(__xludf.DUMMYFUNCTION("""COMPUTED_VALUE"""),10.0)</f>
        <v>10</v>
      </c>
      <c r="AI339" s="32">
        <f>IFERROR(__xludf.DUMMYFUNCTION("""COMPUTED_VALUE"""),1128.0)</f>
        <v>1128</v>
      </c>
      <c r="AJ339" s="39" t="str">
        <f>IFERROR(__xludf.DUMMYFUNCTION("""COMPUTED_VALUE"""),"殺初級")</f>
        <v>殺初級</v>
      </c>
    </row>
    <row r="340" ht="24.75" customHeight="1">
      <c r="A340" s="40">
        <f>IFERROR(__xludf.DUMMYFUNCTION("""COMPUTED_VALUE"""),16.0)</f>
        <v>16</v>
      </c>
      <c r="B340" s="40" t="str">
        <f>IFERROR(__xludf.DUMMYFUNCTION("""COMPUTED_VALUE"""),"A206")</f>
        <v>A206</v>
      </c>
      <c r="C340" s="40" t="str">
        <f>IFERROR(__xludf.DUMMYFUNCTION("""COMPUTED_VALUE"""),"LDN1")</f>
        <v>LDN1</v>
      </c>
      <c r="D340" s="41" t="str">
        <f>IFERROR(__xludf.DUMMYFUNCTION("""COMPUTED_VALUE"""),"London")</f>
        <v>London</v>
      </c>
      <c r="E340" s="42" t="str">
        <f>IFERROR(__xludf.DUMMYFUNCTION("""COMPUTED_VALUE"""),"Old Street")</f>
        <v>Old Street</v>
      </c>
      <c r="F340" s="43">
        <f>IFERROR(__xludf.DUMMYFUNCTION("""COMPUTED_VALUE"""),15.0)</f>
        <v>15</v>
      </c>
      <c r="G340" s="44">
        <f>IFERROR(__xludf.DUMMYFUNCTION("""COMPUTED_VALUE"""),1100.0)</f>
        <v>1100</v>
      </c>
      <c r="H340" s="33" t="str">
        <f>IFERROR(__xludf.DUMMYFUNCTION("""COMPUTED_VALUE"""),"")</f>
        <v/>
      </c>
      <c r="I340" s="45">
        <f>IFERROR(__xludf.DUMMYFUNCTION("""COMPUTED_VALUE"""),123.1)</f>
        <v>123.1</v>
      </c>
      <c r="J340" s="46" t="str">
        <f>IFERROR(__xludf.DUMMYFUNCTION("""COMPUTED_VALUE"""),"AP")</f>
        <v>AP</v>
      </c>
      <c r="K340" s="47">
        <f>IFERROR(__xludf.DUMMYFUNCTION("""COMPUTED_VALUE"""),12.2)</f>
        <v>12.2</v>
      </c>
      <c r="L340" s="48" t="str">
        <f>IFERROR(__xludf.DUMMYFUNCTION("""COMPUTED_VALUE"""),"%")</f>
        <v>%</v>
      </c>
      <c r="M340" s="49">
        <f>IFERROR(__xludf.DUMMYFUNCTION("""COMPUTED_VALUE"""),1.0)</f>
        <v>1</v>
      </c>
      <c r="N340" s="50"/>
      <c r="O340" s="38"/>
      <c r="P340" s="45" t="str">
        <f>IFERROR(__xludf.DUMMYFUNCTION("""COMPUTED_VALUE"""),"")</f>
        <v/>
      </c>
      <c r="Q340" s="46" t="str">
        <f>IFERROR(__xludf.DUMMYFUNCTION("""COMPUTED_VALUE"""),"AP")</f>
        <v>AP</v>
      </c>
      <c r="R340" s="47" t="str">
        <f>IFERROR(__xludf.DUMMYFUNCTION("""COMPUTED_VALUE"""),"")</f>
        <v/>
      </c>
      <c r="S340" s="48" t="str">
        <f>IFERROR(__xludf.DUMMYFUNCTION("""COMPUTED_VALUE"""),"%")</f>
        <v>%</v>
      </c>
      <c r="T340" s="49">
        <f>IFERROR(__xludf.DUMMYFUNCTION("""COMPUTED_VALUE"""),2.0)</f>
        <v>2</v>
      </c>
      <c r="U340" s="50"/>
      <c r="V340" s="38"/>
      <c r="W340" s="45" t="str">
        <f>IFERROR(__xludf.DUMMYFUNCTION("""COMPUTED_VALUE"""),"")</f>
        <v/>
      </c>
      <c r="X340" s="46" t="str">
        <f>IFERROR(__xludf.DUMMYFUNCTION("""COMPUTED_VALUE"""),"AP")</f>
        <v>AP</v>
      </c>
      <c r="Y340" s="47" t="str">
        <f>IFERROR(__xludf.DUMMYFUNCTION("""COMPUTED_VALUE"""),"")</f>
        <v/>
      </c>
      <c r="Z340" s="48" t="str">
        <f>IFERROR(__xludf.DUMMYFUNCTION("""COMPUTED_VALUE"""),"%")</f>
        <v>%</v>
      </c>
      <c r="AA340" s="49">
        <f>IFERROR(__xludf.DUMMYFUNCTION("""COMPUTED_VALUE"""),3.0)</f>
        <v>3</v>
      </c>
      <c r="AB340" s="50"/>
      <c r="AC340" s="38"/>
      <c r="AD340" s="45" t="str">
        <f>IFERROR(__xludf.DUMMYFUNCTION("""COMPUTED_VALUE"""),"")</f>
        <v/>
      </c>
      <c r="AE340" s="46" t="str">
        <f>IFERROR(__xludf.DUMMYFUNCTION("""COMPUTED_VALUE"""),"AP")</f>
        <v>AP</v>
      </c>
      <c r="AF340" s="47" t="str">
        <f>IFERROR(__xludf.DUMMYFUNCTION("""COMPUTED_VALUE"""),"")</f>
        <v/>
      </c>
      <c r="AG340" s="48" t="str">
        <f>IFERROR(__xludf.DUMMYFUNCTION("""COMPUTED_VALUE"""),"%")</f>
        <v>%</v>
      </c>
      <c r="AH340" s="43">
        <f>IFERROR(__xludf.DUMMYFUNCTION("""COMPUTED_VALUE"""),15.0)</f>
        <v>15</v>
      </c>
      <c r="AI340" s="44">
        <f>IFERROR(__xludf.DUMMYFUNCTION("""COMPUTED_VALUE"""),1100.0)</f>
        <v>1100</v>
      </c>
      <c r="AJ340" s="51" t="str">
        <f>IFERROR(__xludf.DUMMYFUNCTION("""COMPUTED_VALUE"""),"オールドストリート")</f>
        <v>オールドストリート</v>
      </c>
    </row>
    <row r="341" ht="24.75" customHeight="1">
      <c r="A341" s="28">
        <f>IFERROR(__xludf.DUMMYFUNCTION("""COMPUTED_VALUE"""),17.0)</f>
        <v>17</v>
      </c>
      <c r="B341" s="28" t="str">
        <f>IFERROR(__xludf.DUMMYFUNCTION("""COMPUTED_VALUE"""),"A206")</f>
        <v>A206</v>
      </c>
      <c r="C341" s="28" t="str">
        <f>IFERROR(__xludf.DUMMYFUNCTION("""COMPUTED_VALUE"""),"LDN2")</f>
        <v>LDN2</v>
      </c>
      <c r="D341" s="29" t="str">
        <f>IFERROR(__xludf.DUMMYFUNCTION("""COMPUTED_VALUE"""),"London")</f>
        <v>London</v>
      </c>
      <c r="E341" s="30" t="str">
        <f>IFERROR(__xludf.DUMMYFUNCTION("""COMPUTED_VALUE"""),"White Chapel")</f>
        <v>White Chapel</v>
      </c>
      <c r="F341" s="31">
        <f>IFERROR(__xludf.DUMMYFUNCTION("""COMPUTED_VALUE"""),15.0)</f>
        <v>15</v>
      </c>
      <c r="G341" s="32">
        <f>IFERROR(__xludf.DUMMYFUNCTION("""COMPUTED_VALUE"""),1129.0)</f>
        <v>1129</v>
      </c>
      <c r="H341" s="33" t="str">
        <f>IFERROR(__xludf.DUMMYFUNCTION("""COMPUTED_VALUE"""),"")</f>
        <v/>
      </c>
      <c r="I341" s="34">
        <f>IFERROR(__xludf.DUMMYFUNCTION("""COMPUTED_VALUE"""),130.3)</f>
        <v>130.3</v>
      </c>
      <c r="J341" s="35" t="str">
        <f>IFERROR(__xludf.DUMMYFUNCTION("""COMPUTED_VALUE"""),"AP")</f>
        <v>AP</v>
      </c>
      <c r="K341" s="34">
        <f>IFERROR(__xludf.DUMMYFUNCTION("""COMPUTED_VALUE"""),11.5)</f>
        <v>11.5</v>
      </c>
      <c r="L341" s="35" t="str">
        <f>IFERROR(__xludf.DUMMYFUNCTION("""COMPUTED_VALUE"""),"%")</f>
        <v>%</v>
      </c>
      <c r="M341" s="36">
        <f>IFERROR(__xludf.DUMMYFUNCTION("""COMPUTED_VALUE"""),1.0)</f>
        <v>1</v>
      </c>
      <c r="N341" s="37" t="str">
        <f>IFERROR(__xludf.DUMMYFUNCTION("""COMPUTED_VALUE"""),"A304")</f>
        <v>A304</v>
      </c>
      <c r="O341" s="38" t="str">
        <f>IFERROR(__xludf.DUMMYFUNCTION("""COMPUTED_VALUE"""),"")</f>
        <v/>
      </c>
      <c r="P341" s="34">
        <f>IFERROR(__xludf.DUMMYFUNCTION("""COMPUTED_VALUE"""),138.8)</f>
        <v>138.8</v>
      </c>
      <c r="Q341" s="35" t="str">
        <f>IFERROR(__xludf.DUMMYFUNCTION("""COMPUTED_VALUE"""),"AP")</f>
        <v>AP</v>
      </c>
      <c r="R341" s="34">
        <f>IFERROR(__xludf.DUMMYFUNCTION("""COMPUTED_VALUE"""),10.8)</f>
        <v>10.8</v>
      </c>
      <c r="S341" s="35" t="str">
        <f>IFERROR(__xludf.DUMMYFUNCTION("""COMPUTED_VALUE"""),"%")</f>
        <v>%</v>
      </c>
      <c r="T341" s="36">
        <f>IFERROR(__xludf.DUMMYFUNCTION("""COMPUTED_VALUE"""),2.0)</f>
        <v>2</v>
      </c>
      <c r="U341" s="37" t="str">
        <f>IFERROR(__xludf.DUMMYFUNCTION("""COMPUTED_VALUE"""),"B116")</f>
        <v>B116</v>
      </c>
      <c r="V341" s="38" t="str">
        <f>IFERROR(__xludf.DUMMYFUNCTION("""COMPUTED_VALUE"""),"")</f>
        <v/>
      </c>
      <c r="W341" s="34">
        <f>IFERROR(__xludf.DUMMYFUNCTION("""COMPUTED_VALUE"""),333.2)</f>
        <v>333.2</v>
      </c>
      <c r="X341" s="35" t="str">
        <f>IFERROR(__xludf.DUMMYFUNCTION("""COMPUTED_VALUE"""),"AP")</f>
        <v>AP</v>
      </c>
      <c r="Y341" s="34">
        <f>IFERROR(__xludf.DUMMYFUNCTION("""COMPUTED_VALUE"""),4.5)</f>
        <v>4.5</v>
      </c>
      <c r="Z341" s="35" t="str">
        <f>IFERROR(__xludf.DUMMYFUNCTION("""COMPUTED_VALUE"""),"%")</f>
        <v>%</v>
      </c>
      <c r="AA341" s="36">
        <f>IFERROR(__xludf.DUMMYFUNCTION("""COMPUTED_VALUE"""),3.0)</f>
        <v>3</v>
      </c>
      <c r="AB341" s="37"/>
      <c r="AC341" s="38"/>
      <c r="AD341" s="34" t="str">
        <f>IFERROR(__xludf.DUMMYFUNCTION("""COMPUTED_VALUE"""),"")</f>
        <v/>
      </c>
      <c r="AE341" s="35" t="str">
        <f>IFERROR(__xludf.DUMMYFUNCTION("""COMPUTED_VALUE"""),"AP")</f>
        <v>AP</v>
      </c>
      <c r="AF341" s="34" t="str">
        <f>IFERROR(__xludf.DUMMYFUNCTION("""COMPUTED_VALUE"""),"")</f>
        <v/>
      </c>
      <c r="AG341" s="35" t="str">
        <f>IFERROR(__xludf.DUMMYFUNCTION("""COMPUTED_VALUE"""),"%")</f>
        <v>%</v>
      </c>
      <c r="AH341" s="31">
        <f>IFERROR(__xludf.DUMMYFUNCTION("""COMPUTED_VALUE"""),15.0)</f>
        <v>15</v>
      </c>
      <c r="AI341" s="32">
        <f>IFERROR(__xludf.DUMMYFUNCTION("""COMPUTED_VALUE"""),1129.0)</f>
        <v>1129</v>
      </c>
      <c r="AJ341" s="39" t="str">
        <f>IFERROR(__xludf.DUMMYFUNCTION("""COMPUTED_VALUE"""),"ホワイトチャペル")</f>
        <v>ホワイトチャペル</v>
      </c>
    </row>
    <row r="342" ht="24.75" customHeight="1">
      <c r="A342" s="40">
        <f>IFERROR(__xludf.DUMMYFUNCTION("""COMPUTED_VALUE"""),18.0)</f>
        <v>18</v>
      </c>
      <c r="B342" s="40" t="str">
        <f>IFERROR(__xludf.DUMMYFUNCTION("""COMPUTED_VALUE"""),"A206")</f>
        <v>A206</v>
      </c>
      <c r="C342" s="40" t="str">
        <f>IFERROR(__xludf.DUMMYFUNCTION("""COMPUTED_VALUE"""),"LDN6")</f>
        <v>LDN6</v>
      </c>
      <c r="D342" s="41" t="str">
        <f>IFERROR(__xludf.DUMMYFUNCTION("""COMPUTED_VALUE"""),"London")</f>
        <v>London</v>
      </c>
      <c r="E342" s="42" t="str">
        <f>IFERROR(__xludf.DUMMYFUNCTION("""COMPUTED_VALUE"""),"Regent Park")</f>
        <v>Regent Park</v>
      </c>
      <c r="F342" s="43">
        <f>IFERROR(__xludf.DUMMYFUNCTION("""COMPUTED_VALUE"""),16.0)</f>
        <v>16</v>
      </c>
      <c r="G342" s="44">
        <f>IFERROR(__xludf.DUMMYFUNCTION("""COMPUTED_VALUE"""),1100.0)</f>
        <v>1100</v>
      </c>
      <c r="H342" s="33" t="str">
        <f>IFERROR(__xludf.DUMMYFUNCTION("""COMPUTED_VALUE"""),"")</f>
        <v/>
      </c>
      <c r="I342" s="45">
        <f>IFERROR(__xludf.DUMMYFUNCTION("""COMPUTED_VALUE"""),160.0)</f>
        <v>160</v>
      </c>
      <c r="J342" s="46" t="str">
        <f>IFERROR(__xludf.DUMMYFUNCTION("""COMPUTED_VALUE"""),"AP")</f>
        <v>AP</v>
      </c>
      <c r="K342" s="47">
        <f>IFERROR(__xludf.DUMMYFUNCTION("""COMPUTED_VALUE"""),10.0)</f>
        <v>10</v>
      </c>
      <c r="L342" s="48" t="str">
        <f>IFERROR(__xludf.DUMMYFUNCTION("""COMPUTED_VALUE"""),"%")</f>
        <v>%</v>
      </c>
      <c r="M342" s="49">
        <f>IFERROR(__xludf.DUMMYFUNCTION("""COMPUTED_VALUE"""),1.0)</f>
        <v>1</v>
      </c>
      <c r="N342" s="50" t="str">
        <f>IFERROR(__xludf.DUMMYFUNCTION("""COMPUTED_VALUE"""),"A207")</f>
        <v>A207</v>
      </c>
      <c r="O342" s="38" t="str">
        <f>IFERROR(__xludf.DUMMYFUNCTION("""COMPUTED_VALUE"""),"")</f>
        <v/>
      </c>
      <c r="P342" s="45">
        <f>IFERROR(__xludf.DUMMYFUNCTION("""COMPUTED_VALUE"""),345.1)</f>
        <v>345.1</v>
      </c>
      <c r="Q342" s="46" t="str">
        <f>IFERROR(__xludf.DUMMYFUNCTION("""COMPUTED_VALUE"""),"AP")</f>
        <v>AP</v>
      </c>
      <c r="R342" s="47">
        <f>IFERROR(__xludf.DUMMYFUNCTION("""COMPUTED_VALUE"""),4.6)</f>
        <v>4.6</v>
      </c>
      <c r="S342" s="48" t="str">
        <f>IFERROR(__xludf.DUMMYFUNCTION("""COMPUTED_VALUE"""),"%")</f>
        <v>%</v>
      </c>
      <c r="T342" s="49">
        <f>IFERROR(__xludf.DUMMYFUNCTION("""COMPUTED_VALUE"""),2.0)</f>
        <v>2</v>
      </c>
      <c r="U342" s="50" t="str">
        <f>IFERROR(__xludf.DUMMYFUNCTION("""COMPUTED_VALUE"""),"B111")</f>
        <v>B111</v>
      </c>
      <c r="V342" s="38" t="str">
        <f>IFERROR(__xludf.DUMMYFUNCTION("""COMPUTED_VALUE"""),"")</f>
        <v/>
      </c>
      <c r="W342" s="45">
        <f>IFERROR(__xludf.DUMMYFUNCTION("""COMPUTED_VALUE"""),270.8)</f>
        <v>270.8</v>
      </c>
      <c r="X342" s="46" t="str">
        <f>IFERROR(__xludf.DUMMYFUNCTION("""COMPUTED_VALUE"""),"AP")</f>
        <v>AP</v>
      </c>
      <c r="Y342" s="47">
        <f>IFERROR(__xludf.DUMMYFUNCTION("""COMPUTED_VALUE"""),5.9)</f>
        <v>5.9</v>
      </c>
      <c r="Z342" s="48" t="str">
        <f>IFERROR(__xludf.DUMMYFUNCTION("""COMPUTED_VALUE"""),"%")</f>
        <v>%</v>
      </c>
      <c r="AA342" s="49">
        <f>IFERROR(__xludf.DUMMYFUNCTION("""COMPUTED_VALUE"""),3.0)</f>
        <v>3</v>
      </c>
      <c r="AB342" s="50"/>
      <c r="AC342" s="38"/>
      <c r="AD342" s="45" t="str">
        <f>IFERROR(__xludf.DUMMYFUNCTION("""COMPUTED_VALUE"""),"")</f>
        <v/>
      </c>
      <c r="AE342" s="46" t="str">
        <f>IFERROR(__xludf.DUMMYFUNCTION("""COMPUTED_VALUE"""),"AP")</f>
        <v>AP</v>
      </c>
      <c r="AF342" s="47" t="str">
        <f>IFERROR(__xludf.DUMMYFUNCTION("""COMPUTED_VALUE"""),"")</f>
        <v/>
      </c>
      <c r="AG342" s="48" t="str">
        <f>IFERROR(__xludf.DUMMYFUNCTION("""COMPUTED_VALUE"""),"%")</f>
        <v>%</v>
      </c>
      <c r="AH342" s="43">
        <f>IFERROR(__xludf.DUMMYFUNCTION("""COMPUTED_VALUE"""),16.0)</f>
        <v>16</v>
      </c>
      <c r="AI342" s="44">
        <f>IFERROR(__xludf.DUMMYFUNCTION("""COMPUTED_VALUE"""),1100.0)</f>
        <v>1100</v>
      </c>
      <c r="AJ342" s="51" t="str">
        <f>IFERROR(__xludf.DUMMYFUNCTION("""COMPUTED_VALUE"""),"リージェントパーク")</f>
        <v>リージェントパーク</v>
      </c>
    </row>
    <row r="343" ht="24.75" customHeight="1">
      <c r="A343" s="28">
        <f>IFERROR(__xludf.DUMMYFUNCTION("""COMPUTED_VALUE"""),19.0)</f>
        <v>19</v>
      </c>
      <c r="B343" s="28" t="str">
        <f>IFERROR(__xludf.DUMMYFUNCTION("""COMPUTED_VALUE"""),"A206")</f>
        <v>A206</v>
      </c>
      <c r="C343" s="28" t="str">
        <f>IFERROR(__xludf.DUMMYFUNCTION("""COMPUTED_VALUE"""),"TRF23")</f>
        <v>TRF23</v>
      </c>
      <c r="D343" s="29" t="str">
        <f>IFERROR(__xludf.DUMMYFUNCTION("""COMPUTED_VALUE"""),"Chaldea Gate (Sat)")</f>
        <v>Chaldea Gate (Sat)</v>
      </c>
      <c r="E343" s="30" t="str">
        <f>IFERROR(__xludf.DUMMYFUNCTION("""COMPUTED_VALUE"""),"SAT Assassin Training Ground- Adv")</f>
        <v>SAT Assassin Training Ground- Adv</v>
      </c>
      <c r="F343" s="31">
        <f>IFERROR(__xludf.DUMMYFUNCTION("""COMPUTED_VALUE"""),30.0)</f>
        <v>30</v>
      </c>
      <c r="G343" s="32">
        <f>IFERROR(__xludf.DUMMYFUNCTION("""COMPUTED_VALUE"""),1209.0)</f>
        <v>1209</v>
      </c>
      <c r="H343" s="33" t="str">
        <f>IFERROR(__xludf.DUMMYFUNCTION("""COMPUTED_VALUE"""),"")</f>
        <v/>
      </c>
      <c r="I343" s="34">
        <f>IFERROR(__xludf.DUMMYFUNCTION("""COMPUTED_VALUE"""),188.9)</f>
        <v>188.9</v>
      </c>
      <c r="J343" s="35" t="str">
        <f>IFERROR(__xludf.DUMMYFUNCTION("""COMPUTED_VALUE"""),"AP")</f>
        <v>AP</v>
      </c>
      <c r="K343" s="34">
        <f>IFERROR(__xludf.DUMMYFUNCTION("""COMPUTED_VALUE"""),15.9)</f>
        <v>15.9</v>
      </c>
      <c r="L343" s="35" t="str">
        <f>IFERROR(__xludf.DUMMYFUNCTION("""COMPUTED_VALUE"""),"%")</f>
        <v>%</v>
      </c>
      <c r="M343" s="36">
        <f>IFERROR(__xludf.DUMMYFUNCTION("""COMPUTED_VALUE"""),1.0)</f>
        <v>1</v>
      </c>
      <c r="N343" s="37" t="str">
        <f>IFERROR(__xludf.DUMMYFUNCTION("""COMPUTED_VALUE"""),"A107")</f>
        <v>A107</v>
      </c>
      <c r="O343" s="38" t="str">
        <f>IFERROR(__xludf.DUMMYFUNCTION("""COMPUTED_VALUE"""),"")</f>
        <v/>
      </c>
      <c r="P343" s="34">
        <f>IFERROR(__xludf.DUMMYFUNCTION("""COMPUTED_VALUE"""),510.8)</f>
        <v>510.8</v>
      </c>
      <c r="Q343" s="35" t="str">
        <f>IFERROR(__xludf.DUMMYFUNCTION("""COMPUTED_VALUE"""),"AP")</f>
        <v>AP</v>
      </c>
      <c r="R343" s="34">
        <f>IFERROR(__xludf.DUMMYFUNCTION("""COMPUTED_VALUE"""),5.9)</f>
        <v>5.9</v>
      </c>
      <c r="S343" s="35" t="str">
        <f>IFERROR(__xludf.DUMMYFUNCTION("""COMPUTED_VALUE"""),"%")</f>
        <v>%</v>
      </c>
      <c r="T343" s="36">
        <f>IFERROR(__xludf.DUMMYFUNCTION("""COMPUTED_VALUE"""),2.0)</f>
        <v>2</v>
      </c>
      <c r="U343" s="37" t="str">
        <f>IFERROR(__xludf.DUMMYFUNCTION("""COMPUTED_VALUE"""),"A201")</f>
        <v>A201</v>
      </c>
      <c r="V343" s="38" t="str">
        <f>IFERROR(__xludf.DUMMYFUNCTION("""COMPUTED_VALUE"""),"")</f>
        <v/>
      </c>
      <c r="W343" s="34">
        <f>IFERROR(__xludf.DUMMYFUNCTION("""COMPUTED_VALUE"""),191.9)</f>
        <v>191.9</v>
      </c>
      <c r="X343" s="35" t="str">
        <f>IFERROR(__xludf.DUMMYFUNCTION("""COMPUTED_VALUE"""),"AP")</f>
        <v>AP</v>
      </c>
      <c r="Y343" s="34">
        <f>IFERROR(__xludf.DUMMYFUNCTION("""COMPUTED_VALUE"""),15.6)</f>
        <v>15.6</v>
      </c>
      <c r="Z343" s="35" t="str">
        <f>IFERROR(__xludf.DUMMYFUNCTION("""COMPUTED_VALUE"""),"%")</f>
        <v>%</v>
      </c>
      <c r="AA343" s="36">
        <f>IFERROR(__xludf.DUMMYFUNCTION("""COMPUTED_VALUE"""),3.0)</f>
        <v>3</v>
      </c>
      <c r="AB343" s="37" t="str">
        <f>IFERROR(__xludf.DUMMYFUNCTION("""COMPUTED_VALUE"""),"A202")</f>
        <v>A202</v>
      </c>
      <c r="AC343" s="38" t="str">
        <f>IFERROR(__xludf.DUMMYFUNCTION("""COMPUTED_VALUE"""),"")</f>
        <v/>
      </c>
      <c r="AD343" s="34">
        <f>IFERROR(__xludf.DUMMYFUNCTION("""COMPUTED_VALUE"""),186.0)</f>
        <v>186</v>
      </c>
      <c r="AE343" s="35" t="str">
        <f>IFERROR(__xludf.DUMMYFUNCTION("""COMPUTED_VALUE"""),"AP")</f>
        <v>AP</v>
      </c>
      <c r="AF343" s="34">
        <f>IFERROR(__xludf.DUMMYFUNCTION("""COMPUTED_VALUE"""),16.1)</f>
        <v>16.1</v>
      </c>
      <c r="AG343" s="35" t="str">
        <f>IFERROR(__xludf.DUMMYFUNCTION("""COMPUTED_VALUE"""),"%")</f>
        <v>%</v>
      </c>
      <c r="AH343" s="31">
        <f>IFERROR(__xludf.DUMMYFUNCTION("""COMPUTED_VALUE"""),30.0)</f>
        <v>30</v>
      </c>
      <c r="AI343" s="32">
        <f>IFERROR(__xludf.DUMMYFUNCTION("""COMPUTED_VALUE"""),1209.0)</f>
        <v>1209</v>
      </c>
      <c r="AJ343" s="39" t="str">
        <f>IFERROR(__xludf.DUMMYFUNCTION("""COMPUTED_VALUE"""),"殺上級")</f>
        <v>殺上級</v>
      </c>
    </row>
    <row r="344" ht="24.75" customHeight="1">
      <c r="A344" s="40">
        <f>IFERROR(__xludf.DUMMYFUNCTION("""COMPUTED_VALUE"""),20.0)</f>
        <v>20</v>
      </c>
      <c r="B344" s="40" t="str">
        <f>IFERROR(__xludf.DUMMYFUNCTION("""COMPUTED_VALUE"""),"A206")</f>
        <v>A206</v>
      </c>
      <c r="C344" s="40" t="str">
        <f>IFERROR(__xludf.DUMMYFUNCTION("""COMPUTED_VALUE"""),"TRF28")</f>
        <v>TRF28</v>
      </c>
      <c r="D344" s="41" t="str">
        <f>IFERROR(__xludf.DUMMYFUNCTION("""COMPUTED_VALUE"""),"Chaldea Gate (Sun)")</f>
        <v>Chaldea Gate (Sun)</v>
      </c>
      <c r="E344" s="42" t="str">
        <f>IFERROR(__xludf.DUMMYFUNCTION("""COMPUTED_VALUE"""),"SUN Saber Training Ground- Exp")</f>
        <v>SUN Saber Training Ground- Exp</v>
      </c>
      <c r="F344" s="43">
        <f>IFERROR(__xludf.DUMMYFUNCTION("""COMPUTED_VALUE"""),40.0)</f>
        <v>40</v>
      </c>
      <c r="G344" s="44">
        <f>IFERROR(__xludf.DUMMYFUNCTION("""COMPUTED_VALUE"""),27682.0)</f>
        <v>27682</v>
      </c>
      <c r="H344" s="33" t="str">
        <f>IFERROR(__xludf.DUMMYFUNCTION("""COMPUTED_VALUE"""),"")</f>
        <v/>
      </c>
      <c r="I344" s="45">
        <f>IFERROR(__xludf.DUMMYFUNCTION("""COMPUTED_VALUE"""),196.1)</f>
        <v>196.1</v>
      </c>
      <c r="J344" s="46" t="str">
        <f>IFERROR(__xludf.DUMMYFUNCTION("""COMPUTED_VALUE"""),"AP")</f>
        <v>AP</v>
      </c>
      <c r="K344" s="47">
        <f>IFERROR(__xludf.DUMMYFUNCTION("""COMPUTED_VALUE"""),20.4)</f>
        <v>20.4</v>
      </c>
      <c r="L344" s="48" t="str">
        <f>IFERROR(__xludf.DUMMYFUNCTION("""COMPUTED_VALUE"""),"%")</f>
        <v>%</v>
      </c>
      <c r="M344" s="49">
        <f>IFERROR(__xludf.DUMMYFUNCTION("""COMPUTED_VALUE"""),1.0)</f>
        <v>1</v>
      </c>
      <c r="N344" s="50" t="str">
        <f>IFERROR(__xludf.DUMMYFUNCTION("""COMPUTED_VALUE"""),"A104")</f>
        <v>A104</v>
      </c>
      <c r="O344" s="38" t="str">
        <f>IFERROR(__xludf.DUMMYFUNCTION("""COMPUTED_VALUE"""),"")</f>
        <v/>
      </c>
      <c r="P344" s="45">
        <f>IFERROR(__xludf.DUMMYFUNCTION("""COMPUTED_VALUE"""),498.8)</f>
        <v>498.8</v>
      </c>
      <c r="Q344" s="46" t="str">
        <f>IFERROR(__xludf.DUMMYFUNCTION("""COMPUTED_VALUE"""),"AP")</f>
        <v>AP</v>
      </c>
      <c r="R344" s="47">
        <f>IFERROR(__xludf.DUMMYFUNCTION("""COMPUTED_VALUE"""),8.0)</f>
        <v>8</v>
      </c>
      <c r="S344" s="48" t="str">
        <f>IFERROR(__xludf.DUMMYFUNCTION("""COMPUTED_VALUE"""),"%")</f>
        <v>%</v>
      </c>
      <c r="T344" s="49">
        <f>IFERROR(__xludf.DUMMYFUNCTION("""COMPUTED_VALUE"""),2.0)</f>
        <v>2</v>
      </c>
      <c r="U344" s="50" t="str">
        <f>IFERROR(__xludf.DUMMYFUNCTION("""COMPUTED_VALUE"""),"A201")</f>
        <v>A201</v>
      </c>
      <c r="V344" s="38" t="str">
        <f>IFERROR(__xludf.DUMMYFUNCTION("""COMPUTED_VALUE"""),"")</f>
        <v/>
      </c>
      <c r="W344" s="45">
        <f>IFERROR(__xludf.DUMMYFUNCTION("""COMPUTED_VALUE"""),149.7)</f>
        <v>149.7</v>
      </c>
      <c r="X344" s="46" t="str">
        <f>IFERROR(__xludf.DUMMYFUNCTION("""COMPUTED_VALUE"""),"AP")</f>
        <v>AP</v>
      </c>
      <c r="Y344" s="47">
        <f>IFERROR(__xludf.DUMMYFUNCTION("""COMPUTED_VALUE"""),26.7)</f>
        <v>26.7</v>
      </c>
      <c r="Z344" s="48" t="str">
        <f>IFERROR(__xludf.DUMMYFUNCTION("""COMPUTED_VALUE"""),"%")</f>
        <v>%</v>
      </c>
      <c r="AA344" s="49">
        <f>IFERROR(__xludf.DUMMYFUNCTION("""COMPUTED_VALUE"""),3.0)</f>
        <v>3</v>
      </c>
      <c r="AB344" s="50" t="str">
        <f>IFERROR(__xludf.DUMMYFUNCTION("""COMPUTED_VALUE"""),"A205")</f>
        <v>A205</v>
      </c>
      <c r="AC344" s="38" t="str">
        <f>IFERROR(__xludf.DUMMYFUNCTION("""COMPUTED_VALUE"""),"")</f>
        <v/>
      </c>
      <c r="AD344" s="45">
        <f>IFERROR(__xludf.DUMMYFUNCTION("""COMPUTED_VALUE"""),377.3)</f>
        <v>377.3</v>
      </c>
      <c r="AE344" s="46" t="str">
        <f>IFERROR(__xludf.DUMMYFUNCTION("""COMPUTED_VALUE"""),"AP")</f>
        <v>AP</v>
      </c>
      <c r="AF344" s="47">
        <f>IFERROR(__xludf.DUMMYFUNCTION("""COMPUTED_VALUE"""),10.6)</f>
        <v>10.6</v>
      </c>
      <c r="AG344" s="48" t="str">
        <f>IFERROR(__xludf.DUMMYFUNCTION("""COMPUTED_VALUE"""),"%")</f>
        <v>%</v>
      </c>
      <c r="AH344" s="43">
        <f>IFERROR(__xludf.DUMMYFUNCTION("""COMPUTED_VALUE"""),40.0)</f>
        <v>40</v>
      </c>
      <c r="AI344" s="44">
        <f>IFERROR(__xludf.DUMMYFUNCTION("""COMPUTED_VALUE"""),27682.0)</f>
        <v>27682</v>
      </c>
      <c r="AJ344" s="51" t="str">
        <f>IFERROR(__xludf.DUMMYFUNCTION("""COMPUTED_VALUE"""),"剣超級")</f>
        <v>剣超級</v>
      </c>
    </row>
    <row r="345">
      <c r="A345" s="52"/>
      <c r="B345" s="53"/>
      <c r="C345" s="54"/>
      <c r="D345" s="55"/>
      <c r="E345" s="56"/>
      <c r="F345" s="53"/>
      <c r="G345" s="53"/>
      <c r="H345" s="53"/>
      <c r="I345" s="53"/>
      <c r="J345" s="57"/>
      <c r="K345" s="53"/>
      <c r="L345" s="57"/>
      <c r="M345" s="53"/>
      <c r="N345" s="53"/>
      <c r="O345" s="53"/>
      <c r="P345" s="53"/>
      <c r="Q345" s="57"/>
      <c r="R345" s="53"/>
      <c r="S345" s="57"/>
      <c r="T345" s="53"/>
      <c r="U345" s="53"/>
      <c r="V345" s="53"/>
      <c r="W345" s="53"/>
      <c r="X345" s="57"/>
      <c r="Y345" s="53"/>
      <c r="Z345" s="57"/>
      <c r="AA345" s="53"/>
      <c r="AB345" s="53"/>
      <c r="AC345" s="53"/>
      <c r="AD345" s="53"/>
      <c r="AE345" s="57"/>
      <c r="AF345" s="53"/>
      <c r="AG345" s="57"/>
      <c r="AH345" s="53"/>
      <c r="AI345" s="53"/>
      <c r="AJ345" s="58"/>
    </row>
    <row r="346">
      <c r="A346" s="59"/>
      <c r="B346" s="60"/>
      <c r="C346" s="61"/>
      <c r="D346" s="62"/>
      <c r="E346" s="63"/>
      <c r="F346" s="60"/>
      <c r="G346" s="60"/>
      <c r="H346" s="60"/>
      <c r="I346" s="60"/>
      <c r="J346" s="64"/>
      <c r="K346" s="60"/>
      <c r="L346" s="64"/>
      <c r="M346" s="60"/>
      <c r="N346" s="60"/>
      <c r="O346" s="60"/>
      <c r="P346" s="60"/>
      <c r="Q346" s="64"/>
      <c r="R346" s="60"/>
      <c r="S346" s="64"/>
      <c r="T346" s="60"/>
      <c r="U346" s="60"/>
      <c r="V346" s="60"/>
      <c r="W346" s="60"/>
      <c r="X346" s="64"/>
      <c r="Y346" s="60"/>
      <c r="Z346" s="64"/>
      <c r="AA346" s="60"/>
      <c r="AB346" s="60"/>
      <c r="AC346" s="60"/>
      <c r="AD346" s="60"/>
      <c r="AE346" s="64"/>
      <c r="AF346" s="60"/>
      <c r="AG346" s="64"/>
      <c r="AH346" s="60"/>
      <c r="AI346" s="60"/>
      <c r="AJ346" s="65"/>
    </row>
    <row r="347" ht="33.0" customHeight="1">
      <c r="A347" s="20" t="str">
        <f>IFERROR(__xludf.DUMMYFUNCTION("""COMPUTED_VALUE""")," ")</f>
        <v> </v>
      </c>
      <c r="B347" s="21" t="str">
        <f>IFERROR(__xludf.DUMMYFUNCTION("""COMPUTED_VALUE"""),"A207")</f>
        <v>A207</v>
      </c>
      <c r="C347" s="20"/>
      <c r="D347" s="22" t="str">
        <f>IFERROR(__xludf.DUMMYFUNCTION("""COMPUTED_VALUE"""),"")</f>
        <v/>
      </c>
      <c r="E347" s="23" t="str">
        <f>IFERROR(__xludf.DUMMYFUNCTION("""COMPUTED_VALUE"""),"Forbidden Page")</f>
        <v>Forbidden Page</v>
      </c>
      <c r="F347" s="24"/>
      <c r="G347" s="24"/>
      <c r="H347" s="25"/>
      <c r="I347" s="25"/>
      <c r="J347" s="26"/>
      <c r="K347" s="25"/>
      <c r="L347" s="26"/>
      <c r="M347" s="25"/>
      <c r="N347" s="25"/>
      <c r="O347" s="25"/>
      <c r="P347" s="25"/>
      <c r="Q347" s="26"/>
      <c r="R347" s="25"/>
      <c r="S347" s="26"/>
      <c r="T347" s="25"/>
      <c r="U347" s="25"/>
      <c r="V347" s="25"/>
      <c r="W347" s="25"/>
      <c r="X347" s="26"/>
      <c r="Y347" s="25"/>
      <c r="Z347" s="26"/>
      <c r="AA347" s="25"/>
      <c r="AB347" s="25"/>
      <c r="AC347" s="25"/>
      <c r="AD347" s="25"/>
      <c r="AE347" s="26"/>
      <c r="AF347" s="25"/>
      <c r="AG347" s="26"/>
      <c r="AH347" s="24"/>
      <c r="AI347" s="25"/>
      <c r="AJ347" s="27"/>
    </row>
    <row r="348" ht="24.75" customHeight="1">
      <c r="A348" s="28">
        <f>IFERROR(__xludf.DUMMYFUNCTION("""COMPUTED_VALUE"""),1.0)</f>
        <v>1</v>
      </c>
      <c r="B348" s="28" t="str">
        <f>IFERROR(__xludf.DUMMYFUNCTION("""COMPUTED_VALUE"""),"A207")</f>
        <v>A207</v>
      </c>
      <c r="C348" s="28" t="str">
        <f>IFERROR(__xludf.DUMMYFUNCTION("""COMPUTED_VALUE"""),"SJK10")</f>
        <v>SJK10</v>
      </c>
      <c r="D348" s="29" t="str">
        <f>IFERROR(__xludf.DUMMYFUNCTION("""COMPUTED_VALUE"""),"Shinjuku")</f>
        <v>Shinjuku</v>
      </c>
      <c r="E348" s="30" t="str">
        <f>IFERROR(__xludf.DUMMYFUNCTION("""COMPUTED_VALUE"""),"Shinjuku 2-chome")</f>
        <v>Shinjuku 2-chome</v>
      </c>
      <c r="F348" s="31">
        <f>IFERROR(__xludf.DUMMYFUNCTION("""COMPUTED_VALUE"""),21.0)</f>
        <v>21</v>
      </c>
      <c r="G348" s="32">
        <f>IFERROR(__xludf.DUMMYFUNCTION("""COMPUTED_VALUE"""),70270.0)</f>
        <v>70270</v>
      </c>
      <c r="H348" s="33" t="str">
        <f>IFERROR(__xludf.DUMMYFUNCTION("""COMPUTED_VALUE"""),"")</f>
        <v/>
      </c>
      <c r="I348" s="34">
        <f>IFERROR(__xludf.DUMMYFUNCTION("""COMPUTED_VALUE"""),69.4)</f>
        <v>69.4</v>
      </c>
      <c r="J348" s="35" t="str">
        <f>IFERROR(__xludf.DUMMYFUNCTION("""COMPUTED_VALUE"""),"AP")</f>
        <v>AP</v>
      </c>
      <c r="K348" s="34">
        <f>IFERROR(__xludf.DUMMYFUNCTION("""COMPUTED_VALUE"""),30.2)</f>
        <v>30.2</v>
      </c>
      <c r="L348" s="35" t="str">
        <f>IFERROR(__xludf.DUMMYFUNCTION("""COMPUTED_VALUE"""),"%")</f>
        <v>%</v>
      </c>
      <c r="M348" s="36">
        <f>IFERROR(__xludf.DUMMYFUNCTION("""COMPUTED_VALUE"""),1.0)</f>
        <v>1</v>
      </c>
      <c r="N348" s="37" t="str">
        <f>IFERROR(__xludf.DUMMYFUNCTION("""COMPUTED_VALUE"""),"A106")</f>
        <v>A106</v>
      </c>
      <c r="O348" s="38" t="str">
        <f>IFERROR(__xludf.DUMMYFUNCTION("""COMPUTED_VALUE"""),"")</f>
        <v/>
      </c>
      <c r="P348" s="34">
        <f>IFERROR(__xludf.DUMMYFUNCTION("""COMPUTED_VALUE"""),116.0)</f>
        <v>116</v>
      </c>
      <c r="Q348" s="35" t="str">
        <f>IFERROR(__xludf.DUMMYFUNCTION("""COMPUTED_VALUE"""),"AP")</f>
        <v>AP</v>
      </c>
      <c r="R348" s="34">
        <f>IFERROR(__xludf.DUMMYFUNCTION("""COMPUTED_VALUE"""),18.1)</f>
        <v>18.1</v>
      </c>
      <c r="S348" s="35" t="str">
        <f>IFERROR(__xludf.DUMMYFUNCTION("""COMPUTED_VALUE"""),"%")</f>
        <v>%</v>
      </c>
      <c r="T348" s="36">
        <f>IFERROR(__xludf.DUMMYFUNCTION("""COMPUTED_VALUE"""),2.0)</f>
        <v>2</v>
      </c>
      <c r="U348" s="37" t="str">
        <f>IFERROR(__xludf.DUMMYFUNCTION("""COMPUTED_VALUE"""),"B105")</f>
        <v>B105</v>
      </c>
      <c r="V348" s="38" t="str">
        <f>IFERROR(__xludf.DUMMYFUNCTION("""COMPUTED_VALUE"""),"")</f>
        <v/>
      </c>
      <c r="W348" s="34">
        <f>IFERROR(__xludf.DUMMYFUNCTION("""COMPUTED_VALUE"""),639.6)</f>
        <v>639.6</v>
      </c>
      <c r="X348" s="35" t="str">
        <f>IFERROR(__xludf.DUMMYFUNCTION("""COMPUTED_VALUE"""),"AP")</f>
        <v>AP</v>
      </c>
      <c r="Y348" s="34">
        <f>IFERROR(__xludf.DUMMYFUNCTION("""COMPUTED_VALUE"""),3.3)</f>
        <v>3.3</v>
      </c>
      <c r="Z348" s="35" t="str">
        <f>IFERROR(__xludf.DUMMYFUNCTION("""COMPUTED_VALUE"""),"%")</f>
        <v>%</v>
      </c>
      <c r="AA348" s="36">
        <f>IFERROR(__xludf.DUMMYFUNCTION("""COMPUTED_VALUE"""),3.0)</f>
        <v>3</v>
      </c>
      <c r="AB348" s="37" t="str">
        <f>IFERROR(__xludf.DUMMYFUNCTION("""COMPUTED_VALUE"""),"B112")</f>
        <v>B112</v>
      </c>
      <c r="AC348" s="38" t="str">
        <f>IFERROR(__xludf.DUMMYFUNCTION("""COMPUTED_VALUE"""),"")</f>
        <v/>
      </c>
      <c r="AD348" s="34">
        <f>IFERROR(__xludf.DUMMYFUNCTION("""COMPUTED_VALUE"""),255.2)</f>
        <v>255.2</v>
      </c>
      <c r="AE348" s="35" t="str">
        <f>IFERROR(__xludf.DUMMYFUNCTION("""COMPUTED_VALUE"""),"AP")</f>
        <v>AP</v>
      </c>
      <c r="AF348" s="34">
        <f>IFERROR(__xludf.DUMMYFUNCTION("""COMPUTED_VALUE"""),8.2)</f>
        <v>8.2</v>
      </c>
      <c r="AG348" s="35" t="str">
        <f>IFERROR(__xludf.DUMMYFUNCTION("""COMPUTED_VALUE"""),"%")</f>
        <v>%</v>
      </c>
      <c r="AH348" s="31">
        <f>IFERROR(__xludf.DUMMYFUNCTION("""COMPUTED_VALUE"""),21.0)</f>
        <v>21</v>
      </c>
      <c r="AI348" s="32">
        <f>IFERROR(__xludf.DUMMYFUNCTION("""COMPUTED_VALUE"""),70270.0)</f>
        <v>70270</v>
      </c>
      <c r="AJ348" s="39" t="str">
        <f>IFERROR(__xludf.DUMMYFUNCTION("""COMPUTED_VALUE"""),"新宿二丁目")</f>
        <v>新宿二丁目</v>
      </c>
    </row>
    <row r="349" ht="24.75" customHeight="1">
      <c r="A349" s="40">
        <f>IFERROR(__xludf.DUMMYFUNCTION("""COMPUTED_VALUE"""),2.0)</f>
        <v>2</v>
      </c>
      <c r="B349" s="40" t="str">
        <f>IFERROR(__xludf.DUMMYFUNCTION("""COMPUTED_VALUE"""),"A207")</f>
        <v>A207</v>
      </c>
      <c r="C349" s="40" t="str">
        <f>IFERROR(__xludf.DUMMYFUNCTION("""COMPUTED_VALUE"""),"LDN9")</f>
        <v>LDN9</v>
      </c>
      <c r="D349" s="41" t="str">
        <f>IFERROR(__xludf.DUMMYFUNCTION("""COMPUTED_VALUE"""),"London")</f>
        <v>London</v>
      </c>
      <c r="E349" s="42" t="str">
        <f>IFERROR(__xludf.DUMMYFUNCTION("""COMPUTED_VALUE"""),"Hyde Park")</f>
        <v>Hyde Park</v>
      </c>
      <c r="F349" s="43">
        <f>IFERROR(__xludf.DUMMYFUNCTION("""COMPUTED_VALUE"""),20.0)</f>
        <v>20</v>
      </c>
      <c r="G349" s="44">
        <f>IFERROR(__xludf.DUMMYFUNCTION("""COMPUTED_VALUE"""),16230.0)</f>
        <v>16230</v>
      </c>
      <c r="H349" s="33" t="str">
        <f>IFERROR(__xludf.DUMMYFUNCTION("""COMPUTED_VALUE"""),"")</f>
        <v/>
      </c>
      <c r="I349" s="45">
        <f>IFERROR(__xludf.DUMMYFUNCTION("""COMPUTED_VALUE"""),73.9)</f>
        <v>73.9</v>
      </c>
      <c r="J349" s="46" t="str">
        <f>IFERROR(__xludf.DUMMYFUNCTION("""COMPUTED_VALUE"""),"AP")</f>
        <v>AP</v>
      </c>
      <c r="K349" s="47">
        <f>IFERROR(__xludf.DUMMYFUNCTION("""COMPUTED_VALUE"""),27.1)</f>
        <v>27.1</v>
      </c>
      <c r="L349" s="48" t="str">
        <f>IFERROR(__xludf.DUMMYFUNCTION("""COMPUTED_VALUE"""),"%")</f>
        <v>%</v>
      </c>
      <c r="M349" s="49">
        <f>IFERROR(__xludf.DUMMYFUNCTION("""COMPUTED_VALUE"""),1.0)</f>
        <v>1</v>
      </c>
      <c r="N349" s="50" t="str">
        <f>IFERROR(__xludf.DUMMYFUNCTION("""COMPUTED_VALUE"""),"A302")</f>
        <v>A302</v>
      </c>
      <c r="O349" s="38" t="str">
        <f>IFERROR(__xludf.DUMMYFUNCTION("""COMPUTED_VALUE"""),"")</f>
        <v/>
      </c>
      <c r="P349" s="45">
        <f>IFERROR(__xludf.DUMMYFUNCTION("""COMPUTED_VALUE"""),54.3)</f>
        <v>54.3</v>
      </c>
      <c r="Q349" s="46" t="str">
        <f>IFERROR(__xludf.DUMMYFUNCTION("""COMPUTED_VALUE"""),"AP")</f>
        <v>AP</v>
      </c>
      <c r="R349" s="47">
        <f>IFERROR(__xludf.DUMMYFUNCTION("""COMPUTED_VALUE"""),36.9)</f>
        <v>36.9</v>
      </c>
      <c r="S349" s="48" t="str">
        <f>IFERROR(__xludf.DUMMYFUNCTION("""COMPUTED_VALUE"""),"%")</f>
        <v>%</v>
      </c>
      <c r="T349" s="49">
        <f>IFERROR(__xludf.DUMMYFUNCTION("""COMPUTED_VALUE"""),2.0)</f>
        <v>2</v>
      </c>
      <c r="U349" s="50" t="str">
        <f>IFERROR(__xludf.DUMMYFUNCTION("""COMPUTED_VALUE"""),"B105")</f>
        <v>B105</v>
      </c>
      <c r="V349" s="38" t="str">
        <f>IFERROR(__xludf.DUMMYFUNCTION("""COMPUTED_VALUE"""),"")</f>
        <v/>
      </c>
      <c r="W349" s="47">
        <f>IFERROR(__xludf.DUMMYFUNCTION("""COMPUTED_VALUE"""),638.6)</f>
        <v>638.6</v>
      </c>
      <c r="X349" s="48" t="str">
        <f>IFERROR(__xludf.DUMMYFUNCTION("""COMPUTED_VALUE"""),"AP")</f>
        <v>AP</v>
      </c>
      <c r="Y349" s="47">
        <f>IFERROR(__xludf.DUMMYFUNCTION("""COMPUTED_VALUE"""),3.1)</f>
        <v>3.1</v>
      </c>
      <c r="Z349" s="48" t="str">
        <f>IFERROR(__xludf.DUMMYFUNCTION("""COMPUTED_VALUE"""),"%")</f>
        <v>%</v>
      </c>
      <c r="AA349" s="49">
        <f>IFERROR(__xludf.DUMMYFUNCTION("""COMPUTED_VALUE"""),3.0)</f>
        <v>3</v>
      </c>
      <c r="AB349" s="50" t="str">
        <f>IFERROR(__xludf.DUMMYFUNCTION("""COMPUTED_VALUE"""),"B115")</f>
        <v>B115</v>
      </c>
      <c r="AC349" s="38" t="str">
        <f>IFERROR(__xludf.DUMMYFUNCTION("""COMPUTED_VALUE"""),"")</f>
        <v/>
      </c>
      <c r="AD349" s="45">
        <f>IFERROR(__xludf.DUMMYFUNCTION("""COMPUTED_VALUE"""),130.5)</f>
        <v>130.5</v>
      </c>
      <c r="AE349" s="46" t="str">
        <f>IFERROR(__xludf.DUMMYFUNCTION("""COMPUTED_VALUE"""),"AP")</f>
        <v>AP</v>
      </c>
      <c r="AF349" s="47">
        <f>IFERROR(__xludf.DUMMYFUNCTION("""COMPUTED_VALUE"""),15.3)</f>
        <v>15.3</v>
      </c>
      <c r="AG349" s="48" t="str">
        <f>IFERROR(__xludf.DUMMYFUNCTION("""COMPUTED_VALUE"""),"%")</f>
        <v>%</v>
      </c>
      <c r="AH349" s="43">
        <f>IFERROR(__xludf.DUMMYFUNCTION("""COMPUTED_VALUE"""),20.0)</f>
        <v>20</v>
      </c>
      <c r="AI349" s="44">
        <f>IFERROR(__xludf.DUMMYFUNCTION("""COMPUTED_VALUE"""),16230.0)</f>
        <v>16230</v>
      </c>
      <c r="AJ349" s="51" t="str">
        <f>IFERROR(__xludf.DUMMYFUNCTION("""COMPUTED_VALUE"""),"ハイドパーク")</f>
        <v>ハイドパーク</v>
      </c>
    </row>
    <row r="350" ht="24.75" customHeight="1">
      <c r="A350" s="28">
        <f>IFERROR(__xludf.DUMMYFUNCTION("""COMPUTED_VALUE"""),3.0)</f>
        <v>3</v>
      </c>
      <c r="B350" s="28" t="str">
        <f>IFERROR(__xludf.DUMMYFUNCTION("""COMPUTED_VALUE"""),"A207")</f>
        <v>A207</v>
      </c>
      <c r="C350" s="28" t="str">
        <f>IFERROR(__xludf.DUMMYFUNCTION("""COMPUTED_VALUE"""),"HEA4")</f>
        <v>HEA4</v>
      </c>
      <c r="D350" s="29" t="str">
        <f>IFERROR(__xludf.DUMMYFUNCTION("""COMPUTED_VALUE"""),"Heian-kyo")</f>
        <v>Heian-kyo</v>
      </c>
      <c r="E350" s="30" t="str">
        <f>IFERROR(__xludf.DUMMYFUNCTION("""COMPUTED_VALUE"""),"Aristocrat's Residence")</f>
        <v>Aristocrat's Residence</v>
      </c>
      <c r="F350" s="31">
        <f>IFERROR(__xludf.DUMMYFUNCTION("""COMPUTED_VALUE"""),21.0)</f>
        <v>21</v>
      </c>
      <c r="G350" s="32">
        <f>IFERROR(__xludf.DUMMYFUNCTION("""COMPUTED_VALUE"""),1400.0)</f>
        <v>1400</v>
      </c>
      <c r="H350" s="33" t="str">
        <f>IFERROR(__xludf.DUMMYFUNCTION("""COMPUTED_VALUE"""),"")</f>
        <v/>
      </c>
      <c r="I350" s="34">
        <f>IFERROR(__xludf.DUMMYFUNCTION("""COMPUTED_VALUE"""),86.0)</f>
        <v>86</v>
      </c>
      <c r="J350" s="35" t="str">
        <f>IFERROR(__xludf.DUMMYFUNCTION("""COMPUTED_VALUE"""),"AP")</f>
        <v>AP</v>
      </c>
      <c r="K350" s="34">
        <f>IFERROR(__xludf.DUMMYFUNCTION("""COMPUTED_VALUE"""),24.4)</f>
        <v>24.4</v>
      </c>
      <c r="L350" s="35" t="str">
        <f>IFERROR(__xludf.DUMMYFUNCTION("""COMPUTED_VALUE"""),"%")</f>
        <v>%</v>
      </c>
      <c r="M350" s="36">
        <f>IFERROR(__xludf.DUMMYFUNCTION("""COMPUTED_VALUE"""),1.0)</f>
        <v>1</v>
      </c>
      <c r="N350" s="37" t="str">
        <f>IFERROR(__xludf.DUMMYFUNCTION("""COMPUTED_VALUE"""),"A114")</f>
        <v>A114</v>
      </c>
      <c r="O350" s="38" t="str">
        <f>IFERROR(__xludf.DUMMYFUNCTION("""COMPUTED_VALUE"""),"")</f>
        <v/>
      </c>
      <c r="P350" s="34">
        <f>IFERROR(__xludf.DUMMYFUNCTION("""COMPUTED_VALUE"""),169.0)</f>
        <v>169</v>
      </c>
      <c r="Q350" s="35" t="str">
        <f>IFERROR(__xludf.DUMMYFUNCTION("""COMPUTED_VALUE"""),"AP")</f>
        <v>AP</v>
      </c>
      <c r="R350" s="34">
        <f>IFERROR(__xludf.DUMMYFUNCTION("""COMPUTED_VALUE"""),12.4)</f>
        <v>12.4</v>
      </c>
      <c r="S350" s="35" t="str">
        <f>IFERROR(__xludf.DUMMYFUNCTION("""COMPUTED_VALUE"""),"%")</f>
        <v>%</v>
      </c>
      <c r="T350" s="36">
        <f>IFERROR(__xludf.DUMMYFUNCTION("""COMPUTED_VALUE"""),2.0)</f>
        <v>2</v>
      </c>
      <c r="U350" s="37" t="str">
        <f>IFERROR(__xludf.DUMMYFUNCTION("""COMPUTED_VALUE"""),"B106")</f>
        <v>B106</v>
      </c>
      <c r="V350" s="38" t="str">
        <f>IFERROR(__xludf.DUMMYFUNCTION("""COMPUTED_VALUE"""),"")</f>
        <v/>
      </c>
      <c r="W350" s="34">
        <f>IFERROR(__xludf.DUMMYFUNCTION("""COMPUTED_VALUE"""),515.1)</f>
        <v>515.1</v>
      </c>
      <c r="X350" s="35" t="str">
        <f>IFERROR(__xludf.DUMMYFUNCTION("""COMPUTED_VALUE"""),"AP")</f>
        <v>AP</v>
      </c>
      <c r="Y350" s="34">
        <f>IFERROR(__xludf.DUMMYFUNCTION("""COMPUTED_VALUE"""),4.1)</f>
        <v>4.1</v>
      </c>
      <c r="Z350" s="35" t="str">
        <f>IFERROR(__xludf.DUMMYFUNCTION("""COMPUTED_VALUE"""),"%")</f>
        <v>%</v>
      </c>
      <c r="AA350" s="36">
        <f>IFERROR(__xludf.DUMMYFUNCTION("""COMPUTED_VALUE"""),3.0)</f>
        <v>3</v>
      </c>
      <c r="AB350" s="37" t="str">
        <f>IFERROR(__xludf.DUMMYFUNCTION("""COMPUTED_VALUE"""),"B115")</f>
        <v>B115</v>
      </c>
      <c r="AC350" s="38" t="str">
        <f>IFERROR(__xludf.DUMMYFUNCTION("""COMPUTED_VALUE"""),"")</f>
        <v/>
      </c>
      <c r="AD350" s="34">
        <f>IFERROR(__xludf.DUMMYFUNCTION("""COMPUTED_VALUE"""),48.8)</f>
        <v>48.8</v>
      </c>
      <c r="AE350" s="35" t="str">
        <f>IFERROR(__xludf.DUMMYFUNCTION("""COMPUTED_VALUE"""),"AP")</f>
        <v>AP</v>
      </c>
      <c r="AF350" s="34">
        <f>IFERROR(__xludf.DUMMYFUNCTION("""COMPUTED_VALUE"""),43.0)</f>
        <v>43</v>
      </c>
      <c r="AG350" s="35" t="str">
        <f>IFERROR(__xludf.DUMMYFUNCTION("""COMPUTED_VALUE"""),"%")</f>
        <v>%</v>
      </c>
      <c r="AH350" s="31">
        <f>IFERROR(__xludf.DUMMYFUNCTION("""COMPUTED_VALUE"""),21.0)</f>
        <v>21</v>
      </c>
      <c r="AI350" s="32">
        <f>IFERROR(__xludf.DUMMYFUNCTION("""COMPUTED_VALUE"""),1400.0)</f>
        <v>1400</v>
      </c>
      <c r="AJ350" s="39" t="str">
        <f>IFERROR(__xludf.DUMMYFUNCTION("""COMPUTED_VALUE"""),"貴族邸")</f>
        <v>貴族邸</v>
      </c>
    </row>
    <row r="351" ht="24.75" customHeight="1">
      <c r="A351" s="40">
        <f>IFERROR(__xludf.DUMMYFUNCTION("""COMPUTED_VALUE"""),4.0)</f>
        <v>4</v>
      </c>
      <c r="B351" s="40" t="str">
        <f>IFERROR(__xludf.DUMMYFUNCTION("""COMPUTED_VALUE"""),"A207")</f>
        <v>A207</v>
      </c>
      <c r="C351" s="40" t="str">
        <f>IFERROR(__xludf.DUMMYFUNCTION("""COMPUTED_VALUE"""),"TRF19")</f>
        <v>TRF19</v>
      </c>
      <c r="D351" s="41" t="str">
        <f>IFERROR(__xludf.DUMMYFUNCTION("""COMPUTED_VALUE"""),"Chaldea Gate (Fri)")</f>
        <v>Chaldea Gate (Fri)</v>
      </c>
      <c r="E351" s="42" t="str">
        <f>IFERROR(__xludf.DUMMYFUNCTION("""COMPUTED_VALUE"""),"FRI Caster Training Ground- Adv")</f>
        <v>FRI Caster Training Ground- Adv</v>
      </c>
      <c r="F351" s="43">
        <f>IFERROR(__xludf.DUMMYFUNCTION("""COMPUTED_VALUE"""),30.0)</f>
        <v>30</v>
      </c>
      <c r="G351" s="44">
        <f>IFERROR(__xludf.DUMMYFUNCTION("""COMPUTED_VALUE"""),1394.0)</f>
        <v>1394</v>
      </c>
      <c r="H351" s="33" t="str">
        <f>IFERROR(__xludf.DUMMYFUNCTION("""COMPUTED_VALUE"""),"")</f>
        <v/>
      </c>
      <c r="I351" s="45">
        <f>IFERROR(__xludf.DUMMYFUNCTION("""COMPUTED_VALUE"""),192.1)</f>
        <v>192.1</v>
      </c>
      <c r="J351" s="46" t="str">
        <f>IFERROR(__xludf.DUMMYFUNCTION("""COMPUTED_VALUE"""),"AP")</f>
        <v>AP</v>
      </c>
      <c r="K351" s="47">
        <f>IFERROR(__xludf.DUMMYFUNCTION("""COMPUTED_VALUE"""),15.6)</f>
        <v>15.6</v>
      </c>
      <c r="L351" s="48" t="str">
        <f>IFERROR(__xludf.DUMMYFUNCTION("""COMPUTED_VALUE"""),"%")</f>
        <v>%</v>
      </c>
      <c r="M351" s="49">
        <f>IFERROR(__xludf.DUMMYFUNCTION("""COMPUTED_VALUE"""),1.0)</f>
        <v>1</v>
      </c>
      <c r="N351" s="50" t="str">
        <f>IFERROR(__xludf.DUMMYFUNCTION("""COMPUTED_VALUE"""),"A102")</f>
        <v>A102</v>
      </c>
      <c r="O351" s="38" t="str">
        <f>IFERROR(__xludf.DUMMYFUNCTION("""COMPUTED_VALUE"""),"")</f>
        <v/>
      </c>
      <c r="P351" s="45">
        <f>IFERROR(__xludf.DUMMYFUNCTION("""COMPUTED_VALUE"""),783.4)</f>
        <v>783.4</v>
      </c>
      <c r="Q351" s="46" t="str">
        <f>IFERROR(__xludf.DUMMYFUNCTION("""COMPUTED_VALUE"""),"AP")</f>
        <v>AP</v>
      </c>
      <c r="R351" s="47">
        <f>IFERROR(__xludf.DUMMYFUNCTION("""COMPUTED_VALUE"""),3.8)</f>
        <v>3.8</v>
      </c>
      <c r="S351" s="48" t="str">
        <f>IFERROR(__xludf.DUMMYFUNCTION("""COMPUTED_VALUE"""),"%")</f>
        <v>%</v>
      </c>
      <c r="T351" s="49">
        <f>IFERROR(__xludf.DUMMYFUNCTION("""COMPUTED_VALUE"""),2.0)</f>
        <v>2</v>
      </c>
      <c r="U351" s="50" t="str">
        <f>IFERROR(__xludf.DUMMYFUNCTION("""COMPUTED_VALUE"""),"A204")</f>
        <v>A204</v>
      </c>
      <c r="V351" s="38" t="str">
        <f>IFERROR(__xludf.DUMMYFUNCTION("""COMPUTED_VALUE"""),"")</f>
        <v/>
      </c>
      <c r="W351" s="45">
        <f>IFERROR(__xludf.DUMMYFUNCTION("""COMPUTED_VALUE"""),133.4)</f>
        <v>133.4</v>
      </c>
      <c r="X351" s="46" t="str">
        <f>IFERROR(__xludf.DUMMYFUNCTION("""COMPUTED_VALUE"""),"AP")</f>
        <v>AP</v>
      </c>
      <c r="Y351" s="47">
        <f>IFERROR(__xludf.DUMMYFUNCTION("""COMPUTED_VALUE"""),22.5)</f>
        <v>22.5</v>
      </c>
      <c r="Z351" s="48" t="str">
        <f>IFERROR(__xludf.DUMMYFUNCTION("""COMPUTED_VALUE"""),"%")</f>
        <v>%</v>
      </c>
      <c r="AA351" s="49">
        <f>IFERROR(__xludf.DUMMYFUNCTION("""COMPUTED_VALUE"""),3.0)</f>
        <v>3</v>
      </c>
      <c r="AB351" s="50" t="str">
        <f>IFERROR(__xludf.DUMMYFUNCTION("""COMPUTED_VALUE"""),"A304")</f>
        <v>A304</v>
      </c>
      <c r="AC351" s="38" t="str">
        <f>IFERROR(__xludf.DUMMYFUNCTION("""COMPUTED_VALUE"""),"")</f>
        <v/>
      </c>
      <c r="AD351" s="45">
        <f>IFERROR(__xludf.DUMMYFUNCTION("""COMPUTED_VALUE"""),141.1)</f>
        <v>141.1</v>
      </c>
      <c r="AE351" s="46" t="str">
        <f>IFERROR(__xludf.DUMMYFUNCTION("""COMPUTED_VALUE"""),"AP")</f>
        <v>AP</v>
      </c>
      <c r="AF351" s="47">
        <f>IFERROR(__xludf.DUMMYFUNCTION("""COMPUTED_VALUE"""),21.3)</f>
        <v>21.3</v>
      </c>
      <c r="AG351" s="48" t="str">
        <f>IFERROR(__xludf.DUMMYFUNCTION("""COMPUTED_VALUE"""),"%")</f>
        <v>%</v>
      </c>
      <c r="AH351" s="43">
        <f>IFERROR(__xludf.DUMMYFUNCTION("""COMPUTED_VALUE"""),30.0)</f>
        <v>30</v>
      </c>
      <c r="AI351" s="44">
        <f>IFERROR(__xludf.DUMMYFUNCTION("""COMPUTED_VALUE"""),1394.0)</f>
        <v>1394</v>
      </c>
      <c r="AJ351" s="51" t="str">
        <f>IFERROR(__xludf.DUMMYFUNCTION("""COMPUTED_VALUE"""),"術上級")</f>
        <v>術上級</v>
      </c>
    </row>
    <row r="352" ht="24.75" customHeight="1">
      <c r="A352" s="28">
        <f>IFERROR(__xludf.DUMMYFUNCTION("""COMPUTED_VALUE"""),5.0)</f>
        <v>5</v>
      </c>
      <c r="B352" s="28" t="str">
        <f>IFERROR(__xludf.DUMMYFUNCTION("""COMPUTED_VALUE"""),"A207")</f>
        <v>A207</v>
      </c>
      <c r="C352" s="28" t="str">
        <f>IFERROR(__xludf.DUMMYFUNCTION("""COMPUTED_VALUE"""),"TRF20")</f>
        <v>TRF20</v>
      </c>
      <c r="D352" s="29" t="str">
        <f>IFERROR(__xludf.DUMMYFUNCTION("""COMPUTED_VALUE"""),"Chaldea Gate (Fri)")</f>
        <v>Chaldea Gate (Fri)</v>
      </c>
      <c r="E352" s="30" t="str">
        <f>IFERROR(__xludf.DUMMYFUNCTION("""COMPUTED_VALUE"""),"FRI Caster Training Ground- Exp")</f>
        <v>FRI Caster Training Ground- Exp</v>
      </c>
      <c r="F352" s="31">
        <f>IFERROR(__xludf.DUMMYFUNCTION("""COMPUTED_VALUE"""),40.0)</f>
        <v>40</v>
      </c>
      <c r="G352" s="32">
        <f>IFERROR(__xludf.DUMMYFUNCTION("""COMPUTED_VALUE"""),12077.0)</f>
        <v>12077</v>
      </c>
      <c r="H352" s="33" t="str">
        <f>IFERROR(__xludf.DUMMYFUNCTION("""COMPUTED_VALUE"""),"")</f>
        <v/>
      </c>
      <c r="I352" s="34">
        <f>IFERROR(__xludf.DUMMYFUNCTION("""COMPUTED_VALUE"""),194.2)</f>
        <v>194.2</v>
      </c>
      <c r="J352" s="35" t="str">
        <f>IFERROR(__xludf.DUMMYFUNCTION("""COMPUTED_VALUE"""),"AP")</f>
        <v>AP</v>
      </c>
      <c r="K352" s="34">
        <f>IFERROR(__xludf.DUMMYFUNCTION("""COMPUTED_VALUE"""),20.6)</f>
        <v>20.6</v>
      </c>
      <c r="L352" s="35" t="str">
        <f>IFERROR(__xludf.DUMMYFUNCTION("""COMPUTED_VALUE"""),"%")</f>
        <v>%</v>
      </c>
      <c r="M352" s="36">
        <f>IFERROR(__xludf.DUMMYFUNCTION("""COMPUTED_VALUE"""),1.0)</f>
        <v>1</v>
      </c>
      <c r="N352" s="37" t="str">
        <f>IFERROR(__xludf.DUMMYFUNCTION("""COMPUTED_VALUE"""),"A102")</f>
        <v>A102</v>
      </c>
      <c r="O352" s="38" t="str">
        <f>IFERROR(__xludf.DUMMYFUNCTION("""COMPUTED_VALUE"""),"")</f>
        <v/>
      </c>
      <c r="P352" s="34">
        <f>IFERROR(__xludf.DUMMYFUNCTION("""COMPUTED_VALUE"""),634.8)</f>
        <v>634.8</v>
      </c>
      <c r="Q352" s="35" t="str">
        <f>IFERROR(__xludf.DUMMYFUNCTION("""COMPUTED_VALUE"""),"AP")</f>
        <v>AP</v>
      </c>
      <c r="R352" s="34">
        <f>IFERROR(__xludf.DUMMYFUNCTION("""COMPUTED_VALUE"""),6.3)</f>
        <v>6.3</v>
      </c>
      <c r="S352" s="35" t="str">
        <f>IFERROR(__xludf.DUMMYFUNCTION("""COMPUTED_VALUE"""),"%")</f>
        <v>%</v>
      </c>
      <c r="T352" s="36">
        <f>IFERROR(__xludf.DUMMYFUNCTION("""COMPUTED_VALUE"""),2.0)</f>
        <v>2</v>
      </c>
      <c r="U352" s="37" t="str">
        <f>IFERROR(__xludf.DUMMYFUNCTION("""COMPUTED_VALUE"""),"A204")</f>
        <v>A204</v>
      </c>
      <c r="V352" s="38" t="str">
        <f>IFERROR(__xludf.DUMMYFUNCTION("""COMPUTED_VALUE"""),"")</f>
        <v/>
      </c>
      <c r="W352" s="34">
        <f>IFERROR(__xludf.DUMMYFUNCTION("""COMPUTED_VALUE"""),161.4)</f>
        <v>161.4</v>
      </c>
      <c r="X352" s="35" t="str">
        <f>IFERROR(__xludf.DUMMYFUNCTION("""COMPUTED_VALUE"""),"AP")</f>
        <v>AP</v>
      </c>
      <c r="Y352" s="34">
        <f>IFERROR(__xludf.DUMMYFUNCTION("""COMPUTED_VALUE"""),24.7999999)</f>
        <v>24.7999999</v>
      </c>
      <c r="Z352" s="35" t="str">
        <f>IFERROR(__xludf.DUMMYFUNCTION("""COMPUTED_VALUE"""),"%")</f>
        <v>%</v>
      </c>
      <c r="AA352" s="36">
        <f>IFERROR(__xludf.DUMMYFUNCTION("""COMPUTED_VALUE"""),3.0)</f>
        <v>3</v>
      </c>
      <c r="AB352" s="37" t="str">
        <f>IFERROR(__xludf.DUMMYFUNCTION("""COMPUTED_VALUE"""),"A304")</f>
        <v>A304</v>
      </c>
      <c r="AC352" s="38" t="str">
        <f>IFERROR(__xludf.DUMMYFUNCTION("""COMPUTED_VALUE"""),"")</f>
        <v/>
      </c>
      <c r="AD352" s="34">
        <f>IFERROR(__xludf.DUMMYFUNCTION("""COMPUTED_VALUE"""),162.5)</f>
        <v>162.5</v>
      </c>
      <c r="AE352" s="35" t="str">
        <f>IFERROR(__xludf.DUMMYFUNCTION("""COMPUTED_VALUE"""),"AP")</f>
        <v>AP</v>
      </c>
      <c r="AF352" s="34">
        <f>IFERROR(__xludf.DUMMYFUNCTION("""COMPUTED_VALUE"""),24.6)</f>
        <v>24.6</v>
      </c>
      <c r="AG352" s="35" t="str">
        <f>IFERROR(__xludf.DUMMYFUNCTION("""COMPUTED_VALUE"""),"%")</f>
        <v>%</v>
      </c>
      <c r="AH352" s="31">
        <f>IFERROR(__xludf.DUMMYFUNCTION("""COMPUTED_VALUE"""),40.0)</f>
        <v>40</v>
      </c>
      <c r="AI352" s="32">
        <f>IFERROR(__xludf.DUMMYFUNCTION("""COMPUTED_VALUE"""),12077.0)</f>
        <v>12077</v>
      </c>
      <c r="AJ352" s="39" t="str">
        <f>IFERROR(__xludf.DUMMYFUNCTION("""COMPUTED_VALUE"""),"術超級")</f>
        <v>術超級</v>
      </c>
    </row>
    <row r="353" ht="24.75" customHeight="1">
      <c r="A353" s="40">
        <f>IFERROR(__xludf.DUMMYFUNCTION("""COMPUTED_VALUE"""),6.0)</f>
        <v>6</v>
      </c>
      <c r="B353" s="40" t="str">
        <f>IFERROR(__xludf.DUMMYFUNCTION("""COMPUTED_VALUE"""),"A207")</f>
        <v>A207</v>
      </c>
      <c r="C353" s="40" t="str">
        <f>IFERROR(__xludf.DUMMYFUNCTION("""COMPUTED_VALUE"""),"TRF18")</f>
        <v>TRF18</v>
      </c>
      <c r="D353" s="41" t="str">
        <f>IFERROR(__xludf.DUMMYFUNCTION("""COMPUTED_VALUE"""),"Chaldea Gate (Fri)")</f>
        <v>Chaldea Gate (Fri)</v>
      </c>
      <c r="E353" s="42" t="str">
        <f>IFERROR(__xludf.DUMMYFUNCTION("""COMPUTED_VALUE"""),"FRI Caster Training Ground- Int")</f>
        <v>FRI Caster Training Ground- Int</v>
      </c>
      <c r="F353" s="43">
        <f>IFERROR(__xludf.DUMMYFUNCTION("""COMPUTED_VALUE"""),20.0)</f>
        <v>20</v>
      </c>
      <c r="G353" s="44">
        <f>IFERROR(__xludf.DUMMYFUNCTION("""COMPUTED_VALUE"""),1056.0)</f>
        <v>1056</v>
      </c>
      <c r="H353" s="33" t="str">
        <f>IFERROR(__xludf.DUMMYFUNCTION("""COMPUTED_VALUE"""),"")</f>
        <v/>
      </c>
      <c r="I353" s="45">
        <f>IFERROR(__xludf.DUMMYFUNCTION("""COMPUTED_VALUE"""),207.6)</f>
        <v>207.6</v>
      </c>
      <c r="J353" s="46" t="str">
        <f>IFERROR(__xludf.DUMMYFUNCTION("""COMPUTED_VALUE"""),"AP")</f>
        <v>AP</v>
      </c>
      <c r="K353" s="47">
        <f>IFERROR(__xludf.DUMMYFUNCTION("""COMPUTED_VALUE"""),9.6)</f>
        <v>9.6</v>
      </c>
      <c r="L353" s="48" t="str">
        <f>IFERROR(__xludf.DUMMYFUNCTION("""COMPUTED_VALUE"""),"%")</f>
        <v>%</v>
      </c>
      <c r="M353" s="49">
        <f>IFERROR(__xludf.DUMMYFUNCTION("""COMPUTED_VALUE"""),1.0)</f>
        <v>1</v>
      </c>
      <c r="N353" s="50" t="str">
        <f>IFERROR(__xludf.DUMMYFUNCTION("""COMPUTED_VALUE"""),"A204")</f>
        <v>A204</v>
      </c>
      <c r="O353" s="38" t="str">
        <f>IFERROR(__xludf.DUMMYFUNCTION("""COMPUTED_VALUE"""),"")</f>
        <v/>
      </c>
      <c r="P353" s="45">
        <f>IFERROR(__xludf.DUMMYFUNCTION("""COMPUTED_VALUE"""),135.5)</f>
        <v>135.5</v>
      </c>
      <c r="Q353" s="46" t="str">
        <f>IFERROR(__xludf.DUMMYFUNCTION("""COMPUTED_VALUE"""),"AP")</f>
        <v>AP</v>
      </c>
      <c r="R353" s="47">
        <f>IFERROR(__xludf.DUMMYFUNCTION("""COMPUTED_VALUE"""),14.8)</f>
        <v>14.8</v>
      </c>
      <c r="S353" s="48" t="str">
        <f>IFERROR(__xludf.DUMMYFUNCTION("""COMPUTED_VALUE"""),"%")</f>
        <v>%</v>
      </c>
      <c r="T353" s="49">
        <f>IFERROR(__xludf.DUMMYFUNCTION("""COMPUTED_VALUE"""),2.0)</f>
        <v>2</v>
      </c>
      <c r="U353" s="50" t="str">
        <f>IFERROR(__xludf.DUMMYFUNCTION("""COMPUTED_VALUE"""),"A304")</f>
        <v>A304</v>
      </c>
      <c r="V353" s="38" t="str">
        <f>IFERROR(__xludf.DUMMYFUNCTION("""COMPUTED_VALUE"""),"")</f>
        <v/>
      </c>
      <c r="W353" s="45">
        <f>IFERROR(__xludf.DUMMYFUNCTION("""COMPUTED_VALUE"""),95.3)</f>
        <v>95.3</v>
      </c>
      <c r="X353" s="46" t="str">
        <f>IFERROR(__xludf.DUMMYFUNCTION("""COMPUTED_VALUE"""),"AP")</f>
        <v>AP</v>
      </c>
      <c r="Y353" s="47">
        <f>IFERROR(__xludf.DUMMYFUNCTION("""COMPUTED_VALUE"""),21.0)</f>
        <v>21</v>
      </c>
      <c r="Z353" s="48" t="str">
        <f>IFERROR(__xludf.DUMMYFUNCTION("""COMPUTED_VALUE"""),"%")</f>
        <v>%</v>
      </c>
      <c r="AA353" s="49">
        <f>IFERROR(__xludf.DUMMYFUNCTION("""COMPUTED_VALUE"""),3.0)</f>
        <v>3</v>
      </c>
      <c r="AB353" s="50" t="str">
        <f>IFERROR(__xludf.DUMMYFUNCTION("""COMPUTED_VALUE"""),"B115")</f>
        <v>B115</v>
      </c>
      <c r="AC353" s="38" t="str">
        <f>IFERROR(__xludf.DUMMYFUNCTION("""COMPUTED_VALUE"""),"")</f>
        <v/>
      </c>
      <c r="AD353" s="45">
        <f>IFERROR(__xludf.DUMMYFUNCTION("""COMPUTED_VALUE"""),25.5)</f>
        <v>25.5</v>
      </c>
      <c r="AE353" s="46" t="str">
        <f>IFERROR(__xludf.DUMMYFUNCTION("""COMPUTED_VALUE"""),"AP")</f>
        <v>AP</v>
      </c>
      <c r="AF353" s="47">
        <f>IFERROR(__xludf.DUMMYFUNCTION("""COMPUTED_VALUE"""),78.4)</f>
        <v>78.4</v>
      </c>
      <c r="AG353" s="48" t="str">
        <f>IFERROR(__xludf.DUMMYFUNCTION("""COMPUTED_VALUE"""),"%")</f>
        <v>%</v>
      </c>
      <c r="AH353" s="43">
        <f>IFERROR(__xludf.DUMMYFUNCTION("""COMPUTED_VALUE"""),20.0)</f>
        <v>20</v>
      </c>
      <c r="AI353" s="44">
        <f>IFERROR(__xludf.DUMMYFUNCTION("""COMPUTED_VALUE"""),1056.0)</f>
        <v>1056</v>
      </c>
      <c r="AJ353" s="51" t="str">
        <f>IFERROR(__xludf.DUMMYFUNCTION("""COMPUTED_VALUE"""),"術中級")</f>
        <v>術中級</v>
      </c>
    </row>
    <row r="354" ht="24.75" customHeight="1">
      <c r="A354" s="28">
        <f>IFERROR(__xludf.DUMMYFUNCTION("""COMPUTED_VALUE"""),7.0)</f>
        <v>7</v>
      </c>
      <c r="B354" s="28" t="str">
        <f>IFERROR(__xludf.DUMMYFUNCTION("""COMPUTED_VALUE"""),"A207")</f>
        <v>A207</v>
      </c>
      <c r="C354" s="28" t="str">
        <f>IFERROR(__xludf.DUMMYFUNCTION("""COMPUTED_VALUE"""),"TRF17")</f>
        <v>TRF17</v>
      </c>
      <c r="D354" s="29" t="str">
        <f>IFERROR(__xludf.DUMMYFUNCTION("""COMPUTED_VALUE"""),"Chaldea Gate (Fri)")</f>
        <v>Chaldea Gate (Fri)</v>
      </c>
      <c r="E354" s="30" t="str">
        <f>IFERROR(__xludf.DUMMYFUNCTION("""COMPUTED_VALUE"""),"FRI Caster Training Ground- Nov")</f>
        <v>FRI Caster Training Ground- Nov</v>
      </c>
      <c r="F354" s="31">
        <f>IFERROR(__xludf.DUMMYFUNCTION("""COMPUTED_VALUE"""),10.0)</f>
        <v>10</v>
      </c>
      <c r="G354" s="32">
        <f>IFERROR(__xludf.DUMMYFUNCTION("""COMPUTED_VALUE"""),2983.0)</f>
        <v>2983</v>
      </c>
      <c r="H354" s="33" t="str">
        <f>IFERROR(__xludf.DUMMYFUNCTION("""COMPUTED_VALUE"""),"")</f>
        <v/>
      </c>
      <c r="I354" s="34">
        <f>IFERROR(__xludf.DUMMYFUNCTION("""COMPUTED_VALUE"""),210.2)</f>
        <v>210.2</v>
      </c>
      <c r="J354" s="35" t="str">
        <f>IFERROR(__xludf.DUMMYFUNCTION("""COMPUTED_VALUE"""),"AP")</f>
        <v>AP</v>
      </c>
      <c r="K354" s="34">
        <f>IFERROR(__xludf.DUMMYFUNCTION("""COMPUTED_VALUE"""),4.8)</f>
        <v>4.8</v>
      </c>
      <c r="L354" s="35" t="str">
        <f>IFERROR(__xludf.DUMMYFUNCTION("""COMPUTED_VALUE"""),"%")</f>
        <v>%</v>
      </c>
      <c r="M354" s="36">
        <f>IFERROR(__xludf.DUMMYFUNCTION("""COMPUTED_VALUE"""),1.0)</f>
        <v>1</v>
      </c>
      <c r="N354" s="37" t="str">
        <f>IFERROR(__xludf.DUMMYFUNCTION("""COMPUTED_VALUE"""),"A204")</f>
        <v>A204</v>
      </c>
      <c r="O354" s="38" t="str">
        <f>IFERROR(__xludf.DUMMYFUNCTION("""COMPUTED_VALUE"""),"")</f>
        <v/>
      </c>
      <c r="P354" s="34">
        <f>IFERROR(__xludf.DUMMYFUNCTION("""COMPUTED_VALUE"""),125.8)</f>
        <v>125.8</v>
      </c>
      <c r="Q354" s="35" t="str">
        <f>IFERROR(__xludf.DUMMYFUNCTION("""COMPUTED_VALUE"""),"AP")</f>
        <v>AP</v>
      </c>
      <c r="R354" s="34">
        <f>IFERROR(__xludf.DUMMYFUNCTION("""COMPUTED_VALUE"""),7.9)</f>
        <v>7.9</v>
      </c>
      <c r="S354" s="35" t="str">
        <f>IFERROR(__xludf.DUMMYFUNCTION("""COMPUTED_VALUE"""),"%")</f>
        <v>%</v>
      </c>
      <c r="T354" s="36">
        <f>IFERROR(__xludf.DUMMYFUNCTION("""COMPUTED_VALUE"""),2.0)</f>
        <v>2</v>
      </c>
      <c r="U354" s="37" t="str">
        <f>IFERROR(__xludf.DUMMYFUNCTION("""COMPUTED_VALUE"""),"A304")</f>
        <v>A304</v>
      </c>
      <c r="V354" s="38" t="str">
        <f>IFERROR(__xludf.DUMMYFUNCTION("""COMPUTED_VALUE"""),"")</f>
        <v/>
      </c>
      <c r="W354" s="34">
        <f>IFERROR(__xludf.DUMMYFUNCTION("""COMPUTED_VALUE"""),74.7)</f>
        <v>74.7</v>
      </c>
      <c r="X354" s="35" t="str">
        <f>IFERROR(__xludf.DUMMYFUNCTION("""COMPUTED_VALUE"""),"AP")</f>
        <v>AP</v>
      </c>
      <c r="Y354" s="34">
        <f>IFERROR(__xludf.DUMMYFUNCTION("""COMPUTED_VALUE"""),13.4)</f>
        <v>13.4</v>
      </c>
      <c r="Z354" s="35" t="str">
        <f>IFERROR(__xludf.DUMMYFUNCTION("""COMPUTED_VALUE"""),"%")</f>
        <v>%</v>
      </c>
      <c r="AA354" s="36">
        <f>IFERROR(__xludf.DUMMYFUNCTION("""COMPUTED_VALUE"""),3.0)</f>
        <v>3</v>
      </c>
      <c r="AB354" s="37" t="str">
        <f>IFERROR(__xludf.DUMMYFUNCTION("""COMPUTED_VALUE"""),"B115")</f>
        <v>B115</v>
      </c>
      <c r="AC354" s="38" t="str">
        <f>IFERROR(__xludf.DUMMYFUNCTION("""COMPUTED_VALUE"""),"")</f>
        <v/>
      </c>
      <c r="AD354" s="34">
        <f>IFERROR(__xludf.DUMMYFUNCTION("""COMPUTED_VALUE"""),87.5)</f>
        <v>87.5</v>
      </c>
      <c r="AE354" s="35" t="str">
        <f>IFERROR(__xludf.DUMMYFUNCTION("""COMPUTED_VALUE"""),"AP")</f>
        <v>AP</v>
      </c>
      <c r="AF354" s="34">
        <f>IFERROR(__xludf.DUMMYFUNCTION("""COMPUTED_VALUE"""),11.4)</f>
        <v>11.4</v>
      </c>
      <c r="AG354" s="35" t="str">
        <f>IFERROR(__xludf.DUMMYFUNCTION("""COMPUTED_VALUE"""),"%")</f>
        <v>%</v>
      </c>
      <c r="AH354" s="31">
        <f>IFERROR(__xludf.DUMMYFUNCTION("""COMPUTED_VALUE"""),10.0)</f>
        <v>10</v>
      </c>
      <c r="AI354" s="32">
        <f>IFERROR(__xludf.DUMMYFUNCTION("""COMPUTED_VALUE"""),2983.0)</f>
        <v>2983</v>
      </c>
      <c r="AJ354" s="39" t="str">
        <f>IFERROR(__xludf.DUMMYFUNCTION("""COMPUTED_VALUE"""),"術初級")</f>
        <v>術初級</v>
      </c>
    </row>
    <row r="355" ht="24.75" customHeight="1">
      <c r="A355" s="40">
        <f>IFERROR(__xludf.DUMMYFUNCTION("""COMPUTED_VALUE"""),8.0)</f>
        <v>8</v>
      </c>
      <c r="B355" s="40" t="str">
        <f>IFERROR(__xludf.DUMMYFUNCTION("""COMPUTED_VALUE"""),"A207")</f>
        <v>A207</v>
      </c>
      <c r="C355" s="40" t="str">
        <f>IFERROR(__xludf.DUMMYFUNCTION("""COMPUTED_VALUE"""),"CML8")</f>
        <v>CML8</v>
      </c>
      <c r="D355" s="41" t="str">
        <f>IFERROR(__xludf.DUMMYFUNCTION("""COMPUTED_VALUE"""),"Camelot")</f>
        <v>Camelot</v>
      </c>
      <c r="E355" s="42" t="str">
        <f>IFERROR(__xludf.DUMMYFUNCTION("""COMPUTED_VALUE"""),"Atlas Institute")</f>
        <v>Atlas Institute</v>
      </c>
      <c r="F355" s="43">
        <f>IFERROR(__xludf.DUMMYFUNCTION("""COMPUTED_VALUE"""),20.0)</f>
        <v>20</v>
      </c>
      <c r="G355" s="44">
        <f>IFERROR(__xludf.DUMMYFUNCTION("""COMPUTED_VALUE"""),1106.0)</f>
        <v>1106</v>
      </c>
      <c r="H355" s="33" t="str">
        <f>IFERROR(__xludf.DUMMYFUNCTION("""COMPUTED_VALUE"""),"")</f>
        <v/>
      </c>
      <c r="I355" s="45">
        <f>IFERROR(__xludf.DUMMYFUNCTION("""COMPUTED_VALUE"""),248.5)</f>
        <v>248.5</v>
      </c>
      <c r="J355" s="46" t="str">
        <f>IFERROR(__xludf.DUMMYFUNCTION("""COMPUTED_VALUE"""),"AP")</f>
        <v>AP</v>
      </c>
      <c r="K355" s="47">
        <f>IFERROR(__xludf.DUMMYFUNCTION("""COMPUTED_VALUE"""),8.0)</f>
        <v>8</v>
      </c>
      <c r="L355" s="48" t="str">
        <f>IFERROR(__xludf.DUMMYFUNCTION("""COMPUTED_VALUE"""),"%")</f>
        <v>%</v>
      </c>
      <c r="M355" s="49">
        <f>IFERROR(__xludf.DUMMYFUNCTION("""COMPUTED_VALUE"""),1.0)</f>
        <v>1</v>
      </c>
      <c r="N355" s="50" t="str">
        <f>IFERROR(__xludf.DUMMYFUNCTION("""COMPUTED_VALUE"""),"A206")</f>
        <v>A206</v>
      </c>
      <c r="O355" s="38" t="str">
        <f>IFERROR(__xludf.DUMMYFUNCTION("""COMPUTED_VALUE"""),"")</f>
        <v/>
      </c>
      <c r="P355" s="45">
        <f>IFERROR(__xludf.DUMMYFUNCTION("""COMPUTED_VALUE"""),97.4)</f>
        <v>97.4</v>
      </c>
      <c r="Q355" s="46" t="str">
        <f>IFERROR(__xludf.DUMMYFUNCTION("""COMPUTED_VALUE"""),"AP")</f>
        <v>AP</v>
      </c>
      <c r="R355" s="47">
        <f>IFERROR(__xludf.DUMMYFUNCTION("""COMPUTED_VALUE"""),20.5)</f>
        <v>20.5</v>
      </c>
      <c r="S355" s="48" t="str">
        <f>IFERROR(__xludf.DUMMYFUNCTION("""COMPUTED_VALUE"""),"%")</f>
        <v>%</v>
      </c>
      <c r="T355" s="49">
        <f>IFERROR(__xludf.DUMMYFUNCTION("""COMPUTED_VALUE"""),2.0)</f>
        <v>2</v>
      </c>
      <c r="U355" s="50" t="str">
        <f>IFERROR(__xludf.DUMMYFUNCTION("""COMPUTED_VALUE"""),"B112")</f>
        <v>B112</v>
      </c>
      <c r="V355" s="38" t="str">
        <f>IFERROR(__xludf.DUMMYFUNCTION("""COMPUTED_VALUE"""),"")</f>
        <v/>
      </c>
      <c r="W355" s="45">
        <f>IFERROR(__xludf.DUMMYFUNCTION("""COMPUTED_VALUE"""),120.9)</f>
        <v>120.9</v>
      </c>
      <c r="X355" s="46" t="str">
        <f>IFERROR(__xludf.DUMMYFUNCTION("""COMPUTED_VALUE"""),"AP")</f>
        <v>AP</v>
      </c>
      <c r="Y355" s="47">
        <f>IFERROR(__xludf.DUMMYFUNCTION("""COMPUTED_VALUE"""),16.5)</f>
        <v>16.5</v>
      </c>
      <c r="Z355" s="48" t="str">
        <f>IFERROR(__xludf.DUMMYFUNCTION("""COMPUTED_VALUE"""),"%")</f>
        <v>%</v>
      </c>
      <c r="AA355" s="49">
        <f>IFERROR(__xludf.DUMMYFUNCTION("""COMPUTED_VALUE"""),3.0)</f>
        <v>3</v>
      </c>
      <c r="AB355" s="50" t="str">
        <f>IFERROR(__xludf.DUMMYFUNCTION("""COMPUTED_VALUE"""),"B115")</f>
        <v>B115</v>
      </c>
      <c r="AC355" s="38" t="str">
        <f>IFERROR(__xludf.DUMMYFUNCTION("""COMPUTED_VALUE"""),"")</f>
        <v/>
      </c>
      <c r="AD355" s="45">
        <f>IFERROR(__xludf.DUMMYFUNCTION("""COMPUTED_VALUE"""),127.2)</f>
        <v>127.2</v>
      </c>
      <c r="AE355" s="46" t="str">
        <f>IFERROR(__xludf.DUMMYFUNCTION("""COMPUTED_VALUE"""),"AP")</f>
        <v>AP</v>
      </c>
      <c r="AF355" s="47">
        <f>IFERROR(__xludf.DUMMYFUNCTION("""COMPUTED_VALUE"""),15.7)</f>
        <v>15.7</v>
      </c>
      <c r="AG355" s="48" t="str">
        <f>IFERROR(__xludf.DUMMYFUNCTION("""COMPUTED_VALUE"""),"%")</f>
        <v>%</v>
      </c>
      <c r="AH355" s="43">
        <f>IFERROR(__xludf.DUMMYFUNCTION("""COMPUTED_VALUE"""),20.0)</f>
        <v>20</v>
      </c>
      <c r="AI355" s="44">
        <f>IFERROR(__xludf.DUMMYFUNCTION("""COMPUTED_VALUE"""),1106.0)</f>
        <v>1106</v>
      </c>
      <c r="AJ355" s="51" t="str">
        <f>IFERROR(__xludf.DUMMYFUNCTION("""COMPUTED_VALUE"""),"アトラス院")</f>
        <v>アトラス院</v>
      </c>
    </row>
    <row r="356" ht="24.75" customHeight="1">
      <c r="A356" s="28">
        <f>IFERROR(__xludf.DUMMYFUNCTION("""COMPUTED_VALUE"""),9.0)</f>
        <v>9</v>
      </c>
      <c r="B356" s="28" t="str">
        <f>IFERROR(__xludf.DUMMYFUNCTION("""COMPUTED_VALUE"""),"A207")</f>
        <v>A207</v>
      </c>
      <c r="C356" s="28" t="str">
        <f>IFERROR(__xludf.DUMMYFUNCTION("""COMPUTED_VALUE"""),"LDN6")</f>
        <v>LDN6</v>
      </c>
      <c r="D356" s="29" t="str">
        <f>IFERROR(__xludf.DUMMYFUNCTION("""COMPUTED_VALUE"""),"London")</f>
        <v>London</v>
      </c>
      <c r="E356" s="30" t="str">
        <f>IFERROR(__xludf.DUMMYFUNCTION("""COMPUTED_VALUE"""),"Regent Park")</f>
        <v>Regent Park</v>
      </c>
      <c r="F356" s="31">
        <f>IFERROR(__xludf.DUMMYFUNCTION("""COMPUTED_VALUE"""),16.0)</f>
        <v>16</v>
      </c>
      <c r="G356" s="32">
        <f>IFERROR(__xludf.DUMMYFUNCTION("""COMPUTED_VALUE"""),1100.0)</f>
        <v>1100</v>
      </c>
      <c r="H356" s="33" t="str">
        <f>IFERROR(__xludf.DUMMYFUNCTION("""COMPUTED_VALUE"""),"")</f>
        <v/>
      </c>
      <c r="I356" s="34">
        <f>IFERROR(__xludf.DUMMYFUNCTION("""COMPUTED_VALUE"""),345.1)</f>
        <v>345.1</v>
      </c>
      <c r="J356" s="35" t="str">
        <f>IFERROR(__xludf.DUMMYFUNCTION("""COMPUTED_VALUE"""),"AP")</f>
        <v>AP</v>
      </c>
      <c r="K356" s="34">
        <f>IFERROR(__xludf.DUMMYFUNCTION("""COMPUTED_VALUE"""),4.6)</f>
        <v>4.6</v>
      </c>
      <c r="L356" s="35" t="str">
        <f>IFERROR(__xludf.DUMMYFUNCTION("""COMPUTED_VALUE"""),"%")</f>
        <v>%</v>
      </c>
      <c r="M356" s="36">
        <f>IFERROR(__xludf.DUMMYFUNCTION("""COMPUTED_VALUE"""),1.0)</f>
        <v>1</v>
      </c>
      <c r="N356" s="37" t="str">
        <f>IFERROR(__xludf.DUMMYFUNCTION("""COMPUTED_VALUE"""),"A206")</f>
        <v>A206</v>
      </c>
      <c r="O356" s="38" t="str">
        <f>IFERROR(__xludf.DUMMYFUNCTION("""COMPUTED_VALUE"""),"")</f>
        <v/>
      </c>
      <c r="P356" s="34">
        <f>IFERROR(__xludf.DUMMYFUNCTION("""COMPUTED_VALUE"""),160.0)</f>
        <v>160</v>
      </c>
      <c r="Q356" s="35" t="str">
        <f>IFERROR(__xludf.DUMMYFUNCTION("""COMPUTED_VALUE"""),"AP")</f>
        <v>AP</v>
      </c>
      <c r="R356" s="34">
        <f>IFERROR(__xludf.DUMMYFUNCTION("""COMPUTED_VALUE"""),10.0)</f>
        <v>10</v>
      </c>
      <c r="S356" s="35" t="str">
        <f>IFERROR(__xludf.DUMMYFUNCTION("""COMPUTED_VALUE"""),"%")</f>
        <v>%</v>
      </c>
      <c r="T356" s="36">
        <f>IFERROR(__xludf.DUMMYFUNCTION("""COMPUTED_VALUE"""),2.0)</f>
        <v>2</v>
      </c>
      <c r="U356" s="37" t="str">
        <f>IFERROR(__xludf.DUMMYFUNCTION("""COMPUTED_VALUE"""),"B111")</f>
        <v>B111</v>
      </c>
      <c r="V356" s="38" t="str">
        <f>IFERROR(__xludf.DUMMYFUNCTION("""COMPUTED_VALUE"""),"")</f>
        <v/>
      </c>
      <c r="W356" s="34">
        <f>IFERROR(__xludf.DUMMYFUNCTION("""COMPUTED_VALUE"""),270.8)</f>
        <v>270.8</v>
      </c>
      <c r="X356" s="35" t="str">
        <f>IFERROR(__xludf.DUMMYFUNCTION("""COMPUTED_VALUE"""),"AP")</f>
        <v>AP</v>
      </c>
      <c r="Y356" s="34">
        <f>IFERROR(__xludf.DUMMYFUNCTION("""COMPUTED_VALUE"""),5.9)</f>
        <v>5.9</v>
      </c>
      <c r="Z356" s="35" t="str">
        <f>IFERROR(__xludf.DUMMYFUNCTION("""COMPUTED_VALUE"""),"%")</f>
        <v>%</v>
      </c>
      <c r="AA356" s="36">
        <f>IFERROR(__xludf.DUMMYFUNCTION("""COMPUTED_VALUE"""),3.0)</f>
        <v>3</v>
      </c>
      <c r="AB356" s="37"/>
      <c r="AC356" s="38"/>
      <c r="AD356" s="34" t="str">
        <f>IFERROR(__xludf.DUMMYFUNCTION("""COMPUTED_VALUE"""),"")</f>
        <v/>
      </c>
      <c r="AE356" s="35" t="str">
        <f>IFERROR(__xludf.DUMMYFUNCTION("""COMPUTED_VALUE"""),"AP")</f>
        <v>AP</v>
      </c>
      <c r="AF356" s="34" t="str">
        <f>IFERROR(__xludf.DUMMYFUNCTION("""COMPUTED_VALUE"""),"")</f>
        <v/>
      </c>
      <c r="AG356" s="35" t="str">
        <f>IFERROR(__xludf.DUMMYFUNCTION("""COMPUTED_VALUE"""),"%")</f>
        <v>%</v>
      </c>
      <c r="AH356" s="31">
        <f>IFERROR(__xludf.DUMMYFUNCTION("""COMPUTED_VALUE"""),16.0)</f>
        <v>16</v>
      </c>
      <c r="AI356" s="32">
        <f>IFERROR(__xludf.DUMMYFUNCTION("""COMPUTED_VALUE"""),1100.0)</f>
        <v>1100</v>
      </c>
      <c r="AJ356" s="39" t="str">
        <f>IFERROR(__xludf.DUMMYFUNCTION("""COMPUTED_VALUE"""),"リージェントパーク")</f>
        <v>リージェントパーク</v>
      </c>
    </row>
    <row r="357" ht="24.75" hidden="1" customHeight="1">
      <c r="A357" s="40">
        <f>IFERROR(__xludf.DUMMYFUNCTION("""COMPUTED_VALUE"""),10.0)</f>
        <v>10</v>
      </c>
      <c r="B357" s="40" t="str">
        <f>IFERROR(__xludf.DUMMYFUNCTION("""COMPUTED_VALUE"""),"A207")</f>
        <v>A207</v>
      </c>
      <c r="C357" s="40"/>
      <c r="D357" s="41"/>
      <c r="E357" s="66"/>
      <c r="F357" s="43"/>
      <c r="G357" s="44"/>
      <c r="H357" s="33" t="str">
        <f>IFERROR(__xludf.DUMMYFUNCTION("""COMPUTED_VALUE""")," ")</f>
        <v> </v>
      </c>
      <c r="I357" s="45"/>
      <c r="J357" s="46" t="str">
        <f>IFERROR(__xludf.DUMMYFUNCTION("""COMPUTED_VALUE"""),"AP")</f>
        <v>AP</v>
      </c>
      <c r="K357" s="47"/>
      <c r="L357" s="48" t="str">
        <f>IFERROR(__xludf.DUMMYFUNCTION("""COMPUTED_VALUE"""),"%")</f>
        <v>%</v>
      </c>
      <c r="M357" s="49">
        <f>IFERROR(__xludf.DUMMYFUNCTION("""COMPUTED_VALUE"""),1.0)</f>
        <v>1</v>
      </c>
      <c r="N357" s="50"/>
      <c r="O357" s="38"/>
      <c r="P357" s="45" t="str">
        <f>IFERROR(__xludf.DUMMYFUNCTION("""COMPUTED_VALUE"""),"")</f>
        <v/>
      </c>
      <c r="Q357" s="46" t="str">
        <f>IFERROR(__xludf.DUMMYFUNCTION("""COMPUTED_VALUE"""),"AP")</f>
        <v>AP</v>
      </c>
      <c r="R357" s="47" t="str">
        <f>IFERROR(__xludf.DUMMYFUNCTION("""COMPUTED_VALUE"""),"")</f>
        <v/>
      </c>
      <c r="S357" s="48" t="str">
        <f>IFERROR(__xludf.DUMMYFUNCTION("""COMPUTED_VALUE"""),"%")</f>
        <v>%</v>
      </c>
      <c r="T357" s="49">
        <f>IFERROR(__xludf.DUMMYFUNCTION("""COMPUTED_VALUE"""),2.0)</f>
        <v>2</v>
      </c>
      <c r="U357" s="50"/>
      <c r="V357" s="38"/>
      <c r="W357" s="45" t="str">
        <f>IFERROR(__xludf.DUMMYFUNCTION("""COMPUTED_VALUE"""),"")</f>
        <v/>
      </c>
      <c r="X357" s="46" t="str">
        <f>IFERROR(__xludf.DUMMYFUNCTION("""COMPUTED_VALUE"""),"AP")</f>
        <v>AP</v>
      </c>
      <c r="Y357" s="47" t="str">
        <f>IFERROR(__xludf.DUMMYFUNCTION("""COMPUTED_VALUE"""),"")</f>
        <v/>
      </c>
      <c r="Z357" s="48" t="str">
        <f>IFERROR(__xludf.DUMMYFUNCTION("""COMPUTED_VALUE"""),"%")</f>
        <v>%</v>
      </c>
      <c r="AA357" s="49">
        <f>IFERROR(__xludf.DUMMYFUNCTION("""COMPUTED_VALUE"""),3.0)</f>
        <v>3</v>
      </c>
      <c r="AB357" s="50"/>
      <c r="AC357" s="38"/>
      <c r="AD357" s="45" t="str">
        <f>IFERROR(__xludf.DUMMYFUNCTION("""COMPUTED_VALUE"""),"")</f>
        <v/>
      </c>
      <c r="AE357" s="46" t="str">
        <f>IFERROR(__xludf.DUMMYFUNCTION("""COMPUTED_VALUE"""),"AP")</f>
        <v>AP</v>
      </c>
      <c r="AF357" s="47" t="str">
        <f>IFERROR(__xludf.DUMMYFUNCTION("""COMPUTED_VALUE"""),"")</f>
        <v/>
      </c>
      <c r="AG357" s="48" t="str">
        <f>IFERROR(__xludf.DUMMYFUNCTION("""COMPUTED_VALUE"""),"%")</f>
        <v>%</v>
      </c>
      <c r="AH357" s="43"/>
      <c r="AI357" s="44"/>
      <c r="AJ357" s="51"/>
    </row>
    <row r="358" ht="24.75" hidden="1" customHeight="1">
      <c r="A358" s="28">
        <f>IFERROR(__xludf.DUMMYFUNCTION("""COMPUTED_VALUE"""),11.0)</f>
        <v>11</v>
      </c>
      <c r="B358" s="28" t="str">
        <f>IFERROR(__xludf.DUMMYFUNCTION("""COMPUTED_VALUE"""),"A207")</f>
        <v>A207</v>
      </c>
      <c r="C358" s="28"/>
      <c r="D358" s="29"/>
      <c r="E358" s="67"/>
      <c r="F358" s="31"/>
      <c r="G358" s="32"/>
      <c r="H358" s="33" t="str">
        <f>IFERROR(__xludf.DUMMYFUNCTION("""COMPUTED_VALUE""")," ")</f>
        <v> </v>
      </c>
      <c r="I358" s="34"/>
      <c r="J358" s="35" t="str">
        <f>IFERROR(__xludf.DUMMYFUNCTION("""COMPUTED_VALUE"""),"AP")</f>
        <v>AP</v>
      </c>
      <c r="K358" s="34"/>
      <c r="L358" s="35" t="str">
        <f>IFERROR(__xludf.DUMMYFUNCTION("""COMPUTED_VALUE"""),"%")</f>
        <v>%</v>
      </c>
      <c r="M358" s="36">
        <f>IFERROR(__xludf.DUMMYFUNCTION("""COMPUTED_VALUE"""),1.0)</f>
        <v>1</v>
      </c>
      <c r="N358" s="37"/>
      <c r="O358" s="38"/>
      <c r="P358" s="34" t="str">
        <f>IFERROR(__xludf.DUMMYFUNCTION("""COMPUTED_VALUE"""),"")</f>
        <v/>
      </c>
      <c r="Q358" s="35" t="str">
        <f>IFERROR(__xludf.DUMMYFUNCTION("""COMPUTED_VALUE"""),"AP")</f>
        <v>AP</v>
      </c>
      <c r="R358" s="34" t="str">
        <f>IFERROR(__xludf.DUMMYFUNCTION("""COMPUTED_VALUE"""),"")</f>
        <v/>
      </c>
      <c r="S358" s="35" t="str">
        <f>IFERROR(__xludf.DUMMYFUNCTION("""COMPUTED_VALUE"""),"%")</f>
        <v>%</v>
      </c>
      <c r="T358" s="36">
        <f>IFERROR(__xludf.DUMMYFUNCTION("""COMPUTED_VALUE"""),2.0)</f>
        <v>2</v>
      </c>
      <c r="U358" s="37"/>
      <c r="V358" s="38"/>
      <c r="W358" s="34" t="str">
        <f>IFERROR(__xludf.DUMMYFUNCTION("""COMPUTED_VALUE"""),"")</f>
        <v/>
      </c>
      <c r="X358" s="35" t="str">
        <f>IFERROR(__xludf.DUMMYFUNCTION("""COMPUTED_VALUE"""),"AP")</f>
        <v>AP</v>
      </c>
      <c r="Y358" s="34" t="str">
        <f>IFERROR(__xludf.DUMMYFUNCTION("""COMPUTED_VALUE"""),"")</f>
        <v/>
      </c>
      <c r="Z358" s="35" t="str">
        <f>IFERROR(__xludf.DUMMYFUNCTION("""COMPUTED_VALUE"""),"%")</f>
        <v>%</v>
      </c>
      <c r="AA358" s="36">
        <f>IFERROR(__xludf.DUMMYFUNCTION("""COMPUTED_VALUE"""),3.0)</f>
        <v>3</v>
      </c>
      <c r="AB358" s="37"/>
      <c r="AC358" s="38"/>
      <c r="AD358" s="34" t="str">
        <f>IFERROR(__xludf.DUMMYFUNCTION("""COMPUTED_VALUE"""),"")</f>
        <v/>
      </c>
      <c r="AE358" s="35" t="str">
        <f>IFERROR(__xludf.DUMMYFUNCTION("""COMPUTED_VALUE"""),"AP")</f>
        <v>AP</v>
      </c>
      <c r="AF358" s="34" t="str">
        <f>IFERROR(__xludf.DUMMYFUNCTION("""COMPUTED_VALUE"""),"")</f>
        <v/>
      </c>
      <c r="AG358" s="35" t="str">
        <f>IFERROR(__xludf.DUMMYFUNCTION("""COMPUTED_VALUE"""),"%")</f>
        <v>%</v>
      </c>
      <c r="AH358" s="31"/>
      <c r="AI358" s="32"/>
      <c r="AJ358" s="39"/>
    </row>
    <row r="359" ht="24.75" hidden="1" customHeight="1">
      <c r="A359" s="40">
        <f>IFERROR(__xludf.DUMMYFUNCTION("""COMPUTED_VALUE"""),12.0)</f>
        <v>12</v>
      </c>
      <c r="B359" s="40" t="str">
        <f>IFERROR(__xludf.DUMMYFUNCTION("""COMPUTED_VALUE"""),"A207")</f>
        <v>A207</v>
      </c>
      <c r="C359" s="40"/>
      <c r="D359" s="41"/>
      <c r="E359" s="66"/>
      <c r="F359" s="43"/>
      <c r="G359" s="44"/>
      <c r="H359" s="33" t="str">
        <f>IFERROR(__xludf.DUMMYFUNCTION("""COMPUTED_VALUE""")," ")</f>
        <v> </v>
      </c>
      <c r="I359" s="45"/>
      <c r="J359" s="46" t="str">
        <f>IFERROR(__xludf.DUMMYFUNCTION("""COMPUTED_VALUE"""),"AP")</f>
        <v>AP</v>
      </c>
      <c r="K359" s="47"/>
      <c r="L359" s="48" t="str">
        <f>IFERROR(__xludf.DUMMYFUNCTION("""COMPUTED_VALUE"""),"%")</f>
        <v>%</v>
      </c>
      <c r="M359" s="49">
        <f>IFERROR(__xludf.DUMMYFUNCTION("""COMPUTED_VALUE"""),1.0)</f>
        <v>1</v>
      </c>
      <c r="N359" s="50"/>
      <c r="O359" s="38"/>
      <c r="P359" s="45" t="str">
        <f>IFERROR(__xludf.DUMMYFUNCTION("""COMPUTED_VALUE"""),"")</f>
        <v/>
      </c>
      <c r="Q359" s="46" t="str">
        <f>IFERROR(__xludf.DUMMYFUNCTION("""COMPUTED_VALUE"""),"AP")</f>
        <v>AP</v>
      </c>
      <c r="R359" s="47" t="str">
        <f>IFERROR(__xludf.DUMMYFUNCTION("""COMPUTED_VALUE"""),"")</f>
        <v/>
      </c>
      <c r="S359" s="48" t="str">
        <f>IFERROR(__xludf.DUMMYFUNCTION("""COMPUTED_VALUE"""),"%")</f>
        <v>%</v>
      </c>
      <c r="T359" s="49">
        <f>IFERROR(__xludf.DUMMYFUNCTION("""COMPUTED_VALUE"""),2.0)</f>
        <v>2</v>
      </c>
      <c r="U359" s="50"/>
      <c r="V359" s="38"/>
      <c r="W359" s="45" t="str">
        <f>IFERROR(__xludf.DUMMYFUNCTION("""COMPUTED_VALUE"""),"")</f>
        <v/>
      </c>
      <c r="X359" s="46" t="str">
        <f>IFERROR(__xludf.DUMMYFUNCTION("""COMPUTED_VALUE"""),"AP")</f>
        <v>AP</v>
      </c>
      <c r="Y359" s="47" t="str">
        <f>IFERROR(__xludf.DUMMYFUNCTION("""COMPUTED_VALUE"""),"")</f>
        <v/>
      </c>
      <c r="Z359" s="48" t="str">
        <f>IFERROR(__xludf.DUMMYFUNCTION("""COMPUTED_VALUE"""),"%")</f>
        <v>%</v>
      </c>
      <c r="AA359" s="49">
        <f>IFERROR(__xludf.DUMMYFUNCTION("""COMPUTED_VALUE"""),3.0)</f>
        <v>3</v>
      </c>
      <c r="AB359" s="50"/>
      <c r="AC359" s="38"/>
      <c r="AD359" s="45" t="str">
        <f>IFERROR(__xludf.DUMMYFUNCTION("""COMPUTED_VALUE"""),"")</f>
        <v/>
      </c>
      <c r="AE359" s="46" t="str">
        <f>IFERROR(__xludf.DUMMYFUNCTION("""COMPUTED_VALUE"""),"AP")</f>
        <v>AP</v>
      </c>
      <c r="AF359" s="47" t="str">
        <f>IFERROR(__xludf.DUMMYFUNCTION("""COMPUTED_VALUE"""),"")</f>
        <v/>
      </c>
      <c r="AG359" s="48" t="str">
        <f>IFERROR(__xludf.DUMMYFUNCTION("""COMPUTED_VALUE"""),"%")</f>
        <v>%</v>
      </c>
      <c r="AH359" s="43"/>
      <c r="AI359" s="44"/>
      <c r="AJ359" s="51"/>
    </row>
    <row r="360" ht="24.75" hidden="1" customHeight="1">
      <c r="A360" s="28">
        <f>IFERROR(__xludf.DUMMYFUNCTION("""COMPUTED_VALUE"""),13.0)</f>
        <v>13</v>
      </c>
      <c r="B360" s="28" t="str">
        <f>IFERROR(__xludf.DUMMYFUNCTION("""COMPUTED_VALUE"""),"A207")</f>
        <v>A207</v>
      </c>
      <c r="C360" s="28"/>
      <c r="D360" s="29"/>
      <c r="E360" s="67"/>
      <c r="F360" s="31"/>
      <c r="G360" s="32"/>
      <c r="H360" s="33" t="str">
        <f>IFERROR(__xludf.DUMMYFUNCTION("""COMPUTED_VALUE""")," ")</f>
        <v> </v>
      </c>
      <c r="I360" s="34"/>
      <c r="J360" s="35" t="str">
        <f>IFERROR(__xludf.DUMMYFUNCTION("""COMPUTED_VALUE"""),"AP")</f>
        <v>AP</v>
      </c>
      <c r="K360" s="34"/>
      <c r="L360" s="35" t="str">
        <f>IFERROR(__xludf.DUMMYFUNCTION("""COMPUTED_VALUE"""),"%")</f>
        <v>%</v>
      </c>
      <c r="M360" s="36">
        <f>IFERROR(__xludf.DUMMYFUNCTION("""COMPUTED_VALUE"""),1.0)</f>
        <v>1</v>
      </c>
      <c r="N360" s="37"/>
      <c r="O360" s="38"/>
      <c r="P360" s="34" t="str">
        <f>IFERROR(__xludf.DUMMYFUNCTION("""COMPUTED_VALUE"""),"")</f>
        <v/>
      </c>
      <c r="Q360" s="35" t="str">
        <f>IFERROR(__xludf.DUMMYFUNCTION("""COMPUTED_VALUE"""),"AP")</f>
        <v>AP</v>
      </c>
      <c r="R360" s="34" t="str">
        <f>IFERROR(__xludf.DUMMYFUNCTION("""COMPUTED_VALUE"""),"")</f>
        <v/>
      </c>
      <c r="S360" s="35" t="str">
        <f>IFERROR(__xludf.DUMMYFUNCTION("""COMPUTED_VALUE"""),"%")</f>
        <v>%</v>
      </c>
      <c r="T360" s="36">
        <f>IFERROR(__xludf.DUMMYFUNCTION("""COMPUTED_VALUE"""),2.0)</f>
        <v>2</v>
      </c>
      <c r="U360" s="37"/>
      <c r="V360" s="38"/>
      <c r="W360" s="34" t="str">
        <f>IFERROR(__xludf.DUMMYFUNCTION("""COMPUTED_VALUE"""),"")</f>
        <v/>
      </c>
      <c r="X360" s="35" t="str">
        <f>IFERROR(__xludf.DUMMYFUNCTION("""COMPUTED_VALUE"""),"AP")</f>
        <v>AP</v>
      </c>
      <c r="Y360" s="34" t="str">
        <f>IFERROR(__xludf.DUMMYFUNCTION("""COMPUTED_VALUE"""),"")</f>
        <v/>
      </c>
      <c r="Z360" s="35" t="str">
        <f>IFERROR(__xludf.DUMMYFUNCTION("""COMPUTED_VALUE"""),"%")</f>
        <v>%</v>
      </c>
      <c r="AA360" s="36">
        <f>IFERROR(__xludf.DUMMYFUNCTION("""COMPUTED_VALUE"""),3.0)</f>
        <v>3</v>
      </c>
      <c r="AB360" s="37"/>
      <c r="AC360" s="38"/>
      <c r="AD360" s="34" t="str">
        <f>IFERROR(__xludf.DUMMYFUNCTION("""COMPUTED_VALUE"""),"")</f>
        <v/>
      </c>
      <c r="AE360" s="35" t="str">
        <f>IFERROR(__xludf.DUMMYFUNCTION("""COMPUTED_VALUE"""),"AP")</f>
        <v>AP</v>
      </c>
      <c r="AF360" s="34" t="str">
        <f>IFERROR(__xludf.DUMMYFUNCTION("""COMPUTED_VALUE"""),"")</f>
        <v/>
      </c>
      <c r="AG360" s="35" t="str">
        <f>IFERROR(__xludf.DUMMYFUNCTION("""COMPUTED_VALUE"""),"%")</f>
        <v>%</v>
      </c>
      <c r="AH360" s="31"/>
      <c r="AI360" s="32"/>
      <c r="AJ360" s="39"/>
    </row>
    <row r="361" ht="24.75" hidden="1" customHeight="1">
      <c r="A361" s="40">
        <f>IFERROR(__xludf.DUMMYFUNCTION("""COMPUTED_VALUE"""),14.0)</f>
        <v>14</v>
      </c>
      <c r="B361" s="40" t="str">
        <f>IFERROR(__xludf.DUMMYFUNCTION("""COMPUTED_VALUE"""),"A207")</f>
        <v>A207</v>
      </c>
      <c r="C361" s="40"/>
      <c r="D361" s="41"/>
      <c r="E361" s="66"/>
      <c r="F361" s="43"/>
      <c r="G361" s="44"/>
      <c r="H361" s="33" t="str">
        <f>IFERROR(__xludf.DUMMYFUNCTION("""COMPUTED_VALUE""")," ")</f>
        <v> </v>
      </c>
      <c r="I361" s="45"/>
      <c r="J361" s="46" t="str">
        <f>IFERROR(__xludf.DUMMYFUNCTION("""COMPUTED_VALUE"""),"AP")</f>
        <v>AP</v>
      </c>
      <c r="K361" s="47"/>
      <c r="L361" s="48" t="str">
        <f>IFERROR(__xludf.DUMMYFUNCTION("""COMPUTED_VALUE"""),"%")</f>
        <v>%</v>
      </c>
      <c r="M361" s="49">
        <f>IFERROR(__xludf.DUMMYFUNCTION("""COMPUTED_VALUE"""),1.0)</f>
        <v>1</v>
      </c>
      <c r="N361" s="50"/>
      <c r="O361" s="38"/>
      <c r="P361" s="45" t="str">
        <f>IFERROR(__xludf.DUMMYFUNCTION("""COMPUTED_VALUE"""),"")</f>
        <v/>
      </c>
      <c r="Q361" s="46" t="str">
        <f>IFERROR(__xludf.DUMMYFUNCTION("""COMPUTED_VALUE"""),"AP")</f>
        <v>AP</v>
      </c>
      <c r="R361" s="47" t="str">
        <f>IFERROR(__xludf.DUMMYFUNCTION("""COMPUTED_VALUE"""),"")</f>
        <v/>
      </c>
      <c r="S361" s="48" t="str">
        <f>IFERROR(__xludf.DUMMYFUNCTION("""COMPUTED_VALUE"""),"%")</f>
        <v>%</v>
      </c>
      <c r="T361" s="49">
        <f>IFERROR(__xludf.DUMMYFUNCTION("""COMPUTED_VALUE"""),2.0)</f>
        <v>2</v>
      </c>
      <c r="U361" s="50"/>
      <c r="V361" s="38"/>
      <c r="W361" s="45" t="str">
        <f>IFERROR(__xludf.DUMMYFUNCTION("""COMPUTED_VALUE"""),"")</f>
        <v/>
      </c>
      <c r="X361" s="46" t="str">
        <f>IFERROR(__xludf.DUMMYFUNCTION("""COMPUTED_VALUE"""),"AP")</f>
        <v>AP</v>
      </c>
      <c r="Y361" s="47" t="str">
        <f>IFERROR(__xludf.DUMMYFUNCTION("""COMPUTED_VALUE"""),"")</f>
        <v/>
      </c>
      <c r="Z361" s="48" t="str">
        <f>IFERROR(__xludf.DUMMYFUNCTION("""COMPUTED_VALUE"""),"%")</f>
        <v>%</v>
      </c>
      <c r="AA361" s="49">
        <f>IFERROR(__xludf.DUMMYFUNCTION("""COMPUTED_VALUE"""),3.0)</f>
        <v>3</v>
      </c>
      <c r="AB361" s="50"/>
      <c r="AC361" s="38"/>
      <c r="AD361" s="45" t="str">
        <f>IFERROR(__xludf.DUMMYFUNCTION("""COMPUTED_VALUE"""),"")</f>
        <v/>
      </c>
      <c r="AE361" s="46" t="str">
        <f>IFERROR(__xludf.DUMMYFUNCTION("""COMPUTED_VALUE"""),"AP")</f>
        <v>AP</v>
      </c>
      <c r="AF361" s="47" t="str">
        <f>IFERROR(__xludf.DUMMYFUNCTION("""COMPUTED_VALUE"""),"")</f>
        <v/>
      </c>
      <c r="AG361" s="48" t="str">
        <f>IFERROR(__xludf.DUMMYFUNCTION("""COMPUTED_VALUE"""),"%")</f>
        <v>%</v>
      </c>
      <c r="AH361" s="43"/>
      <c r="AI361" s="44"/>
      <c r="AJ361" s="51"/>
    </row>
    <row r="362" ht="24.75" hidden="1" customHeight="1">
      <c r="A362" s="28">
        <f>IFERROR(__xludf.DUMMYFUNCTION("""COMPUTED_VALUE"""),15.0)</f>
        <v>15</v>
      </c>
      <c r="B362" s="28" t="str">
        <f>IFERROR(__xludf.DUMMYFUNCTION("""COMPUTED_VALUE"""),"A207")</f>
        <v>A207</v>
      </c>
      <c r="C362" s="28"/>
      <c r="D362" s="29"/>
      <c r="E362" s="67"/>
      <c r="F362" s="31"/>
      <c r="G362" s="32"/>
      <c r="H362" s="33" t="str">
        <f>IFERROR(__xludf.DUMMYFUNCTION("""COMPUTED_VALUE""")," ")</f>
        <v> </v>
      </c>
      <c r="I362" s="34"/>
      <c r="J362" s="35" t="str">
        <f>IFERROR(__xludf.DUMMYFUNCTION("""COMPUTED_VALUE"""),"AP")</f>
        <v>AP</v>
      </c>
      <c r="K362" s="34"/>
      <c r="L362" s="35" t="str">
        <f>IFERROR(__xludf.DUMMYFUNCTION("""COMPUTED_VALUE"""),"%")</f>
        <v>%</v>
      </c>
      <c r="M362" s="36">
        <f>IFERROR(__xludf.DUMMYFUNCTION("""COMPUTED_VALUE"""),1.0)</f>
        <v>1</v>
      </c>
      <c r="N362" s="37"/>
      <c r="O362" s="38"/>
      <c r="P362" s="34" t="str">
        <f>IFERROR(__xludf.DUMMYFUNCTION("""COMPUTED_VALUE"""),"")</f>
        <v/>
      </c>
      <c r="Q362" s="35" t="str">
        <f>IFERROR(__xludf.DUMMYFUNCTION("""COMPUTED_VALUE"""),"AP")</f>
        <v>AP</v>
      </c>
      <c r="R362" s="34" t="str">
        <f>IFERROR(__xludf.DUMMYFUNCTION("""COMPUTED_VALUE"""),"")</f>
        <v/>
      </c>
      <c r="S362" s="35" t="str">
        <f>IFERROR(__xludf.DUMMYFUNCTION("""COMPUTED_VALUE"""),"%")</f>
        <v>%</v>
      </c>
      <c r="T362" s="36">
        <f>IFERROR(__xludf.DUMMYFUNCTION("""COMPUTED_VALUE"""),2.0)</f>
        <v>2</v>
      </c>
      <c r="U362" s="37"/>
      <c r="V362" s="38"/>
      <c r="W362" s="34" t="str">
        <f>IFERROR(__xludf.DUMMYFUNCTION("""COMPUTED_VALUE"""),"")</f>
        <v/>
      </c>
      <c r="X362" s="35" t="str">
        <f>IFERROR(__xludf.DUMMYFUNCTION("""COMPUTED_VALUE"""),"AP")</f>
        <v>AP</v>
      </c>
      <c r="Y362" s="34" t="str">
        <f>IFERROR(__xludf.DUMMYFUNCTION("""COMPUTED_VALUE"""),"")</f>
        <v/>
      </c>
      <c r="Z362" s="35" t="str">
        <f>IFERROR(__xludf.DUMMYFUNCTION("""COMPUTED_VALUE"""),"%")</f>
        <v>%</v>
      </c>
      <c r="AA362" s="36">
        <f>IFERROR(__xludf.DUMMYFUNCTION("""COMPUTED_VALUE"""),3.0)</f>
        <v>3</v>
      </c>
      <c r="AB362" s="37"/>
      <c r="AC362" s="38"/>
      <c r="AD362" s="34" t="str">
        <f>IFERROR(__xludf.DUMMYFUNCTION("""COMPUTED_VALUE"""),"")</f>
        <v/>
      </c>
      <c r="AE362" s="35" t="str">
        <f>IFERROR(__xludf.DUMMYFUNCTION("""COMPUTED_VALUE"""),"AP")</f>
        <v>AP</v>
      </c>
      <c r="AF362" s="34" t="str">
        <f>IFERROR(__xludf.DUMMYFUNCTION("""COMPUTED_VALUE"""),"")</f>
        <v/>
      </c>
      <c r="AG362" s="35" t="str">
        <f>IFERROR(__xludf.DUMMYFUNCTION("""COMPUTED_VALUE"""),"%")</f>
        <v>%</v>
      </c>
      <c r="AH362" s="31"/>
      <c r="AI362" s="32"/>
      <c r="AJ362" s="39"/>
    </row>
    <row r="363" ht="24.75" hidden="1" customHeight="1">
      <c r="A363" s="40">
        <f>IFERROR(__xludf.DUMMYFUNCTION("""COMPUTED_VALUE"""),16.0)</f>
        <v>16</v>
      </c>
      <c r="B363" s="40" t="str">
        <f>IFERROR(__xludf.DUMMYFUNCTION("""COMPUTED_VALUE"""),"A207")</f>
        <v>A207</v>
      </c>
      <c r="C363" s="40"/>
      <c r="D363" s="41"/>
      <c r="E363" s="66"/>
      <c r="F363" s="43"/>
      <c r="G363" s="44"/>
      <c r="H363" s="33" t="str">
        <f>IFERROR(__xludf.DUMMYFUNCTION("""COMPUTED_VALUE""")," ")</f>
        <v> </v>
      </c>
      <c r="I363" s="45"/>
      <c r="J363" s="46" t="str">
        <f>IFERROR(__xludf.DUMMYFUNCTION("""COMPUTED_VALUE"""),"AP")</f>
        <v>AP</v>
      </c>
      <c r="K363" s="47"/>
      <c r="L363" s="48" t="str">
        <f>IFERROR(__xludf.DUMMYFUNCTION("""COMPUTED_VALUE"""),"%")</f>
        <v>%</v>
      </c>
      <c r="M363" s="49">
        <f>IFERROR(__xludf.DUMMYFUNCTION("""COMPUTED_VALUE"""),1.0)</f>
        <v>1</v>
      </c>
      <c r="N363" s="50"/>
      <c r="O363" s="38"/>
      <c r="P363" s="45" t="str">
        <f>IFERROR(__xludf.DUMMYFUNCTION("""COMPUTED_VALUE"""),"")</f>
        <v/>
      </c>
      <c r="Q363" s="46" t="str">
        <f>IFERROR(__xludf.DUMMYFUNCTION("""COMPUTED_VALUE"""),"AP")</f>
        <v>AP</v>
      </c>
      <c r="R363" s="47" t="str">
        <f>IFERROR(__xludf.DUMMYFUNCTION("""COMPUTED_VALUE"""),"")</f>
        <v/>
      </c>
      <c r="S363" s="48" t="str">
        <f>IFERROR(__xludf.DUMMYFUNCTION("""COMPUTED_VALUE"""),"%")</f>
        <v>%</v>
      </c>
      <c r="T363" s="49">
        <f>IFERROR(__xludf.DUMMYFUNCTION("""COMPUTED_VALUE"""),2.0)</f>
        <v>2</v>
      </c>
      <c r="U363" s="50"/>
      <c r="V363" s="38"/>
      <c r="W363" s="45" t="str">
        <f>IFERROR(__xludf.DUMMYFUNCTION("""COMPUTED_VALUE"""),"")</f>
        <v/>
      </c>
      <c r="X363" s="46" t="str">
        <f>IFERROR(__xludf.DUMMYFUNCTION("""COMPUTED_VALUE"""),"AP")</f>
        <v>AP</v>
      </c>
      <c r="Y363" s="47" t="str">
        <f>IFERROR(__xludf.DUMMYFUNCTION("""COMPUTED_VALUE"""),"")</f>
        <v/>
      </c>
      <c r="Z363" s="48" t="str">
        <f>IFERROR(__xludf.DUMMYFUNCTION("""COMPUTED_VALUE"""),"%")</f>
        <v>%</v>
      </c>
      <c r="AA363" s="49">
        <f>IFERROR(__xludf.DUMMYFUNCTION("""COMPUTED_VALUE"""),3.0)</f>
        <v>3</v>
      </c>
      <c r="AB363" s="50"/>
      <c r="AC363" s="38"/>
      <c r="AD363" s="45" t="str">
        <f>IFERROR(__xludf.DUMMYFUNCTION("""COMPUTED_VALUE"""),"")</f>
        <v/>
      </c>
      <c r="AE363" s="46" t="str">
        <f>IFERROR(__xludf.DUMMYFUNCTION("""COMPUTED_VALUE"""),"AP")</f>
        <v>AP</v>
      </c>
      <c r="AF363" s="47" t="str">
        <f>IFERROR(__xludf.DUMMYFUNCTION("""COMPUTED_VALUE"""),"")</f>
        <v/>
      </c>
      <c r="AG363" s="48" t="str">
        <f>IFERROR(__xludf.DUMMYFUNCTION("""COMPUTED_VALUE"""),"%")</f>
        <v>%</v>
      </c>
      <c r="AH363" s="43"/>
      <c r="AI363" s="44"/>
      <c r="AJ363" s="51"/>
    </row>
    <row r="364" ht="24.75" hidden="1" customHeight="1">
      <c r="A364" s="28">
        <f>IFERROR(__xludf.DUMMYFUNCTION("""COMPUTED_VALUE"""),17.0)</f>
        <v>17</v>
      </c>
      <c r="B364" s="28" t="str">
        <f>IFERROR(__xludf.DUMMYFUNCTION("""COMPUTED_VALUE"""),"A207")</f>
        <v>A207</v>
      </c>
      <c r="C364" s="28"/>
      <c r="D364" s="29"/>
      <c r="E364" s="67"/>
      <c r="F364" s="31"/>
      <c r="G364" s="32"/>
      <c r="H364" s="33" t="str">
        <f>IFERROR(__xludf.DUMMYFUNCTION("""COMPUTED_VALUE""")," ")</f>
        <v> </v>
      </c>
      <c r="I364" s="34"/>
      <c r="J364" s="35" t="str">
        <f>IFERROR(__xludf.DUMMYFUNCTION("""COMPUTED_VALUE"""),"AP")</f>
        <v>AP</v>
      </c>
      <c r="K364" s="34"/>
      <c r="L364" s="35" t="str">
        <f>IFERROR(__xludf.DUMMYFUNCTION("""COMPUTED_VALUE"""),"%")</f>
        <v>%</v>
      </c>
      <c r="M364" s="36">
        <f>IFERROR(__xludf.DUMMYFUNCTION("""COMPUTED_VALUE"""),1.0)</f>
        <v>1</v>
      </c>
      <c r="N364" s="37"/>
      <c r="O364" s="38"/>
      <c r="P364" s="34" t="str">
        <f>IFERROR(__xludf.DUMMYFUNCTION("""COMPUTED_VALUE"""),"")</f>
        <v/>
      </c>
      <c r="Q364" s="35" t="str">
        <f>IFERROR(__xludf.DUMMYFUNCTION("""COMPUTED_VALUE"""),"AP")</f>
        <v>AP</v>
      </c>
      <c r="R364" s="34" t="str">
        <f>IFERROR(__xludf.DUMMYFUNCTION("""COMPUTED_VALUE"""),"")</f>
        <v/>
      </c>
      <c r="S364" s="35" t="str">
        <f>IFERROR(__xludf.DUMMYFUNCTION("""COMPUTED_VALUE"""),"%")</f>
        <v>%</v>
      </c>
      <c r="T364" s="36">
        <f>IFERROR(__xludf.DUMMYFUNCTION("""COMPUTED_VALUE"""),2.0)</f>
        <v>2</v>
      </c>
      <c r="U364" s="37"/>
      <c r="V364" s="38"/>
      <c r="W364" s="34" t="str">
        <f>IFERROR(__xludf.DUMMYFUNCTION("""COMPUTED_VALUE"""),"")</f>
        <v/>
      </c>
      <c r="X364" s="35" t="str">
        <f>IFERROR(__xludf.DUMMYFUNCTION("""COMPUTED_VALUE"""),"AP")</f>
        <v>AP</v>
      </c>
      <c r="Y364" s="34" t="str">
        <f>IFERROR(__xludf.DUMMYFUNCTION("""COMPUTED_VALUE"""),"")</f>
        <v/>
      </c>
      <c r="Z364" s="35" t="str">
        <f>IFERROR(__xludf.DUMMYFUNCTION("""COMPUTED_VALUE"""),"%")</f>
        <v>%</v>
      </c>
      <c r="AA364" s="36">
        <f>IFERROR(__xludf.DUMMYFUNCTION("""COMPUTED_VALUE"""),3.0)</f>
        <v>3</v>
      </c>
      <c r="AB364" s="37"/>
      <c r="AC364" s="38"/>
      <c r="AD364" s="34" t="str">
        <f>IFERROR(__xludf.DUMMYFUNCTION("""COMPUTED_VALUE"""),"")</f>
        <v/>
      </c>
      <c r="AE364" s="35" t="str">
        <f>IFERROR(__xludf.DUMMYFUNCTION("""COMPUTED_VALUE"""),"AP")</f>
        <v>AP</v>
      </c>
      <c r="AF364" s="34" t="str">
        <f>IFERROR(__xludf.DUMMYFUNCTION("""COMPUTED_VALUE"""),"")</f>
        <v/>
      </c>
      <c r="AG364" s="35" t="str">
        <f>IFERROR(__xludf.DUMMYFUNCTION("""COMPUTED_VALUE"""),"%")</f>
        <v>%</v>
      </c>
      <c r="AH364" s="31"/>
      <c r="AI364" s="32"/>
      <c r="AJ364" s="39"/>
    </row>
    <row r="365" ht="24.75" hidden="1" customHeight="1">
      <c r="A365" s="40">
        <f>IFERROR(__xludf.DUMMYFUNCTION("""COMPUTED_VALUE"""),18.0)</f>
        <v>18</v>
      </c>
      <c r="B365" s="40" t="str">
        <f>IFERROR(__xludf.DUMMYFUNCTION("""COMPUTED_VALUE"""),"A207")</f>
        <v>A207</v>
      </c>
      <c r="C365" s="40"/>
      <c r="D365" s="41"/>
      <c r="E365" s="66"/>
      <c r="F365" s="43"/>
      <c r="G365" s="44"/>
      <c r="H365" s="33" t="str">
        <f>IFERROR(__xludf.DUMMYFUNCTION("""COMPUTED_VALUE""")," ")</f>
        <v> </v>
      </c>
      <c r="I365" s="45"/>
      <c r="J365" s="46" t="str">
        <f>IFERROR(__xludf.DUMMYFUNCTION("""COMPUTED_VALUE"""),"AP")</f>
        <v>AP</v>
      </c>
      <c r="K365" s="47"/>
      <c r="L365" s="48" t="str">
        <f>IFERROR(__xludf.DUMMYFUNCTION("""COMPUTED_VALUE"""),"%")</f>
        <v>%</v>
      </c>
      <c r="M365" s="49">
        <f>IFERROR(__xludf.DUMMYFUNCTION("""COMPUTED_VALUE"""),1.0)</f>
        <v>1</v>
      </c>
      <c r="N365" s="50"/>
      <c r="O365" s="38"/>
      <c r="P365" s="45" t="str">
        <f>IFERROR(__xludf.DUMMYFUNCTION("""COMPUTED_VALUE"""),"")</f>
        <v/>
      </c>
      <c r="Q365" s="46" t="str">
        <f>IFERROR(__xludf.DUMMYFUNCTION("""COMPUTED_VALUE"""),"AP")</f>
        <v>AP</v>
      </c>
      <c r="R365" s="47" t="str">
        <f>IFERROR(__xludf.DUMMYFUNCTION("""COMPUTED_VALUE"""),"")</f>
        <v/>
      </c>
      <c r="S365" s="48" t="str">
        <f>IFERROR(__xludf.DUMMYFUNCTION("""COMPUTED_VALUE"""),"%")</f>
        <v>%</v>
      </c>
      <c r="T365" s="49">
        <f>IFERROR(__xludf.DUMMYFUNCTION("""COMPUTED_VALUE"""),2.0)</f>
        <v>2</v>
      </c>
      <c r="U365" s="50"/>
      <c r="V365" s="38"/>
      <c r="W365" s="45" t="str">
        <f>IFERROR(__xludf.DUMMYFUNCTION("""COMPUTED_VALUE"""),"")</f>
        <v/>
      </c>
      <c r="X365" s="46" t="str">
        <f>IFERROR(__xludf.DUMMYFUNCTION("""COMPUTED_VALUE"""),"AP")</f>
        <v>AP</v>
      </c>
      <c r="Y365" s="47" t="str">
        <f>IFERROR(__xludf.DUMMYFUNCTION("""COMPUTED_VALUE"""),"")</f>
        <v/>
      </c>
      <c r="Z365" s="48" t="str">
        <f>IFERROR(__xludf.DUMMYFUNCTION("""COMPUTED_VALUE"""),"%")</f>
        <v>%</v>
      </c>
      <c r="AA365" s="49">
        <f>IFERROR(__xludf.DUMMYFUNCTION("""COMPUTED_VALUE"""),3.0)</f>
        <v>3</v>
      </c>
      <c r="AB365" s="50"/>
      <c r="AC365" s="38"/>
      <c r="AD365" s="45" t="str">
        <f>IFERROR(__xludf.DUMMYFUNCTION("""COMPUTED_VALUE"""),"")</f>
        <v/>
      </c>
      <c r="AE365" s="46" t="str">
        <f>IFERROR(__xludf.DUMMYFUNCTION("""COMPUTED_VALUE"""),"AP")</f>
        <v>AP</v>
      </c>
      <c r="AF365" s="47" t="str">
        <f>IFERROR(__xludf.DUMMYFUNCTION("""COMPUTED_VALUE"""),"")</f>
        <v/>
      </c>
      <c r="AG365" s="48" t="str">
        <f>IFERROR(__xludf.DUMMYFUNCTION("""COMPUTED_VALUE"""),"%")</f>
        <v>%</v>
      </c>
      <c r="AH365" s="43"/>
      <c r="AI365" s="44"/>
      <c r="AJ365" s="51"/>
    </row>
    <row r="366" ht="24.75" hidden="1" customHeight="1">
      <c r="A366" s="28">
        <f>IFERROR(__xludf.DUMMYFUNCTION("""COMPUTED_VALUE"""),19.0)</f>
        <v>19</v>
      </c>
      <c r="B366" s="28" t="str">
        <f>IFERROR(__xludf.DUMMYFUNCTION("""COMPUTED_VALUE"""),"A207")</f>
        <v>A207</v>
      </c>
      <c r="C366" s="28"/>
      <c r="D366" s="29"/>
      <c r="E366" s="67"/>
      <c r="F366" s="31"/>
      <c r="G366" s="32"/>
      <c r="H366" s="33" t="str">
        <f>IFERROR(__xludf.DUMMYFUNCTION("""COMPUTED_VALUE""")," ")</f>
        <v> </v>
      </c>
      <c r="I366" s="34"/>
      <c r="J366" s="35" t="str">
        <f>IFERROR(__xludf.DUMMYFUNCTION("""COMPUTED_VALUE"""),"AP")</f>
        <v>AP</v>
      </c>
      <c r="K366" s="34"/>
      <c r="L366" s="35" t="str">
        <f>IFERROR(__xludf.DUMMYFUNCTION("""COMPUTED_VALUE"""),"%")</f>
        <v>%</v>
      </c>
      <c r="M366" s="36">
        <f>IFERROR(__xludf.DUMMYFUNCTION("""COMPUTED_VALUE"""),1.0)</f>
        <v>1</v>
      </c>
      <c r="N366" s="37"/>
      <c r="O366" s="38"/>
      <c r="P366" s="34" t="str">
        <f>IFERROR(__xludf.DUMMYFUNCTION("""COMPUTED_VALUE"""),"")</f>
        <v/>
      </c>
      <c r="Q366" s="35" t="str">
        <f>IFERROR(__xludf.DUMMYFUNCTION("""COMPUTED_VALUE"""),"AP")</f>
        <v>AP</v>
      </c>
      <c r="R366" s="34" t="str">
        <f>IFERROR(__xludf.DUMMYFUNCTION("""COMPUTED_VALUE"""),"")</f>
        <v/>
      </c>
      <c r="S366" s="35" t="str">
        <f>IFERROR(__xludf.DUMMYFUNCTION("""COMPUTED_VALUE"""),"%")</f>
        <v>%</v>
      </c>
      <c r="T366" s="36">
        <f>IFERROR(__xludf.DUMMYFUNCTION("""COMPUTED_VALUE"""),2.0)</f>
        <v>2</v>
      </c>
      <c r="U366" s="37"/>
      <c r="V366" s="38"/>
      <c r="W366" s="34" t="str">
        <f>IFERROR(__xludf.DUMMYFUNCTION("""COMPUTED_VALUE"""),"")</f>
        <v/>
      </c>
      <c r="X366" s="35" t="str">
        <f>IFERROR(__xludf.DUMMYFUNCTION("""COMPUTED_VALUE"""),"AP")</f>
        <v>AP</v>
      </c>
      <c r="Y366" s="34" t="str">
        <f>IFERROR(__xludf.DUMMYFUNCTION("""COMPUTED_VALUE"""),"")</f>
        <v/>
      </c>
      <c r="Z366" s="35" t="str">
        <f>IFERROR(__xludf.DUMMYFUNCTION("""COMPUTED_VALUE"""),"%")</f>
        <v>%</v>
      </c>
      <c r="AA366" s="36">
        <f>IFERROR(__xludf.DUMMYFUNCTION("""COMPUTED_VALUE"""),3.0)</f>
        <v>3</v>
      </c>
      <c r="AB366" s="37"/>
      <c r="AC366" s="38"/>
      <c r="AD366" s="34" t="str">
        <f>IFERROR(__xludf.DUMMYFUNCTION("""COMPUTED_VALUE"""),"")</f>
        <v/>
      </c>
      <c r="AE366" s="35" t="str">
        <f>IFERROR(__xludf.DUMMYFUNCTION("""COMPUTED_VALUE"""),"AP")</f>
        <v>AP</v>
      </c>
      <c r="AF366" s="34" t="str">
        <f>IFERROR(__xludf.DUMMYFUNCTION("""COMPUTED_VALUE"""),"")</f>
        <v/>
      </c>
      <c r="AG366" s="35" t="str">
        <f>IFERROR(__xludf.DUMMYFUNCTION("""COMPUTED_VALUE"""),"%")</f>
        <v>%</v>
      </c>
      <c r="AH366" s="31"/>
      <c r="AI366" s="32"/>
      <c r="AJ366" s="39"/>
    </row>
    <row r="367" ht="24.75" hidden="1" customHeight="1">
      <c r="A367" s="40">
        <f>IFERROR(__xludf.DUMMYFUNCTION("""COMPUTED_VALUE"""),20.0)</f>
        <v>20</v>
      </c>
      <c r="B367" s="40" t="str">
        <f>IFERROR(__xludf.DUMMYFUNCTION("""COMPUTED_VALUE"""),"A207")</f>
        <v>A207</v>
      </c>
      <c r="C367" s="40"/>
      <c r="D367" s="41"/>
      <c r="E367" s="66"/>
      <c r="F367" s="43"/>
      <c r="G367" s="44"/>
      <c r="H367" s="33" t="str">
        <f>IFERROR(__xludf.DUMMYFUNCTION("""COMPUTED_VALUE""")," ")</f>
        <v> </v>
      </c>
      <c r="I367" s="45"/>
      <c r="J367" s="46" t="str">
        <f>IFERROR(__xludf.DUMMYFUNCTION("""COMPUTED_VALUE"""),"AP")</f>
        <v>AP</v>
      </c>
      <c r="K367" s="47"/>
      <c r="L367" s="48" t="str">
        <f>IFERROR(__xludf.DUMMYFUNCTION("""COMPUTED_VALUE"""),"%")</f>
        <v>%</v>
      </c>
      <c r="M367" s="49">
        <f>IFERROR(__xludf.DUMMYFUNCTION("""COMPUTED_VALUE"""),1.0)</f>
        <v>1</v>
      </c>
      <c r="N367" s="50"/>
      <c r="O367" s="38"/>
      <c r="P367" s="45" t="str">
        <f>IFERROR(__xludf.DUMMYFUNCTION("""COMPUTED_VALUE"""),"")</f>
        <v/>
      </c>
      <c r="Q367" s="46" t="str">
        <f>IFERROR(__xludf.DUMMYFUNCTION("""COMPUTED_VALUE"""),"AP")</f>
        <v>AP</v>
      </c>
      <c r="R367" s="47" t="str">
        <f>IFERROR(__xludf.DUMMYFUNCTION("""COMPUTED_VALUE"""),"")</f>
        <v/>
      </c>
      <c r="S367" s="48" t="str">
        <f>IFERROR(__xludf.DUMMYFUNCTION("""COMPUTED_VALUE"""),"%")</f>
        <v>%</v>
      </c>
      <c r="T367" s="49">
        <f>IFERROR(__xludf.DUMMYFUNCTION("""COMPUTED_VALUE"""),2.0)</f>
        <v>2</v>
      </c>
      <c r="U367" s="50"/>
      <c r="V367" s="38"/>
      <c r="W367" s="45" t="str">
        <f>IFERROR(__xludf.DUMMYFUNCTION("""COMPUTED_VALUE"""),"")</f>
        <v/>
      </c>
      <c r="X367" s="46" t="str">
        <f>IFERROR(__xludf.DUMMYFUNCTION("""COMPUTED_VALUE"""),"AP")</f>
        <v>AP</v>
      </c>
      <c r="Y367" s="47" t="str">
        <f>IFERROR(__xludf.DUMMYFUNCTION("""COMPUTED_VALUE"""),"")</f>
        <v/>
      </c>
      <c r="Z367" s="48" t="str">
        <f>IFERROR(__xludf.DUMMYFUNCTION("""COMPUTED_VALUE"""),"%")</f>
        <v>%</v>
      </c>
      <c r="AA367" s="49">
        <f>IFERROR(__xludf.DUMMYFUNCTION("""COMPUTED_VALUE"""),3.0)</f>
        <v>3</v>
      </c>
      <c r="AB367" s="50"/>
      <c r="AC367" s="38"/>
      <c r="AD367" s="45" t="str">
        <f>IFERROR(__xludf.DUMMYFUNCTION("""COMPUTED_VALUE"""),"")</f>
        <v/>
      </c>
      <c r="AE367" s="46" t="str">
        <f>IFERROR(__xludf.DUMMYFUNCTION("""COMPUTED_VALUE"""),"AP")</f>
        <v>AP</v>
      </c>
      <c r="AF367" s="47" t="str">
        <f>IFERROR(__xludf.DUMMYFUNCTION("""COMPUTED_VALUE"""),"")</f>
        <v/>
      </c>
      <c r="AG367" s="48" t="str">
        <f>IFERROR(__xludf.DUMMYFUNCTION("""COMPUTED_VALUE"""),"%")</f>
        <v>%</v>
      </c>
      <c r="AH367" s="43"/>
      <c r="AI367" s="44"/>
      <c r="AJ367" s="51"/>
    </row>
    <row r="368">
      <c r="A368" s="52"/>
      <c r="B368" s="53"/>
      <c r="C368" s="54"/>
      <c r="D368" s="55"/>
      <c r="E368" s="56"/>
      <c r="F368" s="53"/>
      <c r="G368" s="53"/>
      <c r="H368" s="53"/>
      <c r="I368" s="53"/>
      <c r="J368" s="57"/>
      <c r="K368" s="53"/>
      <c r="L368" s="57"/>
      <c r="M368" s="53"/>
      <c r="N368" s="53"/>
      <c r="O368" s="53"/>
      <c r="P368" s="53"/>
      <c r="Q368" s="57"/>
      <c r="R368" s="53"/>
      <c r="S368" s="57"/>
      <c r="T368" s="53"/>
      <c r="U368" s="53"/>
      <c r="V368" s="53"/>
      <c r="W368" s="53"/>
      <c r="X368" s="57"/>
      <c r="Y368" s="53"/>
      <c r="Z368" s="57"/>
      <c r="AA368" s="53"/>
      <c r="AB368" s="53"/>
      <c r="AC368" s="53"/>
      <c r="AD368" s="53"/>
      <c r="AE368" s="57"/>
      <c r="AF368" s="53"/>
      <c r="AG368" s="57"/>
      <c r="AH368" s="53"/>
      <c r="AI368" s="53"/>
      <c r="AJ368" s="58"/>
    </row>
    <row r="369">
      <c r="A369" s="59"/>
      <c r="B369" s="60"/>
      <c r="C369" s="61"/>
      <c r="D369" s="62"/>
      <c r="E369" s="63"/>
      <c r="F369" s="60"/>
      <c r="G369" s="60"/>
      <c r="H369" s="60"/>
      <c r="I369" s="60"/>
      <c r="J369" s="64"/>
      <c r="K369" s="60"/>
      <c r="L369" s="64"/>
      <c r="M369" s="60"/>
      <c r="N369" s="60"/>
      <c r="O369" s="60"/>
      <c r="P369" s="60"/>
      <c r="Q369" s="64"/>
      <c r="R369" s="60"/>
      <c r="S369" s="64"/>
      <c r="T369" s="60"/>
      <c r="U369" s="60"/>
      <c r="V369" s="60"/>
      <c r="W369" s="60"/>
      <c r="X369" s="64"/>
      <c r="Y369" s="60"/>
      <c r="Z369" s="64"/>
      <c r="AA369" s="60"/>
      <c r="AB369" s="60"/>
      <c r="AC369" s="60"/>
      <c r="AD369" s="60"/>
      <c r="AE369" s="64"/>
      <c r="AF369" s="60"/>
      <c r="AG369" s="64"/>
      <c r="AH369" s="60"/>
      <c r="AI369" s="60"/>
      <c r="AJ369" s="65"/>
    </row>
    <row r="370" ht="33.0" customHeight="1">
      <c r="A370" s="20" t="str">
        <f>IFERROR(__xludf.DUMMYFUNCTION("""COMPUTED_VALUE""")," ")</f>
        <v> </v>
      </c>
      <c r="B370" s="21" t="str">
        <f>IFERROR(__xludf.DUMMYFUNCTION("""COMPUTED_VALUE"""),"A208")</f>
        <v>A208</v>
      </c>
      <c r="C370" s="20"/>
      <c r="D370" s="22" t="str">
        <f>IFERROR(__xludf.DUMMYFUNCTION("""COMPUTED_VALUE"""),"")</f>
        <v/>
      </c>
      <c r="E370" s="23" t="str">
        <f>IFERROR(__xludf.DUMMYFUNCTION("""COMPUTED_VALUE"""),"Homunculus Baby")</f>
        <v>Homunculus Baby</v>
      </c>
      <c r="F370" s="24"/>
      <c r="G370" s="24"/>
      <c r="H370" s="25"/>
      <c r="I370" s="25"/>
      <c r="J370" s="26"/>
      <c r="K370" s="25"/>
      <c r="L370" s="26"/>
      <c r="M370" s="25"/>
      <c r="N370" s="25"/>
      <c r="O370" s="25"/>
      <c r="P370" s="25"/>
      <c r="Q370" s="26"/>
      <c r="R370" s="25"/>
      <c r="S370" s="26"/>
      <c r="T370" s="25"/>
      <c r="U370" s="25"/>
      <c r="V370" s="25"/>
      <c r="W370" s="25"/>
      <c r="X370" s="26"/>
      <c r="Y370" s="25"/>
      <c r="Z370" s="26"/>
      <c r="AA370" s="25"/>
      <c r="AB370" s="25"/>
      <c r="AC370" s="25"/>
      <c r="AD370" s="25"/>
      <c r="AE370" s="26"/>
      <c r="AF370" s="25"/>
      <c r="AG370" s="26"/>
      <c r="AH370" s="24"/>
      <c r="AI370" s="25"/>
      <c r="AJ370" s="27"/>
    </row>
    <row r="371" ht="24.75" customHeight="1">
      <c r="A371" s="28">
        <f>IFERROR(__xludf.DUMMYFUNCTION("""COMPUTED_VALUE"""),1.0)</f>
        <v>1</v>
      </c>
      <c r="B371" s="28" t="str">
        <f>IFERROR(__xludf.DUMMYFUNCTION("""COMPUTED_VALUE"""),"A208")</f>
        <v>A208</v>
      </c>
      <c r="C371" s="28" t="str">
        <f>IFERROR(__xludf.DUMMYFUNCTION("""COMPUTED_VALUE"""),"SLM5")</f>
        <v>SLM5</v>
      </c>
      <c r="D371" s="29" t="str">
        <f>IFERROR(__xludf.DUMMYFUNCTION("""COMPUTED_VALUE"""),"Salem")</f>
        <v>Salem</v>
      </c>
      <c r="E371" s="30" t="str">
        <f>IFERROR(__xludf.DUMMYFUNCTION("""COMPUTED_VALUE"""),"Whateley Residence")</f>
        <v>Whateley Residence</v>
      </c>
      <c r="F371" s="31">
        <f>IFERROR(__xludf.DUMMYFUNCTION("""COMPUTED_VALUE"""),21.0)</f>
        <v>21</v>
      </c>
      <c r="G371" s="32">
        <f>IFERROR(__xludf.DUMMYFUNCTION("""COMPUTED_VALUE"""),10612.0)</f>
        <v>10612</v>
      </c>
      <c r="H371" s="33" t="str">
        <f>IFERROR(__xludf.DUMMYFUNCTION("""COMPUTED_VALUE"""),"")</f>
        <v/>
      </c>
      <c r="I371" s="34">
        <f>IFERROR(__xludf.DUMMYFUNCTION("""COMPUTED_VALUE"""),52.8)</f>
        <v>52.8</v>
      </c>
      <c r="J371" s="35" t="str">
        <f>IFERROR(__xludf.DUMMYFUNCTION("""COMPUTED_VALUE"""),"AP")</f>
        <v>AP</v>
      </c>
      <c r="K371" s="34">
        <f>IFERROR(__xludf.DUMMYFUNCTION("""COMPUTED_VALUE"""),39.8)</f>
        <v>39.8</v>
      </c>
      <c r="L371" s="35" t="str">
        <f>IFERROR(__xludf.DUMMYFUNCTION("""COMPUTED_VALUE"""),"%")</f>
        <v>%</v>
      </c>
      <c r="M371" s="36">
        <f>IFERROR(__xludf.DUMMYFUNCTION("""COMPUTED_VALUE"""),1.0)</f>
        <v>1</v>
      </c>
      <c r="N371" s="37" t="str">
        <f>IFERROR(__xludf.DUMMYFUNCTION("""COMPUTED_VALUE"""),"B113")</f>
        <v>B113</v>
      </c>
      <c r="O371" s="38" t="str">
        <f>IFERROR(__xludf.DUMMYFUNCTION("""COMPUTED_VALUE"""),"")</f>
        <v/>
      </c>
      <c r="P371" s="34">
        <f>IFERROR(__xludf.DUMMYFUNCTION("""COMPUTED_VALUE"""),109.3)</f>
        <v>109.3</v>
      </c>
      <c r="Q371" s="35" t="str">
        <f>IFERROR(__xludf.DUMMYFUNCTION("""COMPUTED_VALUE"""),"AP")</f>
        <v>AP</v>
      </c>
      <c r="R371" s="34">
        <f>IFERROR(__xludf.DUMMYFUNCTION("""COMPUTED_VALUE"""),19.2)</f>
        <v>19.2</v>
      </c>
      <c r="S371" s="35" t="str">
        <f>IFERROR(__xludf.DUMMYFUNCTION("""COMPUTED_VALUE"""),"%")</f>
        <v>%</v>
      </c>
      <c r="T371" s="36">
        <f>IFERROR(__xludf.DUMMYFUNCTION("""COMPUTED_VALUE"""),2.0)</f>
        <v>2</v>
      </c>
      <c r="U371" s="37"/>
      <c r="V371" s="38"/>
      <c r="W371" s="34" t="str">
        <f>IFERROR(__xludf.DUMMYFUNCTION("""COMPUTED_VALUE"""),"")</f>
        <v/>
      </c>
      <c r="X371" s="35" t="str">
        <f>IFERROR(__xludf.DUMMYFUNCTION("""COMPUTED_VALUE"""),"AP")</f>
        <v>AP</v>
      </c>
      <c r="Y371" s="34" t="str">
        <f>IFERROR(__xludf.DUMMYFUNCTION("""COMPUTED_VALUE"""),"")</f>
        <v/>
      </c>
      <c r="Z371" s="35" t="str">
        <f>IFERROR(__xludf.DUMMYFUNCTION("""COMPUTED_VALUE"""),"%")</f>
        <v>%</v>
      </c>
      <c r="AA371" s="36">
        <f>IFERROR(__xludf.DUMMYFUNCTION("""COMPUTED_VALUE"""),3.0)</f>
        <v>3</v>
      </c>
      <c r="AB371" s="37"/>
      <c r="AC371" s="38"/>
      <c r="AD371" s="34" t="str">
        <f>IFERROR(__xludf.DUMMYFUNCTION("""COMPUTED_VALUE"""),"")</f>
        <v/>
      </c>
      <c r="AE371" s="35" t="str">
        <f>IFERROR(__xludf.DUMMYFUNCTION("""COMPUTED_VALUE"""),"AP")</f>
        <v>AP</v>
      </c>
      <c r="AF371" s="34" t="str">
        <f>IFERROR(__xludf.DUMMYFUNCTION("""COMPUTED_VALUE"""),"")</f>
        <v/>
      </c>
      <c r="AG371" s="35" t="str">
        <f>IFERROR(__xludf.DUMMYFUNCTION("""COMPUTED_VALUE"""),"%")</f>
        <v>%</v>
      </c>
      <c r="AH371" s="31">
        <f>IFERROR(__xludf.DUMMYFUNCTION("""COMPUTED_VALUE"""),21.0)</f>
        <v>21</v>
      </c>
      <c r="AI371" s="32">
        <f>IFERROR(__xludf.DUMMYFUNCTION("""COMPUTED_VALUE"""),10612.0)</f>
        <v>10612</v>
      </c>
      <c r="AJ371" s="39" t="str">
        <f>IFERROR(__xludf.DUMMYFUNCTION("""COMPUTED_VALUE"""),"ウェイトリー家")</f>
        <v>ウェイトリー家</v>
      </c>
    </row>
    <row r="372" ht="24.75" customHeight="1">
      <c r="A372" s="40">
        <f>IFERROR(__xludf.DUMMYFUNCTION("""COMPUTED_VALUE"""),2.0)</f>
        <v>2</v>
      </c>
      <c r="B372" s="40" t="str">
        <f>IFERROR(__xludf.DUMMYFUNCTION("""COMPUTED_VALUE"""),"A208")</f>
        <v>A208</v>
      </c>
      <c r="C372" s="40" t="str">
        <f>IFERROR(__xludf.DUMMYFUNCTION("""COMPUTED_VALUE"""),"LDN8")</f>
        <v>LDN8</v>
      </c>
      <c r="D372" s="41" t="str">
        <f>IFERROR(__xludf.DUMMYFUNCTION("""COMPUTED_VALUE"""),"London")</f>
        <v>London</v>
      </c>
      <c r="E372" s="42" t="str">
        <f>IFERROR(__xludf.DUMMYFUNCTION("""COMPUTED_VALUE"""),"Southwark")</f>
        <v>Southwark</v>
      </c>
      <c r="F372" s="43">
        <f>IFERROR(__xludf.DUMMYFUNCTION("""COMPUTED_VALUE"""),19.0)</f>
        <v>19</v>
      </c>
      <c r="G372" s="44">
        <f>IFERROR(__xludf.DUMMYFUNCTION("""COMPUTED_VALUE"""),9457.0)</f>
        <v>9457</v>
      </c>
      <c r="H372" s="33" t="str">
        <f>IFERROR(__xludf.DUMMYFUNCTION("""COMPUTED_VALUE"""),"")</f>
        <v/>
      </c>
      <c r="I372" s="45">
        <f>IFERROR(__xludf.DUMMYFUNCTION("""COMPUTED_VALUE"""),62.7)</f>
        <v>62.7</v>
      </c>
      <c r="J372" s="46" t="str">
        <f>IFERROR(__xludf.DUMMYFUNCTION("""COMPUTED_VALUE"""),"AP")</f>
        <v>AP</v>
      </c>
      <c r="K372" s="47">
        <f>IFERROR(__xludf.DUMMYFUNCTION("""COMPUTED_VALUE"""),30.3)</f>
        <v>30.3</v>
      </c>
      <c r="L372" s="48" t="str">
        <f>IFERROR(__xludf.DUMMYFUNCTION("""COMPUTED_VALUE"""),"%")</f>
        <v>%</v>
      </c>
      <c r="M372" s="49">
        <f>IFERROR(__xludf.DUMMYFUNCTION("""COMPUTED_VALUE"""),1.0)</f>
        <v>1</v>
      </c>
      <c r="N372" s="50" t="str">
        <f>IFERROR(__xludf.DUMMYFUNCTION("""COMPUTED_VALUE"""),"A302")</f>
        <v>A302</v>
      </c>
      <c r="O372" s="38" t="str">
        <f>IFERROR(__xludf.DUMMYFUNCTION("""COMPUTED_VALUE"""),"")</f>
        <v/>
      </c>
      <c r="P372" s="45">
        <f>IFERROR(__xludf.DUMMYFUNCTION("""COMPUTED_VALUE"""),68.6)</f>
        <v>68.6</v>
      </c>
      <c r="Q372" s="46" t="str">
        <f>IFERROR(__xludf.DUMMYFUNCTION("""COMPUTED_VALUE"""),"AP")</f>
        <v>AP</v>
      </c>
      <c r="R372" s="47">
        <f>IFERROR(__xludf.DUMMYFUNCTION("""COMPUTED_VALUE"""),27.7)</f>
        <v>27.7</v>
      </c>
      <c r="S372" s="48" t="str">
        <f>IFERROR(__xludf.DUMMYFUNCTION("""COMPUTED_VALUE"""),"%")</f>
        <v>%</v>
      </c>
      <c r="T372" s="49">
        <f>IFERROR(__xludf.DUMMYFUNCTION("""COMPUTED_VALUE"""),2.0)</f>
        <v>2</v>
      </c>
      <c r="U372" s="50" t="str">
        <f>IFERROR(__xludf.DUMMYFUNCTION("""COMPUTED_VALUE"""),"B113")</f>
        <v>B113</v>
      </c>
      <c r="V372" s="38" t="str">
        <f>IFERROR(__xludf.DUMMYFUNCTION("""COMPUTED_VALUE"""),"")</f>
        <v/>
      </c>
      <c r="W372" s="45">
        <f>IFERROR(__xludf.DUMMYFUNCTION("""COMPUTED_VALUE"""),193.6)</f>
        <v>193.6</v>
      </c>
      <c r="X372" s="46" t="str">
        <f>IFERROR(__xludf.DUMMYFUNCTION("""COMPUTED_VALUE"""),"AP")</f>
        <v>AP</v>
      </c>
      <c r="Y372" s="47">
        <f>IFERROR(__xludf.DUMMYFUNCTION("""COMPUTED_VALUE"""),9.8)</f>
        <v>9.8</v>
      </c>
      <c r="Z372" s="48" t="str">
        <f>IFERROR(__xludf.DUMMYFUNCTION("""COMPUTED_VALUE"""),"%")</f>
        <v>%</v>
      </c>
      <c r="AA372" s="49">
        <f>IFERROR(__xludf.DUMMYFUNCTION("""COMPUTED_VALUE"""),3.0)</f>
        <v>3</v>
      </c>
      <c r="AB372" s="50"/>
      <c r="AC372" s="38"/>
      <c r="AD372" s="45" t="str">
        <f>IFERROR(__xludf.DUMMYFUNCTION("""COMPUTED_VALUE"""),"")</f>
        <v/>
      </c>
      <c r="AE372" s="46" t="str">
        <f>IFERROR(__xludf.DUMMYFUNCTION("""COMPUTED_VALUE"""),"AP")</f>
        <v>AP</v>
      </c>
      <c r="AF372" s="47" t="str">
        <f>IFERROR(__xludf.DUMMYFUNCTION("""COMPUTED_VALUE"""),"")</f>
        <v/>
      </c>
      <c r="AG372" s="48" t="str">
        <f>IFERROR(__xludf.DUMMYFUNCTION("""COMPUTED_VALUE"""),"%")</f>
        <v>%</v>
      </c>
      <c r="AH372" s="43">
        <f>IFERROR(__xludf.DUMMYFUNCTION("""COMPUTED_VALUE"""),19.0)</f>
        <v>19</v>
      </c>
      <c r="AI372" s="44">
        <f>IFERROR(__xludf.DUMMYFUNCTION("""COMPUTED_VALUE"""),9457.0)</f>
        <v>9457</v>
      </c>
      <c r="AJ372" s="51" t="str">
        <f>IFERROR(__xludf.DUMMYFUNCTION("""COMPUTED_VALUE"""),"サザーク")</f>
        <v>サザーク</v>
      </c>
    </row>
    <row r="373" ht="24.75" customHeight="1">
      <c r="A373" s="28">
        <f>IFERROR(__xludf.DUMMYFUNCTION("""COMPUTED_VALUE"""),3.0)</f>
        <v>3</v>
      </c>
      <c r="B373" s="28" t="str">
        <f>IFERROR(__xludf.DUMMYFUNCTION("""COMPUTED_VALUE"""),"A208")</f>
        <v>A208</v>
      </c>
      <c r="C373" s="28" t="str">
        <f>IFERROR(__xludf.DUMMYFUNCTION("""COMPUTED_VALUE"""),"LDN3")</f>
        <v>LDN3</v>
      </c>
      <c r="D373" s="29" t="str">
        <f>IFERROR(__xludf.DUMMYFUNCTION("""COMPUTED_VALUE"""),"London")</f>
        <v>London</v>
      </c>
      <c r="E373" s="30" t="str">
        <f>IFERROR(__xludf.DUMMYFUNCTION("""COMPUTED_VALUE"""),"City of London")</f>
        <v>City of London</v>
      </c>
      <c r="F373" s="31">
        <f>IFERROR(__xludf.DUMMYFUNCTION("""COMPUTED_VALUE"""),15.0)</f>
        <v>15</v>
      </c>
      <c r="G373" s="32">
        <f>IFERROR(__xludf.DUMMYFUNCTION("""COMPUTED_VALUE"""),1102.0)</f>
        <v>1102</v>
      </c>
      <c r="H373" s="33" t="str">
        <f>IFERROR(__xludf.DUMMYFUNCTION("""COMPUTED_VALUE"""),"")</f>
        <v/>
      </c>
      <c r="I373" s="34">
        <f>IFERROR(__xludf.DUMMYFUNCTION("""COMPUTED_VALUE"""),131.2)</f>
        <v>131.2</v>
      </c>
      <c r="J373" s="35" t="str">
        <f>IFERROR(__xludf.DUMMYFUNCTION("""COMPUTED_VALUE"""),"AP")</f>
        <v>AP</v>
      </c>
      <c r="K373" s="34">
        <f>IFERROR(__xludf.DUMMYFUNCTION("""COMPUTED_VALUE"""),11.4)</f>
        <v>11.4</v>
      </c>
      <c r="L373" s="35" t="str">
        <f>IFERROR(__xludf.DUMMYFUNCTION("""COMPUTED_VALUE"""),"%")</f>
        <v>%</v>
      </c>
      <c r="M373" s="36">
        <f>IFERROR(__xludf.DUMMYFUNCTION("""COMPUTED_VALUE"""),1.0)</f>
        <v>1</v>
      </c>
      <c r="N373" s="37"/>
      <c r="O373" s="38"/>
      <c r="P373" s="34" t="str">
        <f>IFERROR(__xludf.DUMMYFUNCTION("""COMPUTED_VALUE"""),"")</f>
        <v/>
      </c>
      <c r="Q373" s="35" t="str">
        <f>IFERROR(__xludf.DUMMYFUNCTION("""COMPUTED_VALUE"""),"AP")</f>
        <v>AP</v>
      </c>
      <c r="R373" s="34" t="str">
        <f>IFERROR(__xludf.DUMMYFUNCTION("""COMPUTED_VALUE"""),"")</f>
        <v/>
      </c>
      <c r="S373" s="35" t="str">
        <f>IFERROR(__xludf.DUMMYFUNCTION("""COMPUTED_VALUE"""),"%")</f>
        <v>%</v>
      </c>
      <c r="T373" s="36">
        <f>IFERROR(__xludf.DUMMYFUNCTION("""COMPUTED_VALUE"""),2.0)</f>
        <v>2</v>
      </c>
      <c r="U373" s="37"/>
      <c r="V373" s="38"/>
      <c r="W373" s="34" t="str">
        <f>IFERROR(__xludf.DUMMYFUNCTION("""COMPUTED_VALUE"""),"")</f>
        <v/>
      </c>
      <c r="X373" s="35" t="str">
        <f>IFERROR(__xludf.DUMMYFUNCTION("""COMPUTED_VALUE"""),"AP")</f>
        <v>AP</v>
      </c>
      <c r="Y373" s="34" t="str">
        <f>IFERROR(__xludf.DUMMYFUNCTION("""COMPUTED_VALUE"""),"")</f>
        <v/>
      </c>
      <c r="Z373" s="35" t="str">
        <f>IFERROR(__xludf.DUMMYFUNCTION("""COMPUTED_VALUE"""),"%")</f>
        <v>%</v>
      </c>
      <c r="AA373" s="36">
        <f>IFERROR(__xludf.DUMMYFUNCTION("""COMPUTED_VALUE"""),3.0)</f>
        <v>3</v>
      </c>
      <c r="AB373" s="37"/>
      <c r="AC373" s="38"/>
      <c r="AD373" s="34" t="str">
        <f>IFERROR(__xludf.DUMMYFUNCTION("""COMPUTED_VALUE"""),"")</f>
        <v/>
      </c>
      <c r="AE373" s="35" t="str">
        <f>IFERROR(__xludf.DUMMYFUNCTION("""COMPUTED_VALUE"""),"AP")</f>
        <v>AP</v>
      </c>
      <c r="AF373" s="34" t="str">
        <f>IFERROR(__xludf.DUMMYFUNCTION("""COMPUTED_VALUE"""),"")</f>
        <v/>
      </c>
      <c r="AG373" s="35" t="str">
        <f>IFERROR(__xludf.DUMMYFUNCTION("""COMPUTED_VALUE"""),"%")</f>
        <v>%</v>
      </c>
      <c r="AH373" s="31">
        <f>IFERROR(__xludf.DUMMYFUNCTION("""COMPUTED_VALUE"""),15.0)</f>
        <v>15</v>
      </c>
      <c r="AI373" s="32">
        <f>IFERROR(__xludf.DUMMYFUNCTION("""COMPUTED_VALUE"""),1102.0)</f>
        <v>1102</v>
      </c>
      <c r="AJ373" s="39" t="str">
        <f>IFERROR(__xludf.DUMMYFUNCTION("""COMPUTED_VALUE"""),"シティ・オブ・ロンドン")</f>
        <v>シティ・オブ・ロンドン</v>
      </c>
    </row>
    <row r="374" ht="24.75" customHeight="1">
      <c r="A374" s="40">
        <f>IFERROR(__xludf.DUMMYFUNCTION("""COMPUTED_VALUE"""),4.0)</f>
        <v>4</v>
      </c>
      <c r="B374" s="40" t="str">
        <f>IFERROR(__xludf.DUMMYFUNCTION("""COMPUTED_VALUE"""),"A208")</f>
        <v>A208</v>
      </c>
      <c r="C374" s="40" t="str">
        <f>IFERROR(__xludf.DUMMYFUNCTION("""COMPUTED_VALUE"""),"LDN5")</f>
        <v>LDN5</v>
      </c>
      <c r="D374" s="41" t="str">
        <f>IFERROR(__xludf.DUMMYFUNCTION("""COMPUTED_VALUE"""),"London")</f>
        <v>London</v>
      </c>
      <c r="E374" s="42" t="str">
        <f>IFERROR(__xludf.DUMMYFUNCTION("""COMPUTED_VALUE"""),"Westminster")</f>
        <v>Westminster</v>
      </c>
      <c r="F374" s="43">
        <f>IFERROR(__xludf.DUMMYFUNCTION("""COMPUTED_VALUE"""),16.0)</f>
        <v>16</v>
      </c>
      <c r="G374" s="44">
        <f>IFERROR(__xludf.DUMMYFUNCTION("""COMPUTED_VALUE"""),1113.0)</f>
        <v>1113</v>
      </c>
      <c r="H374" s="33" t="str">
        <f>IFERROR(__xludf.DUMMYFUNCTION("""COMPUTED_VALUE"""),"")</f>
        <v/>
      </c>
      <c r="I374" s="45">
        <f>IFERROR(__xludf.DUMMYFUNCTION("""COMPUTED_VALUE"""),133.9)</f>
        <v>133.9</v>
      </c>
      <c r="J374" s="46" t="str">
        <f>IFERROR(__xludf.DUMMYFUNCTION("""COMPUTED_VALUE"""),"AP")</f>
        <v>AP</v>
      </c>
      <c r="K374" s="47">
        <f>IFERROR(__xludf.DUMMYFUNCTION("""COMPUTED_VALUE"""),11.9)</f>
        <v>11.9</v>
      </c>
      <c r="L374" s="48" t="str">
        <f>IFERROR(__xludf.DUMMYFUNCTION("""COMPUTED_VALUE"""),"%")</f>
        <v>%</v>
      </c>
      <c r="M374" s="49">
        <f>IFERROR(__xludf.DUMMYFUNCTION("""COMPUTED_VALUE"""),1.0)</f>
        <v>1</v>
      </c>
      <c r="N374" s="50" t="str">
        <f>IFERROR(__xludf.DUMMYFUNCTION("""COMPUTED_VALUE"""),"A304")</f>
        <v>A304</v>
      </c>
      <c r="O374" s="38" t="str">
        <f>IFERROR(__xludf.DUMMYFUNCTION("""COMPUTED_VALUE"""),"")</f>
        <v/>
      </c>
      <c r="P374" s="45">
        <f>IFERROR(__xludf.DUMMYFUNCTION("""COMPUTED_VALUE"""),104.8)</f>
        <v>104.8</v>
      </c>
      <c r="Q374" s="46" t="str">
        <f>IFERROR(__xludf.DUMMYFUNCTION("""COMPUTED_VALUE"""),"AP")</f>
        <v>AP</v>
      </c>
      <c r="R374" s="47">
        <f>IFERROR(__xludf.DUMMYFUNCTION("""COMPUTED_VALUE"""),15.3)</f>
        <v>15.3</v>
      </c>
      <c r="S374" s="48" t="str">
        <f>IFERROR(__xludf.DUMMYFUNCTION("""COMPUTED_VALUE"""),"%")</f>
        <v>%</v>
      </c>
      <c r="T374" s="49">
        <f>IFERROR(__xludf.DUMMYFUNCTION("""COMPUTED_VALUE"""),2.0)</f>
        <v>2</v>
      </c>
      <c r="U374" s="50" t="str">
        <f>IFERROR(__xludf.DUMMYFUNCTION("""COMPUTED_VALUE"""),"B113")</f>
        <v>B113</v>
      </c>
      <c r="V374" s="38" t="str">
        <f>IFERROR(__xludf.DUMMYFUNCTION("""COMPUTED_VALUE"""),"")</f>
        <v/>
      </c>
      <c r="W374" s="45">
        <f>IFERROR(__xludf.DUMMYFUNCTION("""COMPUTED_VALUE"""),468.6)</f>
        <v>468.6</v>
      </c>
      <c r="X374" s="46" t="str">
        <f>IFERROR(__xludf.DUMMYFUNCTION("""COMPUTED_VALUE"""),"AP")</f>
        <v>AP</v>
      </c>
      <c r="Y374" s="47">
        <f>IFERROR(__xludf.DUMMYFUNCTION("""COMPUTED_VALUE"""),3.4)</f>
        <v>3.4</v>
      </c>
      <c r="Z374" s="48" t="str">
        <f>IFERROR(__xludf.DUMMYFUNCTION("""COMPUTED_VALUE"""),"%")</f>
        <v>%</v>
      </c>
      <c r="AA374" s="49">
        <f>IFERROR(__xludf.DUMMYFUNCTION("""COMPUTED_VALUE"""),3.0)</f>
        <v>3</v>
      </c>
      <c r="AB374" s="50"/>
      <c r="AC374" s="38"/>
      <c r="AD374" s="45" t="str">
        <f>IFERROR(__xludf.DUMMYFUNCTION("""COMPUTED_VALUE"""),"")</f>
        <v/>
      </c>
      <c r="AE374" s="46" t="str">
        <f>IFERROR(__xludf.DUMMYFUNCTION("""COMPUTED_VALUE"""),"AP")</f>
        <v>AP</v>
      </c>
      <c r="AF374" s="47" t="str">
        <f>IFERROR(__xludf.DUMMYFUNCTION("""COMPUTED_VALUE"""),"")</f>
        <v/>
      </c>
      <c r="AG374" s="48" t="str">
        <f>IFERROR(__xludf.DUMMYFUNCTION("""COMPUTED_VALUE"""),"%")</f>
        <v>%</v>
      </c>
      <c r="AH374" s="43">
        <f>IFERROR(__xludf.DUMMYFUNCTION("""COMPUTED_VALUE"""),16.0)</f>
        <v>16</v>
      </c>
      <c r="AI374" s="44">
        <f>IFERROR(__xludf.DUMMYFUNCTION("""COMPUTED_VALUE"""),1113.0)</f>
        <v>1113</v>
      </c>
      <c r="AJ374" s="51" t="str">
        <f>IFERROR(__xludf.DUMMYFUNCTION("""COMPUTED_VALUE"""),"ウェストミンスター")</f>
        <v>ウェストミンスター</v>
      </c>
    </row>
    <row r="375" ht="24.75" customHeight="1">
      <c r="A375" s="28">
        <f>IFERROR(__xludf.DUMMYFUNCTION("""COMPUTED_VALUE"""),5.0)</f>
        <v>5</v>
      </c>
      <c r="B375" s="28" t="str">
        <f>IFERROR(__xludf.DUMMYFUNCTION("""COMPUTED_VALUE"""),"A208")</f>
        <v>A208</v>
      </c>
      <c r="C375" s="28" t="str">
        <f>IFERROR(__xludf.DUMMYFUNCTION("""COMPUTED_VALUE"""),"TRF7")</f>
        <v>TRF7</v>
      </c>
      <c r="D375" s="29" t="str">
        <f>IFERROR(__xludf.DUMMYFUNCTION("""COMPUTED_VALUE"""),"Chaldea Gate (Tue)")</f>
        <v>Chaldea Gate (Tue)</v>
      </c>
      <c r="E375" s="30" t="str">
        <f>IFERROR(__xludf.DUMMYFUNCTION("""COMPUTED_VALUE"""),"TUE Lancer Training Ground- Adv")</f>
        <v>TUE Lancer Training Ground- Adv</v>
      </c>
      <c r="F375" s="31">
        <f>IFERROR(__xludf.DUMMYFUNCTION("""COMPUTED_VALUE"""),30.0)</f>
        <v>30</v>
      </c>
      <c r="G375" s="32">
        <f>IFERROR(__xludf.DUMMYFUNCTION("""COMPUTED_VALUE"""),1073.0)</f>
        <v>1073</v>
      </c>
      <c r="H375" s="33" t="str">
        <f>IFERROR(__xludf.DUMMYFUNCTION("""COMPUTED_VALUE"""),"")</f>
        <v/>
      </c>
      <c r="I375" s="34">
        <f>IFERROR(__xludf.DUMMYFUNCTION("""COMPUTED_VALUE"""),166.8)</f>
        <v>166.8</v>
      </c>
      <c r="J375" s="35" t="str">
        <f>IFERROR(__xludf.DUMMYFUNCTION("""COMPUTED_VALUE"""),"AP")</f>
        <v>AP</v>
      </c>
      <c r="K375" s="34">
        <f>IFERROR(__xludf.DUMMYFUNCTION("""COMPUTED_VALUE"""),18.0)</f>
        <v>18</v>
      </c>
      <c r="L375" s="35" t="str">
        <f>IFERROR(__xludf.DUMMYFUNCTION("""COMPUTED_VALUE"""),"%")</f>
        <v>%</v>
      </c>
      <c r="M375" s="36">
        <f>IFERROR(__xludf.DUMMYFUNCTION("""COMPUTED_VALUE"""),1.0)</f>
        <v>1</v>
      </c>
      <c r="N375" s="37" t="str">
        <f>IFERROR(__xludf.DUMMYFUNCTION("""COMPUTED_VALUE"""),"A105")</f>
        <v>A105</v>
      </c>
      <c r="O375" s="38" t="str">
        <f>IFERROR(__xludf.DUMMYFUNCTION("""COMPUTED_VALUE"""),"")</f>
        <v/>
      </c>
      <c r="P375" s="34">
        <f>IFERROR(__xludf.DUMMYFUNCTION("""COMPUTED_VALUE"""),511.0)</f>
        <v>511</v>
      </c>
      <c r="Q375" s="35" t="str">
        <f>IFERROR(__xludf.DUMMYFUNCTION("""COMPUTED_VALUE"""),"AP")</f>
        <v>AP</v>
      </c>
      <c r="R375" s="34">
        <f>IFERROR(__xludf.DUMMYFUNCTION("""COMPUTED_VALUE"""),5.9)</f>
        <v>5.9</v>
      </c>
      <c r="S375" s="35" t="str">
        <f>IFERROR(__xludf.DUMMYFUNCTION("""COMPUTED_VALUE"""),"%")</f>
        <v>%</v>
      </c>
      <c r="T375" s="36">
        <f>IFERROR(__xludf.DUMMYFUNCTION("""COMPUTED_VALUE"""),2.0)</f>
        <v>2</v>
      </c>
      <c r="U375" s="37" t="str">
        <f>IFERROR(__xludf.DUMMYFUNCTION("""COMPUTED_VALUE"""),"A201")</f>
        <v>A201</v>
      </c>
      <c r="V375" s="38" t="str">
        <f>IFERROR(__xludf.DUMMYFUNCTION("""COMPUTED_VALUE"""),"")</f>
        <v/>
      </c>
      <c r="W375" s="34">
        <f>IFERROR(__xludf.DUMMYFUNCTION("""COMPUTED_VALUE"""),157.0)</f>
        <v>157</v>
      </c>
      <c r="X375" s="35" t="str">
        <f>IFERROR(__xludf.DUMMYFUNCTION("""COMPUTED_VALUE"""),"AP")</f>
        <v>AP</v>
      </c>
      <c r="Y375" s="34">
        <f>IFERROR(__xludf.DUMMYFUNCTION("""COMPUTED_VALUE"""),19.1)</f>
        <v>19.1</v>
      </c>
      <c r="Z375" s="35" t="str">
        <f>IFERROR(__xludf.DUMMYFUNCTION("""COMPUTED_VALUE"""),"%")</f>
        <v>%</v>
      </c>
      <c r="AA375" s="36">
        <f>IFERROR(__xludf.DUMMYFUNCTION("""COMPUTED_VALUE"""),3.0)</f>
        <v>3</v>
      </c>
      <c r="AB375" s="37" t="str">
        <f>IFERROR(__xludf.DUMMYFUNCTION("""COMPUTED_VALUE"""),"A205")</f>
        <v>A205</v>
      </c>
      <c r="AC375" s="38" t="str">
        <f>IFERROR(__xludf.DUMMYFUNCTION("""COMPUTED_VALUE"""),"")</f>
        <v/>
      </c>
      <c r="AD375" s="34">
        <f>IFERROR(__xludf.DUMMYFUNCTION("""COMPUTED_VALUE"""),349.9)</f>
        <v>349.9</v>
      </c>
      <c r="AE375" s="35" t="str">
        <f>IFERROR(__xludf.DUMMYFUNCTION("""COMPUTED_VALUE"""),"AP")</f>
        <v>AP</v>
      </c>
      <c r="AF375" s="34">
        <f>IFERROR(__xludf.DUMMYFUNCTION("""COMPUTED_VALUE"""),8.6)</f>
        <v>8.6</v>
      </c>
      <c r="AG375" s="35" t="str">
        <f>IFERROR(__xludf.DUMMYFUNCTION("""COMPUTED_VALUE"""),"%")</f>
        <v>%</v>
      </c>
      <c r="AH375" s="31">
        <f>IFERROR(__xludf.DUMMYFUNCTION("""COMPUTED_VALUE"""),30.0)</f>
        <v>30</v>
      </c>
      <c r="AI375" s="32">
        <f>IFERROR(__xludf.DUMMYFUNCTION("""COMPUTED_VALUE"""),1073.0)</f>
        <v>1073</v>
      </c>
      <c r="AJ375" s="39" t="str">
        <f>IFERROR(__xludf.DUMMYFUNCTION("""COMPUTED_VALUE"""),"槍上級")</f>
        <v>槍上級</v>
      </c>
    </row>
    <row r="376" ht="24.75" customHeight="1">
      <c r="A376" s="40">
        <f>IFERROR(__xludf.DUMMYFUNCTION("""COMPUTED_VALUE"""),6.0)</f>
        <v>6</v>
      </c>
      <c r="B376" s="40" t="str">
        <f>IFERROR(__xludf.DUMMYFUNCTION("""COMPUTED_VALUE"""),"A208")</f>
        <v>A208</v>
      </c>
      <c r="C376" s="40" t="str">
        <f>IFERROR(__xludf.DUMMYFUNCTION("""COMPUTED_VALUE"""),"LDN4")</f>
        <v>LDN4</v>
      </c>
      <c r="D376" s="41" t="str">
        <f>IFERROR(__xludf.DUMMYFUNCTION("""COMPUTED_VALUE"""),"London")</f>
        <v>London</v>
      </c>
      <c r="E376" s="42" t="str">
        <f>IFERROR(__xludf.DUMMYFUNCTION("""COMPUTED_VALUE"""),"Soho")</f>
        <v>Soho</v>
      </c>
      <c r="F376" s="43">
        <f>IFERROR(__xludf.DUMMYFUNCTION("""COMPUTED_VALUE"""),16.0)</f>
        <v>16</v>
      </c>
      <c r="G376" s="44">
        <f>IFERROR(__xludf.DUMMYFUNCTION("""COMPUTED_VALUE"""),1106.0)</f>
        <v>1106</v>
      </c>
      <c r="H376" s="33" t="str">
        <f>IFERROR(__xludf.DUMMYFUNCTION("""COMPUTED_VALUE"""),"")</f>
        <v/>
      </c>
      <c r="I376" s="45">
        <f>IFERROR(__xludf.DUMMYFUNCTION("""COMPUTED_VALUE"""),175.2)</f>
        <v>175.2</v>
      </c>
      <c r="J376" s="46" t="str">
        <f>IFERROR(__xludf.DUMMYFUNCTION("""COMPUTED_VALUE"""),"AP")</f>
        <v>AP</v>
      </c>
      <c r="K376" s="47">
        <f>IFERROR(__xludf.DUMMYFUNCTION("""COMPUTED_VALUE"""),9.1)</f>
        <v>9.1</v>
      </c>
      <c r="L376" s="48" t="str">
        <f>IFERROR(__xludf.DUMMYFUNCTION("""COMPUTED_VALUE"""),"%")</f>
        <v>%</v>
      </c>
      <c r="M376" s="49">
        <f>IFERROR(__xludf.DUMMYFUNCTION("""COMPUTED_VALUE"""),1.0)</f>
        <v>1</v>
      </c>
      <c r="N376" s="50" t="str">
        <f>IFERROR(__xludf.DUMMYFUNCTION("""COMPUTED_VALUE"""),"A206")</f>
        <v>A206</v>
      </c>
      <c r="O376" s="38" t="str">
        <f>IFERROR(__xludf.DUMMYFUNCTION("""COMPUTED_VALUE"""),"")</f>
        <v/>
      </c>
      <c r="P376" s="45">
        <f>IFERROR(__xludf.DUMMYFUNCTION("""COMPUTED_VALUE"""),276.5)</f>
        <v>276.5</v>
      </c>
      <c r="Q376" s="46" t="str">
        <f>IFERROR(__xludf.DUMMYFUNCTION("""COMPUTED_VALUE"""),"AP")</f>
        <v>AP</v>
      </c>
      <c r="R376" s="47">
        <f>IFERROR(__xludf.DUMMYFUNCTION("""COMPUTED_VALUE"""),5.8)</f>
        <v>5.8</v>
      </c>
      <c r="S376" s="48" t="str">
        <f>IFERROR(__xludf.DUMMYFUNCTION("""COMPUTED_VALUE"""),"%")</f>
        <v>%</v>
      </c>
      <c r="T376" s="49">
        <f>IFERROR(__xludf.DUMMYFUNCTION("""COMPUTED_VALUE"""),2.0)</f>
        <v>2</v>
      </c>
      <c r="U376" s="50" t="str">
        <f>IFERROR(__xludf.DUMMYFUNCTION("""COMPUTED_VALUE"""),"A304")</f>
        <v>A304</v>
      </c>
      <c r="V376" s="38" t="str">
        <f>IFERROR(__xludf.DUMMYFUNCTION("""COMPUTED_VALUE"""),"")</f>
        <v/>
      </c>
      <c r="W376" s="45">
        <f>IFERROR(__xludf.DUMMYFUNCTION("""COMPUTED_VALUE"""),97.2)</f>
        <v>97.2</v>
      </c>
      <c r="X376" s="46" t="str">
        <f>IFERROR(__xludf.DUMMYFUNCTION("""COMPUTED_VALUE"""),"AP")</f>
        <v>AP</v>
      </c>
      <c r="Y376" s="47">
        <f>IFERROR(__xludf.DUMMYFUNCTION("""COMPUTED_VALUE"""),16.5)</f>
        <v>16.5</v>
      </c>
      <c r="Z376" s="48" t="str">
        <f>IFERROR(__xludf.DUMMYFUNCTION("""COMPUTED_VALUE"""),"%")</f>
        <v>%</v>
      </c>
      <c r="AA376" s="49">
        <f>IFERROR(__xludf.DUMMYFUNCTION("""COMPUTED_VALUE"""),3.0)</f>
        <v>3</v>
      </c>
      <c r="AB376" s="50" t="str">
        <f>IFERROR(__xludf.DUMMYFUNCTION("""COMPUTED_VALUE"""),"B113")</f>
        <v>B113</v>
      </c>
      <c r="AC376" s="38" t="str">
        <f>IFERROR(__xludf.DUMMYFUNCTION("""COMPUTED_VALUE"""),"")</f>
        <v/>
      </c>
      <c r="AD376" s="45">
        <f>IFERROR(__xludf.DUMMYFUNCTION("""COMPUTED_VALUE"""),333.9)</f>
        <v>333.9</v>
      </c>
      <c r="AE376" s="46" t="str">
        <f>IFERROR(__xludf.DUMMYFUNCTION("""COMPUTED_VALUE"""),"AP")</f>
        <v>AP</v>
      </c>
      <c r="AF376" s="47">
        <f>IFERROR(__xludf.DUMMYFUNCTION("""COMPUTED_VALUE"""),4.8)</f>
        <v>4.8</v>
      </c>
      <c r="AG376" s="48" t="str">
        <f>IFERROR(__xludf.DUMMYFUNCTION("""COMPUTED_VALUE"""),"%")</f>
        <v>%</v>
      </c>
      <c r="AH376" s="43">
        <f>IFERROR(__xludf.DUMMYFUNCTION("""COMPUTED_VALUE"""),16.0)</f>
        <v>16</v>
      </c>
      <c r="AI376" s="44">
        <f>IFERROR(__xludf.DUMMYFUNCTION("""COMPUTED_VALUE"""),1106.0)</f>
        <v>1106</v>
      </c>
      <c r="AJ376" s="51" t="str">
        <f>IFERROR(__xludf.DUMMYFUNCTION("""COMPUTED_VALUE"""),"ソーホー")</f>
        <v>ソーホー</v>
      </c>
    </row>
    <row r="377" ht="24.75" customHeight="1">
      <c r="A377" s="28">
        <f>IFERROR(__xludf.DUMMYFUNCTION("""COMPUTED_VALUE"""),7.0)</f>
        <v>7</v>
      </c>
      <c r="B377" s="28" t="str">
        <f>IFERROR(__xludf.DUMMYFUNCTION("""COMPUTED_VALUE"""),"A208")</f>
        <v>A208</v>
      </c>
      <c r="C377" s="28" t="str">
        <f>IFERROR(__xludf.DUMMYFUNCTION("""COMPUTED_VALUE"""),"TRF8")</f>
        <v>TRF8</v>
      </c>
      <c r="D377" s="29" t="str">
        <f>IFERROR(__xludf.DUMMYFUNCTION("""COMPUTED_VALUE"""),"Chaldea Gate (Tue)")</f>
        <v>Chaldea Gate (Tue)</v>
      </c>
      <c r="E377" s="30" t="str">
        <f>IFERROR(__xludf.DUMMYFUNCTION("""COMPUTED_VALUE"""),"TUE Lancer Training Ground- Exp")</f>
        <v>TUE Lancer Training Ground- Exp</v>
      </c>
      <c r="F377" s="31">
        <f>IFERROR(__xludf.DUMMYFUNCTION("""COMPUTED_VALUE"""),40.0)</f>
        <v>40</v>
      </c>
      <c r="G377" s="32">
        <f>IFERROR(__xludf.DUMMYFUNCTION("""COMPUTED_VALUE"""),6290.0)</f>
        <v>6290</v>
      </c>
      <c r="H377" s="33" t="str">
        <f>IFERROR(__xludf.DUMMYFUNCTION("""COMPUTED_VALUE"""),"")</f>
        <v/>
      </c>
      <c r="I377" s="34">
        <f>IFERROR(__xludf.DUMMYFUNCTION("""COMPUTED_VALUE"""),189.8)</f>
        <v>189.8</v>
      </c>
      <c r="J377" s="35" t="str">
        <f>IFERROR(__xludf.DUMMYFUNCTION("""COMPUTED_VALUE"""),"AP")</f>
        <v>AP</v>
      </c>
      <c r="K377" s="34">
        <f>IFERROR(__xludf.DUMMYFUNCTION("""COMPUTED_VALUE"""),21.1)</f>
        <v>21.1</v>
      </c>
      <c r="L377" s="35" t="str">
        <f>IFERROR(__xludf.DUMMYFUNCTION("""COMPUTED_VALUE"""),"%")</f>
        <v>%</v>
      </c>
      <c r="M377" s="36">
        <f>IFERROR(__xludf.DUMMYFUNCTION("""COMPUTED_VALUE"""),1.0)</f>
        <v>1</v>
      </c>
      <c r="N377" s="37" t="str">
        <f>IFERROR(__xludf.DUMMYFUNCTION("""COMPUTED_VALUE"""),"A105")</f>
        <v>A105</v>
      </c>
      <c r="O377" s="38" t="str">
        <f>IFERROR(__xludf.DUMMYFUNCTION("""COMPUTED_VALUE"""),"")</f>
        <v/>
      </c>
      <c r="P377" s="34">
        <f>IFERROR(__xludf.DUMMYFUNCTION("""COMPUTED_VALUE"""),311.9)</f>
        <v>311.9</v>
      </c>
      <c r="Q377" s="35" t="str">
        <f>IFERROR(__xludf.DUMMYFUNCTION("""COMPUTED_VALUE"""),"AP")</f>
        <v>AP</v>
      </c>
      <c r="R377" s="34">
        <f>IFERROR(__xludf.DUMMYFUNCTION("""COMPUTED_VALUE"""),12.8)</f>
        <v>12.8</v>
      </c>
      <c r="S377" s="35" t="str">
        <f>IFERROR(__xludf.DUMMYFUNCTION("""COMPUTED_VALUE"""),"%")</f>
        <v>%</v>
      </c>
      <c r="T377" s="36">
        <f>IFERROR(__xludf.DUMMYFUNCTION("""COMPUTED_VALUE"""),2.0)</f>
        <v>2</v>
      </c>
      <c r="U377" s="37" t="str">
        <f>IFERROR(__xludf.DUMMYFUNCTION("""COMPUTED_VALUE"""),"A201")</f>
        <v>A201</v>
      </c>
      <c r="V377" s="38" t="str">
        <f>IFERROR(__xludf.DUMMYFUNCTION("""COMPUTED_VALUE"""),"")</f>
        <v/>
      </c>
      <c r="W377" s="34">
        <f>IFERROR(__xludf.DUMMYFUNCTION("""COMPUTED_VALUE"""),155.4)</f>
        <v>155.4</v>
      </c>
      <c r="X377" s="35" t="str">
        <f>IFERROR(__xludf.DUMMYFUNCTION("""COMPUTED_VALUE"""),"AP")</f>
        <v>AP</v>
      </c>
      <c r="Y377" s="34">
        <f>IFERROR(__xludf.DUMMYFUNCTION("""COMPUTED_VALUE"""),25.7)</f>
        <v>25.7</v>
      </c>
      <c r="Z377" s="35" t="str">
        <f>IFERROR(__xludf.DUMMYFUNCTION("""COMPUTED_VALUE"""),"%")</f>
        <v>%</v>
      </c>
      <c r="AA377" s="36">
        <f>IFERROR(__xludf.DUMMYFUNCTION("""COMPUTED_VALUE"""),3.0)</f>
        <v>3</v>
      </c>
      <c r="AB377" s="37" t="str">
        <f>IFERROR(__xludf.DUMMYFUNCTION("""COMPUTED_VALUE"""),"A205")</f>
        <v>A205</v>
      </c>
      <c r="AC377" s="38" t="str">
        <f>IFERROR(__xludf.DUMMYFUNCTION("""COMPUTED_VALUE"""),"")</f>
        <v/>
      </c>
      <c r="AD377" s="34">
        <f>IFERROR(__xludf.DUMMYFUNCTION("""COMPUTED_VALUE"""),362.7)</f>
        <v>362.7</v>
      </c>
      <c r="AE377" s="35" t="str">
        <f>IFERROR(__xludf.DUMMYFUNCTION("""COMPUTED_VALUE"""),"AP")</f>
        <v>AP</v>
      </c>
      <c r="AF377" s="34">
        <f>IFERROR(__xludf.DUMMYFUNCTION("""COMPUTED_VALUE"""),11.0)</f>
        <v>11</v>
      </c>
      <c r="AG377" s="35" t="str">
        <f>IFERROR(__xludf.DUMMYFUNCTION("""COMPUTED_VALUE"""),"%")</f>
        <v>%</v>
      </c>
      <c r="AH377" s="31">
        <f>IFERROR(__xludf.DUMMYFUNCTION("""COMPUTED_VALUE"""),40.0)</f>
        <v>40</v>
      </c>
      <c r="AI377" s="32">
        <f>IFERROR(__xludf.DUMMYFUNCTION("""COMPUTED_VALUE"""),6290.0)</f>
        <v>6290</v>
      </c>
      <c r="AJ377" s="39" t="str">
        <f>IFERROR(__xludf.DUMMYFUNCTION("""COMPUTED_VALUE"""),"槍超級")</f>
        <v>槍超級</v>
      </c>
    </row>
    <row r="378" ht="24.75" customHeight="1">
      <c r="A378" s="40">
        <f>IFERROR(__xludf.DUMMYFUNCTION("""COMPUTED_VALUE"""),8.0)</f>
        <v>8</v>
      </c>
      <c r="B378" s="40" t="str">
        <f>IFERROR(__xludf.DUMMYFUNCTION("""COMPUTED_VALUE"""),"A208")</f>
        <v>A208</v>
      </c>
      <c r="C378" s="40" t="str">
        <f>IFERROR(__xludf.DUMMYFUNCTION("""COMPUTED_VALUE"""),"TRF6")</f>
        <v>TRF6</v>
      </c>
      <c r="D378" s="41" t="str">
        <f>IFERROR(__xludf.DUMMYFUNCTION("""COMPUTED_VALUE"""),"Chaldea Gate (Tue)")</f>
        <v>Chaldea Gate (Tue)</v>
      </c>
      <c r="E378" s="42" t="str">
        <f>IFERROR(__xludf.DUMMYFUNCTION("""COMPUTED_VALUE"""),"TUE Lancer Training Ground- Int")</f>
        <v>TUE Lancer Training Ground- Int</v>
      </c>
      <c r="F378" s="43">
        <f>IFERROR(__xludf.DUMMYFUNCTION("""COMPUTED_VALUE"""),20.0)</f>
        <v>20</v>
      </c>
      <c r="G378" s="44">
        <f>IFERROR(__xludf.DUMMYFUNCTION("""COMPUTED_VALUE"""),1051.0)</f>
        <v>1051</v>
      </c>
      <c r="H378" s="33" t="str">
        <f>IFERROR(__xludf.DUMMYFUNCTION("""COMPUTED_VALUE"""),"")</f>
        <v/>
      </c>
      <c r="I378" s="45">
        <f>IFERROR(__xludf.DUMMYFUNCTION("""COMPUTED_VALUE"""),198.3)</f>
        <v>198.3</v>
      </c>
      <c r="J378" s="46" t="str">
        <f>IFERROR(__xludf.DUMMYFUNCTION("""COMPUTED_VALUE"""),"AP")</f>
        <v>AP</v>
      </c>
      <c r="K378" s="47">
        <f>IFERROR(__xludf.DUMMYFUNCTION("""COMPUTED_VALUE"""),10.1)</f>
        <v>10.1</v>
      </c>
      <c r="L378" s="48" t="str">
        <f>IFERROR(__xludf.DUMMYFUNCTION("""COMPUTED_VALUE"""),"%")</f>
        <v>%</v>
      </c>
      <c r="M378" s="49">
        <f>IFERROR(__xludf.DUMMYFUNCTION("""COMPUTED_VALUE"""),1.0)</f>
        <v>1</v>
      </c>
      <c r="N378" s="50" t="str">
        <f>IFERROR(__xludf.DUMMYFUNCTION("""COMPUTED_VALUE"""),"A201")</f>
        <v>A201</v>
      </c>
      <c r="O378" s="38" t="str">
        <f>IFERROR(__xludf.DUMMYFUNCTION("""COMPUTED_VALUE"""),"")</f>
        <v/>
      </c>
      <c r="P378" s="45">
        <f>IFERROR(__xludf.DUMMYFUNCTION("""COMPUTED_VALUE"""),165.5)</f>
        <v>165.5</v>
      </c>
      <c r="Q378" s="46" t="str">
        <f>IFERROR(__xludf.DUMMYFUNCTION("""COMPUTED_VALUE"""),"AP")</f>
        <v>AP</v>
      </c>
      <c r="R378" s="47">
        <f>IFERROR(__xludf.DUMMYFUNCTION("""COMPUTED_VALUE"""),12.1)</f>
        <v>12.1</v>
      </c>
      <c r="S378" s="48" t="str">
        <f>IFERROR(__xludf.DUMMYFUNCTION("""COMPUTED_VALUE"""),"%")</f>
        <v>%</v>
      </c>
      <c r="T378" s="49">
        <f>IFERROR(__xludf.DUMMYFUNCTION("""COMPUTED_VALUE"""),2.0)</f>
        <v>2</v>
      </c>
      <c r="U378" s="50" t="str">
        <f>IFERROR(__xludf.DUMMYFUNCTION("""COMPUTED_VALUE"""),"A301")</f>
        <v>A301</v>
      </c>
      <c r="V378" s="38" t="str">
        <f>IFERROR(__xludf.DUMMYFUNCTION("""COMPUTED_VALUE"""),"")</f>
        <v/>
      </c>
      <c r="W378" s="45">
        <f>IFERROR(__xludf.DUMMYFUNCTION("""COMPUTED_VALUE"""),253.3)</f>
        <v>253.3</v>
      </c>
      <c r="X378" s="46" t="str">
        <f>IFERROR(__xludf.DUMMYFUNCTION("""COMPUTED_VALUE"""),"AP")</f>
        <v>AP</v>
      </c>
      <c r="Y378" s="47">
        <f>IFERROR(__xludf.DUMMYFUNCTION("""COMPUTED_VALUE"""),7.9)</f>
        <v>7.9</v>
      </c>
      <c r="Z378" s="48" t="str">
        <f>IFERROR(__xludf.DUMMYFUNCTION("""COMPUTED_VALUE"""),"%")</f>
        <v>%</v>
      </c>
      <c r="AA378" s="49">
        <f>IFERROR(__xludf.DUMMYFUNCTION("""COMPUTED_VALUE"""),3.0)</f>
        <v>3</v>
      </c>
      <c r="AB378" s="50" t="str">
        <f>IFERROR(__xludf.DUMMYFUNCTION("""COMPUTED_VALUE"""),"A302")</f>
        <v>A302</v>
      </c>
      <c r="AC378" s="38" t="str">
        <f>IFERROR(__xludf.DUMMYFUNCTION("""COMPUTED_VALUE"""),"")</f>
        <v/>
      </c>
      <c r="AD378" s="45">
        <f>IFERROR(__xludf.DUMMYFUNCTION("""COMPUTED_VALUE"""),107.8)</f>
        <v>107.8</v>
      </c>
      <c r="AE378" s="46" t="str">
        <f>IFERROR(__xludf.DUMMYFUNCTION("""COMPUTED_VALUE"""),"AP")</f>
        <v>AP</v>
      </c>
      <c r="AF378" s="47">
        <f>IFERROR(__xludf.DUMMYFUNCTION("""COMPUTED_VALUE"""),18.6)</f>
        <v>18.6</v>
      </c>
      <c r="AG378" s="48" t="str">
        <f>IFERROR(__xludf.DUMMYFUNCTION("""COMPUTED_VALUE"""),"%")</f>
        <v>%</v>
      </c>
      <c r="AH378" s="43">
        <f>IFERROR(__xludf.DUMMYFUNCTION("""COMPUTED_VALUE"""),20.0)</f>
        <v>20</v>
      </c>
      <c r="AI378" s="44">
        <f>IFERROR(__xludf.DUMMYFUNCTION("""COMPUTED_VALUE"""),1051.0)</f>
        <v>1051</v>
      </c>
      <c r="AJ378" s="51" t="str">
        <f>IFERROR(__xludf.DUMMYFUNCTION("""COMPUTED_VALUE"""),"槍中級")</f>
        <v>槍中級</v>
      </c>
    </row>
    <row r="379" ht="24.75" customHeight="1">
      <c r="A379" s="28">
        <f>IFERROR(__xludf.DUMMYFUNCTION("""COMPUTED_VALUE"""),9.0)</f>
        <v>9</v>
      </c>
      <c r="B379" s="28" t="str">
        <f>IFERROR(__xludf.DUMMYFUNCTION("""COMPUTED_VALUE"""),"A208")</f>
        <v>A208</v>
      </c>
      <c r="C379" s="28" t="str">
        <f>IFERROR(__xludf.DUMMYFUNCTION("""COMPUTED_VALUE"""),"TRF5")</f>
        <v>TRF5</v>
      </c>
      <c r="D379" s="29" t="str">
        <f>IFERROR(__xludf.DUMMYFUNCTION("""COMPUTED_VALUE"""),"Chaldea Gate (Tue)")</f>
        <v>Chaldea Gate (Tue)</v>
      </c>
      <c r="E379" s="30" t="str">
        <f>IFERROR(__xludf.DUMMYFUNCTION("""COMPUTED_VALUE"""),"TUE Lancer Training Ground- Nov")</f>
        <v>TUE Lancer Training Ground- Nov</v>
      </c>
      <c r="F379" s="31">
        <f>IFERROR(__xludf.DUMMYFUNCTION("""COMPUTED_VALUE"""),10.0)</f>
        <v>10</v>
      </c>
      <c r="G379" s="32">
        <f>IFERROR(__xludf.DUMMYFUNCTION("""COMPUTED_VALUE"""),1961.0)</f>
        <v>1961</v>
      </c>
      <c r="H379" s="33" t="str">
        <f>IFERROR(__xludf.DUMMYFUNCTION("""COMPUTED_VALUE"""),"")</f>
        <v/>
      </c>
      <c r="I379" s="34">
        <f>IFERROR(__xludf.DUMMYFUNCTION("""COMPUTED_VALUE"""),205.7)</f>
        <v>205.7</v>
      </c>
      <c r="J379" s="35" t="str">
        <f>IFERROR(__xludf.DUMMYFUNCTION("""COMPUTED_VALUE"""),"AP")</f>
        <v>AP</v>
      </c>
      <c r="K379" s="34">
        <f>IFERROR(__xludf.DUMMYFUNCTION("""COMPUTED_VALUE"""),4.9)</f>
        <v>4.9</v>
      </c>
      <c r="L379" s="35" t="str">
        <f>IFERROR(__xludf.DUMMYFUNCTION("""COMPUTED_VALUE"""),"%")</f>
        <v>%</v>
      </c>
      <c r="M379" s="36">
        <f>IFERROR(__xludf.DUMMYFUNCTION("""COMPUTED_VALUE"""),1.0)</f>
        <v>1</v>
      </c>
      <c r="N379" s="37" t="str">
        <f>IFERROR(__xludf.DUMMYFUNCTION("""COMPUTED_VALUE"""),"A301")</f>
        <v>A301</v>
      </c>
      <c r="O379" s="38" t="str">
        <f>IFERROR(__xludf.DUMMYFUNCTION("""COMPUTED_VALUE"""),"")</f>
        <v/>
      </c>
      <c r="P379" s="34">
        <f>IFERROR(__xludf.DUMMYFUNCTION("""COMPUTED_VALUE"""),83.8)</f>
        <v>83.8</v>
      </c>
      <c r="Q379" s="35" t="str">
        <f>IFERROR(__xludf.DUMMYFUNCTION("""COMPUTED_VALUE"""),"AP")</f>
        <v>AP</v>
      </c>
      <c r="R379" s="34">
        <f>IFERROR(__xludf.DUMMYFUNCTION("""COMPUTED_VALUE"""),11.9)</f>
        <v>11.9</v>
      </c>
      <c r="S379" s="35" t="str">
        <f>IFERROR(__xludf.DUMMYFUNCTION("""COMPUTED_VALUE"""),"%")</f>
        <v>%</v>
      </c>
      <c r="T379" s="36">
        <f>IFERROR(__xludf.DUMMYFUNCTION("""COMPUTED_VALUE"""),2.0)</f>
        <v>2</v>
      </c>
      <c r="U379" s="37" t="str">
        <f>IFERROR(__xludf.DUMMYFUNCTION("""COMPUTED_VALUE"""),"A302")</f>
        <v>A302</v>
      </c>
      <c r="V379" s="38" t="str">
        <f>IFERROR(__xludf.DUMMYFUNCTION("""COMPUTED_VALUE"""),"")</f>
        <v/>
      </c>
      <c r="W379" s="34">
        <f>IFERROR(__xludf.DUMMYFUNCTION("""COMPUTED_VALUE"""),37.8)</f>
        <v>37.8</v>
      </c>
      <c r="X379" s="35" t="str">
        <f>IFERROR(__xludf.DUMMYFUNCTION("""COMPUTED_VALUE"""),"AP")</f>
        <v>AP</v>
      </c>
      <c r="Y379" s="34">
        <f>IFERROR(__xludf.DUMMYFUNCTION("""COMPUTED_VALUE"""),26.5)</f>
        <v>26.5</v>
      </c>
      <c r="Z379" s="35" t="str">
        <f>IFERROR(__xludf.DUMMYFUNCTION("""COMPUTED_VALUE"""),"%")</f>
        <v>%</v>
      </c>
      <c r="AA379" s="36">
        <f>IFERROR(__xludf.DUMMYFUNCTION("""COMPUTED_VALUE"""),3.0)</f>
        <v>3</v>
      </c>
      <c r="AB379" s="37" t="str">
        <f>IFERROR(__xludf.DUMMYFUNCTION("""COMPUTED_VALUE"""),"A304")</f>
        <v>A304</v>
      </c>
      <c r="AC379" s="38" t="str">
        <f>IFERROR(__xludf.DUMMYFUNCTION("""COMPUTED_VALUE"""),"")</f>
        <v/>
      </c>
      <c r="AD379" s="34">
        <f>IFERROR(__xludf.DUMMYFUNCTION("""COMPUTED_VALUE"""),186.7)</f>
        <v>186.7</v>
      </c>
      <c r="AE379" s="35" t="str">
        <f>IFERROR(__xludf.DUMMYFUNCTION("""COMPUTED_VALUE"""),"AP")</f>
        <v>AP</v>
      </c>
      <c r="AF379" s="34">
        <f>IFERROR(__xludf.DUMMYFUNCTION("""COMPUTED_VALUE"""),5.4)</f>
        <v>5.4</v>
      </c>
      <c r="AG379" s="35" t="str">
        <f>IFERROR(__xludf.DUMMYFUNCTION("""COMPUTED_VALUE"""),"%")</f>
        <v>%</v>
      </c>
      <c r="AH379" s="31">
        <f>IFERROR(__xludf.DUMMYFUNCTION("""COMPUTED_VALUE"""),10.0)</f>
        <v>10</v>
      </c>
      <c r="AI379" s="32">
        <f>IFERROR(__xludf.DUMMYFUNCTION("""COMPUTED_VALUE"""),1961.0)</f>
        <v>1961</v>
      </c>
      <c r="AJ379" s="39" t="str">
        <f>IFERROR(__xludf.DUMMYFUNCTION("""COMPUTED_VALUE"""),"槍初級")</f>
        <v>槍初級</v>
      </c>
    </row>
    <row r="380" ht="24.75" customHeight="1">
      <c r="A380" s="40">
        <f>IFERROR(__xludf.DUMMYFUNCTION("""COMPUTED_VALUE"""),10.0)</f>
        <v>10</v>
      </c>
      <c r="B380" s="40" t="str">
        <f>IFERROR(__xludf.DUMMYFUNCTION("""COMPUTED_VALUE"""),"A208")</f>
        <v>A208</v>
      </c>
      <c r="C380" s="40"/>
      <c r="D380" s="41"/>
      <c r="E380" s="66"/>
      <c r="F380" s="43"/>
      <c r="G380" s="44"/>
      <c r="H380" s="33" t="str">
        <f>IFERROR(__xludf.DUMMYFUNCTION("""COMPUTED_VALUE""")," ")</f>
        <v> </v>
      </c>
      <c r="I380" s="45"/>
      <c r="J380" s="46" t="str">
        <f>IFERROR(__xludf.DUMMYFUNCTION("""COMPUTED_VALUE"""),"AP")</f>
        <v>AP</v>
      </c>
      <c r="K380" s="47"/>
      <c r="L380" s="48" t="str">
        <f>IFERROR(__xludf.DUMMYFUNCTION("""COMPUTED_VALUE"""),"%")</f>
        <v>%</v>
      </c>
      <c r="M380" s="49">
        <f>IFERROR(__xludf.DUMMYFUNCTION("""COMPUTED_VALUE"""),1.0)</f>
        <v>1</v>
      </c>
      <c r="N380" s="50"/>
      <c r="O380" s="38"/>
      <c r="P380" s="45" t="str">
        <f>IFERROR(__xludf.DUMMYFUNCTION("""COMPUTED_VALUE"""),"")</f>
        <v/>
      </c>
      <c r="Q380" s="46" t="str">
        <f>IFERROR(__xludf.DUMMYFUNCTION("""COMPUTED_VALUE"""),"AP")</f>
        <v>AP</v>
      </c>
      <c r="R380" s="47" t="str">
        <f>IFERROR(__xludf.DUMMYFUNCTION("""COMPUTED_VALUE"""),"")</f>
        <v/>
      </c>
      <c r="S380" s="48" t="str">
        <f>IFERROR(__xludf.DUMMYFUNCTION("""COMPUTED_VALUE"""),"%")</f>
        <v>%</v>
      </c>
      <c r="T380" s="49">
        <f>IFERROR(__xludf.DUMMYFUNCTION("""COMPUTED_VALUE"""),2.0)</f>
        <v>2</v>
      </c>
      <c r="U380" s="50"/>
      <c r="V380" s="38"/>
      <c r="W380" s="45" t="str">
        <f>IFERROR(__xludf.DUMMYFUNCTION("""COMPUTED_VALUE"""),"")</f>
        <v/>
      </c>
      <c r="X380" s="46" t="str">
        <f>IFERROR(__xludf.DUMMYFUNCTION("""COMPUTED_VALUE"""),"AP")</f>
        <v>AP</v>
      </c>
      <c r="Y380" s="47" t="str">
        <f>IFERROR(__xludf.DUMMYFUNCTION("""COMPUTED_VALUE"""),"")</f>
        <v/>
      </c>
      <c r="Z380" s="48" t="str">
        <f>IFERROR(__xludf.DUMMYFUNCTION("""COMPUTED_VALUE"""),"%")</f>
        <v>%</v>
      </c>
      <c r="AA380" s="49">
        <f>IFERROR(__xludf.DUMMYFUNCTION("""COMPUTED_VALUE"""),3.0)</f>
        <v>3</v>
      </c>
      <c r="AB380" s="50"/>
      <c r="AC380" s="38"/>
      <c r="AD380" s="45" t="str">
        <f>IFERROR(__xludf.DUMMYFUNCTION("""COMPUTED_VALUE"""),"")</f>
        <v/>
      </c>
      <c r="AE380" s="46" t="str">
        <f>IFERROR(__xludf.DUMMYFUNCTION("""COMPUTED_VALUE"""),"AP")</f>
        <v>AP</v>
      </c>
      <c r="AF380" s="47" t="str">
        <f>IFERROR(__xludf.DUMMYFUNCTION("""COMPUTED_VALUE"""),"")</f>
        <v/>
      </c>
      <c r="AG380" s="48" t="str">
        <f>IFERROR(__xludf.DUMMYFUNCTION("""COMPUTED_VALUE"""),"%")</f>
        <v>%</v>
      </c>
      <c r="AH380" s="43"/>
      <c r="AI380" s="44"/>
      <c r="AJ380" s="51"/>
    </row>
    <row r="381" ht="24.75" hidden="1" customHeight="1">
      <c r="A381" s="28">
        <f>IFERROR(__xludf.DUMMYFUNCTION("""COMPUTED_VALUE"""),11.0)</f>
        <v>11</v>
      </c>
      <c r="B381" s="28" t="str">
        <f>IFERROR(__xludf.DUMMYFUNCTION("""COMPUTED_VALUE"""),"A208")</f>
        <v>A208</v>
      </c>
      <c r="C381" s="28"/>
      <c r="D381" s="29"/>
      <c r="E381" s="67"/>
      <c r="F381" s="31"/>
      <c r="G381" s="32"/>
      <c r="H381" s="33" t="str">
        <f>IFERROR(__xludf.DUMMYFUNCTION("""COMPUTED_VALUE""")," ")</f>
        <v> </v>
      </c>
      <c r="I381" s="34"/>
      <c r="J381" s="35" t="str">
        <f>IFERROR(__xludf.DUMMYFUNCTION("""COMPUTED_VALUE"""),"AP")</f>
        <v>AP</v>
      </c>
      <c r="K381" s="34"/>
      <c r="L381" s="35" t="str">
        <f>IFERROR(__xludf.DUMMYFUNCTION("""COMPUTED_VALUE"""),"%")</f>
        <v>%</v>
      </c>
      <c r="M381" s="36">
        <f>IFERROR(__xludf.DUMMYFUNCTION("""COMPUTED_VALUE"""),1.0)</f>
        <v>1</v>
      </c>
      <c r="N381" s="37"/>
      <c r="O381" s="38"/>
      <c r="P381" s="34" t="str">
        <f>IFERROR(__xludf.DUMMYFUNCTION("""COMPUTED_VALUE"""),"")</f>
        <v/>
      </c>
      <c r="Q381" s="35" t="str">
        <f>IFERROR(__xludf.DUMMYFUNCTION("""COMPUTED_VALUE"""),"AP")</f>
        <v>AP</v>
      </c>
      <c r="R381" s="34" t="str">
        <f>IFERROR(__xludf.DUMMYFUNCTION("""COMPUTED_VALUE"""),"")</f>
        <v/>
      </c>
      <c r="S381" s="35" t="str">
        <f>IFERROR(__xludf.DUMMYFUNCTION("""COMPUTED_VALUE"""),"%")</f>
        <v>%</v>
      </c>
      <c r="T381" s="36">
        <f>IFERROR(__xludf.DUMMYFUNCTION("""COMPUTED_VALUE"""),2.0)</f>
        <v>2</v>
      </c>
      <c r="U381" s="37"/>
      <c r="V381" s="38"/>
      <c r="W381" s="34" t="str">
        <f>IFERROR(__xludf.DUMMYFUNCTION("""COMPUTED_VALUE"""),"")</f>
        <v/>
      </c>
      <c r="X381" s="35" t="str">
        <f>IFERROR(__xludf.DUMMYFUNCTION("""COMPUTED_VALUE"""),"AP")</f>
        <v>AP</v>
      </c>
      <c r="Y381" s="34" t="str">
        <f>IFERROR(__xludf.DUMMYFUNCTION("""COMPUTED_VALUE"""),"")</f>
        <v/>
      </c>
      <c r="Z381" s="35" t="str">
        <f>IFERROR(__xludf.DUMMYFUNCTION("""COMPUTED_VALUE"""),"%")</f>
        <v>%</v>
      </c>
      <c r="AA381" s="36">
        <f>IFERROR(__xludf.DUMMYFUNCTION("""COMPUTED_VALUE"""),3.0)</f>
        <v>3</v>
      </c>
      <c r="AB381" s="37"/>
      <c r="AC381" s="38"/>
      <c r="AD381" s="34" t="str">
        <f>IFERROR(__xludf.DUMMYFUNCTION("""COMPUTED_VALUE"""),"")</f>
        <v/>
      </c>
      <c r="AE381" s="35" t="str">
        <f>IFERROR(__xludf.DUMMYFUNCTION("""COMPUTED_VALUE"""),"AP")</f>
        <v>AP</v>
      </c>
      <c r="AF381" s="34" t="str">
        <f>IFERROR(__xludf.DUMMYFUNCTION("""COMPUTED_VALUE"""),"")</f>
        <v/>
      </c>
      <c r="AG381" s="35" t="str">
        <f>IFERROR(__xludf.DUMMYFUNCTION("""COMPUTED_VALUE"""),"%")</f>
        <v>%</v>
      </c>
      <c r="AH381" s="31"/>
      <c r="AI381" s="32"/>
      <c r="AJ381" s="39"/>
    </row>
    <row r="382" ht="24.75" hidden="1" customHeight="1">
      <c r="A382" s="40">
        <f>IFERROR(__xludf.DUMMYFUNCTION("""COMPUTED_VALUE"""),12.0)</f>
        <v>12</v>
      </c>
      <c r="B382" s="40" t="str">
        <f>IFERROR(__xludf.DUMMYFUNCTION("""COMPUTED_VALUE"""),"A208")</f>
        <v>A208</v>
      </c>
      <c r="C382" s="40"/>
      <c r="D382" s="41"/>
      <c r="E382" s="66"/>
      <c r="F382" s="43"/>
      <c r="G382" s="44"/>
      <c r="H382" s="33" t="str">
        <f>IFERROR(__xludf.DUMMYFUNCTION("""COMPUTED_VALUE""")," ")</f>
        <v> </v>
      </c>
      <c r="I382" s="45"/>
      <c r="J382" s="46" t="str">
        <f>IFERROR(__xludf.DUMMYFUNCTION("""COMPUTED_VALUE"""),"AP")</f>
        <v>AP</v>
      </c>
      <c r="K382" s="47"/>
      <c r="L382" s="48" t="str">
        <f>IFERROR(__xludf.DUMMYFUNCTION("""COMPUTED_VALUE"""),"%")</f>
        <v>%</v>
      </c>
      <c r="M382" s="49">
        <f>IFERROR(__xludf.DUMMYFUNCTION("""COMPUTED_VALUE"""),1.0)</f>
        <v>1</v>
      </c>
      <c r="N382" s="50"/>
      <c r="O382" s="38"/>
      <c r="P382" s="45" t="str">
        <f>IFERROR(__xludf.DUMMYFUNCTION("""COMPUTED_VALUE"""),"")</f>
        <v/>
      </c>
      <c r="Q382" s="46" t="str">
        <f>IFERROR(__xludf.DUMMYFUNCTION("""COMPUTED_VALUE"""),"AP")</f>
        <v>AP</v>
      </c>
      <c r="R382" s="47" t="str">
        <f>IFERROR(__xludf.DUMMYFUNCTION("""COMPUTED_VALUE"""),"")</f>
        <v/>
      </c>
      <c r="S382" s="48" t="str">
        <f>IFERROR(__xludf.DUMMYFUNCTION("""COMPUTED_VALUE"""),"%")</f>
        <v>%</v>
      </c>
      <c r="T382" s="49">
        <f>IFERROR(__xludf.DUMMYFUNCTION("""COMPUTED_VALUE"""),2.0)</f>
        <v>2</v>
      </c>
      <c r="U382" s="50"/>
      <c r="V382" s="38"/>
      <c r="W382" s="45" t="str">
        <f>IFERROR(__xludf.DUMMYFUNCTION("""COMPUTED_VALUE"""),"")</f>
        <v/>
      </c>
      <c r="X382" s="46" t="str">
        <f>IFERROR(__xludf.DUMMYFUNCTION("""COMPUTED_VALUE"""),"AP")</f>
        <v>AP</v>
      </c>
      <c r="Y382" s="47" t="str">
        <f>IFERROR(__xludf.DUMMYFUNCTION("""COMPUTED_VALUE"""),"")</f>
        <v/>
      </c>
      <c r="Z382" s="48" t="str">
        <f>IFERROR(__xludf.DUMMYFUNCTION("""COMPUTED_VALUE"""),"%")</f>
        <v>%</v>
      </c>
      <c r="AA382" s="49">
        <f>IFERROR(__xludf.DUMMYFUNCTION("""COMPUTED_VALUE"""),3.0)</f>
        <v>3</v>
      </c>
      <c r="AB382" s="50"/>
      <c r="AC382" s="38"/>
      <c r="AD382" s="45" t="str">
        <f>IFERROR(__xludf.DUMMYFUNCTION("""COMPUTED_VALUE"""),"")</f>
        <v/>
      </c>
      <c r="AE382" s="46" t="str">
        <f>IFERROR(__xludf.DUMMYFUNCTION("""COMPUTED_VALUE"""),"AP")</f>
        <v>AP</v>
      </c>
      <c r="AF382" s="47" t="str">
        <f>IFERROR(__xludf.DUMMYFUNCTION("""COMPUTED_VALUE"""),"")</f>
        <v/>
      </c>
      <c r="AG382" s="48" t="str">
        <f>IFERROR(__xludf.DUMMYFUNCTION("""COMPUTED_VALUE"""),"%")</f>
        <v>%</v>
      </c>
      <c r="AH382" s="43"/>
      <c r="AI382" s="44"/>
      <c r="AJ382" s="51"/>
    </row>
    <row r="383" ht="24.75" hidden="1" customHeight="1">
      <c r="A383" s="28">
        <f>IFERROR(__xludf.DUMMYFUNCTION("""COMPUTED_VALUE"""),13.0)</f>
        <v>13</v>
      </c>
      <c r="B383" s="28" t="str">
        <f>IFERROR(__xludf.DUMMYFUNCTION("""COMPUTED_VALUE"""),"A208")</f>
        <v>A208</v>
      </c>
      <c r="C383" s="28"/>
      <c r="D383" s="29"/>
      <c r="E383" s="67"/>
      <c r="F383" s="31"/>
      <c r="G383" s="32"/>
      <c r="H383" s="33" t="str">
        <f>IFERROR(__xludf.DUMMYFUNCTION("""COMPUTED_VALUE""")," ")</f>
        <v> </v>
      </c>
      <c r="I383" s="34"/>
      <c r="J383" s="35" t="str">
        <f>IFERROR(__xludf.DUMMYFUNCTION("""COMPUTED_VALUE"""),"AP")</f>
        <v>AP</v>
      </c>
      <c r="K383" s="34"/>
      <c r="L383" s="35" t="str">
        <f>IFERROR(__xludf.DUMMYFUNCTION("""COMPUTED_VALUE"""),"%")</f>
        <v>%</v>
      </c>
      <c r="M383" s="36">
        <f>IFERROR(__xludf.DUMMYFUNCTION("""COMPUTED_VALUE"""),1.0)</f>
        <v>1</v>
      </c>
      <c r="N383" s="37"/>
      <c r="O383" s="38"/>
      <c r="P383" s="34" t="str">
        <f>IFERROR(__xludf.DUMMYFUNCTION("""COMPUTED_VALUE"""),"")</f>
        <v/>
      </c>
      <c r="Q383" s="35" t="str">
        <f>IFERROR(__xludf.DUMMYFUNCTION("""COMPUTED_VALUE"""),"AP")</f>
        <v>AP</v>
      </c>
      <c r="R383" s="34" t="str">
        <f>IFERROR(__xludf.DUMMYFUNCTION("""COMPUTED_VALUE"""),"")</f>
        <v/>
      </c>
      <c r="S383" s="35" t="str">
        <f>IFERROR(__xludf.DUMMYFUNCTION("""COMPUTED_VALUE"""),"%")</f>
        <v>%</v>
      </c>
      <c r="T383" s="36">
        <f>IFERROR(__xludf.DUMMYFUNCTION("""COMPUTED_VALUE"""),2.0)</f>
        <v>2</v>
      </c>
      <c r="U383" s="37"/>
      <c r="V383" s="38"/>
      <c r="W383" s="34" t="str">
        <f>IFERROR(__xludf.DUMMYFUNCTION("""COMPUTED_VALUE"""),"")</f>
        <v/>
      </c>
      <c r="X383" s="35" t="str">
        <f>IFERROR(__xludf.DUMMYFUNCTION("""COMPUTED_VALUE"""),"AP")</f>
        <v>AP</v>
      </c>
      <c r="Y383" s="34" t="str">
        <f>IFERROR(__xludf.DUMMYFUNCTION("""COMPUTED_VALUE"""),"")</f>
        <v/>
      </c>
      <c r="Z383" s="35" t="str">
        <f>IFERROR(__xludf.DUMMYFUNCTION("""COMPUTED_VALUE"""),"%")</f>
        <v>%</v>
      </c>
      <c r="AA383" s="36">
        <f>IFERROR(__xludf.DUMMYFUNCTION("""COMPUTED_VALUE"""),3.0)</f>
        <v>3</v>
      </c>
      <c r="AB383" s="37"/>
      <c r="AC383" s="38"/>
      <c r="AD383" s="34" t="str">
        <f>IFERROR(__xludf.DUMMYFUNCTION("""COMPUTED_VALUE"""),"")</f>
        <v/>
      </c>
      <c r="AE383" s="35" t="str">
        <f>IFERROR(__xludf.DUMMYFUNCTION("""COMPUTED_VALUE"""),"AP")</f>
        <v>AP</v>
      </c>
      <c r="AF383" s="34" t="str">
        <f>IFERROR(__xludf.DUMMYFUNCTION("""COMPUTED_VALUE"""),"")</f>
        <v/>
      </c>
      <c r="AG383" s="35" t="str">
        <f>IFERROR(__xludf.DUMMYFUNCTION("""COMPUTED_VALUE"""),"%")</f>
        <v>%</v>
      </c>
      <c r="AH383" s="31"/>
      <c r="AI383" s="32"/>
      <c r="AJ383" s="39"/>
    </row>
    <row r="384" ht="24.75" hidden="1" customHeight="1">
      <c r="A384" s="40">
        <f>IFERROR(__xludf.DUMMYFUNCTION("""COMPUTED_VALUE"""),14.0)</f>
        <v>14</v>
      </c>
      <c r="B384" s="40" t="str">
        <f>IFERROR(__xludf.DUMMYFUNCTION("""COMPUTED_VALUE"""),"A208")</f>
        <v>A208</v>
      </c>
      <c r="C384" s="40"/>
      <c r="D384" s="41"/>
      <c r="E384" s="66"/>
      <c r="F384" s="43"/>
      <c r="G384" s="44"/>
      <c r="H384" s="33" t="str">
        <f>IFERROR(__xludf.DUMMYFUNCTION("""COMPUTED_VALUE""")," ")</f>
        <v> </v>
      </c>
      <c r="I384" s="45"/>
      <c r="J384" s="46" t="str">
        <f>IFERROR(__xludf.DUMMYFUNCTION("""COMPUTED_VALUE"""),"AP")</f>
        <v>AP</v>
      </c>
      <c r="K384" s="47"/>
      <c r="L384" s="48" t="str">
        <f>IFERROR(__xludf.DUMMYFUNCTION("""COMPUTED_VALUE"""),"%")</f>
        <v>%</v>
      </c>
      <c r="M384" s="49">
        <f>IFERROR(__xludf.DUMMYFUNCTION("""COMPUTED_VALUE"""),1.0)</f>
        <v>1</v>
      </c>
      <c r="N384" s="50"/>
      <c r="O384" s="38"/>
      <c r="P384" s="45" t="str">
        <f>IFERROR(__xludf.DUMMYFUNCTION("""COMPUTED_VALUE"""),"")</f>
        <v/>
      </c>
      <c r="Q384" s="46" t="str">
        <f>IFERROR(__xludf.DUMMYFUNCTION("""COMPUTED_VALUE"""),"AP")</f>
        <v>AP</v>
      </c>
      <c r="R384" s="47" t="str">
        <f>IFERROR(__xludf.DUMMYFUNCTION("""COMPUTED_VALUE"""),"")</f>
        <v/>
      </c>
      <c r="S384" s="48" t="str">
        <f>IFERROR(__xludf.DUMMYFUNCTION("""COMPUTED_VALUE"""),"%")</f>
        <v>%</v>
      </c>
      <c r="T384" s="49">
        <f>IFERROR(__xludf.DUMMYFUNCTION("""COMPUTED_VALUE"""),2.0)</f>
        <v>2</v>
      </c>
      <c r="U384" s="50"/>
      <c r="V384" s="38"/>
      <c r="W384" s="45" t="str">
        <f>IFERROR(__xludf.DUMMYFUNCTION("""COMPUTED_VALUE"""),"")</f>
        <v/>
      </c>
      <c r="X384" s="46" t="str">
        <f>IFERROR(__xludf.DUMMYFUNCTION("""COMPUTED_VALUE"""),"AP")</f>
        <v>AP</v>
      </c>
      <c r="Y384" s="47" t="str">
        <f>IFERROR(__xludf.DUMMYFUNCTION("""COMPUTED_VALUE"""),"")</f>
        <v/>
      </c>
      <c r="Z384" s="48" t="str">
        <f>IFERROR(__xludf.DUMMYFUNCTION("""COMPUTED_VALUE"""),"%")</f>
        <v>%</v>
      </c>
      <c r="AA384" s="49">
        <f>IFERROR(__xludf.DUMMYFUNCTION("""COMPUTED_VALUE"""),3.0)</f>
        <v>3</v>
      </c>
      <c r="AB384" s="50"/>
      <c r="AC384" s="38"/>
      <c r="AD384" s="45" t="str">
        <f>IFERROR(__xludf.DUMMYFUNCTION("""COMPUTED_VALUE"""),"")</f>
        <v/>
      </c>
      <c r="AE384" s="46" t="str">
        <f>IFERROR(__xludf.DUMMYFUNCTION("""COMPUTED_VALUE"""),"AP")</f>
        <v>AP</v>
      </c>
      <c r="AF384" s="47" t="str">
        <f>IFERROR(__xludf.DUMMYFUNCTION("""COMPUTED_VALUE"""),"")</f>
        <v/>
      </c>
      <c r="AG384" s="48" t="str">
        <f>IFERROR(__xludf.DUMMYFUNCTION("""COMPUTED_VALUE"""),"%")</f>
        <v>%</v>
      </c>
      <c r="AH384" s="43"/>
      <c r="AI384" s="44"/>
      <c r="AJ384" s="51"/>
    </row>
    <row r="385" ht="24.75" hidden="1" customHeight="1">
      <c r="A385" s="28">
        <f>IFERROR(__xludf.DUMMYFUNCTION("""COMPUTED_VALUE"""),15.0)</f>
        <v>15</v>
      </c>
      <c r="B385" s="28" t="str">
        <f>IFERROR(__xludf.DUMMYFUNCTION("""COMPUTED_VALUE"""),"A208")</f>
        <v>A208</v>
      </c>
      <c r="C385" s="28"/>
      <c r="D385" s="29"/>
      <c r="E385" s="67"/>
      <c r="F385" s="31"/>
      <c r="G385" s="32"/>
      <c r="H385" s="33" t="str">
        <f>IFERROR(__xludf.DUMMYFUNCTION("""COMPUTED_VALUE""")," ")</f>
        <v> </v>
      </c>
      <c r="I385" s="34"/>
      <c r="J385" s="35" t="str">
        <f>IFERROR(__xludf.DUMMYFUNCTION("""COMPUTED_VALUE"""),"AP")</f>
        <v>AP</v>
      </c>
      <c r="K385" s="34"/>
      <c r="L385" s="35" t="str">
        <f>IFERROR(__xludf.DUMMYFUNCTION("""COMPUTED_VALUE"""),"%")</f>
        <v>%</v>
      </c>
      <c r="M385" s="36">
        <f>IFERROR(__xludf.DUMMYFUNCTION("""COMPUTED_VALUE"""),1.0)</f>
        <v>1</v>
      </c>
      <c r="N385" s="37"/>
      <c r="O385" s="38"/>
      <c r="P385" s="34" t="str">
        <f>IFERROR(__xludf.DUMMYFUNCTION("""COMPUTED_VALUE"""),"")</f>
        <v/>
      </c>
      <c r="Q385" s="35" t="str">
        <f>IFERROR(__xludf.DUMMYFUNCTION("""COMPUTED_VALUE"""),"AP")</f>
        <v>AP</v>
      </c>
      <c r="R385" s="34" t="str">
        <f>IFERROR(__xludf.DUMMYFUNCTION("""COMPUTED_VALUE"""),"")</f>
        <v/>
      </c>
      <c r="S385" s="35" t="str">
        <f>IFERROR(__xludf.DUMMYFUNCTION("""COMPUTED_VALUE"""),"%")</f>
        <v>%</v>
      </c>
      <c r="T385" s="36">
        <f>IFERROR(__xludf.DUMMYFUNCTION("""COMPUTED_VALUE"""),2.0)</f>
        <v>2</v>
      </c>
      <c r="U385" s="37"/>
      <c r="V385" s="38"/>
      <c r="W385" s="34" t="str">
        <f>IFERROR(__xludf.DUMMYFUNCTION("""COMPUTED_VALUE"""),"")</f>
        <v/>
      </c>
      <c r="X385" s="35" t="str">
        <f>IFERROR(__xludf.DUMMYFUNCTION("""COMPUTED_VALUE"""),"AP")</f>
        <v>AP</v>
      </c>
      <c r="Y385" s="34" t="str">
        <f>IFERROR(__xludf.DUMMYFUNCTION("""COMPUTED_VALUE"""),"")</f>
        <v/>
      </c>
      <c r="Z385" s="35" t="str">
        <f>IFERROR(__xludf.DUMMYFUNCTION("""COMPUTED_VALUE"""),"%")</f>
        <v>%</v>
      </c>
      <c r="AA385" s="36">
        <f>IFERROR(__xludf.DUMMYFUNCTION("""COMPUTED_VALUE"""),3.0)</f>
        <v>3</v>
      </c>
      <c r="AB385" s="37"/>
      <c r="AC385" s="38"/>
      <c r="AD385" s="34" t="str">
        <f>IFERROR(__xludf.DUMMYFUNCTION("""COMPUTED_VALUE"""),"")</f>
        <v/>
      </c>
      <c r="AE385" s="35" t="str">
        <f>IFERROR(__xludf.DUMMYFUNCTION("""COMPUTED_VALUE"""),"AP")</f>
        <v>AP</v>
      </c>
      <c r="AF385" s="34" t="str">
        <f>IFERROR(__xludf.DUMMYFUNCTION("""COMPUTED_VALUE"""),"")</f>
        <v/>
      </c>
      <c r="AG385" s="35" t="str">
        <f>IFERROR(__xludf.DUMMYFUNCTION("""COMPUTED_VALUE"""),"%")</f>
        <v>%</v>
      </c>
      <c r="AH385" s="31"/>
      <c r="AI385" s="32"/>
      <c r="AJ385" s="39"/>
    </row>
    <row r="386" ht="24.75" hidden="1" customHeight="1">
      <c r="A386" s="40">
        <f>IFERROR(__xludf.DUMMYFUNCTION("""COMPUTED_VALUE"""),16.0)</f>
        <v>16</v>
      </c>
      <c r="B386" s="40" t="str">
        <f>IFERROR(__xludf.DUMMYFUNCTION("""COMPUTED_VALUE"""),"A208")</f>
        <v>A208</v>
      </c>
      <c r="C386" s="40"/>
      <c r="D386" s="41"/>
      <c r="E386" s="66"/>
      <c r="F386" s="43"/>
      <c r="G386" s="44"/>
      <c r="H386" s="33" t="str">
        <f>IFERROR(__xludf.DUMMYFUNCTION("""COMPUTED_VALUE""")," ")</f>
        <v> </v>
      </c>
      <c r="I386" s="45"/>
      <c r="J386" s="46" t="str">
        <f>IFERROR(__xludf.DUMMYFUNCTION("""COMPUTED_VALUE"""),"AP")</f>
        <v>AP</v>
      </c>
      <c r="K386" s="47"/>
      <c r="L386" s="48" t="str">
        <f>IFERROR(__xludf.DUMMYFUNCTION("""COMPUTED_VALUE"""),"%")</f>
        <v>%</v>
      </c>
      <c r="M386" s="49">
        <f>IFERROR(__xludf.DUMMYFUNCTION("""COMPUTED_VALUE"""),1.0)</f>
        <v>1</v>
      </c>
      <c r="N386" s="50"/>
      <c r="O386" s="38"/>
      <c r="P386" s="45" t="str">
        <f>IFERROR(__xludf.DUMMYFUNCTION("""COMPUTED_VALUE"""),"")</f>
        <v/>
      </c>
      <c r="Q386" s="46" t="str">
        <f>IFERROR(__xludf.DUMMYFUNCTION("""COMPUTED_VALUE"""),"AP")</f>
        <v>AP</v>
      </c>
      <c r="R386" s="47" t="str">
        <f>IFERROR(__xludf.DUMMYFUNCTION("""COMPUTED_VALUE"""),"")</f>
        <v/>
      </c>
      <c r="S386" s="48" t="str">
        <f>IFERROR(__xludf.DUMMYFUNCTION("""COMPUTED_VALUE"""),"%")</f>
        <v>%</v>
      </c>
      <c r="T386" s="49">
        <f>IFERROR(__xludf.DUMMYFUNCTION("""COMPUTED_VALUE"""),2.0)</f>
        <v>2</v>
      </c>
      <c r="U386" s="50"/>
      <c r="V386" s="38"/>
      <c r="W386" s="45" t="str">
        <f>IFERROR(__xludf.DUMMYFUNCTION("""COMPUTED_VALUE"""),"")</f>
        <v/>
      </c>
      <c r="X386" s="46" t="str">
        <f>IFERROR(__xludf.DUMMYFUNCTION("""COMPUTED_VALUE"""),"AP")</f>
        <v>AP</v>
      </c>
      <c r="Y386" s="47" t="str">
        <f>IFERROR(__xludf.DUMMYFUNCTION("""COMPUTED_VALUE"""),"")</f>
        <v/>
      </c>
      <c r="Z386" s="48" t="str">
        <f>IFERROR(__xludf.DUMMYFUNCTION("""COMPUTED_VALUE"""),"%")</f>
        <v>%</v>
      </c>
      <c r="AA386" s="49">
        <f>IFERROR(__xludf.DUMMYFUNCTION("""COMPUTED_VALUE"""),3.0)</f>
        <v>3</v>
      </c>
      <c r="AB386" s="50"/>
      <c r="AC386" s="38"/>
      <c r="AD386" s="45" t="str">
        <f>IFERROR(__xludf.DUMMYFUNCTION("""COMPUTED_VALUE"""),"")</f>
        <v/>
      </c>
      <c r="AE386" s="46" t="str">
        <f>IFERROR(__xludf.DUMMYFUNCTION("""COMPUTED_VALUE"""),"AP")</f>
        <v>AP</v>
      </c>
      <c r="AF386" s="47" t="str">
        <f>IFERROR(__xludf.DUMMYFUNCTION("""COMPUTED_VALUE"""),"")</f>
        <v/>
      </c>
      <c r="AG386" s="48" t="str">
        <f>IFERROR(__xludf.DUMMYFUNCTION("""COMPUTED_VALUE"""),"%")</f>
        <v>%</v>
      </c>
      <c r="AH386" s="43"/>
      <c r="AI386" s="44"/>
      <c r="AJ386" s="51"/>
    </row>
    <row r="387" ht="24.75" hidden="1" customHeight="1">
      <c r="A387" s="28">
        <f>IFERROR(__xludf.DUMMYFUNCTION("""COMPUTED_VALUE"""),17.0)</f>
        <v>17</v>
      </c>
      <c r="B387" s="28" t="str">
        <f>IFERROR(__xludf.DUMMYFUNCTION("""COMPUTED_VALUE"""),"A208")</f>
        <v>A208</v>
      </c>
      <c r="C387" s="28"/>
      <c r="D387" s="29"/>
      <c r="E387" s="67"/>
      <c r="F387" s="31"/>
      <c r="G387" s="32"/>
      <c r="H387" s="33" t="str">
        <f>IFERROR(__xludf.DUMMYFUNCTION("""COMPUTED_VALUE""")," ")</f>
        <v> </v>
      </c>
      <c r="I387" s="34"/>
      <c r="J387" s="35" t="str">
        <f>IFERROR(__xludf.DUMMYFUNCTION("""COMPUTED_VALUE"""),"AP")</f>
        <v>AP</v>
      </c>
      <c r="K387" s="34"/>
      <c r="L387" s="35" t="str">
        <f>IFERROR(__xludf.DUMMYFUNCTION("""COMPUTED_VALUE"""),"%")</f>
        <v>%</v>
      </c>
      <c r="M387" s="36">
        <f>IFERROR(__xludf.DUMMYFUNCTION("""COMPUTED_VALUE"""),1.0)</f>
        <v>1</v>
      </c>
      <c r="N387" s="37"/>
      <c r="O387" s="38"/>
      <c r="P387" s="34" t="str">
        <f>IFERROR(__xludf.DUMMYFUNCTION("""COMPUTED_VALUE"""),"")</f>
        <v/>
      </c>
      <c r="Q387" s="35" t="str">
        <f>IFERROR(__xludf.DUMMYFUNCTION("""COMPUTED_VALUE"""),"AP")</f>
        <v>AP</v>
      </c>
      <c r="R387" s="34" t="str">
        <f>IFERROR(__xludf.DUMMYFUNCTION("""COMPUTED_VALUE"""),"")</f>
        <v/>
      </c>
      <c r="S387" s="35" t="str">
        <f>IFERROR(__xludf.DUMMYFUNCTION("""COMPUTED_VALUE"""),"%")</f>
        <v>%</v>
      </c>
      <c r="T387" s="36">
        <f>IFERROR(__xludf.DUMMYFUNCTION("""COMPUTED_VALUE"""),2.0)</f>
        <v>2</v>
      </c>
      <c r="U387" s="37"/>
      <c r="V387" s="38"/>
      <c r="W387" s="34" t="str">
        <f>IFERROR(__xludf.DUMMYFUNCTION("""COMPUTED_VALUE"""),"")</f>
        <v/>
      </c>
      <c r="X387" s="35" t="str">
        <f>IFERROR(__xludf.DUMMYFUNCTION("""COMPUTED_VALUE"""),"AP")</f>
        <v>AP</v>
      </c>
      <c r="Y387" s="34" t="str">
        <f>IFERROR(__xludf.DUMMYFUNCTION("""COMPUTED_VALUE"""),"")</f>
        <v/>
      </c>
      <c r="Z387" s="35" t="str">
        <f>IFERROR(__xludf.DUMMYFUNCTION("""COMPUTED_VALUE"""),"%")</f>
        <v>%</v>
      </c>
      <c r="AA387" s="36">
        <f>IFERROR(__xludf.DUMMYFUNCTION("""COMPUTED_VALUE"""),3.0)</f>
        <v>3</v>
      </c>
      <c r="AB387" s="37"/>
      <c r="AC387" s="38"/>
      <c r="AD387" s="34" t="str">
        <f>IFERROR(__xludf.DUMMYFUNCTION("""COMPUTED_VALUE"""),"")</f>
        <v/>
      </c>
      <c r="AE387" s="35" t="str">
        <f>IFERROR(__xludf.DUMMYFUNCTION("""COMPUTED_VALUE"""),"AP")</f>
        <v>AP</v>
      </c>
      <c r="AF387" s="34" t="str">
        <f>IFERROR(__xludf.DUMMYFUNCTION("""COMPUTED_VALUE"""),"")</f>
        <v/>
      </c>
      <c r="AG387" s="35" t="str">
        <f>IFERROR(__xludf.DUMMYFUNCTION("""COMPUTED_VALUE"""),"%")</f>
        <v>%</v>
      </c>
      <c r="AH387" s="31"/>
      <c r="AI387" s="32"/>
      <c r="AJ387" s="39"/>
    </row>
    <row r="388" ht="24.75" hidden="1" customHeight="1">
      <c r="A388" s="40">
        <f>IFERROR(__xludf.DUMMYFUNCTION("""COMPUTED_VALUE"""),18.0)</f>
        <v>18</v>
      </c>
      <c r="B388" s="40" t="str">
        <f>IFERROR(__xludf.DUMMYFUNCTION("""COMPUTED_VALUE"""),"A208")</f>
        <v>A208</v>
      </c>
      <c r="C388" s="40"/>
      <c r="D388" s="41"/>
      <c r="E388" s="66"/>
      <c r="F388" s="43"/>
      <c r="G388" s="44"/>
      <c r="H388" s="33" t="str">
        <f>IFERROR(__xludf.DUMMYFUNCTION("""COMPUTED_VALUE""")," ")</f>
        <v> </v>
      </c>
      <c r="I388" s="45"/>
      <c r="J388" s="46" t="str">
        <f>IFERROR(__xludf.DUMMYFUNCTION("""COMPUTED_VALUE"""),"AP")</f>
        <v>AP</v>
      </c>
      <c r="K388" s="47"/>
      <c r="L388" s="48" t="str">
        <f>IFERROR(__xludf.DUMMYFUNCTION("""COMPUTED_VALUE"""),"%")</f>
        <v>%</v>
      </c>
      <c r="M388" s="49">
        <f>IFERROR(__xludf.DUMMYFUNCTION("""COMPUTED_VALUE"""),1.0)</f>
        <v>1</v>
      </c>
      <c r="N388" s="50"/>
      <c r="O388" s="38"/>
      <c r="P388" s="45" t="str">
        <f>IFERROR(__xludf.DUMMYFUNCTION("""COMPUTED_VALUE"""),"")</f>
        <v/>
      </c>
      <c r="Q388" s="46" t="str">
        <f>IFERROR(__xludf.DUMMYFUNCTION("""COMPUTED_VALUE"""),"AP")</f>
        <v>AP</v>
      </c>
      <c r="R388" s="47" t="str">
        <f>IFERROR(__xludf.DUMMYFUNCTION("""COMPUTED_VALUE"""),"")</f>
        <v/>
      </c>
      <c r="S388" s="48" t="str">
        <f>IFERROR(__xludf.DUMMYFUNCTION("""COMPUTED_VALUE"""),"%")</f>
        <v>%</v>
      </c>
      <c r="T388" s="49">
        <f>IFERROR(__xludf.DUMMYFUNCTION("""COMPUTED_VALUE"""),2.0)</f>
        <v>2</v>
      </c>
      <c r="U388" s="50"/>
      <c r="V388" s="38"/>
      <c r="W388" s="45" t="str">
        <f>IFERROR(__xludf.DUMMYFUNCTION("""COMPUTED_VALUE"""),"")</f>
        <v/>
      </c>
      <c r="X388" s="46" t="str">
        <f>IFERROR(__xludf.DUMMYFUNCTION("""COMPUTED_VALUE"""),"AP")</f>
        <v>AP</v>
      </c>
      <c r="Y388" s="47" t="str">
        <f>IFERROR(__xludf.DUMMYFUNCTION("""COMPUTED_VALUE"""),"")</f>
        <v/>
      </c>
      <c r="Z388" s="48" t="str">
        <f>IFERROR(__xludf.DUMMYFUNCTION("""COMPUTED_VALUE"""),"%")</f>
        <v>%</v>
      </c>
      <c r="AA388" s="49">
        <f>IFERROR(__xludf.DUMMYFUNCTION("""COMPUTED_VALUE"""),3.0)</f>
        <v>3</v>
      </c>
      <c r="AB388" s="50"/>
      <c r="AC388" s="38"/>
      <c r="AD388" s="45" t="str">
        <f>IFERROR(__xludf.DUMMYFUNCTION("""COMPUTED_VALUE"""),"")</f>
        <v/>
      </c>
      <c r="AE388" s="46" t="str">
        <f>IFERROR(__xludf.DUMMYFUNCTION("""COMPUTED_VALUE"""),"AP")</f>
        <v>AP</v>
      </c>
      <c r="AF388" s="47" t="str">
        <f>IFERROR(__xludf.DUMMYFUNCTION("""COMPUTED_VALUE"""),"")</f>
        <v/>
      </c>
      <c r="AG388" s="48" t="str">
        <f>IFERROR(__xludf.DUMMYFUNCTION("""COMPUTED_VALUE"""),"%")</f>
        <v>%</v>
      </c>
      <c r="AH388" s="43"/>
      <c r="AI388" s="44"/>
      <c r="AJ388" s="51"/>
    </row>
    <row r="389" ht="24.75" hidden="1" customHeight="1">
      <c r="A389" s="28">
        <f>IFERROR(__xludf.DUMMYFUNCTION("""COMPUTED_VALUE"""),19.0)</f>
        <v>19</v>
      </c>
      <c r="B389" s="28" t="str">
        <f>IFERROR(__xludf.DUMMYFUNCTION("""COMPUTED_VALUE"""),"A208")</f>
        <v>A208</v>
      </c>
      <c r="C389" s="28"/>
      <c r="D389" s="29"/>
      <c r="E389" s="67"/>
      <c r="F389" s="31"/>
      <c r="G389" s="32"/>
      <c r="H389" s="33" t="str">
        <f>IFERROR(__xludf.DUMMYFUNCTION("""COMPUTED_VALUE""")," ")</f>
        <v> </v>
      </c>
      <c r="I389" s="34"/>
      <c r="J389" s="35" t="str">
        <f>IFERROR(__xludf.DUMMYFUNCTION("""COMPUTED_VALUE"""),"AP")</f>
        <v>AP</v>
      </c>
      <c r="K389" s="34"/>
      <c r="L389" s="35" t="str">
        <f>IFERROR(__xludf.DUMMYFUNCTION("""COMPUTED_VALUE"""),"%")</f>
        <v>%</v>
      </c>
      <c r="M389" s="36">
        <f>IFERROR(__xludf.DUMMYFUNCTION("""COMPUTED_VALUE"""),1.0)</f>
        <v>1</v>
      </c>
      <c r="N389" s="37"/>
      <c r="O389" s="38"/>
      <c r="P389" s="34" t="str">
        <f>IFERROR(__xludf.DUMMYFUNCTION("""COMPUTED_VALUE"""),"")</f>
        <v/>
      </c>
      <c r="Q389" s="35" t="str">
        <f>IFERROR(__xludf.DUMMYFUNCTION("""COMPUTED_VALUE"""),"AP")</f>
        <v>AP</v>
      </c>
      <c r="R389" s="34" t="str">
        <f>IFERROR(__xludf.DUMMYFUNCTION("""COMPUTED_VALUE"""),"")</f>
        <v/>
      </c>
      <c r="S389" s="35" t="str">
        <f>IFERROR(__xludf.DUMMYFUNCTION("""COMPUTED_VALUE"""),"%")</f>
        <v>%</v>
      </c>
      <c r="T389" s="36">
        <f>IFERROR(__xludf.DUMMYFUNCTION("""COMPUTED_VALUE"""),2.0)</f>
        <v>2</v>
      </c>
      <c r="U389" s="37"/>
      <c r="V389" s="38"/>
      <c r="W389" s="34" t="str">
        <f>IFERROR(__xludf.DUMMYFUNCTION("""COMPUTED_VALUE"""),"")</f>
        <v/>
      </c>
      <c r="X389" s="35" t="str">
        <f>IFERROR(__xludf.DUMMYFUNCTION("""COMPUTED_VALUE"""),"AP")</f>
        <v>AP</v>
      </c>
      <c r="Y389" s="34" t="str">
        <f>IFERROR(__xludf.DUMMYFUNCTION("""COMPUTED_VALUE"""),"")</f>
        <v/>
      </c>
      <c r="Z389" s="35" t="str">
        <f>IFERROR(__xludf.DUMMYFUNCTION("""COMPUTED_VALUE"""),"%")</f>
        <v>%</v>
      </c>
      <c r="AA389" s="36">
        <f>IFERROR(__xludf.DUMMYFUNCTION("""COMPUTED_VALUE"""),3.0)</f>
        <v>3</v>
      </c>
      <c r="AB389" s="37"/>
      <c r="AC389" s="38"/>
      <c r="AD389" s="34" t="str">
        <f>IFERROR(__xludf.DUMMYFUNCTION("""COMPUTED_VALUE"""),"")</f>
        <v/>
      </c>
      <c r="AE389" s="35" t="str">
        <f>IFERROR(__xludf.DUMMYFUNCTION("""COMPUTED_VALUE"""),"AP")</f>
        <v>AP</v>
      </c>
      <c r="AF389" s="34" t="str">
        <f>IFERROR(__xludf.DUMMYFUNCTION("""COMPUTED_VALUE"""),"")</f>
        <v/>
      </c>
      <c r="AG389" s="35" t="str">
        <f>IFERROR(__xludf.DUMMYFUNCTION("""COMPUTED_VALUE"""),"%")</f>
        <v>%</v>
      </c>
      <c r="AH389" s="31"/>
      <c r="AI389" s="32"/>
      <c r="AJ389" s="39"/>
    </row>
    <row r="390" ht="24.75" hidden="1" customHeight="1">
      <c r="A390" s="40">
        <f>IFERROR(__xludf.DUMMYFUNCTION("""COMPUTED_VALUE"""),20.0)</f>
        <v>20</v>
      </c>
      <c r="B390" s="40" t="str">
        <f>IFERROR(__xludf.DUMMYFUNCTION("""COMPUTED_VALUE"""),"A208")</f>
        <v>A208</v>
      </c>
      <c r="C390" s="40"/>
      <c r="D390" s="41"/>
      <c r="E390" s="66"/>
      <c r="F390" s="43"/>
      <c r="G390" s="44"/>
      <c r="H390" s="33" t="str">
        <f>IFERROR(__xludf.DUMMYFUNCTION("""COMPUTED_VALUE""")," ")</f>
        <v> </v>
      </c>
      <c r="I390" s="45"/>
      <c r="J390" s="46" t="str">
        <f>IFERROR(__xludf.DUMMYFUNCTION("""COMPUTED_VALUE"""),"AP")</f>
        <v>AP</v>
      </c>
      <c r="K390" s="47"/>
      <c r="L390" s="48" t="str">
        <f>IFERROR(__xludf.DUMMYFUNCTION("""COMPUTED_VALUE"""),"%")</f>
        <v>%</v>
      </c>
      <c r="M390" s="49">
        <f>IFERROR(__xludf.DUMMYFUNCTION("""COMPUTED_VALUE"""),1.0)</f>
        <v>1</v>
      </c>
      <c r="N390" s="50"/>
      <c r="O390" s="38"/>
      <c r="P390" s="45" t="str">
        <f>IFERROR(__xludf.DUMMYFUNCTION("""COMPUTED_VALUE"""),"")</f>
        <v/>
      </c>
      <c r="Q390" s="46" t="str">
        <f>IFERROR(__xludf.DUMMYFUNCTION("""COMPUTED_VALUE"""),"AP")</f>
        <v>AP</v>
      </c>
      <c r="R390" s="47" t="str">
        <f>IFERROR(__xludf.DUMMYFUNCTION("""COMPUTED_VALUE"""),"")</f>
        <v/>
      </c>
      <c r="S390" s="48" t="str">
        <f>IFERROR(__xludf.DUMMYFUNCTION("""COMPUTED_VALUE"""),"%")</f>
        <v>%</v>
      </c>
      <c r="T390" s="49">
        <f>IFERROR(__xludf.DUMMYFUNCTION("""COMPUTED_VALUE"""),2.0)</f>
        <v>2</v>
      </c>
      <c r="U390" s="50"/>
      <c r="V390" s="38"/>
      <c r="W390" s="45" t="str">
        <f>IFERROR(__xludf.DUMMYFUNCTION("""COMPUTED_VALUE"""),"")</f>
        <v/>
      </c>
      <c r="X390" s="46" t="str">
        <f>IFERROR(__xludf.DUMMYFUNCTION("""COMPUTED_VALUE"""),"AP")</f>
        <v>AP</v>
      </c>
      <c r="Y390" s="47" t="str">
        <f>IFERROR(__xludf.DUMMYFUNCTION("""COMPUTED_VALUE"""),"")</f>
        <v/>
      </c>
      <c r="Z390" s="48" t="str">
        <f>IFERROR(__xludf.DUMMYFUNCTION("""COMPUTED_VALUE"""),"%")</f>
        <v>%</v>
      </c>
      <c r="AA390" s="49">
        <f>IFERROR(__xludf.DUMMYFUNCTION("""COMPUTED_VALUE"""),3.0)</f>
        <v>3</v>
      </c>
      <c r="AB390" s="50"/>
      <c r="AC390" s="38"/>
      <c r="AD390" s="45" t="str">
        <f>IFERROR(__xludf.DUMMYFUNCTION("""COMPUTED_VALUE"""),"")</f>
        <v/>
      </c>
      <c r="AE390" s="46" t="str">
        <f>IFERROR(__xludf.DUMMYFUNCTION("""COMPUTED_VALUE"""),"AP")</f>
        <v>AP</v>
      </c>
      <c r="AF390" s="47" t="str">
        <f>IFERROR(__xludf.DUMMYFUNCTION("""COMPUTED_VALUE"""),"")</f>
        <v/>
      </c>
      <c r="AG390" s="48" t="str">
        <f>IFERROR(__xludf.DUMMYFUNCTION("""COMPUTED_VALUE"""),"%")</f>
        <v>%</v>
      </c>
      <c r="AH390" s="43"/>
      <c r="AI390" s="44"/>
      <c r="AJ390" s="51"/>
    </row>
    <row r="391" hidden="1">
      <c r="A391" s="52"/>
      <c r="B391" s="53"/>
      <c r="C391" s="54"/>
      <c r="D391" s="55"/>
      <c r="E391" s="56"/>
      <c r="F391" s="53"/>
      <c r="G391" s="53"/>
      <c r="H391" s="53"/>
      <c r="I391" s="53"/>
      <c r="J391" s="57"/>
      <c r="K391" s="53"/>
      <c r="L391" s="57"/>
      <c r="M391" s="53"/>
      <c r="N391" s="53"/>
      <c r="O391" s="53"/>
      <c r="P391" s="53"/>
      <c r="Q391" s="57"/>
      <c r="R391" s="53"/>
      <c r="S391" s="57"/>
      <c r="T391" s="53"/>
      <c r="U391" s="53"/>
      <c r="V391" s="53"/>
      <c r="W391" s="53"/>
      <c r="X391" s="57"/>
      <c r="Y391" s="53"/>
      <c r="Z391" s="57"/>
      <c r="AA391" s="53"/>
      <c r="AB391" s="53"/>
      <c r="AC391" s="53"/>
      <c r="AD391" s="53"/>
      <c r="AE391" s="57"/>
      <c r="AF391" s="53"/>
      <c r="AG391" s="57"/>
      <c r="AH391" s="53"/>
      <c r="AI391" s="53"/>
      <c r="AJ391" s="58"/>
    </row>
    <row r="392">
      <c r="A392" s="59"/>
      <c r="B392" s="60"/>
      <c r="C392" s="61"/>
      <c r="D392" s="62"/>
      <c r="E392" s="63"/>
      <c r="F392" s="60"/>
      <c r="G392" s="60"/>
      <c r="H392" s="60"/>
      <c r="I392" s="60"/>
      <c r="J392" s="64"/>
      <c r="K392" s="60"/>
      <c r="L392" s="64"/>
      <c r="M392" s="60"/>
      <c r="N392" s="60"/>
      <c r="O392" s="60"/>
      <c r="P392" s="60"/>
      <c r="Q392" s="64"/>
      <c r="R392" s="60"/>
      <c r="S392" s="64"/>
      <c r="T392" s="60"/>
      <c r="U392" s="60"/>
      <c r="V392" s="60"/>
      <c r="W392" s="60"/>
      <c r="X392" s="64"/>
      <c r="Y392" s="60"/>
      <c r="Z392" s="64"/>
      <c r="AA392" s="60"/>
      <c r="AB392" s="60"/>
      <c r="AC392" s="60"/>
      <c r="AD392" s="60"/>
      <c r="AE392" s="64"/>
      <c r="AF392" s="60"/>
      <c r="AG392" s="64"/>
      <c r="AH392" s="60"/>
      <c r="AI392" s="60"/>
      <c r="AJ392" s="65"/>
    </row>
    <row r="393" ht="33.0" customHeight="1">
      <c r="A393" s="20" t="str">
        <f>IFERROR(__xludf.DUMMYFUNCTION("""COMPUTED_VALUE""")," ")</f>
        <v> </v>
      </c>
      <c r="B393" s="21" t="str">
        <f>IFERROR(__xludf.DUMMYFUNCTION("""COMPUTED_VALUE"""),"A209")</f>
        <v>A209</v>
      </c>
      <c r="C393" s="20"/>
      <c r="D393" s="22" t="str">
        <f>IFERROR(__xludf.DUMMYFUNCTION("""COMPUTED_VALUE"""),"")</f>
        <v/>
      </c>
      <c r="E393" s="23" t="str">
        <f>IFERROR(__xludf.DUMMYFUNCTION("""COMPUTED_VALUE"""),"Meteor Horseshoe")</f>
        <v>Meteor Horseshoe</v>
      </c>
      <c r="F393" s="24"/>
      <c r="G393" s="24"/>
      <c r="H393" s="25"/>
      <c r="I393" s="25"/>
      <c r="J393" s="26"/>
      <c r="K393" s="25"/>
      <c r="L393" s="26"/>
      <c r="M393" s="25"/>
      <c r="N393" s="25"/>
      <c r="O393" s="25"/>
      <c r="P393" s="25"/>
      <c r="Q393" s="26"/>
      <c r="R393" s="25"/>
      <c r="S393" s="26"/>
      <c r="T393" s="25"/>
      <c r="U393" s="25"/>
      <c r="V393" s="25"/>
      <c r="W393" s="25"/>
      <c r="X393" s="26"/>
      <c r="Y393" s="25"/>
      <c r="Z393" s="26"/>
      <c r="AA393" s="25"/>
      <c r="AB393" s="25"/>
      <c r="AC393" s="25"/>
      <c r="AD393" s="25"/>
      <c r="AE393" s="26"/>
      <c r="AF393" s="25"/>
      <c r="AG393" s="26"/>
      <c r="AH393" s="24"/>
      <c r="AI393" s="25"/>
      <c r="AJ393" s="27"/>
    </row>
    <row r="394" ht="24.75" customHeight="1">
      <c r="A394" s="28">
        <f>IFERROR(__xludf.DUMMYFUNCTION("""COMPUTED_VALUE"""),1.0)</f>
        <v>1</v>
      </c>
      <c r="B394" s="28" t="str">
        <f>IFERROR(__xludf.DUMMYFUNCTION("""COMPUTED_VALUE"""),"A209")</f>
        <v>A209</v>
      </c>
      <c r="C394" s="28" t="str">
        <f>IFERROR(__xludf.DUMMYFUNCTION("""COMPUTED_VALUE"""),"CML13")</f>
        <v>CML13</v>
      </c>
      <c r="D394" s="29" t="str">
        <f>IFERROR(__xludf.DUMMYFUNCTION("""COMPUTED_VALUE"""),"Camelot")</f>
        <v>Camelot</v>
      </c>
      <c r="E394" s="30" t="str">
        <f>IFERROR(__xludf.DUMMYFUNCTION("""COMPUTED_VALUE"""),"Land of the Void")</f>
        <v>Land of the Void</v>
      </c>
      <c r="F394" s="31">
        <f>IFERROR(__xludf.DUMMYFUNCTION("""COMPUTED_VALUE"""),22.0)</f>
        <v>22</v>
      </c>
      <c r="G394" s="32">
        <f>IFERROR(__xludf.DUMMYFUNCTION("""COMPUTED_VALUE"""),4857.0)</f>
        <v>4857</v>
      </c>
      <c r="H394" s="33" t="str">
        <f>IFERROR(__xludf.DUMMYFUNCTION("""COMPUTED_VALUE"""),"")</f>
        <v/>
      </c>
      <c r="I394" s="34">
        <f>IFERROR(__xludf.DUMMYFUNCTION("""COMPUTED_VALUE"""),49.2)</f>
        <v>49.2</v>
      </c>
      <c r="J394" s="35" t="str">
        <f>IFERROR(__xludf.DUMMYFUNCTION("""COMPUTED_VALUE"""),"AP")</f>
        <v>AP</v>
      </c>
      <c r="K394" s="34">
        <f>IFERROR(__xludf.DUMMYFUNCTION("""COMPUTED_VALUE"""),44.7)</f>
        <v>44.7</v>
      </c>
      <c r="L394" s="35" t="str">
        <f>IFERROR(__xludf.DUMMYFUNCTION("""COMPUTED_VALUE"""),"%")</f>
        <v>%</v>
      </c>
      <c r="M394" s="36">
        <f>IFERROR(__xludf.DUMMYFUNCTION("""COMPUTED_VALUE"""),1.0)</f>
        <v>1</v>
      </c>
      <c r="N394" s="37" t="str">
        <f>IFERROR(__xludf.DUMMYFUNCTION("""COMPUTED_VALUE"""),"B102")</f>
        <v>B102</v>
      </c>
      <c r="O394" s="38" t="str">
        <f>IFERROR(__xludf.DUMMYFUNCTION("""COMPUTED_VALUE"""),"")</f>
        <v/>
      </c>
      <c r="P394" s="34">
        <f>IFERROR(__xludf.DUMMYFUNCTION("""COMPUTED_VALUE"""),674.0)</f>
        <v>674</v>
      </c>
      <c r="Q394" s="35" t="str">
        <f>IFERROR(__xludf.DUMMYFUNCTION("""COMPUTED_VALUE"""),"AP")</f>
        <v>AP</v>
      </c>
      <c r="R394" s="34">
        <f>IFERROR(__xludf.DUMMYFUNCTION("""COMPUTED_VALUE"""),3.3)</f>
        <v>3.3</v>
      </c>
      <c r="S394" s="35" t="str">
        <f>IFERROR(__xludf.DUMMYFUNCTION("""COMPUTED_VALUE"""),"%")</f>
        <v>%</v>
      </c>
      <c r="T394" s="36">
        <f>IFERROR(__xludf.DUMMYFUNCTION("""COMPUTED_VALUE"""),2.0)</f>
        <v>2</v>
      </c>
      <c r="U394" s="37" t="str">
        <f>IFERROR(__xludf.DUMMYFUNCTION("""COMPUTED_VALUE"""),"B104")</f>
        <v>B104</v>
      </c>
      <c r="V394" s="38" t="str">
        <f>IFERROR(__xludf.DUMMYFUNCTION("""COMPUTED_VALUE"""),"")</f>
        <v/>
      </c>
      <c r="W394" s="34">
        <f>IFERROR(__xludf.DUMMYFUNCTION("""COMPUTED_VALUE"""),346.8)</f>
        <v>346.8</v>
      </c>
      <c r="X394" s="35" t="str">
        <f>IFERROR(__xludf.DUMMYFUNCTION("""COMPUTED_VALUE"""),"AP")</f>
        <v>AP</v>
      </c>
      <c r="Y394" s="34">
        <f>IFERROR(__xludf.DUMMYFUNCTION("""COMPUTED_VALUE"""),6.3)</f>
        <v>6.3</v>
      </c>
      <c r="Z394" s="35" t="str">
        <f>IFERROR(__xludf.DUMMYFUNCTION("""COMPUTED_VALUE"""),"%")</f>
        <v>%</v>
      </c>
      <c r="AA394" s="36">
        <f>IFERROR(__xludf.DUMMYFUNCTION("""COMPUTED_VALUE"""),3.0)</f>
        <v>3</v>
      </c>
      <c r="AB394" s="37" t="str">
        <f>IFERROR(__xludf.DUMMYFUNCTION("""COMPUTED_VALUE"""),"B114")</f>
        <v>B114</v>
      </c>
      <c r="AC394" s="38" t="str">
        <f>IFERROR(__xludf.DUMMYFUNCTION("""COMPUTED_VALUE"""),"")</f>
        <v/>
      </c>
      <c r="AD394" s="34">
        <f>IFERROR(__xludf.DUMMYFUNCTION("""COMPUTED_VALUE"""),502.4)</f>
        <v>502.4</v>
      </c>
      <c r="AE394" s="35" t="str">
        <f>IFERROR(__xludf.DUMMYFUNCTION("""COMPUTED_VALUE"""),"AP")</f>
        <v>AP</v>
      </c>
      <c r="AF394" s="34">
        <f>IFERROR(__xludf.DUMMYFUNCTION("""COMPUTED_VALUE"""),4.4)</f>
        <v>4.4</v>
      </c>
      <c r="AG394" s="35" t="str">
        <f>IFERROR(__xludf.DUMMYFUNCTION("""COMPUTED_VALUE"""),"%")</f>
        <v>%</v>
      </c>
      <c r="AH394" s="31">
        <f>IFERROR(__xludf.DUMMYFUNCTION("""COMPUTED_VALUE"""),22.0)</f>
        <v>22</v>
      </c>
      <c r="AI394" s="32">
        <f>IFERROR(__xludf.DUMMYFUNCTION("""COMPUTED_VALUE"""),4857.0)</f>
        <v>4857</v>
      </c>
      <c r="AJ394" s="39" t="str">
        <f>IFERROR(__xludf.DUMMYFUNCTION("""COMPUTED_VALUE"""),"無の大地")</f>
        <v>無の大地</v>
      </c>
    </row>
    <row r="395" ht="24.75" customHeight="1">
      <c r="A395" s="40">
        <f>IFERROR(__xludf.DUMMYFUNCTION("""COMPUTED_VALUE"""),2.0)</f>
        <v>2</v>
      </c>
      <c r="B395" s="40" t="str">
        <f>IFERROR(__xludf.DUMMYFUNCTION("""COMPUTED_VALUE"""),"A209")</f>
        <v>A209</v>
      </c>
      <c r="C395" s="40" t="str">
        <f>IFERROR(__xludf.DUMMYFUNCTION("""COMPUTED_VALUE"""),"OKN8")</f>
        <v>OKN8</v>
      </c>
      <c r="D395" s="41" t="str">
        <f>IFERROR(__xludf.DUMMYFUNCTION("""COMPUTED_VALUE"""),"Okeanos")</f>
        <v>Okeanos</v>
      </c>
      <c r="E395" s="42" t="str">
        <f>IFERROR(__xludf.DUMMYFUNCTION("""COMPUTED_VALUE"""),"Caldera Island")</f>
        <v>Caldera Island</v>
      </c>
      <c r="F395" s="43">
        <f>IFERROR(__xludf.DUMMYFUNCTION("""COMPUTED_VALUE"""),17.0)</f>
        <v>17</v>
      </c>
      <c r="G395" s="44">
        <f>IFERROR(__xludf.DUMMYFUNCTION("""COMPUTED_VALUE"""),1583.0)</f>
        <v>1583</v>
      </c>
      <c r="H395" s="33" t="str">
        <f>IFERROR(__xludf.DUMMYFUNCTION("""COMPUTED_VALUE"""),"")</f>
        <v/>
      </c>
      <c r="I395" s="45">
        <f>IFERROR(__xludf.DUMMYFUNCTION("""COMPUTED_VALUE"""),133.9)</f>
        <v>133.9</v>
      </c>
      <c r="J395" s="46" t="str">
        <f>IFERROR(__xludf.DUMMYFUNCTION("""COMPUTED_VALUE"""),"AP")</f>
        <v>AP</v>
      </c>
      <c r="K395" s="47">
        <f>IFERROR(__xludf.DUMMYFUNCTION("""COMPUTED_VALUE"""),12.7)</f>
        <v>12.7</v>
      </c>
      <c r="L395" s="48" t="str">
        <f>IFERROR(__xludf.DUMMYFUNCTION("""COMPUTED_VALUE"""),"%")</f>
        <v>%</v>
      </c>
      <c r="M395" s="49">
        <f>IFERROR(__xludf.DUMMYFUNCTION("""COMPUTED_VALUE"""),1.0)</f>
        <v>1</v>
      </c>
      <c r="N395" s="50" t="str">
        <f>IFERROR(__xludf.DUMMYFUNCTION("""COMPUTED_VALUE"""),"A201")</f>
        <v>A201</v>
      </c>
      <c r="O395" s="38" t="str">
        <f>IFERROR(__xludf.DUMMYFUNCTION("""COMPUTED_VALUE"""),"")</f>
        <v/>
      </c>
      <c r="P395" s="45">
        <f>IFERROR(__xludf.DUMMYFUNCTION("""COMPUTED_VALUE"""),108.2)</f>
        <v>108.2</v>
      </c>
      <c r="Q395" s="46" t="str">
        <f>IFERROR(__xludf.DUMMYFUNCTION("""COMPUTED_VALUE"""),"AP")</f>
        <v>AP</v>
      </c>
      <c r="R395" s="47">
        <f>IFERROR(__xludf.DUMMYFUNCTION("""COMPUTED_VALUE"""),15.7)</f>
        <v>15.7</v>
      </c>
      <c r="S395" s="48" t="str">
        <f>IFERROR(__xludf.DUMMYFUNCTION("""COMPUTED_VALUE"""),"%")</f>
        <v>%</v>
      </c>
      <c r="T395" s="49">
        <f>IFERROR(__xludf.DUMMYFUNCTION("""COMPUTED_VALUE"""),2.0)</f>
        <v>2</v>
      </c>
      <c r="U395" s="50"/>
      <c r="V395" s="38"/>
      <c r="W395" s="45" t="str">
        <f>IFERROR(__xludf.DUMMYFUNCTION("""COMPUTED_VALUE"""),"")</f>
        <v/>
      </c>
      <c r="X395" s="46" t="str">
        <f>IFERROR(__xludf.DUMMYFUNCTION("""COMPUTED_VALUE"""),"AP")</f>
        <v>AP</v>
      </c>
      <c r="Y395" s="47" t="str">
        <f>IFERROR(__xludf.DUMMYFUNCTION("""COMPUTED_VALUE"""),"")</f>
        <v/>
      </c>
      <c r="Z395" s="48" t="str">
        <f>IFERROR(__xludf.DUMMYFUNCTION("""COMPUTED_VALUE"""),"%")</f>
        <v>%</v>
      </c>
      <c r="AA395" s="49">
        <f>IFERROR(__xludf.DUMMYFUNCTION("""COMPUTED_VALUE"""),3.0)</f>
        <v>3</v>
      </c>
      <c r="AB395" s="50"/>
      <c r="AC395" s="38"/>
      <c r="AD395" s="45" t="str">
        <f>IFERROR(__xludf.DUMMYFUNCTION("""COMPUTED_VALUE"""),"")</f>
        <v/>
      </c>
      <c r="AE395" s="46" t="str">
        <f>IFERROR(__xludf.DUMMYFUNCTION("""COMPUTED_VALUE"""),"AP")</f>
        <v>AP</v>
      </c>
      <c r="AF395" s="47" t="str">
        <f>IFERROR(__xludf.DUMMYFUNCTION("""COMPUTED_VALUE"""),"")</f>
        <v/>
      </c>
      <c r="AG395" s="48" t="str">
        <f>IFERROR(__xludf.DUMMYFUNCTION("""COMPUTED_VALUE"""),"%")</f>
        <v>%</v>
      </c>
      <c r="AH395" s="43">
        <f>IFERROR(__xludf.DUMMYFUNCTION("""COMPUTED_VALUE"""),17.0)</f>
        <v>17</v>
      </c>
      <c r="AI395" s="44">
        <f>IFERROR(__xludf.DUMMYFUNCTION("""COMPUTED_VALUE"""),1583.0)</f>
        <v>1583</v>
      </c>
      <c r="AJ395" s="51" t="str">
        <f>IFERROR(__xludf.DUMMYFUNCTION("""COMPUTED_VALUE"""),"カルデラの島")</f>
        <v>カルデラの島</v>
      </c>
    </row>
    <row r="396" ht="24.75" customHeight="1">
      <c r="A396" s="28">
        <f>IFERROR(__xludf.DUMMYFUNCTION("""COMPUTED_VALUE"""),3.0)</f>
        <v>3</v>
      </c>
      <c r="B396" s="28" t="str">
        <f>IFERROR(__xludf.DUMMYFUNCTION("""COMPUTED_VALUE"""),"A209")</f>
        <v>A209</v>
      </c>
      <c r="C396" s="28" t="str">
        <f>IFERROR(__xludf.DUMMYFUNCTION("""COMPUTED_VALUE"""),"TRF14")</f>
        <v>TRF14</v>
      </c>
      <c r="D396" s="29" t="str">
        <f>IFERROR(__xludf.DUMMYFUNCTION("""COMPUTED_VALUE"""),"Chaldea Gate (Thu)")</f>
        <v>Chaldea Gate (Thu)</v>
      </c>
      <c r="E396" s="30" t="str">
        <f>IFERROR(__xludf.DUMMYFUNCTION("""COMPUTED_VALUE"""),"THU Rider Training Ground- Int")</f>
        <v>THU Rider Training Ground- Int</v>
      </c>
      <c r="F396" s="31">
        <f>IFERROR(__xludf.DUMMYFUNCTION("""COMPUTED_VALUE"""),20.0)</f>
        <v>20</v>
      </c>
      <c r="G396" s="32">
        <f>IFERROR(__xludf.DUMMYFUNCTION("""COMPUTED_VALUE"""),1106.0)</f>
        <v>1106</v>
      </c>
      <c r="H396" s="33" t="str">
        <f>IFERROR(__xludf.DUMMYFUNCTION("""COMPUTED_VALUE"""),"")</f>
        <v/>
      </c>
      <c r="I396" s="34">
        <f>IFERROR(__xludf.DUMMYFUNCTION("""COMPUTED_VALUE"""),189.1)</f>
        <v>189.1</v>
      </c>
      <c r="J396" s="35" t="str">
        <f>IFERROR(__xludf.DUMMYFUNCTION("""COMPUTED_VALUE"""),"AP")</f>
        <v>AP</v>
      </c>
      <c r="K396" s="34">
        <f>IFERROR(__xludf.DUMMYFUNCTION("""COMPUTED_VALUE"""),10.6)</f>
        <v>10.6</v>
      </c>
      <c r="L396" s="35" t="str">
        <f>IFERROR(__xludf.DUMMYFUNCTION("""COMPUTED_VALUE"""),"%")</f>
        <v>%</v>
      </c>
      <c r="M396" s="36">
        <f>IFERROR(__xludf.DUMMYFUNCTION("""COMPUTED_VALUE"""),1.0)</f>
        <v>1</v>
      </c>
      <c r="N396" s="37" t="str">
        <f>IFERROR(__xludf.DUMMYFUNCTION("""COMPUTED_VALUE"""),"A303")</f>
        <v>A303</v>
      </c>
      <c r="O396" s="38" t="str">
        <f>IFERROR(__xludf.DUMMYFUNCTION("""COMPUTED_VALUE"""),"")</f>
        <v/>
      </c>
      <c r="P396" s="34">
        <f>IFERROR(__xludf.DUMMYFUNCTION("""COMPUTED_VALUE"""),78.2)</f>
        <v>78.2</v>
      </c>
      <c r="Q396" s="35" t="str">
        <f>IFERROR(__xludf.DUMMYFUNCTION("""COMPUTED_VALUE"""),"AP")</f>
        <v>AP</v>
      </c>
      <c r="R396" s="34">
        <f>IFERROR(__xludf.DUMMYFUNCTION("""COMPUTED_VALUE"""),25.6)</f>
        <v>25.6</v>
      </c>
      <c r="S396" s="35" t="str">
        <f>IFERROR(__xludf.DUMMYFUNCTION("""COMPUTED_VALUE"""),"%")</f>
        <v>%</v>
      </c>
      <c r="T396" s="36">
        <f>IFERROR(__xludf.DUMMYFUNCTION("""COMPUTED_VALUE"""),2.0)</f>
        <v>2</v>
      </c>
      <c r="U396" s="37" t="str">
        <f>IFERROR(__xludf.DUMMYFUNCTION("""COMPUTED_VALUE"""),"A304")</f>
        <v>A304</v>
      </c>
      <c r="V396" s="38" t="str">
        <f>IFERROR(__xludf.DUMMYFUNCTION("""COMPUTED_VALUE"""),"")</f>
        <v/>
      </c>
      <c r="W396" s="34">
        <f>IFERROR(__xludf.DUMMYFUNCTION("""COMPUTED_VALUE"""),130.5)</f>
        <v>130.5</v>
      </c>
      <c r="X396" s="35" t="str">
        <f>IFERROR(__xludf.DUMMYFUNCTION("""COMPUTED_VALUE"""),"AP")</f>
        <v>AP</v>
      </c>
      <c r="Y396" s="34">
        <f>IFERROR(__xludf.DUMMYFUNCTION("""COMPUTED_VALUE"""),15.3)</f>
        <v>15.3</v>
      </c>
      <c r="Z396" s="35" t="str">
        <f>IFERROR(__xludf.DUMMYFUNCTION("""COMPUTED_VALUE"""),"%")</f>
        <v>%</v>
      </c>
      <c r="AA396" s="36">
        <f>IFERROR(__xludf.DUMMYFUNCTION("""COMPUTED_VALUE"""),3.0)</f>
        <v>3</v>
      </c>
      <c r="AB396" s="37" t="str">
        <f>IFERROR(__xludf.DUMMYFUNCTION("""COMPUTED_VALUE"""),"B114")</f>
        <v>B114</v>
      </c>
      <c r="AC396" s="38" t="str">
        <f>IFERROR(__xludf.DUMMYFUNCTION("""COMPUTED_VALUE"""),"")</f>
        <v/>
      </c>
      <c r="AD396" s="34">
        <f>IFERROR(__xludf.DUMMYFUNCTION("""COMPUTED_VALUE"""),21.6)</f>
        <v>21.6</v>
      </c>
      <c r="AE396" s="35" t="str">
        <f>IFERROR(__xludf.DUMMYFUNCTION("""COMPUTED_VALUE"""),"AP")</f>
        <v>AP</v>
      </c>
      <c r="AF396" s="34">
        <f>IFERROR(__xludf.DUMMYFUNCTION("""COMPUTED_VALUE"""),92.7)</f>
        <v>92.7</v>
      </c>
      <c r="AG396" s="35" t="str">
        <f>IFERROR(__xludf.DUMMYFUNCTION("""COMPUTED_VALUE"""),"%")</f>
        <v>%</v>
      </c>
      <c r="AH396" s="31">
        <f>IFERROR(__xludf.DUMMYFUNCTION("""COMPUTED_VALUE"""),20.0)</f>
        <v>20</v>
      </c>
      <c r="AI396" s="32">
        <f>IFERROR(__xludf.DUMMYFUNCTION("""COMPUTED_VALUE"""),1106.0)</f>
        <v>1106</v>
      </c>
      <c r="AJ396" s="39" t="str">
        <f>IFERROR(__xludf.DUMMYFUNCTION("""COMPUTED_VALUE"""),"騎中級")</f>
        <v>騎中級</v>
      </c>
    </row>
    <row r="397" ht="24.75" customHeight="1">
      <c r="A397" s="40">
        <f>IFERROR(__xludf.DUMMYFUNCTION("""COMPUTED_VALUE"""),4.0)</f>
        <v>4</v>
      </c>
      <c r="B397" s="40" t="str">
        <f>IFERROR(__xludf.DUMMYFUNCTION("""COMPUTED_VALUE"""),"A209")</f>
        <v>A209</v>
      </c>
      <c r="C397" s="40" t="str">
        <f>IFERROR(__xludf.DUMMYFUNCTION("""COMPUTED_VALUE"""),"TRF2")</f>
        <v>TRF2</v>
      </c>
      <c r="D397" s="41" t="str">
        <f>IFERROR(__xludf.DUMMYFUNCTION("""COMPUTED_VALUE"""),"Chaldea Gate (Mon)")</f>
        <v>Chaldea Gate (Mon)</v>
      </c>
      <c r="E397" s="42" t="str">
        <f>IFERROR(__xludf.DUMMYFUNCTION("""COMPUTED_VALUE"""),"MON Archer Training Ground- Int")</f>
        <v>MON Archer Training Ground- Int</v>
      </c>
      <c r="F397" s="43">
        <f>IFERROR(__xludf.DUMMYFUNCTION("""COMPUTED_VALUE"""),20.0)</f>
        <v>20</v>
      </c>
      <c r="G397" s="44">
        <f>IFERROR(__xludf.DUMMYFUNCTION("""COMPUTED_VALUE"""),1126.0)</f>
        <v>1126</v>
      </c>
      <c r="H397" s="33" t="str">
        <f>IFERROR(__xludf.DUMMYFUNCTION("""COMPUTED_VALUE"""),"")</f>
        <v/>
      </c>
      <c r="I397" s="45">
        <f>IFERROR(__xludf.DUMMYFUNCTION("""COMPUTED_VALUE"""),192.5)</f>
        <v>192.5</v>
      </c>
      <c r="J397" s="46" t="str">
        <f>IFERROR(__xludf.DUMMYFUNCTION("""COMPUTED_VALUE"""),"AP")</f>
        <v>AP</v>
      </c>
      <c r="K397" s="47">
        <f>IFERROR(__xludf.DUMMYFUNCTION("""COMPUTED_VALUE"""),10.4)</f>
        <v>10.4</v>
      </c>
      <c r="L397" s="48" t="str">
        <f>IFERROR(__xludf.DUMMYFUNCTION("""COMPUTED_VALUE"""),"%")</f>
        <v>%</v>
      </c>
      <c r="M397" s="49">
        <f>IFERROR(__xludf.DUMMYFUNCTION("""COMPUTED_VALUE"""),1.0)</f>
        <v>1</v>
      </c>
      <c r="N397" s="50" t="str">
        <f>IFERROR(__xludf.DUMMYFUNCTION("""COMPUTED_VALUE"""),"A201")</f>
        <v>A201</v>
      </c>
      <c r="O397" s="38" t="str">
        <f>IFERROR(__xludf.DUMMYFUNCTION("""COMPUTED_VALUE"""),"")</f>
        <v/>
      </c>
      <c r="P397" s="45">
        <f>IFERROR(__xludf.DUMMYFUNCTION("""COMPUTED_VALUE"""),132.1)</f>
        <v>132.1</v>
      </c>
      <c r="Q397" s="46" t="str">
        <f>IFERROR(__xludf.DUMMYFUNCTION("""COMPUTED_VALUE"""),"AP")</f>
        <v>AP</v>
      </c>
      <c r="R397" s="47">
        <f>IFERROR(__xludf.DUMMYFUNCTION("""COMPUTED_VALUE"""),15.1)</f>
        <v>15.1</v>
      </c>
      <c r="S397" s="48" t="str">
        <f>IFERROR(__xludf.DUMMYFUNCTION("""COMPUTED_VALUE"""),"%")</f>
        <v>%</v>
      </c>
      <c r="T397" s="49">
        <f>IFERROR(__xludf.DUMMYFUNCTION("""COMPUTED_VALUE"""),2.0)</f>
        <v>2</v>
      </c>
      <c r="U397" s="50" t="str">
        <f>IFERROR(__xludf.DUMMYFUNCTION("""COMPUTED_VALUE"""),"A205")</f>
        <v>A205</v>
      </c>
      <c r="V397" s="38" t="str">
        <f>IFERROR(__xludf.DUMMYFUNCTION("""COMPUTED_VALUE"""),"")</f>
        <v/>
      </c>
      <c r="W397" s="45">
        <f>IFERROR(__xludf.DUMMYFUNCTION("""COMPUTED_VALUE"""),2790.0)</f>
        <v>2790</v>
      </c>
      <c r="X397" s="46" t="str">
        <f>IFERROR(__xludf.DUMMYFUNCTION("""COMPUTED_VALUE"""),"AP")</f>
        <v>AP</v>
      </c>
      <c r="Y397" s="47">
        <f>IFERROR(__xludf.DUMMYFUNCTION("""COMPUTED_VALUE"""),0.7)</f>
        <v>0.7</v>
      </c>
      <c r="Z397" s="48" t="str">
        <f>IFERROR(__xludf.DUMMYFUNCTION("""COMPUTED_VALUE"""),"%")</f>
        <v>%</v>
      </c>
      <c r="AA397" s="49">
        <f>IFERROR(__xludf.DUMMYFUNCTION("""COMPUTED_VALUE"""),3.0)</f>
        <v>3</v>
      </c>
      <c r="AB397" s="50" t="str">
        <f>IFERROR(__xludf.DUMMYFUNCTION("""COMPUTED_VALUE"""),"A301")</f>
        <v>A301</v>
      </c>
      <c r="AC397" s="38" t="str">
        <f>IFERROR(__xludf.DUMMYFUNCTION("""COMPUTED_VALUE"""),"")</f>
        <v/>
      </c>
      <c r="AD397" s="45">
        <f>IFERROR(__xludf.DUMMYFUNCTION("""COMPUTED_VALUE"""),250.8)</f>
        <v>250.8</v>
      </c>
      <c r="AE397" s="46" t="str">
        <f>IFERROR(__xludf.DUMMYFUNCTION("""COMPUTED_VALUE"""),"AP")</f>
        <v>AP</v>
      </c>
      <c r="AF397" s="47">
        <f>IFERROR(__xludf.DUMMYFUNCTION("""COMPUTED_VALUE"""),8.0)</f>
        <v>8</v>
      </c>
      <c r="AG397" s="48" t="str">
        <f>IFERROR(__xludf.DUMMYFUNCTION("""COMPUTED_VALUE"""),"%")</f>
        <v>%</v>
      </c>
      <c r="AH397" s="43">
        <f>IFERROR(__xludf.DUMMYFUNCTION("""COMPUTED_VALUE"""),20.0)</f>
        <v>20</v>
      </c>
      <c r="AI397" s="44">
        <f>IFERROR(__xludf.DUMMYFUNCTION("""COMPUTED_VALUE"""),1126.0)</f>
        <v>1126</v>
      </c>
      <c r="AJ397" s="51" t="str">
        <f>IFERROR(__xludf.DUMMYFUNCTION("""COMPUTED_VALUE"""),"弓中級")</f>
        <v>弓中級</v>
      </c>
    </row>
    <row r="398" ht="24.75" customHeight="1">
      <c r="A398" s="28">
        <f>IFERROR(__xludf.DUMMYFUNCTION("""COMPUTED_VALUE"""),5.0)</f>
        <v>5</v>
      </c>
      <c r="B398" s="28" t="str">
        <f>IFERROR(__xludf.DUMMYFUNCTION("""COMPUTED_VALUE"""),"A209")</f>
        <v>A209</v>
      </c>
      <c r="C398" s="28" t="str">
        <f>IFERROR(__xludf.DUMMYFUNCTION("""COMPUTED_VALUE"""),"TRF1")</f>
        <v>TRF1</v>
      </c>
      <c r="D398" s="29" t="str">
        <f>IFERROR(__xludf.DUMMYFUNCTION("""COMPUTED_VALUE"""),"Chaldea Gate (Mon)")</f>
        <v>Chaldea Gate (Mon)</v>
      </c>
      <c r="E398" s="30" t="str">
        <f>IFERROR(__xludf.DUMMYFUNCTION("""COMPUTED_VALUE"""),"MON Archer Training Ground- Nov")</f>
        <v>MON Archer Training Ground- Nov</v>
      </c>
      <c r="F398" s="31">
        <f>IFERROR(__xludf.DUMMYFUNCTION("""COMPUTED_VALUE"""),10.0)</f>
        <v>10</v>
      </c>
      <c r="G398" s="32">
        <f>IFERROR(__xludf.DUMMYFUNCTION("""COMPUTED_VALUE"""),1610.0)</f>
        <v>1610</v>
      </c>
      <c r="H398" s="33" t="str">
        <f>IFERROR(__xludf.DUMMYFUNCTION("""COMPUTED_VALUE"""),"")</f>
        <v/>
      </c>
      <c r="I398" s="34">
        <f>IFERROR(__xludf.DUMMYFUNCTION("""COMPUTED_VALUE"""),197.2)</f>
        <v>197.2</v>
      </c>
      <c r="J398" s="35" t="str">
        <f>IFERROR(__xludf.DUMMYFUNCTION("""COMPUTED_VALUE"""),"AP")</f>
        <v>AP</v>
      </c>
      <c r="K398" s="34">
        <f>IFERROR(__xludf.DUMMYFUNCTION("""COMPUTED_VALUE"""),5.1)</f>
        <v>5.1</v>
      </c>
      <c r="L398" s="35" t="str">
        <f>IFERROR(__xludf.DUMMYFUNCTION("""COMPUTED_VALUE"""),"%")</f>
        <v>%</v>
      </c>
      <c r="M398" s="36">
        <f>IFERROR(__xludf.DUMMYFUNCTION("""COMPUTED_VALUE"""),1.0)</f>
        <v>1</v>
      </c>
      <c r="N398" s="37" t="str">
        <f>IFERROR(__xludf.DUMMYFUNCTION("""COMPUTED_VALUE"""),"A301")</f>
        <v>A301</v>
      </c>
      <c r="O398" s="38" t="str">
        <f>IFERROR(__xludf.DUMMYFUNCTION("""COMPUTED_VALUE"""),"")</f>
        <v/>
      </c>
      <c r="P398" s="34">
        <f>IFERROR(__xludf.DUMMYFUNCTION("""COMPUTED_VALUE"""),92.5)</f>
        <v>92.5</v>
      </c>
      <c r="Q398" s="35" t="str">
        <f>IFERROR(__xludf.DUMMYFUNCTION("""COMPUTED_VALUE"""),"AP")</f>
        <v>AP</v>
      </c>
      <c r="R398" s="34">
        <f>IFERROR(__xludf.DUMMYFUNCTION("""COMPUTED_VALUE"""),10.8)</f>
        <v>10.8</v>
      </c>
      <c r="S398" s="35" t="str">
        <f>IFERROR(__xludf.DUMMYFUNCTION("""COMPUTED_VALUE"""),"%")</f>
        <v>%</v>
      </c>
      <c r="T398" s="36">
        <f>IFERROR(__xludf.DUMMYFUNCTION("""COMPUTED_VALUE"""),2.0)</f>
        <v>2</v>
      </c>
      <c r="U398" s="37" t="str">
        <f>IFERROR(__xludf.DUMMYFUNCTION("""COMPUTED_VALUE"""),"A302")</f>
        <v>A302</v>
      </c>
      <c r="V398" s="38" t="str">
        <f>IFERROR(__xludf.DUMMYFUNCTION("""COMPUTED_VALUE"""),"")</f>
        <v/>
      </c>
      <c r="W398" s="34">
        <f>IFERROR(__xludf.DUMMYFUNCTION("""COMPUTED_VALUE"""),41.1)</f>
        <v>41.1</v>
      </c>
      <c r="X398" s="35" t="str">
        <f>IFERROR(__xludf.DUMMYFUNCTION("""COMPUTED_VALUE"""),"AP")</f>
        <v>AP</v>
      </c>
      <c r="Y398" s="34">
        <f>IFERROR(__xludf.DUMMYFUNCTION("""COMPUTED_VALUE"""),24.3)</f>
        <v>24.3</v>
      </c>
      <c r="Z398" s="35" t="str">
        <f>IFERROR(__xludf.DUMMYFUNCTION("""COMPUTED_VALUE"""),"%")</f>
        <v>%</v>
      </c>
      <c r="AA398" s="36">
        <f>IFERROR(__xludf.DUMMYFUNCTION("""COMPUTED_VALUE"""),3.0)</f>
        <v>3</v>
      </c>
      <c r="AB398" s="37" t="str">
        <f>IFERROR(__xludf.DUMMYFUNCTION("""COMPUTED_VALUE"""),"A303")</f>
        <v>A303</v>
      </c>
      <c r="AC398" s="38" t="str">
        <f>IFERROR(__xludf.DUMMYFUNCTION("""COMPUTED_VALUE"""),"")</f>
        <v/>
      </c>
      <c r="AD398" s="34">
        <f>IFERROR(__xludf.DUMMYFUNCTION("""COMPUTED_VALUE"""),272.4)</f>
        <v>272.4</v>
      </c>
      <c r="AE398" s="35" t="str">
        <f>IFERROR(__xludf.DUMMYFUNCTION("""COMPUTED_VALUE"""),"AP")</f>
        <v>AP</v>
      </c>
      <c r="AF398" s="34">
        <f>IFERROR(__xludf.DUMMYFUNCTION("""COMPUTED_VALUE"""),3.7)</f>
        <v>3.7</v>
      </c>
      <c r="AG398" s="35" t="str">
        <f>IFERROR(__xludf.DUMMYFUNCTION("""COMPUTED_VALUE"""),"%")</f>
        <v>%</v>
      </c>
      <c r="AH398" s="31">
        <f>IFERROR(__xludf.DUMMYFUNCTION("""COMPUTED_VALUE"""),10.0)</f>
        <v>10</v>
      </c>
      <c r="AI398" s="32">
        <f>IFERROR(__xludf.DUMMYFUNCTION("""COMPUTED_VALUE"""),1610.0)</f>
        <v>1610</v>
      </c>
      <c r="AJ398" s="39" t="str">
        <f>IFERROR(__xludf.DUMMYFUNCTION("""COMPUTED_VALUE"""),"弓初級")</f>
        <v>弓初級</v>
      </c>
    </row>
    <row r="399" ht="24.75" customHeight="1">
      <c r="A399" s="40">
        <f>IFERROR(__xludf.DUMMYFUNCTION("""COMPUTED_VALUE"""),6.0)</f>
        <v>6</v>
      </c>
      <c r="B399" s="40" t="str">
        <f>IFERROR(__xludf.DUMMYFUNCTION("""COMPUTED_VALUE"""),"A209")</f>
        <v>A209</v>
      </c>
      <c r="C399" s="40" t="str">
        <f>IFERROR(__xludf.DUMMYFUNCTION("""COMPUTED_VALUE"""),"TRF15")</f>
        <v>TRF15</v>
      </c>
      <c r="D399" s="41" t="str">
        <f>IFERROR(__xludf.DUMMYFUNCTION("""COMPUTED_VALUE"""),"Chaldea Gate (Thu)")</f>
        <v>Chaldea Gate (Thu)</v>
      </c>
      <c r="E399" s="42" t="str">
        <f>IFERROR(__xludf.DUMMYFUNCTION("""COMPUTED_VALUE"""),"THU Rider Training Ground- Adv")</f>
        <v>THU Rider Training Ground- Adv</v>
      </c>
      <c r="F399" s="43">
        <f>IFERROR(__xludf.DUMMYFUNCTION("""COMPUTED_VALUE"""),30.0)</f>
        <v>30</v>
      </c>
      <c r="G399" s="44">
        <f>IFERROR(__xludf.DUMMYFUNCTION("""COMPUTED_VALUE"""),2151.0)</f>
        <v>2151</v>
      </c>
      <c r="H399" s="33" t="str">
        <f>IFERROR(__xludf.DUMMYFUNCTION("""COMPUTED_VALUE"""),"")</f>
        <v/>
      </c>
      <c r="I399" s="45">
        <f>IFERROR(__xludf.DUMMYFUNCTION("""COMPUTED_VALUE"""),198.9)</f>
        <v>198.9</v>
      </c>
      <c r="J399" s="46" t="str">
        <f>IFERROR(__xludf.DUMMYFUNCTION("""COMPUTED_VALUE"""),"AP")</f>
        <v>AP</v>
      </c>
      <c r="K399" s="47">
        <f>IFERROR(__xludf.DUMMYFUNCTION("""COMPUTED_VALUE"""),15.1)</f>
        <v>15.1</v>
      </c>
      <c r="L399" s="48" t="str">
        <f>IFERROR(__xludf.DUMMYFUNCTION("""COMPUTED_VALUE"""),"%")</f>
        <v>%</v>
      </c>
      <c r="M399" s="49">
        <f>IFERROR(__xludf.DUMMYFUNCTION("""COMPUTED_VALUE"""),1.0)</f>
        <v>1</v>
      </c>
      <c r="N399" s="50" t="str">
        <f>IFERROR(__xludf.DUMMYFUNCTION("""COMPUTED_VALUE"""),"A103")</f>
        <v>A103</v>
      </c>
      <c r="O399" s="38" t="str">
        <f>IFERROR(__xludf.DUMMYFUNCTION("""COMPUTED_VALUE"""),"")</f>
        <v/>
      </c>
      <c r="P399" s="45">
        <f>IFERROR(__xludf.DUMMYFUNCTION("""COMPUTED_VALUE"""),1019.5)</f>
        <v>1019.5</v>
      </c>
      <c r="Q399" s="46" t="str">
        <f>IFERROR(__xludf.DUMMYFUNCTION("""COMPUTED_VALUE"""),"AP")</f>
        <v>AP</v>
      </c>
      <c r="R399" s="47">
        <f>IFERROR(__xludf.DUMMYFUNCTION("""COMPUTED_VALUE"""),2.9)</f>
        <v>2.9</v>
      </c>
      <c r="S399" s="48" t="str">
        <f>IFERROR(__xludf.DUMMYFUNCTION("""COMPUTED_VALUE"""),"%")</f>
        <v>%</v>
      </c>
      <c r="T399" s="49">
        <f>IFERROR(__xludf.DUMMYFUNCTION("""COMPUTED_VALUE"""),2.0)</f>
        <v>2</v>
      </c>
      <c r="U399" s="50" t="str">
        <f>IFERROR(__xludf.DUMMYFUNCTION("""COMPUTED_VALUE"""),"A303")</f>
        <v>A303</v>
      </c>
      <c r="V399" s="38" t="str">
        <f>IFERROR(__xludf.DUMMYFUNCTION("""COMPUTED_VALUE"""),"")</f>
        <v/>
      </c>
      <c r="W399" s="45">
        <f>IFERROR(__xludf.DUMMYFUNCTION("""COMPUTED_VALUE"""),65.6)</f>
        <v>65.6</v>
      </c>
      <c r="X399" s="46" t="str">
        <f>IFERROR(__xludf.DUMMYFUNCTION("""COMPUTED_VALUE"""),"AP")</f>
        <v>AP</v>
      </c>
      <c r="Y399" s="47">
        <f>IFERROR(__xludf.DUMMYFUNCTION("""COMPUTED_VALUE"""),45.7)</f>
        <v>45.7</v>
      </c>
      <c r="Z399" s="48" t="str">
        <f>IFERROR(__xludf.DUMMYFUNCTION("""COMPUTED_VALUE"""),"%")</f>
        <v>%</v>
      </c>
      <c r="AA399" s="49">
        <f>IFERROR(__xludf.DUMMYFUNCTION("""COMPUTED_VALUE"""),3.0)</f>
        <v>3</v>
      </c>
      <c r="AB399" s="50" t="str">
        <f>IFERROR(__xludf.DUMMYFUNCTION("""COMPUTED_VALUE"""),"A304")</f>
        <v>A304</v>
      </c>
      <c r="AC399" s="38" t="str">
        <f>IFERROR(__xludf.DUMMYFUNCTION("""COMPUTED_VALUE"""),"")</f>
        <v/>
      </c>
      <c r="AD399" s="45">
        <f>IFERROR(__xludf.DUMMYFUNCTION("""COMPUTED_VALUE"""),233.0)</f>
        <v>233</v>
      </c>
      <c r="AE399" s="46" t="str">
        <f>IFERROR(__xludf.DUMMYFUNCTION("""COMPUTED_VALUE"""),"AP")</f>
        <v>AP</v>
      </c>
      <c r="AF399" s="47">
        <f>IFERROR(__xludf.DUMMYFUNCTION("""COMPUTED_VALUE"""),12.9)</f>
        <v>12.9</v>
      </c>
      <c r="AG399" s="48" t="str">
        <f>IFERROR(__xludf.DUMMYFUNCTION("""COMPUTED_VALUE"""),"%")</f>
        <v>%</v>
      </c>
      <c r="AH399" s="43">
        <f>IFERROR(__xludf.DUMMYFUNCTION("""COMPUTED_VALUE"""),30.0)</f>
        <v>30</v>
      </c>
      <c r="AI399" s="44">
        <f>IFERROR(__xludf.DUMMYFUNCTION("""COMPUTED_VALUE"""),2151.0)</f>
        <v>2151</v>
      </c>
      <c r="AJ399" s="51" t="str">
        <f>IFERROR(__xludf.DUMMYFUNCTION("""COMPUTED_VALUE"""),"騎上級")</f>
        <v>騎上級</v>
      </c>
    </row>
    <row r="400" ht="24.75" customHeight="1">
      <c r="A400" s="28">
        <f>IFERROR(__xludf.DUMMYFUNCTION("""COMPUTED_VALUE"""),7.0)</f>
        <v>7</v>
      </c>
      <c r="B400" s="28" t="str">
        <f>IFERROR(__xludf.DUMMYFUNCTION("""COMPUTED_VALUE"""),"A209")</f>
        <v>A209</v>
      </c>
      <c r="C400" s="28" t="str">
        <f>IFERROR(__xludf.DUMMYFUNCTION("""COMPUTED_VALUE"""),"TRF13")</f>
        <v>TRF13</v>
      </c>
      <c r="D400" s="29" t="str">
        <f>IFERROR(__xludf.DUMMYFUNCTION("""COMPUTED_VALUE"""),"Chaldea Gate (Thu)")</f>
        <v>Chaldea Gate (Thu)</v>
      </c>
      <c r="E400" s="30" t="str">
        <f>IFERROR(__xludf.DUMMYFUNCTION("""COMPUTED_VALUE"""),"THU Rider Training Ground- Nov")</f>
        <v>THU Rider Training Ground- Nov</v>
      </c>
      <c r="F400" s="31">
        <f>IFERROR(__xludf.DUMMYFUNCTION("""COMPUTED_VALUE"""),10.0)</f>
        <v>10</v>
      </c>
      <c r="G400" s="32">
        <f>IFERROR(__xludf.DUMMYFUNCTION("""COMPUTED_VALUE"""),1000.0)</f>
        <v>1000</v>
      </c>
      <c r="H400" s="33" t="str">
        <f>IFERROR(__xludf.DUMMYFUNCTION("""COMPUTED_VALUE"""),"")</f>
        <v/>
      </c>
      <c r="I400" s="34">
        <f>IFERROR(__xludf.DUMMYFUNCTION("""COMPUTED_VALUE"""),199.6)</f>
        <v>199.6</v>
      </c>
      <c r="J400" s="35" t="str">
        <f>IFERROR(__xludf.DUMMYFUNCTION("""COMPUTED_VALUE"""),"AP")</f>
        <v>AP</v>
      </c>
      <c r="K400" s="34">
        <f>IFERROR(__xludf.DUMMYFUNCTION("""COMPUTED_VALUE"""),5.0)</f>
        <v>5</v>
      </c>
      <c r="L400" s="35" t="str">
        <f>IFERROR(__xludf.DUMMYFUNCTION("""COMPUTED_VALUE"""),"%")</f>
        <v>%</v>
      </c>
      <c r="M400" s="36">
        <f>IFERROR(__xludf.DUMMYFUNCTION("""COMPUTED_VALUE"""),1.0)</f>
        <v>1</v>
      </c>
      <c r="N400" s="37" t="str">
        <f>IFERROR(__xludf.DUMMYFUNCTION("""COMPUTED_VALUE"""),"A303")</f>
        <v>A303</v>
      </c>
      <c r="O400" s="38" t="str">
        <f>IFERROR(__xludf.DUMMYFUNCTION("""COMPUTED_VALUE"""),"")</f>
        <v/>
      </c>
      <c r="P400" s="34">
        <f>IFERROR(__xludf.DUMMYFUNCTION("""COMPUTED_VALUE"""),61.6)</f>
        <v>61.6</v>
      </c>
      <c r="Q400" s="35" t="str">
        <f>IFERROR(__xludf.DUMMYFUNCTION("""COMPUTED_VALUE"""),"AP")</f>
        <v>AP</v>
      </c>
      <c r="R400" s="34">
        <f>IFERROR(__xludf.DUMMYFUNCTION("""COMPUTED_VALUE"""),16.2)</f>
        <v>16.2</v>
      </c>
      <c r="S400" s="35" t="str">
        <f>IFERROR(__xludf.DUMMYFUNCTION("""COMPUTED_VALUE"""),"%")</f>
        <v>%</v>
      </c>
      <c r="T400" s="36">
        <f>IFERROR(__xludf.DUMMYFUNCTION("""COMPUTED_VALUE"""),2.0)</f>
        <v>2</v>
      </c>
      <c r="U400" s="37" t="str">
        <f>IFERROR(__xludf.DUMMYFUNCTION("""COMPUTED_VALUE"""),"A304")</f>
        <v>A304</v>
      </c>
      <c r="V400" s="38" t="str">
        <f>IFERROR(__xludf.DUMMYFUNCTION("""COMPUTED_VALUE"""),"")</f>
        <v/>
      </c>
      <c r="W400" s="34">
        <f>IFERROR(__xludf.DUMMYFUNCTION("""COMPUTED_VALUE"""),293.5)</f>
        <v>293.5</v>
      </c>
      <c r="X400" s="35" t="str">
        <f>IFERROR(__xludf.DUMMYFUNCTION("""COMPUTED_VALUE"""),"AP")</f>
        <v>AP</v>
      </c>
      <c r="Y400" s="34">
        <f>IFERROR(__xludf.DUMMYFUNCTION("""COMPUTED_VALUE"""),3.4)</f>
        <v>3.4</v>
      </c>
      <c r="Z400" s="35" t="str">
        <f>IFERROR(__xludf.DUMMYFUNCTION("""COMPUTED_VALUE"""),"%")</f>
        <v>%</v>
      </c>
      <c r="AA400" s="36">
        <f>IFERROR(__xludf.DUMMYFUNCTION("""COMPUTED_VALUE"""),3.0)</f>
        <v>3</v>
      </c>
      <c r="AB400" s="37"/>
      <c r="AC400" s="38"/>
      <c r="AD400" s="34" t="str">
        <f>IFERROR(__xludf.DUMMYFUNCTION("""COMPUTED_VALUE"""),"")</f>
        <v/>
      </c>
      <c r="AE400" s="35" t="str">
        <f>IFERROR(__xludf.DUMMYFUNCTION("""COMPUTED_VALUE"""),"AP")</f>
        <v>AP</v>
      </c>
      <c r="AF400" s="34" t="str">
        <f>IFERROR(__xludf.DUMMYFUNCTION("""COMPUTED_VALUE"""),"")</f>
        <v/>
      </c>
      <c r="AG400" s="35" t="str">
        <f>IFERROR(__xludf.DUMMYFUNCTION("""COMPUTED_VALUE"""),"%")</f>
        <v>%</v>
      </c>
      <c r="AH400" s="31">
        <f>IFERROR(__xludf.DUMMYFUNCTION("""COMPUTED_VALUE"""),10.0)</f>
        <v>10</v>
      </c>
      <c r="AI400" s="32">
        <f>IFERROR(__xludf.DUMMYFUNCTION("""COMPUTED_VALUE"""),1000.0)</f>
        <v>1000</v>
      </c>
      <c r="AJ400" s="39" t="str">
        <f>IFERROR(__xludf.DUMMYFUNCTION("""COMPUTED_VALUE"""),"騎初級")</f>
        <v>騎初級</v>
      </c>
    </row>
    <row r="401" ht="24.75" customHeight="1">
      <c r="A401" s="40">
        <f>IFERROR(__xludf.DUMMYFUNCTION("""COMPUTED_VALUE"""),8.0)</f>
        <v>8</v>
      </c>
      <c r="B401" s="40" t="str">
        <f>IFERROR(__xludf.DUMMYFUNCTION("""COMPUTED_VALUE"""),"A209")</f>
        <v>A209</v>
      </c>
      <c r="C401" s="40" t="str">
        <f>IFERROR(__xludf.DUMMYFUNCTION("""COMPUTED_VALUE"""),"TRF16")</f>
        <v>TRF16</v>
      </c>
      <c r="D401" s="41" t="str">
        <f>IFERROR(__xludf.DUMMYFUNCTION("""COMPUTED_VALUE"""),"Chaldea Gate (Thu)")</f>
        <v>Chaldea Gate (Thu)</v>
      </c>
      <c r="E401" s="42" t="str">
        <f>IFERROR(__xludf.DUMMYFUNCTION("""COMPUTED_VALUE"""),"THU Rider Training Ground- Exp")</f>
        <v>THU Rider Training Ground- Exp</v>
      </c>
      <c r="F401" s="43">
        <f>IFERROR(__xludf.DUMMYFUNCTION("""COMPUTED_VALUE"""),40.0)</f>
        <v>40</v>
      </c>
      <c r="G401" s="44">
        <f>IFERROR(__xludf.DUMMYFUNCTION("""COMPUTED_VALUE"""),4052.0)</f>
        <v>4052</v>
      </c>
      <c r="H401" s="33" t="str">
        <f>IFERROR(__xludf.DUMMYFUNCTION("""COMPUTED_VALUE"""),"")</f>
        <v/>
      </c>
      <c r="I401" s="45">
        <f>IFERROR(__xludf.DUMMYFUNCTION("""COMPUTED_VALUE"""),206.5)</f>
        <v>206.5</v>
      </c>
      <c r="J401" s="46" t="str">
        <f>IFERROR(__xludf.DUMMYFUNCTION("""COMPUTED_VALUE"""),"AP")</f>
        <v>AP</v>
      </c>
      <c r="K401" s="47">
        <f>IFERROR(__xludf.DUMMYFUNCTION("""COMPUTED_VALUE"""),19.4)</f>
        <v>19.4</v>
      </c>
      <c r="L401" s="48" t="str">
        <f>IFERROR(__xludf.DUMMYFUNCTION("""COMPUTED_VALUE"""),"%")</f>
        <v>%</v>
      </c>
      <c r="M401" s="49">
        <f>IFERROR(__xludf.DUMMYFUNCTION("""COMPUTED_VALUE"""),1.0)</f>
        <v>1</v>
      </c>
      <c r="N401" s="50" t="str">
        <f>IFERROR(__xludf.DUMMYFUNCTION("""COMPUTED_VALUE"""),"A103")</f>
        <v>A103</v>
      </c>
      <c r="O401" s="38" t="str">
        <f>IFERROR(__xludf.DUMMYFUNCTION("""COMPUTED_VALUE"""),"")</f>
        <v/>
      </c>
      <c r="P401" s="45">
        <f>IFERROR(__xludf.DUMMYFUNCTION("""COMPUTED_VALUE"""),542.1)</f>
        <v>542.1</v>
      </c>
      <c r="Q401" s="46" t="str">
        <f>IFERROR(__xludf.DUMMYFUNCTION("""COMPUTED_VALUE"""),"AP")</f>
        <v>AP</v>
      </c>
      <c r="R401" s="47">
        <f>IFERROR(__xludf.DUMMYFUNCTION("""COMPUTED_VALUE"""),7.4)</f>
        <v>7.4</v>
      </c>
      <c r="S401" s="48" t="str">
        <f>IFERROR(__xludf.DUMMYFUNCTION("""COMPUTED_VALUE"""),"%")</f>
        <v>%</v>
      </c>
      <c r="T401" s="49">
        <f>IFERROR(__xludf.DUMMYFUNCTION("""COMPUTED_VALUE"""),2.0)</f>
        <v>2</v>
      </c>
      <c r="U401" s="50" t="str">
        <f>IFERROR(__xludf.DUMMYFUNCTION("""COMPUTED_VALUE"""),"A303")</f>
        <v>A303</v>
      </c>
      <c r="V401" s="38" t="str">
        <f>IFERROR(__xludf.DUMMYFUNCTION("""COMPUTED_VALUE"""),"")</f>
        <v/>
      </c>
      <c r="W401" s="45">
        <f>IFERROR(__xludf.DUMMYFUNCTION("""COMPUTED_VALUE"""),85.7)</f>
        <v>85.7</v>
      </c>
      <c r="X401" s="46" t="str">
        <f>IFERROR(__xludf.DUMMYFUNCTION("""COMPUTED_VALUE"""),"AP")</f>
        <v>AP</v>
      </c>
      <c r="Y401" s="47">
        <f>IFERROR(__xludf.DUMMYFUNCTION("""COMPUTED_VALUE"""),46.7)</f>
        <v>46.7</v>
      </c>
      <c r="Z401" s="48" t="str">
        <f>IFERROR(__xludf.DUMMYFUNCTION("""COMPUTED_VALUE"""),"%")</f>
        <v>%</v>
      </c>
      <c r="AA401" s="49">
        <f>IFERROR(__xludf.DUMMYFUNCTION("""COMPUTED_VALUE"""),3.0)</f>
        <v>3</v>
      </c>
      <c r="AB401" s="50" t="str">
        <f>IFERROR(__xludf.DUMMYFUNCTION("""COMPUTED_VALUE"""),"A304")</f>
        <v>A304</v>
      </c>
      <c r="AC401" s="38" t="str">
        <f>IFERROR(__xludf.DUMMYFUNCTION("""COMPUTED_VALUE"""),"")</f>
        <v/>
      </c>
      <c r="AD401" s="45">
        <f>IFERROR(__xludf.DUMMYFUNCTION("""COMPUTED_VALUE"""),241.5)</f>
        <v>241.5</v>
      </c>
      <c r="AE401" s="46" t="str">
        <f>IFERROR(__xludf.DUMMYFUNCTION("""COMPUTED_VALUE"""),"AP")</f>
        <v>AP</v>
      </c>
      <c r="AF401" s="47">
        <f>IFERROR(__xludf.DUMMYFUNCTION("""COMPUTED_VALUE"""),16.6)</f>
        <v>16.6</v>
      </c>
      <c r="AG401" s="48" t="str">
        <f>IFERROR(__xludf.DUMMYFUNCTION("""COMPUTED_VALUE"""),"%")</f>
        <v>%</v>
      </c>
      <c r="AH401" s="43">
        <f>IFERROR(__xludf.DUMMYFUNCTION("""COMPUTED_VALUE"""),40.0)</f>
        <v>40</v>
      </c>
      <c r="AI401" s="44">
        <f>IFERROR(__xludf.DUMMYFUNCTION("""COMPUTED_VALUE"""),4052.0)</f>
        <v>4052</v>
      </c>
      <c r="AJ401" s="51" t="str">
        <f>IFERROR(__xludf.DUMMYFUNCTION("""COMPUTED_VALUE"""),"騎超級")</f>
        <v>騎超級</v>
      </c>
    </row>
    <row r="402" ht="24.75" customHeight="1">
      <c r="A402" s="28">
        <f>IFERROR(__xludf.DUMMYFUNCTION("""COMPUTED_VALUE"""),9.0)</f>
        <v>9</v>
      </c>
      <c r="B402" s="28" t="str">
        <f>IFERROR(__xludf.DUMMYFUNCTION("""COMPUTED_VALUE"""),"A209")</f>
        <v>A209</v>
      </c>
      <c r="C402" s="28" t="str">
        <f>IFERROR(__xludf.DUMMYFUNCTION("""COMPUTED_VALUE"""),"TRF4")</f>
        <v>TRF4</v>
      </c>
      <c r="D402" s="29" t="str">
        <f>IFERROR(__xludf.DUMMYFUNCTION("""COMPUTED_VALUE"""),"Chaldea Gate (Mon)")</f>
        <v>Chaldea Gate (Mon)</v>
      </c>
      <c r="E402" s="30" t="str">
        <f>IFERROR(__xludf.DUMMYFUNCTION("""COMPUTED_VALUE"""),"MON Archer Training Ground- Exp")</f>
        <v>MON Archer Training Ground- Exp</v>
      </c>
      <c r="F402" s="31">
        <f>IFERROR(__xludf.DUMMYFUNCTION("""COMPUTED_VALUE"""),40.0)</f>
        <v>40</v>
      </c>
      <c r="G402" s="32">
        <f>IFERROR(__xludf.DUMMYFUNCTION("""COMPUTED_VALUE"""),10115.0)</f>
        <v>10115</v>
      </c>
      <c r="H402" s="33" t="str">
        <f>IFERROR(__xludf.DUMMYFUNCTION("""COMPUTED_VALUE"""),"")</f>
        <v/>
      </c>
      <c r="I402" s="34">
        <f>IFERROR(__xludf.DUMMYFUNCTION("""COMPUTED_VALUE"""),208.0)</f>
        <v>208</v>
      </c>
      <c r="J402" s="35" t="str">
        <f>IFERROR(__xludf.DUMMYFUNCTION("""COMPUTED_VALUE"""),"AP")</f>
        <v>AP</v>
      </c>
      <c r="K402" s="34">
        <f>IFERROR(__xludf.DUMMYFUNCTION("""COMPUTED_VALUE"""),19.2)</f>
        <v>19.2</v>
      </c>
      <c r="L402" s="35" t="str">
        <f>IFERROR(__xludf.DUMMYFUNCTION("""COMPUTED_VALUE"""),"%")</f>
        <v>%</v>
      </c>
      <c r="M402" s="36">
        <f>IFERROR(__xludf.DUMMYFUNCTION("""COMPUTED_VALUE"""),1.0)</f>
        <v>1</v>
      </c>
      <c r="N402" s="37" t="str">
        <f>IFERROR(__xludf.DUMMYFUNCTION("""COMPUTED_VALUE"""),"A106")</f>
        <v>A106</v>
      </c>
      <c r="O402" s="38" t="str">
        <f>IFERROR(__xludf.DUMMYFUNCTION("""COMPUTED_VALUE"""),"")</f>
        <v/>
      </c>
      <c r="P402" s="34">
        <f>IFERROR(__xludf.DUMMYFUNCTION("""COMPUTED_VALUE"""),315.5)</f>
        <v>315.5</v>
      </c>
      <c r="Q402" s="35" t="str">
        <f>IFERROR(__xludf.DUMMYFUNCTION("""COMPUTED_VALUE"""),"AP")</f>
        <v>AP</v>
      </c>
      <c r="R402" s="34">
        <f>IFERROR(__xludf.DUMMYFUNCTION("""COMPUTED_VALUE"""),12.7)</f>
        <v>12.7</v>
      </c>
      <c r="S402" s="35" t="str">
        <f>IFERROR(__xludf.DUMMYFUNCTION("""COMPUTED_VALUE"""),"%")</f>
        <v>%</v>
      </c>
      <c r="T402" s="36">
        <f>IFERROR(__xludf.DUMMYFUNCTION("""COMPUTED_VALUE"""),2.0)</f>
        <v>2</v>
      </c>
      <c r="U402" s="37" t="str">
        <f>IFERROR(__xludf.DUMMYFUNCTION("""COMPUTED_VALUE"""),"A201")</f>
        <v>A201</v>
      </c>
      <c r="V402" s="38" t="str">
        <f>IFERROR(__xludf.DUMMYFUNCTION("""COMPUTED_VALUE"""),"")</f>
        <v/>
      </c>
      <c r="W402" s="34">
        <f>IFERROR(__xludf.DUMMYFUNCTION("""COMPUTED_VALUE"""),211.7)</f>
        <v>211.7</v>
      </c>
      <c r="X402" s="35" t="str">
        <f>IFERROR(__xludf.DUMMYFUNCTION("""COMPUTED_VALUE"""),"AP")</f>
        <v>AP</v>
      </c>
      <c r="Y402" s="34">
        <f>IFERROR(__xludf.DUMMYFUNCTION("""COMPUTED_VALUE"""),18.9)</f>
        <v>18.9</v>
      </c>
      <c r="Z402" s="35" t="str">
        <f>IFERROR(__xludf.DUMMYFUNCTION("""COMPUTED_VALUE"""),"%")</f>
        <v>%</v>
      </c>
      <c r="AA402" s="36">
        <f>IFERROR(__xludf.DUMMYFUNCTION("""COMPUTED_VALUE"""),3.0)</f>
        <v>3</v>
      </c>
      <c r="AB402" s="37" t="str">
        <f>IFERROR(__xludf.DUMMYFUNCTION("""COMPUTED_VALUE"""),"A205")</f>
        <v>A205</v>
      </c>
      <c r="AC402" s="38" t="str">
        <f>IFERROR(__xludf.DUMMYFUNCTION("""COMPUTED_VALUE"""),"")</f>
        <v/>
      </c>
      <c r="AD402" s="34">
        <f>IFERROR(__xludf.DUMMYFUNCTION("""COMPUTED_VALUE"""),198.8)</f>
        <v>198.8</v>
      </c>
      <c r="AE402" s="35" t="str">
        <f>IFERROR(__xludf.DUMMYFUNCTION("""COMPUTED_VALUE"""),"AP")</f>
        <v>AP</v>
      </c>
      <c r="AF402" s="34">
        <f>IFERROR(__xludf.DUMMYFUNCTION("""COMPUTED_VALUE"""),20.1)</f>
        <v>20.1</v>
      </c>
      <c r="AG402" s="35" t="str">
        <f>IFERROR(__xludf.DUMMYFUNCTION("""COMPUTED_VALUE"""),"%")</f>
        <v>%</v>
      </c>
      <c r="AH402" s="31">
        <f>IFERROR(__xludf.DUMMYFUNCTION("""COMPUTED_VALUE"""),40.0)</f>
        <v>40</v>
      </c>
      <c r="AI402" s="32">
        <f>IFERROR(__xludf.DUMMYFUNCTION("""COMPUTED_VALUE"""),10115.0)</f>
        <v>10115</v>
      </c>
      <c r="AJ402" s="39" t="str">
        <f>IFERROR(__xludf.DUMMYFUNCTION("""COMPUTED_VALUE"""),"弓超級")</f>
        <v>弓超級</v>
      </c>
    </row>
    <row r="403" ht="24.75" customHeight="1">
      <c r="A403" s="40">
        <f>IFERROR(__xludf.DUMMYFUNCTION("""COMPUTED_VALUE"""),10.0)</f>
        <v>10</v>
      </c>
      <c r="B403" s="40" t="str">
        <f>IFERROR(__xludf.DUMMYFUNCTION("""COMPUTED_VALUE"""),"A209")</f>
        <v>A209</v>
      </c>
      <c r="C403" s="40" t="str">
        <f>IFERROR(__xludf.DUMMYFUNCTION("""COMPUTED_VALUE"""),"TRF3")</f>
        <v>TRF3</v>
      </c>
      <c r="D403" s="41" t="str">
        <f>IFERROR(__xludf.DUMMYFUNCTION("""COMPUTED_VALUE"""),"Chaldea Gate (Mon)")</f>
        <v>Chaldea Gate (Mon)</v>
      </c>
      <c r="E403" s="42" t="str">
        <f>IFERROR(__xludf.DUMMYFUNCTION("""COMPUTED_VALUE"""),"MON Archer Training Ground- Adv")</f>
        <v>MON Archer Training Ground- Adv</v>
      </c>
      <c r="F403" s="43">
        <f>IFERROR(__xludf.DUMMYFUNCTION("""COMPUTED_VALUE"""),30.0)</f>
        <v>30</v>
      </c>
      <c r="G403" s="44">
        <f>IFERROR(__xludf.DUMMYFUNCTION("""COMPUTED_VALUE"""),1260.0)</f>
        <v>1260</v>
      </c>
      <c r="H403" s="33" t="str">
        <f>IFERROR(__xludf.DUMMYFUNCTION("""COMPUTED_VALUE"""),"")</f>
        <v/>
      </c>
      <c r="I403" s="45">
        <f>IFERROR(__xludf.DUMMYFUNCTION("""COMPUTED_VALUE"""),223.7)</f>
        <v>223.7</v>
      </c>
      <c r="J403" s="46" t="str">
        <f>IFERROR(__xludf.DUMMYFUNCTION("""COMPUTED_VALUE"""),"AP")</f>
        <v>AP</v>
      </c>
      <c r="K403" s="47">
        <f>IFERROR(__xludf.DUMMYFUNCTION("""COMPUTED_VALUE"""),13.4)</f>
        <v>13.4</v>
      </c>
      <c r="L403" s="48" t="str">
        <f>IFERROR(__xludf.DUMMYFUNCTION("""COMPUTED_VALUE"""),"%")</f>
        <v>%</v>
      </c>
      <c r="M403" s="49">
        <f>IFERROR(__xludf.DUMMYFUNCTION("""COMPUTED_VALUE"""),1.0)</f>
        <v>1</v>
      </c>
      <c r="N403" s="50" t="str">
        <f>IFERROR(__xludf.DUMMYFUNCTION("""COMPUTED_VALUE"""),"A106")</f>
        <v>A106</v>
      </c>
      <c r="O403" s="38" t="str">
        <f>IFERROR(__xludf.DUMMYFUNCTION("""COMPUTED_VALUE"""),"")</f>
        <v/>
      </c>
      <c r="P403" s="45">
        <f>IFERROR(__xludf.DUMMYFUNCTION("""COMPUTED_VALUE"""),546.1)</f>
        <v>546.1</v>
      </c>
      <c r="Q403" s="46" t="str">
        <f>IFERROR(__xludf.DUMMYFUNCTION("""COMPUTED_VALUE"""),"AP")</f>
        <v>AP</v>
      </c>
      <c r="R403" s="47">
        <f>IFERROR(__xludf.DUMMYFUNCTION("""COMPUTED_VALUE"""),5.5)</f>
        <v>5.5</v>
      </c>
      <c r="S403" s="48" t="str">
        <f>IFERROR(__xludf.DUMMYFUNCTION("""COMPUTED_VALUE"""),"%")</f>
        <v>%</v>
      </c>
      <c r="T403" s="49">
        <f>IFERROR(__xludf.DUMMYFUNCTION("""COMPUTED_VALUE"""),2.0)</f>
        <v>2</v>
      </c>
      <c r="U403" s="50" t="str">
        <f>IFERROR(__xludf.DUMMYFUNCTION("""COMPUTED_VALUE"""),"A201")</f>
        <v>A201</v>
      </c>
      <c r="V403" s="38" t="str">
        <f>IFERROR(__xludf.DUMMYFUNCTION("""COMPUTED_VALUE"""),"")</f>
        <v/>
      </c>
      <c r="W403" s="45">
        <f>IFERROR(__xludf.DUMMYFUNCTION("""COMPUTED_VALUE"""),201.8)</f>
        <v>201.8</v>
      </c>
      <c r="X403" s="46" t="str">
        <f>IFERROR(__xludf.DUMMYFUNCTION("""COMPUTED_VALUE"""),"AP")</f>
        <v>AP</v>
      </c>
      <c r="Y403" s="47">
        <f>IFERROR(__xludf.DUMMYFUNCTION("""COMPUTED_VALUE"""),14.9)</f>
        <v>14.9</v>
      </c>
      <c r="Z403" s="48" t="str">
        <f>IFERROR(__xludf.DUMMYFUNCTION("""COMPUTED_VALUE"""),"%")</f>
        <v>%</v>
      </c>
      <c r="AA403" s="49">
        <f>IFERROR(__xludf.DUMMYFUNCTION("""COMPUTED_VALUE"""),3.0)</f>
        <v>3</v>
      </c>
      <c r="AB403" s="50" t="str">
        <f>IFERROR(__xludf.DUMMYFUNCTION("""COMPUTED_VALUE"""),"A205")</f>
        <v>A205</v>
      </c>
      <c r="AC403" s="38" t="str">
        <f>IFERROR(__xludf.DUMMYFUNCTION("""COMPUTED_VALUE"""),"")</f>
        <v/>
      </c>
      <c r="AD403" s="45">
        <f>IFERROR(__xludf.DUMMYFUNCTION("""COMPUTED_VALUE"""),328.2)</f>
        <v>328.2</v>
      </c>
      <c r="AE403" s="46" t="str">
        <f>IFERROR(__xludf.DUMMYFUNCTION("""COMPUTED_VALUE"""),"AP")</f>
        <v>AP</v>
      </c>
      <c r="AF403" s="47">
        <f>IFERROR(__xludf.DUMMYFUNCTION("""COMPUTED_VALUE"""),9.1)</f>
        <v>9.1</v>
      </c>
      <c r="AG403" s="48" t="str">
        <f>IFERROR(__xludf.DUMMYFUNCTION("""COMPUTED_VALUE"""),"%")</f>
        <v>%</v>
      </c>
      <c r="AH403" s="43">
        <f>IFERROR(__xludf.DUMMYFUNCTION("""COMPUTED_VALUE"""),30.0)</f>
        <v>30</v>
      </c>
      <c r="AI403" s="44">
        <f>IFERROR(__xludf.DUMMYFUNCTION("""COMPUTED_VALUE"""),1260.0)</f>
        <v>1260</v>
      </c>
      <c r="AJ403" s="51" t="str">
        <f>IFERROR(__xludf.DUMMYFUNCTION("""COMPUTED_VALUE"""),"弓上級")</f>
        <v>弓上級</v>
      </c>
    </row>
    <row r="404" ht="24.75" customHeight="1">
      <c r="A404" s="28">
        <f>IFERROR(__xludf.DUMMYFUNCTION("""COMPUTED_VALUE"""),11.0)</f>
        <v>11</v>
      </c>
      <c r="B404" s="28" t="str">
        <f>IFERROR(__xludf.DUMMYFUNCTION("""COMPUTED_VALUE"""),"A209")</f>
        <v>A209</v>
      </c>
      <c r="C404" s="28"/>
      <c r="D404" s="29"/>
      <c r="E404" s="67"/>
      <c r="F404" s="31"/>
      <c r="G404" s="32"/>
      <c r="H404" s="33" t="str">
        <f>IFERROR(__xludf.DUMMYFUNCTION("""COMPUTED_VALUE""")," ")</f>
        <v> </v>
      </c>
      <c r="I404" s="34"/>
      <c r="J404" s="35" t="str">
        <f>IFERROR(__xludf.DUMMYFUNCTION("""COMPUTED_VALUE"""),"AP")</f>
        <v>AP</v>
      </c>
      <c r="K404" s="34"/>
      <c r="L404" s="35" t="str">
        <f>IFERROR(__xludf.DUMMYFUNCTION("""COMPUTED_VALUE"""),"%")</f>
        <v>%</v>
      </c>
      <c r="M404" s="36">
        <f>IFERROR(__xludf.DUMMYFUNCTION("""COMPUTED_VALUE"""),1.0)</f>
        <v>1</v>
      </c>
      <c r="N404" s="37"/>
      <c r="O404" s="38"/>
      <c r="P404" s="34" t="str">
        <f>IFERROR(__xludf.DUMMYFUNCTION("""COMPUTED_VALUE"""),"")</f>
        <v/>
      </c>
      <c r="Q404" s="35" t="str">
        <f>IFERROR(__xludf.DUMMYFUNCTION("""COMPUTED_VALUE"""),"AP")</f>
        <v>AP</v>
      </c>
      <c r="R404" s="34" t="str">
        <f>IFERROR(__xludf.DUMMYFUNCTION("""COMPUTED_VALUE"""),"")</f>
        <v/>
      </c>
      <c r="S404" s="35" t="str">
        <f>IFERROR(__xludf.DUMMYFUNCTION("""COMPUTED_VALUE"""),"%")</f>
        <v>%</v>
      </c>
      <c r="T404" s="36">
        <f>IFERROR(__xludf.DUMMYFUNCTION("""COMPUTED_VALUE"""),2.0)</f>
        <v>2</v>
      </c>
      <c r="U404" s="37"/>
      <c r="V404" s="38"/>
      <c r="W404" s="34" t="str">
        <f>IFERROR(__xludf.DUMMYFUNCTION("""COMPUTED_VALUE"""),"")</f>
        <v/>
      </c>
      <c r="X404" s="35" t="str">
        <f>IFERROR(__xludf.DUMMYFUNCTION("""COMPUTED_VALUE"""),"AP")</f>
        <v>AP</v>
      </c>
      <c r="Y404" s="34" t="str">
        <f>IFERROR(__xludf.DUMMYFUNCTION("""COMPUTED_VALUE"""),"")</f>
        <v/>
      </c>
      <c r="Z404" s="35" t="str">
        <f>IFERROR(__xludf.DUMMYFUNCTION("""COMPUTED_VALUE"""),"%")</f>
        <v>%</v>
      </c>
      <c r="AA404" s="36">
        <f>IFERROR(__xludf.DUMMYFUNCTION("""COMPUTED_VALUE"""),3.0)</f>
        <v>3</v>
      </c>
      <c r="AB404" s="37"/>
      <c r="AC404" s="38"/>
      <c r="AD404" s="34" t="str">
        <f>IFERROR(__xludf.DUMMYFUNCTION("""COMPUTED_VALUE"""),"")</f>
        <v/>
      </c>
      <c r="AE404" s="35" t="str">
        <f>IFERROR(__xludf.DUMMYFUNCTION("""COMPUTED_VALUE"""),"AP")</f>
        <v>AP</v>
      </c>
      <c r="AF404" s="34" t="str">
        <f>IFERROR(__xludf.DUMMYFUNCTION("""COMPUTED_VALUE"""),"")</f>
        <v/>
      </c>
      <c r="AG404" s="35" t="str">
        <f>IFERROR(__xludf.DUMMYFUNCTION("""COMPUTED_VALUE"""),"%")</f>
        <v>%</v>
      </c>
      <c r="AH404" s="31"/>
      <c r="AI404" s="32"/>
      <c r="AJ404" s="39"/>
    </row>
    <row r="405" ht="24.75" hidden="1" customHeight="1">
      <c r="A405" s="40">
        <f>IFERROR(__xludf.DUMMYFUNCTION("""COMPUTED_VALUE"""),12.0)</f>
        <v>12</v>
      </c>
      <c r="B405" s="40" t="str">
        <f>IFERROR(__xludf.DUMMYFUNCTION("""COMPUTED_VALUE"""),"A209")</f>
        <v>A209</v>
      </c>
      <c r="C405" s="40"/>
      <c r="D405" s="41"/>
      <c r="E405" s="66"/>
      <c r="F405" s="43"/>
      <c r="G405" s="44"/>
      <c r="H405" s="33" t="str">
        <f>IFERROR(__xludf.DUMMYFUNCTION("""COMPUTED_VALUE""")," ")</f>
        <v> </v>
      </c>
      <c r="I405" s="45"/>
      <c r="J405" s="46" t="str">
        <f>IFERROR(__xludf.DUMMYFUNCTION("""COMPUTED_VALUE"""),"AP")</f>
        <v>AP</v>
      </c>
      <c r="K405" s="47"/>
      <c r="L405" s="48" t="str">
        <f>IFERROR(__xludf.DUMMYFUNCTION("""COMPUTED_VALUE"""),"%")</f>
        <v>%</v>
      </c>
      <c r="M405" s="49">
        <f>IFERROR(__xludf.DUMMYFUNCTION("""COMPUTED_VALUE"""),1.0)</f>
        <v>1</v>
      </c>
      <c r="N405" s="50"/>
      <c r="O405" s="38"/>
      <c r="P405" s="45" t="str">
        <f>IFERROR(__xludf.DUMMYFUNCTION("""COMPUTED_VALUE"""),"")</f>
        <v/>
      </c>
      <c r="Q405" s="46" t="str">
        <f>IFERROR(__xludf.DUMMYFUNCTION("""COMPUTED_VALUE"""),"AP")</f>
        <v>AP</v>
      </c>
      <c r="R405" s="47" t="str">
        <f>IFERROR(__xludf.DUMMYFUNCTION("""COMPUTED_VALUE"""),"")</f>
        <v/>
      </c>
      <c r="S405" s="48" t="str">
        <f>IFERROR(__xludf.DUMMYFUNCTION("""COMPUTED_VALUE"""),"%")</f>
        <v>%</v>
      </c>
      <c r="T405" s="49">
        <f>IFERROR(__xludf.DUMMYFUNCTION("""COMPUTED_VALUE"""),2.0)</f>
        <v>2</v>
      </c>
      <c r="U405" s="50"/>
      <c r="V405" s="38"/>
      <c r="W405" s="45" t="str">
        <f>IFERROR(__xludf.DUMMYFUNCTION("""COMPUTED_VALUE"""),"")</f>
        <v/>
      </c>
      <c r="X405" s="46" t="str">
        <f>IFERROR(__xludf.DUMMYFUNCTION("""COMPUTED_VALUE"""),"AP")</f>
        <v>AP</v>
      </c>
      <c r="Y405" s="47" t="str">
        <f>IFERROR(__xludf.DUMMYFUNCTION("""COMPUTED_VALUE"""),"")</f>
        <v/>
      </c>
      <c r="Z405" s="48" t="str">
        <f>IFERROR(__xludf.DUMMYFUNCTION("""COMPUTED_VALUE"""),"%")</f>
        <v>%</v>
      </c>
      <c r="AA405" s="49">
        <f>IFERROR(__xludf.DUMMYFUNCTION("""COMPUTED_VALUE"""),3.0)</f>
        <v>3</v>
      </c>
      <c r="AB405" s="50"/>
      <c r="AC405" s="38"/>
      <c r="AD405" s="45" t="str">
        <f>IFERROR(__xludf.DUMMYFUNCTION("""COMPUTED_VALUE"""),"")</f>
        <v/>
      </c>
      <c r="AE405" s="46" t="str">
        <f>IFERROR(__xludf.DUMMYFUNCTION("""COMPUTED_VALUE"""),"AP")</f>
        <v>AP</v>
      </c>
      <c r="AF405" s="47" t="str">
        <f>IFERROR(__xludf.DUMMYFUNCTION("""COMPUTED_VALUE"""),"")</f>
        <v/>
      </c>
      <c r="AG405" s="48" t="str">
        <f>IFERROR(__xludf.DUMMYFUNCTION("""COMPUTED_VALUE"""),"%")</f>
        <v>%</v>
      </c>
      <c r="AH405" s="43"/>
      <c r="AI405" s="44"/>
      <c r="AJ405" s="51"/>
    </row>
    <row r="406" ht="24.75" hidden="1" customHeight="1">
      <c r="A406" s="28">
        <f>IFERROR(__xludf.DUMMYFUNCTION("""COMPUTED_VALUE"""),13.0)</f>
        <v>13</v>
      </c>
      <c r="B406" s="28" t="str">
        <f>IFERROR(__xludf.DUMMYFUNCTION("""COMPUTED_VALUE"""),"A209")</f>
        <v>A209</v>
      </c>
      <c r="C406" s="28"/>
      <c r="D406" s="29"/>
      <c r="E406" s="67"/>
      <c r="F406" s="31"/>
      <c r="G406" s="32"/>
      <c r="H406" s="33" t="str">
        <f>IFERROR(__xludf.DUMMYFUNCTION("""COMPUTED_VALUE""")," ")</f>
        <v> </v>
      </c>
      <c r="I406" s="34"/>
      <c r="J406" s="35" t="str">
        <f>IFERROR(__xludf.DUMMYFUNCTION("""COMPUTED_VALUE"""),"AP")</f>
        <v>AP</v>
      </c>
      <c r="K406" s="34"/>
      <c r="L406" s="35" t="str">
        <f>IFERROR(__xludf.DUMMYFUNCTION("""COMPUTED_VALUE"""),"%")</f>
        <v>%</v>
      </c>
      <c r="M406" s="36">
        <f>IFERROR(__xludf.DUMMYFUNCTION("""COMPUTED_VALUE"""),1.0)</f>
        <v>1</v>
      </c>
      <c r="N406" s="37"/>
      <c r="O406" s="38"/>
      <c r="P406" s="34" t="str">
        <f>IFERROR(__xludf.DUMMYFUNCTION("""COMPUTED_VALUE"""),"")</f>
        <v/>
      </c>
      <c r="Q406" s="35" t="str">
        <f>IFERROR(__xludf.DUMMYFUNCTION("""COMPUTED_VALUE"""),"AP")</f>
        <v>AP</v>
      </c>
      <c r="R406" s="34" t="str">
        <f>IFERROR(__xludf.DUMMYFUNCTION("""COMPUTED_VALUE"""),"")</f>
        <v/>
      </c>
      <c r="S406" s="35" t="str">
        <f>IFERROR(__xludf.DUMMYFUNCTION("""COMPUTED_VALUE"""),"%")</f>
        <v>%</v>
      </c>
      <c r="T406" s="36">
        <f>IFERROR(__xludf.DUMMYFUNCTION("""COMPUTED_VALUE"""),2.0)</f>
        <v>2</v>
      </c>
      <c r="U406" s="37"/>
      <c r="V406" s="38"/>
      <c r="W406" s="34" t="str">
        <f>IFERROR(__xludf.DUMMYFUNCTION("""COMPUTED_VALUE"""),"")</f>
        <v/>
      </c>
      <c r="X406" s="35" t="str">
        <f>IFERROR(__xludf.DUMMYFUNCTION("""COMPUTED_VALUE"""),"AP")</f>
        <v>AP</v>
      </c>
      <c r="Y406" s="34" t="str">
        <f>IFERROR(__xludf.DUMMYFUNCTION("""COMPUTED_VALUE"""),"")</f>
        <v/>
      </c>
      <c r="Z406" s="35" t="str">
        <f>IFERROR(__xludf.DUMMYFUNCTION("""COMPUTED_VALUE"""),"%")</f>
        <v>%</v>
      </c>
      <c r="AA406" s="36">
        <f>IFERROR(__xludf.DUMMYFUNCTION("""COMPUTED_VALUE"""),3.0)</f>
        <v>3</v>
      </c>
      <c r="AB406" s="37"/>
      <c r="AC406" s="38"/>
      <c r="AD406" s="34" t="str">
        <f>IFERROR(__xludf.DUMMYFUNCTION("""COMPUTED_VALUE"""),"")</f>
        <v/>
      </c>
      <c r="AE406" s="35" t="str">
        <f>IFERROR(__xludf.DUMMYFUNCTION("""COMPUTED_VALUE"""),"AP")</f>
        <v>AP</v>
      </c>
      <c r="AF406" s="34" t="str">
        <f>IFERROR(__xludf.DUMMYFUNCTION("""COMPUTED_VALUE"""),"")</f>
        <v/>
      </c>
      <c r="AG406" s="35" t="str">
        <f>IFERROR(__xludf.DUMMYFUNCTION("""COMPUTED_VALUE"""),"%")</f>
        <v>%</v>
      </c>
      <c r="AH406" s="31"/>
      <c r="AI406" s="32"/>
      <c r="AJ406" s="39"/>
    </row>
    <row r="407" ht="24.75" hidden="1" customHeight="1">
      <c r="A407" s="40">
        <f>IFERROR(__xludf.DUMMYFUNCTION("""COMPUTED_VALUE"""),14.0)</f>
        <v>14</v>
      </c>
      <c r="B407" s="40" t="str">
        <f>IFERROR(__xludf.DUMMYFUNCTION("""COMPUTED_VALUE"""),"A209")</f>
        <v>A209</v>
      </c>
      <c r="C407" s="40"/>
      <c r="D407" s="41"/>
      <c r="E407" s="66"/>
      <c r="F407" s="43"/>
      <c r="G407" s="44"/>
      <c r="H407" s="33" t="str">
        <f>IFERROR(__xludf.DUMMYFUNCTION("""COMPUTED_VALUE""")," ")</f>
        <v> </v>
      </c>
      <c r="I407" s="45"/>
      <c r="J407" s="46" t="str">
        <f>IFERROR(__xludf.DUMMYFUNCTION("""COMPUTED_VALUE"""),"AP")</f>
        <v>AP</v>
      </c>
      <c r="K407" s="47"/>
      <c r="L407" s="48" t="str">
        <f>IFERROR(__xludf.DUMMYFUNCTION("""COMPUTED_VALUE"""),"%")</f>
        <v>%</v>
      </c>
      <c r="M407" s="49">
        <f>IFERROR(__xludf.DUMMYFUNCTION("""COMPUTED_VALUE"""),1.0)</f>
        <v>1</v>
      </c>
      <c r="N407" s="50"/>
      <c r="O407" s="38"/>
      <c r="P407" s="45" t="str">
        <f>IFERROR(__xludf.DUMMYFUNCTION("""COMPUTED_VALUE"""),"")</f>
        <v/>
      </c>
      <c r="Q407" s="46" t="str">
        <f>IFERROR(__xludf.DUMMYFUNCTION("""COMPUTED_VALUE"""),"AP")</f>
        <v>AP</v>
      </c>
      <c r="R407" s="47" t="str">
        <f>IFERROR(__xludf.DUMMYFUNCTION("""COMPUTED_VALUE"""),"")</f>
        <v/>
      </c>
      <c r="S407" s="48" t="str">
        <f>IFERROR(__xludf.DUMMYFUNCTION("""COMPUTED_VALUE"""),"%")</f>
        <v>%</v>
      </c>
      <c r="T407" s="49">
        <f>IFERROR(__xludf.DUMMYFUNCTION("""COMPUTED_VALUE"""),2.0)</f>
        <v>2</v>
      </c>
      <c r="U407" s="50"/>
      <c r="V407" s="38"/>
      <c r="W407" s="45" t="str">
        <f>IFERROR(__xludf.DUMMYFUNCTION("""COMPUTED_VALUE"""),"")</f>
        <v/>
      </c>
      <c r="X407" s="46" t="str">
        <f>IFERROR(__xludf.DUMMYFUNCTION("""COMPUTED_VALUE"""),"AP")</f>
        <v>AP</v>
      </c>
      <c r="Y407" s="47" t="str">
        <f>IFERROR(__xludf.DUMMYFUNCTION("""COMPUTED_VALUE"""),"")</f>
        <v/>
      </c>
      <c r="Z407" s="48" t="str">
        <f>IFERROR(__xludf.DUMMYFUNCTION("""COMPUTED_VALUE"""),"%")</f>
        <v>%</v>
      </c>
      <c r="AA407" s="49">
        <f>IFERROR(__xludf.DUMMYFUNCTION("""COMPUTED_VALUE"""),3.0)</f>
        <v>3</v>
      </c>
      <c r="AB407" s="50"/>
      <c r="AC407" s="38"/>
      <c r="AD407" s="45" t="str">
        <f>IFERROR(__xludf.DUMMYFUNCTION("""COMPUTED_VALUE"""),"")</f>
        <v/>
      </c>
      <c r="AE407" s="46" t="str">
        <f>IFERROR(__xludf.DUMMYFUNCTION("""COMPUTED_VALUE"""),"AP")</f>
        <v>AP</v>
      </c>
      <c r="AF407" s="47" t="str">
        <f>IFERROR(__xludf.DUMMYFUNCTION("""COMPUTED_VALUE"""),"")</f>
        <v/>
      </c>
      <c r="AG407" s="48" t="str">
        <f>IFERROR(__xludf.DUMMYFUNCTION("""COMPUTED_VALUE"""),"%")</f>
        <v>%</v>
      </c>
      <c r="AH407" s="43"/>
      <c r="AI407" s="44"/>
      <c r="AJ407" s="51"/>
    </row>
    <row r="408" ht="24.75" hidden="1" customHeight="1">
      <c r="A408" s="28">
        <f>IFERROR(__xludf.DUMMYFUNCTION("""COMPUTED_VALUE"""),15.0)</f>
        <v>15</v>
      </c>
      <c r="B408" s="28" t="str">
        <f>IFERROR(__xludf.DUMMYFUNCTION("""COMPUTED_VALUE"""),"A209")</f>
        <v>A209</v>
      </c>
      <c r="C408" s="28"/>
      <c r="D408" s="29"/>
      <c r="E408" s="67"/>
      <c r="F408" s="31"/>
      <c r="G408" s="32"/>
      <c r="H408" s="33" t="str">
        <f>IFERROR(__xludf.DUMMYFUNCTION("""COMPUTED_VALUE""")," ")</f>
        <v> </v>
      </c>
      <c r="I408" s="34"/>
      <c r="J408" s="35" t="str">
        <f>IFERROR(__xludf.DUMMYFUNCTION("""COMPUTED_VALUE"""),"AP")</f>
        <v>AP</v>
      </c>
      <c r="K408" s="34"/>
      <c r="L408" s="35" t="str">
        <f>IFERROR(__xludf.DUMMYFUNCTION("""COMPUTED_VALUE"""),"%")</f>
        <v>%</v>
      </c>
      <c r="M408" s="36">
        <f>IFERROR(__xludf.DUMMYFUNCTION("""COMPUTED_VALUE"""),1.0)</f>
        <v>1</v>
      </c>
      <c r="N408" s="37"/>
      <c r="O408" s="38"/>
      <c r="P408" s="34" t="str">
        <f>IFERROR(__xludf.DUMMYFUNCTION("""COMPUTED_VALUE"""),"")</f>
        <v/>
      </c>
      <c r="Q408" s="35" t="str">
        <f>IFERROR(__xludf.DUMMYFUNCTION("""COMPUTED_VALUE"""),"AP")</f>
        <v>AP</v>
      </c>
      <c r="R408" s="34" t="str">
        <f>IFERROR(__xludf.DUMMYFUNCTION("""COMPUTED_VALUE"""),"")</f>
        <v/>
      </c>
      <c r="S408" s="35" t="str">
        <f>IFERROR(__xludf.DUMMYFUNCTION("""COMPUTED_VALUE"""),"%")</f>
        <v>%</v>
      </c>
      <c r="T408" s="36">
        <f>IFERROR(__xludf.DUMMYFUNCTION("""COMPUTED_VALUE"""),2.0)</f>
        <v>2</v>
      </c>
      <c r="U408" s="37"/>
      <c r="V408" s="38"/>
      <c r="W408" s="34" t="str">
        <f>IFERROR(__xludf.DUMMYFUNCTION("""COMPUTED_VALUE"""),"")</f>
        <v/>
      </c>
      <c r="X408" s="35" t="str">
        <f>IFERROR(__xludf.DUMMYFUNCTION("""COMPUTED_VALUE"""),"AP")</f>
        <v>AP</v>
      </c>
      <c r="Y408" s="34" t="str">
        <f>IFERROR(__xludf.DUMMYFUNCTION("""COMPUTED_VALUE"""),"")</f>
        <v/>
      </c>
      <c r="Z408" s="35" t="str">
        <f>IFERROR(__xludf.DUMMYFUNCTION("""COMPUTED_VALUE"""),"%")</f>
        <v>%</v>
      </c>
      <c r="AA408" s="36">
        <f>IFERROR(__xludf.DUMMYFUNCTION("""COMPUTED_VALUE"""),3.0)</f>
        <v>3</v>
      </c>
      <c r="AB408" s="37"/>
      <c r="AC408" s="38"/>
      <c r="AD408" s="34" t="str">
        <f>IFERROR(__xludf.DUMMYFUNCTION("""COMPUTED_VALUE"""),"")</f>
        <v/>
      </c>
      <c r="AE408" s="35" t="str">
        <f>IFERROR(__xludf.DUMMYFUNCTION("""COMPUTED_VALUE"""),"AP")</f>
        <v>AP</v>
      </c>
      <c r="AF408" s="34" t="str">
        <f>IFERROR(__xludf.DUMMYFUNCTION("""COMPUTED_VALUE"""),"")</f>
        <v/>
      </c>
      <c r="AG408" s="35" t="str">
        <f>IFERROR(__xludf.DUMMYFUNCTION("""COMPUTED_VALUE"""),"%")</f>
        <v>%</v>
      </c>
      <c r="AH408" s="31"/>
      <c r="AI408" s="32"/>
      <c r="AJ408" s="39"/>
    </row>
    <row r="409" ht="24.75" hidden="1" customHeight="1">
      <c r="A409" s="40">
        <f>IFERROR(__xludf.DUMMYFUNCTION("""COMPUTED_VALUE"""),16.0)</f>
        <v>16</v>
      </c>
      <c r="B409" s="40" t="str">
        <f>IFERROR(__xludf.DUMMYFUNCTION("""COMPUTED_VALUE"""),"A209")</f>
        <v>A209</v>
      </c>
      <c r="C409" s="40"/>
      <c r="D409" s="41"/>
      <c r="E409" s="66"/>
      <c r="F409" s="43"/>
      <c r="G409" s="44"/>
      <c r="H409" s="33" t="str">
        <f>IFERROR(__xludf.DUMMYFUNCTION("""COMPUTED_VALUE""")," ")</f>
        <v> </v>
      </c>
      <c r="I409" s="45"/>
      <c r="J409" s="46" t="str">
        <f>IFERROR(__xludf.DUMMYFUNCTION("""COMPUTED_VALUE"""),"AP")</f>
        <v>AP</v>
      </c>
      <c r="K409" s="47"/>
      <c r="L409" s="48" t="str">
        <f>IFERROR(__xludf.DUMMYFUNCTION("""COMPUTED_VALUE"""),"%")</f>
        <v>%</v>
      </c>
      <c r="M409" s="49">
        <f>IFERROR(__xludf.DUMMYFUNCTION("""COMPUTED_VALUE"""),1.0)</f>
        <v>1</v>
      </c>
      <c r="N409" s="50"/>
      <c r="O409" s="38"/>
      <c r="P409" s="45" t="str">
        <f>IFERROR(__xludf.DUMMYFUNCTION("""COMPUTED_VALUE"""),"")</f>
        <v/>
      </c>
      <c r="Q409" s="46" t="str">
        <f>IFERROR(__xludf.DUMMYFUNCTION("""COMPUTED_VALUE"""),"AP")</f>
        <v>AP</v>
      </c>
      <c r="R409" s="47" t="str">
        <f>IFERROR(__xludf.DUMMYFUNCTION("""COMPUTED_VALUE"""),"")</f>
        <v/>
      </c>
      <c r="S409" s="48" t="str">
        <f>IFERROR(__xludf.DUMMYFUNCTION("""COMPUTED_VALUE"""),"%")</f>
        <v>%</v>
      </c>
      <c r="T409" s="49">
        <f>IFERROR(__xludf.DUMMYFUNCTION("""COMPUTED_VALUE"""),2.0)</f>
        <v>2</v>
      </c>
      <c r="U409" s="50"/>
      <c r="V409" s="38"/>
      <c r="W409" s="45" t="str">
        <f>IFERROR(__xludf.DUMMYFUNCTION("""COMPUTED_VALUE"""),"")</f>
        <v/>
      </c>
      <c r="X409" s="46" t="str">
        <f>IFERROR(__xludf.DUMMYFUNCTION("""COMPUTED_VALUE"""),"AP")</f>
        <v>AP</v>
      </c>
      <c r="Y409" s="47" t="str">
        <f>IFERROR(__xludf.DUMMYFUNCTION("""COMPUTED_VALUE"""),"")</f>
        <v/>
      </c>
      <c r="Z409" s="48" t="str">
        <f>IFERROR(__xludf.DUMMYFUNCTION("""COMPUTED_VALUE"""),"%")</f>
        <v>%</v>
      </c>
      <c r="AA409" s="49">
        <f>IFERROR(__xludf.DUMMYFUNCTION("""COMPUTED_VALUE"""),3.0)</f>
        <v>3</v>
      </c>
      <c r="AB409" s="50"/>
      <c r="AC409" s="38"/>
      <c r="AD409" s="45" t="str">
        <f>IFERROR(__xludf.DUMMYFUNCTION("""COMPUTED_VALUE"""),"")</f>
        <v/>
      </c>
      <c r="AE409" s="46" t="str">
        <f>IFERROR(__xludf.DUMMYFUNCTION("""COMPUTED_VALUE"""),"AP")</f>
        <v>AP</v>
      </c>
      <c r="AF409" s="47" t="str">
        <f>IFERROR(__xludf.DUMMYFUNCTION("""COMPUTED_VALUE"""),"")</f>
        <v/>
      </c>
      <c r="AG409" s="48" t="str">
        <f>IFERROR(__xludf.DUMMYFUNCTION("""COMPUTED_VALUE"""),"%")</f>
        <v>%</v>
      </c>
      <c r="AH409" s="43"/>
      <c r="AI409" s="44"/>
      <c r="AJ409" s="51"/>
    </row>
    <row r="410" ht="24.75" hidden="1" customHeight="1">
      <c r="A410" s="28">
        <f>IFERROR(__xludf.DUMMYFUNCTION("""COMPUTED_VALUE"""),17.0)</f>
        <v>17</v>
      </c>
      <c r="B410" s="28" t="str">
        <f>IFERROR(__xludf.DUMMYFUNCTION("""COMPUTED_VALUE"""),"A209")</f>
        <v>A209</v>
      </c>
      <c r="C410" s="28"/>
      <c r="D410" s="29"/>
      <c r="E410" s="67"/>
      <c r="F410" s="31"/>
      <c r="G410" s="32"/>
      <c r="H410" s="33" t="str">
        <f>IFERROR(__xludf.DUMMYFUNCTION("""COMPUTED_VALUE""")," ")</f>
        <v> </v>
      </c>
      <c r="I410" s="34"/>
      <c r="J410" s="35" t="str">
        <f>IFERROR(__xludf.DUMMYFUNCTION("""COMPUTED_VALUE"""),"AP")</f>
        <v>AP</v>
      </c>
      <c r="K410" s="34"/>
      <c r="L410" s="35" t="str">
        <f>IFERROR(__xludf.DUMMYFUNCTION("""COMPUTED_VALUE"""),"%")</f>
        <v>%</v>
      </c>
      <c r="M410" s="36">
        <f>IFERROR(__xludf.DUMMYFUNCTION("""COMPUTED_VALUE"""),1.0)</f>
        <v>1</v>
      </c>
      <c r="N410" s="37"/>
      <c r="O410" s="38"/>
      <c r="P410" s="34" t="str">
        <f>IFERROR(__xludf.DUMMYFUNCTION("""COMPUTED_VALUE"""),"")</f>
        <v/>
      </c>
      <c r="Q410" s="35" t="str">
        <f>IFERROR(__xludf.DUMMYFUNCTION("""COMPUTED_VALUE"""),"AP")</f>
        <v>AP</v>
      </c>
      <c r="R410" s="34" t="str">
        <f>IFERROR(__xludf.DUMMYFUNCTION("""COMPUTED_VALUE"""),"")</f>
        <v/>
      </c>
      <c r="S410" s="35" t="str">
        <f>IFERROR(__xludf.DUMMYFUNCTION("""COMPUTED_VALUE"""),"%")</f>
        <v>%</v>
      </c>
      <c r="T410" s="36">
        <f>IFERROR(__xludf.DUMMYFUNCTION("""COMPUTED_VALUE"""),2.0)</f>
        <v>2</v>
      </c>
      <c r="U410" s="37"/>
      <c r="V410" s="38"/>
      <c r="W410" s="34" t="str">
        <f>IFERROR(__xludf.DUMMYFUNCTION("""COMPUTED_VALUE"""),"")</f>
        <v/>
      </c>
      <c r="X410" s="35" t="str">
        <f>IFERROR(__xludf.DUMMYFUNCTION("""COMPUTED_VALUE"""),"AP")</f>
        <v>AP</v>
      </c>
      <c r="Y410" s="34" t="str">
        <f>IFERROR(__xludf.DUMMYFUNCTION("""COMPUTED_VALUE"""),"")</f>
        <v/>
      </c>
      <c r="Z410" s="35" t="str">
        <f>IFERROR(__xludf.DUMMYFUNCTION("""COMPUTED_VALUE"""),"%")</f>
        <v>%</v>
      </c>
      <c r="AA410" s="36">
        <f>IFERROR(__xludf.DUMMYFUNCTION("""COMPUTED_VALUE"""),3.0)</f>
        <v>3</v>
      </c>
      <c r="AB410" s="37"/>
      <c r="AC410" s="38"/>
      <c r="AD410" s="34" t="str">
        <f>IFERROR(__xludf.DUMMYFUNCTION("""COMPUTED_VALUE"""),"")</f>
        <v/>
      </c>
      <c r="AE410" s="35" t="str">
        <f>IFERROR(__xludf.DUMMYFUNCTION("""COMPUTED_VALUE"""),"AP")</f>
        <v>AP</v>
      </c>
      <c r="AF410" s="34" t="str">
        <f>IFERROR(__xludf.DUMMYFUNCTION("""COMPUTED_VALUE"""),"")</f>
        <v/>
      </c>
      <c r="AG410" s="35" t="str">
        <f>IFERROR(__xludf.DUMMYFUNCTION("""COMPUTED_VALUE"""),"%")</f>
        <v>%</v>
      </c>
      <c r="AH410" s="31"/>
      <c r="AI410" s="32"/>
      <c r="AJ410" s="39"/>
    </row>
    <row r="411" ht="24.75" hidden="1" customHeight="1">
      <c r="A411" s="40">
        <f>IFERROR(__xludf.DUMMYFUNCTION("""COMPUTED_VALUE"""),18.0)</f>
        <v>18</v>
      </c>
      <c r="B411" s="40" t="str">
        <f>IFERROR(__xludf.DUMMYFUNCTION("""COMPUTED_VALUE"""),"A209")</f>
        <v>A209</v>
      </c>
      <c r="C411" s="40"/>
      <c r="D411" s="41"/>
      <c r="E411" s="66"/>
      <c r="F411" s="43"/>
      <c r="G411" s="44"/>
      <c r="H411" s="33" t="str">
        <f>IFERROR(__xludf.DUMMYFUNCTION("""COMPUTED_VALUE""")," ")</f>
        <v> </v>
      </c>
      <c r="I411" s="45"/>
      <c r="J411" s="46" t="str">
        <f>IFERROR(__xludf.DUMMYFUNCTION("""COMPUTED_VALUE"""),"AP")</f>
        <v>AP</v>
      </c>
      <c r="K411" s="47"/>
      <c r="L411" s="48" t="str">
        <f>IFERROR(__xludf.DUMMYFUNCTION("""COMPUTED_VALUE"""),"%")</f>
        <v>%</v>
      </c>
      <c r="M411" s="49">
        <f>IFERROR(__xludf.DUMMYFUNCTION("""COMPUTED_VALUE"""),1.0)</f>
        <v>1</v>
      </c>
      <c r="N411" s="50"/>
      <c r="O411" s="38"/>
      <c r="P411" s="45" t="str">
        <f>IFERROR(__xludf.DUMMYFUNCTION("""COMPUTED_VALUE"""),"")</f>
        <v/>
      </c>
      <c r="Q411" s="46" t="str">
        <f>IFERROR(__xludf.DUMMYFUNCTION("""COMPUTED_VALUE"""),"AP")</f>
        <v>AP</v>
      </c>
      <c r="R411" s="47" t="str">
        <f>IFERROR(__xludf.DUMMYFUNCTION("""COMPUTED_VALUE"""),"")</f>
        <v/>
      </c>
      <c r="S411" s="48" t="str">
        <f>IFERROR(__xludf.DUMMYFUNCTION("""COMPUTED_VALUE"""),"%")</f>
        <v>%</v>
      </c>
      <c r="T411" s="49">
        <f>IFERROR(__xludf.DUMMYFUNCTION("""COMPUTED_VALUE"""),2.0)</f>
        <v>2</v>
      </c>
      <c r="U411" s="50"/>
      <c r="V411" s="38"/>
      <c r="W411" s="45" t="str">
        <f>IFERROR(__xludf.DUMMYFUNCTION("""COMPUTED_VALUE"""),"")</f>
        <v/>
      </c>
      <c r="X411" s="46" t="str">
        <f>IFERROR(__xludf.DUMMYFUNCTION("""COMPUTED_VALUE"""),"AP")</f>
        <v>AP</v>
      </c>
      <c r="Y411" s="47" t="str">
        <f>IFERROR(__xludf.DUMMYFUNCTION("""COMPUTED_VALUE"""),"")</f>
        <v/>
      </c>
      <c r="Z411" s="48" t="str">
        <f>IFERROR(__xludf.DUMMYFUNCTION("""COMPUTED_VALUE"""),"%")</f>
        <v>%</v>
      </c>
      <c r="AA411" s="49">
        <f>IFERROR(__xludf.DUMMYFUNCTION("""COMPUTED_VALUE"""),3.0)</f>
        <v>3</v>
      </c>
      <c r="AB411" s="50"/>
      <c r="AC411" s="38"/>
      <c r="AD411" s="45" t="str">
        <f>IFERROR(__xludf.DUMMYFUNCTION("""COMPUTED_VALUE"""),"")</f>
        <v/>
      </c>
      <c r="AE411" s="46" t="str">
        <f>IFERROR(__xludf.DUMMYFUNCTION("""COMPUTED_VALUE"""),"AP")</f>
        <v>AP</v>
      </c>
      <c r="AF411" s="47" t="str">
        <f>IFERROR(__xludf.DUMMYFUNCTION("""COMPUTED_VALUE"""),"")</f>
        <v/>
      </c>
      <c r="AG411" s="48" t="str">
        <f>IFERROR(__xludf.DUMMYFUNCTION("""COMPUTED_VALUE"""),"%")</f>
        <v>%</v>
      </c>
      <c r="AH411" s="43"/>
      <c r="AI411" s="44"/>
      <c r="AJ411" s="51"/>
    </row>
    <row r="412" ht="24.75" hidden="1" customHeight="1">
      <c r="A412" s="28">
        <f>IFERROR(__xludf.DUMMYFUNCTION("""COMPUTED_VALUE"""),19.0)</f>
        <v>19</v>
      </c>
      <c r="B412" s="28" t="str">
        <f>IFERROR(__xludf.DUMMYFUNCTION("""COMPUTED_VALUE"""),"A209")</f>
        <v>A209</v>
      </c>
      <c r="C412" s="28"/>
      <c r="D412" s="29"/>
      <c r="E412" s="67"/>
      <c r="F412" s="31"/>
      <c r="G412" s="32"/>
      <c r="H412" s="33" t="str">
        <f>IFERROR(__xludf.DUMMYFUNCTION("""COMPUTED_VALUE""")," ")</f>
        <v> </v>
      </c>
      <c r="I412" s="34"/>
      <c r="J412" s="35" t="str">
        <f>IFERROR(__xludf.DUMMYFUNCTION("""COMPUTED_VALUE"""),"AP")</f>
        <v>AP</v>
      </c>
      <c r="K412" s="34"/>
      <c r="L412" s="35" t="str">
        <f>IFERROR(__xludf.DUMMYFUNCTION("""COMPUTED_VALUE"""),"%")</f>
        <v>%</v>
      </c>
      <c r="M412" s="36">
        <f>IFERROR(__xludf.DUMMYFUNCTION("""COMPUTED_VALUE"""),1.0)</f>
        <v>1</v>
      </c>
      <c r="N412" s="37"/>
      <c r="O412" s="38"/>
      <c r="P412" s="34" t="str">
        <f>IFERROR(__xludf.DUMMYFUNCTION("""COMPUTED_VALUE"""),"")</f>
        <v/>
      </c>
      <c r="Q412" s="35" t="str">
        <f>IFERROR(__xludf.DUMMYFUNCTION("""COMPUTED_VALUE"""),"AP")</f>
        <v>AP</v>
      </c>
      <c r="R412" s="34" t="str">
        <f>IFERROR(__xludf.DUMMYFUNCTION("""COMPUTED_VALUE"""),"")</f>
        <v/>
      </c>
      <c r="S412" s="35" t="str">
        <f>IFERROR(__xludf.DUMMYFUNCTION("""COMPUTED_VALUE"""),"%")</f>
        <v>%</v>
      </c>
      <c r="T412" s="36">
        <f>IFERROR(__xludf.DUMMYFUNCTION("""COMPUTED_VALUE"""),2.0)</f>
        <v>2</v>
      </c>
      <c r="U412" s="37"/>
      <c r="V412" s="38"/>
      <c r="W412" s="34" t="str">
        <f>IFERROR(__xludf.DUMMYFUNCTION("""COMPUTED_VALUE"""),"")</f>
        <v/>
      </c>
      <c r="X412" s="35" t="str">
        <f>IFERROR(__xludf.DUMMYFUNCTION("""COMPUTED_VALUE"""),"AP")</f>
        <v>AP</v>
      </c>
      <c r="Y412" s="34" t="str">
        <f>IFERROR(__xludf.DUMMYFUNCTION("""COMPUTED_VALUE"""),"")</f>
        <v/>
      </c>
      <c r="Z412" s="35" t="str">
        <f>IFERROR(__xludf.DUMMYFUNCTION("""COMPUTED_VALUE"""),"%")</f>
        <v>%</v>
      </c>
      <c r="AA412" s="36">
        <f>IFERROR(__xludf.DUMMYFUNCTION("""COMPUTED_VALUE"""),3.0)</f>
        <v>3</v>
      </c>
      <c r="AB412" s="37"/>
      <c r="AC412" s="38"/>
      <c r="AD412" s="34" t="str">
        <f>IFERROR(__xludf.DUMMYFUNCTION("""COMPUTED_VALUE"""),"")</f>
        <v/>
      </c>
      <c r="AE412" s="35" t="str">
        <f>IFERROR(__xludf.DUMMYFUNCTION("""COMPUTED_VALUE"""),"AP")</f>
        <v>AP</v>
      </c>
      <c r="AF412" s="34" t="str">
        <f>IFERROR(__xludf.DUMMYFUNCTION("""COMPUTED_VALUE"""),"")</f>
        <v/>
      </c>
      <c r="AG412" s="35" t="str">
        <f>IFERROR(__xludf.DUMMYFUNCTION("""COMPUTED_VALUE"""),"%")</f>
        <v>%</v>
      </c>
      <c r="AH412" s="31"/>
      <c r="AI412" s="32"/>
      <c r="AJ412" s="39"/>
    </row>
    <row r="413" ht="24.75" hidden="1" customHeight="1">
      <c r="A413" s="40">
        <f>IFERROR(__xludf.DUMMYFUNCTION("""COMPUTED_VALUE"""),20.0)</f>
        <v>20</v>
      </c>
      <c r="B413" s="40" t="str">
        <f>IFERROR(__xludf.DUMMYFUNCTION("""COMPUTED_VALUE"""),"A209")</f>
        <v>A209</v>
      </c>
      <c r="C413" s="40"/>
      <c r="D413" s="41"/>
      <c r="E413" s="66"/>
      <c r="F413" s="43"/>
      <c r="G413" s="44"/>
      <c r="H413" s="33" t="str">
        <f>IFERROR(__xludf.DUMMYFUNCTION("""COMPUTED_VALUE""")," ")</f>
        <v> </v>
      </c>
      <c r="I413" s="45"/>
      <c r="J413" s="46" t="str">
        <f>IFERROR(__xludf.DUMMYFUNCTION("""COMPUTED_VALUE"""),"AP")</f>
        <v>AP</v>
      </c>
      <c r="K413" s="47"/>
      <c r="L413" s="48" t="str">
        <f>IFERROR(__xludf.DUMMYFUNCTION("""COMPUTED_VALUE"""),"%")</f>
        <v>%</v>
      </c>
      <c r="M413" s="49">
        <f>IFERROR(__xludf.DUMMYFUNCTION("""COMPUTED_VALUE"""),1.0)</f>
        <v>1</v>
      </c>
      <c r="N413" s="50"/>
      <c r="O413" s="38"/>
      <c r="P413" s="45" t="str">
        <f>IFERROR(__xludf.DUMMYFUNCTION("""COMPUTED_VALUE"""),"")</f>
        <v/>
      </c>
      <c r="Q413" s="46" t="str">
        <f>IFERROR(__xludf.DUMMYFUNCTION("""COMPUTED_VALUE"""),"AP")</f>
        <v>AP</v>
      </c>
      <c r="R413" s="47" t="str">
        <f>IFERROR(__xludf.DUMMYFUNCTION("""COMPUTED_VALUE"""),"")</f>
        <v/>
      </c>
      <c r="S413" s="48" t="str">
        <f>IFERROR(__xludf.DUMMYFUNCTION("""COMPUTED_VALUE"""),"%")</f>
        <v>%</v>
      </c>
      <c r="T413" s="49">
        <f>IFERROR(__xludf.DUMMYFUNCTION("""COMPUTED_VALUE"""),2.0)</f>
        <v>2</v>
      </c>
      <c r="U413" s="50"/>
      <c r="V413" s="38"/>
      <c r="W413" s="45" t="str">
        <f>IFERROR(__xludf.DUMMYFUNCTION("""COMPUTED_VALUE"""),"")</f>
        <v/>
      </c>
      <c r="X413" s="46" t="str">
        <f>IFERROR(__xludf.DUMMYFUNCTION("""COMPUTED_VALUE"""),"AP")</f>
        <v>AP</v>
      </c>
      <c r="Y413" s="47" t="str">
        <f>IFERROR(__xludf.DUMMYFUNCTION("""COMPUTED_VALUE"""),"")</f>
        <v/>
      </c>
      <c r="Z413" s="48" t="str">
        <f>IFERROR(__xludf.DUMMYFUNCTION("""COMPUTED_VALUE"""),"%")</f>
        <v>%</v>
      </c>
      <c r="AA413" s="49">
        <f>IFERROR(__xludf.DUMMYFUNCTION("""COMPUTED_VALUE"""),3.0)</f>
        <v>3</v>
      </c>
      <c r="AB413" s="50"/>
      <c r="AC413" s="38"/>
      <c r="AD413" s="45" t="str">
        <f>IFERROR(__xludf.DUMMYFUNCTION("""COMPUTED_VALUE"""),"")</f>
        <v/>
      </c>
      <c r="AE413" s="46" t="str">
        <f>IFERROR(__xludf.DUMMYFUNCTION("""COMPUTED_VALUE"""),"AP")</f>
        <v>AP</v>
      </c>
      <c r="AF413" s="47" t="str">
        <f>IFERROR(__xludf.DUMMYFUNCTION("""COMPUTED_VALUE"""),"")</f>
        <v/>
      </c>
      <c r="AG413" s="48" t="str">
        <f>IFERROR(__xludf.DUMMYFUNCTION("""COMPUTED_VALUE"""),"%")</f>
        <v>%</v>
      </c>
      <c r="AH413" s="43"/>
      <c r="AI413" s="44"/>
      <c r="AJ413" s="51"/>
    </row>
    <row r="414">
      <c r="A414" s="52"/>
      <c r="B414" s="53"/>
      <c r="C414" s="54"/>
      <c r="D414" s="55"/>
      <c r="E414" s="56"/>
      <c r="F414" s="53"/>
      <c r="G414" s="53"/>
      <c r="H414" s="53"/>
      <c r="I414" s="53"/>
      <c r="J414" s="57"/>
      <c r="K414" s="53"/>
      <c r="L414" s="57"/>
      <c r="M414" s="53"/>
      <c r="N414" s="53"/>
      <c r="O414" s="53"/>
      <c r="P414" s="53"/>
      <c r="Q414" s="57"/>
      <c r="R414" s="53"/>
      <c r="S414" s="57"/>
      <c r="T414" s="53"/>
      <c r="U414" s="53"/>
      <c r="V414" s="53"/>
      <c r="W414" s="53"/>
      <c r="X414" s="57"/>
      <c r="Y414" s="53"/>
      <c r="Z414" s="57"/>
      <c r="AA414" s="53"/>
      <c r="AB414" s="53"/>
      <c r="AC414" s="53"/>
      <c r="AD414" s="53"/>
      <c r="AE414" s="57"/>
      <c r="AF414" s="53"/>
      <c r="AG414" s="57"/>
      <c r="AH414" s="53"/>
      <c r="AI414" s="53"/>
      <c r="AJ414" s="58"/>
    </row>
    <row r="415">
      <c r="A415" s="59"/>
      <c r="B415" s="60"/>
      <c r="C415" s="61"/>
      <c r="D415" s="62"/>
      <c r="E415" s="63"/>
      <c r="F415" s="60"/>
      <c r="G415" s="60"/>
      <c r="H415" s="60"/>
      <c r="I415" s="60"/>
      <c r="J415" s="64"/>
      <c r="K415" s="60"/>
      <c r="L415" s="64"/>
      <c r="M415" s="60"/>
      <c r="N415" s="60"/>
      <c r="O415" s="60"/>
      <c r="P415" s="60"/>
      <c r="Q415" s="64"/>
      <c r="R415" s="60"/>
      <c r="S415" s="64"/>
      <c r="T415" s="60"/>
      <c r="U415" s="60"/>
      <c r="V415" s="60"/>
      <c r="W415" s="60"/>
      <c r="X415" s="64"/>
      <c r="Y415" s="60"/>
      <c r="Z415" s="64"/>
      <c r="AA415" s="60"/>
      <c r="AB415" s="60"/>
      <c r="AC415" s="60"/>
      <c r="AD415" s="60"/>
      <c r="AE415" s="64"/>
      <c r="AF415" s="60"/>
      <c r="AG415" s="64"/>
      <c r="AH415" s="60"/>
      <c r="AI415" s="60"/>
      <c r="AJ415" s="65"/>
    </row>
    <row r="416" ht="33.0" customHeight="1">
      <c r="A416" s="20" t="str">
        <f>IFERROR(__xludf.DUMMYFUNCTION("""COMPUTED_VALUE""")," ")</f>
        <v> </v>
      </c>
      <c r="B416" s="21" t="str">
        <f>IFERROR(__xludf.DUMMYFUNCTION("""COMPUTED_VALUE"""),"A210")</f>
        <v>A210</v>
      </c>
      <c r="C416" s="20"/>
      <c r="D416" s="22" t="str">
        <f>IFERROR(__xludf.DUMMYFUNCTION("""COMPUTED_VALUE"""),"")</f>
        <v/>
      </c>
      <c r="E416" s="23" t="str">
        <f>IFERROR(__xludf.DUMMYFUNCTION("""COMPUTED_VALUE"""),"Great Knight Medal")</f>
        <v>Great Knight Medal</v>
      </c>
      <c r="F416" s="24"/>
      <c r="G416" s="24"/>
      <c r="H416" s="25"/>
      <c r="I416" s="25"/>
      <c r="J416" s="26"/>
      <c r="K416" s="25"/>
      <c r="L416" s="26"/>
      <c r="M416" s="25"/>
      <c r="N416" s="25"/>
      <c r="O416" s="25"/>
      <c r="P416" s="25"/>
      <c r="Q416" s="26"/>
      <c r="R416" s="25"/>
      <c r="S416" s="26"/>
      <c r="T416" s="25"/>
      <c r="U416" s="25"/>
      <c r="V416" s="25"/>
      <c r="W416" s="25"/>
      <c r="X416" s="26"/>
      <c r="Y416" s="25"/>
      <c r="Z416" s="26"/>
      <c r="AA416" s="25"/>
      <c r="AB416" s="25"/>
      <c r="AC416" s="25"/>
      <c r="AD416" s="25"/>
      <c r="AE416" s="26"/>
      <c r="AF416" s="25"/>
      <c r="AG416" s="26"/>
      <c r="AH416" s="24"/>
      <c r="AI416" s="25"/>
      <c r="AJ416" s="27"/>
    </row>
    <row r="417" ht="24.75" customHeight="1">
      <c r="A417" s="28">
        <f>IFERROR(__xludf.DUMMYFUNCTION("""COMPUTED_VALUE"""),1.0)</f>
        <v>1</v>
      </c>
      <c r="B417" s="28" t="str">
        <f>IFERROR(__xludf.DUMMYFUNCTION("""COMPUTED_VALUE"""),"A210")</f>
        <v>A210</v>
      </c>
      <c r="C417" s="28" t="str">
        <f>IFERROR(__xludf.DUMMYFUNCTION("""COMPUTED_VALUE"""),"CML12")</f>
        <v>CML12</v>
      </c>
      <c r="D417" s="29" t="str">
        <f>IFERROR(__xludf.DUMMYFUNCTION("""COMPUTED_VALUE"""),"Camelot")</f>
        <v>Camelot</v>
      </c>
      <c r="E417" s="30" t="str">
        <f>IFERROR(__xludf.DUMMYFUNCTION("""COMPUTED_VALUE"""),"Royal Castle")</f>
        <v>Royal Castle</v>
      </c>
      <c r="F417" s="31">
        <f>IFERROR(__xludf.DUMMYFUNCTION("""COMPUTED_VALUE"""),21.0)</f>
        <v>21</v>
      </c>
      <c r="G417" s="32">
        <f>IFERROR(__xludf.DUMMYFUNCTION("""COMPUTED_VALUE"""),100000.0)</f>
        <v>100000</v>
      </c>
      <c r="H417" s="33" t="str">
        <f>IFERROR(__xludf.DUMMYFUNCTION("""COMPUTED_VALUE"""),"")</f>
        <v/>
      </c>
      <c r="I417" s="34">
        <f>IFERROR(__xludf.DUMMYFUNCTION("""COMPUTED_VALUE"""),59.5)</f>
        <v>59.5</v>
      </c>
      <c r="J417" s="35" t="str">
        <f>IFERROR(__xludf.DUMMYFUNCTION("""COMPUTED_VALUE"""),"AP")</f>
        <v>AP</v>
      </c>
      <c r="K417" s="34">
        <f>IFERROR(__xludf.DUMMYFUNCTION("""COMPUTED_VALUE"""),35.3)</f>
        <v>35.3</v>
      </c>
      <c r="L417" s="35" t="str">
        <f>IFERROR(__xludf.DUMMYFUNCTION("""COMPUTED_VALUE"""),"%")</f>
        <v>%</v>
      </c>
      <c r="M417" s="36">
        <f>IFERROR(__xludf.DUMMYFUNCTION("""COMPUTED_VALUE"""),1.0)</f>
        <v>1</v>
      </c>
      <c r="N417" s="37" t="str">
        <f>IFERROR(__xludf.DUMMYFUNCTION("""COMPUTED_VALUE"""),"A304")</f>
        <v>A304</v>
      </c>
      <c r="O417" s="38" t="str">
        <f>IFERROR(__xludf.DUMMYFUNCTION("""COMPUTED_VALUE"""),"")</f>
        <v/>
      </c>
      <c r="P417" s="34">
        <f>IFERROR(__xludf.DUMMYFUNCTION("""COMPUTED_VALUE"""),131.6)</f>
        <v>131.6</v>
      </c>
      <c r="Q417" s="35" t="str">
        <f>IFERROR(__xludf.DUMMYFUNCTION("""COMPUTED_VALUE"""),"AP")</f>
        <v>AP</v>
      </c>
      <c r="R417" s="34">
        <f>IFERROR(__xludf.DUMMYFUNCTION("""COMPUTED_VALUE"""),16.0)</f>
        <v>16</v>
      </c>
      <c r="S417" s="35" t="str">
        <f>IFERROR(__xludf.DUMMYFUNCTION("""COMPUTED_VALUE"""),"%")</f>
        <v>%</v>
      </c>
      <c r="T417" s="36">
        <f>IFERROR(__xludf.DUMMYFUNCTION("""COMPUTED_VALUE"""),2.0)</f>
        <v>2</v>
      </c>
      <c r="U417" s="37" t="str">
        <f>IFERROR(__xludf.DUMMYFUNCTION("""COMPUTED_VALUE"""),"B111")</f>
        <v>B111</v>
      </c>
      <c r="V417" s="38" t="str">
        <f>IFERROR(__xludf.DUMMYFUNCTION("""COMPUTED_VALUE"""),"")</f>
        <v/>
      </c>
      <c r="W417" s="34">
        <f>IFERROR(__xludf.DUMMYFUNCTION("""COMPUTED_VALUE"""),86.1)</f>
        <v>86.1</v>
      </c>
      <c r="X417" s="35" t="str">
        <f>IFERROR(__xludf.DUMMYFUNCTION("""COMPUTED_VALUE"""),"AP")</f>
        <v>AP</v>
      </c>
      <c r="Y417" s="34">
        <f>IFERROR(__xludf.DUMMYFUNCTION("""COMPUTED_VALUE"""),24.4)</f>
        <v>24.4</v>
      </c>
      <c r="Z417" s="35" t="str">
        <f>IFERROR(__xludf.DUMMYFUNCTION("""COMPUTED_VALUE"""),"%")</f>
        <v>%</v>
      </c>
      <c r="AA417" s="36">
        <f>IFERROR(__xludf.DUMMYFUNCTION("""COMPUTED_VALUE"""),3.0)</f>
        <v>3</v>
      </c>
      <c r="AB417" s="37"/>
      <c r="AC417" s="38"/>
      <c r="AD417" s="34" t="str">
        <f>IFERROR(__xludf.DUMMYFUNCTION("""COMPUTED_VALUE"""),"")</f>
        <v/>
      </c>
      <c r="AE417" s="35" t="str">
        <f>IFERROR(__xludf.DUMMYFUNCTION("""COMPUTED_VALUE"""),"AP")</f>
        <v>AP</v>
      </c>
      <c r="AF417" s="34" t="str">
        <f>IFERROR(__xludf.DUMMYFUNCTION("""COMPUTED_VALUE"""),"")</f>
        <v/>
      </c>
      <c r="AG417" s="35" t="str">
        <f>IFERROR(__xludf.DUMMYFUNCTION("""COMPUTED_VALUE"""),"%")</f>
        <v>%</v>
      </c>
      <c r="AH417" s="31">
        <f>IFERROR(__xludf.DUMMYFUNCTION("""COMPUTED_VALUE"""),21.0)</f>
        <v>21</v>
      </c>
      <c r="AI417" s="32">
        <f>IFERROR(__xludf.DUMMYFUNCTION("""COMPUTED_VALUE"""),100000.0)</f>
        <v>100000</v>
      </c>
      <c r="AJ417" s="39" t="str">
        <f>IFERROR(__xludf.DUMMYFUNCTION("""COMPUTED_VALUE"""),"王城")</f>
        <v>王城</v>
      </c>
    </row>
    <row r="418" ht="24.75" customHeight="1">
      <c r="A418" s="40">
        <f>IFERROR(__xludf.DUMMYFUNCTION("""COMPUTED_VALUE"""),2.0)</f>
        <v>2</v>
      </c>
      <c r="B418" s="40" t="str">
        <f>IFERROR(__xludf.DUMMYFUNCTION("""COMPUTED_VALUE"""),"A210")</f>
        <v>A210</v>
      </c>
      <c r="C418" s="40" t="str">
        <f>IFERROR(__xludf.DUMMYFUNCTION("""COMPUTED_VALUE"""),"CML9")</f>
        <v>CML9</v>
      </c>
      <c r="D418" s="41" t="str">
        <f>IFERROR(__xludf.DUMMYFUNCTION("""COMPUTED_VALUE"""),"Camelot")</f>
        <v>Camelot</v>
      </c>
      <c r="E418" s="42" t="str">
        <f>IFERROR(__xludf.DUMMYFUNCTION("""COMPUTED_VALUE"""),"Main Gate")</f>
        <v>Main Gate</v>
      </c>
      <c r="F418" s="43">
        <f>IFERROR(__xludf.DUMMYFUNCTION("""COMPUTED_VALUE"""),20.0)</f>
        <v>20</v>
      </c>
      <c r="G418" s="44">
        <f>IFERROR(__xludf.DUMMYFUNCTION("""COMPUTED_VALUE"""),50897.0)</f>
        <v>50897</v>
      </c>
      <c r="H418" s="33" t="str">
        <f>IFERROR(__xludf.DUMMYFUNCTION("""COMPUTED_VALUE"""),"")</f>
        <v/>
      </c>
      <c r="I418" s="45">
        <f>IFERROR(__xludf.DUMMYFUNCTION("""COMPUTED_VALUE"""),66.3)</f>
        <v>66.3</v>
      </c>
      <c r="J418" s="46" t="str">
        <f>IFERROR(__xludf.DUMMYFUNCTION("""COMPUTED_VALUE"""),"AP")</f>
        <v>AP</v>
      </c>
      <c r="K418" s="47">
        <f>IFERROR(__xludf.DUMMYFUNCTION("""COMPUTED_VALUE"""),30.1)</f>
        <v>30.1</v>
      </c>
      <c r="L418" s="48" t="str">
        <f>IFERROR(__xludf.DUMMYFUNCTION("""COMPUTED_VALUE"""),"%")</f>
        <v>%</v>
      </c>
      <c r="M418" s="49">
        <f>IFERROR(__xludf.DUMMYFUNCTION("""COMPUTED_VALUE"""),1.0)</f>
        <v>1</v>
      </c>
      <c r="N418" s="50" t="str">
        <f>IFERROR(__xludf.DUMMYFUNCTION("""COMPUTED_VALUE"""),"B111")</f>
        <v>B111</v>
      </c>
      <c r="O418" s="38" t="str">
        <f>IFERROR(__xludf.DUMMYFUNCTION("""COMPUTED_VALUE"""),"")</f>
        <v/>
      </c>
      <c r="P418" s="45">
        <f>IFERROR(__xludf.DUMMYFUNCTION("""COMPUTED_VALUE"""),193.1)</f>
        <v>193.1</v>
      </c>
      <c r="Q418" s="46" t="str">
        <f>IFERROR(__xludf.DUMMYFUNCTION("""COMPUTED_VALUE"""),"AP")</f>
        <v>AP</v>
      </c>
      <c r="R418" s="47">
        <f>IFERROR(__xludf.DUMMYFUNCTION("""COMPUTED_VALUE"""),10.4)</f>
        <v>10.4</v>
      </c>
      <c r="S418" s="48" t="str">
        <f>IFERROR(__xludf.DUMMYFUNCTION("""COMPUTED_VALUE"""),"%")</f>
        <v>%</v>
      </c>
      <c r="T418" s="49">
        <f>IFERROR(__xludf.DUMMYFUNCTION("""COMPUTED_VALUE"""),2.0)</f>
        <v>2</v>
      </c>
      <c r="U418" s="50" t="str">
        <f>IFERROR(__xludf.DUMMYFUNCTION("""COMPUTED_VALUE"""),"B112")</f>
        <v>B112</v>
      </c>
      <c r="V418" s="38" t="str">
        <f>IFERROR(__xludf.DUMMYFUNCTION("""COMPUTED_VALUE"""),"")</f>
        <v/>
      </c>
      <c r="W418" s="45">
        <f>IFERROR(__xludf.DUMMYFUNCTION("""COMPUTED_VALUE"""),374.9)</f>
        <v>374.9</v>
      </c>
      <c r="X418" s="46" t="str">
        <f>IFERROR(__xludf.DUMMYFUNCTION("""COMPUTED_VALUE"""),"AP")</f>
        <v>AP</v>
      </c>
      <c r="Y418" s="47">
        <f>IFERROR(__xludf.DUMMYFUNCTION("""COMPUTED_VALUE"""),5.3)</f>
        <v>5.3</v>
      </c>
      <c r="Z418" s="48" t="str">
        <f>IFERROR(__xludf.DUMMYFUNCTION("""COMPUTED_VALUE"""),"%")</f>
        <v>%</v>
      </c>
      <c r="AA418" s="49">
        <f>IFERROR(__xludf.DUMMYFUNCTION("""COMPUTED_VALUE"""),3.0)</f>
        <v>3</v>
      </c>
      <c r="AB418" s="50" t="str">
        <f>IFERROR(__xludf.DUMMYFUNCTION("""COMPUTED_VALUE"""),"B113")</f>
        <v>B113</v>
      </c>
      <c r="AC418" s="38" t="str">
        <f>IFERROR(__xludf.DUMMYFUNCTION("""COMPUTED_VALUE"""),"")</f>
        <v/>
      </c>
      <c r="AD418" s="45">
        <f>IFERROR(__xludf.DUMMYFUNCTION("""COMPUTED_VALUE"""),190.9)</f>
        <v>190.9</v>
      </c>
      <c r="AE418" s="46" t="str">
        <f>IFERROR(__xludf.DUMMYFUNCTION("""COMPUTED_VALUE"""),"AP")</f>
        <v>AP</v>
      </c>
      <c r="AF418" s="47">
        <f>IFERROR(__xludf.DUMMYFUNCTION("""COMPUTED_VALUE"""),10.5)</f>
        <v>10.5</v>
      </c>
      <c r="AG418" s="48" t="str">
        <f>IFERROR(__xludf.DUMMYFUNCTION("""COMPUTED_VALUE"""),"%")</f>
        <v>%</v>
      </c>
      <c r="AH418" s="43">
        <f>IFERROR(__xludf.DUMMYFUNCTION("""COMPUTED_VALUE"""),20.0)</f>
        <v>20</v>
      </c>
      <c r="AI418" s="44">
        <f>IFERROR(__xludf.DUMMYFUNCTION("""COMPUTED_VALUE"""),50897.0)</f>
        <v>50897</v>
      </c>
      <c r="AJ418" s="51" t="str">
        <f>IFERROR(__xludf.DUMMYFUNCTION("""COMPUTED_VALUE"""),"聖都正門")</f>
        <v>聖都正門</v>
      </c>
    </row>
    <row r="419" ht="24.75" customHeight="1">
      <c r="A419" s="28">
        <f>IFERROR(__xludf.DUMMYFUNCTION("""COMPUTED_VALUE"""),3.0)</f>
        <v>3</v>
      </c>
      <c r="B419" s="28" t="str">
        <f>IFERROR(__xludf.DUMMYFUNCTION("""COMPUTED_VALUE"""),"A210")</f>
        <v>A210</v>
      </c>
      <c r="C419" s="28" t="str">
        <f>IFERROR(__xludf.DUMMYFUNCTION("""COMPUTED_VALUE"""),"CML5")</f>
        <v>CML5</v>
      </c>
      <c r="D419" s="29" t="str">
        <f>IFERROR(__xludf.DUMMYFUNCTION("""COMPUTED_VALUE"""),"Camelot")</f>
        <v>Camelot</v>
      </c>
      <c r="E419" s="30" t="str">
        <f>IFERROR(__xludf.DUMMYFUNCTION("""COMPUTED_VALUE"""),"Fortress of the Round Table")</f>
        <v>Fortress of the Round Table</v>
      </c>
      <c r="F419" s="31">
        <f>IFERROR(__xludf.DUMMYFUNCTION("""COMPUTED_VALUE"""),19.0)</f>
        <v>19</v>
      </c>
      <c r="G419" s="32">
        <f>IFERROR(__xludf.DUMMYFUNCTION("""COMPUTED_VALUE"""),3427.0)</f>
        <v>3427</v>
      </c>
      <c r="H419" s="33" t="str">
        <f>IFERROR(__xludf.DUMMYFUNCTION("""COMPUTED_VALUE"""),"")</f>
        <v/>
      </c>
      <c r="I419" s="34">
        <f>IFERROR(__xludf.DUMMYFUNCTION("""COMPUTED_VALUE"""),105.0)</f>
        <v>105</v>
      </c>
      <c r="J419" s="35" t="str">
        <f>IFERROR(__xludf.DUMMYFUNCTION("""COMPUTED_VALUE"""),"AP")</f>
        <v>AP</v>
      </c>
      <c r="K419" s="34">
        <f>IFERROR(__xludf.DUMMYFUNCTION("""COMPUTED_VALUE"""),18.1)</f>
        <v>18.1</v>
      </c>
      <c r="L419" s="35" t="str">
        <f>IFERROR(__xludf.DUMMYFUNCTION("""COMPUTED_VALUE"""),"%")</f>
        <v>%</v>
      </c>
      <c r="M419" s="36">
        <f>IFERROR(__xludf.DUMMYFUNCTION("""COMPUTED_VALUE"""),1.0)</f>
        <v>1</v>
      </c>
      <c r="N419" s="37" t="str">
        <f>IFERROR(__xludf.DUMMYFUNCTION("""COMPUTED_VALUE"""),"A301")</f>
        <v>A301</v>
      </c>
      <c r="O419" s="38" t="str">
        <f>IFERROR(__xludf.DUMMYFUNCTION("""COMPUTED_VALUE"""),"")</f>
        <v/>
      </c>
      <c r="P419" s="34">
        <f>IFERROR(__xludf.DUMMYFUNCTION("""COMPUTED_VALUE"""),43.1)</f>
        <v>43.1</v>
      </c>
      <c r="Q419" s="35" t="str">
        <f>IFERROR(__xludf.DUMMYFUNCTION("""COMPUTED_VALUE"""),"AP")</f>
        <v>AP</v>
      </c>
      <c r="R419" s="34">
        <f>IFERROR(__xludf.DUMMYFUNCTION("""COMPUTED_VALUE"""),44.1)</f>
        <v>44.1</v>
      </c>
      <c r="S419" s="35" t="str">
        <f>IFERROR(__xludf.DUMMYFUNCTION("""COMPUTED_VALUE"""),"%")</f>
        <v>%</v>
      </c>
      <c r="T419" s="36">
        <f>IFERROR(__xludf.DUMMYFUNCTION("""COMPUTED_VALUE"""),2.0)</f>
        <v>2</v>
      </c>
      <c r="U419" s="37" t="str">
        <f>IFERROR(__xludf.DUMMYFUNCTION("""COMPUTED_VALUE"""),"B111")</f>
        <v>B111</v>
      </c>
      <c r="V419" s="38" t="str">
        <f>IFERROR(__xludf.DUMMYFUNCTION("""COMPUTED_VALUE"""),"")</f>
        <v/>
      </c>
      <c r="W419" s="34">
        <f>IFERROR(__xludf.DUMMYFUNCTION("""COMPUTED_VALUE"""),183.2)</f>
        <v>183.2</v>
      </c>
      <c r="X419" s="35" t="str">
        <f>IFERROR(__xludf.DUMMYFUNCTION("""COMPUTED_VALUE"""),"AP")</f>
        <v>AP</v>
      </c>
      <c r="Y419" s="34">
        <f>IFERROR(__xludf.DUMMYFUNCTION("""COMPUTED_VALUE"""),10.4)</f>
        <v>10.4</v>
      </c>
      <c r="Z419" s="35" t="str">
        <f>IFERROR(__xludf.DUMMYFUNCTION("""COMPUTED_VALUE"""),"%")</f>
        <v>%</v>
      </c>
      <c r="AA419" s="36">
        <f>IFERROR(__xludf.DUMMYFUNCTION("""COMPUTED_VALUE"""),3.0)</f>
        <v>3</v>
      </c>
      <c r="AB419" s="37" t="str">
        <f>IFERROR(__xludf.DUMMYFUNCTION("""COMPUTED_VALUE"""),"B113")</f>
        <v>B113</v>
      </c>
      <c r="AC419" s="38" t="str">
        <f>IFERROR(__xludf.DUMMYFUNCTION("""COMPUTED_VALUE"""),"")</f>
        <v/>
      </c>
      <c r="AD419" s="34">
        <f>IFERROR(__xludf.DUMMYFUNCTION("""COMPUTED_VALUE"""),200.5)</f>
        <v>200.5</v>
      </c>
      <c r="AE419" s="35" t="str">
        <f>IFERROR(__xludf.DUMMYFUNCTION("""COMPUTED_VALUE"""),"AP")</f>
        <v>AP</v>
      </c>
      <c r="AF419" s="34">
        <f>IFERROR(__xludf.DUMMYFUNCTION("""COMPUTED_VALUE"""),9.5)</f>
        <v>9.5</v>
      </c>
      <c r="AG419" s="35" t="str">
        <f>IFERROR(__xludf.DUMMYFUNCTION("""COMPUTED_VALUE"""),"%")</f>
        <v>%</v>
      </c>
      <c r="AH419" s="31">
        <f>IFERROR(__xludf.DUMMYFUNCTION("""COMPUTED_VALUE"""),19.0)</f>
        <v>19</v>
      </c>
      <c r="AI419" s="32">
        <f>IFERROR(__xludf.DUMMYFUNCTION("""COMPUTED_VALUE"""),3427.0)</f>
        <v>3427</v>
      </c>
      <c r="AJ419" s="39" t="str">
        <f>IFERROR(__xludf.DUMMYFUNCTION("""COMPUTED_VALUE"""),"円卓の砦")</f>
        <v>円卓の砦</v>
      </c>
    </row>
    <row r="420" ht="24.75" customHeight="1">
      <c r="A420" s="40">
        <f>IFERROR(__xludf.DUMMYFUNCTION("""COMPUTED_VALUE"""),4.0)</f>
        <v>4</v>
      </c>
      <c r="B420" s="40" t="str">
        <f>IFERROR(__xludf.DUMMYFUNCTION("""COMPUTED_VALUE"""),"A210")</f>
        <v>A210</v>
      </c>
      <c r="C420" s="40"/>
      <c r="D420" s="41"/>
      <c r="E420" s="66"/>
      <c r="F420" s="43"/>
      <c r="G420" s="44"/>
      <c r="H420" s="33" t="str">
        <f>IFERROR(__xludf.DUMMYFUNCTION("""COMPUTED_VALUE""")," ")</f>
        <v> </v>
      </c>
      <c r="I420" s="45"/>
      <c r="J420" s="46" t="str">
        <f>IFERROR(__xludf.DUMMYFUNCTION("""COMPUTED_VALUE"""),"AP")</f>
        <v>AP</v>
      </c>
      <c r="K420" s="47"/>
      <c r="L420" s="48" t="str">
        <f>IFERROR(__xludf.DUMMYFUNCTION("""COMPUTED_VALUE"""),"%")</f>
        <v>%</v>
      </c>
      <c r="M420" s="49">
        <f>IFERROR(__xludf.DUMMYFUNCTION("""COMPUTED_VALUE"""),1.0)</f>
        <v>1</v>
      </c>
      <c r="N420" s="50"/>
      <c r="O420" s="38"/>
      <c r="P420" s="45" t="str">
        <f>IFERROR(__xludf.DUMMYFUNCTION("""COMPUTED_VALUE"""),"")</f>
        <v/>
      </c>
      <c r="Q420" s="46" t="str">
        <f>IFERROR(__xludf.DUMMYFUNCTION("""COMPUTED_VALUE"""),"AP")</f>
        <v>AP</v>
      </c>
      <c r="R420" s="47" t="str">
        <f>IFERROR(__xludf.DUMMYFUNCTION("""COMPUTED_VALUE"""),"")</f>
        <v/>
      </c>
      <c r="S420" s="48" t="str">
        <f>IFERROR(__xludf.DUMMYFUNCTION("""COMPUTED_VALUE"""),"%")</f>
        <v>%</v>
      </c>
      <c r="T420" s="49">
        <f>IFERROR(__xludf.DUMMYFUNCTION("""COMPUTED_VALUE"""),2.0)</f>
        <v>2</v>
      </c>
      <c r="U420" s="50"/>
      <c r="V420" s="38"/>
      <c r="W420" s="45" t="str">
        <f>IFERROR(__xludf.DUMMYFUNCTION("""COMPUTED_VALUE"""),"")</f>
        <v/>
      </c>
      <c r="X420" s="46" t="str">
        <f>IFERROR(__xludf.DUMMYFUNCTION("""COMPUTED_VALUE"""),"AP")</f>
        <v>AP</v>
      </c>
      <c r="Y420" s="47" t="str">
        <f>IFERROR(__xludf.DUMMYFUNCTION("""COMPUTED_VALUE"""),"")</f>
        <v/>
      </c>
      <c r="Z420" s="48" t="str">
        <f>IFERROR(__xludf.DUMMYFUNCTION("""COMPUTED_VALUE"""),"%")</f>
        <v>%</v>
      </c>
      <c r="AA420" s="49">
        <f>IFERROR(__xludf.DUMMYFUNCTION("""COMPUTED_VALUE"""),3.0)</f>
        <v>3</v>
      </c>
      <c r="AB420" s="50"/>
      <c r="AC420" s="38"/>
      <c r="AD420" s="45" t="str">
        <f>IFERROR(__xludf.DUMMYFUNCTION("""COMPUTED_VALUE"""),"")</f>
        <v/>
      </c>
      <c r="AE420" s="46" t="str">
        <f>IFERROR(__xludf.DUMMYFUNCTION("""COMPUTED_VALUE"""),"AP")</f>
        <v>AP</v>
      </c>
      <c r="AF420" s="47" t="str">
        <f>IFERROR(__xludf.DUMMYFUNCTION("""COMPUTED_VALUE"""),"")</f>
        <v/>
      </c>
      <c r="AG420" s="48" t="str">
        <f>IFERROR(__xludf.DUMMYFUNCTION("""COMPUTED_VALUE"""),"%")</f>
        <v>%</v>
      </c>
      <c r="AH420" s="43"/>
      <c r="AI420" s="44"/>
      <c r="AJ420" s="51"/>
    </row>
    <row r="421" ht="24.75" hidden="1" customHeight="1">
      <c r="A421" s="28">
        <f>IFERROR(__xludf.DUMMYFUNCTION("""COMPUTED_VALUE"""),5.0)</f>
        <v>5</v>
      </c>
      <c r="B421" s="28" t="str">
        <f>IFERROR(__xludf.DUMMYFUNCTION("""COMPUTED_VALUE"""),"A210")</f>
        <v>A210</v>
      </c>
      <c r="C421" s="28"/>
      <c r="D421" s="29"/>
      <c r="E421" s="67"/>
      <c r="F421" s="31"/>
      <c r="G421" s="32"/>
      <c r="H421" s="33" t="str">
        <f>IFERROR(__xludf.DUMMYFUNCTION("""COMPUTED_VALUE""")," ")</f>
        <v> </v>
      </c>
      <c r="I421" s="34"/>
      <c r="J421" s="35" t="str">
        <f>IFERROR(__xludf.DUMMYFUNCTION("""COMPUTED_VALUE"""),"AP")</f>
        <v>AP</v>
      </c>
      <c r="K421" s="34"/>
      <c r="L421" s="35" t="str">
        <f>IFERROR(__xludf.DUMMYFUNCTION("""COMPUTED_VALUE"""),"%")</f>
        <v>%</v>
      </c>
      <c r="M421" s="36">
        <f>IFERROR(__xludf.DUMMYFUNCTION("""COMPUTED_VALUE"""),1.0)</f>
        <v>1</v>
      </c>
      <c r="N421" s="37"/>
      <c r="O421" s="38"/>
      <c r="P421" s="34" t="str">
        <f>IFERROR(__xludf.DUMMYFUNCTION("""COMPUTED_VALUE"""),"")</f>
        <v/>
      </c>
      <c r="Q421" s="35" t="str">
        <f>IFERROR(__xludf.DUMMYFUNCTION("""COMPUTED_VALUE"""),"AP")</f>
        <v>AP</v>
      </c>
      <c r="R421" s="34" t="str">
        <f>IFERROR(__xludf.DUMMYFUNCTION("""COMPUTED_VALUE"""),"")</f>
        <v/>
      </c>
      <c r="S421" s="35" t="str">
        <f>IFERROR(__xludf.DUMMYFUNCTION("""COMPUTED_VALUE"""),"%")</f>
        <v>%</v>
      </c>
      <c r="T421" s="36">
        <f>IFERROR(__xludf.DUMMYFUNCTION("""COMPUTED_VALUE"""),2.0)</f>
        <v>2</v>
      </c>
      <c r="U421" s="37"/>
      <c r="V421" s="38"/>
      <c r="W421" s="34" t="str">
        <f>IFERROR(__xludf.DUMMYFUNCTION("""COMPUTED_VALUE"""),"")</f>
        <v/>
      </c>
      <c r="X421" s="35" t="str">
        <f>IFERROR(__xludf.DUMMYFUNCTION("""COMPUTED_VALUE"""),"AP")</f>
        <v>AP</v>
      </c>
      <c r="Y421" s="34" t="str">
        <f>IFERROR(__xludf.DUMMYFUNCTION("""COMPUTED_VALUE"""),"")</f>
        <v/>
      </c>
      <c r="Z421" s="35" t="str">
        <f>IFERROR(__xludf.DUMMYFUNCTION("""COMPUTED_VALUE"""),"%")</f>
        <v>%</v>
      </c>
      <c r="AA421" s="36">
        <f>IFERROR(__xludf.DUMMYFUNCTION("""COMPUTED_VALUE"""),3.0)</f>
        <v>3</v>
      </c>
      <c r="AB421" s="37"/>
      <c r="AC421" s="38"/>
      <c r="AD421" s="34" t="str">
        <f>IFERROR(__xludf.DUMMYFUNCTION("""COMPUTED_VALUE"""),"")</f>
        <v/>
      </c>
      <c r="AE421" s="35" t="str">
        <f>IFERROR(__xludf.DUMMYFUNCTION("""COMPUTED_VALUE"""),"AP")</f>
        <v>AP</v>
      </c>
      <c r="AF421" s="34" t="str">
        <f>IFERROR(__xludf.DUMMYFUNCTION("""COMPUTED_VALUE"""),"")</f>
        <v/>
      </c>
      <c r="AG421" s="35" t="str">
        <f>IFERROR(__xludf.DUMMYFUNCTION("""COMPUTED_VALUE"""),"%")</f>
        <v>%</v>
      </c>
      <c r="AH421" s="31"/>
      <c r="AI421" s="32"/>
      <c r="AJ421" s="39"/>
    </row>
    <row r="422" ht="24.75" hidden="1" customHeight="1">
      <c r="A422" s="40">
        <f>IFERROR(__xludf.DUMMYFUNCTION("""COMPUTED_VALUE"""),6.0)</f>
        <v>6</v>
      </c>
      <c r="B422" s="40" t="str">
        <f>IFERROR(__xludf.DUMMYFUNCTION("""COMPUTED_VALUE"""),"A210")</f>
        <v>A210</v>
      </c>
      <c r="C422" s="40"/>
      <c r="D422" s="41"/>
      <c r="E422" s="66"/>
      <c r="F422" s="43"/>
      <c r="G422" s="44"/>
      <c r="H422" s="33" t="str">
        <f>IFERROR(__xludf.DUMMYFUNCTION("""COMPUTED_VALUE""")," ")</f>
        <v> </v>
      </c>
      <c r="I422" s="45"/>
      <c r="J422" s="46" t="str">
        <f>IFERROR(__xludf.DUMMYFUNCTION("""COMPUTED_VALUE"""),"AP")</f>
        <v>AP</v>
      </c>
      <c r="K422" s="47"/>
      <c r="L422" s="48" t="str">
        <f>IFERROR(__xludf.DUMMYFUNCTION("""COMPUTED_VALUE"""),"%")</f>
        <v>%</v>
      </c>
      <c r="M422" s="49">
        <f>IFERROR(__xludf.DUMMYFUNCTION("""COMPUTED_VALUE"""),1.0)</f>
        <v>1</v>
      </c>
      <c r="N422" s="50"/>
      <c r="O422" s="38"/>
      <c r="P422" s="45" t="str">
        <f>IFERROR(__xludf.DUMMYFUNCTION("""COMPUTED_VALUE"""),"")</f>
        <v/>
      </c>
      <c r="Q422" s="46" t="str">
        <f>IFERROR(__xludf.DUMMYFUNCTION("""COMPUTED_VALUE"""),"AP")</f>
        <v>AP</v>
      </c>
      <c r="R422" s="47" t="str">
        <f>IFERROR(__xludf.DUMMYFUNCTION("""COMPUTED_VALUE"""),"")</f>
        <v/>
      </c>
      <c r="S422" s="48" t="str">
        <f>IFERROR(__xludf.DUMMYFUNCTION("""COMPUTED_VALUE"""),"%")</f>
        <v>%</v>
      </c>
      <c r="T422" s="49">
        <f>IFERROR(__xludf.DUMMYFUNCTION("""COMPUTED_VALUE"""),2.0)</f>
        <v>2</v>
      </c>
      <c r="U422" s="50"/>
      <c r="V422" s="38"/>
      <c r="W422" s="45" t="str">
        <f>IFERROR(__xludf.DUMMYFUNCTION("""COMPUTED_VALUE"""),"")</f>
        <v/>
      </c>
      <c r="X422" s="46" t="str">
        <f>IFERROR(__xludf.DUMMYFUNCTION("""COMPUTED_VALUE"""),"AP")</f>
        <v>AP</v>
      </c>
      <c r="Y422" s="47" t="str">
        <f>IFERROR(__xludf.DUMMYFUNCTION("""COMPUTED_VALUE"""),"")</f>
        <v/>
      </c>
      <c r="Z422" s="48" t="str">
        <f>IFERROR(__xludf.DUMMYFUNCTION("""COMPUTED_VALUE"""),"%")</f>
        <v>%</v>
      </c>
      <c r="AA422" s="49">
        <f>IFERROR(__xludf.DUMMYFUNCTION("""COMPUTED_VALUE"""),3.0)</f>
        <v>3</v>
      </c>
      <c r="AB422" s="50"/>
      <c r="AC422" s="38"/>
      <c r="AD422" s="45" t="str">
        <f>IFERROR(__xludf.DUMMYFUNCTION("""COMPUTED_VALUE"""),"")</f>
        <v/>
      </c>
      <c r="AE422" s="46" t="str">
        <f>IFERROR(__xludf.DUMMYFUNCTION("""COMPUTED_VALUE"""),"AP")</f>
        <v>AP</v>
      </c>
      <c r="AF422" s="47" t="str">
        <f>IFERROR(__xludf.DUMMYFUNCTION("""COMPUTED_VALUE"""),"")</f>
        <v/>
      </c>
      <c r="AG422" s="48" t="str">
        <f>IFERROR(__xludf.DUMMYFUNCTION("""COMPUTED_VALUE"""),"%")</f>
        <v>%</v>
      </c>
      <c r="AH422" s="43"/>
      <c r="AI422" s="44"/>
      <c r="AJ422" s="51"/>
    </row>
    <row r="423" ht="24.75" hidden="1" customHeight="1">
      <c r="A423" s="28">
        <f>IFERROR(__xludf.DUMMYFUNCTION("""COMPUTED_VALUE"""),7.0)</f>
        <v>7</v>
      </c>
      <c r="B423" s="28" t="str">
        <f>IFERROR(__xludf.DUMMYFUNCTION("""COMPUTED_VALUE"""),"A210")</f>
        <v>A210</v>
      </c>
      <c r="C423" s="28"/>
      <c r="D423" s="29"/>
      <c r="E423" s="67"/>
      <c r="F423" s="31"/>
      <c r="G423" s="32"/>
      <c r="H423" s="33" t="str">
        <f>IFERROR(__xludf.DUMMYFUNCTION("""COMPUTED_VALUE""")," ")</f>
        <v> </v>
      </c>
      <c r="I423" s="34"/>
      <c r="J423" s="35" t="str">
        <f>IFERROR(__xludf.DUMMYFUNCTION("""COMPUTED_VALUE"""),"AP")</f>
        <v>AP</v>
      </c>
      <c r="K423" s="34"/>
      <c r="L423" s="35" t="str">
        <f>IFERROR(__xludf.DUMMYFUNCTION("""COMPUTED_VALUE"""),"%")</f>
        <v>%</v>
      </c>
      <c r="M423" s="36">
        <f>IFERROR(__xludf.DUMMYFUNCTION("""COMPUTED_VALUE"""),1.0)</f>
        <v>1</v>
      </c>
      <c r="N423" s="37"/>
      <c r="O423" s="38"/>
      <c r="P423" s="34" t="str">
        <f>IFERROR(__xludf.DUMMYFUNCTION("""COMPUTED_VALUE"""),"")</f>
        <v/>
      </c>
      <c r="Q423" s="35" t="str">
        <f>IFERROR(__xludf.DUMMYFUNCTION("""COMPUTED_VALUE"""),"AP")</f>
        <v>AP</v>
      </c>
      <c r="R423" s="34" t="str">
        <f>IFERROR(__xludf.DUMMYFUNCTION("""COMPUTED_VALUE"""),"")</f>
        <v/>
      </c>
      <c r="S423" s="35" t="str">
        <f>IFERROR(__xludf.DUMMYFUNCTION("""COMPUTED_VALUE"""),"%")</f>
        <v>%</v>
      </c>
      <c r="T423" s="36">
        <f>IFERROR(__xludf.DUMMYFUNCTION("""COMPUTED_VALUE"""),2.0)</f>
        <v>2</v>
      </c>
      <c r="U423" s="37"/>
      <c r="V423" s="38"/>
      <c r="W423" s="34" t="str">
        <f>IFERROR(__xludf.DUMMYFUNCTION("""COMPUTED_VALUE"""),"")</f>
        <v/>
      </c>
      <c r="X423" s="35" t="str">
        <f>IFERROR(__xludf.DUMMYFUNCTION("""COMPUTED_VALUE"""),"AP")</f>
        <v>AP</v>
      </c>
      <c r="Y423" s="34" t="str">
        <f>IFERROR(__xludf.DUMMYFUNCTION("""COMPUTED_VALUE"""),"")</f>
        <v/>
      </c>
      <c r="Z423" s="35" t="str">
        <f>IFERROR(__xludf.DUMMYFUNCTION("""COMPUTED_VALUE"""),"%")</f>
        <v>%</v>
      </c>
      <c r="AA423" s="36">
        <f>IFERROR(__xludf.DUMMYFUNCTION("""COMPUTED_VALUE"""),3.0)</f>
        <v>3</v>
      </c>
      <c r="AB423" s="37"/>
      <c r="AC423" s="38"/>
      <c r="AD423" s="34" t="str">
        <f>IFERROR(__xludf.DUMMYFUNCTION("""COMPUTED_VALUE"""),"")</f>
        <v/>
      </c>
      <c r="AE423" s="35" t="str">
        <f>IFERROR(__xludf.DUMMYFUNCTION("""COMPUTED_VALUE"""),"AP")</f>
        <v>AP</v>
      </c>
      <c r="AF423" s="34" t="str">
        <f>IFERROR(__xludf.DUMMYFUNCTION("""COMPUTED_VALUE"""),"")</f>
        <v/>
      </c>
      <c r="AG423" s="35" t="str">
        <f>IFERROR(__xludf.DUMMYFUNCTION("""COMPUTED_VALUE"""),"%")</f>
        <v>%</v>
      </c>
      <c r="AH423" s="31"/>
      <c r="AI423" s="32"/>
      <c r="AJ423" s="39"/>
    </row>
    <row r="424" ht="24.75" hidden="1" customHeight="1">
      <c r="A424" s="40">
        <f>IFERROR(__xludf.DUMMYFUNCTION("""COMPUTED_VALUE"""),8.0)</f>
        <v>8</v>
      </c>
      <c r="B424" s="40" t="str">
        <f>IFERROR(__xludf.DUMMYFUNCTION("""COMPUTED_VALUE"""),"A210")</f>
        <v>A210</v>
      </c>
      <c r="C424" s="40"/>
      <c r="D424" s="41"/>
      <c r="E424" s="66"/>
      <c r="F424" s="43"/>
      <c r="G424" s="44"/>
      <c r="H424" s="33" t="str">
        <f>IFERROR(__xludf.DUMMYFUNCTION("""COMPUTED_VALUE""")," ")</f>
        <v> </v>
      </c>
      <c r="I424" s="45"/>
      <c r="J424" s="46" t="str">
        <f>IFERROR(__xludf.DUMMYFUNCTION("""COMPUTED_VALUE"""),"AP")</f>
        <v>AP</v>
      </c>
      <c r="K424" s="47"/>
      <c r="L424" s="48" t="str">
        <f>IFERROR(__xludf.DUMMYFUNCTION("""COMPUTED_VALUE"""),"%")</f>
        <v>%</v>
      </c>
      <c r="M424" s="49">
        <f>IFERROR(__xludf.DUMMYFUNCTION("""COMPUTED_VALUE"""),1.0)</f>
        <v>1</v>
      </c>
      <c r="N424" s="50"/>
      <c r="O424" s="38"/>
      <c r="P424" s="45" t="str">
        <f>IFERROR(__xludf.DUMMYFUNCTION("""COMPUTED_VALUE"""),"")</f>
        <v/>
      </c>
      <c r="Q424" s="46" t="str">
        <f>IFERROR(__xludf.DUMMYFUNCTION("""COMPUTED_VALUE"""),"AP")</f>
        <v>AP</v>
      </c>
      <c r="R424" s="47" t="str">
        <f>IFERROR(__xludf.DUMMYFUNCTION("""COMPUTED_VALUE"""),"")</f>
        <v/>
      </c>
      <c r="S424" s="48" t="str">
        <f>IFERROR(__xludf.DUMMYFUNCTION("""COMPUTED_VALUE"""),"%")</f>
        <v>%</v>
      </c>
      <c r="T424" s="49">
        <f>IFERROR(__xludf.DUMMYFUNCTION("""COMPUTED_VALUE"""),2.0)</f>
        <v>2</v>
      </c>
      <c r="U424" s="50"/>
      <c r="V424" s="38"/>
      <c r="W424" s="45" t="str">
        <f>IFERROR(__xludf.DUMMYFUNCTION("""COMPUTED_VALUE"""),"")</f>
        <v/>
      </c>
      <c r="X424" s="46" t="str">
        <f>IFERROR(__xludf.DUMMYFUNCTION("""COMPUTED_VALUE"""),"AP")</f>
        <v>AP</v>
      </c>
      <c r="Y424" s="47" t="str">
        <f>IFERROR(__xludf.DUMMYFUNCTION("""COMPUTED_VALUE"""),"")</f>
        <v/>
      </c>
      <c r="Z424" s="48" t="str">
        <f>IFERROR(__xludf.DUMMYFUNCTION("""COMPUTED_VALUE"""),"%")</f>
        <v>%</v>
      </c>
      <c r="AA424" s="49">
        <f>IFERROR(__xludf.DUMMYFUNCTION("""COMPUTED_VALUE"""),3.0)</f>
        <v>3</v>
      </c>
      <c r="AB424" s="50"/>
      <c r="AC424" s="38"/>
      <c r="AD424" s="45" t="str">
        <f>IFERROR(__xludf.DUMMYFUNCTION("""COMPUTED_VALUE"""),"")</f>
        <v/>
      </c>
      <c r="AE424" s="46" t="str">
        <f>IFERROR(__xludf.DUMMYFUNCTION("""COMPUTED_VALUE"""),"AP")</f>
        <v>AP</v>
      </c>
      <c r="AF424" s="47" t="str">
        <f>IFERROR(__xludf.DUMMYFUNCTION("""COMPUTED_VALUE"""),"")</f>
        <v/>
      </c>
      <c r="AG424" s="48" t="str">
        <f>IFERROR(__xludf.DUMMYFUNCTION("""COMPUTED_VALUE"""),"%")</f>
        <v>%</v>
      </c>
      <c r="AH424" s="43"/>
      <c r="AI424" s="44"/>
      <c r="AJ424" s="51"/>
    </row>
    <row r="425" ht="24.75" hidden="1" customHeight="1">
      <c r="A425" s="28">
        <f>IFERROR(__xludf.DUMMYFUNCTION("""COMPUTED_VALUE"""),9.0)</f>
        <v>9</v>
      </c>
      <c r="B425" s="28" t="str">
        <f>IFERROR(__xludf.DUMMYFUNCTION("""COMPUTED_VALUE"""),"A210")</f>
        <v>A210</v>
      </c>
      <c r="C425" s="28"/>
      <c r="D425" s="29"/>
      <c r="E425" s="67"/>
      <c r="F425" s="31"/>
      <c r="G425" s="32"/>
      <c r="H425" s="33" t="str">
        <f>IFERROR(__xludf.DUMMYFUNCTION("""COMPUTED_VALUE""")," ")</f>
        <v> </v>
      </c>
      <c r="I425" s="34"/>
      <c r="J425" s="35" t="str">
        <f>IFERROR(__xludf.DUMMYFUNCTION("""COMPUTED_VALUE"""),"AP")</f>
        <v>AP</v>
      </c>
      <c r="K425" s="34"/>
      <c r="L425" s="35" t="str">
        <f>IFERROR(__xludf.DUMMYFUNCTION("""COMPUTED_VALUE"""),"%")</f>
        <v>%</v>
      </c>
      <c r="M425" s="36">
        <f>IFERROR(__xludf.DUMMYFUNCTION("""COMPUTED_VALUE"""),1.0)</f>
        <v>1</v>
      </c>
      <c r="N425" s="37"/>
      <c r="O425" s="38"/>
      <c r="P425" s="34" t="str">
        <f>IFERROR(__xludf.DUMMYFUNCTION("""COMPUTED_VALUE"""),"")</f>
        <v/>
      </c>
      <c r="Q425" s="35" t="str">
        <f>IFERROR(__xludf.DUMMYFUNCTION("""COMPUTED_VALUE"""),"AP")</f>
        <v>AP</v>
      </c>
      <c r="R425" s="34" t="str">
        <f>IFERROR(__xludf.DUMMYFUNCTION("""COMPUTED_VALUE"""),"")</f>
        <v/>
      </c>
      <c r="S425" s="35" t="str">
        <f>IFERROR(__xludf.DUMMYFUNCTION("""COMPUTED_VALUE"""),"%")</f>
        <v>%</v>
      </c>
      <c r="T425" s="36">
        <f>IFERROR(__xludf.DUMMYFUNCTION("""COMPUTED_VALUE"""),2.0)</f>
        <v>2</v>
      </c>
      <c r="U425" s="37"/>
      <c r="V425" s="38"/>
      <c r="W425" s="34" t="str">
        <f>IFERROR(__xludf.DUMMYFUNCTION("""COMPUTED_VALUE"""),"")</f>
        <v/>
      </c>
      <c r="X425" s="35" t="str">
        <f>IFERROR(__xludf.DUMMYFUNCTION("""COMPUTED_VALUE"""),"AP")</f>
        <v>AP</v>
      </c>
      <c r="Y425" s="34" t="str">
        <f>IFERROR(__xludf.DUMMYFUNCTION("""COMPUTED_VALUE"""),"")</f>
        <v/>
      </c>
      <c r="Z425" s="35" t="str">
        <f>IFERROR(__xludf.DUMMYFUNCTION("""COMPUTED_VALUE"""),"%")</f>
        <v>%</v>
      </c>
      <c r="AA425" s="36">
        <f>IFERROR(__xludf.DUMMYFUNCTION("""COMPUTED_VALUE"""),3.0)</f>
        <v>3</v>
      </c>
      <c r="AB425" s="37"/>
      <c r="AC425" s="38"/>
      <c r="AD425" s="34" t="str">
        <f>IFERROR(__xludf.DUMMYFUNCTION("""COMPUTED_VALUE"""),"")</f>
        <v/>
      </c>
      <c r="AE425" s="35" t="str">
        <f>IFERROR(__xludf.DUMMYFUNCTION("""COMPUTED_VALUE"""),"AP")</f>
        <v>AP</v>
      </c>
      <c r="AF425" s="34" t="str">
        <f>IFERROR(__xludf.DUMMYFUNCTION("""COMPUTED_VALUE"""),"")</f>
        <v/>
      </c>
      <c r="AG425" s="35" t="str">
        <f>IFERROR(__xludf.DUMMYFUNCTION("""COMPUTED_VALUE"""),"%")</f>
        <v>%</v>
      </c>
      <c r="AH425" s="31"/>
      <c r="AI425" s="32"/>
      <c r="AJ425" s="39"/>
    </row>
    <row r="426" ht="24.75" hidden="1" customHeight="1">
      <c r="A426" s="40">
        <f>IFERROR(__xludf.DUMMYFUNCTION("""COMPUTED_VALUE"""),10.0)</f>
        <v>10</v>
      </c>
      <c r="B426" s="40" t="str">
        <f>IFERROR(__xludf.DUMMYFUNCTION("""COMPUTED_VALUE"""),"A210")</f>
        <v>A210</v>
      </c>
      <c r="C426" s="40"/>
      <c r="D426" s="41"/>
      <c r="E426" s="66"/>
      <c r="F426" s="43"/>
      <c r="G426" s="44"/>
      <c r="H426" s="33" t="str">
        <f>IFERROR(__xludf.DUMMYFUNCTION("""COMPUTED_VALUE""")," ")</f>
        <v> </v>
      </c>
      <c r="I426" s="45"/>
      <c r="J426" s="46" t="str">
        <f>IFERROR(__xludf.DUMMYFUNCTION("""COMPUTED_VALUE"""),"AP")</f>
        <v>AP</v>
      </c>
      <c r="K426" s="47"/>
      <c r="L426" s="48" t="str">
        <f>IFERROR(__xludf.DUMMYFUNCTION("""COMPUTED_VALUE"""),"%")</f>
        <v>%</v>
      </c>
      <c r="M426" s="49">
        <f>IFERROR(__xludf.DUMMYFUNCTION("""COMPUTED_VALUE"""),1.0)</f>
        <v>1</v>
      </c>
      <c r="N426" s="50"/>
      <c r="O426" s="38"/>
      <c r="P426" s="45" t="str">
        <f>IFERROR(__xludf.DUMMYFUNCTION("""COMPUTED_VALUE"""),"")</f>
        <v/>
      </c>
      <c r="Q426" s="46" t="str">
        <f>IFERROR(__xludf.DUMMYFUNCTION("""COMPUTED_VALUE"""),"AP")</f>
        <v>AP</v>
      </c>
      <c r="R426" s="47" t="str">
        <f>IFERROR(__xludf.DUMMYFUNCTION("""COMPUTED_VALUE"""),"")</f>
        <v/>
      </c>
      <c r="S426" s="48" t="str">
        <f>IFERROR(__xludf.DUMMYFUNCTION("""COMPUTED_VALUE"""),"%")</f>
        <v>%</v>
      </c>
      <c r="T426" s="49">
        <f>IFERROR(__xludf.DUMMYFUNCTION("""COMPUTED_VALUE"""),2.0)</f>
        <v>2</v>
      </c>
      <c r="U426" s="50"/>
      <c r="V426" s="38"/>
      <c r="W426" s="45" t="str">
        <f>IFERROR(__xludf.DUMMYFUNCTION("""COMPUTED_VALUE"""),"")</f>
        <v/>
      </c>
      <c r="X426" s="46" t="str">
        <f>IFERROR(__xludf.DUMMYFUNCTION("""COMPUTED_VALUE"""),"AP")</f>
        <v>AP</v>
      </c>
      <c r="Y426" s="47" t="str">
        <f>IFERROR(__xludf.DUMMYFUNCTION("""COMPUTED_VALUE"""),"")</f>
        <v/>
      </c>
      <c r="Z426" s="48" t="str">
        <f>IFERROR(__xludf.DUMMYFUNCTION("""COMPUTED_VALUE"""),"%")</f>
        <v>%</v>
      </c>
      <c r="AA426" s="49">
        <f>IFERROR(__xludf.DUMMYFUNCTION("""COMPUTED_VALUE"""),3.0)</f>
        <v>3</v>
      </c>
      <c r="AB426" s="50"/>
      <c r="AC426" s="38"/>
      <c r="AD426" s="45" t="str">
        <f>IFERROR(__xludf.DUMMYFUNCTION("""COMPUTED_VALUE"""),"")</f>
        <v/>
      </c>
      <c r="AE426" s="46" t="str">
        <f>IFERROR(__xludf.DUMMYFUNCTION("""COMPUTED_VALUE"""),"AP")</f>
        <v>AP</v>
      </c>
      <c r="AF426" s="47" t="str">
        <f>IFERROR(__xludf.DUMMYFUNCTION("""COMPUTED_VALUE"""),"")</f>
        <v/>
      </c>
      <c r="AG426" s="48" t="str">
        <f>IFERROR(__xludf.DUMMYFUNCTION("""COMPUTED_VALUE"""),"%")</f>
        <v>%</v>
      </c>
      <c r="AH426" s="43"/>
      <c r="AI426" s="44"/>
      <c r="AJ426" s="51"/>
    </row>
    <row r="427" ht="24.75" hidden="1" customHeight="1">
      <c r="A427" s="28">
        <f>IFERROR(__xludf.DUMMYFUNCTION("""COMPUTED_VALUE"""),11.0)</f>
        <v>11</v>
      </c>
      <c r="B427" s="28" t="str">
        <f>IFERROR(__xludf.DUMMYFUNCTION("""COMPUTED_VALUE"""),"A210")</f>
        <v>A210</v>
      </c>
      <c r="C427" s="28"/>
      <c r="D427" s="29"/>
      <c r="E427" s="67"/>
      <c r="F427" s="31"/>
      <c r="G427" s="32"/>
      <c r="H427" s="33" t="str">
        <f>IFERROR(__xludf.DUMMYFUNCTION("""COMPUTED_VALUE""")," ")</f>
        <v> </v>
      </c>
      <c r="I427" s="34"/>
      <c r="J427" s="35" t="str">
        <f>IFERROR(__xludf.DUMMYFUNCTION("""COMPUTED_VALUE"""),"AP")</f>
        <v>AP</v>
      </c>
      <c r="K427" s="34"/>
      <c r="L427" s="35" t="str">
        <f>IFERROR(__xludf.DUMMYFUNCTION("""COMPUTED_VALUE"""),"%")</f>
        <v>%</v>
      </c>
      <c r="M427" s="36">
        <f>IFERROR(__xludf.DUMMYFUNCTION("""COMPUTED_VALUE"""),1.0)</f>
        <v>1</v>
      </c>
      <c r="N427" s="37"/>
      <c r="O427" s="38"/>
      <c r="P427" s="34" t="str">
        <f>IFERROR(__xludf.DUMMYFUNCTION("""COMPUTED_VALUE"""),"")</f>
        <v/>
      </c>
      <c r="Q427" s="35" t="str">
        <f>IFERROR(__xludf.DUMMYFUNCTION("""COMPUTED_VALUE"""),"AP")</f>
        <v>AP</v>
      </c>
      <c r="R427" s="34" t="str">
        <f>IFERROR(__xludf.DUMMYFUNCTION("""COMPUTED_VALUE"""),"")</f>
        <v/>
      </c>
      <c r="S427" s="35" t="str">
        <f>IFERROR(__xludf.DUMMYFUNCTION("""COMPUTED_VALUE"""),"%")</f>
        <v>%</v>
      </c>
      <c r="T427" s="36">
        <f>IFERROR(__xludf.DUMMYFUNCTION("""COMPUTED_VALUE"""),2.0)</f>
        <v>2</v>
      </c>
      <c r="U427" s="37"/>
      <c r="V427" s="38"/>
      <c r="W427" s="34" t="str">
        <f>IFERROR(__xludf.DUMMYFUNCTION("""COMPUTED_VALUE"""),"")</f>
        <v/>
      </c>
      <c r="X427" s="35" t="str">
        <f>IFERROR(__xludf.DUMMYFUNCTION("""COMPUTED_VALUE"""),"AP")</f>
        <v>AP</v>
      </c>
      <c r="Y427" s="34" t="str">
        <f>IFERROR(__xludf.DUMMYFUNCTION("""COMPUTED_VALUE"""),"")</f>
        <v/>
      </c>
      <c r="Z427" s="35" t="str">
        <f>IFERROR(__xludf.DUMMYFUNCTION("""COMPUTED_VALUE"""),"%")</f>
        <v>%</v>
      </c>
      <c r="AA427" s="36">
        <f>IFERROR(__xludf.DUMMYFUNCTION("""COMPUTED_VALUE"""),3.0)</f>
        <v>3</v>
      </c>
      <c r="AB427" s="37"/>
      <c r="AC427" s="38"/>
      <c r="AD427" s="34" t="str">
        <f>IFERROR(__xludf.DUMMYFUNCTION("""COMPUTED_VALUE"""),"")</f>
        <v/>
      </c>
      <c r="AE427" s="35" t="str">
        <f>IFERROR(__xludf.DUMMYFUNCTION("""COMPUTED_VALUE"""),"AP")</f>
        <v>AP</v>
      </c>
      <c r="AF427" s="34" t="str">
        <f>IFERROR(__xludf.DUMMYFUNCTION("""COMPUTED_VALUE"""),"")</f>
        <v/>
      </c>
      <c r="AG427" s="35" t="str">
        <f>IFERROR(__xludf.DUMMYFUNCTION("""COMPUTED_VALUE"""),"%")</f>
        <v>%</v>
      </c>
      <c r="AH427" s="31"/>
      <c r="AI427" s="32"/>
      <c r="AJ427" s="39"/>
    </row>
    <row r="428" ht="24.75" hidden="1" customHeight="1">
      <c r="A428" s="40">
        <f>IFERROR(__xludf.DUMMYFUNCTION("""COMPUTED_VALUE"""),12.0)</f>
        <v>12</v>
      </c>
      <c r="B428" s="40" t="str">
        <f>IFERROR(__xludf.DUMMYFUNCTION("""COMPUTED_VALUE"""),"A210")</f>
        <v>A210</v>
      </c>
      <c r="C428" s="40"/>
      <c r="D428" s="41"/>
      <c r="E428" s="66"/>
      <c r="F428" s="43"/>
      <c r="G428" s="44"/>
      <c r="H428" s="33" t="str">
        <f>IFERROR(__xludf.DUMMYFUNCTION("""COMPUTED_VALUE""")," ")</f>
        <v> </v>
      </c>
      <c r="I428" s="45"/>
      <c r="J428" s="46" t="str">
        <f>IFERROR(__xludf.DUMMYFUNCTION("""COMPUTED_VALUE"""),"AP")</f>
        <v>AP</v>
      </c>
      <c r="K428" s="47"/>
      <c r="L428" s="48" t="str">
        <f>IFERROR(__xludf.DUMMYFUNCTION("""COMPUTED_VALUE"""),"%")</f>
        <v>%</v>
      </c>
      <c r="M428" s="49">
        <f>IFERROR(__xludf.DUMMYFUNCTION("""COMPUTED_VALUE"""),1.0)</f>
        <v>1</v>
      </c>
      <c r="N428" s="50"/>
      <c r="O428" s="38"/>
      <c r="P428" s="45" t="str">
        <f>IFERROR(__xludf.DUMMYFUNCTION("""COMPUTED_VALUE"""),"")</f>
        <v/>
      </c>
      <c r="Q428" s="46" t="str">
        <f>IFERROR(__xludf.DUMMYFUNCTION("""COMPUTED_VALUE"""),"AP")</f>
        <v>AP</v>
      </c>
      <c r="R428" s="47" t="str">
        <f>IFERROR(__xludf.DUMMYFUNCTION("""COMPUTED_VALUE"""),"")</f>
        <v/>
      </c>
      <c r="S428" s="48" t="str">
        <f>IFERROR(__xludf.DUMMYFUNCTION("""COMPUTED_VALUE"""),"%")</f>
        <v>%</v>
      </c>
      <c r="T428" s="49">
        <f>IFERROR(__xludf.DUMMYFUNCTION("""COMPUTED_VALUE"""),2.0)</f>
        <v>2</v>
      </c>
      <c r="U428" s="50"/>
      <c r="V428" s="38"/>
      <c r="W428" s="45" t="str">
        <f>IFERROR(__xludf.DUMMYFUNCTION("""COMPUTED_VALUE"""),"")</f>
        <v/>
      </c>
      <c r="X428" s="46" t="str">
        <f>IFERROR(__xludf.DUMMYFUNCTION("""COMPUTED_VALUE"""),"AP")</f>
        <v>AP</v>
      </c>
      <c r="Y428" s="47" t="str">
        <f>IFERROR(__xludf.DUMMYFUNCTION("""COMPUTED_VALUE"""),"")</f>
        <v/>
      </c>
      <c r="Z428" s="48" t="str">
        <f>IFERROR(__xludf.DUMMYFUNCTION("""COMPUTED_VALUE"""),"%")</f>
        <v>%</v>
      </c>
      <c r="AA428" s="49">
        <f>IFERROR(__xludf.DUMMYFUNCTION("""COMPUTED_VALUE"""),3.0)</f>
        <v>3</v>
      </c>
      <c r="AB428" s="50"/>
      <c r="AC428" s="38"/>
      <c r="AD428" s="45" t="str">
        <f>IFERROR(__xludf.DUMMYFUNCTION("""COMPUTED_VALUE"""),"")</f>
        <v/>
      </c>
      <c r="AE428" s="46" t="str">
        <f>IFERROR(__xludf.DUMMYFUNCTION("""COMPUTED_VALUE"""),"AP")</f>
        <v>AP</v>
      </c>
      <c r="AF428" s="47" t="str">
        <f>IFERROR(__xludf.DUMMYFUNCTION("""COMPUTED_VALUE"""),"")</f>
        <v/>
      </c>
      <c r="AG428" s="48" t="str">
        <f>IFERROR(__xludf.DUMMYFUNCTION("""COMPUTED_VALUE"""),"%")</f>
        <v>%</v>
      </c>
      <c r="AH428" s="43"/>
      <c r="AI428" s="44"/>
      <c r="AJ428" s="51"/>
    </row>
    <row r="429" ht="24.75" hidden="1" customHeight="1">
      <c r="A429" s="28">
        <f>IFERROR(__xludf.DUMMYFUNCTION("""COMPUTED_VALUE"""),13.0)</f>
        <v>13</v>
      </c>
      <c r="B429" s="28" t="str">
        <f>IFERROR(__xludf.DUMMYFUNCTION("""COMPUTED_VALUE"""),"A210")</f>
        <v>A210</v>
      </c>
      <c r="C429" s="28"/>
      <c r="D429" s="29"/>
      <c r="E429" s="67"/>
      <c r="F429" s="31"/>
      <c r="G429" s="32"/>
      <c r="H429" s="33" t="str">
        <f>IFERROR(__xludf.DUMMYFUNCTION("""COMPUTED_VALUE""")," ")</f>
        <v> </v>
      </c>
      <c r="I429" s="34"/>
      <c r="J429" s="35" t="str">
        <f>IFERROR(__xludf.DUMMYFUNCTION("""COMPUTED_VALUE"""),"AP")</f>
        <v>AP</v>
      </c>
      <c r="K429" s="34"/>
      <c r="L429" s="35" t="str">
        <f>IFERROR(__xludf.DUMMYFUNCTION("""COMPUTED_VALUE"""),"%")</f>
        <v>%</v>
      </c>
      <c r="M429" s="36">
        <f>IFERROR(__xludf.DUMMYFUNCTION("""COMPUTED_VALUE"""),1.0)</f>
        <v>1</v>
      </c>
      <c r="N429" s="37"/>
      <c r="O429" s="38"/>
      <c r="P429" s="34" t="str">
        <f>IFERROR(__xludf.DUMMYFUNCTION("""COMPUTED_VALUE"""),"")</f>
        <v/>
      </c>
      <c r="Q429" s="35" t="str">
        <f>IFERROR(__xludf.DUMMYFUNCTION("""COMPUTED_VALUE"""),"AP")</f>
        <v>AP</v>
      </c>
      <c r="R429" s="34" t="str">
        <f>IFERROR(__xludf.DUMMYFUNCTION("""COMPUTED_VALUE"""),"")</f>
        <v/>
      </c>
      <c r="S429" s="35" t="str">
        <f>IFERROR(__xludf.DUMMYFUNCTION("""COMPUTED_VALUE"""),"%")</f>
        <v>%</v>
      </c>
      <c r="T429" s="36">
        <f>IFERROR(__xludf.DUMMYFUNCTION("""COMPUTED_VALUE"""),2.0)</f>
        <v>2</v>
      </c>
      <c r="U429" s="37"/>
      <c r="V429" s="38"/>
      <c r="W429" s="34" t="str">
        <f>IFERROR(__xludf.DUMMYFUNCTION("""COMPUTED_VALUE"""),"")</f>
        <v/>
      </c>
      <c r="X429" s="35" t="str">
        <f>IFERROR(__xludf.DUMMYFUNCTION("""COMPUTED_VALUE"""),"AP")</f>
        <v>AP</v>
      </c>
      <c r="Y429" s="34" t="str">
        <f>IFERROR(__xludf.DUMMYFUNCTION("""COMPUTED_VALUE"""),"")</f>
        <v/>
      </c>
      <c r="Z429" s="35" t="str">
        <f>IFERROR(__xludf.DUMMYFUNCTION("""COMPUTED_VALUE"""),"%")</f>
        <v>%</v>
      </c>
      <c r="AA429" s="36">
        <f>IFERROR(__xludf.DUMMYFUNCTION("""COMPUTED_VALUE"""),3.0)</f>
        <v>3</v>
      </c>
      <c r="AB429" s="37"/>
      <c r="AC429" s="38"/>
      <c r="AD429" s="34" t="str">
        <f>IFERROR(__xludf.DUMMYFUNCTION("""COMPUTED_VALUE"""),"")</f>
        <v/>
      </c>
      <c r="AE429" s="35" t="str">
        <f>IFERROR(__xludf.DUMMYFUNCTION("""COMPUTED_VALUE"""),"AP")</f>
        <v>AP</v>
      </c>
      <c r="AF429" s="34" t="str">
        <f>IFERROR(__xludf.DUMMYFUNCTION("""COMPUTED_VALUE"""),"")</f>
        <v/>
      </c>
      <c r="AG429" s="35" t="str">
        <f>IFERROR(__xludf.DUMMYFUNCTION("""COMPUTED_VALUE"""),"%")</f>
        <v>%</v>
      </c>
      <c r="AH429" s="31"/>
      <c r="AI429" s="32"/>
      <c r="AJ429" s="39"/>
    </row>
    <row r="430" ht="24.75" hidden="1" customHeight="1">
      <c r="A430" s="40">
        <f>IFERROR(__xludf.DUMMYFUNCTION("""COMPUTED_VALUE"""),14.0)</f>
        <v>14</v>
      </c>
      <c r="B430" s="40" t="str">
        <f>IFERROR(__xludf.DUMMYFUNCTION("""COMPUTED_VALUE"""),"A210")</f>
        <v>A210</v>
      </c>
      <c r="C430" s="40"/>
      <c r="D430" s="41"/>
      <c r="E430" s="66"/>
      <c r="F430" s="43"/>
      <c r="G430" s="44"/>
      <c r="H430" s="33" t="str">
        <f>IFERROR(__xludf.DUMMYFUNCTION("""COMPUTED_VALUE""")," ")</f>
        <v> </v>
      </c>
      <c r="I430" s="45"/>
      <c r="J430" s="46" t="str">
        <f>IFERROR(__xludf.DUMMYFUNCTION("""COMPUTED_VALUE"""),"AP")</f>
        <v>AP</v>
      </c>
      <c r="K430" s="47"/>
      <c r="L430" s="48" t="str">
        <f>IFERROR(__xludf.DUMMYFUNCTION("""COMPUTED_VALUE"""),"%")</f>
        <v>%</v>
      </c>
      <c r="M430" s="49">
        <f>IFERROR(__xludf.DUMMYFUNCTION("""COMPUTED_VALUE"""),1.0)</f>
        <v>1</v>
      </c>
      <c r="N430" s="50"/>
      <c r="O430" s="38"/>
      <c r="P430" s="45" t="str">
        <f>IFERROR(__xludf.DUMMYFUNCTION("""COMPUTED_VALUE"""),"")</f>
        <v/>
      </c>
      <c r="Q430" s="46" t="str">
        <f>IFERROR(__xludf.DUMMYFUNCTION("""COMPUTED_VALUE"""),"AP")</f>
        <v>AP</v>
      </c>
      <c r="R430" s="47" t="str">
        <f>IFERROR(__xludf.DUMMYFUNCTION("""COMPUTED_VALUE"""),"")</f>
        <v/>
      </c>
      <c r="S430" s="48" t="str">
        <f>IFERROR(__xludf.DUMMYFUNCTION("""COMPUTED_VALUE"""),"%")</f>
        <v>%</v>
      </c>
      <c r="T430" s="49">
        <f>IFERROR(__xludf.DUMMYFUNCTION("""COMPUTED_VALUE"""),2.0)</f>
        <v>2</v>
      </c>
      <c r="U430" s="50"/>
      <c r="V430" s="38"/>
      <c r="W430" s="45" t="str">
        <f>IFERROR(__xludf.DUMMYFUNCTION("""COMPUTED_VALUE"""),"")</f>
        <v/>
      </c>
      <c r="X430" s="46" t="str">
        <f>IFERROR(__xludf.DUMMYFUNCTION("""COMPUTED_VALUE"""),"AP")</f>
        <v>AP</v>
      </c>
      <c r="Y430" s="47" t="str">
        <f>IFERROR(__xludf.DUMMYFUNCTION("""COMPUTED_VALUE"""),"")</f>
        <v/>
      </c>
      <c r="Z430" s="48" t="str">
        <f>IFERROR(__xludf.DUMMYFUNCTION("""COMPUTED_VALUE"""),"%")</f>
        <v>%</v>
      </c>
      <c r="AA430" s="49">
        <f>IFERROR(__xludf.DUMMYFUNCTION("""COMPUTED_VALUE"""),3.0)</f>
        <v>3</v>
      </c>
      <c r="AB430" s="50"/>
      <c r="AC430" s="38"/>
      <c r="AD430" s="45" t="str">
        <f>IFERROR(__xludf.DUMMYFUNCTION("""COMPUTED_VALUE"""),"")</f>
        <v/>
      </c>
      <c r="AE430" s="46" t="str">
        <f>IFERROR(__xludf.DUMMYFUNCTION("""COMPUTED_VALUE"""),"AP")</f>
        <v>AP</v>
      </c>
      <c r="AF430" s="47" t="str">
        <f>IFERROR(__xludf.DUMMYFUNCTION("""COMPUTED_VALUE"""),"")</f>
        <v/>
      </c>
      <c r="AG430" s="48" t="str">
        <f>IFERROR(__xludf.DUMMYFUNCTION("""COMPUTED_VALUE"""),"%")</f>
        <v>%</v>
      </c>
      <c r="AH430" s="43"/>
      <c r="AI430" s="44"/>
      <c r="AJ430" s="51"/>
    </row>
    <row r="431" ht="24.75" hidden="1" customHeight="1">
      <c r="A431" s="28">
        <f>IFERROR(__xludf.DUMMYFUNCTION("""COMPUTED_VALUE"""),15.0)</f>
        <v>15</v>
      </c>
      <c r="B431" s="28" t="str">
        <f>IFERROR(__xludf.DUMMYFUNCTION("""COMPUTED_VALUE"""),"A210")</f>
        <v>A210</v>
      </c>
      <c r="C431" s="28"/>
      <c r="D431" s="29"/>
      <c r="E431" s="67"/>
      <c r="F431" s="31"/>
      <c r="G431" s="32"/>
      <c r="H431" s="33" t="str">
        <f>IFERROR(__xludf.DUMMYFUNCTION("""COMPUTED_VALUE""")," ")</f>
        <v> </v>
      </c>
      <c r="I431" s="34"/>
      <c r="J431" s="35" t="str">
        <f>IFERROR(__xludf.DUMMYFUNCTION("""COMPUTED_VALUE"""),"AP")</f>
        <v>AP</v>
      </c>
      <c r="K431" s="34"/>
      <c r="L431" s="35" t="str">
        <f>IFERROR(__xludf.DUMMYFUNCTION("""COMPUTED_VALUE"""),"%")</f>
        <v>%</v>
      </c>
      <c r="M431" s="36">
        <f>IFERROR(__xludf.DUMMYFUNCTION("""COMPUTED_VALUE"""),1.0)</f>
        <v>1</v>
      </c>
      <c r="N431" s="37"/>
      <c r="O431" s="38"/>
      <c r="P431" s="34" t="str">
        <f>IFERROR(__xludf.DUMMYFUNCTION("""COMPUTED_VALUE"""),"")</f>
        <v/>
      </c>
      <c r="Q431" s="35" t="str">
        <f>IFERROR(__xludf.DUMMYFUNCTION("""COMPUTED_VALUE"""),"AP")</f>
        <v>AP</v>
      </c>
      <c r="R431" s="34" t="str">
        <f>IFERROR(__xludf.DUMMYFUNCTION("""COMPUTED_VALUE"""),"")</f>
        <v/>
      </c>
      <c r="S431" s="35" t="str">
        <f>IFERROR(__xludf.DUMMYFUNCTION("""COMPUTED_VALUE"""),"%")</f>
        <v>%</v>
      </c>
      <c r="T431" s="36">
        <f>IFERROR(__xludf.DUMMYFUNCTION("""COMPUTED_VALUE"""),2.0)</f>
        <v>2</v>
      </c>
      <c r="U431" s="37"/>
      <c r="V431" s="38"/>
      <c r="W431" s="34" t="str">
        <f>IFERROR(__xludf.DUMMYFUNCTION("""COMPUTED_VALUE"""),"")</f>
        <v/>
      </c>
      <c r="X431" s="35" t="str">
        <f>IFERROR(__xludf.DUMMYFUNCTION("""COMPUTED_VALUE"""),"AP")</f>
        <v>AP</v>
      </c>
      <c r="Y431" s="34" t="str">
        <f>IFERROR(__xludf.DUMMYFUNCTION("""COMPUTED_VALUE"""),"")</f>
        <v/>
      </c>
      <c r="Z431" s="35" t="str">
        <f>IFERROR(__xludf.DUMMYFUNCTION("""COMPUTED_VALUE"""),"%")</f>
        <v>%</v>
      </c>
      <c r="AA431" s="36">
        <f>IFERROR(__xludf.DUMMYFUNCTION("""COMPUTED_VALUE"""),3.0)</f>
        <v>3</v>
      </c>
      <c r="AB431" s="37"/>
      <c r="AC431" s="38"/>
      <c r="AD431" s="34" t="str">
        <f>IFERROR(__xludf.DUMMYFUNCTION("""COMPUTED_VALUE"""),"")</f>
        <v/>
      </c>
      <c r="AE431" s="35" t="str">
        <f>IFERROR(__xludf.DUMMYFUNCTION("""COMPUTED_VALUE"""),"AP")</f>
        <v>AP</v>
      </c>
      <c r="AF431" s="34" t="str">
        <f>IFERROR(__xludf.DUMMYFUNCTION("""COMPUTED_VALUE"""),"")</f>
        <v/>
      </c>
      <c r="AG431" s="35" t="str">
        <f>IFERROR(__xludf.DUMMYFUNCTION("""COMPUTED_VALUE"""),"%")</f>
        <v>%</v>
      </c>
      <c r="AH431" s="31"/>
      <c r="AI431" s="32"/>
      <c r="AJ431" s="39"/>
    </row>
    <row r="432" ht="24.75" hidden="1" customHeight="1">
      <c r="A432" s="40">
        <f>IFERROR(__xludf.DUMMYFUNCTION("""COMPUTED_VALUE"""),16.0)</f>
        <v>16</v>
      </c>
      <c r="B432" s="40" t="str">
        <f>IFERROR(__xludf.DUMMYFUNCTION("""COMPUTED_VALUE"""),"A210")</f>
        <v>A210</v>
      </c>
      <c r="C432" s="40"/>
      <c r="D432" s="41"/>
      <c r="E432" s="66"/>
      <c r="F432" s="43"/>
      <c r="G432" s="44"/>
      <c r="H432" s="33" t="str">
        <f>IFERROR(__xludf.DUMMYFUNCTION("""COMPUTED_VALUE""")," ")</f>
        <v> </v>
      </c>
      <c r="I432" s="45"/>
      <c r="J432" s="46" t="str">
        <f>IFERROR(__xludf.DUMMYFUNCTION("""COMPUTED_VALUE"""),"AP")</f>
        <v>AP</v>
      </c>
      <c r="K432" s="47"/>
      <c r="L432" s="48" t="str">
        <f>IFERROR(__xludf.DUMMYFUNCTION("""COMPUTED_VALUE"""),"%")</f>
        <v>%</v>
      </c>
      <c r="M432" s="49">
        <f>IFERROR(__xludf.DUMMYFUNCTION("""COMPUTED_VALUE"""),1.0)</f>
        <v>1</v>
      </c>
      <c r="N432" s="50"/>
      <c r="O432" s="38"/>
      <c r="P432" s="45" t="str">
        <f>IFERROR(__xludf.DUMMYFUNCTION("""COMPUTED_VALUE"""),"")</f>
        <v/>
      </c>
      <c r="Q432" s="46" t="str">
        <f>IFERROR(__xludf.DUMMYFUNCTION("""COMPUTED_VALUE"""),"AP")</f>
        <v>AP</v>
      </c>
      <c r="R432" s="47" t="str">
        <f>IFERROR(__xludf.DUMMYFUNCTION("""COMPUTED_VALUE"""),"")</f>
        <v/>
      </c>
      <c r="S432" s="48" t="str">
        <f>IFERROR(__xludf.DUMMYFUNCTION("""COMPUTED_VALUE"""),"%")</f>
        <v>%</v>
      </c>
      <c r="T432" s="49">
        <f>IFERROR(__xludf.DUMMYFUNCTION("""COMPUTED_VALUE"""),2.0)</f>
        <v>2</v>
      </c>
      <c r="U432" s="50"/>
      <c r="V432" s="38"/>
      <c r="W432" s="45" t="str">
        <f>IFERROR(__xludf.DUMMYFUNCTION("""COMPUTED_VALUE"""),"")</f>
        <v/>
      </c>
      <c r="X432" s="46" t="str">
        <f>IFERROR(__xludf.DUMMYFUNCTION("""COMPUTED_VALUE"""),"AP")</f>
        <v>AP</v>
      </c>
      <c r="Y432" s="47" t="str">
        <f>IFERROR(__xludf.DUMMYFUNCTION("""COMPUTED_VALUE"""),"")</f>
        <v/>
      </c>
      <c r="Z432" s="48" t="str">
        <f>IFERROR(__xludf.DUMMYFUNCTION("""COMPUTED_VALUE"""),"%")</f>
        <v>%</v>
      </c>
      <c r="AA432" s="49">
        <f>IFERROR(__xludf.DUMMYFUNCTION("""COMPUTED_VALUE"""),3.0)</f>
        <v>3</v>
      </c>
      <c r="AB432" s="50"/>
      <c r="AC432" s="38"/>
      <c r="AD432" s="45" t="str">
        <f>IFERROR(__xludf.DUMMYFUNCTION("""COMPUTED_VALUE"""),"")</f>
        <v/>
      </c>
      <c r="AE432" s="46" t="str">
        <f>IFERROR(__xludf.DUMMYFUNCTION("""COMPUTED_VALUE"""),"AP")</f>
        <v>AP</v>
      </c>
      <c r="AF432" s="47" t="str">
        <f>IFERROR(__xludf.DUMMYFUNCTION("""COMPUTED_VALUE"""),"")</f>
        <v/>
      </c>
      <c r="AG432" s="48" t="str">
        <f>IFERROR(__xludf.DUMMYFUNCTION("""COMPUTED_VALUE"""),"%")</f>
        <v>%</v>
      </c>
      <c r="AH432" s="43"/>
      <c r="AI432" s="44"/>
      <c r="AJ432" s="51"/>
    </row>
    <row r="433" ht="24.75" hidden="1" customHeight="1">
      <c r="A433" s="28">
        <f>IFERROR(__xludf.DUMMYFUNCTION("""COMPUTED_VALUE"""),17.0)</f>
        <v>17</v>
      </c>
      <c r="B433" s="28" t="str">
        <f>IFERROR(__xludf.DUMMYFUNCTION("""COMPUTED_VALUE"""),"A210")</f>
        <v>A210</v>
      </c>
      <c r="C433" s="28"/>
      <c r="D433" s="29"/>
      <c r="E433" s="67"/>
      <c r="F433" s="31"/>
      <c r="G433" s="32"/>
      <c r="H433" s="33" t="str">
        <f>IFERROR(__xludf.DUMMYFUNCTION("""COMPUTED_VALUE""")," ")</f>
        <v> </v>
      </c>
      <c r="I433" s="34"/>
      <c r="J433" s="35" t="str">
        <f>IFERROR(__xludf.DUMMYFUNCTION("""COMPUTED_VALUE"""),"AP")</f>
        <v>AP</v>
      </c>
      <c r="K433" s="34"/>
      <c r="L433" s="35" t="str">
        <f>IFERROR(__xludf.DUMMYFUNCTION("""COMPUTED_VALUE"""),"%")</f>
        <v>%</v>
      </c>
      <c r="M433" s="36">
        <f>IFERROR(__xludf.DUMMYFUNCTION("""COMPUTED_VALUE"""),1.0)</f>
        <v>1</v>
      </c>
      <c r="N433" s="37"/>
      <c r="O433" s="38"/>
      <c r="P433" s="34" t="str">
        <f>IFERROR(__xludf.DUMMYFUNCTION("""COMPUTED_VALUE"""),"")</f>
        <v/>
      </c>
      <c r="Q433" s="35" t="str">
        <f>IFERROR(__xludf.DUMMYFUNCTION("""COMPUTED_VALUE"""),"AP")</f>
        <v>AP</v>
      </c>
      <c r="R433" s="34" t="str">
        <f>IFERROR(__xludf.DUMMYFUNCTION("""COMPUTED_VALUE"""),"")</f>
        <v/>
      </c>
      <c r="S433" s="35" t="str">
        <f>IFERROR(__xludf.DUMMYFUNCTION("""COMPUTED_VALUE"""),"%")</f>
        <v>%</v>
      </c>
      <c r="T433" s="36">
        <f>IFERROR(__xludf.DUMMYFUNCTION("""COMPUTED_VALUE"""),2.0)</f>
        <v>2</v>
      </c>
      <c r="U433" s="37"/>
      <c r="V433" s="38"/>
      <c r="W433" s="34" t="str">
        <f>IFERROR(__xludf.DUMMYFUNCTION("""COMPUTED_VALUE"""),"")</f>
        <v/>
      </c>
      <c r="X433" s="35" t="str">
        <f>IFERROR(__xludf.DUMMYFUNCTION("""COMPUTED_VALUE"""),"AP")</f>
        <v>AP</v>
      </c>
      <c r="Y433" s="34" t="str">
        <f>IFERROR(__xludf.DUMMYFUNCTION("""COMPUTED_VALUE"""),"")</f>
        <v/>
      </c>
      <c r="Z433" s="35" t="str">
        <f>IFERROR(__xludf.DUMMYFUNCTION("""COMPUTED_VALUE"""),"%")</f>
        <v>%</v>
      </c>
      <c r="AA433" s="36">
        <f>IFERROR(__xludf.DUMMYFUNCTION("""COMPUTED_VALUE"""),3.0)</f>
        <v>3</v>
      </c>
      <c r="AB433" s="37"/>
      <c r="AC433" s="38"/>
      <c r="AD433" s="34" t="str">
        <f>IFERROR(__xludf.DUMMYFUNCTION("""COMPUTED_VALUE"""),"")</f>
        <v/>
      </c>
      <c r="AE433" s="35" t="str">
        <f>IFERROR(__xludf.DUMMYFUNCTION("""COMPUTED_VALUE"""),"AP")</f>
        <v>AP</v>
      </c>
      <c r="AF433" s="34" t="str">
        <f>IFERROR(__xludf.DUMMYFUNCTION("""COMPUTED_VALUE"""),"")</f>
        <v/>
      </c>
      <c r="AG433" s="35" t="str">
        <f>IFERROR(__xludf.DUMMYFUNCTION("""COMPUTED_VALUE"""),"%")</f>
        <v>%</v>
      </c>
      <c r="AH433" s="31"/>
      <c r="AI433" s="32"/>
      <c r="AJ433" s="39"/>
    </row>
    <row r="434" ht="24.75" hidden="1" customHeight="1">
      <c r="A434" s="40">
        <f>IFERROR(__xludf.DUMMYFUNCTION("""COMPUTED_VALUE"""),18.0)</f>
        <v>18</v>
      </c>
      <c r="B434" s="40" t="str">
        <f>IFERROR(__xludf.DUMMYFUNCTION("""COMPUTED_VALUE"""),"A210")</f>
        <v>A210</v>
      </c>
      <c r="C434" s="40"/>
      <c r="D434" s="41"/>
      <c r="E434" s="66"/>
      <c r="F434" s="43"/>
      <c r="G434" s="44"/>
      <c r="H434" s="33" t="str">
        <f>IFERROR(__xludf.DUMMYFUNCTION("""COMPUTED_VALUE""")," ")</f>
        <v> </v>
      </c>
      <c r="I434" s="45"/>
      <c r="J434" s="46" t="str">
        <f>IFERROR(__xludf.DUMMYFUNCTION("""COMPUTED_VALUE"""),"AP")</f>
        <v>AP</v>
      </c>
      <c r="K434" s="47"/>
      <c r="L434" s="48" t="str">
        <f>IFERROR(__xludf.DUMMYFUNCTION("""COMPUTED_VALUE"""),"%")</f>
        <v>%</v>
      </c>
      <c r="M434" s="49">
        <f>IFERROR(__xludf.DUMMYFUNCTION("""COMPUTED_VALUE"""),1.0)</f>
        <v>1</v>
      </c>
      <c r="N434" s="50"/>
      <c r="O434" s="38"/>
      <c r="P434" s="45" t="str">
        <f>IFERROR(__xludf.DUMMYFUNCTION("""COMPUTED_VALUE"""),"")</f>
        <v/>
      </c>
      <c r="Q434" s="46" t="str">
        <f>IFERROR(__xludf.DUMMYFUNCTION("""COMPUTED_VALUE"""),"AP")</f>
        <v>AP</v>
      </c>
      <c r="R434" s="47" t="str">
        <f>IFERROR(__xludf.DUMMYFUNCTION("""COMPUTED_VALUE"""),"")</f>
        <v/>
      </c>
      <c r="S434" s="48" t="str">
        <f>IFERROR(__xludf.DUMMYFUNCTION("""COMPUTED_VALUE"""),"%")</f>
        <v>%</v>
      </c>
      <c r="T434" s="49">
        <f>IFERROR(__xludf.DUMMYFUNCTION("""COMPUTED_VALUE"""),2.0)</f>
        <v>2</v>
      </c>
      <c r="U434" s="50"/>
      <c r="V434" s="38"/>
      <c r="W434" s="45" t="str">
        <f>IFERROR(__xludf.DUMMYFUNCTION("""COMPUTED_VALUE"""),"")</f>
        <v/>
      </c>
      <c r="X434" s="46" t="str">
        <f>IFERROR(__xludf.DUMMYFUNCTION("""COMPUTED_VALUE"""),"AP")</f>
        <v>AP</v>
      </c>
      <c r="Y434" s="47" t="str">
        <f>IFERROR(__xludf.DUMMYFUNCTION("""COMPUTED_VALUE"""),"")</f>
        <v/>
      </c>
      <c r="Z434" s="48" t="str">
        <f>IFERROR(__xludf.DUMMYFUNCTION("""COMPUTED_VALUE"""),"%")</f>
        <v>%</v>
      </c>
      <c r="AA434" s="49">
        <f>IFERROR(__xludf.DUMMYFUNCTION("""COMPUTED_VALUE"""),3.0)</f>
        <v>3</v>
      </c>
      <c r="AB434" s="50"/>
      <c r="AC434" s="38"/>
      <c r="AD434" s="45" t="str">
        <f>IFERROR(__xludf.DUMMYFUNCTION("""COMPUTED_VALUE"""),"")</f>
        <v/>
      </c>
      <c r="AE434" s="46" t="str">
        <f>IFERROR(__xludf.DUMMYFUNCTION("""COMPUTED_VALUE"""),"AP")</f>
        <v>AP</v>
      </c>
      <c r="AF434" s="47" t="str">
        <f>IFERROR(__xludf.DUMMYFUNCTION("""COMPUTED_VALUE"""),"")</f>
        <v/>
      </c>
      <c r="AG434" s="48" t="str">
        <f>IFERROR(__xludf.DUMMYFUNCTION("""COMPUTED_VALUE"""),"%")</f>
        <v>%</v>
      </c>
      <c r="AH434" s="43"/>
      <c r="AI434" s="44"/>
      <c r="AJ434" s="51"/>
    </row>
    <row r="435" ht="24.75" hidden="1" customHeight="1">
      <c r="A435" s="28">
        <f>IFERROR(__xludf.DUMMYFUNCTION("""COMPUTED_VALUE"""),19.0)</f>
        <v>19</v>
      </c>
      <c r="B435" s="28" t="str">
        <f>IFERROR(__xludf.DUMMYFUNCTION("""COMPUTED_VALUE"""),"A210")</f>
        <v>A210</v>
      </c>
      <c r="C435" s="28"/>
      <c r="D435" s="29"/>
      <c r="E435" s="67"/>
      <c r="F435" s="31"/>
      <c r="G435" s="32"/>
      <c r="H435" s="33" t="str">
        <f>IFERROR(__xludf.DUMMYFUNCTION("""COMPUTED_VALUE""")," ")</f>
        <v> </v>
      </c>
      <c r="I435" s="34"/>
      <c r="J435" s="35" t="str">
        <f>IFERROR(__xludf.DUMMYFUNCTION("""COMPUTED_VALUE"""),"AP")</f>
        <v>AP</v>
      </c>
      <c r="K435" s="34"/>
      <c r="L435" s="35" t="str">
        <f>IFERROR(__xludf.DUMMYFUNCTION("""COMPUTED_VALUE"""),"%")</f>
        <v>%</v>
      </c>
      <c r="M435" s="36">
        <f>IFERROR(__xludf.DUMMYFUNCTION("""COMPUTED_VALUE"""),1.0)</f>
        <v>1</v>
      </c>
      <c r="N435" s="37"/>
      <c r="O435" s="38"/>
      <c r="P435" s="34" t="str">
        <f>IFERROR(__xludf.DUMMYFUNCTION("""COMPUTED_VALUE"""),"")</f>
        <v/>
      </c>
      <c r="Q435" s="35" t="str">
        <f>IFERROR(__xludf.DUMMYFUNCTION("""COMPUTED_VALUE"""),"AP")</f>
        <v>AP</v>
      </c>
      <c r="R435" s="34" t="str">
        <f>IFERROR(__xludf.DUMMYFUNCTION("""COMPUTED_VALUE"""),"")</f>
        <v/>
      </c>
      <c r="S435" s="35" t="str">
        <f>IFERROR(__xludf.DUMMYFUNCTION("""COMPUTED_VALUE"""),"%")</f>
        <v>%</v>
      </c>
      <c r="T435" s="36">
        <f>IFERROR(__xludf.DUMMYFUNCTION("""COMPUTED_VALUE"""),2.0)</f>
        <v>2</v>
      </c>
      <c r="U435" s="37"/>
      <c r="V435" s="38"/>
      <c r="W435" s="34" t="str">
        <f>IFERROR(__xludf.DUMMYFUNCTION("""COMPUTED_VALUE"""),"")</f>
        <v/>
      </c>
      <c r="X435" s="35" t="str">
        <f>IFERROR(__xludf.DUMMYFUNCTION("""COMPUTED_VALUE"""),"AP")</f>
        <v>AP</v>
      </c>
      <c r="Y435" s="34" t="str">
        <f>IFERROR(__xludf.DUMMYFUNCTION("""COMPUTED_VALUE"""),"")</f>
        <v/>
      </c>
      <c r="Z435" s="35" t="str">
        <f>IFERROR(__xludf.DUMMYFUNCTION("""COMPUTED_VALUE"""),"%")</f>
        <v>%</v>
      </c>
      <c r="AA435" s="36">
        <f>IFERROR(__xludf.DUMMYFUNCTION("""COMPUTED_VALUE"""),3.0)</f>
        <v>3</v>
      </c>
      <c r="AB435" s="37"/>
      <c r="AC435" s="38"/>
      <c r="AD435" s="34" t="str">
        <f>IFERROR(__xludf.DUMMYFUNCTION("""COMPUTED_VALUE"""),"")</f>
        <v/>
      </c>
      <c r="AE435" s="35" t="str">
        <f>IFERROR(__xludf.DUMMYFUNCTION("""COMPUTED_VALUE"""),"AP")</f>
        <v>AP</v>
      </c>
      <c r="AF435" s="34" t="str">
        <f>IFERROR(__xludf.DUMMYFUNCTION("""COMPUTED_VALUE"""),"")</f>
        <v/>
      </c>
      <c r="AG435" s="35" t="str">
        <f>IFERROR(__xludf.DUMMYFUNCTION("""COMPUTED_VALUE"""),"%")</f>
        <v>%</v>
      </c>
      <c r="AH435" s="31"/>
      <c r="AI435" s="32"/>
      <c r="AJ435" s="39"/>
    </row>
    <row r="436" ht="24.75" hidden="1" customHeight="1">
      <c r="A436" s="40">
        <f>IFERROR(__xludf.DUMMYFUNCTION("""COMPUTED_VALUE"""),20.0)</f>
        <v>20</v>
      </c>
      <c r="B436" s="40" t="str">
        <f>IFERROR(__xludf.DUMMYFUNCTION("""COMPUTED_VALUE"""),"A210")</f>
        <v>A210</v>
      </c>
      <c r="C436" s="40"/>
      <c r="D436" s="41"/>
      <c r="E436" s="66"/>
      <c r="F436" s="43"/>
      <c r="G436" s="44"/>
      <c r="H436" s="33" t="str">
        <f>IFERROR(__xludf.DUMMYFUNCTION("""COMPUTED_VALUE""")," ")</f>
        <v> </v>
      </c>
      <c r="I436" s="45"/>
      <c r="J436" s="46" t="str">
        <f>IFERROR(__xludf.DUMMYFUNCTION("""COMPUTED_VALUE"""),"AP")</f>
        <v>AP</v>
      </c>
      <c r="K436" s="47"/>
      <c r="L436" s="48" t="str">
        <f>IFERROR(__xludf.DUMMYFUNCTION("""COMPUTED_VALUE"""),"%")</f>
        <v>%</v>
      </c>
      <c r="M436" s="49">
        <f>IFERROR(__xludf.DUMMYFUNCTION("""COMPUTED_VALUE"""),1.0)</f>
        <v>1</v>
      </c>
      <c r="N436" s="50"/>
      <c r="O436" s="38"/>
      <c r="P436" s="45" t="str">
        <f>IFERROR(__xludf.DUMMYFUNCTION("""COMPUTED_VALUE"""),"")</f>
        <v/>
      </c>
      <c r="Q436" s="46" t="str">
        <f>IFERROR(__xludf.DUMMYFUNCTION("""COMPUTED_VALUE"""),"AP")</f>
        <v>AP</v>
      </c>
      <c r="R436" s="47" t="str">
        <f>IFERROR(__xludf.DUMMYFUNCTION("""COMPUTED_VALUE"""),"")</f>
        <v/>
      </c>
      <c r="S436" s="48" t="str">
        <f>IFERROR(__xludf.DUMMYFUNCTION("""COMPUTED_VALUE"""),"%")</f>
        <v>%</v>
      </c>
      <c r="T436" s="49">
        <f>IFERROR(__xludf.DUMMYFUNCTION("""COMPUTED_VALUE"""),2.0)</f>
        <v>2</v>
      </c>
      <c r="U436" s="50"/>
      <c r="V436" s="38"/>
      <c r="W436" s="45" t="str">
        <f>IFERROR(__xludf.DUMMYFUNCTION("""COMPUTED_VALUE"""),"")</f>
        <v/>
      </c>
      <c r="X436" s="46" t="str">
        <f>IFERROR(__xludf.DUMMYFUNCTION("""COMPUTED_VALUE"""),"AP")</f>
        <v>AP</v>
      </c>
      <c r="Y436" s="47" t="str">
        <f>IFERROR(__xludf.DUMMYFUNCTION("""COMPUTED_VALUE"""),"")</f>
        <v/>
      </c>
      <c r="Z436" s="48" t="str">
        <f>IFERROR(__xludf.DUMMYFUNCTION("""COMPUTED_VALUE"""),"%")</f>
        <v>%</v>
      </c>
      <c r="AA436" s="49">
        <f>IFERROR(__xludf.DUMMYFUNCTION("""COMPUTED_VALUE"""),3.0)</f>
        <v>3</v>
      </c>
      <c r="AB436" s="50"/>
      <c r="AC436" s="38"/>
      <c r="AD436" s="45" t="str">
        <f>IFERROR(__xludf.DUMMYFUNCTION("""COMPUTED_VALUE"""),"")</f>
        <v/>
      </c>
      <c r="AE436" s="46" t="str">
        <f>IFERROR(__xludf.DUMMYFUNCTION("""COMPUTED_VALUE"""),"AP")</f>
        <v>AP</v>
      </c>
      <c r="AF436" s="47" t="str">
        <f>IFERROR(__xludf.DUMMYFUNCTION("""COMPUTED_VALUE"""),"")</f>
        <v/>
      </c>
      <c r="AG436" s="48" t="str">
        <f>IFERROR(__xludf.DUMMYFUNCTION("""COMPUTED_VALUE"""),"%")</f>
        <v>%</v>
      </c>
      <c r="AH436" s="43"/>
      <c r="AI436" s="44"/>
      <c r="AJ436" s="51"/>
    </row>
    <row r="437" hidden="1">
      <c r="A437" s="52"/>
      <c r="B437" s="53"/>
      <c r="C437" s="54"/>
      <c r="D437" s="55"/>
      <c r="E437" s="56"/>
      <c r="F437" s="53"/>
      <c r="G437" s="53"/>
      <c r="H437" s="53"/>
      <c r="I437" s="53"/>
      <c r="J437" s="57"/>
      <c r="K437" s="53"/>
      <c r="L437" s="57"/>
      <c r="M437" s="53"/>
      <c r="N437" s="53"/>
      <c r="O437" s="53"/>
      <c r="P437" s="53"/>
      <c r="Q437" s="57"/>
      <c r="R437" s="53"/>
      <c r="S437" s="57"/>
      <c r="T437" s="53"/>
      <c r="U437" s="53"/>
      <c r="V437" s="53"/>
      <c r="W437" s="53"/>
      <c r="X437" s="57"/>
      <c r="Y437" s="53"/>
      <c r="Z437" s="57"/>
      <c r="AA437" s="53"/>
      <c r="AB437" s="53"/>
      <c r="AC437" s="53"/>
      <c r="AD437" s="53"/>
      <c r="AE437" s="57"/>
      <c r="AF437" s="53"/>
      <c r="AG437" s="57"/>
      <c r="AH437" s="53"/>
      <c r="AI437" s="53"/>
      <c r="AJ437" s="58"/>
    </row>
    <row r="438">
      <c r="A438" s="59"/>
      <c r="B438" s="60"/>
      <c r="C438" s="61"/>
      <c r="D438" s="62"/>
      <c r="E438" s="63"/>
      <c r="F438" s="60"/>
      <c r="G438" s="60"/>
      <c r="H438" s="60"/>
      <c r="I438" s="60"/>
      <c r="J438" s="64"/>
      <c r="K438" s="60"/>
      <c r="L438" s="64"/>
      <c r="M438" s="60"/>
      <c r="N438" s="60"/>
      <c r="O438" s="60"/>
      <c r="P438" s="60"/>
      <c r="Q438" s="64"/>
      <c r="R438" s="60"/>
      <c r="S438" s="64"/>
      <c r="T438" s="60"/>
      <c r="U438" s="60"/>
      <c r="V438" s="60"/>
      <c r="W438" s="60"/>
      <c r="X438" s="64"/>
      <c r="Y438" s="60"/>
      <c r="Z438" s="64"/>
      <c r="AA438" s="60"/>
      <c r="AB438" s="60"/>
      <c r="AC438" s="60"/>
      <c r="AD438" s="60"/>
      <c r="AE438" s="64"/>
      <c r="AF438" s="60"/>
      <c r="AG438" s="64"/>
      <c r="AH438" s="60"/>
      <c r="AI438" s="60"/>
      <c r="AJ438" s="65"/>
    </row>
    <row r="439" ht="33.0" customHeight="1">
      <c r="A439" s="20" t="str">
        <f>IFERROR(__xludf.DUMMYFUNCTION("""COMPUTED_VALUE""")," ")</f>
        <v> </v>
      </c>
      <c r="B439" s="21" t="str">
        <f>IFERROR(__xludf.DUMMYFUNCTION("""COMPUTED_VALUE"""),"A211")</f>
        <v>A211</v>
      </c>
      <c r="C439" s="20"/>
      <c r="D439" s="22" t="str">
        <f>IFERROR(__xludf.DUMMYFUNCTION("""COMPUTED_VALUE"""),"")</f>
        <v/>
      </c>
      <c r="E439" s="23" t="str">
        <f>IFERROR(__xludf.DUMMYFUNCTION("""COMPUTED_VALUE"""),"Shell of Reminiscense")</f>
        <v>Shell of Reminiscense</v>
      </c>
      <c r="F439" s="24"/>
      <c r="G439" s="24"/>
      <c r="H439" s="25"/>
      <c r="I439" s="25"/>
      <c r="J439" s="26"/>
      <c r="K439" s="25"/>
      <c r="L439" s="26"/>
      <c r="M439" s="25"/>
      <c r="N439" s="25"/>
      <c r="O439" s="25"/>
      <c r="P439" s="25"/>
      <c r="Q439" s="26"/>
      <c r="R439" s="25"/>
      <c r="S439" s="26"/>
      <c r="T439" s="25"/>
      <c r="U439" s="25"/>
      <c r="V439" s="25"/>
      <c r="W439" s="25"/>
      <c r="X439" s="26"/>
      <c r="Y439" s="25"/>
      <c r="Z439" s="26"/>
      <c r="AA439" s="25"/>
      <c r="AB439" s="25"/>
      <c r="AC439" s="25"/>
      <c r="AD439" s="25"/>
      <c r="AE439" s="26"/>
      <c r="AF439" s="25"/>
      <c r="AG439" s="26"/>
      <c r="AH439" s="24"/>
      <c r="AI439" s="25"/>
      <c r="AJ439" s="27"/>
    </row>
    <row r="440" ht="24.75" customHeight="1">
      <c r="A440" s="28">
        <f>IFERROR(__xludf.DUMMYFUNCTION("""COMPUTED_VALUE"""),1.0)</f>
        <v>1</v>
      </c>
      <c r="B440" s="28" t="str">
        <f>IFERROR(__xludf.DUMMYFUNCTION("""COMPUTED_VALUE"""),"A211")</f>
        <v>A211</v>
      </c>
      <c r="C440" s="28" t="str">
        <f>IFERROR(__xludf.DUMMYFUNCTION("""COMPUTED_VALUE"""),"BBL8")</f>
        <v>BBL8</v>
      </c>
      <c r="D440" s="29" t="str">
        <f>IFERROR(__xludf.DUMMYFUNCTION("""COMPUTED_VALUE"""),"Babylonia")</f>
        <v>Babylonia</v>
      </c>
      <c r="E440" s="30" t="str">
        <f>IFERROR(__xludf.DUMMYFUNCTION("""COMPUTED_VALUE"""),"Observatory")</f>
        <v>Observatory</v>
      </c>
      <c r="F440" s="31">
        <f>IFERROR(__xludf.DUMMYFUNCTION("""COMPUTED_VALUE"""),21.0)</f>
        <v>21</v>
      </c>
      <c r="G440" s="32">
        <f>IFERROR(__xludf.DUMMYFUNCTION("""COMPUTED_VALUE"""),31146.0)</f>
        <v>31146</v>
      </c>
      <c r="H440" s="33" t="str">
        <f>IFERROR(__xludf.DUMMYFUNCTION("""COMPUTED_VALUE"""),"")</f>
        <v/>
      </c>
      <c r="I440" s="34">
        <f>IFERROR(__xludf.DUMMYFUNCTION("""COMPUTED_VALUE"""),52.2)</f>
        <v>52.2</v>
      </c>
      <c r="J440" s="35" t="str">
        <f>IFERROR(__xludf.DUMMYFUNCTION("""COMPUTED_VALUE"""),"AP")</f>
        <v>AP</v>
      </c>
      <c r="K440" s="34">
        <f>IFERROR(__xludf.DUMMYFUNCTION("""COMPUTED_VALUE"""),40.2)</f>
        <v>40.2</v>
      </c>
      <c r="L440" s="35" t="str">
        <f>IFERROR(__xludf.DUMMYFUNCTION("""COMPUTED_VALUE"""),"%")</f>
        <v>%</v>
      </c>
      <c r="M440" s="36">
        <f>IFERROR(__xludf.DUMMYFUNCTION("""COMPUTED_VALUE"""),1.0)</f>
        <v>1</v>
      </c>
      <c r="N440" s="37" t="str">
        <f>IFERROR(__xludf.DUMMYFUNCTION("""COMPUTED_VALUE"""),"B111")</f>
        <v>B111</v>
      </c>
      <c r="O440" s="38" t="str">
        <f>IFERROR(__xludf.DUMMYFUNCTION("""COMPUTED_VALUE"""),"")</f>
        <v/>
      </c>
      <c r="P440" s="34">
        <f>IFERROR(__xludf.DUMMYFUNCTION("""COMPUTED_VALUE"""),164.4)</f>
        <v>164.4</v>
      </c>
      <c r="Q440" s="35" t="str">
        <f>IFERROR(__xludf.DUMMYFUNCTION("""COMPUTED_VALUE"""),"AP")</f>
        <v>AP</v>
      </c>
      <c r="R440" s="34">
        <f>IFERROR(__xludf.DUMMYFUNCTION("""COMPUTED_VALUE"""),12.8)</f>
        <v>12.8</v>
      </c>
      <c r="S440" s="35" t="str">
        <f>IFERROR(__xludf.DUMMYFUNCTION("""COMPUTED_VALUE"""),"%")</f>
        <v>%</v>
      </c>
      <c r="T440" s="36">
        <f>IFERROR(__xludf.DUMMYFUNCTION("""COMPUTED_VALUE"""),2.0)</f>
        <v>2</v>
      </c>
      <c r="U440" s="37"/>
      <c r="V440" s="38"/>
      <c r="W440" s="34" t="str">
        <f>IFERROR(__xludf.DUMMYFUNCTION("""COMPUTED_VALUE"""),"")</f>
        <v/>
      </c>
      <c r="X440" s="35" t="str">
        <f>IFERROR(__xludf.DUMMYFUNCTION("""COMPUTED_VALUE"""),"AP")</f>
        <v>AP</v>
      </c>
      <c r="Y440" s="34" t="str">
        <f>IFERROR(__xludf.DUMMYFUNCTION("""COMPUTED_VALUE"""),"")</f>
        <v/>
      </c>
      <c r="Z440" s="35" t="str">
        <f>IFERROR(__xludf.DUMMYFUNCTION("""COMPUTED_VALUE"""),"%")</f>
        <v>%</v>
      </c>
      <c r="AA440" s="36">
        <f>IFERROR(__xludf.DUMMYFUNCTION("""COMPUTED_VALUE"""),3.0)</f>
        <v>3</v>
      </c>
      <c r="AB440" s="37"/>
      <c r="AC440" s="38"/>
      <c r="AD440" s="34" t="str">
        <f>IFERROR(__xludf.DUMMYFUNCTION("""COMPUTED_VALUE"""),"")</f>
        <v/>
      </c>
      <c r="AE440" s="35" t="str">
        <f>IFERROR(__xludf.DUMMYFUNCTION("""COMPUTED_VALUE"""),"AP")</f>
        <v>AP</v>
      </c>
      <c r="AF440" s="34" t="str">
        <f>IFERROR(__xludf.DUMMYFUNCTION("""COMPUTED_VALUE"""),"")</f>
        <v/>
      </c>
      <c r="AG440" s="35" t="str">
        <f>IFERROR(__xludf.DUMMYFUNCTION("""COMPUTED_VALUE"""),"%")</f>
        <v>%</v>
      </c>
      <c r="AH440" s="31">
        <f>IFERROR(__xludf.DUMMYFUNCTION("""COMPUTED_VALUE"""),21.0)</f>
        <v>21</v>
      </c>
      <c r="AI440" s="32">
        <f>IFERROR(__xludf.DUMMYFUNCTION("""COMPUTED_VALUE"""),31146.0)</f>
        <v>31146</v>
      </c>
      <c r="AJ440" s="39" t="str">
        <f>IFERROR(__xludf.DUMMYFUNCTION("""COMPUTED_VALUE"""),"観測所")</f>
        <v>観測所</v>
      </c>
    </row>
    <row r="441" ht="24.75" customHeight="1">
      <c r="A441" s="40">
        <f>IFERROR(__xludf.DUMMYFUNCTION("""COMPUTED_VALUE"""),2.0)</f>
        <v>2</v>
      </c>
      <c r="B441" s="40" t="str">
        <f>IFERROR(__xludf.DUMMYFUNCTION("""COMPUTED_VALUE"""),"A211")</f>
        <v>A211</v>
      </c>
      <c r="C441" s="40" t="str">
        <f>IFERROR(__xludf.DUMMYFUNCTION("""COMPUTED_VALUE"""),"OKN11")</f>
        <v>OKN11</v>
      </c>
      <c r="D441" s="41" t="str">
        <f>IFERROR(__xludf.DUMMYFUNCTION("""COMPUTED_VALUE"""),"Okeanos")</f>
        <v>Okeanos</v>
      </c>
      <c r="E441" s="42" t="str">
        <f>IFERROR(__xludf.DUMMYFUNCTION("""COMPUTED_VALUE"""),"Archipelago (Hidden island)")</f>
        <v>Archipelago (Hidden island)</v>
      </c>
      <c r="F441" s="43">
        <f>IFERROR(__xludf.DUMMYFUNCTION("""COMPUTED_VALUE"""),16.0)</f>
        <v>16</v>
      </c>
      <c r="G441" s="44">
        <f>IFERROR(__xludf.DUMMYFUNCTION("""COMPUTED_VALUE"""),1110.0)</f>
        <v>1110</v>
      </c>
      <c r="H441" s="33" t="str">
        <f>IFERROR(__xludf.DUMMYFUNCTION("""COMPUTED_VALUE"""),"")</f>
        <v/>
      </c>
      <c r="I441" s="45">
        <f>IFERROR(__xludf.DUMMYFUNCTION("""COMPUTED_VALUE"""),60.4)</f>
        <v>60.4</v>
      </c>
      <c r="J441" s="46" t="str">
        <f>IFERROR(__xludf.DUMMYFUNCTION("""COMPUTED_VALUE"""),"AP")</f>
        <v>AP</v>
      </c>
      <c r="K441" s="47">
        <f>IFERROR(__xludf.DUMMYFUNCTION("""COMPUTED_VALUE"""),26.5)</f>
        <v>26.5</v>
      </c>
      <c r="L441" s="48" t="str">
        <f>IFERROR(__xludf.DUMMYFUNCTION("""COMPUTED_VALUE"""),"%")</f>
        <v>%</v>
      </c>
      <c r="M441" s="49">
        <f>IFERROR(__xludf.DUMMYFUNCTION("""COMPUTED_VALUE"""),1.0)</f>
        <v>1</v>
      </c>
      <c r="N441" s="50" t="str">
        <f>IFERROR(__xludf.DUMMYFUNCTION("""COMPUTED_VALUE"""),"B111")</f>
        <v>B111</v>
      </c>
      <c r="O441" s="38" t="str">
        <f>IFERROR(__xludf.DUMMYFUNCTION("""COMPUTED_VALUE"""),"")</f>
        <v/>
      </c>
      <c r="P441" s="45">
        <f>IFERROR(__xludf.DUMMYFUNCTION("""COMPUTED_VALUE"""),301.0)</f>
        <v>301</v>
      </c>
      <c r="Q441" s="46" t="str">
        <f>IFERROR(__xludf.DUMMYFUNCTION("""COMPUTED_VALUE"""),"AP")</f>
        <v>AP</v>
      </c>
      <c r="R441" s="47">
        <f>IFERROR(__xludf.DUMMYFUNCTION("""COMPUTED_VALUE"""),5.3)</f>
        <v>5.3</v>
      </c>
      <c r="S441" s="48" t="str">
        <f>IFERROR(__xludf.DUMMYFUNCTION("""COMPUTED_VALUE"""),"%")</f>
        <v>%</v>
      </c>
      <c r="T441" s="49">
        <f>IFERROR(__xludf.DUMMYFUNCTION("""COMPUTED_VALUE"""),2.0)</f>
        <v>2</v>
      </c>
      <c r="U441" s="50"/>
      <c r="V441" s="38"/>
      <c r="W441" s="45" t="str">
        <f>IFERROR(__xludf.DUMMYFUNCTION("""COMPUTED_VALUE"""),"")</f>
        <v/>
      </c>
      <c r="X441" s="46" t="str">
        <f>IFERROR(__xludf.DUMMYFUNCTION("""COMPUTED_VALUE"""),"AP")</f>
        <v>AP</v>
      </c>
      <c r="Y441" s="47" t="str">
        <f>IFERROR(__xludf.DUMMYFUNCTION("""COMPUTED_VALUE"""),"")</f>
        <v/>
      </c>
      <c r="Z441" s="48" t="str">
        <f>IFERROR(__xludf.DUMMYFUNCTION("""COMPUTED_VALUE"""),"%")</f>
        <v>%</v>
      </c>
      <c r="AA441" s="49">
        <f>IFERROR(__xludf.DUMMYFUNCTION("""COMPUTED_VALUE"""),3.0)</f>
        <v>3</v>
      </c>
      <c r="AB441" s="50"/>
      <c r="AC441" s="38"/>
      <c r="AD441" s="45" t="str">
        <f>IFERROR(__xludf.DUMMYFUNCTION("""COMPUTED_VALUE"""),"")</f>
        <v/>
      </c>
      <c r="AE441" s="46" t="str">
        <f>IFERROR(__xludf.DUMMYFUNCTION("""COMPUTED_VALUE"""),"AP")</f>
        <v>AP</v>
      </c>
      <c r="AF441" s="47" t="str">
        <f>IFERROR(__xludf.DUMMYFUNCTION("""COMPUTED_VALUE"""),"")</f>
        <v/>
      </c>
      <c r="AG441" s="48" t="str">
        <f>IFERROR(__xludf.DUMMYFUNCTION("""COMPUTED_VALUE"""),"%")</f>
        <v>%</v>
      </c>
      <c r="AH441" s="43">
        <f>IFERROR(__xludf.DUMMYFUNCTION("""COMPUTED_VALUE"""),16.0)</f>
        <v>16</v>
      </c>
      <c r="AI441" s="44">
        <f>IFERROR(__xludf.DUMMYFUNCTION("""COMPUTED_VALUE"""),1110.0)</f>
        <v>1110</v>
      </c>
      <c r="AJ441" s="51" t="str">
        <f>IFERROR(__xludf.DUMMYFUNCTION("""COMPUTED_VALUE"""),"群島（隠された島）")</f>
        <v>群島（隠された島）</v>
      </c>
    </row>
    <row r="442" ht="24.75" customHeight="1">
      <c r="A442" s="28">
        <f>IFERROR(__xludf.DUMMYFUNCTION("""COMPUTED_VALUE"""),3.0)</f>
        <v>3</v>
      </c>
      <c r="B442" s="28" t="str">
        <f>IFERROR(__xludf.DUMMYFUNCTION("""COMPUTED_VALUE"""),"A211")</f>
        <v>A211</v>
      </c>
      <c r="C442" s="28" t="str">
        <f>IFERROR(__xludf.DUMMYFUNCTION("""COMPUTED_VALUE"""),"ANA3")</f>
        <v>ANA3</v>
      </c>
      <c r="D442" s="29" t="str">
        <f>IFERROR(__xludf.DUMMYFUNCTION("""COMPUTED_VALUE"""),"Anastasia")</f>
        <v>Anastasia</v>
      </c>
      <c r="E442" s="30" t="str">
        <f>IFERROR(__xludf.DUMMYFUNCTION("""COMPUTED_VALUE"""),"Icy Cavern")</f>
        <v>Icy Cavern</v>
      </c>
      <c r="F442" s="31">
        <f>IFERROR(__xludf.DUMMYFUNCTION("""COMPUTED_VALUE"""),20.0)</f>
        <v>20</v>
      </c>
      <c r="G442" s="32">
        <f>IFERROR(__xludf.DUMMYFUNCTION("""COMPUTED_VALUE"""),59379.0)</f>
        <v>59379</v>
      </c>
      <c r="H442" s="33" t="str">
        <f>IFERROR(__xludf.DUMMYFUNCTION("""COMPUTED_VALUE"""),"")</f>
        <v/>
      </c>
      <c r="I442" s="34">
        <f>IFERROR(__xludf.DUMMYFUNCTION("""COMPUTED_VALUE"""),79.4)</f>
        <v>79.4</v>
      </c>
      <c r="J442" s="35" t="str">
        <f>IFERROR(__xludf.DUMMYFUNCTION("""COMPUTED_VALUE"""),"AP")</f>
        <v>AP</v>
      </c>
      <c r="K442" s="34">
        <f>IFERROR(__xludf.DUMMYFUNCTION("""COMPUTED_VALUE"""),25.2)</f>
        <v>25.2</v>
      </c>
      <c r="L442" s="35" t="str">
        <f>IFERROR(__xludf.DUMMYFUNCTION("""COMPUTED_VALUE"""),"%")</f>
        <v>%</v>
      </c>
      <c r="M442" s="36">
        <f>IFERROR(__xludf.DUMMYFUNCTION("""COMPUTED_VALUE"""),1.0)</f>
        <v>1</v>
      </c>
      <c r="N442" s="37" t="str">
        <f>IFERROR(__xludf.DUMMYFUNCTION("""COMPUTED_VALUE"""),"A306")</f>
        <v>A306</v>
      </c>
      <c r="O442" s="38" t="str">
        <f>IFERROR(__xludf.DUMMYFUNCTION("""COMPUTED_VALUE"""),"")</f>
        <v/>
      </c>
      <c r="P442" s="34">
        <f>IFERROR(__xludf.DUMMYFUNCTION("""COMPUTED_VALUE"""),49.500001)</f>
        <v>49.500001</v>
      </c>
      <c r="Q442" s="35" t="str">
        <f>IFERROR(__xludf.DUMMYFUNCTION("""COMPUTED_VALUE"""),"AP")</f>
        <v>AP</v>
      </c>
      <c r="R442" s="34">
        <f>IFERROR(__xludf.DUMMYFUNCTION("""COMPUTED_VALUE"""),40.399999)</f>
        <v>40.399999</v>
      </c>
      <c r="S442" s="35" t="str">
        <f>IFERROR(__xludf.DUMMYFUNCTION("""COMPUTED_VALUE"""),"%")</f>
        <v>%</v>
      </c>
      <c r="T442" s="36">
        <f>IFERROR(__xludf.DUMMYFUNCTION("""COMPUTED_VALUE"""),2.0)</f>
        <v>2</v>
      </c>
      <c r="U442" s="37"/>
      <c r="V442" s="38"/>
      <c r="W442" s="34" t="str">
        <f>IFERROR(__xludf.DUMMYFUNCTION("""COMPUTED_VALUE"""),"")</f>
        <v/>
      </c>
      <c r="X442" s="35" t="str">
        <f>IFERROR(__xludf.DUMMYFUNCTION("""COMPUTED_VALUE"""),"AP")</f>
        <v>AP</v>
      </c>
      <c r="Y442" s="34" t="str">
        <f>IFERROR(__xludf.DUMMYFUNCTION("""COMPUTED_VALUE"""),"")</f>
        <v/>
      </c>
      <c r="Z442" s="35" t="str">
        <f>IFERROR(__xludf.DUMMYFUNCTION("""COMPUTED_VALUE"""),"%")</f>
        <v>%</v>
      </c>
      <c r="AA442" s="36">
        <f>IFERROR(__xludf.DUMMYFUNCTION("""COMPUTED_VALUE"""),3.0)</f>
        <v>3</v>
      </c>
      <c r="AB442" s="37"/>
      <c r="AC442" s="38"/>
      <c r="AD442" s="34" t="str">
        <f>IFERROR(__xludf.DUMMYFUNCTION("""COMPUTED_VALUE"""),"")</f>
        <v/>
      </c>
      <c r="AE442" s="35" t="str">
        <f>IFERROR(__xludf.DUMMYFUNCTION("""COMPUTED_VALUE"""),"AP")</f>
        <v>AP</v>
      </c>
      <c r="AF442" s="34" t="str">
        <f>IFERROR(__xludf.DUMMYFUNCTION("""COMPUTED_VALUE"""),"")</f>
        <v/>
      </c>
      <c r="AG442" s="35" t="str">
        <f>IFERROR(__xludf.DUMMYFUNCTION("""COMPUTED_VALUE"""),"%")</f>
        <v>%</v>
      </c>
      <c r="AH442" s="31">
        <f>IFERROR(__xludf.DUMMYFUNCTION("""COMPUTED_VALUE"""),20.0)</f>
        <v>20</v>
      </c>
      <c r="AI442" s="32">
        <f>IFERROR(__xludf.DUMMYFUNCTION("""COMPUTED_VALUE"""),59379.0)</f>
        <v>59379</v>
      </c>
      <c r="AJ442" s="39" t="str">
        <f>IFERROR(__xludf.DUMMYFUNCTION("""COMPUTED_VALUE"""),"風穴氷窟")</f>
        <v>風穴氷窟</v>
      </c>
    </row>
    <row r="443" ht="24.75" customHeight="1">
      <c r="A443" s="40">
        <f>IFERROR(__xludf.DUMMYFUNCTION("""COMPUTED_VALUE"""),4.0)</f>
        <v>4</v>
      </c>
      <c r="B443" s="40" t="str">
        <f>IFERROR(__xludf.DUMMYFUNCTION("""COMPUTED_VALUE"""),"A211")</f>
        <v>A211</v>
      </c>
      <c r="C443" s="40" t="str">
        <f>IFERROR(__xludf.DUMMYFUNCTION("""COMPUTED_VALUE"""),"ATL1")</f>
        <v>ATL1</v>
      </c>
      <c r="D443" s="41" t="str">
        <f>IFERROR(__xludf.DUMMYFUNCTION("""COMPUTED_VALUE"""),"Atlantis")</f>
        <v>Atlantis</v>
      </c>
      <c r="E443" s="42" t="str">
        <f>IFERROR(__xludf.DUMMYFUNCTION("""COMPUTED_VALUE"""),"Sailing Point")</f>
        <v>Sailing Point</v>
      </c>
      <c r="F443" s="43">
        <f>IFERROR(__xludf.DUMMYFUNCTION("""COMPUTED_VALUE"""),21.0)</f>
        <v>21</v>
      </c>
      <c r="G443" s="44">
        <f>IFERROR(__xludf.DUMMYFUNCTION("""COMPUTED_VALUE"""),53983.0)</f>
        <v>53983</v>
      </c>
      <c r="H443" s="33" t="str">
        <f>IFERROR(__xludf.DUMMYFUNCTION("""COMPUTED_VALUE"""),"")</f>
        <v/>
      </c>
      <c r="I443" s="45">
        <f>IFERROR(__xludf.DUMMYFUNCTION("""COMPUTED_VALUE"""),82.5)</f>
        <v>82.5</v>
      </c>
      <c r="J443" s="46" t="str">
        <f>IFERROR(__xludf.DUMMYFUNCTION("""COMPUTED_VALUE"""),"AP")</f>
        <v>AP</v>
      </c>
      <c r="K443" s="47">
        <f>IFERROR(__xludf.DUMMYFUNCTION("""COMPUTED_VALUE"""),25.5)</f>
        <v>25.5</v>
      </c>
      <c r="L443" s="48" t="str">
        <f>IFERROR(__xludf.DUMMYFUNCTION("""COMPUTED_VALUE"""),"%")</f>
        <v>%</v>
      </c>
      <c r="M443" s="49">
        <f>IFERROR(__xludf.DUMMYFUNCTION("""COMPUTED_VALUE"""),1.0)</f>
        <v>1</v>
      </c>
      <c r="N443" s="50" t="str">
        <f>IFERROR(__xludf.DUMMYFUNCTION("""COMPUTED_VALUE"""),"A116")</f>
        <v>A116</v>
      </c>
      <c r="O443" s="38" t="str">
        <f>IFERROR(__xludf.DUMMYFUNCTION("""COMPUTED_VALUE"""),"")</f>
        <v/>
      </c>
      <c r="P443" s="45">
        <f>IFERROR(__xludf.DUMMYFUNCTION("""COMPUTED_VALUE"""),178.3)</f>
        <v>178.3</v>
      </c>
      <c r="Q443" s="46" t="str">
        <f>IFERROR(__xludf.DUMMYFUNCTION("""COMPUTED_VALUE"""),"AP")</f>
        <v>AP</v>
      </c>
      <c r="R443" s="47">
        <f>IFERROR(__xludf.DUMMYFUNCTION("""COMPUTED_VALUE"""),11.8)</f>
        <v>11.8</v>
      </c>
      <c r="S443" s="48" t="str">
        <f>IFERROR(__xludf.DUMMYFUNCTION("""COMPUTED_VALUE"""),"%")</f>
        <v>%</v>
      </c>
      <c r="T443" s="49">
        <f>IFERROR(__xludf.DUMMYFUNCTION("""COMPUTED_VALUE"""),2.0)</f>
        <v>2</v>
      </c>
      <c r="U443" s="50" t="str">
        <f>IFERROR(__xludf.DUMMYFUNCTION("""COMPUTED_VALUE"""),"B104")</f>
        <v>B104</v>
      </c>
      <c r="V443" s="38" t="str">
        <f>IFERROR(__xludf.DUMMYFUNCTION("""COMPUTED_VALUE"""),"")</f>
        <v/>
      </c>
      <c r="W443" s="45">
        <f>IFERROR(__xludf.DUMMYFUNCTION("""COMPUTED_VALUE"""),521.9)</f>
        <v>521.9</v>
      </c>
      <c r="X443" s="46" t="str">
        <f>IFERROR(__xludf.DUMMYFUNCTION("""COMPUTED_VALUE"""),"AP")</f>
        <v>AP</v>
      </c>
      <c r="Y443" s="47">
        <f>IFERROR(__xludf.DUMMYFUNCTION("""COMPUTED_VALUE"""),4.0)</f>
        <v>4</v>
      </c>
      <c r="Z443" s="48" t="str">
        <f>IFERROR(__xludf.DUMMYFUNCTION("""COMPUTED_VALUE"""),"%")</f>
        <v>%</v>
      </c>
      <c r="AA443" s="49">
        <f>IFERROR(__xludf.DUMMYFUNCTION("""COMPUTED_VALUE"""),3.0)</f>
        <v>3</v>
      </c>
      <c r="AB443" s="50"/>
      <c r="AC443" s="38"/>
      <c r="AD443" s="45" t="str">
        <f>IFERROR(__xludf.DUMMYFUNCTION("""COMPUTED_VALUE"""),"")</f>
        <v/>
      </c>
      <c r="AE443" s="46" t="str">
        <f>IFERROR(__xludf.DUMMYFUNCTION("""COMPUTED_VALUE"""),"AP")</f>
        <v>AP</v>
      </c>
      <c r="AF443" s="47" t="str">
        <f>IFERROR(__xludf.DUMMYFUNCTION("""COMPUTED_VALUE"""),"")</f>
        <v/>
      </c>
      <c r="AG443" s="48" t="str">
        <f>IFERROR(__xludf.DUMMYFUNCTION("""COMPUTED_VALUE"""),"%")</f>
        <v>%</v>
      </c>
      <c r="AH443" s="43">
        <f>IFERROR(__xludf.DUMMYFUNCTION("""COMPUTED_VALUE"""),21.0)</f>
        <v>21</v>
      </c>
      <c r="AI443" s="44">
        <f>IFERROR(__xludf.DUMMYFUNCTION("""COMPUTED_VALUE"""),53983.0)</f>
        <v>53983</v>
      </c>
      <c r="AJ443" s="51" t="str">
        <f>IFERROR(__xludf.DUMMYFUNCTION("""COMPUTED_VALUE"""),"セーリングポイント")</f>
        <v>セーリングポイント</v>
      </c>
    </row>
    <row r="444" ht="24.75" customHeight="1">
      <c r="A444" s="28">
        <f>IFERROR(__xludf.DUMMYFUNCTION("""COMPUTED_VALUE"""),5.0)</f>
        <v>5</v>
      </c>
      <c r="B444" s="28" t="str">
        <f>IFERROR(__xludf.DUMMYFUNCTION("""COMPUTED_VALUE"""),"A211")</f>
        <v>A211</v>
      </c>
      <c r="C444" s="28" t="str">
        <f>IFERROR(__xludf.DUMMYFUNCTION("""COMPUTED_VALUE"""),"ANA6")</f>
        <v>ANA6</v>
      </c>
      <c r="D444" s="29" t="str">
        <f>IFERROR(__xludf.DUMMYFUNCTION("""COMPUTED_VALUE"""),"Anastasia")</f>
        <v>Anastasia</v>
      </c>
      <c r="E444" s="30" t="str">
        <f>IFERROR(__xludf.DUMMYFUNCTION("""COMPUTED_VALUE"""),"Burned Village")</f>
        <v>Burned Village</v>
      </c>
      <c r="F444" s="31">
        <f>IFERROR(__xludf.DUMMYFUNCTION("""COMPUTED_VALUE"""),21.0)</f>
        <v>21</v>
      </c>
      <c r="G444" s="32">
        <f>IFERROR(__xludf.DUMMYFUNCTION("""COMPUTED_VALUE"""),89379.0)</f>
        <v>89379</v>
      </c>
      <c r="H444" s="33" t="str">
        <f>IFERROR(__xludf.DUMMYFUNCTION("""COMPUTED_VALUE"""),"")</f>
        <v/>
      </c>
      <c r="I444" s="34">
        <f>IFERROR(__xludf.DUMMYFUNCTION("""COMPUTED_VALUE"""),84.3)</f>
        <v>84.3</v>
      </c>
      <c r="J444" s="35" t="str">
        <f>IFERROR(__xludf.DUMMYFUNCTION("""COMPUTED_VALUE"""),"AP")</f>
        <v>AP</v>
      </c>
      <c r="K444" s="34">
        <f>IFERROR(__xludf.DUMMYFUNCTION("""COMPUTED_VALUE"""),24.9)</f>
        <v>24.9</v>
      </c>
      <c r="L444" s="35" t="str">
        <f>IFERROR(__xludf.DUMMYFUNCTION("""COMPUTED_VALUE"""),"%")</f>
        <v>%</v>
      </c>
      <c r="M444" s="36">
        <f>IFERROR(__xludf.DUMMYFUNCTION("""COMPUTED_VALUE"""),1.0)</f>
        <v>1</v>
      </c>
      <c r="N444" s="37" t="str">
        <f>IFERROR(__xludf.DUMMYFUNCTION("""COMPUTED_VALUE"""),"A309")</f>
        <v>A309</v>
      </c>
      <c r="O444" s="38" t="str">
        <f>IFERROR(__xludf.DUMMYFUNCTION("""COMPUTED_VALUE"""),"")</f>
        <v/>
      </c>
      <c r="P444" s="34">
        <f>IFERROR(__xludf.DUMMYFUNCTION("""COMPUTED_VALUE"""),52.0)</f>
        <v>52</v>
      </c>
      <c r="Q444" s="35" t="str">
        <f>IFERROR(__xludf.DUMMYFUNCTION("""COMPUTED_VALUE"""),"AP")</f>
        <v>AP</v>
      </c>
      <c r="R444" s="34">
        <f>IFERROR(__xludf.DUMMYFUNCTION("""COMPUTED_VALUE"""),40.4)</f>
        <v>40.4</v>
      </c>
      <c r="S444" s="35" t="str">
        <f>IFERROR(__xludf.DUMMYFUNCTION("""COMPUTED_VALUE"""),"%")</f>
        <v>%</v>
      </c>
      <c r="T444" s="36">
        <f>IFERROR(__xludf.DUMMYFUNCTION("""COMPUTED_VALUE"""),2.0)</f>
        <v>2</v>
      </c>
      <c r="U444" s="37"/>
      <c r="V444" s="38"/>
      <c r="W444" s="34" t="str">
        <f>IFERROR(__xludf.DUMMYFUNCTION("""COMPUTED_VALUE"""),"")</f>
        <v/>
      </c>
      <c r="X444" s="35" t="str">
        <f>IFERROR(__xludf.DUMMYFUNCTION("""COMPUTED_VALUE"""),"AP")</f>
        <v>AP</v>
      </c>
      <c r="Y444" s="34" t="str">
        <f>IFERROR(__xludf.DUMMYFUNCTION("""COMPUTED_VALUE"""),"")</f>
        <v/>
      </c>
      <c r="Z444" s="35" t="str">
        <f>IFERROR(__xludf.DUMMYFUNCTION("""COMPUTED_VALUE"""),"%")</f>
        <v>%</v>
      </c>
      <c r="AA444" s="36">
        <f>IFERROR(__xludf.DUMMYFUNCTION("""COMPUTED_VALUE"""),3.0)</f>
        <v>3</v>
      </c>
      <c r="AB444" s="37"/>
      <c r="AC444" s="38"/>
      <c r="AD444" s="34" t="str">
        <f>IFERROR(__xludf.DUMMYFUNCTION("""COMPUTED_VALUE"""),"")</f>
        <v/>
      </c>
      <c r="AE444" s="35" t="str">
        <f>IFERROR(__xludf.DUMMYFUNCTION("""COMPUTED_VALUE"""),"AP")</f>
        <v>AP</v>
      </c>
      <c r="AF444" s="34" t="str">
        <f>IFERROR(__xludf.DUMMYFUNCTION("""COMPUTED_VALUE"""),"")</f>
        <v/>
      </c>
      <c r="AG444" s="35" t="str">
        <f>IFERROR(__xludf.DUMMYFUNCTION("""COMPUTED_VALUE"""),"%")</f>
        <v>%</v>
      </c>
      <c r="AH444" s="31">
        <f>IFERROR(__xludf.DUMMYFUNCTION("""COMPUTED_VALUE"""),21.0)</f>
        <v>21</v>
      </c>
      <c r="AI444" s="32">
        <f>IFERROR(__xludf.DUMMYFUNCTION("""COMPUTED_VALUE"""),89379.0)</f>
        <v>89379</v>
      </c>
      <c r="AJ444" s="39" t="str">
        <f>IFERROR(__xludf.DUMMYFUNCTION("""COMPUTED_VALUE"""),"焼き払われた村")</f>
        <v>焼き払われた村</v>
      </c>
    </row>
    <row r="445" ht="24.75" customHeight="1">
      <c r="A445" s="40">
        <f>IFERROR(__xludf.DUMMYFUNCTION("""COMPUTED_VALUE"""),6.0)</f>
        <v>6</v>
      </c>
      <c r="B445" s="40" t="str">
        <f>IFERROR(__xludf.DUMMYFUNCTION("""COMPUTED_VALUE"""),"A211")</f>
        <v>A211</v>
      </c>
      <c r="C445" s="40" t="str">
        <f>IFERROR(__xludf.DUMMYFUNCTION("""COMPUTED_VALUE"""),"ANA10")</f>
        <v>ANA10</v>
      </c>
      <c r="D445" s="41" t="str">
        <f>IFERROR(__xludf.DUMMYFUNCTION("""COMPUTED_VALUE"""),"Anastasia")</f>
        <v>Anastasia</v>
      </c>
      <c r="E445" s="42" t="str">
        <f>IFERROR(__xludf.DUMMYFUNCTION("""COMPUTED_VALUE"""),"Crushed Village")</f>
        <v>Crushed Village</v>
      </c>
      <c r="F445" s="43">
        <f>IFERROR(__xludf.DUMMYFUNCTION("""COMPUTED_VALUE"""),21.0)</f>
        <v>21</v>
      </c>
      <c r="G445" s="44">
        <f>IFERROR(__xludf.DUMMYFUNCTION("""COMPUTED_VALUE"""),17891.0)</f>
        <v>17891</v>
      </c>
      <c r="H445" s="33" t="str">
        <f>IFERROR(__xludf.DUMMYFUNCTION("""COMPUTED_VALUE"""),"")</f>
        <v/>
      </c>
      <c r="I445" s="45">
        <f>IFERROR(__xludf.DUMMYFUNCTION("""COMPUTED_VALUE"""),85.6)</f>
        <v>85.6</v>
      </c>
      <c r="J445" s="46" t="str">
        <f>IFERROR(__xludf.DUMMYFUNCTION("""COMPUTED_VALUE"""),"AP")</f>
        <v>AP</v>
      </c>
      <c r="K445" s="47">
        <f>IFERROR(__xludf.DUMMYFUNCTION("""COMPUTED_VALUE"""),24.5)</f>
        <v>24.5</v>
      </c>
      <c r="L445" s="48" t="str">
        <f>IFERROR(__xludf.DUMMYFUNCTION("""COMPUTED_VALUE"""),"%")</f>
        <v>%</v>
      </c>
      <c r="M445" s="49">
        <f>IFERROR(__xludf.DUMMYFUNCTION("""COMPUTED_VALUE"""),1.0)</f>
        <v>1</v>
      </c>
      <c r="N445" s="50" t="str">
        <f>IFERROR(__xludf.DUMMYFUNCTION("""COMPUTED_VALUE"""),"A213")</f>
        <v>A213</v>
      </c>
      <c r="O445" s="38" t="str">
        <f>IFERROR(__xludf.DUMMYFUNCTION("""COMPUTED_VALUE"""),"")</f>
        <v/>
      </c>
      <c r="P445" s="45">
        <f>IFERROR(__xludf.DUMMYFUNCTION("""COMPUTED_VALUE"""),82.9)</f>
        <v>82.9</v>
      </c>
      <c r="Q445" s="46" t="str">
        <f>IFERROR(__xludf.DUMMYFUNCTION("""COMPUTED_VALUE"""),"AP")</f>
        <v>AP</v>
      </c>
      <c r="R445" s="47">
        <f>IFERROR(__xludf.DUMMYFUNCTION("""COMPUTED_VALUE"""),25.3)</f>
        <v>25.3</v>
      </c>
      <c r="S445" s="48" t="str">
        <f>IFERROR(__xludf.DUMMYFUNCTION("""COMPUTED_VALUE"""),"%")</f>
        <v>%</v>
      </c>
      <c r="T445" s="49">
        <f>IFERROR(__xludf.DUMMYFUNCTION("""COMPUTED_VALUE"""),2.0)</f>
        <v>2</v>
      </c>
      <c r="U445" s="50" t="str">
        <f>IFERROR(__xludf.DUMMYFUNCTION("""COMPUTED_VALUE"""),"B116")</f>
        <v>B116</v>
      </c>
      <c r="V445" s="38" t="str">
        <f>IFERROR(__xludf.DUMMYFUNCTION("""COMPUTED_VALUE"""),"")</f>
        <v/>
      </c>
      <c r="W445" s="45">
        <f>IFERROR(__xludf.DUMMYFUNCTION("""COMPUTED_VALUE"""),85.3)</f>
        <v>85.3</v>
      </c>
      <c r="X445" s="46" t="str">
        <f>IFERROR(__xludf.DUMMYFUNCTION("""COMPUTED_VALUE"""),"AP")</f>
        <v>AP</v>
      </c>
      <c r="Y445" s="47">
        <f>IFERROR(__xludf.DUMMYFUNCTION("""COMPUTED_VALUE"""),24.6)</f>
        <v>24.6</v>
      </c>
      <c r="Z445" s="48" t="str">
        <f>IFERROR(__xludf.DUMMYFUNCTION("""COMPUTED_VALUE"""),"%")</f>
        <v>%</v>
      </c>
      <c r="AA445" s="49">
        <f>IFERROR(__xludf.DUMMYFUNCTION("""COMPUTED_VALUE"""),3.0)</f>
        <v>3</v>
      </c>
      <c r="AB445" s="50"/>
      <c r="AC445" s="38"/>
      <c r="AD445" s="45" t="str">
        <f>IFERROR(__xludf.DUMMYFUNCTION("""COMPUTED_VALUE"""),"")</f>
        <v/>
      </c>
      <c r="AE445" s="46" t="str">
        <f>IFERROR(__xludf.DUMMYFUNCTION("""COMPUTED_VALUE"""),"AP")</f>
        <v>AP</v>
      </c>
      <c r="AF445" s="47" t="str">
        <f>IFERROR(__xludf.DUMMYFUNCTION("""COMPUTED_VALUE"""),"")</f>
        <v/>
      </c>
      <c r="AG445" s="48" t="str">
        <f>IFERROR(__xludf.DUMMYFUNCTION("""COMPUTED_VALUE"""),"%")</f>
        <v>%</v>
      </c>
      <c r="AH445" s="43">
        <f>IFERROR(__xludf.DUMMYFUNCTION("""COMPUTED_VALUE"""),21.0)</f>
        <v>21</v>
      </c>
      <c r="AI445" s="44">
        <f>IFERROR(__xludf.DUMMYFUNCTION("""COMPUTED_VALUE"""),17891.0)</f>
        <v>17891</v>
      </c>
      <c r="AJ445" s="51" t="str">
        <f>IFERROR(__xludf.DUMMYFUNCTION("""COMPUTED_VALUE"""),"潰れた村")</f>
        <v>潰れた村</v>
      </c>
    </row>
    <row r="446" ht="24.75" customHeight="1">
      <c r="A446" s="28">
        <f>IFERROR(__xludf.DUMMYFUNCTION("""COMPUTED_VALUE"""),7.0)</f>
        <v>7</v>
      </c>
      <c r="B446" s="28" t="str">
        <f>IFERROR(__xludf.DUMMYFUNCTION("""COMPUTED_VALUE"""),"A211")</f>
        <v>A211</v>
      </c>
      <c r="C446" s="28" t="str">
        <f>IFERROR(__xludf.DUMMYFUNCTION("""COMPUTED_VALUE"""),"TRF27")</f>
        <v>TRF27</v>
      </c>
      <c r="D446" s="29" t="str">
        <f>IFERROR(__xludf.DUMMYFUNCTION("""COMPUTED_VALUE"""),"Chaldea Gate (Sun)")</f>
        <v>Chaldea Gate (Sun)</v>
      </c>
      <c r="E446" s="30" t="str">
        <f>IFERROR(__xludf.DUMMYFUNCTION("""COMPUTED_VALUE"""),"SUN Saber Training Ground- Adv")</f>
        <v>SUN Saber Training Ground- Adv</v>
      </c>
      <c r="F446" s="31">
        <f>IFERROR(__xludf.DUMMYFUNCTION("""COMPUTED_VALUE"""),30.0)</f>
        <v>30</v>
      </c>
      <c r="G446" s="32">
        <f>IFERROR(__xludf.DUMMYFUNCTION("""COMPUTED_VALUE"""),3856.0)</f>
        <v>3856</v>
      </c>
      <c r="H446" s="33" t="str">
        <f>IFERROR(__xludf.DUMMYFUNCTION("""COMPUTED_VALUE"""),"")</f>
        <v/>
      </c>
      <c r="I446" s="34">
        <f>IFERROR(__xludf.DUMMYFUNCTION("""COMPUTED_VALUE"""),192.8)</f>
        <v>192.8</v>
      </c>
      <c r="J446" s="35" t="str">
        <f>IFERROR(__xludf.DUMMYFUNCTION("""COMPUTED_VALUE"""),"AP")</f>
        <v>AP</v>
      </c>
      <c r="K446" s="34">
        <f>IFERROR(__xludf.DUMMYFUNCTION("""COMPUTED_VALUE"""),15.6)</f>
        <v>15.6</v>
      </c>
      <c r="L446" s="35" t="str">
        <f>IFERROR(__xludf.DUMMYFUNCTION("""COMPUTED_VALUE"""),"%")</f>
        <v>%</v>
      </c>
      <c r="M446" s="36">
        <f>IFERROR(__xludf.DUMMYFUNCTION("""COMPUTED_VALUE"""),1.0)</f>
        <v>1</v>
      </c>
      <c r="N446" s="37" t="str">
        <f>IFERROR(__xludf.DUMMYFUNCTION("""COMPUTED_VALUE"""),"A104")</f>
        <v>A104</v>
      </c>
      <c r="O446" s="38" t="str">
        <f>IFERROR(__xludf.DUMMYFUNCTION("""COMPUTED_VALUE"""),"")</f>
        <v/>
      </c>
      <c r="P446" s="34">
        <f>IFERROR(__xludf.DUMMYFUNCTION("""COMPUTED_VALUE"""),776.4)</f>
        <v>776.4</v>
      </c>
      <c r="Q446" s="35" t="str">
        <f>IFERROR(__xludf.DUMMYFUNCTION("""COMPUTED_VALUE"""),"AP")</f>
        <v>AP</v>
      </c>
      <c r="R446" s="34">
        <f>IFERROR(__xludf.DUMMYFUNCTION("""COMPUTED_VALUE"""),3.9)</f>
        <v>3.9</v>
      </c>
      <c r="S446" s="35" t="str">
        <f>IFERROR(__xludf.DUMMYFUNCTION("""COMPUTED_VALUE"""),"%")</f>
        <v>%</v>
      </c>
      <c r="T446" s="36">
        <f>IFERROR(__xludf.DUMMYFUNCTION("""COMPUTED_VALUE"""),2.0)</f>
        <v>2</v>
      </c>
      <c r="U446" s="37" t="str">
        <f>IFERROR(__xludf.DUMMYFUNCTION("""COMPUTED_VALUE"""),"A201")</f>
        <v>A201</v>
      </c>
      <c r="V446" s="38" t="str">
        <f>IFERROR(__xludf.DUMMYFUNCTION("""COMPUTED_VALUE"""),"")</f>
        <v/>
      </c>
      <c r="W446" s="34">
        <f>IFERROR(__xludf.DUMMYFUNCTION("""COMPUTED_VALUE"""),124.8)</f>
        <v>124.8</v>
      </c>
      <c r="X446" s="35" t="str">
        <f>IFERROR(__xludf.DUMMYFUNCTION("""COMPUTED_VALUE"""),"AP")</f>
        <v>AP</v>
      </c>
      <c r="Y446" s="34">
        <f>IFERROR(__xludf.DUMMYFUNCTION("""COMPUTED_VALUE"""),24.0)</f>
        <v>24</v>
      </c>
      <c r="Z446" s="35" t="str">
        <f>IFERROR(__xludf.DUMMYFUNCTION("""COMPUTED_VALUE"""),"%")</f>
        <v>%</v>
      </c>
      <c r="AA446" s="36">
        <f>IFERROR(__xludf.DUMMYFUNCTION("""COMPUTED_VALUE"""),3.0)</f>
        <v>3</v>
      </c>
      <c r="AB446" s="37" t="str">
        <f>IFERROR(__xludf.DUMMYFUNCTION("""COMPUTED_VALUE"""),"A205")</f>
        <v>A205</v>
      </c>
      <c r="AC446" s="38" t="str">
        <f>IFERROR(__xludf.DUMMYFUNCTION("""COMPUTED_VALUE"""),"")</f>
        <v/>
      </c>
      <c r="AD446" s="34">
        <f>IFERROR(__xludf.DUMMYFUNCTION("""COMPUTED_VALUE"""),173.4)</f>
        <v>173.4</v>
      </c>
      <c r="AE446" s="35" t="str">
        <f>IFERROR(__xludf.DUMMYFUNCTION("""COMPUTED_VALUE"""),"AP")</f>
        <v>AP</v>
      </c>
      <c r="AF446" s="34">
        <f>IFERROR(__xludf.DUMMYFUNCTION("""COMPUTED_VALUE"""),17.3)</f>
        <v>17.3</v>
      </c>
      <c r="AG446" s="35" t="str">
        <f>IFERROR(__xludf.DUMMYFUNCTION("""COMPUTED_VALUE"""),"%")</f>
        <v>%</v>
      </c>
      <c r="AH446" s="31">
        <f>IFERROR(__xludf.DUMMYFUNCTION("""COMPUTED_VALUE"""),30.0)</f>
        <v>30</v>
      </c>
      <c r="AI446" s="32">
        <f>IFERROR(__xludf.DUMMYFUNCTION("""COMPUTED_VALUE"""),3856.0)</f>
        <v>3856</v>
      </c>
      <c r="AJ446" s="39" t="str">
        <f>IFERROR(__xludf.DUMMYFUNCTION("""COMPUTED_VALUE"""),"剣上級")</f>
        <v>剣上級</v>
      </c>
    </row>
    <row r="447" ht="24.75" customHeight="1">
      <c r="A447" s="40">
        <f>IFERROR(__xludf.DUMMYFUNCTION("""COMPUTED_VALUE"""),8.0)</f>
        <v>8</v>
      </c>
      <c r="B447" s="40" t="str">
        <f>IFERROR(__xludf.DUMMYFUNCTION("""COMPUTED_VALUE"""),"A211")</f>
        <v>A211</v>
      </c>
      <c r="C447" s="40" t="str">
        <f>IFERROR(__xludf.DUMMYFUNCTION("""COMPUTED_VALUE"""),"TRF28")</f>
        <v>TRF28</v>
      </c>
      <c r="D447" s="41" t="str">
        <f>IFERROR(__xludf.DUMMYFUNCTION("""COMPUTED_VALUE"""),"Chaldea Gate (Sun)")</f>
        <v>Chaldea Gate (Sun)</v>
      </c>
      <c r="E447" s="42" t="str">
        <f>IFERROR(__xludf.DUMMYFUNCTION("""COMPUTED_VALUE"""),"SUN Saber Training Ground- Exp")</f>
        <v>SUN Saber Training Ground- Exp</v>
      </c>
      <c r="F447" s="43">
        <f>IFERROR(__xludf.DUMMYFUNCTION("""COMPUTED_VALUE"""),40.0)</f>
        <v>40</v>
      </c>
      <c r="G447" s="44">
        <f>IFERROR(__xludf.DUMMYFUNCTION("""COMPUTED_VALUE"""),27682.0)</f>
        <v>27682</v>
      </c>
      <c r="H447" s="33" t="str">
        <f>IFERROR(__xludf.DUMMYFUNCTION("""COMPUTED_VALUE"""),"")</f>
        <v/>
      </c>
      <c r="I447" s="45">
        <f>IFERROR(__xludf.DUMMYFUNCTION("""COMPUTED_VALUE"""),194.8)</f>
        <v>194.8</v>
      </c>
      <c r="J447" s="46" t="str">
        <f>IFERROR(__xludf.DUMMYFUNCTION("""COMPUTED_VALUE"""),"AP")</f>
        <v>AP</v>
      </c>
      <c r="K447" s="47">
        <f>IFERROR(__xludf.DUMMYFUNCTION("""COMPUTED_VALUE"""),20.5)</f>
        <v>20.5</v>
      </c>
      <c r="L447" s="48" t="str">
        <f>IFERROR(__xludf.DUMMYFUNCTION("""COMPUTED_VALUE"""),"%")</f>
        <v>%</v>
      </c>
      <c r="M447" s="49">
        <f>IFERROR(__xludf.DUMMYFUNCTION("""COMPUTED_VALUE"""),1.0)</f>
        <v>1</v>
      </c>
      <c r="N447" s="50" t="str">
        <f>IFERROR(__xludf.DUMMYFUNCTION("""COMPUTED_VALUE"""),"A104")</f>
        <v>A104</v>
      </c>
      <c r="O447" s="38" t="str">
        <f>IFERROR(__xludf.DUMMYFUNCTION("""COMPUTED_VALUE"""),"")</f>
        <v/>
      </c>
      <c r="P447" s="45">
        <f>IFERROR(__xludf.DUMMYFUNCTION("""COMPUTED_VALUE"""),498.8)</f>
        <v>498.8</v>
      </c>
      <c r="Q447" s="46" t="str">
        <f>IFERROR(__xludf.DUMMYFUNCTION("""COMPUTED_VALUE"""),"AP")</f>
        <v>AP</v>
      </c>
      <c r="R447" s="47">
        <f>IFERROR(__xludf.DUMMYFUNCTION("""COMPUTED_VALUE"""),8.0)</f>
        <v>8</v>
      </c>
      <c r="S447" s="48" t="str">
        <f>IFERROR(__xludf.DUMMYFUNCTION("""COMPUTED_VALUE"""),"%")</f>
        <v>%</v>
      </c>
      <c r="T447" s="49">
        <f>IFERROR(__xludf.DUMMYFUNCTION("""COMPUTED_VALUE"""),2.0)</f>
        <v>2</v>
      </c>
      <c r="U447" s="50" t="str">
        <f>IFERROR(__xludf.DUMMYFUNCTION("""COMPUTED_VALUE"""),"A201")</f>
        <v>A201</v>
      </c>
      <c r="V447" s="38" t="str">
        <f>IFERROR(__xludf.DUMMYFUNCTION("""COMPUTED_VALUE"""),"")</f>
        <v/>
      </c>
      <c r="W447" s="45">
        <f>IFERROR(__xludf.DUMMYFUNCTION("""COMPUTED_VALUE"""),149.7)</f>
        <v>149.7</v>
      </c>
      <c r="X447" s="46" t="str">
        <f>IFERROR(__xludf.DUMMYFUNCTION("""COMPUTED_VALUE"""),"AP")</f>
        <v>AP</v>
      </c>
      <c r="Y447" s="47">
        <f>IFERROR(__xludf.DUMMYFUNCTION("""COMPUTED_VALUE"""),26.7)</f>
        <v>26.7</v>
      </c>
      <c r="Z447" s="48" t="str">
        <f>IFERROR(__xludf.DUMMYFUNCTION("""COMPUTED_VALUE"""),"%")</f>
        <v>%</v>
      </c>
      <c r="AA447" s="49">
        <f>IFERROR(__xludf.DUMMYFUNCTION("""COMPUTED_VALUE"""),3.0)</f>
        <v>3</v>
      </c>
      <c r="AB447" s="50" t="str">
        <f>IFERROR(__xludf.DUMMYFUNCTION("""COMPUTED_VALUE"""),"A205")</f>
        <v>A205</v>
      </c>
      <c r="AC447" s="38" t="str">
        <f>IFERROR(__xludf.DUMMYFUNCTION("""COMPUTED_VALUE"""),"")</f>
        <v/>
      </c>
      <c r="AD447" s="45">
        <f>IFERROR(__xludf.DUMMYFUNCTION("""COMPUTED_VALUE"""),377.3)</f>
        <v>377.3</v>
      </c>
      <c r="AE447" s="46" t="str">
        <f>IFERROR(__xludf.DUMMYFUNCTION("""COMPUTED_VALUE"""),"AP")</f>
        <v>AP</v>
      </c>
      <c r="AF447" s="47">
        <f>IFERROR(__xludf.DUMMYFUNCTION("""COMPUTED_VALUE"""),10.6)</f>
        <v>10.6</v>
      </c>
      <c r="AG447" s="48" t="str">
        <f>IFERROR(__xludf.DUMMYFUNCTION("""COMPUTED_VALUE"""),"%")</f>
        <v>%</v>
      </c>
      <c r="AH447" s="43">
        <f>IFERROR(__xludf.DUMMYFUNCTION("""COMPUTED_VALUE"""),40.0)</f>
        <v>40</v>
      </c>
      <c r="AI447" s="44">
        <f>IFERROR(__xludf.DUMMYFUNCTION("""COMPUTED_VALUE"""),27682.0)</f>
        <v>27682</v>
      </c>
      <c r="AJ447" s="51" t="str">
        <f>IFERROR(__xludf.DUMMYFUNCTION("""COMPUTED_VALUE"""),"剣超級")</f>
        <v>剣超級</v>
      </c>
    </row>
    <row r="448" ht="24.75" customHeight="1">
      <c r="A448" s="28">
        <f>IFERROR(__xludf.DUMMYFUNCTION("""COMPUTED_VALUE"""),9.0)</f>
        <v>9</v>
      </c>
      <c r="B448" s="28" t="str">
        <f>IFERROR(__xludf.DUMMYFUNCTION("""COMPUTED_VALUE"""),"A211")</f>
        <v>A211</v>
      </c>
      <c r="C448" s="28" t="str">
        <f>IFERROR(__xludf.DUMMYFUNCTION("""COMPUTED_VALUE"""),"TRF26")</f>
        <v>TRF26</v>
      </c>
      <c r="D448" s="29" t="str">
        <f>IFERROR(__xludf.DUMMYFUNCTION("""COMPUTED_VALUE"""),"Chaldea Gate (Sun)")</f>
        <v>Chaldea Gate (Sun)</v>
      </c>
      <c r="E448" s="30" t="str">
        <f>IFERROR(__xludf.DUMMYFUNCTION("""COMPUTED_VALUE"""),"SUN Saber Training Ground- Int")</f>
        <v>SUN Saber Training Ground- Int</v>
      </c>
      <c r="F448" s="31">
        <f>IFERROR(__xludf.DUMMYFUNCTION("""COMPUTED_VALUE"""),20.0)</f>
        <v>20</v>
      </c>
      <c r="G448" s="32">
        <f>IFERROR(__xludf.DUMMYFUNCTION("""COMPUTED_VALUE"""),1062.0)</f>
        <v>1062</v>
      </c>
      <c r="H448" s="33" t="str">
        <f>IFERROR(__xludf.DUMMYFUNCTION("""COMPUTED_VALUE"""),"")</f>
        <v/>
      </c>
      <c r="I448" s="34">
        <f>IFERROR(__xludf.DUMMYFUNCTION("""COMPUTED_VALUE"""),206.2)</f>
        <v>206.2</v>
      </c>
      <c r="J448" s="35" t="str">
        <f>IFERROR(__xludf.DUMMYFUNCTION("""COMPUTED_VALUE"""),"AP")</f>
        <v>AP</v>
      </c>
      <c r="K448" s="34">
        <f>IFERROR(__xludf.DUMMYFUNCTION("""COMPUTED_VALUE"""),9.7)</f>
        <v>9.7</v>
      </c>
      <c r="L448" s="35" t="str">
        <f>IFERROR(__xludf.DUMMYFUNCTION("""COMPUTED_VALUE"""),"%")</f>
        <v>%</v>
      </c>
      <c r="M448" s="36">
        <f>IFERROR(__xludf.DUMMYFUNCTION("""COMPUTED_VALUE"""),1.0)</f>
        <v>1</v>
      </c>
      <c r="N448" s="37" t="str">
        <f>IFERROR(__xludf.DUMMYFUNCTION("""COMPUTED_VALUE"""),"A201")</f>
        <v>A201</v>
      </c>
      <c r="O448" s="38" t="str">
        <f>IFERROR(__xludf.DUMMYFUNCTION("""COMPUTED_VALUE"""),"")</f>
        <v/>
      </c>
      <c r="P448" s="34">
        <f>IFERROR(__xludf.DUMMYFUNCTION("""COMPUTED_VALUE"""),153.9)</f>
        <v>153.9</v>
      </c>
      <c r="Q448" s="35" t="str">
        <f>IFERROR(__xludf.DUMMYFUNCTION("""COMPUTED_VALUE"""),"AP")</f>
        <v>AP</v>
      </c>
      <c r="R448" s="34">
        <f>IFERROR(__xludf.DUMMYFUNCTION("""COMPUTED_VALUE"""),13.0)</f>
        <v>13</v>
      </c>
      <c r="S448" s="35" t="str">
        <f>IFERROR(__xludf.DUMMYFUNCTION("""COMPUTED_VALUE"""),"%")</f>
        <v>%</v>
      </c>
      <c r="T448" s="36">
        <f>IFERROR(__xludf.DUMMYFUNCTION("""COMPUTED_VALUE"""),2.0)</f>
        <v>2</v>
      </c>
      <c r="U448" s="37" t="str">
        <f>IFERROR(__xludf.DUMMYFUNCTION("""COMPUTED_VALUE"""),"A206")</f>
        <v>A206</v>
      </c>
      <c r="V448" s="38" t="str">
        <f>IFERROR(__xludf.DUMMYFUNCTION("""COMPUTED_VALUE"""),"")</f>
        <v/>
      </c>
      <c r="W448" s="34">
        <f>IFERROR(__xludf.DUMMYFUNCTION("""COMPUTED_VALUE"""),230.9)</f>
        <v>230.9</v>
      </c>
      <c r="X448" s="35" t="str">
        <f>IFERROR(__xludf.DUMMYFUNCTION("""COMPUTED_VALUE"""),"AP")</f>
        <v>AP</v>
      </c>
      <c r="Y448" s="34">
        <f>IFERROR(__xludf.DUMMYFUNCTION("""COMPUTED_VALUE"""),8.7)</f>
        <v>8.7</v>
      </c>
      <c r="Z448" s="35" t="str">
        <f>IFERROR(__xludf.DUMMYFUNCTION("""COMPUTED_VALUE"""),"%")</f>
        <v>%</v>
      </c>
      <c r="AA448" s="36">
        <f>IFERROR(__xludf.DUMMYFUNCTION("""COMPUTED_VALUE"""),3.0)</f>
        <v>3</v>
      </c>
      <c r="AB448" s="37" t="str">
        <f>IFERROR(__xludf.DUMMYFUNCTION("""COMPUTED_VALUE"""),"A301")</f>
        <v>A301</v>
      </c>
      <c r="AC448" s="38" t="str">
        <f>IFERROR(__xludf.DUMMYFUNCTION("""COMPUTED_VALUE"""),"")</f>
        <v/>
      </c>
      <c r="AD448" s="34">
        <f>IFERROR(__xludf.DUMMYFUNCTION("""COMPUTED_VALUE"""),183.8)</f>
        <v>183.8</v>
      </c>
      <c r="AE448" s="35" t="str">
        <f>IFERROR(__xludf.DUMMYFUNCTION("""COMPUTED_VALUE"""),"AP")</f>
        <v>AP</v>
      </c>
      <c r="AF448" s="34">
        <f>IFERROR(__xludf.DUMMYFUNCTION("""COMPUTED_VALUE"""),10.9)</f>
        <v>10.9</v>
      </c>
      <c r="AG448" s="35" t="str">
        <f>IFERROR(__xludf.DUMMYFUNCTION("""COMPUTED_VALUE"""),"%")</f>
        <v>%</v>
      </c>
      <c r="AH448" s="31">
        <f>IFERROR(__xludf.DUMMYFUNCTION("""COMPUTED_VALUE"""),20.0)</f>
        <v>20</v>
      </c>
      <c r="AI448" s="32">
        <f>IFERROR(__xludf.DUMMYFUNCTION("""COMPUTED_VALUE"""),1062.0)</f>
        <v>1062</v>
      </c>
      <c r="AJ448" s="39" t="str">
        <f>IFERROR(__xludf.DUMMYFUNCTION("""COMPUTED_VALUE"""),"剣中級")</f>
        <v>剣中級</v>
      </c>
    </row>
    <row r="449" ht="24.75" customHeight="1">
      <c r="A449" s="40">
        <f>IFERROR(__xludf.DUMMYFUNCTION("""COMPUTED_VALUE"""),10.0)</f>
        <v>10</v>
      </c>
      <c r="B449" s="40" t="str">
        <f>IFERROR(__xludf.DUMMYFUNCTION("""COMPUTED_VALUE"""),"A211")</f>
        <v>A211</v>
      </c>
      <c r="C449" s="40" t="str">
        <f>IFERROR(__xludf.DUMMYFUNCTION("""COMPUTED_VALUE"""),"TRF25")</f>
        <v>TRF25</v>
      </c>
      <c r="D449" s="41" t="str">
        <f>IFERROR(__xludf.DUMMYFUNCTION("""COMPUTED_VALUE"""),"Chaldea Gate (Sun)")</f>
        <v>Chaldea Gate (Sun)</v>
      </c>
      <c r="E449" s="42" t="str">
        <f>IFERROR(__xludf.DUMMYFUNCTION("""COMPUTED_VALUE"""),"SUN Saber Training Ground- Nov")</f>
        <v>SUN Saber Training Ground- Nov</v>
      </c>
      <c r="F449" s="43">
        <f>IFERROR(__xludf.DUMMYFUNCTION("""COMPUTED_VALUE"""),10.0)</f>
        <v>10</v>
      </c>
      <c r="G449" s="44">
        <f>IFERROR(__xludf.DUMMYFUNCTION("""COMPUTED_VALUE"""),29049.0)</f>
        <v>29049</v>
      </c>
      <c r="H449" s="33" t="str">
        <f>IFERROR(__xludf.DUMMYFUNCTION("""COMPUTED_VALUE"""),"")</f>
        <v/>
      </c>
      <c r="I449" s="45">
        <f>IFERROR(__xludf.DUMMYFUNCTION("""COMPUTED_VALUE"""),213.3)</f>
        <v>213.3</v>
      </c>
      <c r="J449" s="46" t="str">
        <f>IFERROR(__xludf.DUMMYFUNCTION("""COMPUTED_VALUE"""),"AP")</f>
        <v>AP</v>
      </c>
      <c r="K449" s="47">
        <f>IFERROR(__xludf.DUMMYFUNCTION("""COMPUTED_VALUE"""),4.7)</f>
        <v>4.7</v>
      </c>
      <c r="L449" s="48" t="str">
        <f>IFERROR(__xludf.DUMMYFUNCTION("""COMPUTED_VALUE"""),"%")</f>
        <v>%</v>
      </c>
      <c r="M449" s="49">
        <f>IFERROR(__xludf.DUMMYFUNCTION("""COMPUTED_VALUE"""),1.0)</f>
        <v>1</v>
      </c>
      <c r="N449" s="50" t="str">
        <f>IFERROR(__xludf.DUMMYFUNCTION("""COMPUTED_VALUE"""),"A206")</f>
        <v>A206</v>
      </c>
      <c r="O449" s="38" t="str">
        <f>IFERROR(__xludf.DUMMYFUNCTION("""COMPUTED_VALUE"""),"")</f>
        <v/>
      </c>
      <c r="P449" s="45">
        <f>IFERROR(__xludf.DUMMYFUNCTION("""COMPUTED_VALUE"""),219.9)</f>
        <v>219.9</v>
      </c>
      <c r="Q449" s="46" t="str">
        <f>IFERROR(__xludf.DUMMYFUNCTION("""COMPUTED_VALUE"""),"AP")</f>
        <v>AP</v>
      </c>
      <c r="R449" s="47">
        <f>IFERROR(__xludf.DUMMYFUNCTION("""COMPUTED_VALUE"""),4.5)</f>
        <v>4.5</v>
      </c>
      <c r="S449" s="48" t="str">
        <f>IFERROR(__xludf.DUMMYFUNCTION("""COMPUTED_VALUE"""),"%")</f>
        <v>%</v>
      </c>
      <c r="T449" s="49">
        <f>IFERROR(__xludf.DUMMYFUNCTION("""COMPUTED_VALUE"""),2.0)</f>
        <v>2</v>
      </c>
      <c r="U449" s="50" t="str">
        <f>IFERROR(__xludf.DUMMYFUNCTION("""COMPUTED_VALUE"""),"A301")</f>
        <v>A301</v>
      </c>
      <c r="V449" s="38" t="str">
        <f>IFERROR(__xludf.DUMMYFUNCTION("""COMPUTED_VALUE"""),"")</f>
        <v/>
      </c>
      <c r="W449" s="45">
        <f>IFERROR(__xludf.DUMMYFUNCTION("""COMPUTED_VALUE"""),110.0)</f>
        <v>110</v>
      </c>
      <c r="X449" s="46" t="str">
        <f>IFERROR(__xludf.DUMMYFUNCTION("""COMPUTED_VALUE"""),"AP")</f>
        <v>AP</v>
      </c>
      <c r="Y449" s="47">
        <f>IFERROR(__xludf.DUMMYFUNCTION("""COMPUTED_VALUE"""),9.1)</f>
        <v>9.1</v>
      </c>
      <c r="Z449" s="48" t="str">
        <f>IFERROR(__xludf.DUMMYFUNCTION("""COMPUTED_VALUE"""),"%")</f>
        <v>%</v>
      </c>
      <c r="AA449" s="49">
        <f>IFERROR(__xludf.DUMMYFUNCTION("""COMPUTED_VALUE"""),3.0)</f>
        <v>3</v>
      </c>
      <c r="AB449" s="50" t="str">
        <f>IFERROR(__xludf.DUMMYFUNCTION("""COMPUTED_VALUE"""),"A302")</f>
        <v>A302</v>
      </c>
      <c r="AC449" s="38" t="str">
        <f>IFERROR(__xludf.DUMMYFUNCTION("""COMPUTED_VALUE"""),"")</f>
        <v/>
      </c>
      <c r="AD449" s="45">
        <f>IFERROR(__xludf.DUMMYFUNCTION("""COMPUTED_VALUE"""),42.5)</f>
        <v>42.5</v>
      </c>
      <c r="AE449" s="46" t="str">
        <f>IFERROR(__xludf.DUMMYFUNCTION("""COMPUTED_VALUE"""),"AP")</f>
        <v>AP</v>
      </c>
      <c r="AF449" s="47">
        <f>IFERROR(__xludf.DUMMYFUNCTION("""COMPUTED_VALUE"""),23.5)</f>
        <v>23.5</v>
      </c>
      <c r="AG449" s="48" t="str">
        <f>IFERROR(__xludf.DUMMYFUNCTION("""COMPUTED_VALUE"""),"%")</f>
        <v>%</v>
      </c>
      <c r="AH449" s="43">
        <f>IFERROR(__xludf.DUMMYFUNCTION("""COMPUTED_VALUE"""),10.0)</f>
        <v>10</v>
      </c>
      <c r="AI449" s="44">
        <f>IFERROR(__xludf.DUMMYFUNCTION("""COMPUTED_VALUE"""),29049.0)</f>
        <v>29049</v>
      </c>
      <c r="AJ449" s="51" t="str">
        <f>IFERROR(__xludf.DUMMYFUNCTION("""COMPUTED_VALUE"""),"剣初級")</f>
        <v>剣初級</v>
      </c>
    </row>
    <row r="450" ht="24.75" customHeight="1">
      <c r="A450" s="28">
        <f>IFERROR(__xludf.DUMMYFUNCTION("""COMPUTED_VALUE"""),11.0)</f>
        <v>11</v>
      </c>
      <c r="B450" s="28" t="str">
        <f>IFERROR(__xludf.DUMMYFUNCTION("""COMPUTED_VALUE"""),"A211")</f>
        <v>A211</v>
      </c>
      <c r="C450" s="28"/>
      <c r="D450" s="29"/>
      <c r="E450" s="67"/>
      <c r="F450" s="31"/>
      <c r="G450" s="32"/>
      <c r="H450" s="33" t="str">
        <f>IFERROR(__xludf.DUMMYFUNCTION("""COMPUTED_VALUE""")," ")</f>
        <v> </v>
      </c>
      <c r="I450" s="34"/>
      <c r="J450" s="35" t="str">
        <f>IFERROR(__xludf.DUMMYFUNCTION("""COMPUTED_VALUE"""),"AP")</f>
        <v>AP</v>
      </c>
      <c r="K450" s="34"/>
      <c r="L450" s="35" t="str">
        <f>IFERROR(__xludf.DUMMYFUNCTION("""COMPUTED_VALUE"""),"%")</f>
        <v>%</v>
      </c>
      <c r="M450" s="36">
        <f>IFERROR(__xludf.DUMMYFUNCTION("""COMPUTED_VALUE"""),1.0)</f>
        <v>1</v>
      </c>
      <c r="N450" s="37"/>
      <c r="O450" s="38"/>
      <c r="P450" s="34" t="str">
        <f>IFERROR(__xludf.DUMMYFUNCTION("""COMPUTED_VALUE"""),"")</f>
        <v/>
      </c>
      <c r="Q450" s="35" t="str">
        <f>IFERROR(__xludf.DUMMYFUNCTION("""COMPUTED_VALUE"""),"AP")</f>
        <v>AP</v>
      </c>
      <c r="R450" s="34" t="str">
        <f>IFERROR(__xludf.DUMMYFUNCTION("""COMPUTED_VALUE"""),"")</f>
        <v/>
      </c>
      <c r="S450" s="35" t="str">
        <f>IFERROR(__xludf.DUMMYFUNCTION("""COMPUTED_VALUE"""),"%")</f>
        <v>%</v>
      </c>
      <c r="T450" s="36">
        <f>IFERROR(__xludf.DUMMYFUNCTION("""COMPUTED_VALUE"""),2.0)</f>
        <v>2</v>
      </c>
      <c r="U450" s="37"/>
      <c r="V450" s="38"/>
      <c r="W450" s="34" t="str">
        <f>IFERROR(__xludf.DUMMYFUNCTION("""COMPUTED_VALUE"""),"")</f>
        <v/>
      </c>
      <c r="X450" s="35" t="str">
        <f>IFERROR(__xludf.DUMMYFUNCTION("""COMPUTED_VALUE"""),"AP")</f>
        <v>AP</v>
      </c>
      <c r="Y450" s="34" t="str">
        <f>IFERROR(__xludf.DUMMYFUNCTION("""COMPUTED_VALUE"""),"")</f>
        <v/>
      </c>
      <c r="Z450" s="35" t="str">
        <f>IFERROR(__xludf.DUMMYFUNCTION("""COMPUTED_VALUE"""),"%")</f>
        <v>%</v>
      </c>
      <c r="AA450" s="36">
        <f>IFERROR(__xludf.DUMMYFUNCTION("""COMPUTED_VALUE"""),3.0)</f>
        <v>3</v>
      </c>
      <c r="AB450" s="37"/>
      <c r="AC450" s="38"/>
      <c r="AD450" s="34" t="str">
        <f>IFERROR(__xludf.DUMMYFUNCTION("""COMPUTED_VALUE"""),"")</f>
        <v/>
      </c>
      <c r="AE450" s="35" t="str">
        <f>IFERROR(__xludf.DUMMYFUNCTION("""COMPUTED_VALUE"""),"AP")</f>
        <v>AP</v>
      </c>
      <c r="AF450" s="34" t="str">
        <f>IFERROR(__xludf.DUMMYFUNCTION("""COMPUTED_VALUE"""),"")</f>
        <v/>
      </c>
      <c r="AG450" s="35" t="str">
        <f>IFERROR(__xludf.DUMMYFUNCTION("""COMPUTED_VALUE"""),"%")</f>
        <v>%</v>
      </c>
      <c r="AH450" s="31"/>
      <c r="AI450" s="32"/>
      <c r="AJ450" s="39"/>
    </row>
    <row r="451" ht="24.75" hidden="1" customHeight="1">
      <c r="A451" s="40">
        <f>IFERROR(__xludf.DUMMYFUNCTION("""COMPUTED_VALUE"""),12.0)</f>
        <v>12</v>
      </c>
      <c r="B451" s="40" t="str">
        <f>IFERROR(__xludf.DUMMYFUNCTION("""COMPUTED_VALUE"""),"A211")</f>
        <v>A211</v>
      </c>
      <c r="C451" s="40"/>
      <c r="D451" s="41"/>
      <c r="E451" s="66"/>
      <c r="F451" s="43"/>
      <c r="G451" s="44"/>
      <c r="H451" s="33" t="str">
        <f>IFERROR(__xludf.DUMMYFUNCTION("""COMPUTED_VALUE""")," ")</f>
        <v> </v>
      </c>
      <c r="I451" s="45"/>
      <c r="J451" s="46" t="str">
        <f>IFERROR(__xludf.DUMMYFUNCTION("""COMPUTED_VALUE"""),"AP")</f>
        <v>AP</v>
      </c>
      <c r="K451" s="47"/>
      <c r="L451" s="48" t="str">
        <f>IFERROR(__xludf.DUMMYFUNCTION("""COMPUTED_VALUE"""),"%")</f>
        <v>%</v>
      </c>
      <c r="M451" s="49">
        <f>IFERROR(__xludf.DUMMYFUNCTION("""COMPUTED_VALUE"""),1.0)</f>
        <v>1</v>
      </c>
      <c r="N451" s="50"/>
      <c r="O451" s="38"/>
      <c r="P451" s="45" t="str">
        <f>IFERROR(__xludf.DUMMYFUNCTION("""COMPUTED_VALUE"""),"")</f>
        <v/>
      </c>
      <c r="Q451" s="46" t="str">
        <f>IFERROR(__xludf.DUMMYFUNCTION("""COMPUTED_VALUE"""),"AP")</f>
        <v>AP</v>
      </c>
      <c r="R451" s="47" t="str">
        <f>IFERROR(__xludf.DUMMYFUNCTION("""COMPUTED_VALUE"""),"")</f>
        <v/>
      </c>
      <c r="S451" s="48" t="str">
        <f>IFERROR(__xludf.DUMMYFUNCTION("""COMPUTED_VALUE"""),"%")</f>
        <v>%</v>
      </c>
      <c r="T451" s="49">
        <f>IFERROR(__xludf.DUMMYFUNCTION("""COMPUTED_VALUE"""),2.0)</f>
        <v>2</v>
      </c>
      <c r="U451" s="50"/>
      <c r="V451" s="38"/>
      <c r="W451" s="45" t="str">
        <f>IFERROR(__xludf.DUMMYFUNCTION("""COMPUTED_VALUE"""),"")</f>
        <v/>
      </c>
      <c r="X451" s="46" t="str">
        <f>IFERROR(__xludf.DUMMYFUNCTION("""COMPUTED_VALUE"""),"AP")</f>
        <v>AP</v>
      </c>
      <c r="Y451" s="47" t="str">
        <f>IFERROR(__xludf.DUMMYFUNCTION("""COMPUTED_VALUE"""),"")</f>
        <v/>
      </c>
      <c r="Z451" s="48" t="str">
        <f>IFERROR(__xludf.DUMMYFUNCTION("""COMPUTED_VALUE"""),"%")</f>
        <v>%</v>
      </c>
      <c r="AA451" s="49">
        <f>IFERROR(__xludf.DUMMYFUNCTION("""COMPUTED_VALUE"""),3.0)</f>
        <v>3</v>
      </c>
      <c r="AB451" s="50"/>
      <c r="AC451" s="38"/>
      <c r="AD451" s="45" t="str">
        <f>IFERROR(__xludf.DUMMYFUNCTION("""COMPUTED_VALUE"""),"")</f>
        <v/>
      </c>
      <c r="AE451" s="46" t="str">
        <f>IFERROR(__xludf.DUMMYFUNCTION("""COMPUTED_VALUE"""),"AP")</f>
        <v>AP</v>
      </c>
      <c r="AF451" s="47" t="str">
        <f>IFERROR(__xludf.DUMMYFUNCTION("""COMPUTED_VALUE"""),"")</f>
        <v/>
      </c>
      <c r="AG451" s="48" t="str">
        <f>IFERROR(__xludf.DUMMYFUNCTION("""COMPUTED_VALUE"""),"%")</f>
        <v>%</v>
      </c>
      <c r="AH451" s="43"/>
      <c r="AI451" s="44"/>
      <c r="AJ451" s="51"/>
    </row>
    <row r="452" ht="24.75" hidden="1" customHeight="1">
      <c r="A452" s="28">
        <f>IFERROR(__xludf.DUMMYFUNCTION("""COMPUTED_VALUE"""),13.0)</f>
        <v>13</v>
      </c>
      <c r="B452" s="28" t="str">
        <f>IFERROR(__xludf.DUMMYFUNCTION("""COMPUTED_VALUE"""),"A211")</f>
        <v>A211</v>
      </c>
      <c r="C452" s="28"/>
      <c r="D452" s="29"/>
      <c r="E452" s="67"/>
      <c r="F452" s="31"/>
      <c r="G452" s="32"/>
      <c r="H452" s="33" t="str">
        <f>IFERROR(__xludf.DUMMYFUNCTION("""COMPUTED_VALUE""")," ")</f>
        <v> </v>
      </c>
      <c r="I452" s="34"/>
      <c r="J452" s="35" t="str">
        <f>IFERROR(__xludf.DUMMYFUNCTION("""COMPUTED_VALUE"""),"AP")</f>
        <v>AP</v>
      </c>
      <c r="K452" s="34"/>
      <c r="L452" s="35" t="str">
        <f>IFERROR(__xludf.DUMMYFUNCTION("""COMPUTED_VALUE"""),"%")</f>
        <v>%</v>
      </c>
      <c r="M452" s="36">
        <f>IFERROR(__xludf.DUMMYFUNCTION("""COMPUTED_VALUE"""),1.0)</f>
        <v>1</v>
      </c>
      <c r="N452" s="37"/>
      <c r="O452" s="38"/>
      <c r="P452" s="34" t="str">
        <f>IFERROR(__xludf.DUMMYFUNCTION("""COMPUTED_VALUE"""),"")</f>
        <v/>
      </c>
      <c r="Q452" s="35" t="str">
        <f>IFERROR(__xludf.DUMMYFUNCTION("""COMPUTED_VALUE"""),"AP")</f>
        <v>AP</v>
      </c>
      <c r="R452" s="34" t="str">
        <f>IFERROR(__xludf.DUMMYFUNCTION("""COMPUTED_VALUE"""),"")</f>
        <v/>
      </c>
      <c r="S452" s="35" t="str">
        <f>IFERROR(__xludf.DUMMYFUNCTION("""COMPUTED_VALUE"""),"%")</f>
        <v>%</v>
      </c>
      <c r="T452" s="36">
        <f>IFERROR(__xludf.DUMMYFUNCTION("""COMPUTED_VALUE"""),2.0)</f>
        <v>2</v>
      </c>
      <c r="U452" s="37"/>
      <c r="V452" s="38"/>
      <c r="W452" s="34" t="str">
        <f>IFERROR(__xludf.DUMMYFUNCTION("""COMPUTED_VALUE"""),"")</f>
        <v/>
      </c>
      <c r="X452" s="35" t="str">
        <f>IFERROR(__xludf.DUMMYFUNCTION("""COMPUTED_VALUE"""),"AP")</f>
        <v>AP</v>
      </c>
      <c r="Y452" s="34" t="str">
        <f>IFERROR(__xludf.DUMMYFUNCTION("""COMPUTED_VALUE"""),"")</f>
        <v/>
      </c>
      <c r="Z452" s="35" t="str">
        <f>IFERROR(__xludf.DUMMYFUNCTION("""COMPUTED_VALUE"""),"%")</f>
        <v>%</v>
      </c>
      <c r="AA452" s="36">
        <f>IFERROR(__xludf.DUMMYFUNCTION("""COMPUTED_VALUE"""),3.0)</f>
        <v>3</v>
      </c>
      <c r="AB452" s="37"/>
      <c r="AC452" s="38"/>
      <c r="AD452" s="34" t="str">
        <f>IFERROR(__xludf.DUMMYFUNCTION("""COMPUTED_VALUE"""),"")</f>
        <v/>
      </c>
      <c r="AE452" s="35" t="str">
        <f>IFERROR(__xludf.DUMMYFUNCTION("""COMPUTED_VALUE"""),"AP")</f>
        <v>AP</v>
      </c>
      <c r="AF452" s="34" t="str">
        <f>IFERROR(__xludf.DUMMYFUNCTION("""COMPUTED_VALUE"""),"")</f>
        <v/>
      </c>
      <c r="AG452" s="35" t="str">
        <f>IFERROR(__xludf.DUMMYFUNCTION("""COMPUTED_VALUE"""),"%")</f>
        <v>%</v>
      </c>
      <c r="AH452" s="31"/>
      <c r="AI452" s="32"/>
      <c r="AJ452" s="39"/>
    </row>
    <row r="453" ht="24.75" hidden="1" customHeight="1">
      <c r="A453" s="40">
        <f>IFERROR(__xludf.DUMMYFUNCTION("""COMPUTED_VALUE"""),14.0)</f>
        <v>14</v>
      </c>
      <c r="B453" s="40" t="str">
        <f>IFERROR(__xludf.DUMMYFUNCTION("""COMPUTED_VALUE"""),"A211")</f>
        <v>A211</v>
      </c>
      <c r="C453" s="40"/>
      <c r="D453" s="41"/>
      <c r="E453" s="66"/>
      <c r="F453" s="43"/>
      <c r="G453" s="44"/>
      <c r="H453" s="33" t="str">
        <f>IFERROR(__xludf.DUMMYFUNCTION("""COMPUTED_VALUE""")," ")</f>
        <v> </v>
      </c>
      <c r="I453" s="45"/>
      <c r="J453" s="46" t="str">
        <f>IFERROR(__xludf.DUMMYFUNCTION("""COMPUTED_VALUE"""),"AP")</f>
        <v>AP</v>
      </c>
      <c r="K453" s="47"/>
      <c r="L453" s="48" t="str">
        <f>IFERROR(__xludf.DUMMYFUNCTION("""COMPUTED_VALUE"""),"%")</f>
        <v>%</v>
      </c>
      <c r="M453" s="49">
        <f>IFERROR(__xludf.DUMMYFUNCTION("""COMPUTED_VALUE"""),1.0)</f>
        <v>1</v>
      </c>
      <c r="N453" s="50"/>
      <c r="O453" s="38"/>
      <c r="P453" s="45" t="str">
        <f>IFERROR(__xludf.DUMMYFUNCTION("""COMPUTED_VALUE"""),"")</f>
        <v/>
      </c>
      <c r="Q453" s="46" t="str">
        <f>IFERROR(__xludf.DUMMYFUNCTION("""COMPUTED_VALUE"""),"AP")</f>
        <v>AP</v>
      </c>
      <c r="R453" s="47" t="str">
        <f>IFERROR(__xludf.DUMMYFUNCTION("""COMPUTED_VALUE"""),"")</f>
        <v/>
      </c>
      <c r="S453" s="48" t="str">
        <f>IFERROR(__xludf.DUMMYFUNCTION("""COMPUTED_VALUE"""),"%")</f>
        <v>%</v>
      </c>
      <c r="T453" s="49">
        <f>IFERROR(__xludf.DUMMYFUNCTION("""COMPUTED_VALUE"""),2.0)</f>
        <v>2</v>
      </c>
      <c r="U453" s="50"/>
      <c r="V453" s="38"/>
      <c r="W453" s="45" t="str">
        <f>IFERROR(__xludf.DUMMYFUNCTION("""COMPUTED_VALUE"""),"")</f>
        <v/>
      </c>
      <c r="X453" s="46" t="str">
        <f>IFERROR(__xludf.DUMMYFUNCTION("""COMPUTED_VALUE"""),"AP")</f>
        <v>AP</v>
      </c>
      <c r="Y453" s="47" t="str">
        <f>IFERROR(__xludf.DUMMYFUNCTION("""COMPUTED_VALUE"""),"")</f>
        <v/>
      </c>
      <c r="Z453" s="48" t="str">
        <f>IFERROR(__xludf.DUMMYFUNCTION("""COMPUTED_VALUE"""),"%")</f>
        <v>%</v>
      </c>
      <c r="AA453" s="49">
        <f>IFERROR(__xludf.DUMMYFUNCTION("""COMPUTED_VALUE"""),3.0)</f>
        <v>3</v>
      </c>
      <c r="AB453" s="50"/>
      <c r="AC453" s="38"/>
      <c r="AD453" s="45" t="str">
        <f>IFERROR(__xludf.DUMMYFUNCTION("""COMPUTED_VALUE"""),"")</f>
        <v/>
      </c>
      <c r="AE453" s="46" t="str">
        <f>IFERROR(__xludf.DUMMYFUNCTION("""COMPUTED_VALUE"""),"AP")</f>
        <v>AP</v>
      </c>
      <c r="AF453" s="47" t="str">
        <f>IFERROR(__xludf.DUMMYFUNCTION("""COMPUTED_VALUE"""),"")</f>
        <v/>
      </c>
      <c r="AG453" s="48" t="str">
        <f>IFERROR(__xludf.DUMMYFUNCTION("""COMPUTED_VALUE"""),"%")</f>
        <v>%</v>
      </c>
      <c r="AH453" s="43"/>
      <c r="AI453" s="44"/>
      <c r="AJ453" s="51"/>
    </row>
    <row r="454" ht="24.75" hidden="1" customHeight="1">
      <c r="A454" s="28">
        <f>IFERROR(__xludf.DUMMYFUNCTION("""COMPUTED_VALUE"""),15.0)</f>
        <v>15</v>
      </c>
      <c r="B454" s="28" t="str">
        <f>IFERROR(__xludf.DUMMYFUNCTION("""COMPUTED_VALUE"""),"A211")</f>
        <v>A211</v>
      </c>
      <c r="C454" s="28"/>
      <c r="D454" s="29"/>
      <c r="E454" s="67"/>
      <c r="F454" s="31"/>
      <c r="G454" s="32"/>
      <c r="H454" s="33" t="str">
        <f>IFERROR(__xludf.DUMMYFUNCTION("""COMPUTED_VALUE""")," ")</f>
        <v> </v>
      </c>
      <c r="I454" s="34"/>
      <c r="J454" s="35" t="str">
        <f>IFERROR(__xludf.DUMMYFUNCTION("""COMPUTED_VALUE"""),"AP")</f>
        <v>AP</v>
      </c>
      <c r="K454" s="34"/>
      <c r="L454" s="35" t="str">
        <f>IFERROR(__xludf.DUMMYFUNCTION("""COMPUTED_VALUE"""),"%")</f>
        <v>%</v>
      </c>
      <c r="M454" s="36">
        <f>IFERROR(__xludf.DUMMYFUNCTION("""COMPUTED_VALUE"""),1.0)</f>
        <v>1</v>
      </c>
      <c r="N454" s="37"/>
      <c r="O454" s="38"/>
      <c r="P454" s="34" t="str">
        <f>IFERROR(__xludf.DUMMYFUNCTION("""COMPUTED_VALUE"""),"")</f>
        <v/>
      </c>
      <c r="Q454" s="35" t="str">
        <f>IFERROR(__xludf.DUMMYFUNCTION("""COMPUTED_VALUE"""),"AP")</f>
        <v>AP</v>
      </c>
      <c r="R454" s="34" t="str">
        <f>IFERROR(__xludf.DUMMYFUNCTION("""COMPUTED_VALUE"""),"")</f>
        <v/>
      </c>
      <c r="S454" s="35" t="str">
        <f>IFERROR(__xludf.DUMMYFUNCTION("""COMPUTED_VALUE"""),"%")</f>
        <v>%</v>
      </c>
      <c r="T454" s="36">
        <f>IFERROR(__xludf.DUMMYFUNCTION("""COMPUTED_VALUE"""),2.0)</f>
        <v>2</v>
      </c>
      <c r="U454" s="37"/>
      <c r="V454" s="38"/>
      <c r="W454" s="34" t="str">
        <f>IFERROR(__xludf.DUMMYFUNCTION("""COMPUTED_VALUE"""),"")</f>
        <v/>
      </c>
      <c r="X454" s="35" t="str">
        <f>IFERROR(__xludf.DUMMYFUNCTION("""COMPUTED_VALUE"""),"AP")</f>
        <v>AP</v>
      </c>
      <c r="Y454" s="34" t="str">
        <f>IFERROR(__xludf.DUMMYFUNCTION("""COMPUTED_VALUE"""),"")</f>
        <v/>
      </c>
      <c r="Z454" s="35" t="str">
        <f>IFERROR(__xludf.DUMMYFUNCTION("""COMPUTED_VALUE"""),"%")</f>
        <v>%</v>
      </c>
      <c r="AA454" s="36">
        <f>IFERROR(__xludf.DUMMYFUNCTION("""COMPUTED_VALUE"""),3.0)</f>
        <v>3</v>
      </c>
      <c r="AB454" s="37"/>
      <c r="AC454" s="38"/>
      <c r="AD454" s="34" t="str">
        <f>IFERROR(__xludf.DUMMYFUNCTION("""COMPUTED_VALUE"""),"")</f>
        <v/>
      </c>
      <c r="AE454" s="35" t="str">
        <f>IFERROR(__xludf.DUMMYFUNCTION("""COMPUTED_VALUE"""),"AP")</f>
        <v>AP</v>
      </c>
      <c r="AF454" s="34" t="str">
        <f>IFERROR(__xludf.DUMMYFUNCTION("""COMPUTED_VALUE"""),"")</f>
        <v/>
      </c>
      <c r="AG454" s="35" t="str">
        <f>IFERROR(__xludf.DUMMYFUNCTION("""COMPUTED_VALUE"""),"%")</f>
        <v>%</v>
      </c>
      <c r="AH454" s="31"/>
      <c r="AI454" s="32"/>
      <c r="AJ454" s="39"/>
    </row>
    <row r="455" ht="24.75" hidden="1" customHeight="1">
      <c r="A455" s="40">
        <f>IFERROR(__xludf.DUMMYFUNCTION("""COMPUTED_VALUE"""),16.0)</f>
        <v>16</v>
      </c>
      <c r="B455" s="40" t="str">
        <f>IFERROR(__xludf.DUMMYFUNCTION("""COMPUTED_VALUE"""),"A211")</f>
        <v>A211</v>
      </c>
      <c r="C455" s="40"/>
      <c r="D455" s="41"/>
      <c r="E455" s="66"/>
      <c r="F455" s="43"/>
      <c r="G455" s="44"/>
      <c r="H455" s="33" t="str">
        <f>IFERROR(__xludf.DUMMYFUNCTION("""COMPUTED_VALUE""")," ")</f>
        <v> </v>
      </c>
      <c r="I455" s="45"/>
      <c r="J455" s="46" t="str">
        <f>IFERROR(__xludf.DUMMYFUNCTION("""COMPUTED_VALUE"""),"AP")</f>
        <v>AP</v>
      </c>
      <c r="K455" s="47"/>
      <c r="L455" s="48" t="str">
        <f>IFERROR(__xludf.DUMMYFUNCTION("""COMPUTED_VALUE"""),"%")</f>
        <v>%</v>
      </c>
      <c r="M455" s="49">
        <f>IFERROR(__xludf.DUMMYFUNCTION("""COMPUTED_VALUE"""),1.0)</f>
        <v>1</v>
      </c>
      <c r="N455" s="50"/>
      <c r="O455" s="38"/>
      <c r="P455" s="45" t="str">
        <f>IFERROR(__xludf.DUMMYFUNCTION("""COMPUTED_VALUE"""),"")</f>
        <v/>
      </c>
      <c r="Q455" s="46" t="str">
        <f>IFERROR(__xludf.DUMMYFUNCTION("""COMPUTED_VALUE"""),"AP")</f>
        <v>AP</v>
      </c>
      <c r="R455" s="47" t="str">
        <f>IFERROR(__xludf.DUMMYFUNCTION("""COMPUTED_VALUE"""),"")</f>
        <v/>
      </c>
      <c r="S455" s="48" t="str">
        <f>IFERROR(__xludf.DUMMYFUNCTION("""COMPUTED_VALUE"""),"%")</f>
        <v>%</v>
      </c>
      <c r="T455" s="49">
        <f>IFERROR(__xludf.DUMMYFUNCTION("""COMPUTED_VALUE"""),2.0)</f>
        <v>2</v>
      </c>
      <c r="U455" s="50"/>
      <c r="V455" s="38"/>
      <c r="W455" s="45" t="str">
        <f>IFERROR(__xludf.DUMMYFUNCTION("""COMPUTED_VALUE"""),"")</f>
        <v/>
      </c>
      <c r="X455" s="46" t="str">
        <f>IFERROR(__xludf.DUMMYFUNCTION("""COMPUTED_VALUE"""),"AP")</f>
        <v>AP</v>
      </c>
      <c r="Y455" s="47" t="str">
        <f>IFERROR(__xludf.DUMMYFUNCTION("""COMPUTED_VALUE"""),"")</f>
        <v/>
      </c>
      <c r="Z455" s="48" t="str">
        <f>IFERROR(__xludf.DUMMYFUNCTION("""COMPUTED_VALUE"""),"%")</f>
        <v>%</v>
      </c>
      <c r="AA455" s="49">
        <f>IFERROR(__xludf.DUMMYFUNCTION("""COMPUTED_VALUE"""),3.0)</f>
        <v>3</v>
      </c>
      <c r="AB455" s="50"/>
      <c r="AC455" s="38"/>
      <c r="AD455" s="45" t="str">
        <f>IFERROR(__xludf.DUMMYFUNCTION("""COMPUTED_VALUE"""),"")</f>
        <v/>
      </c>
      <c r="AE455" s="46" t="str">
        <f>IFERROR(__xludf.DUMMYFUNCTION("""COMPUTED_VALUE"""),"AP")</f>
        <v>AP</v>
      </c>
      <c r="AF455" s="47" t="str">
        <f>IFERROR(__xludf.DUMMYFUNCTION("""COMPUTED_VALUE"""),"")</f>
        <v/>
      </c>
      <c r="AG455" s="48" t="str">
        <f>IFERROR(__xludf.DUMMYFUNCTION("""COMPUTED_VALUE"""),"%")</f>
        <v>%</v>
      </c>
      <c r="AH455" s="43"/>
      <c r="AI455" s="44"/>
      <c r="AJ455" s="51"/>
    </row>
    <row r="456" ht="24.75" hidden="1" customHeight="1">
      <c r="A456" s="28">
        <f>IFERROR(__xludf.DUMMYFUNCTION("""COMPUTED_VALUE"""),17.0)</f>
        <v>17</v>
      </c>
      <c r="B456" s="28" t="str">
        <f>IFERROR(__xludf.DUMMYFUNCTION("""COMPUTED_VALUE"""),"A211")</f>
        <v>A211</v>
      </c>
      <c r="C456" s="28"/>
      <c r="D456" s="29"/>
      <c r="E456" s="67"/>
      <c r="F456" s="31"/>
      <c r="G456" s="32"/>
      <c r="H456" s="33" t="str">
        <f>IFERROR(__xludf.DUMMYFUNCTION("""COMPUTED_VALUE""")," ")</f>
        <v> </v>
      </c>
      <c r="I456" s="34"/>
      <c r="J456" s="35" t="str">
        <f>IFERROR(__xludf.DUMMYFUNCTION("""COMPUTED_VALUE"""),"AP")</f>
        <v>AP</v>
      </c>
      <c r="K456" s="34"/>
      <c r="L456" s="35" t="str">
        <f>IFERROR(__xludf.DUMMYFUNCTION("""COMPUTED_VALUE"""),"%")</f>
        <v>%</v>
      </c>
      <c r="M456" s="36">
        <f>IFERROR(__xludf.DUMMYFUNCTION("""COMPUTED_VALUE"""),1.0)</f>
        <v>1</v>
      </c>
      <c r="N456" s="37"/>
      <c r="O456" s="38"/>
      <c r="P456" s="34" t="str">
        <f>IFERROR(__xludf.DUMMYFUNCTION("""COMPUTED_VALUE"""),"")</f>
        <v/>
      </c>
      <c r="Q456" s="35" t="str">
        <f>IFERROR(__xludf.DUMMYFUNCTION("""COMPUTED_VALUE"""),"AP")</f>
        <v>AP</v>
      </c>
      <c r="R456" s="34" t="str">
        <f>IFERROR(__xludf.DUMMYFUNCTION("""COMPUTED_VALUE"""),"")</f>
        <v/>
      </c>
      <c r="S456" s="35" t="str">
        <f>IFERROR(__xludf.DUMMYFUNCTION("""COMPUTED_VALUE"""),"%")</f>
        <v>%</v>
      </c>
      <c r="T456" s="36">
        <f>IFERROR(__xludf.DUMMYFUNCTION("""COMPUTED_VALUE"""),2.0)</f>
        <v>2</v>
      </c>
      <c r="U456" s="37"/>
      <c r="V456" s="38"/>
      <c r="W456" s="34" t="str">
        <f>IFERROR(__xludf.DUMMYFUNCTION("""COMPUTED_VALUE"""),"")</f>
        <v/>
      </c>
      <c r="X456" s="35" t="str">
        <f>IFERROR(__xludf.DUMMYFUNCTION("""COMPUTED_VALUE"""),"AP")</f>
        <v>AP</v>
      </c>
      <c r="Y456" s="34" t="str">
        <f>IFERROR(__xludf.DUMMYFUNCTION("""COMPUTED_VALUE"""),"")</f>
        <v/>
      </c>
      <c r="Z456" s="35" t="str">
        <f>IFERROR(__xludf.DUMMYFUNCTION("""COMPUTED_VALUE"""),"%")</f>
        <v>%</v>
      </c>
      <c r="AA456" s="36">
        <f>IFERROR(__xludf.DUMMYFUNCTION("""COMPUTED_VALUE"""),3.0)</f>
        <v>3</v>
      </c>
      <c r="AB456" s="37"/>
      <c r="AC456" s="38"/>
      <c r="AD456" s="34" t="str">
        <f>IFERROR(__xludf.DUMMYFUNCTION("""COMPUTED_VALUE"""),"")</f>
        <v/>
      </c>
      <c r="AE456" s="35" t="str">
        <f>IFERROR(__xludf.DUMMYFUNCTION("""COMPUTED_VALUE"""),"AP")</f>
        <v>AP</v>
      </c>
      <c r="AF456" s="34" t="str">
        <f>IFERROR(__xludf.DUMMYFUNCTION("""COMPUTED_VALUE"""),"")</f>
        <v/>
      </c>
      <c r="AG456" s="35" t="str">
        <f>IFERROR(__xludf.DUMMYFUNCTION("""COMPUTED_VALUE"""),"%")</f>
        <v>%</v>
      </c>
      <c r="AH456" s="31"/>
      <c r="AI456" s="32"/>
      <c r="AJ456" s="39"/>
    </row>
    <row r="457" ht="24.75" hidden="1" customHeight="1">
      <c r="A457" s="40">
        <f>IFERROR(__xludf.DUMMYFUNCTION("""COMPUTED_VALUE"""),18.0)</f>
        <v>18</v>
      </c>
      <c r="B457" s="40" t="str">
        <f>IFERROR(__xludf.DUMMYFUNCTION("""COMPUTED_VALUE"""),"A211")</f>
        <v>A211</v>
      </c>
      <c r="C457" s="40"/>
      <c r="D457" s="41"/>
      <c r="E457" s="66"/>
      <c r="F457" s="43"/>
      <c r="G457" s="44"/>
      <c r="H457" s="33" t="str">
        <f>IFERROR(__xludf.DUMMYFUNCTION("""COMPUTED_VALUE""")," ")</f>
        <v> </v>
      </c>
      <c r="I457" s="45"/>
      <c r="J457" s="46" t="str">
        <f>IFERROR(__xludf.DUMMYFUNCTION("""COMPUTED_VALUE"""),"AP")</f>
        <v>AP</v>
      </c>
      <c r="K457" s="47"/>
      <c r="L457" s="48" t="str">
        <f>IFERROR(__xludf.DUMMYFUNCTION("""COMPUTED_VALUE"""),"%")</f>
        <v>%</v>
      </c>
      <c r="M457" s="49">
        <f>IFERROR(__xludf.DUMMYFUNCTION("""COMPUTED_VALUE"""),1.0)</f>
        <v>1</v>
      </c>
      <c r="N457" s="50"/>
      <c r="O457" s="38"/>
      <c r="P457" s="45" t="str">
        <f>IFERROR(__xludf.DUMMYFUNCTION("""COMPUTED_VALUE"""),"")</f>
        <v/>
      </c>
      <c r="Q457" s="46" t="str">
        <f>IFERROR(__xludf.DUMMYFUNCTION("""COMPUTED_VALUE"""),"AP")</f>
        <v>AP</v>
      </c>
      <c r="R457" s="47" t="str">
        <f>IFERROR(__xludf.DUMMYFUNCTION("""COMPUTED_VALUE"""),"")</f>
        <v/>
      </c>
      <c r="S457" s="48" t="str">
        <f>IFERROR(__xludf.DUMMYFUNCTION("""COMPUTED_VALUE"""),"%")</f>
        <v>%</v>
      </c>
      <c r="T457" s="49">
        <f>IFERROR(__xludf.DUMMYFUNCTION("""COMPUTED_VALUE"""),2.0)</f>
        <v>2</v>
      </c>
      <c r="U457" s="50"/>
      <c r="V457" s="38"/>
      <c r="W457" s="45" t="str">
        <f>IFERROR(__xludf.DUMMYFUNCTION("""COMPUTED_VALUE"""),"")</f>
        <v/>
      </c>
      <c r="X457" s="46" t="str">
        <f>IFERROR(__xludf.DUMMYFUNCTION("""COMPUTED_VALUE"""),"AP")</f>
        <v>AP</v>
      </c>
      <c r="Y457" s="47" t="str">
        <f>IFERROR(__xludf.DUMMYFUNCTION("""COMPUTED_VALUE"""),"")</f>
        <v/>
      </c>
      <c r="Z457" s="48" t="str">
        <f>IFERROR(__xludf.DUMMYFUNCTION("""COMPUTED_VALUE"""),"%")</f>
        <v>%</v>
      </c>
      <c r="AA457" s="49">
        <f>IFERROR(__xludf.DUMMYFUNCTION("""COMPUTED_VALUE"""),3.0)</f>
        <v>3</v>
      </c>
      <c r="AB457" s="50"/>
      <c r="AC457" s="38"/>
      <c r="AD457" s="45" t="str">
        <f>IFERROR(__xludf.DUMMYFUNCTION("""COMPUTED_VALUE"""),"")</f>
        <v/>
      </c>
      <c r="AE457" s="46" t="str">
        <f>IFERROR(__xludf.DUMMYFUNCTION("""COMPUTED_VALUE"""),"AP")</f>
        <v>AP</v>
      </c>
      <c r="AF457" s="47" t="str">
        <f>IFERROR(__xludf.DUMMYFUNCTION("""COMPUTED_VALUE"""),"")</f>
        <v/>
      </c>
      <c r="AG457" s="48" t="str">
        <f>IFERROR(__xludf.DUMMYFUNCTION("""COMPUTED_VALUE"""),"%")</f>
        <v>%</v>
      </c>
      <c r="AH457" s="43"/>
      <c r="AI457" s="44"/>
      <c r="AJ457" s="51"/>
    </row>
    <row r="458" ht="24.75" hidden="1" customHeight="1">
      <c r="A458" s="28">
        <f>IFERROR(__xludf.DUMMYFUNCTION("""COMPUTED_VALUE"""),19.0)</f>
        <v>19</v>
      </c>
      <c r="B458" s="28" t="str">
        <f>IFERROR(__xludf.DUMMYFUNCTION("""COMPUTED_VALUE"""),"A211")</f>
        <v>A211</v>
      </c>
      <c r="C458" s="28"/>
      <c r="D458" s="29"/>
      <c r="E458" s="67"/>
      <c r="F458" s="31"/>
      <c r="G458" s="32"/>
      <c r="H458" s="33" t="str">
        <f>IFERROR(__xludf.DUMMYFUNCTION("""COMPUTED_VALUE""")," ")</f>
        <v> </v>
      </c>
      <c r="I458" s="34"/>
      <c r="J458" s="35" t="str">
        <f>IFERROR(__xludf.DUMMYFUNCTION("""COMPUTED_VALUE"""),"AP")</f>
        <v>AP</v>
      </c>
      <c r="K458" s="34"/>
      <c r="L458" s="35" t="str">
        <f>IFERROR(__xludf.DUMMYFUNCTION("""COMPUTED_VALUE"""),"%")</f>
        <v>%</v>
      </c>
      <c r="M458" s="36">
        <f>IFERROR(__xludf.DUMMYFUNCTION("""COMPUTED_VALUE"""),1.0)</f>
        <v>1</v>
      </c>
      <c r="N458" s="37"/>
      <c r="O458" s="38"/>
      <c r="P458" s="34" t="str">
        <f>IFERROR(__xludf.DUMMYFUNCTION("""COMPUTED_VALUE"""),"")</f>
        <v/>
      </c>
      <c r="Q458" s="35" t="str">
        <f>IFERROR(__xludf.DUMMYFUNCTION("""COMPUTED_VALUE"""),"AP")</f>
        <v>AP</v>
      </c>
      <c r="R458" s="34" t="str">
        <f>IFERROR(__xludf.DUMMYFUNCTION("""COMPUTED_VALUE"""),"")</f>
        <v/>
      </c>
      <c r="S458" s="35" t="str">
        <f>IFERROR(__xludf.DUMMYFUNCTION("""COMPUTED_VALUE"""),"%")</f>
        <v>%</v>
      </c>
      <c r="T458" s="36">
        <f>IFERROR(__xludf.DUMMYFUNCTION("""COMPUTED_VALUE"""),2.0)</f>
        <v>2</v>
      </c>
      <c r="U458" s="37"/>
      <c r="V458" s="38"/>
      <c r="W458" s="34" t="str">
        <f>IFERROR(__xludf.DUMMYFUNCTION("""COMPUTED_VALUE"""),"")</f>
        <v/>
      </c>
      <c r="X458" s="35" t="str">
        <f>IFERROR(__xludf.DUMMYFUNCTION("""COMPUTED_VALUE"""),"AP")</f>
        <v>AP</v>
      </c>
      <c r="Y458" s="34" t="str">
        <f>IFERROR(__xludf.DUMMYFUNCTION("""COMPUTED_VALUE"""),"")</f>
        <v/>
      </c>
      <c r="Z458" s="35" t="str">
        <f>IFERROR(__xludf.DUMMYFUNCTION("""COMPUTED_VALUE"""),"%")</f>
        <v>%</v>
      </c>
      <c r="AA458" s="36">
        <f>IFERROR(__xludf.DUMMYFUNCTION("""COMPUTED_VALUE"""),3.0)</f>
        <v>3</v>
      </c>
      <c r="AB458" s="37"/>
      <c r="AC458" s="38"/>
      <c r="AD458" s="34" t="str">
        <f>IFERROR(__xludf.DUMMYFUNCTION("""COMPUTED_VALUE"""),"")</f>
        <v/>
      </c>
      <c r="AE458" s="35" t="str">
        <f>IFERROR(__xludf.DUMMYFUNCTION("""COMPUTED_VALUE"""),"AP")</f>
        <v>AP</v>
      </c>
      <c r="AF458" s="34" t="str">
        <f>IFERROR(__xludf.DUMMYFUNCTION("""COMPUTED_VALUE"""),"")</f>
        <v/>
      </c>
      <c r="AG458" s="35" t="str">
        <f>IFERROR(__xludf.DUMMYFUNCTION("""COMPUTED_VALUE"""),"%")</f>
        <v>%</v>
      </c>
      <c r="AH458" s="31"/>
      <c r="AI458" s="32"/>
      <c r="AJ458" s="39"/>
    </row>
    <row r="459" ht="24.75" hidden="1" customHeight="1">
      <c r="A459" s="40">
        <f>IFERROR(__xludf.DUMMYFUNCTION("""COMPUTED_VALUE"""),20.0)</f>
        <v>20</v>
      </c>
      <c r="B459" s="40" t="str">
        <f>IFERROR(__xludf.DUMMYFUNCTION("""COMPUTED_VALUE"""),"A211")</f>
        <v>A211</v>
      </c>
      <c r="C459" s="40"/>
      <c r="D459" s="41"/>
      <c r="E459" s="66"/>
      <c r="F459" s="43"/>
      <c r="G459" s="44"/>
      <c r="H459" s="33" t="str">
        <f>IFERROR(__xludf.DUMMYFUNCTION("""COMPUTED_VALUE""")," ")</f>
        <v> </v>
      </c>
      <c r="I459" s="45"/>
      <c r="J459" s="46" t="str">
        <f>IFERROR(__xludf.DUMMYFUNCTION("""COMPUTED_VALUE"""),"AP")</f>
        <v>AP</v>
      </c>
      <c r="K459" s="47"/>
      <c r="L459" s="48" t="str">
        <f>IFERROR(__xludf.DUMMYFUNCTION("""COMPUTED_VALUE"""),"%")</f>
        <v>%</v>
      </c>
      <c r="M459" s="49">
        <f>IFERROR(__xludf.DUMMYFUNCTION("""COMPUTED_VALUE"""),1.0)</f>
        <v>1</v>
      </c>
      <c r="N459" s="50"/>
      <c r="O459" s="38"/>
      <c r="P459" s="45" t="str">
        <f>IFERROR(__xludf.DUMMYFUNCTION("""COMPUTED_VALUE"""),"")</f>
        <v/>
      </c>
      <c r="Q459" s="46" t="str">
        <f>IFERROR(__xludf.DUMMYFUNCTION("""COMPUTED_VALUE"""),"AP")</f>
        <v>AP</v>
      </c>
      <c r="R459" s="47" t="str">
        <f>IFERROR(__xludf.DUMMYFUNCTION("""COMPUTED_VALUE"""),"")</f>
        <v/>
      </c>
      <c r="S459" s="48" t="str">
        <f>IFERROR(__xludf.DUMMYFUNCTION("""COMPUTED_VALUE"""),"%")</f>
        <v>%</v>
      </c>
      <c r="T459" s="49">
        <f>IFERROR(__xludf.DUMMYFUNCTION("""COMPUTED_VALUE"""),2.0)</f>
        <v>2</v>
      </c>
      <c r="U459" s="50"/>
      <c r="V459" s="38"/>
      <c r="W459" s="45" t="str">
        <f>IFERROR(__xludf.DUMMYFUNCTION("""COMPUTED_VALUE"""),"")</f>
        <v/>
      </c>
      <c r="X459" s="46" t="str">
        <f>IFERROR(__xludf.DUMMYFUNCTION("""COMPUTED_VALUE"""),"AP")</f>
        <v>AP</v>
      </c>
      <c r="Y459" s="47" t="str">
        <f>IFERROR(__xludf.DUMMYFUNCTION("""COMPUTED_VALUE"""),"")</f>
        <v/>
      </c>
      <c r="Z459" s="48" t="str">
        <f>IFERROR(__xludf.DUMMYFUNCTION("""COMPUTED_VALUE"""),"%")</f>
        <v>%</v>
      </c>
      <c r="AA459" s="49">
        <f>IFERROR(__xludf.DUMMYFUNCTION("""COMPUTED_VALUE"""),3.0)</f>
        <v>3</v>
      </c>
      <c r="AB459" s="50"/>
      <c r="AC459" s="38"/>
      <c r="AD459" s="45" t="str">
        <f>IFERROR(__xludf.DUMMYFUNCTION("""COMPUTED_VALUE"""),"")</f>
        <v/>
      </c>
      <c r="AE459" s="46" t="str">
        <f>IFERROR(__xludf.DUMMYFUNCTION("""COMPUTED_VALUE"""),"AP")</f>
        <v>AP</v>
      </c>
      <c r="AF459" s="47" t="str">
        <f>IFERROR(__xludf.DUMMYFUNCTION("""COMPUTED_VALUE"""),"")</f>
        <v/>
      </c>
      <c r="AG459" s="48" t="str">
        <f>IFERROR(__xludf.DUMMYFUNCTION("""COMPUTED_VALUE"""),"%")</f>
        <v>%</v>
      </c>
      <c r="AH459" s="43"/>
      <c r="AI459" s="44"/>
      <c r="AJ459" s="51"/>
    </row>
    <row r="460">
      <c r="A460" s="52"/>
      <c r="B460" s="53"/>
      <c r="C460" s="54"/>
      <c r="D460" s="55"/>
      <c r="E460" s="56"/>
      <c r="F460" s="53"/>
      <c r="G460" s="53"/>
      <c r="H460" s="53"/>
      <c r="I460" s="53"/>
      <c r="J460" s="57"/>
      <c r="K460" s="53"/>
      <c r="L460" s="57"/>
      <c r="M460" s="53"/>
      <c r="N460" s="53"/>
      <c r="O460" s="53"/>
      <c r="P460" s="53"/>
      <c r="Q460" s="57"/>
      <c r="R460" s="53"/>
      <c r="S460" s="57"/>
      <c r="T460" s="53"/>
      <c r="U460" s="53"/>
      <c r="V460" s="53"/>
      <c r="W460" s="53"/>
      <c r="X460" s="57"/>
      <c r="Y460" s="53"/>
      <c r="Z460" s="57"/>
      <c r="AA460" s="53"/>
      <c r="AB460" s="53"/>
      <c r="AC460" s="53"/>
      <c r="AD460" s="53"/>
      <c r="AE460" s="57"/>
      <c r="AF460" s="53"/>
      <c r="AG460" s="57"/>
      <c r="AH460" s="53"/>
      <c r="AI460" s="53"/>
      <c r="AJ460" s="58"/>
    </row>
    <row r="461">
      <c r="A461" s="59"/>
      <c r="B461" s="60"/>
      <c r="C461" s="61"/>
      <c r="D461" s="62"/>
      <c r="E461" s="63"/>
      <c r="F461" s="60"/>
      <c r="G461" s="60"/>
      <c r="H461" s="60"/>
      <c r="I461" s="60"/>
      <c r="J461" s="64"/>
      <c r="K461" s="60"/>
      <c r="L461" s="64"/>
      <c r="M461" s="60"/>
      <c r="N461" s="60"/>
      <c r="O461" s="60"/>
      <c r="P461" s="60"/>
      <c r="Q461" s="64"/>
      <c r="R461" s="60"/>
      <c r="S461" s="64"/>
      <c r="T461" s="60"/>
      <c r="U461" s="60"/>
      <c r="V461" s="60"/>
      <c r="W461" s="60"/>
      <c r="X461" s="64"/>
      <c r="Y461" s="60"/>
      <c r="Z461" s="64"/>
      <c r="AA461" s="60"/>
      <c r="AB461" s="60"/>
      <c r="AC461" s="60"/>
      <c r="AD461" s="60"/>
      <c r="AE461" s="64"/>
      <c r="AF461" s="60"/>
      <c r="AG461" s="64"/>
      <c r="AH461" s="60"/>
      <c r="AI461" s="60"/>
      <c r="AJ461" s="65"/>
    </row>
    <row r="462" ht="33.0" customHeight="1">
      <c r="A462" s="20" t="str">
        <f>IFERROR(__xludf.DUMMYFUNCTION("""COMPUTED_VALUE""")," ")</f>
        <v> </v>
      </c>
      <c r="B462" s="21" t="str">
        <f>IFERROR(__xludf.DUMMYFUNCTION("""COMPUTED_VALUE"""),"A212")</f>
        <v>A212</v>
      </c>
      <c r="C462" s="20"/>
      <c r="D462" s="22" t="str">
        <f>IFERROR(__xludf.DUMMYFUNCTION("""COMPUTED_VALUE"""),"")</f>
        <v/>
      </c>
      <c r="E462" s="23" t="str">
        <f>IFERROR(__xludf.DUMMYFUNCTION("""COMPUTED_VALUE"""),"Refined Magatama")</f>
        <v>Refined Magatama</v>
      </c>
      <c r="F462" s="24"/>
      <c r="G462" s="24"/>
      <c r="H462" s="25"/>
      <c r="I462" s="25"/>
      <c r="J462" s="26"/>
      <c r="K462" s="25"/>
      <c r="L462" s="26"/>
      <c r="M462" s="25"/>
      <c r="N462" s="25"/>
      <c r="O462" s="25"/>
      <c r="P462" s="25"/>
      <c r="Q462" s="26"/>
      <c r="R462" s="25"/>
      <c r="S462" s="26"/>
      <c r="T462" s="25"/>
      <c r="U462" s="25"/>
      <c r="V462" s="25"/>
      <c r="W462" s="25"/>
      <c r="X462" s="26"/>
      <c r="Y462" s="25"/>
      <c r="Z462" s="26"/>
      <c r="AA462" s="25"/>
      <c r="AB462" s="25"/>
      <c r="AC462" s="25"/>
      <c r="AD462" s="25"/>
      <c r="AE462" s="26"/>
      <c r="AF462" s="25"/>
      <c r="AG462" s="26"/>
      <c r="AH462" s="24"/>
      <c r="AI462" s="25"/>
      <c r="AJ462" s="27"/>
    </row>
    <row r="463" ht="24.75" customHeight="1">
      <c r="A463" s="28">
        <f>IFERROR(__xludf.DUMMYFUNCTION("""COMPUTED_VALUE"""),1.0)</f>
        <v>1</v>
      </c>
      <c r="B463" s="28" t="str">
        <f>IFERROR(__xludf.DUMMYFUNCTION("""COMPUTED_VALUE"""),"A212")</f>
        <v>A212</v>
      </c>
      <c r="C463" s="28" t="str">
        <f>IFERROR(__xludf.DUMMYFUNCTION("""COMPUTED_VALUE"""),"SMS4")</f>
        <v>SMS4</v>
      </c>
      <c r="D463" s="29" t="str">
        <f>IFERROR(__xludf.DUMMYFUNCTION("""COMPUTED_VALUE"""),"Shimosa")</f>
        <v>Shimosa</v>
      </c>
      <c r="E463" s="30" t="str">
        <f>IFERROR(__xludf.DUMMYFUNCTION("""COMPUTED_VALUE"""),"Castle Town")</f>
        <v>Castle Town</v>
      </c>
      <c r="F463" s="31">
        <f>IFERROR(__xludf.DUMMYFUNCTION("""COMPUTED_VALUE"""),21.0)</f>
        <v>21</v>
      </c>
      <c r="G463" s="32">
        <f>IFERROR(__xludf.DUMMYFUNCTION("""COMPUTED_VALUE"""),10765.0)</f>
        <v>10765</v>
      </c>
      <c r="H463" s="33" t="str">
        <f>IFERROR(__xludf.DUMMYFUNCTION("""COMPUTED_VALUE"""),"")</f>
        <v/>
      </c>
      <c r="I463" s="34">
        <f>IFERROR(__xludf.DUMMYFUNCTION("""COMPUTED_VALUE"""),51.9)</f>
        <v>51.9</v>
      </c>
      <c r="J463" s="35" t="str">
        <f>IFERROR(__xludf.DUMMYFUNCTION("""COMPUTED_VALUE"""),"AP")</f>
        <v>AP</v>
      </c>
      <c r="K463" s="34">
        <f>IFERROR(__xludf.DUMMYFUNCTION("""COMPUTED_VALUE"""),40.5)</f>
        <v>40.5</v>
      </c>
      <c r="L463" s="35" t="str">
        <f>IFERROR(__xludf.DUMMYFUNCTION("""COMPUTED_VALUE"""),"%")</f>
        <v>%</v>
      </c>
      <c r="M463" s="36">
        <f>IFERROR(__xludf.DUMMYFUNCTION("""COMPUTED_VALUE"""),1.0)</f>
        <v>1</v>
      </c>
      <c r="N463" s="37" t="str">
        <f>IFERROR(__xludf.DUMMYFUNCTION("""COMPUTED_VALUE"""),"B111")</f>
        <v>B111</v>
      </c>
      <c r="O463" s="38" t="str">
        <f>IFERROR(__xludf.DUMMYFUNCTION("""COMPUTED_VALUE"""),"")</f>
        <v/>
      </c>
      <c r="P463" s="34">
        <f>IFERROR(__xludf.DUMMYFUNCTION("""COMPUTED_VALUE"""),52.6)</f>
        <v>52.6</v>
      </c>
      <c r="Q463" s="35" t="str">
        <f>IFERROR(__xludf.DUMMYFUNCTION("""COMPUTED_VALUE"""),"AP")</f>
        <v>AP</v>
      </c>
      <c r="R463" s="34">
        <f>IFERROR(__xludf.DUMMYFUNCTION("""COMPUTED_VALUE"""),39.9)</f>
        <v>39.9</v>
      </c>
      <c r="S463" s="35" t="str">
        <f>IFERROR(__xludf.DUMMYFUNCTION("""COMPUTED_VALUE"""),"%")</f>
        <v>%</v>
      </c>
      <c r="T463" s="36">
        <f>IFERROR(__xludf.DUMMYFUNCTION("""COMPUTED_VALUE"""),2.0)</f>
        <v>2</v>
      </c>
      <c r="U463" s="37"/>
      <c r="V463" s="38"/>
      <c r="W463" s="34" t="str">
        <f>IFERROR(__xludf.DUMMYFUNCTION("""COMPUTED_VALUE"""),"")</f>
        <v/>
      </c>
      <c r="X463" s="35" t="str">
        <f>IFERROR(__xludf.DUMMYFUNCTION("""COMPUTED_VALUE"""),"AP")</f>
        <v>AP</v>
      </c>
      <c r="Y463" s="34" t="str">
        <f>IFERROR(__xludf.DUMMYFUNCTION("""COMPUTED_VALUE"""),"")</f>
        <v/>
      </c>
      <c r="Z463" s="35" t="str">
        <f>IFERROR(__xludf.DUMMYFUNCTION("""COMPUTED_VALUE"""),"%")</f>
        <v>%</v>
      </c>
      <c r="AA463" s="36">
        <f>IFERROR(__xludf.DUMMYFUNCTION("""COMPUTED_VALUE"""),3.0)</f>
        <v>3</v>
      </c>
      <c r="AB463" s="37"/>
      <c r="AC463" s="38"/>
      <c r="AD463" s="34" t="str">
        <f>IFERROR(__xludf.DUMMYFUNCTION("""COMPUTED_VALUE"""),"")</f>
        <v/>
      </c>
      <c r="AE463" s="35" t="str">
        <f>IFERROR(__xludf.DUMMYFUNCTION("""COMPUTED_VALUE"""),"AP")</f>
        <v>AP</v>
      </c>
      <c r="AF463" s="34" t="str">
        <f>IFERROR(__xludf.DUMMYFUNCTION("""COMPUTED_VALUE"""),"")</f>
        <v/>
      </c>
      <c r="AG463" s="35" t="str">
        <f>IFERROR(__xludf.DUMMYFUNCTION("""COMPUTED_VALUE"""),"%")</f>
        <v>%</v>
      </c>
      <c r="AH463" s="31">
        <f>IFERROR(__xludf.DUMMYFUNCTION("""COMPUTED_VALUE"""),21.0)</f>
        <v>21</v>
      </c>
      <c r="AI463" s="32">
        <f>IFERROR(__xludf.DUMMYFUNCTION("""COMPUTED_VALUE"""),10765.0)</f>
        <v>10765</v>
      </c>
      <c r="AJ463" s="39" t="str">
        <f>IFERROR(__xludf.DUMMYFUNCTION("""COMPUTED_VALUE"""),"城下町")</f>
        <v>城下町</v>
      </c>
    </row>
    <row r="464" ht="24.75" customHeight="1">
      <c r="A464" s="40">
        <f>IFERROR(__xludf.DUMMYFUNCTION("""COMPUTED_VALUE"""),2.0)</f>
        <v>2</v>
      </c>
      <c r="B464" s="40" t="str">
        <f>IFERROR(__xludf.DUMMYFUNCTION("""COMPUTED_VALUE"""),"A212")</f>
        <v>A212</v>
      </c>
      <c r="C464" s="40" t="str">
        <f>IFERROR(__xludf.DUMMYFUNCTION("""COMPUTED_VALUE"""),"HEA3")</f>
        <v>HEA3</v>
      </c>
      <c r="D464" s="41" t="str">
        <f>IFERROR(__xludf.DUMMYFUNCTION("""COMPUTED_VALUE"""),"Heian-kyo")</f>
        <v>Heian-kyo</v>
      </c>
      <c r="E464" s="42" t="str">
        <f>IFERROR(__xludf.DUMMYFUNCTION("""COMPUTED_VALUE"""),"Jō Six, Main Street")</f>
        <v>Jō Six, Main Street</v>
      </c>
      <c r="F464" s="43">
        <f>IFERROR(__xludf.DUMMYFUNCTION("""COMPUTED_VALUE"""),21.0)</f>
        <v>21</v>
      </c>
      <c r="G464" s="44">
        <f>IFERROR(__xludf.DUMMYFUNCTION("""COMPUTED_VALUE"""),1792.0)</f>
        <v>1792</v>
      </c>
      <c r="H464" s="33" t="str">
        <f>IFERROR(__xludf.DUMMYFUNCTION("""COMPUTED_VALUE"""),"")</f>
        <v/>
      </c>
      <c r="I464" s="45">
        <f>IFERROR(__xludf.DUMMYFUNCTION("""COMPUTED_VALUE"""),76.0)</f>
        <v>76</v>
      </c>
      <c r="J464" s="46" t="str">
        <f>IFERROR(__xludf.DUMMYFUNCTION("""COMPUTED_VALUE"""),"AP")</f>
        <v>AP</v>
      </c>
      <c r="K464" s="47">
        <f>IFERROR(__xludf.DUMMYFUNCTION("""COMPUTED_VALUE"""),27.6)</f>
        <v>27.6</v>
      </c>
      <c r="L464" s="48" t="str">
        <f>IFERROR(__xludf.DUMMYFUNCTION("""COMPUTED_VALUE"""),"%")</f>
        <v>%</v>
      </c>
      <c r="M464" s="49">
        <f>IFERROR(__xludf.DUMMYFUNCTION("""COMPUTED_VALUE"""),1.0)</f>
        <v>1</v>
      </c>
      <c r="N464" s="50" t="str">
        <f>IFERROR(__xludf.DUMMYFUNCTION("""COMPUTED_VALUE"""),"A220")</f>
        <v>A220</v>
      </c>
      <c r="O464" s="38" t="str">
        <f>IFERROR(__xludf.DUMMYFUNCTION("""COMPUTED_VALUE"""),"")</f>
        <v/>
      </c>
      <c r="P464" s="45">
        <f>IFERROR(__xludf.DUMMYFUNCTION("""COMPUTED_VALUE"""),82.2)</f>
        <v>82.2</v>
      </c>
      <c r="Q464" s="46" t="str">
        <f>IFERROR(__xludf.DUMMYFUNCTION("""COMPUTED_VALUE"""),"AP")</f>
        <v>AP</v>
      </c>
      <c r="R464" s="47">
        <f>IFERROR(__xludf.DUMMYFUNCTION("""COMPUTED_VALUE"""),25.6)</f>
        <v>25.6</v>
      </c>
      <c r="S464" s="48" t="str">
        <f>IFERROR(__xludf.DUMMYFUNCTION("""COMPUTED_VALUE"""),"%")</f>
        <v>%</v>
      </c>
      <c r="T464" s="49">
        <f>IFERROR(__xludf.DUMMYFUNCTION("""COMPUTED_VALUE"""),2.0)</f>
        <v>2</v>
      </c>
      <c r="U464" s="50" t="str">
        <f>IFERROR(__xludf.DUMMYFUNCTION("""COMPUTED_VALUE"""),"B111")</f>
        <v>B111</v>
      </c>
      <c r="V464" s="38" t="str">
        <f>IFERROR(__xludf.DUMMYFUNCTION("""COMPUTED_VALUE"""),"")</f>
        <v/>
      </c>
      <c r="W464" s="45">
        <f>IFERROR(__xludf.DUMMYFUNCTION("""COMPUTED_VALUE"""),91.6)</f>
        <v>91.6</v>
      </c>
      <c r="X464" s="46" t="str">
        <f>IFERROR(__xludf.DUMMYFUNCTION("""COMPUTED_VALUE"""),"AP")</f>
        <v>AP</v>
      </c>
      <c r="Y464" s="47">
        <f>IFERROR(__xludf.DUMMYFUNCTION("""COMPUTED_VALUE"""),22.9)</f>
        <v>22.9</v>
      </c>
      <c r="Z464" s="48" t="str">
        <f>IFERROR(__xludf.DUMMYFUNCTION("""COMPUTED_VALUE"""),"%")</f>
        <v>%</v>
      </c>
      <c r="AA464" s="49">
        <f>IFERROR(__xludf.DUMMYFUNCTION("""COMPUTED_VALUE"""),3.0)</f>
        <v>3</v>
      </c>
      <c r="AB464" s="50" t="str">
        <f>IFERROR(__xludf.DUMMYFUNCTION("""COMPUTED_VALUE"""),"B113")</f>
        <v>B113</v>
      </c>
      <c r="AC464" s="38" t="str">
        <f>IFERROR(__xludf.DUMMYFUNCTION("""COMPUTED_VALUE"""),"")</f>
        <v/>
      </c>
      <c r="AD464" s="45">
        <f>IFERROR(__xludf.DUMMYFUNCTION("""COMPUTED_VALUE"""),113.7)</f>
        <v>113.7</v>
      </c>
      <c r="AE464" s="46" t="str">
        <f>IFERROR(__xludf.DUMMYFUNCTION("""COMPUTED_VALUE"""),"AP")</f>
        <v>AP</v>
      </c>
      <c r="AF464" s="47">
        <f>IFERROR(__xludf.DUMMYFUNCTION("""COMPUTED_VALUE"""),18.5)</f>
        <v>18.5</v>
      </c>
      <c r="AG464" s="48" t="str">
        <f>IFERROR(__xludf.DUMMYFUNCTION("""COMPUTED_VALUE"""),"%")</f>
        <v>%</v>
      </c>
      <c r="AH464" s="43">
        <f>IFERROR(__xludf.DUMMYFUNCTION("""COMPUTED_VALUE"""),21.0)</f>
        <v>21</v>
      </c>
      <c r="AI464" s="44">
        <f>IFERROR(__xludf.DUMMYFUNCTION("""COMPUTED_VALUE"""),1792.0)</f>
        <v>1792</v>
      </c>
      <c r="AJ464" s="51" t="str">
        <f>IFERROR(__xludf.DUMMYFUNCTION("""COMPUTED_VALUE"""),"六条大路")</f>
        <v>六条大路</v>
      </c>
    </row>
    <row r="465" ht="24.75" customHeight="1">
      <c r="A465" s="28">
        <f>IFERROR(__xludf.DUMMYFUNCTION("""COMPUTED_VALUE"""),3.0)</f>
        <v>3</v>
      </c>
      <c r="B465" s="28" t="str">
        <f>IFERROR(__xludf.DUMMYFUNCTION("""COMPUTED_VALUE"""),"A212")</f>
        <v>A212</v>
      </c>
      <c r="C465" s="28" t="str">
        <f>IFERROR(__xludf.DUMMYFUNCTION("""COMPUTED_VALUE"""),"SMS6")</f>
        <v>SMS6</v>
      </c>
      <c r="D465" s="29" t="str">
        <f>IFERROR(__xludf.DUMMYFUNCTION("""COMPUTED_VALUE"""),"Shimosa")</f>
        <v>Shimosa</v>
      </c>
      <c r="E465" s="30" t="str">
        <f>IFERROR(__xludf.DUMMYFUNCTION("""COMPUTED_VALUE"""),"Toke Castle")</f>
        <v>Toke Castle</v>
      </c>
      <c r="F465" s="31">
        <f>IFERROR(__xludf.DUMMYFUNCTION("""COMPUTED_VALUE"""),21.0)</f>
        <v>21</v>
      </c>
      <c r="G465" s="32">
        <f>IFERROR(__xludf.DUMMYFUNCTION("""COMPUTED_VALUE"""),2591.0)</f>
        <v>2591</v>
      </c>
      <c r="H465" s="33" t="str">
        <f>IFERROR(__xludf.DUMMYFUNCTION("""COMPUTED_VALUE"""),"")</f>
        <v/>
      </c>
      <c r="I465" s="34">
        <f>IFERROR(__xludf.DUMMYFUNCTION("""COMPUTED_VALUE"""),79.8)</f>
        <v>79.8</v>
      </c>
      <c r="J465" s="35" t="str">
        <f>IFERROR(__xludf.DUMMYFUNCTION("""COMPUTED_VALUE"""),"AP")</f>
        <v>AP</v>
      </c>
      <c r="K465" s="34">
        <f>IFERROR(__xludf.DUMMYFUNCTION("""COMPUTED_VALUE"""),26.3)</f>
        <v>26.3</v>
      </c>
      <c r="L465" s="35" t="str">
        <f>IFERROR(__xludf.DUMMYFUNCTION("""COMPUTED_VALUE"""),"%")</f>
        <v>%</v>
      </c>
      <c r="M465" s="36">
        <f>IFERROR(__xludf.DUMMYFUNCTION("""COMPUTED_VALUE"""),1.0)</f>
        <v>1</v>
      </c>
      <c r="N465" s="37" t="str">
        <f>IFERROR(__xludf.DUMMYFUNCTION("""COMPUTED_VALUE"""),"A112")</f>
        <v>A112</v>
      </c>
      <c r="O465" s="38" t="str">
        <f>IFERROR(__xludf.DUMMYFUNCTION("""COMPUTED_VALUE"""),"")</f>
        <v/>
      </c>
      <c r="P465" s="34">
        <f>IFERROR(__xludf.DUMMYFUNCTION("""COMPUTED_VALUE"""),221.2)</f>
        <v>221.2</v>
      </c>
      <c r="Q465" s="35" t="str">
        <f>IFERROR(__xludf.DUMMYFUNCTION("""COMPUTED_VALUE"""),"AP")</f>
        <v>AP</v>
      </c>
      <c r="R465" s="34">
        <f>IFERROR(__xludf.DUMMYFUNCTION("""COMPUTED_VALUE"""),9.5)</f>
        <v>9.5</v>
      </c>
      <c r="S465" s="35" t="str">
        <f>IFERROR(__xludf.DUMMYFUNCTION("""COMPUTED_VALUE"""),"%")</f>
        <v>%</v>
      </c>
      <c r="T465" s="36">
        <f>IFERROR(__xludf.DUMMYFUNCTION("""COMPUTED_VALUE"""),2.0)</f>
        <v>2</v>
      </c>
      <c r="U465" s="37" t="str">
        <f>IFERROR(__xludf.DUMMYFUNCTION("""COMPUTED_VALUE"""),"A304")</f>
        <v>A304</v>
      </c>
      <c r="V465" s="38" t="str">
        <f>IFERROR(__xludf.DUMMYFUNCTION("""COMPUTED_VALUE"""),"")</f>
        <v/>
      </c>
      <c r="W465" s="34">
        <f>IFERROR(__xludf.DUMMYFUNCTION("""COMPUTED_VALUE"""),72.6)</f>
        <v>72.6</v>
      </c>
      <c r="X465" s="35" t="str">
        <f>IFERROR(__xludf.DUMMYFUNCTION("""COMPUTED_VALUE"""),"AP")</f>
        <v>AP</v>
      </c>
      <c r="Y465" s="34">
        <f>IFERROR(__xludf.DUMMYFUNCTION("""COMPUTED_VALUE"""),28.9)</f>
        <v>28.9</v>
      </c>
      <c r="Z465" s="35" t="str">
        <f>IFERROR(__xludf.DUMMYFUNCTION("""COMPUTED_VALUE"""),"%")</f>
        <v>%</v>
      </c>
      <c r="AA465" s="36">
        <f>IFERROR(__xludf.DUMMYFUNCTION("""COMPUTED_VALUE"""),3.0)</f>
        <v>3</v>
      </c>
      <c r="AB465" s="37" t="str">
        <f>IFERROR(__xludf.DUMMYFUNCTION("""COMPUTED_VALUE"""),"B103")</f>
        <v>B103</v>
      </c>
      <c r="AC465" s="38" t="str">
        <f>IFERROR(__xludf.DUMMYFUNCTION("""COMPUTED_VALUE"""),"")</f>
        <v/>
      </c>
      <c r="AD465" s="34">
        <f>IFERROR(__xludf.DUMMYFUNCTION("""COMPUTED_VALUE"""),528.5)</f>
        <v>528.5</v>
      </c>
      <c r="AE465" s="35" t="str">
        <f>IFERROR(__xludf.DUMMYFUNCTION("""COMPUTED_VALUE"""),"AP")</f>
        <v>AP</v>
      </c>
      <c r="AF465" s="34">
        <f>IFERROR(__xludf.DUMMYFUNCTION("""COMPUTED_VALUE"""),4.0)</f>
        <v>4</v>
      </c>
      <c r="AG465" s="35" t="str">
        <f>IFERROR(__xludf.DUMMYFUNCTION("""COMPUTED_VALUE"""),"%")</f>
        <v>%</v>
      </c>
      <c r="AH465" s="31">
        <f>IFERROR(__xludf.DUMMYFUNCTION("""COMPUTED_VALUE"""),21.0)</f>
        <v>21</v>
      </c>
      <c r="AI465" s="32">
        <f>IFERROR(__xludf.DUMMYFUNCTION("""COMPUTED_VALUE"""),2591.0)</f>
        <v>2591</v>
      </c>
      <c r="AJ465" s="39" t="str">
        <f>IFERROR(__xludf.DUMMYFUNCTION("""COMPUTED_VALUE"""),"土気城")</f>
        <v>土気城</v>
      </c>
    </row>
    <row r="466" ht="24.75" customHeight="1">
      <c r="A466" s="40">
        <f>IFERROR(__xludf.DUMMYFUNCTION("""COMPUTED_VALUE"""),4.0)</f>
        <v>4</v>
      </c>
      <c r="B466" s="40" t="str">
        <f>IFERROR(__xludf.DUMMYFUNCTION("""COMPUTED_VALUE"""),"A212")</f>
        <v>A212</v>
      </c>
      <c r="C466" s="40" t="str">
        <f>IFERROR(__xludf.DUMMYFUNCTION("""COMPUTED_VALUE"""),"HEA5")</f>
        <v>HEA5</v>
      </c>
      <c r="D466" s="41" t="str">
        <f>IFERROR(__xludf.DUMMYFUNCTION("""COMPUTED_VALUE"""),"Heian-kyo")</f>
        <v>Heian-kyo</v>
      </c>
      <c r="E466" s="42" t="str">
        <f>IFERROR(__xludf.DUMMYFUNCTION("""COMPUTED_VALUE"""),"Suzakumon")</f>
        <v>Suzakumon</v>
      </c>
      <c r="F466" s="43">
        <f>IFERROR(__xludf.DUMMYFUNCTION("""COMPUTED_VALUE"""),21.0)</f>
        <v>21</v>
      </c>
      <c r="G466" s="44">
        <f>IFERROR(__xludf.DUMMYFUNCTION("""COMPUTED_VALUE"""),11136.0)</f>
        <v>11136</v>
      </c>
      <c r="H466" s="33" t="str">
        <f>IFERROR(__xludf.DUMMYFUNCTION("""COMPUTED_VALUE"""),"")</f>
        <v/>
      </c>
      <c r="I466" s="45">
        <f>IFERROR(__xludf.DUMMYFUNCTION("""COMPUTED_VALUE"""),82.0)</f>
        <v>82</v>
      </c>
      <c r="J466" s="46" t="str">
        <f>IFERROR(__xludf.DUMMYFUNCTION("""COMPUTED_VALUE"""),"AP")</f>
        <v>AP</v>
      </c>
      <c r="K466" s="47">
        <f>IFERROR(__xludf.DUMMYFUNCTION("""COMPUTED_VALUE"""),25.6)</f>
        <v>25.6</v>
      </c>
      <c r="L466" s="48" t="str">
        <f>IFERROR(__xludf.DUMMYFUNCTION("""COMPUTED_VALUE"""),"%")</f>
        <v>%</v>
      </c>
      <c r="M466" s="49">
        <f>IFERROR(__xludf.DUMMYFUNCTION("""COMPUTED_VALUE"""),1.0)</f>
        <v>1</v>
      </c>
      <c r="N466" s="50" t="str">
        <f>IFERROR(__xludf.DUMMYFUNCTION("""COMPUTED_VALUE"""),"A118")</f>
        <v>A118</v>
      </c>
      <c r="O466" s="38" t="str">
        <f>IFERROR(__xludf.DUMMYFUNCTION("""COMPUTED_VALUE"""),"")</f>
        <v/>
      </c>
      <c r="P466" s="45">
        <f>IFERROR(__xludf.DUMMYFUNCTION("""COMPUTED_VALUE"""),171.1)</f>
        <v>171.1</v>
      </c>
      <c r="Q466" s="46" t="str">
        <f>IFERROR(__xludf.DUMMYFUNCTION("""COMPUTED_VALUE"""),"AP")</f>
        <v>AP</v>
      </c>
      <c r="R466" s="47">
        <f>IFERROR(__xludf.DUMMYFUNCTION("""COMPUTED_VALUE"""),12.299999900000001)</f>
        <v>12.2999999</v>
      </c>
      <c r="S466" s="48" t="str">
        <f>IFERROR(__xludf.DUMMYFUNCTION("""COMPUTED_VALUE"""),"%")</f>
        <v>%</v>
      </c>
      <c r="T466" s="49">
        <f>IFERROR(__xludf.DUMMYFUNCTION("""COMPUTED_VALUE"""),2.0)</f>
        <v>2</v>
      </c>
      <c r="U466" s="50" t="str">
        <f>IFERROR(__xludf.DUMMYFUNCTION("""COMPUTED_VALUE"""),"B107")</f>
        <v>B107</v>
      </c>
      <c r="V466" s="38" t="str">
        <f>IFERROR(__xludf.DUMMYFUNCTION("""COMPUTED_VALUE"""),"")</f>
        <v/>
      </c>
      <c r="W466" s="45">
        <f>IFERROR(__xludf.DUMMYFUNCTION("""COMPUTED_VALUE"""),510.0)</f>
        <v>510</v>
      </c>
      <c r="X466" s="46" t="str">
        <f>IFERROR(__xludf.DUMMYFUNCTION("""COMPUTED_VALUE"""),"AP")</f>
        <v>AP</v>
      </c>
      <c r="Y466" s="47">
        <f>IFERROR(__xludf.DUMMYFUNCTION("""COMPUTED_VALUE"""),4.1)</f>
        <v>4.1</v>
      </c>
      <c r="Z466" s="48" t="str">
        <f>IFERROR(__xludf.DUMMYFUNCTION("""COMPUTED_VALUE"""),"%")</f>
        <v>%</v>
      </c>
      <c r="AA466" s="49">
        <f>IFERROR(__xludf.DUMMYFUNCTION("""COMPUTED_VALUE"""),3.0)</f>
        <v>3</v>
      </c>
      <c r="AB466" s="50" t="str">
        <f>IFERROR(__xludf.DUMMYFUNCTION("""COMPUTED_VALUE"""),"B111")</f>
        <v>B111</v>
      </c>
      <c r="AC466" s="38" t="str">
        <f>IFERROR(__xludf.DUMMYFUNCTION("""COMPUTED_VALUE"""),"")</f>
        <v/>
      </c>
      <c r="AD466" s="45">
        <f>IFERROR(__xludf.DUMMYFUNCTION("""COMPUTED_VALUE"""),58.6)</f>
        <v>58.6</v>
      </c>
      <c r="AE466" s="46" t="str">
        <f>IFERROR(__xludf.DUMMYFUNCTION("""COMPUTED_VALUE"""),"AP")</f>
        <v>AP</v>
      </c>
      <c r="AF466" s="47">
        <f>IFERROR(__xludf.DUMMYFUNCTION("""COMPUTED_VALUE"""),35.8)</f>
        <v>35.8</v>
      </c>
      <c r="AG466" s="48" t="str">
        <f>IFERROR(__xludf.DUMMYFUNCTION("""COMPUTED_VALUE"""),"%")</f>
        <v>%</v>
      </c>
      <c r="AH466" s="43">
        <f>IFERROR(__xludf.DUMMYFUNCTION("""COMPUTED_VALUE"""),21.0)</f>
        <v>21</v>
      </c>
      <c r="AI466" s="44">
        <f>IFERROR(__xludf.DUMMYFUNCTION("""COMPUTED_VALUE"""),11136.0)</f>
        <v>11136</v>
      </c>
      <c r="AJ466" s="51" t="str">
        <f>IFERROR(__xludf.DUMMYFUNCTION("""COMPUTED_VALUE"""),"朱雀門")</f>
        <v>朱雀門</v>
      </c>
    </row>
    <row r="467" ht="24.75" customHeight="1">
      <c r="A467" s="28">
        <f>IFERROR(__xludf.DUMMYFUNCTION("""COMPUTED_VALUE"""),5.0)</f>
        <v>5</v>
      </c>
      <c r="B467" s="28" t="str">
        <f>IFERROR(__xludf.DUMMYFUNCTION("""COMPUTED_VALUE"""),"A212")</f>
        <v>A212</v>
      </c>
      <c r="C467" s="28" t="str">
        <f>IFERROR(__xludf.DUMMYFUNCTION("""COMPUTED_VALUE"""),"SMS2")</f>
        <v>SMS2</v>
      </c>
      <c r="D467" s="29" t="str">
        <f>IFERROR(__xludf.DUMMYFUNCTION("""COMPUTED_VALUE"""),"Shimosa")</f>
        <v>Shimosa</v>
      </c>
      <c r="E467" s="30" t="str">
        <f>IFERROR(__xludf.DUMMYFUNCTION("""COMPUTED_VALUE"""),"Village")</f>
        <v>Village</v>
      </c>
      <c r="F467" s="31">
        <f>IFERROR(__xludf.DUMMYFUNCTION("""COMPUTED_VALUE"""),21.0)</f>
        <v>21</v>
      </c>
      <c r="G467" s="32">
        <f>IFERROR(__xludf.DUMMYFUNCTION("""COMPUTED_VALUE"""),26324.0)</f>
        <v>26324</v>
      </c>
      <c r="H467" s="33" t="str">
        <f>IFERROR(__xludf.DUMMYFUNCTION("""COMPUTED_VALUE"""),"")</f>
        <v/>
      </c>
      <c r="I467" s="34">
        <f>IFERROR(__xludf.DUMMYFUNCTION("""COMPUTED_VALUE"""),82.5)</f>
        <v>82.5</v>
      </c>
      <c r="J467" s="35" t="str">
        <f>IFERROR(__xludf.DUMMYFUNCTION("""COMPUTED_VALUE"""),"AP")</f>
        <v>AP</v>
      </c>
      <c r="K467" s="34">
        <f>IFERROR(__xludf.DUMMYFUNCTION("""COMPUTED_VALUE"""),25.4)</f>
        <v>25.4</v>
      </c>
      <c r="L467" s="35" t="str">
        <f>IFERROR(__xludf.DUMMYFUNCTION("""COMPUTED_VALUE"""),"%")</f>
        <v>%</v>
      </c>
      <c r="M467" s="36">
        <f>IFERROR(__xludf.DUMMYFUNCTION("""COMPUTED_VALUE"""),1.0)</f>
        <v>1</v>
      </c>
      <c r="N467" s="37" t="str">
        <f>IFERROR(__xludf.DUMMYFUNCTION("""COMPUTED_VALUE"""),"A201")</f>
        <v>A201</v>
      </c>
      <c r="O467" s="38" t="str">
        <f>IFERROR(__xludf.DUMMYFUNCTION("""COMPUTED_VALUE"""),"")</f>
        <v/>
      </c>
      <c r="P467" s="34">
        <f>IFERROR(__xludf.DUMMYFUNCTION("""COMPUTED_VALUE"""),59.6)</f>
        <v>59.6</v>
      </c>
      <c r="Q467" s="35" t="str">
        <f>IFERROR(__xludf.DUMMYFUNCTION("""COMPUTED_VALUE"""),"AP")</f>
        <v>AP</v>
      </c>
      <c r="R467" s="34">
        <f>IFERROR(__xludf.DUMMYFUNCTION("""COMPUTED_VALUE"""),35.2)</f>
        <v>35.2</v>
      </c>
      <c r="S467" s="35" t="str">
        <f>IFERROR(__xludf.DUMMYFUNCTION("""COMPUTED_VALUE"""),"%")</f>
        <v>%</v>
      </c>
      <c r="T467" s="36">
        <f>IFERROR(__xludf.DUMMYFUNCTION("""COMPUTED_VALUE"""),2.0)</f>
        <v>2</v>
      </c>
      <c r="U467" s="37" t="str">
        <f>IFERROR(__xludf.DUMMYFUNCTION("""COMPUTED_VALUE"""),"A304")</f>
        <v>A304</v>
      </c>
      <c r="V467" s="38" t="str">
        <f>IFERROR(__xludf.DUMMYFUNCTION("""COMPUTED_VALUE"""),"")</f>
        <v/>
      </c>
      <c r="W467" s="34">
        <f>IFERROR(__xludf.DUMMYFUNCTION("""COMPUTED_VALUE"""),69.2)</f>
        <v>69.2</v>
      </c>
      <c r="X467" s="35" t="str">
        <f>IFERROR(__xludf.DUMMYFUNCTION("""COMPUTED_VALUE"""),"AP")</f>
        <v>AP</v>
      </c>
      <c r="Y467" s="34">
        <f>IFERROR(__xludf.DUMMYFUNCTION("""COMPUTED_VALUE"""),30.3)</f>
        <v>30.3</v>
      </c>
      <c r="Z467" s="35" t="str">
        <f>IFERROR(__xludf.DUMMYFUNCTION("""COMPUTED_VALUE"""),"%")</f>
        <v>%</v>
      </c>
      <c r="AA467" s="36">
        <f>IFERROR(__xludf.DUMMYFUNCTION("""COMPUTED_VALUE"""),3.0)</f>
        <v>3</v>
      </c>
      <c r="AB467" s="37" t="str">
        <f>IFERROR(__xludf.DUMMYFUNCTION("""COMPUTED_VALUE"""),"B111")</f>
        <v>B111</v>
      </c>
      <c r="AC467" s="38" t="str">
        <f>IFERROR(__xludf.DUMMYFUNCTION("""COMPUTED_VALUE"""),"")</f>
        <v/>
      </c>
      <c r="AD467" s="34">
        <f>IFERROR(__xludf.DUMMYFUNCTION("""COMPUTED_VALUE"""),119.4)</f>
        <v>119.4</v>
      </c>
      <c r="AE467" s="35" t="str">
        <f>IFERROR(__xludf.DUMMYFUNCTION("""COMPUTED_VALUE"""),"AP")</f>
        <v>AP</v>
      </c>
      <c r="AF467" s="34">
        <f>IFERROR(__xludf.DUMMYFUNCTION("""COMPUTED_VALUE"""),17.6)</f>
        <v>17.6</v>
      </c>
      <c r="AG467" s="35" t="str">
        <f>IFERROR(__xludf.DUMMYFUNCTION("""COMPUTED_VALUE"""),"%")</f>
        <v>%</v>
      </c>
      <c r="AH467" s="31">
        <f>IFERROR(__xludf.DUMMYFUNCTION("""COMPUTED_VALUE"""),21.0)</f>
        <v>21</v>
      </c>
      <c r="AI467" s="32">
        <f>IFERROR(__xludf.DUMMYFUNCTION("""COMPUTED_VALUE"""),26324.0)</f>
        <v>26324</v>
      </c>
      <c r="AJ467" s="39" t="str">
        <f>IFERROR(__xludf.DUMMYFUNCTION("""COMPUTED_VALUE"""),"里")</f>
        <v>里</v>
      </c>
    </row>
    <row r="468" ht="24.75" customHeight="1">
      <c r="A468" s="40">
        <f>IFERROR(__xludf.DUMMYFUNCTION("""COMPUTED_VALUE"""),6.0)</f>
        <v>6</v>
      </c>
      <c r="B468" s="40" t="str">
        <f>IFERROR(__xludf.DUMMYFUNCTION("""COMPUTED_VALUE"""),"A212")</f>
        <v>A212</v>
      </c>
      <c r="C468" s="40" t="str">
        <f>IFERROR(__xludf.DUMMYFUNCTION("""COMPUTED_VALUE"""),"SMS5")</f>
        <v>SMS5</v>
      </c>
      <c r="D468" s="41" t="str">
        <f>IFERROR(__xludf.DUMMYFUNCTION("""COMPUTED_VALUE"""),"Shimosa")</f>
        <v>Shimosa</v>
      </c>
      <c r="E468" s="42" t="str">
        <f>IFERROR(__xludf.DUMMYFUNCTION("""COMPUTED_VALUE"""),"Battlefield")</f>
        <v>Battlefield</v>
      </c>
      <c r="F468" s="43">
        <f>IFERROR(__xludf.DUMMYFUNCTION("""COMPUTED_VALUE"""),21.0)</f>
        <v>21</v>
      </c>
      <c r="G468" s="44">
        <f>IFERROR(__xludf.DUMMYFUNCTION("""COMPUTED_VALUE"""),110438.0)</f>
        <v>110438</v>
      </c>
      <c r="H468" s="33" t="str">
        <f>IFERROR(__xludf.DUMMYFUNCTION("""COMPUTED_VALUE"""),"")</f>
        <v/>
      </c>
      <c r="I468" s="45">
        <f>IFERROR(__xludf.DUMMYFUNCTION("""COMPUTED_VALUE"""),83.2)</f>
        <v>83.2</v>
      </c>
      <c r="J468" s="46" t="str">
        <f>IFERROR(__xludf.DUMMYFUNCTION("""COMPUTED_VALUE"""),"AP")</f>
        <v>AP</v>
      </c>
      <c r="K468" s="47">
        <f>IFERROR(__xludf.DUMMYFUNCTION("""COMPUTED_VALUE"""),25.2)</f>
        <v>25.2</v>
      </c>
      <c r="L468" s="48" t="str">
        <f>IFERROR(__xludf.DUMMYFUNCTION("""COMPUTED_VALUE"""),"%")</f>
        <v>%</v>
      </c>
      <c r="M468" s="49">
        <f>IFERROR(__xludf.DUMMYFUNCTION("""COMPUTED_VALUE"""),1.0)</f>
        <v>1</v>
      </c>
      <c r="N468" s="50" t="str">
        <f>IFERROR(__xludf.DUMMYFUNCTION("""COMPUTED_VALUE"""),"A302")</f>
        <v>A302</v>
      </c>
      <c r="O468" s="38" t="str">
        <f>IFERROR(__xludf.DUMMYFUNCTION("""COMPUTED_VALUE"""),"")</f>
        <v/>
      </c>
      <c r="P468" s="45">
        <f>IFERROR(__xludf.DUMMYFUNCTION("""COMPUTED_VALUE"""),52.6)</f>
        <v>52.6</v>
      </c>
      <c r="Q468" s="46" t="str">
        <f>IFERROR(__xludf.DUMMYFUNCTION("""COMPUTED_VALUE"""),"AP")</f>
        <v>AP</v>
      </c>
      <c r="R468" s="47">
        <f>IFERROR(__xludf.DUMMYFUNCTION("""COMPUTED_VALUE"""),39.9)</f>
        <v>39.9</v>
      </c>
      <c r="S468" s="48" t="str">
        <f>IFERROR(__xludf.DUMMYFUNCTION("""COMPUTED_VALUE"""),"%")</f>
        <v>%</v>
      </c>
      <c r="T468" s="49">
        <f>IFERROR(__xludf.DUMMYFUNCTION("""COMPUTED_VALUE"""),2.0)</f>
        <v>2</v>
      </c>
      <c r="U468" s="50" t="str">
        <f>IFERROR(__xludf.DUMMYFUNCTION("""COMPUTED_VALUE"""),"A304")</f>
        <v>A304</v>
      </c>
      <c r="V468" s="38" t="str">
        <f>IFERROR(__xludf.DUMMYFUNCTION("""COMPUTED_VALUE"""),"")</f>
        <v/>
      </c>
      <c r="W468" s="45">
        <f>IFERROR(__xludf.DUMMYFUNCTION("""COMPUTED_VALUE"""),68.5)</f>
        <v>68.5</v>
      </c>
      <c r="X468" s="46" t="str">
        <f>IFERROR(__xludf.DUMMYFUNCTION("""COMPUTED_VALUE"""),"AP")</f>
        <v>AP</v>
      </c>
      <c r="Y468" s="47">
        <f>IFERROR(__xludf.DUMMYFUNCTION("""COMPUTED_VALUE"""),30.7)</f>
        <v>30.7</v>
      </c>
      <c r="Z468" s="48" t="str">
        <f>IFERROR(__xludf.DUMMYFUNCTION("""COMPUTED_VALUE"""),"%")</f>
        <v>%</v>
      </c>
      <c r="AA468" s="49">
        <f>IFERROR(__xludf.DUMMYFUNCTION("""COMPUTED_VALUE"""),3.0)</f>
        <v>3</v>
      </c>
      <c r="AB468" s="50" t="str">
        <f>IFERROR(__xludf.DUMMYFUNCTION("""COMPUTED_VALUE"""),"B111")</f>
        <v>B111</v>
      </c>
      <c r="AC468" s="38" t="str">
        <f>IFERROR(__xludf.DUMMYFUNCTION("""COMPUTED_VALUE"""),"")</f>
        <v/>
      </c>
      <c r="AD468" s="45">
        <f>IFERROR(__xludf.DUMMYFUNCTION("""COMPUTED_VALUE"""),135.9)</f>
        <v>135.9</v>
      </c>
      <c r="AE468" s="46" t="str">
        <f>IFERROR(__xludf.DUMMYFUNCTION("""COMPUTED_VALUE"""),"AP")</f>
        <v>AP</v>
      </c>
      <c r="AF468" s="47">
        <f>IFERROR(__xludf.DUMMYFUNCTION("""COMPUTED_VALUE"""),15.4)</f>
        <v>15.4</v>
      </c>
      <c r="AG468" s="48" t="str">
        <f>IFERROR(__xludf.DUMMYFUNCTION("""COMPUTED_VALUE"""),"%")</f>
        <v>%</v>
      </c>
      <c r="AH468" s="43">
        <f>IFERROR(__xludf.DUMMYFUNCTION("""COMPUTED_VALUE"""),21.0)</f>
        <v>21</v>
      </c>
      <c r="AI468" s="44">
        <f>IFERROR(__xludf.DUMMYFUNCTION("""COMPUTED_VALUE"""),110438.0)</f>
        <v>110438</v>
      </c>
      <c r="AJ468" s="51" t="str">
        <f>IFERROR(__xludf.DUMMYFUNCTION("""COMPUTED_VALUE"""),"合戦場")</f>
        <v>合戦場</v>
      </c>
    </row>
    <row r="469" ht="24.75" customHeight="1">
      <c r="A469" s="28">
        <f>IFERROR(__xludf.DUMMYFUNCTION("""COMPUTED_VALUE"""),7.0)</f>
        <v>7</v>
      </c>
      <c r="B469" s="28" t="str">
        <f>IFERROR(__xludf.DUMMYFUNCTION("""COMPUTED_VALUE"""),"A212")</f>
        <v>A212</v>
      </c>
      <c r="C469" s="28" t="str">
        <f>IFERROR(__xludf.DUMMYFUNCTION("""COMPUTED_VALUE"""),"SMS3")</f>
        <v>SMS3</v>
      </c>
      <c r="D469" s="29" t="str">
        <f>IFERROR(__xludf.DUMMYFUNCTION("""COMPUTED_VALUE"""),"Shimosa")</f>
        <v>Shimosa</v>
      </c>
      <c r="E469" s="30" t="str">
        <f>IFERROR(__xludf.DUMMYFUNCTION("""COMPUTED_VALUE"""),"Monastery")</f>
        <v>Monastery</v>
      </c>
      <c r="F469" s="31">
        <f>IFERROR(__xludf.DUMMYFUNCTION("""COMPUTED_VALUE"""),21.0)</f>
        <v>21</v>
      </c>
      <c r="G469" s="32">
        <f>IFERROR(__xludf.DUMMYFUNCTION("""COMPUTED_VALUE"""),10300.0)</f>
        <v>10300</v>
      </c>
      <c r="H469" s="33" t="str">
        <f>IFERROR(__xludf.DUMMYFUNCTION("""COMPUTED_VALUE"""),"")</f>
        <v/>
      </c>
      <c r="I469" s="34">
        <f>IFERROR(__xludf.DUMMYFUNCTION("""COMPUTED_VALUE"""),83.4)</f>
        <v>83.4</v>
      </c>
      <c r="J469" s="35" t="str">
        <f>IFERROR(__xludf.DUMMYFUNCTION("""COMPUTED_VALUE"""),"AP")</f>
        <v>AP</v>
      </c>
      <c r="K469" s="34">
        <f>IFERROR(__xludf.DUMMYFUNCTION("""COMPUTED_VALUE"""),25.2)</f>
        <v>25.2</v>
      </c>
      <c r="L469" s="35" t="str">
        <f>IFERROR(__xludf.DUMMYFUNCTION("""COMPUTED_VALUE"""),"%")</f>
        <v>%</v>
      </c>
      <c r="M469" s="36">
        <f>IFERROR(__xludf.DUMMYFUNCTION("""COMPUTED_VALUE"""),1.0)</f>
        <v>1</v>
      </c>
      <c r="N469" s="37" t="str">
        <f>IFERROR(__xludf.DUMMYFUNCTION("""COMPUTED_VALUE"""),"A202")</f>
        <v>A202</v>
      </c>
      <c r="O469" s="38" t="str">
        <f>IFERROR(__xludf.DUMMYFUNCTION("""COMPUTED_VALUE"""),"")</f>
        <v/>
      </c>
      <c r="P469" s="34">
        <f>IFERROR(__xludf.DUMMYFUNCTION("""COMPUTED_VALUE"""),83.4)</f>
        <v>83.4</v>
      </c>
      <c r="Q469" s="35" t="str">
        <f>IFERROR(__xludf.DUMMYFUNCTION("""COMPUTED_VALUE"""),"AP")</f>
        <v>AP</v>
      </c>
      <c r="R469" s="34">
        <f>IFERROR(__xludf.DUMMYFUNCTION("""COMPUTED_VALUE"""),25.2)</f>
        <v>25.2</v>
      </c>
      <c r="S469" s="35" t="str">
        <f>IFERROR(__xludf.DUMMYFUNCTION("""COMPUTED_VALUE"""),"%")</f>
        <v>%</v>
      </c>
      <c r="T469" s="36">
        <f>IFERROR(__xludf.DUMMYFUNCTION("""COMPUTED_VALUE"""),2.0)</f>
        <v>2</v>
      </c>
      <c r="U469" s="37" t="str">
        <f>IFERROR(__xludf.DUMMYFUNCTION("""COMPUTED_VALUE"""),"B111")</f>
        <v>B111</v>
      </c>
      <c r="V469" s="38" t="str">
        <f>IFERROR(__xludf.DUMMYFUNCTION("""COMPUTED_VALUE"""),"")</f>
        <v/>
      </c>
      <c r="W469" s="34">
        <f>IFERROR(__xludf.DUMMYFUNCTION("""COMPUTED_VALUE"""),100.9)</f>
        <v>100.9</v>
      </c>
      <c r="X469" s="35" t="str">
        <f>IFERROR(__xludf.DUMMYFUNCTION("""COMPUTED_VALUE"""),"AP")</f>
        <v>AP</v>
      </c>
      <c r="Y469" s="34">
        <f>IFERROR(__xludf.DUMMYFUNCTION("""COMPUTED_VALUE"""),20.8)</f>
        <v>20.8</v>
      </c>
      <c r="Z469" s="35" t="str">
        <f>IFERROR(__xludf.DUMMYFUNCTION("""COMPUTED_VALUE"""),"%")</f>
        <v>%</v>
      </c>
      <c r="AA469" s="36">
        <f>IFERROR(__xludf.DUMMYFUNCTION("""COMPUTED_VALUE"""),3.0)</f>
        <v>3</v>
      </c>
      <c r="AB469" s="37"/>
      <c r="AC469" s="38"/>
      <c r="AD469" s="34" t="str">
        <f>IFERROR(__xludf.DUMMYFUNCTION("""COMPUTED_VALUE"""),"")</f>
        <v/>
      </c>
      <c r="AE469" s="35" t="str">
        <f>IFERROR(__xludf.DUMMYFUNCTION("""COMPUTED_VALUE"""),"AP")</f>
        <v>AP</v>
      </c>
      <c r="AF469" s="34" t="str">
        <f>IFERROR(__xludf.DUMMYFUNCTION("""COMPUTED_VALUE"""),"")</f>
        <v/>
      </c>
      <c r="AG469" s="35" t="str">
        <f>IFERROR(__xludf.DUMMYFUNCTION("""COMPUTED_VALUE"""),"%")</f>
        <v>%</v>
      </c>
      <c r="AH469" s="31">
        <f>IFERROR(__xludf.DUMMYFUNCTION("""COMPUTED_VALUE"""),21.0)</f>
        <v>21</v>
      </c>
      <c r="AI469" s="32">
        <f>IFERROR(__xludf.DUMMYFUNCTION("""COMPUTED_VALUE"""),10300.0)</f>
        <v>10300</v>
      </c>
      <c r="AJ469" s="39" t="str">
        <f>IFERROR(__xludf.DUMMYFUNCTION("""COMPUTED_VALUE"""),"庵")</f>
        <v>庵</v>
      </c>
    </row>
    <row r="470" ht="24.75" customHeight="1">
      <c r="A470" s="40">
        <f>IFERROR(__xludf.DUMMYFUNCTION("""COMPUTED_VALUE"""),8.0)</f>
        <v>8</v>
      </c>
      <c r="B470" s="40" t="str">
        <f>IFERROR(__xludf.DUMMYFUNCTION("""COMPUTED_VALUE"""),"A212")</f>
        <v>A212</v>
      </c>
      <c r="C470" s="40" t="str">
        <f>IFERROR(__xludf.DUMMYFUNCTION("""COMPUTED_VALUE"""),"HEA6")</f>
        <v>HEA6</v>
      </c>
      <c r="D470" s="41" t="str">
        <f>IFERROR(__xludf.DUMMYFUNCTION("""COMPUTED_VALUE"""),"Heian-kyo")</f>
        <v>Heian-kyo</v>
      </c>
      <c r="E470" s="42" t="str">
        <f>IFERROR(__xludf.DUMMYFUNCTION("""COMPUTED_VALUE"""),"Heian Imperial Palace")</f>
        <v>Heian Imperial Palace</v>
      </c>
      <c r="F470" s="43">
        <f>IFERROR(__xludf.DUMMYFUNCTION("""COMPUTED_VALUE"""),21.0)</f>
        <v>21</v>
      </c>
      <c r="G470" s="44">
        <f>IFERROR(__xludf.DUMMYFUNCTION("""COMPUTED_VALUE"""),4753.0)</f>
        <v>4753</v>
      </c>
      <c r="H470" s="33" t="str">
        <f>IFERROR(__xludf.DUMMYFUNCTION("""COMPUTED_VALUE"""),"")</f>
        <v/>
      </c>
      <c r="I470" s="45">
        <f>IFERROR(__xludf.DUMMYFUNCTION("""COMPUTED_VALUE"""),85.9)</f>
        <v>85.9</v>
      </c>
      <c r="J470" s="46" t="str">
        <f>IFERROR(__xludf.DUMMYFUNCTION("""COMPUTED_VALUE"""),"AP")</f>
        <v>AP</v>
      </c>
      <c r="K470" s="47">
        <f>IFERROR(__xludf.DUMMYFUNCTION("""COMPUTED_VALUE"""),24.4)</f>
        <v>24.4</v>
      </c>
      <c r="L470" s="48" t="str">
        <f>IFERROR(__xludf.DUMMYFUNCTION("""COMPUTED_VALUE"""),"%")</f>
        <v>%</v>
      </c>
      <c r="M470" s="49">
        <f>IFERROR(__xludf.DUMMYFUNCTION("""COMPUTED_VALUE"""),1.0)</f>
        <v>1</v>
      </c>
      <c r="N470" s="50" t="str">
        <f>IFERROR(__xludf.DUMMYFUNCTION("""COMPUTED_VALUE"""),"A114")</f>
        <v>A114</v>
      </c>
      <c r="O470" s="38" t="str">
        <f>IFERROR(__xludf.DUMMYFUNCTION("""COMPUTED_VALUE"""),"")</f>
        <v/>
      </c>
      <c r="P470" s="45">
        <f>IFERROR(__xludf.DUMMYFUNCTION("""COMPUTED_VALUE"""),186.6)</f>
        <v>186.6</v>
      </c>
      <c r="Q470" s="46" t="str">
        <f>IFERROR(__xludf.DUMMYFUNCTION("""COMPUTED_VALUE"""),"AP")</f>
        <v>AP</v>
      </c>
      <c r="R470" s="47">
        <f>IFERROR(__xludf.DUMMYFUNCTION("""COMPUTED_VALUE"""),11.3)</f>
        <v>11.3</v>
      </c>
      <c r="S470" s="48" t="str">
        <f>IFERROR(__xludf.DUMMYFUNCTION("""COMPUTED_VALUE"""),"%")</f>
        <v>%</v>
      </c>
      <c r="T470" s="49">
        <f>IFERROR(__xludf.DUMMYFUNCTION("""COMPUTED_VALUE"""),2.0)</f>
        <v>2</v>
      </c>
      <c r="U470" s="50" t="str">
        <f>IFERROR(__xludf.DUMMYFUNCTION("""COMPUTED_VALUE"""),"B106")</f>
        <v>B106</v>
      </c>
      <c r="V470" s="38" t="str">
        <f>IFERROR(__xludf.DUMMYFUNCTION("""COMPUTED_VALUE"""),"")</f>
        <v/>
      </c>
      <c r="W470" s="45">
        <f>IFERROR(__xludf.DUMMYFUNCTION("""COMPUTED_VALUE"""),603.1)</f>
        <v>603.1</v>
      </c>
      <c r="X470" s="46" t="str">
        <f>IFERROR(__xludf.DUMMYFUNCTION("""COMPUTED_VALUE"""),"AP")</f>
        <v>AP</v>
      </c>
      <c r="Y470" s="47">
        <f>IFERROR(__xludf.DUMMYFUNCTION("""COMPUTED_VALUE"""),3.5)</f>
        <v>3.5</v>
      </c>
      <c r="Z470" s="48" t="str">
        <f>IFERROR(__xludf.DUMMYFUNCTION("""COMPUTED_VALUE"""),"%")</f>
        <v>%</v>
      </c>
      <c r="AA470" s="49">
        <f>IFERROR(__xludf.DUMMYFUNCTION("""COMPUTED_VALUE"""),3.0)</f>
        <v>3</v>
      </c>
      <c r="AB470" s="50" t="str">
        <f>IFERROR(__xludf.DUMMYFUNCTION("""COMPUTED_VALUE"""),"B111")</f>
        <v>B111</v>
      </c>
      <c r="AC470" s="38" t="str">
        <f>IFERROR(__xludf.DUMMYFUNCTION("""COMPUTED_VALUE"""),"")</f>
        <v/>
      </c>
      <c r="AD470" s="45">
        <f>IFERROR(__xludf.DUMMYFUNCTION("""COMPUTED_VALUE"""),53.7)</f>
        <v>53.7</v>
      </c>
      <c r="AE470" s="46" t="str">
        <f>IFERROR(__xludf.DUMMYFUNCTION("""COMPUTED_VALUE"""),"AP")</f>
        <v>AP</v>
      </c>
      <c r="AF470" s="47">
        <f>IFERROR(__xludf.DUMMYFUNCTION("""COMPUTED_VALUE"""),39.1)</f>
        <v>39.1</v>
      </c>
      <c r="AG470" s="48" t="str">
        <f>IFERROR(__xludf.DUMMYFUNCTION("""COMPUTED_VALUE"""),"%")</f>
        <v>%</v>
      </c>
      <c r="AH470" s="43">
        <f>IFERROR(__xludf.DUMMYFUNCTION("""COMPUTED_VALUE"""),21.0)</f>
        <v>21</v>
      </c>
      <c r="AI470" s="44">
        <f>IFERROR(__xludf.DUMMYFUNCTION("""COMPUTED_VALUE"""),4753.0)</f>
        <v>4753</v>
      </c>
      <c r="AJ470" s="51" t="str">
        <f>IFERROR(__xludf.DUMMYFUNCTION("""COMPUTED_VALUE"""),"平安宮")</f>
        <v>平安宮</v>
      </c>
    </row>
    <row r="471" ht="24.75" customHeight="1">
      <c r="A471" s="28">
        <f>IFERROR(__xludf.DUMMYFUNCTION("""COMPUTED_VALUE"""),9.0)</f>
        <v>9</v>
      </c>
      <c r="B471" s="28" t="str">
        <f>IFERROR(__xludf.DUMMYFUNCTION("""COMPUTED_VALUE"""),"A212")</f>
        <v>A212</v>
      </c>
      <c r="C471" s="28" t="str">
        <f>IFERROR(__xludf.DUMMYFUNCTION("""COMPUTED_VALUE"""),"SMS7")</f>
        <v>SMS7</v>
      </c>
      <c r="D471" s="29" t="str">
        <f>IFERROR(__xludf.DUMMYFUNCTION("""COMPUTED_VALUE"""),"Shimosa")</f>
        <v>Shimosa</v>
      </c>
      <c r="E471" s="30" t="str">
        <f>IFERROR(__xludf.DUMMYFUNCTION("""COMPUTED_VALUE"""),"Rear Mountain (Nameless Sacred Mountain)")</f>
        <v>Rear Mountain (Nameless Sacred Mountain)</v>
      </c>
      <c r="F471" s="31">
        <f>IFERROR(__xludf.DUMMYFUNCTION("""COMPUTED_VALUE"""),21.0)</f>
        <v>21</v>
      </c>
      <c r="G471" s="32">
        <f>IFERROR(__xludf.DUMMYFUNCTION("""COMPUTED_VALUE"""),15395.0)</f>
        <v>15395</v>
      </c>
      <c r="H471" s="33" t="str">
        <f>IFERROR(__xludf.DUMMYFUNCTION("""COMPUTED_VALUE"""),"")</f>
        <v/>
      </c>
      <c r="I471" s="34">
        <f>IFERROR(__xludf.DUMMYFUNCTION("""COMPUTED_VALUE"""),87.1)</f>
        <v>87.1</v>
      </c>
      <c r="J471" s="35" t="str">
        <f>IFERROR(__xludf.DUMMYFUNCTION("""COMPUTED_VALUE"""),"AP")</f>
        <v>AP</v>
      </c>
      <c r="K471" s="34">
        <f>IFERROR(__xludf.DUMMYFUNCTION("""COMPUTED_VALUE"""),24.1)</f>
        <v>24.1</v>
      </c>
      <c r="L471" s="35" t="str">
        <f>IFERROR(__xludf.DUMMYFUNCTION("""COMPUTED_VALUE"""),"%")</f>
        <v>%</v>
      </c>
      <c r="M471" s="36">
        <f>IFERROR(__xludf.DUMMYFUNCTION("""COMPUTED_VALUE"""),1.0)</f>
        <v>1</v>
      </c>
      <c r="N471" s="37" t="str">
        <f>IFERROR(__xludf.DUMMYFUNCTION("""COMPUTED_VALUE"""),"A203")</f>
        <v>A203</v>
      </c>
      <c r="O471" s="38" t="str">
        <f>IFERROR(__xludf.DUMMYFUNCTION("""COMPUTED_VALUE"""),"")</f>
        <v/>
      </c>
      <c r="P471" s="34">
        <f>IFERROR(__xludf.DUMMYFUNCTION("""COMPUTED_VALUE"""),86.1)</f>
        <v>86.1</v>
      </c>
      <c r="Q471" s="35" t="str">
        <f>IFERROR(__xludf.DUMMYFUNCTION("""COMPUTED_VALUE"""),"AP")</f>
        <v>AP</v>
      </c>
      <c r="R471" s="34">
        <f>IFERROR(__xludf.DUMMYFUNCTION("""COMPUTED_VALUE"""),24.4)</f>
        <v>24.4</v>
      </c>
      <c r="S471" s="35" t="str">
        <f>IFERROR(__xludf.DUMMYFUNCTION("""COMPUTED_VALUE"""),"%")</f>
        <v>%</v>
      </c>
      <c r="T471" s="36">
        <f>IFERROR(__xludf.DUMMYFUNCTION("""COMPUTED_VALUE"""),2.0)</f>
        <v>2</v>
      </c>
      <c r="U471" s="37" t="str">
        <f>IFERROR(__xludf.DUMMYFUNCTION("""COMPUTED_VALUE"""),"A304")</f>
        <v>A304</v>
      </c>
      <c r="V471" s="38" t="str">
        <f>IFERROR(__xludf.DUMMYFUNCTION("""COMPUTED_VALUE"""),"")</f>
        <v/>
      </c>
      <c r="W471" s="34">
        <f>IFERROR(__xludf.DUMMYFUNCTION("""COMPUTED_VALUE"""),70.3)</f>
        <v>70.3</v>
      </c>
      <c r="X471" s="35" t="str">
        <f>IFERROR(__xludf.DUMMYFUNCTION("""COMPUTED_VALUE"""),"AP")</f>
        <v>AP</v>
      </c>
      <c r="Y471" s="34">
        <f>IFERROR(__xludf.DUMMYFUNCTION("""COMPUTED_VALUE"""),29.9)</f>
        <v>29.9</v>
      </c>
      <c r="Z471" s="35" t="str">
        <f>IFERROR(__xludf.DUMMYFUNCTION("""COMPUTED_VALUE"""),"%")</f>
        <v>%</v>
      </c>
      <c r="AA471" s="36">
        <f>IFERROR(__xludf.DUMMYFUNCTION("""COMPUTED_VALUE"""),3.0)</f>
        <v>3</v>
      </c>
      <c r="AB471" s="37" t="str">
        <f>IFERROR(__xludf.DUMMYFUNCTION("""COMPUTED_VALUE"""),"B111")</f>
        <v>B111</v>
      </c>
      <c r="AC471" s="38" t="str">
        <f>IFERROR(__xludf.DUMMYFUNCTION("""COMPUTED_VALUE"""),"")</f>
        <v/>
      </c>
      <c r="AD471" s="34">
        <f>IFERROR(__xludf.DUMMYFUNCTION("""COMPUTED_VALUE"""),86.3)</f>
        <v>86.3</v>
      </c>
      <c r="AE471" s="35" t="str">
        <f>IFERROR(__xludf.DUMMYFUNCTION("""COMPUTED_VALUE"""),"AP")</f>
        <v>AP</v>
      </c>
      <c r="AF471" s="34">
        <f>IFERROR(__xludf.DUMMYFUNCTION("""COMPUTED_VALUE"""),24.3)</f>
        <v>24.3</v>
      </c>
      <c r="AG471" s="35" t="str">
        <f>IFERROR(__xludf.DUMMYFUNCTION("""COMPUTED_VALUE"""),"%")</f>
        <v>%</v>
      </c>
      <c r="AH471" s="31">
        <f>IFERROR(__xludf.DUMMYFUNCTION("""COMPUTED_VALUE"""),21.0)</f>
        <v>21</v>
      </c>
      <c r="AI471" s="32">
        <f>IFERROR(__xludf.DUMMYFUNCTION("""COMPUTED_VALUE"""),15395.0)</f>
        <v>15395</v>
      </c>
      <c r="AJ471" s="39" t="str">
        <f>IFERROR(__xludf.DUMMYFUNCTION("""COMPUTED_VALUE"""),"裏山（名もなき霊峰）")</f>
        <v>裏山（名もなき霊峰）</v>
      </c>
    </row>
    <row r="472" ht="24.75" customHeight="1">
      <c r="A472" s="40">
        <f>IFERROR(__xludf.DUMMYFUNCTION("""COMPUTED_VALUE"""),10.0)</f>
        <v>10</v>
      </c>
      <c r="B472" s="40" t="str">
        <f>IFERROR(__xludf.DUMMYFUNCTION("""COMPUTED_VALUE"""),"A212")</f>
        <v>A212</v>
      </c>
      <c r="C472" s="40" t="str">
        <f>IFERROR(__xludf.DUMMYFUNCTION("""COMPUTED_VALUE"""),"SMS8")</f>
        <v>SMS8</v>
      </c>
      <c r="D472" s="41" t="str">
        <f>IFERROR(__xludf.DUMMYFUNCTION("""COMPUTED_VALUE"""),"Shimosa")</f>
        <v>Shimosa</v>
      </c>
      <c r="E472" s="42" t="str">
        <f>IFERROR(__xludf.DUMMYFUNCTION("""COMPUTED_VALUE"""),"Arakawa Field")</f>
        <v>Arakawa Field</v>
      </c>
      <c r="F472" s="43">
        <f>IFERROR(__xludf.DUMMYFUNCTION("""COMPUTED_VALUE"""),21.0)</f>
        <v>21</v>
      </c>
      <c r="G472" s="44">
        <f>IFERROR(__xludf.DUMMYFUNCTION("""COMPUTED_VALUE"""),28975.0)</f>
        <v>28975</v>
      </c>
      <c r="H472" s="33" t="str">
        <f>IFERROR(__xludf.DUMMYFUNCTION("""COMPUTED_VALUE"""),"")</f>
        <v/>
      </c>
      <c r="I472" s="45">
        <f>IFERROR(__xludf.DUMMYFUNCTION("""COMPUTED_VALUE"""),105.4)</f>
        <v>105.4</v>
      </c>
      <c r="J472" s="46" t="str">
        <f>IFERROR(__xludf.DUMMYFUNCTION("""COMPUTED_VALUE"""),"AP")</f>
        <v>AP</v>
      </c>
      <c r="K472" s="47">
        <f>IFERROR(__xludf.DUMMYFUNCTION("""COMPUTED_VALUE"""),19.9)</f>
        <v>19.9</v>
      </c>
      <c r="L472" s="48" t="str">
        <f>IFERROR(__xludf.DUMMYFUNCTION("""COMPUTED_VALUE"""),"%")</f>
        <v>%</v>
      </c>
      <c r="M472" s="49">
        <f>IFERROR(__xludf.DUMMYFUNCTION("""COMPUTED_VALUE"""),1.0)</f>
        <v>1</v>
      </c>
      <c r="N472" s="50" t="str">
        <f>IFERROR(__xludf.DUMMYFUNCTION("""COMPUTED_VALUE"""),"A111")</f>
        <v>A111</v>
      </c>
      <c r="O472" s="38" t="str">
        <f>IFERROR(__xludf.DUMMYFUNCTION("""COMPUTED_VALUE"""),"")</f>
        <v/>
      </c>
      <c r="P472" s="45">
        <f>IFERROR(__xludf.DUMMYFUNCTION("""COMPUTED_VALUE"""),170.5)</f>
        <v>170.5</v>
      </c>
      <c r="Q472" s="46" t="str">
        <f>IFERROR(__xludf.DUMMYFUNCTION("""COMPUTED_VALUE"""),"AP")</f>
        <v>AP</v>
      </c>
      <c r="R472" s="47">
        <f>IFERROR(__xludf.DUMMYFUNCTION("""COMPUTED_VALUE"""),12.3)</f>
        <v>12.3</v>
      </c>
      <c r="S472" s="48" t="str">
        <f>IFERROR(__xludf.DUMMYFUNCTION("""COMPUTED_VALUE"""),"%")</f>
        <v>%</v>
      </c>
      <c r="T472" s="49">
        <f>IFERROR(__xludf.DUMMYFUNCTION("""COMPUTED_VALUE"""),2.0)</f>
        <v>2</v>
      </c>
      <c r="U472" s="50" t="str">
        <f>IFERROR(__xludf.DUMMYFUNCTION("""COMPUTED_VALUE"""),"A304")</f>
        <v>A304</v>
      </c>
      <c r="V472" s="38" t="str">
        <f>IFERROR(__xludf.DUMMYFUNCTION("""COMPUTED_VALUE"""),"")</f>
        <v/>
      </c>
      <c r="W472" s="45">
        <f>IFERROR(__xludf.DUMMYFUNCTION("""COMPUTED_VALUE"""),70.1)</f>
        <v>70.1</v>
      </c>
      <c r="X472" s="46" t="str">
        <f>IFERROR(__xludf.DUMMYFUNCTION("""COMPUTED_VALUE"""),"AP")</f>
        <v>AP</v>
      </c>
      <c r="Y472" s="47">
        <f>IFERROR(__xludf.DUMMYFUNCTION("""COMPUTED_VALUE"""),30.0)</f>
        <v>30</v>
      </c>
      <c r="Z472" s="48" t="str">
        <f>IFERROR(__xludf.DUMMYFUNCTION("""COMPUTED_VALUE"""),"%")</f>
        <v>%</v>
      </c>
      <c r="AA472" s="49">
        <f>IFERROR(__xludf.DUMMYFUNCTION("""COMPUTED_VALUE"""),3.0)</f>
        <v>3</v>
      </c>
      <c r="AB472" s="50" t="str">
        <f>IFERROR(__xludf.DUMMYFUNCTION("""COMPUTED_VALUE"""),"B107")</f>
        <v>B107</v>
      </c>
      <c r="AC472" s="38" t="str">
        <f>IFERROR(__xludf.DUMMYFUNCTION("""COMPUTED_VALUE"""),"")</f>
        <v/>
      </c>
      <c r="AD472" s="45">
        <f>IFERROR(__xludf.DUMMYFUNCTION("""COMPUTED_VALUE"""),674.1)</f>
        <v>674.1</v>
      </c>
      <c r="AE472" s="46" t="str">
        <f>IFERROR(__xludf.DUMMYFUNCTION("""COMPUTED_VALUE"""),"AP")</f>
        <v>AP</v>
      </c>
      <c r="AF472" s="47">
        <f>IFERROR(__xludf.DUMMYFUNCTION("""COMPUTED_VALUE"""),3.1)</f>
        <v>3.1</v>
      </c>
      <c r="AG472" s="48" t="str">
        <f>IFERROR(__xludf.DUMMYFUNCTION("""COMPUTED_VALUE"""),"%")</f>
        <v>%</v>
      </c>
      <c r="AH472" s="43">
        <f>IFERROR(__xludf.DUMMYFUNCTION("""COMPUTED_VALUE"""),21.0)</f>
        <v>21</v>
      </c>
      <c r="AI472" s="44">
        <f>IFERROR(__xludf.DUMMYFUNCTION("""COMPUTED_VALUE"""),28975.0)</f>
        <v>28975</v>
      </c>
      <c r="AJ472" s="51" t="str">
        <f>IFERROR(__xludf.DUMMYFUNCTION("""COMPUTED_VALUE"""),"荒川の原")</f>
        <v>荒川の原</v>
      </c>
    </row>
    <row r="473" ht="24.75" customHeight="1">
      <c r="A473" s="28">
        <f>IFERROR(__xludf.DUMMYFUNCTION("""COMPUTED_VALUE"""),11.0)</f>
        <v>11</v>
      </c>
      <c r="B473" s="28" t="str">
        <f>IFERROR(__xludf.DUMMYFUNCTION("""COMPUTED_VALUE"""),"A212")</f>
        <v>A212</v>
      </c>
      <c r="C473" s="28"/>
      <c r="D473" s="29"/>
      <c r="E473" s="67"/>
      <c r="F473" s="31"/>
      <c r="G473" s="32"/>
      <c r="H473" s="33" t="str">
        <f>IFERROR(__xludf.DUMMYFUNCTION("""COMPUTED_VALUE""")," ")</f>
        <v> </v>
      </c>
      <c r="I473" s="34"/>
      <c r="J473" s="35" t="str">
        <f>IFERROR(__xludf.DUMMYFUNCTION("""COMPUTED_VALUE"""),"AP")</f>
        <v>AP</v>
      </c>
      <c r="K473" s="34"/>
      <c r="L473" s="35" t="str">
        <f>IFERROR(__xludf.DUMMYFUNCTION("""COMPUTED_VALUE"""),"%")</f>
        <v>%</v>
      </c>
      <c r="M473" s="36">
        <f>IFERROR(__xludf.DUMMYFUNCTION("""COMPUTED_VALUE"""),1.0)</f>
        <v>1</v>
      </c>
      <c r="N473" s="37"/>
      <c r="O473" s="38"/>
      <c r="P473" s="34" t="str">
        <f>IFERROR(__xludf.DUMMYFUNCTION("""COMPUTED_VALUE"""),"")</f>
        <v/>
      </c>
      <c r="Q473" s="35" t="str">
        <f>IFERROR(__xludf.DUMMYFUNCTION("""COMPUTED_VALUE"""),"AP")</f>
        <v>AP</v>
      </c>
      <c r="R473" s="34" t="str">
        <f>IFERROR(__xludf.DUMMYFUNCTION("""COMPUTED_VALUE"""),"")</f>
        <v/>
      </c>
      <c r="S473" s="35" t="str">
        <f>IFERROR(__xludf.DUMMYFUNCTION("""COMPUTED_VALUE"""),"%")</f>
        <v>%</v>
      </c>
      <c r="T473" s="36">
        <f>IFERROR(__xludf.DUMMYFUNCTION("""COMPUTED_VALUE"""),2.0)</f>
        <v>2</v>
      </c>
      <c r="U473" s="37"/>
      <c r="V473" s="38"/>
      <c r="W473" s="34" t="str">
        <f>IFERROR(__xludf.DUMMYFUNCTION("""COMPUTED_VALUE"""),"")</f>
        <v/>
      </c>
      <c r="X473" s="35" t="str">
        <f>IFERROR(__xludf.DUMMYFUNCTION("""COMPUTED_VALUE"""),"AP")</f>
        <v>AP</v>
      </c>
      <c r="Y473" s="34" t="str">
        <f>IFERROR(__xludf.DUMMYFUNCTION("""COMPUTED_VALUE"""),"")</f>
        <v/>
      </c>
      <c r="Z473" s="35" t="str">
        <f>IFERROR(__xludf.DUMMYFUNCTION("""COMPUTED_VALUE"""),"%")</f>
        <v>%</v>
      </c>
      <c r="AA473" s="36">
        <f>IFERROR(__xludf.DUMMYFUNCTION("""COMPUTED_VALUE"""),3.0)</f>
        <v>3</v>
      </c>
      <c r="AB473" s="37"/>
      <c r="AC473" s="38"/>
      <c r="AD473" s="34" t="str">
        <f>IFERROR(__xludf.DUMMYFUNCTION("""COMPUTED_VALUE"""),"")</f>
        <v/>
      </c>
      <c r="AE473" s="35" t="str">
        <f>IFERROR(__xludf.DUMMYFUNCTION("""COMPUTED_VALUE"""),"AP")</f>
        <v>AP</v>
      </c>
      <c r="AF473" s="34" t="str">
        <f>IFERROR(__xludf.DUMMYFUNCTION("""COMPUTED_VALUE"""),"")</f>
        <v/>
      </c>
      <c r="AG473" s="35" t="str">
        <f>IFERROR(__xludf.DUMMYFUNCTION("""COMPUTED_VALUE"""),"%")</f>
        <v>%</v>
      </c>
      <c r="AH473" s="31"/>
      <c r="AI473" s="32"/>
      <c r="AJ473" s="39"/>
    </row>
    <row r="474" ht="24.75" hidden="1" customHeight="1">
      <c r="A474" s="40">
        <f>IFERROR(__xludf.DUMMYFUNCTION("""COMPUTED_VALUE"""),12.0)</f>
        <v>12</v>
      </c>
      <c r="B474" s="40" t="str">
        <f>IFERROR(__xludf.DUMMYFUNCTION("""COMPUTED_VALUE"""),"A212")</f>
        <v>A212</v>
      </c>
      <c r="C474" s="40"/>
      <c r="D474" s="41"/>
      <c r="E474" s="66"/>
      <c r="F474" s="43"/>
      <c r="G474" s="44"/>
      <c r="H474" s="33" t="str">
        <f>IFERROR(__xludf.DUMMYFUNCTION("""COMPUTED_VALUE""")," ")</f>
        <v> </v>
      </c>
      <c r="I474" s="45"/>
      <c r="J474" s="46" t="str">
        <f>IFERROR(__xludf.DUMMYFUNCTION("""COMPUTED_VALUE"""),"AP")</f>
        <v>AP</v>
      </c>
      <c r="K474" s="47"/>
      <c r="L474" s="48" t="str">
        <f>IFERROR(__xludf.DUMMYFUNCTION("""COMPUTED_VALUE"""),"%")</f>
        <v>%</v>
      </c>
      <c r="M474" s="49">
        <f>IFERROR(__xludf.DUMMYFUNCTION("""COMPUTED_VALUE"""),1.0)</f>
        <v>1</v>
      </c>
      <c r="N474" s="50"/>
      <c r="O474" s="38"/>
      <c r="P474" s="45" t="str">
        <f>IFERROR(__xludf.DUMMYFUNCTION("""COMPUTED_VALUE"""),"")</f>
        <v/>
      </c>
      <c r="Q474" s="46" t="str">
        <f>IFERROR(__xludf.DUMMYFUNCTION("""COMPUTED_VALUE"""),"AP")</f>
        <v>AP</v>
      </c>
      <c r="R474" s="47" t="str">
        <f>IFERROR(__xludf.DUMMYFUNCTION("""COMPUTED_VALUE"""),"")</f>
        <v/>
      </c>
      <c r="S474" s="48" t="str">
        <f>IFERROR(__xludf.DUMMYFUNCTION("""COMPUTED_VALUE"""),"%")</f>
        <v>%</v>
      </c>
      <c r="T474" s="49">
        <f>IFERROR(__xludf.DUMMYFUNCTION("""COMPUTED_VALUE"""),2.0)</f>
        <v>2</v>
      </c>
      <c r="U474" s="50"/>
      <c r="V474" s="38"/>
      <c r="W474" s="45" t="str">
        <f>IFERROR(__xludf.DUMMYFUNCTION("""COMPUTED_VALUE"""),"")</f>
        <v/>
      </c>
      <c r="X474" s="46" t="str">
        <f>IFERROR(__xludf.DUMMYFUNCTION("""COMPUTED_VALUE"""),"AP")</f>
        <v>AP</v>
      </c>
      <c r="Y474" s="47" t="str">
        <f>IFERROR(__xludf.DUMMYFUNCTION("""COMPUTED_VALUE"""),"")</f>
        <v/>
      </c>
      <c r="Z474" s="48" t="str">
        <f>IFERROR(__xludf.DUMMYFUNCTION("""COMPUTED_VALUE"""),"%")</f>
        <v>%</v>
      </c>
      <c r="AA474" s="49">
        <f>IFERROR(__xludf.DUMMYFUNCTION("""COMPUTED_VALUE"""),3.0)</f>
        <v>3</v>
      </c>
      <c r="AB474" s="50"/>
      <c r="AC474" s="38"/>
      <c r="AD474" s="45" t="str">
        <f>IFERROR(__xludf.DUMMYFUNCTION("""COMPUTED_VALUE"""),"")</f>
        <v/>
      </c>
      <c r="AE474" s="46" t="str">
        <f>IFERROR(__xludf.DUMMYFUNCTION("""COMPUTED_VALUE"""),"AP")</f>
        <v>AP</v>
      </c>
      <c r="AF474" s="47" t="str">
        <f>IFERROR(__xludf.DUMMYFUNCTION("""COMPUTED_VALUE"""),"")</f>
        <v/>
      </c>
      <c r="AG474" s="48" t="str">
        <f>IFERROR(__xludf.DUMMYFUNCTION("""COMPUTED_VALUE"""),"%")</f>
        <v>%</v>
      </c>
      <c r="AH474" s="43"/>
      <c r="AI474" s="44"/>
      <c r="AJ474" s="51"/>
    </row>
    <row r="475" ht="24.75" hidden="1" customHeight="1">
      <c r="A475" s="28">
        <f>IFERROR(__xludf.DUMMYFUNCTION("""COMPUTED_VALUE"""),13.0)</f>
        <v>13</v>
      </c>
      <c r="B475" s="28" t="str">
        <f>IFERROR(__xludf.DUMMYFUNCTION("""COMPUTED_VALUE"""),"A212")</f>
        <v>A212</v>
      </c>
      <c r="C475" s="28"/>
      <c r="D475" s="29"/>
      <c r="E475" s="67"/>
      <c r="F475" s="31"/>
      <c r="G475" s="32"/>
      <c r="H475" s="33" t="str">
        <f>IFERROR(__xludf.DUMMYFUNCTION("""COMPUTED_VALUE""")," ")</f>
        <v> </v>
      </c>
      <c r="I475" s="34"/>
      <c r="J475" s="35" t="str">
        <f>IFERROR(__xludf.DUMMYFUNCTION("""COMPUTED_VALUE"""),"AP")</f>
        <v>AP</v>
      </c>
      <c r="K475" s="34"/>
      <c r="L475" s="35" t="str">
        <f>IFERROR(__xludf.DUMMYFUNCTION("""COMPUTED_VALUE"""),"%")</f>
        <v>%</v>
      </c>
      <c r="M475" s="36">
        <f>IFERROR(__xludf.DUMMYFUNCTION("""COMPUTED_VALUE"""),1.0)</f>
        <v>1</v>
      </c>
      <c r="N475" s="37"/>
      <c r="O475" s="38"/>
      <c r="P475" s="34" t="str">
        <f>IFERROR(__xludf.DUMMYFUNCTION("""COMPUTED_VALUE"""),"")</f>
        <v/>
      </c>
      <c r="Q475" s="35" t="str">
        <f>IFERROR(__xludf.DUMMYFUNCTION("""COMPUTED_VALUE"""),"AP")</f>
        <v>AP</v>
      </c>
      <c r="R475" s="34" t="str">
        <f>IFERROR(__xludf.DUMMYFUNCTION("""COMPUTED_VALUE"""),"")</f>
        <v/>
      </c>
      <c r="S475" s="35" t="str">
        <f>IFERROR(__xludf.DUMMYFUNCTION("""COMPUTED_VALUE"""),"%")</f>
        <v>%</v>
      </c>
      <c r="T475" s="36">
        <f>IFERROR(__xludf.DUMMYFUNCTION("""COMPUTED_VALUE"""),2.0)</f>
        <v>2</v>
      </c>
      <c r="U475" s="37"/>
      <c r="V475" s="38"/>
      <c r="W475" s="34" t="str">
        <f>IFERROR(__xludf.DUMMYFUNCTION("""COMPUTED_VALUE"""),"")</f>
        <v/>
      </c>
      <c r="X475" s="35" t="str">
        <f>IFERROR(__xludf.DUMMYFUNCTION("""COMPUTED_VALUE"""),"AP")</f>
        <v>AP</v>
      </c>
      <c r="Y475" s="34" t="str">
        <f>IFERROR(__xludf.DUMMYFUNCTION("""COMPUTED_VALUE"""),"")</f>
        <v/>
      </c>
      <c r="Z475" s="35" t="str">
        <f>IFERROR(__xludf.DUMMYFUNCTION("""COMPUTED_VALUE"""),"%")</f>
        <v>%</v>
      </c>
      <c r="AA475" s="36">
        <f>IFERROR(__xludf.DUMMYFUNCTION("""COMPUTED_VALUE"""),3.0)</f>
        <v>3</v>
      </c>
      <c r="AB475" s="37"/>
      <c r="AC475" s="38"/>
      <c r="AD475" s="34" t="str">
        <f>IFERROR(__xludf.DUMMYFUNCTION("""COMPUTED_VALUE"""),"")</f>
        <v/>
      </c>
      <c r="AE475" s="35" t="str">
        <f>IFERROR(__xludf.DUMMYFUNCTION("""COMPUTED_VALUE"""),"AP")</f>
        <v>AP</v>
      </c>
      <c r="AF475" s="34" t="str">
        <f>IFERROR(__xludf.DUMMYFUNCTION("""COMPUTED_VALUE"""),"")</f>
        <v/>
      </c>
      <c r="AG475" s="35" t="str">
        <f>IFERROR(__xludf.DUMMYFUNCTION("""COMPUTED_VALUE"""),"%")</f>
        <v>%</v>
      </c>
      <c r="AH475" s="31"/>
      <c r="AI475" s="32"/>
      <c r="AJ475" s="39"/>
    </row>
    <row r="476" ht="24.75" hidden="1" customHeight="1">
      <c r="A476" s="40">
        <f>IFERROR(__xludf.DUMMYFUNCTION("""COMPUTED_VALUE"""),14.0)</f>
        <v>14</v>
      </c>
      <c r="B476" s="40" t="str">
        <f>IFERROR(__xludf.DUMMYFUNCTION("""COMPUTED_VALUE"""),"A212")</f>
        <v>A212</v>
      </c>
      <c r="C476" s="40"/>
      <c r="D476" s="41"/>
      <c r="E476" s="66"/>
      <c r="F476" s="43"/>
      <c r="G476" s="44"/>
      <c r="H476" s="33" t="str">
        <f>IFERROR(__xludf.DUMMYFUNCTION("""COMPUTED_VALUE""")," ")</f>
        <v> </v>
      </c>
      <c r="I476" s="45"/>
      <c r="J476" s="46" t="str">
        <f>IFERROR(__xludf.DUMMYFUNCTION("""COMPUTED_VALUE"""),"AP")</f>
        <v>AP</v>
      </c>
      <c r="K476" s="47"/>
      <c r="L476" s="48" t="str">
        <f>IFERROR(__xludf.DUMMYFUNCTION("""COMPUTED_VALUE"""),"%")</f>
        <v>%</v>
      </c>
      <c r="M476" s="49">
        <f>IFERROR(__xludf.DUMMYFUNCTION("""COMPUTED_VALUE"""),1.0)</f>
        <v>1</v>
      </c>
      <c r="N476" s="50"/>
      <c r="O476" s="38"/>
      <c r="P476" s="45" t="str">
        <f>IFERROR(__xludf.DUMMYFUNCTION("""COMPUTED_VALUE"""),"")</f>
        <v/>
      </c>
      <c r="Q476" s="46" t="str">
        <f>IFERROR(__xludf.DUMMYFUNCTION("""COMPUTED_VALUE"""),"AP")</f>
        <v>AP</v>
      </c>
      <c r="R476" s="47" t="str">
        <f>IFERROR(__xludf.DUMMYFUNCTION("""COMPUTED_VALUE"""),"")</f>
        <v/>
      </c>
      <c r="S476" s="48" t="str">
        <f>IFERROR(__xludf.DUMMYFUNCTION("""COMPUTED_VALUE"""),"%")</f>
        <v>%</v>
      </c>
      <c r="T476" s="49">
        <f>IFERROR(__xludf.DUMMYFUNCTION("""COMPUTED_VALUE"""),2.0)</f>
        <v>2</v>
      </c>
      <c r="U476" s="50"/>
      <c r="V476" s="38"/>
      <c r="W476" s="45" t="str">
        <f>IFERROR(__xludf.DUMMYFUNCTION("""COMPUTED_VALUE"""),"")</f>
        <v/>
      </c>
      <c r="X476" s="46" t="str">
        <f>IFERROR(__xludf.DUMMYFUNCTION("""COMPUTED_VALUE"""),"AP")</f>
        <v>AP</v>
      </c>
      <c r="Y476" s="47" t="str">
        <f>IFERROR(__xludf.DUMMYFUNCTION("""COMPUTED_VALUE"""),"")</f>
        <v/>
      </c>
      <c r="Z476" s="48" t="str">
        <f>IFERROR(__xludf.DUMMYFUNCTION("""COMPUTED_VALUE"""),"%")</f>
        <v>%</v>
      </c>
      <c r="AA476" s="49">
        <f>IFERROR(__xludf.DUMMYFUNCTION("""COMPUTED_VALUE"""),3.0)</f>
        <v>3</v>
      </c>
      <c r="AB476" s="50"/>
      <c r="AC476" s="38"/>
      <c r="AD476" s="45" t="str">
        <f>IFERROR(__xludf.DUMMYFUNCTION("""COMPUTED_VALUE"""),"")</f>
        <v/>
      </c>
      <c r="AE476" s="46" t="str">
        <f>IFERROR(__xludf.DUMMYFUNCTION("""COMPUTED_VALUE"""),"AP")</f>
        <v>AP</v>
      </c>
      <c r="AF476" s="47" t="str">
        <f>IFERROR(__xludf.DUMMYFUNCTION("""COMPUTED_VALUE"""),"")</f>
        <v/>
      </c>
      <c r="AG476" s="48" t="str">
        <f>IFERROR(__xludf.DUMMYFUNCTION("""COMPUTED_VALUE"""),"%")</f>
        <v>%</v>
      </c>
      <c r="AH476" s="43"/>
      <c r="AI476" s="44"/>
      <c r="AJ476" s="51"/>
    </row>
    <row r="477" ht="24.75" hidden="1" customHeight="1">
      <c r="A477" s="28">
        <f>IFERROR(__xludf.DUMMYFUNCTION("""COMPUTED_VALUE"""),15.0)</f>
        <v>15</v>
      </c>
      <c r="B477" s="28" t="str">
        <f>IFERROR(__xludf.DUMMYFUNCTION("""COMPUTED_VALUE"""),"A212")</f>
        <v>A212</v>
      </c>
      <c r="C477" s="28"/>
      <c r="D477" s="29"/>
      <c r="E477" s="67"/>
      <c r="F477" s="31"/>
      <c r="G477" s="32"/>
      <c r="H477" s="33" t="str">
        <f>IFERROR(__xludf.DUMMYFUNCTION("""COMPUTED_VALUE""")," ")</f>
        <v> </v>
      </c>
      <c r="I477" s="34"/>
      <c r="J477" s="35" t="str">
        <f>IFERROR(__xludf.DUMMYFUNCTION("""COMPUTED_VALUE"""),"AP")</f>
        <v>AP</v>
      </c>
      <c r="K477" s="34"/>
      <c r="L477" s="35" t="str">
        <f>IFERROR(__xludf.DUMMYFUNCTION("""COMPUTED_VALUE"""),"%")</f>
        <v>%</v>
      </c>
      <c r="M477" s="36">
        <f>IFERROR(__xludf.DUMMYFUNCTION("""COMPUTED_VALUE"""),1.0)</f>
        <v>1</v>
      </c>
      <c r="N477" s="37"/>
      <c r="O477" s="38"/>
      <c r="P477" s="34" t="str">
        <f>IFERROR(__xludf.DUMMYFUNCTION("""COMPUTED_VALUE"""),"")</f>
        <v/>
      </c>
      <c r="Q477" s="35" t="str">
        <f>IFERROR(__xludf.DUMMYFUNCTION("""COMPUTED_VALUE"""),"AP")</f>
        <v>AP</v>
      </c>
      <c r="R477" s="34" t="str">
        <f>IFERROR(__xludf.DUMMYFUNCTION("""COMPUTED_VALUE"""),"")</f>
        <v/>
      </c>
      <c r="S477" s="35" t="str">
        <f>IFERROR(__xludf.DUMMYFUNCTION("""COMPUTED_VALUE"""),"%")</f>
        <v>%</v>
      </c>
      <c r="T477" s="36">
        <f>IFERROR(__xludf.DUMMYFUNCTION("""COMPUTED_VALUE"""),2.0)</f>
        <v>2</v>
      </c>
      <c r="U477" s="37"/>
      <c r="V477" s="38"/>
      <c r="W477" s="34" t="str">
        <f>IFERROR(__xludf.DUMMYFUNCTION("""COMPUTED_VALUE"""),"")</f>
        <v/>
      </c>
      <c r="X477" s="35" t="str">
        <f>IFERROR(__xludf.DUMMYFUNCTION("""COMPUTED_VALUE"""),"AP")</f>
        <v>AP</v>
      </c>
      <c r="Y477" s="34" t="str">
        <f>IFERROR(__xludf.DUMMYFUNCTION("""COMPUTED_VALUE"""),"")</f>
        <v/>
      </c>
      <c r="Z477" s="35" t="str">
        <f>IFERROR(__xludf.DUMMYFUNCTION("""COMPUTED_VALUE"""),"%")</f>
        <v>%</v>
      </c>
      <c r="AA477" s="36">
        <f>IFERROR(__xludf.DUMMYFUNCTION("""COMPUTED_VALUE"""),3.0)</f>
        <v>3</v>
      </c>
      <c r="AB477" s="37"/>
      <c r="AC477" s="38"/>
      <c r="AD477" s="34" t="str">
        <f>IFERROR(__xludf.DUMMYFUNCTION("""COMPUTED_VALUE"""),"")</f>
        <v/>
      </c>
      <c r="AE477" s="35" t="str">
        <f>IFERROR(__xludf.DUMMYFUNCTION("""COMPUTED_VALUE"""),"AP")</f>
        <v>AP</v>
      </c>
      <c r="AF477" s="34" t="str">
        <f>IFERROR(__xludf.DUMMYFUNCTION("""COMPUTED_VALUE"""),"")</f>
        <v/>
      </c>
      <c r="AG477" s="35" t="str">
        <f>IFERROR(__xludf.DUMMYFUNCTION("""COMPUTED_VALUE"""),"%")</f>
        <v>%</v>
      </c>
      <c r="AH477" s="31"/>
      <c r="AI477" s="32"/>
      <c r="AJ477" s="39"/>
    </row>
    <row r="478" ht="24.75" hidden="1" customHeight="1">
      <c r="A478" s="40">
        <f>IFERROR(__xludf.DUMMYFUNCTION("""COMPUTED_VALUE"""),16.0)</f>
        <v>16</v>
      </c>
      <c r="B478" s="40" t="str">
        <f>IFERROR(__xludf.DUMMYFUNCTION("""COMPUTED_VALUE"""),"A212")</f>
        <v>A212</v>
      </c>
      <c r="C478" s="40"/>
      <c r="D478" s="41"/>
      <c r="E478" s="66"/>
      <c r="F478" s="43"/>
      <c r="G478" s="44"/>
      <c r="H478" s="33" t="str">
        <f>IFERROR(__xludf.DUMMYFUNCTION("""COMPUTED_VALUE""")," ")</f>
        <v> </v>
      </c>
      <c r="I478" s="45"/>
      <c r="J478" s="46" t="str">
        <f>IFERROR(__xludf.DUMMYFUNCTION("""COMPUTED_VALUE"""),"AP")</f>
        <v>AP</v>
      </c>
      <c r="K478" s="47"/>
      <c r="L478" s="48" t="str">
        <f>IFERROR(__xludf.DUMMYFUNCTION("""COMPUTED_VALUE"""),"%")</f>
        <v>%</v>
      </c>
      <c r="M478" s="49">
        <f>IFERROR(__xludf.DUMMYFUNCTION("""COMPUTED_VALUE"""),1.0)</f>
        <v>1</v>
      </c>
      <c r="N478" s="50"/>
      <c r="O478" s="38"/>
      <c r="P478" s="45" t="str">
        <f>IFERROR(__xludf.DUMMYFUNCTION("""COMPUTED_VALUE"""),"")</f>
        <v/>
      </c>
      <c r="Q478" s="46" t="str">
        <f>IFERROR(__xludf.DUMMYFUNCTION("""COMPUTED_VALUE"""),"AP")</f>
        <v>AP</v>
      </c>
      <c r="R478" s="47" t="str">
        <f>IFERROR(__xludf.DUMMYFUNCTION("""COMPUTED_VALUE"""),"")</f>
        <v/>
      </c>
      <c r="S478" s="48" t="str">
        <f>IFERROR(__xludf.DUMMYFUNCTION("""COMPUTED_VALUE"""),"%")</f>
        <v>%</v>
      </c>
      <c r="T478" s="49">
        <f>IFERROR(__xludf.DUMMYFUNCTION("""COMPUTED_VALUE"""),2.0)</f>
        <v>2</v>
      </c>
      <c r="U478" s="50"/>
      <c r="V478" s="38"/>
      <c r="W478" s="45" t="str">
        <f>IFERROR(__xludf.DUMMYFUNCTION("""COMPUTED_VALUE"""),"")</f>
        <v/>
      </c>
      <c r="X478" s="46" t="str">
        <f>IFERROR(__xludf.DUMMYFUNCTION("""COMPUTED_VALUE"""),"AP")</f>
        <v>AP</v>
      </c>
      <c r="Y478" s="47" t="str">
        <f>IFERROR(__xludf.DUMMYFUNCTION("""COMPUTED_VALUE"""),"")</f>
        <v/>
      </c>
      <c r="Z478" s="48" t="str">
        <f>IFERROR(__xludf.DUMMYFUNCTION("""COMPUTED_VALUE"""),"%")</f>
        <v>%</v>
      </c>
      <c r="AA478" s="49">
        <f>IFERROR(__xludf.DUMMYFUNCTION("""COMPUTED_VALUE"""),3.0)</f>
        <v>3</v>
      </c>
      <c r="AB478" s="50"/>
      <c r="AC478" s="38"/>
      <c r="AD478" s="45" t="str">
        <f>IFERROR(__xludf.DUMMYFUNCTION("""COMPUTED_VALUE"""),"")</f>
        <v/>
      </c>
      <c r="AE478" s="46" t="str">
        <f>IFERROR(__xludf.DUMMYFUNCTION("""COMPUTED_VALUE"""),"AP")</f>
        <v>AP</v>
      </c>
      <c r="AF478" s="47" t="str">
        <f>IFERROR(__xludf.DUMMYFUNCTION("""COMPUTED_VALUE"""),"")</f>
        <v/>
      </c>
      <c r="AG478" s="48" t="str">
        <f>IFERROR(__xludf.DUMMYFUNCTION("""COMPUTED_VALUE"""),"%")</f>
        <v>%</v>
      </c>
      <c r="AH478" s="43"/>
      <c r="AI478" s="44"/>
      <c r="AJ478" s="51"/>
    </row>
    <row r="479" ht="24.75" hidden="1" customHeight="1">
      <c r="A479" s="28">
        <f>IFERROR(__xludf.DUMMYFUNCTION("""COMPUTED_VALUE"""),17.0)</f>
        <v>17</v>
      </c>
      <c r="B479" s="28" t="str">
        <f>IFERROR(__xludf.DUMMYFUNCTION("""COMPUTED_VALUE"""),"A212")</f>
        <v>A212</v>
      </c>
      <c r="C479" s="28"/>
      <c r="D479" s="29"/>
      <c r="E479" s="67"/>
      <c r="F479" s="31"/>
      <c r="G479" s="32"/>
      <c r="H479" s="33" t="str">
        <f>IFERROR(__xludf.DUMMYFUNCTION("""COMPUTED_VALUE""")," ")</f>
        <v> </v>
      </c>
      <c r="I479" s="34"/>
      <c r="J479" s="35" t="str">
        <f>IFERROR(__xludf.DUMMYFUNCTION("""COMPUTED_VALUE"""),"AP")</f>
        <v>AP</v>
      </c>
      <c r="K479" s="34"/>
      <c r="L479" s="35" t="str">
        <f>IFERROR(__xludf.DUMMYFUNCTION("""COMPUTED_VALUE"""),"%")</f>
        <v>%</v>
      </c>
      <c r="M479" s="36">
        <f>IFERROR(__xludf.DUMMYFUNCTION("""COMPUTED_VALUE"""),1.0)</f>
        <v>1</v>
      </c>
      <c r="N479" s="37"/>
      <c r="O479" s="38"/>
      <c r="P479" s="34" t="str">
        <f>IFERROR(__xludf.DUMMYFUNCTION("""COMPUTED_VALUE"""),"")</f>
        <v/>
      </c>
      <c r="Q479" s="35" t="str">
        <f>IFERROR(__xludf.DUMMYFUNCTION("""COMPUTED_VALUE"""),"AP")</f>
        <v>AP</v>
      </c>
      <c r="R479" s="34" t="str">
        <f>IFERROR(__xludf.DUMMYFUNCTION("""COMPUTED_VALUE"""),"")</f>
        <v/>
      </c>
      <c r="S479" s="35" t="str">
        <f>IFERROR(__xludf.DUMMYFUNCTION("""COMPUTED_VALUE"""),"%")</f>
        <v>%</v>
      </c>
      <c r="T479" s="36">
        <f>IFERROR(__xludf.DUMMYFUNCTION("""COMPUTED_VALUE"""),2.0)</f>
        <v>2</v>
      </c>
      <c r="U479" s="37"/>
      <c r="V479" s="38"/>
      <c r="W479" s="34" t="str">
        <f>IFERROR(__xludf.DUMMYFUNCTION("""COMPUTED_VALUE"""),"")</f>
        <v/>
      </c>
      <c r="X479" s="35" t="str">
        <f>IFERROR(__xludf.DUMMYFUNCTION("""COMPUTED_VALUE"""),"AP")</f>
        <v>AP</v>
      </c>
      <c r="Y479" s="34" t="str">
        <f>IFERROR(__xludf.DUMMYFUNCTION("""COMPUTED_VALUE"""),"")</f>
        <v/>
      </c>
      <c r="Z479" s="35" t="str">
        <f>IFERROR(__xludf.DUMMYFUNCTION("""COMPUTED_VALUE"""),"%")</f>
        <v>%</v>
      </c>
      <c r="AA479" s="36">
        <f>IFERROR(__xludf.DUMMYFUNCTION("""COMPUTED_VALUE"""),3.0)</f>
        <v>3</v>
      </c>
      <c r="AB479" s="37"/>
      <c r="AC479" s="38"/>
      <c r="AD479" s="34" t="str">
        <f>IFERROR(__xludf.DUMMYFUNCTION("""COMPUTED_VALUE"""),"")</f>
        <v/>
      </c>
      <c r="AE479" s="35" t="str">
        <f>IFERROR(__xludf.DUMMYFUNCTION("""COMPUTED_VALUE"""),"AP")</f>
        <v>AP</v>
      </c>
      <c r="AF479" s="34" t="str">
        <f>IFERROR(__xludf.DUMMYFUNCTION("""COMPUTED_VALUE"""),"")</f>
        <v/>
      </c>
      <c r="AG479" s="35" t="str">
        <f>IFERROR(__xludf.DUMMYFUNCTION("""COMPUTED_VALUE"""),"%")</f>
        <v>%</v>
      </c>
      <c r="AH479" s="31"/>
      <c r="AI479" s="32"/>
      <c r="AJ479" s="39"/>
    </row>
    <row r="480" ht="24.75" hidden="1" customHeight="1">
      <c r="A480" s="40">
        <f>IFERROR(__xludf.DUMMYFUNCTION("""COMPUTED_VALUE"""),18.0)</f>
        <v>18</v>
      </c>
      <c r="B480" s="40" t="str">
        <f>IFERROR(__xludf.DUMMYFUNCTION("""COMPUTED_VALUE"""),"A212")</f>
        <v>A212</v>
      </c>
      <c r="C480" s="40"/>
      <c r="D480" s="41"/>
      <c r="E480" s="66"/>
      <c r="F480" s="43"/>
      <c r="G480" s="44"/>
      <c r="H480" s="33" t="str">
        <f>IFERROR(__xludf.DUMMYFUNCTION("""COMPUTED_VALUE""")," ")</f>
        <v> </v>
      </c>
      <c r="I480" s="45"/>
      <c r="J480" s="46" t="str">
        <f>IFERROR(__xludf.DUMMYFUNCTION("""COMPUTED_VALUE"""),"AP")</f>
        <v>AP</v>
      </c>
      <c r="K480" s="47"/>
      <c r="L480" s="48" t="str">
        <f>IFERROR(__xludf.DUMMYFUNCTION("""COMPUTED_VALUE"""),"%")</f>
        <v>%</v>
      </c>
      <c r="M480" s="49">
        <f>IFERROR(__xludf.DUMMYFUNCTION("""COMPUTED_VALUE"""),1.0)</f>
        <v>1</v>
      </c>
      <c r="N480" s="50"/>
      <c r="O480" s="38"/>
      <c r="P480" s="45" t="str">
        <f>IFERROR(__xludf.DUMMYFUNCTION("""COMPUTED_VALUE"""),"")</f>
        <v/>
      </c>
      <c r="Q480" s="46" t="str">
        <f>IFERROR(__xludf.DUMMYFUNCTION("""COMPUTED_VALUE"""),"AP")</f>
        <v>AP</v>
      </c>
      <c r="R480" s="47" t="str">
        <f>IFERROR(__xludf.DUMMYFUNCTION("""COMPUTED_VALUE"""),"")</f>
        <v/>
      </c>
      <c r="S480" s="48" t="str">
        <f>IFERROR(__xludf.DUMMYFUNCTION("""COMPUTED_VALUE"""),"%")</f>
        <v>%</v>
      </c>
      <c r="T480" s="49">
        <f>IFERROR(__xludf.DUMMYFUNCTION("""COMPUTED_VALUE"""),2.0)</f>
        <v>2</v>
      </c>
      <c r="U480" s="50"/>
      <c r="V480" s="38"/>
      <c r="W480" s="45" t="str">
        <f>IFERROR(__xludf.DUMMYFUNCTION("""COMPUTED_VALUE"""),"")</f>
        <v/>
      </c>
      <c r="X480" s="46" t="str">
        <f>IFERROR(__xludf.DUMMYFUNCTION("""COMPUTED_VALUE"""),"AP")</f>
        <v>AP</v>
      </c>
      <c r="Y480" s="47" t="str">
        <f>IFERROR(__xludf.DUMMYFUNCTION("""COMPUTED_VALUE"""),"")</f>
        <v/>
      </c>
      <c r="Z480" s="48" t="str">
        <f>IFERROR(__xludf.DUMMYFUNCTION("""COMPUTED_VALUE"""),"%")</f>
        <v>%</v>
      </c>
      <c r="AA480" s="49">
        <f>IFERROR(__xludf.DUMMYFUNCTION("""COMPUTED_VALUE"""),3.0)</f>
        <v>3</v>
      </c>
      <c r="AB480" s="50"/>
      <c r="AC480" s="38"/>
      <c r="AD480" s="45" t="str">
        <f>IFERROR(__xludf.DUMMYFUNCTION("""COMPUTED_VALUE"""),"")</f>
        <v/>
      </c>
      <c r="AE480" s="46" t="str">
        <f>IFERROR(__xludf.DUMMYFUNCTION("""COMPUTED_VALUE"""),"AP")</f>
        <v>AP</v>
      </c>
      <c r="AF480" s="47" t="str">
        <f>IFERROR(__xludf.DUMMYFUNCTION("""COMPUTED_VALUE"""),"")</f>
        <v/>
      </c>
      <c r="AG480" s="48" t="str">
        <f>IFERROR(__xludf.DUMMYFUNCTION("""COMPUTED_VALUE"""),"%")</f>
        <v>%</v>
      </c>
      <c r="AH480" s="43"/>
      <c r="AI480" s="44"/>
      <c r="AJ480" s="51"/>
    </row>
    <row r="481" ht="24.75" hidden="1" customHeight="1">
      <c r="A481" s="28">
        <f>IFERROR(__xludf.DUMMYFUNCTION("""COMPUTED_VALUE"""),19.0)</f>
        <v>19</v>
      </c>
      <c r="B481" s="28" t="str">
        <f>IFERROR(__xludf.DUMMYFUNCTION("""COMPUTED_VALUE"""),"A212")</f>
        <v>A212</v>
      </c>
      <c r="C481" s="28"/>
      <c r="D481" s="29"/>
      <c r="E481" s="67"/>
      <c r="F481" s="31"/>
      <c r="G481" s="32"/>
      <c r="H481" s="33" t="str">
        <f>IFERROR(__xludf.DUMMYFUNCTION("""COMPUTED_VALUE""")," ")</f>
        <v> </v>
      </c>
      <c r="I481" s="34"/>
      <c r="J481" s="35" t="str">
        <f>IFERROR(__xludf.DUMMYFUNCTION("""COMPUTED_VALUE"""),"AP")</f>
        <v>AP</v>
      </c>
      <c r="K481" s="34"/>
      <c r="L481" s="35" t="str">
        <f>IFERROR(__xludf.DUMMYFUNCTION("""COMPUTED_VALUE"""),"%")</f>
        <v>%</v>
      </c>
      <c r="M481" s="36">
        <f>IFERROR(__xludf.DUMMYFUNCTION("""COMPUTED_VALUE"""),1.0)</f>
        <v>1</v>
      </c>
      <c r="N481" s="37"/>
      <c r="O481" s="38"/>
      <c r="P481" s="34" t="str">
        <f>IFERROR(__xludf.DUMMYFUNCTION("""COMPUTED_VALUE"""),"")</f>
        <v/>
      </c>
      <c r="Q481" s="35" t="str">
        <f>IFERROR(__xludf.DUMMYFUNCTION("""COMPUTED_VALUE"""),"AP")</f>
        <v>AP</v>
      </c>
      <c r="R481" s="34" t="str">
        <f>IFERROR(__xludf.DUMMYFUNCTION("""COMPUTED_VALUE"""),"")</f>
        <v/>
      </c>
      <c r="S481" s="35" t="str">
        <f>IFERROR(__xludf.DUMMYFUNCTION("""COMPUTED_VALUE"""),"%")</f>
        <v>%</v>
      </c>
      <c r="T481" s="36">
        <f>IFERROR(__xludf.DUMMYFUNCTION("""COMPUTED_VALUE"""),2.0)</f>
        <v>2</v>
      </c>
      <c r="U481" s="37"/>
      <c r="V481" s="38"/>
      <c r="W481" s="34" t="str">
        <f>IFERROR(__xludf.DUMMYFUNCTION("""COMPUTED_VALUE"""),"")</f>
        <v/>
      </c>
      <c r="X481" s="35" t="str">
        <f>IFERROR(__xludf.DUMMYFUNCTION("""COMPUTED_VALUE"""),"AP")</f>
        <v>AP</v>
      </c>
      <c r="Y481" s="34" t="str">
        <f>IFERROR(__xludf.DUMMYFUNCTION("""COMPUTED_VALUE"""),"")</f>
        <v/>
      </c>
      <c r="Z481" s="35" t="str">
        <f>IFERROR(__xludf.DUMMYFUNCTION("""COMPUTED_VALUE"""),"%")</f>
        <v>%</v>
      </c>
      <c r="AA481" s="36">
        <f>IFERROR(__xludf.DUMMYFUNCTION("""COMPUTED_VALUE"""),3.0)</f>
        <v>3</v>
      </c>
      <c r="AB481" s="37"/>
      <c r="AC481" s="38"/>
      <c r="AD481" s="34" t="str">
        <f>IFERROR(__xludf.DUMMYFUNCTION("""COMPUTED_VALUE"""),"")</f>
        <v/>
      </c>
      <c r="AE481" s="35" t="str">
        <f>IFERROR(__xludf.DUMMYFUNCTION("""COMPUTED_VALUE"""),"AP")</f>
        <v>AP</v>
      </c>
      <c r="AF481" s="34" t="str">
        <f>IFERROR(__xludf.DUMMYFUNCTION("""COMPUTED_VALUE"""),"")</f>
        <v/>
      </c>
      <c r="AG481" s="35" t="str">
        <f>IFERROR(__xludf.DUMMYFUNCTION("""COMPUTED_VALUE"""),"%")</f>
        <v>%</v>
      </c>
      <c r="AH481" s="31"/>
      <c r="AI481" s="32"/>
      <c r="AJ481" s="39"/>
    </row>
    <row r="482" ht="24.75" hidden="1" customHeight="1">
      <c r="A482" s="40">
        <f>IFERROR(__xludf.DUMMYFUNCTION("""COMPUTED_VALUE"""),20.0)</f>
        <v>20</v>
      </c>
      <c r="B482" s="40" t="str">
        <f>IFERROR(__xludf.DUMMYFUNCTION("""COMPUTED_VALUE"""),"A212")</f>
        <v>A212</v>
      </c>
      <c r="C482" s="40"/>
      <c r="D482" s="41"/>
      <c r="E482" s="66"/>
      <c r="F482" s="43"/>
      <c r="G482" s="44"/>
      <c r="H482" s="33" t="str">
        <f>IFERROR(__xludf.DUMMYFUNCTION("""COMPUTED_VALUE""")," ")</f>
        <v> </v>
      </c>
      <c r="I482" s="45"/>
      <c r="J482" s="46" t="str">
        <f>IFERROR(__xludf.DUMMYFUNCTION("""COMPUTED_VALUE"""),"AP")</f>
        <v>AP</v>
      </c>
      <c r="K482" s="47"/>
      <c r="L482" s="48" t="str">
        <f>IFERROR(__xludf.DUMMYFUNCTION("""COMPUTED_VALUE"""),"%")</f>
        <v>%</v>
      </c>
      <c r="M482" s="49">
        <f>IFERROR(__xludf.DUMMYFUNCTION("""COMPUTED_VALUE"""),1.0)</f>
        <v>1</v>
      </c>
      <c r="N482" s="50"/>
      <c r="O482" s="38"/>
      <c r="P482" s="45" t="str">
        <f>IFERROR(__xludf.DUMMYFUNCTION("""COMPUTED_VALUE"""),"")</f>
        <v/>
      </c>
      <c r="Q482" s="46" t="str">
        <f>IFERROR(__xludf.DUMMYFUNCTION("""COMPUTED_VALUE"""),"AP")</f>
        <v>AP</v>
      </c>
      <c r="R482" s="47" t="str">
        <f>IFERROR(__xludf.DUMMYFUNCTION("""COMPUTED_VALUE"""),"")</f>
        <v/>
      </c>
      <c r="S482" s="48" t="str">
        <f>IFERROR(__xludf.DUMMYFUNCTION("""COMPUTED_VALUE"""),"%")</f>
        <v>%</v>
      </c>
      <c r="T482" s="49">
        <f>IFERROR(__xludf.DUMMYFUNCTION("""COMPUTED_VALUE"""),2.0)</f>
        <v>2</v>
      </c>
      <c r="U482" s="50"/>
      <c r="V482" s="38"/>
      <c r="W482" s="45" t="str">
        <f>IFERROR(__xludf.DUMMYFUNCTION("""COMPUTED_VALUE"""),"")</f>
        <v/>
      </c>
      <c r="X482" s="46" t="str">
        <f>IFERROR(__xludf.DUMMYFUNCTION("""COMPUTED_VALUE"""),"AP")</f>
        <v>AP</v>
      </c>
      <c r="Y482" s="47" t="str">
        <f>IFERROR(__xludf.DUMMYFUNCTION("""COMPUTED_VALUE"""),"")</f>
        <v/>
      </c>
      <c r="Z482" s="48" t="str">
        <f>IFERROR(__xludf.DUMMYFUNCTION("""COMPUTED_VALUE"""),"%")</f>
        <v>%</v>
      </c>
      <c r="AA482" s="49">
        <f>IFERROR(__xludf.DUMMYFUNCTION("""COMPUTED_VALUE"""),3.0)</f>
        <v>3</v>
      </c>
      <c r="AB482" s="50"/>
      <c r="AC482" s="38"/>
      <c r="AD482" s="45" t="str">
        <f>IFERROR(__xludf.DUMMYFUNCTION("""COMPUTED_VALUE"""),"")</f>
        <v/>
      </c>
      <c r="AE482" s="46" t="str">
        <f>IFERROR(__xludf.DUMMYFUNCTION("""COMPUTED_VALUE"""),"AP")</f>
        <v>AP</v>
      </c>
      <c r="AF482" s="47" t="str">
        <f>IFERROR(__xludf.DUMMYFUNCTION("""COMPUTED_VALUE"""),"")</f>
        <v/>
      </c>
      <c r="AG482" s="48" t="str">
        <f>IFERROR(__xludf.DUMMYFUNCTION("""COMPUTED_VALUE"""),"%")</f>
        <v>%</v>
      </c>
      <c r="AH482" s="43"/>
      <c r="AI482" s="44"/>
      <c r="AJ482" s="51"/>
    </row>
    <row r="483" hidden="1">
      <c r="A483" s="52"/>
      <c r="B483" s="53"/>
      <c r="C483" s="54"/>
      <c r="D483" s="55"/>
      <c r="E483" s="56"/>
      <c r="F483" s="53"/>
      <c r="G483" s="53"/>
      <c r="H483" s="53"/>
      <c r="I483" s="53"/>
      <c r="J483" s="57"/>
      <c r="K483" s="53"/>
      <c r="L483" s="57"/>
      <c r="M483" s="53"/>
      <c r="N483" s="53"/>
      <c r="O483" s="53"/>
      <c r="P483" s="53"/>
      <c r="Q483" s="57"/>
      <c r="R483" s="53"/>
      <c r="S483" s="57"/>
      <c r="T483" s="53"/>
      <c r="U483" s="53"/>
      <c r="V483" s="53"/>
      <c r="W483" s="53"/>
      <c r="X483" s="57"/>
      <c r="Y483" s="53"/>
      <c r="Z483" s="57"/>
      <c r="AA483" s="53"/>
      <c r="AB483" s="53"/>
      <c r="AC483" s="53"/>
      <c r="AD483" s="53"/>
      <c r="AE483" s="57"/>
      <c r="AF483" s="53"/>
      <c r="AG483" s="57"/>
      <c r="AH483" s="53"/>
      <c r="AI483" s="53"/>
      <c r="AJ483" s="58"/>
    </row>
    <row r="484">
      <c r="A484" s="59"/>
      <c r="B484" s="60"/>
      <c r="C484" s="61"/>
      <c r="D484" s="62"/>
      <c r="E484" s="63"/>
      <c r="F484" s="60"/>
      <c r="G484" s="60"/>
      <c r="H484" s="60"/>
      <c r="I484" s="60"/>
      <c r="J484" s="64"/>
      <c r="K484" s="60"/>
      <c r="L484" s="64"/>
      <c r="M484" s="60"/>
      <c r="N484" s="60"/>
      <c r="O484" s="60"/>
      <c r="P484" s="60"/>
      <c r="Q484" s="64"/>
      <c r="R484" s="60"/>
      <c r="S484" s="64"/>
      <c r="T484" s="60"/>
      <c r="U484" s="60"/>
      <c r="V484" s="60"/>
      <c r="W484" s="60"/>
      <c r="X484" s="64"/>
      <c r="Y484" s="60"/>
      <c r="Z484" s="64"/>
      <c r="AA484" s="60"/>
      <c r="AB484" s="60"/>
      <c r="AC484" s="60"/>
      <c r="AD484" s="60"/>
      <c r="AE484" s="64"/>
      <c r="AF484" s="60"/>
      <c r="AG484" s="64"/>
      <c r="AH484" s="60"/>
      <c r="AI484" s="60"/>
      <c r="AJ484" s="65"/>
    </row>
    <row r="485" ht="33.0" customHeight="1">
      <c r="A485" s="20" t="str">
        <f>IFERROR(__xludf.DUMMYFUNCTION("""COMPUTED_VALUE""")," ")</f>
        <v> </v>
      </c>
      <c r="B485" s="21" t="str">
        <f>IFERROR(__xludf.DUMMYFUNCTION("""COMPUTED_VALUE"""),"A213")</f>
        <v>A213</v>
      </c>
      <c r="C485" s="20"/>
      <c r="D485" s="22" t="str">
        <f>IFERROR(__xludf.DUMMYFUNCTION("""COMPUTED_VALUE"""),"")</f>
        <v/>
      </c>
      <c r="E485" s="23" t="str">
        <f>IFERROR(__xludf.DUMMYFUNCTION("""COMPUTED_VALUE"""),"Eternal Ice")</f>
        <v>Eternal Ice</v>
      </c>
      <c r="F485" s="24"/>
      <c r="G485" s="24"/>
      <c r="H485" s="25"/>
      <c r="I485" s="25"/>
      <c r="J485" s="26"/>
      <c r="K485" s="25"/>
      <c r="L485" s="26"/>
      <c r="M485" s="25"/>
      <c r="N485" s="25"/>
      <c r="O485" s="25"/>
      <c r="P485" s="25"/>
      <c r="Q485" s="26"/>
      <c r="R485" s="25"/>
      <c r="S485" s="26"/>
      <c r="T485" s="25"/>
      <c r="U485" s="25"/>
      <c r="V485" s="25"/>
      <c r="W485" s="25"/>
      <c r="X485" s="26"/>
      <c r="Y485" s="25"/>
      <c r="Z485" s="26"/>
      <c r="AA485" s="25"/>
      <c r="AB485" s="25"/>
      <c r="AC485" s="25"/>
      <c r="AD485" s="25"/>
      <c r="AE485" s="26"/>
      <c r="AF485" s="25"/>
      <c r="AG485" s="26"/>
      <c r="AH485" s="24"/>
      <c r="AI485" s="25"/>
      <c r="AJ485" s="27"/>
    </row>
    <row r="486" ht="24.75" customHeight="1">
      <c r="A486" s="28">
        <f>IFERROR(__xludf.DUMMYFUNCTION("""COMPUTED_VALUE"""),1.0)</f>
        <v>1</v>
      </c>
      <c r="B486" s="28" t="str">
        <f>IFERROR(__xludf.DUMMYFUNCTION("""COMPUTED_VALUE"""),"A213")</f>
        <v>A213</v>
      </c>
      <c r="C486" s="28" t="str">
        <f>IFERROR(__xludf.DUMMYFUNCTION("""COMPUTED_VALUE"""),"ANA11")</f>
        <v>ANA11</v>
      </c>
      <c r="D486" s="29" t="str">
        <f>IFERROR(__xludf.DUMMYFUNCTION("""COMPUTED_VALUE"""),"Anastasia")</f>
        <v>Anastasia</v>
      </c>
      <c r="E486" s="30" t="str">
        <f>IFERROR(__xludf.DUMMYFUNCTION("""COMPUTED_VALUE"""),"Yaga Moscow")</f>
        <v>Yaga Moscow</v>
      </c>
      <c r="F486" s="31">
        <f>IFERROR(__xludf.DUMMYFUNCTION("""COMPUTED_VALUE"""),21.0)</f>
        <v>21</v>
      </c>
      <c r="G486" s="32">
        <f>IFERROR(__xludf.DUMMYFUNCTION("""COMPUTED_VALUE"""),11192.0)</f>
        <v>11192</v>
      </c>
      <c r="H486" s="33" t="str">
        <f>IFERROR(__xludf.DUMMYFUNCTION("""COMPUTED_VALUE"""),"")</f>
        <v/>
      </c>
      <c r="I486" s="34">
        <f>IFERROR(__xludf.DUMMYFUNCTION("""COMPUTED_VALUE"""),46.2)</f>
        <v>46.2</v>
      </c>
      <c r="J486" s="35" t="str">
        <f>IFERROR(__xludf.DUMMYFUNCTION("""COMPUTED_VALUE"""),"AP")</f>
        <v>AP</v>
      </c>
      <c r="K486" s="34">
        <f>IFERROR(__xludf.DUMMYFUNCTION("""COMPUTED_VALUE"""),45.5)</f>
        <v>45.5</v>
      </c>
      <c r="L486" s="35" t="str">
        <f>IFERROR(__xludf.DUMMYFUNCTION("""COMPUTED_VALUE"""),"%")</f>
        <v>%</v>
      </c>
      <c r="M486" s="36">
        <f>IFERROR(__xludf.DUMMYFUNCTION("""COMPUTED_VALUE"""),1.0)</f>
        <v>1</v>
      </c>
      <c r="N486" s="37" t="str">
        <f>IFERROR(__xludf.DUMMYFUNCTION("""COMPUTED_VALUE"""),"B116")</f>
        <v>B116</v>
      </c>
      <c r="O486" s="38" t="str">
        <f>IFERROR(__xludf.DUMMYFUNCTION("""COMPUTED_VALUE"""),"")</f>
        <v/>
      </c>
      <c r="P486" s="34">
        <f>IFERROR(__xludf.DUMMYFUNCTION("""COMPUTED_VALUE"""),45.7)</f>
        <v>45.7</v>
      </c>
      <c r="Q486" s="35" t="str">
        <f>IFERROR(__xludf.DUMMYFUNCTION("""COMPUTED_VALUE"""),"AP")</f>
        <v>AP</v>
      </c>
      <c r="R486" s="34">
        <f>IFERROR(__xludf.DUMMYFUNCTION("""COMPUTED_VALUE"""),46.0)</f>
        <v>46</v>
      </c>
      <c r="S486" s="35" t="str">
        <f>IFERROR(__xludf.DUMMYFUNCTION("""COMPUTED_VALUE"""),"%")</f>
        <v>%</v>
      </c>
      <c r="T486" s="36">
        <f>IFERROR(__xludf.DUMMYFUNCTION("""COMPUTED_VALUE"""),2.0)</f>
        <v>2</v>
      </c>
      <c r="U486" s="37"/>
      <c r="V486" s="38"/>
      <c r="W486" s="34" t="str">
        <f>IFERROR(__xludf.DUMMYFUNCTION("""COMPUTED_VALUE"""),"")</f>
        <v/>
      </c>
      <c r="X486" s="35" t="str">
        <f>IFERROR(__xludf.DUMMYFUNCTION("""COMPUTED_VALUE"""),"AP")</f>
        <v>AP</v>
      </c>
      <c r="Y486" s="34" t="str">
        <f>IFERROR(__xludf.DUMMYFUNCTION("""COMPUTED_VALUE"""),"")</f>
        <v/>
      </c>
      <c r="Z486" s="35" t="str">
        <f>IFERROR(__xludf.DUMMYFUNCTION("""COMPUTED_VALUE"""),"%")</f>
        <v>%</v>
      </c>
      <c r="AA486" s="36">
        <f>IFERROR(__xludf.DUMMYFUNCTION("""COMPUTED_VALUE"""),3.0)</f>
        <v>3</v>
      </c>
      <c r="AB486" s="37"/>
      <c r="AC486" s="38"/>
      <c r="AD486" s="34" t="str">
        <f>IFERROR(__xludf.DUMMYFUNCTION("""COMPUTED_VALUE"""),"")</f>
        <v/>
      </c>
      <c r="AE486" s="35" t="str">
        <f>IFERROR(__xludf.DUMMYFUNCTION("""COMPUTED_VALUE"""),"AP")</f>
        <v>AP</v>
      </c>
      <c r="AF486" s="34" t="str">
        <f>IFERROR(__xludf.DUMMYFUNCTION("""COMPUTED_VALUE"""),"")</f>
        <v/>
      </c>
      <c r="AG486" s="35" t="str">
        <f>IFERROR(__xludf.DUMMYFUNCTION("""COMPUTED_VALUE"""),"%")</f>
        <v>%</v>
      </c>
      <c r="AH486" s="31">
        <f>IFERROR(__xludf.DUMMYFUNCTION("""COMPUTED_VALUE"""),21.0)</f>
        <v>21</v>
      </c>
      <c r="AI486" s="32">
        <f>IFERROR(__xludf.DUMMYFUNCTION("""COMPUTED_VALUE"""),11192.0)</f>
        <v>11192</v>
      </c>
      <c r="AJ486" s="39" t="str">
        <f>IFERROR(__xludf.DUMMYFUNCTION("""COMPUTED_VALUE"""),"ヤガ・モスクワ")</f>
        <v>ヤガ・モスクワ</v>
      </c>
    </row>
    <row r="487" ht="24.75" customHeight="1">
      <c r="A487" s="40">
        <f>IFERROR(__xludf.DUMMYFUNCTION("""COMPUTED_VALUE"""),2.0)</f>
        <v>2</v>
      </c>
      <c r="B487" s="40" t="str">
        <f>IFERROR(__xludf.DUMMYFUNCTION("""COMPUTED_VALUE"""),"A213")</f>
        <v>A213</v>
      </c>
      <c r="C487" s="40" t="str">
        <f>IFERROR(__xludf.DUMMYFUNCTION("""COMPUTED_VALUE"""),"ANA8")</f>
        <v>ANA8</v>
      </c>
      <c r="D487" s="41" t="str">
        <f>IFERROR(__xludf.DUMMYFUNCTION("""COMPUTED_VALUE"""),"Anastasia")</f>
        <v>Anastasia</v>
      </c>
      <c r="E487" s="42" t="str">
        <f>IFERROR(__xludf.DUMMYFUNCTION("""COMPUTED_VALUE"""),"Yaga Demensk")</f>
        <v>Yaga Demensk</v>
      </c>
      <c r="F487" s="43">
        <f>IFERROR(__xludf.DUMMYFUNCTION("""COMPUTED_VALUE"""),21.0)</f>
        <v>21</v>
      </c>
      <c r="G487" s="44">
        <f>IFERROR(__xludf.DUMMYFUNCTION("""COMPUTED_VALUE"""),5518.0)</f>
        <v>5518</v>
      </c>
      <c r="H487" s="33" t="str">
        <f>IFERROR(__xludf.DUMMYFUNCTION("""COMPUTED_VALUE"""),"")</f>
        <v/>
      </c>
      <c r="I487" s="45">
        <f>IFERROR(__xludf.DUMMYFUNCTION("""COMPUTED_VALUE"""),81.0)</f>
        <v>81</v>
      </c>
      <c r="J487" s="46" t="str">
        <f>IFERROR(__xludf.DUMMYFUNCTION("""COMPUTED_VALUE"""),"AP")</f>
        <v>AP</v>
      </c>
      <c r="K487" s="47">
        <f>IFERROR(__xludf.DUMMYFUNCTION("""COMPUTED_VALUE"""),25.9)</f>
        <v>25.9</v>
      </c>
      <c r="L487" s="48" t="str">
        <f>IFERROR(__xludf.DUMMYFUNCTION("""COMPUTED_VALUE"""),"%")</f>
        <v>%</v>
      </c>
      <c r="M487" s="49">
        <f>IFERROR(__xludf.DUMMYFUNCTION("""COMPUTED_VALUE"""),1.0)</f>
        <v>1</v>
      </c>
      <c r="N487" s="50" t="str">
        <f>IFERROR(__xludf.DUMMYFUNCTION("""COMPUTED_VALUE"""),"A105")</f>
        <v>A105</v>
      </c>
      <c r="O487" s="38" t="str">
        <f>IFERROR(__xludf.DUMMYFUNCTION("""COMPUTED_VALUE"""),"")</f>
        <v/>
      </c>
      <c r="P487" s="45">
        <f>IFERROR(__xludf.DUMMYFUNCTION("""COMPUTED_VALUE"""),99.9)</f>
        <v>99.9</v>
      </c>
      <c r="Q487" s="46" t="str">
        <f>IFERROR(__xludf.DUMMYFUNCTION("""COMPUTED_VALUE"""),"AP")</f>
        <v>AP</v>
      </c>
      <c r="R487" s="47">
        <f>IFERROR(__xludf.DUMMYFUNCTION("""COMPUTED_VALUE"""),21.0)</f>
        <v>21</v>
      </c>
      <c r="S487" s="48" t="str">
        <f>IFERROR(__xludf.DUMMYFUNCTION("""COMPUTED_VALUE"""),"%")</f>
        <v>%</v>
      </c>
      <c r="T487" s="49">
        <f>IFERROR(__xludf.DUMMYFUNCTION("""COMPUTED_VALUE"""),2.0)</f>
        <v>2</v>
      </c>
      <c r="U487" s="50" t="str">
        <f>IFERROR(__xludf.DUMMYFUNCTION("""COMPUTED_VALUE"""),"B113")</f>
        <v>B113</v>
      </c>
      <c r="V487" s="38" t="str">
        <f>IFERROR(__xludf.DUMMYFUNCTION("""COMPUTED_VALUE"""),"")</f>
        <v/>
      </c>
      <c r="W487" s="45">
        <f>IFERROR(__xludf.DUMMYFUNCTION("""COMPUTED_VALUE"""),255.8)</f>
        <v>255.8</v>
      </c>
      <c r="X487" s="46" t="str">
        <f>IFERROR(__xludf.DUMMYFUNCTION("""COMPUTED_VALUE"""),"AP")</f>
        <v>AP</v>
      </c>
      <c r="Y487" s="47">
        <f>IFERROR(__xludf.DUMMYFUNCTION("""COMPUTED_VALUE"""),8.2)</f>
        <v>8.2</v>
      </c>
      <c r="Z487" s="48" t="str">
        <f>IFERROR(__xludf.DUMMYFUNCTION("""COMPUTED_VALUE"""),"%")</f>
        <v>%</v>
      </c>
      <c r="AA487" s="49">
        <f>IFERROR(__xludf.DUMMYFUNCTION("""COMPUTED_VALUE"""),3.0)</f>
        <v>3</v>
      </c>
      <c r="AB487" s="50" t="str">
        <f>IFERROR(__xludf.DUMMYFUNCTION("""COMPUTED_VALUE"""),"B116")</f>
        <v>B116</v>
      </c>
      <c r="AC487" s="38" t="str">
        <f>IFERROR(__xludf.DUMMYFUNCTION("""COMPUTED_VALUE"""),"")</f>
        <v/>
      </c>
      <c r="AD487" s="45">
        <f>IFERROR(__xludf.DUMMYFUNCTION("""COMPUTED_VALUE"""),52.5)</f>
        <v>52.5</v>
      </c>
      <c r="AE487" s="46" t="str">
        <f>IFERROR(__xludf.DUMMYFUNCTION("""COMPUTED_VALUE"""),"AP")</f>
        <v>AP</v>
      </c>
      <c r="AF487" s="47">
        <f>IFERROR(__xludf.DUMMYFUNCTION("""COMPUTED_VALUE"""),40.0)</f>
        <v>40</v>
      </c>
      <c r="AG487" s="48" t="str">
        <f>IFERROR(__xludf.DUMMYFUNCTION("""COMPUTED_VALUE"""),"%")</f>
        <v>%</v>
      </c>
      <c r="AH487" s="43">
        <f>IFERROR(__xludf.DUMMYFUNCTION("""COMPUTED_VALUE"""),21.0)</f>
        <v>21</v>
      </c>
      <c r="AI487" s="44">
        <f>IFERROR(__xludf.DUMMYFUNCTION("""COMPUTED_VALUE"""),5518.0)</f>
        <v>5518</v>
      </c>
      <c r="AJ487" s="51" t="str">
        <f>IFERROR(__xludf.DUMMYFUNCTION("""COMPUTED_VALUE"""),"ヤガ・ジェメンスク")</f>
        <v>ヤガ・ジェメンスク</v>
      </c>
    </row>
    <row r="488" ht="24.75" customHeight="1">
      <c r="A488" s="28">
        <f>IFERROR(__xludf.DUMMYFUNCTION("""COMPUTED_VALUE"""),3.0)</f>
        <v>3</v>
      </c>
      <c r="B488" s="28" t="str">
        <f>IFERROR(__xludf.DUMMYFUNCTION("""COMPUTED_VALUE"""),"A213")</f>
        <v>A213</v>
      </c>
      <c r="C488" s="28" t="str">
        <f>IFERROR(__xludf.DUMMYFUNCTION("""COMPUTED_VALUE"""),"ANA10")</f>
        <v>ANA10</v>
      </c>
      <c r="D488" s="29" t="str">
        <f>IFERROR(__xludf.DUMMYFUNCTION("""COMPUTED_VALUE"""),"Anastasia")</f>
        <v>Anastasia</v>
      </c>
      <c r="E488" s="30" t="str">
        <f>IFERROR(__xludf.DUMMYFUNCTION("""COMPUTED_VALUE"""),"Crushed Village")</f>
        <v>Crushed Village</v>
      </c>
      <c r="F488" s="31">
        <f>IFERROR(__xludf.DUMMYFUNCTION("""COMPUTED_VALUE"""),21.0)</f>
        <v>21</v>
      </c>
      <c r="G488" s="32">
        <f>IFERROR(__xludf.DUMMYFUNCTION("""COMPUTED_VALUE"""),17891.0)</f>
        <v>17891</v>
      </c>
      <c r="H488" s="33" t="str">
        <f>IFERROR(__xludf.DUMMYFUNCTION("""COMPUTED_VALUE"""),"")</f>
        <v/>
      </c>
      <c r="I488" s="34">
        <f>IFERROR(__xludf.DUMMYFUNCTION("""COMPUTED_VALUE"""),82.9)</f>
        <v>82.9</v>
      </c>
      <c r="J488" s="35" t="str">
        <f>IFERROR(__xludf.DUMMYFUNCTION("""COMPUTED_VALUE"""),"AP")</f>
        <v>AP</v>
      </c>
      <c r="K488" s="34">
        <f>IFERROR(__xludf.DUMMYFUNCTION("""COMPUTED_VALUE"""),25.3)</f>
        <v>25.3</v>
      </c>
      <c r="L488" s="35" t="str">
        <f>IFERROR(__xludf.DUMMYFUNCTION("""COMPUTED_VALUE"""),"%")</f>
        <v>%</v>
      </c>
      <c r="M488" s="36">
        <f>IFERROR(__xludf.DUMMYFUNCTION("""COMPUTED_VALUE"""),1.0)</f>
        <v>1</v>
      </c>
      <c r="N488" s="37" t="str">
        <f>IFERROR(__xludf.DUMMYFUNCTION("""COMPUTED_VALUE"""),"A211")</f>
        <v>A211</v>
      </c>
      <c r="O488" s="38" t="str">
        <f>IFERROR(__xludf.DUMMYFUNCTION("""COMPUTED_VALUE"""),"")</f>
        <v/>
      </c>
      <c r="P488" s="34">
        <f>IFERROR(__xludf.DUMMYFUNCTION("""COMPUTED_VALUE"""),85.6)</f>
        <v>85.6</v>
      </c>
      <c r="Q488" s="35" t="str">
        <f>IFERROR(__xludf.DUMMYFUNCTION("""COMPUTED_VALUE"""),"AP")</f>
        <v>AP</v>
      </c>
      <c r="R488" s="34">
        <f>IFERROR(__xludf.DUMMYFUNCTION("""COMPUTED_VALUE"""),24.5)</f>
        <v>24.5</v>
      </c>
      <c r="S488" s="35" t="str">
        <f>IFERROR(__xludf.DUMMYFUNCTION("""COMPUTED_VALUE"""),"%")</f>
        <v>%</v>
      </c>
      <c r="T488" s="36">
        <f>IFERROR(__xludf.DUMMYFUNCTION("""COMPUTED_VALUE"""),2.0)</f>
        <v>2</v>
      </c>
      <c r="U488" s="37" t="str">
        <f>IFERROR(__xludf.DUMMYFUNCTION("""COMPUTED_VALUE"""),"B116")</f>
        <v>B116</v>
      </c>
      <c r="V488" s="38" t="str">
        <f>IFERROR(__xludf.DUMMYFUNCTION("""COMPUTED_VALUE"""),"")</f>
        <v/>
      </c>
      <c r="W488" s="34">
        <f>IFERROR(__xludf.DUMMYFUNCTION("""COMPUTED_VALUE"""),85.3)</f>
        <v>85.3</v>
      </c>
      <c r="X488" s="35" t="str">
        <f>IFERROR(__xludf.DUMMYFUNCTION("""COMPUTED_VALUE"""),"AP")</f>
        <v>AP</v>
      </c>
      <c r="Y488" s="34">
        <f>IFERROR(__xludf.DUMMYFUNCTION("""COMPUTED_VALUE"""),24.6)</f>
        <v>24.6</v>
      </c>
      <c r="Z488" s="35" t="str">
        <f>IFERROR(__xludf.DUMMYFUNCTION("""COMPUTED_VALUE"""),"%")</f>
        <v>%</v>
      </c>
      <c r="AA488" s="36">
        <f>IFERROR(__xludf.DUMMYFUNCTION("""COMPUTED_VALUE"""),3.0)</f>
        <v>3</v>
      </c>
      <c r="AB488" s="37"/>
      <c r="AC488" s="38"/>
      <c r="AD488" s="34" t="str">
        <f>IFERROR(__xludf.DUMMYFUNCTION("""COMPUTED_VALUE"""),"")</f>
        <v/>
      </c>
      <c r="AE488" s="35" t="str">
        <f>IFERROR(__xludf.DUMMYFUNCTION("""COMPUTED_VALUE"""),"AP")</f>
        <v>AP</v>
      </c>
      <c r="AF488" s="34" t="str">
        <f>IFERROR(__xludf.DUMMYFUNCTION("""COMPUTED_VALUE"""),"")</f>
        <v/>
      </c>
      <c r="AG488" s="35" t="str">
        <f>IFERROR(__xludf.DUMMYFUNCTION("""COMPUTED_VALUE"""),"%")</f>
        <v>%</v>
      </c>
      <c r="AH488" s="31">
        <f>IFERROR(__xludf.DUMMYFUNCTION("""COMPUTED_VALUE"""),21.0)</f>
        <v>21</v>
      </c>
      <c r="AI488" s="32">
        <f>IFERROR(__xludf.DUMMYFUNCTION("""COMPUTED_VALUE"""),17891.0)</f>
        <v>17891</v>
      </c>
      <c r="AJ488" s="39" t="str">
        <f>IFERROR(__xludf.DUMMYFUNCTION("""COMPUTED_VALUE"""),"潰れた村")</f>
        <v>潰れた村</v>
      </c>
    </row>
    <row r="489" ht="24.75" customHeight="1">
      <c r="A489" s="40">
        <f>IFERROR(__xludf.DUMMYFUNCTION("""COMPUTED_VALUE"""),4.0)</f>
        <v>4</v>
      </c>
      <c r="B489" s="40" t="str">
        <f>IFERROR(__xludf.DUMMYFUNCTION("""COMPUTED_VALUE"""),"A213")</f>
        <v>A213</v>
      </c>
      <c r="C489" s="40" t="str">
        <f>IFERROR(__xludf.DUMMYFUNCTION("""COMPUTED_VALUE"""),"ANA14")</f>
        <v>ANA14</v>
      </c>
      <c r="D489" s="41" t="str">
        <f>IFERROR(__xludf.DUMMYFUNCTION("""COMPUTED_VALUE"""),"Anastasia")</f>
        <v>Anastasia</v>
      </c>
      <c r="E489" s="42" t="str">
        <f>IFERROR(__xludf.DUMMYFUNCTION("""COMPUTED_VALUE"""),"Yaga Ryazan")</f>
        <v>Yaga Ryazan</v>
      </c>
      <c r="F489" s="43">
        <f>IFERROR(__xludf.DUMMYFUNCTION("""COMPUTED_VALUE"""),21.0)</f>
        <v>21</v>
      </c>
      <c r="G489" s="44">
        <f>IFERROR(__xludf.DUMMYFUNCTION("""COMPUTED_VALUE"""),23979.0)</f>
        <v>23979</v>
      </c>
      <c r="H489" s="33" t="str">
        <f>IFERROR(__xludf.DUMMYFUNCTION("""COMPUTED_VALUE"""),"")</f>
        <v/>
      </c>
      <c r="I489" s="45">
        <f>IFERROR(__xludf.DUMMYFUNCTION("""COMPUTED_VALUE"""),84.0)</f>
        <v>84</v>
      </c>
      <c r="J489" s="46" t="str">
        <f>IFERROR(__xludf.DUMMYFUNCTION("""COMPUTED_VALUE"""),"AP")</f>
        <v>AP</v>
      </c>
      <c r="K489" s="47">
        <f>IFERROR(__xludf.DUMMYFUNCTION("""COMPUTED_VALUE"""),25.0)</f>
        <v>25</v>
      </c>
      <c r="L489" s="48" t="str">
        <f>IFERROR(__xludf.DUMMYFUNCTION("""COMPUTED_VALUE"""),"%")</f>
        <v>%</v>
      </c>
      <c r="M489" s="49">
        <f>IFERROR(__xludf.DUMMYFUNCTION("""COMPUTED_VALUE"""),1.0)</f>
        <v>1</v>
      </c>
      <c r="N489" s="50" t="str">
        <f>IFERROR(__xludf.DUMMYFUNCTION("""COMPUTED_VALUE"""),"A101")</f>
        <v>A101</v>
      </c>
      <c r="O489" s="38" t="str">
        <f>IFERROR(__xludf.DUMMYFUNCTION("""COMPUTED_VALUE"""),"")</f>
        <v/>
      </c>
      <c r="P489" s="45">
        <f>IFERROR(__xludf.DUMMYFUNCTION("""COMPUTED_VALUE"""),101.9)</f>
        <v>101.9</v>
      </c>
      <c r="Q489" s="46" t="str">
        <f>IFERROR(__xludf.DUMMYFUNCTION("""COMPUTED_VALUE"""),"AP")</f>
        <v>AP</v>
      </c>
      <c r="R489" s="47">
        <f>IFERROR(__xludf.DUMMYFUNCTION("""COMPUTED_VALUE"""),20.6)</f>
        <v>20.6</v>
      </c>
      <c r="S489" s="48" t="str">
        <f>IFERROR(__xludf.DUMMYFUNCTION("""COMPUTED_VALUE"""),"%")</f>
        <v>%</v>
      </c>
      <c r="T489" s="49">
        <f>IFERROR(__xludf.DUMMYFUNCTION("""COMPUTED_VALUE"""),2.0)</f>
        <v>2</v>
      </c>
      <c r="U489" s="50" t="str">
        <f>IFERROR(__xludf.DUMMYFUNCTION("""COMPUTED_VALUE"""),"B107")</f>
        <v>B107</v>
      </c>
      <c r="V489" s="38" t="str">
        <f>IFERROR(__xludf.DUMMYFUNCTION("""COMPUTED_VALUE"""),"")</f>
        <v/>
      </c>
      <c r="W489" s="45">
        <f>IFERROR(__xludf.DUMMYFUNCTION("""COMPUTED_VALUE"""),661.3)</f>
        <v>661.3</v>
      </c>
      <c r="X489" s="46" t="str">
        <f>IFERROR(__xludf.DUMMYFUNCTION("""COMPUTED_VALUE"""),"AP")</f>
        <v>AP</v>
      </c>
      <c r="Y489" s="47">
        <f>IFERROR(__xludf.DUMMYFUNCTION("""COMPUTED_VALUE"""),3.2)</f>
        <v>3.2</v>
      </c>
      <c r="Z489" s="48" t="str">
        <f>IFERROR(__xludf.DUMMYFUNCTION("""COMPUTED_VALUE"""),"%")</f>
        <v>%</v>
      </c>
      <c r="AA489" s="49">
        <f>IFERROR(__xludf.DUMMYFUNCTION("""COMPUTED_VALUE"""),3.0)</f>
        <v>3</v>
      </c>
      <c r="AB489" s="50" t="str">
        <f>IFERROR(__xludf.DUMMYFUNCTION("""COMPUTED_VALUE"""),"B116")</f>
        <v>B116</v>
      </c>
      <c r="AC489" s="38" t="str">
        <f>IFERROR(__xludf.DUMMYFUNCTION("""COMPUTED_VALUE"""),"")</f>
        <v/>
      </c>
      <c r="AD489" s="45">
        <f>IFERROR(__xludf.DUMMYFUNCTION("""COMPUTED_VALUE"""),59.7)</f>
        <v>59.7</v>
      </c>
      <c r="AE489" s="46" t="str">
        <f>IFERROR(__xludf.DUMMYFUNCTION("""COMPUTED_VALUE"""),"AP")</f>
        <v>AP</v>
      </c>
      <c r="AF489" s="47">
        <f>IFERROR(__xludf.DUMMYFUNCTION("""COMPUTED_VALUE"""),35.2)</f>
        <v>35.2</v>
      </c>
      <c r="AG489" s="48" t="str">
        <f>IFERROR(__xludf.DUMMYFUNCTION("""COMPUTED_VALUE"""),"%")</f>
        <v>%</v>
      </c>
      <c r="AH489" s="43">
        <f>IFERROR(__xludf.DUMMYFUNCTION("""COMPUTED_VALUE"""),21.0)</f>
        <v>21</v>
      </c>
      <c r="AI489" s="44">
        <f>IFERROR(__xludf.DUMMYFUNCTION("""COMPUTED_VALUE"""),23979.0)</f>
        <v>23979</v>
      </c>
      <c r="AJ489" s="51" t="str">
        <f>IFERROR(__xludf.DUMMYFUNCTION("""COMPUTED_VALUE"""),"ヤガ・リャザン")</f>
        <v>ヤガ・リャザン</v>
      </c>
    </row>
    <row r="490" ht="24.75" customHeight="1">
      <c r="A490" s="28">
        <f>IFERROR(__xludf.DUMMYFUNCTION("""COMPUTED_VALUE"""),5.0)</f>
        <v>5</v>
      </c>
      <c r="B490" s="28" t="str">
        <f>IFERROR(__xludf.DUMMYFUNCTION("""COMPUTED_VALUE"""),"A213")</f>
        <v>A213</v>
      </c>
      <c r="C490" s="28" t="str">
        <f>IFERROR(__xludf.DUMMYFUNCTION("""COMPUTED_VALUE"""),"ANA9")</f>
        <v>ANA9</v>
      </c>
      <c r="D490" s="29" t="str">
        <f>IFERROR(__xludf.DUMMYFUNCTION("""COMPUTED_VALUE"""),"Anastasia")</f>
        <v>Anastasia</v>
      </c>
      <c r="E490" s="30" t="str">
        <f>IFERROR(__xludf.DUMMYFUNCTION("""COMPUTED_VALUE"""),"Yaga Tula")</f>
        <v>Yaga Tula</v>
      </c>
      <c r="F490" s="31">
        <f>IFERROR(__xludf.DUMMYFUNCTION("""COMPUTED_VALUE"""),21.0)</f>
        <v>21</v>
      </c>
      <c r="G490" s="32">
        <f>IFERROR(__xludf.DUMMYFUNCTION("""COMPUTED_VALUE"""),32304.0)</f>
        <v>32304</v>
      </c>
      <c r="H490" s="33" t="str">
        <f>IFERROR(__xludf.DUMMYFUNCTION("""COMPUTED_VALUE"""),"")</f>
        <v/>
      </c>
      <c r="I490" s="34">
        <f>IFERROR(__xludf.DUMMYFUNCTION("""COMPUTED_VALUE"""),103.7)</f>
        <v>103.7</v>
      </c>
      <c r="J490" s="35" t="str">
        <f>IFERROR(__xludf.DUMMYFUNCTION("""COMPUTED_VALUE"""),"AP")</f>
        <v>AP</v>
      </c>
      <c r="K490" s="34">
        <f>IFERROR(__xludf.DUMMYFUNCTION("""COMPUTED_VALUE"""),20.2)</f>
        <v>20.2</v>
      </c>
      <c r="L490" s="35" t="str">
        <f>IFERROR(__xludf.DUMMYFUNCTION("""COMPUTED_VALUE"""),"%")</f>
        <v>%</v>
      </c>
      <c r="M490" s="36">
        <f>IFERROR(__xludf.DUMMYFUNCTION("""COMPUTED_VALUE"""),1.0)</f>
        <v>1</v>
      </c>
      <c r="N490" s="37" t="str">
        <f>IFERROR(__xludf.DUMMYFUNCTION("""COMPUTED_VALUE"""),"A304")</f>
        <v>A304</v>
      </c>
      <c r="O490" s="38" t="str">
        <f>IFERROR(__xludf.DUMMYFUNCTION("""COMPUTED_VALUE"""),"")</f>
        <v/>
      </c>
      <c r="P490" s="34">
        <f>IFERROR(__xludf.DUMMYFUNCTION("""COMPUTED_VALUE"""),71.0)</f>
        <v>71</v>
      </c>
      <c r="Q490" s="35" t="str">
        <f>IFERROR(__xludf.DUMMYFUNCTION("""COMPUTED_VALUE"""),"AP")</f>
        <v>AP</v>
      </c>
      <c r="R490" s="34">
        <f>IFERROR(__xludf.DUMMYFUNCTION("""COMPUTED_VALUE"""),29.6)</f>
        <v>29.6</v>
      </c>
      <c r="S490" s="35" t="str">
        <f>IFERROR(__xludf.DUMMYFUNCTION("""COMPUTED_VALUE"""),"%")</f>
        <v>%</v>
      </c>
      <c r="T490" s="36">
        <f>IFERROR(__xludf.DUMMYFUNCTION("""COMPUTED_VALUE"""),2.0)</f>
        <v>2</v>
      </c>
      <c r="U490" s="37" t="str">
        <f>IFERROR(__xludf.DUMMYFUNCTION("""COMPUTED_VALUE"""),"A309")</f>
        <v>A309</v>
      </c>
      <c r="V490" s="38" t="str">
        <f>IFERROR(__xludf.DUMMYFUNCTION("""COMPUTED_VALUE"""),"")</f>
        <v/>
      </c>
      <c r="W490" s="34">
        <f>IFERROR(__xludf.DUMMYFUNCTION("""COMPUTED_VALUE"""),69.6)</f>
        <v>69.6</v>
      </c>
      <c r="X490" s="35" t="str">
        <f>IFERROR(__xludf.DUMMYFUNCTION("""COMPUTED_VALUE"""),"AP")</f>
        <v>AP</v>
      </c>
      <c r="Y490" s="34">
        <f>IFERROR(__xludf.DUMMYFUNCTION("""COMPUTED_VALUE"""),30.2)</f>
        <v>30.2</v>
      </c>
      <c r="Z490" s="35" t="str">
        <f>IFERROR(__xludf.DUMMYFUNCTION("""COMPUTED_VALUE"""),"%")</f>
        <v>%</v>
      </c>
      <c r="AA490" s="36">
        <f>IFERROR(__xludf.DUMMYFUNCTION("""COMPUTED_VALUE"""),3.0)</f>
        <v>3</v>
      </c>
      <c r="AB490" s="37" t="str">
        <f>IFERROR(__xludf.DUMMYFUNCTION("""COMPUTED_VALUE"""),"B116")</f>
        <v>B116</v>
      </c>
      <c r="AC490" s="38" t="str">
        <f>IFERROR(__xludf.DUMMYFUNCTION("""COMPUTED_VALUE"""),"")</f>
        <v/>
      </c>
      <c r="AD490" s="34">
        <f>IFERROR(__xludf.DUMMYFUNCTION("""COMPUTED_VALUE"""),84.2)</f>
        <v>84.2</v>
      </c>
      <c r="AE490" s="35" t="str">
        <f>IFERROR(__xludf.DUMMYFUNCTION("""COMPUTED_VALUE"""),"AP")</f>
        <v>AP</v>
      </c>
      <c r="AF490" s="34">
        <f>IFERROR(__xludf.DUMMYFUNCTION("""COMPUTED_VALUE"""),24.9)</f>
        <v>24.9</v>
      </c>
      <c r="AG490" s="35" t="str">
        <f>IFERROR(__xludf.DUMMYFUNCTION("""COMPUTED_VALUE"""),"%")</f>
        <v>%</v>
      </c>
      <c r="AH490" s="31">
        <f>IFERROR(__xludf.DUMMYFUNCTION("""COMPUTED_VALUE"""),21.0)</f>
        <v>21</v>
      </c>
      <c r="AI490" s="32">
        <f>IFERROR(__xludf.DUMMYFUNCTION("""COMPUTED_VALUE"""),32304.0)</f>
        <v>32304</v>
      </c>
      <c r="AJ490" s="39" t="str">
        <f>IFERROR(__xludf.DUMMYFUNCTION("""COMPUTED_VALUE"""),"ヤガ・トゥーラ")</f>
        <v>ヤガ・トゥーラ</v>
      </c>
    </row>
    <row r="491" ht="24.75" customHeight="1">
      <c r="A491" s="40">
        <f>IFERROR(__xludf.DUMMYFUNCTION("""COMPUTED_VALUE"""),6.0)</f>
        <v>6</v>
      </c>
      <c r="B491" s="40" t="str">
        <f>IFERROR(__xludf.DUMMYFUNCTION("""COMPUTED_VALUE"""),"A213")</f>
        <v>A213</v>
      </c>
      <c r="C491" s="40" t="str">
        <f>IFERROR(__xludf.DUMMYFUNCTION("""COMPUTED_VALUE"""),"ANA13")</f>
        <v>ANA13</v>
      </c>
      <c r="D491" s="41" t="str">
        <f>IFERROR(__xludf.DUMMYFUNCTION("""COMPUTED_VALUE"""),"Anastasia")</f>
        <v>Anastasia</v>
      </c>
      <c r="E491" s="42" t="str">
        <f>IFERROR(__xludf.DUMMYFUNCTION("""COMPUTED_VALUE"""),"Base of the Great Tree")</f>
        <v>Base of the Great Tree</v>
      </c>
      <c r="F491" s="43">
        <f>IFERROR(__xludf.DUMMYFUNCTION("""COMPUTED_VALUE"""),21.0)</f>
        <v>21</v>
      </c>
      <c r="G491" s="44">
        <f>IFERROR(__xludf.DUMMYFUNCTION("""COMPUTED_VALUE"""),13743.0)</f>
        <v>13743</v>
      </c>
      <c r="H491" s="33" t="str">
        <f>IFERROR(__xludf.DUMMYFUNCTION("""COMPUTED_VALUE"""),"")</f>
        <v/>
      </c>
      <c r="I491" s="45">
        <f>IFERROR(__xludf.DUMMYFUNCTION("""COMPUTED_VALUE"""),104.8)</f>
        <v>104.8</v>
      </c>
      <c r="J491" s="46" t="str">
        <f>IFERROR(__xludf.DUMMYFUNCTION("""COMPUTED_VALUE"""),"AP")</f>
        <v>AP</v>
      </c>
      <c r="K491" s="47">
        <f>IFERROR(__xludf.DUMMYFUNCTION("""COMPUTED_VALUE"""),20.0)</f>
        <v>20</v>
      </c>
      <c r="L491" s="48" t="str">
        <f>IFERROR(__xludf.DUMMYFUNCTION("""COMPUTED_VALUE"""),"%")</f>
        <v>%</v>
      </c>
      <c r="M491" s="49">
        <f>IFERROR(__xludf.DUMMYFUNCTION("""COMPUTED_VALUE"""),1.0)</f>
        <v>1</v>
      </c>
      <c r="N491" s="50" t="str">
        <f>IFERROR(__xludf.DUMMYFUNCTION("""COMPUTED_VALUE"""),"A304")</f>
        <v>A304</v>
      </c>
      <c r="O491" s="38" t="str">
        <f>IFERROR(__xludf.DUMMYFUNCTION("""COMPUTED_VALUE"""),"")</f>
        <v/>
      </c>
      <c r="P491" s="45">
        <f>IFERROR(__xludf.DUMMYFUNCTION("""COMPUTED_VALUE"""),69.9)</f>
        <v>69.9</v>
      </c>
      <c r="Q491" s="46" t="str">
        <f>IFERROR(__xludf.DUMMYFUNCTION("""COMPUTED_VALUE"""),"AP")</f>
        <v>AP</v>
      </c>
      <c r="R491" s="47">
        <f>IFERROR(__xludf.DUMMYFUNCTION("""COMPUTED_VALUE"""),30.0)</f>
        <v>30</v>
      </c>
      <c r="S491" s="48" t="str">
        <f>IFERROR(__xludf.DUMMYFUNCTION("""COMPUTED_VALUE"""),"%")</f>
        <v>%</v>
      </c>
      <c r="T491" s="49">
        <f>IFERROR(__xludf.DUMMYFUNCTION("""COMPUTED_VALUE"""),2.0)</f>
        <v>2</v>
      </c>
      <c r="U491" s="50" t="str">
        <f>IFERROR(__xludf.DUMMYFUNCTION("""COMPUTED_VALUE"""),"A306")</f>
        <v>A306</v>
      </c>
      <c r="V491" s="38" t="str">
        <f>IFERROR(__xludf.DUMMYFUNCTION("""COMPUTED_VALUE"""),"")</f>
        <v/>
      </c>
      <c r="W491" s="45">
        <f>IFERROR(__xludf.DUMMYFUNCTION("""COMPUTED_VALUE"""),71.4)</f>
        <v>71.4</v>
      </c>
      <c r="X491" s="46" t="str">
        <f>IFERROR(__xludf.DUMMYFUNCTION("""COMPUTED_VALUE"""),"AP")</f>
        <v>AP</v>
      </c>
      <c r="Y491" s="47">
        <f>IFERROR(__xludf.DUMMYFUNCTION("""COMPUTED_VALUE"""),29.4)</f>
        <v>29.4</v>
      </c>
      <c r="Z491" s="48" t="str">
        <f>IFERROR(__xludf.DUMMYFUNCTION("""COMPUTED_VALUE"""),"%")</f>
        <v>%</v>
      </c>
      <c r="AA491" s="49">
        <f>IFERROR(__xludf.DUMMYFUNCTION("""COMPUTED_VALUE"""),3.0)</f>
        <v>3</v>
      </c>
      <c r="AB491" s="50" t="str">
        <f>IFERROR(__xludf.DUMMYFUNCTION("""COMPUTED_VALUE"""),"B116")</f>
        <v>B116</v>
      </c>
      <c r="AC491" s="38" t="str">
        <f>IFERROR(__xludf.DUMMYFUNCTION("""COMPUTED_VALUE"""),"")</f>
        <v/>
      </c>
      <c r="AD491" s="45">
        <f>IFERROR(__xludf.DUMMYFUNCTION("""COMPUTED_VALUE"""),107.7)</f>
        <v>107.7</v>
      </c>
      <c r="AE491" s="46" t="str">
        <f>IFERROR(__xludf.DUMMYFUNCTION("""COMPUTED_VALUE"""),"AP")</f>
        <v>AP</v>
      </c>
      <c r="AF491" s="47">
        <f>IFERROR(__xludf.DUMMYFUNCTION("""COMPUTED_VALUE"""),19.5)</f>
        <v>19.5</v>
      </c>
      <c r="AG491" s="48" t="str">
        <f>IFERROR(__xludf.DUMMYFUNCTION("""COMPUTED_VALUE"""),"%")</f>
        <v>%</v>
      </c>
      <c r="AH491" s="43">
        <f>IFERROR(__xludf.DUMMYFUNCTION("""COMPUTED_VALUE"""),21.0)</f>
        <v>21</v>
      </c>
      <c r="AI491" s="44">
        <f>IFERROR(__xludf.DUMMYFUNCTION("""COMPUTED_VALUE"""),13743.0)</f>
        <v>13743</v>
      </c>
      <c r="AJ491" s="51" t="str">
        <f>IFERROR(__xludf.DUMMYFUNCTION("""COMPUTED_VALUE"""),"大樹の根元")</f>
        <v>大樹の根元</v>
      </c>
    </row>
    <row r="492" ht="24.75" customHeight="1">
      <c r="A492" s="28">
        <f>IFERROR(__xludf.DUMMYFUNCTION("""COMPUTED_VALUE"""),7.0)</f>
        <v>7</v>
      </c>
      <c r="B492" s="28" t="str">
        <f>IFERROR(__xludf.DUMMYFUNCTION("""COMPUTED_VALUE"""),"A213")</f>
        <v>A213</v>
      </c>
      <c r="C492" s="28"/>
      <c r="D492" s="29"/>
      <c r="E492" s="67"/>
      <c r="F492" s="31"/>
      <c r="G492" s="32"/>
      <c r="H492" s="33" t="str">
        <f>IFERROR(__xludf.DUMMYFUNCTION("""COMPUTED_VALUE""")," ")</f>
        <v> </v>
      </c>
      <c r="I492" s="34"/>
      <c r="J492" s="35" t="str">
        <f>IFERROR(__xludf.DUMMYFUNCTION("""COMPUTED_VALUE"""),"AP")</f>
        <v>AP</v>
      </c>
      <c r="K492" s="34"/>
      <c r="L492" s="35" t="str">
        <f>IFERROR(__xludf.DUMMYFUNCTION("""COMPUTED_VALUE"""),"%")</f>
        <v>%</v>
      </c>
      <c r="M492" s="36">
        <f>IFERROR(__xludf.DUMMYFUNCTION("""COMPUTED_VALUE"""),1.0)</f>
        <v>1</v>
      </c>
      <c r="N492" s="37"/>
      <c r="O492" s="38"/>
      <c r="P492" s="34" t="str">
        <f>IFERROR(__xludf.DUMMYFUNCTION("""COMPUTED_VALUE"""),"")</f>
        <v/>
      </c>
      <c r="Q492" s="35" t="str">
        <f>IFERROR(__xludf.DUMMYFUNCTION("""COMPUTED_VALUE"""),"AP")</f>
        <v>AP</v>
      </c>
      <c r="R492" s="34" t="str">
        <f>IFERROR(__xludf.DUMMYFUNCTION("""COMPUTED_VALUE"""),"")</f>
        <v/>
      </c>
      <c r="S492" s="35" t="str">
        <f>IFERROR(__xludf.DUMMYFUNCTION("""COMPUTED_VALUE"""),"%")</f>
        <v>%</v>
      </c>
      <c r="T492" s="36">
        <f>IFERROR(__xludf.DUMMYFUNCTION("""COMPUTED_VALUE"""),2.0)</f>
        <v>2</v>
      </c>
      <c r="U492" s="37"/>
      <c r="V492" s="38"/>
      <c r="W492" s="34" t="str">
        <f>IFERROR(__xludf.DUMMYFUNCTION("""COMPUTED_VALUE"""),"")</f>
        <v/>
      </c>
      <c r="X492" s="35" t="str">
        <f>IFERROR(__xludf.DUMMYFUNCTION("""COMPUTED_VALUE"""),"AP")</f>
        <v>AP</v>
      </c>
      <c r="Y492" s="34" t="str">
        <f>IFERROR(__xludf.DUMMYFUNCTION("""COMPUTED_VALUE"""),"")</f>
        <v/>
      </c>
      <c r="Z492" s="35" t="str">
        <f>IFERROR(__xludf.DUMMYFUNCTION("""COMPUTED_VALUE"""),"%")</f>
        <v>%</v>
      </c>
      <c r="AA492" s="36">
        <f>IFERROR(__xludf.DUMMYFUNCTION("""COMPUTED_VALUE"""),3.0)</f>
        <v>3</v>
      </c>
      <c r="AB492" s="37"/>
      <c r="AC492" s="38"/>
      <c r="AD492" s="34" t="str">
        <f>IFERROR(__xludf.DUMMYFUNCTION("""COMPUTED_VALUE"""),"")</f>
        <v/>
      </c>
      <c r="AE492" s="35" t="str">
        <f>IFERROR(__xludf.DUMMYFUNCTION("""COMPUTED_VALUE"""),"AP")</f>
        <v>AP</v>
      </c>
      <c r="AF492" s="34" t="str">
        <f>IFERROR(__xludf.DUMMYFUNCTION("""COMPUTED_VALUE"""),"")</f>
        <v/>
      </c>
      <c r="AG492" s="35" t="str">
        <f>IFERROR(__xludf.DUMMYFUNCTION("""COMPUTED_VALUE"""),"%")</f>
        <v>%</v>
      </c>
      <c r="AH492" s="31"/>
      <c r="AI492" s="32"/>
      <c r="AJ492" s="39"/>
    </row>
    <row r="493" ht="24.75" hidden="1" customHeight="1">
      <c r="A493" s="40">
        <f>IFERROR(__xludf.DUMMYFUNCTION("""COMPUTED_VALUE"""),8.0)</f>
        <v>8</v>
      </c>
      <c r="B493" s="40" t="str">
        <f>IFERROR(__xludf.DUMMYFUNCTION("""COMPUTED_VALUE"""),"A213")</f>
        <v>A213</v>
      </c>
      <c r="C493" s="40"/>
      <c r="D493" s="41"/>
      <c r="E493" s="66"/>
      <c r="F493" s="43"/>
      <c r="G493" s="44"/>
      <c r="H493" s="33" t="str">
        <f>IFERROR(__xludf.DUMMYFUNCTION("""COMPUTED_VALUE""")," ")</f>
        <v> </v>
      </c>
      <c r="I493" s="45"/>
      <c r="J493" s="46" t="str">
        <f>IFERROR(__xludf.DUMMYFUNCTION("""COMPUTED_VALUE"""),"AP")</f>
        <v>AP</v>
      </c>
      <c r="K493" s="47"/>
      <c r="L493" s="48" t="str">
        <f>IFERROR(__xludf.DUMMYFUNCTION("""COMPUTED_VALUE"""),"%")</f>
        <v>%</v>
      </c>
      <c r="M493" s="49">
        <f>IFERROR(__xludf.DUMMYFUNCTION("""COMPUTED_VALUE"""),1.0)</f>
        <v>1</v>
      </c>
      <c r="N493" s="50"/>
      <c r="O493" s="38"/>
      <c r="P493" s="45" t="str">
        <f>IFERROR(__xludf.DUMMYFUNCTION("""COMPUTED_VALUE"""),"")</f>
        <v/>
      </c>
      <c r="Q493" s="46" t="str">
        <f>IFERROR(__xludf.DUMMYFUNCTION("""COMPUTED_VALUE"""),"AP")</f>
        <v>AP</v>
      </c>
      <c r="R493" s="47" t="str">
        <f>IFERROR(__xludf.DUMMYFUNCTION("""COMPUTED_VALUE"""),"")</f>
        <v/>
      </c>
      <c r="S493" s="48" t="str">
        <f>IFERROR(__xludf.DUMMYFUNCTION("""COMPUTED_VALUE"""),"%")</f>
        <v>%</v>
      </c>
      <c r="T493" s="49">
        <f>IFERROR(__xludf.DUMMYFUNCTION("""COMPUTED_VALUE"""),2.0)</f>
        <v>2</v>
      </c>
      <c r="U493" s="50"/>
      <c r="V493" s="38"/>
      <c r="W493" s="45" t="str">
        <f>IFERROR(__xludf.DUMMYFUNCTION("""COMPUTED_VALUE"""),"")</f>
        <v/>
      </c>
      <c r="X493" s="46" t="str">
        <f>IFERROR(__xludf.DUMMYFUNCTION("""COMPUTED_VALUE"""),"AP")</f>
        <v>AP</v>
      </c>
      <c r="Y493" s="47" t="str">
        <f>IFERROR(__xludf.DUMMYFUNCTION("""COMPUTED_VALUE"""),"")</f>
        <v/>
      </c>
      <c r="Z493" s="48" t="str">
        <f>IFERROR(__xludf.DUMMYFUNCTION("""COMPUTED_VALUE"""),"%")</f>
        <v>%</v>
      </c>
      <c r="AA493" s="49">
        <f>IFERROR(__xludf.DUMMYFUNCTION("""COMPUTED_VALUE"""),3.0)</f>
        <v>3</v>
      </c>
      <c r="AB493" s="50"/>
      <c r="AC493" s="38"/>
      <c r="AD493" s="45" t="str">
        <f>IFERROR(__xludf.DUMMYFUNCTION("""COMPUTED_VALUE"""),"")</f>
        <v/>
      </c>
      <c r="AE493" s="46" t="str">
        <f>IFERROR(__xludf.DUMMYFUNCTION("""COMPUTED_VALUE"""),"AP")</f>
        <v>AP</v>
      </c>
      <c r="AF493" s="47" t="str">
        <f>IFERROR(__xludf.DUMMYFUNCTION("""COMPUTED_VALUE"""),"")</f>
        <v/>
      </c>
      <c r="AG493" s="48" t="str">
        <f>IFERROR(__xludf.DUMMYFUNCTION("""COMPUTED_VALUE"""),"%")</f>
        <v>%</v>
      </c>
      <c r="AH493" s="43"/>
      <c r="AI493" s="44"/>
      <c r="AJ493" s="51"/>
    </row>
    <row r="494" ht="24.75" hidden="1" customHeight="1">
      <c r="A494" s="28">
        <f>IFERROR(__xludf.DUMMYFUNCTION("""COMPUTED_VALUE"""),9.0)</f>
        <v>9</v>
      </c>
      <c r="B494" s="28" t="str">
        <f>IFERROR(__xludf.DUMMYFUNCTION("""COMPUTED_VALUE"""),"A213")</f>
        <v>A213</v>
      </c>
      <c r="C494" s="28"/>
      <c r="D494" s="29"/>
      <c r="E494" s="67"/>
      <c r="F494" s="31"/>
      <c r="G494" s="32"/>
      <c r="H494" s="33" t="str">
        <f>IFERROR(__xludf.DUMMYFUNCTION("""COMPUTED_VALUE""")," ")</f>
        <v> </v>
      </c>
      <c r="I494" s="34"/>
      <c r="J494" s="35" t="str">
        <f>IFERROR(__xludf.DUMMYFUNCTION("""COMPUTED_VALUE"""),"AP")</f>
        <v>AP</v>
      </c>
      <c r="K494" s="34"/>
      <c r="L494" s="35" t="str">
        <f>IFERROR(__xludf.DUMMYFUNCTION("""COMPUTED_VALUE"""),"%")</f>
        <v>%</v>
      </c>
      <c r="M494" s="36">
        <f>IFERROR(__xludf.DUMMYFUNCTION("""COMPUTED_VALUE"""),1.0)</f>
        <v>1</v>
      </c>
      <c r="N494" s="37"/>
      <c r="O494" s="38"/>
      <c r="P494" s="34" t="str">
        <f>IFERROR(__xludf.DUMMYFUNCTION("""COMPUTED_VALUE"""),"")</f>
        <v/>
      </c>
      <c r="Q494" s="35" t="str">
        <f>IFERROR(__xludf.DUMMYFUNCTION("""COMPUTED_VALUE"""),"AP")</f>
        <v>AP</v>
      </c>
      <c r="R494" s="34" t="str">
        <f>IFERROR(__xludf.DUMMYFUNCTION("""COMPUTED_VALUE"""),"")</f>
        <v/>
      </c>
      <c r="S494" s="35" t="str">
        <f>IFERROR(__xludf.DUMMYFUNCTION("""COMPUTED_VALUE"""),"%")</f>
        <v>%</v>
      </c>
      <c r="T494" s="36">
        <f>IFERROR(__xludf.DUMMYFUNCTION("""COMPUTED_VALUE"""),2.0)</f>
        <v>2</v>
      </c>
      <c r="U494" s="37"/>
      <c r="V494" s="38"/>
      <c r="W494" s="34" t="str">
        <f>IFERROR(__xludf.DUMMYFUNCTION("""COMPUTED_VALUE"""),"")</f>
        <v/>
      </c>
      <c r="X494" s="35" t="str">
        <f>IFERROR(__xludf.DUMMYFUNCTION("""COMPUTED_VALUE"""),"AP")</f>
        <v>AP</v>
      </c>
      <c r="Y494" s="34" t="str">
        <f>IFERROR(__xludf.DUMMYFUNCTION("""COMPUTED_VALUE"""),"")</f>
        <v/>
      </c>
      <c r="Z494" s="35" t="str">
        <f>IFERROR(__xludf.DUMMYFUNCTION("""COMPUTED_VALUE"""),"%")</f>
        <v>%</v>
      </c>
      <c r="AA494" s="36">
        <f>IFERROR(__xludf.DUMMYFUNCTION("""COMPUTED_VALUE"""),3.0)</f>
        <v>3</v>
      </c>
      <c r="AB494" s="37"/>
      <c r="AC494" s="38"/>
      <c r="AD494" s="34" t="str">
        <f>IFERROR(__xludf.DUMMYFUNCTION("""COMPUTED_VALUE"""),"")</f>
        <v/>
      </c>
      <c r="AE494" s="35" t="str">
        <f>IFERROR(__xludf.DUMMYFUNCTION("""COMPUTED_VALUE"""),"AP")</f>
        <v>AP</v>
      </c>
      <c r="AF494" s="34" t="str">
        <f>IFERROR(__xludf.DUMMYFUNCTION("""COMPUTED_VALUE"""),"")</f>
        <v/>
      </c>
      <c r="AG494" s="35" t="str">
        <f>IFERROR(__xludf.DUMMYFUNCTION("""COMPUTED_VALUE"""),"%")</f>
        <v>%</v>
      </c>
      <c r="AH494" s="31"/>
      <c r="AI494" s="32"/>
      <c r="AJ494" s="39"/>
    </row>
    <row r="495" ht="24.75" hidden="1" customHeight="1">
      <c r="A495" s="40">
        <f>IFERROR(__xludf.DUMMYFUNCTION("""COMPUTED_VALUE"""),10.0)</f>
        <v>10</v>
      </c>
      <c r="B495" s="40" t="str">
        <f>IFERROR(__xludf.DUMMYFUNCTION("""COMPUTED_VALUE"""),"A213")</f>
        <v>A213</v>
      </c>
      <c r="C495" s="40"/>
      <c r="D495" s="41"/>
      <c r="E495" s="66"/>
      <c r="F495" s="43"/>
      <c r="G495" s="44"/>
      <c r="H495" s="33" t="str">
        <f>IFERROR(__xludf.DUMMYFUNCTION("""COMPUTED_VALUE""")," ")</f>
        <v> </v>
      </c>
      <c r="I495" s="45"/>
      <c r="J495" s="46" t="str">
        <f>IFERROR(__xludf.DUMMYFUNCTION("""COMPUTED_VALUE"""),"AP")</f>
        <v>AP</v>
      </c>
      <c r="K495" s="47"/>
      <c r="L495" s="48" t="str">
        <f>IFERROR(__xludf.DUMMYFUNCTION("""COMPUTED_VALUE"""),"%")</f>
        <v>%</v>
      </c>
      <c r="M495" s="49">
        <f>IFERROR(__xludf.DUMMYFUNCTION("""COMPUTED_VALUE"""),1.0)</f>
        <v>1</v>
      </c>
      <c r="N495" s="50"/>
      <c r="O495" s="38"/>
      <c r="P495" s="45" t="str">
        <f>IFERROR(__xludf.DUMMYFUNCTION("""COMPUTED_VALUE"""),"")</f>
        <v/>
      </c>
      <c r="Q495" s="46" t="str">
        <f>IFERROR(__xludf.DUMMYFUNCTION("""COMPUTED_VALUE"""),"AP")</f>
        <v>AP</v>
      </c>
      <c r="R495" s="47" t="str">
        <f>IFERROR(__xludf.DUMMYFUNCTION("""COMPUTED_VALUE"""),"")</f>
        <v/>
      </c>
      <c r="S495" s="48" t="str">
        <f>IFERROR(__xludf.DUMMYFUNCTION("""COMPUTED_VALUE"""),"%")</f>
        <v>%</v>
      </c>
      <c r="T495" s="49">
        <f>IFERROR(__xludf.DUMMYFUNCTION("""COMPUTED_VALUE"""),2.0)</f>
        <v>2</v>
      </c>
      <c r="U495" s="50"/>
      <c r="V495" s="38"/>
      <c r="W495" s="45" t="str">
        <f>IFERROR(__xludf.DUMMYFUNCTION("""COMPUTED_VALUE"""),"")</f>
        <v/>
      </c>
      <c r="X495" s="46" t="str">
        <f>IFERROR(__xludf.DUMMYFUNCTION("""COMPUTED_VALUE"""),"AP")</f>
        <v>AP</v>
      </c>
      <c r="Y495" s="47" t="str">
        <f>IFERROR(__xludf.DUMMYFUNCTION("""COMPUTED_VALUE"""),"")</f>
        <v/>
      </c>
      <c r="Z495" s="48" t="str">
        <f>IFERROR(__xludf.DUMMYFUNCTION("""COMPUTED_VALUE"""),"%")</f>
        <v>%</v>
      </c>
      <c r="AA495" s="49">
        <f>IFERROR(__xludf.DUMMYFUNCTION("""COMPUTED_VALUE"""),3.0)</f>
        <v>3</v>
      </c>
      <c r="AB495" s="50"/>
      <c r="AC495" s="38"/>
      <c r="AD495" s="45" t="str">
        <f>IFERROR(__xludf.DUMMYFUNCTION("""COMPUTED_VALUE"""),"")</f>
        <v/>
      </c>
      <c r="AE495" s="46" t="str">
        <f>IFERROR(__xludf.DUMMYFUNCTION("""COMPUTED_VALUE"""),"AP")</f>
        <v>AP</v>
      </c>
      <c r="AF495" s="47" t="str">
        <f>IFERROR(__xludf.DUMMYFUNCTION("""COMPUTED_VALUE"""),"")</f>
        <v/>
      </c>
      <c r="AG495" s="48" t="str">
        <f>IFERROR(__xludf.DUMMYFUNCTION("""COMPUTED_VALUE"""),"%")</f>
        <v>%</v>
      </c>
      <c r="AH495" s="43"/>
      <c r="AI495" s="44"/>
      <c r="AJ495" s="51"/>
    </row>
    <row r="496" ht="24.75" hidden="1" customHeight="1">
      <c r="A496" s="28">
        <f>IFERROR(__xludf.DUMMYFUNCTION("""COMPUTED_VALUE"""),11.0)</f>
        <v>11</v>
      </c>
      <c r="B496" s="28" t="str">
        <f>IFERROR(__xludf.DUMMYFUNCTION("""COMPUTED_VALUE"""),"A213")</f>
        <v>A213</v>
      </c>
      <c r="C496" s="28"/>
      <c r="D496" s="29"/>
      <c r="E496" s="67"/>
      <c r="F496" s="31"/>
      <c r="G496" s="32"/>
      <c r="H496" s="33" t="str">
        <f>IFERROR(__xludf.DUMMYFUNCTION("""COMPUTED_VALUE""")," ")</f>
        <v> </v>
      </c>
      <c r="I496" s="34"/>
      <c r="J496" s="35" t="str">
        <f>IFERROR(__xludf.DUMMYFUNCTION("""COMPUTED_VALUE"""),"AP")</f>
        <v>AP</v>
      </c>
      <c r="K496" s="34"/>
      <c r="L496" s="35" t="str">
        <f>IFERROR(__xludf.DUMMYFUNCTION("""COMPUTED_VALUE"""),"%")</f>
        <v>%</v>
      </c>
      <c r="M496" s="36">
        <f>IFERROR(__xludf.DUMMYFUNCTION("""COMPUTED_VALUE"""),1.0)</f>
        <v>1</v>
      </c>
      <c r="N496" s="37"/>
      <c r="O496" s="38"/>
      <c r="P496" s="34" t="str">
        <f>IFERROR(__xludf.DUMMYFUNCTION("""COMPUTED_VALUE"""),"")</f>
        <v/>
      </c>
      <c r="Q496" s="35" t="str">
        <f>IFERROR(__xludf.DUMMYFUNCTION("""COMPUTED_VALUE"""),"AP")</f>
        <v>AP</v>
      </c>
      <c r="R496" s="34" t="str">
        <f>IFERROR(__xludf.DUMMYFUNCTION("""COMPUTED_VALUE"""),"")</f>
        <v/>
      </c>
      <c r="S496" s="35" t="str">
        <f>IFERROR(__xludf.DUMMYFUNCTION("""COMPUTED_VALUE"""),"%")</f>
        <v>%</v>
      </c>
      <c r="T496" s="36">
        <f>IFERROR(__xludf.DUMMYFUNCTION("""COMPUTED_VALUE"""),2.0)</f>
        <v>2</v>
      </c>
      <c r="U496" s="37"/>
      <c r="V496" s="38"/>
      <c r="W496" s="34" t="str">
        <f>IFERROR(__xludf.DUMMYFUNCTION("""COMPUTED_VALUE"""),"")</f>
        <v/>
      </c>
      <c r="X496" s="35" t="str">
        <f>IFERROR(__xludf.DUMMYFUNCTION("""COMPUTED_VALUE"""),"AP")</f>
        <v>AP</v>
      </c>
      <c r="Y496" s="34" t="str">
        <f>IFERROR(__xludf.DUMMYFUNCTION("""COMPUTED_VALUE"""),"")</f>
        <v/>
      </c>
      <c r="Z496" s="35" t="str">
        <f>IFERROR(__xludf.DUMMYFUNCTION("""COMPUTED_VALUE"""),"%")</f>
        <v>%</v>
      </c>
      <c r="AA496" s="36">
        <f>IFERROR(__xludf.DUMMYFUNCTION("""COMPUTED_VALUE"""),3.0)</f>
        <v>3</v>
      </c>
      <c r="AB496" s="37"/>
      <c r="AC496" s="38"/>
      <c r="AD496" s="34" t="str">
        <f>IFERROR(__xludf.DUMMYFUNCTION("""COMPUTED_VALUE"""),"")</f>
        <v/>
      </c>
      <c r="AE496" s="35" t="str">
        <f>IFERROR(__xludf.DUMMYFUNCTION("""COMPUTED_VALUE"""),"AP")</f>
        <v>AP</v>
      </c>
      <c r="AF496" s="34" t="str">
        <f>IFERROR(__xludf.DUMMYFUNCTION("""COMPUTED_VALUE"""),"")</f>
        <v/>
      </c>
      <c r="AG496" s="35" t="str">
        <f>IFERROR(__xludf.DUMMYFUNCTION("""COMPUTED_VALUE"""),"%")</f>
        <v>%</v>
      </c>
      <c r="AH496" s="31"/>
      <c r="AI496" s="32"/>
      <c r="AJ496" s="39"/>
    </row>
    <row r="497" ht="24.75" hidden="1" customHeight="1">
      <c r="A497" s="40">
        <f>IFERROR(__xludf.DUMMYFUNCTION("""COMPUTED_VALUE"""),12.0)</f>
        <v>12</v>
      </c>
      <c r="B497" s="40" t="str">
        <f>IFERROR(__xludf.DUMMYFUNCTION("""COMPUTED_VALUE"""),"A213")</f>
        <v>A213</v>
      </c>
      <c r="C497" s="40"/>
      <c r="D497" s="41"/>
      <c r="E497" s="66"/>
      <c r="F497" s="43"/>
      <c r="G497" s="44"/>
      <c r="H497" s="33" t="str">
        <f>IFERROR(__xludf.DUMMYFUNCTION("""COMPUTED_VALUE""")," ")</f>
        <v> </v>
      </c>
      <c r="I497" s="45"/>
      <c r="J497" s="46" t="str">
        <f>IFERROR(__xludf.DUMMYFUNCTION("""COMPUTED_VALUE"""),"AP")</f>
        <v>AP</v>
      </c>
      <c r="K497" s="47"/>
      <c r="L497" s="48" t="str">
        <f>IFERROR(__xludf.DUMMYFUNCTION("""COMPUTED_VALUE"""),"%")</f>
        <v>%</v>
      </c>
      <c r="M497" s="49">
        <f>IFERROR(__xludf.DUMMYFUNCTION("""COMPUTED_VALUE"""),1.0)</f>
        <v>1</v>
      </c>
      <c r="N497" s="50"/>
      <c r="O497" s="38"/>
      <c r="P497" s="45" t="str">
        <f>IFERROR(__xludf.DUMMYFUNCTION("""COMPUTED_VALUE"""),"")</f>
        <v/>
      </c>
      <c r="Q497" s="46" t="str">
        <f>IFERROR(__xludf.DUMMYFUNCTION("""COMPUTED_VALUE"""),"AP")</f>
        <v>AP</v>
      </c>
      <c r="R497" s="47" t="str">
        <f>IFERROR(__xludf.DUMMYFUNCTION("""COMPUTED_VALUE"""),"")</f>
        <v/>
      </c>
      <c r="S497" s="48" t="str">
        <f>IFERROR(__xludf.DUMMYFUNCTION("""COMPUTED_VALUE"""),"%")</f>
        <v>%</v>
      </c>
      <c r="T497" s="49">
        <f>IFERROR(__xludf.DUMMYFUNCTION("""COMPUTED_VALUE"""),2.0)</f>
        <v>2</v>
      </c>
      <c r="U497" s="50"/>
      <c r="V497" s="38"/>
      <c r="W497" s="45" t="str">
        <f>IFERROR(__xludf.DUMMYFUNCTION("""COMPUTED_VALUE"""),"")</f>
        <v/>
      </c>
      <c r="X497" s="46" t="str">
        <f>IFERROR(__xludf.DUMMYFUNCTION("""COMPUTED_VALUE"""),"AP")</f>
        <v>AP</v>
      </c>
      <c r="Y497" s="47" t="str">
        <f>IFERROR(__xludf.DUMMYFUNCTION("""COMPUTED_VALUE"""),"")</f>
        <v/>
      </c>
      <c r="Z497" s="48" t="str">
        <f>IFERROR(__xludf.DUMMYFUNCTION("""COMPUTED_VALUE"""),"%")</f>
        <v>%</v>
      </c>
      <c r="AA497" s="49">
        <f>IFERROR(__xludf.DUMMYFUNCTION("""COMPUTED_VALUE"""),3.0)</f>
        <v>3</v>
      </c>
      <c r="AB497" s="50"/>
      <c r="AC497" s="38"/>
      <c r="AD497" s="45" t="str">
        <f>IFERROR(__xludf.DUMMYFUNCTION("""COMPUTED_VALUE"""),"")</f>
        <v/>
      </c>
      <c r="AE497" s="46" t="str">
        <f>IFERROR(__xludf.DUMMYFUNCTION("""COMPUTED_VALUE"""),"AP")</f>
        <v>AP</v>
      </c>
      <c r="AF497" s="47" t="str">
        <f>IFERROR(__xludf.DUMMYFUNCTION("""COMPUTED_VALUE"""),"")</f>
        <v/>
      </c>
      <c r="AG497" s="48" t="str">
        <f>IFERROR(__xludf.DUMMYFUNCTION("""COMPUTED_VALUE"""),"%")</f>
        <v>%</v>
      </c>
      <c r="AH497" s="43"/>
      <c r="AI497" s="44"/>
      <c r="AJ497" s="51"/>
    </row>
    <row r="498" ht="24.75" hidden="1" customHeight="1">
      <c r="A498" s="28">
        <f>IFERROR(__xludf.DUMMYFUNCTION("""COMPUTED_VALUE"""),13.0)</f>
        <v>13</v>
      </c>
      <c r="B498" s="28" t="str">
        <f>IFERROR(__xludf.DUMMYFUNCTION("""COMPUTED_VALUE"""),"A213")</f>
        <v>A213</v>
      </c>
      <c r="C498" s="28"/>
      <c r="D498" s="29"/>
      <c r="E498" s="67"/>
      <c r="F498" s="31"/>
      <c r="G498" s="32"/>
      <c r="H498" s="33" t="str">
        <f>IFERROR(__xludf.DUMMYFUNCTION("""COMPUTED_VALUE""")," ")</f>
        <v> </v>
      </c>
      <c r="I498" s="34"/>
      <c r="J498" s="35" t="str">
        <f>IFERROR(__xludf.DUMMYFUNCTION("""COMPUTED_VALUE"""),"AP")</f>
        <v>AP</v>
      </c>
      <c r="K498" s="34"/>
      <c r="L498" s="35" t="str">
        <f>IFERROR(__xludf.DUMMYFUNCTION("""COMPUTED_VALUE"""),"%")</f>
        <v>%</v>
      </c>
      <c r="M498" s="36">
        <f>IFERROR(__xludf.DUMMYFUNCTION("""COMPUTED_VALUE"""),1.0)</f>
        <v>1</v>
      </c>
      <c r="N498" s="37"/>
      <c r="O498" s="38"/>
      <c r="P498" s="34" t="str">
        <f>IFERROR(__xludf.DUMMYFUNCTION("""COMPUTED_VALUE"""),"")</f>
        <v/>
      </c>
      <c r="Q498" s="35" t="str">
        <f>IFERROR(__xludf.DUMMYFUNCTION("""COMPUTED_VALUE"""),"AP")</f>
        <v>AP</v>
      </c>
      <c r="R498" s="34" t="str">
        <f>IFERROR(__xludf.DUMMYFUNCTION("""COMPUTED_VALUE"""),"")</f>
        <v/>
      </c>
      <c r="S498" s="35" t="str">
        <f>IFERROR(__xludf.DUMMYFUNCTION("""COMPUTED_VALUE"""),"%")</f>
        <v>%</v>
      </c>
      <c r="T498" s="36">
        <f>IFERROR(__xludf.DUMMYFUNCTION("""COMPUTED_VALUE"""),2.0)</f>
        <v>2</v>
      </c>
      <c r="U498" s="37"/>
      <c r="V498" s="38"/>
      <c r="W498" s="34" t="str">
        <f>IFERROR(__xludf.DUMMYFUNCTION("""COMPUTED_VALUE"""),"")</f>
        <v/>
      </c>
      <c r="X498" s="35" t="str">
        <f>IFERROR(__xludf.DUMMYFUNCTION("""COMPUTED_VALUE"""),"AP")</f>
        <v>AP</v>
      </c>
      <c r="Y498" s="34" t="str">
        <f>IFERROR(__xludf.DUMMYFUNCTION("""COMPUTED_VALUE"""),"")</f>
        <v/>
      </c>
      <c r="Z498" s="35" t="str">
        <f>IFERROR(__xludf.DUMMYFUNCTION("""COMPUTED_VALUE"""),"%")</f>
        <v>%</v>
      </c>
      <c r="AA498" s="36">
        <f>IFERROR(__xludf.DUMMYFUNCTION("""COMPUTED_VALUE"""),3.0)</f>
        <v>3</v>
      </c>
      <c r="AB498" s="37"/>
      <c r="AC498" s="38"/>
      <c r="AD498" s="34" t="str">
        <f>IFERROR(__xludf.DUMMYFUNCTION("""COMPUTED_VALUE"""),"")</f>
        <v/>
      </c>
      <c r="AE498" s="35" t="str">
        <f>IFERROR(__xludf.DUMMYFUNCTION("""COMPUTED_VALUE"""),"AP")</f>
        <v>AP</v>
      </c>
      <c r="AF498" s="34" t="str">
        <f>IFERROR(__xludf.DUMMYFUNCTION("""COMPUTED_VALUE"""),"")</f>
        <v/>
      </c>
      <c r="AG498" s="35" t="str">
        <f>IFERROR(__xludf.DUMMYFUNCTION("""COMPUTED_VALUE"""),"%")</f>
        <v>%</v>
      </c>
      <c r="AH498" s="31"/>
      <c r="AI498" s="32"/>
      <c r="AJ498" s="39"/>
    </row>
    <row r="499" ht="24.75" hidden="1" customHeight="1">
      <c r="A499" s="40">
        <f>IFERROR(__xludf.DUMMYFUNCTION("""COMPUTED_VALUE"""),14.0)</f>
        <v>14</v>
      </c>
      <c r="B499" s="40" t="str">
        <f>IFERROR(__xludf.DUMMYFUNCTION("""COMPUTED_VALUE"""),"A213")</f>
        <v>A213</v>
      </c>
      <c r="C499" s="40"/>
      <c r="D499" s="41"/>
      <c r="E499" s="66"/>
      <c r="F499" s="43"/>
      <c r="G499" s="44"/>
      <c r="H499" s="33" t="str">
        <f>IFERROR(__xludf.DUMMYFUNCTION("""COMPUTED_VALUE""")," ")</f>
        <v> </v>
      </c>
      <c r="I499" s="45"/>
      <c r="J499" s="46" t="str">
        <f>IFERROR(__xludf.DUMMYFUNCTION("""COMPUTED_VALUE"""),"AP")</f>
        <v>AP</v>
      </c>
      <c r="K499" s="47"/>
      <c r="L499" s="48" t="str">
        <f>IFERROR(__xludf.DUMMYFUNCTION("""COMPUTED_VALUE"""),"%")</f>
        <v>%</v>
      </c>
      <c r="M499" s="49">
        <f>IFERROR(__xludf.DUMMYFUNCTION("""COMPUTED_VALUE"""),1.0)</f>
        <v>1</v>
      </c>
      <c r="N499" s="50"/>
      <c r="O499" s="38"/>
      <c r="P499" s="45" t="str">
        <f>IFERROR(__xludf.DUMMYFUNCTION("""COMPUTED_VALUE"""),"")</f>
        <v/>
      </c>
      <c r="Q499" s="46" t="str">
        <f>IFERROR(__xludf.DUMMYFUNCTION("""COMPUTED_VALUE"""),"AP")</f>
        <v>AP</v>
      </c>
      <c r="R499" s="47" t="str">
        <f>IFERROR(__xludf.DUMMYFUNCTION("""COMPUTED_VALUE"""),"")</f>
        <v/>
      </c>
      <c r="S499" s="48" t="str">
        <f>IFERROR(__xludf.DUMMYFUNCTION("""COMPUTED_VALUE"""),"%")</f>
        <v>%</v>
      </c>
      <c r="T499" s="49">
        <f>IFERROR(__xludf.DUMMYFUNCTION("""COMPUTED_VALUE"""),2.0)</f>
        <v>2</v>
      </c>
      <c r="U499" s="50"/>
      <c r="V499" s="38"/>
      <c r="W499" s="45" t="str">
        <f>IFERROR(__xludf.DUMMYFUNCTION("""COMPUTED_VALUE"""),"")</f>
        <v/>
      </c>
      <c r="X499" s="46" t="str">
        <f>IFERROR(__xludf.DUMMYFUNCTION("""COMPUTED_VALUE"""),"AP")</f>
        <v>AP</v>
      </c>
      <c r="Y499" s="47" t="str">
        <f>IFERROR(__xludf.DUMMYFUNCTION("""COMPUTED_VALUE"""),"")</f>
        <v/>
      </c>
      <c r="Z499" s="48" t="str">
        <f>IFERROR(__xludf.DUMMYFUNCTION("""COMPUTED_VALUE"""),"%")</f>
        <v>%</v>
      </c>
      <c r="AA499" s="49">
        <f>IFERROR(__xludf.DUMMYFUNCTION("""COMPUTED_VALUE"""),3.0)</f>
        <v>3</v>
      </c>
      <c r="AB499" s="50"/>
      <c r="AC499" s="38"/>
      <c r="AD499" s="45" t="str">
        <f>IFERROR(__xludf.DUMMYFUNCTION("""COMPUTED_VALUE"""),"")</f>
        <v/>
      </c>
      <c r="AE499" s="46" t="str">
        <f>IFERROR(__xludf.DUMMYFUNCTION("""COMPUTED_VALUE"""),"AP")</f>
        <v>AP</v>
      </c>
      <c r="AF499" s="47" t="str">
        <f>IFERROR(__xludf.DUMMYFUNCTION("""COMPUTED_VALUE"""),"")</f>
        <v/>
      </c>
      <c r="AG499" s="48" t="str">
        <f>IFERROR(__xludf.DUMMYFUNCTION("""COMPUTED_VALUE"""),"%")</f>
        <v>%</v>
      </c>
      <c r="AH499" s="43"/>
      <c r="AI499" s="44"/>
      <c r="AJ499" s="51"/>
    </row>
    <row r="500" ht="24.75" hidden="1" customHeight="1">
      <c r="A500" s="28">
        <f>IFERROR(__xludf.DUMMYFUNCTION("""COMPUTED_VALUE"""),15.0)</f>
        <v>15</v>
      </c>
      <c r="B500" s="28" t="str">
        <f>IFERROR(__xludf.DUMMYFUNCTION("""COMPUTED_VALUE"""),"A213")</f>
        <v>A213</v>
      </c>
      <c r="C500" s="28"/>
      <c r="D500" s="29"/>
      <c r="E500" s="67"/>
      <c r="F500" s="31"/>
      <c r="G500" s="32"/>
      <c r="H500" s="33" t="str">
        <f>IFERROR(__xludf.DUMMYFUNCTION("""COMPUTED_VALUE""")," ")</f>
        <v> </v>
      </c>
      <c r="I500" s="34"/>
      <c r="J500" s="35" t="str">
        <f>IFERROR(__xludf.DUMMYFUNCTION("""COMPUTED_VALUE"""),"AP")</f>
        <v>AP</v>
      </c>
      <c r="K500" s="34"/>
      <c r="L500" s="35" t="str">
        <f>IFERROR(__xludf.DUMMYFUNCTION("""COMPUTED_VALUE"""),"%")</f>
        <v>%</v>
      </c>
      <c r="M500" s="36">
        <f>IFERROR(__xludf.DUMMYFUNCTION("""COMPUTED_VALUE"""),1.0)</f>
        <v>1</v>
      </c>
      <c r="N500" s="37"/>
      <c r="O500" s="38"/>
      <c r="P500" s="34" t="str">
        <f>IFERROR(__xludf.DUMMYFUNCTION("""COMPUTED_VALUE"""),"")</f>
        <v/>
      </c>
      <c r="Q500" s="35" t="str">
        <f>IFERROR(__xludf.DUMMYFUNCTION("""COMPUTED_VALUE"""),"AP")</f>
        <v>AP</v>
      </c>
      <c r="R500" s="34" t="str">
        <f>IFERROR(__xludf.DUMMYFUNCTION("""COMPUTED_VALUE"""),"")</f>
        <v/>
      </c>
      <c r="S500" s="35" t="str">
        <f>IFERROR(__xludf.DUMMYFUNCTION("""COMPUTED_VALUE"""),"%")</f>
        <v>%</v>
      </c>
      <c r="T500" s="36">
        <f>IFERROR(__xludf.DUMMYFUNCTION("""COMPUTED_VALUE"""),2.0)</f>
        <v>2</v>
      </c>
      <c r="U500" s="37"/>
      <c r="V500" s="38"/>
      <c r="W500" s="34" t="str">
        <f>IFERROR(__xludf.DUMMYFUNCTION("""COMPUTED_VALUE"""),"")</f>
        <v/>
      </c>
      <c r="X500" s="35" t="str">
        <f>IFERROR(__xludf.DUMMYFUNCTION("""COMPUTED_VALUE"""),"AP")</f>
        <v>AP</v>
      </c>
      <c r="Y500" s="34" t="str">
        <f>IFERROR(__xludf.DUMMYFUNCTION("""COMPUTED_VALUE"""),"")</f>
        <v/>
      </c>
      <c r="Z500" s="35" t="str">
        <f>IFERROR(__xludf.DUMMYFUNCTION("""COMPUTED_VALUE"""),"%")</f>
        <v>%</v>
      </c>
      <c r="AA500" s="36">
        <f>IFERROR(__xludf.DUMMYFUNCTION("""COMPUTED_VALUE"""),3.0)</f>
        <v>3</v>
      </c>
      <c r="AB500" s="37"/>
      <c r="AC500" s="38"/>
      <c r="AD500" s="34" t="str">
        <f>IFERROR(__xludf.DUMMYFUNCTION("""COMPUTED_VALUE"""),"")</f>
        <v/>
      </c>
      <c r="AE500" s="35" t="str">
        <f>IFERROR(__xludf.DUMMYFUNCTION("""COMPUTED_VALUE"""),"AP")</f>
        <v>AP</v>
      </c>
      <c r="AF500" s="34" t="str">
        <f>IFERROR(__xludf.DUMMYFUNCTION("""COMPUTED_VALUE"""),"")</f>
        <v/>
      </c>
      <c r="AG500" s="35" t="str">
        <f>IFERROR(__xludf.DUMMYFUNCTION("""COMPUTED_VALUE"""),"%")</f>
        <v>%</v>
      </c>
      <c r="AH500" s="31"/>
      <c r="AI500" s="32"/>
      <c r="AJ500" s="39"/>
    </row>
    <row r="501" ht="24.75" hidden="1" customHeight="1">
      <c r="A501" s="40">
        <f>IFERROR(__xludf.DUMMYFUNCTION("""COMPUTED_VALUE"""),16.0)</f>
        <v>16</v>
      </c>
      <c r="B501" s="40" t="str">
        <f>IFERROR(__xludf.DUMMYFUNCTION("""COMPUTED_VALUE"""),"A213")</f>
        <v>A213</v>
      </c>
      <c r="C501" s="40"/>
      <c r="D501" s="41"/>
      <c r="E501" s="66"/>
      <c r="F501" s="43"/>
      <c r="G501" s="44"/>
      <c r="H501" s="33" t="str">
        <f>IFERROR(__xludf.DUMMYFUNCTION("""COMPUTED_VALUE""")," ")</f>
        <v> </v>
      </c>
      <c r="I501" s="45"/>
      <c r="J501" s="46" t="str">
        <f>IFERROR(__xludf.DUMMYFUNCTION("""COMPUTED_VALUE"""),"AP")</f>
        <v>AP</v>
      </c>
      <c r="K501" s="47"/>
      <c r="L501" s="48" t="str">
        <f>IFERROR(__xludf.DUMMYFUNCTION("""COMPUTED_VALUE"""),"%")</f>
        <v>%</v>
      </c>
      <c r="M501" s="49">
        <f>IFERROR(__xludf.DUMMYFUNCTION("""COMPUTED_VALUE"""),1.0)</f>
        <v>1</v>
      </c>
      <c r="N501" s="50"/>
      <c r="O501" s="38"/>
      <c r="P501" s="45" t="str">
        <f>IFERROR(__xludf.DUMMYFUNCTION("""COMPUTED_VALUE"""),"")</f>
        <v/>
      </c>
      <c r="Q501" s="46" t="str">
        <f>IFERROR(__xludf.DUMMYFUNCTION("""COMPUTED_VALUE"""),"AP")</f>
        <v>AP</v>
      </c>
      <c r="R501" s="47" t="str">
        <f>IFERROR(__xludf.DUMMYFUNCTION("""COMPUTED_VALUE"""),"")</f>
        <v/>
      </c>
      <c r="S501" s="48" t="str">
        <f>IFERROR(__xludf.DUMMYFUNCTION("""COMPUTED_VALUE"""),"%")</f>
        <v>%</v>
      </c>
      <c r="T501" s="49">
        <f>IFERROR(__xludf.DUMMYFUNCTION("""COMPUTED_VALUE"""),2.0)</f>
        <v>2</v>
      </c>
      <c r="U501" s="50"/>
      <c r="V501" s="38"/>
      <c r="W501" s="45" t="str">
        <f>IFERROR(__xludf.DUMMYFUNCTION("""COMPUTED_VALUE"""),"")</f>
        <v/>
      </c>
      <c r="X501" s="46" t="str">
        <f>IFERROR(__xludf.DUMMYFUNCTION("""COMPUTED_VALUE"""),"AP")</f>
        <v>AP</v>
      </c>
      <c r="Y501" s="47" t="str">
        <f>IFERROR(__xludf.DUMMYFUNCTION("""COMPUTED_VALUE"""),"")</f>
        <v/>
      </c>
      <c r="Z501" s="48" t="str">
        <f>IFERROR(__xludf.DUMMYFUNCTION("""COMPUTED_VALUE"""),"%")</f>
        <v>%</v>
      </c>
      <c r="AA501" s="49">
        <f>IFERROR(__xludf.DUMMYFUNCTION("""COMPUTED_VALUE"""),3.0)</f>
        <v>3</v>
      </c>
      <c r="AB501" s="50"/>
      <c r="AC501" s="38"/>
      <c r="AD501" s="45" t="str">
        <f>IFERROR(__xludf.DUMMYFUNCTION("""COMPUTED_VALUE"""),"")</f>
        <v/>
      </c>
      <c r="AE501" s="46" t="str">
        <f>IFERROR(__xludf.DUMMYFUNCTION("""COMPUTED_VALUE"""),"AP")</f>
        <v>AP</v>
      </c>
      <c r="AF501" s="47" t="str">
        <f>IFERROR(__xludf.DUMMYFUNCTION("""COMPUTED_VALUE"""),"")</f>
        <v/>
      </c>
      <c r="AG501" s="48" t="str">
        <f>IFERROR(__xludf.DUMMYFUNCTION("""COMPUTED_VALUE"""),"%")</f>
        <v>%</v>
      </c>
      <c r="AH501" s="43"/>
      <c r="AI501" s="44"/>
      <c r="AJ501" s="51"/>
    </row>
    <row r="502" ht="24.75" hidden="1" customHeight="1">
      <c r="A502" s="28">
        <f>IFERROR(__xludf.DUMMYFUNCTION("""COMPUTED_VALUE"""),17.0)</f>
        <v>17</v>
      </c>
      <c r="B502" s="28" t="str">
        <f>IFERROR(__xludf.DUMMYFUNCTION("""COMPUTED_VALUE"""),"A213")</f>
        <v>A213</v>
      </c>
      <c r="C502" s="28"/>
      <c r="D502" s="29"/>
      <c r="E502" s="67"/>
      <c r="F502" s="31"/>
      <c r="G502" s="32"/>
      <c r="H502" s="33" t="str">
        <f>IFERROR(__xludf.DUMMYFUNCTION("""COMPUTED_VALUE""")," ")</f>
        <v> </v>
      </c>
      <c r="I502" s="34"/>
      <c r="J502" s="35" t="str">
        <f>IFERROR(__xludf.DUMMYFUNCTION("""COMPUTED_VALUE"""),"AP")</f>
        <v>AP</v>
      </c>
      <c r="K502" s="34"/>
      <c r="L502" s="35" t="str">
        <f>IFERROR(__xludf.DUMMYFUNCTION("""COMPUTED_VALUE"""),"%")</f>
        <v>%</v>
      </c>
      <c r="M502" s="36">
        <f>IFERROR(__xludf.DUMMYFUNCTION("""COMPUTED_VALUE"""),1.0)</f>
        <v>1</v>
      </c>
      <c r="N502" s="37"/>
      <c r="O502" s="38"/>
      <c r="P502" s="34" t="str">
        <f>IFERROR(__xludf.DUMMYFUNCTION("""COMPUTED_VALUE"""),"")</f>
        <v/>
      </c>
      <c r="Q502" s="35" t="str">
        <f>IFERROR(__xludf.DUMMYFUNCTION("""COMPUTED_VALUE"""),"AP")</f>
        <v>AP</v>
      </c>
      <c r="R502" s="34" t="str">
        <f>IFERROR(__xludf.DUMMYFUNCTION("""COMPUTED_VALUE"""),"")</f>
        <v/>
      </c>
      <c r="S502" s="35" t="str">
        <f>IFERROR(__xludf.DUMMYFUNCTION("""COMPUTED_VALUE"""),"%")</f>
        <v>%</v>
      </c>
      <c r="T502" s="36">
        <f>IFERROR(__xludf.DUMMYFUNCTION("""COMPUTED_VALUE"""),2.0)</f>
        <v>2</v>
      </c>
      <c r="U502" s="37"/>
      <c r="V502" s="38"/>
      <c r="W502" s="34" t="str">
        <f>IFERROR(__xludf.DUMMYFUNCTION("""COMPUTED_VALUE"""),"")</f>
        <v/>
      </c>
      <c r="X502" s="35" t="str">
        <f>IFERROR(__xludf.DUMMYFUNCTION("""COMPUTED_VALUE"""),"AP")</f>
        <v>AP</v>
      </c>
      <c r="Y502" s="34" t="str">
        <f>IFERROR(__xludf.DUMMYFUNCTION("""COMPUTED_VALUE"""),"")</f>
        <v/>
      </c>
      <c r="Z502" s="35" t="str">
        <f>IFERROR(__xludf.DUMMYFUNCTION("""COMPUTED_VALUE"""),"%")</f>
        <v>%</v>
      </c>
      <c r="AA502" s="36">
        <f>IFERROR(__xludf.DUMMYFUNCTION("""COMPUTED_VALUE"""),3.0)</f>
        <v>3</v>
      </c>
      <c r="AB502" s="37"/>
      <c r="AC502" s="38"/>
      <c r="AD502" s="34" t="str">
        <f>IFERROR(__xludf.DUMMYFUNCTION("""COMPUTED_VALUE"""),"")</f>
        <v/>
      </c>
      <c r="AE502" s="35" t="str">
        <f>IFERROR(__xludf.DUMMYFUNCTION("""COMPUTED_VALUE"""),"AP")</f>
        <v>AP</v>
      </c>
      <c r="AF502" s="34" t="str">
        <f>IFERROR(__xludf.DUMMYFUNCTION("""COMPUTED_VALUE"""),"")</f>
        <v/>
      </c>
      <c r="AG502" s="35" t="str">
        <f>IFERROR(__xludf.DUMMYFUNCTION("""COMPUTED_VALUE"""),"%")</f>
        <v>%</v>
      </c>
      <c r="AH502" s="31"/>
      <c r="AI502" s="32"/>
      <c r="AJ502" s="39"/>
    </row>
    <row r="503" ht="24.75" hidden="1" customHeight="1">
      <c r="A503" s="40">
        <f>IFERROR(__xludf.DUMMYFUNCTION("""COMPUTED_VALUE"""),18.0)</f>
        <v>18</v>
      </c>
      <c r="B503" s="40" t="str">
        <f>IFERROR(__xludf.DUMMYFUNCTION("""COMPUTED_VALUE"""),"A213")</f>
        <v>A213</v>
      </c>
      <c r="C503" s="40"/>
      <c r="D503" s="41"/>
      <c r="E503" s="66"/>
      <c r="F503" s="43"/>
      <c r="G503" s="44"/>
      <c r="H503" s="33" t="str">
        <f>IFERROR(__xludf.DUMMYFUNCTION("""COMPUTED_VALUE""")," ")</f>
        <v> </v>
      </c>
      <c r="I503" s="45"/>
      <c r="J503" s="46" t="str">
        <f>IFERROR(__xludf.DUMMYFUNCTION("""COMPUTED_VALUE"""),"AP")</f>
        <v>AP</v>
      </c>
      <c r="K503" s="47"/>
      <c r="L503" s="48" t="str">
        <f>IFERROR(__xludf.DUMMYFUNCTION("""COMPUTED_VALUE"""),"%")</f>
        <v>%</v>
      </c>
      <c r="M503" s="49">
        <f>IFERROR(__xludf.DUMMYFUNCTION("""COMPUTED_VALUE"""),1.0)</f>
        <v>1</v>
      </c>
      <c r="N503" s="50"/>
      <c r="O503" s="38"/>
      <c r="P503" s="45" t="str">
        <f>IFERROR(__xludf.DUMMYFUNCTION("""COMPUTED_VALUE"""),"")</f>
        <v/>
      </c>
      <c r="Q503" s="46" t="str">
        <f>IFERROR(__xludf.DUMMYFUNCTION("""COMPUTED_VALUE"""),"AP")</f>
        <v>AP</v>
      </c>
      <c r="R503" s="47" t="str">
        <f>IFERROR(__xludf.DUMMYFUNCTION("""COMPUTED_VALUE"""),"")</f>
        <v/>
      </c>
      <c r="S503" s="48" t="str">
        <f>IFERROR(__xludf.DUMMYFUNCTION("""COMPUTED_VALUE"""),"%")</f>
        <v>%</v>
      </c>
      <c r="T503" s="49">
        <f>IFERROR(__xludf.DUMMYFUNCTION("""COMPUTED_VALUE"""),2.0)</f>
        <v>2</v>
      </c>
      <c r="U503" s="50"/>
      <c r="V503" s="38"/>
      <c r="W503" s="45" t="str">
        <f>IFERROR(__xludf.DUMMYFUNCTION("""COMPUTED_VALUE"""),"")</f>
        <v/>
      </c>
      <c r="X503" s="46" t="str">
        <f>IFERROR(__xludf.DUMMYFUNCTION("""COMPUTED_VALUE"""),"AP")</f>
        <v>AP</v>
      </c>
      <c r="Y503" s="47" t="str">
        <f>IFERROR(__xludf.DUMMYFUNCTION("""COMPUTED_VALUE"""),"")</f>
        <v/>
      </c>
      <c r="Z503" s="48" t="str">
        <f>IFERROR(__xludf.DUMMYFUNCTION("""COMPUTED_VALUE"""),"%")</f>
        <v>%</v>
      </c>
      <c r="AA503" s="49">
        <f>IFERROR(__xludf.DUMMYFUNCTION("""COMPUTED_VALUE"""),3.0)</f>
        <v>3</v>
      </c>
      <c r="AB503" s="50"/>
      <c r="AC503" s="38"/>
      <c r="AD503" s="45" t="str">
        <f>IFERROR(__xludf.DUMMYFUNCTION("""COMPUTED_VALUE"""),"")</f>
        <v/>
      </c>
      <c r="AE503" s="46" t="str">
        <f>IFERROR(__xludf.DUMMYFUNCTION("""COMPUTED_VALUE"""),"AP")</f>
        <v>AP</v>
      </c>
      <c r="AF503" s="47" t="str">
        <f>IFERROR(__xludf.DUMMYFUNCTION("""COMPUTED_VALUE"""),"")</f>
        <v/>
      </c>
      <c r="AG503" s="48" t="str">
        <f>IFERROR(__xludf.DUMMYFUNCTION("""COMPUTED_VALUE"""),"%")</f>
        <v>%</v>
      </c>
      <c r="AH503" s="43"/>
      <c r="AI503" s="44"/>
      <c r="AJ503" s="51"/>
    </row>
    <row r="504" ht="24.75" hidden="1" customHeight="1">
      <c r="A504" s="28">
        <f>IFERROR(__xludf.DUMMYFUNCTION("""COMPUTED_VALUE"""),19.0)</f>
        <v>19</v>
      </c>
      <c r="B504" s="28" t="str">
        <f>IFERROR(__xludf.DUMMYFUNCTION("""COMPUTED_VALUE"""),"A213")</f>
        <v>A213</v>
      </c>
      <c r="C504" s="28"/>
      <c r="D504" s="29"/>
      <c r="E504" s="67"/>
      <c r="F504" s="31"/>
      <c r="G504" s="32"/>
      <c r="H504" s="33" t="str">
        <f>IFERROR(__xludf.DUMMYFUNCTION("""COMPUTED_VALUE""")," ")</f>
        <v> </v>
      </c>
      <c r="I504" s="34"/>
      <c r="J504" s="35" t="str">
        <f>IFERROR(__xludf.DUMMYFUNCTION("""COMPUTED_VALUE"""),"AP")</f>
        <v>AP</v>
      </c>
      <c r="K504" s="34"/>
      <c r="L504" s="35" t="str">
        <f>IFERROR(__xludf.DUMMYFUNCTION("""COMPUTED_VALUE"""),"%")</f>
        <v>%</v>
      </c>
      <c r="M504" s="36">
        <f>IFERROR(__xludf.DUMMYFUNCTION("""COMPUTED_VALUE"""),1.0)</f>
        <v>1</v>
      </c>
      <c r="N504" s="37"/>
      <c r="O504" s="38"/>
      <c r="P504" s="34" t="str">
        <f>IFERROR(__xludf.DUMMYFUNCTION("""COMPUTED_VALUE"""),"")</f>
        <v/>
      </c>
      <c r="Q504" s="35" t="str">
        <f>IFERROR(__xludf.DUMMYFUNCTION("""COMPUTED_VALUE"""),"AP")</f>
        <v>AP</v>
      </c>
      <c r="R504" s="34" t="str">
        <f>IFERROR(__xludf.DUMMYFUNCTION("""COMPUTED_VALUE"""),"")</f>
        <v/>
      </c>
      <c r="S504" s="35" t="str">
        <f>IFERROR(__xludf.DUMMYFUNCTION("""COMPUTED_VALUE"""),"%")</f>
        <v>%</v>
      </c>
      <c r="T504" s="36">
        <f>IFERROR(__xludf.DUMMYFUNCTION("""COMPUTED_VALUE"""),2.0)</f>
        <v>2</v>
      </c>
      <c r="U504" s="37"/>
      <c r="V504" s="38"/>
      <c r="W504" s="34" t="str">
        <f>IFERROR(__xludf.DUMMYFUNCTION("""COMPUTED_VALUE"""),"")</f>
        <v/>
      </c>
      <c r="X504" s="35" t="str">
        <f>IFERROR(__xludf.DUMMYFUNCTION("""COMPUTED_VALUE"""),"AP")</f>
        <v>AP</v>
      </c>
      <c r="Y504" s="34" t="str">
        <f>IFERROR(__xludf.DUMMYFUNCTION("""COMPUTED_VALUE"""),"")</f>
        <v/>
      </c>
      <c r="Z504" s="35" t="str">
        <f>IFERROR(__xludf.DUMMYFUNCTION("""COMPUTED_VALUE"""),"%")</f>
        <v>%</v>
      </c>
      <c r="AA504" s="36">
        <f>IFERROR(__xludf.DUMMYFUNCTION("""COMPUTED_VALUE"""),3.0)</f>
        <v>3</v>
      </c>
      <c r="AB504" s="37"/>
      <c r="AC504" s="38"/>
      <c r="AD504" s="34" t="str">
        <f>IFERROR(__xludf.DUMMYFUNCTION("""COMPUTED_VALUE"""),"")</f>
        <v/>
      </c>
      <c r="AE504" s="35" t="str">
        <f>IFERROR(__xludf.DUMMYFUNCTION("""COMPUTED_VALUE"""),"AP")</f>
        <v>AP</v>
      </c>
      <c r="AF504" s="34" t="str">
        <f>IFERROR(__xludf.DUMMYFUNCTION("""COMPUTED_VALUE"""),"")</f>
        <v/>
      </c>
      <c r="AG504" s="35" t="str">
        <f>IFERROR(__xludf.DUMMYFUNCTION("""COMPUTED_VALUE"""),"%")</f>
        <v>%</v>
      </c>
      <c r="AH504" s="31"/>
      <c r="AI504" s="32"/>
      <c r="AJ504" s="39"/>
    </row>
    <row r="505" ht="24.75" hidden="1" customHeight="1">
      <c r="A505" s="40">
        <f>IFERROR(__xludf.DUMMYFUNCTION("""COMPUTED_VALUE"""),20.0)</f>
        <v>20</v>
      </c>
      <c r="B505" s="40" t="str">
        <f>IFERROR(__xludf.DUMMYFUNCTION("""COMPUTED_VALUE"""),"A213")</f>
        <v>A213</v>
      </c>
      <c r="C505" s="40"/>
      <c r="D505" s="41"/>
      <c r="E505" s="66"/>
      <c r="F505" s="43"/>
      <c r="G505" s="44"/>
      <c r="H505" s="33" t="str">
        <f>IFERROR(__xludf.DUMMYFUNCTION("""COMPUTED_VALUE""")," ")</f>
        <v> </v>
      </c>
      <c r="I505" s="45"/>
      <c r="J505" s="46" t="str">
        <f>IFERROR(__xludf.DUMMYFUNCTION("""COMPUTED_VALUE"""),"AP")</f>
        <v>AP</v>
      </c>
      <c r="K505" s="47"/>
      <c r="L505" s="48" t="str">
        <f>IFERROR(__xludf.DUMMYFUNCTION("""COMPUTED_VALUE"""),"%")</f>
        <v>%</v>
      </c>
      <c r="M505" s="49">
        <f>IFERROR(__xludf.DUMMYFUNCTION("""COMPUTED_VALUE"""),1.0)</f>
        <v>1</v>
      </c>
      <c r="N505" s="50"/>
      <c r="O505" s="38"/>
      <c r="P505" s="45" t="str">
        <f>IFERROR(__xludf.DUMMYFUNCTION("""COMPUTED_VALUE"""),"")</f>
        <v/>
      </c>
      <c r="Q505" s="46" t="str">
        <f>IFERROR(__xludf.DUMMYFUNCTION("""COMPUTED_VALUE"""),"AP")</f>
        <v>AP</v>
      </c>
      <c r="R505" s="47" t="str">
        <f>IFERROR(__xludf.DUMMYFUNCTION("""COMPUTED_VALUE"""),"")</f>
        <v/>
      </c>
      <c r="S505" s="48" t="str">
        <f>IFERROR(__xludf.DUMMYFUNCTION("""COMPUTED_VALUE"""),"%")</f>
        <v>%</v>
      </c>
      <c r="T505" s="49">
        <f>IFERROR(__xludf.DUMMYFUNCTION("""COMPUTED_VALUE"""),2.0)</f>
        <v>2</v>
      </c>
      <c r="U505" s="50"/>
      <c r="V505" s="38"/>
      <c r="W505" s="45" t="str">
        <f>IFERROR(__xludf.DUMMYFUNCTION("""COMPUTED_VALUE"""),"")</f>
        <v/>
      </c>
      <c r="X505" s="46" t="str">
        <f>IFERROR(__xludf.DUMMYFUNCTION("""COMPUTED_VALUE"""),"AP")</f>
        <v>AP</v>
      </c>
      <c r="Y505" s="47" t="str">
        <f>IFERROR(__xludf.DUMMYFUNCTION("""COMPUTED_VALUE"""),"")</f>
        <v/>
      </c>
      <c r="Z505" s="48" t="str">
        <f>IFERROR(__xludf.DUMMYFUNCTION("""COMPUTED_VALUE"""),"%")</f>
        <v>%</v>
      </c>
      <c r="AA505" s="49">
        <f>IFERROR(__xludf.DUMMYFUNCTION("""COMPUTED_VALUE"""),3.0)</f>
        <v>3</v>
      </c>
      <c r="AB505" s="50"/>
      <c r="AC505" s="38"/>
      <c r="AD505" s="45" t="str">
        <f>IFERROR(__xludf.DUMMYFUNCTION("""COMPUTED_VALUE"""),"")</f>
        <v/>
      </c>
      <c r="AE505" s="46" t="str">
        <f>IFERROR(__xludf.DUMMYFUNCTION("""COMPUTED_VALUE"""),"AP")</f>
        <v>AP</v>
      </c>
      <c r="AF505" s="47" t="str">
        <f>IFERROR(__xludf.DUMMYFUNCTION("""COMPUTED_VALUE"""),"")</f>
        <v/>
      </c>
      <c r="AG505" s="48" t="str">
        <f>IFERROR(__xludf.DUMMYFUNCTION("""COMPUTED_VALUE"""),"%")</f>
        <v>%</v>
      </c>
      <c r="AH505" s="43"/>
      <c r="AI505" s="44"/>
      <c r="AJ505" s="51"/>
    </row>
    <row r="506">
      <c r="A506" s="52"/>
      <c r="B506" s="53"/>
      <c r="C506" s="54"/>
      <c r="D506" s="55"/>
      <c r="E506" s="56"/>
      <c r="F506" s="53"/>
      <c r="G506" s="53"/>
      <c r="H506" s="53"/>
      <c r="I506" s="53"/>
      <c r="J506" s="57"/>
      <c r="K506" s="53"/>
      <c r="L506" s="57"/>
      <c r="M506" s="53"/>
      <c r="N506" s="53"/>
      <c r="O506" s="53"/>
      <c r="P506" s="53"/>
      <c r="Q506" s="57"/>
      <c r="R506" s="53"/>
      <c r="S506" s="57"/>
      <c r="T506" s="53"/>
      <c r="U506" s="53"/>
      <c r="V506" s="53"/>
      <c r="W506" s="53"/>
      <c r="X506" s="57"/>
      <c r="Y506" s="53"/>
      <c r="Z506" s="57"/>
      <c r="AA506" s="53"/>
      <c r="AB506" s="53"/>
      <c r="AC506" s="53"/>
      <c r="AD506" s="53"/>
      <c r="AE506" s="57"/>
      <c r="AF506" s="53"/>
      <c r="AG506" s="57"/>
      <c r="AH506" s="53"/>
      <c r="AI506" s="53"/>
      <c r="AJ506" s="58"/>
    </row>
    <row r="507">
      <c r="A507" s="59"/>
      <c r="B507" s="60"/>
      <c r="C507" s="61"/>
      <c r="D507" s="62"/>
      <c r="E507" s="63"/>
      <c r="F507" s="60"/>
      <c r="G507" s="60"/>
      <c r="H507" s="60"/>
      <c r="I507" s="60"/>
      <c r="J507" s="64"/>
      <c r="K507" s="60"/>
      <c r="L507" s="64"/>
      <c r="M507" s="60"/>
      <c r="N507" s="60"/>
      <c r="O507" s="60"/>
      <c r="P507" s="60"/>
      <c r="Q507" s="64"/>
      <c r="R507" s="60"/>
      <c r="S507" s="64"/>
      <c r="T507" s="60"/>
      <c r="U507" s="60"/>
      <c r="V507" s="60"/>
      <c r="W507" s="60"/>
      <c r="X507" s="64"/>
      <c r="Y507" s="60"/>
      <c r="Z507" s="64"/>
      <c r="AA507" s="60"/>
      <c r="AB507" s="60"/>
      <c r="AC507" s="60"/>
      <c r="AD507" s="60"/>
      <c r="AE507" s="64"/>
      <c r="AF507" s="60"/>
      <c r="AG507" s="64"/>
      <c r="AH507" s="60"/>
      <c r="AI507" s="60"/>
      <c r="AJ507" s="65"/>
    </row>
    <row r="508" ht="33.0" customHeight="1">
      <c r="A508" s="20" t="str">
        <f>IFERROR(__xludf.DUMMYFUNCTION("""COMPUTED_VALUE""")," ")</f>
        <v> </v>
      </c>
      <c r="B508" s="21" t="str">
        <f>IFERROR(__xludf.DUMMYFUNCTION("""COMPUTED_VALUE"""),"A214")</f>
        <v>A214</v>
      </c>
      <c r="C508" s="20"/>
      <c r="D508" s="22" t="str">
        <f>IFERROR(__xludf.DUMMYFUNCTION("""COMPUTED_VALUE"""),"")</f>
        <v/>
      </c>
      <c r="E508" s="23" t="str">
        <f>IFERROR(__xludf.DUMMYFUNCTION("""COMPUTED_VALUE"""),"Giant's Ring")</f>
        <v>Giant's Ring</v>
      </c>
      <c r="F508" s="24"/>
      <c r="G508" s="24"/>
      <c r="H508" s="25"/>
      <c r="I508" s="25"/>
      <c r="J508" s="26"/>
      <c r="K508" s="25"/>
      <c r="L508" s="26"/>
      <c r="M508" s="25"/>
      <c r="N508" s="25"/>
      <c r="O508" s="25"/>
      <c r="P508" s="25"/>
      <c r="Q508" s="26"/>
      <c r="R508" s="25"/>
      <c r="S508" s="26"/>
      <c r="T508" s="25"/>
      <c r="U508" s="25"/>
      <c r="V508" s="25"/>
      <c r="W508" s="25"/>
      <c r="X508" s="26"/>
      <c r="Y508" s="25"/>
      <c r="Z508" s="26"/>
      <c r="AA508" s="25"/>
      <c r="AB508" s="25"/>
      <c r="AC508" s="25"/>
      <c r="AD508" s="25"/>
      <c r="AE508" s="26"/>
      <c r="AF508" s="25"/>
      <c r="AG508" s="26"/>
      <c r="AH508" s="24"/>
      <c r="AI508" s="25"/>
      <c r="AJ508" s="27"/>
    </row>
    <row r="509" ht="24.75" customHeight="1">
      <c r="A509" s="28">
        <f>IFERROR(__xludf.DUMMYFUNCTION("""COMPUTED_VALUE"""),1.0)</f>
        <v>1</v>
      </c>
      <c r="B509" s="28" t="str">
        <f>IFERROR(__xludf.DUMMYFUNCTION("""COMPUTED_VALUE"""),"A214")</f>
        <v>A214</v>
      </c>
      <c r="C509" s="28" t="str">
        <f>IFERROR(__xludf.DUMMYFUNCTION("""COMPUTED_VALUE"""),"GTT3")</f>
        <v>GTT3</v>
      </c>
      <c r="D509" s="29" t="str">
        <f>IFERROR(__xludf.DUMMYFUNCTION("""COMPUTED_VALUE"""),"Götterdämmerung")</f>
        <v>Götterdämmerung</v>
      </c>
      <c r="E509" s="30" t="str">
        <f>IFERROR(__xludf.DUMMYFUNCTION("""COMPUTED_VALUE"""),"Giant's Flower Garden")</f>
        <v>Giant's Flower Garden</v>
      </c>
      <c r="F509" s="31">
        <f>IFERROR(__xludf.DUMMYFUNCTION("""COMPUTED_VALUE"""),20.0)</f>
        <v>20</v>
      </c>
      <c r="G509" s="32">
        <f>IFERROR(__xludf.DUMMYFUNCTION("""COMPUTED_VALUE"""),13798.0)</f>
        <v>13798</v>
      </c>
      <c r="H509" s="33" t="str">
        <f>IFERROR(__xludf.DUMMYFUNCTION("""COMPUTED_VALUE"""),"")</f>
        <v/>
      </c>
      <c r="I509" s="34">
        <f>IFERROR(__xludf.DUMMYFUNCTION("""COMPUTED_VALUE"""),49.1)</f>
        <v>49.1</v>
      </c>
      <c r="J509" s="35" t="str">
        <f>IFERROR(__xludf.DUMMYFUNCTION("""COMPUTED_VALUE"""),"AP")</f>
        <v>AP</v>
      </c>
      <c r="K509" s="34">
        <f>IFERROR(__xludf.DUMMYFUNCTION("""COMPUTED_VALUE"""),40.7)</f>
        <v>40.7</v>
      </c>
      <c r="L509" s="35" t="str">
        <f>IFERROR(__xludf.DUMMYFUNCTION("""COMPUTED_VALUE"""),"%")</f>
        <v>%</v>
      </c>
      <c r="M509" s="36">
        <f>IFERROR(__xludf.DUMMYFUNCTION("""COMPUTED_VALUE"""),1.0)</f>
        <v>1</v>
      </c>
      <c r="N509" s="37" t="str">
        <f>IFERROR(__xludf.DUMMYFUNCTION("""COMPUTED_VALUE"""),"B117")</f>
        <v>B117</v>
      </c>
      <c r="O509" s="38" t="str">
        <f>IFERROR(__xludf.DUMMYFUNCTION("""COMPUTED_VALUE"""),"")</f>
        <v/>
      </c>
      <c r="P509" s="34">
        <f>IFERROR(__xludf.DUMMYFUNCTION("""COMPUTED_VALUE"""),45.5)</f>
        <v>45.5</v>
      </c>
      <c r="Q509" s="35" t="str">
        <f>IFERROR(__xludf.DUMMYFUNCTION("""COMPUTED_VALUE"""),"AP")</f>
        <v>AP</v>
      </c>
      <c r="R509" s="34">
        <f>IFERROR(__xludf.DUMMYFUNCTION("""COMPUTED_VALUE"""),44.0)</f>
        <v>44</v>
      </c>
      <c r="S509" s="35" t="str">
        <f>IFERROR(__xludf.DUMMYFUNCTION("""COMPUTED_VALUE"""),"%")</f>
        <v>%</v>
      </c>
      <c r="T509" s="36">
        <f>IFERROR(__xludf.DUMMYFUNCTION("""COMPUTED_VALUE"""),2.0)</f>
        <v>2</v>
      </c>
      <c r="U509" s="37"/>
      <c r="V509" s="38"/>
      <c r="W509" s="34" t="str">
        <f>IFERROR(__xludf.DUMMYFUNCTION("""COMPUTED_VALUE"""),"")</f>
        <v/>
      </c>
      <c r="X509" s="35" t="str">
        <f>IFERROR(__xludf.DUMMYFUNCTION("""COMPUTED_VALUE"""),"AP")</f>
        <v>AP</v>
      </c>
      <c r="Y509" s="34" t="str">
        <f>IFERROR(__xludf.DUMMYFUNCTION("""COMPUTED_VALUE"""),"")</f>
        <v/>
      </c>
      <c r="Z509" s="35" t="str">
        <f>IFERROR(__xludf.DUMMYFUNCTION("""COMPUTED_VALUE"""),"%")</f>
        <v>%</v>
      </c>
      <c r="AA509" s="36">
        <f>IFERROR(__xludf.DUMMYFUNCTION("""COMPUTED_VALUE"""),3.0)</f>
        <v>3</v>
      </c>
      <c r="AB509" s="37"/>
      <c r="AC509" s="38"/>
      <c r="AD509" s="34" t="str">
        <f>IFERROR(__xludf.DUMMYFUNCTION("""COMPUTED_VALUE"""),"")</f>
        <v/>
      </c>
      <c r="AE509" s="35" t="str">
        <f>IFERROR(__xludf.DUMMYFUNCTION("""COMPUTED_VALUE"""),"AP")</f>
        <v>AP</v>
      </c>
      <c r="AF509" s="34" t="str">
        <f>IFERROR(__xludf.DUMMYFUNCTION("""COMPUTED_VALUE"""),"")</f>
        <v/>
      </c>
      <c r="AG509" s="35" t="str">
        <f>IFERROR(__xludf.DUMMYFUNCTION("""COMPUTED_VALUE"""),"%")</f>
        <v>%</v>
      </c>
      <c r="AH509" s="31">
        <f>IFERROR(__xludf.DUMMYFUNCTION("""COMPUTED_VALUE"""),20.0)</f>
        <v>20</v>
      </c>
      <c r="AI509" s="32">
        <f>IFERROR(__xludf.DUMMYFUNCTION("""COMPUTED_VALUE"""),13798.0)</f>
        <v>13798</v>
      </c>
      <c r="AJ509" s="39" t="str">
        <f>IFERROR(__xludf.DUMMYFUNCTION("""COMPUTED_VALUE"""),"巨人の花園")</f>
        <v>巨人の花園</v>
      </c>
    </row>
    <row r="510" ht="24.75" customHeight="1">
      <c r="A510" s="40">
        <f>IFERROR(__xludf.DUMMYFUNCTION("""COMPUTED_VALUE"""),2.0)</f>
        <v>2</v>
      </c>
      <c r="B510" s="40" t="str">
        <f>IFERROR(__xludf.DUMMYFUNCTION("""COMPUTED_VALUE"""),"A214")</f>
        <v>A214</v>
      </c>
      <c r="C510" s="40" t="str">
        <f>IFERROR(__xludf.DUMMYFUNCTION("""COMPUTED_VALUE"""),"SIN2")</f>
        <v>SIN2</v>
      </c>
      <c r="D510" s="41" t="str">
        <f>IFERROR(__xludf.DUMMYFUNCTION("""COMPUTED_VALUE"""),"SIN")</f>
        <v>SIN</v>
      </c>
      <c r="E510" s="42" t="str">
        <f>IFERROR(__xludf.DUMMYFUNCTION("""COMPUTED_VALUE"""),"Neighboring Village")</f>
        <v>Neighboring Village</v>
      </c>
      <c r="F510" s="43">
        <f>IFERROR(__xludf.DUMMYFUNCTION("""COMPUTED_VALUE"""),20.0)</f>
        <v>20</v>
      </c>
      <c r="G510" s="44">
        <f>IFERROR(__xludf.DUMMYFUNCTION("""COMPUTED_VALUE"""),8011.0)</f>
        <v>8011</v>
      </c>
      <c r="H510" s="33" t="str">
        <f>IFERROR(__xludf.DUMMYFUNCTION("""COMPUTED_VALUE"""),"")</f>
        <v/>
      </c>
      <c r="I510" s="45">
        <f>IFERROR(__xludf.DUMMYFUNCTION("""COMPUTED_VALUE"""),77.8)</f>
        <v>77.8</v>
      </c>
      <c r="J510" s="46" t="str">
        <f>IFERROR(__xludf.DUMMYFUNCTION("""COMPUTED_VALUE"""),"AP")</f>
        <v>AP</v>
      </c>
      <c r="K510" s="47">
        <f>IFERROR(__xludf.DUMMYFUNCTION("""COMPUTED_VALUE"""),25.7)</f>
        <v>25.7</v>
      </c>
      <c r="L510" s="48" t="str">
        <f>IFERROR(__xludf.DUMMYFUNCTION("""COMPUTED_VALUE"""),"%")</f>
        <v>%</v>
      </c>
      <c r="M510" s="49">
        <f>IFERROR(__xludf.DUMMYFUNCTION("""COMPUTED_VALUE"""),1.0)</f>
        <v>1</v>
      </c>
      <c r="N510" s="50" t="str">
        <f>IFERROR(__xludf.DUMMYFUNCTION("""COMPUTED_VALUE"""),"A306")</f>
        <v>A306</v>
      </c>
      <c r="O510" s="38" t="str">
        <f>IFERROR(__xludf.DUMMYFUNCTION("""COMPUTED_VALUE"""),"")</f>
        <v/>
      </c>
      <c r="P510" s="45">
        <f>IFERROR(__xludf.DUMMYFUNCTION("""COMPUTED_VALUE"""),49.299999)</f>
        <v>49.299999</v>
      </c>
      <c r="Q510" s="46" t="str">
        <f>IFERROR(__xludf.DUMMYFUNCTION("""COMPUTED_VALUE"""),"AP")</f>
        <v>AP</v>
      </c>
      <c r="R510" s="47">
        <f>IFERROR(__xludf.DUMMYFUNCTION("""COMPUTED_VALUE"""),40.500001)</f>
        <v>40.500001</v>
      </c>
      <c r="S510" s="48" t="str">
        <f>IFERROR(__xludf.DUMMYFUNCTION("""COMPUTED_VALUE"""),"%")</f>
        <v>%</v>
      </c>
      <c r="T510" s="49">
        <f>IFERROR(__xludf.DUMMYFUNCTION("""COMPUTED_VALUE"""),2.0)</f>
        <v>2</v>
      </c>
      <c r="U510" s="50" t="str">
        <f>IFERROR(__xludf.DUMMYFUNCTION("""COMPUTED_VALUE"""),"B117")</f>
        <v>B117</v>
      </c>
      <c r="V510" s="38" t="str">
        <f>IFERROR(__xludf.DUMMYFUNCTION("""COMPUTED_VALUE"""),"")</f>
        <v/>
      </c>
      <c r="W510" s="45">
        <f>IFERROR(__xludf.DUMMYFUNCTION("""COMPUTED_VALUE"""),143.8)</f>
        <v>143.8</v>
      </c>
      <c r="X510" s="46" t="str">
        <f>IFERROR(__xludf.DUMMYFUNCTION("""COMPUTED_VALUE"""),"AP")</f>
        <v>AP</v>
      </c>
      <c r="Y510" s="47">
        <f>IFERROR(__xludf.DUMMYFUNCTION("""COMPUTED_VALUE"""),13.9)</f>
        <v>13.9</v>
      </c>
      <c r="Z510" s="48" t="str">
        <f>IFERROR(__xludf.DUMMYFUNCTION("""COMPUTED_VALUE"""),"%")</f>
        <v>%</v>
      </c>
      <c r="AA510" s="49">
        <f>IFERROR(__xludf.DUMMYFUNCTION("""COMPUTED_VALUE"""),3.0)</f>
        <v>3</v>
      </c>
      <c r="AB510" s="50"/>
      <c r="AC510" s="38"/>
      <c r="AD510" s="45" t="str">
        <f>IFERROR(__xludf.DUMMYFUNCTION("""COMPUTED_VALUE"""),"")</f>
        <v/>
      </c>
      <c r="AE510" s="46" t="str">
        <f>IFERROR(__xludf.DUMMYFUNCTION("""COMPUTED_VALUE"""),"AP")</f>
        <v>AP</v>
      </c>
      <c r="AF510" s="47" t="str">
        <f>IFERROR(__xludf.DUMMYFUNCTION("""COMPUTED_VALUE"""),"")</f>
        <v/>
      </c>
      <c r="AG510" s="48" t="str">
        <f>IFERROR(__xludf.DUMMYFUNCTION("""COMPUTED_VALUE"""),"%")</f>
        <v>%</v>
      </c>
      <c r="AH510" s="43">
        <f>IFERROR(__xludf.DUMMYFUNCTION("""COMPUTED_VALUE"""),20.0)</f>
        <v>20</v>
      </c>
      <c r="AI510" s="44">
        <f>IFERROR(__xludf.DUMMYFUNCTION("""COMPUTED_VALUE"""),8011.0)</f>
        <v>8011</v>
      </c>
      <c r="AJ510" s="51" t="str">
        <f>IFERROR(__xludf.DUMMYFUNCTION("""COMPUTED_VALUE"""),"隣村")</f>
        <v>隣村</v>
      </c>
    </row>
    <row r="511" ht="24.75" customHeight="1">
      <c r="A511" s="28">
        <f>IFERROR(__xludf.DUMMYFUNCTION("""COMPUTED_VALUE"""),3.0)</f>
        <v>3</v>
      </c>
      <c r="B511" s="28" t="str">
        <f>IFERROR(__xludf.DUMMYFUNCTION("""COMPUTED_VALUE"""),"A214")</f>
        <v>A214</v>
      </c>
      <c r="C511" s="28" t="str">
        <f>IFERROR(__xludf.DUMMYFUNCTION("""COMPUTED_VALUE"""),"GTT2")</f>
        <v>GTT2</v>
      </c>
      <c r="D511" s="29" t="str">
        <f>IFERROR(__xludf.DUMMYFUNCTION("""COMPUTED_VALUE"""),"Götterdämmerung")</f>
        <v>Götterdämmerung</v>
      </c>
      <c r="E511" s="30" t="str">
        <f>IFERROR(__xludf.DUMMYFUNCTION("""COMPUTED_VALUE"""),"Thin Ice Hill")</f>
        <v>Thin Ice Hill</v>
      </c>
      <c r="F511" s="31">
        <f>IFERROR(__xludf.DUMMYFUNCTION("""COMPUTED_VALUE"""),20.0)</f>
        <v>20</v>
      </c>
      <c r="G511" s="32">
        <f>IFERROR(__xludf.DUMMYFUNCTION("""COMPUTED_VALUE"""),4180.0)</f>
        <v>4180</v>
      </c>
      <c r="H511" s="33" t="str">
        <f>IFERROR(__xludf.DUMMYFUNCTION("""COMPUTED_VALUE"""),"")</f>
        <v/>
      </c>
      <c r="I511" s="34">
        <f>IFERROR(__xludf.DUMMYFUNCTION("""COMPUTED_VALUE"""),79.6)</f>
        <v>79.6</v>
      </c>
      <c r="J511" s="35" t="str">
        <f>IFERROR(__xludf.DUMMYFUNCTION("""COMPUTED_VALUE"""),"AP")</f>
        <v>AP</v>
      </c>
      <c r="K511" s="34">
        <f>IFERROR(__xludf.DUMMYFUNCTION("""COMPUTED_VALUE"""),25.1)</f>
        <v>25.1</v>
      </c>
      <c r="L511" s="35" t="str">
        <f>IFERROR(__xludf.DUMMYFUNCTION("""COMPUTED_VALUE"""),"%")</f>
        <v>%</v>
      </c>
      <c r="M511" s="36">
        <f>IFERROR(__xludf.DUMMYFUNCTION("""COMPUTED_VALUE"""),1.0)</f>
        <v>1</v>
      </c>
      <c r="N511" s="37" t="str">
        <f>IFERROR(__xludf.DUMMYFUNCTION("""COMPUTED_VALUE"""),"A201")</f>
        <v>A201</v>
      </c>
      <c r="O511" s="38" t="str">
        <f>IFERROR(__xludf.DUMMYFUNCTION("""COMPUTED_VALUE"""),"")</f>
        <v/>
      </c>
      <c r="P511" s="34">
        <f>IFERROR(__xludf.DUMMYFUNCTION("""COMPUTED_VALUE"""),78.6)</f>
        <v>78.6</v>
      </c>
      <c r="Q511" s="35" t="str">
        <f>IFERROR(__xludf.DUMMYFUNCTION("""COMPUTED_VALUE"""),"AP")</f>
        <v>AP</v>
      </c>
      <c r="R511" s="34">
        <f>IFERROR(__xludf.DUMMYFUNCTION("""COMPUTED_VALUE"""),25.5)</f>
        <v>25.5</v>
      </c>
      <c r="S511" s="35" t="str">
        <f>IFERROR(__xludf.DUMMYFUNCTION("""COMPUTED_VALUE"""),"%")</f>
        <v>%</v>
      </c>
      <c r="T511" s="36">
        <f>IFERROR(__xludf.DUMMYFUNCTION("""COMPUTED_VALUE"""),2.0)</f>
        <v>2</v>
      </c>
      <c r="U511" s="37" t="str">
        <f>IFERROR(__xludf.DUMMYFUNCTION("""COMPUTED_VALUE"""),"B117")</f>
        <v>B117</v>
      </c>
      <c r="V511" s="38" t="str">
        <f>IFERROR(__xludf.DUMMYFUNCTION("""COMPUTED_VALUE"""),"")</f>
        <v/>
      </c>
      <c r="W511" s="34">
        <f>IFERROR(__xludf.DUMMYFUNCTION("""COMPUTED_VALUE"""),81.6)</f>
        <v>81.6</v>
      </c>
      <c r="X511" s="35" t="str">
        <f>IFERROR(__xludf.DUMMYFUNCTION("""COMPUTED_VALUE"""),"AP")</f>
        <v>AP</v>
      </c>
      <c r="Y511" s="34">
        <f>IFERROR(__xludf.DUMMYFUNCTION("""COMPUTED_VALUE"""),24.5)</f>
        <v>24.5</v>
      </c>
      <c r="Z511" s="35" t="str">
        <f>IFERROR(__xludf.DUMMYFUNCTION("""COMPUTED_VALUE"""),"%")</f>
        <v>%</v>
      </c>
      <c r="AA511" s="36">
        <f>IFERROR(__xludf.DUMMYFUNCTION("""COMPUTED_VALUE"""),3.0)</f>
        <v>3</v>
      </c>
      <c r="AB511" s="37"/>
      <c r="AC511" s="38"/>
      <c r="AD511" s="34" t="str">
        <f>IFERROR(__xludf.DUMMYFUNCTION("""COMPUTED_VALUE"""),"")</f>
        <v/>
      </c>
      <c r="AE511" s="35" t="str">
        <f>IFERROR(__xludf.DUMMYFUNCTION("""COMPUTED_VALUE"""),"AP")</f>
        <v>AP</v>
      </c>
      <c r="AF511" s="34" t="str">
        <f>IFERROR(__xludf.DUMMYFUNCTION("""COMPUTED_VALUE"""),"")</f>
        <v/>
      </c>
      <c r="AG511" s="35" t="str">
        <f>IFERROR(__xludf.DUMMYFUNCTION("""COMPUTED_VALUE"""),"%")</f>
        <v>%</v>
      </c>
      <c r="AH511" s="31">
        <f>IFERROR(__xludf.DUMMYFUNCTION("""COMPUTED_VALUE"""),20.0)</f>
        <v>20</v>
      </c>
      <c r="AI511" s="32">
        <f>IFERROR(__xludf.DUMMYFUNCTION("""COMPUTED_VALUE"""),4180.0)</f>
        <v>4180</v>
      </c>
      <c r="AJ511" s="39" t="str">
        <f>IFERROR(__xludf.DUMMYFUNCTION("""COMPUTED_VALUE"""),"薄氷の丘")</f>
        <v>薄氷の丘</v>
      </c>
    </row>
    <row r="512" ht="24.75" customHeight="1">
      <c r="A512" s="40">
        <f>IFERROR(__xludf.DUMMYFUNCTION("""COMPUTED_VALUE"""),4.0)</f>
        <v>4</v>
      </c>
      <c r="B512" s="40" t="str">
        <f>IFERROR(__xludf.DUMMYFUNCTION("""COMPUTED_VALUE"""),"A214")</f>
        <v>A214</v>
      </c>
      <c r="C512" s="40" t="str">
        <f>IFERROR(__xludf.DUMMYFUNCTION("""COMPUTED_VALUE"""),"GTT8")</f>
        <v>GTT8</v>
      </c>
      <c r="D512" s="41" t="str">
        <f>IFERROR(__xludf.DUMMYFUNCTION("""COMPUTED_VALUE"""),"Götterdämmerung")</f>
        <v>Götterdämmerung</v>
      </c>
      <c r="E512" s="42" t="str">
        <f>IFERROR(__xludf.DUMMYFUNCTION("""COMPUTED_VALUE"""),"Flaming Mansion")</f>
        <v>Flaming Mansion</v>
      </c>
      <c r="F512" s="43">
        <f>IFERROR(__xludf.DUMMYFUNCTION("""COMPUTED_VALUE"""),21.0)</f>
        <v>21</v>
      </c>
      <c r="G512" s="44">
        <f>IFERROR(__xludf.DUMMYFUNCTION("""COMPUTED_VALUE"""),16339.0)</f>
        <v>16339</v>
      </c>
      <c r="H512" s="33" t="str">
        <f>IFERROR(__xludf.DUMMYFUNCTION("""COMPUTED_VALUE"""),"")</f>
        <v/>
      </c>
      <c r="I512" s="45">
        <f>IFERROR(__xludf.DUMMYFUNCTION("""COMPUTED_VALUE"""),81.2)</f>
        <v>81.2</v>
      </c>
      <c r="J512" s="46" t="str">
        <f>IFERROR(__xludf.DUMMYFUNCTION("""COMPUTED_VALUE"""),"AP")</f>
        <v>AP</v>
      </c>
      <c r="K512" s="47">
        <f>IFERROR(__xludf.DUMMYFUNCTION("""COMPUTED_VALUE"""),25.9)</f>
        <v>25.9</v>
      </c>
      <c r="L512" s="48" t="str">
        <f>IFERROR(__xludf.DUMMYFUNCTION("""COMPUTED_VALUE"""),"%")</f>
        <v>%</v>
      </c>
      <c r="M512" s="49">
        <f>IFERROR(__xludf.DUMMYFUNCTION("""COMPUTED_VALUE"""),1.0)</f>
        <v>1</v>
      </c>
      <c r="N512" s="50" t="str">
        <f>IFERROR(__xludf.DUMMYFUNCTION("""COMPUTED_VALUE"""),"A215")</f>
        <v>A215</v>
      </c>
      <c r="O512" s="38" t="str">
        <f>IFERROR(__xludf.DUMMYFUNCTION("""COMPUTED_VALUE"""),"")</f>
        <v/>
      </c>
      <c r="P512" s="45">
        <f>IFERROR(__xludf.DUMMYFUNCTION("""COMPUTED_VALUE"""),84.7)</f>
        <v>84.7</v>
      </c>
      <c r="Q512" s="46" t="str">
        <f>IFERROR(__xludf.DUMMYFUNCTION("""COMPUTED_VALUE"""),"AP")</f>
        <v>AP</v>
      </c>
      <c r="R512" s="47">
        <f>IFERROR(__xludf.DUMMYFUNCTION("""COMPUTED_VALUE"""),24.8)</f>
        <v>24.8</v>
      </c>
      <c r="S512" s="48" t="str">
        <f>IFERROR(__xludf.DUMMYFUNCTION("""COMPUTED_VALUE"""),"%")</f>
        <v>%</v>
      </c>
      <c r="T512" s="49">
        <f>IFERROR(__xludf.DUMMYFUNCTION("""COMPUTED_VALUE"""),2.0)</f>
        <v>2</v>
      </c>
      <c r="U512" s="50" t="str">
        <f>IFERROR(__xludf.DUMMYFUNCTION("""COMPUTED_VALUE"""),"B114")</f>
        <v>B114</v>
      </c>
      <c r="V512" s="38" t="str">
        <f>IFERROR(__xludf.DUMMYFUNCTION("""COMPUTED_VALUE"""),"")</f>
        <v/>
      </c>
      <c r="W512" s="45">
        <f>IFERROR(__xludf.DUMMYFUNCTION("""COMPUTED_VALUE"""),84.9)</f>
        <v>84.9</v>
      </c>
      <c r="X512" s="46" t="str">
        <f>IFERROR(__xludf.DUMMYFUNCTION("""COMPUTED_VALUE"""),"AP")</f>
        <v>AP</v>
      </c>
      <c r="Y512" s="47">
        <f>IFERROR(__xludf.DUMMYFUNCTION("""COMPUTED_VALUE"""),24.7)</f>
        <v>24.7</v>
      </c>
      <c r="Z512" s="48" t="str">
        <f>IFERROR(__xludf.DUMMYFUNCTION("""COMPUTED_VALUE"""),"%")</f>
        <v>%</v>
      </c>
      <c r="AA512" s="49">
        <f>IFERROR(__xludf.DUMMYFUNCTION("""COMPUTED_VALUE"""),3.0)</f>
        <v>3</v>
      </c>
      <c r="AB512" s="50" t="str">
        <f>IFERROR(__xludf.DUMMYFUNCTION("""COMPUTED_VALUE"""),"B117")</f>
        <v>B117</v>
      </c>
      <c r="AC512" s="38" t="str">
        <f>IFERROR(__xludf.DUMMYFUNCTION("""COMPUTED_VALUE"""),"")</f>
        <v/>
      </c>
      <c r="AD512" s="45">
        <f>IFERROR(__xludf.DUMMYFUNCTION("""COMPUTED_VALUE"""),105.7)</f>
        <v>105.7</v>
      </c>
      <c r="AE512" s="46" t="str">
        <f>IFERROR(__xludf.DUMMYFUNCTION("""COMPUTED_VALUE"""),"AP")</f>
        <v>AP</v>
      </c>
      <c r="AF512" s="47">
        <f>IFERROR(__xludf.DUMMYFUNCTION("""COMPUTED_VALUE"""),19.9)</f>
        <v>19.9</v>
      </c>
      <c r="AG512" s="48" t="str">
        <f>IFERROR(__xludf.DUMMYFUNCTION("""COMPUTED_VALUE"""),"%")</f>
        <v>%</v>
      </c>
      <c r="AH512" s="43">
        <f>IFERROR(__xludf.DUMMYFUNCTION("""COMPUTED_VALUE"""),21.0)</f>
        <v>21</v>
      </c>
      <c r="AI512" s="44">
        <f>IFERROR(__xludf.DUMMYFUNCTION("""COMPUTED_VALUE"""),16339.0)</f>
        <v>16339</v>
      </c>
      <c r="AJ512" s="51" t="str">
        <f>IFERROR(__xludf.DUMMYFUNCTION("""COMPUTED_VALUE"""),"炎の館")</f>
        <v>炎の館</v>
      </c>
    </row>
    <row r="513" ht="24.75" customHeight="1">
      <c r="A513" s="28">
        <f>IFERROR(__xludf.DUMMYFUNCTION("""COMPUTED_VALUE"""),5.0)</f>
        <v>5</v>
      </c>
      <c r="B513" s="28" t="str">
        <f>IFERROR(__xludf.DUMMYFUNCTION("""COMPUTED_VALUE"""),"A214")</f>
        <v>A214</v>
      </c>
      <c r="C513" s="28" t="str">
        <f>IFERROR(__xludf.DUMMYFUNCTION("""COMPUTED_VALUE"""),"GTT5")</f>
        <v>GTT5</v>
      </c>
      <c r="D513" s="29" t="str">
        <f>IFERROR(__xludf.DUMMYFUNCTION("""COMPUTED_VALUE"""),"Götterdämmerung")</f>
        <v>Götterdämmerung</v>
      </c>
      <c r="E513" s="30" t="str">
        <f>IFERROR(__xludf.DUMMYFUNCTION("""COMPUTED_VALUE"""),"Hero's Lair")</f>
        <v>Hero's Lair</v>
      </c>
      <c r="F513" s="31">
        <f>IFERROR(__xludf.DUMMYFUNCTION("""COMPUTED_VALUE"""),21.0)</f>
        <v>21</v>
      </c>
      <c r="G513" s="32">
        <f>IFERROR(__xludf.DUMMYFUNCTION("""COMPUTED_VALUE"""),8524.0)</f>
        <v>8524</v>
      </c>
      <c r="H513" s="33" t="str">
        <f>IFERROR(__xludf.DUMMYFUNCTION("""COMPUTED_VALUE"""),"")</f>
        <v/>
      </c>
      <c r="I513" s="34">
        <f>IFERROR(__xludf.DUMMYFUNCTION("""COMPUTED_VALUE"""),82.1)</f>
        <v>82.1</v>
      </c>
      <c r="J513" s="35" t="str">
        <f>IFERROR(__xludf.DUMMYFUNCTION("""COMPUTED_VALUE"""),"AP")</f>
        <v>AP</v>
      </c>
      <c r="K513" s="34">
        <f>IFERROR(__xludf.DUMMYFUNCTION("""COMPUTED_VALUE"""),25.6)</f>
        <v>25.6</v>
      </c>
      <c r="L513" s="35" t="str">
        <f>IFERROR(__xludf.DUMMYFUNCTION("""COMPUTED_VALUE"""),"%")</f>
        <v>%</v>
      </c>
      <c r="M513" s="36">
        <f>IFERROR(__xludf.DUMMYFUNCTION("""COMPUTED_VALUE"""),1.0)</f>
        <v>1</v>
      </c>
      <c r="N513" s="37" t="str">
        <f>IFERROR(__xludf.DUMMYFUNCTION("""COMPUTED_VALUE"""),"A203")</f>
        <v>A203</v>
      </c>
      <c r="O513" s="38" t="str">
        <f>IFERROR(__xludf.DUMMYFUNCTION("""COMPUTED_VALUE"""),"")</f>
        <v/>
      </c>
      <c r="P513" s="34">
        <f>IFERROR(__xludf.DUMMYFUNCTION("""COMPUTED_VALUE"""),84.8)</f>
        <v>84.8</v>
      </c>
      <c r="Q513" s="35" t="str">
        <f>IFERROR(__xludf.DUMMYFUNCTION("""COMPUTED_VALUE"""),"AP")</f>
        <v>AP</v>
      </c>
      <c r="R513" s="34">
        <f>IFERROR(__xludf.DUMMYFUNCTION("""COMPUTED_VALUE"""),24.8)</f>
        <v>24.8</v>
      </c>
      <c r="S513" s="35" t="str">
        <f>IFERROR(__xludf.DUMMYFUNCTION("""COMPUTED_VALUE"""),"%")</f>
        <v>%</v>
      </c>
      <c r="T513" s="36">
        <f>IFERROR(__xludf.DUMMYFUNCTION("""COMPUTED_VALUE"""),2.0)</f>
        <v>2</v>
      </c>
      <c r="U513" s="37" t="str">
        <f>IFERROR(__xludf.DUMMYFUNCTION("""COMPUTED_VALUE"""),"B107")</f>
        <v>B107</v>
      </c>
      <c r="V513" s="38" t="str">
        <f>IFERROR(__xludf.DUMMYFUNCTION("""COMPUTED_VALUE"""),"")</f>
        <v/>
      </c>
      <c r="W513" s="34">
        <f>IFERROR(__xludf.DUMMYFUNCTION("""COMPUTED_VALUE"""),427.7)</f>
        <v>427.7</v>
      </c>
      <c r="X513" s="35" t="str">
        <f>IFERROR(__xludf.DUMMYFUNCTION("""COMPUTED_VALUE"""),"AP")</f>
        <v>AP</v>
      </c>
      <c r="Y513" s="34">
        <f>IFERROR(__xludf.DUMMYFUNCTION("""COMPUTED_VALUE"""),4.9)</f>
        <v>4.9</v>
      </c>
      <c r="Z513" s="35" t="str">
        <f>IFERROR(__xludf.DUMMYFUNCTION("""COMPUTED_VALUE"""),"%")</f>
        <v>%</v>
      </c>
      <c r="AA513" s="36">
        <f>IFERROR(__xludf.DUMMYFUNCTION("""COMPUTED_VALUE"""),3.0)</f>
        <v>3</v>
      </c>
      <c r="AB513" s="37" t="str">
        <f>IFERROR(__xludf.DUMMYFUNCTION("""COMPUTED_VALUE"""),"B117")</f>
        <v>B117</v>
      </c>
      <c r="AC513" s="38" t="str">
        <f>IFERROR(__xludf.DUMMYFUNCTION("""COMPUTED_VALUE"""),"")</f>
        <v/>
      </c>
      <c r="AD513" s="34">
        <f>IFERROR(__xludf.DUMMYFUNCTION("""COMPUTED_VALUE"""),67.3)</f>
        <v>67.3</v>
      </c>
      <c r="AE513" s="35" t="str">
        <f>IFERROR(__xludf.DUMMYFUNCTION("""COMPUTED_VALUE"""),"AP")</f>
        <v>AP</v>
      </c>
      <c r="AF513" s="34">
        <f>IFERROR(__xludf.DUMMYFUNCTION("""COMPUTED_VALUE"""),31.2)</f>
        <v>31.2</v>
      </c>
      <c r="AG513" s="35" t="str">
        <f>IFERROR(__xludf.DUMMYFUNCTION("""COMPUTED_VALUE"""),"%")</f>
        <v>%</v>
      </c>
      <c r="AH513" s="31">
        <f>IFERROR(__xludf.DUMMYFUNCTION("""COMPUTED_VALUE"""),21.0)</f>
        <v>21</v>
      </c>
      <c r="AI513" s="32">
        <f>IFERROR(__xludf.DUMMYFUNCTION("""COMPUTED_VALUE"""),8524.0)</f>
        <v>8524</v>
      </c>
      <c r="AJ513" s="39" t="str">
        <f>IFERROR(__xludf.DUMMYFUNCTION("""COMPUTED_VALUE"""),"英雄の穴倉")</f>
        <v>英雄の穴倉</v>
      </c>
    </row>
    <row r="514" ht="24.75" customHeight="1">
      <c r="A514" s="40">
        <f>IFERROR(__xludf.DUMMYFUNCTION("""COMPUTED_VALUE"""),6.0)</f>
        <v>6</v>
      </c>
      <c r="B514" s="40" t="str">
        <f>IFERROR(__xludf.DUMMYFUNCTION("""COMPUTED_VALUE"""),"A214")</f>
        <v>A214</v>
      </c>
      <c r="C514" s="40" t="str">
        <f>IFERROR(__xludf.DUMMYFUNCTION("""COMPUTED_VALUE"""),"GTT10")</f>
        <v>GTT10</v>
      </c>
      <c r="D514" s="41" t="str">
        <f>IFERROR(__xludf.DUMMYFUNCTION("""COMPUTED_VALUE"""),"Götterdämmerung")</f>
        <v>Götterdämmerung</v>
      </c>
      <c r="E514" s="42" t="str">
        <f>IFERROR(__xludf.DUMMYFUNCTION("""COMPUTED_VALUE"""),"North Boundary")</f>
        <v>North Boundary</v>
      </c>
      <c r="F514" s="43">
        <f>IFERROR(__xludf.DUMMYFUNCTION("""COMPUTED_VALUE"""),21.0)</f>
        <v>21</v>
      </c>
      <c r="G514" s="44">
        <f>IFERROR(__xludf.DUMMYFUNCTION("""COMPUTED_VALUE"""),6255.0)</f>
        <v>6255</v>
      </c>
      <c r="H514" s="33" t="str">
        <f>IFERROR(__xludf.DUMMYFUNCTION("""COMPUTED_VALUE"""),"")</f>
        <v/>
      </c>
      <c r="I514" s="45">
        <f>IFERROR(__xludf.DUMMYFUNCTION("""COMPUTED_VALUE"""),83.9)</f>
        <v>83.9</v>
      </c>
      <c r="J514" s="46" t="str">
        <f>IFERROR(__xludf.DUMMYFUNCTION("""COMPUTED_VALUE"""),"AP")</f>
        <v>AP</v>
      </c>
      <c r="K514" s="47">
        <f>IFERROR(__xludf.DUMMYFUNCTION("""COMPUTED_VALUE"""),25.0)</f>
        <v>25</v>
      </c>
      <c r="L514" s="48" t="str">
        <f>IFERROR(__xludf.DUMMYFUNCTION("""COMPUTED_VALUE"""),"%")</f>
        <v>%</v>
      </c>
      <c r="M514" s="49">
        <f>IFERROR(__xludf.DUMMYFUNCTION("""COMPUTED_VALUE"""),1.0)</f>
        <v>1</v>
      </c>
      <c r="N514" s="50" t="str">
        <f>IFERROR(__xludf.DUMMYFUNCTION("""COMPUTED_VALUE"""),"A304")</f>
        <v>A304</v>
      </c>
      <c r="O514" s="38" t="str">
        <f>IFERROR(__xludf.DUMMYFUNCTION("""COMPUTED_VALUE"""),"")</f>
        <v/>
      </c>
      <c r="P514" s="45">
        <f>IFERROR(__xludf.DUMMYFUNCTION("""COMPUTED_VALUE"""),69.2)</f>
        <v>69.2</v>
      </c>
      <c r="Q514" s="46" t="str">
        <f>IFERROR(__xludf.DUMMYFUNCTION("""COMPUTED_VALUE"""),"AP")</f>
        <v>AP</v>
      </c>
      <c r="R514" s="47">
        <f>IFERROR(__xludf.DUMMYFUNCTION("""COMPUTED_VALUE"""),30.3)</f>
        <v>30.3</v>
      </c>
      <c r="S514" s="48" t="str">
        <f>IFERROR(__xludf.DUMMYFUNCTION("""COMPUTED_VALUE"""),"%")</f>
        <v>%</v>
      </c>
      <c r="T514" s="49">
        <f>IFERROR(__xludf.DUMMYFUNCTION("""COMPUTED_VALUE"""),2.0)</f>
        <v>2</v>
      </c>
      <c r="U514" s="50" t="str">
        <f>IFERROR(__xludf.DUMMYFUNCTION("""COMPUTED_VALUE"""),"B117")</f>
        <v>B117</v>
      </c>
      <c r="V514" s="38" t="str">
        <f>IFERROR(__xludf.DUMMYFUNCTION("""COMPUTED_VALUE"""),"")</f>
        <v/>
      </c>
      <c r="W514" s="45">
        <f>IFERROR(__xludf.DUMMYFUNCTION("""COMPUTED_VALUE"""),51.3)</f>
        <v>51.3</v>
      </c>
      <c r="X514" s="46" t="str">
        <f>IFERROR(__xludf.DUMMYFUNCTION("""COMPUTED_VALUE"""),"AP")</f>
        <v>AP</v>
      </c>
      <c r="Y514" s="47">
        <f>IFERROR(__xludf.DUMMYFUNCTION("""COMPUTED_VALUE"""),41.0)</f>
        <v>41</v>
      </c>
      <c r="Z514" s="48" t="str">
        <f>IFERROR(__xludf.DUMMYFUNCTION("""COMPUTED_VALUE"""),"%")</f>
        <v>%</v>
      </c>
      <c r="AA514" s="49">
        <f>IFERROR(__xludf.DUMMYFUNCTION("""COMPUTED_VALUE"""),3.0)</f>
        <v>3</v>
      </c>
      <c r="AB514" s="50"/>
      <c r="AC514" s="38"/>
      <c r="AD514" s="45" t="str">
        <f>IFERROR(__xludf.DUMMYFUNCTION("""COMPUTED_VALUE"""),"")</f>
        <v/>
      </c>
      <c r="AE514" s="46" t="str">
        <f>IFERROR(__xludf.DUMMYFUNCTION("""COMPUTED_VALUE"""),"AP")</f>
        <v>AP</v>
      </c>
      <c r="AF514" s="47" t="str">
        <f>IFERROR(__xludf.DUMMYFUNCTION("""COMPUTED_VALUE"""),"")</f>
        <v/>
      </c>
      <c r="AG514" s="48" t="str">
        <f>IFERROR(__xludf.DUMMYFUNCTION("""COMPUTED_VALUE"""),"%")</f>
        <v>%</v>
      </c>
      <c r="AH514" s="43">
        <f>IFERROR(__xludf.DUMMYFUNCTION("""COMPUTED_VALUE"""),21.0)</f>
        <v>21</v>
      </c>
      <c r="AI514" s="44">
        <f>IFERROR(__xludf.DUMMYFUNCTION("""COMPUTED_VALUE"""),6255.0)</f>
        <v>6255</v>
      </c>
      <c r="AJ514" s="51" t="str">
        <f>IFERROR(__xludf.DUMMYFUNCTION("""COMPUTED_VALUE"""),"北の境界")</f>
        <v>北の境界</v>
      </c>
    </row>
    <row r="515" ht="24.75" customHeight="1">
      <c r="A515" s="28">
        <f>IFERROR(__xludf.DUMMYFUNCTION("""COMPUTED_VALUE"""),7.0)</f>
        <v>7</v>
      </c>
      <c r="B515" s="28" t="str">
        <f>IFERROR(__xludf.DUMMYFUNCTION("""COMPUTED_VALUE"""),"A214")</f>
        <v>A214</v>
      </c>
      <c r="C515" s="28" t="str">
        <f>IFERROR(__xludf.DUMMYFUNCTION("""COMPUTED_VALUE"""),"GTT7")</f>
        <v>GTT7</v>
      </c>
      <c r="D515" s="29" t="str">
        <f>IFERROR(__xludf.DUMMYFUNCTION("""COMPUTED_VALUE"""),"Götterdämmerung")</f>
        <v>Götterdämmerung</v>
      </c>
      <c r="E515" s="30" t="str">
        <f>IFERROR(__xludf.DUMMYFUNCTION("""COMPUTED_VALUE"""),"Road to the End")</f>
        <v>Road to the End</v>
      </c>
      <c r="F515" s="31">
        <f>IFERROR(__xludf.DUMMYFUNCTION("""COMPUTED_VALUE"""),21.0)</f>
        <v>21</v>
      </c>
      <c r="G515" s="32">
        <f>IFERROR(__xludf.DUMMYFUNCTION("""COMPUTED_VALUE"""),16351.0)</f>
        <v>16351</v>
      </c>
      <c r="H515" s="33" t="str">
        <f>IFERROR(__xludf.DUMMYFUNCTION("""COMPUTED_VALUE"""),"")</f>
        <v/>
      </c>
      <c r="I515" s="34">
        <f>IFERROR(__xludf.DUMMYFUNCTION("""COMPUTED_VALUE"""),84.6)</f>
        <v>84.6</v>
      </c>
      <c r="J515" s="35" t="str">
        <f>IFERROR(__xludf.DUMMYFUNCTION("""COMPUTED_VALUE"""),"AP")</f>
        <v>AP</v>
      </c>
      <c r="K515" s="34">
        <f>IFERROR(__xludf.DUMMYFUNCTION("""COMPUTED_VALUE"""),24.8)</f>
        <v>24.8</v>
      </c>
      <c r="L515" s="35" t="str">
        <f>IFERROR(__xludf.DUMMYFUNCTION("""COMPUTED_VALUE"""),"%")</f>
        <v>%</v>
      </c>
      <c r="M515" s="36">
        <f>IFERROR(__xludf.DUMMYFUNCTION("""COMPUTED_VALUE"""),1.0)</f>
        <v>1</v>
      </c>
      <c r="N515" s="37" t="str">
        <f>IFERROR(__xludf.DUMMYFUNCTION("""COMPUTED_VALUE"""),"A110")</f>
        <v>A110</v>
      </c>
      <c r="O515" s="38" t="str">
        <f>IFERROR(__xludf.DUMMYFUNCTION("""COMPUTED_VALUE"""),"")</f>
        <v/>
      </c>
      <c r="P515" s="34">
        <f>IFERROR(__xludf.DUMMYFUNCTION("""COMPUTED_VALUE"""),118.7)</f>
        <v>118.7</v>
      </c>
      <c r="Q515" s="35" t="str">
        <f>IFERROR(__xludf.DUMMYFUNCTION("""COMPUTED_VALUE"""),"AP")</f>
        <v>AP</v>
      </c>
      <c r="R515" s="34">
        <f>IFERROR(__xludf.DUMMYFUNCTION("""COMPUTED_VALUE"""),17.699999899999998)</f>
        <v>17.6999999</v>
      </c>
      <c r="S515" s="35" t="str">
        <f>IFERROR(__xludf.DUMMYFUNCTION("""COMPUTED_VALUE"""),"%")</f>
        <v>%</v>
      </c>
      <c r="T515" s="36">
        <f>IFERROR(__xludf.DUMMYFUNCTION("""COMPUTED_VALUE"""),2.0)</f>
        <v>2</v>
      </c>
      <c r="U515" s="37" t="str">
        <f>IFERROR(__xludf.DUMMYFUNCTION("""COMPUTED_VALUE"""),"B116")</f>
        <v>B116</v>
      </c>
      <c r="V515" s="38" t="str">
        <f>IFERROR(__xludf.DUMMYFUNCTION("""COMPUTED_VALUE"""),"")</f>
        <v/>
      </c>
      <c r="W515" s="34">
        <f>IFERROR(__xludf.DUMMYFUNCTION("""COMPUTED_VALUE"""),250.0)</f>
        <v>250</v>
      </c>
      <c r="X515" s="35" t="str">
        <f>IFERROR(__xludf.DUMMYFUNCTION("""COMPUTED_VALUE"""),"AP")</f>
        <v>AP</v>
      </c>
      <c r="Y515" s="34">
        <f>IFERROR(__xludf.DUMMYFUNCTION("""COMPUTED_VALUE"""),8.4)</f>
        <v>8.4</v>
      </c>
      <c r="Z515" s="35" t="str">
        <f>IFERROR(__xludf.DUMMYFUNCTION("""COMPUTED_VALUE"""),"%")</f>
        <v>%</v>
      </c>
      <c r="AA515" s="36">
        <f>IFERROR(__xludf.DUMMYFUNCTION("""COMPUTED_VALUE"""),3.0)</f>
        <v>3</v>
      </c>
      <c r="AB515" s="37" t="str">
        <f>IFERROR(__xludf.DUMMYFUNCTION("""COMPUTED_VALUE"""),"B117")</f>
        <v>B117</v>
      </c>
      <c r="AC515" s="38" t="str">
        <f>IFERROR(__xludf.DUMMYFUNCTION("""COMPUTED_VALUE"""),"")</f>
        <v/>
      </c>
      <c r="AD515" s="34">
        <f>IFERROR(__xludf.DUMMYFUNCTION("""COMPUTED_VALUE"""),52.0)</f>
        <v>52</v>
      </c>
      <c r="AE515" s="35" t="str">
        <f>IFERROR(__xludf.DUMMYFUNCTION("""COMPUTED_VALUE"""),"AP")</f>
        <v>AP</v>
      </c>
      <c r="AF515" s="34">
        <f>IFERROR(__xludf.DUMMYFUNCTION("""COMPUTED_VALUE"""),40.4)</f>
        <v>40.4</v>
      </c>
      <c r="AG515" s="35" t="str">
        <f>IFERROR(__xludf.DUMMYFUNCTION("""COMPUTED_VALUE"""),"%")</f>
        <v>%</v>
      </c>
      <c r="AH515" s="31">
        <f>IFERROR(__xludf.DUMMYFUNCTION("""COMPUTED_VALUE"""),21.0)</f>
        <v>21</v>
      </c>
      <c r="AI515" s="32">
        <f>IFERROR(__xludf.DUMMYFUNCTION("""COMPUTED_VALUE"""),16351.0)</f>
        <v>16351</v>
      </c>
      <c r="AJ515" s="39" t="str">
        <f>IFERROR(__xludf.DUMMYFUNCTION("""COMPUTED_VALUE"""),"果てへと至る道")</f>
        <v>果てへと至る道</v>
      </c>
    </row>
    <row r="516" ht="24.75" customHeight="1">
      <c r="A516" s="40">
        <f>IFERROR(__xludf.DUMMYFUNCTION("""COMPUTED_VALUE"""),8.0)</f>
        <v>8</v>
      </c>
      <c r="B516" s="40" t="str">
        <f>IFERROR(__xludf.DUMMYFUNCTION("""COMPUTED_VALUE"""),"A214")</f>
        <v>A214</v>
      </c>
      <c r="C516" s="40" t="str">
        <f>IFERROR(__xludf.DUMMYFUNCTION("""COMPUTED_VALUE"""),"SIN5")</f>
        <v>SIN5</v>
      </c>
      <c r="D516" s="41" t="str">
        <f>IFERROR(__xludf.DUMMYFUNCTION("""COMPUTED_VALUE"""),"SIN")</f>
        <v>SIN</v>
      </c>
      <c r="E516" s="42" t="str">
        <f>IFERROR(__xludf.DUMMYFUNCTION("""COMPUTED_VALUE"""),"Jingyang Field")</f>
        <v>Jingyang Field</v>
      </c>
      <c r="F516" s="43">
        <f>IFERROR(__xludf.DUMMYFUNCTION("""COMPUTED_VALUE"""),21.0)</f>
        <v>21</v>
      </c>
      <c r="G516" s="44">
        <f>IFERROR(__xludf.DUMMYFUNCTION("""COMPUTED_VALUE"""),5852.0)</f>
        <v>5852</v>
      </c>
      <c r="H516" s="33" t="str">
        <f>IFERROR(__xludf.DUMMYFUNCTION("""COMPUTED_VALUE"""),"")</f>
        <v/>
      </c>
      <c r="I516" s="45">
        <f>IFERROR(__xludf.DUMMYFUNCTION("""COMPUTED_VALUE"""),101.6)</f>
        <v>101.6</v>
      </c>
      <c r="J516" s="46" t="str">
        <f>IFERROR(__xludf.DUMMYFUNCTION("""COMPUTED_VALUE"""),"AP")</f>
        <v>AP</v>
      </c>
      <c r="K516" s="47">
        <f>IFERROR(__xludf.DUMMYFUNCTION("""COMPUTED_VALUE"""),20.7)</f>
        <v>20.7</v>
      </c>
      <c r="L516" s="48" t="str">
        <f>IFERROR(__xludf.DUMMYFUNCTION("""COMPUTED_VALUE"""),"%")</f>
        <v>%</v>
      </c>
      <c r="M516" s="49">
        <f>IFERROR(__xludf.DUMMYFUNCTION("""COMPUTED_VALUE"""),1.0)</f>
        <v>1</v>
      </c>
      <c r="N516" s="50" t="str">
        <f>IFERROR(__xludf.DUMMYFUNCTION("""COMPUTED_VALUE"""),"A113")</f>
        <v>A113</v>
      </c>
      <c r="O516" s="38" t="str">
        <f>IFERROR(__xludf.DUMMYFUNCTION("""COMPUTED_VALUE"""),"")</f>
        <v/>
      </c>
      <c r="P516" s="45">
        <f>IFERROR(__xludf.DUMMYFUNCTION("""COMPUTED_VALUE"""),134.2)</f>
        <v>134.2</v>
      </c>
      <c r="Q516" s="46" t="str">
        <f>IFERROR(__xludf.DUMMYFUNCTION("""COMPUTED_VALUE"""),"AP")</f>
        <v>AP</v>
      </c>
      <c r="R516" s="47">
        <f>IFERROR(__xludf.DUMMYFUNCTION("""COMPUTED_VALUE"""),15.7)</f>
        <v>15.7</v>
      </c>
      <c r="S516" s="48" t="str">
        <f>IFERROR(__xludf.DUMMYFUNCTION("""COMPUTED_VALUE"""),"%")</f>
        <v>%</v>
      </c>
      <c r="T516" s="49">
        <f>IFERROR(__xludf.DUMMYFUNCTION("""COMPUTED_VALUE"""),2.0)</f>
        <v>2</v>
      </c>
      <c r="U516" s="50" t="str">
        <f>IFERROR(__xludf.DUMMYFUNCTION("""COMPUTED_VALUE"""),"A304")</f>
        <v>A304</v>
      </c>
      <c r="V516" s="38" t="str">
        <f>IFERROR(__xludf.DUMMYFUNCTION("""COMPUTED_VALUE"""),"")</f>
        <v/>
      </c>
      <c r="W516" s="45">
        <f>IFERROR(__xludf.DUMMYFUNCTION("""COMPUTED_VALUE"""),65.4)</f>
        <v>65.4</v>
      </c>
      <c r="X516" s="46" t="str">
        <f>IFERROR(__xludf.DUMMYFUNCTION("""COMPUTED_VALUE"""),"AP")</f>
        <v>AP</v>
      </c>
      <c r="Y516" s="47">
        <f>IFERROR(__xludf.DUMMYFUNCTION("""COMPUTED_VALUE"""),32.1)</f>
        <v>32.1</v>
      </c>
      <c r="Z516" s="48" t="str">
        <f>IFERROR(__xludf.DUMMYFUNCTION("""COMPUTED_VALUE"""),"%")</f>
        <v>%</v>
      </c>
      <c r="AA516" s="49">
        <f>IFERROR(__xludf.DUMMYFUNCTION("""COMPUTED_VALUE"""),3.0)</f>
        <v>3</v>
      </c>
      <c r="AB516" s="50" t="str">
        <f>IFERROR(__xludf.DUMMYFUNCTION("""COMPUTED_VALUE"""),"B112")</f>
        <v>B112</v>
      </c>
      <c r="AC516" s="38" t="str">
        <f>IFERROR(__xludf.DUMMYFUNCTION("""COMPUTED_VALUE"""),"")</f>
        <v/>
      </c>
      <c r="AD516" s="45">
        <f>IFERROR(__xludf.DUMMYFUNCTION("""COMPUTED_VALUE"""),207.8)</f>
        <v>207.8</v>
      </c>
      <c r="AE516" s="46" t="str">
        <f>IFERROR(__xludf.DUMMYFUNCTION("""COMPUTED_VALUE"""),"AP")</f>
        <v>AP</v>
      </c>
      <c r="AF516" s="47">
        <f>IFERROR(__xludf.DUMMYFUNCTION("""COMPUTED_VALUE"""),10.1)</f>
        <v>10.1</v>
      </c>
      <c r="AG516" s="48" t="str">
        <f>IFERROR(__xludf.DUMMYFUNCTION("""COMPUTED_VALUE"""),"%")</f>
        <v>%</v>
      </c>
      <c r="AH516" s="43">
        <f>IFERROR(__xludf.DUMMYFUNCTION("""COMPUTED_VALUE"""),21.0)</f>
        <v>21</v>
      </c>
      <c r="AI516" s="44">
        <f>IFERROR(__xludf.DUMMYFUNCTION("""COMPUTED_VALUE"""),5852.0)</f>
        <v>5852</v>
      </c>
      <c r="AJ516" s="51" t="str">
        <f>IFERROR(__xludf.DUMMYFUNCTION("""COMPUTED_VALUE"""),"景陽原")</f>
        <v>景陽原</v>
      </c>
    </row>
    <row r="517" ht="24.75" customHeight="1">
      <c r="A517" s="28">
        <f>IFERROR(__xludf.DUMMYFUNCTION("""COMPUTED_VALUE"""),9.0)</f>
        <v>9</v>
      </c>
      <c r="B517" s="28" t="str">
        <f>IFERROR(__xludf.DUMMYFUNCTION("""COMPUTED_VALUE"""),"A214")</f>
        <v>A214</v>
      </c>
      <c r="C517" s="28" t="str">
        <f>IFERROR(__xludf.DUMMYFUNCTION("""COMPUTED_VALUE"""),"SIN4")</f>
        <v>SIN4</v>
      </c>
      <c r="D517" s="29" t="str">
        <f>IFERROR(__xludf.DUMMYFUNCTION("""COMPUTED_VALUE"""),"SIN")</f>
        <v>SIN</v>
      </c>
      <c r="E517" s="30" t="str">
        <f>IFERROR(__xludf.DUMMYFUNCTION("""COMPUTED_VALUE"""),"Akuta's Camp")</f>
        <v>Akuta's Camp</v>
      </c>
      <c r="F517" s="31">
        <f>IFERROR(__xludf.DUMMYFUNCTION("""COMPUTED_VALUE"""),21.0)</f>
        <v>21</v>
      </c>
      <c r="G517" s="32">
        <f>IFERROR(__xludf.DUMMYFUNCTION("""COMPUTED_VALUE"""),2492.0)</f>
        <v>2492</v>
      </c>
      <c r="H517" s="33" t="str">
        <f>IFERROR(__xludf.DUMMYFUNCTION("""COMPUTED_VALUE"""),"")</f>
        <v/>
      </c>
      <c r="I517" s="34">
        <f>IFERROR(__xludf.DUMMYFUNCTION("""COMPUTED_VALUE"""),112.5)</f>
        <v>112.5</v>
      </c>
      <c r="J517" s="35" t="str">
        <f>IFERROR(__xludf.DUMMYFUNCTION("""COMPUTED_VALUE"""),"AP")</f>
        <v>AP</v>
      </c>
      <c r="K517" s="34">
        <f>IFERROR(__xludf.DUMMYFUNCTION("""COMPUTED_VALUE"""),18.7)</f>
        <v>18.7</v>
      </c>
      <c r="L517" s="35" t="str">
        <f>IFERROR(__xludf.DUMMYFUNCTION("""COMPUTED_VALUE"""),"%")</f>
        <v>%</v>
      </c>
      <c r="M517" s="36">
        <f>IFERROR(__xludf.DUMMYFUNCTION("""COMPUTED_VALUE"""),1.0)</f>
        <v>1</v>
      </c>
      <c r="N517" s="37" t="str">
        <f>IFERROR(__xludf.DUMMYFUNCTION("""COMPUTED_VALUE"""),"A206")</f>
        <v>A206</v>
      </c>
      <c r="O517" s="38" t="str">
        <f>IFERROR(__xludf.DUMMYFUNCTION("""COMPUTED_VALUE"""),"")</f>
        <v/>
      </c>
      <c r="P517" s="34">
        <f>IFERROR(__xludf.DUMMYFUNCTION("""COMPUTED_VALUE"""),102.2)</f>
        <v>102.2</v>
      </c>
      <c r="Q517" s="35" t="str">
        <f>IFERROR(__xludf.DUMMYFUNCTION("""COMPUTED_VALUE"""),"AP")</f>
        <v>AP</v>
      </c>
      <c r="R517" s="34">
        <f>IFERROR(__xludf.DUMMYFUNCTION("""COMPUTED_VALUE"""),20.5)</f>
        <v>20.5</v>
      </c>
      <c r="S517" s="35" t="str">
        <f>IFERROR(__xludf.DUMMYFUNCTION("""COMPUTED_VALUE"""),"%")</f>
        <v>%</v>
      </c>
      <c r="T517" s="36">
        <f>IFERROR(__xludf.DUMMYFUNCTION("""COMPUTED_VALUE"""),2.0)</f>
        <v>2</v>
      </c>
      <c r="U517" s="37" t="str">
        <f>IFERROR(__xludf.DUMMYFUNCTION("""COMPUTED_VALUE"""),"A304")</f>
        <v>A304</v>
      </c>
      <c r="V517" s="38" t="str">
        <f>IFERROR(__xludf.DUMMYFUNCTION("""COMPUTED_VALUE"""),"")</f>
        <v/>
      </c>
      <c r="W517" s="34">
        <f>IFERROR(__xludf.DUMMYFUNCTION("""COMPUTED_VALUE"""),71.5)</f>
        <v>71.5</v>
      </c>
      <c r="X517" s="35" t="str">
        <f>IFERROR(__xludf.DUMMYFUNCTION("""COMPUTED_VALUE"""),"AP")</f>
        <v>AP</v>
      </c>
      <c r="Y517" s="34">
        <f>IFERROR(__xludf.DUMMYFUNCTION("""COMPUTED_VALUE"""),29.4)</f>
        <v>29.4</v>
      </c>
      <c r="Z517" s="35" t="str">
        <f>IFERROR(__xludf.DUMMYFUNCTION("""COMPUTED_VALUE"""),"%")</f>
        <v>%</v>
      </c>
      <c r="AA517" s="36">
        <f>IFERROR(__xludf.DUMMYFUNCTION("""COMPUTED_VALUE"""),3.0)</f>
        <v>3</v>
      </c>
      <c r="AB517" s="37" t="str">
        <f>IFERROR(__xludf.DUMMYFUNCTION("""COMPUTED_VALUE"""),"B117")</f>
        <v>B117</v>
      </c>
      <c r="AC517" s="38" t="str">
        <f>IFERROR(__xludf.DUMMYFUNCTION("""COMPUTED_VALUE"""),"")</f>
        <v/>
      </c>
      <c r="AD517" s="34">
        <f>IFERROR(__xludf.DUMMYFUNCTION("""COMPUTED_VALUE"""),135.0)</f>
        <v>135</v>
      </c>
      <c r="AE517" s="35" t="str">
        <f>IFERROR(__xludf.DUMMYFUNCTION("""COMPUTED_VALUE"""),"AP")</f>
        <v>AP</v>
      </c>
      <c r="AF517" s="34">
        <f>IFERROR(__xludf.DUMMYFUNCTION("""COMPUTED_VALUE"""),15.6)</f>
        <v>15.6</v>
      </c>
      <c r="AG517" s="35" t="str">
        <f>IFERROR(__xludf.DUMMYFUNCTION("""COMPUTED_VALUE"""),"%")</f>
        <v>%</v>
      </c>
      <c r="AH517" s="31">
        <f>IFERROR(__xludf.DUMMYFUNCTION("""COMPUTED_VALUE"""),21.0)</f>
        <v>21</v>
      </c>
      <c r="AI517" s="32">
        <f>IFERROR(__xludf.DUMMYFUNCTION("""COMPUTED_VALUE"""),2492.0)</f>
        <v>2492</v>
      </c>
      <c r="AJ517" s="39" t="str">
        <f>IFERROR(__xludf.DUMMYFUNCTION("""COMPUTED_VALUE"""),"芥の陣幕")</f>
        <v>芥の陣幕</v>
      </c>
    </row>
    <row r="518" ht="24.75" customHeight="1">
      <c r="A518" s="40">
        <f>IFERROR(__xludf.DUMMYFUNCTION("""COMPUTED_VALUE"""),10.0)</f>
        <v>10</v>
      </c>
      <c r="B518" s="40" t="str">
        <f>IFERROR(__xludf.DUMMYFUNCTION("""COMPUTED_VALUE"""),"A214")</f>
        <v>A214</v>
      </c>
      <c r="C518" s="40"/>
      <c r="D518" s="41"/>
      <c r="E518" s="66"/>
      <c r="F518" s="43"/>
      <c r="G518" s="44"/>
      <c r="H518" s="33" t="str">
        <f>IFERROR(__xludf.DUMMYFUNCTION("""COMPUTED_VALUE""")," ")</f>
        <v> </v>
      </c>
      <c r="I518" s="45"/>
      <c r="J518" s="46" t="str">
        <f>IFERROR(__xludf.DUMMYFUNCTION("""COMPUTED_VALUE"""),"AP")</f>
        <v>AP</v>
      </c>
      <c r="K518" s="47"/>
      <c r="L518" s="48" t="str">
        <f>IFERROR(__xludf.DUMMYFUNCTION("""COMPUTED_VALUE"""),"%")</f>
        <v>%</v>
      </c>
      <c r="M518" s="49">
        <f>IFERROR(__xludf.DUMMYFUNCTION("""COMPUTED_VALUE"""),1.0)</f>
        <v>1</v>
      </c>
      <c r="N518" s="50"/>
      <c r="O518" s="38"/>
      <c r="P518" s="45" t="str">
        <f>IFERROR(__xludf.DUMMYFUNCTION("""COMPUTED_VALUE"""),"")</f>
        <v/>
      </c>
      <c r="Q518" s="46" t="str">
        <f>IFERROR(__xludf.DUMMYFUNCTION("""COMPUTED_VALUE"""),"AP")</f>
        <v>AP</v>
      </c>
      <c r="R518" s="47" t="str">
        <f>IFERROR(__xludf.DUMMYFUNCTION("""COMPUTED_VALUE"""),"")</f>
        <v/>
      </c>
      <c r="S518" s="48" t="str">
        <f>IFERROR(__xludf.DUMMYFUNCTION("""COMPUTED_VALUE"""),"%")</f>
        <v>%</v>
      </c>
      <c r="T518" s="49">
        <f>IFERROR(__xludf.DUMMYFUNCTION("""COMPUTED_VALUE"""),2.0)</f>
        <v>2</v>
      </c>
      <c r="U518" s="50"/>
      <c r="V518" s="38"/>
      <c r="W518" s="45" t="str">
        <f>IFERROR(__xludf.DUMMYFUNCTION("""COMPUTED_VALUE"""),"")</f>
        <v/>
      </c>
      <c r="X518" s="46" t="str">
        <f>IFERROR(__xludf.DUMMYFUNCTION("""COMPUTED_VALUE"""),"AP")</f>
        <v>AP</v>
      </c>
      <c r="Y518" s="47" t="str">
        <f>IFERROR(__xludf.DUMMYFUNCTION("""COMPUTED_VALUE"""),"")</f>
        <v/>
      </c>
      <c r="Z518" s="48" t="str">
        <f>IFERROR(__xludf.DUMMYFUNCTION("""COMPUTED_VALUE"""),"%")</f>
        <v>%</v>
      </c>
      <c r="AA518" s="49">
        <f>IFERROR(__xludf.DUMMYFUNCTION("""COMPUTED_VALUE"""),3.0)</f>
        <v>3</v>
      </c>
      <c r="AB518" s="50"/>
      <c r="AC518" s="38"/>
      <c r="AD518" s="45" t="str">
        <f>IFERROR(__xludf.DUMMYFUNCTION("""COMPUTED_VALUE"""),"")</f>
        <v/>
      </c>
      <c r="AE518" s="46" t="str">
        <f>IFERROR(__xludf.DUMMYFUNCTION("""COMPUTED_VALUE"""),"AP")</f>
        <v>AP</v>
      </c>
      <c r="AF518" s="47" t="str">
        <f>IFERROR(__xludf.DUMMYFUNCTION("""COMPUTED_VALUE"""),"")</f>
        <v/>
      </c>
      <c r="AG518" s="48" t="str">
        <f>IFERROR(__xludf.DUMMYFUNCTION("""COMPUTED_VALUE"""),"%")</f>
        <v>%</v>
      </c>
      <c r="AH518" s="43"/>
      <c r="AI518" s="44"/>
      <c r="AJ518" s="51"/>
    </row>
    <row r="519" ht="24.75" hidden="1" customHeight="1">
      <c r="A519" s="28">
        <f>IFERROR(__xludf.DUMMYFUNCTION("""COMPUTED_VALUE"""),11.0)</f>
        <v>11</v>
      </c>
      <c r="B519" s="28" t="str">
        <f>IFERROR(__xludf.DUMMYFUNCTION("""COMPUTED_VALUE"""),"A214")</f>
        <v>A214</v>
      </c>
      <c r="C519" s="28"/>
      <c r="D519" s="29"/>
      <c r="E519" s="67"/>
      <c r="F519" s="31"/>
      <c r="G519" s="32"/>
      <c r="H519" s="33" t="str">
        <f>IFERROR(__xludf.DUMMYFUNCTION("""COMPUTED_VALUE""")," ")</f>
        <v> </v>
      </c>
      <c r="I519" s="34"/>
      <c r="J519" s="35" t="str">
        <f>IFERROR(__xludf.DUMMYFUNCTION("""COMPUTED_VALUE"""),"AP")</f>
        <v>AP</v>
      </c>
      <c r="K519" s="34"/>
      <c r="L519" s="35" t="str">
        <f>IFERROR(__xludf.DUMMYFUNCTION("""COMPUTED_VALUE"""),"%")</f>
        <v>%</v>
      </c>
      <c r="M519" s="36">
        <f>IFERROR(__xludf.DUMMYFUNCTION("""COMPUTED_VALUE"""),1.0)</f>
        <v>1</v>
      </c>
      <c r="N519" s="37"/>
      <c r="O519" s="38"/>
      <c r="P519" s="34" t="str">
        <f>IFERROR(__xludf.DUMMYFUNCTION("""COMPUTED_VALUE"""),"")</f>
        <v/>
      </c>
      <c r="Q519" s="35" t="str">
        <f>IFERROR(__xludf.DUMMYFUNCTION("""COMPUTED_VALUE"""),"AP")</f>
        <v>AP</v>
      </c>
      <c r="R519" s="34" t="str">
        <f>IFERROR(__xludf.DUMMYFUNCTION("""COMPUTED_VALUE"""),"")</f>
        <v/>
      </c>
      <c r="S519" s="35" t="str">
        <f>IFERROR(__xludf.DUMMYFUNCTION("""COMPUTED_VALUE"""),"%")</f>
        <v>%</v>
      </c>
      <c r="T519" s="36">
        <f>IFERROR(__xludf.DUMMYFUNCTION("""COMPUTED_VALUE"""),2.0)</f>
        <v>2</v>
      </c>
      <c r="U519" s="37"/>
      <c r="V519" s="38"/>
      <c r="W519" s="34" t="str">
        <f>IFERROR(__xludf.DUMMYFUNCTION("""COMPUTED_VALUE"""),"")</f>
        <v/>
      </c>
      <c r="X519" s="35" t="str">
        <f>IFERROR(__xludf.DUMMYFUNCTION("""COMPUTED_VALUE"""),"AP")</f>
        <v>AP</v>
      </c>
      <c r="Y519" s="34" t="str">
        <f>IFERROR(__xludf.DUMMYFUNCTION("""COMPUTED_VALUE"""),"")</f>
        <v/>
      </c>
      <c r="Z519" s="35" t="str">
        <f>IFERROR(__xludf.DUMMYFUNCTION("""COMPUTED_VALUE"""),"%")</f>
        <v>%</v>
      </c>
      <c r="AA519" s="36">
        <f>IFERROR(__xludf.DUMMYFUNCTION("""COMPUTED_VALUE"""),3.0)</f>
        <v>3</v>
      </c>
      <c r="AB519" s="37"/>
      <c r="AC519" s="38"/>
      <c r="AD519" s="34" t="str">
        <f>IFERROR(__xludf.DUMMYFUNCTION("""COMPUTED_VALUE"""),"")</f>
        <v/>
      </c>
      <c r="AE519" s="35" t="str">
        <f>IFERROR(__xludf.DUMMYFUNCTION("""COMPUTED_VALUE"""),"AP")</f>
        <v>AP</v>
      </c>
      <c r="AF519" s="34" t="str">
        <f>IFERROR(__xludf.DUMMYFUNCTION("""COMPUTED_VALUE"""),"")</f>
        <v/>
      </c>
      <c r="AG519" s="35" t="str">
        <f>IFERROR(__xludf.DUMMYFUNCTION("""COMPUTED_VALUE"""),"%")</f>
        <v>%</v>
      </c>
      <c r="AH519" s="31"/>
      <c r="AI519" s="32"/>
      <c r="AJ519" s="39"/>
    </row>
    <row r="520" ht="24.75" hidden="1" customHeight="1">
      <c r="A520" s="40">
        <f>IFERROR(__xludf.DUMMYFUNCTION("""COMPUTED_VALUE"""),12.0)</f>
        <v>12</v>
      </c>
      <c r="B520" s="40" t="str">
        <f>IFERROR(__xludf.DUMMYFUNCTION("""COMPUTED_VALUE"""),"A214")</f>
        <v>A214</v>
      </c>
      <c r="C520" s="40"/>
      <c r="D520" s="41"/>
      <c r="E520" s="66"/>
      <c r="F520" s="43"/>
      <c r="G520" s="44"/>
      <c r="H520" s="33" t="str">
        <f>IFERROR(__xludf.DUMMYFUNCTION("""COMPUTED_VALUE""")," ")</f>
        <v> </v>
      </c>
      <c r="I520" s="45"/>
      <c r="J520" s="46" t="str">
        <f>IFERROR(__xludf.DUMMYFUNCTION("""COMPUTED_VALUE"""),"AP")</f>
        <v>AP</v>
      </c>
      <c r="K520" s="47"/>
      <c r="L520" s="48" t="str">
        <f>IFERROR(__xludf.DUMMYFUNCTION("""COMPUTED_VALUE"""),"%")</f>
        <v>%</v>
      </c>
      <c r="M520" s="49">
        <f>IFERROR(__xludf.DUMMYFUNCTION("""COMPUTED_VALUE"""),1.0)</f>
        <v>1</v>
      </c>
      <c r="N520" s="50"/>
      <c r="O520" s="38"/>
      <c r="P520" s="45" t="str">
        <f>IFERROR(__xludf.DUMMYFUNCTION("""COMPUTED_VALUE"""),"")</f>
        <v/>
      </c>
      <c r="Q520" s="46" t="str">
        <f>IFERROR(__xludf.DUMMYFUNCTION("""COMPUTED_VALUE"""),"AP")</f>
        <v>AP</v>
      </c>
      <c r="R520" s="47" t="str">
        <f>IFERROR(__xludf.DUMMYFUNCTION("""COMPUTED_VALUE"""),"")</f>
        <v/>
      </c>
      <c r="S520" s="48" t="str">
        <f>IFERROR(__xludf.DUMMYFUNCTION("""COMPUTED_VALUE"""),"%")</f>
        <v>%</v>
      </c>
      <c r="T520" s="49">
        <f>IFERROR(__xludf.DUMMYFUNCTION("""COMPUTED_VALUE"""),2.0)</f>
        <v>2</v>
      </c>
      <c r="U520" s="50"/>
      <c r="V520" s="38"/>
      <c r="W520" s="45" t="str">
        <f>IFERROR(__xludf.DUMMYFUNCTION("""COMPUTED_VALUE"""),"")</f>
        <v/>
      </c>
      <c r="X520" s="46" t="str">
        <f>IFERROR(__xludf.DUMMYFUNCTION("""COMPUTED_VALUE"""),"AP")</f>
        <v>AP</v>
      </c>
      <c r="Y520" s="47" t="str">
        <f>IFERROR(__xludf.DUMMYFUNCTION("""COMPUTED_VALUE"""),"")</f>
        <v/>
      </c>
      <c r="Z520" s="48" t="str">
        <f>IFERROR(__xludf.DUMMYFUNCTION("""COMPUTED_VALUE"""),"%")</f>
        <v>%</v>
      </c>
      <c r="AA520" s="49">
        <f>IFERROR(__xludf.DUMMYFUNCTION("""COMPUTED_VALUE"""),3.0)</f>
        <v>3</v>
      </c>
      <c r="AB520" s="50"/>
      <c r="AC520" s="38"/>
      <c r="AD520" s="45" t="str">
        <f>IFERROR(__xludf.DUMMYFUNCTION("""COMPUTED_VALUE"""),"")</f>
        <v/>
      </c>
      <c r="AE520" s="46" t="str">
        <f>IFERROR(__xludf.DUMMYFUNCTION("""COMPUTED_VALUE"""),"AP")</f>
        <v>AP</v>
      </c>
      <c r="AF520" s="47" t="str">
        <f>IFERROR(__xludf.DUMMYFUNCTION("""COMPUTED_VALUE"""),"")</f>
        <v/>
      </c>
      <c r="AG520" s="48" t="str">
        <f>IFERROR(__xludf.DUMMYFUNCTION("""COMPUTED_VALUE"""),"%")</f>
        <v>%</v>
      </c>
      <c r="AH520" s="43"/>
      <c r="AI520" s="44"/>
      <c r="AJ520" s="51"/>
    </row>
    <row r="521" ht="24.75" hidden="1" customHeight="1">
      <c r="A521" s="28">
        <f>IFERROR(__xludf.DUMMYFUNCTION("""COMPUTED_VALUE"""),13.0)</f>
        <v>13</v>
      </c>
      <c r="B521" s="28" t="str">
        <f>IFERROR(__xludf.DUMMYFUNCTION("""COMPUTED_VALUE"""),"A214")</f>
        <v>A214</v>
      </c>
      <c r="C521" s="28"/>
      <c r="D521" s="29"/>
      <c r="E521" s="67"/>
      <c r="F521" s="31"/>
      <c r="G521" s="32"/>
      <c r="H521" s="33" t="str">
        <f>IFERROR(__xludf.DUMMYFUNCTION("""COMPUTED_VALUE""")," ")</f>
        <v> </v>
      </c>
      <c r="I521" s="34"/>
      <c r="J521" s="35" t="str">
        <f>IFERROR(__xludf.DUMMYFUNCTION("""COMPUTED_VALUE"""),"AP")</f>
        <v>AP</v>
      </c>
      <c r="K521" s="34"/>
      <c r="L521" s="35" t="str">
        <f>IFERROR(__xludf.DUMMYFUNCTION("""COMPUTED_VALUE"""),"%")</f>
        <v>%</v>
      </c>
      <c r="M521" s="36">
        <f>IFERROR(__xludf.DUMMYFUNCTION("""COMPUTED_VALUE"""),1.0)</f>
        <v>1</v>
      </c>
      <c r="N521" s="37"/>
      <c r="O521" s="38"/>
      <c r="P521" s="34" t="str">
        <f>IFERROR(__xludf.DUMMYFUNCTION("""COMPUTED_VALUE"""),"")</f>
        <v/>
      </c>
      <c r="Q521" s="35" t="str">
        <f>IFERROR(__xludf.DUMMYFUNCTION("""COMPUTED_VALUE"""),"AP")</f>
        <v>AP</v>
      </c>
      <c r="R521" s="34" t="str">
        <f>IFERROR(__xludf.DUMMYFUNCTION("""COMPUTED_VALUE"""),"")</f>
        <v/>
      </c>
      <c r="S521" s="35" t="str">
        <f>IFERROR(__xludf.DUMMYFUNCTION("""COMPUTED_VALUE"""),"%")</f>
        <v>%</v>
      </c>
      <c r="T521" s="36">
        <f>IFERROR(__xludf.DUMMYFUNCTION("""COMPUTED_VALUE"""),2.0)</f>
        <v>2</v>
      </c>
      <c r="U521" s="37"/>
      <c r="V521" s="38"/>
      <c r="W521" s="34" t="str">
        <f>IFERROR(__xludf.DUMMYFUNCTION("""COMPUTED_VALUE"""),"")</f>
        <v/>
      </c>
      <c r="X521" s="35" t="str">
        <f>IFERROR(__xludf.DUMMYFUNCTION("""COMPUTED_VALUE"""),"AP")</f>
        <v>AP</v>
      </c>
      <c r="Y521" s="34" t="str">
        <f>IFERROR(__xludf.DUMMYFUNCTION("""COMPUTED_VALUE"""),"")</f>
        <v/>
      </c>
      <c r="Z521" s="35" t="str">
        <f>IFERROR(__xludf.DUMMYFUNCTION("""COMPUTED_VALUE"""),"%")</f>
        <v>%</v>
      </c>
      <c r="AA521" s="36">
        <f>IFERROR(__xludf.DUMMYFUNCTION("""COMPUTED_VALUE"""),3.0)</f>
        <v>3</v>
      </c>
      <c r="AB521" s="37"/>
      <c r="AC521" s="38"/>
      <c r="AD521" s="34" t="str">
        <f>IFERROR(__xludf.DUMMYFUNCTION("""COMPUTED_VALUE"""),"")</f>
        <v/>
      </c>
      <c r="AE521" s="35" t="str">
        <f>IFERROR(__xludf.DUMMYFUNCTION("""COMPUTED_VALUE"""),"AP")</f>
        <v>AP</v>
      </c>
      <c r="AF521" s="34" t="str">
        <f>IFERROR(__xludf.DUMMYFUNCTION("""COMPUTED_VALUE"""),"")</f>
        <v/>
      </c>
      <c r="AG521" s="35" t="str">
        <f>IFERROR(__xludf.DUMMYFUNCTION("""COMPUTED_VALUE"""),"%")</f>
        <v>%</v>
      </c>
      <c r="AH521" s="31"/>
      <c r="AI521" s="32"/>
      <c r="AJ521" s="39"/>
    </row>
    <row r="522" ht="24.75" hidden="1" customHeight="1">
      <c r="A522" s="40">
        <f>IFERROR(__xludf.DUMMYFUNCTION("""COMPUTED_VALUE"""),14.0)</f>
        <v>14</v>
      </c>
      <c r="B522" s="40" t="str">
        <f>IFERROR(__xludf.DUMMYFUNCTION("""COMPUTED_VALUE"""),"A214")</f>
        <v>A214</v>
      </c>
      <c r="C522" s="40"/>
      <c r="D522" s="41"/>
      <c r="E522" s="66"/>
      <c r="F522" s="43"/>
      <c r="G522" s="44"/>
      <c r="H522" s="33" t="str">
        <f>IFERROR(__xludf.DUMMYFUNCTION("""COMPUTED_VALUE""")," ")</f>
        <v> </v>
      </c>
      <c r="I522" s="45"/>
      <c r="J522" s="46" t="str">
        <f>IFERROR(__xludf.DUMMYFUNCTION("""COMPUTED_VALUE"""),"AP")</f>
        <v>AP</v>
      </c>
      <c r="K522" s="47"/>
      <c r="L522" s="48" t="str">
        <f>IFERROR(__xludf.DUMMYFUNCTION("""COMPUTED_VALUE"""),"%")</f>
        <v>%</v>
      </c>
      <c r="M522" s="49">
        <f>IFERROR(__xludf.DUMMYFUNCTION("""COMPUTED_VALUE"""),1.0)</f>
        <v>1</v>
      </c>
      <c r="N522" s="50"/>
      <c r="O522" s="38"/>
      <c r="P522" s="45" t="str">
        <f>IFERROR(__xludf.DUMMYFUNCTION("""COMPUTED_VALUE"""),"")</f>
        <v/>
      </c>
      <c r="Q522" s="46" t="str">
        <f>IFERROR(__xludf.DUMMYFUNCTION("""COMPUTED_VALUE"""),"AP")</f>
        <v>AP</v>
      </c>
      <c r="R522" s="47" t="str">
        <f>IFERROR(__xludf.DUMMYFUNCTION("""COMPUTED_VALUE"""),"")</f>
        <v/>
      </c>
      <c r="S522" s="48" t="str">
        <f>IFERROR(__xludf.DUMMYFUNCTION("""COMPUTED_VALUE"""),"%")</f>
        <v>%</v>
      </c>
      <c r="T522" s="49">
        <f>IFERROR(__xludf.DUMMYFUNCTION("""COMPUTED_VALUE"""),2.0)</f>
        <v>2</v>
      </c>
      <c r="U522" s="50"/>
      <c r="V522" s="38"/>
      <c r="W522" s="45" t="str">
        <f>IFERROR(__xludf.DUMMYFUNCTION("""COMPUTED_VALUE"""),"")</f>
        <v/>
      </c>
      <c r="X522" s="46" t="str">
        <f>IFERROR(__xludf.DUMMYFUNCTION("""COMPUTED_VALUE"""),"AP")</f>
        <v>AP</v>
      </c>
      <c r="Y522" s="47" t="str">
        <f>IFERROR(__xludf.DUMMYFUNCTION("""COMPUTED_VALUE"""),"")</f>
        <v/>
      </c>
      <c r="Z522" s="48" t="str">
        <f>IFERROR(__xludf.DUMMYFUNCTION("""COMPUTED_VALUE"""),"%")</f>
        <v>%</v>
      </c>
      <c r="AA522" s="49">
        <f>IFERROR(__xludf.DUMMYFUNCTION("""COMPUTED_VALUE"""),3.0)</f>
        <v>3</v>
      </c>
      <c r="AB522" s="50"/>
      <c r="AC522" s="38"/>
      <c r="AD522" s="45" t="str">
        <f>IFERROR(__xludf.DUMMYFUNCTION("""COMPUTED_VALUE"""),"")</f>
        <v/>
      </c>
      <c r="AE522" s="46" t="str">
        <f>IFERROR(__xludf.DUMMYFUNCTION("""COMPUTED_VALUE"""),"AP")</f>
        <v>AP</v>
      </c>
      <c r="AF522" s="47" t="str">
        <f>IFERROR(__xludf.DUMMYFUNCTION("""COMPUTED_VALUE"""),"")</f>
        <v/>
      </c>
      <c r="AG522" s="48" t="str">
        <f>IFERROR(__xludf.DUMMYFUNCTION("""COMPUTED_VALUE"""),"%")</f>
        <v>%</v>
      </c>
      <c r="AH522" s="43"/>
      <c r="AI522" s="44"/>
      <c r="AJ522" s="51"/>
    </row>
    <row r="523" ht="24.75" hidden="1" customHeight="1">
      <c r="A523" s="28">
        <f>IFERROR(__xludf.DUMMYFUNCTION("""COMPUTED_VALUE"""),15.0)</f>
        <v>15</v>
      </c>
      <c r="B523" s="28" t="str">
        <f>IFERROR(__xludf.DUMMYFUNCTION("""COMPUTED_VALUE"""),"A214")</f>
        <v>A214</v>
      </c>
      <c r="C523" s="28"/>
      <c r="D523" s="29"/>
      <c r="E523" s="67"/>
      <c r="F523" s="31"/>
      <c r="G523" s="32"/>
      <c r="H523" s="33" t="str">
        <f>IFERROR(__xludf.DUMMYFUNCTION("""COMPUTED_VALUE""")," ")</f>
        <v> </v>
      </c>
      <c r="I523" s="34"/>
      <c r="J523" s="35" t="str">
        <f>IFERROR(__xludf.DUMMYFUNCTION("""COMPUTED_VALUE"""),"AP")</f>
        <v>AP</v>
      </c>
      <c r="K523" s="34"/>
      <c r="L523" s="35" t="str">
        <f>IFERROR(__xludf.DUMMYFUNCTION("""COMPUTED_VALUE"""),"%")</f>
        <v>%</v>
      </c>
      <c r="M523" s="36">
        <f>IFERROR(__xludf.DUMMYFUNCTION("""COMPUTED_VALUE"""),1.0)</f>
        <v>1</v>
      </c>
      <c r="N523" s="37"/>
      <c r="O523" s="38"/>
      <c r="P523" s="34" t="str">
        <f>IFERROR(__xludf.DUMMYFUNCTION("""COMPUTED_VALUE"""),"")</f>
        <v/>
      </c>
      <c r="Q523" s="35" t="str">
        <f>IFERROR(__xludf.DUMMYFUNCTION("""COMPUTED_VALUE"""),"AP")</f>
        <v>AP</v>
      </c>
      <c r="R523" s="34" t="str">
        <f>IFERROR(__xludf.DUMMYFUNCTION("""COMPUTED_VALUE"""),"")</f>
        <v/>
      </c>
      <c r="S523" s="35" t="str">
        <f>IFERROR(__xludf.DUMMYFUNCTION("""COMPUTED_VALUE"""),"%")</f>
        <v>%</v>
      </c>
      <c r="T523" s="36">
        <f>IFERROR(__xludf.DUMMYFUNCTION("""COMPUTED_VALUE"""),2.0)</f>
        <v>2</v>
      </c>
      <c r="U523" s="37"/>
      <c r="V523" s="38"/>
      <c r="W523" s="34" t="str">
        <f>IFERROR(__xludf.DUMMYFUNCTION("""COMPUTED_VALUE"""),"")</f>
        <v/>
      </c>
      <c r="X523" s="35" t="str">
        <f>IFERROR(__xludf.DUMMYFUNCTION("""COMPUTED_VALUE"""),"AP")</f>
        <v>AP</v>
      </c>
      <c r="Y523" s="34" t="str">
        <f>IFERROR(__xludf.DUMMYFUNCTION("""COMPUTED_VALUE"""),"")</f>
        <v/>
      </c>
      <c r="Z523" s="35" t="str">
        <f>IFERROR(__xludf.DUMMYFUNCTION("""COMPUTED_VALUE"""),"%")</f>
        <v>%</v>
      </c>
      <c r="AA523" s="36">
        <f>IFERROR(__xludf.DUMMYFUNCTION("""COMPUTED_VALUE"""),3.0)</f>
        <v>3</v>
      </c>
      <c r="AB523" s="37"/>
      <c r="AC523" s="38"/>
      <c r="AD523" s="34" t="str">
        <f>IFERROR(__xludf.DUMMYFUNCTION("""COMPUTED_VALUE"""),"")</f>
        <v/>
      </c>
      <c r="AE523" s="35" t="str">
        <f>IFERROR(__xludf.DUMMYFUNCTION("""COMPUTED_VALUE"""),"AP")</f>
        <v>AP</v>
      </c>
      <c r="AF523" s="34" t="str">
        <f>IFERROR(__xludf.DUMMYFUNCTION("""COMPUTED_VALUE"""),"")</f>
        <v/>
      </c>
      <c r="AG523" s="35" t="str">
        <f>IFERROR(__xludf.DUMMYFUNCTION("""COMPUTED_VALUE"""),"%")</f>
        <v>%</v>
      </c>
      <c r="AH523" s="31"/>
      <c r="AI523" s="32"/>
      <c r="AJ523" s="39"/>
    </row>
    <row r="524" ht="24.75" hidden="1" customHeight="1">
      <c r="A524" s="40">
        <f>IFERROR(__xludf.DUMMYFUNCTION("""COMPUTED_VALUE"""),16.0)</f>
        <v>16</v>
      </c>
      <c r="B524" s="40" t="str">
        <f>IFERROR(__xludf.DUMMYFUNCTION("""COMPUTED_VALUE"""),"A214")</f>
        <v>A214</v>
      </c>
      <c r="C524" s="40"/>
      <c r="D524" s="41"/>
      <c r="E524" s="66"/>
      <c r="F524" s="43"/>
      <c r="G524" s="44"/>
      <c r="H524" s="33" t="str">
        <f>IFERROR(__xludf.DUMMYFUNCTION("""COMPUTED_VALUE""")," ")</f>
        <v> </v>
      </c>
      <c r="I524" s="45"/>
      <c r="J524" s="46" t="str">
        <f>IFERROR(__xludf.DUMMYFUNCTION("""COMPUTED_VALUE"""),"AP")</f>
        <v>AP</v>
      </c>
      <c r="K524" s="47"/>
      <c r="L524" s="48" t="str">
        <f>IFERROR(__xludf.DUMMYFUNCTION("""COMPUTED_VALUE"""),"%")</f>
        <v>%</v>
      </c>
      <c r="M524" s="49">
        <f>IFERROR(__xludf.DUMMYFUNCTION("""COMPUTED_VALUE"""),1.0)</f>
        <v>1</v>
      </c>
      <c r="N524" s="50"/>
      <c r="O524" s="38"/>
      <c r="P524" s="45" t="str">
        <f>IFERROR(__xludf.DUMMYFUNCTION("""COMPUTED_VALUE"""),"")</f>
        <v/>
      </c>
      <c r="Q524" s="46" t="str">
        <f>IFERROR(__xludf.DUMMYFUNCTION("""COMPUTED_VALUE"""),"AP")</f>
        <v>AP</v>
      </c>
      <c r="R524" s="47" t="str">
        <f>IFERROR(__xludf.DUMMYFUNCTION("""COMPUTED_VALUE"""),"")</f>
        <v/>
      </c>
      <c r="S524" s="48" t="str">
        <f>IFERROR(__xludf.DUMMYFUNCTION("""COMPUTED_VALUE"""),"%")</f>
        <v>%</v>
      </c>
      <c r="T524" s="49">
        <f>IFERROR(__xludf.DUMMYFUNCTION("""COMPUTED_VALUE"""),2.0)</f>
        <v>2</v>
      </c>
      <c r="U524" s="50"/>
      <c r="V524" s="38"/>
      <c r="W524" s="45" t="str">
        <f>IFERROR(__xludf.DUMMYFUNCTION("""COMPUTED_VALUE"""),"")</f>
        <v/>
      </c>
      <c r="X524" s="46" t="str">
        <f>IFERROR(__xludf.DUMMYFUNCTION("""COMPUTED_VALUE"""),"AP")</f>
        <v>AP</v>
      </c>
      <c r="Y524" s="47" t="str">
        <f>IFERROR(__xludf.DUMMYFUNCTION("""COMPUTED_VALUE"""),"")</f>
        <v/>
      </c>
      <c r="Z524" s="48" t="str">
        <f>IFERROR(__xludf.DUMMYFUNCTION("""COMPUTED_VALUE"""),"%")</f>
        <v>%</v>
      </c>
      <c r="AA524" s="49">
        <f>IFERROR(__xludf.DUMMYFUNCTION("""COMPUTED_VALUE"""),3.0)</f>
        <v>3</v>
      </c>
      <c r="AB524" s="50"/>
      <c r="AC524" s="38"/>
      <c r="AD524" s="45" t="str">
        <f>IFERROR(__xludf.DUMMYFUNCTION("""COMPUTED_VALUE"""),"")</f>
        <v/>
      </c>
      <c r="AE524" s="46" t="str">
        <f>IFERROR(__xludf.DUMMYFUNCTION("""COMPUTED_VALUE"""),"AP")</f>
        <v>AP</v>
      </c>
      <c r="AF524" s="47" t="str">
        <f>IFERROR(__xludf.DUMMYFUNCTION("""COMPUTED_VALUE"""),"")</f>
        <v/>
      </c>
      <c r="AG524" s="48" t="str">
        <f>IFERROR(__xludf.DUMMYFUNCTION("""COMPUTED_VALUE"""),"%")</f>
        <v>%</v>
      </c>
      <c r="AH524" s="43"/>
      <c r="AI524" s="44"/>
      <c r="AJ524" s="51"/>
    </row>
    <row r="525" ht="24.75" hidden="1" customHeight="1">
      <c r="A525" s="28">
        <f>IFERROR(__xludf.DUMMYFUNCTION("""COMPUTED_VALUE"""),17.0)</f>
        <v>17</v>
      </c>
      <c r="B525" s="28" t="str">
        <f>IFERROR(__xludf.DUMMYFUNCTION("""COMPUTED_VALUE"""),"A214")</f>
        <v>A214</v>
      </c>
      <c r="C525" s="28"/>
      <c r="D525" s="29"/>
      <c r="E525" s="67"/>
      <c r="F525" s="31"/>
      <c r="G525" s="32"/>
      <c r="H525" s="33" t="str">
        <f>IFERROR(__xludf.DUMMYFUNCTION("""COMPUTED_VALUE""")," ")</f>
        <v> </v>
      </c>
      <c r="I525" s="34"/>
      <c r="J525" s="35" t="str">
        <f>IFERROR(__xludf.DUMMYFUNCTION("""COMPUTED_VALUE"""),"AP")</f>
        <v>AP</v>
      </c>
      <c r="K525" s="34"/>
      <c r="L525" s="35" t="str">
        <f>IFERROR(__xludf.DUMMYFUNCTION("""COMPUTED_VALUE"""),"%")</f>
        <v>%</v>
      </c>
      <c r="M525" s="36">
        <f>IFERROR(__xludf.DUMMYFUNCTION("""COMPUTED_VALUE"""),1.0)</f>
        <v>1</v>
      </c>
      <c r="N525" s="37"/>
      <c r="O525" s="38"/>
      <c r="P525" s="34" t="str">
        <f>IFERROR(__xludf.DUMMYFUNCTION("""COMPUTED_VALUE"""),"")</f>
        <v/>
      </c>
      <c r="Q525" s="35" t="str">
        <f>IFERROR(__xludf.DUMMYFUNCTION("""COMPUTED_VALUE"""),"AP")</f>
        <v>AP</v>
      </c>
      <c r="R525" s="34" t="str">
        <f>IFERROR(__xludf.DUMMYFUNCTION("""COMPUTED_VALUE"""),"")</f>
        <v/>
      </c>
      <c r="S525" s="35" t="str">
        <f>IFERROR(__xludf.DUMMYFUNCTION("""COMPUTED_VALUE"""),"%")</f>
        <v>%</v>
      </c>
      <c r="T525" s="36">
        <f>IFERROR(__xludf.DUMMYFUNCTION("""COMPUTED_VALUE"""),2.0)</f>
        <v>2</v>
      </c>
      <c r="U525" s="37"/>
      <c r="V525" s="38"/>
      <c r="W525" s="34" t="str">
        <f>IFERROR(__xludf.DUMMYFUNCTION("""COMPUTED_VALUE"""),"")</f>
        <v/>
      </c>
      <c r="X525" s="35" t="str">
        <f>IFERROR(__xludf.DUMMYFUNCTION("""COMPUTED_VALUE"""),"AP")</f>
        <v>AP</v>
      </c>
      <c r="Y525" s="34" t="str">
        <f>IFERROR(__xludf.DUMMYFUNCTION("""COMPUTED_VALUE"""),"")</f>
        <v/>
      </c>
      <c r="Z525" s="35" t="str">
        <f>IFERROR(__xludf.DUMMYFUNCTION("""COMPUTED_VALUE"""),"%")</f>
        <v>%</v>
      </c>
      <c r="AA525" s="36">
        <f>IFERROR(__xludf.DUMMYFUNCTION("""COMPUTED_VALUE"""),3.0)</f>
        <v>3</v>
      </c>
      <c r="AB525" s="37"/>
      <c r="AC525" s="38"/>
      <c r="AD525" s="34" t="str">
        <f>IFERROR(__xludf.DUMMYFUNCTION("""COMPUTED_VALUE"""),"")</f>
        <v/>
      </c>
      <c r="AE525" s="35" t="str">
        <f>IFERROR(__xludf.DUMMYFUNCTION("""COMPUTED_VALUE"""),"AP")</f>
        <v>AP</v>
      </c>
      <c r="AF525" s="34" t="str">
        <f>IFERROR(__xludf.DUMMYFUNCTION("""COMPUTED_VALUE"""),"")</f>
        <v/>
      </c>
      <c r="AG525" s="35" t="str">
        <f>IFERROR(__xludf.DUMMYFUNCTION("""COMPUTED_VALUE"""),"%")</f>
        <v>%</v>
      </c>
      <c r="AH525" s="31"/>
      <c r="AI525" s="32"/>
      <c r="AJ525" s="39"/>
    </row>
    <row r="526" ht="24.75" hidden="1" customHeight="1">
      <c r="A526" s="40">
        <f>IFERROR(__xludf.DUMMYFUNCTION("""COMPUTED_VALUE"""),18.0)</f>
        <v>18</v>
      </c>
      <c r="B526" s="40" t="str">
        <f>IFERROR(__xludf.DUMMYFUNCTION("""COMPUTED_VALUE"""),"A214")</f>
        <v>A214</v>
      </c>
      <c r="C526" s="40"/>
      <c r="D526" s="41"/>
      <c r="E526" s="66"/>
      <c r="F526" s="43"/>
      <c r="G526" s="44"/>
      <c r="H526" s="33" t="str">
        <f>IFERROR(__xludf.DUMMYFUNCTION("""COMPUTED_VALUE""")," ")</f>
        <v> </v>
      </c>
      <c r="I526" s="45"/>
      <c r="J526" s="46" t="str">
        <f>IFERROR(__xludf.DUMMYFUNCTION("""COMPUTED_VALUE"""),"AP")</f>
        <v>AP</v>
      </c>
      <c r="K526" s="47"/>
      <c r="L526" s="48" t="str">
        <f>IFERROR(__xludf.DUMMYFUNCTION("""COMPUTED_VALUE"""),"%")</f>
        <v>%</v>
      </c>
      <c r="M526" s="49">
        <f>IFERROR(__xludf.DUMMYFUNCTION("""COMPUTED_VALUE"""),1.0)</f>
        <v>1</v>
      </c>
      <c r="N526" s="50"/>
      <c r="O526" s="38"/>
      <c r="P526" s="45" t="str">
        <f>IFERROR(__xludf.DUMMYFUNCTION("""COMPUTED_VALUE"""),"")</f>
        <v/>
      </c>
      <c r="Q526" s="46" t="str">
        <f>IFERROR(__xludf.DUMMYFUNCTION("""COMPUTED_VALUE"""),"AP")</f>
        <v>AP</v>
      </c>
      <c r="R526" s="47" t="str">
        <f>IFERROR(__xludf.DUMMYFUNCTION("""COMPUTED_VALUE"""),"")</f>
        <v/>
      </c>
      <c r="S526" s="48" t="str">
        <f>IFERROR(__xludf.DUMMYFUNCTION("""COMPUTED_VALUE"""),"%")</f>
        <v>%</v>
      </c>
      <c r="T526" s="49">
        <f>IFERROR(__xludf.DUMMYFUNCTION("""COMPUTED_VALUE"""),2.0)</f>
        <v>2</v>
      </c>
      <c r="U526" s="50"/>
      <c r="V526" s="38"/>
      <c r="W526" s="45" t="str">
        <f>IFERROR(__xludf.DUMMYFUNCTION("""COMPUTED_VALUE"""),"")</f>
        <v/>
      </c>
      <c r="X526" s="46" t="str">
        <f>IFERROR(__xludf.DUMMYFUNCTION("""COMPUTED_VALUE"""),"AP")</f>
        <v>AP</v>
      </c>
      <c r="Y526" s="47" t="str">
        <f>IFERROR(__xludf.DUMMYFUNCTION("""COMPUTED_VALUE"""),"")</f>
        <v/>
      </c>
      <c r="Z526" s="48" t="str">
        <f>IFERROR(__xludf.DUMMYFUNCTION("""COMPUTED_VALUE"""),"%")</f>
        <v>%</v>
      </c>
      <c r="AA526" s="49">
        <f>IFERROR(__xludf.DUMMYFUNCTION("""COMPUTED_VALUE"""),3.0)</f>
        <v>3</v>
      </c>
      <c r="AB526" s="50"/>
      <c r="AC526" s="38"/>
      <c r="AD526" s="45" t="str">
        <f>IFERROR(__xludf.DUMMYFUNCTION("""COMPUTED_VALUE"""),"")</f>
        <v/>
      </c>
      <c r="AE526" s="46" t="str">
        <f>IFERROR(__xludf.DUMMYFUNCTION("""COMPUTED_VALUE"""),"AP")</f>
        <v>AP</v>
      </c>
      <c r="AF526" s="47" t="str">
        <f>IFERROR(__xludf.DUMMYFUNCTION("""COMPUTED_VALUE"""),"")</f>
        <v/>
      </c>
      <c r="AG526" s="48" t="str">
        <f>IFERROR(__xludf.DUMMYFUNCTION("""COMPUTED_VALUE"""),"%")</f>
        <v>%</v>
      </c>
      <c r="AH526" s="43"/>
      <c r="AI526" s="44"/>
      <c r="AJ526" s="51"/>
    </row>
    <row r="527" ht="24.75" hidden="1" customHeight="1">
      <c r="A527" s="28">
        <f>IFERROR(__xludf.DUMMYFUNCTION("""COMPUTED_VALUE"""),19.0)</f>
        <v>19</v>
      </c>
      <c r="B527" s="28" t="str">
        <f>IFERROR(__xludf.DUMMYFUNCTION("""COMPUTED_VALUE"""),"A214")</f>
        <v>A214</v>
      </c>
      <c r="C527" s="28"/>
      <c r="D527" s="29"/>
      <c r="E527" s="67"/>
      <c r="F527" s="31"/>
      <c r="G527" s="32"/>
      <c r="H527" s="33" t="str">
        <f>IFERROR(__xludf.DUMMYFUNCTION("""COMPUTED_VALUE""")," ")</f>
        <v> </v>
      </c>
      <c r="I527" s="34"/>
      <c r="J527" s="35" t="str">
        <f>IFERROR(__xludf.DUMMYFUNCTION("""COMPUTED_VALUE"""),"AP")</f>
        <v>AP</v>
      </c>
      <c r="K527" s="34"/>
      <c r="L527" s="35" t="str">
        <f>IFERROR(__xludf.DUMMYFUNCTION("""COMPUTED_VALUE"""),"%")</f>
        <v>%</v>
      </c>
      <c r="M527" s="36">
        <f>IFERROR(__xludf.DUMMYFUNCTION("""COMPUTED_VALUE"""),1.0)</f>
        <v>1</v>
      </c>
      <c r="N527" s="37"/>
      <c r="O527" s="38"/>
      <c r="P527" s="34" t="str">
        <f>IFERROR(__xludf.DUMMYFUNCTION("""COMPUTED_VALUE"""),"")</f>
        <v/>
      </c>
      <c r="Q527" s="35" t="str">
        <f>IFERROR(__xludf.DUMMYFUNCTION("""COMPUTED_VALUE"""),"AP")</f>
        <v>AP</v>
      </c>
      <c r="R527" s="34" t="str">
        <f>IFERROR(__xludf.DUMMYFUNCTION("""COMPUTED_VALUE"""),"")</f>
        <v/>
      </c>
      <c r="S527" s="35" t="str">
        <f>IFERROR(__xludf.DUMMYFUNCTION("""COMPUTED_VALUE"""),"%")</f>
        <v>%</v>
      </c>
      <c r="T527" s="36">
        <f>IFERROR(__xludf.DUMMYFUNCTION("""COMPUTED_VALUE"""),2.0)</f>
        <v>2</v>
      </c>
      <c r="U527" s="37"/>
      <c r="V527" s="38"/>
      <c r="W527" s="34" t="str">
        <f>IFERROR(__xludf.DUMMYFUNCTION("""COMPUTED_VALUE"""),"")</f>
        <v/>
      </c>
      <c r="X527" s="35" t="str">
        <f>IFERROR(__xludf.DUMMYFUNCTION("""COMPUTED_VALUE"""),"AP")</f>
        <v>AP</v>
      </c>
      <c r="Y527" s="34" t="str">
        <f>IFERROR(__xludf.DUMMYFUNCTION("""COMPUTED_VALUE"""),"")</f>
        <v/>
      </c>
      <c r="Z527" s="35" t="str">
        <f>IFERROR(__xludf.DUMMYFUNCTION("""COMPUTED_VALUE"""),"%")</f>
        <v>%</v>
      </c>
      <c r="AA527" s="36">
        <f>IFERROR(__xludf.DUMMYFUNCTION("""COMPUTED_VALUE"""),3.0)</f>
        <v>3</v>
      </c>
      <c r="AB527" s="37"/>
      <c r="AC527" s="38"/>
      <c r="AD527" s="34" t="str">
        <f>IFERROR(__xludf.DUMMYFUNCTION("""COMPUTED_VALUE"""),"")</f>
        <v/>
      </c>
      <c r="AE527" s="35" t="str">
        <f>IFERROR(__xludf.DUMMYFUNCTION("""COMPUTED_VALUE"""),"AP")</f>
        <v>AP</v>
      </c>
      <c r="AF527" s="34" t="str">
        <f>IFERROR(__xludf.DUMMYFUNCTION("""COMPUTED_VALUE"""),"")</f>
        <v/>
      </c>
      <c r="AG527" s="35" t="str">
        <f>IFERROR(__xludf.DUMMYFUNCTION("""COMPUTED_VALUE"""),"%")</f>
        <v>%</v>
      </c>
      <c r="AH527" s="31"/>
      <c r="AI527" s="32"/>
      <c r="AJ527" s="39"/>
    </row>
    <row r="528" ht="24.75" hidden="1" customHeight="1">
      <c r="A528" s="40">
        <f>IFERROR(__xludf.DUMMYFUNCTION("""COMPUTED_VALUE"""),20.0)</f>
        <v>20</v>
      </c>
      <c r="B528" s="40" t="str">
        <f>IFERROR(__xludf.DUMMYFUNCTION("""COMPUTED_VALUE"""),"A214")</f>
        <v>A214</v>
      </c>
      <c r="C528" s="40"/>
      <c r="D528" s="41"/>
      <c r="E528" s="66"/>
      <c r="F528" s="43"/>
      <c r="G528" s="44"/>
      <c r="H528" s="33" t="str">
        <f>IFERROR(__xludf.DUMMYFUNCTION("""COMPUTED_VALUE""")," ")</f>
        <v> </v>
      </c>
      <c r="I528" s="45"/>
      <c r="J528" s="46" t="str">
        <f>IFERROR(__xludf.DUMMYFUNCTION("""COMPUTED_VALUE"""),"AP")</f>
        <v>AP</v>
      </c>
      <c r="K528" s="47"/>
      <c r="L528" s="48" t="str">
        <f>IFERROR(__xludf.DUMMYFUNCTION("""COMPUTED_VALUE"""),"%")</f>
        <v>%</v>
      </c>
      <c r="M528" s="49">
        <f>IFERROR(__xludf.DUMMYFUNCTION("""COMPUTED_VALUE"""),1.0)</f>
        <v>1</v>
      </c>
      <c r="N528" s="50"/>
      <c r="O528" s="38"/>
      <c r="P528" s="45" t="str">
        <f>IFERROR(__xludf.DUMMYFUNCTION("""COMPUTED_VALUE"""),"")</f>
        <v/>
      </c>
      <c r="Q528" s="46" t="str">
        <f>IFERROR(__xludf.DUMMYFUNCTION("""COMPUTED_VALUE"""),"AP")</f>
        <v>AP</v>
      </c>
      <c r="R528" s="47" t="str">
        <f>IFERROR(__xludf.DUMMYFUNCTION("""COMPUTED_VALUE"""),"")</f>
        <v/>
      </c>
      <c r="S528" s="48" t="str">
        <f>IFERROR(__xludf.DUMMYFUNCTION("""COMPUTED_VALUE"""),"%")</f>
        <v>%</v>
      </c>
      <c r="T528" s="49">
        <f>IFERROR(__xludf.DUMMYFUNCTION("""COMPUTED_VALUE"""),2.0)</f>
        <v>2</v>
      </c>
      <c r="U528" s="50"/>
      <c r="V528" s="38"/>
      <c r="W528" s="45" t="str">
        <f>IFERROR(__xludf.DUMMYFUNCTION("""COMPUTED_VALUE"""),"")</f>
        <v/>
      </c>
      <c r="X528" s="46" t="str">
        <f>IFERROR(__xludf.DUMMYFUNCTION("""COMPUTED_VALUE"""),"AP")</f>
        <v>AP</v>
      </c>
      <c r="Y528" s="47" t="str">
        <f>IFERROR(__xludf.DUMMYFUNCTION("""COMPUTED_VALUE"""),"")</f>
        <v/>
      </c>
      <c r="Z528" s="48" t="str">
        <f>IFERROR(__xludf.DUMMYFUNCTION("""COMPUTED_VALUE"""),"%")</f>
        <v>%</v>
      </c>
      <c r="AA528" s="49">
        <f>IFERROR(__xludf.DUMMYFUNCTION("""COMPUTED_VALUE"""),3.0)</f>
        <v>3</v>
      </c>
      <c r="AB528" s="50"/>
      <c r="AC528" s="38"/>
      <c r="AD528" s="45" t="str">
        <f>IFERROR(__xludf.DUMMYFUNCTION("""COMPUTED_VALUE"""),"")</f>
        <v/>
      </c>
      <c r="AE528" s="46" t="str">
        <f>IFERROR(__xludf.DUMMYFUNCTION("""COMPUTED_VALUE"""),"AP")</f>
        <v>AP</v>
      </c>
      <c r="AF528" s="47" t="str">
        <f>IFERROR(__xludf.DUMMYFUNCTION("""COMPUTED_VALUE"""),"")</f>
        <v/>
      </c>
      <c r="AG528" s="48" t="str">
        <f>IFERROR(__xludf.DUMMYFUNCTION("""COMPUTED_VALUE"""),"%")</f>
        <v>%</v>
      </c>
      <c r="AH528" s="43"/>
      <c r="AI528" s="44"/>
      <c r="AJ528" s="51"/>
    </row>
    <row r="529">
      <c r="A529" s="52"/>
      <c r="B529" s="53"/>
      <c r="C529" s="54"/>
      <c r="D529" s="55"/>
      <c r="E529" s="56"/>
      <c r="F529" s="53"/>
      <c r="G529" s="53"/>
      <c r="H529" s="53"/>
      <c r="I529" s="53"/>
      <c r="J529" s="57"/>
      <c r="K529" s="53"/>
      <c r="L529" s="57"/>
      <c r="M529" s="53"/>
      <c r="N529" s="53"/>
      <c r="O529" s="53"/>
      <c r="P529" s="53"/>
      <c r="Q529" s="57"/>
      <c r="R529" s="53"/>
      <c r="S529" s="57"/>
      <c r="T529" s="53"/>
      <c r="U529" s="53"/>
      <c r="V529" s="53"/>
      <c r="W529" s="53"/>
      <c r="X529" s="57"/>
      <c r="Y529" s="53"/>
      <c r="Z529" s="57"/>
      <c r="AA529" s="53"/>
      <c r="AB529" s="53"/>
      <c r="AC529" s="53"/>
      <c r="AD529" s="53"/>
      <c r="AE529" s="57"/>
      <c r="AF529" s="53"/>
      <c r="AG529" s="57"/>
      <c r="AH529" s="53"/>
      <c r="AI529" s="53"/>
      <c r="AJ529" s="58"/>
    </row>
    <row r="530">
      <c r="A530" s="59"/>
      <c r="B530" s="60"/>
      <c r="C530" s="61"/>
      <c r="D530" s="62"/>
      <c r="E530" s="63"/>
      <c r="F530" s="60"/>
      <c r="G530" s="60"/>
      <c r="H530" s="60"/>
      <c r="I530" s="60"/>
      <c r="J530" s="64"/>
      <c r="K530" s="60"/>
      <c r="L530" s="64"/>
      <c r="M530" s="60"/>
      <c r="N530" s="60"/>
      <c r="O530" s="60"/>
      <c r="P530" s="60"/>
      <c r="Q530" s="64"/>
      <c r="R530" s="60"/>
      <c r="S530" s="64"/>
      <c r="T530" s="60"/>
      <c r="U530" s="60"/>
      <c r="V530" s="60"/>
      <c r="W530" s="60"/>
      <c r="X530" s="64"/>
      <c r="Y530" s="60"/>
      <c r="Z530" s="64"/>
      <c r="AA530" s="60"/>
      <c r="AB530" s="60"/>
      <c r="AC530" s="60"/>
      <c r="AD530" s="60"/>
      <c r="AE530" s="64"/>
      <c r="AF530" s="60"/>
      <c r="AG530" s="64"/>
      <c r="AH530" s="60"/>
      <c r="AI530" s="60"/>
      <c r="AJ530" s="65"/>
    </row>
    <row r="531" ht="33.0" customHeight="1">
      <c r="A531" s="20" t="str">
        <f>IFERROR(__xludf.DUMMYFUNCTION("""COMPUTED_VALUE""")," ")</f>
        <v> </v>
      </c>
      <c r="B531" s="21" t="str">
        <f>IFERROR(__xludf.DUMMYFUNCTION("""COMPUTED_VALUE"""),"A215")</f>
        <v>A215</v>
      </c>
      <c r="C531" s="20"/>
      <c r="D531" s="22" t="str">
        <f>IFERROR(__xludf.DUMMYFUNCTION("""COMPUTED_VALUE"""),"")</f>
        <v/>
      </c>
      <c r="E531" s="23" t="str">
        <f>IFERROR(__xludf.DUMMYFUNCTION("""COMPUTED_VALUE"""),"Aurora Steel")</f>
        <v>Aurora Steel</v>
      </c>
      <c r="F531" s="24"/>
      <c r="G531" s="24"/>
      <c r="H531" s="25"/>
      <c r="I531" s="25"/>
      <c r="J531" s="26"/>
      <c r="K531" s="25"/>
      <c r="L531" s="26"/>
      <c r="M531" s="25"/>
      <c r="N531" s="25"/>
      <c r="O531" s="25"/>
      <c r="P531" s="25"/>
      <c r="Q531" s="26"/>
      <c r="R531" s="25"/>
      <c r="S531" s="26"/>
      <c r="T531" s="25"/>
      <c r="U531" s="25"/>
      <c r="V531" s="25"/>
      <c r="W531" s="25"/>
      <c r="X531" s="26"/>
      <c r="Y531" s="25"/>
      <c r="Z531" s="26"/>
      <c r="AA531" s="25"/>
      <c r="AB531" s="25"/>
      <c r="AC531" s="25"/>
      <c r="AD531" s="25"/>
      <c r="AE531" s="26"/>
      <c r="AF531" s="25"/>
      <c r="AG531" s="26"/>
      <c r="AH531" s="24"/>
      <c r="AI531" s="25"/>
      <c r="AJ531" s="27"/>
    </row>
    <row r="532" ht="24.75" customHeight="1">
      <c r="A532" s="28">
        <f>IFERROR(__xludf.DUMMYFUNCTION("""COMPUTED_VALUE"""),1.0)</f>
        <v>1</v>
      </c>
      <c r="B532" s="28" t="str">
        <f>IFERROR(__xludf.DUMMYFUNCTION("""COMPUTED_VALUE"""),"A215")</f>
        <v>A215</v>
      </c>
      <c r="C532" s="28" t="str">
        <f>IFERROR(__xludf.DUMMYFUNCTION("""COMPUTED_VALUE"""),"GTT6")</f>
        <v>GTT6</v>
      </c>
      <c r="D532" s="29" t="str">
        <f>IFERROR(__xludf.DUMMYFUNCTION("""COMPUTED_VALUE"""),"Götterdämmerung")</f>
        <v>Götterdämmerung</v>
      </c>
      <c r="E532" s="30" t="str">
        <f>IFERROR(__xludf.DUMMYFUNCTION("""COMPUTED_VALUE"""),"Castle of Snow and Ice")</f>
        <v>Castle of Snow and Ice</v>
      </c>
      <c r="F532" s="31">
        <f>IFERROR(__xludf.DUMMYFUNCTION("""COMPUTED_VALUE"""),21.0)</f>
        <v>21</v>
      </c>
      <c r="G532" s="32">
        <f>IFERROR(__xludf.DUMMYFUNCTION("""COMPUTED_VALUE"""),11330.0)</f>
        <v>11330</v>
      </c>
      <c r="H532" s="33" t="str">
        <f>IFERROR(__xludf.DUMMYFUNCTION("""COMPUTED_VALUE"""),"")</f>
        <v/>
      </c>
      <c r="I532" s="34">
        <f>IFERROR(__xludf.DUMMYFUNCTION("""COMPUTED_VALUE"""),53.7)</f>
        <v>53.7</v>
      </c>
      <c r="J532" s="35" t="str">
        <f>IFERROR(__xludf.DUMMYFUNCTION("""COMPUTED_VALUE"""),"AP")</f>
        <v>AP</v>
      </c>
      <c r="K532" s="34">
        <f>IFERROR(__xludf.DUMMYFUNCTION("""COMPUTED_VALUE"""),39.1)</f>
        <v>39.1</v>
      </c>
      <c r="L532" s="35" t="str">
        <f>IFERROR(__xludf.DUMMYFUNCTION("""COMPUTED_VALUE"""),"%")</f>
        <v>%</v>
      </c>
      <c r="M532" s="36">
        <f>IFERROR(__xludf.DUMMYFUNCTION("""COMPUTED_VALUE"""),1.0)</f>
        <v>1</v>
      </c>
      <c r="N532" s="37" t="str">
        <f>IFERROR(__xludf.DUMMYFUNCTION("""COMPUTED_VALUE"""),"B114")</f>
        <v>B114</v>
      </c>
      <c r="O532" s="38" t="str">
        <f>IFERROR(__xludf.DUMMYFUNCTION("""COMPUTED_VALUE"""),"")</f>
        <v/>
      </c>
      <c r="P532" s="34">
        <f>IFERROR(__xludf.DUMMYFUNCTION("""COMPUTED_VALUE"""),45.5)</f>
        <v>45.5</v>
      </c>
      <c r="Q532" s="35" t="str">
        <f>IFERROR(__xludf.DUMMYFUNCTION("""COMPUTED_VALUE"""),"AP")</f>
        <v>AP</v>
      </c>
      <c r="R532" s="34">
        <f>IFERROR(__xludf.DUMMYFUNCTION("""COMPUTED_VALUE"""),46.2)</f>
        <v>46.2</v>
      </c>
      <c r="S532" s="35" t="str">
        <f>IFERROR(__xludf.DUMMYFUNCTION("""COMPUTED_VALUE"""),"%")</f>
        <v>%</v>
      </c>
      <c r="T532" s="36">
        <f>IFERROR(__xludf.DUMMYFUNCTION("""COMPUTED_VALUE"""),2.0)</f>
        <v>2</v>
      </c>
      <c r="U532" s="37"/>
      <c r="V532" s="38"/>
      <c r="W532" s="34" t="str">
        <f>IFERROR(__xludf.DUMMYFUNCTION("""COMPUTED_VALUE"""),"")</f>
        <v/>
      </c>
      <c r="X532" s="35" t="str">
        <f>IFERROR(__xludf.DUMMYFUNCTION("""COMPUTED_VALUE"""),"AP")</f>
        <v>AP</v>
      </c>
      <c r="Y532" s="34" t="str">
        <f>IFERROR(__xludf.DUMMYFUNCTION("""COMPUTED_VALUE"""),"")</f>
        <v/>
      </c>
      <c r="Z532" s="35" t="str">
        <f>IFERROR(__xludf.DUMMYFUNCTION("""COMPUTED_VALUE"""),"%")</f>
        <v>%</v>
      </c>
      <c r="AA532" s="36">
        <f>IFERROR(__xludf.DUMMYFUNCTION("""COMPUTED_VALUE"""),3.0)</f>
        <v>3</v>
      </c>
      <c r="AB532" s="37"/>
      <c r="AC532" s="38"/>
      <c r="AD532" s="34" t="str">
        <f>IFERROR(__xludf.DUMMYFUNCTION("""COMPUTED_VALUE"""),"")</f>
        <v/>
      </c>
      <c r="AE532" s="35" t="str">
        <f>IFERROR(__xludf.DUMMYFUNCTION("""COMPUTED_VALUE"""),"AP")</f>
        <v>AP</v>
      </c>
      <c r="AF532" s="34" t="str">
        <f>IFERROR(__xludf.DUMMYFUNCTION("""COMPUTED_VALUE"""),"")</f>
        <v/>
      </c>
      <c r="AG532" s="35" t="str">
        <f>IFERROR(__xludf.DUMMYFUNCTION("""COMPUTED_VALUE"""),"%")</f>
        <v>%</v>
      </c>
      <c r="AH532" s="31">
        <f>IFERROR(__xludf.DUMMYFUNCTION("""COMPUTED_VALUE"""),21.0)</f>
        <v>21</v>
      </c>
      <c r="AI532" s="32">
        <f>IFERROR(__xludf.DUMMYFUNCTION("""COMPUTED_VALUE"""),11330.0)</f>
        <v>11330</v>
      </c>
      <c r="AJ532" s="39" t="str">
        <f>IFERROR(__xludf.DUMMYFUNCTION("""COMPUTED_VALUE"""),"雪と氷の城")</f>
        <v>雪と氷の城</v>
      </c>
    </row>
    <row r="533" ht="24.75" customHeight="1">
      <c r="A533" s="40">
        <f>IFERROR(__xludf.DUMMYFUNCTION("""COMPUTED_VALUE"""),2.0)</f>
        <v>2</v>
      </c>
      <c r="B533" s="40" t="str">
        <f>IFERROR(__xludf.DUMMYFUNCTION("""COMPUTED_VALUE"""),"A215")</f>
        <v>A215</v>
      </c>
      <c r="C533" s="40" t="str">
        <f>IFERROR(__xludf.DUMMYFUNCTION("""COMPUTED_VALUE"""),"GTT9")</f>
        <v>GTT9</v>
      </c>
      <c r="D533" s="41" t="str">
        <f>IFERROR(__xludf.DUMMYFUNCTION("""COMPUTED_VALUE"""),"Götterdämmerung")</f>
        <v>Götterdämmerung</v>
      </c>
      <c r="E533" s="42" t="str">
        <f>IFERROR(__xludf.DUMMYFUNCTION("""COMPUTED_VALUE"""),"Village 67")</f>
        <v>Village 67</v>
      </c>
      <c r="F533" s="43">
        <f>IFERROR(__xludf.DUMMYFUNCTION("""COMPUTED_VALUE"""),21.0)</f>
        <v>21</v>
      </c>
      <c r="G533" s="44">
        <f>IFERROR(__xludf.DUMMYFUNCTION("""COMPUTED_VALUE"""),1113.0)</f>
        <v>1113</v>
      </c>
      <c r="H533" s="33" t="str">
        <f>IFERROR(__xludf.DUMMYFUNCTION("""COMPUTED_VALUE"""),"")</f>
        <v/>
      </c>
      <c r="I533" s="45">
        <f>IFERROR(__xludf.DUMMYFUNCTION("""COMPUTED_VALUE"""),82.3)</f>
        <v>82.3</v>
      </c>
      <c r="J533" s="46" t="str">
        <f>IFERROR(__xludf.DUMMYFUNCTION("""COMPUTED_VALUE"""),"AP")</f>
        <v>AP</v>
      </c>
      <c r="K533" s="47">
        <f>IFERROR(__xludf.DUMMYFUNCTION("""COMPUTED_VALUE"""),25.5)</f>
        <v>25.5</v>
      </c>
      <c r="L533" s="48" t="str">
        <f>IFERROR(__xludf.DUMMYFUNCTION("""COMPUTED_VALUE"""),"%")</f>
        <v>%</v>
      </c>
      <c r="M533" s="49">
        <f>IFERROR(__xludf.DUMMYFUNCTION("""COMPUTED_VALUE"""),1.0)</f>
        <v>1</v>
      </c>
      <c r="N533" s="50" t="str">
        <f>IFERROR(__xludf.DUMMYFUNCTION("""COMPUTED_VALUE"""),"A110")</f>
        <v>A110</v>
      </c>
      <c r="O533" s="38" t="str">
        <f>IFERROR(__xludf.DUMMYFUNCTION("""COMPUTED_VALUE"""),"")</f>
        <v/>
      </c>
      <c r="P533" s="45">
        <f>IFERROR(__xludf.DUMMYFUNCTION("""COMPUTED_VALUE"""),117.5)</f>
        <v>117.5</v>
      </c>
      <c r="Q533" s="46" t="str">
        <f>IFERROR(__xludf.DUMMYFUNCTION("""COMPUTED_VALUE"""),"AP")</f>
        <v>AP</v>
      </c>
      <c r="R533" s="47">
        <f>IFERROR(__xludf.DUMMYFUNCTION("""COMPUTED_VALUE"""),17.9)</f>
        <v>17.9</v>
      </c>
      <c r="S533" s="48" t="str">
        <f>IFERROR(__xludf.DUMMYFUNCTION("""COMPUTED_VALUE"""),"%")</f>
        <v>%</v>
      </c>
      <c r="T533" s="49">
        <f>IFERROR(__xludf.DUMMYFUNCTION("""COMPUTED_VALUE"""),2.0)</f>
        <v>2</v>
      </c>
      <c r="U533" s="50" t="str">
        <f>IFERROR(__xludf.DUMMYFUNCTION("""COMPUTED_VALUE"""),"B114")</f>
        <v>B114</v>
      </c>
      <c r="V533" s="38" t="str">
        <f>IFERROR(__xludf.DUMMYFUNCTION("""COMPUTED_VALUE"""),"")</f>
        <v/>
      </c>
      <c r="W533" s="45">
        <f>IFERROR(__xludf.DUMMYFUNCTION("""COMPUTED_VALUE"""),63.5)</f>
        <v>63.5</v>
      </c>
      <c r="X533" s="46" t="str">
        <f>IFERROR(__xludf.DUMMYFUNCTION("""COMPUTED_VALUE"""),"AP")</f>
        <v>AP</v>
      </c>
      <c r="Y533" s="47">
        <f>IFERROR(__xludf.DUMMYFUNCTION("""COMPUTED_VALUE"""),33.1)</f>
        <v>33.1</v>
      </c>
      <c r="Z533" s="48" t="str">
        <f>IFERROR(__xludf.DUMMYFUNCTION("""COMPUTED_VALUE"""),"%")</f>
        <v>%</v>
      </c>
      <c r="AA533" s="49">
        <f>IFERROR(__xludf.DUMMYFUNCTION("""COMPUTED_VALUE"""),3.0)</f>
        <v>3</v>
      </c>
      <c r="AB533" s="50" t="str">
        <f>IFERROR(__xludf.DUMMYFUNCTION("""COMPUTED_VALUE"""),"B116")</f>
        <v>B116</v>
      </c>
      <c r="AC533" s="38" t="str">
        <f>IFERROR(__xludf.DUMMYFUNCTION("""COMPUTED_VALUE"""),"")</f>
        <v/>
      </c>
      <c r="AD533" s="45">
        <f>IFERROR(__xludf.DUMMYFUNCTION("""COMPUTED_VALUE"""),286.2)</f>
        <v>286.2</v>
      </c>
      <c r="AE533" s="46" t="str">
        <f>IFERROR(__xludf.DUMMYFUNCTION("""COMPUTED_VALUE"""),"AP")</f>
        <v>AP</v>
      </c>
      <c r="AF533" s="47">
        <f>IFERROR(__xludf.DUMMYFUNCTION("""COMPUTED_VALUE"""),7.3)</f>
        <v>7.3</v>
      </c>
      <c r="AG533" s="48" t="str">
        <f>IFERROR(__xludf.DUMMYFUNCTION("""COMPUTED_VALUE"""),"%")</f>
        <v>%</v>
      </c>
      <c r="AH533" s="43">
        <f>IFERROR(__xludf.DUMMYFUNCTION("""COMPUTED_VALUE"""),21.0)</f>
        <v>21</v>
      </c>
      <c r="AI533" s="44">
        <f>IFERROR(__xludf.DUMMYFUNCTION("""COMPUTED_VALUE"""),1113.0)</f>
        <v>1113</v>
      </c>
      <c r="AJ533" s="51" t="str">
        <f>IFERROR(__xludf.DUMMYFUNCTION("""COMPUTED_VALUE"""),"第67集落")</f>
        <v>第67集落</v>
      </c>
    </row>
    <row r="534" ht="24.75" customHeight="1">
      <c r="A534" s="28">
        <f>IFERROR(__xludf.DUMMYFUNCTION("""COMPUTED_VALUE"""),3.0)</f>
        <v>3</v>
      </c>
      <c r="B534" s="28" t="str">
        <f>IFERROR(__xludf.DUMMYFUNCTION("""COMPUTED_VALUE"""),"A215")</f>
        <v>A215</v>
      </c>
      <c r="C534" s="28" t="str">
        <f>IFERROR(__xludf.DUMMYFUNCTION("""COMPUTED_VALUE"""),"GTT4")</f>
        <v>GTT4</v>
      </c>
      <c r="D534" s="29" t="str">
        <f>IFERROR(__xludf.DUMMYFUNCTION("""COMPUTED_VALUE"""),"Götterdämmerung")</f>
        <v>Götterdämmerung</v>
      </c>
      <c r="E534" s="30" t="str">
        <f>IFERROR(__xludf.DUMMYFUNCTION("""COMPUTED_VALUE"""),"Village 23")</f>
        <v>Village 23</v>
      </c>
      <c r="F534" s="31">
        <f>IFERROR(__xludf.DUMMYFUNCTION("""COMPUTED_VALUE"""),21.0)</f>
        <v>21</v>
      </c>
      <c r="G534" s="32">
        <f>IFERROR(__xludf.DUMMYFUNCTION("""COMPUTED_VALUE"""),1100.0)</f>
        <v>1100</v>
      </c>
      <c r="H534" s="33" t="str">
        <f>IFERROR(__xludf.DUMMYFUNCTION("""COMPUTED_VALUE"""),"")</f>
        <v/>
      </c>
      <c r="I534" s="34">
        <f>IFERROR(__xludf.DUMMYFUNCTION("""COMPUTED_VALUE"""),84.6)</f>
        <v>84.6</v>
      </c>
      <c r="J534" s="35" t="str">
        <f>IFERROR(__xludf.DUMMYFUNCTION("""COMPUTED_VALUE"""),"AP")</f>
        <v>AP</v>
      </c>
      <c r="K534" s="34">
        <f>IFERROR(__xludf.DUMMYFUNCTION("""COMPUTED_VALUE"""),24.8)</f>
        <v>24.8</v>
      </c>
      <c r="L534" s="35" t="str">
        <f>IFERROR(__xludf.DUMMYFUNCTION("""COMPUTED_VALUE"""),"%")</f>
        <v>%</v>
      </c>
      <c r="M534" s="36">
        <f>IFERROR(__xludf.DUMMYFUNCTION("""COMPUTED_VALUE"""),1.0)</f>
        <v>1</v>
      </c>
      <c r="N534" s="37" t="str">
        <f>IFERROR(__xludf.DUMMYFUNCTION("""COMPUTED_VALUE"""),"A201")</f>
        <v>A201</v>
      </c>
      <c r="O534" s="38" t="str">
        <f>IFERROR(__xludf.DUMMYFUNCTION("""COMPUTED_VALUE"""),"")</f>
        <v/>
      </c>
      <c r="P534" s="34">
        <f>IFERROR(__xludf.DUMMYFUNCTION("""COMPUTED_VALUE"""),83.4)</f>
        <v>83.4</v>
      </c>
      <c r="Q534" s="35" t="str">
        <f>IFERROR(__xludf.DUMMYFUNCTION("""COMPUTED_VALUE"""),"AP")</f>
        <v>AP</v>
      </c>
      <c r="R534" s="34">
        <f>IFERROR(__xludf.DUMMYFUNCTION("""COMPUTED_VALUE"""),25.2)</f>
        <v>25.2</v>
      </c>
      <c r="S534" s="35" t="str">
        <f>IFERROR(__xludf.DUMMYFUNCTION("""COMPUTED_VALUE"""),"%")</f>
        <v>%</v>
      </c>
      <c r="T534" s="36">
        <f>IFERROR(__xludf.DUMMYFUNCTION("""COMPUTED_VALUE"""),2.0)</f>
        <v>2</v>
      </c>
      <c r="U534" s="37" t="str">
        <f>IFERROR(__xludf.DUMMYFUNCTION("""COMPUTED_VALUE"""),"B114")</f>
        <v>B114</v>
      </c>
      <c r="V534" s="38" t="str">
        <f>IFERROR(__xludf.DUMMYFUNCTION("""COMPUTED_VALUE"""),"")</f>
        <v/>
      </c>
      <c r="W534" s="34">
        <f>IFERROR(__xludf.DUMMYFUNCTION("""COMPUTED_VALUE"""),85.6)</f>
        <v>85.6</v>
      </c>
      <c r="X534" s="35" t="str">
        <f>IFERROR(__xludf.DUMMYFUNCTION("""COMPUTED_VALUE"""),"AP")</f>
        <v>AP</v>
      </c>
      <c r="Y534" s="34">
        <f>IFERROR(__xludf.DUMMYFUNCTION("""COMPUTED_VALUE"""),24.5)</f>
        <v>24.5</v>
      </c>
      <c r="Z534" s="35" t="str">
        <f>IFERROR(__xludf.DUMMYFUNCTION("""COMPUTED_VALUE"""),"%")</f>
        <v>%</v>
      </c>
      <c r="AA534" s="36">
        <f>IFERROR(__xludf.DUMMYFUNCTION("""COMPUTED_VALUE"""),3.0)</f>
        <v>3</v>
      </c>
      <c r="AB534" s="37"/>
      <c r="AC534" s="38"/>
      <c r="AD534" s="34" t="str">
        <f>IFERROR(__xludf.DUMMYFUNCTION("""COMPUTED_VALUE"""),"")</f>
        <v/>
      </c>
      <c r="AE534" s="35" t="str">
        <f>IFERROR(__xludf.DUMMYFUNCTION("""COMPUTED_VALUE"""),"AP")</f>
        <v>AP</v>
      </c>
      <c r="AF534" s="34" t="str">
        <f>IFERROR(__xludf.DUMMYFUNCTION("""COMPUTED_VALUE"""),"")</f>
        <v/>
      </c>
      <c r="AG534" s="35" t="str">
        <f>IFERROR(__xludf.DUMMYFUNCTION("""COMPUTED_VALUE"""),"%")</f>
        <v>%</v>
      </c>
      <c r="AH534" s="31">
        <f>IFERROR(__xludf.DUMMYFUNCTION("""COMPUTED_VALUE"""),21.0)</f>
        <v>21</v>
      </c>
      <c r="AI534" s="32">
        <f>IFERROR(__xludf.DUMMYFUNCTION("""COMPUTED_VALUE"""),1100.0)</f>
        <v>1100</v>
      </c>
      <c r="AJ534" s="39" t="str">
        <f>IFERROR(__xludf.DUMMYFUNCTION("""COMPUTED_VALUE"""),"第23集落")</f>
        <v>第23集落</v>
      </c>
    </row>
    <row r="535" ht="24.75" customHeight="1">
      <c r="A535" s="40">
        <f>IFERROR(__xludf.DUMMYFUNCTION("""COMPUTED_VALUE"""),4.0)</f>
        <v>4</v>
      </c>
      <c r="B535" s="40" t="str">
        <f>IFERROR(__xludf.DUMMYFUNCTION("""COMPUTED_VALUE"""),"A215")</f>
        <v>A215</v>
      </c>
      <c r="C535" s="40" t="str">
        <f>IFERROR(__xludf.DUMMYFUNCTION("""COMPUTED_VALUE"""),"GTT8")</f>
        <v>GTT8</v>
      </c>
      <c r="D535" s="41" t="str">
        <f>IFERROR(__xludf.DUMMYFUNCTION("""COMPUTED_VALUE"""),"Götterdämmerung")</f>
        <v>Götterdämmerung</v>
      </c>
      <c r="E535" s="42" t="str">
        <f>IFERROR(__xludf.DUMMYFUNCTION("""COMPUTED_VALUE"""),"Flaming Mansion")</f>
        <v>Flaming Mansion</v>
      </c>
      <c r="F535" s="43">
        <f>IFERROR(__xludf.DUMMYFUNCTION("""COMPUTED_VALUE"""),21.0)</f>
        <v>21</v>
      </c>
      <c r="G535" s="44">
        <f>IFERROR(__xludf.DUMMYFUNCTION("""COMPUTED_VALUE"""),16339.0)</f>
        <v>16339</v>
      </c>
      <c r="H535" s="33" t="str">
        <f>IFERROR(__xludf.DUMMYFUNCTION("""COMPUTED_VALUE"""),"")</f>
        <v/>
      </c>
      <c r="I535" s="45">
        <f>IFERROR(__xludf.DUMMYFUNCTION("""COMPUTED_VALUE"""),84.7)</f>
        <v>84.7</v>
      </c>
      <c r="J535" s="46" t="str">
        <f>IFERROR(__xludf.DUMMYFUNCTION("""COMPUTED_VALUE"""),"AP")</f>
        <v>AP</v>
      </c>
      <c r="K535" s="47">
        <f>IFERROR(__xludf.DUMMYFUNCTION("""COMPUTED_VALUE"""),24.8)</f>
        <v>24.8</v>
      </c>
      <c r="L535" s="48" t="str">
        <f>IFERROR(__xludf.DUMMYFUNCTION("""COMPUTED_VALUE"""),"%")</f>
        <v>%</v>
      </c>
      <c r="M535" s="49">
        <f>IFERROR(__xludf.DUMMYFUNCTION("""COMPUTED_VALUE"""),1.0)</f>
        <v>1</v>
      </c>
      <c r="N535" s="50" t="str">
        <f>IFERROR(__xludf.DUMMYFUNCTION("""COMPUTED_VALUE"""),"A214")</f>
        <v>A214</v>
      </c>
      <c r="O535" s="38" t="str">
        <f>IFERROR(__xludf.DUMMYFUNCTION("""COMPUTED_VALUE"""),"")</f>
        <v/>
      </c>
      <c r="P535" s="45">
        <f>IFERROR(__xludf.DUMMYFUNCTION("""COMPUTED_VALUE"""),81.2)</f>
        <v>81.2</v>
      </c>
      <c r="Q535" s="46" t="str">
        <f>IFERROR(__xludf.DUMMYFUNCTION("""COMPUTED_VALUE"""),"AP")</f>
        <v>AP</v>
      </c>
      <c r="R535" s="47">
        <f>IFERROR(__xludf.DUMMYFUNCTION("""COMPUTED_VALUE"""),25.9)</f>
        <v>25.9</v>
      </c>
      <c r="S535" s="48" t="str">
        <f>IFERROR(__xludf.DUMMYFUNCTION("""COMPUTED_VALUE"""),"%")</f>
        <v>%</v>
      </c>
      <c r="T535" s="49">
        <f>IFERROR(__xludf.DUMMYFUNCTION("""COMPUTED_VALUE"""),2.0)</f>
        <v>2</v>
      </c>
      <c r="U535" s="50" t="str">
        <f>IFERROR(__xludf.DUMMYFUNCTION("""COMPUTED_VALUE"""),"B114")</f>
        <v>B114</v>
      </c>
      <c r="V535" s="38" t="str">
        <f>IFERROR(__xludf.DUMMYFUNCTION("""COMPUTED_VALUE"""),"")</f>
        <v/>
      </c>
      <c r="W535" s="45">
        <f>IFERROR(__xludf.DUMMYFUNCTION("""COMPUTED_VALUE"""),84.9)</f>
        <v>84.9</v>
      </c>
      <c r="X535" s="46" t="str">
        <f>IFERROR(__xludf.DUMMYFUNCTION("""COMPUTED_VALUE"""),"AP")</f>
        <v>AP</v>
      </c>
      <c r="Y535" s="47">
        <f>IFERROR(__xludf.DUMMYFUNCTION("""COMPUTED_VALUE"""),24.7)</f>
        <v>24.7</v>
      </c>
      <c r="Z535" s="48" t="str">
        <f>IFERROR(__xludf.DUMMYFUNCTION("""COMPUTED_VALUE"""),"%")</f>
        <v>%</v>
      </c>
      <c r="AA535" s="49">
        <f>IFERROR(__xludf.DUMMYFUNCTION("""COMPUTED_VALUE"""),3.0)</f>
        <v>3</v>
      </c>
      <c r="AB535" s="50" t="str">
        <f>IFERROR(__xludf.DUMMYFUNCTION("""COMPUTED_VALUE"""),"B117")</f>
        <v>B117</v>
      </c>
      <c r="AC535" s="38" t="str">
        <f>IFERROR(__xludf.DUMMYFUNCTION("""COMPUTED_VALUE"""),"")</f>
        <v/>
      </c>
      <c r="AD535" s="45">
        <f>IFERROR(__xludf.DUMMYFUNCTION("""COMPUTED_VALUE"""),105.7)</f>
        <v>105.7</v>
      </c>
      <c r="AE535" s="46" t="str">
        <f>IFERROR(__xludf.DUMMYFUNCTION("""COMPUTED_VALUE"""),"AP")</f>
        <v>AP</v>
      </c>
      <c r="AF535" s="47">
        <f>IFERROR(__xludf.DUMMYFUNCTION("""COMPUTED_VALUE"""),19.9)</f>
        <v>19.9</v>
      </c>
      <c r="AG535" s="48" t="str">
        <f>IFERROR(__xludf.DUMMYFUNCTION("""COMPUTED_VALUE"""),"%")</f>
        <v>%</v>
      </c>
      <c r="AH535" s="43">
        <f>IFERROR(__xludf.DUMMYFUNCTION("""COMPUTED_VALUE"""),21.0)</f>
        <v>21</v>
      </c>
      <c r="AI535" s="44">
        <f>IFERROR(__xludf.DUMMYFUNCTION("""COMPUTED_VALUE"""),16339.0)</f>
        <v>16339</v>
      </c>
      <c r="AJ535" s="51" t="str">
        <f>IFERROR(__xludf.DUMMYFUNCTION("""COMPUTED_VALUE"""),"炎の館")</f>
        <v>炎の館</v>
      </c>
    </row>
    <row r="536" ht="24.75" customHeight="1">
      <c r="A536" s="28">
        <f>IFERROR(__xludf.DUMMYFUNCTION("""COMPUTED_VALUE"""),5.0)</f>
        <v>5</v>
      </c>
      <c r="B536" s="28" t="str">
        <f>IFERROR(__xludf.DUMMYFUNCTION("""COMPUTED_VALUE"""),"A215")</f>
        <v>A215</v>
      </c>
      <c r="C536" s="28" t="str">
        <f>IFERROR(__xludf.DUMMYFUNCTION("""COMPUTED_VALUE"""),"GTT11")</f>
        <v>GTT11</v>
      </c>
      <c r="D536" s="29" t="str">
        <f>IFERROR(__xludf.DUMMYFUNCTION("""COMPUTED_VALUE"""),"Götterdämmerung")</f>
        <v>Götterdämmerung</v>
      </c>
      <c r="E536" s="30" t="str">
        <f>IFERROR(__xludf.DUMMYFUNCTION("""COMPUTED_VALUE"""),"Forgotten Shrine")</f>
        <v>Forgotten Shrine</v>
      </c>
      <c r="F536" s="31">
        <f>IFERROR(__xludf.DUMMYFUNCTION("""COMPUTED_VALUE"""),21.0)</f>
        <v>21</v>
      </c>
      <c r="G536" s="32">
        <f>IFERROR(__xludf.DUMMYFUNCTION("""COMPUTED_VALUE"""),4261.0)</f>
        <v>4261</v>
      </c>
      <c r="H536" s="33" t="str">
        <f>IFERROR(__xludf.DUMMYFUNCTION("""COMPUTED_VALUE"""),"")</f>
        <v/>
      </c>
      <c r="I536" s="34">
        <f>IFERROR(__xludf.DUMMYFUNCTION("""COMPUTED_VALUE"""),87.3)</f>
        <v>87.3</v>
      </c>
      <c r="J536" s="35" t="str">
        <f>IFERROR(__xludf.DUMMYFUNCTION("""COMPUTED_VALUE"""),"AP")</f>
        <v>AP</v>
      </c>
      <c r="K536" s="34">
        <f>IFERROR(__xludf.DUMMYFUNCTION("""COMPUTED_VALUE"""),24.1)</f>
        <v>24.1</v>
      </c>
      <c r="L536" s="35" t="str">
        <f>IFERROR(__xludf.DUMMYFUNCTION("""COMPUTED_VALUE"""),"%")</f>
        <v>%</v>
      </c>
      <c r="M536" s="36">
        <f>IFERROR(__xludf.DUMMYFUNCTION("""COMPUTED_VALUE"""),1.0)</f>
        <v>1</v>
      </c>
      <c r="N536" s="37" t="str">
        <f>IFERROR(__xludf.DUMMYFUNCTION("""COMPUTED_VALUE"""),"A104")</f>
        <v>A104</v>
      </c>
      <c r="O536" s="38" t="str">
        <f>IFERROR(__xludf.DUMMYFUNCTION("""COMPUTED_VALUE"""),"")</f>
        <v/>
      </c>
      <c r="P536" s="34">
        <f>IFERROR(__xludf.DUMMYFUNCTION("""COMPUTED_VALUE"""),184.9)</f>
        <v>184.9</v>
      </c>
      <c r="Q536" s="35" t="str">
        <f>IFERROR(__xludf.DUMMYFUNCTION("""COMPUTED_VALUE"""),"AP")</f>
        <v>AP</v>
      </c>
      <c r="R536" s="34">
        <f>IFERROR(__xludf.DUMMYFUNCTION("""COMPUTED_VALUE"""),11.4)</f>
        <v>11.4</v>
      </c>
      <c r="S536" s="35" t="str">
        <f>IFERROR(__xludf.DUMMYFUNCTION("""COMPUTED_VALUE"""),"%")</f>
        <v>%</v>
      </c>
      <c r="T536" s="36">
        <f>IFERROR(__xludf.DUMMYFUNCTION("""COMPUTED_VALUE"""),2.0)</f>
        <v>2</v>
      </c>
      <c r="U536" s="37" t="str">
        <f>IFERROR(__xludf.DUMMYFUNCTION("""COMPUTED_VALUE"""),"B101")</f>
        <v>B101</v>
      </c>
      <c r="V536" s="38" t="str">
        <f>IFERROR(__xludf.DUMMYFUNCTION("""COMPUTED_VALUE"""),"")</f>
        <v/>
      </c>
      <c r="W536" s="34">
        <f>IFERROR(__xludf.DUMMYFUNCTION("""COMPUTED_VALUE"""),529.9)</f>
        <v>529.9</v>
      </c>
      <c r="X536" s="35" t="str">
        <f>IFERROR(__xludf.DUMMYFUNCTION("""COMPUTED_VALUE"""),"AP")</f>
        <v>AP</v>
      </c>
      <c r="Y536" s="34">
        <f>IFERROR(__xludf.DUMMYFUNCTION("""COMPUTED_VALUE"""),4.0)</f>
        <v>4</v>
      </c>
      <c r="Z536" s="35" t="str">
        <f>IFERROR(__xludf.DUMMYFUNCTION("""COMPUTED_VALUE"""),"%")</f>
        <v>%</v>
      </c>
      <c r="AA536" s="36">
        <f>IFERROR(__xludf.DUMMYFUNCTION("""COMPUTED_VALUE"""),3.0)</f>
        <v>3</v>
      </c>
      <c r="AB536" s="37" t="str">
        <f>IFERROR(__xludf.DUMMYFUNCTION("""COMPUTED_VALUE"""),"B114")</f>
        <v>B114</v>
      </c>
      <c r="AC536" s="38" t="str">
        <f>IFERROR(__xludf.DUMMYFUNCTION("""COMPUTED_VALUE"""),"")</f>
        <v/>
      </c>
      <c r="AD536" s="34">
        <f>IFERROR(__xludf.DUMMYFUNCTION("""COMPUTED_VALUE"""),52.2)</f>
        <v>52.2</v>
      </c>
      <c r="AE536" s="35" t="str">
        <f>IFERROR(__xludf.DUMMYFUNCTION("""COMPUTED_VALUE"""),"AP")</f>
        <v>AP</v>
      </c>
      <c r="AF536" s="34">
        <f>IFERROR(__xludf.DUMMYFUNCTION("""COMPUTED_VALUE"""),40.2)</f>
        <v>40.2</v>
      </c>
      <c r="AG536" s="35" t="str">
        <f>IFERROR(__xludf.DUMMYFUNCTION("""COMPUTED_VALUE"""),"%")</f>
        <v>%</v>
      </c>
      <c r="AH536" s="31">
        <f>IFERROR(__xludf.DUMMYFUNCTION("""COMPUTED_VALUE"""),21.0)</f>
        <v>21</v>
      </c>
      <c r="AI536" s="32">
        <f>IFERROR(__xludf.DUMMYFUNCTION("""COMPUTED_VALUE"""),4261.0)</f>
        <v>4261</v>
      </c>
      <c r="AJ536" s="39" t="str">
        <f>IFERROR(__xludf.DUMMYFUNCTION("""COMPUTED_VALUE"""),"忘れられた神殿")</f>
        <v>忘れられた神殿</v>
      </c>
    </row>
    <row r="537" ht="24.75" customHeight="1">
      <c r="A537" s="40">
        <f>IFERROR(__xludf.DUMMYFUNCTION("""COMPUTED_VALUE"""),6.0)</f>
        <v>6</v>
      </c>
      <c r="B537" s="40" t="str">
        <f>IFERROR(__xludf.DUMMYFUNCTION("""COMPUTED_VALUE"""),"A215")</f>
        <v>A215</v>
      </c>
      <c r="C537" s="40"/>
      <c r="D537" s="41"/>
      <c r="E537" s="66"/>
      <c r="F537" s="43"/>
      <c r="G537" s="44"/>
      <c r="H537" s="33" t="str">
        <f>IFERROR(__xludf.DUMMYFUNCTION("""COMPUTED_VALUE""")," ")</f>
        <v> </v>
      </c>
      <c r="I537" s="45"/>
      <c r="J537" s="46" t="str">
        <f>IFERROR(__xludf.DUMMYFUNCTION("""COMPUTED_VALUE"""),"AP")</f>
        <v>AP</v>
      </c>
      <c r="K537" s="47"/>
      <c r="L537" s="48" t="str">
        <f>IFERROR(__xludf.DUMMYFUNCTION("""COMPUTED_VALUE"""),"%")</f>
        <v>%</v>
      </c>
      <c r="M537" s="49">
        <f>IFERROR(__xludf.DUMMYFUNCTION("""COMPUTED_VALUE"""),1.0)</f>
        <v>1</v>
      </c>
      <c r="N537" s="50"/>
      <c r="O537" s="38"/>
      <c r="P537" s="45" t="str">
        <f>IFERROR(__xludf.DUMMYFUNCTION("""COMPUTED_VALUE"""),"")</f>
        <v/>
      </c>
      <c r="Q537" s="46" t="str">
        <f>IFERROR(__xludf.DUMMYFUNCTION("""COMPUTED_VALUE"""),"AP")</f>
        <v>AP</v>
      </c>
      <c r="R537" s="47" t="str">
        <f>IFERROR(__xludf.DUMMYFUNCTION("""COMPUTED_VALUE"""),"")</f>
        <v/>
      </c>
      <c r="S537" s="48" t="str">
        <f>IFERROR(__xludf.DUMMYFUNCTION("""COMPUTED_VALUE"""),"%")</f>
        <v>%</v>
      </c>
      <c r="T537" s="49">
        <f>IFERROR(__xludf.DUMMYFUNCTION("""COMPUTED_VALUE"""),2.0)</f>
        <v>2</v>
      </c>
      <c r="U537" s="50"/>
      <c r="V537" s="38"/>
      <c r="W537" s="45" t="str">
        <f>IFERROR(__xludf.DUMMYFUNCTION("""COMPUTED_VALUE"""),"")</f>
        <v/>
      </c>
      <c r="X537" s="46" t="str">
        <f>IFERROR(__xludf.DUMMYFUNCTION("""COMPUTED_VALUE"""),"AP")</f>
        <v>AP</v>
      </c>
      <c r="Y537" s="47" t="str">
        <f>IFERROR(__xludf.DUMMYFUNCTION("""COMPUTED_VALUE"""),"")</f>
        <v/>
      </c>
      <c r="Z537" s="48" t="str">
        <f>IFERROR(__xludf.DUMMYFUNCTION("""COMPUTED_VALUE"""),"%")</f>
        <v>%</v>
      </c>
      <c r="AA537" s="49">
        <f>IFERROR(__xludf.DUMMYFUNCTION("""COMPUTED_VALUE"""),3.0)</f>
        <v>3</v>
      </c>
      <c r="AB537" s="50"/>
      <c r="AC537" s="38"/>
      <c r="AD537" s="45" t="str">
        <f>IFERROR(__xludf.DUMMYFUNCTION("""COMPUTED_VALUE"""),"")</f>
        <v/>
      </c>
      <c r="AE537" s="46" t="str">
        <f>IFERROR(__xludf.DUMMYFUNCTION("""COMPUTED_VALUE"""),"AP")</f>
        <v>AP</v>
      </c>
      <c r="AF537" s="47" t="str">
        <f>IFERROR(__xludf.DUMMYFUNCTION("""COMPUTED_VALUE"""),"")</f>
        <v/>
      </c>
      <c r="AG537" s="48" t="str">
        <f>IFERROR(__xludf.DUMMYFUNCTION("""COMPUTED_VALUE"""),"%")</f>
        <v>%</v>
      </c>
      <c r="AH537" s="43"/>
      <c r="AI537" s="44"/>
      <c r="AJ537" s="51"/>
    </row>
    <row r="538" ht="24.75" hidden="1" customHeight="1">
      <c r="A538" s="28">
        <f>IFERROR(__xludf.DUMMYFUNCTION("""COMPUTED_VALUE"""),7.0)</f>
        <v>7</v>
      </c>
      <c r="B538" s="28" t="str">
        <f>IFERROR(__xludf.DUMMYFUNCTION("""COMPUTED_VALUE"""),"A215")</f>
        <v>A215</v>
      </c>
      <c r="C538" s="28"/>
      <c r="D538" s="29"/>
      <c r="E538" s="67"/>
      <c r="F538" s="31"/>
      <c r="G538" s="32"/>
      <c r="H538" s="33" t="str">
        <f>IFERROR(__xludf.DUMMYFUNCTION("""COMPUTED_VALUE""")," ")</f>
        <v> </v>
      </c>
      <c r="I538" s="34"/>
      <c r="J538" s="35" t="str">
        <f>IFERROR(__xludf.DUMMYFUNCTION("""COMPUTED_VALUE"""),"AP")</f>
        <v>AP</v>
      </c>
      <c r="K538" s="34"/>
      <c r="L538" s="35" t="str">
        <f>IFERROR(__xludf.DUMMYFUNCTION("""COMPUTED_VALUE"""),"%")</f>
        <v>%</v>
      </c>
      <c r="M538" s="36">
        <f>IFERROR(__xludf.DUMMYFUNCTION("""COMPUTED_VALUE"""),1.0)</f>
        <v>1</v>
      </c>
      <c r="N538" s="37"/>
      <c r="O538" s="38"/>
      <c r="P538" s="34" t="str">
        <f>IFERROR(__xludf.DUMMYFUNCTION("""COMPUTED_VALUE"""),"")</f>
        <v/>
      </c>
      <c r="Q538" s="35" t="str">
        <f>IFERROR(__xludf.DUMMYFUNCTION("""COMPUTED_VALUE"""),"AP")</f>
        <v>AP</v>
      </c>
      <c r="R538" s="34" t="str">
        <f>IFERROR(__xludf.DUMMYFUNCTION("""COMPUTED_VALUE"""),"")</f>
        <v/>
      </c>
      <c r="S538" s="35" t="str">
        <f>IFERROR(__xludf.DUMMYFUNCTION("""COMPUTED_VALUE"""),"%")</f>
        <v>%</v>
      </c>
      <c r="T538" s="36">
        <f>IFERROR(__xludf.DUMMYFUNCTION("""COMPUTED_VALUE"""),2.0)</f>
        <v>2</v>
      </c>
      <c r="U538" s="37"/>
      <c r="V538" s="38"/>
      <c r="W538" s="34" t="str">
        <f>IFERROR(__xludf.DUMMYFUNCTION("""COMPUTED_VALUE"""),"")</f>
        <v/>
      </c>
      <c r="X538" s="35" t="str">
        <f>IFERROR(__xludf.DUMMYFUNCTION("""COMPUTED_VALUE"""),"AP")</f>
        <v>AP</v>
      </c>
      <c r="Y538" s="34" t="str">
        <f>IFERROR(__xludf.DUMMYFUNCTION("""COMPUTED_VALUE"""),"")</f>
        <v/>
      </c>
      <c r="Z538" s="35" t="str">
        <f>IFERROR(__xludf.DUMMYFUNCTION("""COMPUTED_VALUE"""),"%")</f>
        <v>%</v>
      </c>
      <c r="AA538" s="36">
        <f>IFERROR(__xludf.DUMMYFUNCTION("""COMPUTED_VALUE"""),3.0)</f>
        <v>3</v>
      </c>
      <c r="AB538" s="37"/>
      <c r="AC538" s="38"/>
      <c r="AD538" s="34" t="str">
        <f>IFERROR(__xludf.DUMMYFUNCTION("""COMPUTED_VALUE"""),"")</f>
        <v/>
      </c>
      <c r="AE538" s="35" t="str">
        <f>IFERROR(__xludf.DUMMYFUNCTION("""COMPUTED_VALUE"""),"AP")</f>
        <v>AP</v>
      </c>
      <c r="AF538" s="34" t="str">
        <f>IFERROR(__xludf.DUMMYFUNCTION("""COMPUTED_VALUE"""),"")</f>
        <v/>
      </c>
      <c r="AG538" s="35" t="str">
        <f>IFERROR(__xludf.DUMMYFUNCTION("""COMPUTED_VALUE"""),"%")</f>
        <v>%</v>
      </c>
      <c r="AH538" s="31"/>
      <c r="AI538" s="32"/>
      <c r="AJ538" s="39"/>
    </row>
    <row r="539" ht="24.75" hidden="1" customHeight="1">
      <c r="A539" s="40">
        <f>IFERROR(__xludf.DUMMYFUNCTION("""COMPUTED_VALUE"""),8.0)</f>
        <v>8</v>
      </c>
      <c r="B539" s="40" t="str">
        <f>IFERROR(__xludf.DUMMYFUNCTION("""COMPUTED_VALUE"""),"A215")</f>
        <v>A215</v>
      </c>
      <c r="C539" s="40"/>
      <c r="D539" s="41"/>
      <c r="E539" s="66"/>
      <c r="F539" s="43"/>
      <c r="G539" s="44"/>
      <c r="H539" s="33" t="str">
        <f>IFERROR(__xludf.DUMMYFUNCTION("""COMPUTED_VALUE""")," ")</f>
        <v> </v>
      </c>
      <c r="I539" s="45"/>
      <c r="J539" s="46" t="str">
        <f>IFERROR(__xludf.DUMMYFUNCTION("""COMPUTED_VALUE"""),"AP")</f>
        <v>AP</v>
      </c>
      <c r="K539" s="47"/>
      <c r="L539" s="48" t="str">
        <f>IFERROR(__xludf.DUMMYFUNCTION("""COMPUTED_VALUE"""),"%")</f>
        <v>%</v>
      </c>
      <c r="M539" s="49">
        <f>IFERROR(__xludf.DUMMYFUNCTION("""COMPUTED_VALUE"""),1.0)</f>
        <v>1</v>
      </c>
      <c r="N539" s="50"/>
      <c r="O539" s="38"/>
      <c r="P539" s="45" t="str">
        <f>IFERROR(__xludf.DUMMYFUNCTION("""COMPUTED_VALUE"""),"")</f>
        <v/>
      </c>
      <c r="Q539" s="46" t="str">
        <f>IFERROR(__xludf.DUMMYFUNCTION("""COMPUTED_VALUE"""),"AP")</f>
        <v>AP</v>
      </c>
      <c r="R539" s="47" t="str">
        <f>IFERROR(__xludf.DUMMYFUNCTION("""COMPUTED_VALUE"""),"")</f>
        <v/>
      </c>
      <c r="S539" s="48" t="str">
        <f>IFERROR(__xludf.DUMMYFUNCTION("""COMPUTED_VALUE"""),"%")</f>
        <v>%</v>
      </c>
      <c r="T539" s="49">
        <f>IFERROR(__xludf.DUMMYFUNCTION("""COMPUTED_VALUE"""),2.0)</f>
        <v>2</v>
      </c>
      <c r="U539" s="50"/>
      <c r="V539" s="38"/>
      <c r="W539" s="45" t="str">
        <f>IFERROR(__xludf.DUMMYFUNCTION("""COMPUTED_VALUE"""),"")</f>
        <v/>
      </c>
      <c r="X539" s="46" t="str">
        <f>IFERROR(__xludf.DUMMYFUNCTION("""COMPUTED_VALUE"""),"AP")</f>
        <v>AP</v>
      </c>
      <c r="Y539" s="47" t="str">
        <f>IFERROR(__xludf.DUMMYFUNCTION("""COMPUTED_VALUE"""),"")</f>
        <v/>
      </c>
      <c r="Z539" s="48" t="str">
        <f>IFERROR(__xludf.DUMMYFUNCTION("""COMPUTED_VALUE"""),"%")</f>
        <v>%</v>
      </c>
      <c r="AA539" s="49">
        <f>IFERROR(__xludf.DUMMYFUNCTION("""COMPUTED_VALUE"""),3.0)</f>
        <v>3</v>
      </c>
      <c r="AB539" s="50"/>
      <c r="AC539" s="38"/>
      <c r="AD539" s="45" t="str">
        <f>IFERROR(__xludf.DUMMYFUNCTION("""COMPUTED_VALUE"""),"")</f>
        <v/>
      </c>
      <c r="AE539" s="46" t="str">
        <f>IFERROR(__xludf.DUMMYFUNCTION("""COMPUTED_VALUE"""),"AP")</f>
        <v>AP</v>
      </c>
      <c r="AF539" s="47" t="str">
        <f>IFERROR(__xludf.DUMMYFUNCTION("""COMPUTED_VALUE"""),"")</f>
        <v/>
      </c>
      <c r="AG539" s="48" t="str">
        <f>IFERROR(__xludf.DUMMYFUNCTION("""COMPUTED_VALUE"""),"%")</f>
        <v>%</v>
      </c>
      <c r="AH539" s="43"/>
      <c r="AI539" s="44"/>
      <c r="AJ539" s="51"/>
    </row>
    <row r="540" ht="24.75" hidden="1" customHeight="1">
      <c r="A540" s="28">
        <f>IFERROR(__xludf.DUMMYFUNCTION("""COMPUTED_VALUE"""),9.0)</f>
        <v>9</v>
      </c>
      <c r="B540" s="28" t="str">
        <f>IFERROR(__xludf.DUMMYFUNCTION("""COMPUTED_VALUE"""),"A215")</f>
        <v>A215</v>
      </c>
      <c r="C540" s="28"/>
      <c r="D540" s="29"/>
      <c r="E540" s="67"/>
      <c r="F540" s="31"/>
      <c r="G540" s="32"/>
      <c r="H540" s="33" t="str">
        <f>IFERROR(__xludf.DUMMYFUNCTION("""COMPUTED_VALUE""")," ")</f>
        <v> </v>
      </c>
      <c r="I540" s="34"/>
      <c r="J540" s="35" t="str">
        <f>IFERROR(__xludf.DUMMYFUNCTION("""COMPUTED_VALUE"""),"AP")</f>
        <v>AP</v>
      </c>
      <c r="K540" s="34"/>
      <c r="L540" s="35" t="str">
        <f>IFERROR(__xludf.DUMMYFUNCTION("""COMPUTED_VALUE"""),"%")</f>
        <v>%</v>
      </c>
      <c r="M540" s="36">
        <f>IFERROR(__xludf.DUMMYFUNCTION("""COMPUTED_VALUE"""),1.0)</f>
        <v>1</v>
      </c>
      <c r="N540" s="37"/>
      <c r="O540" s="38"/>
      <c r="P540" s="34" t="str">
        <f>IFERROR(__xludf.DUMMYFUNCTION("""COMPUTED_VALUE"""),"")</f>
        <v/>
      </c>
      <c r="Q540" s="35" t="str">
        <f>IFERROR(__xludf.DUMMYFUNCTION("""COMPUTED_VALUE"""),"AP")</f>
        <v>AP</v>
      </c>
      <c r="R540" s="34" t="str">
        <f>IFERROR(__xludf.DUMMYFUNCTION("""COMPUTED_VALUE"""),"")</f>
        <v/>
      </c>
      <c r="S540" s="35" t="str">
        <f>IFERROR(__xludf.DUMMYFUNCTION("""COMPUTED_VALUE"""),"%")</f>
        <v>%</v>
      </c>
      <c r="T540" s="36">
        <f>IFERROR(__xludf.DUMMYFUNCTION("""COMPUTED_VALUE"""),2.0)</f>
        <v>2</v>
      </c>
      <c r="U540" s="37"/>
      <c r="V540" s="38"/>
      <c r="W540" s="34" t="str">
        <f>IFERROR(__xludf.DUMMYFUNCTION("""COMPUTED_VALUE"""),"")</f>
        <v/>
      </c>
      <c r="X540" s="35" t="str">
        <f>IFERROR(__xludf.DUMMYFUNCTION("""COMPUTED_VALUE"""),"AP")</f>
        <v>AP</v>
      </c>
      <c r="Y540" s="34" t="str">
        <f>IFERROR(__xludf.DUMMYFUNCTION("""COMPUTED_VALUE"""),"")</f>
        <v/>
      </c>
      <c r="Z540" s="35" t="str">
        <f>IFERROR(__xludf.DUMMYFUNCTION("""COMPUTED_VALUE"""),"%")</f>
        <v>%</v>
      </c>
      <c r="AA540" s="36">
        <f>IFERROR(__xludf.DUMMYFUNCTION("""COMPUTED_VALUE"""),3.0)</f>
        <v>3</v>
      </c>
      <c r="AB540" s="37"/>
      <c r="AC540" s="38"/>
      <c r="AD540" s="34" t="str">
        <f>IFERROR(__xludf.DUMMYFUNCTION("""COMPUTED_VALUE"""),"")</f>
        <v/>
      </c>
      <c r="AE540" s="35" t="str">
        <f>IFERROR(__xludf.DUMMYFUNCTION("""COMPUTED_VALUE"""),"AP")</f>
        <v>AP</v>
      </c>
      <c r="AF540" s="34" t="str">
        <f>IFERROR(__xludf.DUMMYFUNCTION("""COMPUTED_VALUE"""),"")</f>
        <v/>
      </c>
      <c r="AG540" s="35" t="str">
        <f>IFERROR(__xludf.DUMMYFUNCTION("""COMPUTED_VALUE"""),"%")</f>
        <v>%</v>
      </c>
      <c r="AH540" s="31"/>
      <c r="AI540" s="32"/>
      <c r="AJ540" s="39"/>
    </row>
    <row r="541" ht="24.75" hidden="1" customHeight="1">
      <c r="A541" s="40">
        <f>IFERROR(__xludf.DUMMYFUNCTION("""COMPUTED_VALUE"""),10.0)</f>
        <v>10</v>
      </c>
      <c r="B541" s="40" t="str">
        <f>IFERROR(__xludf.DUMMYFUNCTION("""COMPUTED_VALUE"""),"A215")</f>
        <v>A215</v>
      </c>
      <c r="C541" s="40"/>
      <c r="D541" s="41"/>
      <c r="E541" s="66"/>
      <c r="F541" s="43"/>
      <c r="G541" s="44"/>
      <c r="H541" s="33" t="str">
        <f>IFERROR(__xludf.DUMMYFUNCTION("""COMPUTED_VALUE""")," ")</f>
        <v> </v>
      </c>
      <c r="I541" s="45"/>
      <c r="J541" s="46" t="str">
        <f>IFERROR(__xludf.DUMMYFUNCTION("""COMPUTED_VALUE"""),"AP")</f>
        <v>AP</v>
      </c>
      <c r="K541" s="47"/>
      <c r="L541" s="48" t="str">
        <f>IFERROR(__xludf.DUMMYFUNCTION("""COMPUTED_VALUE"""),"%")</f>
        <v>%</v>
      </c>
      <c r="M541" s="49">
        <f>IFERROR(__xludf.DUMMYFUNCTION("""COMPUTED_VALUE"""),1.0)</f>
        <v>1</v>
      </c>
      <c r="N541" s="50"/>
      <c r="O541" s="38"/>
      <c r="P541" s="45" t="str">
        <f>IFERROR(__xludf.DUMMYFUNCTION("""COMPUTED_VALUE"""),"")</f>
        <v/>
      </c>
      <c r="Q541" s="46" t="str">
        <f>IFERROR(__xludf.DUMMYFUNCTION("""COMPUTED_VALUE"""),"AP")</f>
        <v>AP</v>
      </c>
      <c r="R541" s="47" t="str">
        <f>IFERROR(__xludf.DUMMYFUNCTION("""COMPUTED_VALUE"""),"")</f>
        <v/>
      </c>
      <c r="S541" s="48" t="str">
        <f>IFERROR(__xludf.DUMMYFUNCTION("""COMPUTED_VALUE"""),"%")</f>
        <v>%</v>
      </c>
      <c r="T541" s="49">
        <f>IFERROR(__xludf.DUMMYFUNCTION("""COMPUTED_VALUE"""),2.0)</f>
        <v>2</v>
      </c>
      <c r="U541" s="50"/>
      <c r="V541" s="38"/>
      <c r="W541" s="45" t="str">
        <f>IFERROR(__xludf.DUMMYFUNCTION("""COMPUTED_VALUE"""),"")</f>
        <v/>
      </c>
      <c r="X541" s="46" t="str">
        <f>IFERROR(__xludf.DUMMYFUNCTION("""COMPUTED_VALUE"""),"AP")</f>
        <v>AP</v>
      </c>
      <c r="Y541" s="47" t="str">
        <f>IFERROR(__xludf.DUMMYFUNCTION("""COMPUTED_VALUE"""),"")</f>
        <v/>
      </c>
      <c r="Z541" s="48" t="str">
        <f>IFERROR(__xludf.DUMMYFUNCTION("""COMPUTED_VALUE"""),"%")</f>
        <v>%</v>
      </c>
      <c r="AA541" s="49">
        <f>IFERROR(__xludf.DUMMYFUNCTION("""COMPUTED_VALUE"""),3.0)</f>
        <v>3</v>
      </c>
      <c r="AB541" s="50"/>
      <c r="AC541" s="38"/>
      <c r="AD541" s="45" t="str">
        <f>IFERROR(__xludf.DUMMYFUNCTION("""COMPUTED_VALUE"""),"")</f>
        <v/>
      </c>
      <c r="AE541" s="46" t="str">
        <f>IFERROR(__xludf.DUMMYFUNCTION("""COMPUTED_VALUE"""),"AP")</f>
        <v>AP</v>
      </c>
      <c r="AF541" s="47" t="str">
        <f>IFERROR(__xludf.DUMMYFUNCTION("""COMPUTED_VALUE"""),"")</f>
        <v/>
      </c>
      <c r="AG541" s="48" t="str">
        <f>IFERROR(__xludf.DUMMYFUNCTION("""COMPUTED_VALUE"""),"%")</f>
        <v>%</v>
      </c>
      <c r="AH541" s="43"/>
      <c r="AI541" s="44"/>
      <c r="AJ541" s="51"/>
    </row>
    <row r="542" ht="24.75" hidden="1" customHeight="1">
      <c r="A542" s="28">
        <f>IFERROR(__xludf.DUMMYFUNCTION("""COMPUTED_VALUE"""),11.0)</f>
        <v>11</v>
      </c>
      <c r="B542" s="28" t="str">
        <f>IFERROR(__xludf.DUMMYFUNCTION("""COMPUTED_VALUE"""),"A215")</f>
        <v>A215</v>
      </c>
      <c r="C542" s="28"/>
      <c r="D542" s="29"/>
      <c r="E542" s="67"/>
      <c r="F542" s="31"/>
      <c r="G542" s="32"/>
      <c r="H542" s="33" t="str">
        <f>IFERROR(__xludf.DUMMYFUNCTION("""COMPUTED_VALUE""")," ")</f>
        <v> </v>
      </c>
      <c r="I542" s="34"/>
      <c r="J542" s="35" t="str">
        <f>IFERROR(__xludf.DUMMYFUNCTION("""COMPUTED_VALUE"""),"AP")</f>
        <v>AP</v>
      </c>
      <c r="K542" s="34"/>
      <c r="L542" s="35" t="str">
        <f>IFERROR(__xludf.DUMMYFUNCTION("""COMPUTED_VALUE"""),"%")</f>
        <v>%</v>
      </c>
      <c r="M542" s="36">
        <f>IFERROR(__xludf.DUMMYFUNCTION("""COMPUTED_VALUE"""),1.0)</f>
        <v>1</v>
      </c>
      <c r="N542" s="37"/>
      <c r="O542" s="38"/>
      <c r="P542" s="34" t="str">
        <f>IFERROR(__xludf.DUMMYFUNCTION("""COMPUTED_VALUE"""),"")</f>
        <v/>
      </c>
      <c r="Q542" s="35" t="str">
        <f>IFERROR(__xludf.DUMMYFUNCTION("""COMPUTED_VALUE"""),"AP")</f>
        <v>AP</v>
      </c>
      <c r="R542" s="34" t="str">
        <f>IFERROR(__xludf.DUMMYFUNCTION("""COMPUTED_VALUE"""),"")</f>
        <v/>
      </c>
      <c r="S542" s="35" t="str">
        <f>IFERROR(__xludf.DUMMYFUNCTION("""COMPUTED_VALUE"""),"%")</f>
        <v>%</v>
      </c>
      <c r="T542" s="36">
        <f>IFERROR(__xludf.DUMMYFUNCTION("""COMPUTED_VALUE"""),2.0)</f>
        <v>2</v>
      </c>
      <c r="U542" s="37"/>
      <c r="V542" s="38"/>
      <c r="W542" s="34" t="str">
        <f>IFERROR(__xludf.DUMMYFUNCTION("""COMPUTED_VALUE"""),"")</f>
        <v/>
      </c>
      <c r="X542" s="35" t="str">
        <f>IFERROR(__xludf.DUMMYFUNCTION("""COMPUTED_VALUE"""),"AP")</f>
        <v>AP</v>
      </c>
      <c r="Y542" s="34" t="str">
        <f>IFERROR(__xludf.DUMMYFUNCTION("""COMPUTED_VALUE"""),"")</f>
        <v/>
      </c>
      <c r="Z542" s="35" t="str">
        <f>IFERROR(__xludf.DUMMYFUNCTION("""COMPUTED_VALUE"""),"%")</f>
        <v>%</v>
      </c>
      <c r="AA542" s="36">
        <f>IFERROR(__xludf.DUMMYFUNCTION("""COMPUTED_VALUE"""),3.0)</f>
        <v>3</v>
      </c>
      <c r="AB542" s="37"/>
      <c r="AC542" s="38"/>
      <c r="AD542" s="34" t="str">
        <f>IFERROR(__xludf.DUMMYFUNCTION("""COMPUTED_VALUE"""),"")</f>
        <v/>
      </c>
      <c r="AE542" s="35" t="str">
        <f>IFERROR(__xludf.DUMMYFUNCTION("""COMPUTED_VALUE"""),"AP")</f>
        <v>AP</v>
      </c>
      <c r="AF542" s="34" t="str">
        <f>IFERROR(__xludf.DUMMYFUNCTION("""COMPUTED_VALUE"""),"")</f>
        <v/>
      </c>
      <c r="AG542" s="35" t="str">
        <f>IFERROR(__xludf.DUMMYFUNCTION("""COMPUTED_VALUE"""),"%")</f>
        <v>%</v>
      </c>
      <c r="AH542" s="31"/>
      <c r="AI542" s="32"/>
      <c r="AJ542" s="39"/>
    </row>
    <row r="543" ht="24.75" hidden="1" customHeight="1">
      <c r="A543" s="40">
        <f>IFERROR(__xludf.DUMMYFUNCTION("""COMPUTED_VALUE"""),12.0)</f>
        <v>12</v>
      </c>
      <c r="B543" s="40" t="str">
        <f>IFERROR(__xludf.DUMMYFUNCTION("""COMPUTED_VALUE"""),"A215")</f>
        <v>A215</v>
      </c>
      <c r="C543" s="40"/>
      <c r="D543" s="41"/>
      <c r="E543" s="66"/>
      <c r="F543" s="43"/>
      <c r="G543" s="44"/>
      <c r="H543" s="33" t="str">
        <f>IFERROR(__xludf.DUMMYFUNCTION("""COMPUTED_VALUE""")," ")</f>
        <v> </v>
      </c>
      <c r="I543" s="45"/>
      <c r="J543" s="46" t="str">
        <f>IFERROR(__xludf.DUMMYFUNCTION("""COMPUTED_VALUE"""),"AP")</f>
        <v>AP</v>
      </c>
      <c r="K543" s="47"/>
      <c r="L543" s="48" t="str">
        <f>IFERROR(__xludf.DUMMYFUNCTION("""COMPUTED_VALUE"""),"%")</f>
        <v>%</v>
      </c>
      <c r="M543" s="49">
        <f>IFERROR(__xludf.DUMMYFUNCTION("""COMPUTED_VALUE"""),1.0)</f>
        <v>1</v>
      </c>
      <c r="N543" s="50"/>
      <c r="O543" s="38"/>
      <c r="P543" s="45" t="str">
        <f>IFERROR(__xludf.DUMMYFUNCTION("""COMPUTED_VALUE"""),"")</f>
        <v/>
      </c>
      <c r="Q543" s="46" t="str">
        <f>IFERROR(__xludf.DUMMYFUNCTION("""COMPUTED_VALUE"""),"AP")</f>
        <v>AP</v>
      </c>
      <c r="R543" s="47" t="str">
        <f>IFERROR(__xludf.DUMMYFUNCTION("""COMPUTED_VALUE"""),"")</f>
        <v/>
      </c>
      <c r="S543" s="48" t="str">
        <f>IFERROR(__xludf.DUMMYFUNCTION("""COMPUTED_VALUE"""),"%")</f>
        <v>%</v>
      </c>
      <c r="T543" s="49">
        <f>IFERROR(__xludf.DUMMYFUNCTION("""COMPUTED_VALUE"""),2.0)</f>
        <v>2</v>
      </c>
      <c r="U543" s="50"/>
      <c r="V543" s="38"/>
      <c r="W543" s="45" t="str">
        <f>IFERROR(__xludf.DUMMYFUNCTION("""COMPUTED_VALUE"""),"")</f>
        <v/>
      </c>
      <c r="X543" s="46" t="str">
        <f>IFERROR(__xludf.DUMMYFUNCTION("""COMPUTED_VALUE"""),"AP")</f>
        <v>AP</v>
      </c>
      <c r="Y543" s="47" t="str">
        <f>IFERROR(__xludf.DUMMYFUNCTION("""COMPUTED_VALUE"""),"")</f>
        <v/>
      </c>
      <c r="Z543" s="48" t="str">
        <f>IFERROR(__xludf.DUMMYFUNCTION("""COMPUTED_VALUE"""),"%")</f>
        <v>%</v>
      </c>
      <c r="AA543" s="49">
        <f>IFERROR(__xludf.DUMMYFUNCTION("""COMPUTED_VALUE"""),3.0)</f>
        <v>3</v>
      </c>
      <c r="AB543" s="50"/>
      <c r="AC543" s="38"/>
      <c r="AD543" s="45" t="str">
        <f>IFERROR(__xludf.DUMMYFUNCTION("""COMPUTED_VALUE"""),"")</f>
        <v/>
      </c>
      <c r="AE543" s="46" t="str">
        <f>IFERROR(__xludf.DUMMYFUNCTION("""COMPUTED_VALUE"""),"AP")</f>
        <v>AP</v>
      </c>
      <c r="AF543" s="47" t="str">
        <f>IFERROR(__xludf.DUMMYFUNCTION("""COMPUTED_VALUE"""),"")</f>
        <v/>
      </c>
      <c r="AG543" s="48" t="str">
        <f>IFERROR(__xludf.DUMMYFUNCTION("""COMPUTED_VALUE"""),"%")</f>
        <v>%</v>
      </c>
      <c r="AH543" s="43"/>
      <c r="AI543" s="44"/>
      <c r="AJ543" s="51"/>
    </row>
    <row r="544" ht="24.75" hidden="1" customHeight="1">
      <c r="A544" s="28">
        <f>IFERROR(__xludf.DUMMYFUNCTION("""COMPUTED_VALUE"""),13.0)</f>
        <v>13</v>
      </c>
      <c r="B544" s="28" t="str">
        <f>IFERROR(__xludf.DUMMYFUNCTION("""COMPUTED_VALUE"""),"A215")</f>
        <v>A215</v>
      </c>
      <c r="C544" s="28"/>
      <c r="D544" s="29"/>
      <c r="E544" s="67"/>
      <c r="F544" s="31"/>
      <c r="G544" s="32"/>
      <c r="H544" s="33" t="str">
        <f>IFERROR(__xludf.DUMMYFUNCTION("""COMPUTED_VALUE""")," ")</f>
        <v> </v>
      </c>
      <c r="I544" s="34"/>
      <c r="J544" s="35" t="str">
        <f>IFERROR(__xludf.DUMMYFUNCTION("""COMPUTED_VALUE"""),"AP")</f>
        <v>AP</v>
      </c>
      <c r="K544" s="34"/>
      <c r="L544" s="35" t="str">
        <f>IFERROR(__xludf.DUMMYFUNCTION("""COMPUTED_VALUE"""),"%")</f>
        <v>%</v>
      </c>
      <c r="M544" s="36">
        <f>IFERROR(__xludf.DUMMYFUNCTION("""COMPUTED_VALUE"""),1.0)</f>
        <v>1</v>
      </c>
      <c r="N544" s="37"/>
      <c r="O544" s="38"/>
      <c r="P544" s="34" t="str">
        <f>IFERROR(__xludf.DUMMYFUNCTION("""COMPUTED_VALUE"""),"")</f>
        <v/>
      </c>
      <c r="Q544" s="35" t="str">
        <f>IFERROR(__xludf.DUMMYFUNCTION("""COMPUTED_VALUE"""),"AP")</f>
        <v>AP</v>
      </c>
      <c r="R544" s="34" t="str">
        <f>IFERROR(__xludf.DUMMYFUNCTION("""COMPUTED_VALUE"""),"")</f>
        <v/>
      </c>
      <c r="S544" s="35" t="str">
        <f>IFERROR(__xludf.DUMMYFUNCTION("""COMPUTED_VALUE"""),"%")</f>
        <v>%</v>
      </c>
      <c r="T544" s="36">
        <f>IFERROR(__xludf.DUMMYFUNCTION("""COMPUTED_VALUE"""),2.0)</f>
        <v>2</v>
      </c>
      <c r="U544" s="37"/>
      <c r="V544" s="38"/>
      <c r="W544" s="34" t="str">
        <f>IFERROR(__xludf.DUMMYFUNCTION("""COMPUTED_VALUE"""),"")</f>
        <v/>
      </c>
      <c r="X544" s="35" t="str">
        <f>IFERROR(__xludf.DUMMYFUNCTION("""COMPUTED_VALUE"""),"AP")</f>
        <v>AP</v>
      </c>
      <c r="Y544" s="34" t="str">
        <f>IFERROR(__xludf.DUMMYFUNCTION("""COMPUTED_VALUE"""),"")</f>
        <v/>
      </c>
      <c r="Z544" s="35" t="str">
        <f>IFERROR(__xludf.DUMMYFUNCTION("""COMPUTED_VALUE"""),"%")</f>
        <v>%</v>
      </c>
      <c r="AA544" s="36">
        <f>IFERROR(__xludf.DUMMYFUNCTION("""COMPUTED_VALUE"""),3.0)</f>
        <v>3</v>
      </c>
      <c r="AB544" s="37"/>
      <c r="AC544" s="38"/>
      <c r="AD544" s="34" t="str">
        <f>IFERROR(__xludf.DUMMYFUNCTION("""COMPUTED_VALUE"""),"")</f>
        <v/>
      </c>
      <c r="AE544" s="35" t="str">
        <f>IFERROR(__xludf.DUMMYFUNCTION("""COMPUTED_VALUE"""),"AP")</f>
        <v>AP</v>
      </c>
      <c r="AF544" s="34" t="str">
        <f>IFERROR(__xludf.DUMMYFUNCTION("""COMPUTED_VALUE"""),"")</f>
        <v/>
      </c>
      <c r="AG544" s="35" t="str">
        <f>IFERROR(__xludf.DUMMYFUNCTION("""COMPUTED_VALUE"""),"%")</f>
        <v>%</v>
      </c>
      <c r="AH544" s="31"/>
      <c r="AI544" s="32"/>
      <c r="AJ544" s="39"/>
    </row>
    <row r="545" ht="24.75" hidden="1" customHeight="1">
      <c r="A545" s="40">
        <f>IFERROR(__xludf.DUMMYFUNCTION("""COMPUTED_VALUE"""),14.0)</f>
        <v>14</v>
      </c>
      <c r="B545" s="40" t="str">
        <f>IFERROR(__xludf.DUMMYFUNCTION("""COMPUTED_VALUE"""),"A215")</f>
        <v>A215</v>
      </c>
      <c r="C545" s="40"/>
      <c r="D545" s="41"/>
      <c r="E545" s="66"/>
      <c r="F545" s="43"/>
      <c r="G545" s="44"/>
      <c r="H545" s="33" t="str">
        <f>IFERROR(__xludf.DUMMYFUNCTION("""COMPUTED_VALUE""")," ")</f>
        <v> </v>
      </c>
      <c r="I545" s="45"/>
      <c r="J545" s="46" t="str">
        <f>IFERROR(__xludf.DUMMYFUNCTION("""COMPUTED_VALUE"""),"AP")</f>
        <v>AP</v>
      </c>
      <c r="K545" s="47"/>
      <c r="L545" s="48" t="str">
        <f>IFERROR(__xludf.DUMMYFUNCTION("""COMPUTED_VALUE"""),"%")</f>
        <v>%</v>
      </c>
      <c r="M545" s="49">
        <f>IFERROR(__xludf.DUMMYFUNCTION("""COMPUTED_VALUE"""),1.0)</f>
        <v>1</v>
      </c>
      <c r="N545" s="50"/>
      <c r="O545" s="38"/>
      <c r="P545" s="45" t="str">
        <f>IFERROR(__xludf.DUMMYFUNCTION("""COMPUTED_VALUE"""),"")</f>
        <v/>
      </c>
      <c r="Q545" s="46" t="str">
        <f>IFERROR(__xludf.DUMMYFUNCTION("""COMPUTED_VALUE"""),"AP")</f>
        <v>AP</v>
      </c>
      <c r="R545" s="47" t="str">
        <f>IFERROR(__xludf.DUMMYFUNCTION("""COMPUTED_VALUE"""),"")</f>
        <v/>
      </c>
      <c r="S545" s="48" t="str">
        <f>IFERROR(__xludf.DUMMYFUNCTION("""COMPUTED_VALUE"""),"%")</f>
        <v>%</v>
      </c>
      <c r="T545" s="49">
        <f>IFERROR(__xludf.DUMMYFUNCTION("""COMPUTED_VALUE"""),2.0)</f>
        <v>2</v>
      </c>
      <c r="U545" s="50"/>
      <c r="V545" s="38"/>
      <c r="W545" s="45" t="str">
        <f>IFERROR(__xludf.DUMMYFUNCTION("""COMPUTED_VALUE"""),"")</f>
        <v/>
      </c>
      <c r="X545" s="46" t="str">
        <f>IFERROR(__xludf.DUMMYFUNCTION("""COMPUTED_VALUE"""),"AP")</f>
        <v>AP</v>
      </c>
      <c r="Y545" s="47" t="str">
        <f>IFERROR(__xludf.DUMMYFUNCTION("""COMPUTED_VALUE"""),"")</f>
        <v/>
      </c>
      <c r="Z545" s="48" t="str">
        <f>IFERROR(__xludf.DUMMYFUNCTION("""COMPUTED_VALUE"""),"%")</f>
        <v>%</v>
      </c>
      <c r="AA545" s="49">
        <f>IFERROR(__xludf.DUMMYFUNCTION("""COMPUTED_VALUE"""),3.0)</f>
        <v>3</v>
      </c>
      <c r="AB545" s="50"/>
      <c r="AC545" s="38"/>
      <c r="AD545" s="45" t="str">
        <f>IFERROR(__xludf.DUMMYFUNCTION("""COMPUTED_VALUE"""),"")</f>
        <v/>
      </c>
      <c r="AE545" s="46" t="str">
        <f>IFERROR(__xludf.DUMMYFUNCTION("""COMPUTED_VALUE"""),"AP")</f>
        <v>AP</v>
      </c>
      <c r="AF545" s="47" t="str">
        <f>IFERROR(__xludf.DUMMYFUNCTION("""COMPUTED_VALUE"""),"")</f>
        <v/>
      </c>
      <c r="AG545" s="48" t="str">
        <f>IFERROR(__xludf.DUMMYFUNCTION("""COMPUTED_VALUE"""),"%")</f>
        <v>%</v>
      </c>
      <c r="AH545" s="43"/>
      <c r="AI545" s="44"/>
      <c r="AJ545" s="51"/>
    </row>
    <row r="546" ht="24.75" hidden="1" customHeight="1">
      <c r="A546" s="28">
        <f>IFERROR(__xludf.DUMMYFUNCTION("""COMPUTED_VALUE"""),15.0)</f>
        <v>15</v>
      </c>
      <c r="B546" s="28" t="str">
        <f>IFERROR(__xludf.DUMMYFUNCTION("""COMPUTED_VALUE"""),"A215")</f>
        <v>A215</v>
      </c>
      <c r="C546" s="28"/>
      <c r="D546" s="29"/>
      <c r="E546" s="67"/>
      <c r="F546" s="31"/>
      <c r="G546" s="32"/>
      <c r="H546" s="33" t="str">
        <f>IFERROR(__xludf.DUMMYFUNCTION("""COMPUTED_VALUE""")," ")</f>
        <v> </v>
      </c>
      <c r="I546" s="34"/>
      <c r="J546" s="35" t="str">
        <f>IFERROR(__xludf.DUMMYFUNCTION("""COMPUTED_VALUE"""),"AP")</f>
        <v>AP</v>
      </c>
      <c r="K546" s="34"/>
      <c r="L546" s="35" t="str">
        <f>IFERROR(__xludf.DUMMYFUNCTION("""COMPUTED_VALUE"""),"%")</f>
        <v>%</v>
      </c>
      <c r="M546" s="36">
        <f>IFERROR(__xludf.DUMMYFUNCTION("""COMPUTED_VALUE"""),1.0)</f>
        <v>1</v>
      </c>
      <c r="N546" s="37"/>
      <c r="O546" s="38"/>
      <c r="P546" s="34" t="str">
        <f>IFERROR(__xludf.DUMMYFUNCTION("""COMPUTED_VALUE"""),"")</f>
        <v/>
      </c>
      <c r="Q546" s="35" t="str">
        <f>IFERROR(__xludf.DUMMYFUNCTION("""COMPUTED_VALUE"""),"AP")</f>
        <v>AP</v>
      </c>
      <c r="R546" s="34" t="str">
        <f>IFERROR(__xludf.DUMMYFUNCTION("""COMPUTED_VALUE"""),"")</f>
        <v/>
      </c>
      <c r="S546" s="35" t="str">
        <f>IFERROR(__xludf.DUMMYFUNCTION("""COMPUTED_VALUE"""),"%")</f>
        <v>%</v>
      </c>
      <c r="T546" s="36">
        <f>IFERROR(__xludf.DUMMYFUNCTION("""COMPUTED_VALUE"""),2.0)</f>
        <v>2</v>
      </c>
      <c r="U546" s="37"/>
      <c r="V546" s="38"/>
      <c r="W546" s="34" t="str">
        <f>IFERROR(__xludf.DUMMYFUNCTION("""COMPUTED_VALUE"""),"")</f>
        <v/>
      </c>
      <c r="X546" s="35" t="str">
        <f>IFERROR(__xludf.DUMMYFUNCTION("""COMPUTED_VALUE"""),"AP")</f>
        <v>AP</v>
      </c>
      <c r="Y546" s="34" t="str">
        <f>IFERROR(__xludf.DUMMYFUNCTION("""COMPUTED_VALUE"""),"")</f>
        <v/>
      </c>
      <c r="Z546" s="35" t="str">
        <f>IFERROR(__xludf.DUMMYFUNCTION("""COMPUTED_VALUE"""),"%")</f>
        <v>%</v>
      </c>
      <c r="AA546" s="36">
        <f>IFERROR(__xludf.DUMMYFUNCTION("""COMPUTED_VALUE"""),3.0)</f>
        <v>3</v>
      </c>
      <c r="AB546" s="37"/>
      <c r="AC546" s="38"/>
      <c r="AD546" s="34" t="str">
        <f>IFERROR(__xludf.DUMMYFUNCTION("""COMPUTED_VALUE"""),"")</f>
        <v/>
      </c>
      <c r="AE546" s="35" t="str">
        <f>IFERROR(__xludf.DUMMYFUNCTION("""COMPUTED_VALUE"""),"AP")</f>
        <v>AP</v>
      </c>
      <c r="AF546" s="34" t="str">
        <f>IFERROR(__xludf.DUMMYFUNCTION("""COMPUTED_VALUE"""),"")</f>
        <v/>
      </c>
      <c r="AG546" s="35" t="str">
        <f>IFERROR(__xludf.DUMMYFUNCTION("""COMPUTED_VALUE"""),"%")</f>
        <v>%</v>
      </c>
      <c r="AH546" s="31"/>
      <c r="AI546" s="32"/>
      <c r="AJ546" s="39"/>
    </row>
    <row r="547" ht="24.75" hidden="1" customHeight="1">
      <c r="A547" s="40">
        <f>IFERROR(__xludf.DUMMYFUNCTION("""COMPUTED_VALUE"""),16.0)</f>
        <v>16</v>
      </c>
      <c r="B547" s="40" t="str">
        <f>IFERROR(__xludf.DUMMYFUNCTION("""COMPUTED_VALUE"""),"A215")</f>
        <v>A215</v>
      </c>
      <c r="C547" s="40"/>
      <c r="D547" s="41"/>
      <c r="E547" s="66"/>
      <c r="F547" s="43"/>
      <c r="G547" s="44"/>
      <c r="H547" s="33" t="str">
        <f>IFERROR(__xludf.DUMMYFUNCTION("""COMPUTED_VALUE""")," ")</f>
        <v> </v>
      </c>
      <c r="I547" s="45"/>
      <c r="J547" s="46" t="str">
        <f>IFERROR(__xludf.DUMMYFUNCTION("""COMPUTED_VALUE"""),"AP")</f>
        <v>AP</v>
      </c>
      <c r="K547" s="47"/>
      <c r="L547" s="48" t="str">
        <f>IFERROR(__xludf.DUMMYFUNCTION("""COMPUTED_VALUE"""),"%")</f>
        <v>%</v>
      </c>
      <c r="M547" s="49">
        <f>IFERROR(__xludf.DUMMYFUNCTION("""COMPUTED_VALUE"""),1.0)</f>
        <v>1</v>
      </c>
      <c r="N547" s="50"/>
      <c r="O547" s="38"/>
      <c r="P547" s="45" t="str">
        <f>IFERROR(__xludf.DUMMYFUNCTION("""COMPUTED_VALUE"""),"")</f>
        <v/>
      </c>
      <c r="Q547" s="46" t="str">
        <f>IFERROR(__xludf.DUMMYFUNCTION("""COMPUTED_VALUE"""),"AP")</f>
        <v>AP</v>
      </c>
      <c r="R547" s="47" t="str">
        <f>IFERROR(__xludf.DUMMYFUNCTION("""COMPUTED_VALUE"""),"")</f>
        <v/>
      </c>
      <c r="S547" s="48" t="str">
        <f>IFERROR(__xludf.DUMMYFUNCTION("""COMPUTED_VALUE"""),"%")</f>
        <v>%</v>
      </c>
      <c r="T547" s="49">
        <f>IFERROR(__xludf.DUMMYFUNCTION("""COMPUTED_VALUE"""),2.0)</f>
        <v>2</v>
      </c>
      <c r="U547" s="50"/>
      <c r="V547" s="38"/>
      <c r="W547" s="45" t="str">
        <f>IFERROR(__xludf.DUMMYFUNCTION("""COMPUTED_VALUE"""),"")</f>
        <v/>
      </c>
      <c r="X547" s="46" t="str">
        <f>IFERROR(__xludf.DUMMYFUNCTION("""COMPUTED_VALUE"""),"AP")</f>
        <v>AP</v>
      </c>
      <c r="Y547" s="47" t="str">
        <f>IFERROR(__xludf.DUMMYFUNCTION("""COMPUTED_VALUE"""),"")</f>
        <v/>
      </c>
      <c r="Z547" s="48" t="str">
        <f>IFERROR(__xludf.DUMMYFUNCTION("""COMPUTED_VALUE"""),"%")</f>
        <v>%</v>
      </c>
      <c r="AA547" s="49">
        <f>IFERROR(__xludf.DUMMYFUNCTION("""COMPUTED_VALUE"""),3.0)</f>
        <v>3</v>
      </c>
      <c r="AB547" s="50"/>
      <c r="AC547" s="38"/>
      <c r="AD547" s="45" t="str">
        <f>IFERROR(__xludf.DUMMYFUNCTION("""COMPUTED_VALUE"""),"")</f>
        <v/>
      </c>
      <c r="AE547" s="46" t="str">
        <f>IFERROR(__xludf.DUMMYFUNCTION("""COMPUTED_VALUE"""),"AP")</f>
        <v>AP</v>
      </c>
      <c r="AF547" s="47" t="str">
        <f>IFERROR(__xludf.DUMMYFUNCTION("""COMPUTED_VALUE"""),"")</f>
        <v/>
      </c>
      <c r="AG547" s="48" t="str">
        <f>IFERROR(__xludf.DUMMYFUNCTION("""COMPUTED_VALUE"""),"%")</f>
        <v>%</v>
      </c>
      <c r="AH547" s="43"/>
      <c r="AI547" s="44"/>
      <c r="AJ547" s="51"/>
    </row>
    <row r="548" ht="24.75" hidden="1" customHeight="1">
      <c r="A548" s="28">
        <f>IFERROR(__xludf.DUMMYFUNCTION("""COMPUTED_VALUE"""),17.0)</f>
        <v>17</v>
      </c>
      <c r="B548" s="28" t="str">
        <f>IFERROR(__xludf.DUMMYFUNCTION("""COMPUTED_VALUE"""),"A215")</f>
        <v>A215</v>
      </c>
      <c r="C548" s="28"/>
      <c r="D548" s="29"/>
      <c r="E548" s="67"/>
      <c r="F548" s="31"/>
      <c r="G548" s="32"/>
      <c r="H548" s="33" t="str">
        <f>IFERROR(__xludf.DUMMYFUNCTION("""COMPUTED_VALUE""")," ")</f>
        <v> </v>
      </c>
      <c r="I548" s="34"/>
      <c r="J548" s="35" t="str">
        <f>IFERROR(__xludf.DUMMYFUNCTION("""COMPUTED_VALUE"""),"AP")</f>
        <v>AP</v>
      </c>
      <c r="K548" s="34"/>
      <c r="L548" s="35" t="str">
        <f>IFERROR(__xludf.DUMMYFUNCTION("""COMPUTED_VALUE"""),"%")</f>
        <v>%</v>
      </c>
      <c r="M548" s="36">
        <f>IFERROR(__xludf.DUMMYFUNCTION("""COMPUTED_VALUE"""),1.0)</f>
        <v>1</v>
      </c>
      <c r="N548" s="37"/>
      <c r="O548" s="38"/>
      <c r="P548" s="34" t="str">
        <f>IFERROR(__xludf.DUMMYFUNCTION("""COMPUTED_VALUE"""),"")</f>
        <v/>
      </c>
      <c r="Q548" s="35" t="str">
        <f>IFERROR(__xludf.DUMMYFUNCTION("""COMPUTED_VALUE"""),"AP")</f>
        <v>AP</v>
      </c>
      <c r="R548" s="34" t="str">
        <f>IFERROR(__xludf.DUMMYFUNCTION("""COMPUTED_VALUE"""),"")</f>
        <v/>
      </c>
      <c r="S548" s="35" t="str">
        <f>IFERROR(__xludf.DUMMYFUNCTION("""COMPUTED_VALUE"""),"%")</f>
        <v>%</v>
      </c>
      <c r="T548" s="36">
        <f>IFERROR(__xludf.DUMMYFUNCTION("""COMPUTED_VALUE"""),2.0)</f>
        <v>2</v>
      </c>
      <c r="U548" s="37"/>
      <c r="V548" s="38"/>
      <c r="W548" s="34" t="str">
        <f>IFERROR(__xludf.DUMMYFUNCTION("""COMPUTED_VALUE"""),"")</f>
        <v/>
      </c>
      <c r="X548" s="35" t="str">
        <f>IFERROR(__xludf.DUMMYFUNCTION("""COMPUTED_VALUE"""),"AP")</f>
        <v>AP</v>
      </c>
      <c r="Y548" s="34" t="str">
        <f>IFERROR(__xludf.DUMMYFUNCTION("""COMPUTED_VALUE"""),"")</f>
        <v/>
      </c>
      <c r="Z548" s="35" t="str">
        <f>IFERROR(__xludf.DUMMYFUNCTION("""COMPUTED_VALUE"""),"%")</f>
        <v>%</v>
      </c>
      <c r="AA548" s="36">
        <f>IFERROR(__xludf.DUMMYFUNCTION("""COMPUTED_VALUE"""),3.0)</f>
        <v>3</v>
      </c>
      <c r="AB548" s="37"/>
      <c r="AC548" s="38"/>
      <c r="AD548" s="34" t="str">
        <f>IFERROR(__xludf.DUMMYFUNCTION("""COMPUTED_VALUE"""),"")</f>
        <v/>
      </c>
      <c r="AE548" s="35" t="str">
        <f>IFERROR(__xludf.DUMMYFUNCTION("""COMPUTED_VALUE"""),"AP")</f>
        <v>AP</v>
      </c>
      <c r="AF548" s="34" t="str">
        <f>IFERROR(__xludf.DUMMYFUNCTION("""COMPUTED_VALUE"""),"")</f>
        <v/>
      </c>
      <c r="AG548" s="35" t="str">
        <f>IFERROR(__xludf.DUMMYFUNCTION("""COMPUTED_VALUE"""),"%")</f>
        <v>%</v>
      </c>
      <c r="AH548" s="31"/>
      <c r="AI548" s="32"/>
      <c r="AJ548" s="39"/>
    </row>
    <row r="549" ht="24.75" hidden="1" customHeight="1">
      <c r="A549" s="40">
        <f>IFERROR(__xludf.DUMMYFUNCTION("""COMPUTED_VALUE"""),18.0)</f>
        <v>18</v>
      </c>
      <c r="B549" s="40" t="str">
        <f>IFERROR(__xludf.DUMMYFUNCTION("""COMPUTED_VALUE"""),"A215")</f>
        <v>A215</v>
      </c>
      <c r="C549" s="40"/>
      <c r="D549" s="41"/>
      <c r="E549" s="66"/>
      <c r="F549" s="43"/>
      <c r="G549" s="44"/>
      <c r="H549" s="33" t="str">
        <f>IFERROR(__xludf.DUMMYFUNCTION("""COMPUTED_VALUE""")," ")</f>
        <v> </v>
      </c>
      <c r="I549" s="45"/>
      <c r="J549" s="46" t="str">
        <f>IFERROR(__xludf.DUMMYFUNCTION("""COMPUTED_VALUE"""),"AP")</f>
        <v>AP</v>
      </c>
      <c r="K549" s="47"/>
      <c r="L549" s="48" t="str">
        <f>IFERROR(__xludf.DUMMYFUNCTION("""COMPUTED_VALUE"""),"%")</f>
        <v>%</v>
      </c>
      <c r="M549" s="49">
        <f>IFERROR(__xludf.DUMMYFUNCTION("""COMPUTED_VALUE"""),1.0)</f>
        <v>1</v>
      </c>
      <c r="N549" s="50"/>
      <c r="O549" s="38"/>
      <c r="P549" s="45" t="str">
        <f>IFERROR(__xludf.DUMMYFUNCTION("""COMPUTED_VALUE"""),"")</f>
        <v/>
      </c>
      <c r="Q549" s="46" t="str">
        <f>IFERROR(__xludf.DUMMYFUNCTION("""COMPUTED_VALUE"""),"AP")</f>
        <v>AP</v>
      </c>
      <c r="R549" s="47" t="str">
        <f>IFERROR(__xludf.DUMMYFUNCTION("""COMPUTED_VALUE"""),"")</f>
        <v/>
      </c>
      <c r="S549" s="48" t="str">
        <f>IFERROR(__xludf.DUMMYFUNCTION("""COMPUTED_VALUE"""),"%")</f>
        <v>%</v>
      </c>
      <c r="T549" s="49">
        <f>IFERROR(__xludf.DUMMYFUNCTION("""COMPUTED_VALUE"""),2.0)</f>
        <v>2</v>
      </c>
      <c r="U549" s="50"/>
      <c r="V549" s="38"/>
      <c r="W549" s="45" t="str">
        <f>IFERROR(__xludf.DUMMYFUNCTION("""COMPUTED_VALUE"""),"")</f>
        <v/>
      </c>
      <c r="X549" s="46" t="str">
        <f>IFERROR(__xludf.DUMMYFUNCTION("""COMPUTED_VALUE"""),"AP")</f>
        <v>AP</v>
      </c>
      <c r="Y549" s="47" t="str">
        <f>IFERROR(__xludf.DUMMYFUNCTION("""COMPUTED_VALUE"""),"")</f>
        <v/>
      </c>
      <c r="Z549" s="48" t="str">
        <f>IFERROR(__xludf.DUMMYFUNCTION("""COMPUTED_VALUE"""),"%")</f>
        <v>%</v>
      </c>
      <c r="AA549" s="49">
        <f>IFERROR(__xludf.DUMMYFUNCTION("""COMPUTED_VALUE"""),3.0)</f>
        <v>3</v>
      </c>
      <c r="AB549" s="50"/>
      <c r="AC549" s="38"/>
      <c r="AD549" s="45" t="str">
        <f>IFERROR(__xludf.DUMMYFUNCTION("""COMPUTED_VALUE"""),"")</f>
        <v/>
      </c>
      <c r="AE549" s="46" t="str">
        <f>IFERROR(__xludf.DUMMYFUNCTION("""COMPUTED_VALUE"""),"AP")</f>
        <v>AP</v>
      </c>
      <c r="AF549" s="47" t="str">
        <f>IFERROR(__xludf.DUMMYFUNCTION("""COMPUTED_VALUE"""),"")</f>
        <v/>
      </c>
      <c r="AG549" s="48" t="str">
        <f>IFERROR(__xludf.DUMMYFUNCTION("""COMPUTED_VALUE"""),"%")</f>
        <v>%</v>
      </c>
      <c r="AH549" s="43"/>
      <c r="AI549" s="44"/>
      <c r="AJ549" s="51"/>
    </row>
    <row r="550" ht="24.75" hidden="1" customHeight="1">
      <c r="A550" s="28">
        <f>IFERROR(__xludf.DUMMYFUNCTION("""COMPUTED_VALUE"""),19.0)</f>
        <v>19</v>
      </c>
      <c r="B550" s="28" t="str">
        <f>IFERROR(__xludf.DUMMYFUNCTION("""COMPUTED_VALUE"""),"A215")</f>
        <v>A215</v>
      </c>
      <c r="C550" s="28"/>
      <c r="D550" s="29"/>
      <c r="E550" s="67"/>
      <c r="F550" s="31"/>
      <c r="G550" s="32"/>
      <c r="H550" s="33" t="str">
        <f>IFERROR(__xludf.DUMMYFUNCTION("""COMPUTED_VALUE""")," ")</f>
        <v> </v>
      </c>
      <c r="I550" s="34"/>
      <c r="J550" s="35" t="str">
        <f>IFERROR(__xludf.DUMMYFUNCTION("""COMPUTED_VALUE"""),"AP")</f>
        <v>AP</v>
      </c>
      <c r="K550" s="34"/>
      <c r="L550" s="35" t="str">
        <f>IFERROR(__xludf.DUMMYFUNCTION("""COMPUTED_VALUE"""),"%")</f>
        <v>%</v>
      </c>
      <c r="M550" s="36">
        <f>IFERROR(__xludf.DUMMYFUNCTION("""COMPUTED_VALUE"""),1.0)</f>
        <v>1</v>
      </c>
      <c r="N550" s="37"/>
      <c r="O550" s="38"/>
      <c r="P550" s="34" t="str">
        <f>IFERROR(__xludf.DUMMYFUNCTION("""COMPUTED_VALUE"""),"")</f>
        <v/>
      </c>
      <c r="Q550" s="35" t="str">
        <f>IFERROR(__xludf.DUMMYFUNCTION("""COMPUTED_VALUE"""),"AP")</f>
        <v>AP</v>
      </c>
      <c r="R550" s="34" t="str">
        <f>IFERROR(__xludf.DUMMYFUNCTION("""COMPUTED_VALUE"""),"")</f>
        <v/>
      </c>
      <c r="S550" s="35" t="str">
        <f>IFERROR(__xludf.DUMMYFUNCTION("""COMPUTED_VALUE"""),"%")</f>
        <v>%</v>
      </c>
      <c r="T550" s="36">
        <f>IFERROR(__xludf.DUMMYFUNCTION("""COMPUTED_VALUE"""),2.0)</f>
        <v>2</v>
      </c>
      <c r="U550" s="37"/>
      <c r="V550" s="38"/>
      <c r="W550" s="34" t="str">
        <f>IFERROR(__xludf.DUMMYFUNCTION("""COMPUTED_VALUE"""),"")</f>
        <v/>
      </c>
      <c r="X550" s="35" t="str">
        <f>IFERROR(__xludf.DUMMYFUNCTION("""COMPUTED_VALUE"""),"AP")</f>
        <v>AP</v>
      </c>
      <c r="Y550" s="34" t="str">
        <f>IFERROR(__xludf.DUMMYFUNCTION("""COMPUTED_VALUE"""),"")</f>
        <v/>
      </c>
      <c r="Z550" s="35" t="str">
        <f>IFERROR(__xludf.DUMMYFUNCTION("""COMPUTED_VALUE"""),"%")</f>
        <v>%</v>
      </c>
      <c r="AA550" s="36">
        <f>IFERROR(__xludf.DUMMYFUNCTION("""COMPUTED_VALUE"""),3.0)</f>
        <v>3</v>
      </c>
      <c r="AB550" s="37"/>
      <c r="AC550" s="38"/>
      <c r="AD550" s="34" t="str">
        <f>IFERROR(__xludf.DUMMYFUNCTION("""COMPUTED_VALUE"""),"")</f>
        <v/>
      </c>
      <c r="AE550" s="35" t="str">
        <f>IFERROR(__xludf.DUMMYFUNCTION("""COMPUTED_VALUE"""),"AP")</f>
        <v>AP</v>
      </c>
      <c r="AF550" s="34" t="str">
        <f>IFERROR(__xludf.DUMMYFUNCTION("""COMPUTED_VALUE"""),"")</f>
        <v/>
      </c>
      <c r="AG550" s="35" t="str">
        <f>IFERROR(__xludf.DUMMYFUNCTION("""COMPUTED_VALUE"""),"%")</f>
        <v>%</v>
      </c>
      <c r="AH550" s="31"/>
      <c r="AI550" s="32"/>
      <c r="AJ550" s="39"/>
    </row>
    <row r="551" ht="24.75" hidden="1" customHeight="1">
      <c r="A551" s="40">
        <f>IFERROR(__xludf.DUMMYFUNCTION("""COMPUTED_VALUE"""),20.0)</f>
        <v>20</v>
      </c>
      <c r="B551" s="40" t="str">
        <f>IFERROR(__xludf.DUMMYFUNCTION("""COMPUTED_VALUE"""),"A215")</f>
        <v>A215</v>
      </c>
      <c r="C551" s="40"/>
      <c r="D551" s="41"/>
      <c r="E551" s="66"/>
      <c r="F551" s="43"/>
      <c r="G551" s="44"/>
      <c r="H551" s="33" t="str">
        <f>IFERROR(__xludf.DUMMYFUNCTION("""COMPUTED_VALUE""")," ")</f>
        <v> </v>
      </c>
      <c r="I551" s="45"/>
      <c r="J551" s="46" t="str">
        <f>IFERROR(__xludf.DUMMYFUNCTION("""COMPUTED_VALUE"""),"AP")</f>
        <v>AP</v>
      </c>
      <c r="K551" s="47"/>
      <c r="L551" s="48" t="str">
        <f>IFERROR(__xludf.DUMMYFUNCTION("""COMPUTED_VALUE"""),"%")</f>
        <v>%</v>
      </c>
      <c r="M551" s="49">
        <f>IFERROR(__xludf.DUMMYFUNCTION("""COMPUTED_VALUE"""),1.0)</f>
        <v>1</v>
      </c>
      <c r="N551" s="50"/>
      <c r="O551" s="38"/>
      <c r="P551" s="45" t="str">
        <f>IFERROR(__xludf.DUMMYFUNCTION("""COMPUTED_VALUE"""),"")</f>
        <v/>
      </c>
      <c r="Q551" s="46" t="str">
        <f>IFERROR(__xludf.DUMMYFUNCTION("""COMPUTED_VALUE"""),"AP")</f>
        <v>AP</v>
      </c>
      <c r="R551" s="47" t="str">
        <f>IFERROR(__xludf.DUMMYFUNCTION("""COMPUTED_VALUE"""),"")</f>
        <v/>
      </c>
      <c r="S551" s="48" t="str">
        <f>IFERROR(__xludf.DUMMYFUNCTION("""COMPUTED_VALUE"""),"%")</f>
        <v>%</v>
      </c>
      <c r="T551" s="49">
        <f>IFERROR(__xludf.DUMMYFUNCTION("""COMPUTED_VALUE"""),2.0)</f>
        <v>2</v>
      </c>
      <c r="U551" s="50"/>
      <c r="V551" s="38"/>
      <c r="W551" s="45" t="str">
        <f>IFERROR(__xludf.DUMMYFUNCTION("""COMPUTED_VALUE"""),"")</f>
        <v/>
      </c>
      <c r="X551" s="46" t="str">
        <f>IFERROR(__xludf.DUMMYFUNCTION("""COMPUTED_VALUE"""),"AP")</f>
        <v>AP</v>
      </c>
      <c r="Y551" s="47" t="str">
        <f>IFERROR(__xludf.DUMMYFUNCTION("""COMPUTED_VALUE"""),"")</f>
        <v/>
      </c>
      <c r="Z551" s="48" t="str">
        <f>IFERROR(__xludf.DUMMYFUNCTION("""COMPUTED_VALUE"""),"%")</f>
        <v>%</v>
      </c>
      <c r="AA551" s="49">
        <f>IFERROR(__xludf.DUMMYFUNCTION("""COMPUTED_VALUE"""),3.0)</f>
        <v>3</v>
      </c>
      <c r="AB551" s="50"/>
      <c r="AC551" s="38"/>
      <c r="AD551" s="45" t="str">
        <f>IFERROR(__xludf.DUMMYFUNCTION("""COMPUTED_VALUE"""),"")</f>
        <v/>
      </c>
      <c r="AE551" s="46" t="str">
        <f>IFERROR(__xludf.DUMMYFUNCTION("""COMPUTED_VALUE"""),"AP")</f>
        <v>AP</v>
      </c>
      <c r="AF551" s="47" t="str">
        <f>IFERROR(__xludf.DUMMYFUNCTION("""COMPUTED_VALUE"""),"")</f>
        <v/>
      </c>
      <c r="AG551" s="48" t="str">
        <f>IFERROR(__xludf.DUMMYFUNCTION("""COMPUTED_VALUE"""),"%")</f>
        <v>%</v>
      </c>
      <c r="AH551" s="43"/>
      <c r="AI551" s="44"/>
      <c r="AJ551" s="51"/>
    </row>
    <row r="552">
      <c r="A552" s="52"/>
      <c r="B552" s="53"/>
      <c r="C552" s="54"/>
      <c r="D552" s="55"/>
      <c r="E552" s="56"/>
      <c r="F552" s="53"/>
      <c r="G552" s="53"/>
      <c r="H552" s="53"/>
      <c r="I552" s="53"/>
      <c r="J552" s="57"/>
      <c r="K552" s="53"/>
      <c r="L552" s="57"/>
      <c r="M552" s="53"/>
      <c r="N552" s="53"/>
      <c r="O552" s="53"/>
      <c r="P552" s="53"/>
      <c r="Q552" s="57"/>
      <c r="R552" s="53"/>
      <c r="S552" s="57"/>
      <c r="T552" s="53"/>
      <c r="U552" s="53"/>
      <c r="V552" s="53"/>
      <c r="W552" s="53"/>
      <c r="X552" s="57"/>
      <c r="Y552" s="53"/>
      <c r="Z552" s="57"/>
      <c r="AA552" s="53"/>
      <c r="AB552" s="53"/>
      <c r="AC552" s="53"/>
      <c r="AD552" s="53"/>
      <c r="AE552" s="57"/>
      <c r="AF552" s="53"/>
      <c r="AG552" s="57"/>
      <c r="AH552" s="53"/>
      <c r="AI552" s="53"/>
      <c r="AJ552" s="58"/>
    </row>
    <row r="553">
      <c r="A553" s="59"/>
      <c r="B553" s="60"/>
      <c r="C553" s="61"/>
      <c r="D553" s="62"/>
      <c r="E553" s="63"/>
      <c r="F553" s="60"/>
      <c r="G553" s="60"/>
      <c r="H553" s="60"/>
      <c r="I553" s="60"/>
      <c r="J553" s="64"/>
      <c r="K553" s="60"/>
      <c r="L553" s="64"/>
      <c r="M553" s="60"/>
      <c r="N553" s="60"/>
      <c r="O553" s="60"/>
      <c r="P553" s="60"/>
      <c r="Q553" s="64"/>
      <c r="R553" s="60"/>
      <c r="S553" s="64"/>
      <c r="T553" s="60"/>
      <c r="U553" s="60"/>
      <c r="V553" s="60"/>
      <c r="W553" s="60"/>
      <c r="X553" s="64"/>
      <c r="Y553" s="60"/>
      <c r="Z553" s="64"/>
      <c r="AA553" s="60"/>
      <c r="AB553" s="60"/>
      <c r="AC553" s="60"/>
      <c r="AD553" s="60"/>
      <c r="AE553" s="64"/>
      <c r="AF553" s="60"/>
      <c r="AG553" s="64"/>
      <c r="AH553" s="60"/>
      <c r="AI553" s="60"/>
      <c r="AJ553" s="65"/>
    </row>
    <row r="554" ht="33.0" customHeight="1">
      <c r="A554" s="20" t="str">
        <f>IFERROR(__xludf.DUMMYFUNCTION("""COMPUTED_VALUE""")," ")</f>
        <v> </v>
      </c>
      <c r="B554" s="21" t="str">
        <f>IFERROR(__xludf.DUMMYFUNCTION("""COMPUTED_VALUE"""),"A216")</f>
        <v>A216</v>
      </c>
      <c r="C554" s="20"/>
      <c r="D554" s="22" t="str">
        <f>IFERROR(__xludf.DUMMYFUNCTION("""COMPUTED_VALUE"""),"")</f>
        <v/>
      </c>
      <c r="E554" s="23" t="str">
        <f>IFERROR(__xludf.DUMMYFUNCTION("""COMPUTED_VALUE"""),"Soundless Bell")</f>
        <v>Soundless Bell</v>
      </c>
      <c r="F554" s="24"/>
      <c r="G554" s="24"/>
      <c r="H554" s="25"/>
      <c r="I554" s="25"/>
      <c r="J554" s="26"/>
      <c r="K554" s="25"/>
      <c r="L554" s="26"/>
      <c r="M554" s="25"/>
      <c r="N554" s="25"/>
      <c r="O554" s="25"/>
      <c r="P554" s="25"/>
      <c r="Q554" s="26"/>
      <c r="R554" s="25"/>
      <c r="S554" s="26"/>
      <c r="T554" s="25"/>
      <c r="U554" s="25"/>
      <c r="V554" s="25"/>
      <c r="W554" s="25"/>
      <c r="X554" s="26"/>
      <c r="Y554" s="25"/>
      <c r="Z554" s="26"/>
      <c r="AA554" s="25"/>
      <c r="AB554" s="25"/>
      <c r="AC554" s="25"/>
      <c r="AD554" s="25"/>
      <c r="AE554" s="26"/>
      <c r="AF554" s="25"/>
      <c r="AG554" s="26"/>
      <c r="AH554" s="24"/>
      <c r="AI554" s="25"/>
      <c r="AJ554" s="27"/>
    </row>
    <row r="555" ht="24.75" customHeight="1">
      <c r="A555" s="28">
        <f>IFERROR(__xludf.DUMMYFUNCTION("""COMPUTED_VALUE"""),1.0)</f>
        <v>1</v>
      </c>
      <c r="B555" s="28" t="str">
        <f>IFERROR(__xludf.DUMMYFUNCTION("""COMPUTED_VALUE"""),"A216")</f>
        <v>A216</v>
      </c>
      <c r="C555" s="28" t="str">
        <f>IFERROR(__xludf.DUMMYFUNCTION("""COMPUTED_VALUE"""),"SIN11")</f>
        <v>SIN11</v>
      </c>
      <c r="D555" s="29" t="str">
        <f>IFERROR(__xludf.DUMMYFUNCTION("""COMPUTED_VALUE"""),"SIN")</f>
        <v>SIN</v>
      </c>
      <c r="E555" s="30" t="str">
        <f>IFERROR(__xludf.DUMMYFUNCTION("""COMPUTED_VALUE"""),"Ba Men Cave")</f>
        <v>Ba Men Cave</v>
      </c>
      <c r="F555" s="31">
        <f>IFERROR(__xludf.DUMMYFUNCTION("""COMPUTED_VALUE"""),21.0)</f>
        <v>21</v>
      </c>
      <c r="G555" s="32">
        <f>IFERROR(__xludf.DUMMYFUNCTION("""COMPUTED_VALUE"""),29077.0)</f>
        <v>29077</v>
      </c>
      <c r="H555" s="33" t="str">
        <f>IFERROR(__xludf.DUMMYFUNCTION("""COMPUTED_VALUE"""),"")</f>
        <v/>
      </c>
      <c r="I555" s="34">
        <f>IFERROR(__xludf.DUMMYFUNCTION("""COMPUTED_VALUE"""),53.4)</f>
        <v>53.4</v>
      </c>
      <c r="J555" s="35" t="str">
        <f>IFERROR(__xludf.DUMMYFUNCTION("""COMPUTED_VALUE"""),"AP")</f>
        <v>AP</v>
      </c>
      <c r="K555" s="34">
        <f>IFERROR(__xludf.DUMMYFUNCTION("""COMPUTED_VALUE"""),39.3)</f>
        <v>39.3</v>
      </c>
      <c r="L555" s="35" t="str">
        <f>IFERROR(__xludf.DUMMYFUNCTION("""COMPUTED_VALUE"""),"%")</f>
        <v>%</v>
      </c>
      <c r="M555" s="36">
        <f>IFERROR(__xludf.DUMMYFUNCTION("""COMPUTED_VALUE"""),1.0)</f>
        <v>1</v>
      </c>
      <c r="N555" s="37" t="str">
        <f>IFERROR(__xludf.DUMMYFUNCTION("""COMPUTED_VALUE"""),"B116")</f>
        <v>B116</v>
      </c>
      <c r="O555" s="38" t="str">
        <f>IFERROR(__xludf.DUMMYFUNCTION("""COMPUTED_VALUE"""),"")</f>
        <v/>
      </c>
      <c r="P555" s="34">
        <f>IFERROR(__xludf.DUMMYFUNCTION("""COMPUTED_VALUE"""),46.6)</f>
        <v>46.6</v>
      </c>
      <c r="Q555" s="35" t="str">
        <f>IFERROR(__xludf.DUMMYFUNCTION("""COMPUTED_VALUE"""),"AP")</f>
        <v>AP</v>
      </c>
      <c r="R555" s="34">
        <f>IFERROR(__xludf.DUMMYFUNCTION("""COMPUTED_VALUE"""),45.1)</f>
        <v>45.1</v>
      </c>
      <c r="S555" s="35" t="str">
        <f>IFERROR(__xludf.DUMMYFUNCTION("""COMPUTED_VALUE"""),"%")</f>
        <v>%</v>
      </c>
      <c r="T555" s="36">
        <f>IFERROR(__xludf.DUMMYFUNCTION("""COMPUTED_VALUE"""),2.0)</f>
        <v>2</v>
      </c>
      <c r="U555" s="37"/>
      <c r="V555" s="38"/>
      <c r="W555" s="34" t="str">
        <f>IFERROR(__xludf.DUMMYFUNCTION("""COMPUTED_VALUE"""),"")</f>
        <v/>
      </c>
      <c r="X555" s="35" t="str">
        <f>IFERROR(__xludf.DUMMYFUNCTION("""COMPUTED_VALUE"""),"AP")</f>
        <v>AP</v>
      </c>
      <c r="Y555" s="34" t="str">
        <f>IFERROR(__xludf.DUMMYFUNCTION("""COMPUTED_VALUE"""),"")</f>
        <v/>
      </c>
      <c r="Z555" s="35" t="str">
        <f>IFERROR(__xludf.DUMMYFUNCTION("""COMPUTED_VALUE"""),"%")</f>
        <v>%</v>
      </c>
      <c r="AA555" s="36">
        <f>IFERROR(__xludf.DUMMYFUNCTION("""COMPUTED_VALUE"""),3.0)</f>
        <v>3</v>
      </c>
      <c r="AB555" s="37"/>
      <c r="AC555" s="38"/>
      <c r="AD555" s="34" t="str">
        <f>IFERROR(__xludf.DUMMYFUNCTION("""COMPUTED_VALUE"""),"")</f>
        <v/>
      </c>
      <c r="AE555" s="35" t="str">
        <f>IFERROR(__xludf.DUMMYFUNCTION("""COMPUTED_VALUE"""),"AP")</f>
        <v>AP</v>
      </c>
      <c r="AF555" s="34" t="str">
        <f>IFERROR(__xludf.DUMMYFUNCTION("""COMPUTED_VALUE"""),"")</f>
        <v/>
      </c>
      <c r="AG555" s="35" t="str">
        <f>IFERROR(__xludf.DUMMYFUNCTION("""COMPUTED_VALUE"""),"%")</f>
        <v>%</v>
      </c>
      <c r="AH555" s="31">
        <f>IFERROR(__xludf.DUMMYFUNCTION("""COMPUTED_VALUE"""),21.0)</f>
        <v>21</v>
      </c>
      <c r="AI555" s="32">
        <f>IFERROR(__xludf.DUMMYFUNCTION("""COMPUTED_VALUE"""),29077.0)</f>
        <v>29077</v>
      </c>
      <c r="AJ555" s="39" t="str">
        <f>IFERROR(__xludf.DUMMYFUNCTION("""COMPUTED_VALUE"""),"八門洞")</f>
        <v>八門洞</v>
      </c>
    </row>
    <row r="556" ht="24.75" customHeight="1">
      <c r="A556" s="40">
        <f>IFERROR(__xludf.DUMMYFUNCTION("""COMPUTED_VALUE"""),2.0)</f>
        <v>2</v>
      </c>
      <c r="B556" s="40" t="str">
        <f>IFERROR(__xludf.DUMMYFUNCTION("""COMPUTED_VALUE"""),"A216")</f>
        <v>A216</v>
      </c>
      <c r="C556" s="40" t="str">
        <f>IFERROR(__xludf.DUMMYFUNCTION("""COMPUTED_VALUE"""),"SIN9")</f>
        <v>SIN9</v>
      </c>
      <c r="D556" s="41" t="str">
        <f>IFERROR(__xludf.DUMMYFUNCTION("""COMPUTED_VALUE"""),"SIN")</f>
        <v>SIN</v>
      </c>
      <c r="E556" s="42" t="str">
        <f>IFERROR(__xludf.DUMMYFUNCTION("""COMPUTED_VALUE"""),"Daping Yu")</f>
        <v>Daping Yu</v>
      </c>
      <c r="F556" s="43">
        <f>IFERROR(__xludf.DUMMYFUNCTION("""COMPUTED_VALUE"""),21.0)</f>
        <v>21</v>
      </c>
      <c r="G556" s="44">
        <f>IFERROR(__xludf.DUMMYFUNCTION("""COMPUTED_VALUE"""),10400.0)</f>
        <v>10400</v>
      </c>
      <c r="H556" s="33" t="str">
        <f>IFERROR(__xludf.DUMMYFUNCTION("""COMPUTED_VALUE"""),"")</f>
        <v/>
      </c>
      <c r="I556" s="45">
        <f>IFERROR(__xludf.DUMMYFUNCTION("""COMPUTED_VALUE"""),82.8)</f>
        <v>82.8</v>
      </c>
      <c r="J556" s="46" t="str">
        <f>IFERROR(__xludf.DUMMYFUNCTION("""COMPUTED_VALUE"""),"AP")</f>
        <v>AP</v>
      </c>
      <c r="K556" s="47">
        <f>IFERROR(__xludf.DUMMYFUNCTION("""COMPUTED_VALUE"""),25.4)</f>
        <v>25.4</v>
      </c>
      <c r="L556" s="48" t="str">
        <f>IFERROR(__xludf.DUMMYFUNCTION("""COMPUTED_VALUE"""),"%")</f>
        <v>%</v>
      </c>
      <c r="M556" s="49">
        <f>IFERROR(__xludf.DUMMYFUNCTION("""COMPUTED_VALUE"""),1.0)</f>
        <v>1</v>
      </c>
      <c r="N556" s="50" t="str">
        <f>IFERROR(__xludf.DUMMYFUNCTION("""COMPUTED_VALUE"""),"A206")</f>
        <v>A206</v>
      </c>
      <c r="O556" s="38" t="str">
        <f>IFERROR(__xludf.DUMMYFUNCTION("""COMPUTED_VALUE"""),"")</f>
        <v/>
      </c>
      <c r="P556" s="45">
        <f>IFERROR(__xludf.DUMMYFUNCTION("""COMPUTED_VALUE"""),72.8)</f>
        <v>72.8</v>
      </c>
      <c r="Q556" s="46" t="str">
        <f>IFERROR(__xludf.DUMMYFUNCTION("""COMPUTED_VALUE"""),"AP")</f>
        <v>AP</v>
      </c>
      <c r="R556" s="47">
        <f>IFERROR(__xludf.DUMMYFUNCTION("""COMPUTED_VALUE"""),28.8)</f>
        <v>28.8</v>
      </c>
      <c r="S556" s="48" t="str">
        <f>IFERROR(__xludf.DUMMYFUNCTION("""COMPUTED_VALUE"""),"%")</f>
        <v>%</v>
      </c>
      <c r="T556" s="49">
        <f>IFERROR(__xludf.DUMMYFUNCTION("""COMPUTED_VALUE"""),2.0)</f>
        <v>2</v>
      </c>
      <c r="U556" s="50" t="str">
        <f>IFERROR(__xludf.DUMMYFUNCTION("""COMPUTED_VALUE"""),"B116")</f>
        <v>B116</v>
      </c>
      <c r="V556" s="38" t="str">
        <f>IFERROR(__xludf.DUMMYFUNCTION("""COMPUTED_VALUE"""),"")</f>
        <v/>
      </c>
      <c r="W556" s="45">
        <f>IFERROR(__xludf.DUMMYFUNCTION("""COMPUTED_VALUE"""),103.4)</f>
        <v>103.4</v>
      </c>
      <c r="X556" s="46" t="str">
        <f>IFERROR(__xludf.DUMMYFUNCTION("""COMPUTED_VALUE"""),"AP")</f>
        <v>AP</v>
      </c>
      <c r="Y556" s="47">
        <f>IFERROR(__xludf.DUMMYFUNCTION("""COMPUTED_VALUE"""),20.3)</f>
        <v>20.3</v>
      </c>
      <c r="Z556" s="48" t="str">
        <f>IFERROR(__xludf.DUMMYFUNCTION("""COMPUTED_VALUE"""),"%")</f>
        <v>%</v>
      </c>
      <c r="AA556" s="49">
        <f>IFERROR(__xludf.DUMMYFUNCTION("""COMPUTED_VALUE"""),3.0)</f>
        <v>3</v>
      </c>
      <c r="AB556" s="50"/>
      <c r="AC556" s="38"/>
      <c r="AD556" s="45" t="str">
        <f>IFERROR(__xludf.DUMMYFUNCTION("""COMPUTED_VALUE"""),"")</f>
        <v/>
      </c>
      <c r="AE556" s="46" t="str">
        <f>IFERROR(__xludf.DUMMYFUNCTION("""COMPUTED_VALUE"""),"AP")</f>
        <v>AP</v>
      </c>
      <c r="AF556" s="47" t="str">
        <f>IFERROR(__xludf.DUMMYFUNCTION("""COMPUTED_VALUE"""),"")</f>
        <v/>
      </c>
      <c r="AG556" s="48" t="str">
        <f>IFERROR(__xludf.DUMMYFUNCTION("""COMPUTED_VALUE"""),"%")</f>
        <v>%</v>
      </c>
      <c r="AH556" s="43">
        <f>IFERROR(__xludf.DUMMYFUNCTION("""COMPUTED_VALUE"""),21.0)</f>
        <v>21</v>
      </c>
      <c r="AI556" s="44">
        <f>IFERROR(__xludf.DUMMYFUNCTION("""COMPUTED_VALUE"""),10400.0)</f>
        <v>10400</v>
      </c>
      <c r="AJ556" s="51" t="str">
        <f>IFERROR(__xludf.DUMMYFUNCTION("""COMPUTED_VALUE"""),"大坪峪")</f>
        <v>大坪峪</v>
      </c>
    </row>
    <row r="557" ht="24.75" customHeight="1">
      <c r="A557" s="28">
        <f>IFERROR(__xludf.DUMMYFUNCTION("""COMPUTED_VALUE"""),3.0)</f>
        <v>3</v>
      </c>
      <c r="B557" s="28" t="str">
        <f>IFERROR(__xludf.DUMMYFUNCTION("""COMPUTED_VALUE"""),"A216")</f>
        <v>A216</v>
      </c>
      <c r="C557" s="28" t="str">
        <f>IFERROR(__xludf.DUMMYFUNCTION("""COMPUTED_VALUE"""),"SIN7")</f>
        <v>SIN7</v>
      </c>
      <c r="D557" s="29" t="str">
        <f>IFERROR(__xludf.DUMMYFUNCTION("""COMPUTED_VALUE"""),"SIN")</f>
        <v>SIN</v>
      </c>
      <c r="E557" s="30" t="str">
        <f>IFERROR(__xludf.DUMMYFUNCTION("""COMPUTED_VALUE"""),"Prison Camp")</f>
        <v>Prison Camp</v>
      </c>
      <c r="F557" s="31">
        <f>IFERROR(__xludf.DUMMYFUNCTION("""COMPUTED_VALUE"""),21.0)</f>
        <v>21</v>
      </c>
      <c r="G557" s="32">
        <f>IFERROR(__xludf.DUMMYFUNCTION("""COMPUTED_VALUE"""),64594.0)</f>
        <v>64594</v>
      </c>
      <c r="H557" s="33" t="str">
        <f>IFERROR(__xludf.DUMMYFUNCTION("""COMPUTED_VALUE"""),"")</f>
        <v/>
      </c>
      <c r="I557" s="34">
        <f>IFERROR(__xludf.DUMMYFUNCTION("""COMPUTED_VALUE"""),83.1)</f>
        <v>83.1</v>
      </c>
      <c r="J557" s="35" t="str">
        <f>IFERROR(__xludf.DUMMYFUNCTION("""COMPUTED_VALUE"""),"AP")</f>
        <v>AP</v>
      </c>
      <c r="K557" s="34">
        <f>IFERROR(__xludf.DUMMYFUNCTION("""COMPUTED_VALUE"""),25.3)</f>
        <v>25.3</v>
      </c>
      <c r="L557" s="35" t="str">
        <f>IFERROR(__xludf.DUMMYFUNCTION("""COMPUTED_VALUE"""),"%")</f>
        <v>%</v>
      </c>
      <c r="M557" s="36">
        <f>IFERROR(__xludf.DUMMYFUNCTION("""COMPUTED_VALUE"""),1.0)</f>
        <v>1</v>
      </c>
      <c r="N557" s="37" t="str">
        <f>IFERROR(__xludf.DUMMYFUNCTION("""COMPUTED_VALUE"""),"A113")</f>
        <v>A113</v>
      </c>
      <c r="O557" s="38" t="str">
        <f>IFERROR(__xludf.DUMMYFUNCTION("""COMPUTED_VALUE"""),"")</f>
        <v/>
      </c>
      <c r="P557" s="34">
        <f>IFERROR(__xludf.DUMMYFUNCTION("""COMPUTED_VALUE"""),103.7)</f>
        <v>103.7</v>
      </c>
      <c r="Q557" s="35" t="str">
        <f>IFERROR(__xludf.DUMMYFUNCTION("""COMPUTED_VALUE"""),"AP")</f>
        <v>AP</v>
      </c>
      <c r="R557" s="34">
        <f>IFERROR(__xludf.DUMMYFUNCTION("""COMPUTED_VALUE"""),20.2)</f>
        <v>20.2</v>
      </c>
      <c r="S557" s="35" t="str">
        <f>IFERROR(__xludf.DUMMYFUNCTION("""COMPUTED_VALUE"""),"%")</f>
        <v>%</v>
      </c>
      <c r="T557" s="36">
        <f>IFERROR(__xludf.DUMMYFUNCTION("""COMPUTED_VALUE"""),2.0)</f>
        <v>2</v>
      </c>
      <c r="U557" s="37" t="str">
        <f>IFERROR(__xludf.DUMMYFUNCTION("""COMPUTED_VALUE"""),"B112")</f>
        <v>B112</v>
      </c>
      <c r="V557" s="38" t="str">
        <f>IFERROR(__xludf.DUMMYFUNCTION("""COMPUTED_VALUE"""),"")</f>
        <v/>
      </c>
      <c r="W557" s="34">
        <f>IFERROR(__xludf.DUMMYFUNCTION("""COMPUTED_VALUE"""),141.0)</f>
        <v>141</v>
      </c>
      <c r="X557" s="35" t="str">
        <f>IFERROR(__xludf.DUMMYFUNCTION("""COMPUTED_VALUE"""),"AP")</f>
        <v>AP</v>
      </c>
      <c r="Y557" s="34">
        <f>IFERROR(__xludf.DUMMYFUNCTION("""COMPUTED_VALUE"""),14.9)</f>
        <v>14.9</v>
      </c>
      <c r="Z557" s="35" t="str">
        <f>IFERROR(__xludf.DUMMYFUNCTION("""COMPUTED_VALUE"""),"%")</f>
        <v>%</v>
      </c>
      <c r="AA557" s="36">
        <f>IFERROR(__xludf.DUMMYFUNCTION("""COMPUTED_VALUE"""),3.0)</f>
        <v>3</v>
      </c>
      <c r="AB557" s="37" t="str">
        <f>IFERROR(__xludf.DUMMYFUNCTION("""COMPUTED_VALUE"""),"B116")</f>
        <v>B116</v>
      </c>
      <c r="AC557" s="38" t="str">
        <f>IFERROR(__xludf.DUMMYFUNCTION("""COMPUTED_VALUE"""),"")</f>
        <v/>
      </c>
      <c r="AD557" s="34">
        <f>IFERROR(__xludf.DUMMYFUNCTION("""COMPUTED_VALUE"""),103.8)</f>
        <v>103.8</v>
      </c>
      <c r="AE557" s="35" t="str">
        <f>IFERROR(__xludf.DUMMYFUNCTION("""COMPUTED_VALUE"""),"AP")</f>
        <v>AP</v>
      </c>
      <c r="AF557" s="34">
        <f>IFERROR(__xludf.DUMMYFUNCTION("""COMPUTED_VALUE"""),20.2)</f>
        <v>20.2</v>
      </c>
      <c r="AG557" s="35" t="str">
        <f>IFERROR(__xludf.DUMMYFUNCTION("""COMPUTED_VALUE"""),"%")</f>
        <v>%</v>
      </c>
      <c r="AH557" s="31">
        <f>IFERROR(__xludf.DUMMYFUNCTION("""COMPUTED_VALUE"""),21.0)</f>
        <v>21</v>
      </c>
      <c r="AI557" s="32">
        <f>IFERROR(__xludf.DUMMYFUNCTION("""COMPUTED_VALUE"""),64594.0)</f>
        <v>64594</v>
      </c>
      <c r="AJ557" s="39" t="str">
        <f>IFERROR(__xludf.DUMMYFUNCTION("""COMPUTED_VALUE"""),"収容所")</f>
        <v>収容所</v>
      </c>
    </row>
    <row r="558" ht="24.75" customHeight="1">
      <c r="A558" s="40">
        <f>IFERROR(__xludf.DUMMYFUNCTION("""COMPUTED_VALUE"""),4.0)</f>
        <v>4</v>
      </c>
      <c r="B558" s="40" t="str">
        <f>IFERROR(__xludf.DUMMYFUNCTION("""COMPUTED_VALUE"""),"A216")</f>
        <v>A216</v>
      </c>
      <c r="C558" s="40" t="str">
        <f>IFERROR(__xludf.DUMMYFUNCTION("""COMPUTED_VALUE"""),"SIN10")</f>
        <v>SIN10</v>
      </c>
      <c r="D558" s="41" t="str">
        <f>IFERROR(__xludf.DUMMYFUNCTION("""COMPUTED_VALUE"""),"SIN")</f>
        <v>SIN</v>
      </c>
      <c r="E558" s="42" t="str">
        <f>IFERROR(__xludf.DUMMYFUNCTION("""COMPUTED_VALUE"""),"Xianyang")</f>
        <v>Xianyang</v>
      </c>
      <c r="F558" s="43">
        <f>IFERROR(__xludf.DUMMYFUNCTION("""COMPUTED_VALUE"""),21.0)</f>
        <v>21</v>
      </c>
      <c r="G558" s="44">
        <f>IFERROR(__xludf.DUMMYFUNCTION("""COMPUTED_VALUE"""),10327.0)</f>
        <v>10327</v>
      </c>
      <c r="H558" s="33" t="str">
        <f>IFERROR(__xludf.DUMMYFUNCTION("""COMPUTED_VALUE"""),"")</f>
        <v/>
      </c>
      <c r="I558" s="45">
        <f>IFERROR(__xludf.DUMMYFUNCTION("""COMPUTED_VALUE"""),105.5)</f>
        <v>105.5</v>
      </c>
      <c r="J558" s="46" t="str">
        <f>IFERROR(__xludf.DUMMYFUNCTION("""COMPUTED_VALUE"""),"AP")</f>
        <v>AP</v>
      </c>
      <c r="K558" s="47">
        <f>IFERROR(__xludf.DUMMYFUNCTION("""COMPUTED_VALUE"""),19.9)</f>
        <v>19.9</v>
      </c>
      <c r="L558" s="48" t="str">
        <f>IFERROR(__xludf.DUMMYFUNCTION("""COMPUTED_VALUE"""),"%")</f>
        <v>%</v>
      </c>
      <c r="M558" s="49">
        <f>IFERROR(__xludf.DUMMYFUNCTION("""COMPUTED_VALUE"""),1.0)</f>
        <v>1</v>
      </c>
      <c r="N558" s="50" t="str">
        <f>IFERROR(__xludf.DUMMYFUNCTION("""COMPUTED_VALUE"""),"A113")</f>
        <v>A113</v>
      </c>
      <c r="O558" s="38" t="str">
        <f>IFERROR(__xludf.DUMMYFUNCTION("""COMPUTED_VALUE"""),"")</f>
        <v/>
      </c>
      <c r="P558" s="45">
        <f>IFERROR(__xludf.DUMMYFUNCTION("""COMPUTED_VALUE"""),131.8)</f>
        <v>131.8</v>
      </c>
      <c r="Q558" s="46" t="str">
        <f>IFERROR(__xludf.DUMMYFUNCTION("""COMPUTED_VALUE"""),"AP")</f>
        <v>AP</v>
      </c>
      <c r="R558" s="47">
        <f>IFERROR(__xludf.DUMMYFUNCTION("""COMPUTED_VALUE"""),15.9)</f>
        <v>15.9</v>
      </c>
      <c r="S558" s="48" t="str">
        <f>IFERROR(__xludf.DUMMYFUNCTION("""COMPUTED_VALUE"""),"%")</f>
        <v>%</v>
      </c>
      <c r="T558" s="49">
        <f>IFERROR(__xludf.DUMMYFUNCTION("""COMPUTED_VALUE"""),2.0)</f>
        <v>2</v>
      </c>
      <c r="U558" s="50" t="str">
        <f>IFERROR(__xludf.DUMMYFUNCTION("""COMPUTED_VALUE"""),"A304")</f>
        <v>A304</v>
      </c>
      <c r="V558" s="38" t="str">
        <f>IFERROR(__xludf.DUMMYFUNCTION("""COMPUTED_VALUE"""),"")</f>
        <v/>
      </c>
      <c r="W558" s="45">
        <f>IFERROR(__xludf.DUMMYFUNCTION("""COMPUTED_VALUE"""),70.8)</f>
        <v>70.8</v>
      </c>
      <c r="X558" s="46" t="str">
        <f>IFERROR(__xludf.DUMMYFUNCTION("""COMPUTED_VALUE"""),"AP")</f>
        <v>AP</v>
      </c>
      <c r="Y558" s="47">
        <f>IFERROR(__xludf.DUMMYFUNCTION("""COMPUTED_VALUE"""),29.7)</f>
        <v>29.7</v>
      </c>
      <c r="Z558" s="48" t="str">
        <f>IFERROR(__xludf.DUMMYFUNCTION("""COMPUTED_VALUE"""),"%")</f>
        <v>%</v>
      </c>
      <c r="AA558" s="49">
        <f>IFERROR(__xludf.DUMMYFUNCTION("""COMPUTED_VALUE"""),3.0)</f>
        <v>3</v>
      </c>
      <c r="AB558" s="50" t="str">
        <f>IFERROR(__xludf.DUMMYFUNCTION("""COMPUTED_VALUE"""),"B112")</f>
        <v>B112</v>
      </c>
      <c r="AC558" s="38" t="str">
        <f>IFERROR(__xludf.DUMMYFUNCTION("""COMPUTED_VALUE"""),"")</f>
        <v/>
      </c>
      <c r="AD558" s="45">
        <f>IFERROR(__xludf.DUMMYFUNCTION("""COMPUTED_VALUE"""),137.7)</f>
        <v>137.7</v>
      </c>
      <c r="AE558" s="46" t="str">
        <f>IFERROR(__xludf.DUMMYFUNCTION("""COMPUTED_VALUE"""),"AP")</f>
        <v>AP</v>
      </c>
      <c r="AF558" s="47">
        <f>IFERROR(__xludf.DUMMYFUNCTION("""COMPUTED_VALUE"""),15.3)</f>
        <v>15.3</v>
      </c>
      <c r="AG558" s="48" t="str">
        <f>IFERROR(__xludf.DUMMYFUNCTION("""COMPUTED_VALUE"""),"%")</f>
        <v>%</v>
      </c>
      <c r="AH558" s="43">
        <f>IFERROR(__xludf.DUMMYFUNCTION("""COMPUTED_VALUE"""),21.0)</f>
        <v>21</v>
      </c>
      <c r="AI558" s="44">
        <f>IFERROR(__xludf.DUMMYFUNCTION("""COMPUTED_VALUE"""),10327.0)</f>
        <v>10327</v>
      </c>
      <c r="AJ558" s="51" t="str">
        <f>IFERROR(__xludf.DUMMYFUNCTION("""COMPUTED_VALUE"""),"咸陽")</f>
        <v>咸陽</v>
      </c>
    </row>
    <row r="559" ht="24.75" customHeight="1">
      <c r="A559" s="28">
        <f>IFERROR(__xludf.DUMMYFUNCTION("""COMPUTED_VALUE"""),5.0)</f>
        <v>5</v>
      </c>
      <c r="B559" s="28" t="str">
        <f>IFERROR(__xludf.DUMMYFUNCTION("""COMPUTED_VALUE"""),"A216")</f>
        <v>A216</v>
      </c>
      <c r="C559" s="28"/>
      <c r="D559" s="29"/>
      <c r="E559" s="67"/>
      <c r="F559" s="31"/>
      <c r="G559" s="32"/>
      <c r="H559" s="33" t="str">
        <f>IFERROR(__xludf.DUMMYFUNCTION("""COMPUTED_VALUE""")," ")</f>
        <v> </v>
      </c>
      <c r="I559" s="34"/>
      <c r="J559" s="35" t="str">
        <f>IFERROR(__xludf.DUMMYFUNCTION("""COMPUTED_VALUE"""),"AP")</f>
        <v>AP</v>
      </c>
      <c r="K559" s="34"/>
      <c r="L559" s="35" t="str">
        <f>IFERROR(__xludf.DUMMYFUNCTION("""COMPUTED_VALUE"""),"%")</f>
        <v>%</v>
      </c>
      <c r="M559" s="36">
        <f>IFERROR(__xludf.DUMMYFUNCTION("""COMPUTED_VALUE"""),1.0)</f>
        <v>1</v>
      </c>
      <c r="N559" s="37"/>
      <c r="O559" s="38"/>
      <c r="P559" s="34" t="str">
        <f>IFERROR(__xludf.DUMMYFUNCTION("""COMPUTED_VALUE"""),"")</f>
        <v/>
      </c>
      <c r="Q559" s="35" t="str">
        <f>IFERROR(__xludf.DUMMYFUNCTION("""COMPUTED_VALUE"""),"AP")</f>
        <v>AP</v>
      </c>
      <c r="R559" s="34" t="str">
        <f>IFERROR(__xludf.DUMMYFUNCTION("""COMPUTED_VALUE"""),"")</f>
        <v/>
      </c>
      <c r="S559" s="35" t="str">
        <f>IFERROR(__xludf.DUMMYFUNCTION("""COMPUTED_VALUE"""),"%")</f>
        <v>%</v>
      </c>
      <c r="T559" s="36">
        <f>IFERROR(__xludf.DUMMYFUNCTION("""COMPUTED_VALUE"""),2.0)</f>
        <v>2</v>
      </c>
      <c r="U559" s="37"/>
      <c r="V559" s="38"/>
      <c r="W559" s="34" t="str">
        <f>IFERROR(__xludf.DUMMYFUNCTION("""COMPUTED_VALUE"""),"")</f>
        <v/>
      </c>
      <c r="X559" s="35" t="str">
        <f>IFERROR(__xludf.DUMMYFUNCTION("""COMPUTED_VALUE"""),"AP")</f>
        <v>AP</v>
      </c>
      <c r="Y559" s="34" t="str">
        <f>IFERROR(__xludf.DUMMYFUNCTION("""COMPUTED_VALUE"""),"")</f>
        <v/>
      </c>
      <c r="Z559" s="35" t="str">
        <f>IFERROR(__xludf.DUMMYFUNCTION("""COMPUTED_VALUE"""),"%")</f>
        <v>%</v>
      </c>
      <c r="AA559" s="36">
        <f>IFERROR(__xludf.DUMMYFUNCTION("""COMPUTED_VALUE"""),3.0)</f>
        <v>3</v>
      </c>
      <c r="AB559" s="37"/>
      <c r="AC559" s="38"/>
      <c r="AD559" s="34" t="str">
        <f>IFERROR(__xludf.DUMMYFUNCTION("""COMPUTED_VALUE"""),"")</f>
        <v/>
      </c>
      <c r="AE559" s="35" t="str">
        <f>IFERROR(__xludf.DUMMYFUNCTION("""COMPUTED_VALUE"""),"AP")</f>
        <v>AP</v>
      </c>
      <c r="AF559" s="34" t="str">
        <f>IFERROR(__xludf.DUMMYFUNCTION("""COMPUTED_VALUE"""),"")</f>
        <v/>
      </c>
      <c r="AG559" s="35" t="str">
        <f>IFERROR(__xludf.DUMMYFUNCTION("""COMPUTED_VALUE"""),"%")</f>
        <v>%</v>
      </c>
      <c r="AH559" s="31"/>
      <c r="AI559" s="32"/>
      <c r="AJ559" s="39"/>
    </row>
    <row r="560" ht="24.75" hidden="1" customHeight="1">
      <c r="A560" s="40">
        <f>IFERROR(__xludf.DUMMYFUNCTION("""COMPUTED_VALUE"""),6.0)</f>
        <v>6</v>
      </c>
      <c r="B560" s="40" t="str">
        <f>IFERROR(__xludf.DUMMYFUNCTION("""COMPUTED_VALUE"""),"A216")</f>
        <v>A216</v>
      </c>
      <c r="C560" s="40"/>
      <c r="D560" s="41"/>
      <c r="E560" s="66"/>
      <c r="F560" s="43"/>
      <c r="G560" s="44"/>
      <c r="H560" s="33" t="str">
        <f>IFERROR(__xludf.DUMMYFUNCTION("""COMPUTED_VALUE""")," ")</f>
        <v> </v>
      </c>
      <c r="I560" s="45"/>
      <c r="J560" s="46" t="str">
        <f>IFERROR(__xludf.DUMMYFUNCTION("""COMPUTED_VALUE"""),"AP")</f>
        <v>AP</v>
      </c>
      <c r="K560" s="47"/>
      <c r="L560" s="48" t="str">
        <f>IFERROR(__xludf.DUMMYFUNCTION("""COMPUTED_VALUE"""),"%")</f>
        <v>%</v>
      </c>
      <c r="M560" s="49">
        <f>IFERROR(__xludf.DUMMYFUNCTION("""COMPUTED_VALUE"""),1.0)</f>
        <v>1</v>
      </c>
      <c r="N560" s="50"/>
      <c r="O560" s="38"/>
      <c r="P560" s="45" t="str">
        <f>IFERROR(__xludf.DUMMYFUNCTION("""COMPUTED_VALUE"""),"")</f>
        <v/>
      </c>
      <c r="Q560" s="46" t="str">
        <f>IFERROR(__xludf.DUMMYFUNCTION("""COMPUTED_VALUE"""),"AP")</f>
        <v>AP</v>
      </c>
      <c r="R560" s="47" t="str">
        <f>IFERROR(__xludf.DUMMYFUNCTION("""COMPUTED_VALUE"""),"")</f>
        <v/>
      </c>
      <c r="S560" s="48" t="str">
        <f>IFERROR(__xludf.DUMMYFUNCTION("""COMPUTED_VALUE"""),"%")</f>
        <v>%</v>
      </c>
      <c r="T560" s="49">
        <f>IFERROR(__xludf.DUMMYFUNCTION("""COMPUTED_VALUE"""),2.0)</f>
        <v>2</v>
      </c>
      <c r="U560" s="50"/>
      <c r="V560" s="38"/>
      <c r="W560" s="45" t="str">
        <f>IFERROR(__xludf.DUMMYFUNCTION("""COMPUTED_VALUE"""),"")</f>
        <v/>
      </c>
      <c r="X560" s="46" t="str">
        <f>IFERROR(__xludf.DUMMYFUNCTION("""COMPUTED_VALUE"""),"AP")</f>
        <v>AP</v>
      </c>
      <c r="Y560" s="47" t="str">
        <f>IFERROR(__xludf.DUMMYFUNCTION("""COMPUTED_VALUE"""),"")</f>
        <v/>
      </c>
      <c r="Z560" s="48" t="str">
        <f>IFERROR(__xludf.DUMMYFUNCTION("""COMPUTED_VALUE"""),"%")</f>
        <v>%</v>
      </c>
      <c r="AA560" s="49">
        <f>IFERROR(__xludf.DUMMYFUNCTION("""COMPUTED_VALUE"""),3.0)</f>
        <v>3</v>
      </c>
      <c r="AB560" s="50"/>
      <c r="AC560" s="38"/>
      <c r="AD560" s="45" t="str">
        <f>IFERROR(__xludf.DUMMYFUNCTION("""COMPUTED_VALUE"""),"")</f>
        <v/>
      </c>
      <c r="AE560" s="46" t="str">
        <f>IFERROR(__xludf.DUMMYFUNCTION("""COMPUTED_VALUE"""),"AP")</f>
        <v>AP</v>
      </c>
      <c r="AF560" s="47" t="str">
        <f>IFERROR(__xludf.DUMMYFUNCTION("""COMPUTED_VALUE"""),"")</f>
        <v/>
      </c>
      <c r="AG560" s="48" t="str">
        <f>IFERROR(__xludf.DUMMYFUNCTION("""COMPUTED_VALUE"""),"%")</f>
        <v>%</v>
      </c>
      <c r="AH560" s="43"/>
      <c r="AI560" s="44"/>
      <c r="AJ560" s="51"/>
    </row>
    <row r="561" ht="24.75" hidden="1" customHeight="1">
      <c r="A561" s="28">
        <f>IFERROR(__xludf.DUMMYFUNCTION("""COMPUTED_VALUE"""),7.0)</f>
        <v>7</v>
      </c>
      <c r="B561" s="28" t="str">
        <f>IFERROR(__xludf.DUMMYFUNCTION("""COMPUTED_VALUE"""),"A216")</f>
        <v>A216</v>
      </c>
      <c r="C561" s="28"/>
      <c r="D561" s="29"/>
      <c r="E561" s="67"/>
      <c r="F561" s="31"/>
      <c r="G561" s="32"/>
      <c r="H561" s="33" t="str">
        <f>IFERROR(__xludf.DUMMYFUNCTION("""COMPUTED_VALUE""")," ")</f>
        <v> </v>
      </c>
      <c r="I561" s="34"/>
      <c r="J561" s="35" t="str">
        <f>IFERROR(__xludf.DUMMYFUNCTION("""COMPUTED_VALUE"""),"AP")</f>
        <v>AP</v>
      </c>
      <c r="K561" s="34"/>
      <c r="L561" s="35" t="str">
        <f>IFERROR(__xludf.DUMMYFUNCTION("""COMPUTED_VALUE"""),"%")</f>
        <v>%</v>
      </c>
      <c r="M561" s="36">
        <f>IFERROR(__xludf.DUMMYFUNCTION("""COMPUTED_VALUE"""),1.0)</f>
        <v>1</v>
      </c>
      <c r="N561" s="37"/>
      <c r="O561" s="38"/>
      <c r="P561" s="34" t="str">
        <f>IFERROR(__xludf.DUMMYFUNCTION("""COMPUTED_VALUE"""),"")</f>
        <v/>
      </c>
      <c r="Q561" s="35" t="str">
        <f>IFERROR(__xludf.DUMMYFUNCTION("""COMPUTED_VALUE"""),"AP")</f>
        <v>AP</v>
      </c>
      <c r="R561" s="34" t="str">
        <f>IFERROR(__xludf.DUMMYFUNCTION("""COMPUTED_VALUE"""),"")</f>
        <v/>
      </c>
      <c r="S561" s="35" t="str">
        <f>IFERROR(__xludf.DUMMYFUNCTION("""COMPUTED_VALUE"""),"%")</f>
        <v>%</v>
      </c>
      <c r="T561" s="36">
        <f>IFERROR(__xludf.DUMMYFUNCTION("""COMPUTED_VALUE"""),2.0)</f>
        <v>2</v>
      </c>
      <c r="U561" s="37"/>
      <c r="V561" s="38"/>
      <c r="W561" s="34" t="str">
        <f>IFERROR(__xludf.DUMMYFUNCTION("""COMPUTED_VALUE"""),"")</f>
        <v/>
      </c>
      <c r="X561" s="35" t="str">
        <f>IFERROR(__xludf.DUMMYFUNCTION("""COMPUTED_VALUE"""),"AP")</f>
        <v>AP</v>
      </c>
      <c r="Y561" s="34" t="str">
        <f>IFERROR(__xludf.DUMMYFUNCTION("""COMPUTED_VALUE"""),"")</f>
        <v/>
      </c>
      <c r="Z561" s="35" t="str">
        <f>IFERROR(__xludf.DUMMYFUNCTION("""COMPUTED_VALUE"""),"%")</f>
        <v>%</v>
      </c>
      <c r="AA561" s="36">
        <f>IFERROR(__xludf.DUMMYFUNCTION("""COMPUTED_VALUE"""),3.0)</f>
        <v>3</v>
      </c>
      <c r="AB561" s="37"/>
      <c r="AC561" s="38"/>
      <c r="AD561" s="34" t="str">
        <f>IFERROR(__xludf.DUMMYFUNCTION("""COMPUTED_VALUE"""),"")</f>
        <v/>
      </c>
      <c r="AE561" s="35" t="str">
        <f>IFERROR(__xludf.DUMMYFUNCTION("""COMPUTED_VALUE"""),"AP")</f>
        <v>AP</v>
      </c>
      <c r="AF561" s="34" t="str">
        <f>IFERROR(__xludf.DUMMYFUNCTION("""COMPUTED_VALUE"""),"")</f>
        <v/>
      </c>
      <c r="AG561" s="35" t="str">
        <f>IFERROR(__xludf.DUMMYFUNCTION("""COMPUTED_VALUE"""),"%")</f>
        <v>%</v>
      </c>
      <c r="AH561" s="31"/>
      <c r="AI561" s="32"/>
      <c r="AJ561" s="39"/>
    </row>
    <row r="562" ht="24.75" hidden="1" customHeight="1">
      <c r="A562" s="40">
        <f>IFERROR(__xludf.DUMMYFUNCTION("""COMPUTED_VALUE"""),8.0)</f>
        <v>8</v>
      </c>
      <c r="B562" s="40" t="str">
        <f>IFERROR(__xludf.DUMMYFUNCTION("""COMPUTED_VALUE"""),"A216")</f>
        <v>A216</v>
      </c>
      <c r="C562" s="40"/>
      <c r="D562" s="41"/>
      <c r="E562" s="66"/>
      <c r="F562" s="43"/>
      <c r="G562" s="44"/>
      <c r="H562" s="33" t="str">
        <f>IFERROR(__xludf.DUMMYFUNCTION("""COMPUTED_VALUE""")," ")</f>
        <v> </v>
      </c>
      <c r="I562" s="45"/>
      <c r="J562" s="46" t="str">
        <f>IFERROR(__xludf.DUMMYFUNCTION("""COMPUTED_VALUE"""),"AP")</f>
        <v>AP</v>
      </c>
      <c r="K562" s="47"/>
      <c r="L562" s="48" t="str">
        <f>IFERROR(__xludf.DUMMYFUNCTION("""COMPUTED_VALUE"""),"%")</f>
        <v>%</v>
      </c>
      <c r="M562" s="49">
        <f>IFERROR(__xludf.DUMMYFUNCTION("""COMPUTED_VALUE"""),1.0)</f>
        <v>1</v>
      </c>
      <c r="N562" s="50"/>
      <c r="O562" s="38"/>
      <c r="P562" s="45" t="str">
        <f>IFERROR(__xludf.DUMMYFUNCTION("""COMPUTED_VALUE"""),"")</f>
        <v/>
      </c>
      <c r="Q562" s="46" t="str">
        <f>IFERROR(__xludf.DUMMYFUNCTION("""COMPUTED_VALUE"""),"AP")</f>
        <v>AP</v>
      </c>
      <c r="R562" s="47" t="str">
        <f>IFERROR(__xludf.DUMMYFUNCTION("""COMPUTED_VALUE"""),"")</f>
        <v/>
      </c>
      <c r="S562" s="48" t="str">
        <f>IFERROR(__xludf.DUMMYFUNCTION("""COMPUTED_VALUE"""),"%")</f>
        <v>%</v>
      </c>
      <c r="T562" s="49">
        <f>IFERROR(__xludf.DUMMYFUNCTION("""COMPUTED_VALUE"""),2.0)</f>
        <v>2</v>
      </c>
      <c r="U562" s="50"/>
      <c r="V562" s="38"/>
      <c r="W562" s="45" t="str">
        <f>IFERROR(__xludf.DUMMYFUNCTION("""COMPUTED_VALUE"""),"")</f>
        <v/>
      </c>
      <c r="X562" s="46" t="str">
        <f>IFERROR(__xludf.DUMMYFUNCTION("""COMPUTED_VALUE"""),"AP")</f>
        <v>AP</v>
      </c>
      <c r="Y562" s="47" t="str">
        <f>IFERROR(__xludf.DUMMYFUNCTION("""COMPUTED_VALUE"""),"")</f>
        <v/>
      </c>
      <c r="Z562" s="48" t="str">
        <f>IFERROR(__xludf.DUMMYFUNCTION("""COMPUTED_VALUE"""),"%")</f>
        <v>%</v>
      </c>
      <c r="AA562" s="49">
        <f>IFERROR(__xludf.DUMMYFUNCTION("""COMPUTED_VALUE"""),3.0)</f>
        <v>3</v>
      </c>
      <c r="AB562" s="50"/>
      <c r="AC562" s="38"/>
      <c r="AD562" s="45" t="str">
        <f>IFERROR(__xludf.DUMMYFUNCTION("""COMPUTED_VALUE"""),"")</f>
        <v/>
      </c>
      <c r="AE562" s="46" t="str">
        <f>IFERROR(__xludf.DUMMYFUNCTION("""COMPUTED_VALUE"""),"AP")</f>
        <v>AP</v>
      </c>
      <c r="AF562" s="47" t="str">
        <f>IFERROR(__xludf.DUMMYFUNCTION("""COMPUTED_VALUE"""),"")</f>
        <v/>
      </c>
      <c r="AG562" s="48" t="str">
        <f>IFERROR(__xludf.DUMMYFUNCTION("""COMPUTED_VALUE"""),"%")</f>
        <v>%</v>
      </c>
      <c r="AH562" s="43"/>
      <c r="AI562" s="44"/>
      <c r="AJ562" s="51"/>
    </row>
    <row r="563" ht="24.75" hidden="1" customHeight="1">
      <c r="A563" s="28">
        <f>IFERROR(__xludf.DUMMYFUNCTION("""COMPUTED_VALUE"""),9.0)</f>
        <v>9</v>
      </c>
      <c r="B563" s="28" t="str">
        <f>IFERROR(__xludf.DUMMYFUNCTION("""COMPUTED_VALUE"""),"A216")</f>
        <v>A216</v>
      </c>
      <c r="C563" s="28"/>
      <c r="D563" s="29"/>
      <c r="E563" s="67"/>
      <c r="F563" s="31"/>
      <c r="G563" s="32"/>
      <c r="H563" s="33" t="str">
        <f>IFERROR(__xludf.DUMMYFUNCTION("""COMPUTED_VALUE""")," ")</f>
        <v> </v>
      </c>
      <c r="I563" s="34"/>
      <c r="J563" s="35" t="str">
        <f>IFERROR(__xludf.DUMMYFUNCTION("""COMPUTED_VALUE"""),"AP")</f>
        <v>AP</v>
      </c>
      <c r="K563" s="34"/>
      <c r="L563" s="35" t="str">
        <f>IFERROR(__xludf.DUMMYFUNCTION("""COMPUTED_VALUE"""),"%")</f>
        <v>%</v>
      </c>
      <c r="M563" s="36">
        <f>IFERROR(__xludf.DUMMYFUNCTION("""COMPUTED_VALUE"""),1.0)</f>
        <v>1</v>
      </c>
      <c r="N563" s="37"/>
      <c r="O563" s="38"/>
      <c r="P563" s="34" t="str">
        <f>IFERROR(__xludf.DUMMYFUNCTION("""COMPUTED_VALUE"""),"")</f>
        <v/>
      </c>
      <c r="Q563" s="35" t="str">
        <f>IFERROR(__xludf.DUMMYFUNCTION("""COMPUTED_VALUE"""),"AP")</f>
        <v>AP</v>
      </c>
      <c r="R563" s="34" t="str">
        <f>IFERROR(__xludf.DUMMYFUNCTION("""COMPUTED_VALUE"""),"")</f>
        <v/>
      </c>
      <c r="S563" s="35" t="str">
        <f>IFERROR(__xludf.DUMMYFUNCTION("""COMPUTED_VALUE"""),"%")</f>
        <v>%</v>
      </c>
      <c r="T563" s="36">
        <f>IFERROR(__xludf.DUMMYFUNCTION("""COMPUTED_VALUE"""),2.0)</f>
        <v>2</v>
      </c>
      <c r="U563" s="37"/>
      <c r="V563" s="38"/>
      <c r="W563" s="34" t="str">
        <f>IFERROR(__xludf.DUMMYFUNCTION("""COMPUTED_VALUE"""),"")</f>
        <v/>
      </c>
      <c r="X563" s="35" t="str">
        <f>IFERROR(__xludf.DUMMYFUNCTION("""COMPUTED_VALUE"""),"AP")</f>
        <v>AP</v>
      </c>
      <c r="Y563" s="34" t="str">
        <f>IFERROR(__xludf.DUMMYFUNCTION("""COMPUTED_VALUE"""),"")</f>
        <v/>
      </c>
      <c r="Z563" s="35" t="str">
        <f>IFERROR(__xludf.DUMMYFUNCTION("""COMPUTED_VALUE"""),"%")</f>
        <v>%</v>
      </c>
      <c r="AA563" s="36">
        <f>IFERROR(__xludf.DUMMYFUNCTION("""COMPUTED_VALUE"""),3.0)</f>
        <v>3</v>
      </c>
      <c r="AB563" s="37"/>
      <c r="AC563" s="38"/>
      <c r="AD563" s="34" t="str">
        <f>IFERROR(__xludf.DUMMYFUNCTION("""COMPUTED_VALUE"""),"")</f>
        <v/>
      </c>
      <c r="AE563" s="35" t="str">
        <f>IFERROR(__xludf.DUMMYFUNCTION("""COMPUTED_VALUE"""),"AP")</f>
        <v>AP</v>
      </c>
      <c r="AF563" s="34" t="str">
        <f>IFERROR(__xludf.DUMMYFUNCTION("""COMPUTED_VALUE"""),"")</f>
        <v/>
      </c>
      <c r="AG563" s="35" t="str">
        <f>IFERROR(__xludf.DUMMYFUNCTION("""COMPUTED_VALUE"""),"%")</f>
        <v>%</v>
      </c>
      <c r="AH563" s="31"/>
      <c r="AI563" s="32"/>
      <c r="AJ563" s="39"/>
    </row>
    <row r="564" ht="24.75" hidden="1" customHeight="1">
      <c r="A564" s="40">
        <f>IFERROR(__xludf.DUMMYFUNCTION("""COMPUTED_VALUE"""),10.0)</f>
        <v>10</v>
      </c>
      <c r="B564" s="40" t="str">
        <f>IFERROR(__xludf.DUMMYFUNCTION("""COMPUTED_VALUE"""),"A216")</f>
        <v>A216</v>
      </c>
      <c r="C564" s="40"/>
      <c r="D564" s="41"/>
      <c r="E564" s="66"/>
      <c r="F564" s="43"/>
      <c r="G564" s="44"/>
      <c r="H564" s="33" t="str">
        <f>IFERROR(__xludf.DUMMYFUNCTION("""COMPUTED_VALUE""")," ")</f>
        <v> </v>
      </c>
      <c r="I564" s="45"/>
      <c r="J564" s="46" t="str">
        <f>IFERROR(__xludf.DUMMYFUNCTION("""COMPUTED_VALUE"""),"AP")</f>
        <v>AP</v>
      </c>
      <c r="K564" s="47"/>
      <c r="L564" s="48" t="str">
        <f>IFERROR(__xludf.DUMMYFUNCTION("""COMPUTED_VALUE"""),"%")</f>
        <v>%</v>
      </c>
      <c r="M564" s="49">
        <f>IFERROR(__xludf.DUMMYFUNCTION("""COMPUTED_VALUE"""),1.0)</f>
        <v>1</v>
      </c>
      <c r="N564" s="50"/>
      <c r="O564" s="38"/>
      <c r="P564" s="45" t="str">
        <f>IFERROR(__xludf.DUMMYFUNCTION("""COMPUTED_VALUE"""),"")</f>
        <v/>
      </c>
      <c r="Q564" s="46" t="str">
        <f>IFERROR(__xludf.DUMMYFUNCTION("""COMPUTED_VALUE"""),"AP")</f>
        <v>AP</v>
      </c>
      <c r="R564" s="47" t="str">
        <f>IFERROR(__xludf.DUMMYFUNCTION("""COMPUTED_VALUE"""),"")</f>
        <v/>
      </c>
      <c r="S564" s="48" t="str">
        <f>IFERROR(__xludf.DUMMYFUNCTION("""COMPUTED_VALUE"""),"%")</f>
        <v>%</v>
      </c>
      <c r="T564" s="49">
        <f>IFERROR(__xludf.DUMMYFUNCTION("""COMPUTED_VALUE"""),2.0)</f>
        <v>2</v>
      </c>
      <c r="U564" s="50"/>
      <c r="V564" s="38"/>
      <c r="W564" s="45" t="str">
        <f>IFERROR(__xludf.DUMMYFUNCTION("""COMPUTED_VALUE"""),"")</f>
        <v/>
      </c>
      <c r="X564" s="46" t="str">
        <f>IFERROR(__xludf.DUMMYFUNCTION("""COMPUTED_VALUE"""),"AP")</f>
        <v>AP</v>
      </c>
      <c r="Y564" s="47" t="str">
        <f>IFERROR(__xludf.DUMMYFUNCTION("""COMPUTED_VALUE"""),"")</f>
        <v/>
      </c>
      <c r="Z564" s="48" t="str">
        <f>IFERROR(__xludf.DUMMYFUNCTION("""COMPUTED_VALUE"""),"%")</f>
        <v>%</v>
      </c>
      <c r="AA564" s="49">
        <f>IFERROR(__xludf.DUMMYFUNCTION("""COMPUTED_VALUE"""),3.0)</f>
        <v>3</v>
      </c>
      <c r="AB564" s="50"/>
      <c r="AC564" s="38"/>
      <c r="AD564" s="45" t="str">
        <f>IFERROR(__xludf.DUMMYFUNCTION("""COMPUTED_VALUE"""),"")</f>
        <v/>
      </c>
      <c r="AE564" s="46" t="str">
        <f>IFERROR(__xludf.DUMMYFUNCTION("""COMPUTED_VALUE"""),"AP")</f>
        <v>AP</v>
      </c>
      <c r="AF564" s="47" t="str">
        <f>IFERROR(__xludf.DUMMYFUNCTION("""COMPUTED_VALUE"""),"")</f>
        <v/>
      </c>
      <c r="AG564" s="48" t="str">
        <f>IFERROR(__xludf.DUMMYFUNCTION("""COMPUTED_VALUE"""),"%")</f>
        <v>%</v>
      </c>
      <c r="AH564" s="43"/>
      <c r="AI564" s="44"/>
      <c r="AJ564" s="51"/>
    </row>
    <row r="565" ht="24.75" hidden="1" customHeight="1">
      <c r="A565" s="28">
        <f>IFERROR(__xludf.DUMMYFUNCTION("""COMPUTED_VALUE"""),11.0)</f>
        <v>11</v>
      </c>
      <c r="B565" s="28" t="str">
        <f>IFERROR(__xludf.DUMMYFUNCTION("""COMPUTED_VALUE"""),"A216")</f>
        <v>A216</v>
      </c>
      <c r="C565" s="28"/>
      <c r="D565" s="29"/>
      <c r="E565" s="67"/>
      <c r="F565" s="31"/>
      <c r="G565" s="32"/>
      <c r="H565" s="33" t="str">
        <f>IFERROR(__xludf.DUMMYFUNCTION("""COMPUTED_VALUE""")," ")</f>
        <v> </v>
      </c>
      <c r="I565" s="34"/>
      <c r="J565" s="35" t="str">
        <f>IFERROR(__xludf.DUMMYFUNCTION("""COMPUTED_VALUE"""),"AP")</f>
        <v>AP</v>
      </c>
      <c r="K565" s="34"/>
      <c r="L565" s="35" t="str">
        <f>IFERROR(__xludf.DUMMYFUNCTION("""COMPUTED_VALUE"""),"%")</f>
        <v>%</v>
      </c>
      <c r="M565" s="36">
        <f>IFERROR(__xludf.DUMMYFUNCTION("""COMPUTED_VALUE"""),1.0)</f>
        <v>1</v>
      </c>
      <c r="N565" s="37"/>
      <c r="O565" s="38"/>
      <c r="P565" s="34" t="str">
        <f>IFERROR(__xludf.DUMMYFUNCTION("""COMPUTED_VALUE"""),"")</f>
        <v/>
      </c>
      <c r="Q565" s="35" t="str">
        <f>IFERROR(__xludf.DUMMYFUNCTION("""COMPUTED_VALUE"""),"AP")</f>
        <v>AP</v>
      </c>
      <c r="R565" s="34" t="str">
        <f>IFERROR(__xludf.DUMMYFUNCTION("""COMPUTED_VALUE"""),"")</f>
        <v/>
      </c>
      <c r="S565" s="35" t="str">
        <f>IFERROR(__xludf.DUMMYFUNCTION("""COMPUTED_VALUE"""),"%")</f>
        <v>%</v>
      </c>
      <c r="T565" s="36">
        <f>IFERROR(__xludf.DUMMYFUNCTION("""COMPUTED_VALUE"""),2.0)</f>
        <v>2</v>
      </c>
      <c r="U565" s="37"/>
      <c r="V565" s="38"/>
      <c r="W565" s="34" t="str">
        <f>IFERROR(__xludf.DUMMYFUNCTION("""COMPUTED_VALUE"""),"")</f>
        <v/>
      </c>
      <c r="X565" s="35" t="str">
        <f>IFERROR(__xludf.DUMMYFUNCTION("""COMPUTED_VALUE"""),"AP")</f>
        <v>AP</v>
      </c>
      <c r="Y565" s="34" t="str">
        <f>IFERROR(__xludf.DUMMYFUNCTION("""COMPUTED_VALUE"""),"")</f>
        <v/>
      </c>
      <c r="Z565" s="35" t="str">
        <f>IFERROR(__xludf.DUMMYFUNCTION("""COMPUTED_VALUE"""),"%")</f>
        <v>%</v>
      </c>
      <c r="AA565" s="36">
        <f>IFERROR(__xludf.DUMMYFUNCTION("""COMPUTED_VALUE"""),3.0)</f>
        <v>3</v>
      </c>
      <c r="AB565" s="37"/>
      <c r="AC565" s="38"/>
      <c r="AD565" s="34" t="str">
        <f>IFERROR(__xludf.DUMMYFUNCTION("""COMPUTED_VALUE"""),"")</f>
        <v/>
      </c>
      <c r="AE565" s="35" t="str">
        <f>IFERROR(__xludf.DUMMYFUNCTION("""COMPUTED_VALUE"""),"AP")</f>
        <v>AP</v>
      </c>
      <c r="AF565" s="34" t="str">
        <f>IFERROR(__xludf.DUMMYFUNCTION("""COMPUTED_VALUE"""),"")</f>
        <v/>
      </c>
      <c r="AG565" s="35" t="str">
        <f>IFERROR(__xludf.DUMMYFUNCTION("""COMPUTED_VALUE"""),"%")</f>
        <v>%</v>
      </c>
      <c r="AH565" s="31"/>
      <c r="AI565" s="32"/>
      <c r="AJ565" s="39"/>
    </row>
    <row r="566" ht="24.75" hidden="1" customHeight="1">
      <c r="A566" s="40">
        <f>IFERROR(__xludf.DUMMYFUNCTION("""COMPUTED_VALUE"""),12.0)</f>
        <v>12</v>
      </c>
      <c r="B566" s="40" t="str">
        <f>IFERROR(__xludf.DUMMYFUNCTION("""COMPUTED_VALUE"""),"A216")</f>
        <v>A216</v>
      </c>
      <c r="C566" s="40"/>
      <c r="D566" s="41"/>
      <c r="E566" s="66"/>
      <c r="F566" s="43"/>
      <c r="G566" s="44"/>
      <c r="H566" s="33" t="str">
        <f>IFERROR(__xludf.DUMMYFUNCTION("""COMPUTED_VALUE""")," ")</f>
        <v> </v>
      </c>
      <c r="I566" s="45"/>
      <c r="J566" s="46" t="str">
        <f>IFERROR(__xludf.DUMMYFUNCTION("""COMPUTED_VALUE"""),"AP")</f>
        <v>AP</v>
      </c>
      <c r="K566" s="47"/>
      <c r="L566" s="48" t="str">
        <f>IFERROR(__xludf.DUMMYFUNCTION("""COMPUTED_VALUE"""),"%")</f>
        <v>%</v>
      </c>
      <c r="M566" s="49">
        <f>IFERROR(__xludf.DUMMYFUNCTION("""COMPUTED_VALUE"""),1.0)</f>
        <v>1</v>
      </c>
      <c r="N566" s="50"/>
      <c r="O566" s="38"/>
      <c r="P566" s="45" t="str">
        <f>IFERROR(__xludf.DUMMYFUNCTION("""COMPUTED_VALUE"""),"")</f>
        <v/>
      </c>
      <c r="Q566" s="46" t="str">
        <f>IFERROR(__xludf.DUMMYFUNCTION("""COMPUTED_VALUE"""),"AP")</f>
        <v>AP</v>
      </c>
      <c r="R566" s="47" t="str">
        <f>IFERROR(__xludf.DUMMYFUNCTION("""COMPUTED_VALUE"""),"")</f>
        <v/>
      </c>
      <c r="S566" s="48" t="str">
        <f>IFERROR(__xludf.DUMMYFUNCTION("""COMPUTED_VALUE"""),"%")</f>
        <v>%</v>
      </c>
      <c r="T566" s="49">
        <f>IFERROR(__xludf.DUMMYFUNCTION("""COMPUTED_VALUE"""),2.0)</f>
        <v>2</v>
      </c>
      <c r="U566" s="50"/>
      <c r="V566" s="38"/>
      <c r="W566" s="45" t="str">
        <f>IFERROR(__xludf.DUMMYFUNCTION("""COMPUTED_VALUE"""),"")</f>
        <v/>
      </c>
      <c r="X566" s="46" t="str">
        <f>IFERROR(__xludf.DUMMYFUNCTION("""COMPUTED_VALUE"""),"AP")</f>
        <v>AP</v>
      </c>
      <c r="Y566" s="47" t="str">
        <f>IFERROR(__xludf.DUMMYFUNCTION("""COMPUTED_VALUE"""),"")</f>
        <v/>
      </c>
      <c r="Z566" s="48" t="str">
        <f>IFERROR(__xludf.DUMMYFUNCTION("""COMPUTED_VALUE"""),"%")</f>
        <v>%</v>
      </c>
      <c r="AA566" s="49">
        <f>IFERROR(__xludf.DUMMYFUNCTION("""COMPUTED_VALUE"""),3.0)</f>
        <v>3</v>
      </c>
      <c r="AB566" s="50"/>
      <c r="AC566" s="38"/>
      <c r="AD566" s="45" t="str">
        <f>IFERROR(__xludf.DUMMYFUNCTION("""COMPUTED_VALUE"""),"")</f>
        <v/>
      </c>
      <c r="AE566" s="46" t="str">
        <f>IFERROR(__xludf.DUMMYFUNCTION("""COMPUTED_VALUE"""),"AP")</f>
        <v>AP</v>
      </c>
      <c r="AF566" s="47" t="str">
        <f>IFERROR(__xludf.DUMMYFUNCTION("""COMPUTED_VALUE"""),"")</f>
        <v/>
      </c>
      <c r="AG566" s="48" t="str">
        <f>IFERROR(__xludf.DUMMYFUNCTION("""COMPUTED_VALUE"""),"%")</f>
        <v>%</v>
      </c>
      <c r="AH566" s="43"/>
      <c r="AI566" s="44"/>
      <c r="AJ566" s="51"/>
    </row>
    <row r="567" ht="24.75" hidden="1" customHeight="1">
      <c r="A567" s="28">
        <f>IFERROR(__xludf.DUMMYFUNCTION("""COMPUTED_VALUE"""),13.0)</f>
        <v>13</v>
      </c>
      <c r="B567" s="28" t="str">
        <f>IFERROR(__xludf.DUMMYFUNCTION("""COMPUTED_VALUE"""),"A216")</f>
        <v>A216</v>
      </c>
      <c r="C567" s="28"/>
      <c r="D567" s="29"/>
      <c r="E567" s="67"/>
      <c r="F567" s="31"/>
      <c r="G567" s="32"/>
      <c r="H567" s="33" t="str">
        <f>IFERROR(__xludf.DUMMYFUNCTION("""COMPUTED_VALUE""")," ")</f>
        <v> </v>
      </c>
      <c r="I567" s="34"/>
      <c r="J567" s="35" t="str">
        <f>IFERROR(__xludf.DUMMYFUNCTION("""COMPUTED_VALUE"""),"AP")</f>
        <v>AP</v>
      </c>
      <c r="K567" s="34"/>
      <c r="L567" s="35" t="str">
        <f>IFERROR(__xludf.DUMMYFUNCTION("""COMPUTED_VALUE"""),"%")</f>
        <v>%</v>
      </c>
      <c r="M567" s="36">
        <f>IFERROR(__xludf.DUMMYFUNCTION("""COMPUTED_VALUE"""),1.0)</f>
        <v>1</v>
      </c>
      <c r="N567" s="37"/>
      <c r="O567" s="38"/>
      <c r="P567" s="34" t="str">
        <f>IFERROR(__xludf.DUMMYFUNCTION("""COMPUTED_VALUE"""),"")</f>
        <v/>
      </c>
      <c r="Q567" s="35" t="str">
        <f>IFERROR(__xludf.DUMMYFUNCTION("""COMPUTED_VALUE"""),"AP")</f>
        <v>AP</v>
      </c>
      <c r="R567" s="34" t="str">
        <f>IFERROR(__xludf.DUMMYFUNCTION("""COMPUTED_VALUE"""),"")</f>
        <v/>
      </c>
      <c r="S567" s="35" t="str">
        <f>IFERROR(__xludf.DUMMYFUNCTION("""COMPUTED_VALUE"""),"%")</f>
        <v>%</v>
      </c>
      <c r="T567" s="36">
        <f>IFERROR(__xludf.DUMMYFUNCTION("""COMPUTED_VALUE"""),2.0)</f>
        <v>2</v>
      </c>
      <c r="U567" s="37"/>
      <c r="V567" s="38"/>
      <c r="W567" s="34" t="str">
        <f>IFERROR(__xludf.DUMMYFUNCTION("""COMPUTED_VALUE"""),"")</f>
        <v/>
      </c>
      <c r="X567" s="35" t="str">
        <f>IFERROR(__xludf.DUMMYFUNCTION("""COMPUTED_VALUE"""),"AP")</f>
        <v>AP</v>
      </c>
      <c r="Y567" s="34" t="str">
        <f>IFERROR(__xludf.DUMMYFUNCTION("""COMPUTED_VALUE"""),"")</f>
        <v/>
      </c>
      <c r="Z567" s="35" t="str">
        <f>IFERROR(__xludf.DUMMYFUNCTION("""COMPUTED_VALUE"""),"%")</f>
        <v>%</v>
      </c>
      <c r="AA567" s="36">
        <f>IFERROR(__xludf.DUMMYFUNCTION("""COMPUTED_VALUE"""),3.0)</f>
        <v>3</v>
      </c>
      <c r="AB567" s="37"/>
      <c r="AC567" s="38"/>
      <c r="AD567" s="34" t="str">
        <f>IFERROR(__xludf.DUMMYFUNCTION("""COMPUTED_VALUE"""),"")</f>
        <v/>
      </c>
      <c r="AE567" s="35" t="str">
        <f>IFERROR(__xludf.DUMMYFUNCTION("""COMPUTED_VALUE"""),"AP")</f>
        <v>AP</v>
      </c>
      <c r="AF567" s="34" t="str">
        <f>IFERROR(__xludf.DUMMYFUNCTION("""COMPUTED_VALUE"""),"")</f>
        <v/>
      </c>
      <c r="AG567" s="35" t="str">
        <f>IFERROR(__xludf.DUMMYFUNCTION("""COMPUTED_VALUE"""),"%")</f>
        <v>%</v>
      </c>
      <c r="AH567" s="31"/>
      <c r="AI567" s="32"/>
      <c r="AJ567" s="39"/>
    </row>
    <row r="568" ht="24.75" hidden="1" customHeight="1">
      <c r="A568" s="40">
        <f>IFERROR(__xludf.DUMMYFUNCTION("""COMPUTED_VALUE"""),14.0)</f>
        <v>14</v>
      </c>
      <c r="B568" s="40" t="str">
        <f>IFERROR(__xludf.DUMMYFUNCTION("""COMPUTED_VALUE"""),"A216")</f>
        <v>A216</v>
      </c>
      <c r="C568" s="40"/>
      <c r="D568" s="41"/>
      <c r="E568" s="66"/>
      <c r="F568" s="43"/>
      <c r="G568" s="44"/>
      <c r="H568" s="33" t="str">
        <f>IFERROR(__xludf.DUMMYFUNCTION("""COMPUTED_VALUE""")," ")</f>
        <v> </v>
      </c>
      <c r="I568" s="45"/>
      <c r="J568" s="46" t="str">
        <f>IFERROR(__xludf.DUMMYFUNCTION("""COMPUTED_VALUE"""),"AP")</f>
        <v>AP</v>
      </c>
      <c r="K568" s="47"/>
      <c r="L568" s="48" t="str">
        <f>IFERROR(__xludf.DUMMYFUNCTION("""COMPUTED_VALUE"""),"%")</f>
        <v>%</v>
      </c>
      <c r="M568" s="49">
        <f>IFERROR(__xludf.DUMMYFUNCTION("""COMPUTED_VALUE"""),1.0)</f>
        <v>1</v>
      </c>
      <c r="N568" s="50"/>
      <c r="O568" s="38"/>
      <c r="P568" s="45" t="str">
        <f>IFERROR(__xludf.DUMMYFUNCTION("""COMPUTED_VALUE"""),"")</f>
        <v/>
      </c>
      <c r="Q568" s="46" t="str">
        <f>IFERROR(__xludf.DUMMYFUNCTION("""COMPUTED_VALUE"""),"AP")</f>
        <v>AP</v>
      </c>
      <c r="R568" s="47" t="str">
        <f>IFERROR(__xludf.DUMMYFUNCTION("""COMPUTED_VALUE"""),"")</f>
        <v/>
      </c>
      <c r="S568" s="48" t="str">
        <f>IFERROR(__xludf.DUMMYFUNCTION("""COMPUTED_VALUE"""),"%")</f>
        <v>%</v>
      </c>
      <c r="T568" s="49">
        <f>IFERROR(__xludf.DUMMYFUNCTION("""COMPUTED_VALUE"""),2.0)</f>
        <v>2</v>
      </c>
      <c r="U568" s="50"/>
      <c r="V568" s="38"/>
      <c r="W568" s="45" t="str">
        <f>IFERROR(__xludf.DUMMYFUNCTION("""COMPUTED_VALUE"""),"")</f>
        <v/>
      </c>
      <c r="X568" s="46" t="str">
        <f>IFERROR(__xludf.DUMMYFUNCTION("""COMPUTED_VALUE"""),"AP")</f>
        <v>AP</v>
      </c>
      <c r="Y568" s="47" t="str">
        <f>IFERROR(__xludf.DUMMYFUNCTION("""COMPUTED_VALUE"""),"")</f>
        <v/>
      </c>
      <c r="Z568" s="48" t="str">
        <f>IFERROR(__xludf.DUMMYFUNCTION("""COMPUTED_VALUE"""),"%")</f>
        <v>%</v>
      </c>
      <c r="AA568" s="49">
        <f>IFERROR(__xludf.DUMMYFUNCTION("""COMPUTED_VALUE"""),3.0)</f>
        <v>3</v>
      </c>
      <c r="AB568" s="50"/>
      <c r="AC568" s="38"/>
      <c r="AD568" s="45" t="str">
        <f>IFERROR(__xludf.DUMMYFUNCTION("""COMPUTED_VALUE"""),"")</f>
        <v/>
      </c>
      <c r="AE568" s="46" t="str">
        <f>IFERROR(__xludf.DUMMYFUNCTION("""COMPUTED_VALUE"""),"AP")</f>
        <v>AP</v>
      </c>
      <c r="AF568" s="47" t="str">
        <f>IFERROR(__xludf.DUMMYFUNCTION("""COMPUTED_VALUE"""),"")</f>
        <v/>
      </c>
      <c r="AG568" s="48" t="str">
        <f>IFERROR(__xludf.DUMMYFUNCTION("""COMPUTED_VALUE"""),"%")</f>
        <v>%</v>
      </c>
      <c r="AH568" s="43"/>
      <c r="AI568" s="44"/>
      <c r="AJ568" s="51"/>
    </row>
    <row r="569" ht="24.75" hidden="1" customHeight="1">
      <c r="A569" s="28">
        <f>IFERROR(__xludf.DUMMYFUNCTION("""COMPUTED_VALUE"""),15.0)</f>
        <v>15</v>
      </c>
      <c r="B569" s="28" t="str">
        <f>IFERROR(__xludf.DUMMYFUNCTION("""COMPUTED_VALUE"""),"A216")</f>
        <v>A216</v>
      </c>
      <c r="C569" s="28"/>
      <c r="D569" s="29"/>
      <c r="E569" s="67"/>
      <c r="F569" s="31"/>
      <c r="G569" s="32"/>
      <c r="H569" s="33" t="str">
        <f>IFERROR(__xludf.DUMMYFUNCTION("""COMPUTED_VALUE""")," ")</f>
        <v> </v>
      </c>
      <c r="I569" s="34"/>
      <c r="J569" s="35" t="str">
        <f>IFERROR(__xludf.DUMMYFUNCTION("""COMPUTED_VALUE"""),"AP")</f>
        <v>AP</v>
      </c>
      <c r="K569" s="34"/>
      <c r="L569" s="35" t="str">
        <f>IFERROR(__xludf.DUMMYFUNCTION("""COMPUTED_VALUE"""),"%")</f>
        <v>%</v>
      </c>
      <c r="M569" s="36">
        <f>IFERROR(__xludf.DUMMYFUNCTION("""COMPUTED_VALUE"""),1.0)</f>
        <v>1</v>
      </c>
      <c r="N569" s="37"/>
      <c r="O569" s="38"/>
      <c r="P569" s="34" t="str">
        <f>IFERROR(__xludf.DUMMYFUNCTION("""COMPUTED_VALUE"""),"")</f>
        <v/>
      </c>
      <c r="Q569" s="35" t="str">
        <f>IFERROR(__xludf.DUMMYFUNCTION("""COMPUTED_VALUE"""),"AP")</f>
        <v>AP</v>
      </c>
      <c r="R569" s="34" t="str">
        <f>IFERROR(__xludf.DUMMYFUNCTION("""COMPUTED_VALUE"""),"")</f>
        <v/>
      </c>
      <c r="S569" s="35" t="str">
        <f>IFERROR(__xludf.DUMMYFUNCTION("""COMPUTED_VALUE"""),"%")</f>
        <v>%</v>
      </c>
      <c r="T569" s="36">
        <f>IFERROR(__xludf.DUMMYFUNCTION("""COMPUTED_VALUE"""),2.0)</f>
        <v>2</v>
      </c>
      <c r="U569" s="37"/>
      <c r="V569" s="38"/>
      <c r="W569" s="34" t="str">
        <f>IFERROR(__xludf.DUMMYFUNCTION("""COMPUTED_VALUE"""),"")</f>
        <v/>
      </c>
      <c r="X569" s="35" t="str">
        <f>IFERROR(__xludf.DUMMYFUNCTION("""COMPUTED_VALUE"""),"AP")</f>
        <v>AP</v>
      </c>
      <c r="Y569" s="34" t="str">
        <f>IFERROR(__xludf.DUMMYFUNCTION("""COMPUTED_VALUE"""),"")</f>
        <v/>
      </c>
      <c r="Z569" s="35" t="str">
        <f>IFERROR(__xludf.DUMMYFUNCTION("""COMPUTED_VALUE"""),"%")</f>
        <v>%</v>
      </c>
      <c r="AA569" s="36">
        <f>IFERROR(__xludf.DUMMYFUNCTION("""COMPUTED_VALUE"""),3.0)</f>
        <v>3</v>
      </c>
      <c r="AB569" s="37"/>
      <c r="AC569" s="38"/>
      <c r="AD569" s="34" t="str">
        <f>IFERROR(__xludf.DUMMYFUNCTION("""COMPUTED_VALUE"""),"")</f>
        <v/>
      </c>
      <c r="AE569" s="35" t="str">
        <f>IFERROR(__xludf.DUMMYFUNCTION("""COMPUTED_VALUE"""),"AP")</f>
        <v>AP</v>
      </c>
      <c r="AF569" s="34" t="str">
        <f>IFERROR(__xludf.DUMMYFUNCTION("""COMPUTED_VALUE"""),"")</f>
        <v/>
      </c>
      <c r="AG569" s="35" t="str">
        <f>IFERROR(__xludf.DUMMYFUNCTION("""COMPUTED_VALUE"""),"%")</f>
        <v>%</v>
      </c>
      <c r="AH569" s="31"/>
      <c r="AI569" s="32"/>
      <c r="AJ569" s="39"/>
    </row>
    <row r="570" ht="24.75" hidden="1" customHeight="1">
      <c r="A570" s="40">
        <f>IFERROR(__xludf.DUMMYFUNCTION("""COMPUTED_VALUE"""),16.0)</f>
        <v>16</v>
      </c>
      <c r="B570" s="40" t="str">
        <f>IFERROR(__xludf.DUMMYFUNCTION("""COMPUTED_VALUE"""),"A216")</f>
        <v>A216</v>
      </c>
      <c r="C570" s="40"/>
      <c r="D570" s="41"/>
      <c r="E570" s="66"/>
      <c r="F570" s="43"/>
      <c r="G570" s="44"/>
      <c r="H570" s="33" t="str">
        <f>IFERROR(__xludf.DUMMYFUNCTION("""COMPUTED_VALUE""")," ")</f>
        <v> </v>
      </c>
      <c r="I570" s="45"/>
      <c r="J570" s="46" t="str">
        <f>IFERROR(__xludf.DUMMYFUNCTION("""COMPUTED_VALUE"""),"AP")</f>
        <v>AP</v>
      </c>
      <c r="K570" s="47"/>
      <c r="L570" s="48" t="str">
        <f>IFERROR(__xludf.DUMMYFUNCTION("""COMPUTED_VALUE"""),"%")</f>
        <v>%</v>
      </c>
      <c r="M570" s="49">
        <f>IFERROR(__xludf.DUMMYFUNCTION("""COMPUTED_VALUE"""),1.0)</f>
        <v>1</v>
      </c>
      <c r="N570" s="50"/>
      <c r="O570" s="38"/>
      <c r="P570" s="45" t="str">
        <f>IFERROR(__xludf.DUMMYFUNCTION("""COMPUTED_VALUE"""),"")</f>
        <v/>
      </c>
      <c r="Q570" s="46" t="str">
        <f>IFERROR(__xludf.DUMMYFUNCTION("""COMPUTED_VALUE"""),"AP")</f>
        <v>AP</v>
      </c>
      <c r="R570" s="47" t="str">
        <f>IFERROR(__xludf.DUMMYFUNCTION("""COMPUTED_VALUE"""),"")</f>
        <v/>
      </c>
      <c r="S570" s="48" t="str">
        <f>IFERROR(__xludf.DUMMYFUNCTION("""COMPUTED_VALUE"""),"%")</f>
        <v>%</v>
      </c>
      <c r="T570" s="49">
        <f>IFERROR(__xludf.DUMMYFUNCTION("""COMPUTED_VALUE"""),2.0)</f>
        <v>2</v>
      </c>
      <c r="U570" s="50"/>
      <c r="V570" s="38"/>
      <c r="W570" s="45" t="str">
        <f>IFERROR(__xludf.DUMMYFUNCTION("""COMPUTED_VALUE"""),"")</f>
        <v/>
      </c>
      <c r="X570" s="46" t="str">
        <f>IFERROR(__xludf.DUMMYFUNCTION("""COMPUTED_VALUE"""),"AP")</f>
        <v>AP</v>
      </c>
      <c r="Y570" s="47" t="str">
        <f>IFERROR(__xludf.DUMMYFUNCTION("""COMPUTED_VALUE"""),"")</f>
        <v/>
      </c>
      <c r="Z570" s="48" t="str">
        <f>IFERROR(__xludf.DUMMYFUNCTION("""COMPUTED_VALUE"""),"%")</f>
        <v>%</v>
      </c>
      <c r="AA570" s="49">
        <f>IFERROR(__xludf.DUMMYFUNCTION("""COMPUTED_VALUE"""),3.0)</f>
        <v>3</v>
      </c>
      <c r="AB570" s="50"/>
      <c r="AC570" s="38"/>
      <c r="AD570" s="45" t="str">
        <f>IFERROR(__xludf.DUMMYFUNCTION("""COMPUTED_VALUE"""),"")</f>
        <v/>
      </c>
      <c r="AE570" s="46" t="str">
        <f>IFERROR(__xludf.DUMMYFUNCTION("""COMPUTED_VALUE"""),"AP")</f>
        <v>AP</v>
      </c>
      <c r="AF570" s="47" t="str">
        <f>IFERROR(__xludf.DUMMYFUNCTION("""COMPUTED_VALUE"""),"")</f>
        <v/>
      </c>
      <c r="AG570" s="48" t="str">
        <f>IFERROR(__xludf.DUMMYFUNCTION("""COMPUTED_VALUE"""),"%")</f>
        <v>%</v>
      </c>
      <c r="AH570" s="43"/>
      <c r="AI570" s="44"/>
      <c r="AJ570" s="51"/>
    </row>
    <row r="571" ht="24.75" hidden="1" customHeight="1">
      <c r="A571" s="28">
        <f>IFERROR(__xludf.DUMMYFUNCTION("""COMPUTED_VALUE"""),17.0)</f>
        <v>17</v>
      </c>
      <c r="B571" s="28" t="str">
        <f>IFERROR(__xludf.DUMMYFUNCTION("""COMPUTED_VALUE"""),"A216")</f>
        <v>A216</v>
      </c>
      <c r="C571" s="28"/>
      <c r="D571" s="29"/>
      <c r="E571" s="67"/>
      <c r="F571" s="31"/>
      <c r="G571" s="32"/>
      <c r="H571" s="33" t="str">
        <f>IFERROR(__xludf.DUMMYFUNCTION("""COMPUTED_VALUE""")," ")</f>
        <v> </v>
      </c>
      <c r="I571" s="34"/>
      <c r="J571" s="35" t="str">
        <f>IFERROR(__xludf.DUMMYFUNCTION("""COMPUTED_VALUE"""),"AP")</f>
        <v>AP</v>
      </c>
      <c r="K571" s="34"/>
      <c r="L571" s="35" t="str">
        <f>IFERROR(__xludf.DUMMYFUNCTION("""COMPUTED_VALUE"""),"%")</f>
        <v>%</v>
      </c>
      <c r="M571" s="36">
        <f>IFERROR(__xludf.DUMMYFUNCTION("""COMPUTED_VALUE"""),1.0)</f>
        <v>1</v>
      </c>
      <c r="N571" s="37"/>
      <c r="O571" s="38"/>
      <c r="P571" s="34" t="str">
        <f>IFERROR(__xludf.DUMMYFUNCTION("""COMPUTED_VALUE"""),"")</f>
        <v/>
      </c>
      <c r="Q571" s="35" t="str">
        <f>IFERROR(__xludf.DUMMYFUNCTION("""COMPUTED_VALUE"""),"AP")</f>
        <v>AP</v>
      </c>
      <c r="R571" s="34" t="str">
        <f>IFERROR(__xludf.DUMMYFUNCTION("""COMPUTED_VALUE"""),"")</f>
        <v/>
      </c>
      <c r="S571" s="35" t="str">
        <f>IFERROR(__xludf.DUMMYFUNCTION("""COMPUTED_VALUE"""),"%")</f>
        <v>%</v>
      </c>
      <c r="T571" s="36">
        <f>IFERROR(__xludf.DUMMYFUNCTION("""COMPUTED_VALUE"""),2.0)</f>
        <v>2</v>
      </c>
      <c r="U571" s="37"/>
      <c r="V571" s="38"/>
      <c r="W571" s="34" t="str">
        <f>IFERROR(__xludf.DUMMYFUNCTION("""COMPUTED_VALUE"""),"")</f>
        <v/>
      </c>
      <c r="X571" s="35" t="str">
        <f>IFERROR(__xludf.DUMMYFUNCTION("""COMPUTED_VALUE"""),"AP")</f>
        <v>AP</v>
      </c>
      <c r="Y571" s="34" t="str">
        <f>IFERROR(__xludf.DUMMYFUNCTION("""COMPUTED_VALUE"""),"")</f>
        <v/>
      </c>
      <c r="Z571" s="35" t="str">
        <f>IFERROR(__xludf.DUMMYFUNCTION("""COMPUTED_VALUE"""),"%")</f>
        <v>%</v>
      </c>
      <c r="AA571" s="36">
        <f>IFERROR(__xludf.DUMMYFUNCTION("""COMPUTED_VALUE"""),3.0)</f>
        <v>3</v>
      </c>
      <c r="AB571" s="37"/>
      <c r="AC571" s="38"/>
      <c r="AD571" s="34" t="str">
        <f>IFERROR(__xludf.DUMMYFUNCTION("""COMPUTED_VALUE"""),"")</f>
        <v/>
      </c>
      <c r="AE571" s="35" t="str">
        <f>IFERROR(__xludf.DUMMYFUNCTION("""COMPUTED_VALUE"""),"AP")</f>
        <v>AP</v>
      </c>
      <c r="AF571" s="34" t="str">
        <f>IFERROR(__xludf.DUMMYFUNCTION("""COMPUTED_VALUE"""),"")</f>
        <v/>
      </c>
      <c r="AG571" s="35" t="str">
        <f>IFERROR(__xludf.DUMMYFUNCTION("""COMPUTED_VALUE"""),"%")</f>
        <v>%</v>
      </c>
      <c r="AH571" s="31"/>
      <c r="AI571" s="32"/>
      <c r="AJ571" s="39"/>
    </row>
    <row r="572" ht="24.75" hidden="1" customHeight="1">
      <c r="A572" s="40">
        <f>IFERROR(__xludf.DUMMYFUNCTION("""COMPUTED_VALUE"""),18.0)</f>
        <v>18</v>
      </c>
      <c r="B572" s="40" t="str">
        <f>IFERROR(__xludf.DUMMYFUNCTION("""COMPUTED_VALUE"""),"A216")</f>
        <v>A216</v>
      </c>
      <c r="C572" s="40"/>
      <c r="D572" s="41"/>
      <c r="E572" s="66"/>
      <c r="F572" s="43"/>
      <c r="G572" s="44"/>
      <c r="H572" s="33" t="str">
        <f>IFERROR(__xludf.DUMMYFUNCTION("""COMPUTED_VALUE""")," ")</f>
        <v> </v>
      </c>
      <c r="I572" s="45"/>
      <c r="J572" s="46" t="str">
        <f>IFERROR(__xludf.DUMMYFUNCTION("""COMPUTED_VALUE"""),"AP")</f>
        <v>AP</v>
      </c>
      <c r="K572" s="47"/>
      <c r="L572" s="48" t="str">
        <f>IFERROR(__xludf.DUMMYFUNCTION("""COMPUTED_VALUE"""),"%")</f>
        <v>%</v>
      </c>
      <c r="M572" s="49">
        <f>IFERROR(__xludf.DUMMYFUNCTION("""COMPUTED_VALUE"""),1.0)</f>
        <v>1</v>
      </c>
      <c r="N572" s="50"/>
      <c r="O572" s="38"/>
      <c r="P572" s="45" t="str">
        <f>IFERROR(__xludf.DUMMYFUNCTION("""COMPUTED_VALUE"""),"")</f>
        <v/>
      </c>
      <c r="Q572" s="46" t="str">
        <f>IFERROR(__xludf.DUMMYFUNCTION("""COMPUTED_VALUE"""),"AP")</f>
        <v>AP</v>
      </c>
      <c r="R572" s="47" t="str">
        <f>IFERROR(__xludf.DUMMYFUNCTION("""COMPUTED_VALUE"""),"")</f>
        <v/>
      </c>
      <c r="S572" s="48" t="str">
        <f>IFERROR(__xludf.DUMMYFUNCTION("""COMPUTED_VALUE"""),"%")</f>
        <v>%</v>
      </c>
      <c r="T572" s="49">
        <f>IFERROR(__xludf.DUMMYFUNCTION("""COMPUTED_VALUE"""),2.0)</f>
        <v>2</v>
      </c>
      <c r="U572" s="50"/>
      <c r="V572" s="38"/>
      <c r="W572" s="45" t="str">
        <f>IFERROR(__xludf.DUMMYFUNCTION("""COMPUTED_VALUE"""),"")</f>
        <v/>
      </c>
      <c r="X572" s="46" t="str">
        <f>IFERROR(__xludf.DUMMYFUNCTION("""COMPUTED_VALUE"""),"AP")</f>
        <v>AP</v>
      </c>
      <c r="Y572" s="47" t="str">
        <f>IFERROR(__xludf.DUMMYFUNCTION("""COMPUTED_VALUE"""),"")</f>
        <v/>
      </c>
      <c r="Z572" s="48" t="str">
        <f>IFERROR(__xludf.DUMMYFUNCTION("""COMPUTED_VALUE"""),"%")</f>
        <v>%</v>
      </c>
      <c r="AA572" s="49">
        <f>IFERROR(__xludf.DUMMYFUNCTION("""COMPUTED_VALUE"""),3.0)</f>
        <v>3</v>
      </c>
      <c r="AB572" s="50"/>
      <c r="AC572" s="38"/>
      <c r="AD572" s="45" t="str">
        <f>IFERROR(__xludf.DUMMYFUNCTION("""COMPUTED_VALUE"""),"")</f>
        <v/>
      </c>
      <c r="AE572" s="46" t="str">
        <f>IFERROR(__xludf.DUMMYFUNCTION("""COMPUTED_VALUE"""),"AP")</f>
        <v>AP</v>
      </c>
      <c r="AF572" s="47" t="str">
        <f>IFERROR(__xludf.DUMMYFUNCTION("""COMPUTED_VALUE"""),"")</f>
        <v/>
      </c>
      <c r="AG572" s="48" t="str">
        <f>IFERROR(__xludf.DUMMYFUNCTION("""COMPUTED_VALUE"""),"%")</f>
        <v>%</v>
      </c>
      <c r="AH572" s="43"/>
      <c r="AI572" s="44"/>
      <c r="AJ572" s="51"/>
    </row>
    <row r="573" ht="24.75" hidden="1" customHeight="1">
      <c r="A573" s="28">
        <f>IFERROR(__xludf.DUMMYFUNCTION("""COMPUTED_VALUE"""),19.0)</f>
        <v>19</v>
      </c>
      <c r="B573" s="28" t="str">
        <f>IFERROR(__xludf.DUMMYFUNCTION("""COMPUTED_VALUE"""),"A216")</f>
        <v>A216</v>
      </c>
      <c r="C573" s="28"/>
      <c r="D573" s="29"/>
      <c r="E573" s="67"/>
      <c r="F573" s="31"/>
      <c r="G573" s="32"/>
      <c r="H573" s="33" t="str">
        <f>IFERROR(__xludf.DUMMYFUNCTION("""COMPUTED_VALUE""")," ")</f>
        <v> </v>
      </c>
      <c r="I573" s="34"/>
      <c r="J573" s="35" t="str">
        <f>IFERROR(__xludf.DUMMYFUNCTION("""COMPUTED_VALUE"""),"AP")</f>
        <v>AP</v>
      </c>
      <c r="K573" s="34"/>
      <c r="L573" s="35" t="str">
        <f>IFERROR(__xludf.DUMMYFUNCTION("""COMPUTED_VALUE"""),"%")</f>
        <v>%</v>
      </c>
      <c r="M573" s="36">
        <f>IFERROR(__xludf.DUMMYFUNCTION("""COMPUTED_VALUE"""),1.0)</f>
        <v>1</v>
      </c>
      <c r="N573" s="37"/>
      <c r="O573" s="38"/>
      <c r="P573" s="34" t="str">
        <f>IFERROR(__xludf.DUMMYFUNCTION("""COMPUTED_VALUE"""),"")</f>
        <v/>
      </c>
      <c r="Q573" s="35" t="str">
        <f>IFERROR(__xludf.DUMMYFUNCTION("""COMPUTED_VALUE"""),"AP")</f>
        <v>AP</v>
      </c>
      <c r="R573" s="34" t="str">
        <f>IFERROR(__xludf.DUMMYFUNCTION("""COMPUTED_VALUE"""),"")</f>
        <v/>
      </c>
      <c r="S573" s="35" t="str">
        <f>IFERROR(__xludf.DUMMYFUNCTION("""COMPUTED_VALUE"""),"%")</f>
        <v>%</v>
      </c>
      <c r="T573" s="36">
        <f>IFERROR(__xludf.DUMMYFUNCTION("""COMPUTED_VALUE"""),2.0)</f>
        <v>2</v>
      </c>
      <c r="U573" s="37"/>
      <c r="V573" s="38"/>
      <c r="W573" s="34" t="str">
        <f>IFERROR(__xludf.DUMMYFUNCTION("""COMPUTED_VALUE"""),"")</f>
        <v/>
      </c>
      <c r="X573" s="35" t="str">
        <f>IFERROR(__xludf.DUMMYFUNCTION("""COMPUTED_VALUE"""),"AP")</f>
        <v>AP</v>
      </c>
      <c r="Y573" s="34" t="str">
        <f>IFERROR(__xludf.DUMMYFUNCTION("""COMPUTED_VALUE"""),"")</f>
        <v/>
      </c>
      <c r="Z573" s="35" t="str">
        <f>IFERROR(__xludf.DUMMYFUNCTION("""COMPUTED_VALUE"""),"%")</f>
        <v>%</v>
      </c>
      <c r="AA573" s="36">
        <f>IFERROR(__xludf.DUMMYFUNCTION("""COMPUTED_VALUE"""),3.0)</f>
        <v>3</v>
      </c>
      <c r="AB573" s="37"/>
      <c r="AC573" s="38"/>
      <c r="AD573" s="34" t="str">
        <f>IFERROR(__xludf.DUMMYFUNCTION("""COMPUTED_VALUE"""),"")</f>
        <v/>
      </c>
      <c r="AE573" s="35" t="str">
        <f>IFERROR(__xludf.DUMMYFUNCTION("""COMPUTED_VALUE"""),"AP")</f>
        <v>AP</v>
      </c>
      <c r="AF573" s="34" t="str">
        <f>IFERROR(__xludf.DUMMYFUNCTION("""COMPUTED_VALUE"""),"")</f>
        <v/>
      </c>
      <c r="AG573" s="35" t="str">
        <f>IFERROR(__xludf.DUMMYFUNCTION("""COMPUTED_VALUE"""),"%")</f>
        <v>%</v>
      </c>
      <c r="AH573" s="31"/>
      <c r="AI573" s="32"/>
      <c r="AJ573" s="39"/>
    </row>
    <row r="574" ht="24.75" hidden="1" customHeight="1">
      <c r="A574" s="40">
        <f>IFERROR(__xludf.DUMMYFUNCTION("""COMPUTED_VALUE"""),20.0)</f>
        <v>20</v>
      </c>
      <c r="B574" s="40" t="str">
        <f>IFERROR(__xludf.DUMMYFUNCTION("""COMPUTED_VALUE"""),"A216")</f>
        <v>A216</v>
      </c>
      <c r="C574" s="40"/>
      <c r="D574" s="41"/>
      <c r="E574" s="66"/>
      <c r="F574" s="43"/>
      <c r="G574" s="44"/>
      <c r="H574" s="33" t="str">
        <f>IFERROR(__xludf.DUMMYFUNCTION("""COMPUTED_VALUE""")," ")</f>
        <v> </v>
      </c>
      <c r="I574" s="45"/>
      <c r="J574" s="46" t="str">
        <f>IFERROR(__xludf.DUMMYFUNCTION("""COMPUTED_VALUE"""),"AP")</f>
        <v>AP</v>
      </c>
      <c r="K574" s="47"/>
      <c r="L574" s="48" t="str">
        <f>IFERROR(__xludf.DUMMYFUNCTION("""COMPUTED_VALUE"""),"%")</f>
        <v>%</v>
      </c>
      <c r="M574" s="49">
        <f>IFERROR(__xludf.DUMMYFUNCTION("""COMPUTED_VALUE"""),1.0)</f>
        <v>1</v>
      </c>
      <c r="N574" s="50"/>
      <c r="O574" s="38"/>
      <c r="P574" s="45" t="str">
        <f>IFERROR(__xludf.DUMMYFUNCTION("""COMPUTED_VALUE"""),"")</f>
        <v/>
      </c>
      <c r="Q574" s="46" t="str">
        <f>IFERROR(__xludf.DUMMYFUNCTION("""COMPUTED_VALUE"""),"AP")</f>
        <v>AP</v>
      </c>
      <c r="R574" s="47" t="str">
        <f>IFERROR(__xludf.DUMMYFUNCTION("""COMPUTED_VALUE"""),"")</f>
        <v/>
      </c>
      <c r="S574" s="48" t="str">
        <f>IFERROR(__xludf.DUMMYFUNCTION("""COMPUTED_VALUE"""),"%")</f>
        <v>%</v>
      </c>
      <c r="T574" s="49">
        <f>IFERROR(__xludf.DUMMYFUNCTION("""COMPUTED_VALUE"""),2.0)</f>
        <v>2</v>
      </c>
      <c r="U574" s="50"/>
      <c r="V574" s="38"/>
      <c r="W574" s="45" t="str">
        <f>IFERROR(__xludf.DUMMYFUNCTION("""COMPUTED_VALUE"""),"")</f>
        <v/>
      </c>
      <c r="X574" s="46" t="str">
        <f>IFERROR(__xludf.DUMMYFUNCTION("""COMPUTED_VALUE"""),"AP")</f>
        <v>AP</v>
      </c>
      <c r="Y574" s="47" t="str">
        <f>IFERROR(__xludf.DUMMYFUNCTION("""COMPUTED_VALUE"""),"")</f>
        <v/>
      </c>
      <c r="Z574" s="48" t="str">
        <f>IFERROR(__xludf.DUMMYFUNCTION("""COMPUTED_VALUE"""),"%")</f>
        <v>%</v>
      </c>
      <c r="AA574" s="49">
        <f>IFERROR(__xludf.DUMMYFUNCTION("""COMPUTED_VALUE"""),3.0)</f>
        <v>3</v>
      </c>
      <c r="AB574" s="50"/>
      <c r="AC574" s="38"/>
      <c r="AD574" s="45" t="str">
        <f>IFERROR(__xludf.DUMMYFUNCTION("""COMPUTED_VALUE"""),"")</f>
        <v/>
      </c>
      <c r="AE574" s="46" t="str">
        <f>IFERROR(__xludf.DUMMYFUNCTION("""COMPUTED_VALUE"""),"AP")</f>
        <v>AP</v>
      </c>
      <c r="AF574" s="47" t="str">
        <f>IFERROR(__xludf.DUMMYFUNCTION("""COMPUTED_VALUE"""),"")</f>
        <v/>
      </c>
      <c r="AG574" s="48" t="str">
        <f>IFERROR(__xludf.DUMMYFUNCTION("""COMPUTED_VALUE"""),"%")</f>
        <v>%</v>
      </c>
      <c r="AH574" s="43"/>
      <c r="AI574" s="44"/>
      <c r="AJ574" s="51"/>
    </row>
    <row r="575">
      <c r="A575" s="52"/>
      <c r="B575" s="53"/>
      <c r="C575" s="54"/>
      <c r="D575" s="55"/>
      <c r="E575" s="56"/>
      <c r="F575" s="53"/>
      <c r="G575" s="53"/>
      <c r="H575" s="53"/>
      <c r="I575" s="53"/>
      <c r="J575" s="57"/>
      <c r="K575" s="53"/>
      <c r="L575" s="57"/>
      <c r="M575" s="53"/>
      <c r="N575" s="53"/>
      <c r="O575" s="53"/>
      <c r="P575" s="53"/>
      <c r="Q575" s="57"/>
      <c r="R575" s="53"/>
      <c r="S575" s="57"/>
      <c r="T575" s="53"/>
      <c r="U575" s="53"/>
      <c r="V575" s="53"/>
      <c r="W575" s="53"/>
      <c r="X575" s="57"/>
      <c r="Y575" s="53"/>
      <c r="Z575" s="57"/>
      <c r="AA575" s="53"/>
      <c r="AB575" s="53"/>
      <c r="AC575" s="53"/>
      <c r="AD575" s="53"/>
      <c r="AE575" s="57"/>
      <c r="AF575" s="53"/>
      <c r="AG575" s="57"/>
      <c r="AH575" s="53"/>
      <c r="AI575" s="53"/>
      <c r="AJ575" s="58"/>
    </row>
    <row r="576">
      <c r="A576" s="59"/>
      <c r="B576" s="60"/>
      <c r="C576" s="61"/>
      <c r="D576" s="62"/>
      <c r="E576" s="63"/>
      <c r="F576" s="60"/>
      <c r="G576" s="60"/>
      <c r="H576" s="60"/>
      <c r="I576" s="60"/>
      <c r="J576" s="64"/>
      <c r="K576" s="60"/>
      <c r="L576" s="64"/>
      <c r="M576" s="60"/>
      <c r="N576" s="60"/>
      <c r="O576" s="60"/>
      <c r="P576" s="60"/>
      <c r="Q576" s="64"/>
      <c r="R576" s="60"/>
      <c r="S576" s="64"/>
      <c r="T576" s="60"/>
      <c r="U576" s="60"/>
      <c r="V576" s="60"/>
      <c r="W576" s="60"/>
      <c r="X576" s="64"/>
      <c r="Y576" s="60"/>
      <c r="Z576" s="64"/>
      <c r="AA576" s="60"/>
      <c r="AB576" s="60"/>
      <c r="AC576" s="60"/>
      <c r="AD576" s="60"/>
      <c r="AE576" s="64"/>
      <c r="AF576" s="60"/>
      <c r="AG576" s="64"/>
      <c r="AH576" s="60"/>
      <c r="AI576" s="60"/>
      <c r="AJ576" s="65"/>
    </row>
    <row r="577" ht="33.0" customHeight="1">
      <c r="A577" s="20" t="str">
        <f>IFERROR(__xludf.DUMMYFUNCTION("""COMPUTED_VALUE""")," ")</f>
        <v> </v>
      </c>
      <c r="B577" s="21" t="str">
        <f>IFERROR(__xludf.DUMMYFUNCTION("""COMPUTED_VALUE"""),"A217")</f>
        <v>A217</v>
      </c>
      <c r="C577" s="20"/>
      <c r="D577" s="22" t="str">
        <f>IFERROR(__xludf.DUMMYFUNCTION("""COMPUTED_VALUE"""),"")</f>
        <v/>
      </c>
      <c r="E577" s="23" t="str">
        <f>IFERROR(__xludf.DUMMYFUNCTION("""COMPUTED_VALUE"""),"Arrowhead of Disastrous Sin")</f>
        <v>Arrowhead of Disastrous Sin</v>
      </c>
      <c r="F577" s="24"/>
      <c r="G577" s="24"/>
      <c r="H577" s="25"/>
      <c r="I577" s="25"/>
      <c r="J577" s="26"/>
      <c r="K577" s="25"/>
      <c r="L577" s="26"/>
      <c r="M577" s="25"/>
      <c r="N577" s="25"/>
      <c r="O577" s="25"/>
      <c r="P577" s="25"/>
      <c r="Q577" s="26"/>
      <c r="R577" s="25"/>
      <c r="S577" s="26"/>
      <c r="T577" s="25"/>
      <c r="U577" s="25"/>
      <c r="V577" s="25"/>
      <c r="W577" s="25"/>
      <c r="X577" s="26"/>
      <c r="Y577" s="25"/>
      <c r="Z577" s="26"/>
      <c r="AA577" s="25"/>
      <c r="AB577" s="25"/>
      <c r="AC577" s="25"/>
      <c r="AD577" s="25"/>
      <c r="AE577" s="26"/>
      <c r="AF577" s="25"/>
      <c r="AG577" s="26"/>
      <c r="AH577" s="24"/>
      <c r="AI577" s="25"/>
      <c r="AJ577" s="27"/>
    </row>
    <row r="578" ht="24.75" customHeight="1">
      <c r="A578" s="28">
        <f>IFERROR(__xludf.DUMMYFUNCTION("""COMPUTED_VALUE"""),1.0)</f>
        <v>1</v>
      </c>
      <c r="B578" s="28" t="str">
        <f>IFERROR(__xludf.DUMMYFUNCTION("""COMPUTED_VALUE"""),"A217")</f>
        <v>A217</v>
      </c>
      <c r="C578" s="28" t="str">
        <f>IFERROR(__xludf.DUMMYFUNCTION("""COMPUTED_VALUE"""),"YKS7")</f>
        <v>YKS7</v>
      </c>
      <c r="D578" s="29" t="str">
        <f>IFERROR(__xludf.DUMMYFUNCTION("""COMPUTED_VALUE"""),"Yuga Kurukshetra")</f>
        <v>Yuga Kurukshetra</v>
      </c>
      <c r="E578" s="30" t="str">
        <f>IFERROR(__xludf.DUMMYFUNCTION("""COMPUTED_VALUE"""),"Divine Sky Rock Ruins")</f>
        <v>Divine Sky Rock Ruins</v>
      </c>
      <c r="F578" s="31">
        <f>IFERROR(__xludf.DUMMYFUNCTION("""COMPUTED_VALUE"""),21.0)</f>
        <v>21</v>
      </c>
      <c r="G578" s="32">
        <f>IFERROR(__xludf.DUMMYFUNCTION("""COMPUTED_VALUE"""),6686.0)</f>
        <v>6686</v>
      </c>
      <c r="H578" s="33" t="str">
        <f>IFERROR(__xludf.DUMMYFUNCTION("""COMPUTED_VALUE"""),"")</f>
        <v/>
      </c>
      <c r="I578" s="34">
        <f>IFERROR(__xludf.DUMMYFUNCTION("""COMPUTED_VALUE"""),52.5)</f>
        <v>52.5</v>
      </c>
      <c r="J578" s="35" t="str">
        <f>IFERROR(__xludf.DUMMYFUNCTION("""COMPUTED_VALUE"""),"AP")</f>
        <v>AP</v>
      </c>
      <c r="K578" s="34">
        <f>IFERROR(__xludf.DUMMYFUNCTION("""COMPUTED_VALUE"""),40.0)</f>
        <v>40</v>
      </c>
      <c r="L578" s="35" t="str">
        <f>IFERROR(__xludf.DUMMYFUNCTION("""COMPUTED_VALUE"""),"%")</f>
        <v>%</v>
      </c>
      <c r="M578" s="36">
        <f>IFERROR(__xludf.DUMMYFUNCTION("""COMPUTED_VALUE"""),1.0)</f>
        <v>1</v>
      </c>
      <c r="N578" s="37" t="str">
        <f>IFERROR(__xludf.DUMMYFUNCTION("""COMPUTED_VALUE"""),"B117")</f>
        <v>B117</v>
      </c>
      <c r="O578" s="38" t="str">
        <f>IFERROR(__xludf.DUMMYFUNCTION("""COMPUTED_VALUE"""),"")</f>
        <v/>
      </c>
      <c r="P578" s="34">
        <f>IFERROR(__xludf.DUMMYFUNCTION("""COMPUTED_VALUE"""),365.5)</f>
        <v>365.5</v>
      </c>
      <c r="Q578" s="35" t="str">
        <f>IFERROR(__xludf.DUMMYFUNCTION("""COMPUTED_VALUE"""),"AP")</f>
        <v>AP</v>
      </c>
      <c r="R578" s="34">
        <f>IFERROR(__xludf.DUMMYFUNCTION("""COMPUTED_VALUE"""),5.7)</f>
        <v>5.7</v>
      </c>
      <c r="S578" s="35" t="str">
        <f>IFERROR(__xludf.DUMMYFUNCTION("""COMPUTED_VALUE"""),"%")</f>
        <v>%</v>
      </c>
      <c r="T578" s="36">
        <f>IFERROR(__xludf.DUMMYFUNCTION("""COMPUTED_VALUE"""),2.0)</f>
        <v>2</v>
      </c>
      <c r="U578" s="37"/>
      <c r="V578" s="38"/>
      <c r="W578" s="34" t="str">
        <f>IFERROR(__xludf.DUMMYFUNCTION("""COMPUTED_VALUE"""),"")</f>
        <v/>
      </c>
      <c r="X578" s="35" t="str">
        <f>IFERROR(__xludf.DUMMYFUNCTION("""COMPUTED_VALUE"""),"AP")</f>
        <v>AP</v>
      </c>
      <c r="Y578" s="34" t="str">
        <f>IFERROR(__xludf.DUMMYFUNCTION("""COMPUTED_VALUE"""),"")</f>
        <v/>
      </c>
      <c r="Z578" s="35" t="str">
        <f>IFERROR(__xludf.DUMMYFUNCTION("""COMPUTED_VALUE"""),"%")</f>
        <v>%</v>
      </c>
      <c r="AA578" s="36">
        <f>IFERROR(__xludf.DUMMYFUNCTION("""COMPUTED_VALUE"""),3.0)</f>
        <v>3</v>
      </c>
      <c r="AB578" s="37"/>
      <c r="AC578" s="38"/>
      <c r="AD578" s="34" t="str">
        <f>IFERROR(__xludf.DUMMYFUNCTION("""COMPUTED_VALUE"""),"")</f>
        <v/>
      </c>
      <c r="AE578" s="35" t="str">
        <f>IFERROR(__xludf.DUMMYFUNCTION("""COMPUTED_VALUE"""),"AP")</f>
        <v>AP</v>
      </c>
      <c r="AF578" s="34" t="str">
        <f>IFERROR(__xludf.DUMMYFUNCTION("""COMPUTED_VALUE"""),"")</f>
        <v/>
      </c>
      <c r="AG578" s="35" t="str">
        <f>IFERROR(__xludf.DUMMYFUNCTION("""COMPUTED_VALUE"""),"%")</f>
        <v>%</v>
      </c>
      <c r="AH578" s="31">
        <f>IFERROR(__xludf.DUMMYFUNCTION("""COMPUTED_VALUE"""),21.0)</f>
        <v>21</v>
      </c>
      <c r="AI578" s="32">
        <f>IFERROR(__xludf.DUMMYFUNCTION("""COMPUTED_VALUE"""),6686.0)</f>
        <v>6686</v>
      </c>
      <c r="AJ578" s="39" t="str">
        <f>IFERROR(__xludf.DUMMYFUNCTION("""COMPUTED_VALUE"""),"神の空岩跡")</f>
        <v>神の空岩跡</v>
      </c>
    </row>
    <row r="579" ht="24.75" customHeight="1">
      <c r="A579" s="40">
        <f>IFERROR(__xludf.DUMMYFUNCTION("""COMPUTED_VALUE"""),2.0)</f>
        <v>2</v>
      </c>
      <c r="B579" s="40" t="str">
        <f>IFERROR(__xludf.DUMMYFUNCTION("""COMPUTED_VALUE"""),"A217")</f>
        <v>A217</v>
      </c>
      <c r="C579" s="40" t="str">
        <f>IFERROR(__xludf.DUMMYFUNCTION("""COMPUTED_VALUE"""),"YKS1")</f>
        <v>YKS1</v>
      </c>
      <c r="D579" s="41" t="str">
        <f>IFERROR(__xludf.DUMMYFUNCTION("""COMPUTED_VALUE"""),"Yuga Kurukshetra")</f>
        <v>Yuga Kurukshetra</v>
      </c>
      <c r="E579" s="42" t="str">
        <f>IFERROR(__xludf.DUMMYFUNCTION("""COMPUTED_VALUE"""),"Initiate Point")</f>
        <v>Initiate Point</v>
      </c>
      <c r="F579" s="43">
        <f>IFERROR(__xludf.DUMMYFUNCTION("""COMPUTED_VALUE"""),20.0)</f>
        <v>20</v>
      </c>
      <c r="G579" s="44">
        <f>IFERROR(__xludf.DUMMYFUNCTION("""COMPUTED_VALUE"""),4522.0)</f>
        <v>4522</v>
      </c>
      <c r="H579" s="33" t="str">
        <f>IFERROR(__xludf.DUMMYFUNCTION("""COMPUTED_VALUE"""),"")</f>
        <v/>
      </c>
      <c r="I579" s="45">
        <f>IFERROR(__xludf.DUMMYFUNCTION("""COMPUTED_VALUE"""),72.2)</f>
        <v>72.2</v>
      </c>
      <c r="J579" s="46" t="str">
        <f>IFERROR(__xludf.DUMMYFUNCTION("""COMPUTED_VALUE"""),"AP")</f>
        <v>AP</v>
      </c>
      <c r="K579" s="47">
        <f>IFERROR(__xludf.DUMMYFUNCTION("""COMPUTED_VALUE"""),27.7)</f>
        <v>27.7</v>
      </c>
      <c r="L579" s="48" t="str">
        <f>IFERROR(__xludf.DUMMYFUNCTION("""COMPUTED_VALUE"""),"%")</f>
        <v>%</v>
      </c>
      <c r="M579" s="49">
        <f>IFERROR(__xludf.DUMMYFUNCTION("""COMPUTED_VALUE"""),1.0)</f>
        <v>1</v>
      </c>
      <c r="N579" s="50" t="str">
        <f>IFERROR(__xludf.DUMMYFUNCTION("""COMPUTED_VALUE"""),"A105")</f>
        <v>A105</v>
      </c>
      <c r="O579" s="38" t="str">
        <f>IFERROR(__xludf.DUMMYFUNCTION("""COMPUTED_VALUE"""),"")</f>
        <v/>
      </c>
      <c r="P579" s="45">
        <f>IFERROR(__xludf.DUMMYFUNCTION("""COMPUTED_VALUE"""),95.3)</f>
        <v>95.3</v>
      </c>
      <c r="Q579" s="46" t="str">
        <f>IFERROR(__xludf.DUMMYFUNCTION("""COMPUTED_VALUE"""),"AP")</f>
        <v>AP</v>
      </c>
      <c r="R579" s="47">
        <f>IFERROR(__xludf.DUMMYFUNCTION("""COMPUTED_VALUE"""),21.0)</f>
        <v>21</v>
      </c>
      <c r="S579" s="48" t="str">
        <f>IFERROR(__xludf.DUMMYFUNCTION("""COMPUTED_VALUE"""),"%")</f>
        <v>%</v>
      </c>
      <c r="T579" s="49">
        <f>IFERROR(__xludf.DUMMYFUNCTION("""COMPUTED_VALUE"""),2.0)</f>
        <v>2</v>
      </c>
      <c r="U579" s="50" t="str">
        <f>IFERROR(__xludf.DUMMYFUNCTION("""COMPUTED_VALUE"""),"B113")</f>
        <v>B113</v>
      </c>
      <c r="V579" s="38" t="str">
        <f>IFERROR(__xludf.DUMMYFUNCTION("""COMPUTED_VALUE"""),"")</f>
        <v/>
      </c>
      <c r="W579" s="45">
        <f>IFERROR(__xludf.DUMMYFUNCTION("""COMPUTED_VALUE"""),123.8)</f>
        <v>123.8</v>
      </c>
      <c r="X579" s="46" t="str">
        <f>IFERROR(__xludf.DUMMYFUNCTION("""COMPUTED_VALUE"""),"AP")</f>
        <v>AP</v>
      </c>
      <c r="Y579" s="47">
        <f>IFERROR(__xludf.DUMMYFUNCTION("""COMPUTED_VALUE"""),16.2)</f>
        <v>16.2</v>
      </c>
      <c r="Z579" s="48" t="str">
        <f>IFERROR(__xludf.DUMMYFUNCTION("""COMPUTED_VALUE"""),"%")</f>
        <v>%</v>
      </c>
      <c r="AA579" s="49">
        <f>IFERROR(__xludf.DUMMYFUNCTION("""COMPUTED_VALUE"""),3.0)</f>
        <v>3</v>
      </c>
      <c r="AB579" s="50"/>
      <c r="AC579" s="38"/>
      <c r="AD579" s="45" t="str">
        <f>IFERROR(__xludf.DUMMYFUNCTION("""COMPUTED_VALUE"""),"")</f>
        <v/>
      </c>
      <c r="AE579" s="46" t="str">
        <f>IFERROR(__xludf.DUMMYFUNCTION("""COMPUTED_VALUE"""),"AP")</f>
        <v>AP</v>
      </c>
      <c r="AF579" s="47" t="str">
        <f>IFERROR(__xludf.DUMMYFUNCTION("""COMPUTED_VALUE"""),"")</f>
        <v/>
      </c>
      <c r="AG579" s="48" t="str">
        <f>IFERROR(__xludf.DUMMYFUNCTION("""COMPUTED_VALUE"""),"%")</f>
        <v>%</v>
      </c>
      <c r="AH579" s="43">
        <f>IFERROR(__xludf.DUMMYFUNCTION("""COMPUTED_VALUE"""),20.0)</f>
        <v>20</v>
      </c>
      <c r="AI579" s="44">
        <f>IFERROR(__xludf.DUMMYFUNCTION("""COMPUTED_VALUE"""),4522.0)</f>
        <v>4522</v>
      </c>
      <c r="AJ579" s="51" t="str">
        <f>IFERROR(__xludf.DUMMYFUNCTION("""COMPUTED_VALUE"""),"イニシエートポイント")</f>
        <v>イニシエートポイント</v>
      </c>
    </row>
    <row r="580" ht="24.75" customHeight="1">
      <c r="A580" s="28">
        <f>IFERROR(__xludf.DUMMYFUNCTION("""COMPUTED_VALUE"""),3.0)</f>
        <v>3</v>
      </c>
      <c r="B580" s="28" t="str">
        <f>IFERROR(__xludf.DUMMYFUNCTION("""COMPUTED_VALUE"""),"A217")</f>
        <v>A217</v>
      </c>
      <c r="C580" s="28" t="str">
        <f>IFERROR(__xludf.DUMMYFUNCTION("""COMPUTED_VALUE"""),"YKS6")</f>
        <v>YKS6</v>
      </c>
      <c r="D580" s="29" t="str">
        <f>IFERROR(__xludf.DUMMYFUNCTION("""COMPUTED_VALUE"""),"Yuga Kurukshetra")</f>
        <v>Yuga Kurukshetra</v>
      </c>
      <c r="E580" s="30" t="str">
        <f>IFERROR(__xludf.DUMMYFUNCTION("""COMPUTED_VALUE"""),"Deewar")</f>
        <v>Deewar</v>
      </c>
      <c r="F580" s="31">
        <f>IFERROR(__xludf.DUMMYFUNCTION("""COMPUTED_VALUE"""),21.0)</f>
        <v>21</v>
      </c>
      <c r="G580" s="32">
        <f>IFERROR(__xludf.DUMMYFUNCTION("""COMPUTED_VALUE"""),91778.0)</f>
        <v>91778</v>
      </c>
      <c r="H580" s="33" t="str">
        <f>IFERROR(__xludf.DUMMYFUNCTION("""COMPUTED_VALUE"""),"")</f>
        <v/>
      </c>
      <c r="I580" s="34">
        <f>IFERROR(__xludf.DUMMYFUNCTION("""COMPUTED_VALUE"""),82.7)</f>
        <v>82.7</v>
      </c>
      <c r="J580" s="35" t="str">
        <f>IFERROR(__xludf.DUMMYFUNCTION("""COMPUTED_VALUE"""),"AP")</f>
        <v>AP</v>
      </c>
      <c r="K580" s="34">
        <f>IFERROR(__xludf.DUMMYFUNCTION("""COMPUTED_VALUE"""),25.4)</f>
        <v>25.4</v>
      </c>
      <c r="L580" s="35" t="str">
        <f>IFERROR(__xludf.DUMMYFUNCTION("""COMPUTED_VALUE"""),"%")</f>
        <v>%</v>
      </c>
      <c r="M580" s="36">
        <f>IFERROR(__xludf.DUMMYFUNCTION("""COMPUTED_VALUE"""),1.0)</f>
        <v>1</v>
      </c>
      <c r="N580" s="37" t="str">
        <f>IFERROR(__xludf.DUMMYFUNCTION("""COMPUTED_VALUE"""),"A115")</f>
        <v>A115</v>
      </c>
      <c r="O580" s="38" t="str">
        <f>IFERROR(__xludf.DUMMYFUNCTION("""COMPUTED_VALUE"""),"")</f>
        <v/>
      </c>
      <c r="P580" s="34">
        <f>IFERROR(__xludf.DUMMYFUNCTION("""COMPUTED_VALUE"""),170.4)</f>
        <v>170.4</v>
      </c>
      <c r="Q580" s="35" t="str">
        <f>IFERROR(__xludf.DUMMYFUNCTION("""COMPUTED_VALUE"""),"AP")</f>
        <v>AP</v>
      </c>
      <c r="R580" s="34">
        <f>IFERROR(__xludf.DUMMYFUNCTION("""COMPUTED_VALUE"""),12.3)</f>
        <v>12.3</v>
      </c>
      <c r="S580" s="35" t="str">
        <f>IFERROR(__xludf.DUMMYFUNCTION("""COMPUTED_VALUE"""),"%")</f>
        <v>%</v>
      </c>
      <c r="T580" s="36">
        <f>IFERROR(__xludf.DUMMYFUNCTION("""COMPUTED_VALUE"""),2.0)</f>
        <v>2</v>
      </c>
      <c r="U580" s="37" t="str">
        <f>IFERROR(__xludf.DUMMYFUNCTION("""COMPUTED_VALUE"""),"B103")</f>
        <v>B103</v>
      </c>
      <c r="V580" s="38" t="str">
        <f>IFERROR(__xludf.DUMMYFUNCTION("""COMPUTED_VALUE"""),"")</f>
        <v/>
      </c>
      <c r="W580" s="34">
        <f>IFERROR(__xludf.DUMMYFUNCTION("""COMPUTED_VALUE"""),506.6)</f>
        <v>506.6</v>
      </c>
      <c r="X580" s="35" t="str">
        <f>IFERROR(__xludf.DUMMYFUNCTION("""COMPUTED_VALUE"""),"AP")</f>
        <v>AP</v>
      </c>
      <c r="Y580" s="34">
        <f>IFERROR(__xludf.DUMMYFUNCTION("""COMPUTED_VALUE"""),4.1)</f>
        <v>4.1</v>
      </c>
      <c r="Z580" s="35" t="str">
        <f>IFERROR(__xludf.DUMMYFUNCTION("""COMPUTED_VALUE"""),"%")</f>
        <v>%</v>
      </c>
      <c r="AA580" s="36">
        <f>IFERROR(__xludf.DUMMYFUNCTION("""COMPUTED_VALUE"""),3.0)</f>
        <v>3</v>
      </c>
      <c r="AB580" s="37"/>
      <c r="AC580" s="38"/>
      <c r="AD580" s="34" t="str">
        <f>IFERROR(__xludf.DUMMYFUNCTION("""COMPUTED_VALUE"""),"")</f>
        <v/>
      </c>
      <c r="AE580" s="35" t="str">
        <f>IFERROR(__xludf.DUMMYFUNCTION("""COMPUTED_VALUE"""),"AP")</f>
        <v>AP</v>
      </c>
      <c r="AF580" s="34" t="str">
        <f>IFERROR(__xludf.DUMMYFUNCTION("""COMPUTED_VALUE"""),"")</f>
        <v/>
      </c>
      <c r="AG580" s="35" t="str">
        <f>IFERROR(__xludf.DUMMYFUNCTION("""COMPUTED_VALUE"""),"%")</f>
        <v>%</v>
      </c>
      <c r="AH580" s="31">
        <f>IFERROR(__xludf.DUMMYFUNCTION("""COMPUTED_VALUE"""),21.0)</f>
        <v>21</v>
      </c>
      <c r="AI580" s="32">
        <f>IFERROR(__xludf.DUMMYFUNCTION("""COMPUTED_VALUE"""),91778.0)</f>
        <v>91778</v>
      </c>
      <c r="AJ580" s="39" t="str">
        <f>IFERROR(__xludf.DUMMYFUNCTION("""COMPUTED_VALUE"""),"ディーヴァール")</f>
        <v>ディーヴァール</v>
      </c>
    </row>
    <row r="581" ht="24.75" customHeight="1">
      <c r="A581" s="40">
        <f>IFERROR(__xludf.DUMMYFUNCTION("""COMPUTED_VALUE"""),4.0)</f>
        <v>4</v>
      </c>
      <c r="B581" s="40" t="str">
        <f>IFERROR(__xludf.DUMMYFUNCTION("""COMPUTED_VALUE"""),"A217")</f>
        <v>A217</v>
      </c>
      <c r="C581" s="40" t="str">
        <f>IFERROR(__xludf.DUMMYFUNCTION("""COMPUTED_VALUE"""),"YKS3")</f>
        <v>YKS3</v>
      </c>
      <c r="D581" s="41" t="str">
        <f>IFERROR(__xludf.DUMMYFUNCTION("""COMPUTED_VALUE"""),"Yuga Kurukshetra")</f>
        <v>Yuga Kurukshetra</v>
      </c>
      <c r="E581" s="42" t="str">
        <f>IFERROR(__xludf.DUMMYFUNCTION("""COMPUTED_VALUE"""),"Secluded Grotto")</f>
        <v>Secluded Grotto</v>
      </c>
      <c r="F581" s="43">
        <f>IFERROR(__xludf.DUMMYFUNCTION("""COMPUTED_VALUE"""),21.0)</f>
        <v>21</v>
      </c>
      <c r="G581" s="44">
        <f>IFERROR(__xludf.DUMMYFUNCTION("""COMPUTED_VALUE"""),4926.0)</f>
        <v>4926</v>
      </c>
      <c r="H581" s="33" t="str">
        <f>IFERROR(__xludf.DUMMYFUNCTION("""COMPUTED_VALUE"""),"")</f>
        <v/>
      </c>
      <c r="I581" s="45">
        <f>IFERROR(__xludf.DUMMYFUNCTION("""COMPUTED_VALUE"""),83.4)</f>
        <v>83.4</v>
      </c>
      <c r="J581" s="46" t="str">
        <f>IFERROR(__xludf.DUMMYFUNCTION("""COMPUTED_VALUE"""),"AP")</f>
        <v>AP</v>
      </c>
      <c r="K581" s="47">
        <f>IFERROR(__xludf.DUMMYFUNCTION("""COMPUTED_VALUE"""),25.2)</f>
        <v>25.2</v>
      </c>
      <c r="L581" s="48" t="str">
        <f>IFERROR(__xludf.DUMMYFUNCTION("""COMPUTED_VALUE"""),"%")</f>
        <v>%</v>
      </c>
      <c r="M581" s="49">
        <f>IFERROR(__xludf.DUMMYFUNCTION("""COMPUTED_VALUE"""),1.0)</f>
        <v>1</v>
      </c>
      <c r="N581" s="50" t="str">
        <f>IFERROR(__xludf.DUMMYFUNCTION("""COMPUTED_VALUE"""),"A107")</f>
        <v>A107</v>
      </c>
      <c r="O581" s="38" t="str">
        <f>IFERROR(__xludf.DUMMYFUNCTION("""COMPUTED_VALUE"""),"")</f>
        <v/>
      </c>
      <c r="P581" s="45">
        <f>IFERROR(__xludf.DUMMYFUNCTION("""COMPUTED_VALUE"""),104.19999990000001)</f>
        <v>104.1999999</v>
      </c>
      <c r="Q581" s="46" t="str">
        <f>IFERROR(__xludf.DUMMYFUNCTION("""COMPUTED_VALUE"""),"AP")</f>
        <v>AP</v>
      </c>
      <c r="R581" s="47">
        <f>IFERROR(__xludf.DUMMYFUNCTION("""COMPUTED_VALUE"""),20.199999)</f>
        <v>20.199999</v>
      </c>
      <c r="S581" s="48" t="str">
        <f>IFERROR(__xludf.DUMMYFUNCTION("""COMPUTED_VALUE"""),"%")</f>
        <v>%</v>
      </c>
      <c r="T581" s="49">
        <f>IFERROR(__xludf.DUMMYFUNCTION("""COMPUTED_VALUE"""),2.0)</f>
        <v>2</v>
      </c>
      <c r="U581" s="50" t="str">
        <f>IFERROR(__xludf.DUMMYFUNCTION("""COMPUTED_VALUE"""),"B116")</f>
        <v>B116</v>
      </c>
      <c r="V581" s="38" t="str">
        <f>IFERROR(__xludf.DUMMYFUNCTION("""COMPUTED_VALUE"""),"")</f>
        <v/>
      </c>
      <c r="W581" s="45">
        <f>IFERROR(__xludf.DUMMYFUNCTION("""COMPUTED_VALUE"""),133.2)</f>
        <v>133.2</v>
      </c>
      <c r="X581" s="46" t="str">
        <f>IFERROR(__xludf.DUMMYFUNCTION("""COMPUTED_VALUE"""),"AP")</f>
        <v>AP</v>
      </c>
      <c r="Y581" s="47">
        <f>IFERROR(__xludf.DUMMYFUNCTION("""COMPUTED_VALUE"""),15.8)</f>
        <v>15.8</v>
      </c>
      <c r="Z581" s="48" t="str">
        <f>IFERROR(__xludf.DUMMYFUNCTION("""COMPUTED_VALUE"""),"%")</f>
        <v>%</v>
      </c>
      <c r="AA581" s="49">
        <f>IFERROR(__xludf.DUMMYFUNCTION("""COMPUTED_VALUE"""),3.0)</f>
        <v>3</v>
      </c>
      <c r="AB581" s="50"/>
      <c r="AC581" s="38"/>
      <c r="AD581" s="45" t="str">
        <f>IFERROR(__xludf.DUMMYFUNCTION("""COMPUTED_VALUE"""),"")</f>
        <v/>
      </c>
      <c r="AE581" s="46" t="str">
        <f>IFERROR(__xludf.DUMMYFUNCTION("""COMPUTED_VALUE"""),"AP")</f>
        <v>AP</v>
      </c>
      <c r="AF581" s="47" t="str">
        <f>IFERROR(__xludf.DUMMYFUNCTION("""COMPUTED_VALUE"""),"")</f>
        <v/>
      </c>
      <c r="AG581" s="48" t="str">
        <f>IFERROR(__xludf.DUMMYFUNCTION("""COMPUTED_VALUE"""),"%")</f>
        <v>%</v>
      </c>
      <c r="AH581" s="43">
        <f>IFERROR(__xludf.DUMMYFUNCTION("""COMPUTED_VALUE"""),21.0)</f>
        <v>21</v>
      </c>
      <c r="AI581" s="44">
        <f>IFERROR(__xludf.DUMMYFUNCTION("""COMPUTED_VALUE"""),4926.0)</f>
        <v>4926</v>
      </c>
      <c r="AJ581" s="51" t="str">
        <f>IFERROR(__xludf.DUMMYFUNCTION("""COMPUTED_VALUE"""),"隠遁窟")</f>
        <v>隠遁窟</v>
      </c>
    </row>
    <row r="582" ht="24.75" customHeight="1">
      <c r="A582" s="28">
        <f>IFERROR(__xludf.DUMMYFUNCTION("""COMPUTED_VALUE"""),5.0)</f>
        <v>5</v>
      </c>
      <c r="B582" s="28" t="str">
        <f>IFERROR(__xludf.DUMMYFUNCTION("""COMPUTED_VALUE"""),"A217")</f>
        <v>A217</v>
      </c>
      <c r="C582" s="28" t="str">
        <f>IFERROR(__xludf.DUMMYFUNCTION("""COMPUTED_VALUE"""),"YKS5")</f>
        <v>YKS5</v>
      </c>
      <c r="D582" s="29" t="str">
        <f>IFERROR(__xludf.DUMMYFUNCTION("""COMPUTED_VALUE"""),"Yuga Kurukshetra")</f>
        <v>Yuga Kurukshetra</v>
      </c>
      <c r="E582" s="30" t="str">
        <f>IFERROR(__xludf.DUMMYFUNCTION("""COMPUTED_VALUE"""),"Western Fault")</f>
        <v>Western Fault</v>
      </c>
      <c r="F582" s="31">
        <f>IFERROR(__xludf.DUMMYFUNCTION("""COMPUTED_VALUE"""),21.0)</f>
        <v>21</v>
      </c>
      <c r="G582" s="32">
        <f>IFERROR(__xludf.DUMMYFUNCTION("""COMPUTED_VALUE"""),12456.0)</f>
        <v>12456</v>
      </c>
      <c r="H582" s="33" t="str">
        <f>IFERROR(__xludf.DUMMYFUNCTION("""COMPUTED_VALUE"""),"")</f>
        <v/>
      </c>
      <c r="I582" s="34">
        <f>IFERROR(__xludf.DUMMYFUNCTION("""COMPUTED_VALUE"""),83.5)</f>
        <v>83.5</v>
      </c>
      <c r="J582" s="35" t="str">
        <f>IFERROR(__xludf.DUMMYFUNCTION("""COMPUTED_VALUE"""),"AP")</f>
        <v>AP</v>
      </c>
      <c r="K582" s="34">
        <f>IFERROR(__xludf.DUMMYFUNCTION("""COMPUTED_VALUE"""),25.2)</f>
        <v>25.2</v>
      </c>
      <c r="L582" s="35" t="str">
        <f>IFERROR(__xludf.DUMMYFUNCTION("""COMPUTED_VALUE"""),"%")</f>
        <v>%</v>
      </c>
      <c r="M582" s="36">
        <f>IFERROR(__xludf.DUMMYFUNCTION("""COMPUTED_VALUE"""),1.0)</f>
        <v>1</v>
      </c>
      <c r="N582" s="37" t="str">
        <f>IFERROR(__xludf.DUMMYFUNCTION("""COMPUTED_VALUE"""),"A101")</f>
        <v>A101</v>
      </c>
      <c r="O582" s="38" t="str">
        <f>IFERROR(__xludf.DUMMYFUNCTION("""COMPUTED_VALUE"""),"")</f>
        <v/>
      </c>
      <c r="P582" s="34">
        <f>IFERROR(__xludf.DUMMYFUNCTION("""COMPUTED_VALUE"""),108.2)</f>
        <v>108.2</v>
      </c>
      <c r="Q582" s="35" t="str">
        <f>IFERROR(__xludf.DUMMYFUNCTION("""COMPUTED_VALUE"""),"AP")</f>
        <v>AP</v>
      </c>
      <c r="R582" s="34">
        <f>IFERROR(__xludf.DUMMYFUNCTION("""COMPUTED_VALUE"""),19.4)</f>
        <v>19.4</v>
      </c>
      <c r="S582" s="35" t="str">
        <f>IFERROR(__xludf.DUMMYFUNCTION("""COMPUTED_VALUE"""),"%")</f>
        <v>%</v>
      </c>
      <c r="T582" s="36">
        <f>IFERROR(__xludf.DUMMYFUNCTION("""COMPUTED_VALUE"""),2.0)</f>
        <v>2</v>
      </c>
      <c r="U582" s="37" t="str">
        <f>IFERROR(__xludf.DUMMYFUNCTION("""COMPUTED_VALUE"""),"B114")</f>
        <v>B114</v>
      </c>
      <c r="V582" s="38" t="str">
        <f>IFERROR(__xludf.DUMMYFUNCTION("""COMPUTED_VALUE"""),"")</f>
        <v/>
      </c>
      <c r="W582" s="34">
        <f>IFERROR(__xludf.DUMMYFUNCTION("""COMPUTED_VALUE"""),88.2)</f>
        <v>88.2</v>
      </c>
      <c r="X582" s="35" t="str">
        <f>IFERROR(__xludf.DUMMYFUNCTION("""COMPUTED_VALUE"""),"AP")</f>
        <v>AP</v>
      </c>
      <c r="Y582" s="34">
        <f>IFERROR(__xludf.DUMMYFUNCTION("""COMPUTED_VALUE"""),23.8)</f>
        <v>23.8</v>
      </c>
      <c r="Z582" s="35" t="str">
        <f>IFERROR(__xludf.DUMMYFUNCTION("""COMPUTED_VALUE"""),"%")</f>
        <v>%</v>
      </c>
      <c r="AA582" s="36">
        <f>IFERROR(__xludf.DUMMYFUNCTION("""COMPUTED_VALUE"""),3.0)</f>
        <v>3</v>
      </c>
      <c r="AB582" s="37"/>
      <c r="AC582" s="38"/>
      <c r="AD582" s="34" t="str">
        <f>IFERROR(__xludf.DUMMYFUNCTION("""COMPUTED_VALUE"""),"")</f>
        <v/>
      </c>
      <c r="AE582" s="35" t="str">
        <f>IFERROR(__xludf.DUMMYFUNCTION("""COMPUTED_VALUE"""),"AP")</f>
        <v>AP</v>
      </c>
      <c r="AF582" s="34" t="str">
        <f>IFERROR(__xludf.DUMMYFUNCTION("""COMPUTED_VALUE"""),"")</f>
        <v/>
      </c>
      <c r="AG582" s="35" t="str">
        <f>IFERROR(__xludf.DUMMYFUNCTION("""COMPUTED_VALUE"""),"%")</f>
        <v>%</v>
      </c>
      <c r="AH582" s="31">
        <f>IFERROR(__xludf.DUMMYFUNCTION("""COMPUTED_VALUE"""),21.0)</f>
        <v>21</v>
      </c>
      <c r="AI582" s="32">
        <f>IFERROR(__xludf.DUMMYFUNCTION("""COMPUTED_VALUE"""),12456.0)</f>
        <v>12456</v>
      </c>
      <c r="AJ582" s="39" t="str">
        <f>IFERROR(__xludf.DUMMYFUNCTION("""COMPUTED_VALUE"""),"西の断層")</f>
        <v>西の断層</v>
      </c>
    </row>
    <row r="583" ht="24.75" customHeight="1">
      <c r="A583" s="40">
        <f>IFERROR(__xludf.DUMMYFUNCTION("""COMPUTED_VALUE"""),6.0)</f>
        <v>6</v>
      </c>
      <c r="B583" s="40" t="str">
        <f>IFERROR(__xludf.DUMMYFUNCTION("""COMPUTED_VALUE"""),"A217")</f>
        <v>A217</v>
      </c>
      <c r="C583" s="40" t="str">
        <f>IFERROR(__xludf.DUMMYFUNCTION("""COMPUTED_VALUE"""),"YKS2")</f>
        <v>YKS2</v>
      </c>
      <c r="D583" s="41" t="str">
        <f>IFERROR(__xludf.DUMMYFUNCTION("""COMPUTED_VALUE"""),"Yuga Kurukshetra")</f>
        <v>Yuga Kurukshetra</v>
      </c>
      <c r="E583" s="42" t="str">
        <f>IFERROR(__xludf.DUMMYFUNCTION("""COMPUTED_VALUE"""),"Bich")</f>
        <v>Bich</v>
      </c>
      <c r="F583" s="43">
        <f>IFERROR(__xludf.DUMMYFUNCTION("""COMPUTED_VALUE"""),20.0)</f>
        <v>20</v>
      </c>
      <c r="G583" s="44">
        <f>IFERROR(__xludf.DUMMYFUNCTION("""COMPUTED_VALUE"""),7416.0)</f>
        <v>7416</v>
      </c>
      <c r="H583" s="33" t="str">
        <f>IFERROR(__xludf.DUMMYFUNCTION("""COMPUTED_VALUE"""),"")</f>
        <v/>
      </c>
      <c r="I583" s="45">
        <f>IFERROR(__xludf.DUMMYFUNCTION("""COMPUTED_VALUE"""),100.8)</f>
        <v>100.8</v>
      </c>
      <c r="J583" s="46" t="str">
        <f>IFERROR(__xludf.DUMMYFUNCTION("""COMPUTED_VALUE"""),"AP")</f>
        <v>AP</v>
      </c>
      <c r="K583" s="47">
        <f>IFERROR(__xludf.DUMMYFUNCTION("""COMPUTED_VALUE"""),19.8)</f>
        <v>19.8</v>
      </c>
      <c r="L583" s="48" t="str">
        <f>IFERROR(__xludf.DUMMYFUNCTION("""COMPUTED_VALUE"""),"%")</f>
        <v>%</v>
      </c>
      <c r="M583" s="49">
        <f>IFERROR(__xludf.DUMMYFUNCTION("""COMPUTED_VALUE"""),1.0)</f>
        <v>1</v>
      </c>
      <c r="N583" s="50" t="str">
        <f>IFERROR(__xludf.DUMMYFUNCTION("""COMPUTED_VALUE"""),"A205")</f>
        <v>A205</v>
      </c>
      <c r="O583" s="38" t="str">
        <f>IFERROR(__xludf.DUMMYFUNCTION("""COMPUTED_VALUE"""),"")</f>
        <v/>
      </c>
      <c r="P583" s="45">
        <f>IFERROR(__xludf.DUMMYFUNCTION("""COMPUTED_VALUE"""),131.0)</f>
        <v>131</v>
      </c>
      <c r="Q583" s="46" t="str">
        <f>IFERROR(__xludf.DUMMYFUNCTION("""COMPUTED_VALUE"""),"AP")</f>
        <v>AP</v>
      </c>
      <c r="R583" s="47">
        <f>IFERROR(__xludf.DUMMYFUNCTION("""COMPUTED_VALUE"""),15.3)</f>
        <v>15.3</v>
      </c>
      <c r="S583" s="48" t="str">
        <f>IFERROR(__xludf.DUMMYFUNCTION("""COMPUTED_VALUE"""),"%")</f>
        <v>%</v>
      </c>
      <c r="T583" s="49">
        <f>IFERROR(__xludf.DUMMYFUNCTION("""COMPUTED_VALUE"""),2.0)</f>
        <v>2</v>
      </c>
      <c r="U583" s="50" t="str">
        <f>IFERROR(__xludf.DUMMYFUNCTION("""COMPUTED_VALUE"""),"A304")</f>
        <v>A304</v>
      </c>
      <c r="V583" s="38" t="str">
        <f>IFERROR(__xludf.DUMMYFUNCTION("""COMPUTED_VALUE"""),"")</f>
        <v/>
      </c>
      <c r="W583" s="45">
        <f>IFERROR(__xludf.DUMMYFUNCTION("""COMPUTED_VALUE"""),65.8)</f>
        <v>65.8</v>
      </c>
      <c r="X583" s="46" t="str">
        <f>IFERROR(__xludf.DUMMYFUNCTION("""COMPUTED_VALUE"""),"AP")</f>
        <v>AP</v>
      </c>
      <c r="Y583" s="47">
        <f>IFERROR(__xludf.DUMMYFUNCTION("""COMPUTED_VALUE"""),30.4)</f>
        <v>30.4</v>
      </c>
      <c r="Z583" s="48" t="str">
        <f>IFERROR(__xludf.DUMMYFUNCTION("""COMPUTED_VALUE"""),"%")</f>
        <v>%</v>
      </c>
      <c r="AA583" s="49">
        <f>IFERROR(__xludf.DUMMYFUNCTION("""COMPUTED_VALUE"""),3.0)</f>
        <v>3</v>
      </c>
      <c r="AB583" s="50" t="str">
        <f>IFERROR(__xludf.DUMMYFUNCTION("""COMPUTED_VALUE"""),"B115")</f>
        <v>B115</v>
      </c>
      <c r="AC583" s="38" t="str">
        <f>IFERROR(__xludf.DUMMYFUNCTION("""COMPUTED_VALUE"""),"")</f>
        <v/>
      </c>
      <c r="AD583" s="45">
        <f>IFERROR(__xludf.DUMMYFUNCTION("""COMPUTED_VALUE"""),192.1)</f>
        <v>192.1</v>
      </c>
      <c r="AE583" s="46" t="str">
        <f>IFERROR(__xludf.DUMMYFUNCTION("""COMPUTED_VALUE"""),"AP")</f>
        <v>AP</v>
      </c>
      <c r="AF583" s="47">
        <f>IFERROR(__xludf.DUMMYFUNCTION("""COMPUTED_VALUE"""),10.4)</f>
        <v>10.4</v>
      </c>
      <c r="AG583" s="48" t="str">
        <f>IFERROR(__xludf.DUMMYFUNCTION("""COMPUTED_VALUE"""),"%")</f>
        <v>%</v>
      </c>
      <c r="AH583" s="43">
        <f>IFERROR(__xludf.DUMMYFUNCTION("""COMPUTED_VALUE"""),20.0)</f>
        <v>20</v>
      </c>
      <c r="AI583" s="44">
        <f>IFERROR(__xludf.DUMMYFUNCTION("""COMPUTED_VALUE"""),7416.0)</f>
        <v>7416</v>
      </c>
      <c r="AJ583" s="51" t="str">
        <f>IFERROR(__xludf.DUMMYFUNCTION("""COMPUTED_VALUE"""),"ビーチュ")</f>
        <v>ビーチュ</v>
      </c>
    </row>
    <row r="584" ht="24.75" customHeight="1">
      <c r="A584" s="28">
        <f>IFERROR(__xludf.DUMMYFUNCTION("""COMPUTED_VALUE"""),7.0)</f>
        <v>7</v>
      </c>
      <c r="B584" s="28" t="str">
        <f>IFERROR(__xludf.DUMMYFUNCTION("""COMPUTED_VALUE"""),"A217")</f>
        <v>A217</v>
      </c>
      <c r="C584" s="28" t="str">
        <f>IFERROR(__xludf.DUMMYFUNCTION("""COMPUTED_VALUE"""),"YKS8")</f>
        <v>YKS8</v>
      </c>
      <c r="D584" s="29" t="str">
        <f>IFERROR(__xludf.DUMMYFUNCTION("""COMPUTED_VALUE"""),"Yuga Kurukshetra")</f>
        <v>Yuga Kurukshetra</v>
      </c>
      <c r="E584" s="30" t="str">
        <f>IFERROR(__xludf.DUMMYFUNCTION("""COMPUTED_VALUE"""),"Southern Town")</f>
        <v>Southern Town</v>
      </c>
      <c r="F584" s="31">
        <f>IFERROR(__xludf.DUMMYFUNCTION("""COMPUTED_VALUE"""),21.0)</f>
        <v>21</v>
      </c>
      <c r="G584" s="32">
        <f>IFERROR(__xludf.DUMMYFUNCTION("""COMPUTED_VALUE"""),10032.0)</f>
        <v>10032</v>
      </c>
      <c r="H584" s="33" t="str">
        <f>IFERROR(__xludf.DUMMYFUNCTION("""COMPUTED_VALUE"""),"")</f>
        <v/>
      </c>
      <c r="I584" s="34">
        <f>IFERROR(__xludf.DUMMYFUNCTION("""COMPUTED_VALUE"""),113.8)</f>
        <v>113.8</v>
      </c>
      <c r="J584" s="35" t="str">
        <f>IFERROR(__xludf.DUMMYFUNCTION("""COMPUTED_VALUE"""),"AP")</f>
        <v>AP</v>
      </c>
      <c r="K584" s="34">
        <f>IFERROR(__xludf.DUMMYFUNCTION("""COMPUTED_VALUE"""),18.5)</f>
        <v>18.5</v>
      </c>
      <c r="L584" s="35" t="str">
        <f>IFERROR(__xludf.DUMMYFUNCTION("""COMPUTED_VALUE"""),"%")</f>
        <v>%</v>
      </c>
      <c r="M584" s="36">
        <f>IFERROR(__xludf.DUMMYFUNCTION("""COMPUTED_VALUE"""),1.0)</f>
        <v>1</v>
      </c>
      <c r="N584" s="37" t="str">
        <f>IFERROR(__xludf.DUMMYFUNCTION("""COMPUTED_VALUE"""),"A304")</f>
        <v>A304</v>
      </c>
      <c r="O584" s="38" t="str">
        <f>IFERROR(__xludf.DUMMYFUNCTION("""COMPUTED_VALUE"""),"")</f>
        <v/>
      </c>
      <c r="P584" s="34">
        <f>IFERROR(__xludf.DUMMYFUNCTION("""COMPUTED_VALUE"""),72.5)</f>
        <v>72.5</v>
      </c>
      <c r="Q584" s="35" t="str">
        <f>IFERROR(__xludf.DUMMYFUNCTION("""COMPUTED_VALUE"""),"AP")</f>
        <v>AP</v>
      </c>
      <c r="R584" s="34">
        <f>IFERROR(__xludf.DUMMYFUNCTION("""COMPUTED_VALUE"""),29.0)</f>
        <v>29</v>
      </c>
      <c r="S584" s="35" t="str">
        <f>IFERROR(__xludf.DUMMYFUNCTION("""COMPUTED_VALUE"""),"%")</f>
        <v>%</v>
      </c>
      <c r="T584" s="36">
        <f>IFERROR(__xludf.DUMMYFUNCTION("""COMPUTED_VALUE"""),2.0)</f>
        <v>2</v>
      </c>
      <c r="U584" s="37" t="str">
        <f>IFERROR(__xludf.DUMMYFUNCTION("""COMPUTED_VALUE"""),"A305")</f>
        <v>A305</v>
      </c>
      <c r="V584" s="38" t="str">
        <f>IFERROR(__xludf.DUMMYFUNCTION("""COMPUTED_VALUE"""),"")</f>
        <v/>
      </c>
      <c r="W584" s="34">
        <f>IFERROR(__xludf.DUMMYFUNCTION("""COMPUTED_VALUE"""),84.5)</f>
        <v>84.5</v>
      </c>
      <c r="X584" s="35" t="str">
        <f>IFERROR(__xludf.DUMMYFUNCTION("""COMPUTED_VALUE"""),"AP")</f>
        <v>AP</v>
      </c>
      <c r="Y584" s="34">
        <f>IFERROR(__xludf.DUMMYFUNCTION("""COMPUTED_VALUE"""),24.9)</f>
        <v>24.9</v>
      </c>
      <c r="Z584" s="35" t="str">
        <f>IFERROR(__xludf.DUMMYFUNCTION("""COMPUTED_VALUE"""),"%")</f>
        <v>%</v>
      </c>
      <c r="AA584" s="36">
        <f>IFERROR(__xludf.DUMMYFUNCTION("""COMPUTED_VALUE"""),3.0)</f>
        <v>3</v>
      </c>
      <c r="AB584" s="37" t="str">
        <f>IFERROR(__xludf.DUMMYFUNCTION("""COMPUTED_VALUE"""),"B117")</f>
        <v>B117</v>
      </c>
      <c r="AC584" s="38" t="str">
        <f>IFERROR(__xludf.DUMMYFUNCTION("""COMPUTED_VALUE"""),"")</f>
        <v/>
      </c>
      <c r="AD584" s="34">
        <f>IFERROR(__xludf.DUMMYFUNCTION("""COMPUTED_VALUE"""),189.5)</f>
        <v>189.5</v>
      </c>
      <c r="AE584" s="35" t="str">
        <f>IFERROR(__xludf.DUMMYFUNCTION("""COMPUTED_VALUE"""),"AP")</f>
        <v>AP</v>
      </c>
      <c r="AF584" s="34">
        <f>IFERROR(__xludf.DUMMYFUNCTION("""COMPUTED_VALUE"""),11.1)</f>
        <v>11.1</v>
      </c>
      <c r="AG584" s="35" t="str">
        <f>IFERROR(__xludf.DUMMYFUNCTION("""COMPUTED_VALUE"""),"%")</f>
        <v>%</v>
      </c>
      <c r="AH584" s="31">
        <f>IFERROR(__xludf.DUMMYFUNCTION("""COMPUTED_VALUE"""),21.0)</f>
        <v>21</v>
      </c>
      <c r="AI584" s="32">
        <f>IFERROR(__xludf.DUMMYFUNCTION("""COMPUTED_VALUE"""),10032.0)</f>
        <v>10032</v>
      </c>
      <c r="AJ584" s="39" t="str">
        <f>IFERROR(__xludf.DUMMYFUNCTION("""COMPUTED_VALUE"""),"南の町")</f>
        <v>南の町</v>
      </c>
    </row>
    <row r="585" ht="24.75" customHeight="1">
      <c r="A585" s="40">
        <f>IFERROR(__xludf.DUMMYFUNCTION("""COMPUTED_VALUE"""),8.0)</f>
        <v>8</v>
      </c>
      <c r="B585" s="40" t="str">
        <f>IFERROR(__xludf.DUMMYFUNCTION("""COMPUTED_VALUE"""),"A217")</f>
        <v>A217</v>
      </c>
      <c r="C585" s="40"/>
      <c r="D585" s="41"/>
      <c r="E585" s="66"/>
      <c r="F585" s="43"/>
      <c r="G585" s="44"/>
      <c r="H585" s="33" t="str">
        <f>IFERROR(__xludf.DUMMYFUNCTION("""COMPUTED_VALUE""")," ")</f>
        <v> </v>
      </c>
      <c r="I585" s="45"/>
      <c r="J585" s="46" t="str">
        <f>IFERROR(__xludf.DUMMYFUNCTION("""COMPUTED_VALUE"""),"AP")</f>
        <v>AP</v>
      </c>
      <c r="K585" s="47"/>
      <c r="L585" s="48" t="str">
        <f>IFERROR(__xludf.DUMMYFUNCTION("""COMPUTED_VALUE"""),"%")</f>
        <v>%</v>
      </c>
      <c r="M585" s="49">
        <f>IFERROR(__xludf.DUMMYFUNCTION("""COMPUTED_VALUE"""),1.0)</f>
        <v>1</v>
      </c>
      <c r="N585" s="50"/>
      <c r="O585" s="38"/>
      <c r="P585" s="45" t="str">
        <f>IFERROR(__xludf.DUMMYFUNCTION("""COMPUTED_VALUE"""),"")</f>
        <v/>
      </c>
      <c r="Q585" s="46" t="str">
        <f>IFERROR(__xludf.DUMMYFUNCTION("""COMPUTED_VALUE"""),"AP")</f>
        <v>AP</v>
      </c>
      <c r="R585" s="47" t="str">
        <f>IFERROR(__xludf.DUMMYFUNCTION("""COMPUTED_VALUE"""),"")</f>
        <v/>
      </c>
      <c r="S585" s="48" t="str">
        <f>IFERROR(__xludf.DUMMYFUNCTION("""COMPUTED_VALUE"""),"%")</f>
        <v>%</v>
      </c>
      <c r="T585" s="49">
        <f>IFERROR(__xludf.DUMMYFUNCTION("""COMPUTED_VALUE"""),2.0)</f>
        <v>2</v>
      </c>
      <c r="U585" s="50"/>
      <c r="V585" s="38"/>
      <c r="W585" s="45" t="str">
        <f>IFERROR(__xludf.DUMMYFUNCTION("""COMPUTED_VALUE"""),"")</f>
        <v/>
      </c>
      <c r="X585" s="46" t="str">
        <f>IFERROR(__xludf.DUMMYFUNCTION("""COMPUTED_VALUE"""),"AP")</f>
        <v>AP</v>
      </c>
      <c r="Y585" s="47" t="str">
        <f>IFERROR(__xludf.DUMMYFUNCTION("""COMPUTED_VALUE"""),"")</f>
        <v/>
      </c>
      <c r="Z585" s="48" t="str">
        <f>IFERROR(__xludf.DUMMYFUNCTION("""COMPUTED_VALUE"""),"%")</f>
        <v>%</v>
      </c>
      <c r="AA585" s="49">
        <f>IFERROR(__xludf.DUMMYFUNCTION("""COMPUTED_VALUE"""),3.0)</f>
        <v>3</v>
      </c>
      <c r="AB585" s="50"/>
      <c r="AC585" s="38"/>
      <c r="AD585" s="45" t="str">
        <f>IFERROR(__xludf.DUMMYFUNCTION("""COMPUTED_VALUE"""),"")</f>
        <v/>
      </c>
      <c r="AE585" s="46" t="str">
        <f>IFERROR(__xludf.DUMMYFUNCTION("""COMPUTED_VALUE"""),"AP")</f>
        <v>AP</v>
      </c>
      <c r="AF585" s="47" t="str">
        <f>IFERROR(__xludf.DUMMYFUNCTION("""COMPUTED_VALUE"""),"")</f>
        <v/>
      </c>
      <c r="AG585" s="48" t="str">
        <f>IFERROR(__xludf.DUMMYFUNCTION("""COMPUTED_VALUE"""),"%")</f>
        <v>%</v>
      </c>
      <c r="AH585" s="43"/>
      <c r="AI585" s="44"/>
      <c r="AJ585" s="51"/>
    </row>
    <row r="586" ht="24.75" hidden="1" customHeight="1">
      <c r="A586" s="28">
        <f>IFERROR(__xludf.DUMMYFUNCTION("""COMPUTED_VALUE"""),9.0)</f>
        <v>9</v>
      </c>
      <c r="B586" s="28" t="str">
        <f>IFERROR(__xludf.DUMMYFUNCTION("""COMPUTED_VALUE"""),"A217")</f>
        <v>A217</v>
      </c>
      <c r="C586" s="28"/>
      <c r="D586" s="29"/>
      <c r="E586" s="67"/>
      <c r="F586" s="31"/>
      <c r="G586" s="32"/>
      <c r="H586" s="33" t="str">
        <f>IFERROR(__xludf.DUMMYFUNCTION("""COMPUTED_VALUE""")," ")</f>
        <v> </v>
      </c>
      <c r="I586" s="34"/>
      <c r="J586" s="35" t="str">
        <f>IFERROR(__xludf.DUMMYFUNCTION("""COMPUTED_VALUE"""),"AP")</f>
        <v>AP</v>
      </c>
      <c r="K586" s="34"/>
      <c r="L586" s="35" t="str">
        <f>IFERROR(__xludf.DUMMYFUNCTION("""COMPUTED_VALUE"""),"%")</f>
        <v>%</v>
      </c>
      <c r="M586" s="36">
        <f>IFERROR(__xludf.DUMMYFUNCTION("""COMPUTED_VALUE"""),1.0)</f>
        <v>1</v>
      </c>
      <c r="N586" s="37"/>
      <c r="O586" s="38"/>
      <c r="P586" s="34" t="str">
        <f>IFERROR(__xludf.DUMMYFUNCTION("""COMPUTED_VALUE"""),"")</f>
        <v/>
      </c>
      <c r="Q586" s="35" t="str">
        <f>IFERROR(__xludf.DUMMYFUNCTION("""COMPUTED_VALUE"""),"AP")</f>
        <v>AP</v>
      </c>
      <c r="R586" s="34" t="str">
        <f>IFERROR(__xludf.DUMMYFUNCTION("""COMPUTED_VALUE"""),"")</f>
        <v/>
      </c>
      <c r="S586" s="35" t="str">
        <f>IFERROR(__xludf.DUMMYFUNCTION("""COMPUTED_VALUE"""),"%")</f>
        <v>%</v>
      </c>
      <c r="T586" s="36">
        <f>IFERROR(__xludf.DUMMYFUNCTION("""COMPUTED_VALUE"""),2.0)</f>
        <v>2</v>
      </c>
      <c r="U586" s="37"/>
      <c r="V586" s="38"/>
      <c r="W586" s="34" t="str">
        <f>IFERROR(__xludf.DUMMYFUNCTION("""COMPUTED_VALUE"""),"")</f>
        <v/>
      </c>
      <c r="X586" s="35" t="str">
        <f>IFERROR(__xludf.DUMMYFUNCTION("""COMPUTED_VALUE"""),"AP")</f>
        <v>AP</v>
      </c>
      <c r="Y586" s="34" t="str">
        <f>IFERROR(__xludf.DUMMYFUNCTION("""COMPUTED_VALUE"""),"")</f>
        <v/>
      </c>
      <c r="Z586" s="35" t="str">
        <f>IFERROR(__xludf.DUMMYFUNCTION("""COMPUTED_VALUE"""),"%")</f>
        <v>%</v>
      </c>
      <c r="AA586" s="36">
        <f>IFERROR(__xludf.DUMMYFUNCTION("""COMPUTED_VALUE"""),3.0)</f>
        <v>3</v>
      </c>
      <c r="AB586" s="37"/>
      <c r="AC586" s="38"/>
      <c r="AD586" s="34" t="str">
        <f>IFERROR(__xludf.DUMMYFUNCTION("""COMPUTED_VALUE"""),"")</f>
        <v/>
      </c>
      <c r="AE586" s="35" t="str">
        <f>IFERROR(__xludf.DUMMYFUNCTION("""COMPUTED_VALUE"""),"AP")</f>
        <v>AP</v>
      </c>
      <c r="AF586" s="34" t="str">
        <f>IFERROR(__xludf.DUMMYFUNCTION("""COMPUTED_VALUE"""),"")</f>
        <v/>
      </c>
      <c r="AG586" s="35" t="str">
        <f>IFERROR(__xludf.DUMMYFUNCTION("""COMPUTED_VALUE"""),"%")</f>
        <v>%</v>
      </c>
      <c r="AH586" s="31"/>
      <c r="AI586" s="32"/>
      <c r="AJ586" s="39"/>
    </row>
    <row r="587" ht="24.75" hidden="1" customHeight="1">
      <c r="A587" s="40">
        <f>IFERROR(__xludf.DUMMYFUNCTION("""COMPUTED_VALUE"""),10.0)</f>
        <v>10</v>
      </c>
      <c r="B587" s="40" t="str">
        <f>IFERROR(__xludf.DUMMYFUNCTION("""COMPUTED_VALUE"""),"A217")</f>
        <v>A217</v>
      </c>
      <c r="C587" s="40"/>
      <c r="D587" s="41"/>
      <c r="E587" s="66"/>
      <c r="F587" s="43"/>
      <c r="G587" s="44"/>
      <c r="H587" s="33" t="str">
        <f>IFERROR(__xludf.DUMMYFUNCTION("""COMPUTED_VALUE""")," ")</f>
        <v> </v>
      </c>
      <c r="I587" s="45"/>
      <c r="J587" s="46" t="str">
        <f>IFERROR(__xludf.DUMMYFUNCTION("""COMPUTED_VALUE"""),"AP")</f>
        <v>AP</v>
      </c>
      <c r="K587" s="47"/>
      <c r="L587" s="48" t="str">
        <f>IFERROR(__xludf.DUMMYFUNCTION("""COMPUTED_VALUE"""),"%")</f>
        <v>%</v>
      </c>
      <c r="M587" s="49">
        <f>IFERROR(__xludf.DUMMYFUNCTION("""COMPUTED_VALUE"""),1.0)</f>
        <v>1</v>
      </c>
      <c r="N587" s="50"/>
      <c r="O587" s="38"/>
      <c r="P587" s="45" t="str">
        <f>IFERROR(__xludf.DUMMYFUNCTION("""COMPUTED_VALUE"""),"")</f>
        <v/>
      </c>
      <c r="Q587" s="46" t="str">
        <f>IFERROR(__xludf.DUMMYFUNCTION("""COMPUTED_VALUE"""),"AP")</f>
        <v>AP</v>
      </c>
      <c r="R587" s="47" t="str">
        <f>IFERROR(__xludf.DUMMYFUNCTION("""COMPUTED_VALUE"""),"")</f>
        <v/>
      </c>
      <c r="S587" s="48" t="str">
        <f>IFERROR(__xludf.DUMMYFUNCTION("""COMPUTED_VALUE"""),"%")</f>
        <v>%</v>
      </c>
      <c r="T587" s="49">
        <f>IFERROR(__xludf.DUMMYFUNCTION("""COMPUTED_VALUE"""),2.0)</f>
        <v>2</v>
      </c>
      <c r="U587" s="50"/>
      <c r="V587" s="38"/>
      <c r="W587" s="45" t="str">
        <f>IFERROR(__xludf.DUMMYFUNCTION("""COMPUTED_VALUE"""),"")</f>
        <v/>
      </c>
      <c r="X587" s="46" t="str">
        <f>IFERROR(__xludf.DUMMYFUNCTION("""COMPUTED_VALUE"""),"AP")</f>
        <v>AP</v>
      </c>
      <c r="Y587" s="47" t="str">
        <f>IFERROR(__xludf.DUMMYFUNCTION("""COMPUTED_VALUE"""),"")</f>
        <v/>
      </c>
      <c r="Z587" s="48" t="str">
        <f>IFERROR(__xludf.DUMMYFUNCTION("""COMPUTED_VALUE"""),"%")</f>
        <v>%</v>
      </c>
      <c r="AA587" s="49">
        <f>IFERROR(__xludf.DUMMYFUNCTION("""COMPUTED_VALUE"""),3.0)</f>
        <v>3</v>
      </c>
      <c r="AB587" s="50"/>
      <c r="AC587" s="38"/>
      <c r="AD587" s="45" t="str">
        <f>IFERROR(__xludf.DUMMYFUNCTION("""COMPUTED_VALUE"""),"")</f>
        <v/>
      </c>
      <c r="AE587" s="46" t="str">
        <f>IFERROR(__xludf.DUMMYFUNCTION("""COMPUTED_VALUE"""),"AP")</f>
        <v>AP</v>
      </c>
      <c r="AF587" s="47" t="str">
        <f>IFERROR(__xludf.DUMMYFUNCTION("""COMPUTED_VALUE"""),"")</f>
        <v/>
      </c>
      <c r="AG587" s="48" t="str">
        <f>IFERROR(__xludf.DUMMYFUNCTION("""COMPUTED_VALUE"""),"%")</f>
        <v>%</v>
      </c>
      <c r="AH587" s="43"/>
      <c r="AI587" s="44"/>
      <c r="AJ587" s="51"/>
    </row>
    <row r="588" ht="24.75" hidden="1" customHeight="1">
      <c r="A588" s="28">
        <f>IFERROR(__xludf.DUMMYFUNCTION("""COMPUTED_VALUE"""),11.0)</f>
        <v>11</v>
      </c>
      <c r="B588" s="28" t="str">
        <f>IFERROR(__xludf.DUMMYFUNCTION("""COMPUTED_VALUE"""),"A217")</f>
        <v>A217</v>
      </c>
      <c r="C588" s="28"/>
      <c r="D588" s="29"/>
      <c r="E588" s="67"/>
      <c r="F588" s="31"/>
      <c r="G588" s="32"/>
      <c r="H588" s="33" t="str">
        <f>IFERROR(__xludf.DUMMYFUNCTION("""COMPUTED_VALUE""")," ")</f>
        <v> </v>
      </c>
      <c r="I588" s="34"/>
      <c r="J588" s="35" t="str">
        <f>IFERROR(__xludf.DUMMYFUNCTION("""COMPUTED_VALUE"""),"AP")</f>
        <v>AP</v>
      </c>
      <c r="K588" s="34"/>
      <c r="L588" s="35" t="str">
        <f>IFERROR(__xludf.DUMMYFUNCTION("""COMPUTED_VALUE"""),"%")</f>
        <v>%</v>
      </c>
      <c r="M588" s="36">
        <f>IFERROR(__xludf.DUMMYFUNCTION("""COMPUTED_VALUE"""),1.0)</f>
        <v>1</v>
      </c>
      <c r="N588" s="37"/>
      <c r="O588" s="38"/>
      <c r="P588" s="34" t="str">
        <f>IFERROR(__xludf.DUMMYFUNCTION("""COMPUTED_VALUE"""),"")</f>
        <v/>
      </c>
      <c r="Q588" s="35" t="str">
        <f>IFERROR(__xludf.DUMMYFUNCTION("""COMPUTED_VALUE"""),"AP")</f>
        <v>AP</v>
      </c>
      <c r="R588" s="34" t="str">
        <f>IFERROR(__xludf.DUMMYFUNCTION("""COMPUTED_VALUE"""),"")</f>
        <v/>
      </c>
      <c r="S588" s="35" t="str">
        <f>IFERROR(__xludf.DUMMYFUNCTION("""COMPUTED_VALUE"""),"%")</f>
        <v>%</v>
      </c>
      <c r="T588" s="36">
        <f>IFERROR(__xludf.DUMMYFUNCTION("""COMPUTED_VALUE"""),2.0)</f>
        <v>2</v>
      </c>
      <c r="U588" s="37"/>
      <c r="V588" s="38"/>
      <c r="W588" s="34" t="str">
        <f>IFERROR(__xludf.DUMMYFUNCTION("""COMPUTED_VALUE"""),"")</f>
        <v/>
      </c>
      <c r="X588" s="35" t="str">
        <f>IFERROR(__xludf.DUMMYFUNCTION("""COMPUTED_VALUE"""),"AP")</f>
        <v>AP</v>
      </c>
      <c r="Y588" s="34" t="str">
        <f>IFERROR(__xludf.DUMMYFUNCTION("""COMPUTED_VALUE"""),"")</f>
        <v/>
      </c>
      <c r="Z588" s="35" t="str">
        <f>IFERROR(__xludf.DUMMYFUNCTION("""COMPUTED_VALUE"""),"%")</f>
        <v>%</v>
      </c>
      <c r="AA588" s="36">
        <f>IFERROR(__xludf.DUMMYFUNCTION("""COMPUTED_VALUE"""),3.0)</f>
        <v>3</v>
      </c>
      <c r="AB588" s="37"/>
      <c r="AC588" s="38"/>
      <c r="AD588" s="34" t="str">
        <f>IFERROR(__xludf.DUMMYFUNCTION("""COMPUTED_VALUE"""),"")</f>
        <v/>
      </c>
      <c r="AE588" s="35" t="str">
        <f>IFERROR(__xludf.DUMMYFUNCTION("""COMPUTED_VALUE"""),"AP")</f>
        <v>AP</v>
      </c>
      <c r="AF588" s="34" t="str">
        <f>IFERROR(__xludf.DUMMYFUNCTION("""COMPUTED_VALUE"""),"")</f>
        <v/>
      </c>
      <c r="AG588" s="35" t="str">
        <f>IFERROR(__xludf.DUMMYFUNCTION("""COMPUTED_VALUE"""),"%")</f>
        <v>%</v>
      </c>
      <c r="AH588" s="31"/>
      <c r="AI588" s="32"/>
      <c r="AJ588" s="39"/>
    </row>
    <row r="589" ht="24.75" hidden="1" customHeight="1">
      <c r="A589" s="40">
        <f>IFERROR(__xludf.DUMMYFUNCTION("""COMPUTED_VALUE"""),12.0)</f>
        <v>12</v>
      </c>
      <c r="B589" s="40" t="str">
        <f>IFERROR(__xludf.DUMMYFUNCTION("""COMPUTED_VALUE"""),"A217")</f>
        <v>A217</v>
      </c>
      <c r="C589" s="40"/>
      <c r="D589" s="41"/>
      <c r="E589" s="66"/>
      <c r="F589" s="43"/>
      <c r="G589" s="44"/>
      <c r="H589" s="33" t="str">
        <f>IFERROR(__xludf.DUMMYFUNCTION("""COMPUTED_VALUE""")," ")</f>
        <v> </v>
      </c>
      <c r="I589" s="45"/>
      <c r="J589" s="46" t="str">
        <f>IFERROR(__xludf.DUMMYFUNCTION("""COMPUTED_VALUE"""),"AP")</f>
        <v>AP</v>
      </c>
      <c r="K589" s="47"/>
      <c r="L589" s="48" t="str">
        <f>IFERROR(__xludf.DUMMYFUNCTION("""COMPUTED_VALUE"""),"%")</f>
        <v>%</v>
      </c>
      <c r="M589" s="49">
        <f>IFERROR(__xludf.DUMMYFUNCTION("""COMPUTED_VALUE"""),1.0)</f>
        <v>1</v>
      </c>
      <c r="N589" s="50"/>
      <c r="O589" s="38"/>
      <c r="P589" s="45" t="str">
        <f>IFERROR(__xludf.DUMMYFUNCTION("""COMPUTED_VALUE"""),"")</f>
        <v/>
      </c>
      <c r="Q589" s="46" t="str">
        <f>IFERROR(__xludf.DUMMYFUNCTION("""COMPUTED_VALUE"""),"AP")</f>
        <v>AP</v>
      </c>
      <c r="R589" s="47" t="str">
        <f>IFERROR(__xludf.DUMMYFUNCTION("""COMPUTED_VALUE"""),"")</f>
        <v/>
      </c>
      <c r="S589" s="48" t="str">
        <f>IFERROR(__xludf.DUMMYFUNCTION("""COMPUTED_VALUE"""),"%")</f>
        <v>%</v>
      </c>
      <c r="T589" s="49">
        <f>IFERROR(__xludf.DUMMYFUNCTION("""COMPUTED_VALUE"""),2.0)</f>
        <v>2</v>
      </c>
      <c r="U589" s="50"/>
      <c r="V589" s="38"/>
      <c r="W589" s="45" t="str">
        <f>IFERROR(__xludf.DUMMYFUNCTION("""COMPUTED_VALUE"""),"")</f>
        <v/>
      </c>
      <c r="X589" s="46" t="str">
        <f>IFERROR(__xludf.DUMMYFUNCTION("""COMPUTED_VALUE"""),"AP")</f>
        <v>AP</v>
      </c>
      <c r="Y589" s="47" t="str">
        <f>IFERROR(__xludf.DUMMYFUNCTION("""COMPUTED_VALUE"""),"")</f>
        <v/>
      </c>
      <c r="Z589" s="48" t="str">
        <f>IFERROR(__xludf.DUMMYFUNCTION("""COMPUTED_VALUE"""),"%")</f>
        <v>%</v>
      </c>
      <c r="AA589" s="49">
        <f>IFERROR(__xludf.DUMMYFUNCTION("""COMPUTED_VALUE"""),3.0)</f>
        <v>3</v>
      </c>
      <c r="AB589" s="50"/>
      <c r="AC589" s="38"/>
      <c r="AD589" s="45" t="str">
        <f>IFERROR(__xludf.DUMMYFUNCTION("""COMPUTED_VALUE"""),"")</f>
        <v/>
      </c>
      <c r="AE589" s="46" t="str">
        <f>IFERROR(__xludf.DUMMYFUNCTION("""COMPUTED_VALUE"""),"AP")</f>
        <v>AP</v>
      </c>
      <c r="AF589" s="47" t="str">
        <f>IFERROR(__xludf.DUMMYFUNCTION("""COMPUTED_VALUE"""),"")</f>
        <v/>
      </c>
      <c r="AG589" s="48" t="str">
        <f>IFERROR(__xludf.DUMMYFUNCTION("""COMPUTED_VALUE"""),"%")</f>
        <v>%</v>
      </c>
      <c r="AH589" s="43"/>
      <c r="AI589" s="44"/>
      <c r="AJ589" s="51"/>
    </row>
    <row r="590" ht="24.75" hidden="1" customHeight="1">
      <c r="A590" s="28">
        <f>IFERROR(__xludf.DUMMYFUNCTION("""COMPUTED_VALUE"""),13.0)</f>
        <v>13</v>
      </c>
      <c r="B590" s="28" t="str">
        <f>IFERROR(__xludf.DUMMYFUNCTION("""COMPUTED_VALUE"""),"A217")</f>
        <v>A217</v>
      </c>
      <c r="C590" s="28"/>
      <c r="D590" s="29"/>
      <c r="E590" s="67"/>
      <c r="F590" s="31"/>
      <c r="G590" s="32"/>
      <c r="H590" s="33" t="str">
        <f>IFERROR(__xludf.DUMMYFUNCTION("""COMPUTED_VALUE""")," ")</f>
        <v> </v>
      </c>
      <c r="I590" s="34"/>
      <c r="J590" s="35" t="str">
        <f>IFERROR(__xludf.DUMMYFUNCTION("""COMPUTED_VALUE"""),"AP")</f>
        <v>AP</v>
      </c>
      <c r="K590" s="34"/>
      <c r="L590" s="35" t="str">
        <f>IFERROR(__xludf.DUMMYFUNCTION("""COMPUTED_VALUE"""),"%")</f>
        <v>%</v>
      </c>
      <c r="M590" s="36">
        <f>IFERROR(__xludf.DUMMYFUNCTION("""COMPUTED_VALUE"""),1.0)</f>
        <v>1</v>
      </c>
      <c r="N590" s="37"/>
      <c r="O590" s="38"/>
      <c r="P590" s="34" t="str">
        <f>IFERROR(__xludf.DUMMYFUNCTION("""COMPUTED_VALUE"""),"")</f>
        <v/>
      </c>
      <c r="Q590" s="35" t="str">
        <f>IFERROR(__xludf.DUMMYFUNCTION("""COMPUTED_VALUE"""),"AP")</f>
        <v>AP</v>
      </c>
      <c r="R590" s="34" t="str">
        <f>IFERROR(__xludf.DUMMYFUNCTION("""COMPUTED_VALUE"""),"")</f>
        <v/>
      </c>
      <c r="S590" s="35" t="str">
        <f>IFERROR(__xludf.DUMMYFUNCTION("""COMPUTED_VALUE"""),"%")</f>
        <v>%</v>
      </c>
      <c r="T590" s="36">
        <f>IFERROR(__xludf.DUMMYFUNCTION("""COMPUTED_VALUE"""),2.0)</f>
        <v>2</v>
      </c>
      <c r="U590" s="37"/>
      <c r="V590" s="38"/>
      <c r="W590" s="34" t="str">
        <f>IFERROR(__xludf.DUMMYFUNCTION("""COMPUTED_VALUE"""),"")</f>
        <v/>
      </c>
      <c r="X590" s="35" t="str">
        <f>IFERROR(__xludf.DUMMYFUNCTION("""COMPUTED_VALUE"""),"AP")</f>
        <v>AP</v>
      </c>
      <c r="Y590" s="34" t="str">
        <f>IFERROR(__xludf.DUMMYFUNCTION("""COMPUTED_VALUE"""),"")</f>
        <v/>
      </c>
      <c r="Z590" s="35" t="str">
        <f>IFERROR(__xludf.DUMMYFUNCTION("""COMPUTED_VALUE"""),"%")</f>
        <v>%</v>
      </c>
      <c r="AA590" s="36">
        <f>IFERROR(__xludf.DUMMYFUNCTION("""COMPUTED_VALUE"""),3.0)</f>
        <v>3</v>
      </c>
      <c r="AB590" s="37"/>
      <c r="AC590" s="38"/>
      <c r="AD590" s="34" t="str">
        <f>IFERROR(__xludf.DUMMYFUNCTION("""COMPUTED_VALUE"""),"")</f>
        <v/>
      </c>
      <c r="AE590" s="35" t="str">
        <f>IFERROR(__xludf.DUMMYFUNCTION("""COMPUTED_VALUE"""),"AP")</f>
        <v>AP</v>
      </c>
      <c r="AF590" s="34" t="str">
        <f>IFERROR(__xludf.DUMMYFUNCTION("""COMPUTED_VALUE"""),"")</f>
        <v/>
      </c>
      <c r="AG590" s="35" t="str">
        <f>IFERROR(__xludf.DUMMYFUNCTION("""COMPUTED_VALUE"""),"%")</f>
        <v>%</v>
      </c>
      <c r="AH590" s="31"/>
      <c r="AI590" s="32"/>
      <c r="AJ590" s="39"/>
    </row>
    <row r="591" ht="24.75" hidden="1" customHeight="1">
      <c r="A591" s="40">
        <f>IFERROR(__xludf.DUMMYFUNCTION("""COMPUTED_VALUE"""),14.0)</f>
        <v>14</v>
      </c>
      <c r="B591" s="40" t="str">
        <f>IFERROR(__xludf.DUMMYFUNCTION("""COMPUTED_VALUE"""),"A217")</f>
        <v>A217</v>
      </c>
      <c r="C591" s="40"/>
      <c r="D591" s="41"/>
      <c r="E591" s="66"/>
      <c r="F591" s="43"/>
      <c r="G591" s="44"/>
      <c r="H591" s="33" t="str">
        <f>IFERROR(__xludf.DUMMYFUNCTION("""COMPUTED_VALUE""")," ")</f>
        <v> </v>
      </c>
      <c r="I591" s="45"/>
      <c r="J591" s="46" t="str">
        <f>IFERROR(__xludf.DUMMYFUNCTION("""COMPUTED_VALUE"""),"AP")</f>
        <v>AP</v>
      </c>
      <c r="K591" s="47"/>
      <c r="L591" s="48" t="str">
        <f>IFERROR(__xludf.DUMMYFUNCTION("""COMPUTED_VALUE"""),"%")</f>
        <v>%</v>
      </c>
      <c r="M591" s="49">
        <f>IFERROR(__xludf.DUMMYFUNCTION("""COMPUTED_VALUE"""),1.0)</f>
        <v>1</v>
      </c>
      <c r="N591" s="50"/>
      <c r="O591" s="38"/>
      <c r="P591" s="45" t="str">
        <f>IFERROR(__xludf.DUMMYFUNCTION("""COMPUTED_VALUE"""),"")</f>
        <v/>
      </c>
      <c r="Q591" s="46" t="str">
        <f>IFERROR(__xludf.DUMMYFUNCTION("""COMPUTED_VALUE"""),"AP")</f>
        <v>AP</v>
      </c>
      <c r="R591" s="47" t="str">
        <f>IFERROR(__xludf.DUMMYFUNCTION("""COMPUTED_VALUE"""),"")</f>
        <v/>
      </c>
      <c r="S591" s="48" t="str">
        <f>IFERROR(__xludf.DUMMYFUNCTION("""COMPUTED_VALUE"""),"%")</f>
        <v>%</v>
      </c>
      <c r="T591" s="49">
        <f>IFERROR(__xludf.DUMMYFUNCTION("""COMPUTED_VALUE"""),2.0)</f>
        <v>2</v>
      </c>
      <c r="U591" s="50"/>
      <c r="V591" s="38"/>
      <c r="W591" s="45" t="str">
        <f>IFERROR(__xludf.DUMMYFUNCTION("""COMPUTED_VALUE"""),"")</f>
        <v/>
      </c>
      <c r="X591" s="46" t="str">
        <f>IFERROR(__xludf.DUMMYFUNCTION("""COMPUTED_VALUE"""),"AP")</f>
        <v>AP</v>
      </c>
      <c r="Y591" s="47" t="str">
        <f>IFERROR(__xludf.DUMMYFUNCTION("""COMPUTED_VALUE"""),"")</f>
        <v/>
      </c>
      <c r="Z591" s="48" t="str">
        <f>IFERROR(__xludf.DUMMYFUNCTION("""COMPUTED_VALUE"""),"%")</f>
        <v>%</v>
      </c>
      <c r="AA591" s="49">
        <f>IFERROR(__xludf.DUMMYFUNCTION("""COMPUTED_VALUE"""),3.0)</f>
        <v>3</v>
      </c>
      <c r="AB591" s="50"/>
      <c r="AC591" s="38"/>
      <c r="AD591" s="45" t="str">
        <f>IFERROR(__xludf.DUMMYFUNCTION("""COMPUTED_VALUE"""),"")</f>
        <v/>
      </c>
      <c r="AE591" s="46" t="str">
        <f>IFERROR(__xludf.DUMMYFUNCTION("""COMPUTED_VALUE"""),"AP")</f>
        <v>AP</v>
      </c>
      <c r="AF591" s="47" t="str">
        <f>IFERROR(__xludf.DUMMYFUNCTION("""COMPUTED_VALUE"""),"")</f>
        <v/>
      </c>
      <c r="AG591" s="48" t="str">
        <f>IFERROR(__xludf.DUMMYFUNCTION("""COMPUTED_VALUE"""),"%")</f>
        <v>%</v>
      </c>
      <c r="AH591" s="43"/>
      <c r="AI591" s="44"/>
      <c r="AJ591" s="51"/>
    </row>
    <row r="592" ht="24.75" hidden="1" customHeight="1">
      <c r="A592" s="28">
        <f>IFERROR(__xludf.DUMMYFUNCTION("""COMPUTED_VALUE"""),15.0)</f>
        <v>15</v>
      </c>
      <c r="B592" s="28" t="str">
        <f>IFERROR(__xludf.DUMMYFUNCTION("""COMPUTED_VALUE"""),"A217")</f>
        <v>A217</v>
      </c>
      <c r="C592" s="28"/>
      <c r="D592" s="29"/>
      <c r="E592" s="67"/>
      <c r="F592" s="31"/>
      <c r="G592" s="32"/>
      <c r="H592" s="33" t="str">
        <f>IFERROR(__xludf.DUMMYFUNCTION("""COMPUTED_VALUE""")," ")</f>
        <v> </v>
      </c>
      <c r="I592" s="34"/>
      <c r="J592" s="35" t="str">
        <f>IFERROR(__xludf.DUMMYFUNCTION("""COMPUTED_VALUE"""),"AP")</f>
        <v>AP</v>
      </c>
      <c r="K592" s="34"/>
      <c r="L592" s="35" t="str">
        <f>IFERROR(__xludf.DUMMYFUNCTION("""COMPUTED_VALUE"""),"%")</f>
        <v>%</v>
      </c>
      <c r="M592" s="36">
        <f>IFERROR(__xludf.DUMMYFUNCTION("""COMPUTED_VALUE"""),1.0)</f>
        <v>1</v>
      </c>
      <c r="N592" s="37"/>
      <c r="O592" s="38"/>
      <c r="P592" s="34" t="str">
        <f>IFERROR(__xludf.DUMMYFUNCTION("""COMPUTED_VALUE"""),"")</f>
        <v/>
      </c>
      <c r="Q592" s="35" t="str">
        <f>IFERROR(__xludf.DUMMYFUNCTION("""COMPUTED_VALUE"""),"AP")</f>
        <v>AP</v>
      </c>
      <c r="R592" s="34" t="str">
        <f>IFERROR(__xludf.DUMMYFUNCTION("""COMPUTED_VALUE"""),"")</f>
        <v/>
      </c>
      <c r="S592" s="35" t="str">
        <f>IFERROR(__xludf.DUMMYFUNCTION("""COMPUTED_VALUE"""),"%")</f>
        <v>%</v>
      </c>
      <c r="T592" s="36">
        <f>IFERROR(__xludf.DUMMYFUNCTION("""COMPUTED_VALUE"""),2.0)</f>
        <v>2</v>
      </c>
      <c r="U592" s="37"/>
      <c r="V592" s="38"/>
      <c r="W592" s="34" t="str">
        <f>IFERROR(__xludf.DUMMYFUNCTION("""COMPUTED_VALUE"""),"")</f>
        <v/>
      </c>
      <c r="X592" s="35" t="str">
        <f>IFERROR(__xludf.DUMMYFUNCTION("""COMPUTED_VALUE"""),"AP")</f>
        <v>AP</v>
      </c>
      <c r="Y592" s="34" t="str">
        <f>IFERROR(__xludf.DUMMYFUNCTION("""COMPUTED_VALUE"""),"")</f>
        <v/>
      </c>
      <c r="Z592" s="35" t="str">
        <f>IFERROR(__xludf.DUMMYFUNCTION("""COMPUTED_VALUE"""),"%")</f>
        <v>%</v>
      </c>
      <c r="AA592" s="36">
        <f>IFERROR(__xludf.DUMMYFUNCTION("""COMPUTED_VALUE"""),3.0)</f>
        <v>3</v>
      </c>
      <c r="AB592" s="37"/>
      <c r="AC592" s="38"/>
      <c r="AD592" s="34" t="str">
        <f>IFERROR(__xludf.DUMMYFUNCTION("""COMPUTED_VALUE"""),"")</f>
        <v/>
      </c>
      <c r="AE592" s="35" t="str">
        <f>IFERROR(__xludf.DUMMYFUNCTION("""COMPUTED_VALUE"""),"AP")</f>
        <v>AP</v>
      </c>
      <c r="AF592" s="34" t="str">
        <f>IFERROR(__xludf.DUMMYFUNCTION("""COMPUTED_VALUE"""),"")</f>
        <v/>
      </c>
      <c r="AG592" s="35" t="str">
        <f>IFERROR(__xludf.DUMMYFUNCTION("""COMPUTED_VALUE"""),"%")</f>
        <v>%</v>
      </c>
      <c r="AH592" s="31"/>
      <c r="AI592" s="32"/>
      <c r="AJ592" s="39"/>
    </row>
    <row r="593" ht="24.75" hidden="1" customHeight="1">
      <c r="A593" s="40">
        <f>IFERROR(__xludf.DUMMYFUNCTION("""COMPUTED_VALUE"""),16.0)</f>
        <v>16</v>
      </c>
      <c r="B593" s="40" t="str">
        <f>IFERROR(__xludf.DUMMYFUNCTION("""COMPUTED_VALUE"""),"A217")</f>
        <v>A217</v>
      </c>
      <c r="C593" s="40"/>
      <c r="D593" s="41"/>
      <c r="E593" s="66"/>
      <c r="F593" s="43"/>
      <c r="G593" s="44"/>
      <c r="H593" s="33" t="str">
        <f>IFERROR(__xludf.DUMMYFUNCTION("""COMPUTED_VALUE""")," ")</f>
        <v> </v>
      </c>
      <c r="I593" s="45"/>
      <c r="J593" s="46" t="str">
        <f>IFERROR(__xludf.DUMMYFUNCTION("""COMPUTED_VALUE"""),"AP")</f>
        <v>AP</v>
      </c>
      <c r="K593" s="47"/>
      <c r="L593" s="48" t="str">
        <f>IFERROR(__xludf.DUMMYFUNCTION("""COMPUTED_VALUE"""),"%")</f>
        <v>%</v>
      </c>
      <c r="M593" s="49">
        <f>IFERROR(__xludf.DUMMYFUNCTION("""COMPUTED_VALUE"""),1.0)</f>
        <v>1</v>
      </c>
      <c r="N593" s="50"/>
      <c r="O593" s="38"/>
      <c r="P593" s="45" t="str">
        <f>IFERROR(__xludf.DUMMYFUNCTION("""COMPUTED_VALUE"""),"")</f>
        <v/>
      </c>
      <c r="Q593" s="46" t="str">
        <f>IFERROR(__xludf.DUMMYFUNCTION("""COMPUTED_VALUE"""),"AP")</f>
        <v>AP</v>
      </c>
      <c r="R593" s="47" t="str">
        <f>IFERROR(__xludf.DUMMYFUNCTION("""COMPUTED_VALUE"""),"")</f>
        <v/>
      </c>
      <c r="S593" s="48" t="str">
        <f>IFERROR(__xludf.DUMMYFUNCTION("""COMPUTED_VALUE"""),"%")</f>
        <v>%</v>
      </c>
      <c r="T593" s="49">
        <f>IFERROR(__xludf.DUMMYFUNCTION("""COMPUTED_VALUE"""),2.0)</f>
        <v>2</v>
      </c>
      <c r="U593" s="50"/>
      <c r="V593" s="38"/>
      <c r="W593" s="45" t="str">
        <f>IFERROR(__xludf.DUMMYFUNCTION("""COMPUTED_VALUE"""),"")</f>
        <v/>
      </c>
      <c r="X593" s="46" t="str">
        <f>IFERROR(__xludf.DUMMYFUNCTION("""COMPUTED_VALUE"""),"AP")</f>
        <v>AP</v>
      </c>
      <c r="Y593" s="47" t="str">
        <f>IFERROR(__xludf.DUMMYFUNCTION("""COMPUTED_VALUE"""),"")</f>
        <v/>
      </c>
      <c r="Z593" s="48" t="str">
        <f>IFERROR(__xludf.DUMMYFUNCTION("""COMPUTED_VALUE"""),"%")</f>
        <v>%</v>
      </c>
      <c r="AA593" s="49">
        <f>IFERROR(__xludf.DUMMYFUNCTION("""COMPUTED_VALUE"""),3.0)</f>
        <v>3</v>
      </c>
      <c r="AB593" s="50"/>
      <c r="AC593" s="38"/>
      <c r="AD593" s="45" t="str">
        <f>IFERROR(__xludf.DUMMYFUNCTION("""COMPUTED_VALUE"""),"")</f>
        <v/>
      </c>
      <c r="AE593" s="46" t="str">
        <f>IFERROR(__xludf.DUMMYFUNCTION("""COMPUTED_VALUE"""),"AP")</f>
        <v>AP</v>
      </c>
      <c r="AF593" s="47" t="str">
        <f>IFERROR(__xludf.DUMMYFUNCTION("""COMPUTED_VALUE"""),"")</f>
        <v/>
      </c>
      <c r="AG593" s="48" t="str">
        <f>IFERROR(__xludf.DUMMYFUNCTION("""COMPUTED_VALUE"""),"%")</f>
        <v>%</v>
      </c>
      <c r="AH593" s="43"/>
      <c r="AI593" s="44"/>
      <c r="AJ593" s="51"/>
    </row>
    <row r="594" ht="24.75" hidden="1" customHeight="1">
      <c r="A594" s="28">
        <f>IFERROR(__xludf.DUMMYFUNCTION("""COMPUTED_VALUE"""),17.0)</f>
        <v>17</v>
      </c>
      <c r="B594" s="28" t="str">
        <f>IFERROR(__xludf.DUMMYFUNCTION("""COMPUTED_VALUE"""),"A217")</f>
        <v>A217</v>
      </c>
      <c r="C594" s="28"/>
      <c r="D594" s="29"/>
      <c r="E594" s="67"/>
      <c r="F594" s="31"/>
      <c r="G594" s="32"/>
      <c r="H594" s="33" t="str">
        <f>IFERROR(__xludf.DUMMYFUNCTION("""COMPUTED_VALUE""")," ")</f>
        <v> </v>
      </c>
      <c r="I594" s="34"/>
      <c r="J594" s="35" t="str">
        <f>IFERROR(__xludf.DUMMYFUNCTION("""COMPUTED_VALUE"""),"AP")</f>
        <v>AP</v>
      </c>
      <c r="K594" s="34"/>
      <c r="L594" s="35" t="str">
        <f>IFERROR(__xludf.DUMMYFUNCTION("""COMPUTED_VALUE"""),"%")</f>
        <v>%</v>
      </c>
      <c r="M594" s="36">
        <f>IFERROR(__xludf.DUMMYFUNCTION("""COMPUTED_VALUE"""),1.0)</f>
        <v>1</v>
      </c>
      <c r="N594" s="37"/>
      <c r="O594" s="38"/>
      <c r="P594" s="34" t="str">
        <f>IFERROR(__xludf.DUMMYFUNCTION("""COMPUTED_VALUE"""),"")</f>
        <v/>
      </c>
      <c r="Q594" s="35" t="str">
        <f>IFERROR(__xludf.DUMMYFUNCTION("""COMPUTED_VALUE"""),"AP")</f>
        <v>AP</v>
      </c>
      <c r="R594" s="34" t="str">
        <f>IFERROR(__xludf.DUMMYFUNCTION("""COMPUTED_VALUE"""),"")</f>
        <v/>
      </c>
      <c r="S594" s="35" t="str">
        <f>IFERROR(__xludf.DUMMYFUNCTION("""COMPUTED_VALUE"""),"%")</f>
        <v>%</v>
      </c>
      <c r="T594" s="36">
        <f>IFERROR(__xludf.DUMMYFUNCTION("""COMPUTED_VALUE"""),2.0)</f>
        <v>2</v>
      </c>
      <c r="U594" s="37"/>
      <c r="V594" s="38"/>
      <c r="W594" s="34" t="str">
        <f>IFERROR(__xludf.DUMMYFUNCTION("""COMPUTED_VALUE"""),"")</f>
        <v/>
      </c>
      <c r="X594" s="35" t="str">
        <f>IFERROR(__xludf.DUMMYFUNCTION("""COMPUTED_VALUE"""),"AP")</f>
        <v>AP</v>
      </c>
      <c r="Y594" s="34" t="str">
        <f>IFERROR(__xludf.DUMMYFUNCTION("""COMPUTED_VALUE"""),"")</f>
        <v/>
      </c>
      <c r="Z594" s="35" t="str">
        <f>IFERROR(__xludf.DUMMYFUNCTION("""COMPUTED_VALUE"""),"%")</f>
        <v>%</v>
      </c>
      <c r="AA594" s="36">
        <f>IFERROR(__xludf.DUMMYFUNCTION("""COMPUTED_VALUE"""),3.0)</f>
        <v>3</v>
      </c>
      <c r="AB594" s="37"/>
      <c r="AC594" s="38"/>
      <c r="AD594" s="34" t="str">
        <f>IFERROR(__xludf.DUMMYFUNCTION("""COMPUTED_VALUE"""),"")</f>
        <v/>
      </c>
      <c r="AE594" s="35" t="str">
        <f>IFERROR(__xludf.DUMMYFUNCTION("""COMPUTED_VALUE"""),"AP")</f>
        <v>AP</v>
      </c>
      <c r="AF594" s="34" t="str">
        <f>IFERROR(__xludf.DUMMYFUNCTION("""COMPUTED_VALUE"""),"")</f>
        <v/>
      </c>
      <c r="AG594" s="35" t="str">
        <f>IFERROR(__xludf.DUMMYFUNCTION("""COMPUTED_VALUE"""),"%")</f>
        <v>%</v>
      </c>
      <c r="AH594" s="31"/>
      <c r="AI594" s="32"/>
      <c r="AJ594" s="39"/>
    </row>
    <row r="595" ht="24.75" hidden="1" customHeight="1">
      <c r="A595" s="40">
        <f>IFERROR(__xludf.DUMMYFUNCTION("""COMPUTED_VALUE"""),18.0)</f>
        <v>18</v>
      </c>
      <c r="B595" s="40" t="str">
        <f>IFERROR(__xludf.DUMMYFUNCTION("""COMPUTED_VALUE"""),"A217")</f>
        <v>A217</v>
      </c>
      <c r="C595" s="40"/>
      <c r="D595" s="41"/>
      <c r="E595" s="66"/>
      <c r="F595" s="43"/>
      <c r="G595" s="44"/>
      <c r="H595" s="33" t="str">
        <f>IFERROR(__xludf.DUMMYFUNCTION("""COMPUTED_VALUE""")," ")</f>
        <v> </v>
      </c>
      <c r="I595" s="45"/>
      <c r="J595" s="46" t="str">
        <f>IFERROR(__xludf.DUMMYFUNCTION("""COMPUTED_VALUE"""),"AP")</f>
        <v>AP</v>
      </c>
      <c r="K595" s="47"/>
      <c r="L595" s="48" t="str">
        <f>IFERROR(__xludf.DUMMYFUNCTION("""COMPUTED_VALUE"""),"%")</f>
        <v>%</v>
      </c>
      <c r="M595" s="49">
        <f>IFERROR(__xludf.DUMMYFUNCTION("""COMPUTED_VALUE"""),1.0)</f>
        <v>1</v>
      </c>
      <c r="N595" s="50"/>
      <c r="O595" s="38"/>
      <c r="P595" s="45" t="str">
        <f>IFERROR(__xludf.DUMMYFUNCTION("""COMPUTED_VALUE"""),"")</f>
        <v/>
      </c>
      <c r="Q595" s="46" t="str">
        <f>IFERROR(__xludf.DUMMYFUNCTION("""COMPUTED_VALUE"""),"AP")</f>
        <v>AP</v>
      </c>
      <c r="R595" s="47" t="str">
        <f>IFERROR(__xludf.DUMMYFUNCTION("""COMPUTED_VALUE"""),"")</f>
        <v/>
      </c>
      <c r="S595" s="48" t="str">
        <f>IFERROR(__xludf.DUMMYFUNCTION("""COMPUTED_VALUE"""),"%")</f>
        <v>%</v>
      </c>
      <c r="T595" s="49">
        <f>IFERROR(__xludf.DUMMYFUNCTION("""COMPUTED_VALUE"""),2.0)</f>
        <v>2</v>
      </c>
      <c r="U595" s="50"/>
      <c r="V595" s="38"/>
      <c r="W595" s="45" t="str">
        <f>IFERROR(__xludf.DUMMYFUNCTION("""COMPUTED_VALUE"""),"")</f>
        <v/>
      </c>
      <c r="X595" s="46" t="str">
        <f>IFERROR(__xludf.DUMMYFUNCTION("""COMPUTED_VALUE"""),"AP")</f>
        <v>AP</v>
      </c>
      <c r="Y595" s="47" t="str">
        <f>IFERROR(__xludf.DUMMYFUNCTION("""COMPUTED_VALUE"""),"")</f>
        <v/>
      </c>
      <c r="Z595" s="48" t="str">
        <f>IFERROR(__xludf.DUMMYFUNCTION("""COMPUTED_VALUE"""),"%")</f>
        <v>%</v>
      </c>
      <c r="AA595" s="49">
        <f>IFERROR(__xludf.DUMMYFUNCTION("""COMPUTED_VALUE"""),3.0)</f>
        <v>3</v>
      </c>
      <c r="AB595" s="50"/>
      <c r="AC595" s="38"/>
      <c r="AD595" s="45" t="str">
        <f>IFERROR(__xludf.DUMMYFUNCTION("""COMPUTED_VALUE"""),"")</f>
        <v/>
      </c>
      <c r="AE595" s="46" t="str">
        <f>IFERROR(__xludf.DUMMYFUNCTION("""COMPUTED_VALUE"""),"AP")</f>
        <v>AP</v>
      </c>
      <c r="AF595" s="47" t="str">
        <f>IFERROR(__xludf.DUMMYFUNCTION("""COMPUTED_VALUE"""),"")</f>
        <v/>
      </c>
      <c r="AG595" s="48" t="str">
        <f>IFERROR(__xludf.DUMMYFUNCTION("""COMPUTED_VALUE"""),"%")</f>
        <v>%</v>
      </c>
      <c r="AH595" s="43"/>
      <c r="AI595" s="44"/>
      <c r="AJ595" s="51"/>
    </row>
    <row r="596" ht="24.75" hidden="1" customHeight="1">
      <c r="A596" s="28">
        <f>IFERROR(__xludf.DUMMYFUNCTION("""COMPUTED_VALUE"""),19.0)</f>
        <v>19</v>
      </c>
      <c r="B596" s="28" t="str">
        <f>IFERROR(__xludf.DUMMYFUNCTION("""COMPUTED_VALUE"""),"A217")</f>
        <v>A217</v>
      </c>
      <c r="C596" s="28"/>
      <c r="D596" s="29"/>
      <c r="E596" s="67"/>
      <c r="F596" s="31"/>
      <c r="G596" s="32"/>
      <c r="H596" s="33" t="str">
        <f>IFERROR(__xludf.DUMMYFUNCTION("""COMPUTED_VALUE""")," ")</f>
        <v> </v>
      </c>
      <c r="I596" s="34"/>
      <c r="J596" s="35" t="str">
        <f>IFERROR(__xludf.DUMMYFUNCTION("""COMPUTED_VALUE"""),"AP")</f>
        <v>AP</v>
      </c>
      <c r="K596" s="34"/>
      <c r="L596" s="35" t="str">
        <f>IFERROR(__xludf.DUMMYFUNCTION("""COMPUTED_VALUE"""),"%")</f>
        <v>%</v>
      </c>
      <c r="M596" s="36">
        <f>IFERROR(__xludf.DUMMYFUNCTION("""COMPUTED_VALUE"""),1.0)</f>
        <v>1</v>
      </c>
      <c r="N596" s="37"/>
      <c r="O596" s="38"/>
      <c r="P596" s="34" t="str">
        <f>IFERROR(__xludf.DUMMYFUNCTION("""COMPUTED_VALUE"""),"")</f>
        <v/>
      </c>
      <c r="Q596" s="35" t="str">
        <f>IFERROR(__xludf.DUMMYFUNCTION("""COMPUTED_VALUE"""),"AP")</f>
        <v>AP</v>
      </c>
      <c r="R596" s="34" t="str">
        <f>IFERROR(__xludf.DUMMYFUNCTION("""COMPUTED_VALUE"""),"")</f>
        <v/>
      </c>
      <c r="S596" s="35" t="str">
        <f>IFERROR(__xludf.DUMMYFUNCTION("""COMPUTED_VALUE"""),"%")</f>
        <v>%</v>
      </c>
      <c r="T596" s="36">
        <f>IFERROR(__xludf.DUMMYFUNCTION("""COMPUTED_VALUE"""),2.0)</f>
        <v>2</v>
      </c>
      <c r="U596" s="37"/>
      <c r="V596" s="38"/>
      <c r="W596" s="34" t="str">
        <f>IFERROR(__xludf.DUMMYFUNCTION("""COMPUTED_VALUE"""),"")</f>
        <v/>
      </c>
      <c r="X596" s="35" t="str">
        <f>IFERROR(__xludf.DUMMYFUNCTION("""COMPUTED_VALUE"""),"AP")</f>
        <v>AP</v>
      </c>
      <c r="Y596" s="34" t="str">
        <f>IFERROR(__xludf.DUMMYFUNCTION("""COMPUTED_VALUE"""),"")</f>
        <v/>
      </c>
      <c r="Z596" s="35" t="str">
        <f>IFERROR(__xludf.DUMMYFUNCTION("""COMPUTED_VALUE"""),"%")</f>
        <v>%</v>
      </c>
      <c r="AA596" s="36">
        <f>IFERROR(__xludf.DUMMYFUNCTION("""COMPUTED_VALUE"""),3.0)</f>
        <v>3</v>
      </c>
      <c r="AB596" s="37"/>
      <c r="AC596" s="38"/>
      <c r="AD596" s="34" t="str">
        <f>IFERROR(__xludf.DUMMYFUNCTION("""COMPUTED_VALUE"""),"")</f>
        <v/>
      </c>
      <c r="AE596" s="35" t="str">
        <f>IFERROR(__xludf.DUMMYFUNCTION("""COMPUTED_VALUE"""),"AP")</f>
        <v>AP</v>
      </c>
      <c r="AF596" s="34" t="str">
        <f>IFERROR(__xludf.DUMMYFUNCTION("""COMPUTED_VALUE"""),"")</f>
        <v/>
      </c>
      <c r="AG596" s="35" t="str">
        <f>IFERROR(__xludf.DUMMYFUNCTION("""COMPUTED_VALUE"""),"%")</f>
        <v>%</v>
      </c>
      <c r="AH596" s="31"/>
      <c r="AI596" s="32"/>
      <c r="AJ596" s="39"/>
    </row>
    <row r="597" ht="24.75" hidden="1" customHeight="1">
      <c r="A597" s="40">
        <f>IFERROR(__xludf.DUMMYFUNCTION("""COMPUTED_VALUE"""),20.0)</f>
        <v>20</v>
      </c>
      <c r="B597" s="40" t="str">
        <f>IFERROR(__xludf.DUMMYFUNCTION("""COMPUTED_VALUE"""),"A217")</f>
        <v>A217</v>
      </c>
      <c r="C597" s="40"/>
      <c r="D597" s="41"/>
      <c r="E597" s="66"/>
      <c r="F597" s="43"/>
      <c r="G597" s="44"/>
      <c r="H597" s="33" t="str">
        <f>IFERROR(__xludf.DUMMYFUNCTION("""COMPUTED_VALUE""")," ")</f>
        <v> </v>
      </c>
      <c r="I597" s="45"/>
      <c r="J597" s="46" t="str">
        <f>IFERROR(__xludf.DUMMYFUNCTION("""COMPUTED_VALUE"""),"AP")</f>
        <v>AP</v>
      </c>
      <c r="K597" s="47"/>
      <c r="L597" s="48" t="str">
        <f>IFERROR(__xludf.DUMMYFUNCTION("""COMPUTED_VALUE"""),"%")</f>
        <v>%</v>
      </c>
      <c r="M597" s="49">
        <f>IFERROR(__xludf.DUMMYFUNCTION("""COMPUTED_VALUE"""),1.0)</f>
        <v>1</v>
      </c>
      <c r="N597" s="50"/>
      <c r="O597" s="38"/>
      <c r="P597" s="45" t="str">
        <f>IFERROR(__xludf.DUMMYFUNCTION("""COMPUTED_VALUE"""),"")</f>
        <v/>
      </c>
      <c r="Q597" s="46" t="str">
        <f>IFERROR(__xludf.DUMMYFUNCTION("""COMPUTED_VALUE"""),"AP")</f>
        <v>AP</v>
      </c>
      <c r="R597" s="47" t="str">
        <f>IFERROR(__xludf.DUMMYFUNCTION("""COMPUTED_VALUE"""),"")</f>
        <v/>
      </c>
      <c r="S597" s="48" t="str">
        <f>IFERROR(__xludf.DUMMYFUNCTION("""COMPUTED_VALUE"""),"%")</f>
        <v>%</v>
      </c>
      <c r="T597" s="49">
        <f>IFERROR(__xludf.DUMMYFUNCTION("""COMPUTED_VALUE"""),2.0)</f>
        <v>2</v>
      </c>
      <c r="U597" s="50"/>
      <c r="V597" s="38"/>
      <c r="W597" s="45" t="str">
        <f>IFERROR(__xludf.DUMMYFUNCTION("""COMPUTED_VALUE"""),"")</f>
        <v/>
      </c>
      <c r="X597" s="46" t="str">
        <f>IFERROR(__xludf.DUMMYFUNCTION("""COMPUTED_VALUE"""),"AP")</f>
        <v>AP</v>
      </c>
      <c r="Y597" s="47" t="str">
        <f>IFERROR(__xludf.DUMMYFUNCTION("""COMPUTED_VALUE"""),"")</f>
        <v/>
      </c>
      <c r="Z597" s="48" t="str">
        <f>IFERROR(__xludf.DUMMYFUNCTION("""COMPUTED_VALUE"""),"%")</f>
        <v>%</v>
      </c>
      <c r="AA597" s="49">
        <f>IFERROR(__xludf.DUMMYFUNCTION("""COMPUTED_VALUE"""),3.0)</f>
        <v>3</v>
      </c>
      <c r="AB597" s="50"/>
      <c r="AC597" s="38"/>
      <c r="AD597" s="45" t="str">
        <f>IFERROR(__xludf.DUMMYFUNCTION("""COMPUTED_VALUE"""),"")</f>
        <v/>
      </c>
      <c r="AE597" s="46" t="str">
        <f>IFERROR(__xludf.DUMMYFUNCTION("""COMPUTED_VALUE"""),"AP")</f>
        <v>AP</v>
      </c>
      <c r="AF597" s="47" t="str">
        <f>IFERROR(__xludf.DUMMYFUNCTION("""COMPUTED_VALUE"""),"")</f>
        <v/>
      </c>
      <c r="AG597" s="48" t="str">
        <f>IFERROR(__xludf.DUMMYFUNCTION("""COMPUTED_VALUE"""),"%")</f>
        <v>%</v>
      </c>
      <c r="AH597" s="43"/>
      <c r="AI597" s="44"/>
      <c r="AJ597" s="51"/>
    </row>
    <row r="598">
      <c r="A598" s="52"/>
      <c r="B598" s="53"/>
      <c r="C598" s="54"/>
      <c r="D598" s="55"/>
      <c r="E598" s="56"/>
      <c r="F598" s="53"/>
      <c r="G598" s="53"/>
      <c r="H598" s="53"/>
      <c r="I598" s="53"/>
      <c r="J598" s="57"/>
      <c r="K598" s="53"/>
      <c r="L598" s="57"/>
      <c r="M598" s="53"/>
      <c r="N598" s="53"/>
      <c r="O598" s="53"/>
      <c r="P598" s="53"/>
      <c r="Q598" s="57"/>
      <c r="R598" s="53"/>
      <c r="S598" s="57"/>
      <c r="T598" s="53"/>
      <c r="U598" s="53"/>
      <c r="V598" s="53"/>
      <c r="W598" s="53"/>
      <c r="X598" s="57"/>
      <c r="Y598" s="53"/>
      <c r="Z598" s="57"/>
      <c r="AA598" s="53"/>
      <c r="AB598" s="53"/>
      <c r="AC598" s="53"/>
      <c r="AD598" s="53"/>
      <c r="AE598" s="57"/>
      <c r="AF598" s="53"/>
      <c r="AG598" s="57"/>
      <c r="AH598" s="53"/>
      <c r="AI598" s="53"/>
      <c r="AJ598" s="58"/>
    </row>
    <row r="599">
      <c r="A599" s="59"/>
      <c r="B599" s="60"/>
      <c r="C599" s="61"/>
      <c r="D599" s="62"/>
      <c r="E599" s="63"/>
      <c r="F599" s="60"/>
      <c r="G599" s="60"/>
      <c r="H599" s="60"/>
      <c r="I599" s="60"/>
      <c r="J599" s="64"/>
      <c r="K599" s="60"/>
      <c r="L599" s="64"/>
      <c r="M599" s="60"/>
      <c r="N599" s="60"/>
      <c r="O599" s="60"/>
      <c r="P599" s="60"/>
      <c r="Q599" s="64"/>
      <c r="R599" s="60"/>
      <c r="S599" s="64"/>
      <c r="T599" s="60"/>
      <c r="U599" s="60"/>
      <c r="V599" s="60"/>
      <c r="W599" s="60"/>
      <c r="X599" s="64"/>
      <c r="Y599" s="60"/>
      <c r="Z599" s="64"/>
      <c r="AA599" s="60"/>
      <c r="AB599" s="60"/>
      <c r="AC599" s="60"/>
      <c r="AD599" s="60"/>
      <c r="AE599" s="64"/>
      <c r="AF599" s="60"/>
      <c r="AG599" s="64"/>
      <c r="AH599" s="60"/>
      <c r="AI599" s="60"/>
      <c r="AJ599" s="65"/>
    </row>
    <row r="600" ht="33.0" customHeight="1">
      <c r="A600" s="20" t="str">
        <f>IFERROR(__xludf.DUMMYFUNCTION("""COMPUTED_VALUE""")," ")</f>
        <v> </v>
      </c>
      <c r="B600" s="21" t="str">
        <f>IFERROR(__xludf.DUMMYFUNCTION("""COMPUTED_VALUE"""),"A218")</f>
        <v>A218</v>
      </c>
      <c r="C600" s="20"/>
      <c r="D600" s="22" t="str">
        <f>IFERROR(__xludf.DUMMYFUNCTION("""COMPUTED_VALUE"""),"")</f>
        <v/>
      </c>
      <c r="E600" s="23" t="str">
        <f>IFERROR(__xludf.DUMMYFUNCTION("""COMPUTED_VALUE"""),"Moonlit Tiara")</f>
        <v>Moonlit Tiara</v>
      </c>
      <c r="F600" s="24"/>
      <c r="G600" s="24"/>
      <c r="H600" s="25"/>
      <c r="I600" s="25"/>
      <c r="J600" s="26"/>
      <c r="K600" s="25"/>
      <c r="L600" s="26"/>
      <c r="M600" s="25"/>
      <c r="N600" s="25"/>
      <c r="O600" s="25"/>
      <c r="P600" s="25"/>
      <c r="Q600" s="26"/>
      <c r="R600" s="25"/>
      <c r="S600" s="26"/>
      <c r="T600" s="25"/>
      <c r="U600" s="25"/>
      <c r="V600" s="25"/>
      <c r="W600" s="25"/>
      <c r="X600" s="26"/>
      <c r="Y600" s="25"/>
      <c r="Z600" s="26"/>
      <c r="AA600" s="25"/>
      <c r="AB600" s="25"/>
      <c r="AC600" s="25"/>
      <c r="AD600" s="25"/>
      <c r="AE600" s="26"/>
      <c r="AF600" s="25"/>
      <c r="AG600" s="26"/>
      <c r="AH600" s="24"/>
      <c r="AI600" s="25"/>
      <c r="AJ600" s="27"/>
    </row>
    <row r="601" ht="24.75" customHeight="1">
      <c r="A601" s="28">
        <f>IFERROR(__xludf.DUMMYFUNCTION("""COMPUTED_VALUE"""),1.0)</f>
        <v>1</v>
      </c>
      <c r="B601" s="28" t="str">
        <f>IFERROR(__xludf.DUMMYFUNCTION("""COMPUTED_VALUE"""),"A218")</f>
        <v>A218</v>
      </c>
      <c r="C601" s="28" t="str">
        <f>IFERROR(__xludf.DUMMYFUNCTION("""COMPUTED_VALUE"""),"ATL9")</f>
        <v>ATL9</v>
      </c>
      <c r="D601" s="29" t="str">
        <f>IFERROR(__xludf.DUMMYFUNCTION("""COMPUTED_VALUE"""),"Atlantis")</f>
        <v>Atlantis</v>
      </c>
      <c r="E601" s="30" t="str">
        <f>IFERROR(__xludf.DUMMYFUNCTION("""COMPUTED_VALUE"""),"Thanatos Island")</f>
        <v>Thanatos Island</v>
      </c>
      <c r="F601" s="31">
        <f>IFERROR(__xludf.DUMMYFUNCTION("""COMPUTED_VALUE"""),21.0)</f>
        <v>21</v>
      </c>
      <c r="G601" s="32">
        <f>IFERROR(__xludf.DUMMYFUNCTION("""COMPUTED_VALUE"""),3912.0)</f>
        <v>3912</v>
      </c>
      <c r="H601" s="33" t="str">
        <f>IFERROR(__xludf.DUMMYFUNCTION("""COMPUTED_VALUE"""),"")</f>
        <v/>
      </c>
      <c r="I601" s="34">
        <f>IFERROR(__xludf.DUMMYFUNCTION("""COMPUTED_VALUE"""),53.9)</f>
        <v>53.9</v>
      </c>
      <c r="J601" s="35" t="str">
        <f>IFERROR(__xludf.DUMMYFUNCTION("""COMPUTED_VALUE"""),"AP")</f>
        <v>AP</v>
      </c>
      <c r="K601" s="34">
        <f>IFERROR(__xludf.DUMMYFUNCTION("""COMPUTED_VALUE"""),39.0)</f>
        <v>39</v>
      </c>
      <c r="L601" s="35" t="str">
        <f>IFERROR(__xludf.DUMMYFUNCTION("""COMPUTED_VALUE"""),"%")</f>
        <v>%</v>
      </c>
      <c r="M601" s="36">
        <f>IFERROR(__xludf.DUMMYFUNCTION("""COMPUTED_VALUE"""),1.0)</f>
        <v>1</v>
      </c>
      <c r="N601" s="37" t="str">
        <f>IFERROR(__xludf.DUMMYFUNCTION("""COMPUTED_VALUE"""),"B111")</f>
        <v>B111</v>
      </c>
      <c r="O601" s="38" t="str">
        <f>IFERROR(__xludf.DUMMYFUNCTION("""COMPUTED_VALUE"""),"")</f>
        <v/>
      </c>
      <c r="P601" s="34">
        <f>IFERROR(__xludf.DUMMYFUNCTION("""COMPUTED_VALUE"""),153.2)</f>
        <v>153.2</v>
      </c>
      <c r="Q601" s="35" t="str">
        <f>IFERROR(__xludf.DUMMYFUNCTION("""COMPUTED_VALUE"""),"AP")</f>
        <v>AP</v>
      </c>
      <c r="R601" s="34">
        <f>IFERROR(__xludf.DUMMYFUNCTION("""COMPUTED_VALUE"""),13.7)</f>
        <v>13.7</v>
      </c>
      <c r="S601" s="35" t="str">
        <f>IFERROR(__xludf.DUMMYFUNCTION("""COMPUTED_VALUE"""),"%")</f>
        <v>%</v>
      </c>
      <c r="T601" s="36">
        <f>IFERROR(__xludf.DUMMYFUNCTION("""COMPUTED_VALUE"""),2.0)</f>
        <v>2</v>
      </c>
      <c r="U601" s="37" t="str">
        <f>IFERROR(__xludf.DUMMYFUNCTION("""COMPUTED_VALUE"""),"B116")</f>
        <v>B116</v>
      </c>
      <c r="V601" s="38" t="str">
        <f>IFERROR(__xludf.DUMMYFUNCTION("""COMPUTED_VALUE"""),"")</f>
        <v/>
      </c>
      <c r="W601" s="34">
        <f>IFERROR(__xludf.DUMMYFUNCTION("""COMPUTED_VALUE"""),149.9)</f>
        <v>149.9</v>
      </c>
      <c r="X601" s="35" t="str">
        <f>IFERROR(__xludf.DUMMYFUNCTION("""COMPUTED_VALUE"""),"AP")</f>
        <v>AP</v>
      </c>
      <c r="Y601" s="34">
        <f>IFERROR(__xludf.DUMMYFUNCTION("""COMPUTED_VALUE"""),14.0)</f>
        <v>14</v>
      </c>
      <c r="Z601" s="35" t="str">
        <f>IFERROR(__xludf.DUMMYFUNCTION("""COMPUTED_VALUE"""),"%")</f>
        <v>%</v>
      </c>
      <c r="AA601" s="36">
        <f>IFERROR(__xludf.DUMMYFUNCTION("""COMPUTED_VALUE"""),3.0)</f>
        <v>3</v>
      </c>
      <c r="AB601" s="37" t="str">
        <f>IFERROR(__xludf.DUMMYFUNCTION("""COMPUTED_VALUE"""),"B117")</f>
        <v>B117</v>
      </c>
      <c r="AC601" s="38" t="str">
        <f>IFERROR(__xludf.DUMMYFUNCTION("""COMPUTED_VALUE"""),"")</f>
        <v/>
      </c>
      <c r="AD601" s="34">
        <f>IFERROR(__xludf.DUMMYFUNCTION("""COMPUTED_VALUE"""),139.9)</f>
        <v>139.9</v>
      </c>
      <c r="AE601" s="35" t="str">
        <f>IFERROR(__xludf.DUMMYFUNCTION("""COMPUTED_VALUE"""),"AP")</f>
        <v>AP</v>
      </c>
      <c r="AF601" s="34">
        <f>IFERROR(__xludf.DUMMYFUNCTION("""COMPUTED_VALUE"""),15.0)</f>
        <v>15</v>
      </c>
      <c r="AG601" s="35" t="str">
        <f>IFERROR(__xludf.DUMMYFUNCTION("""COMPUTED_VALUE"""),"%")</f>
        <v>%</v>
      </c>
      <c r="AH601" s="31">
        <f>IFERROR(__xludf.DUMMYFUNCTION("""COMPUTED_VALUE"""),21.0)</f>
        <v>21</v>
      </c>
      <c r="AI601" s="32">
        <f>IFERROR(__xludf.DUMMYFUNCTION("""COMPUTED_VALUE"""),3912.0)</f>
        <v>3912</v>
      </c>
      <c r="AJ601" s="39" t="str">
        <f>IFERROR(__xludf.DUMMYFUNCTION("""COMPUTED_VALUE"""),"タナトス島")</f>
        <v>タナトス島</v>
      </c>
    </row>
    <row r="602" ht="24.75" customHeight="1">
      <c r="A602" s="40">
        <f>IFERROR(__xludf.DUMMYFUNCTION("""COMPUTED_VALUE"""),2.0)</f>
        <v>2</v>
      </c>
      <c r="B602" s="40" t="str">
        <f>IFERROR(__xludf.DUMMYFUNCTION("""COMPUTED_VALUE"""),"A218")</f>
        <v>A218</v>
      </c>
      <c r="C602" s="40" t="str">
        <f>IFERROR(__xludf.DUMMYFUNCTION("""COMPUTED_VALUE"""),"ATL4")</f>
        <v>ATL4</v>
      </c>
      <c r="D602" s="41" t="str">
        <f>IFERROR(__xludf.DUMMYFUNCTION("""COMPUTED_VALUE"""),"Atlantis")</f>
        <v>Atlantis</v>
      </c>
      <c r="E602" s="42" t="str">
        <f>IFERROR(__xludf.DUMMYFUNCTION("""COMPUTED_VALUE"""),"Deimos Island")</f>
        <v>Deimos Island</v>
      </c>
      <c r="F602" s="43">
        <f>IFERROR(__xludf.DUMMYFUNCTION("""COMPUTED_VALUE"""),21.0)</f>
        <v>21</v>
      </c>
      <c r="G602" s="44">
        <f>IFERROR(__xludf.DUMMYFUNCTION("""COMPUTED_VALUE"""),6220.0)</f>
        <v>6220</v>
      </c>
      <c r="H602" s="33" t="str">
        <f>IFERROR(__xludf.DUMMYFUNCTION("""COMPUTED_VALUE"""),"")</f>
        <v/>
      </c>
      <c r="I602" s="45">
        <f>IFERROR(__xludf.DUMMYFUNCTION("""COMPUTED_VALUE"""),79.6)</f>
        <v>79.6</v>
      </c>
      <c r="J602" s="46" t="str">
        <f>IFERROR(__xludf.DUMMYFUNCTION("""COMPUTED_VALUE"""),"AP")</f>
        <v>AP</v>
      </c>
      <c r="K602" s="47">
        <f>IFERROR(__xludf.DUMMYFUNCTION("""COMPUTED_VALUE"""),26.4)</f>
        <v>26.4</v>
      </c>
      <c r="L602" s="48" t="str">
        <f>IFERROR(__xludf.DUMMYFUNCTION("""COMPUTED_VALUE"""),"%")</f>
        <v>%</v>
      </c>
      <c r="M602" s="49">
        <f>IFERROR(__xludf.DUMMYFUNCTION("""COMPUTED_VALUE"""),1.0)</f>
        <v>1</v>
      </c>
      <c r="N602" s="50" t="str">
        <f>IFERROR(__xludf.DUMMYFUNCTION("""COMPUTED_VALUE"""),"A109")</f>
        <v>A109</v>
      </c>
      <c r="O602" s="38" t="str">
        <f>IFERROR(__xludf.DUMMYFUNCTION("""COMPUTED_VALUE"""),"")</f>
        <v/>
      </c>
      <c r="P602" s="45">
        <f>IFERROR(__xludf.DUMMYFUNCTION("""COMPUTED_VALUE"""),175.3)</f>
        <v>175.3</v>
      </c>
      <c r="Q602" s="46" t="str">
        <f>IFERROR(__xludf.DUMMYFUNCTION("""COMPUTED_VALUE"""),"AP")</f>
        <v>AP</v>
      </c>
      <c r="R602" s="47">
        <f>IFERROR(__xludf.DUMMYFUNCTION("""COMPUTED_VALUE"""),12.0)</f>
        <v>12</v>
      </c>
      <c r="S602" s="48" t="str">
        <f>IFERROR(__xludf.DUMMYFUNCTION("""COMPUTED_VALUE"""),"%")</f>
        <v>%</v>
      </c>
      <c r="T602" s="49">
        <f>IFERROR(__xludf.DUMMYFUNCTION("""COMPUTED_VALUE"""),2.0)</f>
        <v>2</v>
      </c>
      <c r="U602" s="50" t="str">
        <f>IFERROR(__xludf.DUMMYFUNCTION("""COMPUTED_VALUE"""),"B105")</f>
        <v>B105</v>
      </c>
      <c r="V602" s="38" t="str">
        <f>IFERROR(__xludf.DUMMYFUNCTION("""COMPUTED_VALUE"""),"")</f>
        <v/>
      </c>
      <c r="W602" s="45">
        <f>IFERROR(__xludf.DUMMYFUNCTION("""COMPUTED_VALUE"""),365.4)</f>
        <v>365.4</v>
      </c>
      <c r="X602" s="46" t="str">
        <f>IFERROR(__xludf.DUMMYFUNCTION("""COMPUTED_VALUE"""),"AP")</f>
        <v>AP</v>
      </c>
      <c r="Y602" s="47">
        <f>IFERROR(__xludf.DUMMYFUNCTION("""COMPUTED_VALUE"""),5.7)</f>
        <v>5.7</v>
      </c>
      <c r="Z602" s="48" t="str">
        <f>IFERROR(__xludf.DUMMYFUNCTION("""COMPUTED_VALUE"""),"%")</f>
        <v>%</v>
      </c>
      <c r="AA602" s="49">
        <f>IFERROR(__xludf.DUMMYFUNCTION("""COMPUTED_VALUE"""),3.0)</f>
        <v>3</v>
      </c>
      <c r="AB602" s="50" t="str">
        <f>IFERROR(__xludf.DUMMYFUNCTION("""COMPUTED_VALUE"""),"B111")</f>
        <v>B111</v>
      </c>
      <c r="AC602" s="38" t="str">
        <f>IFERROR(__xludf.DUMMYFUNCTION("""COMPUTED_VALUE"""),"")</f>
        <v/>
      </c>
      <c r="AD602" s="45">
        <f>IFERROR(__xludf.DUMMYFUNCTION("""COMPUTED_VALUE"""),60.7)</f>
        <v>60.7</v>
      </c>
      <c r="AE602" s="46" t="str">
        <f>IFERROR(__xludf.DUMMYFUNCTION("""COMPUTED_VALUE"""),"AP")</f>
        <v>AP</v>
      </c>
      <c r="AF602" s="47">
        <f>IFERROR(__xludf.DUMMYFUNCTION("""COMPUTED_VALUE"""),34.6)</f>
        <v>34.6</v>
      </c>
      <c r="AG602" s="48" t="str">
        <f>IFERROR(__xludf.DUMMYFUNCTION("""COMPUTED_VALUE"""),"%")</f>
        <v>%</v>
      </c>
      <c r="AH602" s="43">
        <f>IFERROR(__xludf.DUMMYFUNCTION("""COMPUTED_VALUE"""),21.0)</f>
        <v>21</v>
      </c>
      <c r="AI602" s="44">
        <f>IFERROR(__xludf.DUMMYFUNCTION("""COMPUTED_VALUE"""),6220.0)</f>
        <v>6220</v>
      </c>
      <c r="AJ602" s="51" t="str">
        <f>IFERROR(__xludf.DUMMYFUNCTION("""COMPUTED_VALUE"""),"デイモス島")</f>
        <v>デイモス島</v>
      </c>
    </row>
    <row r="603" ht="24.75" customHeight="1">
      <c r="A603" s="28">
        <f>IFERROR(__xludf.DUMMYFUNCTION("""COMPUTED_VALUE"""),3.0)</f>
        <v>3</v>
      </c>
      <c r="B603" s="28" t="str">
        <f>IFERROR(__xludf.DUMMYFUNCTION("""COMPUTED_VALUE"""),"A218")</f>
        <v>A218</v>
      </c>
      <c r="C603" s="28" t="str">
        <f>IFERROR(__xludf.DUMMYFUNCTION("""COMPUTED_VALUE"""),"ATL8")</f>
        <v>ATL8</v>
      </c>
      <c r="D603" s="29" t="str">
        <f>IFERROR(__xludf.DUMMYFUNCTION("""COMPUTED_VALUE"""),"Atlantis")</f>
        <v>Atlantis</v>
      </c>
      <c r="E603" s="30" t="str">
        <f>IFERROR(__xludf.DUMMYFUNCTION("""COMPUTED_VALUE"""),"Nemesis Island")</f>
        <v>Nemesis Island</v>
      </c>
      <c r="F603" s="31">
        <f>IFERROR(__xludf.DUMMYFUNCTION("""COMPUTED_VALUE"""),21.0)</f>
        <v>21</v>
      </c>
      <c r="G603" s="32">
        <f>IFERROR(__xludf.DUMMYFUNCTION("""COMPUTED_VALUE"""),93630.0)</f>
        <v>93630</v>
      </c>
      <c r="H603" s="33" t="str">
        <f>IFERROR(__xludf.DUMMYFUNCTION("""COMPUTED_VALUE"""),"")</f>
        <v/>
      </c>
      <c r="I603" s="34">
        <f>IFERROR(__xludf.DUMMYFUNCTION("""COMPUTED_VALUE"""),82.5)</f>
        <v>82.5</v>
      </c>
      <c r="J603" s="35" t="str">
        <f>IFERROR(__xludf.DUMMYFUNCTION("""COMPUTED_VALUE"""),"AP")</f>
        <v>AP</v>
      </c>
      <c r="K603" s="34">
        <f>IFERROR(__xludf.DUMMYFUNCTION("""COMPUTED_VALUE"""),25.5)</f>
        <v>25.5</v>
      </c>
      <c r="L603" s="35" t="str">
        <f>IFERROR(__xludf.DUMMYFUNCTION("""COMPUTED_VALUE"""),"%")</f>
        <v>%</v>
      </c>
      <c r="M603" s="36">
        <f>IFERROR(__xludf.DUMMYFUNCTION("""COMPUTED_VALUE"""),1.0)</f>
        <v>1</v>
      </c>
      <c r="N603" s="37" t="str">
        <f>IFERROR(__xludf.DUMMYFUNCTION("""COMPUTED_VALUE"""),"A116")</f>
        <v>A116</v>
      </c>
      <c r="O603" s="38" t="str">
        <f>IFERROR(__xludf.DUMMYFUNCTION("""COMPUTED_VALUE"""),"")</f>
        <v/>
      </c>
      <c r="P603" s="34">
        <f>IFERROR(__xludf.DUMMYFUNCTION("""COMPUTED_VALUE"""),174.3)</f>
        <v>174.3</v>
      </c>
      <c r="Q603" s="35" t="str">
        <f>IFERROR(__xludf.DUMMYFUNCTION("""COMPUTED_VALUE"""),"AP")</f>
        <v>AP</v>
      </c>
      <c r="R603" s="34">
        <f>IFERROR(__xludf.DUMMYFUNCTION("""COMPUTED_VALUE"""),12.0)</f>
        <v>12</v>
      </c>
      <c r="S603" s="35" t="str">
        <f>IFERROR(__xludf.DUMMYFUNCTION("""COMPUTED_VALUE"""),"%")</f>
        <v>%</v>
      </c>
      <c r="T603" s="36">
        <f>IFERROR(__xludf.DUMMYFUNCTION("""COMPUTED_VALUE"""),2.0)</f>
        <v>2</v>
      </c>
      <c r="U603" s="37" t="str">
        <f>IFERROR(__xludf.DUMMYFUNCTION("""COMPUTED_VALUE"""),"B104")</f>
        <v>B104</v>
      </c>
      <c r="V603" s="38" t="str">
        <f>IFERROR(__xludf.DUMMYFUNCTION("""COMPUTED_VALUE"""),"")</f>
        <v/>
      </c>
      <c r="W603" s="34">
        <f>IFERROR(__xludf.DUMMYFUNCTION("""COMPUTED_VALUE"""),527.0)</f>
        <v>527</v>
      </c>
      <c r="X603" s="35" t="str">
        <f>IFERROR(__xludf.DUMMYFUNCTION("""COMPUTED_VALUE"""),"AP")</f>
        <v>AP</v>
      </c>
      <c r="Y603" s="34">
        <f>IFERROR(__xludf.DUMMYFUNCTION("""COMPUTED_VALUE"""),4.0)</f>
        <v>4</v>
      </c>
      <c r="Z603" s="35" t="str">
        <f>IFERROR(__xludf.DUMMYFUNCTION("""COMPUTED_VALUE"""),"%")</f>
        <v>%</v>
      </c>
      <c r="AA603" s="36">
        <f>IFERROR(__xludf.DUMMYFUNCTION("""COMPUTED_VALUE"""),3.0)</f>
        <v>3</v>
      </c>
      <c r="AB603" s="37" t="str">
        <f>IFERROR(__xludf.DUMMYFUNCTION("""COMPUTED_VALUE"""),"B117")</f>
        <v>B117</v>
      </c>
      <c r="AC603" s="38" t="str">
        <f>IFERROR(__xludf.DUMMYFUNCTION("""COMPUTED_VALUE"""),"")</f>
        <v/>
      </c>
      <c r="AD603" s="34">
        <f>IFERROR(__xludf.DUMMYFUNCTION("""COMPUTED_VALUE"""),60.1)</f>
        <v>60.1</v>
      </c>
      <c r="AE603" s="35" t="str">
        <f>IFERROR(__xludf.DUMMYFUNCTION("""COMPUTED_VALUE"""),"AP")</f>
        <v>AP</v>
      </c>
      <c r="AF603" s="34">
        <f>IFERROR(__xludf.DUMMYFUNCTION("""COMPUTED_VALUE"""),34.9)</f>
        <v>34.9</v>
      </c>
      <c r="AG603" s="35" t="str">
        <f>IFERROR(__xludf.DUMMYFUNCTION("""COMPUTED_VALUE"""),"%")</f>
        <v>%</v>
      </c>
      <c r="AH603" s="31">
        <f>IFERROR(__xludf.DUMMYFUNCTION("""COMPUTED_VALUE"""),21.0)</f>
        <v>21</v>
      </c>
      <c r="AI603" s="32">
        <f>IFERROR(__xludf.DUMMYFUNCTION("""COMPUTED_VALUE"""),93630.0)</f>
        <v>93630</v>
      </c>
      <c r="AJ603" s="39" t="str">
        <f>IFERROR(__xludf.DUMMYFUNCTION("""COMPUTED_VALUE"""),"ネメシス島")</f>
        <v>ネメシス島</v>
      </c>
    </row>
    <row r="604" ht="24.75" customHeight="1">
      <c r="A604" s="40">
        <f>IFERROR(__xludf.DUMMYFUNCTION("""COMPUTED_VALUE"""),4.0)</f>
        <v>4</v>
      </c>
      <c r="B604" s="40" t="str">
        <f>IFERROR(__xludf.DUMMYFUNCTION("""COMPUTED_VALUE"""),"A218")</f>
        <v>A218</v>
      </c>
      <c r="C604" s="40" t="str">
        <f>IFERROR(__xludf.DUMMYFUNCTION("""COMPUTED_VALUE"""),"ATL2")</f>
        <v>ATL2</v>
      </c>
      <c r="D604" s="41" t="str">
        <f>IFERROR(__xludf.DUMMYFUNCTION("""COMPUTED_VALUE"""),"Atlantis")</f>
        <v>Atlantis</v>
      </c>
      <c r="E604" s="42" t="str">
        <f>IFERROR(__xludf.DUMMYFUNCTION("""COMPUTED_VALUE"""),"Hestia Island")</f>
        <v>Hestia Island</v>
      </c>
      <c r="F604" s="43">
        <f>IFERROR(__xludf.DUMMYFUNCTION("""COMPUTED_VALUE"""),21.0)</f>
        <v>21</v>
      </c>
      <c r="G604" s="44">
        <f>IFERROR(__xludf.DUMMYFUNCTION("""COMPUTED_VALUE"""),3235.0)</f>
        <v>3235</v>
      </c>
      <c r="H604" s="33" t="str">
        <f>IFERROR(__xludf.DUMMYFUNCTION("""COMPUTED_VALUE"""),"")</f>
        <v/>
      </c>
      <c r="I604" s="45">
        <f>IFERROR(__xludf.DUMMYFUNCTION("""COMPUTED_VALUE"""),83.9)</f>
        <v>83.9</v>
      </c>
      <c r="J604" s="46" t="str">
        <f>IFERROR(__xludf.DUMMYFUNCTION("""COMPUTED_VALUE"""),"AP")</f>
        <v>AP</v>
      </c>
      <c r="K604" s="47">
        <f>IFERROR(__xludf.DUMMYFUNCTION("""COMPUTED_VALUE"""),25.0)</f>
        <v>25</v>
      </c>
      <c r="L604" s="48" t="str">
        <f>IFERROR(__xludf.DUMMYFUNCTION("""COMPUTED_VALUE"""),"%")</f>
        <v>%</v>
      </c>
      <c r="M604" s="49">
        <f>IFERROR(__xludf.DUMMYFUNCTION("""COMPUTED_VALUE"""),1.0)</f>
        <v>1</v>
      </c>
      <c r="N604" s="50" t="str">
        <f>IFERROR(__xludf.DUMMYFUNCTION("""COMPUTED_VALUE"""),"A112")</f>
        <v>A112</v>
      </c>
      <c r="O604" s="38" t="str">
        <f>IFERROR(__xludf.DUMMYFUNCTION("""COMPUTED_VALUE"""),"")</f>
        <v/>
      </c>
      <c r="P604" s="45">
        <f>IFERROR(__xludf.DUMMYFUNCTION("""COMPUTED_VALUE"""),178.3)</f>
        <v>178.3</v>
      </c>
      <c r="Q604" s="46" t="str">
        <f>IFERROR(__xludf.DUMMYFUNCTION("""COMPUTED_VALUE"""),"AP")</f>
        <v>AP</v>
      </c>
      <c r="R604" s="47">
        <f>IFERROR(__xludf.DUMMYFUNCTION("""COMPUTED_VALUE"""),11.8)</f>
        <v>11.8</v>
      </c>
      <c r="S604" s="48" t="str">
        <f>IFERROR(__xludf.DUMMYFUNCTION("""COMPUTED_VALUE"""),"%")</f>
        <v>%</v>
      </c>
      <c r="T604" s="49">
        <f>IFERROR(__xludf.DUMMYFUNCTION("""COMPUTED_VALUE"""),2.0)</f>
        <v>2</v>
      </c>
      <c r="U604" s="50" t="str">
        <f>IFERROR(__xludf.DUMMYFUNCTION("""COMPUTED_VALUE"""),"B102")</f>
        <v>B102</v>
      </c>
      <c r="V604" s="38" t="str">
        <f>IFERROR(__xludf.DUMMYFUNCTION("""COMPUTED_VALUE"""),"")</f>
        <v/>
      </c>
      <c r="W604" s="45">
        <f>IFERROR(__xludf.DUMMYFUNCTION("""COMPUTED_VALUE"""),534.6)</f>
        <v>534.6</v>
      </c>
      <c r="X604" s="46" t="str">
        <f>IFERROR(__xludf.DUMMYFUNCTION("""COMPUTED_VALUE"""),"AP")</f>
        <v>AP</v>
      </c>
      <c r="Y604" s="47">
        <f>IFERROR(__xludf.DUMMYFUNCTION("""COMPUTED_VALUE"""),3.9)</f>
        <v>3.9</v>
      </c>
      <c r="Z604" s="48" t="str">
        <f>IFERROR(__xludf.DUMMYFUNCTION("""COMPUTED_VALUE"""),"%")</f>
        <v>%</v>
      </c>
      <c r="AA604" s="49">
        <f>IFERROR(__xludf.DUMMYFUNCTION("""COMPUTED_VALUE"""),3.0)</f>
        <v>3</v>
      </c>
      <c r="AB604" s="50" t="str">
        <f>IFERROR(__xludf.DUMMYFUNCTION("""COMPUTED_VALUE"""),"B116")</f>
        <v>B116</v>
      </c>
      <c r="AC604" s="38" t="str">
        <f>IFERROR(__xludf.DUMMYFUNCTION("""COMPUTED_VALUE"""),"")</f>
        <v/>
      </c>
      <c r="AD604" s="45">
        <f>IFERROR(__xludf.DUMMYFUNCTION("""COMPUTED_VALUE"""),104.6)</f>
        <v>104.6</v>
      </c>
      <c r="AE604" s="46" t="str">
        <f>IFERROR(__xludf.DUMMYFUNCTION("""COMPUTED_VALUE"""),"AP")</f>
        <v>AP</v>
      </c>
      <c r="AF604" s="47">
        <f>IFERROR(__xludf.DUMMYFUNCTION("""COMPUTED_VALUE"""),20.1)</f>
        <v>20.1</v>
      </c>
      <c r="AG604" s="48" t="str">
        <f>IFERROR(__xludf.DUMMYFUNCTION("""COMPUTED_VALUE"""),"%")</f>
        <v>%</v>
      </c>
      <c r="AH604" s="43">
        <f>IFERROR(__xludf.DUMMYFUNCTION("""COMPUTED_VALUE"""),21.0)</f>
        <v>21</v>
      </c>
      <c r="AI604" s="44">
        <f>IFERROR(__xludf.DUMMYFUNCTION("""COMPUTED_VALUE"""),3235.0)</f>
        <v>3235</v>
      </c>
      <c r="AJ604" s="51" t="str">
        <f>IFERROR(__xludf.DUMMYFUNCTION("""COMPUTED_VALUE"""),"ヘスティア島")</f>
        <v>ヘスティア島</v>
      </c>
    </row>
    <row r="605" ht="24.75" customHeight="1">
      <c r="A605" s="28">
        <f>IFERROR(__xludf.DUMMYFUNCTION("""COMPUTED_VALUE"""),5.0)</f>
        <v>5</v>
      </c>
      <c r="B605" s="28" t="str">
        <f>IFERROR(__xludf.DUMMYFUNCTION("""COMPUTED_VALUE"""),"A218")</f>
        <v>A218</v>
      </c>
      <c r="C605" s="28" t="str">
        <f>IFERROR(__xludf.DUMMYFUNCTION("""COMPUTED_VALUE"""),"ATL3")</f>
        <v>ATL3</v>
      </c>
      <c r="D605" s="29" t="str">
        <f>IFERROR(__xludf.DUMMYFUNCTION("""COMPUTED_VALUE"""),"Atlantis")</f>
        <v>Atlantis</v>
      </c>
      <c r="E605" s="30" t="str">
        <f>IFERROR(__xludf.DUMMYFUNCTION("""COMPUTED_VALUE"""),"Hecate Island")</f>
        <v>Hecate Island</v>
      </c>
      <c r="F605" s="31">
        <f>IFERROR(__xludf.DUMMYFUNCTION("""COMPUTED_VALUE"""),21.0)</f>
        <v>21</v>
      </c>
      <c r="G605" s="32">
        <f>IFERROR(__xludf.DUMMYFUNCTION("""COMPUTED_VALUE"""),5012.0)</f>
        <v>5012</v>
      </c>
      <c r="H605" s="33" t="str">
        <f>IFERROR(__xludf.DUMMYFUNCTION("""COMPUTED_VALUE"""),"")</f>
        <v/>
      </c>
      <c r="I605" s="34">
        <f>IFERROR(__xludf.DUMMYFUNCTION("""COMPUTED_VALUE"""),83.9)</f>
        <v>83.9</v>
      </c>
      <c r="J605" s="35" t="str">
        <f>IFERROR(__xludf.DUMMYFUNCTION("""COMPUTED_VALUE"""),"AP")</f>
        <v>AP</v>
      </c>
      <c r="K605" s="34">
        <f>IFERROR(__xludf.DUMMYFUNCTION("""COMPUTED_VALUE"""),25.0)</f>
        <v>25</v>
      </c>
      <c r="L605" s="35" t="str">
        <f>IFERROR(__xludf.DUMMYFUNCTION("""COMPUTED_VALUE"""),"%")</f>
        <v>%</v>
      </c>
      <c r="M605" s="36">
        <f>IFERROR(__xludf.DUMMYFUNCTION("""COMPUTED_VALUE"""),1.0)</f>
        <v>1</v>
      </c>
      <c r="N605" s="37" t="str">
        <f>IFERROR(__xludf.DUMMYFUNCTION("""COMPUTED_VALUE"""),"A101")</f>
        <v>A101</v>
      </c>
      <c r="O605" s="38" t="str">
        <f>IFERROR(__xludf.DUMMYFUNCTION("""COMPUTED_VALUE"""),"")</f>
        <v/>
      </c>
      <c r="P605" s="34">
        <f>IFERROR(__xludf.DUMMYFUNCTION("""COMPUTED_VALUE"""),107.4)</f>
        <v>107.4</v>
      </c>
      <c r="Q605" s="35" t="str">
        <f>IFERROR(__xludf.DUMMYFUNCTION("""COMPUTED_VALUE"""),"AP")</f>
        <v>AP</v>
      </c>
      <c r="R605" s="34">
        <f>IFERROR(__xludf.DUMMYFUNCTION("""COMPUTED_VALUE"""),19.6)</f>
        <v>19.6</v>
      </c>
      <c r="S605" s="35" t="str">
        <f>IFERROR(__xludf.DUMMYFUNCTION("""COMPUTED_VALUE"""),"%")</f>
        <v>%</v>
      </c>
      <c r="T605" s="36">
        <f>IFERROR(__xludf.DUMMYFUNCTION("""COMPUTED_VALUE"""),2.0)</f>
        <v>2</v>
      </c>
      <c r="U605" s="37" t="str">
        <f>IFERROR(__xludf.DUMMYFUNCTION("""COMPUTED_VALUE"""),"B117")</f>
        <v>B117</v>
      </c>
      <c r="V605" s="38" t="str">
        <f>IFERROR(__xludf.DUMMYFUNCTION("""COMPUTED_VALUE"""),"")</f>
        <v/>
      </c>
      <c r="W605" s="34">
        <f>IFERROR(__xludf.DUMMYFUNCTION("""COMPUTED_VALUE"""),43.4)</f>
        <v>43.4</v>
      </c>
      <c r="X605" s="35" t="str">
        <f>IFERROR(__xludf.DUMMYFUNCTION("""COMPUTED_VALUE"""),"AP")</f>
        <v>AP</v>
      </c>
      <c r="Y605" s="34">
        <f>IFERROR(__xludf.DUMMYFUNCTION("""COMPUTED_VALUE"""),48.4)</f>
        <v>48.4</v>
      </c>
      <c r="Z605" s="35" t="str">
        <f>IFERROR(__xludf.DUMMYFUNCTION("""COMPUTED_VALUE"""),"%")</f>
        <v>%</v>
      </c>
      <c r="AA605" s="36">
        <f>IFERROR(__xludf.DUMMYFUNCTION("""COMPUTED_VALUE"""),3.0)</f>
        <v>3</v>
      </c>
      <c r="AB605" s="37"/>
      <c r="AC605" s="38"/>
      <c r="AD605" s="34" t="str">
        <f>IFERROR(__xludf.DUMMYFUNCTION("""COMPUTED_VALUE"""),"")</f>
        <v/>
      </c>
      <c r="AE605" s="35" t="str">
        <f>IFERROR(__xludf.DUMMYFUNCTION("""COMPUTED_VALUE"""),"AP")</f>
        <v>AP</v>
      </c>
      <c r="AF605" s="34" t="str">
        <f>IFERROR(__xludf.DUMMYFUNCTION("""COMPUTED_VALUE"""),"")</f>
        <v/>
      </c>
      <c r="AG605" s="35" t="str">
        <f>IFERROR(__xludf.DUMMYFUNCTION("""COMPUTED_VALUE"""),"%")</f>
        <v>%</v>
      </c>
      <c r="AH605" s="31">
        <f>IFERROR(__xludf.DUMMYFUNCTION("""COMPUTED_VALUE"""),21.0)</f>
        <v>21</v>
      </c>
      <c r="AI605" s="32">
        <f>IFERROR(__xludf.DUMMYFUNCTION("""COMPUTED_VALUE"""),5012.0)</f>
        <v>5012</v>
      </c>
      <c r="AJ605" s="39" t="str">
        <f>IFERROR(__xludf.DUMMYFUNCTION("""COMPUTED_VALUE"""),"ヘカテ島")</f>
        <v>ヘカテ島</v>
      </c>
    </row>
    <row r="606" ht="24.75" customHeight="1">
      <c r="A606" s="40">
        <f>IFERROR(__xludf.DUMMYFUNCTION("""COMPUTED_VALUE"""),6.0)</f>
        <v>6</v>
      </c>
      <c r="B606" s="40" t="str">
        <f>IFERROR(__xludf.DUMMYFUNCTION("""COMPUTED_VALUE"""),"A218")</f>
        <v>A218</v>
      </c>
      <c r="C606" s="40" t="str">
        <f>IFERROR(__xludf.DUMMYFUNCTION("""COMPUTED_VALUE"""),"ATL5")</f>
        <v>ATL5</v>
      </c>
      <c r="D606" s="41" t="str">
        <f>IFERROR(__xludf.DUMMYFUNCTION("""COMPUTED_VALUE"""),"Atlantis")</f>
        <v>Atlantis</v>
      </c>
      <c r="E606" s="42" t="str">
        <f>IFERROR(__xludf.DUMMYFUNCTION("""COMPUTED_VALUE"""),"Astraea Island")</f>
        <v>Astraea Island</v>
      </c>
      <c r="F606" s="43">
        <f>IFERROR(__xludf.DUMMYFUNCTION("""COMPUTED_VALUE"""),21.0)</f>
        <v>21</v>
      </c>
      <c r="G606" s="44">
        <f>IFERROR(__xludf.DUMMYFUNCTION("""COMPUTED_VALUE"""),34644.0)</f>
        <v>34644</v>
      </c>
      <c r="H606" s="33" t="str">
        <f>IFERROR(__xludf.DUMMYFUNCTION("""COMPUTED_VALUE"""),"")</f>
        <v/>
      </c>
      <c r="I606" s="45">
        <f>IFERROR(__xludf.DUMMYFUNCTION("""COMPUTED_VALUE"""),105.2)</f>
        <v>105.2</v>
      </c>
      <c r="J606" s="46" t="str">
        <f>IFERROR(__xludf.DUMMYFUNCTION("""COMPUTED_VALUE"""),"AP")</f>
        <v>AP</v>
      </c>
      <c r="K606" s="47">
        <f>IFERROR(__xludf.DUMMYFUNCTION("""COMPUTED_VALUE"""),20.0)</f>
        <v>20</v>
      </c>
      <c r="L606" s="48" t="str">
        <f>IFERROR(__xludf.DUMMYFUNCTION("""COMPUTED_VALUE"""),"%")</f>
        <v>%</v>
      </c>
      <c r="M606" s="49">
        <f>IFERROR(__xludf.DUMMYFUNCTION("""COMPUTED_VALUE"""),1.0)</f>
        <v>1</v>
      </c>
      <c r="N606" s="50" t="str">
        <f>IFERROR(__xludf.DUMMYFUNCTION("""COMPUTED_VALUE"""),"A104")</f>
        <v>A104</v>
      </c>
      <c r="O606" s="38" t="str">
        <f>IFERROR(__xludf.DUMMYFUNCTION("""COMPUTED_VALUE"""),"")</f>
        <v/>
      </c>
      <c r="P606" s="45">
        <f>IFERROR(__xludf.DUMMYFUNCTION("""COMPUTED_VALUE"""),207.6)</f>
        <v>207.6</v>
      </c>
      <c r="Q606" s="46" t="str">
        <f>IFERROR(__xludf.DUMMYFUNCTION("""COMPUTED_VALUE"""),"AP")</f>
        <v>AP</v>
      </c>
      <c r="R606" s="47">
        <f>IFERROR(__xludf.DUMMYFUNCTION("""COMPUTED_VALUE"""),10.1)</f>
        <v>10.1</v>
      </c>
      <c r="S606" s="48" t="str">
        <f>IFERROR(__xludf.DUMMYFUNCTION("""COMPUTED_VALUE"""),"%")</f>
        <v>%</v>
      </c>
      <c r="T606" s="49">
        <f>IFERROR(__xludf.DUMMYFUNCTION("""COMPUTED_VALUE"""),2.0)</f>
        <v>2</v>
      </c>
      <c r="U606" s="50" t="str">
        <f>IFERROR(__xludf.DUMMYFUNCTION("""COMPUTED_VALUE"""),"A304")</f>
        <v>A304</v>
      </c>
      <c r="V606" s="38" t="str">
        <f>IFERROR(__xludf.DUMMYFUNCTION("""COMPUTED_VALUE"""),"")</f>
        <v/>
      </c>
      <c r="W606" s="45">
        <f>IFERROR(__xludf.DUMMYFUNCTION("""COMPUTED_VALUE"""),69.6)</f>
        <v>69.6</v>
      </c>
      <c r="X606" s="46" t="str">
        <f>IFERROR(__xludf.DUMMYFUNCTION("""COMPUTED_VALUE"""),"AP")</f>
        <v>AP</v>
      </c>
      <c r="Y606" s="47">
        <f>IFERROR(__xludf.DUMMYFUNCTION("""COMPUTED_VALUE"""),30.2)</f>
        <v>30.2</v>
      </c>
      <c r="Z606" s="48" t="str">
        <f>IFERROR(__xludf.DUMMYFUNCTION("""COMPUTED_VALUE"""),"%")</f>
        <v>%</v>
      </c>
      <c r="AA606" s="49">
        <f>IFERROR(__xludf.DUMMYFUNCTION("""COMPUTED_VALUE"""),3.0)</f>
        <v>3</v>
      </c>
      <c r="AB606" s="50" t="str">
        <f>IFERROR(__xludf.DUMMYFUNCTION("""COMPUTED_VALUE"""),"B101")</f>
        <v>B101</v>
      </c>
      <c r="AC606" s="38" t="str">
        <f>IFERROR(__xludf.DUMMYFUNCTION("""COMPUTED_VALUE"""),"")</f>
        <v/>
      </c>
      <c r="AD606" s="45">
        <f>IFERROR(__xludf.DUMMYFUNCTION("""COMPUTED_VALUE"""),645.8)</f>
        <v>645.8</v>
      </c>
      <c r="AE606" s="46" t="str">
        <f>IFERROR(__xludf.DUMMYFUNCTION("""COMPUTED_VALUE"""),"AP")</f>
        <v>AP</v>
      </c>
      <c r="AF606" s="47">
        <f>IFERROR(__xludf.DUMMYFUNCTION("""COMPUTED_VALUE"""),3.3)</f>
        <v>3.3</v>
      </c>
      <c r="AG606" s="48" t="str">
        <f>IFERROR(__xludf.DUMMYFUNCTION("""COMPUTED_VALUE"""),"%")</f>
        <v>%</v>
      </c>
      <c r="AH606" s="43">
        <f>IFERROR(__xludf.DUMMYFUNCTION("""COMPUTED_VALUE"""),21.0)</f>
        <v>21</v>
      </c>
      <c r="AI606" s="44">
        <f>IFERROR(__xludf.DUMMYFUNCTION("""COMPUTED_VALUE"""),34644.0)</f>
        <v>34644</v>
      </c>
      <c r="AJ606" s="51" t="str">
        <f>IFERROR(__xludf.DUMMYFUNCTION("""COMPUTED_VALUE"""),"アストライア島")</f>
        <v>アストライア島</v>
      </c>
    </row>
    <row r="607" ht="24.75" customHeight="1">
      <c r="A607" s="28">
        <f>IFERROR(__xludf.DUMMYFUNCTION("""COMPUTED_VALUE"""),7.0)</f>
        <v>7</v>
      </c>
      <c r="B607" s="28" t="str">
        <f>IFERROR(__xludf.DUMMYFUNCTION("""COMPUTED_VALUE"""),"A218")</f>
        <v>A218</v>
      </c>
      <c r="C607" s="28" t="str">
        <f>IFERROR(__xludf.DUMMYFUNCTION("""COMPUTED_VALUE"""),"ATL7")</f>
        <v>ATL7</v>
      </c>
      <c r="D607" s="29" t="str">
        <f>IFERROR(__xludf.DUMMYFUNCTION("""COMPUTED_VALUE"""),"Atlantis")</f>
        <v>Atlantis</v>
      </c>
      <c r="E607" s="30" t="str">
        <f>IFERROR(__xludf.DUMMYFUNCTION("""COMPUTED_VALUE"""),"Eris Island")</f>
        <v>Eris Island</v>
      </c>
      <c r="F607" s="31">
        <f>IFERROR(__xludf.DUMMYFUNCTION("""COMPUTED_VALUE"""),21.0)</f>
        <v>21</v>
      </c>
      <c r="G607" s="32">
        <f>IFERROR(__xludf.DUMMYFUNCTION("""COMPUTED_VALUE"""),4175.0)</f>
        <v>4175</v>
      </c>
      <c r="H607" s="33" t="str">
        <f>IFERROR(__xludf.DUMMYFUNCTION("""COMPUTED_VALUE"""),"")</f>
        <v/>
      </c>
      <c r="I607" s="34">
        <f>IFERROR(__xludf.DUMMYFUNCTION("""COMPUTED_VALUE"""),105.3)</f>
        <v>105.3</v>
      </c>
      <c r="J607" s="35" t="str">
        <f>IFERROR(__xludf.DUMMYFUNCTION("""COMPUTED_VALUE"""),"AP")</f>
        <v>AP</v>
      </c>
      <c r="K607" s="34">
        <f>IFERROR(__xludf.DUMMYFUNCTION("""COMPUTED_VALUE"""),20.0)</f>
        <v>20</v>
      </c>
      <c r="L607" s="35" t="str">
        <f>IFERROR(__xludf.DUMMYFUNCTION("""COMPUTED_VALUE"""),"%")</f>
        <v>%</v>
      </c>
      <c r="M607" s="36">
        <f>IFERROR(__xludf.DUMMYFUNCTION("""COMPUTED_VALUE"""),1.0)</f>
        <v>1</v>
      </c>
      <c r="N607" s="37" t="str">
        <f>IFERROR(__xludf.DUMMYFUNCTION("""COMPUTED_VALUE"""),"A113")</f>
        <v>A113</v>
      </c>
      <c r="O607" s="38" t="str">
        <f>IFERROR(__xludf.DUMMYFUNCTION("""COMPUTED_VALUE"""),"")</f>
        <v/>
      </c>
      <c r="P607" s="34">
        <f>IFERROR(__xludf.DUMMYFUNCTION("""COMPUTED_VALUE"""),136.1)</f>
        <v>136.1</v>
      </c>
      <c r="Q607" s="35" t="str">
        <f>IFERROR(__xludf.DUMMYFUNCTION("""COMPUTED_VALUE"""),"AP")</f>
        <v>AP</v>
      </c>
      <c r="R607" s="34">
        <f>IFERROR(__xludf.DUMMYFUNCTION("""COMPUTED_VALUE"""),15.4)</f>
        <v>15.4</v>
      </c>
      <c r="S607" s="35" t="str">
        <f>IFERROR(__xludf.DUMMYFUNCTION("""COMPUTED_VALUE"""),"%")</f>
        <v>%</v>
      </c>
      <c r="T607" s="36">
        <f>IFERROR(__xludf.DUMMYFUNCTION("""COMPUTED_VALUE"""),2.0)</f>
        <v>2</v>
      </c>
      <c r="U607" s="37" t="str">
        <f>IFERROR(__xludf.DUMMYFUNCTION("""COMPUTED_VALUE"""),"A304")</f>
        <v>A304</v>
      </c>
      <c r="V607" s="38" t="str">
        <f>IFERROR(__xludf.DUMMYFUNCTION("""COMPUTED_VALUE"""),"")</f>
        <v/>
      </c>
      <c r="W607" s="34">
        <f>IFERROR(__xludf.DUMMYFUNCTION("""COMPUTED_VALUE"""),69.2)</f>
        <v>69.2</v>
      </c>
      <c r="X607" s="35" t="str">
        <f>IFERROR(__xludf.DUMMYFUNCTION("""COMPUTED_VALUE"""),"AP")</f>
        <v>AP</v>
      </c>
      <c r="Y607" s="34">
        <f>IFERROR(__xludf.DUMMYFUNCTION("""COMPUTED_VALUE"""),30.3)</f>
        <v>30.3</v>
      </c>
      <c r="Z607" s="35" t="str">
        <f>IFERROR(__xludf.DUMMYFUNCTION("""COMPUTED_VALUE"""),"%")</f>
        <v>%</v>
      </c>
      <c r="AA607" s="36">
        <f>IFERROR(__xludf.DUMMYFUNCTION("""COMPUTED_VALUE"""),3.0)</f>
        <v>3</v>
      </c>
      <c r="AB607" s="37" t="str">
        <f>IFERROR(__xludf.DUMMYFUNCTION("""COMPUTED_VALUE"""),"B113")</f>
        <v>B113</v>
      </c>
      <c r="AC607" s="38" t="str">
        <f>IFERROR(__xludf.DUMMYFUNCTION("""COMPUTED_VALUE"""),"")</f>
        <v/>
      </c>
      <c r="AD607" s="34">
        <f>IFERROR(__xludf.DUMMYFUNCTION("""COMPUTED_VALUE"""),254.8)</f>
        <v>254.8</v>
      </c>
      <c r="AE607" s="35" t="str">
        <f>IFERROR(__xludf.DUMMYFUNCTION("""COMPUTED_VALUE"""),"AP")</f>
        <v>AP</v>
      </c>
      <c r="AF607" s="34">
        <f>IFERROR(__xludf.DUMMYFUNCTION("""COMPUTED_VALUE"""),8.2)</f>
        <v>8.2</v>
      </c>
      <c r="AG607" s="35" t="str">
        <f>IFERROR(__xludf.DUMMYFUNCTION("""COMPUTED_VALUE"""),"%")</f>
        <v>%</v>
      </c>
      <c r="AH607" s="31">
        <f>IFERROR(__xludf.DUMMYFUNCTION("""COMPUTED_VALUE"""),21.0)</f>
        <v>21</v>
      </c>
      <c r="AI607" s="32">
        <f>IFERROR(__xludf.DUMMYFUNCTION("""COMPUTED_VALUE"""),4175.0)</f>
        <v>4175</v>
      </c>
      <c r="AJ607" s="39" t="str">
        <f>IFERROR(__xludf.DUMMYFUNCTION("""COMPUTED_VALUE"""),"エリス島")</f>
        <v>エリス島</v>
      </c>
    </row>
    <row r="608" ht="24.75" customHeight="1">
      <c r="A608" s="40">
        <f>IFERROR(__xludf.DUMMYFUNCTION("""COMPUTED_VALUE"""),8.0)</f>
        <v>8</v>
      </c>
      <c r="B608" s="40" t="str">
        <f>IFERROR(__xludf.DUMMYFUNCTION("""COMPUTED_VALUE"""),"A218")</f>
        <v>A218</v>
      </c>
      <c r="C608" s="40"/>
      <c r="D608" s="41"/>
      <c r="E608" s="66"/>
      <c r="F608" s="43"/>
      <c r="G608" s="44"/>
      <c r="H608" s="33" t="str">
        <f>IFERROR(__xludf.DUMMYFUNCTION("""COMPUTED_VALUE""")," ")</f>
        <v> </v>
      </c>
      <c r="I608" s="45"/>
      <c r="J608" s="46" t="str">
        <f>IFERROR(__xludf.DUMMYFUNCTION("""COMPUTED_VALUE"""),"AP")</f>
        <v>AP</v>
      </c>
      <c r="K608" s="47"/>
      <c r="L608" s="48" t="str">
        <f>IFERROR(__xludf.DUMMYFUNCTION("""COMPUTED_VALUE"""),"%")</f>
        <v>%</v>
      </c>
      <c r="M608" s="49">
        <f>IFERROR(__xludf.DUMMYFUNCTION("""COMPUTED_VALUE"""),1.0)</f>
        <v>1</v>
      </c>
      <c r="N608" s="50"/>
      <c r="O608" s="38"/>
      <c r="P608" s="45" t="str">
        <f>IFERROR(__xludf.DUMMYFUNCTION("""COMPUTED_VALUE"""),"")</f>
        <v/>
      </c>
      <c r="Q608" s="46" t="str">
        <f>IFERROR(__xludf.DUMMYFUNCTION("""COMPUTED_VALUE"""),"AP")</f>
        <v>AP</v>
      </c>
      <c r="R608" s="47" t="str">
        <f>IFERROR(__xludf.DUMMYFUNCTION("""COMPUTED_VALUE"""),"")</f>
        <v/>
      </c>
      <c r="S608" s="48" t="str">
        <f>IFERROR(__xludf.DUMMYFUNCTION("""COMPUTED_VALUE"""),"%")</f>
        <v>%</v>
      </c>
      <c r="T608" s="49">
        <f>IFERROR(__xludf.DUMMYFUNCTION("""COMPUTED_VALUE"""),2.0)</f>
        <v>2</v>
      </c>
      <c r="U608" s="50"/>
      <c r="V608" s="38"/>
      <c r="W608" s="45" t="str">
        <f>IFERROR(__xludf.DUMMYFUNCTION("""COMPUTED_VALUE"""),"")</f>
        <v/>
      </c>
      <c r="X608" s="46" t="str">
        <f>IFERROR(__xludf.DUMMYFUNCTION("""COMPUTED_VALUE"""),"AP")</f>
        <v>AP</v>
      </c>
      <c r="Y608" s="47" t="str">
        <f>IFERROR(__xludf.DUMMYFUNCTION("""COMPUTED_VALUE"""),"")</f>
        <v/>
      </c>
      <c r="Z608" s="48" t="str">
        <f>IFERROR(__xludf.DUMMYFUNCTION("""COMPUTED_VALUE"""),"%")</f>
        <v>%</v>
      </c>
      <c r="AA608" s="49">
        <f>IFERROR(__xludf.DUMMYFUNCTION("""COMPUTED_VALUE"""),3.0)</f>
        <v>3</v>
      </c>
      <c r="AB608" s="50"/>
      <c r="AC608" s="38"/>
      <c r="AD608" s="45" t="str">
        <f>IFERROR(__xludf.DUMMYFUNCTION("""COMPUTED_VALUE"""),"")</f>
        <v/>
      </c>
      <c r="AE608" s="46" t="str">
        <f>IFERROR(__xludf.DUMMYFUNCTION("""COMPUTED_VALUE"""),"AP")</f>
        <v>AP</v>
      </c>
      <c r="AF608" s="47" t="str">
        <f>IFERROR(__xludf.DUMMYFUNCTION("""COMPUTED_VALUE"""),"")</f>
        <v/>
      </c>
      <c r="AG608" s="48" t="str">
        <f>IFERROR(__xludf.DUMMYFUNCTION("""COMPUTED_VALUE"""),"%")</f>
        <v>%</v>
      </c>
      <c r="AH608" s="43"/>
      <c r="AI608" s="44"/>
      <c r="AJ608" s="51"/>
    </row>
    <row r="609" ht="24.75" hidden="1" customHeight="1">
      <c r="A609" s="28">
        <f>IFERROR(__xludf.DUMMYFUNCTION("""COMPUTED_VALUE"""),9.0)</f>
        <v>9</v>
      </c>
      <c r="B609" s="28" t="str">
        <f>IFERROR(__xludf.DUMMYFUNCTION("""COMPUTED_VALUE"""),"A218")</f>
        <v>A218</v>
      </c>
      <c r="C609" s="28"/>
      <c r="D609" s="29"/>
      <c r="E609" s="67"/>
      <c r="F609" s="31"/>
      <c r="G609" s="32"/>
      <c r="H609" s="33" t="str">
        <f>IFERROR(__xludf.DUMMYFUNCTION("""COMPUTED_VALUE""")," ")</f>
        <v> </v>
      </c>
      <c r="I609" s="34"/>
      <c r="J609" s="35" t="str">
        <f>IFERROR(__xludf.DUMMYFUNCTION("""COMPUTED_VALUE"""),"AP")</f>
        <v>AP</v>
      </c>
      <c r="K609" s="34"/>
      <c r="L609" s="35" t="str">
        <f>IFERROR(__xludf.DUMMYFUNCTION("""COMPUTED_VALUE"""),"%")</f>
        <v>%</v>
      </c>
      <c r="M609" s="36">
        <f>IFERROR(__xludf.DUMMYFUNCTION("""COMPUTED_VALUE"""),1.0)</f>
        <v>1</v>
      </c>
      <c r="N609" s="37"/>
      <c r="O609" s="38"/>
      <c r="P609" s="34" t="str">
        <f>IFERROR(__xludf.DUMMYFUNCTION("""COMPUTED_VALUE"""),"")</f>
        <v/>
      </c>
      <c r="Q609" s="35" t="str">
        <f>IFERROR(__xludf.DUMMYFUNCTION("""COMPUTED_VALUE"""),"AP")</f>
        <v>AP</v>
      </c>
      <c r="R609" s="34" t="str">
        <f>IFERROR(__xludf.DUMMYFUNCTION("""COMPUTED_VALUE"""),"")</f>
        <v/>
      </c>
      <c r="S609" s="35" t="str">
        <f>IFERROR(__xludf.DUMMYFUNCTION("""COMPUTED_VALUE"""),"%")</f>
        <v>%</v>
      </c>
      <c r="T609" s="36">
        <f>IFERROR(__xludf.DUMMYFUNCTION("""COMPUTED_VALUE"""),2.0)</f>
        <v>2</v>
      </c>
      <c r="U609" s="37"/>
      <c r="V609" s="38"/>
      <c r="W609" s="34" t="str">
        <f>IFERROR(__xludf.DUMMYFUNCTION("""COMPUTED_VALUE"""),"")</f>
        <v/>
      </c>
      <c r="X609" s="35" t="str">
        <f>IFERROR(__xludf.DUMMYFUNCTION("""COMPUTED_VALUE"""),"AP")</f>
        <v>AP</v>
      </c>
      <c r="Y609" s="34" t="str">
        <f>IFERROR(__xludf.DUMMYFUNCTION("""COMPUTED_VALUE"""),"")</f>
        <v/>
      </c>
      <c r="Z609" s="35" t="str">
        <f>IFERROR(__xludf.DUMMYFUNCTION("""COMPUTED_VALUE"""),"%")</f>
        <v>%</v>
      </c>
      <c r="AA609" s="36">
        <f>IFERROR(__xludf.DUMMYFUNCTION("""COMPUTED_VALUE"""),3.0)</f>
        <v>3</v>
      </c>
      <c r="AB609" s="37"/>
      <c r="AC609" s="38"/>
      <c r="AD609" s="34" t="str">
        <f>IFERROR(__xludf.DUMMYFUNCTION("""COMPUTED_VALUE"""),"")</f>
        <v/>
      </c>
      <c r="AE609" s="35" t="str">
        <f>IFERROR(__xludf.DUMMYFUNCTION("""COMPUTED_VALUE"""),"AP")</f>
        <v>AP</v>
      </c>
      <c r="AF609" s="34" t="str">
        <f>IFERROR(__xludf.DUMMYFUNCTION("""COMPUTED_VALUE"""),"")</f>
        <v/>
      </c>
      <c r="AG609" s="35" t="str">
        <f>IFERROR(__xludf.DUMMYFUNCTION("""COMPUTED_VALUE"""),"%")</f>
        <v>%</v>
      </c>
      <c r="AH609" s="31"/>
      <c r="AI609" s="32"/>
      <c r="AJ609" s="39"/>
    </row>
    <row r="610" ht="24.75" hidden="1" customHeight="1">
      <c r="A610" s="40">
        <f>IFERROR(__xludf.DUMMYFUNCTION("""COMPUTED_VALUE"""),10.0)</f>
        <v>10</v>
      </c>
      <c r="B610" s="40" t="str">
        <f>IFERROR(__xludf.DUMMYFUNCTION("""COMPUTED_VALUE"""),"A218")</f>
        <v>A218</v>
      </c>
      <c r="C610" s="40"/>
      <c r="D610" s="41"/>
      <c r="E610" s="66"/>
      <c r="F610" s="43"/>
      <c r="G610" s="44"/>
      <c r="H610" s="33" t="str">
        <f>IFERROR(__xludf.DUMMYFUNCTION("""COMPUTED_VALUE""")," ")</f>
        <v> </v>
      </c>
      <c r="I610" s="45"/>
      <c r="J610" s="46" t="str">
        <f>IFERROR(__xludf.DUMMYFUNCTION("""COMPUTED_VALUE"""),"AP")</f>
        <v>AP</v>
      </c>
      <c r="K610" s="47"/>
      <c r="L610" s="48" t="str">
        <f>IFERROR(__xludf.DUMMYFUNCTION("""COMPUTED_VALUE"""),"%")</f>
        <v>%</v>
      </c>
      <c r="M610" s="49">
        <f>IFERROR(__xludf.DUMMYFUNCTION("""COMPUTED_VALUE"""),1.0)</f>
        <v>1</v>
      </c>
      <c r="N610" s="50"/>
      <c r="O610" s="38"/>
      <c r="P610" s="45" t="str">
        <f>IFERROR(__xludf.DUMMYFUNCTION("""COMPUTED_VALUE"""),"")</f>
        <v/>
      </c>
      <c r="Q610" s="46" t="str">
        <f>IFERROR(__xludf.DUMMYFUNCTION("""COMPUTED_VALUE"""),"AP")</f>
        <v>AP</v>
      </c>
      <c r="R610" s="47" t="str">
        <f>IFERROR(__xludf.DUMMYFUNCTION("""COMPUTED_VALUE"""),"")</f>
        <v/>
      </c>
      <c r="S610" s="48" t="str">
        <f>IFERROR(__xludf.DUMMYFUNCTION("""COMPUTED_VALUE"""),"%")</f>
        <v>%</v>
      </c>
      <c r="T610" s="49">
        <f>IFERROR(__xludf.DUMMYFUNCTION("""COMPUTED_VALUE"""),2.0)</f>
        <v>2</v>
      </c>
      <c r="U610" s="50"/>
      <c r="V610" s="38"/>
      <c r="W610" s="45" t="str">
        <f>IFERROR(__xludf.DUMMYFUNCTION("""COMPUTED_VALUE"""),"")</f>
        <v/>
      </c>
      <c r="X610" s="46" t="str">
        <f>IFERROR(__xludf.DUMMYFUNCTION("""COMPUTED_VALUE"""),"AP")</f>
        <v>AP</v>
      </c>
      <c r="Y610" s="47" t="str">
        <f>IFERROR(__xludf.DUMMYFUNCTION("""COMPUTED_VALUE"""),"")</f>
        <v/>
      </c>
      <c r="Z610" s="48" t="str">
        <f>IFERROR(__xludf.DUMMYFUNCTION("""COMPUTED_VALUE"""),"%")</f>
        <v>%</v>
      </c>
      <c r="AA610" s="49">
        <f>IFERROR(__xludf.DUMMYFUNCTION("""COMPUTED_VALUE"""),3.0)</f>
        <v>3</v>
      </c>
      <c r="AB610" s="50"/>
      <c r="AC610" s="38"/>
      <c r="AD610" s="45" t="str">
        <f>IFERROR(__xludf.DUMMYFUNCTION("""COMPUTED_VALUE"""),"")</f>
        <v/>
      </c>
      <c r="AE610" s="46" t="str">
        <f>IFERROR(__xludf.DUMMYFUNCTION("""COMPUTED_VALUE"""),"AP")</f>
        <v>AP</v>
      </c>
      <c r="AF610" s="47" t="str">
        <f>IFERROR(__xludf.DUMMYFUNCTION("""COMPUTED_VALUE"""),"")</f>
        <v/>
      </c>
      <c r="AG610" s="48" t="str">
        <f>IFERROR(__xludf.DUMMYFUNCTION("""COMPUTED_VALUE"""),"%")</f>
        <v>%</v>
      </c>
      <c r="AH610" s="43"/>
      <c r="AI610" s="44"/>
      <c r="AJ610" s="51"/>
    </row>
    <row r="611" ht="24.75" hidden="1" customHeight="1">
      <c r="A611" s="28">
        <f>IFERROR(__xludf.DUMMYFUNCTION("""COMPUTED_VALUE"""),11.0)</f>
        <v>11</v>
      </c>
      <c r="B611" s="28" t="str">
        <f>IFERROR(__xludf.DUMMYFUNCTION("""COMPUTED_VALUE"""),"A218")</f>
        <v>A218</v>
      </c>
      <c r="C611" s="28"/>
      <c r="D611" s="29"/>
      <c r="E611" s="67"/>
      <c r="F611" s="31"/>
      <c r="G611" s="32"/>
      <c r="H611" s="33" t="str">
        <f>IFERROR(__xludf.DUMMYFUNCTION("""COMPUTED_VALUE""")," ")</f>
        <v> </v>
      </c>
      <c r="I611" s="34"/>
      <c r="J611" s="35" t="str">
        <f>IFERROR(__xludf.DUMMYFUNCTION("""COMPUTED_VALUE"""),"AP")</f>
        <v>AP</v>
      </c>
      <c r="K611" s="34"/>
      <c r="L611" s="35" t="str">
        <f>IFERROR(__xludf.DUMMYFUNCTION("""COMPUTED_VALUE"""),"%")</f>
        <v>%</v>
      </c>
      <c r="M611" s="36">
        <f>IFERROR(__xludf.DUMMYFUNCTION("""COMPUTED_VALUE"""),1.0)</f>
        <v>1</v>
      </c>
      <c r="N611" s="37"/>
      <c r="O611" s="38"/>
      <c r="P611" s="34" t="str">
        <f>IFERROR(__xludf.DUMMYFUNCTION("""COMPUTED_VALUE"""),"")</f>
        <v/>
      </c>
      <c r="Q611" s="35" t="str">
        <f>IFERROR(__xludf.DUMMYFUNCTION("""COMPUTED_VALUE"""),"AP")</f>
        <v>AP</v>
      </c>
      <c r="R611" s="34" t="str">
        <f>IFERROR(__xludf.DUMMYFUNCTION("""COMPUTED_VALUE"""),"")</f>
        <v/>
      </c>
      <c r="S611" s="35" t="str">
        <f>IFERROR(__xludf.DUMMYFUNCTION("""COMPUTED_VALUE"""),"%")</f>
        <v>%</v>
      </c>
      <c r="T611" s="36">
        <f>IFERROR(__xludf.DUMMYFUNCTION("""COMPUTED_VALUE"""),2.0)</f>
        <v>2</v>
      </c>
      <c r="U611" s="37"/>
      <c r="V611" s="38"/>
      <c r="W611" s="34" t="str">
        <f>IFERROR(__xludf.DUMMYFUNCTION("""COMPUTED_VALUE"""),"")</f>
        <v/>
      </c>
      <c r="X611" s="35" t="str">
        <f>IFERROR(__xludf.DUMMYFUNCTION("""COMPUTED_VALUE"""),"AP")</f>
        <v>AP</v>
      </c>
      <c r="Y611" s="34" t="str">
        <f>IFERROR(__xludf.DUMMYFUNCTION("""COMPUTED_VALUE"""),"")</f>
        <v/>
      </c>
      <c r="Z611" s="35" t="str">
        <f>IFERROR(__xludf.DUMMYFUNCTION("""COMPUTED_VALUE"""),"%")</f>
        <v>%</v>
      </c>
      <c r="AA611" s="36">
        <f>IFERROR(__xludf.DUMMYFUNCTION("""COMPUTED_VALUE"""),3.0)</f>
        <v>3</v>
      </c>
      <c r="AB611" s="37"/>
      <c r="AC611" s="38"/>
      <c r="AD611" s="34" t="str">
        <f>IFERROR(__xludf.DUMMYFUNCTION("""COMPUTED_VALUE"""),"")</f>
        <v/>
      </c>
      <c r="AE611" s="35" t="str">
        <f>IFERROR(__xludf.DUMMYFUNCTION("""COMPUTED_VALUE"""),"AP")</f>
        <v>AP</v>
      </c>
      <c r="AF611" s="34" t="str">
        <f>IFERROR(__xludf.DUMMYFUNCTION("""COMPUTED_VALUE"""),"")</f>
        <v/>
      </c>
      <c r="AG611" s="35" t="str">
        <f>IFERROR(__xludf.DUMMYFUNCTION("""COMPUTED_VALUE"""),"%")</f>
        <v>%</v>
      </c>
      <c r="AH611" s="31"/>
      <c r="AI611" s="32"/>
      <c r="AJ611" s="39"/>
    </row>
    <row r="612" ht="24.75" hidden="1" customHeight="1">
      <c r="A612" s="40">
        <f>IFERROR(__xludf.DUMMYFUNCTION("""COMPUTED_VALUE"""),12.0)</f>
        <v>12</v>
      </c>
      <c r="B612" s="40" t="str">
        <f>IFERROR(__xludf.DUMMYFUNCTION("""COMPUTED_VALUE"""),"A218")</f>
        <v>A218</v>
      </c>
      <c r="C612" s="40"/>
      <c r="D612" s="41"/>
      <c r="E612" s="66"/>
      <c r="F612" s="43"/>
      <c r="G612" s="44"/>
      <c r="H612" s="33" t="str">
        <f>IFERROR(__xludf.DUMMYFUNCTION("""COMPUTED_VALUE""")," ")</f>
        <v> </v>
      </c>
      <c r="I612" s="45"/>
      <c r="J612" s="46" t="str">
        <f>IFERROR(__xludf.DUMMYFUNCTION("""COMPUTED_VALUE"""),"AP")</f>
        <v>AP</v>
      </c>
      <c r="K612" s="47"/>
      <c r="L612" s="48" t="str">
        <f>IFERROR(__xludf.DUMMYFUNCTION("""COMPUTED_VALUE"""),"%")</f>
        <v>%</v>
      </c>
      <c r="M612" s="49">
        <f>IFERROR(__xludf.DUMMYFUNCTION("""COMPUTED_VALUE"""),1.0)</f>
        <v>1</v>
      </c>
      <c r="N612" s="50"/>
      <c r="O612" s="38"/>
      <c r="P612" s="45" t="str">
        <f>IFERROR(__xludf.DUMMYFUNCTION("""COMPUTED_VALUE"""),"")</f>
        <v/>
      </c>
      <c r="Q612" s="46" t="str">
        <f>IFERROR(__xludf.DUMMYFUNCTION("""COMPUTED_VALUE"""),"AP")</f>
        <v>AP</v>
      </c>
      <c r="R612" s="47" t="str">
        <f>IFERROR(__xludf.DUMMYFUNCTION("""COMPUTED_VALUE"""),"")</f>
        <v/>
      </c>
      <c r="S612" s="48" t="str">
        <f>IFERROR(__xludf.DUMMYFUNCTION("""COMPUTED_VALUE"""),"%")</f>
        <v>%</v>
      </c>
      <c r="T612" s="49">
        <f>IFERROR(__xludf.DUMMYFUNCTION("""COMPUTED_VALUE"""),2.0)</f>
        <v>2</v>
      </c>
      <c r="U612" s="50"/>
      <c r="V612" s="38"/>
      <c r="W612" s="45" t="str">
        <f>IFERROR(__xludf.DUMMYFUNCTION("""COMPUTED_VALUE"""),"")</f>
        <v/>
      </c>
      <c r="X612" s="46" t="str">
        <f>IFERROR(__xludf.DUMMYFUNCTION("""COMPUTED_VALUE"""),"AP")</f>
        <v>AP</v>
      </c>
      <c r="Y612" s="47" t="str">
        <f>IFERROR(__xludf.DUMMYFUNCTION("""COMPUTED_VALUE"""),"")</f>
        <v/>
      </c>
      <c r="Z612" s="48" t="str">
        <f>IFERROR(__xludf.DUMMYFUNCTION("""COMPUTED_VALUE"""),"%")</f>
        <v>%</v>
      </c>
      <c r="AA612" s="49">
        <f>IFERROR(__xludf.DUMMYFUNCTION("""COMPUTED_VALUE"""),3.0)</f>
        <v>3</v>
      </c>
      <c r="AB612" s="50"/>
      <c r="AC612" s="38"/>
      <c r="AD612" s="45" t="str">
        <f>IFERROR(__xludf.DUMMYFUNCTION("""COMPUTED_VALUE"""),"")</f>
        <v/>
      </c>
      <c r="AE612" s="46" t="str">
        <f>IFERROR(__xludf.DUMMYFUNCTION("""COMPUTED_VALUE"""),"AP")</f>
        <v>AP</v>
      </c>
      <c r="AF612" s="47" t="str">
        <f>IFERROR(__xludf.DUMMYFUNCTION("""COMPUTED_VALUE"""),"")</f>
        <v/>
      </c>
      <c r="AG612" s="48" t="str">
        <f>IFERROR(__xludf.DUMMYFUNCTION("""COMPUTED_VALUE"""),"%")</f>
        <v>%</v>
      </c>
      <c r="AH612" s="43"/>
      <c r="AI612" s="44"/>
      <c r="AJ612" s="51"/>
    </row>
    <row r="613" ht="24.75" hidden="1" customHeight="1">
      <c r="A613" s="28">
        <f>IFERROR(__xludf.DUMMYFUNCTION("""COMPUTED_VALUE"""),13.0)</f>
        <v>13</v>
      </c>
      <c r="B613" s="28" t="str">
        <f>IFERROR(__xludf.DUMMYFUNCTION("""COMPUTED_VALUE"""),"A218")</f>
        <v>A218</v>
      </c>
      <c r="C613" s="28"/>
      <c r="D613" s="29"/>
      <c r="E613" s="67"/>
      <c r="F613" s="31"/>
      <c r="G613" s="32"/>
      <c r="H613" s="33" t="str">
        <f>IFERROR(__xludf.DUMMYFUNCTION("""COMPUTED_VALUE""")," ")</f>
        <v> </v>
      </c>
      <c r="I613" s="34"/>
      <c r="J613" s="35" t="str">
        <f>IFERROR(__xludf.DUMMYFUNCTION("""COMPUTED_VALUE"""),"AP")</f>
        <v>AP</v>
      </c>
      <c r="K613" s="34"/>
      <c r="L613" s="35" t="str">
        <f>IFERROR(__xludf.DUMMYFUNCTION("""COMPUTED_VALUE"""),"%")</f>
        <v>%</v>
      </c>
      <c r="M613" s="36">
        <f>IFERROR(__xludf.DUMMYFUNCTION("""COMPUTED_VALUE"""),1.0)</f>
        <v>1</v>
      </c>
      <c r="N613" s="37"/>
      <c r="O613" s="38"/>
      <c r="P613" s="34" t="str">
        <f>IFERROR(__xludf.DUMMYFUNCTION("""COMPUTED_VALUE"""),"")</f>
        <v/>
      </c>
      <c r="Q613" s="35" t="str">
        <f>IFERROR(__xludf.DUMMYFUNCTION("""COMPUTED_VALUE"""),"AP")</f>
        <v>AP</v>
      </c>
      <c r="R613" s="34" t="str">
        <f>IFERROR(__xludf.DUMMYFUNCTION("""COMPUTED_VALUE"""),"")</f>
        <v/>
      </c>
      <c r="S613" s="35" t="str">
        <f>IFERROR(__xludf.DUMMYFUNCTION("""COMPUTED_VALUE"""),"%")</f>
        <v>%</v>
      </c>
      <c r="T613" s="36">
        <f>IFERROR(__xludf.DUMMYFUNCTION("""COMPUTED_VALUE"""),2.0)</f>
        <v>2</v>
      </c>
      <c r="U613" s="37"/>
      <c r="V613" s="38"/>
      <c r="W613" s="34" t="str">
        <f>IFERROR(__xludf.DUMMYFUNCTION("""COMPUTED_VALUE"""),"")</f>
        <v/>
      </c>
      <c r="X613" s="35" t="str">
        <f>IFERROR(__xludf.DUMMYFUNCTION("""COMPUTED_VALUE"""),"AP")</f>
        <v>AP</v>
      </c>
      <c r="Y613" s="34" t="str">
        <f>IFERROR(__xludf.DUMMYFUNCTION("""COMPUTED_VALUE"""),"")</f>
        <v/>
      </c>
      <c r="Z613" s="35" t="str">
        <f>IFERROR(__xludf.DUMMYFUNCTION("""COMPUTED_VALUE"""),"%")</f>
        <v>%</v>
      </c>
      <c r="AA613" s="36">
        <f>IFERROR(__xludf.DUMMYFUNCTION("""COMPUTED_VALUE"""),3.0)</f>
        <v>3</v>
      </c>
      <c r="AB613" s="37"/>
      <c r="AC613" s="38"/>
      <c r="AD613" s="34" t="str">
        <f>IFERROR(__xludf.DUMMYFUNCTION("""COMPUTED_VALUE"""),"")</f>
        <v/>
      </c>
      <c r="AE613" s="35" t="str">
        <f>IFERROR(__xludf.DUMMYFUNCTION("""COMPUTED_VALUE"""),"AP")</f>
        <v>AP</v>
      </c>
      <c r="AF613" s="34" t="str">
        <f>IFERROR(__xludf.DUMMYFUNCTION("""COMPUTED_VALUE"""),"")</f>
        <v/>
      </c>
      <c r="AG613" s="35" t="str">
        <f>IFERROR(__xludf.DUMMYFUNCTION("""COMPUTED_VALUE"""),"%")</f>
        <v>%</v>
      </c>
      <c r="AH613" s="31"/>
      <c r="AI613" s="32"/>
      <c r="AJ613" s="39"/>
    </row>
    <row r="614" ht="24.75" hidden="1" customHeight="1">
      <c r="A614" s="40">
        <f>IFERROR(__xludf.DUMMYFUNCTION("""COMPUTED_VALUE"""),14.0)</f>
        <v>14</v>
      </c>
      <c r="B614" s="40" t="str">
        <f>IFERROR(__xludf.DUMMYFUNCTION("""COMPUTED_VALUE"""),"A218")</f>
        <v>A218</v>
      </c>
      <c r="C614" s="40"/>
      <c r="D614" s="41"/>
      <c r="E614" s="66"/>
      <c r="F614" s="43"/>
      <c r="G614" s="44"/>
      <c r="H614" s="33" t="str">
        <f>IFERROR(__xludf.DUMMYFUNCTION("""COMPUTED_VALUE""")," ")</f>
        <v> </v>
      </c>
      <c r="I614" s="45"/>
      <c r="J614" s="46" t="str">
        <f>IFERROR(__xludf.DUMMYFUNCTION("""COMPUTED_VALUE"""),"AP")</f>
        <v>AP</v>
      </c>
      <c r="K614" s="47"/>
      <c r="L614" s="48" t="str">
        <f>IFERROR(__xludf.DUMMYFUNCTION("""COMPUTED_VALUE"""),"%")</f>
        <v>%</v>
      </c>
      <c r="M614" s="49">
        <f>IFERROR(__xludf.DUMMYFUNCTION("""COMPUTED_VALUE"""),1.0)</f>
        <v>1</v>
      </c>
      <c r="N614" s="50"/>
      <c r="O614" s="38"/>
      <c r="P614" s="45" t="str">
        <f>IFERROR(__xludf.DUMMYFUNCTION("""COMPUTED_VALUE"""),"")</f>
        <v/>
      </c>
      <c r="Q614" s="46" t="str">
        <f>IFERROR(__xludf.DUMMYFUNCTION("""COMPUTED_VALUE"""),"AP")</f>
        <v>AP</v>
      </c>
      <c r="R614" s="47" t="str">
        <f>IFERROR(__xludf.DUMMYFUNCTION("""COMPUTED_VALUE"""),"")</f>
        <v/>
      </c>
      <c r="S614" s="48" t="str">
        <f>IFERROR(__xludf.DUMMYFUNCTION("""COMPUTED_VALUE"""),"%")</f>
        <v>%</v>
      </c>
      <c r="T614" s="49">
        <f>IFERROR(__xludf.DUMMYFUNCTION("""COMPUTED_VALUE"""),2.0)</f>
        <v>2</v>
      </c>
      <c r="U614" s="50"/>
      <c r="V614" s="38"/>
      <c r="W614" s="45" t="str">
        <f>IFERROR(__xludf.DUMMYFUNCTION("""COMPUTED_VALUE"""),"")</f>
        <v/>
      </c>
      <c r="X614" s="46" t="str">
        <f>IFERROR(__xludf.DUMMYFUNCTION("""COMPUTED_VALUE"""),"AP")</f>
        <v>AP</v>
      </c>
      <c r="Y614" s="47" t="str">
        <f>IFERROR(__xludf.DUMMYFUNCTION("""COMPUTED_VALUE"""),"")</f>
        <v/>
      </c>
      <c r="Z614" s="48" t="str">
        <f>IFERROR(__xludf.DUMMYFUNCTION("""COMPUTED_VALUE"""),"%")</f>
        <v>%</v>
      </c>
      <c r="AA614" s="49">
        <f>IFERROR(__xludf.DUMMYFUNCTION("""COMPUTED_VALUE"""),3.0)</f>
        <v>3</v>
      </c>
      <c r="AB614" s="50"/>
      <c r="AC614" s="38"/>
      <c r="AD614" s="45" t="str">
        <f>IFERROR(__xludf.DUMMYFUNCTION("""COMPUTED_VALUE"""),"")</f>
        <v/>
      </c>
      <c r="AE614" s="46" t="str">
        <f>IFERROR(__xludf.DUMMYFUNCTION("""COMPUTED_VALUE"""),"AP")</f>
        <v>AP</v>
      </c>
      <c r="AF614" s="47" t="str">
        <f>IFERROR(__xludf.DUMMYFUNCTION("""COMPUTED_VALUE"""),"")</f>
        <v/>
      </c>
      <c r="AG614" s="48" t="str">
        <f>IFERROR(__xludf.DUMMYFUNCTION("""COMPUTED_VALUE"""),"%")</f>
        <v>%</v>
      </c>
      <c r="AH614" s="43"/>
      <c r="AI614" s="44"/>
      <c r="AJ614" s="51"/>
    </row>
    <row r="615" ht="24.75" hidden="1" customHeight="1">
      <c r="A615" s="28">
        <f>IFERROR(__xludf.DUMMYFUNCTION("""COMPUTED_VALUE"""),15.0)</f>
        <v>15</v>
      </c>
      <c r="B615" s="28" t="str">
        <f>IFERROR(__xludf.DUMMYFUNCTION("""COMPUTED_VALUE"""),"A218")</f>
        <v>A218</v>
      </c>
      <c r="C615" s="28"/>
      <c r="D615" s="29"/>
      <c r="E615" s="67"/>
      <c r="F615" s="31"/>
      <c r="G615" s="32"/>
      <c r="H615" s="33" t="str">
        <f>IFERROR(__xludf.DUMMYFUNCTION("""COMPUTED_VALUE""")," ")</f>
        <v> </v>
      </c>
      <c r="I615" s="34"/>
      <c r="J615" s="35" t="str">
        <f>IFERROR(__xludf.DUMMYFUNCTION("""COMPUTED_VALUE"""),"AP")</f>
        <v>AP</v>
      </c>
      <c r="K615" s="34"/>
      <c r="L615" s="35" t="str">
        <f>IFERROR(__xludf.DUMMYFUNCTION("""COMPUTED_VALUE"""),"%")</f>
        <v>%</v>
      </c>
      <c r="M615" s="36">
        <f>IFERROR(__xludf.DUMMYFUNCTION("""COMPUTED_VALUE"""),1.0)</f>
        <v>1</v>
      </c>
      <c r="N615" s="37"/>
      <c r="O615" s="38"/>
      <c r="P615" s="34" t="str">
        <f>IFERROR(__xludf.DUMMYFUNCTION("""COMPUTED_VALUE"""),"")</f>
        <v/>
      </c>
      <c r="Q615" s="35" t="str">
        <f>IFERROR(__xludf.DUMMYFUNCTION("""COMPUTED_VALUE"""),"AP")</f>
        <v>AP</v>
      </c>
      <c r="R615" s="34" t="str">
        <f>IFERROR(__xludf.DUMMYFUNCTION("""COMPUTED_VALUE"""),"")</f>
        <v/>
      </c>
      <c r="S615" s="35" t="str">
        <f>IFERROR(__xludf.DUMMYFUNCTION("""COMPUTED_VALUE"""),"%")</f>
        <v>%</v>
      </c>
      <c r="T615" s="36">
        <f>IFERROR(__xludf.DUMMYFUNCTION("""COMPUTED_VALUE"""),2.0)</f>
        <v>2</v>
      </c>
      <c r="U615" s="37"/>
      <c r="V615" s="38"/>
      <c r="W615" s="34" t="str">
        <f>IFERROR(__xludf.DUMMYFUNCTION("""COMPUTED_VALUE"""),"")</f>
        <v/>
      </c>
      <c r="X615" s="35" t="str">
        <f>IFERROR(__xludf.DUMMYFUNCTION("""COMPUTED_VALUE"""),"AP")</f>
        <v>AP</v>
      </c>
      <c r="Y615" s="34" t="str">
        <f>IFERROR(__xludf.DUMMYFUNCTION("""COMPUTED_VALUE"""),"")</f>
        <v/>
      </c>
      <c r="Z615" s="35" t="str">
        <f>IFERROR(__xludf.DUMMYFUNCTION("""COMPUTED_VALUE"""),"%")</f>
        <v>%</v>
      </c>
      <c r="AA615" s="36">
        <f>IFERROR(__xludf.DUMMYFUNCTION("""COMPUTED_VALUE"""),3.0)</f>
        <v>3</v>
      </c>
      <c r="AB615" s="37"/>
      <c r="AC615" s="38"/>
      <c r="AD615" s="34" t="str">
        <f>IFERROR(__xludf.DUMMYFUNCTION("""COMPUTED_VALUE"""),"")</f>
        <v/>
      </c>
      <c r="AE615" s="35" t="str">
        <f>IFERROR(__xludf.DUMMYFUNCTION("""COMPUTED_VALUE"""),"AP")</f>
        <v>AP</v>
      </c>
      <c r="AF615" s="34" t="str">
        <f>IFERROR(__xludf.DUMMYFUNCTION("""COMPUTED_VALUE"""),"")</f>
        <v/>
      </c>
      <c r="AG615" s="35" t="str">
        <f>IFERROR(__xludf.DUMMYFUNCTION("""COMPUTED_VALUE"""),"%")</f>
        <v>%</v>
      </c>
      <c r="AH615" s="31"/>
      <c r="AI615" s="32"/>
      <c r="AJ615" s="39"/>
    </row>
    <row r="616" ht="24.75" hidden="1" customHeight="1">
      <c r="A616" s="40">
        <f>IFERROR(__xludf.DUMMYFUNCTION("""COMPUTED_VALUE"""),16.0)</f>
        <v>16</v>
      </c>
      <c r="B616" s="40" t="str">
        <f>IFERROR(__xludf.DUMMYFUNCTION("""COMPUTED_VALUE"""),"A218")</f>
        <v>A218</v>
      </c>
      <c r="C616" s="40"/>
      <c r="D616" s="41"/>
      <c r="E616" s="66"/>
      <c r="F616" s="43"/>
      <c r="G616" s="44"/>
      <c r="H616" s="33" t="str">
        <f>IFERROR(__xludf.DUMMYFUNCTION("""COMPUTED_VALUE""")," ")</f>
        <v> </v>
      </c>
      <c r="I616" s="45"/>
      <c r="J616" s="46" t="str">
        <f>IFERROR(__xludf.DUMMYFUNCTION("""COMPUTED_VALUE"""),"AP")</f>
        <v>AP</v>
      </c>
      <c r="K616" s="47"/>
      <c r="L616" s="48" t="str">
        <f>IFERROR(__xludf.DUMMYFUNCTION("""COMPUTED_VALUE"""),"%")</f>
        <v>%</v>
      </c>
      <c r="M616" s="49">
        <f>IFERROR(__xludf.DUMMYFUNCTION("""COMPUTED_VALUE"""),1.0)</f>
        <v>1</v>
      </c>
      <c r="N616" s="50"/>
      <c r="O616" s="38"/>
      <c r="P616" s="45" t="str">
        <f>IFERROR(__xludf.DUMMYFUNCTION("""COMPUTED_VALUE"""),"")</f>
        <v/>
      </c>
      <c r="Q616" s="46" t="str">
        <f>IFERROR(__xludf.DUMMYFUNCTION("""COMPUTED_VALUE"""),"AP")</f>
        <v>AP</v>
      </c>
      <c r="R616" s="47" t="str">
        <f>IFERROR(__xludf.DUMMYFUNCTION("""COMPUTED_VALUE"""),"")</f>
        <v/>
      </c>
      <c r="S616" s="48" t="str">
        <f>IFERROR(__xludf.DUMMYFUNCTION("""COMPUTED_VALUE"""),"%")</f>
        <v>%</v>
      </c>
      <c r="T616" s="49">
        <f>IFERROR(__xludf.DUMMYFUNCTION("""COMPUTED_VALUE"""),2.0)</f>
        <v>2</v>
      </c>
      <c r="U616" s="50"/>
      <c r="V616" s="38"/>
      <c r="W616" s="45" t="str">
        <f>IFERROR(__xludf.DUMMYFUNCTION("""COMPUTED_VALUE"""),"")</f>
        <v/>
      </c>
      <c r="X616" s="46" t="str">
        <f>IFERROR(__xludf.DUMMYFUNCTION("""COMPUTED_VALUE"""),"AP")</f>
        <v>AP</v>
      </c>
      <c r="Y616" s="47" t="str">
        <f>IFERROR(__xludf.DUMMYFUNCTION("""COMPUTED_VALUE"""),"")</f>
        <v/>
      </c>
      <c r="Z616" s="48" t="str">
        <f>IFERROR(__xludf.DUMMYFUNCTION("""COMPUTED_VALUE"""),"%")</f>
        <v>%</v>
      </c>
      <c r="AA616" s="49">
        <f>IFERROR(__xludf.DUMMYFUNCTION("""COMPUTED_VALUE"""),3.0)</f>
        <v>3</v>
      </c>
      <c r="AB616" s="50"/>
      <c r="AC616" s="38"/>
      <c r="AD616" s="45" t="str">
        <f>IFERROR(__xludf.DUMMYFUNCTION("""COMPUTED_VALUE"""),"")</f>
        <v/>
      </c>
      <c r="AE616" s="46" t="str">
        <f>IFERROR(__xludf.DUMMYFUNCTION("""COMPUTED_VALUE"""),"AP")</f>
        <v>AP</v>
      </c>
      <c r="AF616" s="47" t="str">
        <f>IFERROR(__xludf.DUMMYFUNCTION("""COMPUTED_VALUE"""),"")</f>
        <v/>
      </c>
      <c r="AG616" s="48" t="str">
        <f>IFERROR(__xludf.DUMMYFUNCTION("""COMPUTED_VALUE"""),"%")</f>
        <v>%</v>
      </c>
      <c r="AH616" s="43"/>
      <c r="AI616" s="44"/>
      <c r="AJ616" s="51"/>
    </row>
    <row r="617" ht="24.75" hidden="1" customHeight="1">
      <c r="A617" s="28">
        <f>IFERROR(__xludf.DUMMYFUNCTION("""COMPUTED_VALUE"""),17.0)</f>
        <v>17</v>
      </c>
      <c r="B617" s="28" t="str">
        <f>IFERROR(__xludf.DUMMYFUNCTION("""COMPUTED_VALUE"""),"A218")</f>
        <v>A218</v>
      </c>
      <c r="C617" s="28"/>
      <c r="D617" s="29"/>
      <c r="E617" s="67"/>
      <c r="F617" s="31"/>
      <c r="G617" s="32"/>
      <c r="H617" s="33" t="str">
        <f>IFERROR(__xludf.DUMMYFUNCTION("""COMPUTED_VALUE""")," ")</f>
        <v> </v>
      </c>
      <c r="I617" s="34"/>
      <c r="J617" s="35" t="str">
        <f>IFERROR(__xludf.DUMMYFUNCTION("""COMPUTED_VALUE"""),"AP")</f>
        <v>AP</v>
      </c>
      <c r="K617" s="34"/>
      <c r="L617" s="35" t="str">
        <f>IFERROR(__xludf.DUMMYFUNCTION("""COMPUTED_VALUE"""),"%")</f>
        <v>%</v>
      </c>
      <c r="M617" s="36">
        <f>IFERROR(__xludf.DUMMYFUNCTION("""COMPUTED_VALUE"""),1.0)</f>
        <v>1</v>
      </c>
      <c r="N617" s="37"/>
      <c r="O617" s="38"/>
      <c r="P617" s="34" t="str">
        <f>IFERROR(__xludf.DUMMYFUNCTION("""COMPUTED_VALUE"""),"")</f>
        <v/>
      </c>
      <c r="Q617" s="35" t="str">
        <f>IFERROR(__xludf.DUMMYFUNCTION("""COMPUTED_VALUE"""),"AP")</f>
        <v>AP</v>
      </c>
      <c r="R617" s="34" t="str">
        <f>IFERROR(__xludf.DUMMYFUNCTION("""COMPUTED_VALUE"""),"")</f>
        <v/>
      </c>
      <c r="S617" s="35" t="str">
        <f>IFERROR(__xludf.DUMMYFUNCTION("""COMPUTED_VALUE"""),"%")</f>
        <v>%</v>
      </c>
      <c r="T617" s="36">
        <f>IFERROR(__xludf.DUMMYFUNCTION("""COMPUTED_VALUE"""),2.0)</f>
        <v>2</v>
      </c>
      <c r="U617" s="37"/>
      <c r="V617" s="38"/>
      <c r="W617" s="34" t="str">
        <f>IFERROR(__xludf.DUMMYFUNCTION("""COMPUTED_VALUE"""),"")</f>
        <v/>
      </c>
      <c r="X617" s="35" t="str">
        <f>IFERROR(__xludf.DUMMYFUNCTION("""COMPUTED_VALUE"""),"AP")</f>
        <v>AP</v>
      </c>
      <c r="Y617" s="34" t="str">
        <f>IFERROR(__xludf.DUMMYFUNCTION("""COMPUTED_VALUE"""),"")</f>
        <v/>
      </c>
      <c r="Z617" s="35" t="str">
        <f>IFERROR(__xludf.DUMMYFUNCTION("""COMPUTED_VALUE"""),"%")</f>
        <v>%</v>
      </c>
      <c r="AA617" s="36">
        <f>IFERROR(__xludf.DUMMYFUNCTION("""COMPUTED_VALUE"""),3.0)</f>
        <v>3</v>
      </c>
      <c r="AB617" s="37"/>
      <c r="AC617" s="38"/>
      <c r="AD617" s="34" t="str">
        <f>IFERROR(__xludf.DUMMYFUNCTION("""COMPUTED_VALUE"""),"")</f>
        <v/>
      </c>
      <c r="AE617" s="35" t="str">
        <f>IFERROR(__xludf.DUMMYFUNCTION("""COMPUTED_VALUE"""),"AP")</f>
        <v>AP</v>
      </c>
      <c r="AF617" s="34" t="str">
        <f>IFERROR(__xludf.DUMMYFUNCTION("""COMPUTED_VALUE"""),"")</f>
        <v/>
      </c>
      <c r="AG617" s="35" t="str">
        <f>IFERROR(__xludf.DUMMYFUNCTION("""COMPUTED_VALUE"""),"%")</f>
        <v>%</v>
      </c>
      <c r="AH617" s="31"/>
      <c r="AI617" s="32"/>
      <c r="AJ617" s="39"/>
    </row>
    <row r="618" ht="24.75" hidden="1" customHeight="1">
      <c r="A618" s="40">
        <f>IFERROR(__xludf.DUMMYFUNCTION("""COMPUTED_VALUE"""),18.0)</f>
        <v>18</v>
      </c>
      <c r="B618" s="40" t="str">
        <f>IFERROR(__xludf.DUMMYFUNCTION("""COMPUTED_VALUE"""),"A218")</f>
        <v>A218</v>
      </c>
      <c r="C618" s="40"/>
      <c r="D618" s="41"/>
      <c r="E618" s="66"/>
      <c r="F618" s="43"/>
      <c r="G618" s="44"/>
      <c r="H618" s="33" t="str">
        <f>IFERROR(__xludf.DUMMYFUNCTION("""COMPUTED_VALUE""")," ")</f>
        <v> </v>
      </c>
      <c r="I618" s="45"/>
      <c r="J618" s="46" t="str">
        <f>IFERROR(__xludf.DUMMYFUNCTION("""COMPUTED_VALUE"""),"AP")</f>
        <v>AP</v>
      </c>
      <c r="K618" s="47"/>
      <c r="L618" s="48" t="str">
        <f>IFERROR(__xludf.DUMMYFUNCTION("""COMPUTED_VALUE"""),"%")</f>
        <v>%</v>
      </c>
      <c r="M618" s="49">
        <f>IFERROR(__xludf.DUMMYFUNCTION("""COMPUTED_VALUE"""),1.0)</f>
        <v>1</v>
      </c>
      <c r="N618" s="50"/>
      <c r="O618" s="38"/>
      <c r="P618" s="45" t="str">
        <f>IFERROR(__xludf.DUMMYFUNCTION("""COMPUTED_VALUE"""),"")</f>
        <v/>
      </c>
      <c r="Q618" s="46" t="str">
        <f>IFERROR(__xludf.DUMMYFUNCTION("""COMPUTED_VALUE"""),"AP")</f>
        <v>AP</v>
      </c>
      <c r="R618" s="47" t="str">
        <f>IFERROR(__xludf.DUMMYFUNCTION("""COMPUTED_VALUE"""),"")</f>
        <v/>
      </c>
      <c r="S618" s="48" t="str">
        <f>IFERROR(__xludf.DUMMYFUNCTION("""COMPUTED_VALUE"""),"%")</f>
        <v>%</v>
      </c>
      <c r="T618" s="49">
        <f>IFERROR(__xludf.DUMMYFUNCTION("""COMPUTED_VALUE"""),2.0)</f>
        <v>2</v>
      </c>
      <c r="U618" s="50"/>
      <c r="V618" s="38"/>
      <c r="W618" s="45" t="str">
        <f>IFERROR(__xludf.DUMMYFUNCTION("""COMPUTED_VALUE"""),"")</f>
        <v/>
      </c>
      <c r="X618" s="46" t="str">
        <f>IFERROR(__xludf.DUMMYFUNCTION("""COMPUTED_VALUE"""),"AP")</f>
        <v>AP</v>
      </c>
      <c r="Y618" s="47" t="str">
        <f>IFERROR(__xludf.DUMMYFUNCTION("""COMPUTED_VALUE"""),"")</f>
        <v/>
      </c>
      <c r="Z618" s="48" t="str">
        <f>IFERROR(__xludf.DUMMYFUNCTION("""COMPUTED_VALUE"""),"%")</f>
        <v>%</v>
      </c>
      <c r="AA618" s="49">
        <f>IFERROR(__xludf.DUMMYFUNCTION("""COMPUTED_VALUE"""),3.0)</f>
        <v>3</v>
      </c>
      <c r="AB618" s="50"/>
      <c r="AC618" s="38"/>
      <c r="AD618" s="45" t="str">
        <f>IFERROR(__xludf.DUMMYFUNCTION("""COMPUTED_VALUE"""),"")</f>
        <v/>
      </c>
      <c r="AE618" s="46" t="str">
        <f>IFERROR(__xludf.DUMMYFUNCTION("""COMPUTED_VALUE"""),"AP")</f>
        <v>AP</v>
      </c>
      <c r="AF618" s="47" t="str">
        <f>IFERROR(__xludf.DUMMYFUNCTION("""COMPUTED_VALUE"""),"")</f>
        <v/>
      </c>
      <c r="AG618" s="48" t="str">
        <f>IFERROR(__xludf.DUMMYFUNCTION("""COMPUTED_VALUE"""),"%")</f>
        <v>%</v>
      </c>
      <c r="AH618" s="43"/>
      <c r="AI618" s="44"/>
      <c r="AJ618" s="51"/>
    </row>
    <row r="619" ht="24.75" hidden="1" customHeight="1">
      <c r="A619" s="28">
        <f>IFERROR(__xludf.DUMMYFUNCTION("""COMPUTED_VALUE"""),19.0)</f>
        <v>19</v>
      </c>
      <c r="B619" s="28" t="str">
        <f>IFERROR(__xludf.DUMMYFUNCTION("""COMPUTED_VALUE"""),"A218")</f>
        <v>A218</v>
      </c>
      <c r="C619" s="28"/>
      <c r="D619" s="29"/>
      <c r="E619" s="67"/>
      <c r="F619" s="31"/>
      <c r="G619" s="32"/>
      <c r="H619" s="33" t="str">
        <f>IFERROR(__xludf.DUMMYFUNCTION("""COMPUTED_VALUE""")," ")</f>
        <v> </v>
      </c>
      <c r="I619" s="34"/>
      <c r="J619" s="35" t="str">
        <f>IFERROR(__xludf.DUMMYFUNCTION("""COMPUTED_VALUE"""),"AP")</f>
        <v>AP</v>
      </c>
      <c r="K619" s="34"/>
      <c r="L619" s="35" t="str">
        <f>IFERROR(__xludf.DUMMYFUNCTION("""COMPUTED_VALUE"""),"%")</f>
        <v>%</v>
      </c>
      <c r="M619" s="36">
        <f>IFERROR(__xludf.DUMMYFUNCTION("""COMPUTED_VALUE"""),1.0)</f>
        <v>1</v>
      </c>
      <c r="N619" s="37"/>
      <c r="O619" s="38"/>
      <c r="P619" s="34" t="str">
        <f>IFERROR(__xludf.DUMMYFUNCTION("""COMPUTED_VALUE"""),"")</f>
        <v/>
      </c>
      <c r="Q619" s="35" t="str">
        <f>IFERROR(__xludf.DUMMYFUNCTION("""COMPUTED_VALUE"""),"AP")</f>
        <v>AP</v>
      </c>
      <c r="R619" s="34" t="str">
        <f>IFERROR(__xludf.DUMMYFUNCTION("""COMPUTED_VALUE"""),"")</f>
        <v/>
      </c>
      <c r="S619" s="35" t="str">
        <f>IFERROR(__xludf.DUMMYFUNCTION("""COMPUTED_VALUE"""),"%")</f>
        <v>%</v>
      </c>
      <c r="T619" s="36">
        <f>IFERROR(__xludf.DUMMYFUNCTION("""COMPUTED_VALUE"""),2.0)</f>
        <v>2</v>
      </c>
      <c r="U619" s="37"/>
      <c r="V619" s="38"/>
      <c r="W619" s="34" t="str">
        <f>IFERROR(__xludf.DUMMYFUNCTION("""COMPUTED_VALUE"""),"")</f>
        <v/>
      </c>
      <c r="X619" s="35" t="str">
        <f>IFERROR(__xludf.DUMMYFUNCTION("""COMPUTED_VALUE"""),"AP")</f>
        <v>AP</v>
      </c>
      <c r="Y619" s="34" t="str">
        <f>IFERROR(__xludf.DUMMYFUNCTION("""COMPUTED_VALUE"""),"")</f>
        <v/>
      </c>
      <c r="Z619" s="35" t="str">
        <f>IFERROR(__xludf.DUMMYFUNCTION("""COMPUTED_VALUE"""),"%")</f>
        <v>%</v>
      </c>
      <c r="AA619" s="36">
        <f>IFERROR(__xludf.DUMMYFUNCTION("""COMPUTED_VALUE"""),3.0)</f>
        <v>3</v>
      </c>
      <c r="AB619" s="37"/>
      <c r="AC619" s="38"/>
      <c r="AD619" s="34" t="str">
        <f>IFERROR(__xludf.DUMMYFUNCTION("""COMPUTED_VALUE"""),"")</f>
        <v/>
      </c>
      <c r="AE619" s="35" t="str">
        <f>IFERROR(__xludf.DUMMYFUNCTION("""COMPUTED_VALUE"""),"AP")</f>
        <v>AP</v>
      </c>
      <c r="AF619" s="34" t="str">
        <f>IFERROR(__xludf.DUMMYFUNCTION("""COMPUTED_VALUE"""),"")</f>
        <v/>
      </c>
      <c r="AG619" s="35" t="str">
        <f>IFERROR(__xludf.DUMMYFUNCTION("""COMPUTED_VALUE"""),"%")</f>
        <v>%</v>
      </c>
      <c r="AH619" s="31"/>
      <c r="AI619" s="32"/>
      <c r="AJ619" s="39"/>
    </row>
    <row r="620" ht="24.75" hidden="1" customHeight="1">
      <c r="A620" s="40">
        <f>IFERROR(__xludf.DUMMYFUNCTION("""COMPUTED_VALUE"""),20.0)</f>
        <v>20</v>
      </c>
      <c r="B620" s="40" t="str">
        <f>IFERROR(__xludf.DUMMYFUNCTION("""COMPUTED_VALUE"""),"A218")</f>
        <v>A218</v>
      </c>
      <c r="C620" s="40"/>
      <c r="D620" s="41"/>
      <c r="E620" s="66"/>
      <c r="F620" s="43"/>
      <c r="G620" s="44"/>
      <c r="H620" s="33" t="str">
        <f>IFERROR(__xludf.DUMMYFUNCTION("""COMPUTED_VALUE""")," ")</f>
        <v> </v>
      </c>
      <c r="I620" s="45"/>
      <c r="J620" s="46" t="str">
        <f>IFERROR(__xludf.DUMMYFUNCTION("""COMPUTED_VALUE"""),"AP")</f>
        <v>AP</v>
      </c>
      <c r="K620" s="47"/>
      <c r="L620" s="48" t="str">
        <f>IFERROR(__xludf.DUMMYFUNCTION("""COMPUTED_VALUE"""),"%")</f>
        <v>%</v>
      </c>
      <c r="M620" s="49">
        <f>IFERROR(__xludf.DUMMYFUNCTION("""COMPUTED_VALUE"""),1.0)</f>
        <v>1</v>
      </c>
      <c r="N620" s="50"/>
      <c r="O620" s="38"/>
      <c r="P620" s="45" t="str">
        <f>IFERROR(__xludf.DUMMYFUNCTION("""COMPUTED_VALUE"""),"")</f>
        <v/>
      </c>
      <c r="Q620" s="46" t="str">
        <f>IFERROR(__xludf.DUMMYFUNCTION("""COMPUTED_VALUE"""),"AP")</f>
        <v>AP</v>
      </c>
      <c r="R620" s="47" t="str">
        <f>IFERROR(__xludf.DUMMYFUNCTION("""COMPUTED_VALUE"""),"")</f>
        <v/>
      </c>
      <c r="S620" s="48" t="str">
        <f>IFERROR(__xludf.DUMMYFUNCTION("""COMPUTED_VALUE"""),"%")</f>
        <v>%</v>
      </c>
      <c r="T620" s="49">
        <f>IFERROR(__xludf.DUMMYFUNCTION("""COMPUTED_VALUE"""),2.0)</f>
        <v>2</v>
      </c>
      <c r="U620" s="50"/>
      <c r="V620" s="38"/>
      <c r="W620" s="45" t="str">
        <f>IFERROR(__xludf.DUMMYFUNCTION("""COMPUTED_VALUE"""),"")</f>
        <v/>
      </c>
      <c r="X620" s="46" t="str">
        <f>IFERROR(__xludf.DUMMYFUNCTION("""COMPUTED_VALUE"""),"AP")</f>
        <v>AP</v>
      </c>
      <c r="Y620" s="47" t="str">
        <f>IFERROR(__xludf.DUMMYFUNCTION("""COMPUTED_VALUE"""),"")</f>
        <v/>
      </c>
      <c r="Z620" s="48" t="str">
        <f>IFERROR(__xludf.DUMMYFUNCTION("""COMPUTED_VALUE"""),"%")</f>
        <v>%</v>
      </c>
      <c r="AA620" s="49">
        <f>IFERROR(__xludf.DUMMYFUNCTION("""COMPUTED_VALUE"""),3.0)</f>
        <v>3</v>
      </c>
      <c r="AB620" s="50"/>
      <c r="AC620" s="38"/>
      <c r="AD620" s="45" t="str">
        <f>IFERROR(__xludf.DUMMYFUNCTION("""COMPUTED_VALUE"""),"")</f>
        <v/>
      </c>
      <c r="AE620" s="46" t="str">
        <f>IFERROR(__xludf.DUMMYFUNCTION("""COMPUTED_VALUE"""),"AP")</f>
        <v>AP</v>
      </c>
      <c r="AF620" s="47" t="str">
        <f>IFERROR(__xludf.DUMMYFUNCTION("""COMPUTED_VALUE"""),"")</f>
        <v/>
      </c>
      <c r="AG620" s="48" t="str">
        <f>IFERROR(__xludf.DUMMYFUNCTION("""COMPUTED_VALUE"""),"%")</f>
        <v>%</v>
      </c>
      <c r="AH620" s="43"/>
      <c r="AI620" s="44"/>
      <c r="AJ620" s="51"/>
    </row>
    <row r="621">
      <c r="A621" s="52"/>
      <c r="B621" s="53"/>
      <c r="C621" s="54"/>
      <c r="D621" s="55"/>
      <c r="E621" s="56"/>
      <c r="F621" s="53"/>
      <c r="G621" s="53"/>
      <c r="H621" s="53"/>
      <c r="I621" s="53"/>
      <c r="J621" s="57"/>
      <c r="K621" s="53"/>
      <c r="L621" s="57"/>
      <c r="M621" s="53"/>
      <c r="N621" s="53"/>
      <c r="O621" s="53"/>
      <c r="P621" s="53"/>
      <c r="Q621" s="57"/>
      <c r="R621" s="53"/>
      <c r="S621" s="57"/>
      <c r="T621" s="53"/>
      <c r="U621" s="53"/>
      <c r="V621" s="53"/>
      <c r="W621" s="53"/>
      <c r="X621" s="57"/>
      <c r="Y621" s="53"/>
      <c r="Z621" s="57"/>
      <c r="AA621" s="53"/>
      <c r="AB621" s="53"/>
      <c r="AC621" s="53"/>
      <c r="AD621" s="53"/>
      <c r="AE621" s="57"/>
      <c r="AF621" s="53"/>
      <c r="AG621" s="57"/>
      <c r="AH621" s="53"/>
      <c r="AI621" s="53"/>
      <c r="AJ621" s="58"/>
    </row>
    <row r="622">
      <c r="A622" s="59"/>
      <c r="B622" s="60"/>
      <c r="C622" s="61"/>
      <c r="D622" s="62"/>
      <c r="E622" s="63"/>
      <c r="F622" s="60"/>
      <c r="G622" s="60"/>
      <c r="H622" s="60"/>
      <c r="I622" s="60"/>
      <c r="J622" s="64"/>
      <c r="K622" s="60"/>
      <c r="L622" s="64"/>
      <c r="M622" s="60"/>
      <c r="N622" s="60"/>
      <c r="O622" s="60"/>
      <c r="P622" s="60"/>
      <c r="Q622" s="64"/>
      <c r="R622" s="60"/>
      <c r="S622" s="64"/>
      <c r="T622" s="60"/>
      <c r="U622" s="60"/>
      <c r="V622" s="60"/>
      <c r="W622" s="60"/>
      <c r="X622" s="64"/>
      <c r="Y622" s="60"/>
      <c r="Z622" s="64"/>
      <c r="AA622" s="60"/>
      <c r="AB622" s="60"/>
      <c r="AC622" s="60"/>
      <c r="AD622" s="60"/>
      <c r="AE622" s="64"/>
      <c r="AF622" s="60"/>
      <c r="AG622" s="64"/>
      <c r="AH622" s="60"/>
      <c r="AI622" s="60"/>
      <c r="AJ622" s="65"/>
    </row>
    <row r="623" ht="33.0" customHeight="1">
      <c r="A623" s="20" t="str">
        <f>IFERROR(__xludf.DUMMYFUNCTION("""COMPUTED_VALUE""")," ")</f>
        <v> </v>
      </c>
      <c r="B623" s="21" t="str">
        <f>IFERROR(__xludf.DUMMYFUNCTION("""COMPUTED_VALUE"""),"A219")</f>
        <v>A219</v>
      </c>
      <c r="C623" s="20"/>
      <c r="D623" s="22" t="str">
        <f>IFERROR(__xludf.DUMMYFUNCTION("""COMPUTED_VALUE"""),"")</f>
        <v/>
      </c>
      <c r="E623" s="23" t="str">
        <f>IFERROR(__xludf.DUMMYFUNCTION("""COMPUTED_VALUE"""),"Divine Spirit Particle")</f>
        <v>Divine Spirit Particle</v>
      </c>
      <c r="F623" s="24"/>
      <c r="G623" s="24"/>
      <c r="H623" s="25"/>
      <c r="I623" s="25"/>
      <c r="J623" s="26"/>
      <c r="K623" s="25"/>
      <c r="L623" s="26"/>
      <c r="M623" s="25"/>
      <c r="N623" s="25"/>
      <c r="O623" s="25"/>
      <c r="P623" s="25"/>
      <c r="Q623" s="26"/>
      <c r="R623" s="25"/>
      <c r="S623" s="26"/>
      <c r="T623" s="25"/>
      <c r="U623" s="25"/>
      <c r="V623" s="25"/>
      <c r="W623" s="25"/>
      <c r="X623" s="26"/>
      <c r="Y623" s="25"/>
      <c r="Z623" s="26"/>
      <c r="AA623" s="25"/>
      <c r="AB623" s="25"/>
      <c r="AC623" s="25"/>
      <c r="AD623" s="25"/>
      <c r="AE623" s="26"/>
      <c r="AF623" s="25"/>
      <c r="AG623" s="26"/>
      <c r="AH623" s="24"/>
      <c r="AI623" s="25"/>
      <c r="AJ623" s="27"/>
    </row>
    <row r="624" ht="24.75" customHeight="1">
      <c r="A624" s="28">
        <f>IFERROR(__xludf.DUMMYFUNCTION("""COMPUTED_VALUE"""),1.0)</f>
        <v>1</v>
      </c>
      <c r="B624" s="28" t="str">
        <f>IFERROR(__xludf.DUMMYFUNCTION("""COMPUTED_VALUE"""),"A219")</f>
        <v>A219</v>
      </c>
      <c r="C624" s="28" t="str">
        <f>IFERROR(__xludf.DUMMYFUNCTION("""COMPUTED_VALUE"""),"OLP11")</f>
        <v>OLP11</v>
      </c>
      <c r="D624" s="29" t="str">
        <f>IFERROR(__xludf.DUMMYFUNCTION("""COMPUTED_VALUE"""),"Olympus")</f>
        <v>Olympus</v>
      </c>
      <c r="E624" s="30" t="str">
        <f>IFERROR(__xludf.DUMMYFUNCTION("""COMPUTED_VALUE"""),"Underground Belt Mechanism - Outer Region")</f>
        <v>Underground Belt Mechanism - Outer Region</v>
      </c>
      <c r="F624" s="31">
        <f>IFERROR(__xludf.DUMMYFUNCTION("""COMPUTED_VALUE"""),21.0)</f>
        <v>21</v>
      </c>
      <c r="G624" s="32">
        <f>IFERROR(__xludf.DUMMYFUNCTION("""COMPUTED_VALUE"""),8377.0)</f>
        <v>8377</v>
      </c>
      <c r="H624" s="33" t="str">
        <f>IFERROR(__xludf.DUMMYFUNCTION("""COMPUTED_VALUE"""),"")</f>
        <v/>
      </c>
      <c r="I624" s="34">
        <f>IFERROR(__xludf.DUMMYFUNCTION("""COMPUTED_VALUE"""),53.3)</f>
        <v>53.3</v>
      </c>
      <c r="J624" s="35" t="str">
        <f>IFERROR(__xludf.DUMMYFUNCTION("""COMPUTED_VALUE"""),"AP")</f>
        <v>AP</v>
      </c>
      <c r="K624" s="34">
        <f>IFERROR(__xludf.DUMMYFUNCTION("""COMPUTED_VALUE"""),39.4)</f>
        <v>39.4</v>
      </c>
      <c r="L624" s="35" t="str">
        <f>IFERROR(__xludf.DUMMYFUNCTION("""COMPUTED_VALUE"""),"%")</f>
        <v>%</v>
      </c>
      <c r="M624" s="36">
        <f>IFERROR(__xludf.DUMMYFUNCTION("""COMPUTED_VALUE"""),1.0)</f>
        <v>1</v>
      </c>
      <c r="N624" s="37" t="str">
        <f>IFERROR(__xludf.DUMMYFUNCTION("""COMPUTED_VALUE"""),"B116")</f>
        <v>B116</v>
      </c>
      <c r="O624" s="38" t="str">
        <f>IFERROR(__xludf.DUMMYFUNCTION("""COMPUTED_VALUE"""),"")</f>
        <v/>
      </c>
      <c r="P624" s="34">
        <f>IFERROR(__xludf.DUMMYFUNCTION("""COMPUTED_VALUE"""),48.8)</f>
        <v>48.8</v>
      </c>
      <c r="Q624" s="35" t="str">
        <f>IFERROR(__xludf.DUMMYFUNCTION("""COMPUTED_VALUE"""),"AP")</f>
        <v>AP</v>
      </c>
      <c r="R624" s="34">
        <f>IFERROR(__xludf.DUMMYFUNCTION("""COMPUTED_VALUE"""),43.0)</f>
        <v>43</v>
      </c>
      <c r="S624" s="35" t="str">
        <f>IFERROR(__xludf.DUMMYFUNCTION("""COMPUTED_VALUE"""),"%")</f>
        <v>%</v>
      </c>
      <c r="T624" s="36">
        <f>IFERROR(__xludf.DUMMYFUNCTION("""COMPUTED_VALUE"""),2.0)</f>
        <v>2</v>
      </c>
      <c r="U624" s="37"/>
      <c r="V624" s="38"/>
      <c r="W624" s="34" t="str">
        <f>IFERROR(__xludf.DUMMYFUNCTION("""COMPUTED_VALUE"""),"")</f>
        <v/>
      </c>
      <c r="X624" s="35" t="str">
        <f>IFERROR(__xludf.DUMMYFUNCTION("""COMPUTED_VALUE"""),"AP")</f>
        <v>AP</v>
      </c>
      <c r="Y624" s="34" t="str">
        <f>IFERROR(__xludf.DUMMYFUNCTION("""COMPUTED_VALUE"""),"")</f>
        <v/>
      </c>
      <c r="Z624" s="35" t="str">
        <f>IFERROR(__xludf.DUMMYFUNCTION("""COMPUTED_VALUE"""),"%")</f>
        <v>%</v>
      </c>
      <c r="AA624" s="36">
        <f>IFERROR(__xludf.DUMMYFUNCTION("""COMPUTED_VALUE"""),3.0)</f>
        <v>3</v>
      </c>
      <c r="AB624" s="37"/>
      <c r="AC624" s="38"/>
      <c r="AD624" s="34" t="str">
        <f>IFERROR(__xludf.DUMMYFUNCTION("""COMPUTED_VALUE"""),"")</f>
        <v/>
      </c>
      <c r="AE624" s="35" t="str">
        <f>IFERROR(__xludf.DUMMYFUNCTION("""COMPUTED_VALUE"""),"AP")</f>
        <v>AP</v>
      </c>
      <c r="AF624" s="34" t="str">
        <f>IFERROR(__xludf.DUMMYFUNCTION("""COMPUTED_VALUE"""),"")</f>
        <v/>
      </c>
      <c r="AG624" s="35" t="str">
        <f>IFERROR(__xludf.DUMMYFUNCTION("""COMPUTED_VALUE"""),"%")</f>
        <v>%</v>
      </c>
      <c r="AH624" s="31">
        <f>IFERROR(__xludf.DUMMYFUNCTION("""COMPUTED_VALUE"""),21.0)</f>
        <v>21</v>
      </c>
      <c r="AI624" s="32">
        <f>IFERROR(__xludf.DUMMYFUNCTION("""COMPUTED_VALUE"""),8377.0)</f>
        <v>8377</v>
      </c>
      <c r="AJ624" s="39" t="str">
        <f>IFERROR(__xludf.DUMMYFUNCTION("""COMPUTED_VALUE"""),"地下機構帯・外周部")</f>
        <v>地下機構帯・外周部</v>
      </c>
    </row>
    <row r="625" ht="24.75" customHeight="1">
      <c r="A625" s="40">
        <f>IFERROR(__xludf.DUMMYFUNCTION("""COMPUTED_VALUE"""),2.0)</f>
        <v>2</v>
      </c>
      <c r="B625" s="40" t="str">
        <f>IFERROR(__xludf.DUMMYFUNCTION("""COMPUTED_VALUE"""),"A219")</f>
        <v>A219</v>
      </c>
      <c r="C625" s="40" t="str">
        <f>IFERROR(__xludf.DUMMYFUNCTION("""COMPUTED_VALUE"""),"OLP3")</f>
        <v>OLP3</v>
      </c>
      <c r="D625" s="41" t="str">
        <f>IFERROR(__xludf.DUMMYFUNCTION("""COMPUTED_VALUE"""),"Olympus")</f>
        <v>Olympus</v>
      </c>
      <c r="E625" s="42" t="str">
        <f>IFERROR(__xludf.DUMMYFUNCTION("""COMPUTED_VALUE"""),"Interstellar City: South")</f>
        <v>Interstellar City: South</v>
      </c>
      <c r="F625" s="43">
        <f>IFERROR(__xludf.DUMMYFUNCTION("""COMPUTED_VALUE"""),21.0)</f>
        <v>21</v>
      </c>
      <c r="G625" s="44">
        <f>IFERROR(__xludf.DUMMYFUNCTION("""COMPUTED_VALUE"""),65354.0)</f>
        <v>65354</v>
      </c>
      <c r="H625" s="33" t="str">
        <f>IFERROR(__xludf.DUMMYFUNCTION("""COMPUTED_VALUE"""),"")</f>
        <v/>
      </c>
      <c r="I625" s="45">
        <f>IFERROR(__xludf.DUMMYFUNCTION("""COMPUTED_VALUE"""),83.1)</f>
        <v>83.1</v>
      </c>
      <c r="J625" s="46" t="str">
        <f>IFERROR(__xludf.DUMMYFUNCTION("""COMPUTED_VALUE"""),"AP")</f>
        <v>AP</v>
      </c>
      <c r="K625" s="47">
        <f>IFERROR(__xludf.DUMMYFUNCTION("""COMPUTED_VALUE"""),25.3)</f>
        <v>25.3</v>
      </c>
      <c r="L625" s="48" t="str">
        <f>IFERROR(__xludf.DUMMYFUNCTION("""COMPUTED_VALUE"""),"%")</f>
        <v>%</v>
      </c>
      <c r="M625" s="49">
        <f>IFERROR(__xludf.DUMMYFUNCTION("""COMPUTED_VALUE"""),1.0)</f>
        <v>1</v>
      </c>
      <c r="N625" s="50" t="str">
        <f>IFERROR(__xludf.DUMMYFUNCTION("""COMPUTED_VALUE"""),"A117")</f>
        <v>A117</v>
      </c>
      <c r="O625" s="38" t="str">
        <f>IFERROR(__xludf.DUMMYFUNCTION("""COMPUTED_VALUE"""),"")</f>
        <v/>
      </c>
      <c r="P625" s="45">
        <f>IFERROR(__xludf.DUMMYFUNCTION("""COMPUTED_VALUE"""),104.6)</f>
        <v>104.6</v>
      </c>
      <c r="Q625" s="46" t="str">
        <f>IFERROR(__xludf.DUMMYFUNCTION("""COMPUTED_VALUE"""),"AP")</f>
        <v>AP</v>
      </c>
      <c r="R625" s="47">
        <f>IFERROR(__xludf.DUMMYFUNCTION("""COMPUTED_VALUE"""),20.1)</f>
        <v>20.1</v>
      </c>
      <c r="S625" s="48" t="str">
        <f>IFERROR(__xludf.DUMMYFUNCTION("""COMPUTED_VALUE"""),"%")</f>
        <v>%</v>
      </c>
      <c r="T625" s="49">
        <f>IFERROR(__xludf.DUMMYFUNCTION("""COMPUTED_VALUE"""),2.0)</f>
        <v>2</v>
      </c>
      <c r="U625" s="50" t="str">
        <f>IFERROR(__xludf.DUMMYFUNCTION("""COMPUTED_VALUE"""),"B113")</f>
        <v>B113</v>
      </c>
      <c r="V625" s="38" t="str">
        <f>IFERROR(__xludf.DUMMYFUNCTION("""COMPUTED_VALUE"""),"")</f>
        <v/>
      </c>
      <c r="W625" s="45">
        <f>IFERROR(__xludf.DUMMYFUNCTION("""COMPUTED_VALUE"""),135.5)</f>
        <v>135.5</v>
      </c>
      <c r="X625" s="46" t="str">
        <f>IFERROR(__xludf.DUMMYFUNCTION("""COMPUTED_VALUE"""),"AP")</f>
        <v>AP</v>
      </c>
      <c r="Y625" s="47">
        <f>IFERROR(__xludf.DUMMYFUNCTION("""COMPUTED_VALUE"""),15.5)</f>
        <v>15.5</v>
      </c>
      <c r="Z625" s="48" t="str">
        <f>IFERROR(__xludf.DUMMYFUNCTION("""COMPUTED_VALUE"""),"%")</f>
        <v>%</v>
      </c>
      <c r="AA625" s="49">
        <f>IFERROR(__xludf.DUMMYFUNCTION("""COMPUTED_VALUE"""),3.0)</f>
        <v>3</v>
      </c>
      <c r="AB625" s="50" t="str">
        <f>IFERROR(__xludf.DUMMYFUNCTION("""COMPUTED_VALUE"""),"B116")</f>
        <v>B116</v>
      </c>
      <c r="AC625" s="38" t="str">
        <f>IFERROR(__xludf.DUMMYFUNCTION("""COMPUTED_VALUE"""),"")</f>
        <v/>
      </c>
      <c r="AD625" s="45">
        <f>IFERROR(__xludf.DUMMYFUNCTION("""COMPUTED_VALUE"""),62.8)</f>
        <v>62.8</v>
      </c>
      <c r="AE625" s="46" t="str">
        <f>IFERROR(__xludf.DUMMYFUNCTION("""COMPUTED_VALUE"""),"AP")</f>
        <v>AP</v>
      </c>
      <c r="AF625" s="47">
        <f>IFERROR(__xludf.DUMMYFUNCTION("""COMPUTED_VALUE"""),33.4)</f>
        <v>33.4</v>
      </c>
      <c r="AG625" s="48" t="str">
        <f>IFERROR(__xludf.DUMMYFUNCTION("""COMPUTED_VALUE"""),"%")</f>
        <v>%</v>
      </c>
      <c r="AH625" s="43">
        <f>IFERROR(__xludf.DUMMYFUNCTION("""COMPUTED_VALUE"""),21.0)</f>
        <v>21</v>
      </c>
      <c r="AI625" s="44">
        <f>IFERROR(__xludf.DUMMYFUNCTION("""COMPUTED_VALUE"""),65354.0)</f>
        <v>65354</v>
      </c>
      <c r="AJ625" s="51" t="str">
        <f>IFERROR(__xludf.DUMMYFUNCTION("""COMPUTED_VALUE"""),"星間都市南部")</f>
        <v>星間都市南部</v>
      </c>
    </row>
    <row r="626" ht="24.75" customHeight="1">
      <c r="A626" s="28">
        <f>IFERROR(__xludf.DUMMYFUNCTION("""COMPUTED_VALUE"""),3.0)</f>
        <v>3</v>
      </c>
      <c r="B626" s="28" t="str">
        <f>IFERROR(__xludf.DUMMYFUNCTION("""COMPUTED_VALUE"""),"A219")</f>
        <v>A219</v>
      </c>
      <c r="C626" s="28" t="str">
        <f>IFERROR(__xludf.DUMMYFUNCTION("""COMPUTED_VALUE"""),"OLP8")</f>
        <v>OLP8</v>
      </c>
      <c r="D626" s="29" t="str">
        <f>IFERROR(__xludf.DUMMYFUNCTION("""COMPUTED_VALUE"""),"Olympus")</f>
        <v>Olympus</v>
      </c>
      <c r="E626" s="30" t="str">
        <f>IFERROR(__xludf.DUMMYFUNCTION("""COMPUTED_VALUE"""),"Aerial Garden")</f>
        <v>Aerial Garden</v>
      </c>
      <c r="F626" s="31">
        <f>IFERROR(__xludf.DUMMYFUNCTION("""COMPUTED_VALUE"""),21.0)</f>
        <v>21</v>
      </c>
      <c r="G626" s="32">
        <f>IFERROR(__xludf.DUMMYFUNCTION("""COMPUTED_VALUE"""),39476.0)</f>
        <v>39476</v>
      </c>
      <c r="H626" s="33" t="str">
        <f>IFERROR(__xludf.DUMMYFUNCTION("""COMPUTED_VALUE"""),"")</f>
        <v/>
      </c>
      <c r="I626" s="34">
        <f>IFERROR(__xludf.DUMMYFUNCTION("""COMPUTED_VALUE"""),83.3)</f>
        <v>83.3</v>
      </c>
      <c r="J626" s="35" t="str">
        <f>IFERROR(__xludf.DUMMYFUNCTION("""COMPUTED_VALUE"""),"AP")</f>
        <v>AP</v>
      </c>
      <c r="K626" s="34">
        <f>IFERROR(__xludf.DUMMYFUNCTION("""COMPUTED_VALUE"""),25.2)</f>
        <v>25.2</v>
      </c>
      <c r="L626" s="35" t="str">
        <f>IFERROR(__xludf.DUMMYFUNCTION("""COMPUTED_VALUE"""),"%")</f>
        <v>%</v>
      </c>
      <c r="M626" s="36">
        <f>IFERROR(__xludf.DUMMYFUNCTION("""COMPUTED_VALUE"""),1.0)</f>
        <v>1</v>
      </c>
      <c r="N626" s="37" t="str">
        <f>IFERROR(__xludf.DUMMYFUNCTION("""COMPUTED_VALUE"""),"A116")</f>
        <v>A116</v>
      </c>
      <c r="O626" s="38" t="str">
        <f>IFERROR(__xludf.DUMMYFUNCTION("""COMPUTED_VALUE"""),"")</f>
        <v/>
      </c>
      <c r="P626" s="34">
        <f>IFERROR(__xludf.DUMMYFUNCTION("""COMPUTED_VALUE"""),173.8)</f>
        <v>173.8</v>
      </c>
      <c r="Q626" s="35" t="str">
        <f>IFERROR(__xludf.DUMMYFUNCTION("""COMPUTED_VALUE"""),"AP")</f>
        <v>AP</v>
      </c>
      <c r="R626" s="34">
        <f>IFERROR(__xludf.DUMMYFUNCTION("""COMPUTED_VALUE"""),12.1)</f>
        <v>12.1</v>
      </c>
      <c r="S626" s="35" t="str">
        <f>IFERROR(__xludf.DUMMYFUNCTION("""COMPUTED_VALUE"""),"%")</f>
        <v>%</v>
      </c>
      <c r="T626" s="36">
        <f>IFERROR(__xludf.DUMMYFUNCTION("""COMPUTED_VALUE"""),2.0)</f>
        <v>2</v>
      </c>
      <c r="U626" s="37" t="str">
        <f>IFERROR(__xludf.DUMMYFUNCTION("""COMPUTED_VALUE"""),"B104")</f>
        <v>B104</v>
      </c>
      <c r="V626" s="38" t="str">
        <f>IFERROR(__xludf.DUMMYFUNCTION("""COMPUTED_VALUE"""),"")</f>
        <v/>
      </c>
      <c r="W626" s="34">
        <f>IFERROR(__xludf.DUMMYFUNCTION("""COMPUTED_VALUE"""),511.1)</f>
        <v>511.1</v>
      </c>
      <c r="X626" s="35" t="str">
        <f>IFERROR(__xludf.DUMMYFUNCTION("""COMPUTED_VALUE"""),"AP")</f>
        <v>AP</v>
      </c>
      <c r="Y626" s="34">
        <f>IFERROR(__xludf.DUMMYFUNCTION("""COMPUTED_VALUE"""),4.1)</f>
        <v>4.1</v>
      </c>
      <c r="Z626" s="35" t="str">
        <f>IFERROR(__xludf.DUMMYFUNCTION("""COMPUTED_VALUE"""),"%")</f>
        <v>%</v>
      </c>
      <c r="AA626" s="36">
        <f>IFERROR(__xludf.DUMMYFUNCTION("""COMPUTED_VALUE"""),3.0)</f>
        <v>3</v>
      </c>
      <c r="AB626" s="37" t="str">
        <f>IFERROR(__xludf.DUMMYFUNCTION("""COMPUTED_VALUE"""),"B116")</f>
        <v>B116</v>
      </c>
      <c r="AC626" s="38" t="str">
        <f>IFERROR(__xludf.DUMMYFUNCTION("""COMPUTED_VALUE"""),"")</f>
        <v/>
      </c>
      <c r="AD626" s="34">
        <f>IFERROR(__xludf.DUMMYFUNCTION("""COMPUTED_VALUE"""),62.1)</f>
        <v>62.1</v>
      </c>
      <c r="AE626" s="35" t="str">
        <f>IFERROR(__xludf.DUMMYFUNCTION("""COMPUTED_VALUE"""),"AP")</f>
        <v>AP</v>
      </c>
      <c r="AF626" s="34">
        <f>IFERROR(__xludf.DUMMYFUNCTION("""COMPUTED_VALUE"""),33.8)</f>
        <v>33.8</v>
      </c>
      <c r="AG626" s="35" t="str">
        <f>IFERROR(__xludf.DUMMYFUNCTION("""COMPUTED_VALUE"""),"%")</f>
        <v>%</v>
      </c>
      <c r="AH626" s="31">
        <f>IFERROR(__xludf.DUMMYFUNCTION("""COMPUTED_VALUE"""),21.0)</f>
        <v>21</v>
      </c>
      <c r="AI626" s="32">
        <f>IFERROR(__xludf.DUMMYFUNCTION("""COMPUTED_VALUE"""),39476.0)</f>
        <v>39476</v>
      </c>
      <c r="AJ626" s="39" t="str">
        <f>IFERROR(__xludf.DUMMYFUNCTION("""COMPUTED_VALUE"""),"空中庭園")</f>
        <v>空中庭園</v>
      </c>
    </row>
    <row r="627" ht="24.75" customHeight="1">
      <c r="A627" s="40">
        <f>IFERROR(__xludf.DUMMYFUNCTION("""COMPUTED_VALUE"""),4.0)</f>
        <v>4</v>
      </c>
      <c r="B627" s="40" t="str">
        <f>IFERROR(__xludf.DUMMYFUNCTION("""COMPUTED_VALUE"""),"A219")</f>
        <v>A219</v>
      </c>
      <c r="C627" s="40" t="str">
        <f>IFERROR(__xludf.DUMMYFUNCTION("""COMPUTED_VALUE"""),"OLP6")</f>
        <v>OLP6</v>
      </c>
      <c r="D627" s="41" t="str">
        <f>IFERROR(__xludf.DUMMYFUNCTION("""COMPUTED_VALUE"""),"Olympus")</f>
        <v>Olympus</v>
      </c>
      <c r="E627" s="42" t="str">
        <f>IFERROR(__xludf.DUMMYFUNCTION("""COMPUTED_VALUE"""),"God Slayers League Base")</f>
        <v>God Slayers League Base</v>
      </c>
      <c r="F627" s="43">
        <f>IFERROR(__xludf.DUMMYFUNCTION("""COMPUTED_VALUE"""),21.0)</f>
        <v>21</v>
      </c>
      <c r="G627" s="44">
        <f>IFERROR(__xludf.DUMMYFUNCTION("""COMPUTED_VALUE"""),3244.0)</f>
        <v>3244</v>
      </c>
      <c r="H627" s="33" t="str">
        <f>IFERROR(__xludf.DUMMYFUNCTION("""COMPUTED_VALUE"""),"")</f>
        <v/>
      </c>
      <c r="I627" s="45">
        <f>IFERROR(__xludf.DUMMYFUNCTION("""COMPUTED_VALUE"""),85.8)</f>
        <v>85.8</v>
      </c>
      <c r="J627" s="46" t="str">
        <f>IFERROR(__xludf.DUMMYFUNCTION("""COMPUTED_VALUE"""),"AP")</f>
        <v>AP</v>
      </c>
      <c r="K627" s="47">
        <f>IFERROR(__xludf.DUMMYFUNCTION("""COMPUTED_VALUE"""),24.5)</f>
        <v>24.5</v>
      </c>
      <c r="L627" s="48" t="str">
        <f>IFERROR(__xludf.DUMMYFUNCTION("""COMPUTED_VALUE"""),"%")</f>
        <v>%</v>
      </c>
      <c r="M627" s="49">
        <f>IFERROR(__xludf.DUMMYFUNCTION("""COMPUTED_VALUE"""),1.0)</f>
        <v>1</v>
      </c>
      <c r="N627" s="50" t="str">
        <f>IFERROR(__xludf.DUMMYFUNCTION("""COMPUTED_VALUE"""),"A113")</f>
        <v>A113</v>
      </c>
      <c r="O627" s="38" t="str">
        <f>IFERROR(__xludf.DUMMYFUNCTION("""COMPUTED_VALUE"""),"")</f>
        <v/>
      </c>
      <c r="P627" s="45">
        <f>IFERROR(__xludf.DUMMYFUNCTION("""COMPUTED_VALUE"""),105.5)</f>
        <v>105.5</v>
      </c>
      <c r="Q627" s="46" t="str">
        <f>IFERROR(__xludf.DUMMYFUNCTION("""COMPUTED_VALUE"""),"AP")</f>
        <v>AP</v>
      </c>
      <c r="R627" s="47">
        <f>IFERROR(__xludf.DUMMYFUNCTION("""COMPUTED_VALUE"""),19.9)</f>
        <v>19.9</v>
      </c>
      <c r="S627" s="48" t="str">
        <f>IFERROR(__xludf.DUMMYFUNCTION("""COMPUTED_VALUE"""),"%")</f>
        <v>%</v>
      </c>
      <c r="T627" s="49">
        <f>IFERROR(__xludf.DUMMYFUNCTION("""COMPUTED_VALUE"""),2.0)</f>
        <v>2</v>
      </c>
      <c r="U627" s="50" t="str">
        <f>IFERROR(__xludf.DUMMYFUNCTION("""COMPUTED_VALUE"""),"B113")</f>
        <v>B113</v>
      </c>
      <c r="V627" s="38" t="str">
        <f>IFERROR(__xludf.DUMMYFUNCTION("""COMPUTED_VALUE"""),"")</f>
        <v/>
      </c>
      <c r="W627" s="45">
        <f>IFERROR(__xludf.DUMMYFUNCTION("""COMPUTED_VALUE"""),285.5)</f>
        <v>285.5</v>
      </c>
      <c r="X627" s="46" t="str">
        <f>IFERROR(__xludf.DUMMYFUNCTION("""COMPUTED_VALUE"""),"AP")</f>
        <v>AP</v>
      </c>
      <c r="Y627" s="47">
        <f>IFERROR(__xludf.DUMMYFUNCTION("""COMPUTED_VALUE"""),7.4)</f>
        <v>7.4</v>
      </c>
      <c r="Z627" s="48" t="str">
        <f>IFERROR(__xludf.DUMMYFUNCTION("""COMPUTED_VALUE"""),"%")</f>
        <v>%</v>
      </c>
      <c r="AA627" s="49">
        <f>IFERROR(__xludf.DUMMYFUNCTION("""COMPUTED_VALUE"""),3.0)</f>
        <v>3</v>
      </c>
      <c r="AB627" s="50" t="str">
        <f>IFERROR(__xludf.DUMMYFUNCTION("""COMPUTED_VALUE"""),"B116")</f>
        <v>B116</v>
      </c>
      <c r="AC627" s="38" t="str">
        <f>IFERROR(__xludf.DUMMYFUNCTION("""COMPUTED_VALUE"""),"")</f>
        <v/>
      </c>
      <c r="AD627" s="45">
        <f>IFERROR(__xludf.DUMMYFUNCTION("""COMPUTED_VALUE"""),60.2)</f>
        <v>60.2</v>
      </c>
      <c r="AE627" s="46" t="str">
        <f>IFERROR(__xludf.DUMMYFUNCTION("""COMPUTED_VALUE"""),"AP")</f>
        <v>AP</v>
      </c>
      <c r="AF627" s="47">
        <f>IFERROR(__xludf.DUMMYFUNCTION("""COMPUTED_VALUE"""),34.9)</f>
        <v>34.9</v>
      </c>
      <c r="AG627" s="48" t="str">
        <f>IFERROR(__xludf.DUMMYFUNCTION("""COMPUTED_VALUE"""),"%")</f>
        <v>%</v>
      </c>
      <c r="AH627" s="43">
        <f>IFERROR(__xludf.DUMMYFUNCTION("""COMPUTED_VALUE"""),21.0)</f>
        <v>21</v>
      </c>
      <c r="AI627" s="44">
        <f>IFERROR(__xludf.DUMMYFUNCTION("""COMPUTED_VALUE"""),3244.0)</f>
        <v>3244</v>
      </c>
      <c r="AJ627" s="51" t="str">
        <f>IFERROR(__xludf.DUMMYFUNCTION("""COMPUTED_VALUE"""),"破神同盟基地")</f>
        <v>破神同盟基地</v>
      </c>
    </row>
    <row r="628" ht="24.75" customHeight="1">
      <c r="A628" s="28">
        <f>IFERROR(__xludf.DUMMYFUNCTION("""COMPUTED_VALUE"""),5.0)</f>
        <v>5</v>
      </c>
      <c r="B628" s="28" t="str">
        <f>IFERROR(__xludf.DUMMYFUNCTION("""COMPUTED_VALUE"""),"A219")</f>
        <v>A219</v>
      </c>
      <c r="C628" s="28" t="str">
        <f>IFERROR(__xludf.DUMMYFUNCTION("""COMPUTED_VALUE"""),"OLP10")</f>
        <v>OLP10</v>
      </c>
      <c r="D628" s="29" t="str">
        <f>IFERROR(__xludf.DUMMYFUNCTION("""COMPUTED_VALUE"""),"Olympus")</f>
        <v>Olympus</v>
      </c>
      <c r="E628" s="30" t="str">
        <f>IFERROR(__xludf.DUMMYFUNCTION("""COMPUTED_VALUE"""),"Grand Altar")</f>
        <v>Grand Altar</v>
      </c>
      <c r="F628" s="31">
        <f>IFERROR(__xludf.DUMMYFUNCTION("""COMPUTED_VALUE"""),21.0)</f>
        <v>21</v>
      </c>
      <c r="G628" s="32">
        <f>IFERROR(__xludf.DUMMYFUNCTION("""COMPUTED_VALUE"""),1624.0)</f>
        <v>1624</v>
      </c>
      <c r="H628" s="33" t="str">
        <f>IFERROR(__xludf.DUMMYFUNCTION("""COMPUTED_VALUE"""),"")</f>
        <v/>
      </c>
      <c r="I628" s="34">
        <f>IFERROR(__xludf.DUMMYFUNCTION("""COMPUTED_VALUE"""),110.4)</f>
        <v>110.4</v>
      </c>
      <c r="J628" s="35" t="str">
        <f>IFERROR(__xludf.DUMMYFUNCTION("""COMPUTED_VALUE"""),"AP")</f>
        <v>AP</v>
      </c>
      <c r="K628" s="34">
        <f>IFERROR(__xludf.DUMMYFUNCTION("""COMPUTED_VALUE"""),19.0)</f>
        <v>19</v>
      </c>
      <c r="L628" s="35" t="str">
        <f>IFERROR(__xludf.DUMMYFUNCTION("""COMPUTED_VALUE"""),"%")</f>
        <v>%</v>
      </c>
      <c r="M628" s="36">
        <f>IFERROR(__xludf.DUMMYFUNCTION("""COMPUTED_VALUE"""),1.0)</f>
        <v>1</v>
      </c>
      <c r="N628" s="37" t="str">
        <f>IFERROR(__xludf.DUMMYFUNCTION("""COMPUTED_VALUE"""),"A204")</f>
        <v>A204</v>
      </c>
      <c r="O628" s="38" t="str">
        <f>IFERROR(__xludf.DUMMYFUNCTION("""COMPUTED_VALUE"""),"")</f>
        <v/>
      </c>
      <c r="P628" s="34">
        <f>IFERROR(__xludf.DUMMYFUNCTION("""COMPUTED_VALUE"""),99.7)</f>
        <v>99.7</v>
      </c>
      <c r="Q628" s="35" t="str">
        <f>IFERROR(__xludf.DUMMYFUNCTION("""COMPUTED_VALUE"""),"AP")</f>
        <v>AP</v>
      </c>
      <c r="R628" s="34">
        <f>IFERROR(__xludf.DUMMYFUNCTION("""COMPUTED_VALUE"""),21.1)</f>
        <v>21.1</v>
      </c>
      <c r="S628" s="35" t="str">
        <f>IFERROR(__xludf.DUMMYFUNCTION("""COMPUTED_VALUE"""),"%")</f>
        <v>%</v>
      </c>
      <c r="T628" s="36">
        <f>IFERROR(__xludf.DUMMYFUNCTION("""COMPUTED_VALUE"""),2.0)</f>
        <v>2</v>
      </c>
      <c r="U628" s="37" t="str">
        <f>IFERROR(__xludf.DUMMYFUNCTION("""COMPUTED_VALUE"""),"A304")</f>
        <v>A304</v>
      </c>
      <c r="V628" s="38" t="str">
        <f>IFERROR(__xludf.DUMMYFUNCTION("""COMPUTED_VALUE"""),"")</f>
        <v/>
      </c>
      <c r="W628" s="34">
        <f>IFERROR(__xludf.DUMMYFUNCTION("""COMPUTED_VALUE"""),66.0)</f>
        <v>66</v>
      </c>
      <c r="X628" s="35" t="str">
        <f>IFERROR(__xludf.DUMMYFUNCTION("""COMPUTED_VALUE"""),"AP")</f>
        <v>AP</v>
      </c>
      <c r="Y628" s="34">
        <f>IFERROR(__xludf.DUMMYFUNCTION("""COMPUTED_VALUE"""),31.8)</f>
        <v>31.8</v>
      </c>
      <c r="Z628" s="35" t="str">
        <f>IFERROR(__xludf.DUMMYFUNCTION("""COMPUTED_VALUE"""),"%")</f>
        <v>%</v>
      </c>
      <c r="AA628" s="36">
        <f>IFERROR(__xludf.DUMMYFUNCTION("""COMPUTED_VALUE"""),3.0)</f>
        <v>3</v>
      </c>
      <c r="AB628" s="37" t="str">
        <f>IFERROR(__xludf.DUMMYFUNCTION("""COMPUTED_VALUE"""),"B115")</f>
        <v>B115</v>
      </c>
      <c r="AC628" s="38" t="str">
        <f>IFERROR(__xludf.DUMMYFUNCTION("""COMPUTED_VALUE"""),"")</f>
        <v/>
      </c>
      <c r="AD628" s="34">
        <f>IFERROR(__xludf.DUMMYFUNCTION("""COMPUTED_VALUE"""),131.2)</f>
        <v>131.2</v>
      </c>
      <c r="AE628" s="35" t="str">
        <f>IFERROR(__xludf.DUMMYFUNCTION("""COMPUTED_VALUE"""),"AP")</f>
        <v>AP</v>
      </c>
      <c r="AF628" s="34">
        <f>IFERROR(__xludf.DUMMYFUNCTION("""COMPUTED_VALUE"""),16.0)</f>
        <v>16</v>
      </c>
      <c r="AG628" s="35" t="str">
        <f>IFERROR(__xludf.DUMMYFUNCTION("""COMPUTED_VALUE"""),"%")</f>
        <v>%</v>
      </c>
      <c r="AH628" s="31">
        <f>IFERROR(__xludf.DUMMYFUNCTION("""COMPUTED_VALUE"""),21.0)</f>
        <v>21</v>
      </c>
      <c r="AI628" s="32">
        <f>IFERROR(__xludf.DUMMYFUNCTION("""COMPUTED_VALUE"""),1624.0)</f>
        <v>1624</v>
      </c>
      <c r="AJ628" s="39" t="str">
        <f>IFERROR(__xludf.DUMMYFUNCTION("""COMPUTED_VALUE"""),"大祭壇")</f>
        <v>大祭壇</v>
      </c>
    </row>
    <row r="629" ht="24.75" customHeight="1">
      <c r="A629" s="40">
        <f>IFERROR(__xludf.DUMMYFUNCTION("""COMPUTED_VALUE"""),6.0)</f>
        <v>6</v>
      </c>
      <c r="B629" s="40" t="str">
        <f>IFERROR(__xludf.DUMMYFUNCTION("""COMPUTED_VALUE"""),"A219")</f>
        <v>A219</v>
      </c>
      <c r="C629" s="40" t="str">
        <f>IFERROR(__xludf.DUMMYFUNCTION("""COMPUTED_VALUE"""),"OLP5")</f>
        <v>OLP5</v>
      </c>
      <c r="D629" s="41" t="str">
        <f>IFERROR(__xludf.DUMMYFUNCTION("""COMPUTED_VALUE"""),"Olympus")</f>
        <v>Olympus</v>
      </c>
      <c r="E629" s="42" t="str">
        <f>IFERROR(__xludf.DUMMYFUNCTION("""COMPUTED_VALUE"""),"Grand Workshop")</f>
        <v>Grand Workshop</v>
      </c>
      <c r="F629" s="43">
        <f>IFERROR(__xludf.DUMMYFUNCTION("""COMPUTED_VALUE"""),21.0)</f>
        <v>21</v>
      </c>
      <c r="G629" s="44">
        <f>IFERROR(__xludf.DUMMYFUNCTION("""COMPUTED_VALUE"""),4719.0)</f>
        <v>4719</v>
      </c>
      <c r="H629" s="33" t="str">
        <f>IFERROR(__xludf.DUMMYFUNCTION("""COMPUTED_VALUE"""),"")</f>
        <v/>
      </c>
      <c r="I629" s="45">
        <f>IFERROR(__xludf.DUMMYFUNCTION("""COMPUTED_VALUE"""),112.0)</f>
        <v>112</v>
      </c>
      <c r="J629" s="46" t="str">
        <f>IFERROR(__xludf.DUMMYFUNCTION("""COMPUTED_VALUE"""),"AP")</f>
        <v>AP</v>
      </c>
      <c r="K629" s="47">
        <f>IFERROR(__xludf.DUMMYFUNCTION("""COMPUTED_VALUE"""),18.8)</f>
        <v>18.8</v>
      </c>
      <c r="L629" s="48" t="str">
        <f>IFERROR(__xludf.DUMMYFUNCTION("""COMPUTED_VALUE"""),"%")</f>
        <v>%</v>
      </c>
      <c r="M629" s="49">
        <f>IFERROR(__xludf.DUMMYFUNCTION("""COMPUTED_VALUE"""),1.0)</f>
        <v>1</v>
      </c>
      <c r="N629" s="50" t="str">
        <f>IFERROR(__xludf.DUMMYFUNCTION("""COMPUTED_VALUE"""),"A112")</f>
        <v>A112</v>
      </c>
      <c r="O629" s="38" t="str">
        <f>IFERROR(__xludf.DUMMYFUNCTION("""COMPUTED_VALUE"""),"")</f>
        <v/>
      </c>
      <c r="P629" s="45">
        <f>IFERROR(__xludf.DUMMYFUNCTION("""COMPUTED_VALUE"""),209.1)</f>
        <v>209.1</v>
      </c>
      <c r="Q629" s="46" t="str">
        <f>IFERROR(__xludf.DUMMYFUNCTION("""COMPUTED_VALUE"""),"AP")</f>
        <v>AP</v>
      </c>
      <c r="R629" s="47">
        <f>IFERROR(__xludf.DUMMYFUNCTION("""COMPUTED_VALUE"""),10.0)</f>
        <v>10</v>
      </c>
      <c r="S629" s="48" t="str">
        <f>IFERROR(__xludf.DUMMYFUNCTION("""COMPUTED_VALUE"""),"%")</f>
        <v>%</v>
      </c>
      <c r="T629" s="49">
        <f>IFERROR(__xludf.DUMMYFUNCTION("""COMPUTED_VALUE"""),2.0)</f>
        <v>2</v>
      </c>
      <c r="U629" s="50" t="str">
        <f>IFERROR(__xludf.DUMMYFUNCTION("""COMPUTED_VALUE"""),"A304")</f>
        <v>A304</v>
      </c>
      <c r="V629" s="38" t="str">
        <f>IFERROR(__xludf.DUMMYFUNCTION("""COMPUTED_VALUE"""),"")</f>
        <v/>
      </c>
      <c r="W629" s="45">
        <f>IFERROR(__xludf.DUMMYFUNCTION("""COMPUTED_VALUE"""),70.2)</f>
        <v>70.2</v>
      </c>
      <c r="X629" s="46" t="str">
        <f>IFERROR(__xludf.DUMMYFUNCTION("""COMPUTED_VALUE"""),"AP")</f>
        <v>AP</v>
      </c>
      <c r="Y629" s="47">
        <f>IFERROR(__xludf.DUMMYFUNCTION("""COMPUTED_VALUE"""),29.9)</f>
        <v>29.9</v>
      </c>
      <c r="Z629" s="48" t="str">
        <f>IFERROR(__xludf.DUMMYFUNCTION("""COMPUTED_VALUE"""),"%")</f>
        <v>%</v>
      </c>
      <c r="AA629" s="49">
        <f>IFERROR(__xludf.DUMMYFUNCTION("""COMPUTED_VALUE"""),3.0)</f>
        <v>3</v>
      </c>
      <c r="AB629" s="50" t="str">
        <f>IFERROR(__xludf.DUMMYFUNCTION("""COMPUTED_VALUE"""),"B102")</f>
        <v>B102</v>
      </c>
      <c r="AC629" s="38" t="str">
        <f>IFERROR(__xludf.DUMMYFUNCTION("""COMPUTED_VALUE"""),"")</f>
        <v/>
      </c>
      <c r="AD629" s="45">
        <f>IFERROR(__xludf.DUMMYFUNCTION("""COMPUTED_VALUE"""),510.2)</f>
        <v>510.2</v>
      </c>
      <c r="AE629" s="46" t="str">
        <f>IFERROR(__xludf.DUMMYFUNCTION("""COMPUTED_VALUE"""),"AP")</f>
        <v>AP</v>
      </c>
      <c r="AF629" s="47">
        <f>IFERROR(__xludf.DUMMYFUNCTION("""COMPUTED_VALUE"""),4.1)</f>
        <v>4.1</v>
      </c>
      <c r="AG629" s="48" t="str">
        <f>IFERROR(__xludf.DUMMYFUNCTION("""COMPUTED_VALUE"""),"%")</f>
        <v>%</v>
      </c>
      <c r="AH629" s="43">
        <f>IFERROR(__xludf.DUMMYFUNCTION("""COMPUTED_VALUE"""),21.0)</f>
        <v>21</v>
      </c>
      <c r="AI629" s="44">
        <f>IFERROR(__xludf.DUMMYFUNCTION("""COMPUTED_VALUE"""),4719.0)</f>
        <v>4719</v>
      </c>
      <c r="AJ629" s="51" t="str">
        <f>IFERROR(__xludf.DUMMYFUNCTION("""COMPUTED_VALUE"""),"大工房")</f>
        <v>大工房</v>
      </c>
    </row>
    <row r="630" ht="24.75" customHeight="1">
      <c r="A630" s="28">
        <f>IFERROR(__xludf.DUMMYFUNCTION("""COMPUTED_VALUE"""),7.0)</f>
        <v>7</v>
      </c>
      <c r="B630" s="28" t="str">
        <f>IFERROR(__xludf.DUMMYFUNCTION("""COMPUTED_VALUE"""),"A219")</f>
        <v>A219</v>
      </c>
      <c r="C630" s="28"/>
      <c r="D630" s="29"/>
      <c r="E630" s="67"/>
      <c r="F630" s="31"/>
      <c r="G630" s="32"/>
      <c r="H630" s="33" t="str">
        <f>IFERROR(__xludf.DUMMYFUNCTION("""COMPUTED_VALUE""")," ")</f>
        <v> </v>
      </c>
      <c r="I630" s="34"/>
      <c r="J630" s="35" t="str">
        <f>IFERROR(__xludf.DUMMYFUNCTION("""COMPUTED_VALUE"""),"AP")</f>
        <v>AP</v>
      </c>
      <c r="K630" s="34"/>
      <c r="L630" s="35" t="str">
        <f>IFERROR(__xludf.DUMMYFUNCTION("""COMPUTED_VALUE"""),"%")</f>
        <v>%</v>
      </c>
      <c r="M630" s="36">
        <f>IFERROR(__xludf.DUMMYFUNCTION("""COMPUTED_VALUE"""),1.0)</f>
        <v>1</v>
      </c>
      <c r="N630" s="37"/>
      <c r="O630" s="38"/>
      <c r="P630" s="34" t="str">
        <f>IFERROR(__xludf.DUMMYFUNCTION("""COMPUTED_VALUE"""),"")</f>
        <v/>
      </c>
      <c r="Q630" s="35" t="str">
        <f>IFERROR(__xludf.DUMMYFUNCTION("""COMPUTED_VALUE"""),"AP")</f>
        <v>AP</v>
      </c>
      <c r="R630" s="34" t="str">
        <f>IFERROR(__xludf.DUMMYFUNCTION("""COMPUTED_VALUE"""),"")</f>
        <v/>
      </c>
      <c r="S630" s="35" t="str">
        <f>IFERROR(__xludf.DUMMYFUNCTION("""COMPUTED_VALUE"""),"%")</f>
        <v>%</v>
      </c>
      <c r="T630" s="36">
        <f>IFERROR(__xludf.DUMMYFUNCTION("""COMPUTED_VALUE"""),2.0)</f>
        <v>2</v>
      </c>
      <c r="U630" s="37"/>
      <c r="V630" s="38"/>
      <c r="W630" s="34" t="str">
        <f>IFERROR(__xludf.DUMMYFUNCTION("""COMPUTED_VALUE"""),"")</f>
        <v/>
      </c>
      <c r="X630" s="35" t="str">
        <f>IFERROR(__xludf.DUMMYFUNCTION("""COMPUTED_VALUE"""),"AP")</f>
        <v>AP</v>
      </c>
      <c r="Y630" s="34" t="str">
        <f>IFERROR(__xludf.DUMMYFUNCTION("""COMPUTED_VALUE"""),"")</f>
        <v/>
      </c>
      <c r="Z630" s="35" t="str">
        <f>IFERROR(__xludf.DUMMYFUNCTION("""COMPUTED_VALUE"""),"%")</f>
        <v>%</v>
      </c>
      <c r="AA630" s="36">
        <f>IFERROR(__xludf.DUMMYFUNCTION("""COMPUTED_VALUE"""),3.0)</f>
        <v>3</v>
      </c>
      <c r="AB630" s="37"/>
      <c r="AC630" s="38"/>
      <c r="AD630" s="34" t="str">
        <f>IFERROR(__xludf.DUMMYFUNCTION("""COMPUTED_VALUE"""),"")</f>
        <v/>
      </c>
      <c r="AE630" s="35" t="str">
        <f>IFERROR(__xludf.DUMMYFUNCTION("""COMPUTED_VALUE"""),"AP")</f>
        <v>AP</v>
      </c>
      <c r="AF630" s="34" t="str">
        <f>IFERROR(__xludf.DUMMYFUNCTION("""COMPUTED_VALUE"""),"")</f>
        <v/>
      </c>
      <c r="AG630" s="35" t="str">
        <f>IFERROR(__xludf.DUMMYFUNCTION("""COMPUTED_VALUE"""),"%")</f>
        <v>%</v>
      </c>
      <c r="AH630" s="31"/>
      <c r="AI630" s="32"/>
      <c r="AJ630" s="39"/>
    </row>
    <row r="631" ht="24.75" hidden="1" customHeight="1">
      <c r="A631" s="40">
        <f>IFERROR(__xludf.DUMMYFUNCTION("""COMPUTED_VALUE"""),8.0)</f>
        <v>8</v>
      </c>
      <c r="B631" s="40" t="str">
        <f>IFERROR(__xludf.DUMMYFUNCTION("""COMPUTED_VALUE"""),"A219")</f>
        <v>A219</v>
      </c>
      <c r="C631" s="40"/>
      <c r="D631" s="41"/>
      <c r="E631" s="66"/>
      <c r="F631" s="43"/>
      <c r="G631" s="44"/>
      <c r="H631" s="33" t="str">
        <f>IFERROR(__xludf.DUMMYFUNCTION("""COMPUTED_VALUE""")," ")</f>
        <v> </v>
      </c>
      <c r="I631" s="45"/>
      <c r="J631" s="46" t="str">
        <f>IFERROR(__xludf.DUMMYFUNCTION("""COMPUTED_VALUE"""),"AP")</f>
        <v>AP</v>
      </c>
      <c r="K631" s="47"/>
      <c r="L631" s="48" t="str">
        <f>IFERROR(__xludf.DUMMYFUNCTION("""COMPUTED_VALUE"""),"%")</f>
        <v>%</v>
      </c>
      <c r="M631" s="49">
        <f>IFERROR(__xludf.DUMMYFUNCTION("""COMPUTED_VALUE"""),1.0)</f>
        <v>1</v>
      </c>
      <c r="N631" s="50"/>
      <c r="O631" s="38"/>
      <c r="P631" s="45" t="str">
        <f>IFERROR(__xludf.DUMMYFUNCTION("""COMPUTED_VALUE"""),"")</f>
        <v/>
      </c>
      <c r="Q631" s="46" t="str">
        <f>IFERROR(__xludf.DUMMYFUNCTION("""COMPUTED_VALUE"""),"AP")</f>
        <v>AP</v>
      </c>
      <c r="R631" s="47" t="str">
        <f>IFERROR(__xludf.DUMMYFUNCTION("""COMPUTED_VALUE"""),"")</f>
        <v/>
      </c>
      <c r="S631" s="48" t="str">
        <f>IFERROR(__xludf.DUMMYFUNCTION("""COMPUTED_VALUE"""),"%")</f>
        <v>%</v>
      </c>
      <c r="T631" s="49">
        <f>IFERROR(__xludf.DUMMYFUNCTION("""COMPUTED_VALUE"""),2.0)</f>
        <v>2</v>
      </c>
      <c r="U631" s="50"/>
      <c r="V631" s="38"/>
      <c r="W631" s="45" t="str">
        <f>IFERROR(__xludf.DUMMYFUNCTION("""COMPUTED_VALUE"""),"")</f>
        <v/>
      </c>
      <c r="X631" s="46" t="str">
        <f>IFERROR(__xludf.DUMMYFUNCTION("""COMPUTED_VALUE"""),"AP")</f>
        <v>AP</v>
      </c>
      <c r="Y631" s="47" t="str">
        <f>IFERROR(__xludf.DUMMYFUNCTION("""COMPUTED_VALUE"""),"")</f>
        <v/>
      </c>
      <c r="Z631" s="48" t="str">
        <f>IFERROR(__xludf.DUMMYFUNCTION("""COMPUTED_VALUE"""),"%")</f>
        <v>%</v>
      </c>
      <c r="AA631" s="49">
        <f>IFERROR(__xludf.DUMMYFUNCTION("""COMPUTED_VALUE"""),3.0)</f>
        <v>3</v>
      </c>
      <c r="AB631" s="50"/>
      <c r="AC631" s="38"/>
      <c r="AD631" s="45" t="str">
        <f>IFERROR(__xludf.DUMMYFUNCTION("""COMPUTED_VALUE"""),"")</f>
        <v/>
      </c>
      <c r="AE631" s="46" t="str">
        <f>IFERROR(__xludf.DUMMYFUNCTION("""COMPUTED_VALUE"""),"AP")</f>
        <v>AP</v>
      </c>
      <c r="AF631" s="47" t="str">
        <f>IFERROR(__xludf.DUMMYFUNCTION("""COMPUTED_VALUE"""),"")</f>
        <v/>
      </c>
      <c r="AG631" s="48" t="str">
        <f>IFERROR(__xludf.DUMMYFUNCTION("""COMPUTED_VALUE"""),"%")</f>
        <v>%</v>
      </c>
      <c r="AH631" s="43"/>
      <c r="AI631" s="44"/>
      <c r="AJ631" s="51"/>
    </row>
    <row r="632" ht="24.75" hidden="1" customHeight="1">
      <c r="A632" s="28">
        <f>IFERROR(__xludf.DUMMYFUNCTION("""COMPUTED_VALUE"""),9.0)</f>
        <v>9</v>
      </c>
      <c r="B632" s="28" t="str">
        <f>IFERROR(__xludf.DUMMYFUNCTION("""COMPUTED_VALUE"""),"A219")</f>
        <v>A219</v>
      </c>
      <c r="C632" s="28"/>
      <c r="D632" s="29"/>
      <c r="E632" s="67"/>
      <c r="F632" s="31"/>
      <c r="G632" s="32"/>
      <c r="H632" s="33" t="str">
        <f>IFERROR(__xludf.DUMMYFUNCTION("""COMPUTED_VALUE""")," ")</f>
        <v> </v>
      </c>
      <c r="I632" s="34"/>
      <c r="J632" s="35" t="str">
        <f>IFERROR(__xludf.DUMMYFUNCTION("""COMPUTED_VALUE"""),"AP")</f>
        <v>AP</v>
      </c>
      <c r="K632" s="34"/>
      <c r="L632" s="35" t="str">
        <f>IFERROR(__xludf.DUMMYFUNCTION("""COMPUTED_VALUE"""),"%")</f>
        <v>%</v>
      </c>
      <c r="M632" s="36">
        <f>IFERROR(__xludf.DUMMYFUNCTION("""COMPUTED_VALUE"""),1.0)</f>
        <v>1</v>
      </c>
      <c r="N632" s="37"/>
      <c r="O632" s="38"/>
      <c r="P632" s="34" t="str">
        <f>IFERROR(__xludf.DUMMYFUNCTION("""COMPUTED_VALUE"""),"")</f>
        <v/>
      </c>
      <c r="Q632" s="35" t="str">
        <f>IFERROR(__xludf.DUMMYFUNCTION("""COMPUTED_VALUE"""),"AP")</f>
        <v>AP</v>
      </c>
      <c r="R632" s="34" t="str">
        <f>IFERROR(__xludf.DUMMYFUNCTION("""COMPUTED_VALUE"""),"")</f>
        <v/>
      </c>
      <c r="S632" s="35" t="str">
        <f>IFERROR(__xludf.DUMMYFUNCTION("""COMPUTED_VALUE"""),"%")</f>
        <v>%</v>
      </c>
      <c r="T632" s="36">
        <f>IFERROR(__xludf.DUMMYFUNCTION("""COMPUTED_VALUE"""),2.0)</f>
        <v>2</v>
      </c>
      <c r="U632" s="37"/>
      <c r="V632" s="38"/>
      <c r="W632" s="34" t="str">
        <f>IFERROR(__xludf.DUMMYFUNCTION("""COMPUTED_VALUE"""),"")</f>
        <v/>
      </c>
      <c r="X632" s="35" t="str">
        <f>IFERROR(__xludf.DUMMYFUNCTION("""COMPUTED_VALUE"""),"AP")</f>
        <v>AP</v>
      </c>
      <c r="Y632" s="34" t="str">
        <f>IFERROR(__xludf.DUMMYFUNCTION("""COMPUTED_VALUE"""),"")</f>
        <v/>
      </c>
      <c r="Z632" s="35" t="str">
        <f>IFERROR(__xludf.DUMMYFUNCTION("""COMPUTED_VALUE"""),"%")</f>
        <v>%</v>
      </c>
      <c r="AA632" s="36">
        <f>IFERROR(__xludf.DUMMYFUNCTION("""COMPUTED_VALUE"""),3.0)</f>
        <v>3</v>
      </c>
      <c r="AB632" s="37"/>
      <c r="AC632" s="38"/>
      <c r="AD632" s="34" t="str">
        <f>IFERROR(__xludf.DUMMYFUNCTION("""COMPUTED_VALUE"""),"")</f>
        <v/>
      </c>
      <c r="AE632" s="35" t="str">
        <f>IFERROR(__xludf.DUMMYFUNCTION("""COMPUTED_VALUE"""),"AP")</f>
        <v>AP</v>
      </c>
      <c r="AF632" s="34" t="str">
        <f>IFERROR(__xludf.DUMMYFUNCTION("""COMPUTED_VALUE"""),"")</f>
        <v/>
      </c>
      <c r="AG632" s="35" t="str">
        <f>IFERROR(__xludf.DUMMYFUNCTION("""COMPUTED_VALUE"""),"%")</f>
        <v>%</v>
      </c>
      <c r="AH632" s="31"/>
      <c r="AI632" s="32"/>
      <c r="AJ632" s="39"/>
    </row>
    <row r="633" ht="24.75" hidden="1" customHeight="1">
      <c r="A633" s="40">
        <f>IFERROR(__xludf.DUMMYFUNCTION("""COMPUTED_VALUE"""),10.0)</f>
        <v>10</v>
      </c>
      <c r="B633" s="40" t="str">
        <f>IFERROR(__xludf.DUMMYFUNCTION("""COMPUTED_VALUE"""),"A219")</f>
        <v>A219</v>
      </c>
      <c r="C633" s="40"/>
      <c r="D633" s="41"/>
      <c r="E633" s="66"/>
      <c r="F633" s="43"/>
      <c r="G633" s="44"/>
      <c r="H633" s="33" t="str">
        <f>IFERROR(__xludf.DUMMYFUNCTION("""COMPUTED_VALUE""")," ")</f>
        <v> </v>
      </c>
      <c r="I633" s="45"/>
      <c r="J633" s="46" t="str">
        <f>IFERROR(__xludf.DUMMYFUNCTION("""COMPUTED_VALUE"""),"AP")</f>
        <v>AP</v>
      </c>
      <c r="K633" s="47"/>
      <c r="L633" s="48" t="str">
        <f>IFERROR(__xludf.DUMMYFUNCTION("""COMPUTED_VALUE"""),"%")</f>
        <v>%</v>
      </c>
      <c r="M633" s="49">
        <f>IFERROR(__xludf.DUMMYFUNCTION("""COMPUTED_VALUE"""),1.0)</f>
        <v>1</v>
      </c>
      <c r="N633" s="50"/>
      <c r="O633" s="38"/>
      <c r="P633" s="45" t="str">
        <f>IFERROR(__xludf.DUMMYFUNCTION("""COMPUTED_VALUE"""),"")</f>
        <v/>
      </c>
      <c r="Q633" s="46" t="str">
        <f>IFERROR(__xludf.DUMMYFUNCTION("""COMPUTED_VALUE"""),"AP")</f>
        <v>AP</v>
      </c>
      <c r="R633" s="47" t="str">
        <f>IFERROR(__xludf.DUMMYFUNCTION("""COMPUTED_VALUE"""),"")</f>
        <v/>
      </c>
      <c r="S633" s="48" t="str">
        <f>IFERROR(__xludf.DUMMYFUNCTION("""COMPUTED_VALUE"""),"%")</f>
        <v>%</v>
      </c>
      <c r="T633" s="49">
        <f>IFERROR(__xludf.DUMMYFUNCTION("""COMPUTED_VALUE"""),2.0)</f>
        <v>2</v>
      </c>
      <c r="U633" s="50"/>
      <c r="V633" s="38"/>
      <c r="W633" s="45" t="str">
        <f>IFERROR(__xludf.DUMMYFUNCTION("""COMPUTED_VALUE"""),"")</f>
        <v/>
      </c>
      <c r="X633" s="46" t="str">
        <f>IFERROR(__xludf.DUMMYFUNCTION("""COMPUTED_VALUE"""),"AP")</f>
        <v>AP</v>
      </c>
      <c r="Y633" s="47" t="str">
        <f>IFERROR(__xludf.DUMMYFUNCTION("""COMPUTED_VALUE"""),"")</f>
        <v/>
      </c>
      <c r="Z633" s="48" t="str">
        <f>IFERROR(__xludf.DUMMYFUNCTION("""COMPUTED_VALUE"""),"%")</f>
        <v>%</v>
      </c>
      <c r="AA633" s="49">
        <f>IFERROR(__xludf.DUMMYFUNCTION("""COMPUTED_VALUE"""),3.0)</f>
        <v>3</v>
      </c>
      <c r="AB633" s="50"/>
      <c r="AC633" s="38"/>
      <c r="AD633" s="45" t="str">
        <f>IFERROR(__xludf.DUMMYFUNCTION("""COMPUTED_VALUE"""),"")</f>
        <v/>
      </c>
      <c r="AE633" s="46" t="str">
        <f>IFERROR(__xludf.DUMMYFUNCTION("""COMPUTED_VALUE"""),"AP")</f>
        <v>AP</v>
      </c>
      <c r="AF633" s="47" t="str">
        <f>IFERROR(__xludf.DUMMYFUNCTION("""COMPUTED_VALUE"""),"")</f>
        <v/>
      </c>
      <c r="AG633" s="48" t="str">
        <f>IFERROR(__xludf.DUMMYFUNCTION("""COMPUTED_VALUE"""),"%")</f>
        <v>%</v>
      </c>
      <c r="AH633" s="43"/>
      <c r="AI633" s="44"/>
      <c r="AJ633" s="51"/>
    </row>
    <row r="634" ht="24.75" hidden="1" customHeight="1">
      <c r="A634" s="28">
        <f>IFERROR(__xludf.DUMMYFUNCTION("""COMPUTED_VALUE"""),11.0)</f>
        <v>11</v>
      </c>
      <c r="B634" s="28" t="str">
        <f>IFERROR(__xludf.DUMMYFUNCTION("""COMPUTED_VALUE"""),"A219")</f>
        <v>A219</v>
      </c>
      <c r="C634" s="28"/>
      <c r="D634" s="29"/>
      <c r="E634" s="67"/>
      <c r="F634" s="31"/>
      <c r="G634" s="32"/>
      <c r="H634" s="33" t="str">
        <f>IFERROR(__xludf.DUMMYFUNCTION("""COMPUTED_VALUE""")," ")</f>
        <v> </v>
      </c>
      <c r="I634" s="34"/>
      <c r="J634" s="35" t="str">
        <f>IFERROR(__xludf.DUMMYFUNCTION("""COMPUTED_VALUE"""),"AP")</f>
        <v>AP</v>
      </c>
      <c r="K634" s="34"/>
      <c r="L634" s="35" t="str">
        <f>IFERROR(__xludf.DUMMYFUNCTION("""COMPUTED_VALUE"""),"%")</f>
        <v>%</v>
      </c>
      <c r="M634" s="36">
        <f>IFERROR(__xludf.DUMMYFUNCTION("""COMPUTED_VALUE"""),1.0)</f>
        <v>1</v>
      </c>
      <c r="N634" s="37"/>
      <c r="O634" s="38"/>
      <c r="P634" s="34" t="str">
        <f>IFERROR(__xludf.DUMMYFUNCTION("""COMPUTED_VALUE"""),"")</f>
        <v/>
      </c>
      <c r="Q634" s="35" t="str">
        <f>IFERROR(__xludf.DUMMYFUNCTION("""COMPUTED_VALUE"""),"AP")</f>
        <v>AP</v>
      </c>
      <c r="R634" s="34" t="str">
        <f>IFERROR(__xludf.DUMMYFUNCTION("""COMPUTED_VALUE"""),"")</f>
        <v/>
      </c>
      <c r="S634" s="35" t="str">
        <f>IFERROR(__xludf.DUMMYFUNCTION("""COMPUTED_VALUE"""),"%")</f>
        <v>%</v>
      </c>
      <c r="T634" s="36">
        <f>IFERROR(__xludf.DUMMYFUNCTION("""COMPUTED_VALUE"""),2.0)</f>
        <v>2</v>
      </c>
      <c r="U634" s="37"/>
      <c r="V634" s="38"/>
      <c r="W634" s="34" t="str">
        <f>IFERROR(__xludf.DUMMYFUNCTION("""COMPUTED_VALUE"""),"")</f>
        <v/>
      </c>
      <c r="X634" s="35" t="str">
        <f>IFERROR(__xludf.DUMMYFUNCTION("""COMPUTED_VALUE"""),"AP")</f>
        <v>AP</v>
      </c>
      <c r="Y634" s="34" t="str">
        <f>IFERROR(__xludf.DUMMYFUNCTION("""COMPUTED_VALUE"""),"")</f>
        <v/>
      </c>
      <c r="Z634" s="35" t="str">
        <f>IFERROR(__xludf.DUMMYFUNCTION("""COMPUTED_VALUE"""),"%")</f>
        <v>%</v>
      </c>
      <c r="AA634" s="36">
        <f>IFERROR(__xludf.DUMMYFUNCTION("""COMPUTED_VALUE"""),3.0)</f>
        <v>3</v>
      </c>
      <c r="AB634" s="37"/>
      <c r="AC634" s="38"/>
      <c r="AD634" s="34" t="str">
        <f>IFERROR(__xludf.DUMMYFUNCTION("""COMPUTED_VALUE"""),"")</f>
        <v/>
      </c>
      <c r="AE634" s="35" t="str">
        <f>IFERROR(__xludf.DUMMYFUNCTION("""COMPUTED_VALUE"""),"AP")</f>
        <v>AP</v>
      </c>
      <c r="AF634" s="34" t="str">
        <f>IFERROR(__xludf.DUMMYFUNCTION("""COMPUTED_VALUE"""),"")</f>
        <v/>
      </c>
      <c r="AG634" s="35" t="str">
        <f>IFERROR(__xludf.DUMMYFUNCTION("""COMPUTED_VALUE"""),"%")</f>
        <v>%</v>
      </c>
      <c r="AH634" s="31"/>
      <c r="AI634" s="32"/>
      <c r="AJ634" s="39"/>
    </row>
    <row r="635" ht="24.75" hidden="1" customHeight="1">
      <c r="A635" s="40">
        <f>IFERROR(__xludf.DUMMYFUNCTION("""COMPUTED_VALUE"""),12.0)</f>
        <v>12</v>
      </c>
      <c r="B635" s="40" t="str">
        <f>IFERROR(__xludf.DUMMYFUNCTION("""COMPUTED_VALUE"""),"A219")</f>
        <v>A219</v>
      </c>
      <c r="C635" s="40"/>
      <c r="D635" s="41"/>
      <c r="E635" s="66"/>
      <c r="F635" s="43"/>
      <c r="G635" s="44"/>
      <c r="H635" s="33" t="str">
        <f>IFERROR(__xludf.DUMMYFUNCTION("""COMPUTED_VALUE""")," ")</f>
        <v> </v>
      </c>
      <c r="I635" s="45"/>
      <c r="J635" s="46" t="str">
        <f>IFERROR(__xludf.DUMMYFUNCTION("""COMPUTED_VALUE"""),"AP")</f>
        <v>AP</v>
      </c>
      <c r="K635" s="47"/>
      <c r="L635" s="48" t="str">
        <f>IFERROR(__xludf.DUMMYFUNCTION("""COMPUTED_VALUE"""),"%")</f>
        <v>%</v>
      </c>
      <c r="M635" s="49">
        <f>IFERROR(__xludf.DUMMYFUNCTION("""COMPUTED_VALUE"""),1.0)</f>
        <v>1</v>
      </c>
      <c r="N635" s="50"/>
      <c r="O635" s="38"/>
      <c r="P635" s="45" t="str">
        <f>IFERROR(__xludf.DUMMYFUNCTION("""COMPUTED_VALUE"""),"")</f>
        <v/>
      </c>
      <c r="Q635" s="46" t="str">
        <f>IFERROR(__xludf.DUMMYFUNCTION("""COMPUTED_VALUE"""),"AP")</f>
        <v>AP</v>
      </c>
      <c r="R635" s="47" t="str">
        <f>IFERROR(__xludf.DUMMYFUNCTION("""COMPUTED_VALUE"""),"")</f>
        <v/>
      </c>
      <c r="S635" s="48" t="str">
        <f>IFERROR(__xludf.DUMMYFUNCTION("""COMPUTED_VALUE"""),"%")</f>
        <v>%</v>
      </c>
      <c r="T635" s="49">
        <f>IFERROR(__xludf.DUMMYFUNCTION("""COMPUTED_VALUE"""),2.0)</f>
        <v>2</v>
      </c>
      <c r="U635" s="50"/>
      <c r="V635" s="38"/>
      <c r="W635" s="45" t="str">
        <f>IFERROR(__xludf.DUMMYFUNCTION("""COMPUTED_VALUE"""),"")</f>
        <v/>
      </c>
      <c r="X635" s="46" t="str">
        <f>IFERROR(__xludf.DUMMYFUNCTION("""COMPUTED_VALUE"""),"AP")</f>
        <v>AP</v>
      </c>
      <c r="Y635" s="47" t="str">
        <f>IFERROR(__xludf.DUMMYFUNCTION("""COMPUTED_VALUE"""),"")</f>
        <v/>
      </c>
      <c r="Z635" s="48" t="str">
        <f>IFERROR(__xludf.DUMMYFUNCTION("""COMPUTED_VALUE"""),"%")</f>
        <v>%</v>
      </c>
      <c r="AA635" s="49">
        <f>IFERROR(__xludf.DUMMYFUNCTION("""COMPUTED_VALUE"""),3.0)</f>
        <v>3</v>
      </c>
      <c r="AB635" s="50"/>
      <c r="AC635" s="38"/>
      <c r="AD635" s="45" t="str">
        <f>IFERROR(__xludf.DUMMYFUNCTION("""COMPUTED_VALUE"""),"")</f>
        <v/>
      </c>
      <c r="AE635" s="46" t="str">
        <f>IFERROR(__xludf.DUMMYFUNCTION("""COMPUTED_VALUE"""),"AP")</f>
        <v>AP</v>
      </c>
      <c r="AF635" s="47" t="str">
        <f>IFERROR(__xludf.DUMMYFUNCTION("""COMPUTED_VALUE"""),"")</f>
        <v/>
      </c>
      <c r="AG635" s="48" t="str">
        <f>IFERROR(__xludf.DUMMYFUNCTION("""COMPUTED_VALUE"""),"%")</f>
        <v>%</v>
      </c>
      <c r="AH635" s="43"/>
      <c r="AI635" s="44"/>
      <c r="AJ635" s="51"/>
    </row>
    <row r="636" ht="24.75" hidden="1" customHeight="1">
      <c r="A636" s="28">
        <f>IFERROR(__xludf.DUMMYFUNCTION("""COMPUTED_VALUE"""),13.0)</f>
        <v>13</v>
      </c>
      <c r="B636" s="28" t="str">
        <f>IFERROR(__xludf.DUMMYFUNCTION("""COMPUTED_VALUE"""),"A219")</f>
        <v>A219</v>
      </c>
      <c r="C636" s="28"/>
      <c r="D636" s="29"/>
      <c r="E636" s="67"/>
      <c r="F636" s="31"/>
      <c r="G636" s="32"/>
      <c r="H636" s="33" t="str">
        <f>IFERROR(__xludf.DUMMYFUNCTION("""COMPUTED_VALUE""")," ")</f>
        <v> </v>
      </c>
      <c r="I636" s="34"/>
      <c r="J636" s="35" t="str">
        <f>IFERROR(__xludf.DUMMYFUNCTION("""COMPUTED_VALUE"""),"AP")</f>
        <v>AP</v>
      </c>
      <c r="K636" s="34"/>
      <c r="L636" s="35" t="str">
        <f>IFERROR(__xludf.DUMMYFUNCTION("""COMPUTED_VALUE"""),"%")</f>
        <v>%</v>
      </c>
      <c r="M636" s="36">
        <f>IFERROR(__xludf.DUMMYFUNCTION("""COMPUTED_VALUE"""),1.0)</f>
        <v>1</v>
      </c>
      <c r="N636" s="37"/>
      <c r="O636" s="38"/>
      <c r="P636" s="34" t="str">
        <f>IFERROR(__xludf.DUMMYFUNCTION("""COMPUTED_VALUE"""),"")</f>
        <v/>
      </c>
      <c r="Q636" s="35" t="str">
        <f>IFERROR(__xludf.DUMMYFUNCTION("""COMPUTED_VALUE"""),"AP")</f>
        <v>AP</v>
      </c>
      <c r="R636" s="34" t="str">
        <f>IFERROR(__xludf.DUMMYFUNCTION("""COMPUTED_VALUE"""),"")</f>
        <v/>
      </c>
      <c r="S636" s="35" t="str">
        <f>IFERROR(__xludf.DUMMYFUNCTION("""COMPUTED_VALUE"""),"%")</f>
        <v>%</v>
      </c>
      <c r="T636" s="36">
        <f>IFERROR(__xludf.DUMMYFUNCTION("""COMPUTED_VALUE"""),2.0)</f>
        <v>2</v>
      </c>
      <c r="U636" s="37"/>
      <c r="V636" s="38"/>
      <c r="W636" s="34" t="str">
        <f>IFERROR(__xludf.DUMMYFUNCTION("""COMPUTED_VALUE"""),"")</f>
        <v/>
      </c>
      <c r="X636" s="35" t="str">
        <f>IFERROR(__xludf.DUMMYFUNCTION("""COMPUTED_VALUE"""),"AP")</f>
        <v>AP</v>
      </c>
      <c r="Y636" s="34" t="str">
        <f>IFERROR(__xludf.DUMMYFUNCTION("""COMPUTED_VALUE"""),"")</f>
        <v/>
      </c>
      <c r="Z636" s="35" t="str">
        <f>IFERROR(__xludf.DUMMYFUNCTION("""COMPUTED_VALUE"""),"%")</f>
        <v>%</v>
      </c>
      <c r="AA636" s="36">
        <f>IFERROR(__xludf.DUMMYFUNCTION("""COMPUTED_VALUE"""),3.0)</f>
        <v>3</v>
      </c>
      <c r="AB636" s="37"/>
      <c r="AC636" s="38"/>
      <c r="AD636" s="34" t="str">
        <f>IFERROR(__xludf.DUMMYFUNCTION("""COMPUTED_VALUE"""),"")</f>
        <v/>
      </c>
      <c r="AE636" s="35" t="str">
        <f>IFERROR(__xludf.DUMMYFUNCTION("""COMPUTED_VALUE"""),"AP")</f>
        <v>AP</v>
      </c>
      <c r="AF636" s="34" t="str">
        <f>IFERROR(__xludf.DUMMYFUNCTION("""COMPUTED_VALUE"""),"")</f>
        <v/>
      </c>
      <c r="AG636" s="35" t="str">
        <f>IFERROR(__xludf.DUMMYFUNCTION("""COMPUTED_VALUE"""),"%")</f>
        <v>%</v>
      </c>
      <c r="AH636" s="31"/>
      <c r="AI636" s="32"/>
      <c r="AJ636" s="39"/>
    </row>
    <row r="637" ht="24.75" hidden="1" customHeight="1">
      <c r="A637" s="40">
        <f>IFERROR(__xludf.DUMMYFUNCTION("""COMPUTED_VALUE"""),14.0)</f>
        <v>14</v>
      </c>
      <c r="B637" s="40" t="str">
        <f>IFERROR(__xludf.DUMMYFUNCTION("""COMPUTED_VALUE"""),"A219")</f>
        <v>A219</v>
      </c>
      <c r="C637" s="40"/>
      <c r="D637" s="41"/>
      <c r="E637" s="66"/>
      <c r="F637" s="43"/>
      <c r="G637" s="44"/>
      <c r="H637" s="33" t="str">
        <f>IFERROR(__xludf.DUMMYFUNCTION("""COMPUTED_VALUE""")," ")</f>
        <v> </v>
      </c>
      <c r="I637" s="45"/>
      <c r="J637" s="46" t="str">
        <f>IFERROR(__xludf.DUMMYFUNCTION("""COMPUTED_VALUE"""),"AP")</f>
        <v>AP</v>
      </c>
      <c r="K637" s="47"/>
      <c r="L637" s="48" t="str">
        <f>IFERROR(__xludf.DUMMYFUNCTION("""COMPUTED_VALUE"""),"%")</f>
        <v>%</v>
      </c>
      <c r="M637" s="49">
        <f>IFERROR(__xludf.DUMMYFUNCTION("""COMPUTED_VALUE"""),1.0)</f>
        <v>1</v>
      </c>
      <c r="N637" s="50"/>
      <c r="O637" s="38"/>
      <c r="P637" s="45" t="str">
        <f>IFERROR(__xludf.DUMMYFUNCTION("""COMPUTED_VALUE"""),"")</f>
        <v/>
      </c>
      <c r="Q637" s="46" t="str">
        <f>IFERROR(__xludf.DUMMYFUNCTION("""COMPUTED_VALUE"""),"AP")</f>
        <v>AP</v>
      </c>
      <c r="R637" s="47" t="str">
        <f>IFERROR(__xludf.DUMMYFUNCTION("""COMPUTED_VALUE"""),"")</f>
        <v/>
      </c>
      <c r="S637" s="48" t="str">
        <f>IFERROR(__xludf.DUMMYFUNCTION("""COMPUTED_VALUE"""),"%")</f>
        <v>%</v>
      </c>
      <c r="T637" s="49">
        <f>IFERROR(__xludf.DUMMYFUNCTION("""COMPUTED_VALUE"""),2.0)</f>
        <v>2</v>
      </c>
      <c r="U637" s="50"/>
      <c r="V637" s="38"/>
      <c r="W637" s="45" t="str">
        <f>IFERROR(__xludf.DUMMYFUNCTION("""COMPUTED_VALUE"""),"")</f>
        <v/>
      </c>
      <c r="X637" s="46" t="str">
        <f>IFERROR(__xludf.DUMMYFUNCTION("""COMPUTED_VALUE"""),"AP")</f>
        <v>AP</v>
      </c>
      <c r="Y637" s="47" t="str">
        <f>IFERROR(__xludf.DUMMYFUNCTION("""COMPUTED_VALUE"""),"")</f>
        <v/>
      </c>
      <c r="Z637" s="48" t="str">
        <f>IFERROR(__xludf.DUMMYFUNCTION("""COMPUTED_VALUE"""),"%")</f>
        <v>%</v>
      </c>
      <c r="AA637" s="49">
        <f>IFERROR(__xludf.DUMMYFUNCTION("""COMPUTED_VALUE"""),3.0)</f>
        <v>3</v>
      </c>
      <c r="AB637" s="50"/>
      <c r="AC637" s="38"/>
      <c r="AD637" s="45" t="str">
        <f>IFERROR(__xludf.DUMMYFUNCTION("""COMPUTED_VALUE"""),"")</f>
        <v/>
      </c>
      <c r="AE637" s="46" t="str">
        <f>IFERROR(__xludf.DUMMYFUNCTION("""COMPUTED_VALUE"""),"AP")</f>
        <v>AP</v>
      </c>
      <c r="AF637" s="47" t="str">
        <f>IFERROR(__xludf.DUMMYFUNCTION("""COMPUTED_VALUE"""),"")</f>
        <v/>
      </c>
      <c r="AG637" s="48" t="str">
        <f>IFERROR(__xludf.DUMMYFUNCTION("""COMPUTED_VALUE"""),"%")</f>
        <v>%</v>
      </c>
      <c r="AH637" s="43"/>
      <c r="AI637" s="44"/>
      <c r="AJ637" s="51"/>
    </row>
    <row r="638" ht="24.75" hidden="1" customHeight="1">
      <c r="A638" s="28">
        <f>IFERROR(__xludf.DUMMYFUNCTION("""COMPUTED_VALUE"""),15.0)</f>
        <v>15</v>
      </c>
      <c r="B638" s="28" t="str">
        <f>IFERROR(__xludf.DUMMYFUNCTION("""COMPUTED_VALUE"""),"A219")</f>
        <v>A219</v>
      </c>
      <c r="C638" s="28"/>
      <c r="D638" s="29"/>
      <c r="E638" s="67"/>
      <c r="F638" s="31"/>
      <c r="G638" s="32"/>
      <c r="H638" s="33" t="str">
        <f>IFERROR(__xludf.DUMMYFUNCTION("""COMPUTED_VALUE""")," ")</f>
        <v> </v>
      </c>
      <c r="I638" s="34"/>
      <c r="J638" s="35" t="str">
        <f>IFERROR(__xludf.DUMMYFUNCTION("""COMPUTED_VALUE"""),"AP")</f>
        <v>AP</v>
      </c>
      <c r="K638" s="34"/>
      <c r="L638" s="35" t="str">
        <f>IFERROR(__xludf.DUMMYFUNCTION("""COMPUTED_VALUE"""),"%")</f>
        <v>%</v>
      </c>
      <c r="M638" s="36">
        <f>IFERROR(__xludf.DUMMYFUNCTION("""COMPUTED_VALUE"""),1.0)</f>
        <v>1</v>
      </c>
      <c r="N638" s="37"/>
      <c r="O638" s="38"/>
      <c r="P638" s="34" t="str">
        <f>IFERROR(__xludf.DUMMYFUNCTION("""COMPUTED_VALUE"""),"")</f>
        <v/>
      </c>
      <c r="Q638" s="35" t="str">
        <f>IFERROR(__xludf.DUMMYFUNCTION("""COMPUTED_VALUE"""),"AP")</f>
        <v>AP</v>
      </c>
      <c r="R638" s="34" t="str">
        <f>IFERROR(__xludf.DUMMYFUNCTION("""COMPUTED_VALUE"""),"")</f>
        <v/>
      </c>
      <c r="S638" s="35" t="str">
        <f>IFERROR(__xludf.DUMMYFUNCTION("""COMPUTED_VALUE"""),"%")</f>
        <v>%</v>
      </c>
      <c r="T638" s="36">
        <f>IFERROR(__xludf.DUMMYFUNCTION("""COMPUTED_VALUE"""),2.0)</f>
        <v>2</v>
      </c>
      <c r="U638" s="37"/>
      <c r="V638" s="38"/>
      <c r="W638" s="34" t="str">
        <f>IFERROR(__xludf.DUMMYFUNCTION("""COMPUTED_VALUE"""),"")</f>
        <v/>
      </c>
      <c r="X638" s="35" t="str">
        <f>IFERROR(__xludf.DUMMYFUNCTION("""COMPUTED_VALUE"""),"AP")</f>
        <v>AP</v>
      </c>
      <c r="Y638" s="34" t="str">
        <f>IFERROR(__xludf.DUMMYFUNCTION("""COMPUTED_VALUE"""),"")</f>
        <v/>
      </c>
      <c r="Z638" s="35" t="str">
        <f>IFERROR(__xludf.DUMMYFUNCTION("""COMPUTED_VALUE"""),"%")</f>
        <v>%</v>
      </c>
      <c r="AA638" s="36">
        <f>IFERROR(__xludf.DUMMYFUNCTION("""COMPUTED_VALUE"""),3.0)</f>
        <v>3</v>
      </c>
      <c r="AB638" s="37"/>
      <c r="AC638" s="38"/>
      <c r="AD638" s="34" t="str">
        <f>IFERROR(__xludf.DUMMYFUNCTION("""COMPUTED_VALUE"""),"")</f>
        <v/>
      </c>
      <c r="AE638" s="35" t="str">
        <f>IFERROR(__xludf.DUMMYFUNCTION("""COMPUTED_VALUE"""),"AP")</f>
        <v>AP</v>
      </c>
      <c r="AF638" s="34" t="str">
        <f>IFERROR(__xludf.DUMMYFUNCTION("""COMPUTED_VALUE"""),"")</f>
        <v/>
      </c>
      <c r="AG638" s="35" t="str">
        <f>IFERROR(__xludf.DUMMYFUNCTION("""COMPUTED_VALUE"""),"%")</f>
        <v>%</v>
      </c>
      <c r="AH638" s="31"/>
      <c r="AI638" s="32"/>
      <c r="AJ638" s="39"/>
    </row>
    <row r="639" ht="24.75" hidden="1" customHeight="1">
      <c r="A639" s="40">
        <f>IFERROR(__xludf.DUMMYFUNCTION("""COMPUTED_VALUE"""),16.0)</f>
        <v>16</v>
      </c>
      <c r="B639" s="40" t="str">
        <f>IFERROR(__xludf.DUMMYFUNCTION("""COMPUTED_VALUE"""),"A219")</f>
        <v>A219</v>
      </c>
      <c r="C639" s="40"/>
      <c r="D639" s="41"/>
      <c r="E639" s="66"/>
      <c r="F639" s="43"/>
      <c r="G639" s="44"/>
      <c r="H639" s="33" t="str">
        <f>IFERROR(__xludf.DUMMYFUNCTION("""COMPUTED_VALUE""")," ")</f>
        <v> </v>
      </c>
      <c r="I639" s="45"/>
      <c r="J639" s="46" t="str">
        <f>IFERROR(__xludf.DUMMYFUNCTION("""COMPUTED_VALUE"""),"AP")</f>
        <v>AP</v>
      </c>
      <c r="K639" s="47"/>
      <c r="L639" s="48" t="str">
        <f>IFERROR(__xludf.DUMMYFUNCTION("""COMPUTED_VALUE"""),"%")</f>
        <v>%</v>
      </c>
      <c r="M639" s="49">
        <f>IFERROR(__xludf.DUMMYFUNCTION("""COMPUTED_VALUE"""),1.0)</f>
        <v>1</v>
      </c>
      <c r="N639" s="50"/>
      <c r="O639" s="38"/>
      <c r="P639" s="45" t="str">
        <f>IFERROR(__xludf.DUMMYFUNCTION("""COMPUTED_VALUE"""),"")</f>
        <v/>
      </c>
      <c r="Q639" s="46" t="str">
        <f>IFERROR(__xludf.DUMMYFUNCTION("""COMPUTED_VALUE"""),"AP")</f>
        <v>AP</v>
      </c>
      <c r="R639" s="47" t="str">
        <f>IFERROR(__xludf.DUMMYFUNCTION("""COMPUTED_VALUE"""),"")</f>
        <v/>
      </c>
      <c r="S639" s="48" t="str">
        <f>IFERROR(__xludf.DUMMYFUNCTION("""COMPUTED_VALUE"""),"%")</f>
        <v>%</v>
      </c>
      <c r="T639" s="49">
        <f>IFERROR(__xludf.DUMMYFUNCTION("""COMPUTED_VALUE"""),2.0)</f>
        <v>2</v>
      </c>
      <c r="U639" s="50"/>
      <c r="V639" s="38"/>
      <c r="W639" s="45" t="str">
        <f>IFERROR(__xludf.DUMMYFUNCTION("""COMPUTED_VALUE"""),"")</f>
        <v/>
      </c>
      <c r="X639" s="46" t="str">
        <f>IFERROR(__xludf.DUMMYFUNCTION("""COMPUTED_VALUE"""),"AP")</f>
        <v>AP</v>
      </c>
      <c r="Y639" s="47" t="str">
        <f>IFERROR(__xludf.DUMMYFUNCTION("""COMPUTED_VALUE"""),"")</f>
        <v/>
      </c>
      <c r="Z639" s="48" t="str">
        <f>IFERROR(__xludf.DUMMYFUNCTION("""COMPUTED_VALUE"""),"%")</f>
        <v>%</v>
      </c>
      <c r="AA639" s="49">
        <f>IFERROR(__xludf.DUMMYFUNCTION("""COMPUTED_VALUE"""),3.0)</f>
        <v>3</v>
      </c>
      <c r="AB639" s="50"/>
      <c r="AC639" s="38"/>
      <c r="AD639" s="45" t="str">
        <f>IFERROR(__xludf.DUMMYFUNCTION("""COMPUTED_VALUE"""),"")</f>
        <v/>
      </c>
      <c r="AE639" s="46" t="str">
        <f>IFERROR(__xludf.DUMMYFUNCTION("""COMPUTED_VALUE"""),"AP")</f>
        <v>AP</v>
      </c>
      <c r="AF639" s="47" t="str">
        <f>IFERROR(__xludf.DUMMYFUNCTION("""COMPUTED_VALUE"""),"")</f>
        <v/>
      </c>
      <c r="AG639" s="48" t="str">
        <f>IFERROR(__xludf.DUMMYFUNCTION("""COMPUTED_VALUE"""),"%")</f>
        <v>%</v>
      </c>
      <c r="AH639" s="43"/>
      <c r="AI639" s="44"/>
      <c r="AJ639" s="51"/>
    </row>
    <row r="640" ht="24.75" hidden="1" customHeight="1">
      <c r="A640" s="28">
        <f>IFERROR(__xludf.DUMMYFUNCTION("""COMPUTED_VALUE"""),17.0)</f>
        <v>17</v>
      </c>
      <c r="B640" s="28" t="str">
        <f>IFERROR(__xludf.DUMMYFUNCTION("""COMPUTED_VALUE"""),"A219")</f>
        <v>A219</v>
      </c>
      <c r="C640" s="28"/>
      <c r="D640" s="29"/>
      <c r="E640" s="67"/>
      <c r="F640" s="31"/>
      <c r="G640" s="32"/>
      <c r="H640" s="33" t="str">
        <f>IFERROR(__xludf.DUMMYFUNCTION("""COMPUTED_VALUE""")," ")</f>
        <v> </v>
      </c>
      <c r="I640" s="34"/>
      <c r="J640" s="35" t="str">
        <f>IFERROR(__xludf.DUMMYFUNCTION("""COMPUTED_VALUE"""),"AP")</f>
        <v>AP</v>
      </c>
      <c r="K640" s="34"/>
      <c r="L640" s="35" t="str">
        <f>IFERROR(__xludf.DUMMYFUNCTION("""COMPUTED_VALUE"""),"%")</f>
        <v>%</v>
      </c>
      <c r="M640" s="36">
        <f>IFERROR(__xludf.DUMMYFUNCTION("""COMPUTED_VALUE"""),1.0)</f>
        <v>1</v>
      </c>
      <c r="N640" s="37"/>
      <c r="O640" s="38"/>
      <c r="P640" s="34" t="str">
        <f>IFERROR(__xludf.DUMMYFUNCTION("""COMPUTED_VALUE"""),"")</f>
        <v/>
      </c>
      <c r="Q640" s="35" t="str">
        <f>IFERROR(__xludf.DUMMYFUNCTION("""COMPUTED_VALUE"""),"AP")</f>
        <v>AP</v>
      </c>
      <c r="R640" s="34" t="str">
        <f>IFERROR(__xludf.DUMMYFUNCTION("""COMPUTED_VALUE"""),"")</f>
        <v/>
      </c>
      <c r="S640" s="35" t="str">
        <f>IFERROR(__xludf.DUMMYFUNCTION("""COMPUTED_VALUE"""),"%")</f>
        <v>%</v>
      </c>
      <c r="T640" s="36">
        <f>IFERROR(__xludf.DUMMYFUNCTION("""COMPUTED_VALUE"""),2.0)</f>
        <v>2</v>
      </c>
      <c r="U640" s="37"/>
      <c r="V640" s="38"/>
      <c r="W640" s="34" t="str">
        <f>IFERROR(__xludf.DUMMYFUNCTION("""COMPUTED_VALUE"""),"")</f>
        <v/>
      </c>
      <c r="X640" s="35" t="str">
        <f>IFERROR(__xludf.DUMMYFUNCTION("""COMPUTED_VALUE"""),"AP")</f>
        <v>AP</v>
      </c>
      <c r="Y640" s="34" t="str">
        <f>IFERROR(__xludf.DUMMYFUNCTION("""COMPUTED_VALUE"""),"")</f>
        <v/>
      </c>
      <c r="Z640" s="35" t="str">
        <f>IFERROR(__xludf.DUMMYFUNCTION("""COMPUTED_VALUE"""),"%")</f>
        <v>%</v>
      </c>
      <c r="AA640" s="36">
        <f>IFERROR(__xludf.DUMMYFUNCTION("""COMPUTED_VALUE"""),3.0)</f>
        <v>3</v>
      </c>
      <c r="AB640" s="37"/>
      <c r="AC640" s="38"/>
      <c r="AD640" s="34" t="str">
        <f>IFERROR(__xludf.DUMMYFUNCTION("""COMPUTED_VALUE"""),"")</f>
        <v/>
      </c>
      <c r="AE640" s="35" t="str">
        <f>IFERROR(__xludf.DUMMYFUNCTION("""COMPUTED_VALUE"""),"AP")</f>
        <v>AP</v>
      </c>
      <c r="AF640" s="34" t="str">
        <f>IFERROR(__xludf.DUMMYFUNCTION("""COMPUTED_VALUE"""),"")</f>
        <v/>
      </c>
      <c r="AG640" s="35" t="str">
        <f>IFERROR(__xludf.DUMMYFUNCTION("""COMPUTED_VALUE"""),"%")</f>
        <v>%</v>
      </c>
      <c r="AH640" s="31"/>
      <c r="AI640" s="32"/>
      <c r="AJ640" s="39"/>
    </row>
    <row r="641" ht="24.75" hidden="1" customHeight="1">
      <c r="A641" s="40">
        <f>IFERROR(__xludf.DUMMYFUNCTION("""COMPUTED_VALUE"""),18.0)</f>
        <v>18</v>
      </c>
      <c r="B641" s="40" t="str">
        <f>IFERROR(__xludf.DUMMYFUNCTION("""COMPUTED_VALUE"""),"A219")</f>
        <v>A219</v>
      </c>
      <c r="C641" s="40"/>
      <c r="D641" s="41"/>
      <c r="E641" s="66"/>
      <c r="F641" s="43"/>
      <c r="G641" s="44"/>
      <c r="H641" s="33" t="str">
        <f>IFERROR(__xludf.DUMMYFUNCTION("""COMPUTED_VALUE""")," ")</f>
        <v> </v>
      </c>
      <c r="I641" s="45"/>
      <c r="J641" s="46" t="str">
        <f>IFERROR(__xludf.DUMMYFUNCTION("""COMPUTED_VALUE"""),"AP")</f>
        <v>AP</v>
      </c>
      <c r="K641" s="47"/>
      <c r="L641" s="48" t="str">
        <f>IFERROR(__xludf.DUMMYFUNCTION("""COMPUTED_VALUE"""),"%")</f>
        <v>%</v>
      </c>
      <c r="M641" s="49">
        <f>IFERROR(__xludf.DUMMYFUNCTION("""COMPUTED_VALUE"""),1.0)</f>
        <v>1</v>
      </c>
      <c r="N641" s="50"/>
      <c r="O641" s="38"/>
      <c r="P641" s="45" t="str">
        <f>IFERROR(__xludf.DUMMYFUNCTION("""COMPUTED_VALUE"""),"")</f>
        <v/>
      </c>
      <c r="Q641" s="46" t="str">
        <f>IFERROR(__xludf.DUMMYFUNCTION("""COMPUTED_VALUE"""),"AP")</f>
        <v>AP</v>
      </c>
      <c r="R641" s="47" t="str">
        <f>IFERROR(__xludf.DUMMYFUNCTION("""COMPUTED_VALUE"""),"")</f>
        <v/>
      </c>
      <c r="S641" s="48" t="str">
        <f>IFERROR(__xludf.DUMMYFUNCTION("""COMPUTED_VALUE"""),"%")</f>
        <v>%</v>
      </c>
      <c r="T641" s="49">
        <f>IFERROR(__xludf.DUMMYFUNCTION("""COMPUTED_VALUE"""),2.0)</f>
        <v>2</v>
      </c>
      <c r="U641" s="50"/>
      <c r="V641" s="38"/>
      <c r="W641" s="45" t="str">
        <f>IFERROR(__xludf.DUMMYFUNCTION("""COMPUTED_VALUE"""),"")</f>
        <v/>
      </c>
      <c r="X641" s="46" t="str">
        <f>IFERROR(__xludf.DUMMYFUNCTION("""COMPUTED_VALUE"""),"AP")</f>
        <v>AP</v>
      </c>
      <c r="Y641" s="47" t="str">
        <f>IFERROR(__xludf.DUMMYFUNCTION("""COMPUTED_VALUE"""),"")</f>
        <v/>
      </c>
      <c r="Z641" s="48" t="str">
        <f>IFERROR(__xludf.DUMMYFUNCTION("""COMPUTED_VALUE"""),"%")</f>
        <v>%</v>
      </c>
      <c r="AA641" s="49">
        <f>IFERROR(__xludf.DUMMYFUNCTION("""COMPUTED_VALUE"""),3.0)</f>
        <v>3</v>
      </c>
      <c r="AB641" s="50"/>
      <c r="AC641" s="38"/>
      <c r="AD641" s="45" t="str">
        <f>IFERROR(__xludf.DUMMYFUNCTION("""COMPUTED_VALUE"""),"")</f>
        <v/>
      </c>
      <c r="AE641" s="46" t="str">
        <f>IFERROR(__xludf.DUMMYFUNCTION("""COMPUTED_VALUE"""),"AP")</f>
        <v>AP</v>
      </c>
      <c r="AF641" s="47" t="str">
        <f>IFERROR(__xludf.DUMMYFUNCTION("""COMPUTED_VALUE"""),"")</f>
        <v/>
      </c>
      <c r="AG641" s="48" t="str">
        <f>IFERROR(__xludf.DUMMYFUNCTION("""COMPUTED_VALUE"""),"%")</f>
        <v>%</v>
      </c>
      <c r="AH641" s="43"/>
      <c r="AI641" s="44"/>
      <c r="AJ641" s="51"/>
    </row>
    <row r="642" ht="24.75" hidden="1" customHeight="1">
      <c r="A642" s="28">
        <f>IFERROR(__xludf.DUMMYFUNCTION("""COMPUTED_VALUE"""),19.0)</f>
        <v>19</v>
      </c>
      <c r="B642" s="28" t="str">
        <f>IFERROR(__xludf.DUMMYFUNCTION("""COMPUTED_VALUE"""),"A219")</f>
        <v>A219</v>
      </c>
      <c r="C642" s="28"/>
      <c r="D642" s="29"/>
      <c r="E642" s="67"/>
      <c r="F642" s="31"/>
      <c r="G642" s="32"/>
      <c r="H642" s="33" t="str">
        <f>IFERROR(__xludf.DUMMYFUNCTION("""COMPUTED_VALUE""")," ")</f>
        <v> </v>
      </c>
      <c r="I642" s="34"/>
      <c r="J642" s="35" t="str">
        <f>IFERROR(__xludf.DUMMYFUNCTION("""COMPUTED_VALUE"""),"AP")</f>
        <v>AP</v>
      </c>
      <c r="K642" s="34"/>
      <c r="L642" s="35" t="str">
        <f>IFERROR(__xludf.DUMMYFUNCTION("""COMPUTED_VALUE"""),"%")</f>
        <v>%</v>
      </c>
      <c r="M642" s="36">
        <f>IFERROR(__xludf.DUMMYFUNCTION("""COMPUTED_VALUE"""),1.0)</f>
        <v>1</v>
      </c>
      <c r="N642" s="37"/>
      <c r="O642" s="38"/>
      <c r="P642" s="34" t="str">
        <f>IFERROR(__xludf.DUMMYFUNCTION("""COMPUTED_VALUE"""),"")</f>
        <v/>
      </c>
      <c r="Q642" s="35" t="str">
        <f>IFERROR(__xludf.DUMMYFUNCTION("""COMPUTED_VALUE"""),"AP")</f>
        <v>AP</v>
      </c>
      <c r="R642" s="34" t="str">
        <f>IFERROR(__xludf.DUMMYFUNCTION("""COMPUTED_VALUE"""),"")</f>
        <v/>
      </c>
      <c r="S642" s="35" t="str">
        <f>IFERROR(__xludf.DUMMYFUNCTION("""COMPUTED_VALUE"""),"%")</f>
        <v>%</v>
      </c>
      <c r="T642" s="36">
        <f>IFERROR(__xludf.DUMMYFUNCTION("""COMPUTED_VALUE"""),2.0)</f>
        <v>2</v>
      </c>
      <c r="U642" s="37"/>
      <c r="V642" s="38"/>
      <c r="W642" s="34" t="str">
        <f>IFERROR(__xludf.DUMMYFUNCTION("""COMPUTED_VALUE"""),"")</f>
        <v/>
      </c>
      <c r="X642" s="35" t="str">
        <f>IFERROR(__xludf.DUMMYFUNCTION("""COMPUTED_VALUE"""),"AP")</f>
        <v>AP</v>
      </c>
      <c r="Y642" s="34" t="str">
        <f>IFERROR(__xludf.DUMMYFUNCTION("""COMPUTED_VALUE"""),"")</f>
        <v/>
      </c>
      <c r="Z642" s="35" t="str">
        <f>IFERROR(__xludf.DUMMYFUNCTION("""COMPUTED_VALUE"""),"%")</f>
        <v>%</v>
      </c>
      <c r="AA642" s="36">
        <f>IFERROR(__xludf.DUMMYFUNCTION("""COMPUTED_VALUE"""),3.0)</f>
        <v>3</v>
      </c>
      <c r="AB642" s="37"/>
      <c r="AC642" s="38"/>
      <c r="AD642" s="34" t="str">
        <f>IFERROR(__xludf.DUMMYFUNCTION("""COMPUTED_VALUE"""),"")</f>
        <v/>
      </c>
      <c r="AE642" s="35" t="str">
        <f>IFERROR(__xludf.DUMMYFUNCTION("""COMPUTED_VALUE"""),"AP")</f>
        <v>AP</v>
      </c>
      <c r="AF642" s="34" t="str">
        <f>IFERROR(__xludf.DUMMYFUNCTION("""COMPUTED_VALUE"""),"")</f>
        <v/>
      </c>
      <c r="AG642" s="35" t="str">
        <f>IFERROR(__xludf.DUMMYFUNCTION("""COMPUTED_VALUE"""),"%")</f>
        <v>%</v>
      </c>
      <c r="AH642" s="31"/>
      <c r="AI642" s="32"/>
      <c r="AJ642" s="39"/>
    </row>
    <row r="643" ht="24.75" hidden="1" customHeight="1">
      <c r="A643" s="40">
        <f>IFERROR(__xludf.DUMMYFUNCTION("""COMPUTED_VALUE"""),20.0)</f>
        <v>20</v>
      </c>
      <c r="B643" s="40" t="str">
        <f>IFERROR(__xludf.DUMMYFUNCTION("""COMPUTED_VALUE"""),"A219")</f>
        <v>A219</v>
      </c>
      <c r="C643" s="40"/>
      <c r="D643" s="41"/>
      <c r="E643" s="66"/>
      <c r="F643" s="43"/>
      <c r="G643" s="44"/>
      <c r="H643" s="33" t="str">
        <f>IFERROR(__xludf.DUMMYFUNCTION("""COMPUTED_VALUE""")," ")</f>
        <v> </v>
      </c>
      <c r="I643" s="45"/>
      <c r="J643" s="46" t="str">
        <f>IFERROR(__xludf.DUMMYFUNCTION("""COMPUTED_VALUE"""),"AP")</f>
        <v>AP</v>
      </c>
      <c r="K643" s="47"/>
      <c r="L643" s="48" t="str">
        <f>IFERROR(__xludf.DUMMYFUNCTION("""COMPUTED_VALUE"""),"%")</f>
        <v>%</v>
      </c>
      <c r="M643" s="49">
        <f>IFERROR(__xludf.DUMMYFUNCTION("""COMPUTED_VALUE"""),1.0)</f>
        <v>1</v>
      </c>
      <c r="N643" s="50"/>
      <c r="O643" s="38"/>
      <c r="P643" s="45" t="str">
        <f>IFERROR(__xludf.DUMMYFUNCTION("""COMPUTED_VALUE"""),"")</f>
        <v/>
      </c>
      <c r="Q643" s="46" t="str">
        <f>IFERROR(__xludf.DUMMYFUNCTION("""COMPUTED_VALUE"""),"AP")</f>
        <v>AP</v>
      </c>
      <c r="R643" s="47" t="str">
        <f>IFERROR(__xludf.DUMMYFUNCTION("""COMPUTED_VALUE"""),"")</f>
        <v/>
      </c>
      <c r="S643" s="48" t="str">
        <f>IFERROR(__xludf.DUMMYFUNCTION("""COMPUTED_VALUE"""),"%")</f>
        <v>%</v>
      </c>
      <c r="T643" s="49">
        <f>IFERROR(__xludf.DUMMYFUNCTION("""COMPUTED_VALUE"""),2.0)</f>
        <v>2</v>
      </c>
      <c r="U643" s="50"/>
      <c r="V643" s="38"/>
      <c r="W643" s="45" t="str">
        <f>IFERROR(__xludf.DUMMYFUNCTION("""COMPUTED_VALUE"""),"")</f>
        <v/>
      </c>
      <c r="X643" s="46" t="str">
        <f>IFERROR(__xludf.DUMMYFUNCTION("""COMPUTED_VALUE"""),"AP")</f>
        <v>AP</v>
      </c>
      <c r="Y643" s="47" t="str">
        <f>IFERROR(__xludf.DUMMYFUNCTION("""COMPUTED_VALUE"""),"")</f>
        <v/>
      </c>
      <c r="Z643" s="48" t="str">
        <f>IFERROR(__xludf.DUMMYFUNCTION("""COMPUTED_VALUE"""),"%")</f>
        <v>%</v>
      </c>
      <c r="AA643" s="49">
        <f>IFERROR(__xludf.DUMMYFUNCTION("""COMPUTED_VALUE"""),3.0)</f>
        <v>3</v>
      </c>
      <c r="AB643" s="50"/>
      <c r="AC643" s="38"/>
      <c r="AD643" s="45" t="str">
        <f>IFERROR(__xludf.DUMMYFUNCTION("""COMPUTED_VALUE"""),"")</f>
        <v/>
      </c>
      <c r="AE643" s="46" t="str">
        <f>IFERROR(__xludf.DUMMYFUNCTION("""COMPUTED_VALUE"""),"AP")</f>
        <v>AP</v>
      </c>
      <c r="AF643" s="47" t="str">
        <f>IFERROR(__xludf.DUMMYFUNCTION("""COMPUTED_VALUE"""),"")</f>
        <v/>
      </c>
      <c r="AG643" s="48" t="str">
        <f>IFERROR(__xludf.DUMMYFUNCTION("""COMPUTED_VALUE"""),"%")</f>
        <v>%</v>
      </c>
      <c r="AH643" s="43"/>
      <c r="AI643" s="44"/>
      <c r="AJ643" s="51"/>
    </row>
    <row r="644">
      <c r="A644" s="52"/>
      <c r="B644" s="53"/>
      <c r="C644" s="54"/>
      <c r="D644" s="55"/>
      <c r="E644" s="56"/>
      <c r="F644" s="53"/>
      <c r="G644" s="53"/>
      <c r="H644" s="53"/>
      <c r="I644" s="53"/>
      <c r="J644" s="57"/>
      <c r="K644" s="53"/>
      <c r="L644" s="57"/>
      <c r="M644" s="53"/>
      <c r="N644" s="53"/>
      <c r="O644" s="53"/>
      <c r="P644" s="53"/>
      <c r="Q644" s="57"/>
      <c r="R644" s="53"/>
      <c r="S644" s="57"/>
      <c r="T644" s="53"/>
      <c r="U644" s="53"/>
      <c r="V644" s="53"/>
      <c r="W644" s="53"/>
      <c r="X644" s="57"/>
      <c r="Y644" s="53"/>
      <c r="Z644" s="57"/>
      <c r="AA644" s="53"/>
      <c r="AB644" s="53"/>
      <c r="AC644" s="53"/>
      <c r="AD644" s="53"/>
      <c r="AE644" s="57"/>
      <c r="AF644" s="53"/>
      <c r="AG644" s="57"/>
      <c r="AH644" s="53"/>
      <c r="AI644" s="53"/>
      <c r="AJ644" s="58"/>
    </row>
    <row r="645">
      <c r="A645" s="59"/>
      <c r="B645" s="60"/>
      <c r="C645" s="61"/>
      <c r="D645" s="62"/>
      <c r="E645" s="63"/>
      <c r="F645" s="60"/>
      <c r="G645" s="60"/>
      <c r="H645" s="60"/>
      <c r="I645" s="60"/>
      <c r="J645" s="64"/>
      <c r="K645" s="60"/>
      <c r="L645" s="64"/>
      <c r="M645" s="60"/>
      <c r="N645" s="60"/>
      <c r="O645" s="60"/>
      <c r="P645" s="60"/>
      <c r="Q645" s="64"/>
      <c r="R645" s="60"/>
      <c r="S645" s="64"/>
      <c r="T645" s="60"/>
      <c r="U645" s="60"/>
      <c r="V645" s="60"/>
      <c r="W645" s="60"/>
      <c r="X645" s="64"/>
      <c r="Y645" s="60"/>
      <c r="Z645" s="64"/>
      <c r="AA645" s="60"/>
      <c r="AB645" s="60"/>
      <c r="AC645" s="60"/>
      <c r="AD645" s="60"/>
      <c r="AE645" s="64"/>
      <c r="AF645" s="60"/>
      <c r="AG645" s="64"/>
      <c r="AH645" s="60"/>
      <c r="AI645" s="60"/>
      <c r="AJ645" s="65"/>
    </row>
    <row r="646" ht="33.0" customHeight="1">
      <c r="A646" s="20" t="str">
        <f>IFERROR(__xludf.DUMMYFUNCTION("""COMPUTED_VALUE""")," ")</f>
        <v> </v>
      </c>
      <c r="B646" s="21" t="str">
        <f>IFERROR(__xludf.DUMMYFUNCTION("""COMPUTED_VALUE"""),"A220")</f>
        <v>A220</v>
      </c>
      <c r="C646" s="20"/>
      <c r="D646" s="22" t="str">
        <f>IFERROR(__xludf.DUMMYFUNCTION("""COMPUTED_VALUE"""),"")</f>
        <v/>
      </c>
      <c r="E646" s="23" t="str">
        <f>IFERROR(__xludf.DUMMYFUNCTION("""COMPUTED_VALUE"""),"Rainbow Thread Ball")</f>
        <v>Rainbow Thread Ball</v>
      </c>
      <c r="F646" s="24"/>
      <c r="G646" s="24"/>
      <c r="H646" s="25"/>
      <c r="I646" s="25"/>
      <c r="J646" s="26"/>
      <c r="K646" s="25"/>
      <c r="L646" s="26"/>
      <c r="M646" s="25"/>
      <c r="N646" s="25"/>
      <c r="O646" s="25"/>
      <c r="P646" s="25"/>
      <c r="Q646" s="26"/>
      <c r="R646" s="25"/>
      <c r="S646" s="26"/>
      <c r="T646" s="25"/>
      <c r="U646" s="25"/>
      <c r="V646" s="25"/>
      <c r="W646" s="25"/>
      <c r="X646" s="26"/>
      <c r="Y646" s="25"/>
      <c r="Z646" s="26"/>
      <c r="AA646" s="25"/>
      <c r="AB646" s="25"/>
      <c r="AC646" s="25"/>
      <c r="AD646" s="25"/>
      <c r="AE646" s="26"/>
      <c r="AF646" s="25"/>
      <c r="AG646" s="26"/>
      <c r="AH646" s="24"/>
      <c r="AI646" s="25"/>
      <c r="AJ646" s="27"/>
    </row>
    <row r="647" ht="24.75" customHeight="1">
      <c r="A647" s="28">
        <f>IFERROR(__xludf.DUMMYFUNCTION("""COMPUTED_VALUE"""),1.0)</f>
        <v>1</v>
      </c>
      <c r="B647" s="28" t="str">
        <f>IFERROR(__xludf.DUMMYFUNCTION("""COMPUTED_VALUE"""),"A220")</f>
        <v>A220</v>
      </c>
      <c r="C647" s="28" t="str">
        <f>IFERROR(__xludf.DUMMYFUNCTION("""COMPUTED_VALUE"""),"HEA11")</f>
        <v>HEA11</v>
      </c>
      <c r="D647" s="29" t="str">
        <f>IFERROR(__xludf.DUMMYFUNCTION("""COMPUTED_VALUE"""),"Heian-kyo")</f>
        <v>Heian-kyo</v>
      </c>
      <c r="E647" s="30" t="str">
        <f>IFERROR(__xludf.DUMMYFUNCTION("""COMPUTED_VALUE"""),"Gojō Bridge")</f>
        <v>Gojō Bridge</v>
      </c>
      <c r="F647" s="31">
        <f>IFERROR(__xludf.DUMMYFUNCTION("""COMPUTED_VALUE"""),21.0)</f>
        <v>21</v>
      </c>
      <c r="G647" s="32">
        <f>IFERROR(__xludf.DUMMYFUNCTION("""COMPUTED_VALUE"""),1522.0)</f>
        <v>1522</v>
      </c>
      <c r="H647" s="33" t="str">
        <f>IFERROR(__xludf.DUMMYFUNCTION("""COMPUTED_VALUE"""),"")</f>
        <v/>
      </c>
      <c r="I647" s="34">
        <f>IFERROR(__xludf.DUMMYFUNCTION("""COMPUTED_VALUE"""),52.2)</f>
        <v>52.2</v>
      </c>
      <c r="J647" s="35" t="str">
        <f>IFERROR(__xludf.DUMMYFUNCTION("""COMPUTED_VALUE"""),"AP")</f>
        <v>AP</v>
      </c>
      <c r="K647" s="34">
        <f>IFERROR(__xludf.DUMMYFUNCTION("""COMPUTED_VALUE"""),40.2)</f>
        <v>40.2</v>
      </c>
      <c r="L647" s="35" t="str">
        <f>IFERROR(__xludf.DUMMYFUNCTION("""COMPUTED_VALUE"""),"%")</f>
        <v>%</v>
      </c>
      <c r="M647" s="36">
        <f>IFERROR(__xludf.DUMMYFUNCTION("""COMPUTED_VALUE"""),1.0)</f>
        <v>1</v>
      </c>
      <c r="N647" s="37" t="str">
        <f>IFERROR(__xludf.DUMMYFUNCTION("""COMPUTED_VALUE"""),"B113")</f>
        <v>B113</v>
      </c>
      <c r="O647" s="38" t="str">
        <f>IFERROR(__xludf.DUMMYFUNCTION("""COMPUTED_VALUE"""),"")</f>
        <v/>
      </c>
      <c r="P647" s="34">
        <f>IFERROR(__xludf.DUMMYFUNCTION("""COMPUTED_VALUE"""),46.4)</f>
        <v>46.4</v>
      </c>
      <c r="Q647" s="35" t="str">
        <f>IFERROR(__xludf.DUMMYFUNCTION("""COMPUTED_VALUE"""),"AP")</f>
        <v>AP</v>
      </c>
      <c r="R647" s="34">
        <f>IFERROR(__xludf.DUMMYFUNCTION("""COMPUTED_VALUE"""),45.2)</f>
        <v>45.2</v>
      </c>
      <c r="S647" s="35" t="str">
        <f>IFERROR(__xludf.DUMMYFUNCTION("""COMPUTED_VALUE"""),"%")</f>
        <v>%</v>
      </c>
      <c r="T647" s="36">
        <f>IFERROR(__xludf.DUMMYFUNCTION("""COMPUTED_VALUE"""),2.0)</f>
        <v>2</v>
      </c>
      <c r="U647" s="37"/>
      <c r="V647" s="38"/>
      <c r="W647" s="34" t="str">
        <f>IFERROR(__xludf.DUMMYFUNCTION("""COMPUTED_VALUE"""),"")</f>
        <v/>
      </c>
      <c r="X647" s="35" t="str">
        <f>IFERROR(__xludf.DUMMYFUNCTION("""COMPUTED_VALUE"""),"AP")</f>
        <v>AP</v>
      </c>
      <c r="Y647" s="34" t="str">
        <f>IFERROR(__xludf.DUMMYFUNCTION("""COMPUTED_VALUE"""),"")</f>
        <v/>
      </c>
      <c r="Z647" s="35" t="str">
        <f>IFERROR(__xludf.DUMMYFUNCTION("""COMPUTED_VALUE"""),"%")</f>
        <v>%</v>
      </c>
      <c r="AA647" s="36">
        <f>IFERROR(__xludf.DUMMYFUNCTION("""COMPUTED_VALUE"""),3.0)</f>
        <v>3</v>
      </c>
      <c r="AB647" s="37"/>
      <c r="AC647" s="38"/>
      <c r="AD647" s="34" t="str">
        <f>IFERROR(__xludf.DUMMYFUNCTION("""COMPUTED_VALUE"""),"")</f>
        <v/>
      </c>
      <c r="AE647" s="35" t="str">
        <f>IFERROR(__xludf.DUMMYFUNCTION("""COMPUTED_VALUE"""),"AP")</f>
        <v>AP</v>
      </c>
      <c r="AF647" s="34" t="str">
        <f>IFERROR(__xludf.DUMMYFUNCTION("""COMPUTED_VALUE"""),"")</f>
        <v/>
      </c>
      <c r="AG647" s="35" t="str">
        <f>IFERROR(__xludf.DUMMYFUNCTION("""COMPUTED_VALUE"""),"%")</f>
        <v>%</v>
      </c>
      <c r="AH647" s="31">
        <f>IFERROR(__xludf.DUMMYFUNCTION("""COMPUTED_VALUE"""),21.0)</f>
        <v>21</v>
      </c>
      <c r="AI647" s="32">
        <f>IFERROR(__xludf.DUMMYFUNCTION("""COMPUTED_VALUE"""),1522.0)</f>
        <v>1522</v>
      </c>
      <c r="AJ647" s="39" t="str">
        <f>IFERROR(__xludf.DUMMYFUNCTION("""COMPUTED_VALUE"""),"五条の橋")</f>
        <v>五条の橋</v>
      </c>
    </row>
    <row r="648" ht="24.75" customHeight="1">
      <c r="A648" s="40">
        <f>IFERROR(__xludf.DUMMYFUNCTION("""COMPUTED_VALUE"""),2.0)</f>
        <v>2</v>
      </c>
      <c r="B648" s="40" t="str">
        <f>IFERROR(__xludf.DUMMYFUNCTION("""COMPUTED_VALUE"""),"A220")</f>
        <v>A220</v>
      </c>
      <c r="C648" s="40" t="str">
        <f>IFERROR(__xludf.DUMMYFUNCTION("""COMPUTED_VALUE"""),"HEA7")</f>
        <v>HEA7</v>
      </c>
      <c r="D648" s="41" t="str">
        <f>IFERROR(__xludf.DUMMYFUNCTION("""COMPUTED_VALUE"""),"Heian-kyo")</f>
        <v>Heian-kyo</v>
      </c>
      <c r="E648" s="42" t="str">
        <f>IFERROR(__xludf.DUMMYFUNCTION("""COMPUTED_VALUE"""),"Suzaku Main Street")</f>
        <v>Suzaku Main Street</v>
      </c>
      <c r="F648" s="43">
        <f>IFERROR(__xludf.DUMMYFUNCTION("""COMPUTED_VALUE"""),21.0)</f>
        <v>21</v>
      </c>
      <c r="G648" s="44">
        <f>IFERROR(__xludf.DUMMYFUNCTION("""COMPUTED_VALUE"""),1655.0)</f>
        <v>1655</v>
      </c>
      <c r="H648" s="33" t="str">
        <f>IFERROR(__xludf.DUMMYFUNCTION("""COMPUTED_VALUE"""),"")</f>
        <v/>
      </c>
      <c r="I648" s="45">
        <f>IFERROR(__xludf.DUMMYFUNCTION("""COMPUTED_VALUE"""),81.6)</f>
        <v>81.6</v>
      </c>
      <c r="J648" s="46" t="str">
        <f>IFERROR(__xludf.DUMMYFUNCTION("""COMPUTED_VALUE"""),"AP")</f>
        <v>AP</v>
      </c>
      <c r="K648" s="47">
        <f>IFERROR(__xludf.DUMMYFUNCTION("""COMPUTED_VALUE"""),25.7)</f>
        <v>25.7</v>
      </c>
      <c r="L648" s="48" t="str">
        <f>IFERROR(__xludf.DUMMYFUNCTION("""COMPUTED_VALUE"""),"%")</f>
        <v>%</v>
      </c>
      <c r="M648" s="49">
        <f>IFERROR(__xludf.DUMMYFUNCTION("""COMPUTED_VALUE"""),1.0)</f>
        <v>1</v>
      </c>
      <c r="N648" s="50" t="str">
        <f>IFERROR(__xludf.DUMMYFUNCTION("""COMPUTED_VALUE"""),"A202")</f>
        <v>A202</v>
      </c>
      <c r="O648" s="38" t="str">
        <f>IFERROR(__xludf.DUMMYFUNCTION("""COMPUTED_VALUE"""),"")</f>
        <v/>
      </c>
      <c r="P648" s="45">
        <f>IFERROR(__xludf.DUMMYFUNCTION("""COMPUTED_VALUE"""),80.0)</f>
        <v>80</v>
      </c>
      <c r="Q648" s="46" t="str">
        <f>IFERROR(__xludf.DUMMYFUNCTION("""COMPUTED_VALUE"""),"AP")</f>
        <v>AP</v>
      </c>
      <c r="R648" s="47">
        <f>IFERROR(__xludf.DUMMYFUNCTION("""COMPUTED_VALUE"""),26.3)</f>
        <v>26.3</v>
      </c>
      <c r="S648" s="48" t="str">
        <f>IFERROR(__xludf.DUMMYFUNCTION("""COMPUTED_VALUE"""),"%")</f>
        <v>%</v>
      </c>
      <c r="T648" s="49">
        <f>IFERROR(__xludf.DUMMYFUNCTION("""COMPUTED_VALUE"""),2.0)</f>
        <v>2</v>
      </c>
      <c r="U648" s="50" t="str">
        <f>IFERROR(__xludf.DUMMYFUNCTION("""COMPUTED_VALUE"""),"B113")</f>
        <v>B113</v>
      </c>
      <c r="V648" s="38" t="str">
        <f>IFERROR(__xludf.DUMMYFUNCTION("""COMPUTED_VALUE"""),"")</f>
        <v/>
      </c>
      <c r="W648" s="45">
        <f>IFERROR(__xludf.DUMMYFUNCTION("""COMPUTED_VALUE"""),112.5)</f>
        <v>112.5</v>
      </c>
      <c r="X648" s="46" t="str">
        <f>IFERROR(__xludf.DUMMYFUNCTION("""COMPUTED_VALUE"""),"AP")</f>
        <v>AP</v>
      </c>
      <c r="Y648" s="47">
        <f>IFERROR(__xludf.DUMMYFUNCTION("""COMPUTED_VALUE"""),18.7)</f>
        <v>18.7</v>
      </c>
      <c r="Z648" s="48" t="str">
        <f>IFERROR(__xludf.DUMMYFUNCTION("""COMPUTED_VALUE"""),"%")</f>
        <v>%</v>
      </c>
      <c r="AA648" s="49">
        <f>IFERROR(__xludf.DUMMYFUNCTION("""COMPUTED_VALUE"""),3.0)</f>
        <v>3</v>
      </c>
      <c r="AB648" s="50"/>
      <c r="AC648" s="38"/>
      <c r="AD648" s="45" t="str">
        <f>IFERROR(__xludf.DUMMYFUNCTION("""COMPUTED_VALUE"""),"")</f>
        <v/>
      </c>
      <c r="AE648" s="46" t="str">
        <f>IFERROR(__xludf.DUMMYFUNCTION("""COMPUTED_VALUE"""),"AP")</f>
        <v>AP</v>
      </c>
      <c r="AF648" s="47" t="str">
        <f>IFERROR(__xludf.DUMMYFUNCTION("""COMPUTED_VALUE"""),"")</f>
        <v/>
      </c>
      <c r="AG648" s="48" t="str">
        <f>IFERROR(__xludf.DUMMYFUNCTION("""COMPUTED_VALUE"""),"%")</f>
        <v>%</v>
      </c>
      <c r="AH648" s="43">
        <f>IFERROR(__xludf.DUMMYFUNCTION("""COMPUTED_VALUE"""),21.0)</f>
        <v>21</v>
      </c>
      <c r="AI648" s="44">
        <f>IFERROR(__xludf.DUMMYFUNCTION("""COMPUTED_VALUE"""),1655.0)</f>
        <v>1655</v>
      </c>
      <c r="AJ648" s="51" t="str">
        <f>IFERROR(__xludf.DUMMYFUNCTION("""COMPUTED_VALUE"""),"朱雀大路")</f>
        <v>朱雀大路</v>
      </c>
    </row>
    <row r="649" ht="24.75" customHeight="1">
      <c r="A649" s="28">
        <f>IFERROR(__xludf.DUMMYFUNCTION("""COMPUTED_VALUE"""),3.0)</f>
        <v>3</v>
      </c>
      <c r="B649" s="28" t="str">
        <f>IFERROR(__xludf.DUMMYFUNCTION("""COMPUTED_VALUE"""),"A220")</f>
        <v>A220</v>
      </c>
      <c r="C649" s="28" t="str">
        <f>IFERROR(__xludf.DUMMYFUNCTION("""COMPUTED_VALUE"""),"HEA3")</f>
        <v>HEA3</v>
      </c>
      <c r="D649" s="29" t="str">
        <f>IFERROR(__xludf.DUMMYFUNCTION("""COMPUTED_VALUE"""),"Heian-kyo")</f>
        <v>Heian-kyo</v>
      </c>
      <c r="E649" s="30" t="str">
        <f>IFERROR(__xludf.DUMMYFUNCTION("""COMPUTED_VALUE"""),"Jō Six, Main Street")</f>
        <v>Jō Six, Main Street</v>
      </c>
      <c r="F649" s="31">
        <f>IFERROR(__xludf.DUMMYFUNCTION("""COMPUTED_VALUE"""),21.0)</f>
        <v>21</v>
      </c>
      <c r="G649" s="32">
        <f>IFERROR(__xludf.DUMMYFUNCTION("""COMPUTED_VALUE"""),1792.0)</f>
        <v>1792</v>
      </c>
      <c r="H649" s="33" t="str">
        <f>IFERROR(__xludf.DUMMYFUNCTION("""COMPUTED_VALUE"""),"")</f>
        <v/>
      </c>
      <c r="I649" s="34">
        <f>IFERROR(__xludf.DUMMYFUNCTION("""COMPUTED_VALUE"""),82.2)</f>
        <v>82.2</v>
      </c>
      <c r="J649" s="35" t="str">
        <f>IFERROR(__xludf.DUMMYFUNCTION("""COMPUTED_VALUE"""),"AP")</f>
        <v>AP</v>
      </c>
      <c r="K649" s="34">
        <f>IFERROR(__xludf.DUMMYFUNCTION("""COMPUTED_VALUE"""),25.6)</f>
        <v>25.6</v>
      </c>
      <c r="L649" s="35" t="str">
        <f>IFERROR(__xludf.DUMMYFUNCTION("""COMPUTED_VALUE"""),"%")</f>
        <v>%</v>
      </c>
      <c r="M649" s="36">
        <f>IFERROR(__xludf.DUMMYFUNCTION("""COMPUTED_VALUE"""),1.0)</f>
        <v>1</v>
      </c>
      <c r="N649" s="37" t="str">
        <f>IFERROR(__xludf.DUMMYFUNCTION("""COMPUTED_VALUE"""),"A212")</f>
        <v>A212</v>
      </c>
      <c r="O649" s="38" t="str">
        <f>IFERROR(__xludf.DUMMYFUNCTION("""COMPUTED_VALUE"""),"")</f>
        <v/>
      </c>
      <c r="P649" s="34">
        <f>IFERROR(__xludf.DUMMYFUNCTION("""COMPUTED_VALUE"""),76.0)</f>
        <v>76</v>
      </c>
      <c r="Q649" s="35" t="str">
        <f>IFERROR(__xludf.DUMMYFUNCTION("""COMPUTED_VALUE"""),"AP")</f>
        <v>AP</v>
      </c>
      <c r="R649" s="34">
        <f>IFERROR(__xludf.DUMMYFUNCTION("""COMPUTED_VALUE"""),27.6)</f>
        <v>27.6</v>
      </c>
      <c r="S649" s="35" t="str">
        <f>IFERROR(__xludf.DUMMYFUNCTION("""COMPUTED_VALUE"""),"%")</f>
        <v>%</v>
      </c>
      <c r="T649" s="36">
        <f>IFERROR(__xludf.DUMMYFUNCTION("""COMPUTED_VALUE"""),2.0)</f>
        <v>2</v>
      </c>
      <c r="U649" s="37" t="str">
        <f>IFERROR(__xludf.DUMMYFUNCTION("""COMPUTED_VALUE"""),"B111")</f>
        <v>B111</v>
      </c>
      <c r="V649" s="38" t="str">
        <f>IFERROR(__xludf.DUMMYFUNCTION("""COMPUTED_VALUE"""),"")</f>
        <v/>
      </c>
      <c r="W649" s="34">
        <f>IFERROR(__xludf.DUMMYFUNCTION("""COMPUTED_VALUE"""),91.6)</f>
        <v>91.6</v>
      </c>
      <c r="X649" s="35" t="str">
        <f>IFERROR(__xludf.DUMMYFUNCTION("""COMPUTED_VALUE"""),"AP")</f>
        <v>AP</v>
      </c>
      <c r="Y649" s="34">
        <f>IFERROR(__xludf.DUMMYFUNCTION("""COMPUTED_VALUE"""),22.9)</f>
        <v>22.9</v>
      </c>
      <c r="Z649" s="35" t="str">
        <f>IFERROR(__xludf.DUMMYFUNCTION("""COMPUTED_VALUE"""),"%")</f>
        <v>%</v>
      </c>
      <c r="AA649" s="36">
        <f>IFERROR(__xludf.DUMMYFUNCTION("""COMPUTED_VALUE"""),3.0)</f>
        <v>3</v>
      </c>
      <c r="AB649" s="37" t="str">
        <f>IFERROR(__xludf.DUMMYFUNCTION("""COMPUTED_VALUE"""),"B113")</f>
        <v>B113</v>
      </c>
      <c r="AC649" s="38" t="str">
        <f>IFERROR(__xludf.DUMMYFUNCTION("""COMPUTED_VALUE"""),"")</f>
        <v/>
      </c>
      <c r="AD649" s="34">
        <f>IFERROR(__xludf.DUMMYFUNCTION("""COMPUTED_VALUE"""),113.7)</f>
        <v>113.7</v>
      </c>
      <c r="AE649" s="35" t="str">
        <f>IFERROR(__xludf.DUMMYFUNCTION("""COMPUTED_VALUE"""),"AP")</f>
        <v>AP</v>
      </c>
      <c r="AF649" s="34">
        <f>IFERROR(__xludf.DUMMYFUNCTION("""COMPUTED_VALUE"""),18.5)</f>
        <v>18.5</v>
      </c>
      <c r="AG649" s="35" t="str">
        <f>IFERROR(__xludf.DUMMYFUNCTION("""COMPUTED_VALUE"""),"%")</f>
        <v>%</v>
      </c>
      <c r="AH649" s="31">
        <f>IFERROR(__xludf.DUMMYFUNCTION("""COMPUTED_VALUE"""),21.0)</f>
        <v>21</v>
      </c>
      <c r="AI649" s="32">
        <f>IFERROR(__xludf.DUMMYFUNCTION("""COMPUTED_VALUE"""),1792.0)</f>
        <v>1792</v>
      </c>
      <c r="AJ649" s="39" t="str">
        <f>IFERROR(__xludf.DUMMYFUNCTION("""COMPUTED_VALUE"""),"六条大路")</f>
        <v>六条大路</v>
      </c>
    </row>
    <row r="650" ht="24.75" customHeight="1">
      <c r="A650" s="40">
        <f>IFERROR(__xludf.DUMMYFUNCTION("""COMPUTED_VALUE"""),4.0)</f>
        <v>4</v>
      </c>
      <c r="B650" s="40" t="str">
        <f>IFERROR(__xludf.DUMMYFUNCTION("""COMPUTED_VALUE"""),"A220")</f>
        <v>A220</v>
      </c>
      <c r="C650" s="40" t="str">
        <f>IFERROR(__xludf.DUMMYFUNCTION("""COMPUTED_VALUE"""),"HEA13")</f>
        <v>HEA13</v>
      </c>
      <c r="D650" s="41" t="str">
        <f>IFERROR(__xludf.DUMMYFUNCTION("""COMPUTED_VALUE"""),"Heian-kyo")</f>
        <v>Heian-kyo</v>
      </c>
      <c r="E650" s="42" t="str">
        <f>IFERROR(__xludf.DUMMYFUNCTION("""COMPUTED_VALUE"""),"Jō Three, Bō Three")</f>
        <v>Jō Three, Bō Three</v>
      </c>
      <c r="F650" s="43">
        <f>IFERROR(__xludf.DUMMYFUNCTION("""COMPUTED_VALUE"""),21.0)</f>
        <v>21</v>
      </c>
      <c r="G650" s="44">
        <f>IFERROR(__xludf.DUMMYFUNCTION("""COMPUTED_VALUE"""),116296.0)</f>
        <v>116296</v>
      </c>
      <c r="H650" s="33" t="str">
        <f>IFERROR(__xludf.DUMMYFUNCTION("""COMPUTED_VALUE"""),"")</f>
        <v/>
      </c>
      <c r="I650" s="45">
        <f>IFERROR(__xludf.DUMMYFUNCTION("""COMPUTED_VALUE"""),83.0)</f>
        <v>83</v>
      </c>
      <c r="J650" s="46" t="str">
        <f>IFERROR(__xludf.DUMMYFUNCTION("""COMPUTED_VALUE"""),"AP")</f>
        <v>AP</v>
      </c>
      <c r="K650" s="47">
        <f>IFERROR(__xludf.DUMMYFUNCTION("""COMPUTED_VALUE"""),25.3)</f>
        <v>25.3</v>
      </c>
      <c r="L650" s="48" t="str">
        <f>IFERROR(__xludf.DUMMYFUNCTION("""COMPUTED_VALUE"""),"%")</f>
        <v>%</v>
      </c>
      <c r="M650" s="49">
        <f>IFERROR(__xludf.DUMMYFUNCTION("""COMPUTED_VALUE"""),1.0)</f>
        <v>1</v>
      </c>
      <c r="N650" s="50" t="str">
        <f>IFERROR(__xludf.DUMMYFUNCTION("""COMPUTED_VALUE"""),"A118")</f>
        <v>A118</v>
      </c>
      <c r="O650" s="38" t="str">
        <f>IFERROR(__xludf.DUMMYFUNCTION("""COMPUTED_VALUE"""),"")</f>
        <v/>
      </c>
      <c r="P650" s="45">
        <f>IFERROR(__xludf.DUMMYFUNCTION("""COMPUTED_VALUE"""),172.5)</f>
        <v>172.5</v>
      </c>
      <c r="Q650" s="46" t="str">
        <f>IFERROR(__xludf.DUMMYFUNCTION("""COMPUTED_VALUE"""),"AP")</f>
        <v>AP</v>
      </c>
      <c r="R650" s="47">
        <f>IFERROR(__xludf.DUMMYFUNCTION("""COMPUTED_VALUE"""),12.2)</f>
        <v>12.2</v>
      </c>
      <c r="S650" s="48" t="str">
        <f>IFERROR(__xludf.DUMMYFUNCTION("""COMPUTED_VALUE"""),"%")</f>
        <v>%</v>
      </c>
      <c r="T650" s="49">
        <f>IFERROR(__xludf.DUMMYFUNCTION("""COMPUTED_VALUE"""),2.0)</f>
        <v>2</v>
      </c>
      <c r="U650" s="50" t="str">
        <f>IFERROR(__xludf.DUMMYFUNCTION("""COMPUTED_VALUE"""),"B107")</f>
        <v>B107</v>
      </c>
      <c r="V650" s="38" t="str">
        <f>IFERROR(__xludf.DUMMYFUNCTION("""COMPUTED_VALUE"""),"")</f>
        <v/>
      </c>
      <c r="W650" s="45">
        <f>IFERROR(__xludf.DUMMYFUNCTION("""COMPUTED_VALUE"""),500.1)</f>
        <v>500.1</v>
      </c>
      <c r="X650" s="46" t="str">
        <f>IFERROR(__xludf.DUMMYFUNCTION("""COMPUTED_VALUE"""),"AP")</f>
        <v>AP</v>
      </c>
      <c r="Y650" s="47">
        <f>IFERROR(__xludf.DUMMYFUNCTION("""COMPUTED_VALUE"""),4.2)</f>
        <v>4.2</v>
      </c>
      <c r="Z650" s="48" t="str">
        <f>IFERROR(__xludf.DUMMYFUNCTION("""COMPUTED_VALUE"""),"%")</f>
        <v>%</v>
      </c>
      <c r="AA650" s="49">
        <f>IFERROR(__xludf.DUMMYFUNCTION("""COMPUTED_VALUE"""),3.0)</f>
        <v>3</v>
      </c>
      <c r="AB650" s="50" t="str">
        <f>IFERROR(__xludf.DUMMYFUNCTION("""COMPUTED_VALUE"""),"B113")</f>
        <v>B113</v>
      </c>
      <c r="AC650" s="38" t="str">
        <f>IFERROR(__xludf.DUMMYFUNCTION("""COMPUTED_VALUE"""),"")</f>
        <v/>
      </c>
      <c r="AD650" s="45">
        <f>IFERROR(__xludf.DUMMYFUNCTION("""COMPUTED_VALUE"""),69.3)</f>
        <v>69.3</v>
      </c>
      <c r="AE650" s="46" t="str">
        <f>IFERROR(__xludf.DUMMYFUNCTION("""COMPUTED_VALUE"""),"AP")</f>
        <v>AP</v>
      </c>
      <c r="AF650" s="47">
        <f>IFERROR(__xludf.DUMMYFUNCTION("""COMPUTED_VALUE"""),30.3)</f>
        <v>30.3</v>
      </c>
      <c r="AG650" s="48" t="str">
        <f>IFERROR(__xludf.DUMMYFUNCTION("""COMPUTED_VALUE"""),"%")</f>
        <v>%</v>
      </c>
      <c r="AH650" s="43">
        <f>IFERROR(__xludf.DUMMYFUNCTION("""COMPUTED_VALUE"""),21.0)</f>
        <v>21</v>
      </c>
      <c r="AI650" s="44">
        <f>IFERROR(__xludf.DUMMYFUNCTION("""COMPUTED_VALUE"""),116296.0)</f>
        <v>116296</v>
      </c>
      <c r="AJ650" s="51" t="str">
        <f>IFERROR(__xludf.DUMMYFUNCTION("""COMPUTED_VALUE"""),"三条三坊")</f>
        <v>三条三坊</v>
      </c>
    </row>
    <row r="651" ht="24.75" customHeight="1">
      <c r="A651" s="28">
        <f>IFERROR(__xludf.DUMMYFUNCTION("""COMPUTED_VALUE"""),5.0)</f>
        <v>5</v>
      </c>
      <c r="B651" s="28" t="str">
        <f>IFERROR(__xludf.DUMMYFUNCTION("""COMPUTED_VALUE"""),"A220")</f>
        <v>A220</v>
      </c>
      <c r="C651" s="28" t="str">
        <f>IFERROR(__xludf.DUMMYFUNCTION("""COMPUTED_VALUE"""),"HEA1")</f>
        <v>HEA1</v>
      </c>
      <c r="D651" s="29" t="str">
        <f>IFERROR(__xludf.DUMMYFUNCTION("""COMPUTED_VALUE"""),"Heian-kyo")</f>
        <v>Heian-kyo</v>
      </c>
      <c r="E651" s="30" t="str">
        <f>IFERROR(__xludf.DUMMYFUNCTION("""COMPUTED_VALUE"""),"Jō Seven, Bō Four")</f>
        <v>Jō Seven, Bō Four</v>
      </c>
      <c r="F651" s="31">
        <f>IFERROR(__xludf.DUMMYFUNCTION("""COMPUTED_VALUE"""),21.0)</f>
        <v>21</v>
      </c>
      <c r="G651" s="32">
        <f>IFERROR(__xludf.DUMMYFUNCTION("""COMPUTED_VALUE"""),1250.0)</f>
        <v>1250</v>
      </c>
      <c r="H651" s="33" t="str">
        <f>IFERROR(__xludf.DUMMYFUNCTION("""COMPUTED_VALUE"""),"")</f>
        <v/>
      </c>
      <c r="I651" s="34">
        <f>IFERROR(__xludf.DUMMYFUNCTION("""COMPUTED_VALUE"""),91.5)</f>
        <v>91.5</v>
      </c>
      <c r="J651" s="35" t="str">
        <f>IFERROR(__xludf.DUMMYFUNCTION("""COMPUTED_VALUE"""),"AP")</f>
        <v>AP</v>
      </c>
      <c r="K651" s="34">
        <f>IFERROR(__xludf.DUMMYFUNCTION("""COMPUTED_VALUE"""),23.0)</f>
        <v>23</v>
      </c>
      <c r="L651" s="35" t="str">
        <f>IFERROR(__xludf.DUMMYFUNCTION("""COMPUTED_VALUE"""),"%")</f>
        <v>%</v>
      </c>
      <c r="M651" s="36">
        <f>IFERROR(__xludf.DUMMYFUNCTION("""COMPUTED_VALUE"""),1.0)</f>
        <v>1</v>
      </c>
      <c r="N651" s="37" t="str">
        <f>IFERROR(__xludf.DUMMYFUNCTION("""COMPUTED_VALUE"""),"A114")</f>
        <v>A114</v>
      </c>
      <c r="O651" s="38" t="str">
        <f>IFERROR(__xludf.DUMMYFUNCTION("""COMPUTED_VALUE"""),"")</f>
        <v/>
      </c>
      <c r="P651" s="34">
        <f>IFERROR(__xludf.DUMMYFUNCTION("""COMPUTED_VALUE"""),161.0)</f>
        <v>161</v>
      </c>
      <c r="Q651" s="35" t="str">
        <f>IFERROR(__xludf.DUMMYFUNCTION("""COMPUTED_VALUE"""),"AP")</f>
        <v>AP</v>
      </c>
      <c r="R651" s="34">
        <f>IFERROR(__xludf.DUMMYFUNCTION("""COMPUTED_VALUE"""),13.0)</f>
        <v>13</v>
      </c>
      <c r="S651" s="35" t="str">
        <f>IFERROR(__xludf.DUMMYFUNCTION("""COMPUTED_VALUE"""),"%")</f>
        <v>%</v>
      </c>
      <c r="T651" s="36">
        <f>IFERROR(__xludf.DUMMYFUNCTION("""COMPUTED_VALUE"""),2.0)</f>
        <v>2</v>
      </c>
      <c r="U651" s="37" t="str">
        <f>IFERROR(__xludf.DUMMYFUNCTION("""COMPUTED_VALUE"""),"B106")</f>
        <v>B106</v>
      </c>
      <c r="V651" s="38" t="str">
        <f>IFERROR(__xludf.DUMMYFUNCTION("""COMPUTED_VALUE"""),"")</f>
        <v/>
      </c>
      <c r="W651" s="34">
        <f>IFERROR(__xludf.DUMMYFUNCTION("""COMPUTED_VALUE"""),690.8)</f>
        <v>690.8</v>
      </c>
      <c r="X651" s="35" t="str">
        <f>IFERROR(__xludf.DUMMYFUNCTION("""COMPUTED_VALUE"""),"AP")</f>
        <v>AP</v>
      </c>
      <c r="Y651" s="34">
        <f>IFERROR(__xludf.DUMMYFUNCTION("""COMPUTED_VALUE"""),3.0)</f>
        <v>3</v>
      </c>
      <c r="Z651" s="35" t="str">
        <f>IFERROR(__xludf.DUMMYFUNCTION("""COMPUTED_VALUE"""),"%")</f>
        <v>%</v>
      </c>
      <c r="AA651" s="36">
        <f>IFERROR(__xludf.DUMMYFUNCTION("""COMPUTED_VALUE"""),3.0)</f>
        <v>3</v>
      </c>
      <c r="AB651" s="37" t="str">
        <f>IFERROR(__xludf.DUMMYFUNCTION("""COMPUTED_VALUE"""),"B113")</f>
        <v>B113</v>
      </c>
      <c r="AC651" s="38" t="str">
        <f>IFERROR(__xludf.DUMMYFUNCTION("""COMPUTED_VALUE"""),"")</f>
        <v/>
      </c>
      <c r="AD651" s="34">
        <f>IFERROR(__xludf.DUMMYFUNCTION("""COMPUTED_VALUE"""),70.0)</f>
        <v>70</v>
      </c>
      <c r="AE651" s="35" t="str">
        <f>IFERROR(__xludf.DUMMYFUNCTION("""COMPUTED_VALUE"""),"AP")</f>
        <v>AP</v>
      </c>
      <c r="AF651" s="34">
        <f>IFERROR(__xludf.DUMMYFUNCTION("""COMPUTED_VALUE"""),30.0)</f>
        <v>30</v>
      </c>
      <c r="AG651" s="35" t="str">
        <f>IFERROR(__xludf.DUMMYFUNCTION("""COMPUTED_VALUE"""),"%")</f>
        <v>%</v>
      </c>
      <c r="AH651" s="31">
        <f>IFERROR(__xludf.DUMMYFUNCTION("""COMPUTED_VALUE"""),21.0)</f>
        <v>21</v>
      </c>
      <c r="AI651" s="32">
        <f>IFERROR(__xludf.DUMMYFUNCTION("""COMPUTED_VALUE"""),1250.0)</f>
        <v>1250</v>
      </c>
      <c r="AJ651" s="39" t="str">
        <f>IFERROR(__xludf.DUMMYFUNCTION("""COMPUTED_VALUE"""),"七条四坊")</f>
        <v>七条四坊</v>
      </c>
    </row>
    <row r="652" ht="24.75" customHeight="1">
      <c r="A652" s="40">
        <f>IFERROR(__xludf.DUMMYFUNCTION("""COMPUTED_VALUE"""),6.0)</f>
        <v>6</v>
      </c>
      <c r="B652" s="40" t="str">
        <f>IFERROR(__xludf.DUMMYFUNCTION("""COMPUTED_VALUE"""),"A220")</f>
        <v>A220</v>
      </c>
      <c r="C652" s="40" t="str">
        <f>IFERROR(__xludf.DUMMYFUNCTION("""COMPUTED_VALUE"""),"HEA2")</f>
        <v>HEA2</v>
      </c>
      <c r="D652" s="41" t="str">
        <f>IFERROR(__xludf.DUMMYFUNCTION("""COMPUTED_VALUE"""),"Heian-kyo")</f>
        <v>Heian-kyo</v>
      </c>
      <c r="E652" s="42" t="str">
        <f>IFERROR(__xludf.DUMMYFUNCTION("""COMPUTED_VALUE"""),"Jō Seven, Bō Two")</f>
        <v>Jō Seven, Bō Two</v>
      </c>
      <c r="F652" s="43">
        <f>IFERROR(__xludf.DUMMYFUNCTION("""COMPUTED_VALUE"""),21.0)</f>
        <v>21</v>
      </c>
      <c r="G652" s="44">
        <f>IFERROR(__xludf.DUMMYFUNCTION("""COMPUTED_VALUE"""),1000.0)</f>
        <v>1000</v>
      </c>
      <c r="H652" s="33" t="str">
        <f>IFERROR(__xludf.DUMMYFUNCTION("""COMPUTED_VALUE"""),"")</f>
        <v/>
      </c>
      <c r="I652" s="45">
        <f>IFERROR(__xludf.DUMMYFUNCTION("""COMPUTED_VALUE"""),102.9)</f>
        <v>102.9</v>
      </c>
      <c r="J652" s="46" t="str">
        <f>IFERROR(__xludf.DUMMYFUNCTION("""COMPUTED_VALUE"""),"AP")</f>
        <v>AP</v>
      </c>
      <c r="K652" s="47">
        <f>IFERROR(__xludf.DUMMYFUNCTION("""COMPUTED_VALUE"""),20.4)</f>
        <v>20.4</v>
      </c>
      <c r="L652" s="48" t="str">
        <f>IFERROR(__xludf.DUMMYFUNCTION("""COMPUTED_VALUE"""),"%")</f>
        <v>%</v>
      </c>
      <c r="M652" s="49">
        <f>IFERROR(__xludf.DUMMYFUNCTION("""COMPUTED_VALUE"""),1.0)</f>
        <v>1</v>
      </c>
      <c r="N652" s="50" t="str">
        <f>IFERROR(__xludf.DUMMYFUNCTION("""COMPUTED_VALUE"""),"A107")</f>
        <v>A107</v>
      </c>
      <c r="O652" s="38" t="str">
        <f>IFERROR(__xludf.DUMMYFUNCTION("""COMPUTED_VALUE"""),"")</f>
        <v/>
      </c>
      <c r="P652" s="45">
        <f>IFERROR(__xludf.DUMMYFUNCTION("""COMPUTED_VALUE"""),151.1)</f>
        <v>151.1</v>
      </c>
      <c r="Q652" s="46" t="str">
        <f>IFERROR(__xludf.DUMMYFUNCTION("""COMPUTED_VALUE"""),"AP")</f>
        <v>AP</v>
      </c>
      <c r="R652" s="47">
        <f>IFERROR(__xludf.DUMMYFUNCTION("""COMPUTED_VALUE"""),13.9)</f>
        <v>13.9</v>
      </c>
      <c r="S652" s="48" t="str">
        <f>IFERROR(__xludf.DUMMYFUNCTION("""COMPUTED_VALUE"""),"%")</f>
        <v>%</v>
      </c>
      <c r="T652" s="49">
        <f>IFERROR(__xludf.DUMMYFUNCTION("""COMPUTED_VALUE"""),2.0)</f>
        <v>2</v>
      </c>
      <c r="U652" s="50" t="str">
        <f>IFERROR(__xludf.DUMMYFUNCTION("""COMPUTED_VALUE"""),"A304")</f>
        <v>A304</v>
      </c>
      <c r="V652" s="38" t="str">
        <f>IFERROR(__xludf.DUMMYFUNCTION("""COMPUTED_VALUE"""),"")</f>
        <v/>
      </c>
      <c r="W652" s="45">
        <f>IFERROR(__xludf.DUMMYFUNCTION("""COMPUTED_VALUE"""),73.7)</f>
        <v>73.7</v>
      </c>
      <c r="X652" s="46" t="str">
        <f>IFERROR(__xludf.DUMMYFUNCTION("""COMPUTED_VALUE"""),"AP")</f>
        <v>AP</v>
      </c>
      <c r="Y652" s="47">
        <f>IFERROR(__xludf.DUMMYFUNCTION("""COMPUTED_VALUE"""),28.5)</f>
        <v>28.5</v>
      </c>
      <c r="Z652" s="48" t="str">
        <f>IFERROR(__xludf.DUMMYFUNCTION("""COMPUTED_VALUE"""),"%")</f>
        <v>%</v>
      </c>
      <c r="AA652" s="49">
        <f>IFERROR(__xludf.DUMMYFUNCTION("""COMPUTED_VALUE"""),3.0)</f>
        <v>3</v>
      </c>
      <c r="AB652" s="50" t="str">
        <f>IFERROR(__xludf.DUMMYFUNCTION("""COMPUTED_VALUE"""),"B113")</f>
        <v>B113</v>
      </c>
      <c r="AC652" s="38" t="str">
        <f>IFERROR(__xludf.DUMMYFUNCTION("""COMPUTED_VALUE"""),"")</f>
        <v/>
      </c>
      <c r="AD652" s="45">
        <f>IFERROR(__xludf.DUMMYFUNCTION("""COMPUTED_VALUE"""),82.7)</f>
        <v>82.7</v>
      </c>
      <c r="AE652" s="46" t="str">
        <f>IFERROR(__xludf.DUMMYFUNCTION("""COMPUTED_VALUE"""),"AP")</f>
        <v>AP</v>
      </c>
      <c r="AF652" s="47">
        <f>IFERROR(__xludf.DUMMYFUNCTION("""COMPUTED_VALUE"""),25.4)</f>
        <v>25.4</v>
      </c>
      <c r="AG652" s="48" t="str">
        <f>IFERROR(__xludf.DUMMYFUNCTION("""COMPUTED_VALUE"""),"%")</f>
        <v>%</v>
      </c>
      <c r="AH652" s="43">
        <f>IFERROR(__xludf.DUMMYFUNCTION("""COMPUTED_VALUE"""),21.0)</f>
        <v>21</v>
      </c>
      <c r="AI652" s="44">
        <f>IFERROR(__xludf.DUMMYFUNCTION("""COMPUTED_VALUE"""),1000.0)</f>
        <v>1000</v>
      </c>
      <c r="AJ652" s="51" t="str">
        <f>IFERROR(__xludf.DUMMYFUNCTION("""COMPUTED_VALUE"""),"七条二坊")</f>
        <v>七条二坊</v>
      </c>
    </row>
    <row r="653" ht="24.75" customHeight="1">
      <c r="A653" s="28">
        <f>IFERROR(__xludf.DUMMYFUNCTION("""COMPUTED_VALUE"""),7.0)</f>
        <v>7</v>
      </c>
      <c r="B653" s="28" t="str">
        <f>IFERROR(__xludf.DUMMYFUNCTION("""COMPUTED_VALUE"""),"A220")</f>
        <v>A220</v>
      </c>
      <c r="C653" s="28"/>
      <c r="D653" s="29"/>
      <c r="E653" s="67"/>
      <c r="F653" s="31"/>
      <c r="G653" s="32"/>
      <c r="H653" s="33" t="str">
        <f>IFERROR(__xludf.DUMMYFUNCTION("""COMPUTED_VALUE""")," ")</f>
        <v> </v>
      </c>
      <c r="I653" s="34"/>
      <c r="J653" s="35" t="str">
        <f>IFERROR(__xludf.DUMMYFUNCTION("""COMPUTED_VALUE"""),"AP")</f>
        <v>AP</v>
      </c>
      <c r="K653" s="34"/>
      <c r="L653" s="35" t="str">
        <f>IFERROR(__xludf.DUMMYFUNCTION("""COMPUTED_VALUE"""),"%")</f>
        <v>%</v>
      </c>
      <c r="M653" s="36">
        <f>IFERROR(__xludf.DUMMYFUNCTION("""COMPUTED_VALUE"""),1.0)</f>
        <v>1</v>
      </c>
      <c r="N653" s="37"/>
      <c r="O653" s="38"/>
      <c r="P653" s="34" t="str">
        <f>IFERROR(__xludf.DUMMYFUNCTION("""COMPUTED_VALUE"""),"")</f>
        <v/>
      </c>
      <c r="Q653" s="35" t="str">
        <f>IFERROR(__xludf.DUMMYFUNCTION("""COMPUTED_VALUE"""),"AP")</f>
        <v>AP</v>
      </c>
      <c r="R653" s="34" t="str">
        <f>IFERROR(__xludf.DUMMYFUNCTION("""COMPUTED_VALUE"""),"")</f>
        <v/>
      </c>
      <c r="S653" s="35" t="str">
        <f>IFERROR(__xludf.DUMMYFUNCTION("""COMPUTED_VALUE"""),"%")</f>
        <v>%</v>
      </c>
      <c r="T653" s="36">
        <f>IFERROR(__xludf.DUMMYFUNCTION("""COMPUTED_VALUE"""),2.0)</f>
        <v>2</v>
      </c>
      <c r="U653" s="37"/>
      <c r="V653" s="38"/>
      <c r="W653" s="34" t="str">
        <f>IFERROR(__xludf.DUMMYFUNCTION("""COMPUTED_VALUE"""),"")</f>
        <v/>
      </c>
      <c r="X653" s="35" t="str">
        <f>IFERROR(__xludf.DUMMYFUNCTION("""COMPUTED_VALUE"""),"AP")</f>
        <v>AP</v>
      </c>
      <c r="Y653" s="34" t="str">
        <f>IFERROR(__xludf.DUMMYFUNCTION("""COMPUTED_VALUE"""),"")</f>
        <v/>
      </c>
      <c r="Z653" s="35" t="str">
        <f>IFERROR(__xludf.DUMMYFUNCTION("""COMPUTED_VALUE"""),"%")</f>
        <v>%</v>
      </c>
      <c r="AA653" s="36">
        <f>IFERROR(__xludf.DUMMYFUNCTION("""COMPUTED_VALUE"""),3.0)</f>
        <v>3</v>
      </c>
      <c r="AB653" s="37"/>
      <c r="AC653" s="38"/>
      <c r="AD653" s="34" t="str">
        <f>IFERROR(__xludf.DUMMYFUNCTION("""COMPUTED_VALUE"""),"")</f>
        <v/>
      </c>
      <c r="AE653" s="35" t="str">
        <f>IFERROR(__xludf.DUMMYFUNCTION("""COMPUTED_VALUE"""),"AP")</f>
        <v>AP</v>
      </c>
      <c r="AF653" s="34" t="str">
        <f>IFERROR(__xludf.DUMMYFUNCTION("""COMPUTED_VALUE"""),"")</f>
        <v/>
      </c>
      <c r="AG653" s="35" t="str">
        <f>IFERROR(__xludf.DUMMYFUNCTION("""COMPUTED_VALUE"""),"%")</f>
        <v>%</v>
      </c>
      <c r="AH653" s="31"/>
      <c r="AI653" s="32"/>
      <c r="AJ653" s="39"/>
    </row>
    <row r="654" ht="24.75" hidden="1" customHeight="1">
      <c r="A654" s="40">
        <f>IFERROR(__xludf.DUMMYFUNCTION("""COMPUTED_VALUE"""),8.0)</f>
        <v>8</v>
      </c>
      <c r="B654" s="40" t="str">
        <f>IFERROR(__xludf.DUMMYFUNCTION("""COMPUTED_VALUE"""),"A220")</f>
        <v>A220</v>
      </c>
      <c r="C654" s="40"/>
      <c r="D654" s="41"/>
      <c r="E654" s="66"/>
      <c r="F654" s="43"/>
      <c r="G654" s="44"/>
      <c r="H654" s="33" t="str">
        <f>IFERROR(__xludf.DUMMYFUNCTION("""COMPUTED_VALUE""")," ")</f>
        <v> </v>
      </c>
      <c r="I654" s="45"/>
      <c r="J654" s="46" t="str">
        <f>IFERROR(__xludf.DUMMYFUNCTION("""COMPUTED_VALUE"""),"AP")</f>
        <v>AP</v>
      </c>
      <c r="K654" s="47"/>
      <c r="L654" s="48" t="str">
        <f>IFERROR(__xludf.DUMMYFUNCTION("""COMPUTED_VALUE"""),"%")</f>
        <v>%</v>
      </c>
      <c r="M654" s="49">
        <f>IFERROR(__xludf.DUMMYFUNCTION("""COMPUTED_VALUE"""),1.0)</f>
        <v>1</v>
      </c>
      <c r="N654" s="50"/>
      <c r="O654" s="38"/>
      <c r="P654" s="45" t="str">
        <f>IFERROR(__xludf.DUMMYFUNCTION("""COMPUTED_VALUE"""),"")</f>
        <v/>
      </c>
      <c r="Q654" s="46" t="str">
        <f>IFERROR(__xludf.DUMMYFUNCTION("""COMPUTED_VALUE"""),"AP")</f>
        <v>AP</v>
      </c>
      <c r="R654" s="47" t="str">
        <f>IFERROR(__xludf.DUMMYFUNCTION("""COMPUTED_VALUE"""),"")</f>
        <v/>
      </c>
      <c r="S654" s="48" t="str">
        <f>IFERROR(__xludf.DUMMYFUNCTION("""COMPUTED_VALUE"""),"%")</f>
        <v>%</v>
      </c>
      <c r="T654" s="49">
        <f>IFERROR(__xludf.DUMMYFUNCTION("""COMPUTED_VALUE"""),2.0)</f>
        <v>2</v>
      </c>
      <c r="U654" s="50"/>
      <c r="V654" s="38"/>
      <c r="W654" s="45" t="str">
        <f>IFERROR(__xludf.DUMMYFUNCTION("""COMPUTED_VALUE"""),"")</f>
        <v/>
      </c>
      <c r="X654" s="46" t="str">
        <f>IFERROR(__xludf.DUMMYFUNCTION("""COMPUTED_VALUE"""),"AP")</f>
        <v>AP</v>
      </c>
      <c r="Y654" s="47" t="str">
        <f>IFERROR(__xludf.DUMMYFUNCTION("""COMPUTED_VALUE"""),"")</f>
        <v/>
      </c>
      <c r="Z654" s="48" t="str">
        <f>IFERROR(__xludf.DUMMYFUNCTION("""COMPUTED_VALUE"""),"%")</f>
        <v>%</v>
      </c>
      <c r="AA654" s="49">
        <f>IFERROR(__xludf.DUMMYFUNCTION("""COMPUTED_VALUE"""),3.0)</f>
        <v>3</v>
      </c>
      <c r="AB654" s="50"/>
      <c r="AC654" s="38"/>
      <c r="AD654" s="45" t="str">
        <f>IFERROR(__xludf.DUMMYFUNCTION("""COMPUTED_VALUE"""),"")</f>
        <v/>
      </c>
      <c r="AE654" s="46" t="str">
        <f>IFERROR(__xludf.DUMMYFUNCTION("""COMPUTED_VALUE"""),"AP")</f>
        <v>AP</v>
      </c>
      <c r="AF654" s="47" t="str">
        <f>IFERROR(__xludf.DUMMYFUNCTION("""COMPUTED_VALUE"""),"")</f>
        <v/>
      </c>
      <c r="AG654" s="48" t="str">
        <f>IFERROR(__xludf.DUMMYFUNCTION("""COMPUTED_VALUE"""),"%")</f>
        <v>%</v>
      </c>
      <c r="AH654" s="43"/>
      <c r="AI654" s="44"/>
      <c r="AJ654" s="51"/>
    </row>
    <row r="655" ht="24.75" hidden="1" customHeight="1">
      <c r="A655" s="28">
        <f>IFERROR(__xludf.DUMMYFUNCTION("""COMPUTED_VALUE"""),9.0)</f>
        <v>9</v>
      </c>
      <c r="B655" s="28" t="str">
        <f>IFERROR(__xludf.DUMMYFUNCTION("""COMPUTED_VALUE"""),"A220")</f>
        <v>A220</v>
      </c>
      <c r="C655" s="28"/>
      <c r="D655" s="29"/>
      <c r="E655" s="67"/>
      <c r="F655" s="31"/>
      <c r="G655" s="32"/>
      <c r="H655" s="33" t="str">
        <f>IFERROR(__xludf.DUMMYFUNCTION("""COMPUTED_VALUE""")," ")</f>
        <v> </v>
      </c>
      <c r="I655" s="34"/>
      <c r="J655" s="35" t="str">
        <f>IFERROR(__xludf.DUMMYFUNCTION("""COMPUTED_VALUE"""),"AP")</f>
        <v>AP</v>
      </c>
      <c r="K655" s="34"/>
      <c r="L655" s="35" t="str">
        <f>IFERROR(__xludf.DUMMYFUNCTION("""COMPUTED_VALUE"""),"%")</f>
        <v>%</v>
      </c>
      <c r="M655" s="36">
        <f>IFERROR(__xludf.DUMMYFUNCTION("""COMPUTED_VALUE"""),1.0)</f>
        <v>1</v>
      </c>
      <c r="N655" s="37"/>
      <c r="O655" s="38"/>
      <c r="P655" s="34" t="str">
        <f>IFERROR(__xludf.DUMMYFUNCTION("""COMPUTED_VALUE"""),"")</f>
        <v/>
      </c>
      <c r="Q655" s="35" t="str">
        <f>IFERROR(__xludf.DUMMYFUNCTION("""COMPUTED_VALUE"""),"AP")</f>
        <v>AP</v>
      </c>
      <c r="R655" s="34" t="str">
        <f>IFERROR(__xludf.DUMMYFUNCTION("""COMPUTED_VALUE"""),"")</f>
        <v/>
      </c>
      <c r="S655" s="35" t="str">
        <f>IFERROR(__xludf.DUMMYFUNCTION("""COMPUTED_VALUE"""),"%")</f>
        <v>%</v>
      </c>
      <c r="T655" s="36">
        <f>IFERROR(__xludf.DUMMYFUNCTION("""COMPUTED_VALUE"""),2.0)</f>
        <v>2</v>
      </c>
      <c r="U655" s="37"/>
      <c r="V655" s="38"/>
      <c r="W655" s="34" t="str">
        <f>IFERROR(__xludf.DUMMYFUNCTION("""COMPUTED_VALUE"""),"")</f>
        <v/>
      </c>
      <c r="X655" s="35" t="str">
        <f>IFERROR(__xludf.DUMMYFUNCTION("""COMPUTED_VALUE"""),"AP")</f>
        <v>AP</v>
      </c>
      <c r="Y655" s="34" t="str">
        <f>IFERROR(__xludf.DUMMYFUNCTION("""COMPUTED_VALUE"""),"")</f>
        <v/>
      </c>
      <c r="Z655" s="35" t="str">
        <f>IFERROR(__xludf.DUMMYFUNCTION("""COMPUTED_VALUE"""),"%")</f>
        <v>%</v>
      </c>
      <c r="AA655" s="36">
        <f>IFERROR(__xludf.DUMMYFUNCTION("""COMPUTED_VALUE"""),3.0)</f>
        <v>3</v>
      </c>
      <c r="AB655" s="37"/>
      <c r="AC655" s="38"/>
      <c r="AD655" s="34" t="str">
        <f>IFERROR(__xludf.DUMMYFUNCTION("""COMPUTED_VALUE"""),"")</f>
        <v/>
      </c>
      <c r="AE655" s="35" t="str">
        <f>IFERROR(__xludf.DUMMYFUNCTION("""COMPUTED_VALUE"""),"AP")</f>
        <v>AP</v>
      </c>
      <c r="AF655" s="34" t="str">
        <f>IFERROR(__xludf.DUMMYFUNCTION("""COMPUTED_VALUE"""),"")</f>
        <v/>
      </c>
      <c r="AG655" s="35" t="str">
        <f>IFERROR(__xludf.DUMMYFUNCTION("""COMPUTED_VALUE"""),"%")</f>
        <v>%</v>
      </c>
      <c r="AH655" s="31"/>
      <c r="AI655" s="32"/>
      <c r="AJ655" s="39"/>
    </row>
    <row r="656" ht="24.75" hidden="1" customHeight="1">
      <c r="A656" s="40">
        <f>IFERROR(__xludf.DUMMYFUNCTION("""COMPUTED_VALUE"""),10.0)</f>
        <v>10</v>
      </c>
      <c r="B656" s="40" t="str">
        <f>IFERROR(__xludf.DUMMYFUNCTION("""COMPUTED_VALUE"""),"A220")</f>
        <v>A220</v>
      </c>
      <c r="C656" s="40"/>
      <c r="D656" s="41"/>
      <c r="E656" s="66"/>
      <c r="F656" s="43"/>
      <c r="G656" s="44"/>
      <c r="H656" s="33" t="str">
        <f>IFERROR(__xludf.DUMMYFUNCTION("""COMPUTED_VALUE""")," ")</f>
        <v> </v>
      </c>
      <c r="I656" s="45"/>
      <c r="J656" s="46" t="str">
        <f>IFERROR(__xludf.DUMMYFUNCTION("""COMPUTED_VALUE"""),"AP")</f>
        <v>AP</v>
      </c>
      <c r="K656" s="47"/>
      <c r="L656" s="48" t="str">
        <f>IFERROR(__xludf.DUMMYFUNCTION("""COMPUTED_VALUE"""),"%")</f>
        <v>%</v>
      </c>
      <c r="M656" s="49">
        <f>IFERROR(__xludf.DUMMYFUNCTION("""COMPUTED_VALUE"""),1.0)</f>
        <v>1</v>
      </c>
      <c r="N656" s="50"/>
      <c r="O656" s="38"/>
      <c r="P656" s="45" t="str">
        <f>IFERROR(__xludf.DUMMYFUNCTION("""COMPUTED_VALUE"""),"")</f>
        <v/>
      </c>
      <c r="Q656" s="46" t="str">
        <f>IFERROR(__xludf.DUMMYFUNCTION("""COMPUTED_VALUE"""),"AP")</f>
        <v>AP</v>
      </c>
      <c r="R656" s="47" t="str">
        <f>IFERROR(__xludf.DUMMYFUNCTION("""COMPUTED_VALUE"""),"")</f>
        <v/>
      </c>
      <c r="S656" s="48" t="str">
        <f>IFERROR(__xludf.DUMMYFUNCTION("""COMPUTED_VALUE"""),"%")</f>
        <v>%</v>
      </c>
      <c r="T656" s="49">
        <f>IFERROR(__xludf.DUMMYFUNCTION("""COMPUTED_VALUE"""),2.0)</f>
        <v>2</v>
      </c>
      <c r="U656" s="50"/>
      <c r="V656" s="38"/>
      <c r="W656" s="45" t="str">
        <f>IFERROR(__xludf.DUMMYFUNCTION("""COMPUTED_VALUE"""),"")</f>
        <v/>
      </c>
      <c r="X656" s="46" t="str">
        <f>IFERROR(__xludf.DUMMYFUNCTION("""COMPUTED_VALUE"""),"AP")</f>
        <v>AP</v>
      </c>
      <c r="Y656" s="47" t="str">
        <f>IFERROR(__xludf.DUMMYFUNCTION("""COMPUTED_VALUE"""),"")</f>
        <v/>
      </c>
      <c r="Z656" s="48" t="str">
        <f>IFERROR(__xludf.DUMMYFUNCTION("""COMPUTED_VALUE"""),"%")</f>
        <v>%</v>
      </c>
      <c r="AA656" s="49">
        <f>IFERROR(__xludf.DUMMYFUNCTION("""COMPUTED_VALUE"""),3.0)</f>
        <v>3</v>
      </c>
      <c r="AB656" s="50"/>
      <c r="AC656" s="38"/>
      <c r="AD656" s="45" t="str">
        <f>IFERROR(__xludf.DUMMYFUNCTION("""COMPUTED_VALUE"""),"")</f>
        <v/>
      </c>
      <c r="AE656" s="46" t="str">
        <f>IFERROR(__xludf.DUMMYFUNCTION("""COMPUTED_VALUE"""),"AP")</f>
        <v>AP</v>
      </c>
      <c r="AF656" s="47" t="str">
        <f>IFERROR(__xludf.DUMMYFUNCTION("""COMPUTED_VALUE"""),"")</f>
        <v/>
      </c>
      <c r="AG656" s="48" t="str">
        <f>IFERROR(__xludf.DUMMYFUNCTION("""COMPUTED_VALUE"""),"%")</f>
        <v>%</v>
      </c>
      <c r="AH656" s="43"/>
      <c r="AI656" s="44"/>
      <c r="AJ656" s="51"/>
    </row>
    <row r="657" ht="24.75" hidden="1" customHeight="1">
      <c r="A657" s="28">
        <f>IFERROR(__xludf.DUMMYFUNCTION("""COMPUTED_VALUE"""),11.0)</f>
        <v>11</v>
      </c>
      <c r="B657" s="28" t="str">
        <f>IFERROR(__xludf.DUMMYFUNCTION("""COMPUTED_VALUE"""),"A220")</f>
        <v>A220</v>
      </c>
      <c r="C657" s="28"/>
      <c r="D657" s="29"/>
      <c r="E657" s="67"/>
      <c r="F657" s="31"/>
      <c r="G657" s="32"/>
      <c r="H657" s="33" t="str">
        <f>IFERROR(__xludf.DUMMYFUNCTION("""COMPUTED_VALUE""")," ")</f>
        <v> </v>
      </c>
      <c r="I657" s="34"/>
      <c r="J657" s="35" t="str">
        <f>IFERROR(__xludf.DUMMYFUNCTION("""COMPUTED_VALUE"""),"AP")</f>
        <v>AP</v>
      </c>
      <c r="K657" s="34"/>
      <c r="L657" s="35" t="str">
        <f>IFERROR(__xludf.DUMMYFUNCTION("""COMPUTED_VALUE"""),"%")</f>
        <v>%</v>
      </c>
      <c r="M657" s="36">
        <f>IFERROR(__xludf.DUMMYFUNCTION("""COMPUTED_VALUE"""),1.0)</f>
        <v>1</v>
      </c>
      <c r="N657" s="37"/>
      <c r="O657" s="38"/>
      <c r="P657" s="34" t="str">
        <f>IFERROR(__xludf.DUMMYFUNCTION("""COMPUTED_VALUE"""),"")</f>
        <v/>
      </c>
      <c r="Q657" s="35" t="str">
        <f>IFERROR(__xludf.DUMMYFUNCTION("""COMPUTED_VALUE"""),"AP")</f>
        <v>AP</v>
      </c>
      <c r="R657" s="34" t="str">
        <f>IFERROR(__xludf.DUMMYFUNCTION("""COMPUTED_VALUE"""),"")</f>
        <v/>
      </c>
      <c r="S657" s="35" t="str">
        <f>IFERROR(__xludf.DUMMYFUNCTION("""COMPUTED_VALUE"""),"%")</f>
        <v>%</v>
      </c>
      <c r="T657" s="36">
        <f>IFERROR(__xludf.DUMMYFUNCTION("""COMPUTED_VALUE"""),2.0)</f>
        <v>2</v>
      </c>
      <c r="U657" s="37"/>
      <c r="V657" s="38"/>
      <c r="W657" s="34" t="str">
        <f>IFERROR(__xludf.DUMMYFUNCTION("""COMPUTED_VALUE"""),"")</f>
        <v/>
      </c>
      <c r="X657" s="35" t="str">
        <f>IFERROR(__xludf.DUMMYFUNCTION("""COMPUTED_VALUE"""),"AP")</f>
        <v>AP</v>
      </c>
      <c r="Y657" s="34" t="str">
        <f>IFERROR(__xludf.DUMMYFUNCTION("""COMPUTED_VALUE"""),"")</f>
        <v/>
      </c>
      <c r="Z657" s="35" t="str">
        <f>IFERROR(__xludf.DUMMYFUNCTION("""COMPUTED_VALUE"""),"%")</f>
        <v>%</v>
      </c>
      <c r="AA657" s="36">
        <f>IFERROR(__xludf.DUMMYFUNCTION("""COMPUTED_VALUE"""),3.0)</f>
        <v>3</v>
      </c>
      <c r="AB657" s="37"/>
      <c r="AC657" s="38"/>
      <c r="AD657" s="34" t="str">
        <f>IFERROR(__xludf.DUMMYFUNCTION("""COMPUTED_VALUE"""),"")</f>
        <v/>
      </c>
      <c r="AE657" s="35" t="str">
        <f>IFERROR(__xludf.DUMMYFUNCTION("""COMPUTED_VALUE"""),"AP")</f>
        <v>AP</v>
      </c>
      <c r="AF657" s="34" t="str">
        <f>IFERROR(__xludf.DUMMYFUNCTION("""COMPUTED_VALUE"""),"")</f>
        <v/>
      </c>
      <c r="AG657" s="35" t="str">
        <f>IFERROR(__xludf.DUMMYFUNCTION("""COMPUTED_VALUE"""),"%")</f>
        <v>%</v>
      </c>
      <c r="AH657" s="31"/>
      <c r="AI657" s="32"/>
      <c r="AJ657" s="39"/>
    </row>
    <row r="658" ht="24.75" hidden="1" customHeight="1">
      <c r="A658" s="40">
        <f>IFERROR(__xludf.DUMMYFUNCTION("""COMPUTED_VALUE"""),12.0)</f>
        <v>12</v>
      </c>
      <c r="B658" s="40" t="str">
        <f>IFERROR(__xludf.DUMMYFUNCTION("""COMPUTED_VALUE"""),"A220")</f>
        <v>A220</v>
      </c>
      <c r="C658" s="40"/>
      <c r="D658" s="41"/>
      <c r="E658" s="66"/>
      <c r="F658" s="43"/>
      <c r="G658" s="44"/>
      <c r="H658" s="33" t="str">
        <f>IFERROR(__xludf.DUMMYFUNCTION("""COMPUTED_VALUE""")," ")</f>
        <v> </v>
      </c>
      <c r="I658" s="45"/>
      <c r="J658" s="46" t="str">
        <f>IFERROR(__xludf.DUMMYFUNCTION("""COMPUTED_VALUE"""),"AP")</f>
        <v>AP</v>
      </c>
      <c r="K658" s="47"/>
      <c r="L658" s="48" t="str">
        <f>IFERROR(__xludf.DUMMYFUNCTION("""COMPUTED_VALUE"""),"%")</f>
        <v>%</v>
      </c>
      <c r="M658" s="49">
        <f>IFERROR(__xludf.DUMMYFUNCTION("""COMPUTED_VALUE"""),1.0)</f>
        <v>1</v>
      </c>
      <c r="N658" s="50"/>
      <c r="O658" s="38"/>
      <c r="P658" s="45" t="str">
        <f>IFERROR(__xludf.DUMMYFUNCTION("""COMPUTED_VALUE"""),"")</f>
        <v/>
      </c>
      <c r="Q658" s="46" t="str">
        <f>IFERROR(__xludf.DUMMYFUNCTION("""COMPUTED_VALUE"""),"AP")</f>
        <v>AP</v>
      </c>
      <c r="R658" s="47" t="str">
        <f>IFERROR(__xludf.DUMMYFUNCTION("""COMPUTED_VALUE"""),"")</f>
        <v/>
      </c>
      <c r="S658" s="48" t="str">
        <f>IFERROR(__xludf.DUMMYFUNCTION("""COMPUTED_VALUE"""),"%")</f>
        <v>%</v>
      </c>
      <c r="T658" s="49">
        <f>IFERROR(__xludf.DUMMYFUNCTION("""COMPUTED_VALUE"""),2.0)</f>
        <v>2</v>
      </c>
      <c r="U658" s="50"/>
      <c r="V658" s="38"/>
      <c r="W658" s="45" t="str">
        <f>IFERROR(__xludf.DUMMYFUNCTION("""COMPUTED_VALUE"""),"")</f>
        <v/>
      </c>
      <c r="X658" s="46" t="str">
        <f>IFERROR(__xludf.DUMMYFUNCTION("""COMPUTED_VALUE"""),"AP")</f>
        <v>AP</v>
      </c>
      <c r="Y658" s="47" t="str">
        <f>IFERROR(__xludf.DUMMYFUNCTION("""COMPUTED_VALUE"""),"")</f>
        <v/>
      </c>
      <c r="Z658" s="48" t="str">
        <f>IFERROR(__xludf.DUMMYFUNCTION("""COMPUTED_VALUE"""),"%")</f>
        <v>%</v>
      </c>
      <c r="AA658" s="49">
        <f>IFERROR(__xludf.DUMMYFUNCTION("""COMPUTED_VALUE"""),3.0)</f>
        <v>3</v>
      </c>
      <c r="AB658" s="50"/>
      <c r="AC658" s="38"/>
      <c r="AD658" s="45" t="str">
        <f>IFERROR(__xludf.DUMMYFUNCTION("""COMPUTED_VALUE"""),"")</f>
        <v/>
      </c>
      <c r="AE658" s="46" t="str">
        <f>IFERROR(__xludf.DUMMYFUNCTION("""COMPUTED_VALUE"""),"AP")</f>
        <v>AP</v>
      </c>
      <c r="AF658" s="47" t="str">
        <f>IFERROR(__xludf.DUMMYFUNCTION("""COMPUTED_VALUE"""),"")</f>
        <v/>
      </c>
      <c r="AG658" s="48" t="str">
        <f>IFERROR(__xludf.DUMMYFUNCTION("""COMPUTED_VALUE"""),"%")</f>
        <v>%</v>
      </c>
      <c r="AH658" s="43"/>
      <c r="AI658" s="44"/>
      <c r="AJ658" s="51"/>
    </row>
    <row r="659" ht="24.75" hidden="1" customHeight="1">
      <c r="A659" s="28">
        <f>IFERROR(__xludf.DUMMYFUNCTION("""COMPUTED_VALUE"""),13.0)</f>
        <v>13</v>
      </c>
      <c r="B659" s="28" t="str">
        <f>IFERROR(__xludf.DUMMYFUNCTION("""COMPUTED_VALUE"""),"A220")</f>
        <v>A220</v>
      </c>
      <c r="C659" s="28"/>
      <c r="D659" s="29"/>
      <c r="E659" s="67"/>
      <c r="F659" s="31"/>
      <c r="G659" s="32"/>
      <c r="H659" s="33" t="str">
        <f>IFERROR(__xludf.DUMMYFUNCTION("""COMPUTED_VALUE""")," ")</f>
        <v> </v>
      </c>
      <c r="I659" s="34"/>
      <c r="J659" s="35" t="str">
        <f>IFERROR(__xludf.DUMMYFUNCTION("""COMPUTED_VALUE"""),"AP")</f>
        <v>AP</v>
      </c>
      <c r="K659" s="34"/>
      <c r="L659" s="35" t="str">
        <f>IFERROR(__xludf.DUMMYFUNCTION("""COMPUTED_VALUE"""),"%")</f>
        <v>%</v>
      </c>
      <c r="M659" s="36">
        <f>IFERROR(__xludf.DUMMYFUNCTION("""COMPUTED_VALUE"""),1.0)</f>
        <v>1</v>
      </c>
      <c r="N659" s="37"/>
      <c r="O659" s="38"/>
      <c r="P659" s="34" t="str">
        <f>IFERROR(__xludf.DUMMYFUNCTION("""COMPUTED_VALUE"""),"")</f>
        <v/>
      </c>
      <c r="Q659" s="35" t="str">
        <f>IFERROR(__xludf.DUMMYFUNCTION("""COMPUTED_VALUE"""),"AP")</f>
        <v>AP</v>
      </c>
      <c r="R659" s="34" t="str">
        <f>IFERROR(__xludf.DUMMYFUNCTION("""COMPUTED_VALUE"""),"")</f>
        <v/>
      </c>
      <c r="S659" s="35" t="str">
        <f>IFERROR(__xludf.DUMMYFUNCTION("""COMPUTED_VALUE"""),"%")</f>
        <v>%</v>
      </c>
      <c r="T659" s="36">
        <f>IFERROR(__xludf.DUMMYFUNCTION("""COMPUTED_VALUE"""),2.0)</f>
        <v>2</v>
      </c>
      <c r="U659" s="37"/>
      <c r="V659" s="38"/>
      <c r="W659" s="34" t="str">
        <f>IFERROR(__xludf.DUMMYFUNCTION("""COMPUTED_VALUE"""),"")</f>
        <v/>
      </c>
      <c r="X659" s="35" t="str">
        <f>IFERROR(__xludf.DUMMYFUNCTION("""COMPUTED_VALUE"""),"AP")</f>
        <v>AP</v>
      </c>
      <c r="Y659" s="34" t="str">
        <f>IFERROR(__xludf.DUMMYFUNCTION("""COMPUTED_VALUE"""),"")</f>
        <v/>
      </c>
      <c r="Z659" s="35" t="str">
        <f>IFERROR(__xludf.DUMMYFUNCTION("""COMPUTED_VALUE"""),"%")</f>
        <v>%</v>
      </c>
      <c r="AA659" s="36">
        <f>IFERROR(__xludf.DUMMYFUNCTION("""COMPUTED_VALUE"""),3.0)</f>
        <v>3</v>
      </c>
      <c r="AB659" s="37"/>
      <c r="AC659" s="38"/>
      <c r="AD659" s="34" t="str">
        <f>IFERROR(__xludf.DUMMYFUNCTION("""COMPUTED_VALUE"""),"")</f>
        <v/>
      </c>
      <c r="AE659" s="35" t="str">
        <f>IFERROR(__xludf.DUMMYFUNCTION("""COMPUTED_VALUE"""),"AP")</f>
        <v>AP</v>
      </c>
      <c r="AF659" s="34" t="str">
        <f>IFERROR(__xludf.DUMMYFUNCTION("""COMPUTED_VALUE"""),"")</f>
        <v/>
      </c>
      <c r="AG659" s="35" t="str">
        <f>IFERROR(__xludf.DUMMYFUNCTION("""COMPUTED_VALUE"""),"%")</f>
        <v>%</v>
      </c>
      <c r="AH659" s="31"/>
      <c r="AI659" s="32"/>
      <c r="AJ659" s="39"/>
    </row>
    <row r="660" ht="24.75" hidden="1" customHeight="1">
      <c r="A660" s="40">
        <f>IFERROR(__xludf.DUMMYFUNCTION("""COMPUTED_VALUE"""),14.0)</f>
        <v>14</v>
      </c>
      <c r="B660" s="40" t="str">
        <f>IFERROR(__xludf.DUMMYFUNCTION("""COMPUTED_VALUE"""),"A220")</f>
        <v>A220</v>
      </c>
      <c r="C660" s="40"/>
      <c r="D660" s="41"/>
      <c r="E660" s="66"/>
      <c r="F660" s="43"/>
      <c r="G660" s="44"/>
      <c r="H660" s="33" t="str">
        <f>IFERROR(__xludf.DUMMYFUNCTION("""COMPUTED_VALUE""")," ")</f>
        <v> </v>
      </c>
      <c r="I660" s="45"/>
      <c r="J660" s="46" t="str">
        <f>IFERROR(__xludf.DUMMYFUNCTION("""COMPUTED_VALUE"""),"AP")</f>
        <v>AP</v>
      </c>
      <c r="K660" s="47"/>
      <c r="L660" s="48" t="str">
        <f>IFERROR(__xludf.DUMMYFUNCTION("""COMPUTED_VALUE"""),"%")</f>
        <v>%</v>
      </c>
      <c r="M660" s="49">
        <f>IFERROR(__xludf.DUMMYFUNCTION("""COMPUTED_VALUE"""),1.0)</f>
        <v>1</v>
      </c>
      <c r="N660" s="50"/>
      <c r="O660" s="38"/>
      <c r="P660" s="45" t="str">
        <f>IFERROR(__xludf.DUMMYFUNCTION("""COMPUTED_VALUE"""),"")</f>
        <v/>
      </c>
      <c r="Q660" s="46" t="str">
        <f>IFERROR(__xludf.DUMMYFUNCTION("""COMPUTED_VALUE"""),"AP")</f>
        <v>AP</v>
      </c>
      <c r="R660" s="47" t="str">
        <f>IFERROR(__xludf.DUMMYFUNCTION("""COMPUTED_VALUE"""),"")</f>
        <v/>
      </c>
      <c r="S660" s="48" t="str">
        <f>IFERROR(__xludf.DUMMYFUNCTION("""COMPUTED_VALUE"""),"%")</f>
        <v>%</v>
      </c>
      <c r="T660" s="49">
        <f>IFERROR(__xludf.DUMMYFUNCTION("""COMPUTED_VALUE"""),2.0)</f>
        <v>2</v>
      </c>
      <c r="U660" s="50"/>
      <c r="V660" s="38"/>
      <c r="W660" s="45" t="str">
        <f>IFERROR(__xludf.DUMMYFUNCTION("""COMPUTED_VALUE"""),"")</f>
        <v/>
      </c>
      <c r="X660" s="46" t="str">
        <f>IFERROR(__xludf.DUMMYFUNCTION("""COMPUTED_VALUE"""),"AP")</f>
        <v>AP</v>
      </c>
      <c r="Y660" s="47" t="str">
        <f>IFERROR(__xludf.DUMMYFUNCTION("""COMPUTED_VALUE"""),"")</f>
        <v/>
      </c>
      <c r="Z660" s="48" t="str">
        <f>IFERROR(__xludf.DUMMYFUNCTION("""COMPUTED_VALUE"""),"%")</f>
        <v>%</v>
      </c>
      <c r="AA660" s="49">
        <f>IFERROR(__xludf.DUMMYFUNCTION("""COMPUTED_VALUE"""),3.0)</f>
        <v>3</v>
      </c>
      <c r="AB660" s="50"/>
      <c r="AC660" s="38"/>
      <c r="AD660" s="45" t="str">
        <f>IFERROR(__xludf.DUMMYFUNCTION("""COMPUTED_VALUE"""),"")</f>
        <v/>
      </c>
      <c r="AE660" s="46" t="str">
        <f>IFERROR(__xludf.DUMMYFUNCTION("""COMPUTED_VALUE"""),"AP")</f>
        <v>AP</v>
      </c>
      <c r="AF660" s="47" t="str">
        <f>IFERROR(__xludf.DUMMYFUNCTION("""COMPUTED_VALUE"""),"")</f>
        <v/>
      </c>
      <c r="AG660" s="48" t="str">
        <f>IFERROR(__xludf.DUMMYFUNCTION("""COMPUTED_VALUE"""),"%")</f>
        <v>%</v>
      </c>
      <c r="AH660" s="43"/>
      <c r="AI660" s="44"/>
      <c r="AJ660" s="51"/>
    </row>
    <row r="661" ht="24.75" hidden="1" customHeight="1">
      <c r="A661" s="28">
        <f>IFERROR(__xludf.DUMMYFUNCTION("""COMPUTED_VALUE"""),15.0)</f>
        <v>15</v>
      </c>
      <c r="B661" s="28" t="str">
        <f>IFERROR(__xludf.DUMMYFUNCTION("""COMPUTED_VALUE"""),"A220")</f>
        <v>A220</v>
      </c>
      <c r="C661" s="28"/>
      <c r="D661" s="29"/>
      <c r="E661" s="67"/>
      <c r="F661" s="31"/>
      <c r="G661" s="32"/>
      <c r="H661" s="33" t="str">
        <f>IFERROR(__xludf.DUMMYFUNCTION("""COMPUTED_VALUE""")," ")</f>
        <v> </v>
      </c>
      <c r="I661" s="34"/>
      <c r="J661" s="35" t="str">
        <f>IFERROR(__xludf.DUMMYFUNCTION("""COMPUTED_VALUE"""),"AP")</f>
        <v>AP</v>
      </c>
      <c r="K661" s="34"/>
      <c r="L661" s="35" t="str">
        <f>IFERROR(__xludf.DUMMYFUNCTION("""COMPUTED_VALUE"""),"%")</f>
        <v>%</v>
      </c>
      <c r="M661" s="36">
        <f>IFERROR(__xludf.DUMMYFUNCTION("""COMPUTED_VALUE"""),1.0)</f>
        <v>1</v>
      </c>
      <c r="N661" s="37"/>
      <c r="O661" s="38"/>
      <c r="P661" s="34" t="str">
        <f>IFERROR(__xludf.DUMMYFUNCTION("""COMPUTED_VALUE"""),"")</f>
        <v/>
      </c>
      <c r="Q661" s="35" t="str">
        <f>IFERROR(__xludf.DUMMYFUNCTION("""COMPUTED_VALUE"""),"AP")</f>
        <v>AP</v>
      </c>
      <c r="R661" s="34" t="str">
        <f>IFERROR(__xludf.DUMMYFUNCTION("""COMPUTED_VALUE"""),"")</f>
        <v/>
      </c>
      <c r="S661" s="35" t="str">
        <f>IFERROR(__xludf.DUMMYFUNCTION("""COMPUTED_VALUE"""),"%")</f>
        <v>%</v>
      </c>
      <c r="T661" s="36">
        <f>IFERROR(__xludf.DUMMYFUNCTION("""COMPUTED_VALUE"""),2.0)</f>
        <v>2</v>
      </c>
      <c r="U661" s="37"/>
      <c r="V661" s="38"/>
      <c r="W661" s="34" t="str">
        <f>IFERROR(__xludf.DUMMYFUNCTION("""COMPUTED_VALUE"""),"")</f>
        <v/>
      </c>
      <c r="X661" s="35" t="str">
        <f>IFERROR(__xludf.DUMMYFUNCTION("""COMPUTED_VALUE"""),"AP")</f>
        <v>AP</v>
      </c>
      <c r="Y661" s="34" t="str">
        <f>IFERROR(__xludf.DUMMYFUNCTION("""COMPUTED_VALUE"""),"")</f>
        <v/>
      </c>
      <c r="Z661" s="35" t="str">
        <f>IFERROR(__xludf.DUMMYFUNCTION("""COMPUTED_VALUE"""),"%")</f>
        <v>%</v>
      </c>
      <c r="AA661" s="36">
        <f>IFERROR(__xludf.DUMMYFUNCTION("""COMPUTED_VALUE"""),3.0)</f>
        <v>3</v>
      </c>
      <c r="AB661" s="37"/>
      <c r="AC661" s="38"/>
      <c r="AD661" s="34" t="str">
        <f>IFERROR(__xludf.DUMMYFUNCTION("""COMPUTED_VALUE"""),"")</f>
        <v/>
      </c>
      <c r="AE661" s="35" t="str">
        <f>IFERROR(__xludf.DUMMYFUNCTION("""COMPUTED_VALUE"""),"AP")</f>
        <v>AP</v>
      </c>
      <c r="AF661" s="34" t="str">
        <f>IFERROR(__xludf.DUMMYFUNCTION("""COMPUTED_VALUE"""),"")</f>
        <v/>
      </c>
      <c r="AG661" s="35" t="str">
        <f>IFERROR(__xludf.DUMMYFUNCTION("""COMPUTED_VALUE"""),"%")</f>
        <v>%</v>
      </c>
      <c r="AH661" s="31"/>
      <c r="AI661" s="32"/>
      <c r="AJ661" s="39"/>
    </row>
    <row r="662" ht="24.75" hidden="1" customHeight="1">
      <c r="A662" s="40">
        <f>IFERROR(__xludf.DUMMYFUNCTION("""COMPUTED_VALUE"""),16.0)</f>
        <v>16</v>
      </c>
      <c r="B662" s="40" t="str">
        <f>IFERROR(__xludf.DUMMYFUNCTION("""COMPUTED_VALUE"""),"A220")</f>
        <v>A220</v>
      </c>
      <c r="C662" s="40"/>
      <c r="D662" s="41"/>
      <c r="E662" s="66"/>
      <c r="F662" s="43"/>
      <c r="G662" s="44"/>
      <c r="H662" s="33" t="str">
        <f>IFERROR(__xludf.DUMMYFUNCTION("""COMPUTED_VALUE""")," ")</f>
        <v> </v>
      </c>
      <c r="I662" s="45"/>
      <c r="J662" s="46" t="str">
        <f>IFERROR(__xludf.DUMMYFUNCTION("""COMPUTED_VALUE"""),"AP")</f>
        <v>AP</v>
      </c>
      <c r="K662" s="47"/>
      <c r="L662" s="48" t="str">
        <f>IFERROR(__xludf.DUMMYFUNCTION("""COMPUTED_VALUE"""),"%")</f>
        <v>%</v>
      </c>
      <c r="M662" s="49">
        <f>IFERROR(__xludf.DUMMYFUNCTION("""COMPUTED_VALUE"""),1.0)</f>
        <v>1</v>
      </c>
      <c r="N662" s="50"/>
      <c r="O662" s="38"/>
      <c r="P662" s="45" t="str">
        <f>IFERROR(__xludf.DUMMYFUNCTION("""COMPUTED_VALUE"""),"")</f>
        <v/>
      </c>
      <c r="Q662" s="46" t="str">
        <f>IFERROR(__xludf.DUMMYFUNCTION("""COMPUTED_VALUE"""),"AP")</f>
        <v>AP</v>
      </c>
      <c r="R662" s="47" t="str">
        <f>IFERROR(__xludf.DUMMYFUNCTION("""COMPUTED_VALUE"""),"")</f>
        <v/>
      </c>
      <c r="S662" s="48" t="str">
        <f>IFERROR(__xludf.DUMMYFUNCTION("""COMPUTED_VALUE"""),"%")</f>
        <v>%</v>
      </c>
      <c r="T662" s="49">
        <f>IFERROR(__xludf.DUMMYFUNCTION("""COMPUTED_VALUE"""),2.0)</f>
        <v>2</v>
      </c>
      <c r="U662" s="50"/>
      <c r="V662" s="38"/>
      <c r="W662" s="45" t="str">
        <f>IFERROR(__xludf.DUMMYFUNCTION("""COMPUTED_VALUE"""),"")</f>
        <v/>
      </c>
      <c r="X662" s="46" t="str">
        <f>IFERROR(__xludf.DUMMYFUNCTION("""COMPUTED_VALUE"""),"AP")</f>
        <v>AP</v>
      </c>
      <c r="Y662" s="47" t="str">
        <f>IFERROR(__xludf.DUMMYFUNCTION("""COMPUTED_VALUE"""),"")</f>
        <v/>
      </c>
      <c r="Z662" s="48" t="str">
        <f>IFERROR(__xludf.DUMMYFUNCTION("""COMPUTED_VALUE"""),"%")</f>
        <v>%</v>
      </c>
      <c r="AA662" s="49">
        <f>IFERROR(__xludf.DUMMYFUNCTION("""COMPUTED_VALUE"""),3.0)</f>
        <v>3</v>
      </c>
      <c r="AB662" s="50"/>
      <c r="AC662" s="38"/>
      <c r="AD662" s="45" t="str">
        <f>IFERROR(__xludf.DUMMYFUNCTION("""COMPUTED_VALUE"""),"")</f>
        <v/>
      </c>
      <c r="AE662" s="46" t="str">
        <f>IFERROR(__xludf.DUMMYFUNCTION("""COMPUTED_VALUE"""),"AP")</f>
        <v>AP</v>
      </c>
      <c r="AF662" s="47" t="str">
        <f>IFERROR(__xludf.DUMMYFUNCTION("""COMPUTED_VALUE"""),"")</f>
        <v/>
      </c>
      <c r="AG662" s="48" t="str">
        <f>IFERROR(__xludf.DUMMYFUNCTION("""COMPUTED_VALUE"""),"%")</f>
        <v>%</v>
      </c>
      <c r="AH662" s="43"/>
      <c r="AI662" s="44"/>
      <c r="AJ662" s="51"/>
    </row>
    <row r="663" ht="24.75" hidden="1" customHeight="1">
      <c r="A663" s="28">
        <f>IFERROR(__xludf.DUMMYFUNCTION("""COMPUTED_VALUE"""),17.0)</f>
        <v>17</v>
      </c>
      <c r="B663" s="28" t="str">
        <f>IFERROR(__xludf.DUMMYFUNCTION("""COMPUTED_VALUE"""),"A220")</f>
        <v>A220</v>
      </c>
      <c r="C663" s="28"/>
      <c r="D663" s="29"/>
      <c r="E663" s="67"/>
      <c r="F663" s="31"/>
      <c r="G663" s="32"/>
      <c r="H663" s="33" t="str">
        <f>IFERROR(__xludf.DUMMYFUNCTION("""COMPUTED_VALUE""")," ")</f>
        <v> </v>
      </c>
      <c r="I663" s="34"/>
      <c r="J663" s="35" t="str">
        <f>IFERROR(__xludf.DUMMYFUNCTION("""COMPUTED_VALUE"""),"AP")</f>
        <v>AP</v>
      </c>
      <c r="K663" s="34"/>
      <c r="L663" s="35" t="str">
        <f>IFERROR(__xludf.DUMMYFUNCTION("""COMPUTED_VALUE"""),"%")</f>
        <v>%</v>
      </c>
      <c r="M663" s="36">
        <f>IFERROR(__xludf.DUMMYFUNCTION("""COMPUTED_VALUE"""),1.0)</f>
        <v>1</v>
      </c>
      <c r="N663" s="37"/>
      <c r="O663" s="38"/>
      <c r="P663" s="34" t="str">
        <f>IFERROR(__xludf.DUMMYFUNCTION("""COMPUTED_VALUE"""),"")</f>
        <v/>
      </c>
      <c r="Q663" s="35" t="str">
        <f>IFERROR(__xludf.DUMMYFUNCTION("""COMPUTED_VALUE"""),"AP")</f>
        <v>AP</v>
      </c>
      <c r="R663" s="34" t="str">
        <f>IFERROR(__xludf.DUMMYFUNCTION("""COMPUTED_VALUE"""),"")</f>
        <v/>
      </c>
      <c r="S663" s="35" t="str">
        <f>IFERROR(__xludf.DUMMYFUNCTION("""COMPUTED_VALUE"""),"%")</f>
        <v>%</v>
      </c>
      <c r="T663" s="36">
        <f>IFERROR(__xludf.DUMMYFUNCTION("""COMPUTED_VALUE"""),2.0)</f>
        <v>2</v>
      </c>
      <c r="U663" s="37"/>
      <c r="V663" s="38"/>
      <c r="W663" s="34" t="str">
        <f>IFERROR(__xludf.DUMMYFUNCTION("""COMPUTED_VALUE"""),"")</f>
        <v/>
      </c>
      <c r="X663" s="35" t="str">
        <f>IFERROR(__xludf.DUMMYFUNCTION("""COMPUTED_VALUE"""),"AP")</f>
        <v>AP</v>
      </c>
      <c r="Y663" s="34" t="str">
        <f>IFERROR(__xludf.DUMMYFUNCTION("""COMPUTED_VALUE"""),"")</f>
        <v/>
      </c>
      <c r="Z663" s="35" t="str">
        <f>IFERROR(__xludf.DUMMYFUNCTION("""COMPUTED_VALUE"""),"%")</f>
        <v>%</v>
      </c>
      <c r="AA663" s="36">
        <f>IFERROR(__xludf.DUMMYFUNCTION("""COMPUTED_VALUE"""),3.0)</f>
        <v>3</v>
      </c>
      <c r="AB663" s="37"/>
      <c r="AC663" s="38"/>
      <c r="AD663" s="34" t="str">
        <f>IFERROR(__xludf.DUMMYFUNCTION("""COMPUTED_VALUE"""),"")</f>
        <v/>
      </c>
      <c r="AE663" s="35" t="str">
        <f>IFERROR(__xludf.DUMMYFUNCTION("""COMPUTED_VALUE"""),"AP")</f>
        <v>AP</v>
      </c>
      <c r="AF663" s="34" t="str">
        <f>IFERROR(__xludf.DUMMYFUNCTION("""COMPUTED_VALUE"""),"")</f>
        <v/>
      </c>
      <c r="AG663" s="35" t="str">
        <f>IFERROR(__xludf.DUMMYFUNCTION("""COMPUTED_VALUE"""),"%")</f>
        <v>%</v>
      </c>
      <c r="AH663" s="31"/>
      <c r="AI663" s="32"/>
      <c r="AJ663" s="39"/>
    </row>
    <row r="664" ht="24.75" hidden="1" customHeight="1">
      <c r="A664" s="40">
        <f>IFERROR(__xludf.DUMMYFUNCTION("""COMPUTED_VALUE"""),18.0)</f>
        <v>18</v>
      </c>
      <c r="B664" s="40" t="str">
        <f>IFERROR(__xludf.DUMMYFUNCTION("""COMPUTED_VALUE"""),"A220")</f>
        <v>A220</v>
      </c>
      <c r="C664" s="40"/>
      <c r="D664" s="41"/>
      <c r="E664" s="66"/>
      <c r="F664" s="43"/>
      <c r="G664" s="44"/>
      <c r="H664" s="33" t="str">
        <f>IFERROR(__xludf.DUMMYFUNCTION("""COMPUTED_VALUE""")," ")</f>
        <v> </v>
      </c>
      <c r="I664" s="45"/>
      <c r="J664" s="46" t="str">
        <f>IFERROR(__xludf.DUMMYFUNCTION("""COMPUTED_VALUE"""),"AP")</f>
        <v>AP</v>
      </c>
      <c r="K664" s="47"/>
      <c r="L664" s="48" t="str">
        <f>IFERROR(__xludf.DUMMYFUNCTION("""COMPUTED_VALUE"""),"%")</f>
        <v>%</v>
      </c>
      <c r="M664" s="49">
        <f>IFERROR(__xludf.DUMMYFUNCTION("""COMPUTED_VALUE"""),1.0)</f>
        <v>1</v>
      </c>
      <c r="N664" s="50"/>
      <c r="O664" s="38"/>
      <c r="P664" s="45" t="str">
        <f>IFERROR(__xludf.DUMMYFUNCTION("""COMPUTED_VALUE"""),"")</f>
        <v/>
      </c>
      <c r="Q664" s="46" t="str">
        <f>IFERROR(__xludf.DUMMYFUNCTION("""COMPUTED_VALUE"""),"AP")</f>
        <v>AP</v>
      </c>
      <c r="R664" s="47" t="str">
        <f>IFERROR(__xludf.DUMMYFUNCTION("""COMPUTED_VALUE"""),"")</f>
        <v/>
      </c>
      <c r="S664" s="48" t="str">
        <f>IFERROR(__xludf.DUMMYFUNCTION("""COMPUTED_VALUE"""),"%")</f>
        <v>%</v>
      </c>
      <c r="T664" s="49">
        <f>IFERROR(__xludf.DUMMYFUNCTION("""COMPUTED_VALUE"""),2.0)</f>
        <v>2</v>
      </c>
      <c r="U664" s="50"/>
      <c r="V664" s="38"/>
      <c r="W664" s="45" t="str">
        <f>IFERROR(__xludf.DUMMYFUNCTION("""COMPUTED_VALUE"""),"")</f>
        <v/>
      </c>
      <c r="X664" s="46" t="str">
        <f>IFERROR(__xludf.DUMMYFUNCTION("""COMPUTED_VALUE"""),"AP")</f>
        <v>AP</v>
      </c>
      <c r="Y664" s="47" t="str">
        <f>IFERROR(__xludf.DUMMYFUNCTION("""COMPUTED_VALUE"""),"")</f>
        <v/>
      </c>
      <c r="Z664" s="48" t="str">
        <f>IFERROR(__xludf.DUMMYFUNCTION("""COMPUTED_VALUE"""),"%")</f>
        <v>%</v>
      </c>
      <c r="AA664" s="49">
        <f>IFERROR(__xludf.DUMMYFUNCTION("""COMPUTED_VALUE"""),3.0)</f>
        <v>3</v>
      </c>
      <c r="AB664" s="50"/>
      <c r="AC664" s="38"/>
      <c r="AD664" s="45" t="str">
        <f>IFERROR(__xludf.DUMMYFUNCTION("""COMPUTED_VALUE"""),"")</f>
        <v/>
      </c>
      <c r="AE664" s="46" t="str">
        <f>IFERROR(__xludf.DUMMYFUNCTION("""COMPUTED_VALUE"""),"AP")</f>
        <v>AP</v>
      </c>
      <c r="AF664" s="47" t="str">
        <f>IFERROR(__xludf.DUMMYFUNCTION("""COMPUTED_VALUE"""),"")</f>
        <v/>
      </c>
      <c r="AG664" s="48" t="str">
        <f>IFERROR(__xludf.DUMMYFUNCTION("""COMPUTED_VALUE"""),"%")</f>
        <v>%</v>
      </c>
      <c r="AH664" s="43"/>
      <c r="AI664" s="44"/>
      <c r="AJ664" s="51"/>
    </row>
    <row r="665" ht="24.75" hidden="1" customHeight="1">
      <c r="A665" s="28">
        <f>IFERROR(__xludf.DUMMYFUNCTION("""COMPUTED_VALUE"""),19.0)</f>
        <v>19</v>
      </c>
      <c r="B665" s="28" t="str">
        <f>IFERROR(__xludf.DUMMYFUNCTION("""COMPUTED_VALUE"""),"A220")</f>
        <v>A220</v>
      </c>
      <c r="C665" s="28"/>
      <c r="D665" s="29"/>
      <c r="E665" s="67"/>
      <c r="F665" s="31"/>
      <c r="G665" s="32"/>
      <c r="H665" s="33" t="str">
        <f>IFERROR(__xludf.DUMMYFUNCTION("""COMPUTED_VALUE""")," ")</f>
        <v> </v>
      </c>
      <c r="I665" s="34"/>
      <c r="J665" s="35" t="str">
        <f>IFERROR(__xludf.DUMMYFUNCTION("""COMPUTED_VALUE"""),"AP")</f>
        <v>AP</v>
      </c>
      <c r="K665" s="34"/>
      <c r="L665" s="35" t="str">
        <f>IFERROR(__xludf.DUMMYFUNCTION("""COMPUTED_VALUE"""),"%")</f>
        <v>%</v>
      </c>
      <c r="M665" s="36">
        <f>IFERROR(__xludf.DUMMYFUNCTION("""COMPUTED_VALUE"""),1.0)</f>
        <v>1</v>
      </c>
      <c r="N665" s="37"/>
      <c r="O665" s="38"/>
      <c r="P665" s="34" t="str">
        <f>IFERROR(__xludf.DUMMYFUNCTION("""COMPUTED_VALUE"""),"")</f>
        <v/>
      </c>
      <c r="Q665" s="35" t="str">
        <f>IFERROR(__xludf.DUMMYFUNCTION("""COMPUTED_VALUE"""),"AP")</f>
        <v>AP</v>
      </c>
      <c r="R665" s="34" t="str">
        <f>IFERROR(__xludf.DUMMYFUNCTION("""COMPUTED_VALUE"""),"")</f>
        <v/>
      </c>
      <c r="S665" s="35" t="str">
        <f>IFERROR(__xludf.DUMMYFUNCTION("""COMPUTED_VALUE"""),"%")</f>
        <v>%</v>
      </c>
      <c r="T665" s="36">
        <f>IFERROR(__xludf.DUMMYFUNCTION("""COMPUTED_VALUE"""),2.0)</f>
        <v>2</v>
      </c>
      <c r="U665" s="37"/>
      <c r="V665" s="38"/>
      <c r="W665" s="34" t="str">
        <f>IFERROR(__xludf.DUMMYFUNCTION("""COMPUTED_VALUE"""),"")</f>
        <v/>
      </c>
      <c r="X665" s="35" t="str">
        <f>IFERROR(__xludf.DUMMYFUNCTION("""COMPUTED_VALUE"""),"AP")</f>
        <v>AP</v>
      </c>
      <c r="Y665" s="34" t="str">
        <f>IFERROR(__xludf.DUMMYFUNCTION("""COMPUTED_VALUE"""),"")</f>
        <v/>
      </c>
      <c r="Z665" s="35" t="str">
        <f>IFERROR(__xludf.DUMMYFUNCTION("""COMPUTED_VALUE"""),"%")</f>
        <v>%</v>
      </c>
      <c r="AA665" s="36">
        <f>IFERROR(__xludf.DUMMYFUNCTION("""COMPUTED_VALUE"""),3.0)</f>
        <v>3</v>
      </c>
      <c r="AB665" s="37"/>
      <c r="AC665" s="38"/>
      <c r="AD665" s="34" t="str">
        <f>IFERROR(__xludf.DUMMYFUNCTION("""COMPUTED_VALUE"""),"")</f>
        <v/>
      </c>
      <c r="AE665" s="35" t="str">
        <f>IFERROR(__xludf.DUMMYFUNCTION("""COMPUTED_VALUE"""),"AP")</f>
        <v>AP</v>
      </c>
      <c r="AF665" s="34" t="str">
        <f>IFERROR(__xludf.DUMMYFUNCTION("""COMPUTED_VALUE"""),"")</f>
        <v/>
      </c>
      <c r="AG665" s="35" t="str">
        <f>IFERROR(__xludf.DUMMYFUNCTION("""COMPUTED_VALUE"""),"%")</f>
        <v>%</v>
      </c>
      <c r="AH665" s="31"/>
      <c r="AI665" s="32"/>
      <c r="AJ665" s="39"/>
    </row>
    <row r="666" ht="24.75" hidden="1" customHeight="1">
      <c r="A666" s="40">
        <f>IFERROR(__xludf.DUMMYFUNCTION("""COMPUTED_VALUE"""),20.0)</f>
        <v>20</v>
      </c>
      <c r="B666" s="40" t="str">
        <f>IFERROR(__xludf.DUMMYFUNCTION("""COMPUTED_VALUE"""),"A220")</f>
        <v>A220</v>
      </c>
      <c r="C666" s="40"/>
      <c r="D666" s="41"/>
      <c r="E666" s="66"/>
      <c r="F666" s="43"/>
      <c r="G666" s="44"/>
      <c r="H666" s="33" t="str">
        <f>IFERROR(__xludf.DUMMYFUNCTION("""COMPUTED_VALUE""")," ")</f>
        <v> </v>
      </c>
      <c r="I666" s="45"/>
      <c r="J666" s="46" t="str">
        <f>IFERROR(__xludf.DUMMYFUNCTION("""COMPUTED_VALUE"""),"AP")</f>
        <v>AP</v>
      </c>
      <c r="K666" s="47"/>
      <c r="L666" s="48" t="str">
        <f>IFERROR(__xludf.DUMMYFUNCTION("""COMPUTED_VALUE"""),"%")</f>
        <v>%</v>
      </c>
      <c r="M666" s="49">
        <f>IFERROR(__xludf.DUMMYFUNCTION("""COMPUTED_VALUE"""),1.0)</f>
        <v>1</v>
      </c>
      <c r="N666" s="50"/>
      <c r="O666" s="38"/>
      <c r="P666" s="45" t="str">
        <f>IFERROR(__xludf.DUMMYFUNCTION("""COMPUTED_VALUE"""),"")</f>
        <v/>
      </c>
      <c r="Q666" s="46" t="str">
        <f>IFERROR(__xludf.DUMMYFUNCTION("""COMPUTED_VALUE"""),"AP")</f>
        <v>AP</v>
      </c>
      <c r="R666" s="47" t="str">
        <f>IFERROR(__xludf.DUMMYFUNCTION("""COMPUTED_VALUE"""),"")</f>
        <v/>
      </c>
      <c r="S666" s="48" t="str">
        <f>IFERROR(__xludf.DUMMYFUNCTION("""COMPUTED_VALUE"""),"%")</f>
        <v>%</v>
      </c>
      <c r="T666" s="49">
        <f>IFERROR(__xludf.DUMMYFUNCTION("""COMPUTED_VALUE"""),2.0)</f>
        <v>2</v>
      </c>
      <c r="U666" s="50"/>
      <c r="V666" s="38"/>
      <c r="W666" s="45" t="str">
        <f>IFERROR(__xludf.DUMMYFUNCTION("""COMPUTED_VALUE"""),"")</f>
        <v/>
      </c>
      <c r="X666" s="46" t="str">
        <f>IFERROR(__xludf.DUMMYFUNCTION("""COMPUTED_VALUE"""),"AP")</f>
        <v>AP</v>
      </c>
      <c r="Y666" s="47" t="str">
        <f>IFERROR(__xludf.DUMMYFUNCTION("""COMPUTED_VALUE"""),"")</f>
        <v/>
      </c>
      <c r="Z666" s="48" t="str">
        <f>IFERROR(__xludf.DUMMYFUNCTION("""COMPUTED_VALUE"""),"%")</f>
        <v>%</v>
      </c>
      <c r="AA666" s="49">
        <f>IFERROR(__xludf.DUMMYFUNCTION("""COMPUTED_VALUE"""),3.0)</f>
        <v>3</v>
      </c>
      <c r="AB666" s="50"/>
      <c r="AC666" s="38"/>
      <c r="AD666" s="45" t="str">
        <f>IFERROR(__xludf.DUMMYFUNCTION("""COMPUTED_VALUE"""),"")</f>
        <v/>
      </c>
      <c r="AE666" s="46" t="str">
        <f>IFERROR(__xludf.DUMMYFUNCTION("""COMPUTED_VALUE"""),"AP")</f>
        <v>AP</v>
      </c>
      <c r="AF666" s="47" t="str">
        <f>IFERROR(__xludf.DUMMYFUNCTION("""COMPUTED_VALUE"""),"")</f>
        <v/>
      </c>
      <c r="AG666" s="48" t="str">
        <f>IFERROR(__xludf.DUMMYFUNCTION("""COMPUTED_VALUE"""),"%")</f>
        <v>%</v>
      </c>
      <c r="AH666" s="43"/>
      <c r="AI666" s="44"/>
      <c r="AJ666" s="51"/>
    </row>
    <row r="667">
      <c r="A667" s="52"/>
      <c r="B667" s="53"/>
      <c r="C667" s="54"/>
      <c r="D667" s="55"/>
      <c r="E667" s="56"/>
      <c r="F667" s="53"/>
      <c r="G667" s="53"/>
      <c r="H667" s="53"/>
      <c r="I667" s="53"/>
      <c r="J667" s="57"/>
      <c r="K667" s="53"/>
      <c r="L667" s="57"/>
      <c r="M667" s="53"/>
      <c r="N667" s="53"/>
      <c r="O667" s="53"/>
      <c r="P667" s="53"/>
      <c r="Q667" s="57"/>
      <c r="R667" s="53"/>
      <c r="S667" s="57"/>
      <c r="T667" s="53"/>
      <c r="U667" s="53"/>
      <c r="V667" s="53"/>
      <c r="W667" s="53"/>
      <c r="X667" s="57"/>
      <c r="Y667" s="53"/>
      <c r="Z667" s="57"/>
      <c r="AA667" s="53"/>
      <c r="AB667" s="53"/>
      <c r="AC667" s="53"/>
      <c r="AD667" s="53"/>
      <c r="AE667" s="57"/>
      <c r="AF667" s="53"/>
      <c r="AG667" s="57"/>
      <c r="AH667" s="53"/>
      <c r="AI667" s="53"/>
      <c r="AJ667" s="58"/>
    </row>
    <row r="668">
      <c r="A668" s="59"/>
      <c r="B668" s="60"/>
      <c r="C668" s="61"/>
      <c r="D668" s="62"/>
      <c r="E668" s="63"/>
      <c r="F668" s="60"/>
      <c r="G668" s="60"/>
      <c r="H668" s="60"/>
      <c r="I668" s="60"/>
      <c r="J668" s="64"/>
      <c r="K668" s="60"/>
      <c r="L668" s="64"/>
      <c r="M668" s="60"/>
      <c r="N668" s="60"/>
      <c r="O668" s="60"/>
      <c r="P668" s="60"/>
      <c r="Q668" s="64"/>
      <c r="R668" s="60"/>
      <c r="S668" s="64"/>
      <c r="T668" s="60"/>
      <c r="U668" s="60"/>
      <c r="V668" s="60"/>
      <c r="W668" s="60"/>
      <c r="X668" s="64"/>
      <c r="Y668" s="60"/>
      <c r="Z668" s="64"/>
      <c r="AA668" s="60"/>
      <c r="AB668" s="60"/>
      <c r="AC668" s="60"/>
      <c r="AD668" s="60"/>
      <c r="AE668" s="64"/>
      <c r="AF668" s="60"/>
      <c r="AG668" s="64"/>
      <c r="AH668" s="60"/>
      <c r="AI668" s="60"/>
      <c r="AJ668" s="65"/>
    </row>
    <row r="669" ht="33.0" customHeight="1">
      <c r="A669" s="20" t="str">
        <f>IFERROR(__xludf.DUMMYFUNCTION("""COMPUTED_VALUE""")," ")</f>
        <v> </v>
      </c>
      <c r="B669" s="21" t="str">
        <f>IFERROR(__xludf.DUMMYFUNCTION("""COMPUTED_VALUE"""),"A101")</f>
        <v>A101</v>
      </c>
      <c r="C669" s="20"/>
      <c r="D669" s="22" t="str">
        <f>IFERROR(__xludf.DUMMYFUNCTION("""COMPUTED_VALUE"""),"")</f>
        <v/>
      </c>
      <c r="E669" s="23" t="str">
        <f>IFERROR(__xludf.DUMMYFUNCTION("""COMPUTED_VALUE"""),"Claw of Chaos")</f>
        <v>Claw of Chaos</v>
      </c>
      <c r="F669" s="24"/>
      <c r="G669" s="24"/>
      <c r="H669" s="25"/>
      <c r="I669" s="25"/>
      <c r="J669" s="26"/>
      <c r="K669" s="25"/>
      <c r="L669" s="26"/>
      <c r="M669" s="25"/>
      <c r="N669" s="25"/>
      <c r="O669" s="25"/>
      <c r="P669" s="25"/>
      <c r="Q669" s="26"/>
      <c r="R669" s="25"/>
      <c r="S669" s="26"/>
      <c r="T669" s="25"/>
      <c r="U669" s="25"/>
      <c r="V669" s="25"/>
      <c r="W669" s="25"/>
      <c r="X669" s="26"/>
      <c r="Y669" s="25"/>
      <c r="Z669" s="26"/>
      <c r="AA669" s="25"/>
      <c r="AB669" s="25"/>
      <c r="AC669" s="25"/>
      <c r="AD669" s="25"/>
      <c r="AE669" s="26"/>
      <c r="AF669" s="25"/>
      <c r="AG669" s="26"/>
      <c r="AH669" s="24"/>
      <c r="AI669" s="25"/>
      <c r="AJ669" s="27"/>
    </row>
    <row r="670" ht="24.75" customHeight="1">
      <c r="A670" s="28">
        <f>IFERROR(__xludf.DUMMYFUNCTION("""COMPUTED_VALUE"""),1.0)</f>
        <v>1</v>
      </c>
      <c r="B670" s="28" t="str">
        <f>IFERROR(__xludf.DUMMYFUNCTION("""COMPUTED_VALUE"""),"A101")</f>
        <v>A101</v>
      </c>
      <c r="C670" s="28" t="str">
        <f>IFERROR(__xludf.DUMMYFUNCTION("""COMPUTED_VALUE"""),"EPU7")</f>
        <v>EPU7</v>
      </c>
      <c r="D670" s="29" t="str">
        <f>IFERROR(__xludf.DUMMYFUNCTION("""COMPUTED_VALUE"""),"E Pluribus Unum")</f>
        <v>E Pluribus Unum</v>
      </c>
      <c r="E670" s="30" t="str">
        <f>IFERROR(__xludf.DUMMYFUNCTION("""COMPUTED_VALUE"""),"Des Moines")</f>
        <v>Des Moines</v>
      </c>
      <c r="F670" s="31">
        <f>IFERROR(__xludf.DUMMYFUNCTION("""COMPUTED_VALUE"""),18.0)</f>
        <v>18</v>
      </c>
      <c r="G670" s="32">
        <f>IFERROR(__xludf.DUMMYFUNCTION("""COMPUTED_VALUE"""),23872.0)</f>
        <v>23872</v>
      </c>
      <c r="H670" s="33" t="str">
        <f>IFERROR(__xludf.DUMMYFUNCTION("""COMPUTED_VALUE"""),"")</f>
        <v/>
      </c>
      <c r="I670" s="34">
        <f>IFERROR(__xludf.DUMMYFUNCTION("""COMPUTED_VALUE"""),89.7)</f>
        <v>89.7</v>
      </c>
      <c r="J670" s="35" t="str">
        <f>IFERROR(__xludf.DUMMYFUNCTION("""COMPUTED_VALUE"""),"AP")</f>
        <v>AP</v>
      </c>
      <c r="K670" s="34">
        <f>IFERROR(__xludf.DUMMYFUNCTION("""COMPUTED_VALUE"""),20.1)</f>
        <v>20.1</v>
      </c>
      <c r="L670" s="35" t="str">
        <f>IFERROR(__xludf.DUMMYFUNCTION("""COMPUTED_VALUE"""),"%")</f>
        <v>%</v>
      </c>
      <c r="M670" s="36">
        <f>IFERROR(__xludf.DUMMYFUNCTION("""COMPUTED_VALUE"""),1.0)</f>
        <v>1</v>
      </c>
      <c r="N670" s="37" t="str">
        <f>IFERROR(__xludf.DUMMYFUNCTION("""COMPUTED_VALUE"""),"A201")</f>
        <v>A201</v>
      </c>
      <c r="O670" s="38" t="str">
        <f>IFERROR(__xludf.DUMMYFUNCTION("""COMPUTED_VALUE"""),"")</f>
        <v/>
      </c>
      <c r="P670" s="34">
        <f>IFERROR(__xludf.DUMMYFUNCTION("""COMPUTED_VALUE"""),195.2)</f>
        <v>195.2</v>
      </c>
      <c r="Q670" s="35" t="str">
        <f>IFERROR(__xludf.DUMMYFUNCTION("""COMPUTED_VALUE"""),"AP")</f>
        <v>AP</v>
      </c>
      <c r="R670" s="34">
        <f>IFERROR(__xludf.DUMMYFUNCTION("""COMPUTED_VALUE"""),9.2)</f>
        <v>9.2</v>
      </c>
      <c r="S670" s="35" t="str">
        <f>IFERROR(__xludf.DUMMYFUNCTION("""COMPUTED_VALUE"""),"%")</f>
        <v>%</v>
      </c>
      <c r="T670" s="36">
        <f>IFERROR(__xludf.DUMMYFUNCTION("""COMPUTED_VALUE"""),2.0)</f>
        <v>2</v>
      </c>
      <c r="U670" s="37" t="str">
        <f>IFERROR(__xludf.DUMMYFUNCTION("""COMPUTED_VALUE"""),"A304")</f>
        <v>A304</v>
      </c>
      <c r="V670" s="38" t="str">
        <f>IFERROR(__xludf.DUMMYFUNCTION("""COMPUTED_VALUE"""),"")</f>
        <v/>
      </c>
      <c r="W670" s="34">
        <f>IFERROR(__xludf.DUMMYFUNCTION("""COMPUTED_VALUE"""),112.9)</f>
        <v>112.9</v>
      </c>
      <c r="X670" s="35" t="str">
        <f>IFERROR(__xludf.DUMMYFUNCTION("""COMPUTED_VALUE"""),"AP")</f>
        <v>AP</v>
      </c>
      <c r="Y670" s="34">
        <f>IFERROR(__xludf.DUMMYFUNCTION("""COMPUTED_VALUE"""),15.9)</f>
        <v>15.9</v>
      </c>
      <c r="Z670" s="35" t="str">
        <f>IFERROR(__xludf.DUMMYFUNCTION("""COMPUTED_VALUE"""),"%")</f>
        <v>%</v>
      </c>
      <c r="AA670" s="36">
        <f>IFERROR(__xludf.DUMMYFUNCTION("""COMPUTED_VALUE"""),3.0)</f>
        <v>3</v>
      </c>
      <c r="AB670" s="37" t="str">
        <f>IFERROR(__xludf.DUMMYFUNCTION("""COMPUTED_VALUE"""),"B116")</f>
        <v>B116</v>
      </c>
      <c r="AC670" s="38" t="str">
        <f>IFERROR(__xludf.DUMMYFUNCTION("""COMPUTED_VALUE"""),"")</f>
        <v/>
      </c>
      <c r="AD670" s="34">
        <f>IFERROR(__xludf.DUMMYFUNCTION("""COMPUTED_VALUE"""),197.9)</f>
        <v>197.9</v>
      </c>
      <c r="AE670" s="35" t="str">
        <f>IFERROR(__xludf.DUMMYFUNCTION("""COMPUTED_VALUE"""),"AP")</f>
        <v>AP</v>
      </c>
      <c r="AF670" s="34">
        <f>IFERROR(__xludf.DUMMYFUNCTION("""COMPUTED_VALUE"""),9.1)</f>
        <v>9.1</v>
      </c>
      <c r="AG670" s="35" t="str">
        <f>IFERROR(__xludf.DUMMYFUNCTION("""COMPUTED_VALUE"""),"%")</f>
        <v>%</v>
      </c>
      <c r="AH670" s="31">
        <f>IFERROR(__xludf.DUMMYFUNCTION("""COMPUTED_VALUE"""),18.0)</f>
        <v>18</v>
      </c>
      <c r="AI670" s="32">
        <f>IFERROR(__xludf.DUMMYFUNCTION("""COMPUTED_VALUE"""),23872.0)</f>
        <v>23872</v>
      </c>
      <c r="AJ670" s="39" t="str">
        <f>IFERROR(__xludf.DUMMYFUNCTION("""COMPUTED_VALUE"""),"デモイン")</f>
        <v>デモイン</v>
      </c>
    </row>
    <row r="671" ht="24.75" customHeight="1">
      <c r="A671" s="40">
        <f>IFERROR(__xludf.DUMMYFUNCTION("""COMPUTED_VALUE"""),2.0)</f>
        <v>2</v>
      </c>
      <c r="B671" s="40" t="str">
        <f>IFERROR(__xludf.DUMMYFUNCTION("""COMPUTED_VALUE"""),"A101")</f>
        <v>A101</v>
      </c>
      <c r="C671" s="40" t="str">
        <f>IFERROR(__xludf.DUMMYFUNCTION("""COMPUTED_VALUE"""),"AGT1")</f>
        <v>AGT1</v>
      </c>
      <c r="D671" s="41" t="str">
        <f>IFERROR(__xludf.DUMMYFUNCTION("""COMPUTED_VALUE"""),"Agartha")</f>
        <v>Agartha</v>
      </c>
      <c r="E671" s="42" t="str">
        <f>IFERROR(__xludf.DUMMYFUNCTION("""COMPUTED_VALUE"""),"Underground Plains")</f>
        <v>Underground Plains</v>
      </c>
      <c r="F671" s="43">
        <f>IFERROR(__xludf.DUMMYFUNCTION("""COMPUTED_VALUE"""),20.0)</f>
        <v>20</v>
      </c>
      <c r="G671" s="44">
        <f>IFERROR(__xludf.DUMMYFUNCTION("""COMPUTED_VALUE"""),26340.0)</f>
        <v>26340</v>
      </c>
      <c r="H671" s="33" t="str">
        <f>IFERROR(__xludf.DUMMYFUNCTION("""COMPUTED_VALUE"""),"")</f>
        <v/>
      </c>
      <c r="I671" s="45">
        <f>IFERROR(__xludf.DUMMYFUNCTION("""COMPUTED_VALUE"""),97.5)</f>
        <v>97.5</v>
      </c>
      <c r="J671" s="46" t="str">
        <f>IFERROR(__xludf.DUMMYFUNCTION("""COMPUTED_VALUE"""),"AP")</f>
        <v>AP</v>
      </c>
      <c r="K671" s="47">
        <f>IFERROR(__xludf.DUMMYFUNCTION("""COMPUTED_VALUE"""),20.4999999)</f>
        <v>20.4999999</v>
      </c>
      <c r="L671" s="48" t="str">
        <f>IFERROR(__xludf.DUMMYFUNCTION("""COMPUTED_VALUE"""),"%")</f>
        <v>%</v>
      </c>
      <c r="M671" s="49">
        <f>IFERROR(__xludf.DUMMYFUNCTION("""COMPUTED_VALUE"""),1.0)</f>
        <v>1</v>
      </c>
      <c r="N671" s="50" t="str">
        <f>IFERROR(__xludf.DUMMYFUNCTION("""COMPUTED_VALUE"""),"A303")</f>
        <v>A303</v>
      </c>
      <c r="O671" s="38" t="str">
        <f>IFERROR(__xludf.DUMMYFUNCTION("""COMPUTED_VALUE"""),"")</f>
        <v/>
      </c>
      <c r="P671" s="45">
        <f>IFERROR(__xludf.DUMMYFUNCTION("""COMPUTED_VALUE"""),50.1)</f>
        <v>50.1</v>
      </c>
      <c r="Q671" s="46" t="str">
        <f>IFERROR(__xludf.DUMMYFUNCTION("""COMPUTED_VALUE"""),"AP")</f>
        <v>AP</v>
      </c>
      <c r="R671" s="47">
        <f>IFERROR(__xludf.DUMMYFUNCTION("""COMPUTED_VALUE"""),39.9)</f>
        <v>39.9</v>
      </c>
      <c r="S671" s="48" t="str">
        <f>IFERROR(__xludf.DUMMYFUNCTION("""COMPUTED_VALUE"""),"%")</f>
        <v>%</v>
      </c>
      <c r="T671" s="49">
        <f>IFERROR(__xludf.DUMMYFUNCTION("""COMPUTED_VALUE"""),2.0)</f>
        <v>2</v>
      </c>
      <c r="U671" s="50" t="str">
        <f>IFERROR(__xludf.DUMMYFUNCTION("""COMPUTED_VALUE"""),"B107")</f>
        <v>B107</v>
      </c>
      <c r="V671" s="38" t="str">
        <f>IFERROR(__xludf.DUMMYFUNCTION("""COMPUTED_VALUE"""),"")</f>
        <v/>
      </c>
      <c r="W671" s="45">
        <f>IFERROR(__xludf.DUMMYFUNCTION("""COMPUTED_VALUE"""),393.1)</f>
        <v>393.1</v>
      </c>
      <c r="X671" s="46" t="str">
        <f>IFERROR(__xludf.DUMMYFUNCTION("""COMPUTED_VALUE"""),"AP")</f>
        <v>AP</v>
      </c>
      <c r="Y671" s="47">
        <f>IFERROR(__xludf.DUMMYFUNCTION("""COMPUTED_VALUE"""),5.1)</f>
        <v>5.1</v>
      </c>
      <c r="Z671" s="48" t="str">
        <f>IFERROR(__xludf.DUMMYFUNCTION("""COMPUTED_VALUE"""),"%")</f>
        <v>%</v>
      </c>
      <c r="AA671" s="49">
        <f>IFERROR(__xludf.DUMMYFUNCTION("""COMPUTED_VALUE"""),3.0)</f>
        <v>3</v>
      </c>
      <c r="AB671" s="50"/>
      <c r="AC671" s="38"/>
      <c r="AD671" s="45" t="str">
        <f>IFERROR(__xludf.DUMMYFUNCTION("""COMPUTED_VALUE"""),"")</f>
        <v/>
      </c>
      <c r="AE671" s="46" t="str">
        <f>IFERROR(__xludf.DUMMYFUNCTION("""COMPUTED_VALUE"""),"AP")</f>
        <v>AP</v>
      </c>
      <c r="AF671" s="47" t="str">
        <f>IFERROR(__xludf.DUMMYFUNCTION("""COMPUTED_VALUE"""),"")</f>
        <v/>
      </c>
      <c r="AG671" s="48" t="str">
        <f>IFERROR(__xludf.DUMMYFUNCTION("""COMPUTED_VALUE"""),"%")</f>
        <v>%</v>
      </c>
      <c r="AH671" s="43">
        <f>IFERROR(__xludf.DUMMYFUNCTION("""COMPUTED_VALUE"""),20.0)</f>
        <v>20</v>
      </c>
      <c r="AI671" s="44">
        <f>IFERROR(__xludf.DUMMYFUNCTION("""COMPUTED_VALUE"""),26340.0)</f>
        <v>26340</v>
      </c>
      <c r="AJ671" s="51" t="str">
        <f>IFERROR(__xludf.DUMMYFUNCTION("""COMPUTED_VALUE"""),"地底平原")</f>
        <v>地底平原</v>
      </c>
    </row>
    <row r="672" ht="24.75" customHeight="1">
      <c r="A672" s="28">
        <f>IFERROR(__xludf.DUMMYFUNCTION("""COMPUTED_VALUE"""),3.0)</f>
        <v>3</v>
      </c>
      <c r="B672" s="28" t="str">
        <f>IFERROR(__xludf.DUMMYFUNCTION("""COMPUTED_VALUE"""),"A101")</f>
        <v>A101</v>
      </c>
      <c r="C672" s="28" t="str">
        <f>IFERROR(__xludf.DUMMYFUNCTION("""COMPUTED_VALUE"""),"ANA14")</f>
        <v>ANA14</v>
      </c>
      <c r="D672" s="29" t="str">
        <f>IFERROR(__xludf.DUMMYFUNCTION("""COMPUTED_VALUE"""),"Anastasia")</f>
        <v>Anastasia</v>
      </c>
      <c r="E672" s="30" t="str">
        <f>IFERROR(__xludf.DUMMYFUNCTION("""COMPUTED_VALUE"""),"Yaga Ryazan")</f>
        <v>Yaga Ryazan</v>
      </c>
      <c r="F672" s="31">
        <f>IFERROR(__xludf.DUMMYFUNCTION("""COMPUTED_VALUE"""),21.0)</f>
        <v>21</v>
      </c>
      <c r="G672" s="32">
        <f>IFERROR(__xludf.DUMMYFUNCTION("""COMPUTED_VALUE"""),23979.0)</f>
        <v>23979</v>
      </c>
      <c r="H672" s="33" t="str">
        <f>IFERROR(__xludf.DUMMYFUNCTION("""COMPUTED_VALUE"""),"")</f>
        <v/>
      </c>
      <c r="I672" s="34">
        <f>IFERROR(__xludf.DUMMYFUNCTION("""COMPUTED_VALUE"""),101.9)</f>
        <v>101.9</v>
      </c>
      <c r="J672" s="35" t="str">
        <f>IFERROR(__xludf.DUMMYFUNCTION("""COMPUTED_VALUE"""),"AP")</f>
        <v>AP</v>
      </c>
      <c r="K672" s="34">
        <f>IFERROR(__xludf.DUMMYFUNCTION("""COMPUTED_VALUE"""),20.6)</f>
        <v>20.6</v>
      </c>
      <c r="L672" s="35" t="str">
        <f>IFERROR(__xludf.DUMMYFUNCTION("""COMPUTED_VALUE"""),"%")</f>
        <v>%</v>
      </c>
      <c r="M672" s="36">
        <f>IFERROR(__xludf.DUMMYFUNCTION("""COMPUTED_VALUE"""),1.0)</f>
        <v>1</v>
      </c>
      <c r="N672" s="37" t="str">
        <f>IFERROR(__xludf.DUMMYFUNCTION("""COMPUTED_VALUE"""),"A213")</f>
        <v>A213</v>
      </c>
      <c r="O672" s="38" t="str">
        <f>IFERROR(__xludf.DUMMYFUNCTION("""COMPUTED_VALUE"""),"")</f>
        <v/>
      </c>
      <c r="P672" s="34">
        <f>IFERROR(__xludf.DUMMYFUNCTION("""COMPUTED_VALUE"""),84.0)</f>
        <v>84</v>
      </c>
      <c r="Q672" s="35" t="str">
        <f>IFERROR(__xludf.DUMMYFUNCTION("""COMPUTED_VALUE"""),"AP")</f>
        <v>AP</v>
      </c>
      <c r="R672" s="34">
        <f>IFERROR(__xludf.DUMMYFUNCTION("""COMPUTED_VALUE"""),25.0)</f>
        <v>25</v>
      </c>
      <c r="S672" s="35" t="str">
        <f>IFERROR(__xludf.DUMMYFUNCTION("""COMPUTED_VALUE"""),"%")</f>
        <v>%</v>
      </c>
      <c r="T672" s="36">
        <f>IFERROR(__xludf.DUMMYFUNCTION("""COMPUTED_VALUE"""),2.0)</f>
        <v>2</v>
      </c>
      <c r="U672" s="37" t="str">
        <f>IFERROR(__xludf.DUMMYFUNCTION("""COMPUTED_VALUE"""),"B107")</f>
        <v>B107</v>
      </c>
      <c r="V672" s="38" t="str">
        <f>IFERROR(__xludf.DUMMYFUNCTION("""COMPUTED_VALUE"""),"")</f>
        <v/>
      </c>
      <c r="W672" s="34">
        <f>IFERROR(__xludf.DUMMYFUNCTION("""COMPUTED_VALUE"""),661.3)</f>
        <v>661.3</v>
      </c>
      <c r="X672" s="35" t="str">
        <f>IFERROR(__xludf.DUMMYFUNCTION("""COMPUTED_VALUE"""),"AP")</f>
        <v>AP</v>
      </c>
      <c r="Y672" s="34">
        <f>IFERROR(__xludf.DUMMYFUNCTION("""COMPUTED_VALUE"""),3.2)</f>
        <v>3.2</v>
      </c>
      <c r="Z672" s="35" t="str">
        <f>IFERROR(__xludf.DUMMYFUNCTION("""COMPUTED_VALUE"""),"%")</f>
        <v>%</v>
      </c>
      <c r="AA672" s="36">
        <f>IFERROR(__xludf.DUMMYFUNCTION("""COMPUTED_VALUE"""),3.0)</f>
        <v>3</v>
      </c>
      <c r="AB672" s="37" t="str">
        <f>IFERROR(__xludf.DUMMYFUNCTION("""COMPUTED_VALUE"""),"B116")</f>
        <v>B116</v>
      </c>
      <c r="AC672" s="38" t="str">
        <f>IFERROR(__xludf.DUMMYFUNCTION("""COMPUTED_VALUE"""),"")</f>
        <v/>
      </c>
      <c r="AD672" s="34">
        <f>IFERROR(__xludf.DUMMYFUNCTION("""COMPUTED_VALUE"""),59.7)</f>
        <v>59.7</v>
      </c>
      <c r="AE672" s="35" t="str">
        <f>IFERROR(__xludf.DUMMYFUNCTION("""COMPUTED_VALUE"""),"AP")</f>
        <v>AP</v>
      </c>
      <c r="AF672" s="34">
        <f>IFERROR(__xludf.DUMMYFUNCTION("""COMPUTED_VALUE"""),35.2)</f>
        <v>35.2</v>
      </c>
      <c r="AG672" s="35" t="str">
        <f>IFERROR(__xludf.DUMMYFUNCTION("""COMPUTED_VALUE"""),"%")</f>
        <v>%</v>
      </c>
      <c r="AH672" s="31">
        <f>IFERROR(__xludf.DUMMYFUNCTION("""COMPUTED_VALUE"""),21.0)</f>
        <v>21</v>
      </c>
      <c r="AI672" s="32">
        <f>IFERROR(__xludf.DUMMYFUNCTION("""COMPUTED_VALUE"""),23979.0)</f>
        <v>23979</v>
      </c>
      <c r="AJ672" s="39" t="str">
        <f>IFERROR(__xludf.DUMMYFUNCTION("""COMPUTED_VALUE"""),"ヤガ・リャザン")</f>
        <v>ヤガ・リャザン</v>
      </c>
    </row>
    <row r="673" ht="24.75" customHeight="1">
      <c r="A673" s="40">
        <f>IFERROR(__xludf.DUMMYFUNCTION("""COMPUTED_VALUE"""),4.0)</f>
        <v>4</v>
      </c>
      <c r="B673" s="40" t="str">
        <f>IFERROR(__xludf.DUMMYFUNCTION("""COMPUTED_VALUE"""),"A101")</f>
        <v>A101</v>
      </c>
      <c r="C673" s="40" t="str">
        <f>IFERROR(__xludf.DUMMYFUNCTION("""COMPUTED_VALUE"""),"OLP1")</f>
        <v>OLP1</v>
      </c>
      <c r="D673" s="41" t="str">
        <f>IFERROR(__xludf.DUMMYFUNCTION("""COMPUTED_VALUE"""),"Olympus")</f>
        <v>Olympus</v>
      </c>
      <c r="E673" s="42" t="str">
        <f>IFERROR(__xludf.DUMMYFUNCTION("""COMPUTED_VALUE"""),"Gliding Point")</f>
        <v>Gliding Point</v>
      </c>
      <c r="F673" s="43">
        <f>IFERROR(__xludf.DUMMYFUNCTION("""COMPUTED_VALUE"""),21.0)</f>
        <v>21</v>
      </c>
      <c r="G673" s="44">
        <f>IFERROR(__xludf.DUMMYFUNCTION("""COMPUTED_VALUE"""),8211.0)</f>
        <v>8211</v>
      </c>
      <c r="H673" s="33" t="str">
        <f>IFERROR(__xludf.DUMMYFUNCTION("""COMPUTED_VALUE"""),"")</f>
        <v/>
      </c>
      <c r="I673" s="45">
        <f>IFERROR(__xludf.DUMMYFUNCTION("""COMPUTED_VALUE"""),102.3)</f>
        <v>102.3</v>
      </c>
      <c r="J673" s="46" t="str">
        <f>IFERROR(__xludf.DUMMYFUNCTION("""COMPUTED_VALUE"""),"AP")</f>
        <v>AP</v>
      </c>
      <c r="K673" s="47">
        <f>IFERROR(__xludf.DUMMYFUNCTION("""COMPUTED_VALUE"""),20.5)</f>
        <v>20.5</v>
      </c>
      <c r="L673" s="48" t="str">
        <f>IFERROR(__xludf.DUMMYFUNCTION("""COMPUTED_VALUE"""),"%")</f>
        <v>%</v>
      </c>
      <c r="M673" s="49">
        <f>IFERROR(__xludf.DUMMYFUNCTION("""COMPUTED_VALUE"""),1.0)</f>
        <v>1</v>
      </c>
      <c r="N673" s="50" t="str">
        <f>IFERROR(__xludf.DUMMYFUNCTION("""COMPUTED_VALUE"""),"A204")</f>
        <v>A204</v>
      </c>
      <c r="O673" s="38" t="str">
        <f>IFERROR(__xludf.DUMMYFUNCTION("""COMPUTED_VALUE"""),"")</f>
        <v/>
      </c>
      <c r="P673" s="45">
        <f>IFERROR(__xludf.DUMMYFUNCTION("""COMPUTED_VALUE"""),81.3)</f>
        <v>81.3</v>
      </c>
      <c r="Q673" s="46" t="str">
        <f>IFERROR(__xludf.DUMMYFUNCTION("""COMPUTED_VALUE"""),"AP")</f>
        <v>AP</v>
      </c>
      <c r="R673" s="47">
        <f>IFERROR(__xludf.DUMMYFUNCTION("""COMPUTED_VALUE"""),25.8)</f>
        <v>25.8</v>
      </c>
      <c r="S673" s="48" t="str">
        <f>IFERROR(__xludf.DUMMYFUNCTION("""COMPUTED_VALUE"""),"%")</f>
        <v>%</v>
      </c>
      <c r="T673" s="49">
        <f>IFERROR(__xludf.DUMMYFUNCTION("""COMPUTED_VALUE"""),2.0)</f>
        <v>2</v>
      </c>
      <c r="U673" s="50" t="str">
        <f>IFERROR(__xludf.DUMMYFUNCTION("""COMPUTED_VALUE"""),"B115")</f>
        <v>B115</v>
      </c>
      <c r="V673" s="38" t="str">
        <f>IFERROR(__xludf.DUMMYFUNCTION("""COMPUTED_VALUE"""),"")</f>
        <v/>
      </c>
      <c r="W673" s="45">
        <f>IFERROR(__xludf.DUMMYFUNCTION("""COMPUTED_VALUE"""),38.2)</f>
        <v>38.2</v>
      </c>
      <c r="X673" s="46" t="str">
        <f>IFERROR(__xludf.DUMMYFUNCTION("""COMPUTED_VALUE"""),"AP")</f>
        <v>AP</v>
      </c>
      <c r="Y673" s="47">
        <f>IFERROR(__xludf.DUMMYFUNCTION("""COMPUTED_VALUE"""),55.0)</f>
        <v>55</v>
      </c>
      <c r="Z673" s="48" t="str">
        <f>IFERROR(__xludf.DUMMYFUNCTION("""COMPUTED_VALUE"""),"%")</f>
        <v>%</v>
      </c>
      <c r="AA673" s="49">
        <f>IFERROR(__xludf.DUMMYFUNCTION("""COMPUTED_VALUE"""),3.0)</f>
        <v>3</v>
      </c>
      <c r="AB673" s="50" t="str">
        <f>IFERROR(__xludf.DUMMYFUNCTION("""COMPUTED_VALUE"""),"B117")</f>
        <v>B117</v>
      </c>
      <c r="AC673" s="38" t="str">
        <f>IFERROR(__xludf.DUMMYFUNCTION("""COMPUTED_VALUE"""),"")</f>
        <v/>
      </c>
      <c r="AD673" s="45">
        <f>IFERROR(__xludf.DUMMYFUNCTION("""COMPUTED_VALUE"""),294.2)</f>
        <v>294.2</v>
      </c>
      <c r="AE673" s="46" t="str">
        <f>IFERROR(__xludf.DUMMYFUNCTION("""COMPUTED_VALUE"""),"AP")</f>
        <v>AP</v>
      </c>
      <c r="AF673" s="47">
        <f>IFERROR(__xludf.DUMMYFUNCTION("""COMPUTED_VALUE"""),7.1)</f>
        <v>7.1</v>
      </c>
      <c r="AG673" s="48" t="str">
        <f>IFERROR(__xludf.DUMMYFUNCTION("""COMPUTED_VALUE"""),"%")</f>
        <v>%</v>
      </c>
      <c r="AH673" s="43">
        <f>IFERROR(__xludf.DUMMYFUNCTION("""COMPUTED_VALUE"""),21.0)</f>
        <v>21</v>
      </c>
      <c r="AI673" s="44">
        <f>IFERROR(__xludf.DUMMYFUNCTION("""COMPUTED_VALUE"""),8211.0)</f>
        <v>8211</v>
      </c>
      <c r="AJ673" s="51" t="str">
        <f>IFERROR(__xludf.DUMMYFUNCTION("""COMPUTED_VALUE"""),"グライディングポイント")</f>
        <v>グライディングポイント</v>
      </c>
    </row>
    <row r="674" ht="24.75" customHeight="1">
      <c r="A674" s="28">
        <f>IFERROR(__xludf.DUMMYFUNCTION("""COMPUTED_VALUE"""),5.0)</f>
        <v>5</v>
      </c>
      <c r="B674" s="28" t="str">
        <f>IFERROR(__xludf.DUMMYFUNCTION("""COMPUTED_VALUE"""),"A101")</f>
        <v>A101</v>
      </c>
      <c r="C674" s="28" t="str">
        <f>IFERROR(__xludf.DUMMYFUNCTION("""COMPUTED_VALUE"""),"ATL3")</f>
        <v>ATL3</v>
      </c>
      <c r="D674" s="29" t="str">
        <f>IFERROR(__xludf.DUMMYFUNCTION("""COMPUTED_VALUE"""),"Atlantis")</f>
        <v>Atlantis</v>
      </c>
      <c r="E674" s="30" t="str">
        <f>IFERROR(__xludf.DUMMYFUNCTION("""COMPUTED_VALUE"""),"Hecate Island")</f>
        <v>Hecate Island</v>
      </c>
      <c r="F674" s="31">
        <f>IFERROR(__xludf.DUMMYFUNCTION("""COMPUTED_VALUE"""),21.0)</f>
        <v>21</v>
      </c>
      <c r="G674" s="32">
        <f>IFERROR(__xludf.DUMMYFUNCTION("""COMPUTED_VALUE"""),5012.0)</f>
        <v>5012</v>
      </c>
      <c r="H674" s="33" t="str">
        <f>IFERROR(__xludf.DUMMYFUNCTION("""COMPUTED_VALUE"""),"")</f>
        <v/>
      </c>
      <c r="I674" s="34">
        <f>IFERROR(__xludf.DUMMYFUNCTION("""COMPUTED_VALUE"""),107.4)</f>
        <v>107.4</v>
      </c>
      <c r="J674" s="35" t="str">
        <f>IFERROR(__xludf.DUMMYFUNCTION("""COMPUTED_VALUE"""),"AP")</f>
        <v>AP</v>
      </c>
      <c r="K674" s="34">
        <f>IFERROR(__xludf.DUMMYFUNCTION("""COMPUTED_VALUE"""),19.6)</f>
        <v>19.6</v>
      </c>
      <c r="L674" s="35" t="str">
        <f>IFERROR(__xludf.DUMMYFUNCTION("""COMPUTED_VALUE"""),"%")</f>
        <v>%</v>
      </c>
      <c r="M674" s="36">
        <f>IFERROR(__xludf.DUMMYFUNCTION("""COMPUTED_VALUE"""),1.0)</f>
        <v>1</v>
      </c>
      <c r="N674" s="37" t="str">
        <f>IFERROR(__xludf.DUMMYFUNCTION("""COMPUTED_VALUE"""),"A218")</f>
        <v>A218</v>
      </c>
      <c r="O674" s="38" t="str">
        <f>IFERROR(__xludf.DUMMYFUNCTION("""COMPUTED_VALUE"""),"")</f>
        <v/>
      </c>
      <c r="P674" s="34">
        <f>IFERROR(__xludf.DUMMYFUNCTION("""COMPUTED_VALUE"""),83.9)</f>
        <v>83.9</v>
      </c>
      <c r="Q674" s="35" t="str">
        <f>IFERROR(__xludf.DUMMYFUNCTION("""COMPUTED_VALUE"""),"AP")</f>
        <v>AP</v>
      </c>
      <c r="R674" s="34">
        <f>IFERROR(__xludf.DUMMYFUNCTION("""COMPUTED_VALUE"""),25.0)</f>
        <v>25</v>
      </c>
      <c r="S674" s="35" t="str">
        <f>IFERROR(__xludf.DUMMYFUNCTION("""COMPUTED_VALUE"""),"%")</f>
        <v>%</v>
      </c>
      <c r="T674" s="36">
        <f>IFERROR(__xludf.DUMMYFUNCTION("""COMPUTED_VALUE"""),2.0)</f>
        <v>2</v>
      </c>
      <c r="U674" s="37" t="str">
        <f>IFERROR(__xludf.DUMMYFUNCTION("""COMPUTED_VALUE"""),"B117")</f>
        <v>B117</v>
      </c>
      <c r="V674" s="38" t="str">
        <f>IFERROR(__xludf.DUMMYFUNCTION("""COMPUTED_VALUE"""),"")</f>
        <v/>
      </c>
      <c r="W674" s="34">
        <f>IFERROR(__xludf.DUMMYFUNCTION("""COMPUTED_VALUE"""),43.4)</f>
        <v>43.4</v>
      </c>
      <c r="X674" s="35" t="str">
        <f>IFERROR(__xludf.DUMMYFUNCTION("""COMPUTED_VALUE"""),"AP")</f>
        <v>AP</v>
      </c>
      <c r="Y674" s="34">
        <f>IFERROR(__xludf.DUMMYFUNCTION("""COMPUTED_VALUE"""),48.4)</f>
        <v>48.4</v>
      </c>
      <c r="Z674" s="35" t="str">
        <f>IFERROR(__xludf.DUMMYFUNCTION("""COMPUTED_VALUE"""),"%")</f>
        <v>%</v>
      </c>
      <c r="AA674" s="36">
        <f>IFERROR(__xludf.DUMMYFUNCTION("""COMPUTED_VALUE"""),3.0)</f>
        <v>3</v>
      </c>
      <c r="AB674" s="37"/>
      <c r="AC674" s="38"/>
      <c r="AD674" s="34" t="str">
        <f>IFERROR(__xludf.DUMMYFUNCTION("""COMPUTED_VALUE"""),"")</f>
        <v/>
      </c>
      <c r="AE674" s="35" t="str">
        <f>IFERROR(__xludf.DUMMYFUNCTION("""COMPUTED_VALUE"""),"AP")</f>
        <v>AP</v>
      </c>
      <c r="AF674" s="34" t="str">
        <f>IFERROR(__xludf.DUMMYFUNCTION("""COMPUTED_VALUE"""),"")</f>
        <v/>
      </c>
      <c r="AG674" s="35" t="str">
        <f>IFERROR(__xludf.DUMMYFUNCTION("""COMPUTED_VALUE"""),"%")</f>
        <v>%</v>
      </c>
      <c r="AH674" s="31">
        <f>IFERROR(__xludf.DUMMYFUNCTION("""COMPUTED_VALUE"""),21.0)</f>
        <v>21</v>
      </c>
      <c r="AI674" s="32">
        <f>IFERROR(__xludf.DUMMYFUNCTION("""COMPUTED_VALUE"""),5012.0)</f>
        <v>5012</v>
      </c>
      <c r="AJ674" s="39" t="str">
        <f>IFERROR(__xludf.DUMMYFUNCTION("""COMPUTED_VALUE"""),"ヘカテ島")</f>
        <v>ヘカテ島</v>
      </c>
    </row>
    <row r="675" ht="24.75" customHeight="1">
      <c r="A675" s="40">
        <f>IFERROR(__xludf.DUMMYFUNCTION("""COMPUTED_VALUE"""),6.0)</f>
        <v>6</v>
      </c>
      <c r="B675" s="40" t="str">
        <f>IFERROR(__xludf.DUMMYFUNCTION("""COMPUTED_VALUE"""),"A101")</f>
        <v>A101</v>
      </c>
      <c r="C675" s="40" t="str">
        <f>IFERROR(__xludf.DUMMYFUNCTION("""COMPUTED_VALUE"""),"YKS5")</f>
        <v>YKS5</v>
      </c>
      <c r="D675" s="41" t="str">
        <f>IFERROR(__xludf.DUMMYFUNCTION("""COMPUTED_VALUE"""),"Yuga Kurukshetra")</f>
        <v>Yuga Kurukshetra</v>
      </c>
      <c r="E675" s="42" t="str">
        <f>IFERROR(__xludf.DUMMYFUNCTION("""COMPUTED_VALUE"""),"Western Fault")</f>
        <v>Western Fault</v>
      </c>
      <c r="F675" s="43">
        <f>IFERROR(__xludf.DUMMYFUNCTION("""COMPUTED_VALUE"""),21.0)</f>
        <v>21</v>
      </c>
      <c r="G675" s="44">
        <f>IFERROR(__xludf.DUMMYFUNCTION("""COMPUTED_VALUE"""),12456.0)</f>
        <v>12456</v>
      </c>
      <c r="H675" s="33" t="str">
        <f>IFERROR(__xludf.DUMMYFUNCTION("""COMPUTED_VALUE"""),"")</f>
        <v/>
      </c>
      <c r="I675" s="45">
        <f>IFERROR(__xludf.DUMMYFUNCTION("""COMPUTED_VALUE"""),108.2)</f>
        <v>108.2</v>
      </c>
      <c r="J675" s="46" t="str">
        <f>IFERROR(__xludf.DUMMYFUNCTION("""COMPUTED_VALUE"""),"AP")</f>
        <v>AP</v>
      </c>
      <c r="K675" s="47">
        <f>IFERROR(__xludf.DUMMYFUNCTION("""COMPUTED_VALUE"""),19.4)</f>
        <v>19.4</v>
      </c>
      <c r="L675" s="48" t="str">
        <f>IFERROR(__xludf.DUMMYFUNCTION("""COMPUTED_VALUE"""),"%")</f>
        <v>%</v>
      </c>
      <c r="M675" s="49">
        <f>IFERROR(__xludf.DUMMYFUNCTION("""COMPUTED_VALUE"""),1.0)</f>
        <v>1</v>
      </c>
      <c r="N675" s="50" t="str">
        <f>IFERROR(__xludf.DUMMYFUNCTION("""COMPUTED_VALUE"""),"A217")</f>
        <v>A217</v>
      </c>
      <c r="O675" s="38" t="str">
        <f>IFERROR(__xludf.DUMMYFUNCTION("""COMPUTED_VALUE"""),"")</f>
        <v/>
      </c>
      <c r="P675" s="45">
        <f>IFERROR(__xludf.DUMMYFUNCTION("""COMPUTED_VALUE"""),83.5)</f>
        <v>83.5</v>
      </c>
      <c r="Q675" s="46" t="str">
        <f>IFERROR(__xludf.DUMMYFUNCTION("""COMPUTED_VALUE"""),"AP")</f>
        <v>AP</v>
      </c>
      <c r="R675" s="47">
        <f>IFERROR(__xludf.DUMMYFUNCTION("""COMPUTED_VALUE"""),25.2)</f>
        <v>25.2</v>
      </c>
      <c r="S675" s="48" t="str">
        <f>IFERROR(__xludf.DUMMYFUNCTION("""COMPUTED_VALUE"""),"%")</f>
        <v>%</v>
      </c>
      <c r="T675" s="49">
        <f>IFERROR(__xludf.DUMMYFUNCTION("""COMPUTED_VALUE"""),2.0)</f>
        <v>2</v>
      </c>
      <c r="U675" s="50" t="str">
        <f>IFERROR(__xludf.DUMMYFUNCTION("""COMPUTED_VALUE"""),"B114")</f>
        <v>B114</v>
      </c>
      <c r="V675" s="38" t="str">
        <f>IFERROR(__xludf.DUMMYFUNCTION("""COMPUTED_VALUE"""),"")</f>
        <v/>
      </c>
      <c r="W675" s="45">
        <f>IFERROR(__xludf.DUMMYFUNCTION("""COMPUTED_VALUE"""),88.2)</f>
        <v>88.2</v>
      </c>
      <c r="X675" s="46" t="str">
        <f>IFERROR(__xludf.DUMMYFUNCTION("""COMPUTED_VALUE"""),"AP")</f>
        <v>AP</v>
      </c>
      <c r="Y675" s="47">
        <f>IFERROR(__xludf.DUMMYFUNCTION("""COMPUTED_VALUE"""),23.8)</f>
        <v>23.8</v>
      </c>
      <c r="Z675" s="48" t="str">
        <f>IFERROR(__xludf.DUMMYFUNCTION("""COMPUTED_VALUE"""),"%")</f>
        <v>%</v>
      </c>
      <c r="AA675" s="49">
        <f>IFERROR(__xludf.DUMMYFUNCTION("""COMPUTED_VALUE"""),3.0)</f>
        <v>3</v>
      </c>
      <c r="AB675" s="50"/>
      <c r="AC675" s="38"/>
      <c r="AD675" s="45" t="str">
        <f>IFERROR(__xludf.DUMMYFUNCTION("""COMPUTED_VALUE"""),"")</f>
        <v/>
      </c>
      <c r="AE675" s="46" t="str">
        <f>IFERROR(__xludf.DUMMYFUNCTION("""COMPUTED_VALUE"""),"AP")</f>
        <v>AP</v>
      </c>
      <c r="AF675" s="47" t="str">
        <f>IFERROR(__xludf.DUMMYFUNCTION("""COMPUTED_VALUE"""),"")</f>
        <v/>
      </c>
      <c r="AG675" s="48" t="str">
        <f>IFERROR(__xludf.DUMMYFUNCTION("""COMPUTED_VALUE"""),"%")</f>
        <v>%</v>
      </c>
      <c r="AH675" s="43">
        <f>IFERROR(__xludf.DUMMYFUNCTION("""COMPUTED_VALUE"""),21.0)</f>
        <v>21</v>
      </c>
      <c r="AI675" s="44">
        <f>IFERROR(__xludf.DUMMYFUNCTION("""COMPUTED_VALUE"""),12456.0)</f>
        <v>12456</v>
      </c>
      <c r="AJ675" s="51" t="str">
        <f>IFERROR(__xludf.DUMMYFUNCTION("""COMPUTED_VALUE"""),"西の断層")</f>
        <v>西の断層</v>
      </c>
    </row>
    <row r="676" ht="24.75" customHeight="1">
      <c r="A676" s="28">
        <f>IFERROR(__xludf.DUMMYFUNCTION("""COMPUTED_VALUE"""),7.0)</f>
        <v>7</v>
      </c>
      <c r="B676" s="28" t="str">
        <f>IFERROR(__xludf.DUMMYFUNCTION("""COMPUTED_VALUE"""),"A101")</f>
        <v>A101</v>
      </c>
      <c r="C676" s="28" t="str">
        <f>IFERROR(__xludf.DUMMYFUNCTION("""COMPUTED_VALUE"""),"SJK4")</f>
        <v>SJK4</v>
      </c>
      <c r="D676" s="29" t="str">
        <f>IFERROR(__xludf.DUMMYFUNCTION("""COMPUTED_VALUE"""),"Shinjuku")</f>
        <v>Shinjuku</v>
      </c>
      <c r="E676" s="30" t="str">
        <f>IFERROR(__xludf.DUMMYFUNCTION("""COMPUTED_VALUE"""),"Shinjuku 4-Chome")</f>
        <v>Shinjuku 4-Chome</v>
      </c>
      <c r="F676" s="31">
        <f>IFERROR(__xludf.DUMMYFUNCTION("""COMPUTED_VALUE"""),21.0)</f>
        <v>21</v>
      </c>
      <c r="G676" s="32">
        <f>IFERROR(__xludf.DUMMYFUNCTION("""COMPUTED_VALUE"""),50000.0)</f>
        <v>50000</v>
      </c>
      <c r="H676" s="33" t="str">
        <f>IFERROR(__xludf.DUMMYFUNCTION("""COMPUTED_VALUE"""),"")</f>
        <v/>
      </c>
      <c r="I676" s="34">
        <f>IFERROR(__xludf.DUMMYFUNCTION("""COMPUTED_VALUE"""),116.0)</f>
        <v>116</v>
      </c>
      <c r="J676" s="35" t="str">
        <f>IFERROR(__xludf.DUMMYFUNCTION("""COMPUTED_VALUE"""),"AP")</f>
        <v>AP</v>
      </c>
      <c r="K676" s="34">
        <f>IFERROR(__xludf.DUMMYFUNCTION("""COMPUTED_VALUE"""),18.1)</f>
        <v>18.1</v>
      </c>
      <c r="L676" s="35" t="str">
        <f>IFERROR(__xludf.DUMMYFUNCTION("""COMPUTED_VALUE"""),"%")</f>
        <v>%</v>
      </c>
      <c r="M676" s="36">
        <f>IFERROR(__xludf.DUMMYFUNCTION("""COMPUTED_VALUE"""),1.0)</f>
        <v>1</v>
      </c>
      <c r="N676" s="37" t="str">
        <f>IFERROR(__xludf.DUMMYFUNCTION("""COMPUTED_VALUE"""),"A307")</f>
        <v>A307</v>
      </c>
      <c r="O676" s="38" t="str">
        <f>IFERROR(__xludf.DUMMYFUNCTION("""COMPUTED_VALUE"""),"")</f>
        <v/>
      </c>
      <c r="P676" s="34">
        <f>IFERROR(__xludf.DUMMYFUNCTION("""COMPUTED_VALUE"""),51.7)</f>
        <v>51.7</v>
      </c>
      <c r="Q676" s="35" t="str">
        <f>IFERROR(__xludf.DUMMYFUNCTION("""COMPUTED_VALUE"""),"AP")</f>
        <v>AP</v>
      </c>
      <c r="R676" s="34">
        <f>IFERROR(__xludf.DUMMYFUNCTION("""COMPUTED_VALUE"""),40.6)</f>
        <v>40.6</v>
      </c>
      <c r="S676" s="35" t="str">
        <f>IFERROR(__xludf.DUMMYFUNCTION("""COMPUTED_VALUE"""),"%")</f>
        <v>%</v>
      </c>
      <c r="T676" s="36">
        <f>IFERROR(__xludf.DUMMYFUNCTION("""COMPUTED_VALUE"""),2.0)</f>
        <v>2</v>
      </c>
      <c r="U676" s="37" t="str">
        <f>IFERROR(__xludf.DUMMYFUNCTION("""COMPUTED_VALUE"""),"B107")</f>
        <v>B107</v>
      </c>
      <c r="V676" s="38" t="str">
        <f>IFERROR(__xludf.DUMMYFUNCTION("""COMPUTED_VALUE"""),"")</f>
        <v/>
      </c>
      <c r="W676" s="34">
        <f>IFERROR(__xludf.DUMMYFUNCTION("""COMPUTED_VALUE"""),411.9)</f>
        <v>411.9</v>
      </c>
      <c r="X676" s="35" t="str">
        <f>IFERROR(__xludf.DUMMYFUNCTION("""COMPUTED_VALUE"""),"AP")</f>
        <v>AP</v>
      </c>
      <c r="Y676" s="34">
        <f>IFERROR(__xludf.DUMMYFUNCTION("""COMPUTED_VALUE"""),5.1)</f>
        <v>5.1</v>
      </c>
      <c r="Z676" s="35" t="str">
        <f>IFERROR(__xludf.DUMMYFUNCTION("""COMPUTED_VALUE"""),"%")</f>
        <v>%</v>
      </c>
      <c r="AA676" s="36">
        <f>IFERROR(__xludf.DUMMYFUNCTION("""COMPUTED_VALUE"""),3.0)</f>
        <v>3</v>
      </c>
      <c r="AB676" s="37"/>
      <c r="AC676" s="38"/>
      <c r="AD676" s="34" t="str">
        <f>IFERROR(__xludf.DUMMYFUNCTION("""COMPUTED_VALUE"""),"")</f>
        <v/>
      </c>
      <c r="AE676" s="35" t="str">
        <f>IFERROR(__xludf.DUMMYFUNCTION("""COMPUTED_VALUE"""),"AP")</f>
        <v>AP</v>
      </c>
      <c r="AF676" s="34" t="str">
        <f>IFERROR(__xludf.DUMMYFUNCTION("""COMPUTED_VALUE"""),"")</f>
        <v/>
      </c>
      <c r="AG676" s="35" t="str">
        <f>IFERROR(__xludf.DUMMYFUNCTION("""COMPUTED_VALUE"""),"%")</f>
        <v>%</v>
      </c>
      <c r="AH676" s="31">
        <f>IFERROR(__xludf.DUMMYFUNCTION("""COMPUTED_VALUE"""),21.0)</f>
        <v>21</v>
      </c>
      <c r="AI676" s="32">
        <f>IFERROR(__xludf.DUMMYFUNCTION("""COMPUTED_VALUE"""),50000.0)</f>
        <v>50000</v>
      </c>
      <c r="AJ676" s="39" t="str">
        <f>IFERROR(__xludf.DUMMYFUNCTION("""COMPUTED_VALUE"""),"新宿四丁目")</f>
        <v>新宿四丁目</v>
      </c>
    </row>
    <row r="677" ht="24.75" customHeight="1">
      <c r="A677" s="40">
        <f>IFERROR(__xludf.DUMMYFUNCTION("""COMPUTED_VALUE"""),8.0)</f>
        <v>8</v>
      </c>
      <c r="B677" s="40" t="str">
        <f>IFERROR(__xludf.DUMMYFUNCTION("""COMPUTED_VALUE"""),"A101")</f>
        <v>A101</v>
      </c>
      <c r="C677" s="40" t="str">
        <f>IFERROR(__xludf.DUMMYFUNCTION("""COMPUTED_VALUE"""),"BBL6")</f>
        <v>BBL6</v>
      </c>
      <c r="D677" s="41" t="str">
        <f>IFERROR(__xludf.DUMMYFUNCTION("""COMPUTED_VALUE"""),"Babylonia")</f>
        <v>Babylonia</v>
      </c>
      <c r="E677" s="42" t="str">
        <f>IFERROR(__xludf.DUMMYFUNCTION("""COMPUTED_VALUE"""),"Ur")</f>
        <v>Ur</v>
      </c>
      <c r="F677" s="43">
        <f>IFERROR(__xludf.DUMMYFUNCTION("""COMPUTED_VALUE"""),21.0)</f>
        <v>21</v>
      </c>
      <c r="G677" s="44">
        <f>IFERROR(__xludf.DUMMYFUNCTION("""COMPUTED_VALUE"""),22584.0)</f>
        <v>22584</v>
      </c>
      <c r="H677" s="33" t="str">
        <f>IFERROR(__xludf.DUMMYFUNCTION("""COMPUTED_VALUE"""),"")</f>
        <v/>
      </c>
      <c r="I677" s="45">
        <f>IFERROR(__xludf.DUMMYFUNCTION("""COMPUTED_VALUE"""),116.3)</f>
        <v>116.3</v>
      </c>
      <c r="J677" s="46" t="str">
        <f>IFERROR(__xludf.DUMMYFUNCTION("""COMPUTED_VALUE"""),"AP")</f>
        <v>AP</v>
      </c>
      <c r="K677" s="47">
        <f>IFERROR(__xludf.DUMMYFUNCTION("""COMPUTED_VALUE"""),18.1)</f>
        <v>18.1</v>
      </c>
      <c r="L677" s="48" t="str">
        <f>IFERROR(__xludf.DUMMYFUNCTION("""COMPUTED_VALUE"""),"%")</f>
        <v>%</v>
      </c>
      <c r="M677" s="49">
        <f>IFERROR(__xludf.DUMMYFUNCTION("""COMPUTED_VALUE"""),1.0)</f>
        <v>1</v>
      </c>
      <c r="N677" s="50" t="str">
        <f>IFERROR(__xludf.DUMMYFUNCTION("""COMPUTED_VALUE"""),"A201")</f>
        <v>A201</v>
      </c>
      <c r="O677" s="38" t="str">
        <f>IFERROR(__xludf.DUMMYFUNCTION("""COMPUTED_VALUE"""),"")</f>
        <v/>
      </c>
      <c r="P677" s="45">
        <f>IFERROR(__xludf.DUMMYFUNCTION("""COMPUTED_VALUE"""),88.3)</f>
        <v>88.3</v>
      </c>
      <c r="Q677" s="46" t="str">
        <f>IFERROR(__xludf.DUMMYFUNCTION("""COMPUTED_VALUE"""),"AP")</f>
        <v>AP</v>
      </c>
      <c r="R677" s="47">
        <f>IFERROR(__xludf.DUMMYFUNCTION("""COMPUTED_VALUE"""),23.8)</f>
        <v>23.8</v>
      </c>
      <c r="S677" s="48" t="str">
        <f>IFERROR(__xludf.DUMMYFUNCTION("""COMPUTED_VALUE"""),"%")</f>
        <v>%</v>
      </c>
      <c r="T677" s="49">
        <f>IFERROR(__xludf.DUMMYFUNCTION("""COMPUTED_VALUE"""),2.0)</f>
        <v>2</v>
      </c>
      <c r="U677" s="50" t="str">
        <f>IFERROR(__xludf.DUMMYFUNCTION("""COMPUTED_VALUE"""),"B111")</f>
        <v>B111</v>
      </c>
      <c r="V677" s="38" t="str">
        <f>IFERROR(__xludf.DUMMYFUNCTION("""COMPUTED_VALUE"""),"")</f>
        <v/>
      </c>
      <c r="W677" s="45">
        <f>IFERROR(__xludf.DUMMYFUNCTION("""COMPUTED_VALUE"""),240.3)</f>
        <v>240.3</v>
      </c>
      <c r="X677" s="46" t="str">
        <f>IFERROR(__xludf.DUMMYFUNCTION("""COMPUTED_VALUE"""),"AP")</f>
        <v>AP</v>
      </c>
      <c r="Y677" s="47">
        <f>IFERROR(__xludf.DUMMYFUNCTION("""COMPUTED_VALUE"""),8.7)</f>
        <v>8.7</v>
      </c>
      <c r="Z677" s="48" t="str">
        <f>IFERROR(__xludf.DUMMYFUNCTION("""COMPUTED_VALUE"""),"%")</f>
        <v>%</v>
      </c>
      <c r="AA677" s="49">
        <f>IFERROR(__xludf.DUMMYFUNCTION("""COMPUTED_VALUE"""),3.0)</f>
        <v>3</v>
      </c>
      <c r="AB677" s="50" t="str">
        <f>IFERROR(__xludf.DUMMYFUNCTION("""COMPUTED_VALUE"""),"B116")</f>
        <v>B116</v>
      </c>
      <c r="AC677" s="38" t="str">
        <f>IFERROR(__xludf.DUMMYFUNCTION("""COMPUTED_VALUE"""),"")</f>
        <v/>
      </c>
      <c r="AD677" s="45">
        <f>IFERROR(__xludf.DUMMYFUNCTION("""COMPUTED_VALUE"""),231.0)</f>
        <v>231</v>
      </c>
      <c r="AE677" s="46" t="str">
        <f>IFERROR(__xludf.DUMMYFUNCTION("""COMPUTED_VALUE"""),"AP")</f>
        <v>AP</v>
      </c>
      <c r="AF677" s="47">
        <f>IFERROR(__xludf.DUMMYFUNCTION("""COMPUTED_VALUE"""),9.1)</f>
        <v>9.1</v>
      </c>
      <c r="AG677" s="48" t="str">
        <f>IFERROR(__xludf.DUMMYFUNCTION("""COMPUTED_VALUE"""),"%")</f>
        <v>%</v>
      </c>
      <c r="AH677" s="43">
        <f>IFERROR(__xludf.DUMMYFUNCTION("""COMPUTED_VALUE"""),21.0)</f>
        <v>21</v>
      </c>
      <c r="AI677" s="44">
        <f>IFERROR(__xludf.DUMMYFUNCTION("""COMPUTED_VALUE"""),22584.0)</f>
        <v>22584</v>
      </c>
      <c r="AJ677" s="51" t="str">
        <f>IFERROR(__xludf.DUMMYFUNCTION("""COMPUTED_VALUE"""),"ウル")</f>
        <v>ウル</v>
      </c>
    </row>
    <row r="678" ht="24.75" customHeight="1">
      <c r="A678" s="28">
        <f>IFERROR(__xludf.DUMMYFUNCTION("""COMPUTED_VALUE"""),9.0)</f>
        <v>9</v>
      </c>
      <c r="B678" s="28" t="str">
        <f>IFERROR(__xludf.DUMMYFUNCTION("""COMPUTED_VALUE"""),"A101")</f>
        <v>A101</v>
      </c>
      <c r="C678" s="28" t="str">
        <f>IFERROR(__xludf.DUMMYFUNCTION("""COMPUTED_VALUE"""),"TRF11")</f>
        <v>TRF11</v>
      </c>
      <c r="D678" s="29" t="str">
        <f>IFERROR(__xludf.DUMMYFUNCTION("""COMPUTED_VALUE"""),"Chaldea Gate (Wed)")</f>
        <v>Chaldea Gate (Wed)</v>
      </c>
      <c r="E678" s="30" t="str">
        <f>IFERROR(__xludf.DUMMYFUNCTION("""COMPUTED_VALUE"""),"WED Berserker Training Ground- Adv")</f>
        <v>WED Berserker Training Ground- Adv</v>
      </c>
      <c r="F678" s="31">
        <f>IFERROR(__xludf.DUMMYFUNCTION("""COMPUTED_VALUE"""),30.0)</f>
        <v>30</v>
      </c>
      <c r="G678" s="32">
        <f>IFERROR(__xludf.DUMMYFUNCTION("""COMPUTED_VALUE"""),1000.0)</f>
        <v>1000</v>
      </c>
      <c r="H678" s="33" t="str">
        <f>IFERROR(__xludf.DUMMYFUNCTION("""COMPUTED_VALUE"""),"")</f>
        <v/>
      </c>
      <c r="I678" s="34">
        <f>IFERROR(__xludf.DUMMYFUNCTION("""COMPUTED_VALUE"""),389.6)</f>
        <v>389.6</v>
      </c>
      <c r="J678" s="35" t="str">
        <f>IFERROR(__xludf.DUMMYFUNCTION("""COMPUTED_VALUE"""),"AP")</f>
        <v>AP</v>
      </c>
      <c r="K678" s="34">
        <f>IFERROR(__xludf.DUMMYFUNCTION("""COMPUTED_VALUE"""),7.7)</f>
        <v>7.7</v>
      </c>
      <c r="L678" s="35" t="str">
        <f>IFERROR(__xludf.DUMMYFUNCTION("""COMPUTED_VALUE"""),"%")</f>
        <v>%</v>
      </c>
      <c r="M678" s="36">
        <f>IFERROR(__xludf.DUMMYFUNCTION("""COMPUTED_VALUE"""),1.0)</f>
        <v>1</v>
      </c>
      <c r="N678" s="37" t="str">
        <f>IFERROR(__xludf.DUMMYFUNCTION("""COMPUTED_VALUE"""),"A203")</f>
        <v>A203</v>
      </c>
      <c r="O678" s="38" t="str">
        <f>IFERROR(__xludf.DUMMYFUNCTION("""COMPUTED_VALUE"""),"")</f>
        <v/>
      </c>
      <c r="P678" s="34">
        <f>IFERROR(__xludf.DUMMYFUNCTION("""COMPUTED_VALUE"""),241.9)</f>
        <v>241.9</v>
      </c>
      <c r="Q678" s="35" t="str">
        <f>IFERROR(__xludf.DUMMYFUNCTION("""COMPUTED_VALUE"""),"AP")</f>
        <v>AP</v>
      </c>
      <c r="R678" s="34">
        <f>IFERROR(__xludf.DUMMYFUNCTION("""COMPUTED_VALUE"""),13.4)</f>
        <v>13.4</v>
      </c>
      <c r="S678" s="35" t="str">
        <f>IFERROR(__xludf.DUMMYFUNCTION("""COMPUTED_VALUE"""),"%")</f>
        <v>%</v>
      </c>
      <c r="T678" s="36">
        <f>IFERROR(__xludf.DUMMYFUNCTION("""COMPUTED_VALUE"""),2.0)</f>
        <v>2</v>
      </c>
      <c r="U678" s="37" t="str">
        <f>IFERROR(__xludf.DUMMYFUNCTION("""COMPUTED_VALUE"""),"A301")</f>
        <v>A301</v>
      </c>
      <c r="V678" s="38" t="str">
        <f>IFERROR(__xludf.DUMMYFUNCTION("""COMPUTED_VALUE"""),"")</f>
        <v/>
      </c>
      <c r="W678" s="34">
        <f>IFERROR(__xludf.DUMMYFUNCTION("""COMPUTED_VALUE"""),223.9)</f>
        <v>223.9</v>
      </c>
      <c r="X678" s="35" t="str">
        <f>IFERROR(__xludf.DUMMYFUNCTION("""COMPUTED_VALUE"""),"AP")</f>
        <v>AP</v>
      </c>
      <c r="Y678" s="34">
        <f>IFERROR(__xludf.DUMMYFUNCTION("""COMPUTED_VALUE"""),13.4)</f>
        <v>13.4</v>
      </c>
      <c r="Z678" s="35" t="str">
        <f>IFERROR(__xludf.DUMMYFUNCTION("""COMPUTED_VALUE"""),"%")</f>
        <v>%</v>
      </c>
      <c r="AA678" s="36">
        <f>IFERROR(__xludf.DUMMYFUNCTION("""COMPUTED_VALUE"""),3.0)</f>
        <v>3</v>
      </c>
      <c r="AB678" s="37" t="str">
        <f>IFERROR(__xludf.DUMMYFUNCTION("""COMPUTED_VALUE"""),"A304")</f>
        <v>A304</v>
      </c>
      <c r="AC678" s="38" t="str">
        <f>IFERROR(__xludf.DUMMYFUNCTION("""COMPUTED_VALUE"""),"")</f>
        <v/>
      </c>
      <c r="AD678" s="34">
        <f>IFERROR(__xludf.DUMMYFUNCTION("""COMPUTED_VALUE"""),153.8)</f>
        <v>153.8</v>
      </c>
      <c r="AE678" s="35" t="str">
        <f>IFERROR(__xludf.DUMMYFUNCTION("""COMPUTED_VALUE"""),"AP")</f>
        <v>AP</v>
      </c>
      <c r="AF678" s="34">
        <f>IFERROR(__xludf.DUMMYFUNCTION("""COMPUTED_VALUE"""),19.5)</f>
        <v>19.5</v>
      </c>
      <c r="AG678" s="35" t="str">
        <f>IFERROR(__xludf.DUMMYFUNCTION("""COMPUTED_VALUE"""),"%")</f>
        <v>%</v>
      </c>
      <c r="AH678" s="31">
        <f>IFERROR(__xludf.DUMMYFUNCTION("""COMPUTED_VALUE"""),30.0)</f>
        <v>30</v>
      </c>
      <c r="AI678" s="32">
        <f>IFERROR(__xludf.DUMMYFUNCTION("""COMPUTED_VALUE"""),1000.0)</f>
        <v>1000</v>
      </c>
      <c r="AJ678" s="39" t="str">
        <f>IFERROR(__xludf.DUMMYFUNCTION("""COMPUTED_VALUE"""),"狂上級")</f>
        <v>狂上級</v>
      </c>
    </row>
    <row r="679" ht="24.75" customHeight="1">
      <c r="A679" s="40">
        <f>IFERROR(__xludf.DUMMYFUNCTION("""COMPUTED_VALUE"""),10.0)</f>
        <v>10</v>
      </c>
      <c r="B679" s="40" t="str">
        <f>IFERROR(__xludf.DUMMYFUNCTION("""COMPUTED_VALUE"""),"A101")</f>
        <v>A101</v>
      </c>
      <c r="C679" s="40" t="str">
        <f>IFERROR(__xludf.DUMMYFUNCTION("""COMPUTED_VALUE"""),"TRF12")</f>
        <v>TRF12</v>
      </c>
      <c r="D679" s="41" t="str">
        <f>IFERROR(__xludf.DUMMYFUNCTION("""COMPUTED_VALUE"""),"Chaldea Gate (Wed)")</f>
        <v>Chaldea Gate (Wed)</v>
      </c>
      <c r="E679" s="42" t="str">
        <f>IFERROR(__xludf.DUMMYFUNCTION("""COMPUTED_VALUE"""),"WED Berserker Training Ground- Exp")</f>
        <v>WED Berserker Training Ground- Exp</v>
      </c>
      <c r="F679" s="43">
        <f>IFERROR(__xludf.DUMMYFUNCTION("""COMPUTED_VALUE"""),40.0)</f>
        <v>40</v>
      </c>
      <c r="G679" s="44">
        <f>IFERROR(__xludf.DUMMYFUNCTION("""COMPUTED_VALUE"""),3145.0)</f>
        <v>3145</v>
      </c>
      <c r="H679" s="33" t="str">
        <f>IFERROR(__xludf.DUMMYFUNCTION("""COMPUTED_VALUE"""),"")</f>
        <v/>
      </c>
      <c r="I679" s="45">
        <f>IFERROR(__xludf.DUMMYFUNCTION("""COMPUTED_VALUE"""),487.0)</f>
        <v>487</v>
      </c>
      <c r="J679" s="46" t="str">
        <f>IFERROR(__xludf.DUMMYFUNCTION("""COMPUTED_VALUE"""),"AP")</f>
        <v>AP</v>
      </c>
      <c r="K679" s="47">
        <f>IFERROR(__xludf.DUMMYFUNCTION("""COMPUTED_VALUE"""),8.2)</f>
        <v>8.2</v>
      </c>
      <c r="L679" s="48" t="str">
        <f>IFERROR(__xludf.DUMMYFUNCTION("""COMPUTED_VALUE"""),"%")</f>
        <v>%</v>
      </c>
      <c r="M679" s="49">
        <f>IFERROR(__xludf.DUMMYFUNCTION("""COMPUTED_VALUE"""),1.0)</f>
        <v>1</v>
      </c>
      <c r="N679" s="50" t="str">
        <f>IFERROR(__xludf.DUMMYFUNCTION("""COMPUTED_VALUE"""),"A203")</f>
        <v>A203</v>
      </c>
      <c r="O679" s="38" t="str">
        <f>IFERROR(__xludf.DUMMYFUNCTION("""COMPUTED_VALUE"""),"")</f>
        <v/>
      </c>
      <c r="P679" s="45">
        <f>IFERROR(__xludf.DUMMYFUNCTION("""COMPUTED_VALUE"""),255.0)</f>
        <v>255</v>
      </c>
      <c r="Q679" s="46" t="str">
        <f>IFERROR(__xludf.DUMMYFUNCTION("""COMPUTED_VALUE"""),"AP")</f>
        <v>AP</v>
      </c>
      <c r="R679" s="47">
        <f>IFERROR(__xludf.DUMMYFUNCTION("""COMPUTED_VALUE"""),15.7)</f>
        <v>15.7</v>
      </c>
      <c r="S679" s="48" t="str">
        <f>IFERROR(__xludf.DUMMYFUNCTION("""COMPUTED_VALUE"""),"%")</f>
        <v>%</v>
      </c>
      <c r="T679" s="49">
        <f>IFERROR(__xludf.DUMMYFUNCTION("""COMPUTED_VALUE"""),2.0)</f>
        <v>2</v>
      </c>
      <c r="U679" s="50" t="str">
        <f>IFERROR(__xludf.DUMMYFUNCTION("""COMPUTED_VALUE"""),"A301")</f>
        <v>A301</v>
      </c>
      <c r="V679" s="38" t="str">
        <f>IFERROR(__xludf.DUMMYFUNCTION("""COMPUTED_VALUE"""),"")</f>
        <v/>
      </c>
      <c r="W679" s="45">
        <f>IFERROR(__xludf.DUMMYFUNCTION("""COMPUTED_VALUE"""),169.6)</f>
        <v>169.6</v>
      </c>
      <c r="X679" s="46" t="str">
        <f>IFERROR(__xludf.DUMMYFUNCTION("""COMPUTED_VALUE"""),"AP")</f>
        <v>AP</v>
      </c>
      <c r="Y679" s="47">
        <f>IFERROR(__xludf.DUMMYFUNCTION("""COMPUTED_VALUE"""),23.6)</f>
        <v>23.6</v>
      </c>
      <c r="Z679" s="48" t="str">
        <f>IFERROR(__xludf.DUMMYFUNCTION("""COMPUTED_VALUE"""),"%")</f>
        <v>%</v>
      </c>
      <c r="AA679" s="49">
        <f>IFERROR(__xludf.DUMMYFUNCTION("""COMPUTED_VALUE"""),3.0)</f>
        <v>3</v>
      </c>
      <c r="AB679" s="50" t="str">
        <f>IFERROR(__xludf.DUMMYFUNCTION("""COMPUTED_VALUE"""),"A304")</f>
        <v>A304</v>
      </c>
      <c r="AC679" s="38" t="str">
        <f>IFERROR(__xludf.DUMMYFUNCTION("""COMPUTED_VALUE"""),"")</f>
        <v/>
      </c>
      <c r="AD679" s="45">
        <f>IFERROR(__xludf.DUMMYFUNCTION("""COMPUTED_VALUE"""),173.2)</f>
        <v>173.2</v>
      </c>
      <c r="AE679" s="46" t="str">
        <f>IFERROR(__xludf.DUMMYFUNCTION("""COMPUTED_VALUE"""),"AP")</f>
        <v>AP</v>
      </c>
      <c r="AF679" s="47">
        <f>IFERROR(__xludf.DUMMYFUNCTION("""COMPUTED_VALUE"""),23.1)</f>
        <v>23.1</v>
      </c>
      <c r="AG679" s="48" t="str">
        <f>IFERROR(__xludf.DUMMYFUNCTION("""COMPUTED_VALUE"""),"%")</f>
        <v>%</v>
      </c>
      <c r="AH679" s="43">
        <f>IFERROR(__xludf.DUMMYFUNCTION("""COMPUTED_VALUE"""),40.0)</f>
        <v>40</v>
      </c>
      <c r="AI679" s="44">
        <f>IFERROR(__xludf.DUMMYFUNCTION("""COMPUTED_VALUE"""),3145.0)</f>
        <v>3145</v>
      </c>
      <c r="AJ679" s="51" t="str">
        <f>IFERROR(__xludf.DUMMYFUNCTION("""COMPUTED_VALUE"""),"狂超級")</f>
        <v>狂超級</v>
      </c>
    </row>
    <row r="680" ht="24.75" customHeight="1">
      <c r="A680" s="28">
        <f>IFERROR(__xludf.DUMMYFUNCTION("""COMPUTED_VALUE"""),11.0)</f>
        <v>11</v>
      </c>
      <c r="B680" s="28" t="str">
        <f>IFERROR(__xludf.DUMMYFUNCTION("""COMPUTED_VALUE"""),"A101")</f>
        <v>A101</v>
      </c>
      <c r="C680" s="28" t="str">
        <f>IFERROR(__xludf.DUMMYFUNCTION("""COMPUTED_VALUE"""),"SEP6")</f>
        <v>SEP6</v>
      </c>
      <c r="D680" s="29" t="str">
        <f>IFERROR(__xludf.DUMMYFUNCTION("""COMPUTED_VALUE"""),"Septem")</f>
        <v>Septem</v>
      </c>
      <c r="E680" s="30" t="str">
        <f>IFERROR(__xludf.DUMMYFUNCTION("""COMPUTED_VALUE"""),"Germania")</f>
        <v>Germania</v>
      </c>
      <c r="F680" s="31">
        <f>IFERROR(__xludf.DUMMYFUNCTION("""COMPUTED_VALUE"""),15.0)</f>
        <v>15</v>
      </c>
      <c r="G680" s="32">
        <f>IFERROR(__xludf.DUMMYFUNCTION("""COMPUTED_VALUE"""),1991.0)</f>
        <v>1991</v>
      </c>
      <c r="H680" s="33" t="str">
        <f>IFERROR(__xludf.DUMMYFUNCTION("""COMPUTED_VALUE"""),"")</f>
        <v/>
      </c>
      <c r="I680" s="34">
        <f>IFERROR(__xludf.DUMMYFUNCTION("""COMPUTED_VALUE"""),506.2)</f>
        <v>506.2</v>
      </c>
      <c r="J680" s="35" t="str">
        <f>IFERROR(__xludf.DUMMYFUNCTION("""COMPUTED_VALUE"""),"AP")</f>
        <v>AP</v>
      </c>
      <c r="K680" s="34">
        <f>IFERROR(__xludf.DUMMYFUNCTION("""COMPUTED_VALUE"""),3.0)</f>
        <v>3</v>
      </c>
      <c r="L680" s="35" t="str">
        <f>IFERROR(__xludf.DUMMYFUNCTION("""COMPUTED_VALUE"""),"%")</f>
        <v>%</v>
      </c>
      <c r="M680" s="36">
        <f>IFERROR(__xludf.DUMMYFUNCTION("""COMPUTED_VALUE"""),1.0)</f>
        <v>1</v>
      </c>
      <c r="N680" s="37" t="str">
        <f>IFERROR(__xludf.DUMMYFUNCTION("""COMPUTED_VALUE"""),"A302")</f>
        <v>A302</v>
      </c>
      <c r="O680" s="38" t="str">
        <f>IFERROR(__xludf.DUMMYFUNCTION("""COMPUTED_VALUE"""),"")</f>
        <v/>
      </c>
      <c r="P680" s="34">
        <f>IFERROR(__xludf.DUMMYFUNCTION("""COMPUTED_VALUE"""),30.9)</f>
        <v>30.9</v>
      </c>
      <c r="Q680" s="35" t="str">
        <f>IFERROR(__xludf.DUMMYFUNCTION("""COMPUTED_VALUE"""),"AP")</f>
        <v>AP</v>
      </c>
      <c r="R680" s="34">
        <f>IFERROR(__xludf.DUMMYFUNCTION("""COMPUTED_VALUE"""),48.5)</f>
        <v>48.5</v>
      </c>
      <c r="S680" s="35" t="str">
        <f>IFERROR(__xludf.DUMMYFUNCTION("""COMPUTED_VALUE"""),"%")</f>
        <v>%</v>
      </c>
      <c r="T680" s="36">
        <f>IFERROR(__xludf.DUMMYFUNCTION("""COMPUTED_VALUE"""),2.0)</f>
        <v>2</v>
      </c>
      <c r="U680" s="37" t="str">
        <f>IFERROR(__xludf.DUMMYFUNCTION("""COMPUTED_VALUE"""),"B117")</f>
        <v>B117</v>
      </c>
      <c r="V680" s="38" t="str">
        <f>IFERROR(__xludf.DUMMYFUNCTION("""COMPUTED_VALUE"""),"")</f>
        <v/>
      </c>
      <c r="W680" s="34">
        <f>IFERROR(__xludf.DUMMYFUNCTION("""COMPUTED_VALUE"""),195.6)</f>
        <v>195.6</v>
      </c>
      <c r="X680" s="35" t="str">
        <f>IFERROR(__xludf.DUMMYFUNCTION("""COMPUTED_VALUE"""),"AP")</f>
        <v>AP</v>
      </c>
      <c r="Y680" s="34">
        <f>IFERROR(__xludf.DUMMYFUNCTION("""COMPUTED_VALUE"""),7.7)</f>
        <v>7.7</v>
      </c>
      <c r="Z680" s="35" t="str">
        <f>IFERROR(__xludf.DUMMYFUNCTION("""COMPUTED_VALUE"""),"%")</f>
        <v>%</v>
      </c>
      <c r="AA680" s="36">
        <f>IFERROR(__xludf.DUMMYFUNCTION("""COMPUTED_VALUE"""),3.0)</f>
        <v>3</v>
      </c>
      <c r="AB680" s="37"/>
      <c r="AC680" s="38"/>
      <c r="AD680" s="34" t="str">
        <f>IFERROR(__xludf.DUMMYFUNCTION("""COMPUTED_VALUE"""),"")</f>
        <v/>
      </c>
      <c r="AE680" s="35" t="str">
        <f>IFERROR(__xludf.DUMMYFUNCTION("""COMPUTED_VALUE"""),"AP")</f>
        <v>AP</v>
      </c>
      <c r="AF680" s="34" t="str">
        <f>IFERROR(__xludf.DUMMYFUNCTION("""COMPUTED_VALUE"""),"")</f>
        <v/>
      </c>
      <c r="AG680" s="35" t="str">
        <f>IFERROR(__xludf.DUMMYFUNCTION("""COMPUTED_VALUE"""),"%")</f>
        <v>%</v>
      </c>
      <c r="AH680" s="31">
        <f>IFERROR(__xludf.DUMMYFUNCTION("""COMPUTED_VALUE"""),15.0)</f>
        <v>15</v>
      </c>
      <c r="AI680" s="32">
        <f>IFERROR(__xludf.DUMMYFUNCTION("""COMPUTED_VALUE"""),1991.0)</f>
        <v>1991</v>
      </c>
      <c r="AJ680" s="39" t="str">
        <f>IFERROR(__xludf.DUMMYFUNCTION("""COMPUTED_VALUE"""),"ゲルマニア")</f>
        <v>ゲルマニア</v>
      </c>
    </row>
    <row r="681" ht="24.75" customHeight="1">
      <c r="A681" s="40">
        <f>IFERROR(__xludf.DUMMYFUNCTION("""COMPUTED_VALUE"""),12.0)</f>
        <v>12</v>
      </c>
      <c r="B681" s="40" t="str">
        <f>IFERROR(__xludf.DUMMYFUNCTION("""COMPUTED_VALUE"""),"A101")</f>
        <v>A101</v>
      </c>
      <c r="C681" s="40" t="str">
        <f>IFERROR(__xludf.DUMMYFUNCTION("""COMPUTED_VALUE"""),"TRF10")</f>
        <v>TRF10</v>
      </c>
      <c r="D681" s="41" t="str">
        <f>IFERROR(__xludf.DUMMYFUNCTION("""COMPUTED_VALUE"""),"Chaldea Gate (Wed)")</f>
        <v>Chaldea Gate (Wed)</v>
      </c>
      <c r="E681" s="42" t="str">
        <f>IFERROR(__xludf.DUMMYFUNCTION("""COMPUTED_VALUE"""),"WED Berserker Training Ground- Int")</f>
        <v>WED Berserker Training Ground- Int</v>
      </c>
      <c r="F681" s="43">
        <f>IFERROR(__xludf.DUMMYFUNCTION("""COMPUTED_VALUE"""),20.0)</f>
        <v>20</v>
      </c>
      <c r="G681" s="44">
        <f>IFERROR(__xludf.DUMMYFUNCTION("""COMPUTED_VALUE"""),1018.0)</f>
        <v>1018</v>
      </c>
      <c r="H681" s="33" t="str">
        <f>IFERROR(__xludf.DUMMYFUNCTION("""COMPUTED_VALUE"""),"")</f>
        <v/>
      </c>
      <c r="I681" s="45">
        <f>IFERROR(__xludf.DUMMYFUNCTION("""COMPUTED_VALUE"""),598.8)</f>
        <v>598.8</v>
      </c>
      <c r="J681" s="46" t="str">
        <f>IFERROR(__xludf.DUMMYFUNCTION("""COMPUTED_VALUE"""),"AP")</f>
        <v>AP</v>
      </c>
      <c r="K681" s="47">
        <f>IFERROR(__xludf.DUMMYFUNCTION("""COMPUTED_VALUE"""),3.3)</f>
        <v>3.3</v>
      </c>
      <c r="L681" s="48" t="str">
        <f>IFERROR(__xludf.DUMMYFUNCTION("""COMPUTED_VALUE"""),"%")</f>
        <v>%</v>
      </c>
      <c r="M681" s="49">
        <f>IFERROR(__xludf.DUMMYFUNCTION("""COMPUTED_VALUE"""),1.0)</f>
        <v>1</v>
      </c>
      <c r="N681" s="50" t="str">
        <f>IFERROR(__xludf.DUMMYFUNCTION("""COMPUTED_VALUE"""),"A203")</f>
        <v>A203</v>
      </c>
      <c r="O681" s="38" t="str">
        <f>IFERROR(__xludf.DUMMYFUNCTION("""COMPUTED_VALUE"""),"")</f>
        <v/>
      </c>
      <c r="P681" s="45">
        <f>IFERROR(__xludf.DUMMYFUNCTION("""COMPUTED_VALUE"""),172.5)</f>
        <v>172.5</v>
      </c>
      <c r="Q681" s="46" t="str">
        <f>IFERROR(__xludf.DUMMYFUNCTION("""COMPUTED_VALUE"""),"AP")</f>
        <v>AP</v>
      </c>
      <c r="R681" s="47">
        <f>IFERROR(__xludf.DUMMYFUNCTION("""COMPUTED_VALUE"""),11.6)</f>
        <v>11.6</v>
      </c>
      <c r="S681" s="48" t="str">
        <f>IFERROR(__xludf.DUMMYFUNCTION("""COMPUTED_VALUE"""),"%")</f>
        <v>%</v>
      </c>
      <c r="T681" s="49">
        <f>IFERROR(__xludf.DUMMYFUNCTION("""COMPUTED_VALUE"""),2.0)</f>
        <v>2</v>
      </c>
      <c r="U681" s="50" t="str">
        <f>IFERROR(__xludf.DUMMYFUNCTION("""COMPUTED_VALUE"""),"A301")</f>
        <v>A301</v>
      </c>
      <c r="V681" s="38" t="str">
        <f>IFERROR(__xludf.DUMMYFUNCTION("""COMPUTED_VALUE"""),"")</f>
        <v/>
      </c>
      <c r="W681" s="45">
        <f>IFERROR(__xludf.DUMMYFUNCTION("""COMPUTED_VALUE"""),333.8)</f>
        <v>333.8</v>
      </c>
      <c r="X681" s="46" t="str">
        <f>IFERROR(__xludf.DUMMYFUNCTION("""COMPUTED_VALUE"""),"AP")</f>
        <v>AP</v>
      </c>
      <c r="Y681" s="47">
        <f>IFERROR(__xludf.DUMMYFUNCTION("""COMPUTED_VALUE"""),6.0)</f>
        <v>6</v>
      </c>
      <c r="Z681" s="48" t="str">
        <f>IFERROR(__xludf.DUMMYFUNCTION("""COMPUTED_VALUE"""),"%")</f>
        <v>%</v>
      </c>
      <c r="AA681" s="49">
        <f>IFERROR(__xludf.DUMMYFUNCTION("""COMPUTED_VALUE"""),3.0)</f>
        <v>3</v>
      </c>
      <c r="AB681" s="50" t="str">
        <f>IFERROR(__xludf.DUMMYFUNCTION("""COMPUTED_VALUE"""),"A304")</f>
        <v>A304</v>
      </c>
      <c r="AC681" s="38" t="str">
        <f>IFERROR(__xludf.DUMMYFUNCTION("""COMPUTED_VALUE"""),"")</f>
        <v/>
      </c>
      <c r="AD681" s="45">
        <f>IFERROR(__xludf.DUMMYFUNCTION("""COMPUTED_VALUE"""),105.5)</f>
        <v>105.5</v>
      </c>
      <c r="AE681" s="46" t="str">
        <f>IFERROR(__xludf.DUMMYFUNCTION("""COMPUTED_VALUE"""),"AP")</f>
        <v>AP</v>
      </c>
      <c r="AF681" s="47">
        <f>IFERROR(__xludf.DUMMYFUNCTION("""COMPUTED_VALUE"""),19.0)</f>
        <v>19</v>
      </c>
      <c r="AG681" s="48" t="str">
        <f>IFERROR(__xludf.DUMMYFUNCTION("""COMPUTED_VALUE"""),"%")</f>
        <v>%</v>
      </c>
      <c r="AH681" s="43">
        <f>IFERROR(__xludf.DUMMYFUNCTION("""COMPUTED_VALUE"""),20.0)</f>
        <v>20</v>
      </c>
      <c r="AI681" s="44">
        <f>IFERROR(__xludf.DUMMYFUNCTION("""COMPUTED_VALUE"""),1018.0)</f>
        <v>1018</v>
      </c>
      <c r="AJ681" s="51" t="str">
        <f>IFERROR(__xludf.DUMMYFUNCTION("""COMPUTED_VALUE"""),"狂中級")</f>
        <v>狂中級</v>
      </c>
    </row>
    <row r="682" ht="24.75" customHeight="1">
      <c r="A682" s="28">
        <f>IFERROR(__xludf.DUMMYFUNCTION("""COMPUTED_VALUE"""),13.0)</f>
        <v>13</v>
      </c>
      <c r="B682" s="28" t="str">
        <f>IFERROR(__xludf.DUMMYFUNCTION("""COMPUTED_VALUE"""),"A101")</f>
        <v>A101</v>
      </c>
      <c r="C682" s="28"/>
      <c r="D682" s="29"/>
      <c r="E682" s="67"/>
      <c r="F682" s="31"/>
      <c r="G682" s="32"/>
      <c r="H682" s="33" t="str">
        <f>IFERROR(__xludf.DUMMYFUNCTION("""COMPUTED_VALUE""")," ")</f>
        <v> </v>
      </c>
      <c r="I682" s="34"/>
      <c r="J682" s="35" t="str">
        <f>IFERROR(__xludf.DUMMYFUNCTION("""COMPUTED_VALUE"""),"AP")</f>
        <v>AP</v>
      </c>
      <c r="K682" s="34"/>
      <c r="L682" s="35" t="str">
        <f>IFERROR(__xludf.DUMMYFUNCTION("""COMPUTED_VALUE"""),"%")</f>
        <v>%</v>
      </c>
      <c r="M682" s="36">
        <f>IFERROR(__xludf.DUMMYFUNCTION("""COMPUTED_VALUE"""),1.0)</f>
        <v>1</v>
      </c>
      <c r="N682" s="37"/>
      <c r="O682" s="38"/>
      <c r="P682" s="34" t="str">
        <f>IFERROR(__xludf.DUMMYFUNCTION("""COMPUTED_VALUE"""),"")</f>
        <v/>
      </c>
      <c r="Q682" s="35" t="str">
        <f>IFERROR(__xludf.DUMMYFUNCTION("""COMPUTED_VALUE"""),"AP")</f>
        <v>AP</v>
      </c>
      <c r="R682" s="34" t="str">
        <f>IFERROR(__xludf.DUMMYFUNCTION("""COMPUTED_VALUE"""),"")</f>
        <v/>
      </c>
      <c r="S682" s="35" t="str">
        <f>IFERROR(__xludf.DUMMYFUNCTION("""COMPUTED_VALUE"""),"%")</f>
        <v>%</v>
      </c>
      <c r="T682" s="36">
        <f>IFERROR(__xludf.DUMMYFUNCTION("""COMPUTED_VALUE"""),2.0)</f>
        <v>2</v>
      </c>
      <c r="U682" s="37"/>
      <c r="V682" s="38"/>
      <c r="W682" s="34" t="str">
        <f>IFERROR(__xludf.DUMMYFUNCTION("""COMPUTED_VALUE"""),"")</f>
        <v/>
      </c>
      <c r="X682" s="35" t="str">
        <f>IFERROR(__xludf.DUMMYFUNCTION("""COMPUTED_VALUE"""),"AP")</f>
        <v>AP</v>
      </c>
      <c r="Y682" s="34" t="str">
        <f>IFERROR(__xludf.DUMMYFUNCTION("""COMPUTED_VALUE"""),"")</f>
        <v/>
      </c>
      <c r="Z682" s="35" t="str">
        <f>IFERROR(__xludf.DUMMYFUNCTION("""COMPUTED_VALUE"""),"%")</f>
        <v>%</v>
      </c>
      <c r="AA682" s="36">
        <f>IFERROR(__xludf.DUMMYFUNCTION("""COMPUTED_VALUE"""),3.0)</f>
        <v>3</v>
      </c>
      <c r="AB682" s="37"/>
      <c r="AC682" s="38"/>
      <c r="AD682" s="34" t="str">
        <f>IFERROR(__xludf.DUMMYFUNCTION("""COMPUTED_VALUE"""),"")</f>
        <v/>
      </c>
      <c r="AE682" s="35" t="str">
        <f>IFERROR(__xludf.DUMMYFUNCTION("""COMPUTED_VALUE"""),"AP")</f>
        <v>AP</v>
      </c>
      <c r="AF682" s="34" t="str">
        <f>IFERROR(__xludf.DUMMYFUNCTION("""COMPUTED_VALUE"""),"")</f>
        <v/>
      </c>
      <c r="AG682" s="35" t="str">
        <f>IFERROR(__xludf.DUMMYFUNCTION("""COMPUTED_VALUE"""),"%")</f>
        <v>%</v>
      </c>
      <c r="AH682" s="31"/>
      <c r="AI682" s="32"/>
      <c r="AJ682" s="39"/>
    </row>
    <row r="683" ht="24.75" hidden="1" customHeight="1">
      <c r="A683" s="40">
        <f>IFERROR(__xludf.DUMMYFUNCTION("""COMPUTED_VALUE"""),14.0)</f>
        <v>14</v>
      </c>
      <c r="B683" s="40" t="str">
        <f>IFERROR(__xludf.DUMMYFUNCTION("""COMPUTED_VALUE"""),"A101")</f>
        <v>A101</v>
      </c>
      <c r="C683" s="40"/>
      <c r="D683" s="41"/>
      <c r="E683" s="66"/>
      <c r="F683" s="43"/>
      <c r="G683" s="44"/>
      <c r="H683" s="33" t="str">
        <f>IFERROR(__xludf.DUMMYFUNCTION("""COMPUTED_VALUE""")," ")</f>
        <v> </v>
      </c>
      <c r="I683" s="45"/>
      <c r="J683" s="46" t="str">
        <f>IFERROR(__xludf.DUMMYFUNCTION("""COMPUTED_VALUE"""),"AP")</f>
        <v>AP</v>
      </c>
      <c r="K683" s="47"/>
      <c r="L683" s="48" t="str">
        <f>IFERROR(__xludf.DUMMYFUNCTION("""COMPUTED_VALUE"""),"%")</f>
        <v>%</v>
      </c>
      <c r="M683" s="49">
        <f>IFERROR(__xludf.DUMMYFUNCTION("""COMPUTED_VALUE"""),1.0)</f>
        <v>1</v>
      </c>
      <c r="N683" s="50"/>
      <c r="O683" s="38"/>
      <c r="P683" s="45" t="str">
        <f>IFERROR(__xludf.DUMMYFUNCTION("""COMPUTED_VALUE"""),"")</f>
        <v/>
      </c>
      <c r="Q683" s="46" t="str">
        <f>IFERROR(__xludf.DUMMYFUNCTION("""COMPUTED_VALUE"""),"AP")</f>
        <v>AP</v>
      </c>
      <c r="R683" s="47" t="str">
        <f>IFERROR(__xludf.DUMMYFUNCTION("""COMPUTED_VALUE"""),"")</f>
        <v/>
      </c>
      <c r="S683" s="48" t="str">
        <f>IFERROR(__xludf.DUMMYFUNCTION("""COMPUTED_VALUE"""),"%")</f>
        <v>%</v>
      </c>
      <c r="T683" s="49">
        <f>IFERROR(__xludf.DUMMYFUNCTION("""COMPUTED_VALUE"""),2.0)</f>
        <v>2</v>
      </c>
      <c r="U683" s="50"/>
      <c r="V683" s="38"/>
      <c r="W683" s="45" t="str">
        <f>IFERROR(__xludf.DUMMYFUNCTION("""COMPUTED_VALUE"""),"")</f>
        <v/>
      </c>
      <c r="X683" s="46" t="str">
        <f>IFERROR(__xludf.DUMMYFUNCTION("""COMPUTED_VALUE"""),"AP")</f>
        <v>AP</v>
      </c>
      <c r="Y683" s="47" t="str">
        <f>IFERROR(__xludf.DUMMYFUNCTION("""COMPUTED_VALUE"""),"")</f>
        <v/>
      </c>
      <c r="Z683" s="48" t="str">
        <f>IFERROR(__xludf.DUMMYFUNCTION("""COMPUTED_VALUE"""),"%")</f>
        <v>%</v>
      </c>
      <c r="AA683" s="49">
        <f>IFERROR(__xludf.DUMMYFUNCTION("""COMPUTED_VALUE"""),3.0)</f>
        <v>3</v>
      </c>
      <c r="AB683" s="50"/>
      <c r="AC683" s="38"/>
      <c r="AD683" s="45" t="str">
        <f>IFERROR(__xludf.DUMMYFUNCTION("""COMPUTED_VALUE"""),"")</f>
        <v/>
      </c>
      <c r="AE683" s="46" t="str">
        <f>IFERROR(__xludf.DUMMYFUNCTION("""COMPUTED_VALUE"""),"AP")</f>
        <v>AP</v>
      </c>
      <c r="AF683" s="47" t="str">
        <f>IFERROR(__xludf.DUMMYFUNCTION("""COMPUTED_VALUE"""),"")</f>
        <v/>
      </c>
      <c r="AG683" s="48" t="str">
        <f>IFERROR(__xludf.DUMMYFUNCTION("""COMPUTED_VALUE"""),"%")</f>
        <v>%</v>
      </c>
      <c r="AH683" s="43"/>
      <c r="AI683" s="44"/>
      <c r="AJ683" s="51"/>
    </row>
    <row r="684" ht="24.75" hidden="1" customHeight="1">
      <c r="A684" s="28">
        <f>IFERROR(__xludf.DUMMYFUNCTION("""COMPUTED_VALUE"""),15.0)</f>
        <v>15</v>
      </c>
      <c r="B684" s="28" t="str">
        <f>IFERROR(__xludf.DUMMYFUNCTION("""COMPUTED_VALUE"""),"A101")</f>
        <v>A101</v>
      </c>
      <c r="C684" s="28"/>
      <c r="D684" s="29"/>
      <c r="E684" s="67"/>
      <c r="F684" s="31"/>
      <c r="G684" s="32"/>
      <c r="H684" s="33" t="str">
        <f>IFERROR(__xludf.DUMMYFUNCTION("""COMPUTED_VALUE""")," ")</f>
        <v> </v>
      </c>
      <c r="I684" s="34"/>
      <c r="J684" s="35" t="str">
        <f>IFERROR(__xludf.DUMMYFUNCTION("""COMPUTED_VALUE"""),"AP")</f>
        <v>AP</v>
      </c>
      <c r="K684" s="34"/>
      <c r="L684" s="35" t="str">
        <f>IFERROR(__xludf.DUMMYFUNCTION("""COMPUTED_VALUE"""),"%")</f>
        <v>%</v>
      </c>
      <c r="M684" s="36">
        <f>IFERROR(__xludf.DUMMYFUNCTION("""COMPUTED_VALUE"""),1.0)</f>
        <v>1</v>
      </c>
      <c r="N684" s="37"/>
      <c r="O684" s="38"/>
      <c r="P684" s="34" t="str">
        <f>IFERROR(__xludf.DUMMYFUNCTION("""COMPUTED_VALUE"""),"")</f>
        <v/>
      </c>
      <c r="Q684" s="35" t="str">
        <f>IFERROR(__xludf.DUMMYFUNCTION("""COMPUTED_VALUE"""),"AP")</f>
        <v>AP</v>
      </c>
      <c r="R684" s="34" t="str">
        <f>IFERROR(__xludf.DUMMYFUNCTION("""COMPUTED_VALUE"""),"")</f>
        <v/>
      </c>
      <c r="S684" s="35" t="str">
        <f>IFERROR(__xludf.DUMMYFUNCTION("""COMPUTED_VALUE"""),"%")</f>
        <v>%</v>
      </c>
      <c r="T684" s="36">
        <f>IFERROR(__xludf.DUMMYFUNCTION("""COMPUTED_VALUE"""),2.0)</f>
        <v>2</v>
      </c>
      <c r="U684" s="37"/>
      <c r="V684" s="38"/>
      <c r="W684" s="34" t="str">
        <f>IFERROR(__xludf.DUMMYFUNCTION("""COMPUTED_VALUE"""),"")</f>
        <v/>
      </c>
      <c r="X684" s="35" t="str">
        <f>IFERROR(__xludf.DUMMYFUNCTION("""COMPUTED_VALUE"""),"AP")</f>
        <v>AP</v>
      </c>
      <c r="Y684" s="34" t="str">
        <f>IFERROR(__xludf.DUMMYFUNCTION("""COMPUTED_VALUE"""),"")</f>
        <v/>
      </c>
      <c r="Z684" s="35" t="str">
        <f>IFERROR(__xludf.DUMMYFUNCTION("""COMPUTED_VALUE"""),"%")</f>
        <v>%</v>
      </c>
      <c r="AA684" s="36">
        <f>IFERROR(__xludf.DUMMYFUNCTION("""COMPUTED_VALUE"""),3.0)</f>
        <v>3</v>
      </c>
      <c r="AB684" s="37"/>
      <c r="AC684" s="38"/>
      <c r="AD684" s="34" t="str">
        <f>IFERROR(__xludf.DUMMYFUNCTION("""COMPUTED_VALUE"""),"")</f>
        <v/>
      </c>
      <c r="AE684" s="35" t="str">
        <f>IFERROR(__xludf.DUMMYFUNCTION("""COMPUTED_VALUE"""),"AP")</f>
        <v>AP</v>
      </c>
      <c r="AF684" s="34" t="str">
        <f>IFERROR(__xludf.DUMMYFUNCTION("""COMPUTED_VALUE"""),"")</f>
        <v/>
      </c>
      <c r="AG684" s="35" t="str">
        <f>IFERROR(__xludf.DUMMYFUNCTION("""COMPUTED_VALUE"""),"%")</f>
        <v>%</v>
      </c>
      <c r="AH684" s="31"/>
      <c r="AI684" s="32"/>
      <c r="AJ684" s="39"/>
    </row>
    <row r="685" ht="24.75" hidden="1" customHeight="1">
      <c r="A685" s="40">
        <f>IFERROR(__xludf.DUMMYFUNCTION("""COMPUTED_VALUE"""),16.0)</f>
        <v>16</v>
      </c>
      <c r="B685" s="40" t="str">
        <f>IFERROR(__xludf.DUMMYFUNCTION("""COMPUTED_VALUE"""),"A101")</f>
        <v>A101</v>
      </c>
      <c r="C685" s="40"/>
      <c r="D685" s="41"/>
      <c r="E685" s="66"/>
      <c r="F685" s="43"/>
      <c r="G685" s="44"/>
      <c r="H685" s="33" t="str">
        <f>IFERROR(__xludf.DUMMYFUNCTION("""COMPUTED_VALUE""")," ")</f>
        <v> </v>
      </c>
      <c r="I685" s="45"/>
      <c r="J685" s="46" t="str">
        <f>IFERROR(__xludf.DUMMYFUNCTION("""COMPUTED_VALUE"""),"AP")</f>
        <v>AP</v>
      </c>
      <c r="K685" s="47"/>
      <c r="L685" s="48" t="str">
        <f>IFERROR(__xludf.DUMMYFUNCTION("""COMPUTED_VALUE"""),"%")</f>
        <v>%</v>
      </c>
      <c r="M685" s="49">
        <f>IFERROR(__xludf.DUMMYFUNCTION("""COMPUTED_VALUE"""),1.0)</f>
        <v>1</v>
      </c>
      <c r="N685" s="50"/>
      <c r="O685" s="38"/>
      <c r="P685" s="45" t="str">
        <f>IFERROR(__xludf.DUMMYFUNCTION("""COMPUTED_VALUE"""),"")</f>
        <v/>
      </c>
      <c r="Q685" s="46" t="str">
        <f>IFERROR(__xludf.DUMMYFUNCTION("""COMPUTED_VALUE"""),"AP")</f>
        <v>AP</v>
      </c>
      <c r="R685" s="47" t="str">
        <f>IFERROR(__xludf.DUMMYFUNCTION("""COMPUTED_VALUE"""),"")</f>
        <v/>
      </c>
      <c r="S685" s="48" t="str">
        <f>IFERROR(__xludf.DUMMYFUNCTION("""COMPUTED_VALUE"""),"%")</f>
        <v>%</v>
      </c>
      <c r="T685" s="49">
        <f>IFERROR(__xludf.DUMMYFUNCTION("""COMPUTED_VALUE"""),2.0)</f>
        <v>2</v>
      </c>
      <c r="U685" s="50"/>
      <c r="V685" s="38"/>
      <c r="W685" s="45" t="str">
        <f>IFERROR(__xludf.DUMMYFUNCTION("""COMPUTED_VALUE"""),"")</f>
        <v/>
      </c>
      <c r="X685" s="46" t="str">
        <f>IFERROR(__xludf.DUMMYFUNCTION("""COMPUTED_VALUE"""),"AP")</f>
        <v>AP</v>
      </c>
      <c r="Y685" s="47" t="str">
        <f>IFERROR(__xludf.DUMMYFUNCTION("""COMPUTED_VALUE"""),"")</f>
        <v/>
      </c>
      <c r="Z685" s="48" t="str">
        <f>IFERROR(__xludf.DUMMYFUNCTION("""COMPUTED_VALUE"""),"%")</f>
        <v>%</v>
      </c>
      <c r="AA685" s="49">
        <f>IFERROR(__xludf.DUMMYFUNCTION("""COMPUTED_VALUE"""),3.0)</f>
        <v>3</v>
      </c>
      <c r="AB685" s="50"/>
      <c r="AC685" s="38"/>
      <c r="AD685" s="45" t="str">
        <f>IFERROR(__xludf.DUMMYFUNCTION("""COMPUTED_VALUE"""),"")</f>
        <v/>
      </c>
      <c r="AE685" s="46" t="str">
        <f>IFERROR(__xludf.DUMMYFUNCTION("""COMPUTED_VALUE"""),"AP")</f>
        <v>AP</v>
      </c>
      <c r="AF685" s="47" t="str">
        <f>IFERROR(__xludf.DUMMYFUNCTION("""COMPUTED_VALUE"""),"")</f>
        <v/>
      </c>
      <c r="AG685" s="48" t="str">
        <f>IFERROR(__xludf.DUMMYFUNCTION("""COMPUTED_VALUE"""),"%")</f>
        <v>%</v>
      </c>
      <c r="AH685" s="43"/>
      <c r="AI685" s="44"/>
      <c r="AJ685" s="51"/>
    </row>
    <row r="686" ht="24.75" hidden="1" customHeight="1">
      <c r="A686" s="28">
        <f>IFERROR(__xludf.DUMMYFUNCTION("""COMPUTED_VALUE"""),17.0)</f>
        <v>17</v>
      </c>
      <c r="B686" s="28" t="str">
        <f>IFERROR(__xludf.DUMMYFUNCTION("""COMPUTED_VALUE"""),"A101")</f>
        <v>A101</v>
      </c>
      <c r="C686" s="28"/>
      <c r="D686" s="29"/>
      <c r="E686" s="67"/>
      <c r="F686" s="31"/>
      <c r="G686" s="32"/>
      <c r="H686" s="33" t="str">
        <f>IFERROR(__xludf.DUMMYFUNCTION("""COMPUTED_VALUE""")," ")</f>
        <v> </v>
      </c>
      <c r="I686" s="34"/>
      <c r="J686" s="35" t="str">
        <f>IFERROR(__xludf.DUMMYFUNCTION("""COMPUTED_VALUE"""),"AP")</f>
        <v>AP</v>
      </c>
      <c r="K686" s="34"/>
      <c r="L686" s="35" t="str">
        <f>IFERROR(__xludf.DUMMYFUNCTION("""COMPUTED_VALUE"""),"%")</f>
        <v>%</v>
      </c>
      <c r="M686" s="36">
        <f>IFERROR(__xludf.DUMMYFUNCTION("""COMPUTED_VALUE"""),1.0)</f>
        <v>1</v>
      </c>
      <c r="N686" s="37"/>
      <c r="O686" s="38"/>
      <c r="P686" s="34" t="str">
        <f>IFERROR(__xludf.DUMMYFUNCTION("""COMPUTED_VALUE"""),"")</f>
        <v/>
      </c>
      <c r="Q686" s="35" t="str">
        <f>IFERROR(__xludf.DUMMYFUNCTION("""COMPUTED_VALUE"""),"AP")</f>
        <v>AP</v>
      </c>
      <c r="R686" s="34" t="str">
        <f>IFERROR(__xludf.DUMMYFUNCTION("""COMPUTED_VALUE"""),"")</f>
        <v/>
      </c>
      <c r="S686" s="35" t="str">
        <f>IFERROR(__xludf.DUMMYFUNCTION("""COMPUTED_VALUE"""),"%")</f>
        <v>%</v>
      </c>
      <c r="T686" s="36">
        <f>IFERROR(__xludf.DUMMYFUNCTION("""COMPUTED_VALUE"""),2.0)</f>
        <v>2</v>
      </c>
      <c r="U686" s="37"/>
      <c r="V686" s="38"/>
      <c r="W686" s="34" t="str">
        <f>IFERROR(__xludf.DUMMYFUNCTION("""COMPUTED_VALUE"""),"")</f>
        <v/>
      </c>
      <c r="X686" s="35" t="str">
        <f>IFERROR(__xludf.DUMMYFUNCTION("""COMPUTED_VALUE"""),"AP")</f>
        <v>AP</v>
      </c>
      <c r="Y686" s="34" t="str">
        <f>IFERROR(__xludf.DUMMYFUNCTION("""COMPUTED_VALUE"""),"")</f>
        <v/>
      </c>
      <c r="Z686" s="35" t="str">
        <f>IFERROR(__xludf.DUMMYFUNCTION("""COMPUTED_VALUE"""),"%")</f>
        <v>%</v>
      </c>
      <c r="AA686" s="36">
        <f>IFERROR(__xludf.DUMMYFUNCTION("""COMPUTED_VALUE"""),3.0)</f>
        <v>3</v>
      </c>
      <c r="AB686" s="37"/>
      <c r="AC686" s="38"/>
      <c r="AD686" s="34" t="str">
        <f>IFERROR(__xludf.DUMMYFUNCTION("""COMPUTED_VALUE"""),"")</f>
        <v/>
      </c>
      <c r="AE686" s="35" t="str">
        <f>IFERROR(__xludf.DUMMYFUNCTION("""COMPUTED_VALUE"""),"AP")</f>
        <v>AP</v>
      </c>
      <c r="AF686" s="34" t="str">
        <f>IFERROR(__xludf.DUMMYFUNCTION("""COMPUTED_VALUE"""),"")</f>
        <v/>
      </c>
      <c r="AG686" s="35" t="str">
        <f>IFERROR(__xludf.DUMMYFUNCTION("""COMPUTED_VALUE"""),"%")</f>
        <v>%</v>
      </c>
      <c r="AH686" s="31"/>
      <c r="AI686" s="32"/>
      <c r="AJ686" s="39"/>
    </row>
    <row r="687" ht="24.75" hidden="1" customHeight="1">
      <c r="A687" s="40">
        <f>IFERROR(__xludf.DUMMYFUNCTION("""COMPUTED_VALUE"""),18.0)</f>
        <v>18</v>
      </c>
      <c r="B687" s="40" t="str">
        <f>IFERROR(__xludf.DUMMYFUNCTION("""COMPUTED_VALUE"""),"A101")</f>
        <v>A101</v>
      </c>
      <c r="C687" s="40"/>
      <c r="D687" s="41"/>
      <c r="E687" s="66"/>
      <c r="F687" s="43"/>
      <c r="G687" s="44"/>
      <c r="H687" s="33" t="str">
        <f>IFERROR(__xludf.DUMMYFUNCTION("""COMPUTED_VALUE""")," ")</f>
        <v> </v>
      </c>
      <c r="I687" s="45"/>
      <c r="J687" s="46" t="str">
        <f>IFERROR(__xludf.DUMMYFUNCTION("""COMPUTED_VALUE"""),"AP")</f>
        <v>AP</v>
      </c>
      <c r="K687" s="47"/>
      <c r="L687" s="48" t="str">
        <f>IFERROR(__xludf.DUMMYFUNCTION("""COMPUTED_VALUE"""),"%")</f>
        <v>%</v>
      </c>
      <c r="M687" s="49">
        <f>IFERROR(__xludf.DUMMYFUNCTION("""COMPUTED_VALUE"""),1.0)</f>
        <v>1</v>
      </c>
      <c r="N687" s="50"/>
      <c r="O687" s="38"/>
      <c r="P687" s="45" t="str">
        <f>IFERROR(__xludf.DUMMYFUNCTION("""COMPUTED_VALUE"""),"")</f>
        <v/>
      </c>
      <c r="Q687" s="46" t="str">
        <f>IFERROR(__xludf.DUMMYFUNCTION("""COMPUTED_VALUE"""),"AP")</f>
        <v>AP</v>
      </c>
      <c r="R687" s="47" t="str">
        <f>IFERROR(__xludf.DUMMYFUNCTION("""COMPUTED_VALUE"""),"")</f>
        <v/>
      </c>
      <c r="S687" s="48" t="str">
        <f>IFERROR(__xludf.DUMMYFUNCTION("""COMPUTED_VALUE"""),"%")</f>
        <v>%</v>
      </c>
      <c r="T687" s="49">
        <f>IFERROR(__xludf.DUMMYFUNCTION("""COMPUTED_VALUE"""),2.0)</f>
        <v>2</v>
      </c>
      <c r="U687" s="50"/>
      <c r="V687" s="38"/>
      <c r="W687" s="45" t="str">
        <f>IFERROR(__xludf.DUMMYFUNCTION("""COMPUTED_VALUE"""),"")</f>
        <v/>
      </c>
      <c r="X687" s="46" t="str">
        <f>IFERROR(__xludf.DUMMYFUNCTION("""COMPUTED_VALUE"""),"AP")</f>
        <v>AP</v>
      </c>
      <c r="Y687" s="47" t="str">
        <f>IFERROR(__xludf.DUMMYFUNCTION("""COMPUTED_VALUE"""),"")</f>
        <v/>
      </c>
      <c r="Z687" s="48" t="str">
        <f>IFERROR(__xludf.DUMMYFUNCTION("""COMPUTED_VALUE"""),"%")</f>
        <v>%</v>
      </c>
      <c r="AA687" s="49">
        <f>IFERROR(__xludf.DUMMYFUNCTION("""COMPUTED_VALUE"""),3.0)</f>
        <v>3</v>
      </c>
      <c r="AB687" s="50"/>
      <c r="AC687" s="38"/>
      <c r="AD687" s="45" t="str">
        <f>IFERROR(__xludf.DUMMYFUNCTION("""COMPUTED_VALUE"""),"")</f>
        <v/>
      </c>
      <c r="AE687" s="46" t="str">
        <f>IFERROR(__xludf.DUMMYFUNCTION("""COMPUTED_VALUE"""),"AP")</f>
        <v>AP</v>
      </c>
      <c r="AF687" s="47" t="str">
        <f>IFERROR(__xludf.DUMMYFUNCTION("""COMPUTED_VALUE"""),"")</f>
        <v/>
      </c>
      <c r="AG687" s="48" t="str">
        <f>IFERROR(__xludf.DUMMYFUNCTION("""COMPUTED_VALUE"""),"%")</f>
        <v>%</v>
      </c>
      <c r="AH687" s="43"/>
      <c r="AI687" s="44"/>
      <c r="AJ687" s="51"/>
    </row>
    <row r="688" ht="24.75" hidden="1" customHeight="1">
      <c r="A688" s="28">
        <f>IFERROR(__xludf.DUMMYFUNCTION("""COMPUTED_VALUE"""),19.0)</f>
        <v>19</v>
      </c>
      <c r="B688" s="28" t="str">
        <f>IFERROR(__xludf.DUMMYFUNCTION("""COMPUTED_VALUE"""),"A101")</f>
        <v>A101</v>
      </c>
      <c r="C688" s="28"/>
      <c r="D688" s="29"/>
      <c r="E688" s="67"/>
      <c r="F688" s="31"/>
      <c r="G688" s="32"/>
      <c r="H688" s="33" t="str">
        <f>IFERROR(__xludf.DUMMYFUNCTION("""COMPUTED_VALUE""")," ")</f>
        <v> </v>
      </c>
      <c r="I688" s="34"/>
      <c r="J688" s="35" t="str">
        <f>IFERROR(__xludf.DUMMYFUNCTION("""COMPUTED_VALUE"""),"AP")</f>
        <v>AP</v>
      </c>
      <c r="K688" s="34"/>
      <c r="L688" s="35" t="str">
        <f>IFERROR(__xludf.DUMMYFUNCTION("""COMPUTED_VALUE"""),"%")</f>
        <v>%</v>
      </c>
      <c r="M688" s="36">
        <f>IFERROR(__xludf.DUMMYFUNCTION("""COMPUTED_VALUE"""),1.0)</f>
        <v>1</v>
      </c>
      <c r="N688" s="37"/>
      <c r="O688" s="38"/>
      <c r="P688" s="34" t="str">
        <f>IFERROR(__xludf.DUMMYFUNCTION("""COMPUTED_VALUE"""),"")</f>
        <v/>
      </c>
      <c r="Q688" s="35" t="str">
        <f>IFERROR(__xludf.DUMMYFUNCTION("""COMPUTED_VALUE"""),"AP")</f>
        <v>AP</v>
      </c>
      <c r="R688" s="34" t="str">
        <f>IFERROR(__xludf.DUMMYFUNCTION("""COMPUTED_VALUE"""),"")</f>
        <v/>
      </c>
      <c r="S688" s="35" t="str">
        <f>IFERROR(__xludf.DUMMYFUNCTION("""COMPUTED_VALUE"""),"%")</f>
        <v>%</v>
      </c>
      <c r="T688" s="36">
        <f>IFERROR(__xludf.DUMMYFUNCTION("""COMPUTED_VALUE"""),2.0)</f>
        <v>2</v>
      </c>
      <c r="U688" s="37"/>
      <c r="V688" s="38"/>
      <c r="W688" s="34" t="str">
        <f>IFERROR(__xludf.DUMMYFUNCTION("""COMPUTED_VALUE"""),"")</f>
        <v/>
      </c>
      <c r="X688" s="35" t="str">
        <f>IFERROR(__xludf.DUMMYFUNCTION("""COMPUTED_VALUE"""),"AP")</f>
        <v>AP</v>
      </c>
      <c r="Y688" s="34" t="str">
        <f>IFERROR(__xludf.DUMMYFUNCTION("""COMPUTED_VALUE"""),"")</f>
        <v/>
      </c>
      <c r="Z688" s="35" t="str">
        <f>IFERROR(__xludf.DUMMYFUNCTION("""COMPUTED_VALUE"""),"%")</f>
        <v>%</v>
      </c>
      <c r="AA688" s="36">
        <f>IFERROR(__xludf.DUMMYFUNCTION("""COMPUTED_VALUE"""),3.0)</f>
        <v>3</v>
      </c>
      <c r="AB688" s="37"/>
      <c r="AC688" s="38"/>
      <c r="AD688" s="34" t="str">
        <f>IFERROR(__xludf.DUMMYFUNCTION("""COMPUTED_VALUE"""),"")</f>
        <v/>
      </c>
      <c r="AE688" s="35" t="str">
        <f>IFERROR(__xludf.DUMMYFUNCTION("""COMPUTED_VALUE"""),"AP")</f>
        <v>AP</v>
      </c>
      <c r="AF688" s="34" t="str">
        <f>IFERROR(__xludf.DUMMYFUNCTION("""COMPUTED_VALUE"""),"")</f>
        <v/>
      </c>
      <c r="AG688" s="35" t="str">
        <f>IFERROR(__xludf.DUMMYFUNCTION("""COMPUTED_VALUE"""),"%")</f>
        <v>%</v>
      </c>
      <c r="AH688" s="31"/>
      <c r="AI688" s="32"/>
      <c r="AJ688" s="39"/>
    </row>
    <row r="689" ht="24.75" hidden="1" customHeight="1">
      <c r="A689" s="40">
        <f>IFERROR(__xludf.DUMMYFUNCTION("""COMPUTED_VALUE"""),20.0)</f>
        <v>20</v>
      </c>
      <c r="B689" s="40" t="str">
        <f>IFERROR(__xludf.DUMMYFUNCTION("""COMPUTED_VALUE"""),"A101")</f>
        <v>A101</v>
      </c>
      <c r="C689" s="40"/>
      <c r="D689" s="41"/>
      <c r="E689" s="66"/>
      <c r="F689" s="43"/>
      <c r="G689" s="44"/>
      <c r="H689" s="33" t="str">
        <f>IFERROR(__xludf.DUMMYFUNCTION("""COMPUTED_VALUE""")," ")</f>
        <v> </v>
      </c>
      <c r="I689" s="45"/>
      <c r="J689" s="46" t="str">
        <f>IFERROR(__xludf.DUMMYFUNCTION("""COMPUTED_VALUE"""),"AP")</f>
        <v>AP</v>
      </c>
      <c r="K689" s="47"/>
      <c r="L689" s="48" t="str">
        <f>IFERROR(__xludf.DUMMYFUNCTION("""COMPUTED_VALUE"""),"%")</f>
        <v>%</v>
      </c>
      <c r="M689" s="49">
        <f>IFERROR(__xludf.DUMMYFUNCTION("""COMPUTED_VALUE"""),1.0)</f>
        <v>1</v>
      </c>
      <c r="N689" s="50"/>
      <c r="O689" s="38"/>
      <c r="P689" s="45" t="str">
        <f>IFERROR(__xludf.DUMMYFUNCTION("""COMPUTED_VALUE"""),"")</f>
        <v/>
      </c>
      <c r="Q689" s="46" t="str">
        <f>IFERROR(__xludf.DUMMYFUNCTION("""COMPUTED_VALUE"""),"AP")</f>
        <v>AP</v>
      </c>
      <c r="R689" s="47" t="str">
        <f>IFERROR(__xludf.DUMMYFUNCTION("""COMPUTED_VALUE"""),"")</f>
        <v/>
      </c>
      <c r="S689" s="48" t="str">
        <f>IFERROR(__xludf.DUMMYFUNCTION("""COMPUTED_VALUE"""),"%")</f>
        <v>%</v>
      </c>
      <c r="T689" s="49">
        <f>IFERROR(__xludf.DUMMYFUNCTION("""COMPUTED_VALUE"""),2.0)</f>
        <v>2</v>
      </c>
      <c r="U689" s="50"/>
      <c r="V689" s="38"/>
      <c r="W689" s="45" t="str">
        <f>IFERROR(__xludf.DUMMYFUNCTION("""COMPUTED_VALUE"""),"")</f>
        <v/>
      </c>
      <c r="X689" s="46" t="str">
        <f>IFERROR(__xludf.DUMMYFUNCTION("""COMPUTED_VALUE"""),"AP")</f>
        <v>AP</v>
      </c>
      <c r="Y689" s="47" t="str">
        <f>IFERROR(__xludf.DUMMYFUNCTION("""COMPUTED_VALUE"""),"")</f>
        <v/>
      </c>
      <c r="Z689" s="48" t="str">
        <f>IFERROR(__xludf.DUMMYFUNCTION("""COMPUTED_VALUE"""),"%")</f>
        <v>%</v>
      </c>
      <c r="AA689" s="49">
        <f>IFERROR(__xludf.DUMMYFUNCTION("""COMPUTED_VALUE"""),3.0)</f>
        <v>3</v>
      </c>
      <c r="AB689" s="50"/>
      <c r="AC689" s="38"/>
      <c r="AD689" s="45" t="str">
        <f>IFERROR(__xludf.DUMMYFUNCTION("""COMPUTED_VALUE"""),"")</f>
        <v/>
      </c>
      <c r="AE689" s="46" t="str">
        <f>IFERROR(__xludf.DUMMYFUNCTION("""COMPUTED_VALUE"""),"AP")</f>
        <v>AP</v>
      </c>
      <c r="AF689" s="47" t="str">
        <f>IFERROR(__xludf.DUMMYFUNCTION("""COMPUTED_VALUE"""),"")</f>
        <v/>
      </c>
      <c r="AG689" s="48" t="str">
        <f>IFERROR(__xludf.DUMMYFUNCTION("""COMPUTED_VALUE"""),"%")</f>
        <v>%</v>
      </c>
      <c r="AH689" s="43"/>
      <c r="AI689" s="44"/>
      <c r="AJ689" s="51"/>
    </row>
    <row r="690">
      <c r="A690" s="52"/>
      <c r="B690" s="53"/>
      <c r="C690" s="54"/>
      <c r="D690" s="55"/>
      <c r="E690" s="56"/>
      <c r="F690" s="53"/>
      <c r="G690" s="53"/>
      <c r="H690" s="53"/>
      <c r="I690" s="53"/>
      <c r="J690" s="57"/>
      <c r="K690" s="53"/>
      <c r="L690" s="57"/>
      <c r="M690" s="53"/>
      <c r="N690" s="53"/>
      <c r="O690" s="53"/>
      <c r="P690" s="53"/>
      <c r="Q690" s="57"/>
      <c r="R690" s="53"/>
      <c r="S690" s="57"/>
      <c r="T690" s="53"/>
      <c r="U690" s="53"/>
      <c r="V690" s="53"/>
      <c r="W690" s="53"/>
      <c r="X690" s="57"/>
      <c r="Y690" s="53"/>
      <c r="Z690" s="57"/>
      <c r="AA690" s="53"/>
      <c r="AB690" s="53"/>
      <c r="AC690" s="53"/>
      <c r="AD690" s="53"/>
      <c r="AE690" s="57"/>
      <c r="AF690" s="53"/>
      <c r="AG690" s="57"/>
      <c r="AH690" s="53"/>
      <c r="AI690" s="53"/>
      <c r="AJ690" s="58"/>
    </row>
    <row r="691">
      <c r="A691" s="59"/>
      <c r="B691" s="60"/>
      <c r="C691" s="61"/>
      <c r="D691" s="62"/>
      <c r="E691" s="63"/>
      <c r="F691" s="60"/>
      <c r="G691" s="60"/>
      <c r="H691" s="60"/>
      <c r="I691" s="60"/>
      <c r="J691" s="64"/>
      <c r="K691" s="60"/>
      <c r="L691" s="64"/>
      <c r="M691" s="60"/>
      <c r="N691" s="60"/>
      <c r="O691" s="60"/>
      <c r="P691" s="60"/>
      <c r="Q691" s="64"/>
      <c r="R691" s="60"/>
      <c r="S691" s="64"/>
      <c r="T691" s="60"/>
      <c r="U691" s="60"/>
      <c r="V691" s="60"/>
      <c r="W691" s="60"/>
      <c r="X691" s="64"/>
      <c r="Y691" s="60"/>
      <c r="Z691" s="64"/>
      <c r="AA691" s="60"/>
      <c r="AB691" s="60"/>
      <c r="AC691" s="60"/>
      <c r="AD691" s="60"/>
      <c r="AE691" s="64"/>
      <c r="AF691" s="60"/>
      <c r="AG691" s="64"/>
      <c r="AH691" s="60"/>
      <c r="AI691" s="60"/>
      <c r="AJ691" s="65"/>
    </row>
    <row r="692" ht="33.0" customHeight="1">
      <c r="A692" s="20" t="str">
        <f>IFERROR(__xludf.DUMMYFUNCTION("""COMPUTED_VALUE""")," ")</f>
        <v> </v>
      </c>
      <c r="B692" s="21" t="str">
        <f>IFERROR(__xludf.DUMMYFUNCTION("""COMPUTED_VALUE"""),"A102")</f>
        <v>A102</v>
      </c>
      <c r="C692" s="20"/>
      <c r="D692" s="22" t="str">
        <f>IFERROR(__xludf.DUMMYFUNCTION("""COMPUTED_VALUE"""),"")</f>
        <v/>
      </c>
      <c r="E692" s="23" t="str">
        <f>IFERROR(__xludf.DUMMYFUNCTION("""COMPUTED_VALUE"""),"Heart of the Foreign God")</f>
        <v>Heart of the Foreign God</v>
      </c>
      <c r="F692" s="24"/>
      <c r="G692" s="24"/>
      <c r="H692" s="25"/>
      <c r="I692" s="25"/>
      <c r="J692" s="26"/>
      <c r="K692" s="25"/>
      <c r="L692" s="26"/>
      <c r="M692" s="25"/>
      <c r="N692" s="25"/>
      <c r="O692" s="25"/>
      <c r="P692" s="25"/>
      <c r="Q692" s="26"/>
      <c r="R692" s="25"/>
      <c r="S692" s="26"/>
      <c r="T692" s="25"/>
      <c r="U692" s="25"/>
      <c r="V692" s="25"/>
      <c r="W692" s="25"/>
      <c r="X692" s="26"/>
      <c r="Y692" s="25"/>
      <c r="Z692" s="26"/>
      <c r="AA692" s="25"/>
      <c r="AB692" s="25"/>
      <c r="AC692" s="25"/>
      <c r="AD692" s="25"/>
      <c r="AE692" s="26"/>
      <c r="AF692" s="25"/>
      <c r="AG692" s="26"/>
      <c r="AH692" s="24"/>
      <c r="AI692" s="25"/>
      <c r="AJ692" s="27"/>
    </row>
    <row r="693" ht="24.75" customHeight="1">
      <c r="A693" s="28">
        <f>IFERROR(__xludf.DUMMYFUNCTION("""COMPUTED_VALUE"""),1.0)</f>
        <v>1</v>
      </c>
      <c r="B693" s="28" t="str">
        <f>IFERROR(__xludf.DUMMYFUNCTION("""COMPUTED_VALUE"""),"A102")</f>
        <v>A102</v>
      </c>
      <c r="C693" s="28" t="str">
        <f>IFERROR(__xludf.DUMMYFUNCTION("""COMPUTED_VALUE"""),"SLM2")</f>
        <v>SLM2</v>
      </c>
      <c r="D693" s="29" t="str">
        <f>IFERROR(__xludf.DUMMYFUNCTION("""COMPUTED_VALUE"""),"Salem")</f>
        <v>Salem</v>
      </c>
      <c r="E693" s="30" t="str">
        <f>IFERROR(__xludf.DUMMYFUNCTION("""COMPUTED_VALUE"""),"Carter Residence")</f>
        <v>Carter Residence</v>
      </c>
      <c r="F693" s="31">
        <f>IFERROR(__xludf.DUMMYFUNCTION("""COMPUTED_VALUE"""),20.0)</f>
        <v>20</v>
      </c>
      <c r="G693" s="32">
        <f>IFERROR(__xludf.DUMMYFUNCTION("""COMPUTED_VALUE"""),120434.0)</f>
        <v>120434</v>
      </c>
      <c r="H693" s="33" t="str">
        <f>IFERROR(__xludf.DUMMYFUNCTION("""COMPUTED_VALUE"""),"")</f>
        <v/>
      </c>
      <c r="I693" s="34">
        <f>IFERROR(__xludf.DUMMYFUNCTION("""COMPUTED_VALUE"""),162.9)</f>
        <v>162.9</v>
      </c>
      <c r="J693" s="35" t="str">
        <f>IFERROR(__xludf.DUMMYFUNCTION("""COMPUTED_VALUE"""),"AP")</f>
        <v>AP</v>
      </c>
      <c r="K693" s="34">
        <f>IFERROR(__xludf.DUMMYFUNCTION("""COMPUTED_VALUE"""),12.3)</f>
        <v>12.3</v>
      </c>
      <c r="L693" s="35" t="str">
        <f>IFERROR(__xludf.DUMMYFUNCTION("""COMPUTED_VALUE"""),"%")</f>
        <v>%</v>
      </c>
      <c r="M693" s="36">
        <f>IFERROR(__xludf.DUMMYFUNCTION("""COMPUTED_VALUE"""),1.0)</f>
        <v>1</v>
      </c>
      <c r="N693" s="37" t="str">
        <f>IFERROR(__xludf.DUMMYFUNCTION("""COMPUTED_VALUE"""),"A308")</f>
        <v>A308</v>
      </c>
      <c r="O693" s="38" t="str">
        <f>IFERROR(__xludf.DUMMYFUNCTION("""COMPUTED_VALUE"""),"")</f>
        <v/>
      </c>
      <c r="P693" s="34">
        <f>IFERROR(__xludf.DUMMYFUNCTION("""COMPUTED_VALUE"""),50.0)</f>
        <v>50</v>
      </c>
      <c r="Q693" s="35" t="str">
        <f>IFERROR(__xludf.DUMMYFUNCTION("""COMPUTED_VALUE"""),"AP")</f>
        <v>AP</v>
      </c>
      <c r="R693" s="34">
        <f>IFERROR(__xludf.DUMMYFUNCTION("""COMPUTED_VALUE"""),40.0)</f>
        <v>40</v>
      </c>
      <c r="S693" s="35" t="str">
        <f>IFERROR(__xludf.DUMMYFUNCTION("""COMPUTED_VALUE"""),"%")</f>
        <v>%</v>
      </c>
      <c r="T693" s="36">
        <f>IFERROR(__xludf.DUMMYFUNCTION("""COMPUTED_VALUE"""),2.0)</f>
        <v>2</v>
      </c>
      <c r="U693" s="37" t="str">
        <f>IFERROR(__xludf.DUMMYFUNCTION("""COMPUTED_VALUE"""),"B105")</f>
        <v>B105</v>
      </c>
      <c r="V693" s="38" t="str">
        <f>IFERROR(__xludf.DUMMYFUNCTION("""COMPUTED_VALUE"""),"")</f>
        <v/>
      </c>
      <c r="W693" s="34">
        <f>IFERROR(__xludf.DUMMYFUNCTION("""COMPUTED_VALUE"""),454.1)</f>
        <v>454.1</v>
      </c>
      <c r="X693" s="35" t="str">
        <f>IFERROR(__xludf.DUMMYFUNCTION("""COMPUTED_VALUE"""),"AP")</f>
        <v>AP</v>
      </c>
      <c r="Y693" s="34">
        <f>IFERROR(__xludf.DUMMYFUNCTION("""COMPUTED_VALUE"""),4.4)</f>
        <v>4.4</v>
      </c>
      <c r="Z693" s="35" t="str">
        <f>IFERROR(__xludf.DUMMYFUNCTION("""COMPUTED_VALUE"""),"%")</f>
        <v>%</v>
      </c>
      <c r="AA693" s="36">
        <f>IFERROR(__xludf.DUMMYFUNCTION("""COMPUTED_VALUE"""),3.0)</f>
        <v>3</v>
      </c>
      <c r="AB693" s="37" t="str">
        <f>IFERROR(__xludf.DUMMYFUNCTION("""COMPUTED_VALUE"""),"B116")</f>
        <v>B116</v>
      </c>
      <c r="AC693" s="38" t="str">
        <f>IFERROR(__xludf.DUMMYFUNCTION("""COMPUTED_VALUE"""),"")</f>
        <v/>
      </c>
      <c r="AD693" s="34">
        <f>IFERROR(__xludf.DUMMYFUNCTION("""COMPUTED_VALUE"""),80.2)</f>
        <v>80.2</v>
      </c>
      <c r="AE693" s="35" t="str">
        <f>IFERROR(__xludf.DUMMYFUNCTION("""COMPUTED_VALUE"""),"AP")</f>
        <v>AP</v>
      </c>
      <c r="AF693" s="34">
        <f>IFERROR(__xludf.DUMMYFUNCTION("""COMPUTED_VALUE"""),24.9)</f>
        <v>24.9</v>
      </c>
      <c r="AG693" s="35" t="str">
        <f>IFERROR(__xludf.DUMMYFUNCTION("""COMPUTED_VALUE"""),"%")</f>
        <v>%</v>
      </c>
      <c r="AH693" s="31">
        <f>IFERROR(__xludf.DUMMYFUNCTION("""COMPUTED_VALUE"""),20.0)</f>
        <v>20</v>
      </c>
      <c r="AI693" s="32">
        <f>IFERROR(__xludf.DUMMYFUNCTION("""COMPUTED_VALUE"""),120434.0)</f>
        <v>120434</v>
      </c>
      <c r="AJ693" s="39" t="str">
        <f>IFERROR(__xludf.DUMMYFUNCTION("""COMPUTED_VALUE"""),"カーター家")</f>
        <v>カーター家</v>
      </c>
    </row>
    <row r="694" ht="24.75" customHeight="1">
      <c r="A694" s="40">
        <f>IFERROR(__xludf.DUMMYFUNCTION("""COMPUTED_VALUE"""),2.0)</f>
        <v>2</v>
      </c>
      <c r="B694" s="40" t="str">
        <f>IFERROR(__xludf.DUMMYFUNCTION("""COMPUTED_VALUE"""),"A102")</f>
        <v>A102</v>
      </c>
      <c r="C694" s="40" t="str">
        <f>IFERROR(__xludf.DUMMYFUNCTION("""COMPUTED_VALUE"""),"SJK9")</f>
        <v>SJK9</v>
      </c>
      <c r="D694" s="41" t="str">
        <f>IFERROR(__xludf.DUMMYFUNCTION("""COMPUTED_VALUE"""),"Shinjuku")</f>
        <v>Shinjuku</v>
      </c>
      <c r="E694" s="42" t="str">
        <f>IFERROR(__xludf.DUMMYFUNCTION("""COMPUTED_VALUE"""),"Shinjuku Gyoen")</f>
        <v>Shinjuku Gyoen</v>
      </c>
      <c r="F694" s="43">
        <f>IFERROR(__xludf.DUMMYFUNCTION("""COMPUTED_VALUE"""),21.0)</f>
        <v>21</v>
      </c>
      <c r="G694" s="44">
        <f>IFERROR(__xludf.DUMMYFUNCTION("""COMPUTED_VALUE"""),59275.0)</f>
        <v>59275</v>
      </c>
      <c r="H694" s="33" t="str">
        <f>IFERROR(__xludf.DUMMYFUNCTION("""COMPUTED_VALUE"""),"")</f>
        <v/>
      </c>
      <c r="I694" s="45">
        <f>IFERROR(__xludf.DUMMYFUNCTION("""COMPUTED_VALUE"""),175.1)</f>
        <v>175.1</v>
      </c>
      <c r="J694" s="46" t="str">
        <f>IFERROR(__xludf.DUMMYFUNCTION("""COMPUTED_VALUE"""),"AP")</f>
        <v>AP</v>
      </c>
      <c r="K694" s="47">
        <f>IFERROR(__xludf.DUMMYFUNCTION("""COMPUTED_VALUE"""),12.0)</f>
        <v>12</v>
      </c>
      <c r="L694" s="48" t="str">
        <f>IFERROR(__xludf.DUMMYFUNCTION("""COMPUTED_VALUE"""),"%")</f>
        <v>%</v>
      </c>
      <c r="M694" s="49">
        <f>IFERROR(__xludf.DUMMYFUNCTION("""COMPUTED_VALUE"""),1.0)</f>
        <v>1</v>
      </c>
      <c r="N694" s="50" t="str">
        <f>IFERROR(__xludf.DUMMYFUNCTION("""COMPUTED_VALUE"""),"A307")</f>
        <v>A307</v>
      </c>
      <c r="O694" s="38" t="str">
        <f>IFERROR(__xludf.DUMMYFUNCTION("""COMPUTED_VALUE"""),"")</f>
        <v/>
      </c>
      <c r="P694" s="45">
        <f>IFERROR(__xludf.DUMMYFUNCTION("""COMPUTED_VALUE"""),69.6)</f>
        <v>69.6</v>
      </c>
      <c r="Q694" s="46" t="str">
        <f>IFERROR(__xludf.DUMMYFUNCTION("""COMPUTED_VALUE"""),"AP")</f>
        <v>AP</v>
      </c>
      <c r="R694" s="47">
        <f>IFERROR(__xludf.DUMMYFUNCTION("""COMPUTED_VALUE"""),30.2)</f>
        <v>30.2</v>
      </c>
      <c r="S694" s="48" t="str">
        <f>IFERROR(__xludf.DUMMYFUNCTION("""COMPUTED_VALUE"""),"%")</f>
        <v>%</v>
      </c>
      <c r="T694" s="49">
        <f>IFERROR(__xludf.DUMMYFUNCTION("""COMPUTED_VALUE"""),2.0)</f>
        <v>2</v>
      </c>
      <c r="U694" s="50" t="str">
        <f>IFERROR(__xludf.DUMMYFUNCTION("""COMPUTED_VALUE"""),"B105")</f>
        <v>B105</v>
      </c>
      <c r="V694" s="38" t="str">
        <f>IFERROR(__xludf.DUMMYFUNCTION("""COMPUTED_VALUE"""),"")</f>
        <v/>
      </c>
      <c r="W694" s="45">
        <f>IFERROR(__xludf.DUMMYFUNCTION("""COMPUTED_VALUE"""),469.9)</f>
        <v>469.9</v>
      </c>
      <c r="X694" s="46" t="str">
        <f>IFERROR(__xludf.DUMMYFUNCTION("""COMPUTED_VALUE"""),"AP")</f>
        <v>AP</v>
      </c>
      <c r="Y694" s="47">
        <f>IFERROR(__xludf.DUMMYFUNCTION("""COMPUTED_VALUE"""),4.499999999)</f>
        <v>4.499999999</v>
      </c>
      <c r="Z694" s="48" t="str">
        <f>IFERROR(__xludf.DUMMYFUNCTION("""COMPUTED_VALUE"""),"%")</f>
        <v>%</v>
      </c>
      <c r="AA694" s="49">
        <f>IFERROR(__xludf.DUMMYFUNCTION("""COMPUTED_VALUE"""),3.0)</f>
        <v>3</v>
      </c>
      <c r="AB694" s="50"/>
      <c r="AC694" s="38"/>
      <c r="AD694" s="45" t="str">
        <f>IFERROR(__xludf.DUMMYFUNCTION("""COMPUTED_VALUE"""),"")</f>
        <v/>
      </c>
      <c r="AE694" s="46" t="str">
        <f>IFERROR(__xludf.DUMMYFUNCTION("""COMPUTED_VALUE"""),"AP")</f>
        <v>AP</v>
      </c>
      <c r="AF694" s="47" t="str">
        <f>IFERROR(__xludf.DUMMYFUNCTION("""COMPUTED_VALUE"""),"")</f>
        <v/>
      </c>
      <c r="AG694" s="48" t="str">
        <f>IFERROR(__xludf.DUMMYFUNCTION("""COMPUTED_VALUE"""),"%")</f>
        <v>%</v>
      </c>
      <c r="AH694" s="43">
        <f>IFERROR(__xludf.DUMMYFUNCTION("""COMPUTED_VALUE"""),21.0)</f>
        <v>21</v>
      </c>
      <c r="AI694" s="44">
        <f>IFERROR(__xludf.DUMMYFUNCTION("""COMPUTED_VALUE"""),59275.0)</f>
        <v>59275</v>
      </c>
      <c r="AJ694" s="51" t="str">
        <f>IFERROR(__xludf.DUMMYFUNCTION("""COMPUTED_VALUE"""),"新宿御苑")</f>
        <v>新宿御苑</v>
      </c>
    </row>
    <row r="695" ht="24.75" customHeight="1">
      <c r="A695" s="28">
        <f>IFERROR(__xludf.DUMMYFUNCTION("""COMPUTED_VALUE"""),3.0)</f>
        <v>3</v>
      </c>
      <c r="B695" s="28" t="str">
        <f>IFERROR(__xludf.DUMMYFUNCTION("""COMPUTED_VALUE"""),"A102")</f>
        <v>A102</v>
      </c>
      <c r="C695" s="28" t="str">
        <f>IFERROR(__xludf.DUMMYFUNCTION("""COMPUTED_VALUE"""),"TRF20")</f>
        <v>TRF20</v>
      </c>
      <c r="D695" s="29" t="str">
        <f>IFERROR(__xludf.DUMMYFUNCTION("""COMPUTED_VALUE"""),"Chaldea Gate (Fri)")</f>
        <v>Chaldea Gate (Fri)</v>
      </c>
      <c r="E695" s="30" t="str">
        <f>IFERROR(__xludf.DUMMYFUNCTION("""COMPUTED_VALUE"""),"FRI Caster Training Ground- Exp")</f>
        <v>FRI Caster Training Ground- Exp</v>
      </c>
      <c r="F695" s="31">
        <f>IFERROR(__xludf.DUMMYFUNCTION("""COMPUTED_VALUE"""),40.0)</f>
        <v>40</v>
      </c>
      <c r="G695" s="32">
        <f>IFERROR(__xludf.DUMMYFUNCTION("""COMPUTED_VALUE"""),12077.0)</f>
        <v>12077</v>
      </c>
      <c r="H695" s="33" t="str">
        <f>IFERROR(__xludf.DUMMYFUNCTION("""COMPUTED_VALUE"""),"")</f>
        <v/>
      </c>
      <c r="I695" s="34">
        <f>IFERROR(__xludf.DUMMYFUNCTION("""COMPUTED_VALUE"""),634.8)</f>
        <v>634.8</v>
      </c>
      <c r="J695" s="35" t="str">
        <f>IFERROR(__xludf.DUMMYFUNCTION("""COMPUTED_VALUE"""),"AP")</f>
        <v>AP</v>
      </c>
      <c r="K695" s="34">
        <f>IFERROR(__xludf.DUMMYFUNCTION("""COMPUTED_VALUE"""),6.3)</f>
        <v>6.3</v>
      </c>
      <c r="L695" s="35" t="str">
        <f>IFERROR(__xludf.DUMMYFUNCTION("""COMPUTED_VALUE"""),"%")</f>
        <v>%</v>
      </c>
      <c r="M695" s="36">
        <f>IFERROR(__xludf.DUMMYFUNCTION("""COMPUTED_VALUE"""),1.0)</f>
        <v>1</v>
      </c>
      <c r="N695" s="37" t="str">
        <f>IFERROR(__xludf.DUMMYFUNCTION("""COMPUTED_VALUE"""),"A204")</f>
        <v>A204</v>
      </c>
      <c r="O695" s="38" t="str">
        <f>IFERROR(__xludf.DUMMYFUNCTION("""COMPUTED_VALUE"""),"")</f>
        <v/>
      </c>
      <c r="P695" s="34">
        <f>IFERROR(__xludf.DUMMYFUNCTION("""COMPUTED_VALUE"""),161.4)</f>
        <v>161.4</v>
      </c>
      <c r="Q695" s="35" t="str">
        <f>IFERROR(__xludf.DUMMYFUNCTION("""COMPUTED_VALUE"""),"AP")</f>
        <v>AP</v>
      </c>
      <c r="R695" s="34">
        <f>IFERROR(__xludf.DUMMYFUNCTION("""COMPUTED_VALUE"""),24.7999999)</f>
        <v>24.7999999</v>
      </c>
      <c r="S695" s="35" t="str">
        <f>IFERROR(__xludf.DUMMYFUNCTION("""COMPUTED_VALUE"""),"%")</f>
        <v>%</v>
      </c>
      <c r="T695" s="36">
        <f>IFERROR(__xludf.DUMMYFUNCTION("""COMPUTED_VALUE"""),2.0)</f>
        <v>2</v>
      </c>
      <c r="U695" s="37" t="str">
        <f>IFERROR(__xludf.DUMMYFUNCTION("""COMPUTED_VALUE"""),"A207")</f>
        <v>A207</v>
      </c>
      <c r="V695" s="38" t="str">
        <f>IFERROR(__xludf.DUMMYFUNCTION("""COMPUTED_VALUE"""),"")</f>
        <v/>
      </c>
      <c r="W695" s="34">
        <f>IFERROR(__xludf.DUMMYFUNCTION("""COMPUTED_VALUE"""),194.2)</f>
        <v>194.2</v>
      </c>
      <c r="X695" s="35" t="str">
        <f>IFERROR(__xludf.DUMMYFUNCTION("""COMPUTED_VALUE"""),"AP")</f>
        <v>AP</v>
      </c>
      <c r="Y695" s="34">
        <f>IFERROR(__xludf.DUMMYFUNCTION("""COMPUTED_VALUE"""),20.6)</f>
        <v>20.6</v>
      </c>
      <c r="Z695" s="35" t="str">
        <f>IFERROR(__xludf.DUMMYFUNCTION("""COMPUTED_VALUE"""),"%")</f>
        <v>%</v>
      </c>
      <c r="AA695" s="36">
        <f>IFERROR(__xludf.DUMMYFUNCTION("""COMPUTED_VALUE"""),3.0)</f>
        <v>3</v>
      </c>
      <c r="AB695" s="37" t="str">
        <f>IFERROR(__xludf.DUMMYFUNCTION("""COMPUTED_VALUE"""),"A304")</f>
        <v>A304</v>
      </c>
      <c r="AC695" s="38" t="str">
        <f>IFERROR(__xludf.DUMMYFUNCTION("""COMPUTED_VALUE"""),"")</f>
        <v/>
      </c>
      <c r="AD695" s="34">
        <f>IFERROR(__xludf.DUMMYFUNCTION("""COMPUTED_VALUE"""),162.5)</f>
        <v>162.5</v>
      </c>
      <c r="AE695" s="35" t="str">
        <f>IFERROR(__xludf.DUMMYFUNCTION("""COMPUTED_VALUE"""),"AP")</f>
        <v>AP</v>
      </c>
      <c r="AF695" s="34">
        <f>IFERROR(__xludf.DUMMYFUNCTION("""COMPUTED_VALUE"""),24.6)</f>
        <v>24.6</v>
      </c>
      <c r="AG695" s="35" t="str">
        <f>IFERROR(__xludf.DUMMYFUNCTION("""COMPUTED_VALUE"""),"%")</f>
        <v>%</v>
      </c>
      <c r="AH695" s="31">
        <f>IFERROR(__xludf.DUMMYFUNCTION("""COMPUTED_VALUE"""),40.0)</f>
        <v>40</v>
      </c>
      <c r="AI695" s="32">
        <f>IFERROR(__xludf.DUMMYFUNCTION("""COMPUTED_VALUE"""),12077.0)</f>
        <v>12077</v>
      </c>
      <c r="AJ695" s="39" t="str">
        <f>IFERROR(__xludf.DUMMYFUNCTION("""COMPUTED_VALUE"""),"術超級")</f>
        <v>術超級</v>
      </c>
    </row>
    <row r="696" ht="24.75" customHeight="1">
      <c r="A696" s="40">
        <f>IFERROR(__xludf.DUMMYFUNCTION("""COMPUTED_VALUE"""),4.0)</f>
        <v>4</v>
      </c>
      <c r="B696" s="40" t="str">
        <f>IFERROR(__xludf.DUMMYFUNCTION("""COMPUTED_VALUE"""),"A102")</f>
        <v>A102</v>
      </c>
      <c r="C696" s="40" t="str">
        <f>IFERROR(__xludf.DUMMYFUNCTION("""COMPUTED_VALUE"""),"TRF19")</f>
        <v>TRF19</v>
      </c>
      <c r="D696" s="41" t="str">
        <f>IFERROR(__xludf.DUMMYFUNCTION("""COMPUTED_VALUE"""),"Chaldea Gate (Fri)")</f>
        <v>Chaldea Gate (Fri)</v>
      </c>
      <c r="E696" s="42" t="str">
        <f>IFERROR(__xludf.DUMMYFUNCTION("""COMPUTED_VALUE"""),"FRI Caster Training Ground- Adv")</f>
        <v>FRI Caster Training Ground- Adv</v>
      </c>
      <c r="F696" s="43">
        <f>IFERROR(__xludf.DUMMYFUNCTION("""COMPUTED_VALUE"""),30.0)</f>
        <v>30</v>
      </c>
      <c r="G696" s="44">
        <f>IFERROR(__xludf.DUMMYFUNCTION("""COMPUTED_VALUE"""),1394.0)</f>
        <v>1394</v>
      </c>
      <c r="H696" s="33" t="str">
        <f>IFERROR(__xludf.DUMMYFUNCTION("""COMPUTED_VALUE"""),"")</f>
        <v/>
      </c>
      <c r="I696" s="45">
        <f>IFERROR(__xludf.DUMMYFUNCTION("""COMPUTED_VALUE"""),783.4)</f>
        <v>783.4</v>
      </c>
      <c r="J696" s="46" t="str">
        <f>IFERROR(__xludf.DUMMYFUNCTION("""COMPUTED_VALUE"""),"AP")</f>
        <v>AP</v>
      </c>
      <c r="K696" s="47">
        <f>IFERROR(__xludf.DUMMYFUNCTION("""COMPUTED_VALUE"""),3.8)</f>
        <v>3.8</v>
      </c>
      <c r="L696" s="48" t="str">
        <f>IFERROR(__xludf.DUMMYFUNCTION("""COMPUTED_VALUE"""),"%")</f>
        <v>%</v>
      </c>
      <c r="M696" s="49">
        <f>IFERROR(__xludf.DUMMYFUNCTION("""COMPUTED_VALUE"""),1.0)</f>
        <v>1</v>
      </c>
      <c r="N696" s="50" t="str">
        <f>IFERROR(__xludf.DUMMYFUNCTION("""COMPUTED_VALUE"""),"A204")</f>
        <v>A204</v>
      </c>
      <c r="O696" s="38" t="str">
        <f>IFERROR(__xludf.DUMMYFUNCTION("""COMPUTED_VALUE"""),"")</f>
        <v/>
      </c>
      <c r="P696" s="45">
        <f>IFERROR(__xludf.DUMMYFUNCTION("""COMPUTED_VALUE"""),133.4)</f>
        <v>133.4</v>
      </c>
      <c r="Q696" s="46" t="str">
        <f>IFERROR(__xludf.DUMMYFUNCTION("""COMPUTED_VALUE"""),"AP")</f>
        <v>AP</v>
      </c>
      <c r="R696" s="47">
        <f>IFERROR(__xludf.DUMMYFUNCTION("""COMPUTED_VALUE"""),22.5)</f>
        <v>22.5</v>
      </c>
      <c r="S696" s="48" t="str">
        <f>IFERROR(__xludf.DUMMYFUNCTION("""COMPUTED_VALUE"""),"%")</f>
        <v>%</v>
      </c>
      <c r="T696" s="49">
        <f>IFERROR(__xludf.DUMMYFUNCTION("""COMPUTED_VALUE"""),2.0)</f>
        <v>2</v>
      </c>
      <c r="U696" s="50" t="str">
        <f>IFERROR(__xludf.DUMMYFUNCTION("""COMPUTED_VALUE"""),"A207")</f>
        <v>A207</v>
      </c>
      <c r="V696" s="38" t="str">
        <f>IFERROR(__xludf.DUMMYFUNCTION("""COMPUTED_VALUE"""),"")</f>
        <v/>
      </c>
      <c r="W696" s="45">
        <f>IFERROR(__xludf.DUMMYFUNCTION("""COMPUTED_VALUE"""),192.1)</f>
        <v>192.1</v>
      </c>
      <c r="X696" s="46" t="str">
        <f>IFERROR(__xludf.DUMMYFUNCTION("""COMPUTED_VALUE"""),"AP")</f>
        <v>AP</v>
      </c>
      <c r="Y696" s="47">
        <f>IFERROR(__xludf.DUMMYFUNCTION("""COMPUTED_VALUE"""),15.6)</f>
        <v>15.6</v>
      </c>
      <c r="Z696" s="48" t="str">
        <f>IFERROR(__xludf.DUMMYFUNCTION("""COMPUTED_VALUE"""),"%")</f>
        <v>%</v>
      </c>
      <c r="AA696" s="49">
        <f>IFERROR(__xludf.DUMMYFUNCTION("""COMPUTED_VALUE"""),3.0)</f>
        <v>3</v>
      </c>
      <c r="AB696" s="50" t="str">
        <f>IFERROR(__xludf.DUMMYFUNCTION("""COMPUTED_VALUE"""),"A304")</f>
        <v>A304</v>
      </c>
      <c r="AC696" s="38" t="str">
        <f>IFERROR(__xludf.DUMMYFUNCTION("""COMPUTED_VALUE"""),"")</f>
        <v/>
      </c>
      <c r="AD696" s="45">
        <f>IFERROR(__xludf.DUMMYFUNCTION("""COMPUTED_VALUE"""),141.1)</f>
        <v>141.1</v>
      </c>
      <c r="AE696" s="46" t="str">
        <f>IFERROR(__xludf.DUMMYFUNCTION("""COMPUTED_VALUE"""),"AP")</f>
        <v>AP</v>
      </c>
      <c r="AF696" s="47">
        <f>IFERROR(__xludf.DUMMYFUNCTION("""COMPUTED_VALUE"""),21.3)</f>
        <v>21.3</v>
      </c>
      <c r="AG696" s="48" t="str">
        <f>IFERROR(__xludf.DUMMYFUNCTION("""COMPUTED_VALUE"""),"%")</f>
        <v>%</v>
      </c>
      <c r="AH696" s="43">
        <f>IFERROR(__xludf.DUMMYFUNCTION("""COMPUTED_VALUE"""),30.0)</f>
        <v>30</v>
      </c>
      <c r="AI696" s="44">
        <f>IFERROR(__xludf.DUMMYFUNCTION("""COMPUTED_VALUE"""),1394.0)</f>
        <v>1394</v>
      </c>
      <c r="AJ696" s="51" t="str">
        <f>IFERROR(__xludf.DUMMYFUNCTION("""COMPUTED_VALUE"""),"術上級")</f>
        <v>術上級</v>
      </c>
    </row>
    <row r="697" ht="24.75" customHeight="1">
      <c r="A697" s="28">
        <f>IFERROR(__xludf.DUMMYFUNCTION("""COMPUTED_VALUE"""),5.0)</f>
        <v>5</v>
      </c>
      <c r="B697" s="28" t="str">
        <f>IFERROR(__xludf.DUMMYFUNCTION("""COMPUTED_VALUE"""),"A102")</f>
        <v>A102</v>
      </c>
      <c r="C697" s="28"/>
      <c r="D697" s="29"/>
      <c r="E697" s="67"/>
      <c r="F697" s="31"/>
      <c r="G697" s="32"/>
      <c r="H697" s="33" t="str">
        <f>IFERROR(__xludf.DUMMYFUNCTION("""COMPUTED_VALUE""")," ")</f>
        <v> </v>
      </c>
      <c r="I697" s="34"/>
      <c r="J697" s="35" t="str">
        <f>IFERROR(__xludf.DUMMYFUNCTION("""COMPUTED_VALUE"""),"AP")</f>
        <v>AP</v>
      </c>
      <c r="K697" s="34"/>
      <c r="L697" s="35" t="str">
        <f>IFERROR(__xludf.DUMMYFUNCTION("""COMPUTED_VALUE"""),"%")</f>
        <v>%</v>
      </c>
      <c r="M697" s="36">
        <f>IFERROR(__xludf.DUMMYFUNCTION("""COMPUTED_VALUE"""),1.0)</f>
        <v>1</v>
      </c>
      <c r="N697" s="37"/>
      <c r="O697" s="38"/>
      <c r="P697" s="34" t="str">
        <f>IFERROR(__xludf.DUMMYFUNCTION("""COMPUTED_VALUE"""),"")</f>
        <v/>
      </c>
      <c r="Q697" s="35" t="str">
        <f>IFERROR(__xludf.DUMMYFUNCTION("""COMPUTED_VALUE"""),"AP")</f>
        <v>AP</v>
      </c>
      <c r="R697" s="34" t="str">
        <f>IFERROR(__xludf.DUMMYFUNCTION("""COMPUTED_VALUE"""),"")</f>
        <v/>
      </c>
      <c r="S697" s="35" t="str">
        <f>IFERROR(__xludf.DUMMYFUNCTION("""COMPUTED_VALUE"""),"%")</f>
        <v>%</v>
      </c>
      <c r="T697" s="36">
        <f>IFERROR(__xludf.DUMMYFUNCTION("""COMPUTED_VALUE"""),2.0)</f>
        <v>2</v>
      </c>
      <c r="U697" s="37"/>
      <c r="V697" s="38"/>
      <c r="W697" s="34" t="str">
        <f>IFERROR(__xludf.DUMMYFUNCTION("""COMPUTED_VALUE"""),"")</f>
        <v/>
      </c>
      <c r="X697" s="35" t="str">
        <f>IFERROR(__xludf.DUMMYFUNCTION("""COMPUTED_VALUE"""),"AP")</f>
        <v>AP</v>
      </c>
      <c r="Y697" s="34" t="str">
        <f>IFERROR(__xludf.DUMMYFUNCTION("""COMPUTED_VALUE"""),"")</f>
        <v/>
      </c>
      <c r="Z697" s="35" t="str">
        <f>IFERROR(__xludf.DUMMYFUNCTION("""COMPUTED_VALUE"""),"%")</f>
        <v>%</v>
      </c>
      <c r="AA697" s="36">
        <f>IFERROR(__xludf.DUMMYFUNCTION("""COMPUTED_VALUE"""),3.0)</f>
        <v>3</v>
      </c>
      <c r="AB697" s="37"/>
      <c r="AC697" s="38"/>
      <c r="AD697" s="34" t="str">
        <f>IFERROR(__xludf.DUMMYFUNCTION("""COMPUTED_VALUE"""),"")</f>
        <v/>
      </c>
      <c r="AE697" s="35" t="str">
        <f>IFERROR(__xludf.DUMMYFUNCTION("""COMPUTED_VALUE"""),"AP")</f>
        <v>AP</v>
      </c>
      <c r="AF697" s="34" t="str">
        <f>IFERROR(__xludf.DUMMYFUNCTION("""COMPUTED_VALUE"""),"")</f>
        <v/>
      </c>
      <c r="AG697" s="35" t="str">
        <f>IFERROR(__xludf.DUMMYFUNCTION("""COMPUTED_VALUE"""),"%")</f>
        <v>%</v>
      </c>
      <c r="AH697" s="31"/>
      <c r="AI697" s="32"/>
      <c r="AJ697" s="39"/>
    </row>
    <row r="698" ht="24.75" hidden="1" customHeight="1">
      <c r="A698" s="40">
        <f>IFERROR(__xludf.DUMMYFUNCTION("""COMPUTED_VALUE"""),6.0)</f>
        <v>6</v>
      </c>
      <c r="B698" s="40" t="str">
        <f>IFERROR(__xludf.DUMMYFUNCTION("""COMPUTED_VALUE"""),"A102")</f>
        <v>A102</v>
      </c>
      <c r="C698" s="40"/>
      <c r="D698" s="41"/>
      <c r="E698" s="66"/>
      <c r="F698" s="43"/>
      <c r="G698" s="44"/>
      <c r="H698" s="33" t="str">
        <f>IFERROR(__xludf.DUMMYFUNCTION("""COMPUTED_VALUE""")," ")</f>
        <v> </v>
      </c>
      <c r="I698" s="45"/>
      <c r="J698" s="46" t="str">
        <f>IFERROR(__xludf.DUMMYFUNCTION("""COMPUTED_VALUE"""),"AP")</f>
        <v>AP</v>
      </c>
      <c r="K698" s="47"/>
      <c r="L698" s="48" t="str">
        <f>IFERROR(__xludf.DUMMYFUNCTION("""COMPUTED_VALUE"""),"%")</f>
        <v>%</v>
      </c>
      <c r="M698" s="49">
        <f>IFERROR(__xludf.DUMMYFUNCTION("""COMPUTED_VALUE"""),1.0)</f>
        <v>1</v>
      </c>
      <c r="N698" s="50"/>
      <c r="O698" s="38"/>
      <c r="P698" s="45" t="str">
        <f>IFERROR(__xludf.DUMMYFUNCTION("""COMPUTED_VALUE"""),"")</f>
        <v/>
      </c>
      <c r="Q698" s="46" t="str">
        <f>IFERROR(__xludf.DUMMYFUNCTION("""COMPUTED_VALUE"""),"AP")</f>
        <v>AP</v>
      </c>
      <c r="R698" s="47" t="str">
        <f>IFERROR(__xludf.DUMMYFUNCTION("""COMPUTED_VALUE"""),"")</f>
        <v/>
      </c>
      <c r="S698" s="48" t="str">
        <f>IFERROR(__xludf.DUMMYFUNCTION("""COMPUTED_VALUE"""),"%")</f>
        <v>%</v>
      </c>
      <c r="T698" s="49">
        <f>IFERROR(__xludf.DUMMYFUNCTION("""COMPUTED_VALUE"""),2.0)</f>
        <v>2</v>
      </c>
      <c r="U698" s="50"/>
      <c r="V698" s="38"/>
      <c r="W698" s="45" t="str">
        <f>IFERROR(__xludf.DUMMYFUNCTION("""COMPUTED_VALUE"""),"")</f>
        <v/>
      </c>
      <c r="X698" s="46" t="str">
        <f>IFERROR(__xludf.DUMMYFUNCTION("""COMPUTED_VALUE"""),"AP")</f>
        <v>AP</v>
      </c>
      <c r="Y698" s="47" t="str">
        <f>IFERROR(__xludf.DUMMYFUNCTION("""COMPUTED_VALUE"""),"")</f>
        <v/>
      </c>
      <c r="Z698" s="48" t="str">
        <f>IFERROR(__xludf.DUMMYFUNCTION("""COMPUTED_VALUE"""),"%")</f>
        <v>%</v>
      </c>
      <c r="AA698" s="49">
        <f>IFERROR(__xludf.DUMMYFUNCTION("""COMPUTED_VALUE"""),3.0)</f>
        <v>3</v>
      </c>
      <c r="AB698" s="50"/>
      <c r="AC698" s="38"/>
      <c r="AD698" s="45" t="str">
        <f>IFERROR(__xludf.DUMMYFUNCTION("""COMPUTED_VALUE"""),"")</f>
        <v/>
      </c>
      <c r="AE698" s="46" t="str">
        <f>IFERROR(__xludf.DUMMYFUNCTION("""COMPUTED_VALUE"""),"AP")</f>
        <v>AP</v>
      </c>
      <c r="AF698" s="47" t="str">
        <f>IFERROR(__xludf.DUMMYFUNCTION("""COMPUTED_VALUE"""),"")</f>
        <v/>
      </c>
      <c r="AG698" s="48" t="str">
        <f>IFERROR(__xludf.DUMMYFUNCTION("""COMPUTED_VALUE"""),"%")</f>
        <v>%</v>
      </c>
      <c r="AH698" s="43"/>
      <c r="AI698" s="44"/>
      <c r="AJ698" s="51"/>
    </row>
    <row r="699" ht="24.75" hidden="1" customHeight="1">
      <c r="A699" s="28">
        <f>IFERROR(__xludf.DUMMYFUNCTION("""COMPUTED_VALUE"""),7.0)</f>
        <v>7</v>
      </c>
      <c r="B699" s="28" t="str">
        <f>IFERROR(__xludf.DUMMYFUNCTION("""COMPUTED_VALUE"""),"A102")</f>
        <v>A102</v>
      </c>
      <c r="C699" s="28"/>
      <c r="D699" s="29"/>
      <c r="E699" s="67"/>
      <c r="F699" s="31"/>
      <c r="G699" s="32"/>
      <c r="H699" s="33" t="str">
        <f>IFERROR(__xludf.DUMMYFUNCTION("""COMPUTED_VALUE""")," ")</f>
        <v> </v>
      </c>
      <c r="I699" s="34"/>
      <c r="J699" s="35" t="str">
        <f>IFERROR(__xludf.DUMMYFUNCTION("""COMPUTED_VALUE"""),"AP")</f>
        <v>AP</v>
      </c>
      <c r="K699" s="34"/>
      <c r="L699" s="35" t="str">
        <f>IFERROR(__xludf.DUMMYFUNCTION("""COMPUTED_VALUE"""),"%")</f>
        <v>%</v>
      </c>
      <c r="M699" s="36">
        <f>IFERROR(__xludf.DUMMYFUNCTION("""COMPUTED_VALUE"""),1.0)</f>
        <v>1</v>
      </c>
      <c r="N699" s="37"/>
      <c r="O699" s="38"/>
      <c r="P699" s="34" t="str">
        <f>IFERROR(__xludf.DUMMYFUNCTION("""COMPUTED_VALUE"""),"")</f>
        <v/>
      </c>
      <c r="Q699" s="35" t="str">
        <f>IFERROR(__xludf.DUMMYFUNCTION("""COMPUTED_VALUE"""),"AP")</f>
        <v>AP</v>
      </c>
      <c r="R699" s="34" t="str">
        <f>IFERROR(__xludf.DUMMYFUNCTION("""COMPUTED_VALUE"""),"")</f>
        <v/>
      </c>
      <c r="S699" s="35" t="str">
        <f>IFERROR(__xludf.DUMMYFUNCTION("""COMPUTED_VALUE"""),"%")</f>
        <v>%</v>
      </c>
      <c r="T699" s="36">
        <f>IFERROR(__xludf.DUMMYFUNCTION("""COMPUTED_VALUE"""),2.0)</f>
        <v>2</v>
      </c>
      <c r="U699" s="37"/>
      <c r="V699" s="38"/>
      <c r="W699" s="34" t="str">
        <f>IFERROR(__xludf.DUMMYFUNCTION("""COMPUTED_VALUE"""),"")</f>
        <v/>
      </c>
      <c r="X699" s="35" t="str">
        <f>IFERROR(__xludf.DUMMYFUNCTION("""COMPUTED_VALUE"""),"AP")</f>
        <v>AP</v>
      </c>
      <c r="Y699" s="34" t="str">
        <f>IFERROR(__xludf.DUMMYFUNCTION("""COMPUTED_VALUE"""),"")</f>
        <v/>
      </c>
      <c r="Z699" s="35" t="str">
        <f>IFERROR(__xludf.DUMMYFUNCTION("""COMPUTED_VALUE"""),"%")</f>
        <v>%</v>
      </c>
      <c r="AA699" s="36">
        <f>IFERROR(__xludf.DUMMYFUNCTION("""COMPUTED_VALUE"""),3.0)</f>
        <v>3</v>
      </c>
      <c r="AB699" s="37"/>
      <c r="AC699" s="38"/>
      <c r="AD699" s="34" t="str">
        <f>IFERROR(__xludf.DUMMYFUNCTION("""COMPUTED_VALUE"""),"")</f>
        <v/>
      </c>
      <c r="AE699" s="35" t="str">
        <f>IFERROR(__xludf.DUMMYFUNCTION("""COMPUTED_VALUE"""),"AP")</f>
        <v>AP</v>
      </c>
      <c r="AF699" s="34" t="str">
        <f>IFERROR(__xludf.DUMMYFUNCTION("""COMPUTED_VALUE"""),"")</f>
        <v/>
      </c>
      <c r="AG699" s="35" t="str">
        <f>IFERROR(__xludf.DUMMYFUNCTION("""COMPUTED_VALUE"""),"%")</f>
        <v>%</v>
      </c>
      <c r="AH699" s="31"/>
      <c r="AI699" s="32"/>
      <c r="AJ699" s="39"/>
    </row>
    <row r="700" ht="24.75" hidden="1" customHeight="1">
      <c r="A700" s="40">
        <f>IFERROR(__xludf.DUMMYFUNCTION("""COMPUTED_VALUE"""),8.0)</f>
        <v>8</v>
      </c>
      <c r="B700" s="40" t="str">
        <f>IFERROR(__xludf.DUMMYFUNCTION("""COMPUTED_VALUE"""),"A102")</f>
        <v>A102</v>
      </c>
      <c r="C700" s="40"/>
      <c r="D700" s="41"/>
      <c r="E700" s="66"/>
      <c r="F700" s="43"/>
      <c r="G700" s="44"/>
      <c r="H700" s="33" t="str">
        <f>IFERROR(__xludf.DUMMYFUNCTION("""COMPUTED_VALUE""")," ")</f>
        <v> </v>
      </c>
      <c r="I700" s="45"/>
      <c r="J700" s="46" t="str">
        <f>IFERROR(__xludf.DUMMYFUNCTION("""COMPUTED_VALUE"""),"AP")</f>
        <v>AP</v>
      </c>
      <c r="K700" s="47"/>
      <c r="L700" s="48" t="str">
        <f>IFERROR(__xludf.DUMMYFUNCTION("""COMPUTED_VALUE"""),"%")</f>
        <v>%</v>
      </c>
      <c r="M700" s="49">
        <f>IFERROR(__xludf.DUMMYFUNCTION("""COMPUTED_VALUE"""),1.0)</f>
        <v>1</v>
      </c>
      <c r="N700" s="50"/>
      <c r="O700" s="38"/>
      <c r="P700" s="45" t="str">
        <f>IFERROR(__xludf.DUMMYFUNCTION("""COMPUTED_VALUE"""),"")</f>
        <v/>
      </c>
      <c r="Q700" s="46" t="str">
        <f>IFERROR(__xludf.DUMMYFUNCTION("""COMPUTED_VALUE"""),"AP")</f>
        <v>AP</v>
      </c>
      <c r="R700" s="47" t="str">
        <f>IFERROR(__xludf.DUMMYFUNCTION("""COMPUTED_VALUE"""),"")</f>
        <v/>
      </c>
      <c r="S700" s="48" t="str">
        <f>IFERROR(__xludf.DUMMYFUNCTION("""COMPUTED_VALUE"""),"%")</f>
        <v>%</v>
      </c>
      <c r="T700" s="49">
        <f>IFERROR(__xludf.DUMMYFUNCTION("""COMPUTED_VALUE"""),2.0)</f>
        <v>2</v>
      </c>
      <c r="U700" s="50"/>
      <c r="V700" s="38"/>
      <c r="W700" s="45" t="str">
        <f>IFERROR(__xludf.DUMMYFUNCTION("""COMPUTED_VALUE"""),"")</f>
        <v/>
      </c>
      <c r="X700" s="46" t="str">
        <f>IFERROR(__xludf.DUMMYFUNCTION("""COMPUTED_VALUE"""),"AP")</f>
        <v>AP</v>
      </c>
      <c r="Y700" s="47" t="str">
        <f>IFERROR(__xludf.DUMMYFUNCTION("""COMPUTED_VALUE"""),"")</f>
        <v/>
      </c>
      <c r="Z700" s="48" t="str">
        <f>IFERROR(__xludf.DUMMYFUNCTION("""COMPUTED_VALUE"""),"%")</f>
        <v>%</v>
      </c>
      <c r="AA700" s="49">
        <f>IFERROR(__xludf.DUMMYFUNCTION("""COMPUTED_VALUE"""),3.0)</f>
        <v>3</v>
      </c>
      <c r="AB700" s="50"/>
      <c r="AC700" s="38"/>
      <c r="AD700" s="45" t="str">
        <f>IFERROR(__xludf.DUMMYFUNCTION("""COMPUTED_VALUE"""),"")</f>
        <v/>
      </c>
      <c r="AE700" s="46" t="str">
        <f>IFERROR(__xludf.DUMMYFUNCTION("""COMPUTED_VALUE"""),"AP")</f>
        <v>AP</v>
      </c>
      <c r="AF700" s="47" t="str">
        <f>IFERROR(__xludf.DUMMYFUNCTION("""COMPUTED_VALUE"""),"")</f>
        <v/>
      </c>
      <c r="AG700" s="48" t="str">
        <f>IFERROR(__xludf.DUMMYFUNCTION("""COMPUTED_VALUE"""),"%")</f>
        <v>%</v>
      </c>
      <c r="AH700" s="43"/>
      <c r="AI700" s="44"/>
      <c r="AJ700" s="51"/>
    </row>
    <row r="701" ht="24.75" hidden="1" customHeight="1">
      <c r="A701" s="28">
        <f>IFERROR(__xludf.DUMMYFUNCTION("""COMPUTED_VALUE"""),9.0)</f>
        <v>9</v>
      </c>
      <c r="B701" s="28" t="str">
        <f>IFERROR(__xludf.DUMMYFUNCTION("""COMPUTED_VALUE"""),"A102")</f>
        <v>A102</v>
      </c>
      <c r="C701" s="28"/>
      <c r="D701" s="29"/>
      <c r="E701" s="67"/>
      <c r="F701" s="31"/>
      <c r="G701" s="32"/>
      <c r="H701" s="33" t="str">
        <f>IFERROR(__xludf.DUMMYFUNCTION("""COMPUTED_VALUE""")," ")</f>
        <v> </v>
      </c>
      <c r="I701" s="34"/>
      <c r="J701" s="35" t="str">
        <f>IFERROR(__xludf.DUMMYFUNCTION("""COMPUTED_VALUE"""),"AP")</f>
        <v>AP</v>
      </c>
      <c r="K701" s="34"/>
      <c r="L701" s="35" t="str">
        <f>IFERROR(__xludf.DUMMYFUNCTION("""COMPUTED_VALUE"""),"%")</f>
        <v>%</v>
      </c>
      <c r="M701" s="36">
        <f>IFERROR(__xludf.DUMMYFUNCTION("""COMPUTED_VALUE"""),1.0)</f>
        <v>1</v>
      </c>
      <c r="N701" s="37"/>
      <c r="O701" s="38"/>
      <c r="P701" s="34" t="str">
        <f>IFERROR(__xludf.DUMMYFUNCTION("""COMPUTED_VALUE"""),"")</f>
        <v/>
      </c>
      <c r="Q701" s="35" t="str">
        <f>IFERROR(__xludf.DUMMYFUNCTION("""COMPUTED_VALUE"""),"AP")</f>
        <v>AP</v>
      </c>
      <c r="R701" s="34" t="str">
        <f>IFERROR(__xludf.DUMMYFUNCTION("""COMPUTED_VALUE"""),"")</f>
        <v/>
      </c>
      <c r="S701" s="35" t="str">
        <f>IFERROR(__xludf.DUMMYFUNCTION("""COMPUTED_VALUE"""),"%")</f>
        <v>%</v>
      </c>
      <c r="T701" s="36">
        <f>IFERROR(__xludf.DUMMYFUNCTION("""COMPUTED_VALUE"""),2.0)</f>
        <v>2</v>
      </c>
      <c r="U701" s="37"/>
      <c r="V701" s="38"/>
      <c r="W701" s="34" t="str">
        <f>IFERROR(__xludf.DUMMYFUNCTION("""COMPUTED_VALUE"""),"")</f>
        <v/>
      </c>
      <c r="X701" s="35" t="str">
        <f>IFERROR(__xludf.DUMMYFUNCTION("""COMPUTED_VALUE"""),"AP")</f>
        <v>AP</v>
      </c>
      <c r="Y701" s="34" t="str">
        <f>IFERROR(__xludf.DUMMYFUNCTION("""COMPUTED_VALUE"""),"")</f>
        <v/>
      </c>
      <c r="Z701" s="35" t="str">
        <f>IFERROR(__xludf.DUMMYFUNCTION("""COMPUTED_VALUE"""),"%")</f>
        <v>%</v>
      </c>
      <c r="AA701" s="36">
        <f>IFERROR(__xludf.DUMMYFUNCTION("""COMPUTED_VALUE"""),3.0)</f>
        <v>3</v>
      </c>
      <c r="AB701" s="37"/>
      <c r="AC701" s="38"/>
      <c r="AD701" s="34" t="str">
        <f>IFERROR(__xludf.DUMMYFUNCTION("""COMPUTED_VALUE"""),"")</f>
        <v/>
      </c>
      <c r="AE701" s="35" t="str">
        <f>IFERROR(__xludf.DUMMYFUNCTION("""COMPUTED_VALUE"""),"AP")</f>
        <v>AP</v>
      </c>
      <c r="AF701" s="34" t="str">
        <f>IFERROR(__xludf.DUMMYFUNCTION("""COMPUTED_VALUE"""),"")</f>
        <v/>
      </c>
      <c r="AG701" s="35" t="str">
        <f>IFERROR(__xludf.DUMMYFUNCTION("""COMPUTED_VALUE"""),"%")</f>
        <v>%</v>
      </c>
      <c r="AH701" s="31"/>
      <c r="AI701" s="32"/>
      <c r="AJ701" s="39"/>
    </row>
    <row r="702" ht="24.75" hidden="1" customHeight="1">
      <c r="A702" s="40">
        <f>IFERROR(__xludf.DUMMYFUNCTION("""COMPUTED_VALUE"""),10.0)</f>
        <v>10</v>
      </c>
      <c r="B702" s="40" t="str">
        <f>IFERROR(__xludf.DUMMYFUNCTION("""COMPUTED_VALUE"""),"A102")</f>
        <v>A102</v>
      </c>
      <c r="C702" s="40"/>
      <c r="D702" s="41"/>
      <c r="E702" s="66"/>
      <c r="F702" s="43"/>
      <c r="G702" s="44"/>
      <c r="H702" s="33" t="str">
        <f>IFERROR(__xludf.DUMMYFUNCTION("""COMPUTED_VALUE""")," ")</f>
        <v> </v>
      </c>
      <c r="I702" s="45"/>
      <c r="J702" s="46" t="str">
        <f>IFERROR(__xludf.DUMMYFUNCTION("""COMPUTED_VALUE"""),"AP")</f>
        <v>AP</v>
      </c>
      <c r="K702" s="47"/>
      <c r="L702" s="48" t="str">
        <f>IFERROR(__xludf.DUMMYFUNCTION("""COMPUTED_VALUE"""),"%")</f>
        <v>%</v>
      </c>
      <c r="M702" s="49">
        <f>IFERROR(__xludf.DUMMYFUNCTION("""COMPUTED_VALUE"""),1.0)</f>
        <v>1</v>
      </c>
      <c r="N702" s="50"/>
      <c r="O702" s="38"/>
      <c r="P702" s="45" t="str">
        <f>IFERROR(__xludf.DUMMYFUNCTION("""COMPUTED_VALUE"""),"")</f>
        <v/>
      </c>
      <c r="Q702" s="46" t="str">
        <f>IFERROR(__xludf.DUMMYFUNCTION("""COMPUTED_VALUE"""),"AP")</f>
        <v>AP</v>
      </c>
      <c r="R702" s="47" t="str">
        <f>IFERROR(__xludf.DUMMYFUNCTION("""COMPUTED_VALUE"""),"")</f>
        <v/>
      </c>
      <c r="S702" s="48" t="str">
        <f>IFERROR(__xludf.DUMMYFUNCTION("""COMPUTED_VALUE"""),"%")</f>
        <v>%</v>
      </c>
      <c r="T702" s="49">
        <f>IFERROR(__xludf.DUMMYFUNCTION("""COMPUTED_VALUE"""),2.0)</f>
        <v>2</v>
      </c>
      <c r="U702" s="50"/>
      <c r="V702" s="38"/>
      <c r="W702" s="45" t="str">
        <f>IFERROR(__xludf.DUMMYFUNCTION("""COMPUTED_VALUE"""),"")</f>
        <v/>
      </c>
      <c r="X702" s="46" t="str">
        <f>IFERROR(__xludf.DUMMYFUNCTION("""COMPUTED_VALUE"""),"AP")</f>
        <v>AP</v>
      </c>
      <c r="Y702" s="47" t="str">
        <f>IFERROR(__xludf.DUMMYFUNCTION("""COMPUTED_VALUE"""),"")</f>
        <v/>
      </c>
      <c r="Z702" s="48" t="str">
        <f>IFERROR(__xludf.DUMMYFUNCTION("""COMPUTED_VALUE"""),"%")</f>
        <v>%</v>
      </c>
      <c r="AA702" s="49">
        <f>IFERROR(__xludf.DUMMYFUNCTION("""COMPUTED_VALUE"""),3.0)</f>
        <v>3</v>
      </c>
      <c r="AB702" s="50"/>
      <c r="AC702" s="38"/>
      <c r="AD702" s="45" t="str">
        <f>IFERROR(__xludf.DUMMYFUNCTION("""COMPUTED_VALUE"""),"")</f>
        <v/>
      </c>
      <c r="AE702" s="46" t="str">
        <f>IFERROR(__xludf.DUMMYFUNCTION("""COMPUTED_VALUE"""),"AP")</f>
        <v>AP</v>
      </c>
      <c r="AF702" s="47" t="str">
        <f>IFERROR(__xludf.DUMMYFUNCTION("""COMPUTED_VALUE"""),"")</f>
        <v/>
      </c>
      <c r="AG702" s="48" t="str">
        <f>IFERROR(__xludf.DUMMYFUNCTION("""COMPUTED_VALUE"""),"%")</f>
        <v>%</v>
      </c>
      <c r="AH702" s="43"/>
      <c r="AI702" s="44"/>
      <c r="AJ702" s="51"/>
    </row>
    <row r="703" ht="24.75" hidden="1" customHeight="1">
      <c r="A703" s="28">
        <f>IFERROR(__xludf.DUMMYFUNCTION("""COMPUTED_VALUE"""),11.0)</f>
        <v>11</v>
      </c>
      <c r="B703" s="28" t="str">
        <f>IFERROR(__xludf.DUMMYFUNCTION("""COMPUTED_VALUE"""),"A102")</f>
        <v>A102</v>
      </c>
      <c r="C703" s="28"/>
      <c r="D703" s="29"/>
      <c r="E703" s="67"/>
      <c r="F703" s="31"/>
      <c r="G703" s="32"/>
      <c r="H703" s="33" t="str">
        <f>IFERROR(__xludf.DUMMYFUNCTION("""COMPUTED_VALUE""")," ")</f>
        <v> </v>
      </c>
      <c r="I703" s="34"/>
      <c r="J703" s="35" t="str">
        <f>IFERROR(__xludf.DUMMYFUNCTION("""COMPUTED_VALUE"""),"AP")</f>
        <v>AP</v>
      </c>
      <c r="K703" s="34"/>
      <c r="L703" s="35" t="str">
        <f>IFERROR(__xludf.DUMMYFUNCTION("""COMPUTED_VALUE"""),"%")</f>
        <v>%</v>
      </c>
      <c r="M703" s="36">
        <f>IFERROR(__xludf.DUMMYFUNCTION("""COMPUTED_VALUE"""),1.0)</f>
        <v>1</v>
      </c>
      <c r="N703" s="37"/>
      <c r="O703" s="38"/>
      <c r="P703" s="34" t="str">
        <f>IFERROR(__xludf.DUMMYFUNCTION("""COMPUTED_VALUE"""),"")</f>
        <v/>
      </c>
      <c r="Q703" s="35" t="str">
        <f>IFERROR(__xludf.DUMMYFUNCTION("""COMPUTED_VALUE"""),"AP")</f>
        <v>AP</v>
      </c>
      <c r="R703" s="34" t="str">
        <f>IFERROR(__xludf.DUMMYFUNCTION("""COMPUTED_VALUE"""),"")</f>
        <v/>
      </c>
      <c r="S703" s="35" t="str">
        <f>IFERROR(__xludf.DUMMYFUNCTION("""COMPUTED_VALUE"""),"%")</f>
        <v>%</v>
      </c>
      <c r="T703" s="36">
        <f>IFERROR(__xludf.DUMMYFUNCTION("""COMPUTED_VALUE"""),2.0)</f>
        <v>2</v>
      </c>
      <c r="U703" s="37"/>
      <c r="V703" s="38"/>
      <c r="W703" s="34" t="str">
        <f>IFERROR(__xludf.DUMMYFUNCTION("""COMPUTED_VALUE"""),"")</f>
        <v/>
      </c>
      <c r="X703" s="35" t="str">
        <f>IFERROR(__xludf.DUMMYFUNCTION("""COMPUTED_VALUE"""),"AP")</f>
        <v>AP</v>
      </c>
      <c r="Y703" s="34" t="str">
        <f>IFERROR(__xludf.DUMMYFUNCTION("""COMPUTED_VALUE"""),"")</f>
        <v/>
      </c>
      <c r="Z703" s="35" t="str">
        <f>IFERROR(__xludf.DUMMYFUNCTION("""COMPUTED_VALUE"""),"%")</f>
        <v>%</v>
      </c>
      <c r="AA703" s="36">
        <f>IFERROR(__xludf.DUMMYFUNCTION("""COMPUTED_VALUE"""),3.0)</f>
        <v>3</v>
      </c>
      <c r="AB703" s="37"/>
      <c r="AC703" s="38"/>
      <c r="AD703" s="34" t="str">
        <f>IFERROR(__xludf.DUMMYFUNCTION("""COMPUTED_VALUE"""),"")</f>
        <v/>
      </c>
      <c r="AE703" s="35" t="str">
        <f>IFERROR(__xludf.DUMMYFUNCTION("""COMPUTED_VALUE"""),"AP")</f>
        <v>AP</v>
      </c>
      <c r="AF703" s="34" t="str">
        <f>IFERROR(__xludf.DUMMYFUNCTION("""COMPUTED_VALUE"""),"")</f>
        <v/>
      </c>
      <c r="AG703" s="35" t="str">
        <f>IFERROR(__xludf.DUMMYFUNCTION("""COMPUTED_VALUE"""),"%")</f>
        <v>%</v>
      </c>
      <c r="AH703" s="31"/>
      <c r="AI703" s="32"/>
      <c r="AJ703" s="39"/>
    </row>
    <row r="704" ht="24.75" hidden="1" customHeight="1">
      <c r="A704" s="40">
        <f>IFERROR(__xludf.DUMMYFUNCTION("""COMPUTED_VALUE"""),12.0)</f>
        <v>12</v>
      </c>
      <c r="B704" s="40" t="str">
        <f>IFERROR(__xludf.DUMMYFUNCTION("""COMPUTED_VALUE"""),"A102")</f>
        <v>A102</v>
      </c>
      <c r="C704" s="40"/>
      <c r="D704" s="41"/>
      <c r="E704" s="66"/>
      <c r="F704" s="43"/>
      <c r="G704" s="44"/>
      <c r="H704" s="33" t="str">
        <f>IFERROR(__xludf.DUMMYFUNCTION("""COMPUTED_VALUE""")," ")</f>
        <v> </v>
      </c>
      <c r="I704" s="45"/>
      <c r="J704" s="46" t="str">
        <f>IFERROR(__xludf.DUMMYFUNCTION("""COMPUTED_VALUE"""),"AP")</f>
        <v>AP</v>
      </c>
      <c r="K704" s="47"/>
      <c r="L704" s="48" t="str">
        <f>IFERROR(__xludf.DUMMYFUNCTION("""COMPUTED_VALUE"""),"%")</f>
        <v>%</v>
      </c>
      <c r="M704" s="49">
        <f>IFERROR(__xludf.DUMMYFUNCTION("""COMPUTED_VALUE"""),1.0)</f>
        <v>1</v>
      </c>
      <c r="N704" s="50"/>
      <c r="O704" s="38"/>
      <c r="P704" s="45" t="str">
        <f>IFERROR(__xludf.DUMMYFUNCTION("""COMPUTED_VALUE"""),"")</f>
        <v/>
      </c>
      <c r="Q704" s="46" t="str">
        <f>IFERROR(__xludf.DUMMYFUNCTION("""COMPUTED_VALUE"""),"AP")</f>
        <v>AP</v>
      </c>
      <c r="R704" s="47" t="str">
        <f>IFERROR(__xludf.DUMMYFUNCTION("""COMPUTED_VALUE"""),"")</f>
        <v/>
      </c>
      <c r="S704" s="48" t="str">
        <f>IFERROR(__xludf.DUMMYFUNCTION("""COMPUTED_VALUE"""),"%")</f>
        <v>%</v>
      </c>
      <c r="T704" s="49">
        <f>IFERROR(__xludf.DUMMYFUNCTION("""COMPUTED_VALUE"""),2.0)</f>
        <v>2</v>
      </c>
      <c r="U704" s="50"/>
      <c r="V704" s="38"/>
      <c r="W704" s="45" t="str">
        <f>IFERROR(__xludf.DUMMYFUNCTION("""COMPUTED_VALUE"""),"")</f>
        <v/>
      </c>
      <c r="X704" s="46" t="str">
        <f>IFERROR(__xludf.DUMMYFUNCTION("""COMPUTED_VALUE"""),"AP")</f>
        <v>AP</v>
      </c>
      <c r="Y704" s="47" t="str">
        <f>IFERROR(__xludf.DUMMYFUNCTION("""COMPUTED_VALUE"""),"")</f>
        <v/>
      </c>
      <c r="Z704" s="48" t="str">
        <f>IFERROR(__xludf.DUMMYFUNCTION("""COMPUTED_VALUE"""),"%")</f>
        <v>%</v>
      </c>
      <c r="AA704" s="49">
        <f>IFERROR(__xludf.DUMMYFUNCTION("""COMPUTED_VALUE"""),3.0)</f>
        <v>3</v>
      </c>
      <c r="AB704" s="50"/>
      <c r="AC704" s="38"/>
      <c r="AD704" s="45" t="str">
        <f>IFERROR(__xludf.DUMMYFUNCTION("""COMPUTED_VALUE"""),"")</f>
        <v/>
      </c>
      <c r="AE704" s="46" t="str">
        <f>IFERROR(__xludf.DUMMYFUNCTION("""COMPUTED_VALUE"""),"AP")</f>
        <v>AP</v>
      </c>
      <c r="AF704" s="47" t="str">
        <f>IFERROR(__xludf.DUMMYFUNCTION("""COMPUTED_VALUE"""),"")</f>
        <v/>
      </c>
      <c r="AG704" s="48" t="str">
        <f>IFERROR(__xludf.DUMMYFUNCTION("""COMPUTED_VALUE"""),"%")</f>
        <v>%</v>
      </c>
      <c r="AH704" s="43"/>
      <c r="AI704" s="44"/>
      <c r="AJ704" s="51"/>
    </row>
    <row r="705" ht="24.75" hidden="1" customHeight="1">
      <c r="A705" s="28">
        <f>IFERROR(__xludf.DUMMYFUNCTION("""COMPUTED_VALUE"""),13.0)</f>
        <v>13</v>
      </c>
      <c r="B705" s="28" t="str">
        <f>IFERROR(__xludf.DUMMYFUNCTION("""COMPUTED_VALUE"""),"A102")</f>
        <v>A102</v>
      </c>
      <c r="C705" s="28"/>
      <c r="D705" s="29"/>
      <c r="E705" s="67"/>
      <c r="F705" s="31"/>
      <c r="G705" s="32"/>
      <c r="H705" s="33" t="str">
        <f>IFERROR(__xludf.DUMMYFUNCTION("""COMPUTED_VALUE""")," ")</f>
        <v> </v>
      </c>
      <c r="I705" s="34"/>
      <c r="J705" s="35" t="str">
        <f>IFERROR(__xludf.DUMMYFUNCTION("""COMPUTED_VALUE"""),"AP")</f>
        <v>AP</v>
      </c>
      <c r="K705" s="34"/>
      <c r="L705" s="35" t="str">
        <f>IFERROR(__xludf.DUMMYFUNCTION("""COMPUTED_VALUE"""),"%")</f>
        <v>%</v>
      </c>
      <c r="M705" s="36">
        <f>IFERROR(__xludf.DUMMYFUNCTION("""COMPUTED_VALUE"""),1.0)</f>
        <v>1</v>
      </c>
      <c r="N705" s="37"/>
      <c r="O705" s="38"/>
      <c r="P705" s="34" t="str">
        <f>IFERROR(__xludf.DUMMYFUNCTION("""COMPUTED_VALUE"""),"")</f>
        <v/>
      </c>
      <c r="Q705" s="35" t="str">
        <f>IFERROR(__xludf.DUMMYFUNCTION("""COMPUTED_VALUE"""),"AP")</f>
        <v>AP</v>
      </c>
      <c r="R705" s="34" t="str">
        <f>IFERROR(__xludf.DUMMYFUNCTION("""COMPUTED_VALUE"""),"")</f>
        <v/>
      </c>
      <c r="S705" s="35" t="str">
        <f>IFERROR(__xludf.DUMMYFUNCTION("""COMPUTED_VALUE"""),"%")</f>
        <v>%</v>
      </c>
      <c r="T705" s="36">
        <f>IFERROR(__xludf.DUMMYFUNCTION("""COMPUTED_VALUE"""),2.0)</f>
        <v>2</v>
      </c>
      <c r="U705" s="37"/>
      <c r="V705" s="38"/>
      <c r="W705" s="34" t="str">
        <f>IFERROR(__xludf.DUMMYFUNCTION("""COMPUTED_VALUE"""),"")</f>
        <v/>
      </c>
      <c r="X705" s="35" t="str">
        <f>IFERROR(__xludf.DUMMYFUNCTION("""COMPUTED_VALUE"""),"AP")</f>
        <v>AP</v>
      </c>
      <c r="Y705" s="34" t="str">
        <f>IFERROR(__xludf.DUMMYFUNCTION("""COMPUTED_VALUE"""),"")</f>
        <v/>
      </c>
      <c r="Z705" s="35" t="str">
        <f>IFERROR(__xludf.DUMMYFUNCTION("""COMPUTED_VALUE"""),"%")</f>
        <v>%</v>
      </c>
      <c r="AA705" s="36">
        <f>IFERROR(__xludf.DUMMYFUNCTION("""COMPUTED_VALUE"""),3.0)</f>
        <v>3</v>
      </c>
      <c r="AB705" s="37"/>
      <c r="AC705" s="38"/>
      <c r="AD705" s="34" t="str">
        <f>IFERROR(__xludf.DUMMYFUNCTION("""COMPUTED_VALUE"""),"")</f>
        <v/>
      </c>
      <c r="AE705" s="35" t="str">
        <f>IFERROR(__xludf.DUMMYFUNCTION("""COMPUTED_VALUE"""),"AP")</f>
        <v>AP</v>
      </c>
      <c r="AF705" s="34" t="str">
        <f>IFERROR(__xludf.DUMMYFUNCTION("""COMPUTED_VALUE"""),"")</f>
        <v/>
      </c>
      <c r="AG705" s="35" t="str">
        <f>IFERROR(__xludf.DUMMYFUNCTION("""COMPUTED_VALUE"""),"%")</f>
        <v>%</v>
      </c>
      <c r="AH705" s="31"/>
      <c r="AI705" s="32"/>
      <c r="AJ705" s="39"/>
    </row>
    <row r="706" ht="24.75" hidden="1" customHeight="1">
      <c r="A706" s="40">
        <f>IFERROR(__xludf.DUMMYFUNCTION("""COMPUTED_VALUE"""),14.0)</f>
        <v>14</v>
      </c>
      <c r="B706" s="40" t="str">
        <f>IFERROR(__xludf.DUMMYFUNCTION("""COMPUTED_VALUE"""),"A102")</f>
        <v>A102</v>
      </c>
      <c r="C706" s="40"/>
      <c r="D706" s="41"/>
      <c r="E706" s="66"/>
      <c r="F706" s="43"/>
      <c r="G706" s="44"/>
      <c r="H706" s="33" t="str">
        <f>IFERROR(__xludf.DUMMYFUNCTION("""COMPUTED_VALUE""")," ")</f>
        <v> </v>
      </c>
      <c r="I706" s="45"/>
      <c r="J706" s="46" t="str">
        <f>IFERROR(__xludf.DUMMYFUNCTION("""COMPUTED_VALUE"""),"AP")</f>
        <v>AP</v>
      </c>
      <c r="K706" s="47"/>
      <c r="L706" s="48" t="str">
        <f>IFERROR(__xludf.DUMMYFUNCTION("""COMPUTED_VALUE"""),"%")</f>
        <v>%</v>
      </c>
      <c r="M706" s="49">
        <f>IFERROR(__xludf.DUMMYFUNCTION("""COMPUTED_VALUE"""),1.0)</f>
        <v>1</v>
      </c>
      <c r="N706" s="50"/>
      <c r="O706" s="38"/>
      <c r="P706" s="45" t="str">
        <f>IFERROR(__xludf.DUMMYFUNCTION("""COMPUTED_VALUE"""),"")</f>
        <v/>
      </c>
      <c r="Q706" s="46" t="str">
        <f>IFERROR(__xludf.DUMMYFUNCTION("""COMPUTED_VALUE"""),"AP")</f>
        <v>AP</v>
      </c>
      <c r="R706" s="47" t="str">
        <f>IFERROR(__xludf.DUMMYFUNCTION("""COMPUTED_VALUE"""),"")</f>
        <v/>
      </c>
      <c r="S706" s="48" t="str">
        <f>IFERROR(__xludf.DUMMYFUNCTION("""COMPUTED_VALUE"""),"%")</f>
        <v>%</v>
      </c>
      <c r="T706" s="49">
        <f>IFERROR(__xludf.DUMMYFUNCTION("""COMPUTED_VALUE"""),2.0)</f>
        <v>2</v>
      </c>
      <c r="U706" s="50"/>
      <c r="V706" s="38"/>
      <c r="W706" s="45" t="str">
        <f>IFERROR(__xludf.DUMMYFUNCTION("""COMPUTED_VALUE"""),"")</f>
        <v/>
      </c>
      <c r="X706" s="46" t="str">
        <f>IFERROR(__xludf.DUMMYFUNCTION("""COMPUTED_VALUE"""),"AP")</f>
        <v>AP</v>
      </c>
      <c r="Y706" s="47" t="str">
        <f>IFERROR(__xludf.DUMMYFUNCTION("""COMPUTED_VALUE"""),"")</f>
        <v/>
      </c>
      <c r="Z706" s="48" t="str">
        <f>IFERROR(__xludf.DUMMYFUNCTION("""COMPUTED_VALUE"""),"%")</f>
        <v>%</v>
      </c>
      <c r="AA706" s="49">
        <f>IFERROR(__xludf.DUMMYFUNCTION("""COMPUTED_VALUE"""),3.0)</f>
        <v>3</v>
      </c>
      <c r="AB706" s="50"/>
      <c r="AC706" s="38"/>
      <c r="AD706" s="45" t="str">
        <f>IFERROR(__xludf.DUMMYFUNCTION("""COMPUTED_VALUE"""),"")</f>
        <v/>
      </c>
      <c r="AE706" s="46" t="str">
        <f>IFERROR(__xludf.DUMMYFUNCTION("""COMPUTED_VALUE"""),"AP")</f>
        <v>AP</v>
      </c>
      <c r="AF706" s="47" t="str">
        <f>IFERROR(__xludf.DUMMYFUNCTION("""COMPUTED_VALUE"""),"")</f>
        <v/>
      </c>
      <c r="AG706" s="48" t="str">
        <f>IFERROR(__xludf.DUMMYFUNCTION("""COMPUTED_VALUE"""),"%")</f>
        <v>%</v>
      </c>
      <c r="AH706" s="43"/>
      <c r="AI706" s="44"/>
      <c r="AJ706" s="51"/>
    </row>
    <row r="707" ht="24.75" hidden="1" customHeight="1">
      <c r="A707" s="28">
        <f>IFERROR(__xludf.DUMMYFUNCTION("""COMPUTED_VALUE"""),15.0)</f>
        <v>15</v>
      </c>
      <c r="B707" s="28" t="str">
        <f>IFERROR(__xludf.DUMMYFUNCTION("""COMPUTED_VALUE"""),"A102")</f>
        <v>A102</v>
      </c>
      <c r="C707" s="28"/>
      <c r="D707" s="29"/>
      <c r="E707" s="67"/>
      <c r="F707" s="31"/>
      <c r="G707" s="32"/>
      <c r="H707" s="33" t="str">
        <f>IFERROR(__xludf.DUMMYFUNCTION("""COMPUTED_VALUE""")," ")</f>
        <v> </v>
      </c>
      <c r="I707" s="34"/>
      <c r="J707" s="35" t="str">
        <f>IFERROR(__xludf.DUMMYFUNCTION("""COMPUTED_VALUE"""),"AP")</f>
        <v>AP</v>
      </c>
      <c r="K707" s="34"/>
      <c r="L707" s="35" t="str">
        <f>IFERROR(__xludf.DUMMYFUNCTION("""COMPUTED_VALUE"""),"%")</f>
        <v>%</v>
      </c>
      <c r="M707" s="36">
        <f>IFERROR(__xludf.DUMMYFUNCTION("""COMPUTED_VALUE"""),1.0)</f>
        <v>1</v>
      </c>
      <c r="N707" s="37"/>
      <c r="O707" s="38"/>
      <c r="P707" s="34" t="str">
        <f>IFERROR(__xludf.DUMMYFUNCTION("""COMPUTED_VALUE"""),"")</f>
        <v/>
      </c>
      <c r="Q707" s="35" t="str">
        <f>IFERROR(__xludf.DUMMYFUNCTION("""COMPUTED_VALUE"""),"AP")</f>
        <v>AP</v>
      </c>
      <c r="R707" s="34" t="str">
        <f>IFERROR(__xludf.DUMMYFUNCTION("""COMPUTED_VALUE"""),"")</f>
        <v/>
      </c>
      <c r="S707" s="35" t="str">
        <f>IFERROR(__xludf.DUMMYFUNCTION("""COMPUTED_VALUE"""),"%")</f>
        <v>%</v>
      </c>
      <c r="T707" s="36">
        <f>IFERROR(__xludf.DUMMYFUNCTION("""COMPUTED_VALUE"""),2.0)</f>
        <v>2</v>
      </c>
      <c r="U707" s="37"/>
      <c r="V707" s="38"/>
      <c r="W707" s="34" t="str">
        <f>IFERROR(__xludf.DUMMYFUNCTION("""COMPUTED_VALUE"""),"")</f>
        <v/>
      </c>
      <c r="X707" s="35" t="str">
        <f>IFERROR(__xludf.DUMMYFUNCTION("""COMPUTED_VALUE"""),"AP")</f>
        <v>AP</v>
      </c>
      <c r="Y707" s="34" t="str">
        <f>IFERROR(__xludf.DUMMYFUNCTION("""COMPUTED_VALUE"""),"")</f>
        <v/>
      </c>
      <c r="Z707" s="35" t="str">
        <f>IFERROR(__xludf.DUMMYFUNCTION("""COMPUTED_VALUE"""),"%")</f>
        <v>%</v>
      </c>
      <c r="AA707" s="36">
        <f>IFERROR(__xludf.DUMMYFUNCTION("""COMPUTED_VALUE"""),3.0)</f>
        <v>3</v>
      </c>
      <c r="AB707" s="37"/>
      <c r="AC707" s="38"/>
      <c r="AD707" s="34" t="str">
        <f>IFERROR(__xludf.DUMMYFUNCTION("""COMPUTED_VALUE"""),"")</f>
        <v/>
      </c>
      <c r="AE707" s="35" t="str">
        <f>IFERROR(__xludf.DUMMYFUNCTION("""COMPUTED_VALUE"""),"AP")</f>
        <v>AP</v>
      </c>
      <c r="AF707" s="34" t="str">
        <f>IFERROR(__xludf.DUMMYFUNCTION("""COMPUTED_VALUE"""),"")</f>
        <v/>
      </c>
      <c r="AG707" s="35" t="str">
        <f>IFERROR(__xludf.DUMMYFUNCTION("""COMPUTED_VALUE"""),"%")</f>
        <v>%</v>
      </c>
      <c r="AH707" s="31"/>
      <c r="AI707" s="32"/>
      <c r="AJ707" s="39"/>
    </row>
    <row r="708" ht="24.75" hidden="1" customHeight="1">
      <c r="A708" s="40">
        <f>IFERROR(__xludf.DUMMYFUNCTION("""COMPUTED_VALUE"""),16.0)</f>
        <v>16</v>
      </c>
      <c r="B708" s="40" t="str">
        <f>IFERROR(__xludf.DUMMYFUNCTION("""COMPUTED_VALUE"""),"A102")</f>
        <v>A102</v>
      </c>
      <c r="C708" s="40"/>
      <c r="D708" s="41"/>
      <c r="E708" s="66"/>
      <c r="F708" s="43"/>
      <c r="G708" s="44"/>
      <c r="H708" s="33" t="str">
        <f>IFERROR(__xludf.DUMMYFUNCTION("""COMPUTED_VALUE""")," ")</f>
        <v> </v>
      </c>
      <c r="I708" s="45"/>
      <c r="J708" s="46" t="str">
        <f>IFERROR(__xludf.DUMMYFUNCTION("""COMPUTED_VALUE"""),"AP")</f>
        <v>AP</v>
      </c>
      <c r="K708" s="47"/>
      <c r="L708" s="48" t="str">
        <f>IFERROR(__xludf.DUMMYFUNCTION("""COMPUTED_VALUE"""),"%")</f>
        <v>%</v>
      </c>
      <c r="M708" s="49">
        <f>IFERROR(__xludf.DUMMYFUNCTION("""COMPUTED_VALUE"""),1.0)</f>
        <v>1</v>
      </c>
      <c r="N708" s="50"/>
      <c r="O708" s="38"/>
      <c r="P708" s="45" t="str">
        <f>IFERROR(__xludf.DUMMYFUNCTION("""COMPUTED_VALUE"""),"")</f>
        <v/>
      </c>
      <c r="Q708" s="46" t="str">
        <f>IFERROR(__xludf.DUMMYFUNCTION("""COMPUTED_VALUE"""),"AP")</f>
        <v>AP</v>
      </c>
      <c r="R708" s="47" t="str">
        <f>IFERROR(__xludf.DUMMYFUNCTION("""COMPUTED_VALUE"""),"")</f>
        <v/>
      </c>
      <c r="S708" s="48" t="str">
        <f>IFERROR(__xludf.DUMMYFUNCTION("""COMPUTED_VALUE"""),"%")</f>
        <v>%</v>
      </c>
      <c r="T708" s="49">
        <f>IFERROR(__xludf.DUMMYFUNCTION("""COMPUTED_VALUE"""),2.0)</f>
        <v>2</v>
      </c>
      <c r="U708" s="50"/>
      <c r="V708" s="38"/>
      <c r="W708" s="45" t="str">
        <f>IFERROR(__xludf.DUMMYFUNCTION("""COMPUTED_VALUE"""),"")</f>
        <v/>
      </c>
      <c r="X708" s="46" t="str">
        <f>IFERROR(__xludf.DUMMYFUNCTION("""COMPUTED_VALUE"""),"AP")</f>
        <v>AP</v>
      </c>
      <c r="Y708" s="47" t="str">
        <f>IFERROR(__xludf.DUMMYFUNCTION("""COMPUTED_VALUE"""),"")</f>
        <v/>
      </c>
      <c r="Z708" s="48" t="str">
        <f>IFERROR(__xludf.DUMMYFUNCTION("""COMPUTED_VALUE"""),"%")</f>
        <v>%</v>
      </c>
      <c r="AA708" s="49">
        <f>IFERROR(__xludf.DUMMYFUNCTION("""COMPUTED_VALUE"""),3.0)</f>
        <v>3</v>
      </c>
      <c r="AB708" s="50"/>
      <c r="AC708" s="38"/>
      <c r="AD708" s="45" t="str">
        <f>IFERROR(__xludf.DUMMYFUNCTION("""COMPUTED_VALUE"""),"")</f>
        <v/>
      </c>
      <c r="AE708" s="46" t="str">
        <f>IFERROR(__xludf.DUMMYFUNCTION("""COMPUTED_VALUE"""),"AP")</f>
        <v>AP</v>
      </c>
      <c r="AF708" s="47" t="str">
        <f>IFERROR(__xludf.DUMMYFUNCTION("""COMPUTED_VALUE"""),"")</f>
        <v/>
      </c>
      <c r="AG708" s="48" t="str">
        <f>IFERROR(__xludf.DUMMYFUNCTION("""COMPUTED_VALUE"""),"%")</f>
        <v>%</v>
      </c>
      <c r="AH708" s="43"/>
      <c r="AI708" s="44"/>
      <c r="AJ708" s="51"/>
    </row>
    <row r="709" ht="24.75" hidden="1" customHeight="1">
      <c r="A709" s="28">
        <f>IFERROR(__xludf.DUMMYFUNCTION("""COMPUTED_VALUE"""),17.0)</f>
        <v>17</v>
      </c>
      <c r="B709" s="28" t="str">
        <f>IFERROR(__xludf.DUMMYFUNCTION("""COMPUTED_VALUE"""),"A102")</f>
        <v>A102</v>
      </c>
      <c r="C709" s="28"/>
      <c r="D709" s="29"/>
      <c r="E709" s="67"/>
      <c r="F709" s="31"/>
      <c r="G709" s="32"/>
      <c r="H709" s="33" t="str">
        <f>IFERROR(__xludf.DUMMYFUNCTION("""COMPUTED_VALUE""")," ")</f>
        <v> </v>
      </c>
      <c r="I709" s="34"/>
      <c r="J709" s="35" t="str">
        <f>IFERROR(__xludf.DUMMYFUNCTION("""COMPUTED_VALUE"""),"AP")</f>
        <v>AP</v>
      </c>
      <c r="K709" s="34"/>
      <c r="L709" s="35" t="str">
        <f>IFERROR(__xludf.DUMMYFUNCTION("""COMPUTED_VALUE"""),"%")</f>
        <v>%</v>
      </c>
      <c r="M709" s="36">
        <f>IFERROR(__xludf.DUMMYFUNCTION("""COMPUTED_VALUE"""),1.0)</f>
        <v>1</v>
      </c>
      <c r="N709" s="37"/>
      <c r="O709" s="38"/>
      <c r="P709" s="34" t="str">
        <f>IFERROR(__xludf.DUMMYFUNCTION("""COMPUTED_VALUE"""),"")</f>
        <v/>
      </c>
      <c r="Q709" s="35" t="str">
        <f>IFERROR(__xludf.DUMMYFUNCTION("""COMPUTED_VALUE"""),"AP")</f>
        <v>AP</v>
      </c>
      <c r="R709" s="34" t="str">
        <f>IFERROR(__xludf.DUMMYFUNCTION("""COMPUTED_VALUE"""),"")</f>
        <v/>
      </c>
      <c r="S709" s="35" t="str">
        <f>IFERROR(__xludf.DUMMYFUNCTION("""COMPUTED_VALUE"""),"%")</f>
        <v>%</v>
      </c>
      <c r="T709" s="36">
        <f>IFERROR(__xludf.DUMMYFUNCTION("""COMPUTED_VALUE"""),2.0)</f>
        <v>2</v>
      </c>
      <c r="U709" s="37"/>
      <c r="V709" s="38"/>
      <c r="W709" s="34" t="str">
        <f>IFERROR(__xludf.DUMMYFUNCTION("""COMPUTED_VALUE"""),"")</f>
        <v/>
      </c>
      <c r="X709" s="35" t="str">
        <f>IFERROR(__xludf.DUMMYFUNCTION("""COMPUTED_VALUE"""),"AP")</f>
        <v>AP</v>
      </c>
      <c r="Y709" s="34" t="str">
        <f>IFERROR(__xludf.DUMMYFUNCTION("""COMPUTED_VALUE"""),"")</f>
        <v/>
      </c>
      <c r="Z709" s="35" t="str">
        <f>IFERROR(__xludf.DUMMYFUNCTION("""COMPUTED_VALUE"""),"%")</f>
        <v>%</v>
      </c>
      <c r="AA709" s="36">
        <f>IFERROR(__xludf.DUMMYFUNCTION("""COMPUTED_VALUE"""),3.0)</f>
        <v>3</v>
      </c>
      <c r="AB709" s="37"/>
      <c r="AC709" s="38"/>
      <c r="AD709" s="34" t="str">
        <f>IFERROR(__xludf.DUMMYFUNCTION("""COMPUTED_VALUE"""),"")</f>
        <v/>
      </c>
      <c r="AE709" s="35" t="str">
        <f>IFERROR(__xludf.DUMMYFUNCTION("""COMPUTED_VALUE"""),"AP")</f>
        <v>AP</v>
      </c>
      <c r="AF709" s="34" t="str">
        <f>IFERROR(__xludf.DUMMYFUNCTION("""COMPUTED_VALUE"""),"")</f>
        <v/>
      </c>
      <c r="AG709" s="35" t="str">
        <f>IFERROR(__xludf.DUMMYFUNCTION("""COMPUTED_VALUE"""),"%")</f>
        <v>%</v>
      </c>
      <c r="AH709" s="31"/>
      <c r="AI709" s="32"/>
      <c r="AJ709" s="39"/>
    </row>
    <row r="710" ht="24.75" hidden="1" customHeight="1">
      <c r="A710" s="40">
        <f>IFERROR(__xludf.DUMMYFUNCTION("""COMPUTED_VALUE"""),18.0)</f>
        <v>18</v>
      </c>
      <c r="B710" s="40" t="str">
        <f>IFERROR(__xludf.DUMMYFUNCTION("""COMPUTED_VALUE"""),"A102")</f>
        <v>A102</v>
      </c>
      <c r="C710" s="40"/>
      <c r="D710" s="41"/>
      <c r="E710" s="66"/>
      <c r="F710" s="43"/>
      <c r="G710" s="44"/>
      <c r="H710" s="33" t="str">
        <f>IFERROR(__xludf.DUMMYFUNCTION("""COMPUTED_VALUE""")," ")</f>
        <v> </v>
      </c>
      <c r="I710" s="45"/>
      <c r="J710" s="46" t="str">
        <f>IFERROR(__xludf.DUMMYFUNCTION("""COMPUTED_VALUE"""),"AP")</f>
        <v>AP</v>
      </c>
      <c r="K710" s="47"/>
      <c r="L710" s="48" t="str">
        <f>IFERROR(__xludf.DUMMYFUNCTION("""COMPUTED_VALUE"""),"%")</f>
        <v>%</v>
      </c>
      <c r="M710" s="49">
        <f>IFERROR(__xludf.DUMMYFUNCTION("""COMPUTED_VALUE"""),1.0)</f>
        <v>1</v>
      </c>
      <c r="N710" s="50"/>
      <c r="O710" s="38"/>
      <c r="P710" s="45" t="str">
        <f>IFERROR(__xludf.DUMMYFUNCTION("""COMPUTED_VALUE"""),"")</f>
        <v/>
      </c>
      <c r="Q710" s="46" t="str">
        <f>IFERROR(__xludf.DUMMYFUNCTION("""COMPUTED_VALUE"""),"AP")</f>
        <v>AP</v>
      </c>
      <c r="R710" s="47" t="str">
        <f>IFERROR(__xludf.DUMMYFUNCTION("""COMPUTED_VALUE"""),"")</f>
        <v/>
      </c>
      <c r="S710" s="48" t="str">
        <f>IFERROR(__xludf.DUMMYFUNCTION("""COMPUTED_VALUE"""),"%")</f>
        <v>%</v>
      </c>
      <c r="T710" s="49">
        <f>IFERROR(__xludf.DUMMYFUNCTION("""COMPUTED_VALUE"""),2.0)</f>
        <v>2</v>
      </c>
      <c r="U710" s="50"/>
      <c r="V710" s="38"/>
      <c r="W710" s="45" t="str">
        <f>IFERROR(__xludf.DUMMYFUNCTION("""COMPUTED_VALUE"""),"")</f>
        <v/>
      </c>
      <c r="X710" s="46" t="str">
        <f>IFERROR(__xludf.DUMMYFUNCTION("""COMPUTED_VALUE"""),"AP")</f>
        <v>AP</v>
      </c>
      <c r="Y710" s="47" t="str">
        <f>IFERROR(__xludf.DUMMYFUNCTION("""COMPUTED_VALUE"""),"")</f>
        <v/>
      </c>
      <c r="Z710" s="48" t="str">
        <f>IFERROR(__xludf.DUMMYFUNCTION("""COMPUTED_VALUE"""),"%")</f>
        <v>%</v>
      </c>
      <c r="AA710" s="49">
        <f>IFERROR(__xludf.DUMMYFUNCTION("""COMPUTED_VALUE"""),3.0)</f>
        <v>3</v>
      </c>
      <c r="AB710" s="50"/>
      <c r="AC710" s="38"/>
      <c r="AD710" s="45" t="str">
        <f>IFERROR(__xludf.DUMMYFUNCTION("""COMPUTED_VALUE"""),"")</f>
        <v/>
      </c>
      <c r="AE710" s="46" t="str">
        <f>IFERROR(__xludf.DUMMYFUNCTION("""COMPUTED_VALUE"""),"AP")</f>
        <v>AP</v>
      </c>
      <c r="AF710" s="47" t="str">
        <f>IFERROR(__xludf.DUMMYFUNCTION("""COMPUTED_VALUE"""),"")</f>
        <v/>
      </c>
      <c r="AG710" s="48" t="str">
        <f>IFERROR(__xludf.DUMMYFUNCTION("""COMPUTED_VALUE"""),"%")</f>
        <v>%</v>
      </c>
      <c r="AH710" s="43"/>
      <c r="AI710" s="44"/>
      <c r="AJ710" s="51"/>
    </row>
    <row r="711" ht="24.75" hidden="1" customHeight="1">
      <c r="A711" s="28">
        <f>IFERROR(__xludf.DUMMYFUNCTION("""COMPUTED_VALUE"""),19.0)</f>
        <v>19</v>
      </c>
      <c r="B711" s="28" t="str">
        <f>IFERROR(__xludf.DUMMYFUNCTION("""COMPUTED_VALUE"""),"A102")</f>
        <v>A102</v>
      </c>
      <c r="C711" s="28"/>
      <c r="D711" s="29"/>
      <c r="E711" s="67"/>
      <c r="F711" s="31"/>
      <c r="G711" s="32"/>
      <c r="H711" s="33" t="str">
        <f>IFERROR(__xludf.DUMMYFUNCTION("""COMPUTED_VALUE""")," ")</f>
        <v> </v>
      </c>
      <c r="I711" s="34"/>
      <c r="J711" s="35" t="str">
        <f>IFERROR(__xludf.DUMMYFUNCTION("""COMPUTED_VALUE"""),"AP")</f>
        <v>AP</v>
      </c>
      <c r="K711" s="34"/>
      <c r="L711" s="35" t="str">
        <f>IFERROR(__xludf.DUMMYFUNCTION("""COMPUTED_VALUE"""),"%")</f>
        <v>%</v>
      </c>
      <c r="M711" s="36">
        <f>IFERROR(__xludf.DUMMYFUNCTION("""COMPUTED_VALUE"""),1.0)</f>
        <v>1</v>
      </c>
      <c r="N711" s="37"/>
      <c r="O711" s="38"/>
      <c r="P711" s="34" t="str">
        <f>IFERROR(__xludf.DUMMYFUNCTION("""COMPUTED_VALUE"""),"")</f>
        <v/>
      </c>
      <c r="Q711" s="35" t="str">
        <f>IFERROR(__xludf.DUMMYFUNCTION("""COMPUTED_VALUE"""),"AP")</f>
        <v>AP</v>
      </c>
      <c r="R711" s="34" t="str">
        <f>IFERROR(__xludf.DUMMYFUNCTION("""COMPUTED_VALUE"""),"")</f>
        <v/>
      </c>
      <c r="S711" s="35" t="str">
        <f>IFERROR(__xludf.DUMMYFUNCTION("""COMPUTED_VALUE"""),"%")</f>
        <v>%</v>
      </c>
      <c r="T711" s="36">
        <f>IFERROR(__xludf.DUMMYFUNCTION("""COMPUTED_VALUE"""),2.0)</f>
        <v>2</v>
      </c>
      <c r="U711" s="37"/>
      <c r="V711" s="38"/>
      <c r="W711" s="34" t="str">
        <f>IFERROR(__xludf.DUMMYFUNCTION("""COMPUTED_VALUE"""),"")</f>
        <v/>
      </c>
      <c r="X711" s="35" t="str">
        <f>IFERROR(__xludf.DUMMYFUNCTION("""COMPUTED_VALUE"""),"AP")</f>
        <v>AP</v>
      </c>
      <c r="Y711" s="34" t="str">
        <f>IFERROR(__xludf.DUMMYFUNCTION("""COMPUTED_VALUE"""),"")</f>
        <v/>
      </c>
      <c r="Z711" s="35" t="str">
        <f>IFERROR(__xludf.DUMMYFUNCTION("""COMPUTED_VALUE"""),"%")</f>
        <v>%</v>
      </c>
      <c r="AA711" s="36">
        <f>IFERROR(__xludf.DUMMYFUNCTION("""COMPUTED_VALUE"""),3.0)</f>
        <v>3</v>
      </c>
      <c r="AB711" s="37"/>
      <c r="AC711" s="38"/>
      <c r="AD711" s="34" t="str">
        <f>IFERROR(__xludf.DUMMYFUNCTION("""COMPUTED_VALUE"""),"")</f>
        <v/>
      </c>
      <c r="AE711" s="35" t="str">
        <f>IFERROR(__xludf.DUMMYFUNCTION("""COMPUTED_VALUE"""),"AP")</f>
        <v>AP</v>
      </c>
      <c r="AF711" s="34" t="str">
        <f>IFERROR(__xludf.DUMMYFUNCTION("""COMPUTED_VALUE"""),"")</f>
        <v/>
      </c>
      <c r="AG711" s="35" t="str">
        <f>IFERROR(__xludf.DUMMYFUNCTION("""COMPUTED_VALUE"""),"%")</f>
        <v>%</v>
      </c>
      <c r="AH711" s="31"/>
      <c r="AI711" s="32"/>
      <c r="AJ711" s="39"/>
    </row>
    <row r="712" ht="24.75" hidden="1" customHeight="1">
      <c r="A712" s="40">
        <f>IFERROR(__xludf.DUMMYFUNCTION("""COMPUTED_VALUE"""),20.0)</f>
        <v>20</v>
      </c>
      <c r="B712" s="40" t="str">
        <f>IFERROR(__xludf.DUMMYFUNCTION("""COMPUTED_VALUE"""),"A102")</f>
        <v>A102</v>
      </c>
      <c r="C712" s="40"/>
      <c r="D712" s="41"/>
      <c r="E712" s="66"/>
      <c r="F712" s="43"/>
      <c r="G712" s="44"/>
      <c r="H712" s="33" t="str">
        <f>IFERROR(__xludf.DUMMYFUNCTION("""COMPUTED_VALUE""")," ")</f>
        <v> </v>
      </c>
      <c r="I712" s="45"/>
      <c r="J712" s="46" t="str">
        <f>IFERROR(__xludf.DUMMYFUNCTION("""COMPUTED_VALUE"""),"AP")</f>
        <v>AP</v>
      </c>
      <c r="K712" s="47"/>
      <c r="L712" s="48" t="str">
        <f>IFERROR(__xludf.DUMMYFUNCTION("""COMPUTED_VALUE"""),"%")</f>
        <v>%</v>
      </c>
      <c r="M712" s="49">
        <f>IFERROR(__xludf.DUMMYFUNCTION("""COMPUTED_VALUE"""),1.0)</f>
        <v>1</v>
      </c>
      <c r="N712" s="50"/>
      <c r="O712" s="38"/>
      <c r="P712" s="45" t="str">
        <f>IFERROR(__xludf.DUMMYFUNCTION("""COMPUTED_VALUE"""),"")</f>
        <v/>
      </c>
      <c r="Q712" s="46" t="str">
        <f>IFERROR(__xludf.DUMMYFUNCTION("""COMPUTED_VALUE"""),"AP")</f>
        <v>AP</v>
      </c>
      <c r="R712" s="47" t="str">
        <f>IFERROR(__xludf.DUMMYFUNCTION("""COMPUTED_VALUE"""),"")</f>
        <v/>
      </c>
      <c r="S712" s="48" t="str">
        <f>IFERROR(__xludf.DUMMYFUNCTION("""COMPUTED_VALUE"""),"%")</f>
        <v>%</v>
      </c>
      <c r="T712" s="49">
        <f>IFERROR(__xludf.DUMMYFUNCTION("""COMPUTED_VALUE"""),2.0)</f>
        <v>2</v>
      </c>
      <c r="U712" s="50"/>
      <c r="V712" s="38"/>
      <c r="W712" s="45" t="str">
        <f>IFERROR(__xludf.DUMMYFUNCTION("""COMPUTED_VALUE"""),"")</f>
        <v/>
      </c>
      <c r="X712" s="46" t="str">
        <f>IFERROR(__xludf.DUMMYFUNCTION("""COMPUTED_VALUE"""),"AP")</f>
        <v>AP</v>
      </c>
      <c r="Y712" s="47" t="str">
        <f>IFERROR(__xludf.DUMMYFUNCTION("""COMPUTED_VALUE"""),"")</f>
        <v/>
      </c>
      <c r="Z712" s="48" t="str">
        <f>IFERROR(__xludf.DUMMYFUNCTION("""COMPUTED_VALUE"""),"%")</f>
        <v>%</v>
      </c>
      <c r="AA712" s="49">
        <f>IFERROR(__xludf.DUMMYFUNCTION("""COMPUTED_VALUE"""),3.0)</f>
        <v>3</v>
      </c>
      <c r="AB712" s="50"/>
      <c r="AC712" s="38"/>
      <c r="AD712" s="45" t="str">
        <f>IFERROR(__xludf.DUMMYFUNCTION("""COMPUTED_VALUE"""),"")</f>
        <v/>
      </c>
      <c r="AE712" s="46" t="str">
        <f>IFERROR(__xludf.DUMMYFUNCTION("""COMPUTED_VALUE"""),"AP")</f>
        <v>AP</v>
      </c>
      <c r="AF712" s="47" t="str">
        <f>IFERROR(__xludf.DUMMYFUNCTION("""COMPUTED_VALUE"""),"")</f>
        <v/>
      </c>
      <c r="AG712" s="48" t="str">
        <f>IFERROR(__xludf.DUMMYFUNCTION("""COMPUTED_VALUE"""),"%")</f>
        <v>%</v>
      </c>
      <c r="AH712" s="43"/>
      <c r="AI712" s="44"/>
      <c r="AJ712" s="51"/>
    </row>
    <row r="713">
      <c r="A713" s="52"/>
      <c r="B713" s="53"/>
      <c r="C713" s="54"/>
      <c r="D713" s="55"/>
      <c r="E713" s="56"/>
      <c r="F713" s="53"/>
      <c r="G713" s="53"/>
      <c r="H713" s="53"/>
      <c r="I713" s="53"/>
      <c r="J713" s="57"/>
      <c r="K713" s="53"/>
      <c r="L713" s="57"/>
      <c r="M713" s="53"/>
      <c r="N713" s="53"/>
      <c r="O713" s="53"/>
      <c r="P713" s="53"/>
      <c r="Q713" s="57"/>
      <c r="R713" s="53"/>
      <c r="S713" s="57"/>
      <c r="T713" s="53"/>
      <c r="U713" s="53"/>
      <c r="V713" s="53"/>
      <c r="W713" s="53"/>
      <c r="X713" s="57"/>
      <c r="Y713" s="53"/>
      <c r="Z713" s="57"/>
      <c r="AA713" s="53"/>
      <c r="AB713" s="53"/>
      <c r="AC713" s="53"/>
      <c r="AD713" s="53"/>
      <c r="AE713" s="57"/>
      <c r="AF713" s="53"/>
      <c r="AG713" s="57"/>
      <c r="AH713" s="53"/>
      <c r="AI713" s="53"/>
      <c r="AJ713" s="58"/>
    </row>
    <row r="714">
      <c r="A714" s="59"/>
      <c r="B714" s="60"/>
      <c r="C714" s="61"/>
      <c r="D714" s="62"/>
      <c r="E714" s="63"/>
      <c r="F714" s="60"/>
      <c r="G714" s="60"/>
      <c r="H714" s="60"/>
      <c r="I714" s="60"/>
      <c r="J714" s="64"/>
      <c r="K714" s="60"/>
      <c r="L714" s="64"/>
      <c r="M714" s="60"/>
      <c r="N714" s="60"/>
      <c r="O714" s="60"/>
      <c r="P714" s="60"/>
      <c r="Q714" s="64"/>
      <c r="R714" s="60"/>
      <c r="S714" s="64"/>
      <c r="T714" s="60"/>
      <c r="U714" s="60"/>
      <c r="V714" s="60"/>
      <c r="W714" s="60"/>
      <c r="X714" s="64"/>
      <c r="Y714" s="60"/>
      <c r="Z714" s="64"/>
      <c r="AA714" s="60"/>
      <c r="AB714" s="60"/>
      <c r="AC714" s="60"/>
      <c r="AD714" s="60"/>
      <c r="AE714" s="64"/>
      <c r="AF714" s="60"/>
      <c r="AG714" s="64"/>
      <c r="AH714" s="60"/>
      <c r="AI714" s="60"/>
      <c r="AJ714" s="65"/>
    </row>
    <row r="715" ht="33.0" customHeight="1">
      <c r="A715" s="20" t="str">
        <f>IFERROR(__xludf.DUMMYFUNCTION("""COMPUTED_VALUE""")," ")</f>
        <v> </v>
      </c>
      <c r="B715" s="21" t="str">
        <f>IFERROR(__xludf.DUMMYFUNCTION("""COMPUTED_VALUE"""),"A103")</f>
        <v>A103</v>
      </c>
      <c r="C715" s="20"/>
      <c r="D715" s="22" t="str">
        <f>IFERROR(__xludf.DUMMYFUNCTION("""COMPUTED_VALUE"""),"")</f>
        <v/>
      </c>
      <c r="E715" s="23" t="str">
        <f>IFERROR(__xludf.DUMMYFUNCTION("""COMPUTED_VALUE"""),"Dragon's Reverse Scale")</f>
        <v>Dragon's Reverse Scale</v>
      </c>
      <c r="F715" s="24"/>
      <c r="G715" s="24"/>
      <c r="H715" s="25"/>
      <c r="I715" s="25"/>
      <c r="J715" s="26"/>
      <c r="K715" s="25"/>
      <c r="L715" s="26"/>
      <c r="M715" s="25"/>
      <c r="N715" s="25"/>
      <c r="O715" s="25"/>
      <c r="P715" s="25"/>
      <c r="Q715" s="26"/>
      <c r="R715" s="25"/>
      <c r="S715" s="26"/>
      <c r="T715" s="25"/>
      <c r="U715" s="25"/>
      <c r="V715" s="25"/>
      <c r="W715" s="25"/>
      <c r="X715" s="26"/>
      <c r="Y715" s="25"/>
      <c r="Z715" s="26"/>
      <c r="AA715" s="25"/>
      <c r="AB715" s="25"/>
      <c r="AC715" s="25"/>
      <c r="AD715" s="25"/>
      <c r="AE715" s="26"/>
      <c r="AF715" s="25"/>
      <c r="AG715" s="26"/>
      <c r="AH715" s="24"/>
      <c r="AI715" s="25"/>
      <c r="AJ715" s="27"/>
    </row>
    <row r="716" ht="24.75" customHeight="1">
      <c r="A716" s="28">
        <f>IFERROR(__xludf.DUMMYFUNCTION("""COMPUTED_VALUE"""),1.0)</f>
        <v>1</v>
      </c>
      <c r="B716" s="28" t="str">
        <f>IFERROR(__xludf.DUMMYFUNCTION("""COMPUTED_VALUE"""),"A103")</f>
        <v>A103</v>
      </c>
      <c r="C716" s="28" t="str">
        <f>IFERROR(__xludf.DUMMYFUNCTION("""COMPUTED_VALUE"""),"BBL12")</f>
        <v>BBL12</v>
      </c>
      <c r="D716" s="29" t="str">
        <f>IFERROR(__xludf.DUMMYFUNCTION("""COMPUTED_VALUE"""),"Babylonia")</f>
        <v>Babylonia</v>
      </c>
      <c r="E716" s="30" t="str">
        <f>IFERROR(__xludf.DUMMYFUNCTION("""COMPUTED_VALUE"""),"Nippur")</f>
        <v>Nippur</v>
      </c>
      <c r="F716" s="31">
        <f>IFERROR(__xludf.DUMMYFUNCTION("""COMPUTED_VALUE"""),21.0)</f>
        <v>21</v>
      </c>
      <c r="G716" s="32">
        <f>IFERROR(__xludf.DUMMYFUNCTION("""COMPUTED_VALUE"""),69855.0)</f>
        <v>69855</v>
      </c>
      <c r="H716" s="33" t="str">
        <f>IFERROR(__xludf.DUMMYFUNCTION("""COMPUTED_VALUE"""),"")</f>
        <v/>
      </c>
      <c r="I716" s="34">
        <f>IFERROR(__xludf.DUMMYFUNCTION("""COMPUTED_VALUE"""),173.1)</f>
        <v>173.1</v>
      </c>
      <c r="J716" s="35" t="str">
        <f>IFERROR(__xludf.DUMMYFUNCTION("""COMPUTED_VALUE"""),"AP")</f>
        <v>AP</v>
      </c>
      <c r="K716" s="34">
        <f>IFERROR(__xludf.DUMMYFUNCTION("""COMPUTED_VALUE"""),12.1)</f>
        <v>12.1</v>
      </c>
      <c r="L716" s="35" t="str">
        <f>IFERROR(__xludf.DUMMYFUNCTION("""COMPUTED_VALUE"""),"%")</f>
        <v>%</v>
      </c>
      <c r="M716" s="36">
        <f>IFERROR(__xludf.DUMMYFUNCTION("""COMPUTED_VALUE"""),1.0)</f>
        <v>1</v>
      </c>
      <c r="N716" s="37" t="str">
        <f>IFERROR(__xludf.DUMMYFUNCTION("""COMPUTED_VALUE"""),"A306")</f>
        <v>A306</v>
      </c>
      <c r="O716" s="38" t="str">
        <f>IFERROR(__xludf.DUMMYFUNCTION("""COMPUTED_VALUE"""),"")</f>
        <v/>
      </c>
      <c r="P716" s="34">
        <f>IFERROR(__xludf.DUMMYFUNCTION("""COMPUTED_VALUE"""),70.0)</f>
        <v>70</v>
      </c>
      <c r="Q716" s="35" t="str">
        <f>IFERROR(__xludf.DUMMYFUNCTION("""COMPUTED_VALUE"""),"AP")</f>
        <v>AP</v>
      </c>
      <c r="R716" s="34">
        <f>IFERROR(__xludf.DUMMYFUNCTION("""COMPUTED_VALUE"""),30.0)</f>
        <v>30</v>
      </c>
      <c r="S716" s="35" t="str">
        <f>IFERROR(__xludf.DUMMYFUNCTION("""COMPUTED_VALUE"""),"%")</f>
        <v>%</v>
      </c>
      <c r="T716" s="36">
        <f>IFERROR(__xludf.DUMMYFUNCTION("""COMPUTED_VALUE"""),2.0)</f>
        <v>2</v>
      </c>
      <c r="U716" s="37" t="str">
        <f>IFERROR(__xludf.DUMMYFUNCTION("""COMPUTED_VALUE"""),"B104")</f>
        <v>B104</v>
      </c>
      <c r="V716" s="38" t="str">
        <f>IFERROR(__xludf.DUMMYFUNCTION("""COMPUTED_VALUE"""),"")</f>
        <v/>
      </c>
      <c r="W716" s="34">
        <f>IFERROR(__xludf.DUMMYFUNCTION("""COMPUTED_VALUE"""),666.1)</f>
        <v>666.1</v>
      </c>
      <c r="X716" s="35" t="str">
        <f>IFERROR(__xludf.DUMMYFUNCTION("""COMPUTED_VALUE"""),"AP")</f>
        <v>AP</v>
      </c>
      <c r="Y716" s="34">
        <f>IFERROR(__xludf.DUMMYFUNCTION("""COMPUTED_VALUE"""),3.2)</f>
        <v>3.2</v>
      </c>
      <c r="Z716" s="35" t="str">
        <f>IFERROR(__xludf.DUMMYFUNCTION("""COMPUTED_VALUE"""),"%")</f>
        <v>%</v>
      </c>
      <c r="AA716" s="36">
        <f>IFERROR(__xludf.DUMMYFUNCTION("""COMPUTED_VALUE"""),3.0)</f>
        <v>3</v>
      </c>
      <c r="AB716" s="37"/>
      <c r="AC716" s="38"/>
      <c r="AD716" s="34" t="str">
        <f>IFERROR(__xludf.DUMMYFUNCTION("""COMPUTED_VALUE"""),"")</f>
        <v/>
      </c>
      <c r="AE716" s="35" t="str">
        <f>IFERROR(__xludf.DUMMYFUNCTION("""COMPUTED_VALUE"""),"AP")</f>
        <v>AP</v>
      </c>
      <c r="AF716" s="34" t="str">
        <f>IFERROR(__xludf.DUMMYFUNCTION("""COMPUTED_VALUE"""),"")</f>
        <v/>
      </c>
      <c r="AG716" s="35" t="str">
        <f>IFERROR(__xludf.DUMMYFUNCTION("""COMPUTED_VALUE"""),"%")</f>
        <v>%</v>
      </c>
      <c r="AH716" s="31">
        <f>IFERROR(__xludf.DUMMYFUNCTION("""COMPUTED_VALUE"""),21.0)</f>
        <v>21</v>
      </c>
      <c r="AI716" s="32">
        <f>IFERROR(__xludf.DUMMYFUNCTION("""COMPUTED_VALUE"""),69855.0)</f>
        <v>69855</v>
      </c>
      <c r="AJ716" s="39" t="str">
        <f>IFERROR(__xludf.DUMMYFUNCTION("""COMPUTED_VALUE"""),"ニップル")</f>
        <v>ニップル</v>
      </c>
    </row>
    <row r="717" ht="24.75" customHeight="1">
      <c r="A717" s="40">
        <f>IFERROR(__xludf.DUMMYFUNCTION("""COMPUTED_VALUE"""),2.0)</f>
        <v>2</v>
      </c>
      <c r="B717" s="40" t="str">
        <f>IFERROR(__xludf.DUMMYFUNCTION("""COMPUTED_VALUE"""),"A103")</f>
        <v>A103</v>
      </c>
      <c r="C717" s="40" t="str">
        <f>IFERROR(__xludf.DUMMYFUNCTION("""COMPUTED_VALUE"""),"TRF16")</f>
        <v>TRF16</v>
      </c>
      <c r="D717" s="41" t="str">
        <f>IFERROR(__xludf.DUMMYFUNCTION("""COMPUTED_VALUE"""),"Chaldea Gate (Thu)")</f>
        <v>Chaldea Gate (Thu)</v>
      </c>
      <c r="E717" s="42" t="str">
        <f>IFERROR(__xludf.DUMMYFUNCTION("""COMPUTED_VALUE"""),"THU Rider Training Ground- Exp")</f>
        <v>THU Rider Training Ground- Exp</v>
      </c>
      <c r="F717" s="43">
        <f>IFERROR(__xludf.DUMMYFUNCTION("""COMPUTED_VALUE"""),40.0)</f>
        <v>40</v>
      </c>
      <c r="G717" s="44">
        <f>IFERROR(__xludf.DUMMYFUNCTION("""COMPUTED_VALUE"""),4052.0)</f>
        <v>4052</v>
      </c>
      <c r="H717" s="33" t="str">
        <f>IFERROR(__xludf.DUMMYFUNCTION("""COMPUTED_VALUE"""),"")</f>
        <v/>
      </c>
      <c r="I717" s="45">
        <f>IFERROR(__xludf.DUMMYFUNCTION("""COMPUTED_VALUE"""),542.1)</f>
        <v>542.1</v>
      </c>
      <c r="J717" s="46" t="str">
        <f>IFERROR(__xludf.DUMMYFUNCTION("""COMPUTED_VALUE"""),"AP")</f>
        <v>AP</v>
      </c>
      <c r="K717" s="47">
        <f>IFERROR(__xludf.DUMMYFUNCTION("""COMPUTED_VALUE"""),7.4)</f>
        <v>7.4</v>
      </c>
      <c r="L717" s="48" t="str">
        <f>IFERROR(__xludf.DUMMYFUNCTION("""COMPUTED_VALUE"""),"%")</f>
        <v>%</v>
      </c>
      <c r="M717" s="49">
        <f>IFERROR(__xludf.DUMMYFUNCTION("""COMPUTED_VALUE"""),1.0)</f>
        <v>1</v>
      </c>
      <c r="N717" s="50" t="str">
        <f>IFERROR(__xludf.DUMMYFUNCTION("""COMPUTED_VALUE"""),"A209")</f>
        <v>A209</v>
      </c>
      <c r="O717" s="38" t="str">
        <f>IFERROR(__xludf.DUMMYFUNCTION("""COMPUTED_VALUE"""),"")</f>
        <v/>
      </c>
      <c r="P717" s="45">
        <f>IFERROR(__xludf.DUMMYFUNCTION("""COMPUTED_VALUE"""),206.5)</f>
        <v>206.5</v>
      </c>
      <c r="Q717" s="46" t="str">
        <f>IFERROR(__xludf.DUMMYFUNCTION("""COMPUTED_VALUE"""),"AP")</f>
        <v>AP</v>
      </c>
      <c r="R717" s="47">
        <f>IFERROR(__xludf.DUMMYFUNCTION("""COMPUTED_VALUE"""),19.4)</f>
        <v>19.4</v>
      </c>
      <c r="S717" s="48" t="str">
        <f>IFERROR(__xludf.DUMMYFUNCTION("""COMPUTED_VALUE"""),"%")</f>
        <v>%</v>
      </c>
      <c r="T717" s="49">
        <f>IFERROR(__xludf.DUMMYFUNCTION("""COMPUTED_VALUE"""),2.0)</f>
        <v>2</v>
      </c>
      <c r="U717" s="50" t="str">
        <f>IFERROR(__xludf.DUMMYFUNCTION("""COMPUTED_VALUE"""),"A303")</f>
        <v>A303</v>
      </c>
      <c r="V717" s="38" t="str">
        <f>IFERROR(__xludf.DUMMYFUNCTION("""COMPUTED_VALUE"""),"")</f>
        <v/>
      </c>
      <c r="W717" s="45">
        <f>IFERROR(__xludf.DUMMYFUNCTION("""COMPUTED_VALUE"""),85.7)</f>
        <v>85.7</v>
      </c>
      <c r="X717" s="46" t="str">
        <f>IFERROR(__xludf.DUMMYFUNCTION("""COMPUTED_VALUE"""),"AP")</f>
        <v>AP</v>
      </c>
      <c r="Y717" s="47">
        <f>IFERROR(__xludf.DUMMYFUNCTION("""COMPUTED_VALUE"""),46.7)</f>
        <v>46.7</v>
      </c>
      <c r="Z717" s="48" t="str">
        <f>IFERROR(__xludf.DUMMYFUNCTION("""COMPUTED_VALUE"""),"%")</f>
        <v>%</v>
      </c>
      <c r="AA717" s="49">
        <f>IFERROR(__xludf.DUMMYFUNCTION("""COMPUTED_VALUE"""),3.0)</f>
        <v>3</v>
      </c>
      <c r="AB717" s="50" t="str">
        <f>IFERROR(__xludf.DUMMYFUNCTION("""COMPUTED_VALUE"""),"A304")</f>
        <v>A304</v>
      </c>
      <c r="AC717" s="38" t="str">
        <f>IFERROR(__xludf.DUMMYFUNCTION("""COMPUTED_VALUE"""),"")</f>
        <v/>
      </c>
      <c r="AD717" s="45">
        <f>IFERROR(__xludf.DUMMYFUNCTION("""COMPUTED_VALUE"""),241.5)</f>
        <v>241.5</v>
      </c>
      <c r="AE717" s="46" t="str">
        <f>IFERROR(__xludf.DUMMYFUNCTION("""COMPUTED_VALUE"""),"AP")</f>
        <v>AP</v>
      </c>
      <c r="AF717" s="47">
        <f>IFERROR(__xludf.DUMMYFUNCTION("""COMPUTED_VALUE"""),16.6)</f>
        <v>16.6</v>
      </c>
      <c r="AG717" s="48" t="str">
        <f>IFERROR(__xludf.DUMMYFUNCTION("""COMPUTED_VALUE"""),"%")</f>
        <v>%</v>
      </c>
      <c r="AH717" s="43">
        <f>IFERROR(__xludf.DUMMYFUNCTION("""COMPUTED_VALUE"""),40.0)</f>
        <v>40</v>
      </c>
      <c r="AI717" s="44">
        <f>IFERROR(__xludf.DUMMYFUNCTION("""COMPUTED_VALUE"""),4052.0)</f>
        <v>4052</v>
      </c>
      <c r="AJ717" s="51" t="str">
        <f>IFERROR(__xludf.DUMMYFUNCTION("""COMPUTED_VALUE"""),"騎超級")</f>
        <v>騎超級</v>
      </c>
    </row>
    <row r="718" ht="24.75" customHeight="1">
      <c r="A718" s="28">
        <f>IFERROR(__xludf.DUMMYFUNCTION("""COMPUTED_VALUE"""),3.0)</f>
        <v>3</v>
      </c>
      <c r="B718" s="28" t="str">
        <f>IFERROR(__xludf.DUMMYFUNCTION("""COMPUTED_VALUE"""),"A103")</f>
        <v>A103</v>
      </c>
      <c r="C718" s="28" t="str">
        <f>IFERROR(__xludf.DUMMYFUNCTION("""COMPUTED_VALUE"""),"TRF15")</f>
        <v>TRF15</v>
      </c>
      <c r="D718" s="29" t="str">
        <f>IFERROR(__xludf.DUMMYFUNCTION("""COMPUTED_VALUE"""),"Chaldea Gate (Thu)")</f>
        <v>Chaldea Gate (Thu)</v>
      </c>
      <c r="E718" s="30" t="str">
        <f>IFERROR(__xludf.DUMMYFUNCTION("""COMPUTED_VALUE"""),"THU Rider Training Ground- Adv")</f>
        <v>THU Rider Training Ground- Adv</v>
      </c>
      <c r="F718" s="31">
        <f>IFERROR(__xludf.DUMMYFUNCTION("""COMPUTED_VALUE"""),30.0)</f>
        <v>30</v>
      </c>
      <c r="G718" s="32">
        <f>IFERROR(__xludf.DUMMYFUNCTION("""COMPUTED_VALUE"""),2151.0)</f>
        <v>2151</v>
      </c>
      <c r="H718" s="33" t="str">
        <f>IFERROR(__xludf.DUMMYFUNCTION("""COMPUTED_VALUE"""),"")</f>
        <v/>
      </c>
      <c r="I718" s="34">
        <f>IFERROR(__xludf.DUMMYFUNCTION("""COMPUTED_VALUE"""),1019.5)</f>
        <v>1019.5</v>
      </c>
      <c r="J718" s="35" t="str">
        <f>IFERROR(__xludf.DUMMYFUNCTION("""COMPUTED_VALUE"""),"AP")</f>
        <v>AP</v>
      </c>
      <c r="K718" s="34">
        <f>IFERROR(__xludf.DUMMYFUNCTION("""COMPUTED_VALUE"""),2.9)</f>
        <v>2.9</v>
      </c>
      <c r="L718" s="35" t="str">
        <f>IFERROR(__xludf.DUMMYFUNCTION("""COMPUTED_VALUE"""),"%")</f>
        <v>%</v>
      </c>
      <c r="M718" s="36">
        <f>IFERROR(__xludf.DUMMYFUNCTION("""COMPUTED_VALUE"""),1.0)</f>
        <v>1</v>
      </c>
      <c r="N718" s="37" t="str">
        <f>IFERROR(__xludf.DUMMYFUNCTION("""COMPUTED_VALUE"""),"A209")</f>
        <v>A209</v>
      </c>
      <c r="O718" s="38" t="str">
        <f>IFERROR(__xludf.DUMMYFUNCTION("""COMPUTED_VALUE"""),"")</f>
        <v/>
      </c>
      <c r="P718" s="34">
        <f>IFERROR(__xludf.DUMMYFUNCTION("""COMPUTED_VALUE"""),198.9)</f>
        <v>198.9</v>
      </c>
      <c r="Q718" s="35" t="str">
        <f>IFERROR(__xludf.DUMMYFUNCTION("""COMPUTED_VALUE"""),"AP")</f>
        <v>AP</v>
      </c>
      <c r="R718" s="34">
        <f>IFERROR(__xludf.DUMMYFUNCTION("""COMPUTED_VALUE"""),15.1)</f>
        <v>15.1</v>
      </c>
      <c r="S718" s="35" t="str">
        <f>IFERROR(__xludf.DUMMYFUNCTION("""COMPUTED_VALUE"""),"%")</f>
        <v>%</v>
      </c>
      <c r="T718" s="36">
        <f>IFERROR(__xludf.DUMMYFUNCTION("""COMPUTED_VALUE"""),2.0)</f>
        <v>2</v>
      </c>
      <c r="U718" s="37" t="str">
        <f>IFERROR(__xludf.DUMMYFUNCTION("""COMPUTED_VALUE"""),"A303")</f>
        <v>A303</v>
      </c>
      <c r="V718" s="38" t="str">
        <f>IFERROR(__xludf.DUMMYFUNCTION("""COMPUTED_VALUE"""),"")</f>
        <v/>
      </c>
      <c r="W718" s="34">
        <f>IFERROR(__xludf.DUMMYFUNCTION("""COMPUTED_VALUE"""),65.6)</f>
        <v>65.6</v>
      </c>
      <c r="X718" s="35" t="str">
        <f>IFERROR(__xludf.DUMMYFUNCTION("""COMPUTED_VALUE"""),"AP")</f>
        <v>AP</v>
      </c>
      <c r="Y718" s="34">
        <f>IFERROR(__xludf.DUMMYFUNCTION("""COMPUTED_VALUE"""),45.7)</f>
        <v>45.7</v>
      </c>
      <c r="Z718" s="35" t="str">
        <f>IFERROR(__xludf.DUMMYFUNCTION("""COMPUTED_VALUE"""),"%")</f>
        <v>%</v>
      </c>
      <c r="AA718" s="36">
        <f>IFERROR(__xludf.DUMMYFUNCTION("""COMPUTED_VALUE"""),3.0)</f>
        <v>3</v>
      </c>
      <c r="AB718" s="37" t="str">
        <f>IFERROR(__xludf.DUMMYFUNCTION("""COMPUTED_VALUE"""),"A304")</f>
        <v>A304</v>
      </c>
      <c r="AC718" s="38" t="str">
        <f>IFERROR(__xludf.DUMMYFUNCTION("""COMPUTED_VALUE"""),"")</f>
        <v/>
      </c>
      <c r="AD718" s="34">
        <f>IFERROR(__xludf.DUMMYFUNCTION("""COMPUTED_VALUE"""),233.0)</f>
        <v>233</v>
      </c>
      <c r="AE718" s="35" t="str">
        <f>IFERROR(__xludf.DUMMYFUNCTION("""COMPUTED_VALUE"""),"AP")</f>
        <v>AP</v>
      </c>
      <c r="AF718" s="34">
        <f>IFERROR(__xludf.DUMMYFUNCTION("""COMPUTED_VALUE"""),12.9)</f>
        <v>12.9</v>
      </c>
      <c r="AG718" s="35" t="str">
        <f>IFERROR(__xludf.DUMMYFUNCTION("""COMPUTED_VALUE"""),"%")</f>
        <v>%</v>
      </c>
      <c r="AH718" s="31">
        <f>IFERROR(__xludf.DUMMYFUNCTION("""COMPUTED_VALUE"""),30.0)</f>
        <v>30</v>
      </c>
      <c r="AI718" s="32">
        <f>IFERROR(__xludf.DUMMYFUNCTION("""COMPUTED_VALUE"""),2151.0)</f>
        <v>2151</v>
      </c>
      <c r="AJ718" s="39" t="str">
        <f>IFERROR(__xludf.DUMMYFUNCTION("""COMPUTED_VALUE"""),"騎上級")</f>
        <v>騎上級</v>
      </c>
    </row>
    <row r="719" ht="24.75" customHeight="1">
      <c r="A719" s="40">
        <f>IFERROR(__xludf.DUMMYFUNCTION("""COMPUTED_VALUE"""),4.0)</f>
        <v>4</v>
      </c>
      <c r="B719" s="40" t="str">
        <f>IFERROR(__xludf.DUMMYFUNCTION("""COMPUTED_VALUE"""),"A103")</f>
        <v>A103</v>
      </c>
      <c r="C719" s="40"/>
      <c r="D719" s="41"/>
      <c r="E719" s="66"/>
      <c r="F719" s="43"/>
      <c r="G719" s="44"/>
      <c r="H719" s="33" t="str">
        <f>IFERROR(__xludf.DUMMYFUNCTION("""COMPUTED_VALUE""")," ")</f>
        <v> </v>
      </c>
      <c r="I719" s="45"/>
      <c r="J719" s="46" t="str">
        <f>IFERROR(__xludf.DUMMYFUNCTION("""COMPUTED_VALUE"""),"AP")</f>
        <v>AP</v>
      </c>
      <c r="K719" s="47"/>
      <c r="L719" s="48" t="str">
        <f>IFERROR(__xludf.DUMMYFUNCTION("""COMPUTED_VALUE"""),"%")</f>
        <v>%</v>
      </c>
      <c r="M719" s="49">
        <f>IFERROR(__xludf.DUMMYFUNCTION("""COMPUTED_VALUE"""),1.0)</f>
        <v>1</v>
      </c>
      <c r="N719" s="50"/>
      <c r="O719" s="38"/>
      <c r="P719" s="45" t="str">
        <f>IFERROR(__xludf.DUMMYFUNCTION("""COMPUTED_VALUE"""),"")</f>
        <v/>
      </c>
      <c r="Q719" s="46" t="str">
        <f>IFERROR(__xludf.DUMMYFUNCTION("""COMPUTED_VALUE"""),"AP")</f>
        <v>AP</v>
      </c>
      <c r="R719" s="47" t="str">
        <f>IFERROR(__xludf.DUMMYFUNCTION("""COMPUTED_VALUE"""),"")</f>
        <v/>
      </c>
      <c r="S719" s="48" t="str">
        <f>IFERROR(__xludf.DUMMYFUNCTION("""COMPUTED_VALUE"""),"%")</f>
        <v>%</v>
      </c>
      <c r="T719" s="49">
        <f>IFERROR(__xludf.DUMMYFUNCTION("""COMPUTED_VALUE"""),2.0)</f>
        <v>2</v>
      </c>
      <c r="U719" s="50"/>
      <c r="V719" s="38"/>
      <c r="W719" s="45" t="str">
        <f>IFERROR(__xludf.DUMMYFUNCTION("""COMPUTED_VALUE"""),"")</f>
        <v/>
      </c>
      <c r="X719" s="46" t="str">
        <f>IFERROR(__xludf.DUMMYFUNCTION("""COMPUTED_VALUE"""),"AP")</f>
        <v>AP</v>
      </c>
      <c r="Y719" s="47" t="str">
        <f>IFERROR(__xludf.DUMMYFUNCTION("""COMPUTED_VALUE"""),"")</f>
        <v/>
      </c>
      <c r="Z719" s="48" t="str">
        <f>IFERROR(__xludf.DUMMYFUNCTION("""COMPUTED_VALUE"""),"%")</f>
        <v>%</v>
      </c>
      <c r="AA719" s="49">
        <f>IFERROR(__xludf.DUMMYFUNCTION("""COMPUTED_VALUE"""),3.0)</f>
        <v>3</v>
      </c>
      <c r="AB719" s="50"/>
      <c r="AC719" s="38"/>
      <c r="AD719" s="45" t="str">
        <f>IFERROR(__xludf.DUMMYFUNCTION("""COMPUTED_VALUE"""),"")</f>
        <v/>
      </c>
      <c r="AE719" s="46" t="str">
        <f>IFERROR(__xludf.DUMMYFUNCTION("""COMPUTED_VALUE"""),"AP")</f>
        <v>AP</v>
      </c>
      <c r="AF719" s="47" t="str">
        <f>IFERROR(__xludf.DUMMYFUNCTION("""COMPUTED_VALUE"""),"")</f>
        <v/>
      </c>
      <c r="AG719" s="48" t="str">
        <f>IFERROR(__xludf.DUMMYFUNCTION("""COMPUTED_VALUE"""),"%")</f>
        <v>%</v>
      </c>
      <c r="AH719" s="43"/>
      <c r="AI719" s="44"/>
      <c r="AJ719" s="51"/>
    </row>
    <row r="720" ht="24.75" hidden="1" customHeight="1">
      <c r="A720" s="28">
        <f>IFERROR(__xludf.DUMMYFUNCTION("""COMPUTED_VALUE"""),5.0)</f>
        <v>5</v>
      </c>
      <c r="B720" s="28" t="str">
        <f>IFERROR(__xludf.DUMMYFUNCTION("""COMPUTED_VALUE"""),"A103")</f>
        <v>A103</v>
      </c>
      <c r="C720" s="28"/>
      <c r="D720" s="29"/>
      <c r="E720" s="67"/>
      <c r="F720" s="31"/>
      <c r="G720" s="32"/>
      <c r="H720" s="33" t="str">
        <f>IFERROR(__xludf.DUMMYFUNCTION("""COMPUTED_VALUE""")," ")</f>
        <v> </v>
      </c>
      <c r="I720" s="34"/>
      <c r="J720" s="35" t="str">
        <f>IFERROR(__xludf.DUMMYFUNCTION("""COMPUTED_VALUE"""),"AP")</f>
        <v>AP</v>
      </c>
      <c r="K720" s="34"/>
      <c r="L720" s="35" t="str">
        <f>IFERROR(__xludf.DUMMYFUNCTION("""COMPUTED_VALUE"""),"%")</f>
        <v>%</v>
      </c>
      <c r="M720" s="36">
        <f>IFERROR(__xludf.DUMMYFUNCTION("""COMPUTED_VALUE"""),1.0)</f>
        <v>1</v>
      </c>
      <c r="N720" s="37"/>
      <c r="O720" s="38"/>
      <c r="P720" s="34" t="str">
        <f>IFERROR(__xludf.DUMMYFUNCTION("""COMPUTED_VALUE"""),"")</f>
        <v/>
      </c>
      <c r="Q720" s="35" t="str">
        <f>IFERROR(__xludf.DUMMYFUNCTION("""COMPUTED_VALUE"""),"AP")</f>
        <v>AP</v>
      </c>
      <c r="R720" s="34" t="str">
        <f>IFERROR(__xludf.DUMMYFUNCTION("""COMPUTED_VALUE"""),"")</f>
        <v/>
      </c>
      <c r="S720" s="35" t="str">
        <f>IFERROR(__xludf.DUMMYFUNCTION("""COMPUTED_VALUE"""),"%")</f>
        <v>%</v>
      </c>
      <c r="T720" s="36">
        <f>IFERROR(__xludf.DUMMYFUNCTION("""COMPUTED_VALUE"""),2.0)</f>
        <v>2</v>
      </c>
      <c r="U720" s="37"/>
      <c r="V720" s="38"/>
      <c r="W720" s="34" t="str">
        <f>IFERROR(__xludf.DUMMYFUNCTION("""COMPUTED_VALUE"""),"")</f>
        <v/>
      </c>
      <c r="X720" s="35" t="str">
        <f>IFERROR(__xludf.DUMMYFUNCTION("""COMPUTED_VALUE"""),"AP")</f>
        <v>AP</v>
      </c>
      <c r="Y720" s="34" t="str">
        <f>IFERROR(__xludf.DUMMYFUNCTION("""COMPUTED_VALUE"""),"")</f>
        <v/>
      </c>
      <c r="Z720" s="35" t="str">
        <f>IFERROR(__xludf.DUMMYFUNCTION("""COMPUTED_VALUE"""),"%")</f>
        <v>%</v>
      </c>
      <c r="AA720" s="36">
        <f>IFERROR(__xludf.DUMMYFUNCTION("""COMPUTED_VALUE"""),3.0)</f>
        <v>3</v>
      </c>
      <c r="AB720" s="37"/>
      <c r="AC720" s="38"/>
      <c r="AD720" s="34" t="str">
        <f>IFERROR(__xludf.DUMMYFUNCTION("""COMPUTED_VALUE"""),"")</f>
        <v/>
      </c>
      <c r="AE720" s="35" t="str">
        <f>IFERROR(__xludf.DUMMYFUNCTION("""COMPUTED_VALUE"""),"AP")</f>
        <v>AP</v>
      </c>
      <c r="AF720" s="34" t="str">
        <f>IFERROR(__xludf.DUMMYFUNCTION("""COMPUTED_VALUE"""),"")</f>
        <v/>
      </c>
      <c r="AG720" s="35" t="str">
        <f>IFERROR(__xludf.DUMMYFUNCTION("""COMPUTED_VALUE"""),"%")</f>
        <v>%</v>
      </c>
      <c r="AH720" s="31"/>
      <c r="AI720" s="32"/>
      <c r="AJ720" s="39"/>
    </row>
    <row r="721" ht="24.75" hidden="1" customHeight="1">
      <c r="A721" s="40">
        <f>IFERROR(__xludf.DUMMYFUNCTION("""COMPUTED_VALUE"""),6.0)</f>
        <v>6</v>
      </c>
      <c r="B721" s="40" t="str">
        <f>IFERROR(__xludf.DUMMYFUNCTION("""COMPUTED_VALUE"""),"A103")</f>
        <v>A103</v>
      </c>
      <c r="C721" s="40"/>
      <c r="D721" s="41"/>
      <c r="E721" s="66"/>
      <c r="F721" s="43"/>
      <c r="G721" s="44"/>
      <c r="H721" s="33" t="str">
        <f>IFERROR(__xludf.DUMMYFUNCTION("""COMPUTED_VALUE""")," ")</f>
        <v> </v>
      </c>
      <c r="I721" s="45"/>
      <c r="J721" s="46" t="str">
        <f>IFERROR(__xludf.DUMMYFUNCTION("""COMPUTED_VALUE"""),"AP")</f>
        <v>AP</v>
      </c>
      <c r="K721" s="47"/>
      <c r="L721" s="48" t="str">
        <f>IFERROR(__xludf.DUMMYFUNCTION("""COMPUTED_VALUE"""),"%")</f>
        <v>%</v>
      </c>
      <c r="M721" s="49">
        <f>IFERROR(__xludf.DUMMYFUNCTION("""COMPUTED_VALUE"""),1.0)</f>
        <v>1</v>
      </c>
      <c r="N721" s="50"/>
      <c r="O721" s="38"/>
      <c r="P721" s="45" t="str">
        <f>IFERROR(__xludf.DUMMYFUNCTION("""COMPUTED_VALUE"""),"")</f>
        <v/>
      </c>
      <c r="Q721" s="46" t="str">
        <f>IFERROR(__xludf.DUMMYFUNCTION("""COMPUTED_VALUE"""),"AP")</f>
        <v>AP</v>
      </c>
      <c r="R721" s="47" t="str">
        <f>IFERROR(__xludf.DUMMYFUNCTION("""COMPUTED_VALUE"""),"")</f>
        <v/>
      </c>
      <c r="S721" s="48" t="str">
        <f>IFERROR(__xludf.DUMMYFUNCTION("""COMPUTED_VALUE"""),"%")</f>
        <v>%</v>
      </c>
      <c r="T721" s="49">
        <f>IFERROR(__xludf.DUMMYFUNCTION("""COMPUTED_VALUE"""),2.0)</f>
        <v>2</v>
      </c>
      <c r="U721" s="50"/>
      <c r="V721" s="38"/>
      <c r="W721" s="45" t="str">
        <f>IFERROR(__xludf.DUMMYFUNCTION("""COMPUTED_VALUE"""),"")</f>
        <v/>
      </c>
      <c r="X721" s="46" t="str">
        <f>IFERROR(__xludf.DUMMYFUNCTION("""COMPUTED_VALUE"""),"AP")</f>
        <v>AP</v>
      </c>
      <c r="Y721" s="47" t="str">
        <f>IFERROR(__xludf.DUMMYFUNCTION("""COMPUTED_VALUE"""),"")</f>
        <v/>
      </c>
      <c r="Z721" s="48" t="str">
        <f>IFERROR(__xludf.DUMMYFUNCTION("""COMPUTED_VALUE"""),"%")</f>
        <v>%</v>
      </c>
      <c r="AA721" s="49">
        <f>IFERROR(__xludf.DUMMYFUNCTION("""COMPUTED_VALUE"""),3.0)</f>
        <v>3</v>
      </c>
      <c r="AB721" s="50"/>
      <c r="AC721" s="38"/>
      <c r="AD721" s="45" t="str">
        <f>IFERROR(__xludf.DUMMYFUNCTION("""COMPUTED_VALUE"""),"")</f>
        <v/>
      </c>
      <c r="AE721" s="46" t="str">
        <f>IFERROR(__xludf.DUMMYFUNCTION("""COMPUTED_VALUE"""),"AP")</f>
        <v>AP</v>
      </c>
      <c r="AF721" s="47" t="str">
        <f>IFERROR(__xludf.DUMMYFUNCTION("""COMPUTED_VALUE"""),"")</f>
        <v/>
      </c>
      <c r="AG721" s="48" t="str">
        <f>IFERROR(__xludf.DUMMYFUNCTION("""COMPUTED_VALUE"""),"%")</f>
        <v>%</v>
      </c>
      <c r="AH721" s="43"/>
      <c r="AI721" s="44"/>
      <c r="AJ721" s="51"/>
    </row>
    <row r="722" ht="24.75" hidden="1" customHeight="1">
      <c r="A722" s="28">
        <f>IFERROR(__xludf.DUMMYFUNCTION("""COMPUTED_VALUE"""),7.0)</f>
        <v>7</v>
      </c>
      <c r="B722" s="28" t="str">
        <f>IFERROR(__xludf.DUMMYFUNCTION("""COMPUTED_VALUE"""),"A103")</f>
        <v>A103</v>
      </c>
      <c r="C722" s="28"/>
      <c r="D722" s="29"/>
      <c r="E722" s="67"/>
      <c r="F722" s="31"/>
      <c r="G722" s="32"/>
      <c r="H722" s="33" t="str">
        <f>IFERROR(__xludf.DUMMYFUNCTION("""COMPUTED_VALUE""")," ")</f>
        <v> </v>
      </c>
      <c r="I722" s="34"/>
      <c r="J722" s="35" t="str">
        <f>IFERROR(__xludf.DUMMYFUNCTION("""COMPUTED_VALUE"""),"AP")</f>
        <v>AP</v>
      </c>
      <c r="K722" s="34"/>
      <c r="L722" s="35" t="str">
        <f>IFERROR(__xludf.DUMMYFUNCTION("""COMPUTED_VALUE"""),"%")</f>
        <v>%</v>
      </c>
      <c r="M722" s="36">
        <f>IFERROR(__xludf.DUMMYFUNCTION("""COMPUTED_VALUE"""),1.0)</f>
        <v>1</v>
      </c>
      <c r="N722" s="37"/>
      <c r="O722" s="38"/>
      <c r="P722" s="34" t="str">
        <f>IFERROR(__xludf.DUMMYFUNCTION("""COMPUTED_VALUE"""),"")</f>
        <v/>
      </c>
      <c r="Q722" s="35" t="str">
        <f>IFERROR(__xludf.DUMMYFUNCTION("""COMPUTED_VALUE"""),"AP")</f>
        <v>AP</v>
      </c>
      <c r="R722" s="34" t="str">
        <f>IFERROR(__xludf.DUMMYFUNCTION("""COMPUTED_VALUE"""),"")</f>
        <v/>
      </c>
      <c r="S722" s="35" t="str">
        <f>IFERROR(__xludf.DUMMYFUNCTION("""COMPUTED_VALUE"""),"%")</f>
        <v>%</v>
      </c>
      <c r="T722" s="36">
        <f>IFERROR(__xludf.DUMMYFUNCTION("""COMPUTED_VALUE"""),2.0)</f>
        <v>2</v>
      </c>
      <c r="U722" s="37"/>
      <c r="V722" s="38"/>
      <c r="W722" s="34" t="str">
        <f>IFERROR(__xludf.DUMMYFUNCTION("""COMPUTED_VALUE"""),"")</f>
        <v/>
      </c>
      <c r="X722" s="35" t="str">
        <f>IFERROR(__xludf.DUMMYFUNCTION("""COMPUTED_VALUE"""),"AP")</f>
        <v>AP</v>
      </c>
      <c r="Y722" s="34" t="str">
        <f>IFERROR(__xludf.DUMMYFUNCTION("""COMPUTED_VALUE"""),"")</f>
        <v/>
      </c>
      <c r="Z722" s="35" t="str">
        <f>IFERROR(__xludf.DUMMYFUNCTION("""COMPUTED_VALUE"""),"%")</f>
        <v>%</v>
      </c>
      <c r="AA722" s="36">
        <f>IFERROR(__xludf.DUMMYFUNCTION("""COMPUTED_VALUE"""),3.0)</f>
        <v>3</v>
      </c>
      <c r="AB722" s="37"/>
      <c r="AC722" s="38"/>
      <c r="AD722" s="34" t="str">
        <f>IFERROR(__xludf.DUMMYFUNCTION("""COMPUTED_VALUE"""),"")</f>
        <v/>
      </c>
      <c r="AE722" s="35" t="str">
        <f>IFERROR(__xludf.DUMMYFUNCTION("""COMPUTED_VALUE"""),"AP")</f>
        <v>AP</v>
      </c>
      <c r="AF722" s="34" t="str">
        <f>IFERROR(__xludf.DUMMYFUNCTION("""COMPUTED_VALUE"""),"")</f>
        <v/>
      </c>
      <c r="AG722" s="35" t="str">
        <f>IFERROR(__xludf.DUMMYFUNCTION("""COMPUTED_VALUE"""),"%")</f>
        <v>%</v>
      </c>
      <c r="AH722" s="31"/>
      <c r="AI722" s="32"/>
      <c r="AJ722" s="39"/>
    </row>
    <row r="723" ht="24.75" hidden="1" customHeight="1">
      <c r="A723" s="40">
        <f>IFERROR(__xludf.DUMMYFUNCTION("""COMPUTED_VALUE"""),8.0)</f>
        <v>8</v>
      </c>
      <c r="B723" s="40" t="str">
        <f>IFERROR(__xludf.DUMMYFUNCTION("""COMPUTED_VALUE"""),"A103")</f>
        <v>A103</v>
      </c>
      <c r="C723" s="40"/>
      <c r="D723" s="41"/>
      <c r="E723" s="66"/>
      <c r="F723" s="43"/>
      <c r="G723" s="44"/>
      <c r="H723" s="33" t="str">
        <f>IFERROR(__xludf.DUMMYFUNCTION("""COMPUTED_VALUE""")," ")</f>
        <v> </v>
      </c>
      <c r="I723" s="45"/>
      <c r="J723" s="46" t="str">
        <f>IFERROR(__xludf.DUMMYFUNCTION("""COMPUTED_VALUE"""),"AP")</f>
        <v>AP</v>
      </c>
      <c r="K723" s="47"/>
      <c r="L723" s="48" t="str">
        <f>IFERROR(__xludf.DUMMYFUNCTION("""COMPUTED_VALUE"""),"%")</f>
        <v>%</v>
      </c>
      <c r="M723" s="49">
        <f>IFERROR(__xludf.DUMMYFUNCTION("""COMPUTED_VALUE"""),1.0)</f>
        <v>1</v>
      </c>
      <c r="N723" s="50"/>
      <c r="O723" s="38"/>
      <c r="P723" s="45" t="str">
        <f>IFERROR(__xludf.DUMMYFUNCTION("""COMPUTED_VALUE"""),"")</f>
        <v/>
      </c>
      <c r="Q723" s="46" t="str">
        <f>IFERROR(__xludf.DUMMYFUNCTION("""COMPUTED_VALUE"""),"AP")</f>
        <v>AP</v>
      </c>
      <c r="R723" s="47" t="str">
        <f>IFERROR(__xludf.DUMMYFUNCTION("""COMPUTED_VALUE"""),"")</f>
        <v/>
      </c>
      <c r="S723" s="48" t="str">
        <f>IFERROR(__xludf.DUMMYFUNCTION("""COMPUTED_VALUE"""),"%")</f>
        <v>%</v>
      </c>
      <c r="T723" s="49">
        <f>IFERROR(__xludf.DUMMYFUNCTION("""COMPUTED_VALUE"""),2.0)</f>
        <v>2</v>
      </c>
      <c r="U723" s="50"/>
      <c r="V723" s="38"/>
      <c r="W723" s="45" t="str">
        <f>IFERROR(__xludf.DUMMYFUNCTION("""COMPUTED_VALUE"""),"")</f>
        <v/>
      </c>
      <c r="X723" s="46" t="str">
        <f>IFERROR(__xludf.DUMMYFUNCTION("""COMPUTED_VALUE"""),"AP")</f>
        <v>AP</v>
      </c>
      <c r="Y723" s="47" t="str">
        <f>IFERROR(__xludf.DUMMYFUNCTION("""COMPUTED_VALUE"""),"")</f>
        <v/>
      </c>
      <c r="Z723" s="48" t="str">
        <f>IFERROR(__xludf.DUMMYFUNCTION("""COMPUTED_VALUE"""),"%")</f>
        <v>%</v>
      </c>
      <c r="AA723" s="49">
        <f>IFERROR(__xludf.DUMMYFUNCTION("""COMPUTED_VALUE"""),3.0)</f>
        <v>3</v>
      </c>
      <c r="AB723" s="50"/>
      <c r="AC723" s="38"/>
      <c r="AD723" s="45" t="str">
        <f>IFERROR(__xludf.DUMMYFUNCTION("""COMPUTED_VALUE"""),"")</f>
        <v/>
      </c>
      <c r="AE723" s="46" t="str">
        <f>IFERROR(__xludf.DUMMYFUNCTION("""COMPUTED_VALUE"""),"AP")</f>
        <v>AP</v>
      </c>
      <c r="AF723" s="47" t="str">
        <f>IFERROR(__xludf.DUMMYFUNCTION("""COMPUTED_VALUE"""),"")</f>
        <v/>
      </c>
      <c r="AG723" s="48" t="str">
        <f>IFERROR(__xludf.DUMMYFUNCTION("""COMPUTED_VALUE"""),"%")</f>
        <v>%</v>
      </c>
      <c r="AH723" s="43"/>
      <c r="AI723" s="44"/>
      <c r="AJ723" s="51"/>
    </row>
    <row r="724" ht="24.75" hidden="1" customHeight="1">
      <c r="A724" s="28">
        <f>IFERROR(__xludf.DUMMYFUNCTION("""COMPUTED_VALUE"""),9.0)</f>
        <v>9</v>
      </c>
      <c r="B724" s="28" t="str">
        <f>IFERROR(__xludf.DUMMYFUNCTION("""COMPUTED_VALUE"""),"A103")</f>
        <v>A103</v>
      </c>
      <c r="C724" s="28"/>
      <c r="D724" s="29"/>
      <c r="E724" s="67"/>
      <c r="F724" s="31"/>
      <c r="G724" s="32"/>
      <c r="H724" s="33" t="str">
        <f>IFERROR(__xludf.DUMMYFUNCTION("""COMPUTED_VALUE""")," ")</f>
        <v> </v>
      </c>
      <c r="I724" s="34"/>
      <c r="J724" s="35" t="str">
        <f>IFERROR(__xludf.DUMMYFUNCTION("""COMPUTED_VALUE"""),"AP")</f>
        <v>AP</v>
      </c>
      <c r="K724" s="34"/>
      <c r="L724" s="35" t="str">
        <f>IFERROR(__xludf.DUMMYFUNCTION("""COMPUTED_VALUE"""),"%")</f>
        <v>%</v>
      </c>
      <c r="M724" s="36">
        <f>IFERROR(__xludf.DUMMYFUNCTION("""COMPUTED_VALUE"""),1.0)</f>
        <v>1</v>
      </c>
      <c r="N724" s="37"/>
      <c r="O724" s="38"/>
      <c r="P724" s="34" t="str">
        <f>IFERROR(__xludf.DUMMYFUNCTION("""COMPUTED_VALUE"""),"")</f>
        <v/>
      </c>
      <c r="Q724" s="35" t="str">
        <f>IFERROR(__xludf.DUMMYFUNCTION("""COMPUTED_VALUE"""),"AP")</f>
        <v>AP</v>
      </c>
      <c r="R724" s="34" t="str">
        <f>IFERROR(__xludf.DUMMYFUNCTION("""COMPUTED_VALUE"""),"")</f>
        <v/>
      </c>
      <c r="S724" s="35" t="str">
        <f>IFERROR(__xludf.DUMMYFUNCTION("""COMPUTED_VALUE"""),"%")</f>
        <v>%</v>
      </c>
      <c r="T724" s="36">
        <f>IFERROR(__xludf.DUMMYFUNCTION("""COMPUTED_VALUE"""),2.0)</f>
        <v>2</v>
      </c>
      <c r="U724" s="37"/>
      <c r="V724" s="38"/>
      <c r="W724" s="34" t="str">
        <f>IFERROR(__xludf.DUMMYFUNCTION("""COMPUTED_VALUE"""),"")</f>
        <v/>
      </c>
      <c r="X724" s="35" t="str">
        <f>IFERROR(__xludf.DUMMYFUNCTION("""COMPUTED_VALUE"""),"AP")</f>
        <v>AP</v>
      </c>
      <c r="Y724" s="34" t="str">
        <f>IFERROR(__xludf.DUMMYFUNCTION("""COMPUTED_VALUE"""),"")</f>
        <v/>
      </c>
      <c r="Z724" s="35" t="str">
        <f>IFERROR(__xludf.DUMMYFUNCTION("""COMPUTED_VALUE"""),"%")</f>
        <v>%</v>
      </c>
      <c r="AA724" s="36">
        <f>IFERROR(__xludf.DUMMYFUNCTION("""COMPUTED_VALUE"""),3.0)</f>
        <v>3</v>
      </c>
      <c r="AB724" s="37"/>
      <c r="AC724" s="38"/>
      <c r="AD724" s="34" t="str">
        <f>IFERROR(__xludf.DUMMYFUNCTION("""COMPUTED_VALUE"""),"")</f>
        <v/>
      </c>
      <c r="AE724" s="35" t="str">
        <f>IFERROR(__xludf.DUMMYFUNCTION("""COMPUTED_VALUE"""),"AP")</f>
        <v>AP</v>
      </c>
      <c r="AF724" s="34" t="str">
        <f>IFERROR(__xludf.DUMMYFUNCTION("""COMPUTED_VALUE"""),"")</f>
        <v/>
      </c>
      <c r="AG724" s="35" t="str">
        <f>IFERROR(__xludf.DUMMYFUNCTION("""COMPUTED_VALUE"""),"%")</f>
        <v>%</v>
      </c>
      <c r="AH724" s="31"/>
      <c r="AI724" s="32"/>
      <c r="AJ724" s="39"/>
    </row>
    <row r="725" ht="24.75" hidden="1" customHeight="1">
      <c r="A725" s="40">
        <f>IFERROR(__xludf.DUMMYFUNCTION("""COMPUTED_VALUE"""),10.0)</f>
        <v>10</v>
      </c>
      <c r="B725" s="40" t="str">
        <f>IFERROR(__xludf.DUMMYFUNCTION("""COMPUTED_VALUE"""),"A103")</f>
        <v>A103</v>
      </c>
      <c r="C725" s="40"/>
      <c r="D725" s="41"/>
      <c r="E725" s="66"/>
      <c r="F725" s="43"/>
      <c r="G725" s="44"/>
      <c r="H725" s="33" t="str">
        <f>IFERROR(__xludf.DUMMYFUNCTION("""COMPUTED_VALUE""")," ")</f>
        <v> </v>
      </c>
      <c r="I725" s="45"/>
      <c r="J725" s="46" t="str">
        <f>IFERROR(__xludf.DUMMYFUNCTION("""COMPUTED_VALUE"""),"AP")</f>
        <v>AP</v>
      </c>
      <c r="K725" s="47"/>
      <c r="L725" s="48" t="str">
        <f>IFERROR(__xludf.DUMMYFUNCTION("""COMPUTED_VALUE"""),"%")</f>
        <v>%</v>
      </c>
      <c r="M725" s="49">
        <f>IFERROR(__xludf.DUMMYFUNCTION("""COMPUTED_VALUE"""),1.0)</f>
        <v>1</v>
      </c>
      <c r="N725" s="50"/>
      <c r="O725" s="38"/>
      <c r="P725" s="45" t="str">
        <f>IFERROR(__xludf.DUMMYFUNCTION("""COMPUTED_VALUE"""),"")</f>
        <v/>
      </c>
      <c r="Q725" s="46" t="str">
        <f>IFERROR(__xludf.DUMMYFUNCTION("""COMPUTED_VALUE"""),"AP")</f>
        <v>AP</v>
      </c>
      <c r="R725" s="47" t="str">
        <f>IFERROR(__xludf.DUMMYFUNCTION("""COMPUTED_VALUE"""),"")</f>
        <v/>
      </c>
      <c r="S725" s="48" t="str">
        <f>IFERROR(__xludf.DUMMYFUNCTION("""COMPUTED_VALUE"""),"%")</f>
        <v>%</v>
      </c>
      <c r="T725" s="49">
        <f>IFERROR(__xludf.DUMMYFUNCTION("""COMPUTED_VALUE"""),2.0)</f>
        <v>2</v>
      </c>
      <c r="U725" s="50"/>
      <c r="V725" s="38"/>
      <c r="W725" s="45" t="str">
        <f>IFERROR(__xludf.DUMMYFUNCTION("""COMPUTED_VALUE"""),"")</f>
        <v/>
      </c>
      <c r="X725" s="46" t="str">
        <f>IFERROR(__xludf.DUMMYFUNCTION("""COMPUTED_VALUE"""),"AP")</f>
        <v>AP</v>
      </c>
      <c r="Y725" s="47" t="str">
        <f>IFERROR(__xludf.DUMMYFUNCTION("""COMPUTED_VALUE"""),"")</f>
        <v/>
      </c>
      <c r="Z725" s="48" t="str">
        <f>IFERROR(__xludf.DUMMYFUNCTION("""COMPUTED_VALUE"""),"%")</f>
        <v>%</v>
      </c>
      <c r="AA725" s="49">
        <f>IFERROR(__xludf.DUMMYFUNCTION("""COMPUTED_VALUE"""),3.0)</f>
        <v>3</v>
      </c>
      <c r="AB725" s="50"/>
      <c r="AC725" s="38"/>
      <c r="AD725" s="45" t="str">
        <f>IFERROR(__xludf.DUMMYFUNCTION("""COMPUTED_VALUE"""),"")</f>
        <v/>
      </c>
      <c r="AE725" s="46" t="str">
        <f>IFERROR(__xludf.DUMMYFUNCTION("""COMPUTED_VALUE"""),"AP")</f>
        <v>AP</v>
      </c>
      <c r="AF725" s="47" t="str">
        <f>IFERROR(__xludf.DUMMYFUNCTION("""COMPUTED_VALUE"""),"")</f>
        <v/>
      </c>
      <c r="AG725" s="48" t="str">
        <f>IFERROR(__xludf.DUMMYFUNCTION("""COMPUTED_VALUE"""),"%")</f>
        <v>%</v>
      </c>
      <c r="AH725" s="43"/>
      <c r="AI725" s="44"/>
      <c r="AJ725" s="51"/>
    </row>
    <row r="726" ht="24.75" hidden="1" customHeight="1">
      <c r="A726" s="28">
        <f>IFERROR(__xludf.DUMMYFUNCTION("""COMPUTED_VALUE"""),11.0)</f>
        <v>11</v>
      </c>
      <c r="B726" s="28" t="str">
        <f>IFERROR(__xludf.DUMMYFUNCTION("""COMPUTED_VALUE"""),"A103")</f>
        <v>A103</v>
      </c>
      <c r="C726" s="28"/>
      <c r="D726" s="29"/>
      <c r="E726" s="67"/>
      <c r="F726" s="31"/>
      <c r="G726" s="32"/>
      <c r="H726" s="33" t="str">
        <f>IFERROR(__xludf.DUMMYFUNCTION("""COMPUTED_VALUE""")," ")</f>
        <v> </v>
      </c>
      <c r="I726" s="34"/>
      <c r="J726" s="35" t="str">
        <f>IFERROR(__xludf.DUMMYFUNCTION("""COMPUTED_VALUE"""),"AP")</f>
        <v>AP</v>
      </c>
      <c r="K726" s="34"/>
      <c r="L726" s="35" t="str">
        <f>IFERROR(__xludf.DUMMYFUNCTION("""COMPUTED_VALUE"""),"%")</f>
        <v>%</v>
      </c>
      <c r="M726" s="36">
        <f>IFERROR(__xludf.DUMMYFUNCTION("""COMPUTED_VALUE"""),1.0)</f>
        <v>1</v>
      </c>
      <c r="N726" s="37"/>
      <c r="O726" s="38"/>
      <c r="P726" s="34" t="str">
        <f>IFERROR(__xludf.DUMMYFUNCTION("""COMPUTED_VALUE"""),"")</f>
        <v/>
      </c>
      <c r="Q726" s="35" t="str">
        <f>IFERROR(__xludf.DUMMYFUNCTION("""COMPUTED_VALUE"""),"AP")</f>
        <v>AP</v>
      </c>
      <c r="R726" s="34" t="str">
        <f>IFERROR(__xludf.DUMMYFUNCTION("""COMPUTED_VALUE"""),"")</f>
        <v/>
      </c>
      <c r="S726" s="35" t="str">
        <f>IFERROR(__xludf.DUMMYFUNCTION("""COMPUTED_VALUE"""),"%")</f>
        <v>%</v>
      </c>
      <c r="T726" s="36">
        <f>IFERROR(__xludf.DUMMYFUNCTION("""COMPUTED_VALUE"""),2.0)</f>
        <v>2</v>
      </c>
      <c r="U726" s="37"/>
      <c r="V726" s="38"/>
      <c r="W726" s="34" t="str">
        <f>IFERROR(__xludf.DUMMYFUNCTION("""COMPUTED_VALUE"""),"")</f>
        <v/>
      </c>
      <c r="X726" s="35" t="str">
        <f>IFERROR(__xludf.DUMMYFUNCTION("""COMPUTED_VALUE"""),"AP")</f>
        <v>AP</v>
      </c>
      <c r="Y726" s="34" t="str">
        <f>IFERROR(__xludf.DUMMYFUNCTION("""COMPUTED_VALUE"""),"")</f>
        <v/>
      </c>
      <c r="Z726" s="35" t="str">
        <f>IFERROR(__xludf.DUMMYFUNCTION("""COMPUTED_VALUE"""),"%")</f>
        <v>%</v>
      </c>
      <c r="AA726" s="36">
        <f>IFERROR(__xludf.DUMMYFUNCTION("""COMPUTED_VALUE"""),3.0)</f>
        <v>3</v>
      </c>
      <c r="AB726" s="37"/>
      <c r="AC726" s="38"/>
      <c r="AD726" s="34" t="str">
        <f>IFERROR(__xludf.DUMMYFUNCTION("""COMPUTED_VALUE"""),"")</f>
        <v/>
      </c>
      <c r="AE726" s="35" t="str">
        <f>IFERROR(__xludf.DUMMYFUNCTION("""COMPUTED_VALUE"""),"AP")</f>
        <v>AP</v>
      </c>
      <c r="AF726" s="34" t="str">
        <f>IFERROR(__xludf.DUMMYFUNCTION("""COMPUTED_VALUE"""),"")</f>
        <v/>
      </c>
      <c r="AG726" s="35" t="str">
        <f>IFERROR(__xludf.DUMMYFUNCTION("""COMPUTED_VALUE"""),"%")</f>
        <v>%</v>
      </c>
      <c r="AH726" s="31"/>
      <c r="AI726" s="32"/>
      <c r="AJ726" s="39"/>
    </row>
    <row r="727" ht="24.75" hidden="1" customHeight="1">
      <c r="A727" s="40">
        <f>IFERROR(__xludf.DUMMYFUNCTION("""COMPUTED_VALUE"""),12.0)</f>
        <v>12</v>
      </c>
      <c r="B727" s="40" t="str">
        <f>IFERROR(__xludf.DUMMYFUNCTION("""COMPUTED_VALUE"""),"A103")</f>
        <v>A103</v>
      </c>
      <c r="C727" s="40"/>
      <c r="D727" s="41"/>
      <c r="E727" s="66"/>
      <c r="F727" s="43"/>
      <c r="G727" s="44"/>
      <c r="H727" s="33" t="str">
        <f>IFERROR(__xludf.DUMMYFUNCTION("""COMPUTED_VALUE""")," ")</f>
        <v> </v>
      </c>
      <c r="I727" s="45"/>
      <c r="J727" s="46" t="str">
        <f>IFERROR(__xludf.DUMMYFUNCTION("""COMPUTED_VALUE"""),"AP")</f>
        <v>AP</v>
      </c>
      <c r="K727" s="47"/>
      <c r="L727" s="48" t="str">
        <f>IFERROR(__xludf.DUMMYFUNCTION("""COMPUTED_VALUE"""),"%")</f>
        <v>%</v>
      </c>
      <c r="M727" s="49">
        <f>IFERROR(__xludf.DUMMYFUNCTION("""COMPUTED_VALUE"""),1.0)</f>
        <v>1</v>
      </c>
      <c r="N727" s="50"/>
      <c r="O727" s="38"/>
      <c r="P727" s="45" t="str">
        <f>IFERROR(__xludf.DUMMYFUNCTION("""COMPUTED_VALUE"""),"")</f>
        <v/>
      </c>
      <c r="Q727" s="46" t="str">
        <f>IFERROR(__xludf.DUMMYFUNCTION("""COMPUTED_VALUE"""),"AP")</f>
        <v>AP</v>
      </c>
      <c r="R727" s="47" t="str">
        <f>IFERROR(__xludf.DUMMYFUNCTION("""COMPUTED_VALUE"""),"")</f>
        <v/>
      </c>
      <c r="S727" s="48" t="str">
        <f>IFERROR(__xludf.DUMMYFUNCTION("""COMPUTED_VALUE"""),"%")</f>
        <v>%</v>
      </c>
      <c r="T727" s="49">
        <f>IFERROR(__xludf.DUMMYFUNCTION("""COMPUTED_VALUE"""),2.0)</f>
        <v>2</v>
      </c>
      <c r="U727" s="50"/>
      <c r="V727" s="38"/>
      <c r="W727" s="45" t="str">
        <f>IFERROR(__xludf.DUMMYFUNCTION("""COMPUTED_VALUE"""),"")</f>
        <v/>
      </c>
      <c r="X727" s="46" t="str">
        <f>IFERROR(__xludf.DUMMYFUNCTION("""COMPUTED_VALUE"""),"AP")</f>
        <v>AP</v>
      </c>
      <c r="Y727" s="47" t="str">
        <f>IFERROR(__xludf.DUMMYFUNCTION("""COMPUTED_VALUE"""),"")</f>
        <v/>
      </c>
      <c r="Z727" s="48" t="str">
        <f>IFERROR(__xludf.DUMMYFUNCTION("""COMPUTED_VALUE"""),"%")</f>
        <v>%</v>
      </c>
      <c r="AA727" s="49">
        <f>IFERROR(__xludf.DUMMYFUNCTION("""COMPUTED_VALUE"""),3.0)</f>
        <v>3</v>
      </c>
      <c r="AB727" s="50"/>
      <c r="AC727" s="38"/>
      <c r="AD727" s="45" t="str">
        <f>IFERROR(__xludf.DUMMYFUNCTION("""COMPUTED_VALUE"""),"")</f>
        <v/>
      </c>
      <c r="AE727" s="46" t="str">
        <f>IFERROR(__xludf.DUMMYFUNCTION("""COMPUTED_VALUE"""),"AP")</f>
        <v>AP</v>
      </c>
      <c r="AF727" s="47" t="str">
        <f>IFERROR(__xludf.DUMMYFUNCTION("""COMPUTED_VALUE"""),"")</f>
        <v/>
      </c>
      <c r="AG727" s="48" t="str">
        <f>IFERROR(__xludf.DUMMYFUNCTION("""COMPUTED_VALUE"""),"%")</f>
        <v>%</v>
      </c>
      <c r="AH727" s="43"/>
      <c r="AI727" s="44"/>
      <c r="AJ727" s="51"/>
    </row>
    <row r="728" ht="24.75" hidden="1" customHeight="1">
      <c r="A728" s="28">
        <f>IFERROR(__xludf.DUMMYFUNCTION("""COMPUTED_VALUE"""),13.0)</f>
        <v>13</v>
      </c>
      <c r="B728" s="28" t="str">
        <f>IFERROR(__xludf.DUMMYFUNCTION("""COMPUTED_VALUE"""),"A103")</f>
        <v>A103</v>
      </c>
      <c r="C728" s="28"/>
      <c r="D728" s="29"/>
      <c r="E728" s="67"/>
      <c r="F728" s="31"/>
      <c r="G728" s="32"/>
      <c r="H728" s="33" t="str">
        <f>IFERROR(__xludf.DUMMYFUNCTION("""COMPUTED_VALUE""")," ")</f>
        <v> </v>
      </c>
      <c r="I728" s="34"/>
      <c r="J728" s="35" t="str">
        <f>IFERROR(__xludf.DUMMYFUNCTION("""COMPUTED_VALUE"""),"AP")</f>
        <v>AP</v>
      </c>
      <c r="K728" s="34"/>
      <c r="L728" s="35" t="str">
        <f>IFERROR(__xludf.DUMMYFUNCTION("""COMPUTED_VALUE"""),"%")</f>
        <v>%</v>
      </c>
      <c r="M728" s="36">
        <f>IFERROR(__xludf.DUMMYFUNCTION("""COMPUTED_VALUE"""),1.0)</f>
        <v>1</v>
      </c>
      <c r="N728" s="37"/>
      <c r="O728" s="38"/>
      <c r="P728" s="34" t="str">
        <f>IFERROR(__xludf.DUMMYFUNCTION("""COMPUTED_VALUE"""),"")</f>
        <v/>
      </c>
      <c r="Q728" s="35" t="str">
        <f>IFERROR(__xludf.DUMMYFUNCTION("""COMPUTED_VALUE"""),"AP")</f>
        <v>AP</v>
      </c>
      <c r="R728" s="34" t="str">
        <f>IFERROR(__xludf.DUMMYFUNCTION("""COMPUTED_VALUE"""),"")</f>
        <v/>
      </c>
      <c r="S728" s="35" t="str">
        <f>IFERROR(__xludf.DUMMYFUNCTION("""COMPUTED_VALUE"""),"%")</f>
        <v>%</v>
      </c>
      <c r="T728" s="36">
        <f>IFERROR(__xludf.DUMMYFUNCTION("""COMPUTED_VALUE"""),2.0)</f>
        <v>2</v>
      </c>
      <c r="U728" s="37"/>
      <c r="V728" s="38"/>
      <c r="W728" s="34" t="str">
        <f>IFERROR(__xludf.DUMMYFUNCTION("""COMPUTED_VALUE"""),"")</f>
        <v/>
      </c>
      <c r="X728" s="35" t="str">
        <f>IFERROR(__xludf.DUMMYFUNCTION("""COMPUTED_VALUE"""),"AP")</f>
        <v>AP</v>
      </c>
      <c r="Y728" s="34" t="str">
        <f>IFERROR(__xludf.DUMMYFUNCTION("""COMPUTED_VALUE"""),"")</f>
        <v/>
      </c>
      <c r="Z728" s="35" t="str">
        <f>IFERROR(__xludf.DUMMYFUNCTION("""COMPUTED_VALUE"""),"%")</f>
        <v>%</v>
      </c>
      <c r="AA728" s="36">
        <f>IFERROR(__xludf.DUMMYFUNCTION("""COMPUTED_VALUE"""),3.0)</f>
        <v>3</v>
      </c>
      <c r="AB728" s="37"/>
      <c r="AC728" s="38"/>
      <c r="AD728" s="34" t="str">
        <f>IFERROR(__xludf.DUMMYFUNCTION("""COMPUTED_VALUE"""),"")</f>
        <v/>
      </c>
      <c r="AE728" s="35" t="str">
        <f>IFERROR(__xludf.DUMMYFUNCTION("""COMPUTED_VALUE"""),"AP")</f>
        <v>AP</v>
      </c>
      <c r="AF728" s="34" t="str">
        <f>IFERROR(__xludf.DUMMYFUNCTION("""COMPUTED_VALUE"""),"")</f>
        <v/>
      </c>
      <c r="AG728" s="35" t="str">
        <f>IFERROR(__xludf.DUMMYFUNCTION("""COMPUTED_VALUE"""),"%")</f>
        <v>%</v>
      </c>
      <c r="AH728" s="31"/>
      <c r="AI728" s="32"/>
      <c r="AJ728" s="39"/>
    </row>
    <row r="729" ht="24.75" hidden="1" customHeight="1">
      <c r="A729" s="40">
        <f>IFERROR(__xludf.DUMMYFUNCTION("""COMPUTED_VALUE"""),14.0)</f>
        <v>14</v>
      </c>
      <c r="B729" s="40" t="str">
        <f>IFERROR(__xludf.DUMMYFUNCTION("""COMPUTED_VALUE"""),"A103")</f>
        <v>A103</v>
      </c>
      <c r="C729" s="40"/>
      <c r="D729" s="41"/>
      <c r="E729" s="66"/>
      <c r="F729" s="43"/>
      <c r="G729" s="44"/>
      <c r="H729" s="33" t="str">
        <f>IFERROR(__xludf.DUMMYFUNCTION("""COMPUTED_VALUE""")," ")</f>
        <v> </v>
      </c>
      <c r="I729" s="45"/>
      <c r="J729" s="46" t="str">
        <f>IFERROR(__xludf.DUMMYFUNCTION("""COMPUTED_VALUE"""),"AP")</f>
        <v>AP</v>
      </c>
      <c r="K729" s="47"/>
      <c r="L729" s="48" t="str">
        <f>IFERROR(__xludf.DUMMYFUNCTION("""COMPUTED_VALUE"""),"%")</f>
        <v>%</v>
      </c>
      <c r="M729" s="49">
        <f>IFERROR(__xludf.DUMMYFUNCTION("""COMPUTED_VALUE"""),1.0)</f>
        <v>1</v>
      </c>
      <c r="N729" s="50"/>
      <c r="O729" s="38"/>
      <c r="P729" s="45" t="str">
        <f>IFERROR(__xludf.DUMMYFUNCTION("""COMPUTED_VALUE"""),"")</f>
        <v/>
      </c>
      <c r="Q729" s="46" t="str">
        <f>IFERROR(__xludf.DUMMYFUNCTION("""COMPUTED_VALUE"""),"AP")</f>
        <v>AP</v>
      </c>
      <c r="R729" s="47" t="str">
        <f>IFERROR(__xludf.DUMMYFUNCTION("""COMPUTED_VALUE"""),"")</f>
        <v/>
      </c>
      <c r="S729" s="48" t="str">
        <f>IFERROR(__xludf.DUMMYFUNCTION("""COMPUTED_VALUE"""),"%")</f>
        <v>%</v>
      </c>
      <c r="T729" s="49">
        <f>IFERROR(__xludf.DUMMYFUNCTION("""COMPUTED_VALUE"""),2.0)</f>
        <v>2</v>
      </c>
      <c r="U729" s="50"/>
      <c r="V729" s="38"/>
      <c r="W729" s="45" t="str">
        <f>IFERROR(__xludf.DUMMYFUNCTION("""COMPUTED_VALUE"""),"")</f>
        <v/>
      </c>
      <c r="X729" s="46" t="str">
        <f>IFERROR(__xludf.DUMMYFUNCTION("""COMPUTED_VALUE"""),"AP")</f>
        <v>AP</v>
      </c>
      <c r="Y729" s="47" t="str">
        <f>IFERROR(__xludf.DUMMYFUNCTION("""COMPUTED_VALUE"""),"")</f>
        <v/>
      </c>
      <c r="Z729" s="48" t="str">
        <f>IFERROR(__xludf.DUMMYFUNCTION("""COMPUTED_VALUE"""),"%")</f>
        <v>%</v>
      </c>
      <c r="AA729" s="49">
        <f>IFERROR(__xludf.DUMMYFUNCTION("""COMPUTED_VALUE"""),3.0)</f>
        <v>3</v>
      </c>
      <c r="AB729" s="50"/>
      <c r="AC729" s="38"/>
      <c r="AD729" s="45" t="str">
        <f>IFERROR(__xludf.DUMMYFUNCTION("""COMPUTED_VALUE"""),"")</f>
        <v/>
      </c>
      <c r="AE729" s="46" t="str">
        <f>IFERROR(__xludf.DUMMYFUNCTION("""COMPUTED_VALUE"""),"AP")</f>
        <v>AP</v>
      </c>
      <c r="AF729" s="47" t="str">
        <f>IFERROR(__xludf.DUMMYFUNCTION("""COMPUTED_VALUE"""),"")</f>
        <v/>
      </c>
      <c r="AG729" s="48" t="str">
        <f>IFERROR(__xludf.DUMMYFUNCTION("""COMPUTED_VALUE"""),"%")</f>
        <v>%</v>
      </c>
      <c r="AH729" s="43"/>
      <c r="AI729" s="44"/>
      <c r="AJ729" s="51"/>
    </row>
    <row r="730" ht="24.75" hidden="1" customHeight="1">
      <c r="A730" s="28">
        <f>IFERROR(__xludf.DUMMYFUNCTION("""COMPUTED_VALUE"""),15.0)</f>
        <v>15</v>
      </c>
      <c r="B730" s="28" t="str">
        <f>IFERROR(__xludf.DUMMYFUNCTION("""COMPUTED_VALUE"""),"A103")</f>
        <v>A103</v>
      </c>
      <c r="C730" s="28"/>
      <c r="D730" s="29"/>
      <c r="E730" s="67"/>
      <c r="F730" s="31"/>
      <c r="G730" s="32"/>
      <c r="H730" s="33" t="str">
        <f>IFERROR(__xludf.DUMMYFUNCTION("""COMPUTED_VALUE""")," ")</f>
        <v> </v>
      </c>
      <c r="I730" s="34"/>
      <c r="J730" s="35" t="str">
        <f>IFERROR(__xludf.DUMMYFUNCTION("""COMPUTED_VALUE"""),"AP")</f>
        <v>AP</v>
      </c>
      <c r="K730" s="34"/>
      <c r="L730" s="35" t="str">
        <f>IFERROR(__xludf.DUMMYFUNCTION("""COMPUTED_VALUE"""),"%")</f>
        <v>%</v>
      </c>
      <c r="M730" s="36">
        <f>IFERROR(__xludf.DUMMYFUNCTION("""COMPUTED_VALUE"""),1.0)</f>
        <v>1</v>
      </c>
      <c r="N730" s="37"/>
      <c r="O730" s="38"/>
      <c r="P730" s="34" t="str">
        <f>IFERROR(__xludf.DUMMYFUNCTION("""COMPUTED_VALUE"""),"")</f>
        <v/>
      </c>
      <c r="Q730" s="35" t="str">
        <f>IFERROR(__xludf.DUMMYFUNCTION("""COMPUTED_VALUE"""),"AP")</f>
        <v>AP</v>
      </c>
      <c r="R730" s="34" t="str">
        <f>IFERROR(__xludf.DUMMYFUNCTION("""COMPUTED_VALUE"""),"")</f>
        <v/>
      </c>
      <c r="S730" s="35" t="str">
        <f>IFERROR(__xludf.DUMMYFUNCTION("""COMPUTED_VALUE"""),"%")</f>
        <v>%</v>
      </c>
      <c r="T730" s="36">
        <f>IFERROR(__xludf.DUMMYFUNCTION("""COMPUTED_VALUE"""),2.0)</f>
        <v>2</v>
      </c>
      <c r="U730" s="37"/>
      <c r="V730" s="38"/>
      <c r="W730" s="34" t="str">
        <f>IFERROR(__xludf.DUMMYFUNCTION("""COMPUTED_VALUE"""),"")</f>
        <v/>
      </c>
      <c r="X730" s="35" t="str">
        <f>IFERROR(__xludf.DUMMYFUNCTION("""COMPUTED_VALUE"""),"AP")</f>
        <v>AP</v>
      </c>
      <c r="Y730" s="34" t="str">
        <f>IFERROR(__xludf.DUMMYFUNCTION("""COMPUTED_VALUE"""),"")</f>
        <v/>
      </c>
      <c r="Z730" s="35" t="str">
        <f>IFERROR(__xludf.DUMMYFUNCTION("""COMPUTED_VALUE"""),"%")</f>
        <v>%</v>
      </c>
      <c r="AA730" s="36">
        <f>IFERROR(__xludf.DUMMYFUNCTION("""COMPUTED_VALUE"""),3.0)</f>
        <v>3</v>
      </c>
      <c r="AB730" s="37"/>
      <c r="AC730" s="38"/>
      <c r="AD730" s="34" t="str">
        <f>IFERROR(__xludf.DUMMYFUNCTION("""COMPUTED_VALUE"""),"")</f>
        <v/>
      </c>
      <c r="AE730" s="35" t="str">
        <f>IFERROR(__xludf.DUMMYFUNCTION("""COMPUTED_VALUE"""),"AP")</f>
        <v>AP</v>
      </c>
      <c r="AF730" s="34" t="str">
        <f>IFERROR(__xludf.DUMMYFUNCTION("""COMPUTED_VALUE"""),"")</f>
        <v/>
      </c>
      <c r="AG730" s="35" t="str">
        <f>IFERROR(__xludf.DUMMYFUNCTION("""COMPUTED_VALUE"""),"%")</f>
        <v>%</v>
      </c>
      <c r="AH730" s="31"/>
      <c r="AI730" s="32"/>
      <c r="AJ730" s="39"/>
    </row>
    <row r="731" ht="24.75" hidden="1" customHeight="1">
      <c r="A731" s="40">
        <f>IFERROR(__xludf.DUMMYFUNCTION("""COMPUTED_VALUE"""),16.0)</f>
        <v>16</v>
      </c>
      <c r="B731" s="40" t="str">
        <f>IFERROR(__xludf.DUMMYFUNCTION("""COMPUTED_VALUE"""),"A103")</f>
        <v>A103</v>
      </c>
      <c r="C731" s="40"/>
      <c r="D731" s="41"/>
      <c r="E731" s="66"/>
      <c r="F731" s="43"/>
      <c r="G731" s="44"/>
      <c r="H731" s="33" t="str">
        <f>IFERROR(__xludf.DUMMYFUNCTION("""COMPUTED_VALUE""")," ")</f>
        <v> </v>
      </c>
      <c r="I731" s="45"/>
      <c r="J731" s="46" t="str">
        <f>IFERROR(__xludf.DUMMYFUNCTION("""COMPUTED_VALUE"""),"AP")</f>
        <v>AP</v>
      </c>
      <c r="K731" s="47"/>
      <c r="L731" s="48" t="str">
        <f>IFERROR(__xludf.DUMMYFUNCTION("""COMPUTED_VALUE"""),"%")</f>
        <v>%</v>
      </c>
      <c r="M731" s="49">
        <f>IFERROR(__xludf.DUMMYFUNCTION("""COMPUTED_VALUE"""),1.0)</f>
        <v>1</v>
      </c>
      <c r="N731" s="50"/>
      <c r="O731" s="38"/>
      <c r="P731" s="45" t="str">
        <f>IFERROR(__xludf.DUMMYFUNCTION("""COMPUTED_VALUE"""),"")</f>
        <v/>
      </c>
      <c r="Q731" s="46" t="str">
        <f>IFERROR(__xludf.DUMMYFUNCTION("""COMPUTED_VALUE"""),"AP")</f>
        <v>AP</v>
      </c>
      <c r="R731" s="47" t="str">
        <f>IFERROR(__xludf.DUMMYFUNCTION("""COMPUTED_VALUE"""),"")</f>
        <v/>
      </c>
      <c r="S731" s="48" t="str">
        <f>IFERROR(__xludf.DUMMYFUNCTION("""COMPUTED_VALUE"""),"%")</f>
        <v>%</v>
      </c>
      <c r="T731" s="49">
        <f>IFERROR(__xludf.DUMMYFUNCTION("""COMPUTED_VALUE"""),2.0)</f>
        <v>2</v>
      </c>
      <c r="U731" s="50"/>
      <c r="V731" s="38"/>
      <c r="W731" s="45" t="str">
        <f>IFERROR(__xludf.DUMMYFUNCTION("""COMPUTED_VALUE"""),"")</f>
        <v/>
      </c>
      <c r="X731" s="46" t="str">
        <f>IFERROR(__xludf.DUMMYFUNCTION("""COMPUTED_VALUE"""),"AP")</f>
        <v>AP</v>
      </c>
      <c r="Y731" s="47" t="str">
        <f>IFERROR(__xludf.DUMMYFUNCTION("""COMPUTED_VALUE"""),"")</f>
        <v/>
      </c>
      <c r="Z731" s="48" t="str">
        <f>IFERROR(__xludf.DUMMYFUNCTION("""COMPUTED_VALUE"""),"%")</f>
        <v>%</v>
      </c>
      <c r="AA731" s="49">
        <f>IFERROR(__xludf.DUMMYFUNCTION("""COMPUTED_VALUE"""),3.0)</f>
        <v>3</v>
      </c>
      <c r="AB731" s="50"/>
      <c r="AC731" s="38"/>
      <c r="AD731" s="45" t="str">
        <f>IFERROR(__xludf.DUMMYFUNCTION("""COMPUTED_VALUE"""),"")</f>
        <v/>
      </c>
      <c r="AE731" s="46" t="str">
        <f>IFERROR(__xludf.DUMMYFUNCTION("""COMPUTED_VALUE"""),"AP")</f>
        <v>AP</v>
      </c>
      <c r="AF731" s="47" t="str">
        <f>IFERROR(__xludf.DUMMYFUNCTION("""COMPUTED_VALUE"""),"")</f>
        <v/>
      </c>
      <c r="AG731" s="48" t="str">
        <f>IFERROR(__xludf.DUMMYFUNCTION("""COMPUTED_VALUE"""),"%")</f>
        <v>%</v>
      </c>
      <c r="AH731" s="43"/>
      <c r="AI731" s="44"/>
      <c r="AJ731" s="51"/>
    </row>
    <row r="732" ht="24.75" hidden="1" customHeight="1">
      <c r="A732" s="28">
        <f>IFERROR(__xludf.DUMMYFUNCTION("""COMPUTED_VALUE"""),17.0)</f>
        <v>17</v>
      </c>
      <c r="B732" s="28" t="str">
        <f>IFERROR(__xludf.DUMMYFUNCTION("""COMPUTED_VALUE"""),"A103")</f>
        <v>A103</v>
      </c>
      <c r="C732" s="28"/>
      <c r="D732" s="29"/>
      <c r="E732" s="67"/>
      <c r="F732" s="31"/>
      <c r="G732" s="32"/>
      <c r="H732" s="33" t="str">
        <f>IFERROR(__xludf.DUMMYFUNCTION("""COMPUTED_VALUE""")," ")</f>
        <v> </v>
      </c>
      <c r="I732" s="34"/>
      <c r="J732" s="35" t="str">
        <f>IFERROR(__xludf.DUMMYFUNCTION("""COMPUTED_VALUE"""),"AP")</f>
        <v>AP</v>
      </c>
      <c r="K732" s="34"/>
      <c r="L732" s="35" t="str">
        <f>IFERROR(__xludf.DUMMYFUNCTION("""COMPUTED_VALUE"""),"%")</f>
        <v>%</v>
      </c>
      <c r="M732" s="36">
        <f>IFERROR(__xludf.DUMMYFUNCTION("""COMPUTED_VALUE"""),1.0)</f>
        <v>1</v>
      </c>
      <c r="N732" s="37"/>
      <c r="O732" s="38"/>
      <c r="P732" s="34" t="str">
        <f>IFERROR(__xludf.DUMMYFUNCTION("""COMPUTED_VALUE"""),"")</f>
        <v/>
      </c>
      <c r="Q732" s="35" t="str">
        <f>IFERROR(__xludf.DUMMYFUNCTION("""COMPUTED_VALUE"""),"AP")</f>
        <v>AP</v>
      </c>
      <c r="R732" s="34" t="str">
        <f>IFERROR(__xludf.DUMMYFUNCTION("""COMPUTED_VALUE"""),"")</f>
        <v/>
      </c>
      <c r="S732" s="35" t="str">
        <f>IFERROR(__xludf.DUMMYFUNCTION("""COMPUTED_VALUE"""),"%")</f>
        <v>%</v>
      </c>
      <c r="T732" s="36">
        <f>IFERROR(__xludf.DUMMYFUNCTION("""COMPUTED_VALUE"""),2.0)</f>
        <v>2</v>
      </c>
      <c r="U732" s="37"/>
      <c r="V732" s="38"/>
      <c r="W732" s="34" t="str">
        <f>IFERROR(__xludf.DUMMYFUNCTION("""COMPUTED_VALUE"""),"")</f>
        <v/>
      </c>
      <c r="X732" s="35" t="str">
        <f>IFERROR(__xludf.DUMMYFUNCTION("""COMPUTED_VALUE"""),"AP")</f>
        <v>AP</v>
      </c>
      <c r="Y732" s="34" t="str">
        <f>IFERROR(__xludf.DUMMYFUNCTION("""COMPUTED_VALUE"""),"")</f>
        <v/>
      </c>
      <c r="Z732" s="35" t="str">
        <f>IFERROR(__xludf.DUMMYFUNCTION("""COMPUTED_VALUE"""),"%")</f>
        <v>%</v>
      </c>
      <c r="AA732" s="36">
        <f>IFERROR(__xludf.DUMMYFUNCTION("""COMPUTED_VALUE"""),3.0)</f>
        <v>3</v>
      </c>
      <c r="AB732" s="37"/>
      <c r="AC732" s="38"/>
      <c r="AD732" s="34" t="str">
        <f>IFERROR(__xludf.DUMMYFUNCTION("""COMPUTED_VALUE"""),"")</f>
        <v/>
      </c>
      <c r="AE732" s="35" t="str">
        <f>IFERROR(__xludf.DUMMYFUNCTION("""COMPUTED_VALUE"""),"AP")</f>
        <v>AP</v>
      </c>
      <c r="AF732" s="34" t="str">
        <f>IFERROR(__xludf.DUMMYFUNCTION("""COMPUTED_VALUE"""),"")</f>
        <v/>
      </c>
      <c r="AG732" s="35" t="str">
        <f>IFERROR(__xludf.DUMMYFUNCTION("""COMPUTED_VALUE"""),"%")</f>
        <v>%</v>
      </c>
      <c r="AH732" s="31"/>
      <c r="AI732" s="32"/>
      <c r="AJ732" s="39"/>
    </row>
    <row r="733" ht="24.75" hidden="1" customHeight="1">
      <c r="A733" s="40">
        <f>IFERROR(__xludf.DUMMYFUNCTION("""COMPUTED_VALUE"""),18.0)</f>
        <v>18</v>
      </c>
      <c r="B733" s="40" t="str">
        <f>IFERROR(__xludf.DUMMYFUNCTION("""COMPUTED_VALUE"""),"A103")</f>
        <v>A103</v>
      </c>
      <c r="C733" s="40"/>
      <c r="D733" s="41"/>
      <c r="E733" s="66"/>
      <c r="F733" s="43"/>
      <c r="G733" s="44"/>
      <c r="H733" s="33" t="str">
        <f>IFERROR(__xludf.DUMMYFUNCTION("""COMPUTED_VALUE""")," ")</f>
        <v> </v>
      </c>
      <c r="I733" s="45"/>
      <c r="J733" s="46" t="str">
        <f>IFERROR(__xludf.DUMMYFUNCTION("""COMPUTED_VALUE"""),"AP")</f>
        <v>AP</v>
      </c>
      <c r="K733" s="47"/>
      <c r="L733" s="48" t="str">
        <f>IFERROR(__xludf.DUMMYFUNCTION("""COMPUTED_VALUE"""),"%")</f>
        <v>%</v>
      </c>
      <c r="M733" s="49">
        <f>IFERROR(__xludf.DUMMYFUNCTION("""COMPUTED_VALUE"""),1.0)</f>
        <v>1</v>
      </c>
      <c r="N733" s="50"/>
      <c r="O733" s="38"/>
      <c r="P733" s="45" t="str">
        <f>IFERROR(__xludf.DUMMYFUNCTION("""COMPUTED_VALUE"""),"")</f>
        <v/>
      </c>
      <c r="Q733" s="46" t="str">
        <f>IFERROR(__xludf.DUMMYFUNCTION("""COMPUTED_VALUE"""),"AP")</f>
        <v>AP</v>
      </c>
      <c r="R733" s="47" t="str">
        <f>IFERROR(__xludf.DUMMYFUNCTION("""COMPUTED_VALUE"""),"")</f>
        <v/>
      </c>
      <c r="S733" s="48" t="str">
        <f>IFERROR(__xludf.DUMMYFUNCTION("""COMPUTED_VALUE"""),"%")</f>
        <v>%</v>
      </c>
      <c r="T733" s="49">
        <f>IFERROR(__xludf.DUMMYFUNCTION("""COMPUTED_VALUE"""),2.0)</f>
        <v>2</v>
      </c>
      <c r="U733" s="50"/>
      <c r="V733" s="38"/>
      <c r="W733" s="45" t="str">
        <f>IFERROR(__xludf.DUMMYFUNCTION("""COMPUTED_VALUE"""),"")</f>
        <v/>
      </c>
      <c r="X733" s="46" t="str">
        <f>IFERROR(__xludf.DUMMYFUNCTION("""COMPUTED_VALUE"""),"AP")</f>
        <v>AP</v>
      </c>
      <c r="Y733" s="47" t="str">
        <f>IFERROR(__xludf.DUMMYFUNCTION("""COMPUTED_VALUE"""),"")</f>
        <v/>
      </c>
      <c r="Z733" s="48" t="str">
        <f>IFERROR(__xludf.DUMMYFUNCTION("""COMPUTED_VALUE"""),"%")</f>
        <v>%</v>
      </c>
      <c r="AA733" s="49">
        <f>IFERROR(__xludf.DUMMYFUNCTION("""COMPUTED_VALUE"""),3.0)</f>
        <v>3</v>
      </c>
      <c r="AB733" s="50"/>
      <c r="AC733" s="38"/>
      <c r="AD733" s="45" t="str">
        <f>IFERROR(__xludf.DUMMYFUNCTION("""COMPUTED_VALUE"""),"")</f>
        <v/>
      </c>
      <c r="AE733" s="46" t="str">
        <f>IFERROR(__xludf.DUMMYFUNCTION("""COMPUTED_VALUE"""),"AP")</f>
        <v>AP</v>
      </c>
      <c r="AF733" s="47" t="str">
        <f>IFERROR(__xludf.DUMMYFUNCTION("""COMPUTED_VALUE"""),"")</f>
        <v/>
      </c>
      <c r="AG733" s="48" t="str">
        <f>IFERROR(__xludf.DUMMYFUNCTION("""COMPUTED_VALUE"""),"%")</f>
        <v>%</v>
      </c>
      <c r="AH733" s="43"/>
      <c r="AI733" s="44"/>
      <c r="AJ733" s="51"/>
    </row>
    <row r="734" ht="24.75" hidden="1" customHeight="1">
      <c r="A734" s="28">
        <f>IFERROR(__xludf.DUMMYFUNCTION("""COMPUTED_VALUE"""),19.0)</f>
        <v>19</v>
      </c>
      <c r="B734" s="28" t="str">
        <f>IFERROR(__xludf.DUMMYFUNCTION("""COMPUTED_VALUE"""),"A103")</f>
        <v>A103</v>
      </c>
      <c r="C734" s="28"/>
      <c r="D734" s="29"/>
      <c r="E734" s="67"/>
      <c r="F734" s="31"/>
      <c r="G734" s="32"/>
      <c r="H734" s="33" t="str">
        <f>IFERROR(__xludf.DUMMYFUNCTION("""COMPUTED_VALUE""")," ")</f>
        <v> </v>
      </c>
      <c r="I734" s="34"/>
      <c r="J734" s="35" t="str">
        <f>IFERROR(__xludf.DUMMYFUNCTION("""COMPUTED_VALUE"""),"AP")</f>
        <v>AP</v>
      </c>
      <c r="K734" s="34"/>
      <c r="L734" s="35" t="str">
        <f>IFERROR(__xludf.DUMMYFUNCTION("""COMPUTED_VALUE"""),"%")</f>
        <v>%</v>
      </c>
      <c r="M734" s="36">
        <f>IFERROR(__xludf.DUMMYFUNCTION("""COMPUTED_VALUE"""),1.0)</f>
        <v>1</v>
      </c>
      <c r="N734" s="37"/>
      <c r="O734" s="38"/>
      <c r="P734" s="34" t="str">
        <f>IFERROR(__xludf.DUMMYFUNCTION("""COMPUTED_VALUE"""),"")</f>
        <v/>
      </c>
      <c r="Q734" s="35" t="str">
        <f>IFERROR(__xludf.DUMMYFUNCTION("""COMPUTED_VALUE"""),"AP")</f>
        <v>AP</v>
      </c>
      <c r="R734" s="34" t="str">
        <f>IFERROR(__xludf.DUMMYFUNCTION("""COMPUTED_VALUE"""),"")</f>
        <v/>
      </c>
      <c r="S734" s="35" t="str">
        <f>IFERROR(__xludf.DUMMYFUNCTION("""COMPUTED_VALUE"""),"%")</f>
        <v>%</v>
      </c>
      <c r="T734" s="36">
        <f>IFERROR(__xludf.DUMMYFUNCTION("""COMPUTED_VALUE"""),2.0)</f>
        <v>2</v>
      </c>
      <c r="U734" s="37"/>
      <c r="V734" s="38"/>
      <c r="W734" s="34" t="str">
        <f>IFERROR(__xludf.DUMMYFUNCTION("""COMPUTED_VALUE"""),"")</f>
        <v/>
      </c>
      <c r="X734" s="35" t="str">
        <f>IFERROR(__xludf.DUMMYFUNCTION("""COMPUTED_VALUE"""),"AP")</f>
        <v>AP</v>
      </c>
      <c r="Y734" s="34" t="str">
        <f>IFERROR(__xludf.DUMMYFUNCTION("""COMPUTED_VALUE"""),"")</f>
        <v/>
      </c>
      <c r="Z734" s="35" t="str">
        <f>IFERROR(__xludf.DUMMYFUNCTION("""COMPUTED_VALUE"""),"%")</f>
        <v>%</v>
      </c>
      <c r="AA734" s="36">
        <f>IFERROR(__xludf.DUMMYFUNCTION("""COMPUTED_VALUE"""),3.0)</f>
        <v>3</v>
      </c>
      <c r="AB734" s="37"/>
      <c r="AC734" s="38"/>
      <c r="AD734" s="34" t="str">
        <f>IFERROR(__xludf.DUMMYFUNCTION("""COMPUTED_VALUE"""),"")</f>
        <v/>
      </c>
      <c r="AE734" s="35" t="str">
        <f>IFERROR(__xludf.DUMMYFUNCTION("""COMPUTED_VALUE"""),"AP")</f>
        <v>AP</v>
      </c>
      <c r="AF734" s="34" t="str">
        <f>IFERROR(__xludf.DUMMYFUNCTION("""COMPUTED_VALUE"""),"")</f>
        <v/>
      </c>
      <c r="AG734" s="35" t="str">
        <f>IFERROR(__xludf.DUMMYFUNCTION("""COMPUTED_VALUE"""),"%")</f>
        <v>%</v>
      </c>
      <c r="AH734" s="31"/>
      <c r="AI734" s="32"/>
      <c r="AJ734" s="39"/>
    </row>
    <row r="735" ht="24.75" hidden="1" customHeight="1">
      <c r="A735" s="40">
        <f>IFERROR(__xludf.DUMMYFUNCTION("""COMPUTED_VALUE"""),20.0)</f>
        <v>20</v>
      </c>
      <c r="B735" s="40" t="str">
        <f>IFERROR(__xludf.DUMMYFUNCTION("""COMPUTED_VALUE"""),"A103")</f>
        <v>A103</v>
      </c>
      <c r="C735" s="40"/>
      <c r="D735" s="41"/>
      <c r="E735" s="66"/>
      <c r="F735" s="43"/>
      <c r="G735" s="44"/>
      <c r="H735" s="33" t="str">
        <f>IFERROR(__xludf.DUMMYFUNCTION("""COMPUTED_VALUE""")," ")</f>
        <v> </v>
      </c>
      <c r="I735" s="45"/>
      <c r="J735" s="46" t="str">
        <f>IFERROR(__xludf.DUMMYFUNCTION("""COMPUTED_VALUE"""),"AP")</f>
        <v>AP</v>
      </c>
      <c r="K735" s="47"/>
      <c r="L735" s="48" t="str">
        <f>IFERROR(__xludf.DUMMYFUNCTION("""COMPUTED_VALUE"""),"%")</f>
        <v>%</v>
      </c>
      <c r="M735" s="49">
        <f>IFERROR(__xludf.DUMMYFUNCTION("""COMPUTED_VALUE"""),1.0)</f>
        <v>1</v>
      </c>
      <c r="N735" s="50"/>
      <c r="O735" s="38"/>
      <c r="P735" s="45" t="str">
        <f>IFERROR(__xludf.DUMMYFUNCTION("""COMPUTED_VALUE"""),"")</f>
        <v/>
      </c>
      <c r="Q735" s="46" t="str">
        <f>IFERROR(__xludf.DUMMYFUNCTION("""COMPUTED_VALUE"""),"AP")</f>
        <v>AP</v>
      </c>
      <c r="R735" s="47" t="str">
        <f>IFERROR(__xludf.DUMMYFUNCTION("""COMPUTED_VALUE"""),"")</f>
        <v/>
      </c>
      <c r="S735" s="48" t="str">
        <f>IFERROR(__xludf.DUMMYFUNCTION("""COMPUTED_VALUE"""),"%")</f>
        <v>%</v>
      </c>
      <c r="T735" s="49">
        <f>IFERROR(__xludf.DUMMYFUNCTION("""COMPUTED_VALUE"""),2.0)</f>
        <v>2</v>
      </c>
      <c r="U735" s="50"/>
      <c r="V735" s="38"/>
      <c r="W735" s="45" t="str">
        <f>IFERROR(__xludf.DUMMYFUNCTION("""COMPUTED_VALUE"""),"")</f>
        <v/>
      </c>
      <c r="X735" s="46" t="str">
        <f>IFERROR(__xludf.DUMMYFUNCTION("""COMPUTED_VALUE"""),"AP")</f>
        <v>AP</v>
      </c>
      <c r="Y735" s="47" t="str">
        <f>IFERROR(__xludf.DUMMYFUNCTION("""COMPUTED_VALUE"""),"")</f>
        <v/>
      </c>
      <c r="Z735" s="48" t="str">
        <f>IFERROR(__xludf.DUMMYFUNCTION("""COMPUTED_VALUE"""),"%")</f>
        <v>%</v>
      </c>
      <c r="AA735" s="49">
        <f>IFERROR(__xludf.DUMMYFUNCTION("""COMPUTED_VALUE"""),3.0)</f>
        <v>3</v>
      </c>
      <c r="AB735" s="50"/>
      <c r="AC735" s="38"/>
      <c r="AD735" s="45" t="str">
        <f>IFERROR(__xludf.DUMMYFUNCTION("""COMPUTED_VALUE"""),"")</f>
        <v/>
      </c>
      <c r="AE735" s="46" t="str">
        <f>IFERROR(__xludf.DUMMYFUNCTION("""COMPUTED_VALUE"""),"AP")</f>
        <v>AP</v>
      </c>
      <c r="AF735" s="47" t="str">
        <f>IFERROR(__xludf.DUMMYFUNCTION("""COMPUTED_VALUE"""),"")</f>
        <v/>
      </c>
      <c r="AG735" s="48" t="str">
        <f>IFERROR(__xludf.DUMMYFUNCTION("""COMPUTED_VALUE"""),"%")</f>
        <v>%</v>
      </c>
      <c r="AH735" s="43"/>
      <c r="AI735" s="44"/>
      <c r="AJ735" s="51"/>
    </row>
    <row r="736">
      <c r="A736" s="52"/>
      <c r="B736" s="53"/>
      <c r="C736" s="54"/>
      <c r="D736" s="55"/>
      <c r="E736" s="56"/>
      <c r="F736" s="53"/>
      <c r="G736" s="53"/>
      <c r="H736" s="53"/>
      <c r="I736" s="53"/>
      <c r="J736" s="57"/>
      <c r="K736" s="53"/>
      <c r="L736" s="57"/>
      <c r="M736" s="53"/>
      <c r="N736" s="53"/>
      <c r="O736" s="53"/>
      <c r="P736" s="53"/>
      <c r="Q736" s="57"/>
      <c r="R736" s="53"/>
      <c r="S736" s="57"/>
      <c r="T736" s="53"/>
      <c r="U736" s="53"/>
      <c r="V736" s="53"/>
      <c r="W736" s="53"/>
      <c r="X736" s="57"/>
      <c r="Y736" s="53"/>
      <c r="Z736" s="57"/>
      <c r="AA736" s="53"/>
      <c r="AB736" s="53"/>
      <c r="AC736" s="53"/>
      <c r="AD736" s="53"/>
      <c r="AE736" s="57"/>
      <c r="AF736" s="53"/>
      <c r="AG736" s="57"/>
      <c r="AH736" s="53"/>
      <c r="AI736" s="53"/>
      <c r="AJ736" s="58"/>
    </row>
    <row r="737">
      <c r="A737" s="59"/>
      <c r="B737" s="60"/>
      <c r="C737" s="61"/>
      <c r="D737" s="62"/>
      <c r="E737" s="63"/>
      <c r="F737" s="60"/>
      <c r="G737" s="60"/>
      <c r="H737" s="60"/>
      <c r="I737" s="60"/>
      <c r="J737" s="64"/>
      <c r="K737" s="60"/>
      <c r="L737" s="64"/>
      <c r="M737" s="60"/>
      <c r="N737" s="60"/>
      <c r="O737" s="60"/>
      <c r="P737" s="60"/>
      <c r="Q737" s="64"/>
      <c r="R737" s="60"/>
      <c r="S737" s="64"/>
      <c r="T737" s="60"/>
      <c r="U737" s="60"/>
      <c r="V737" s="60"/>
      <c r="W737" s="60"/>
      <c r="X737" s="64"/>
      <c r="Y737" s="60"/>
      <c r="Z737" s="64"/>
      <c r="AA737" s="60"/>
      <c r="AB737" s="60"/>
      <c r="AC737" s="60"/>
      <c r="AD737" s="60"/>
      <c r="AE737" s="64"/>
      <c r="AF737" s="60"/>
      <c r="AG737" s="64"/>
      <c r="AH737" s="60"/>
      <c r="AI737" s="60"/>
      <c r="AJ737" s="65"/>
    </row>
    <row r="738" ht="33.0" customHeight="1">
      <c r="A738" s="20" t="str">
        <f>IFERROR(__xludf.DUMMYFUNCTION("""COMPUTED_VALUE""")," ")</f>
        <v> </v>
      </c>
      <c r="B738" s="21" t="str">
        <f>IFERROR(__xludf.DUMMYFUNCTION("""COMPUTED_VALUE"""),"A104")</f>
        <v>A104</v>
      </c>
      <c r="C738" s="20"/>
      <c r="D738" s="22" t="str">
        <f>IFERROR(__xludf.DUMMYFUNCTION("""COMPUTED_VALUE"""),"")</f>
        <v/>
      </c>
      <c r="E738" s="23" t="str">
        <f>IFERROR(__xludf.DUMMYFUNCTION("""COMPUTED_VALUE"""),"Spirit Root")</f>
        <v>Spirit Root</v>
      </c>
      <c r="F738" s="24"/>
      <c r="G738" s="24"/>
      <c r="H738" s="25"/>
      <c r="I738" s="25"/>
      <c r="J738" s="26"/>
      <c r="K738" s="25"/>
      <c r="L738" s="26"/>
      <c r="M738" s="25"/>
      <c r="N738" s="25"/>
      <c r="O738" s="25"/>
      <c r="P738" s="25"/>
      <c r="Q738" s="26"/>
      <c r="R738" s="25"/>
      <c r="S738" s="26"/>
      <c r="T738" s="25"/>
      <c r="U738" s="25"/>
      <c r="V738" s="25"/>
      <c r="W738" s="25"/>
      <c r="X738" s="26"/>
      <c r="Y738" s="25"/>
      <c r="Z738" s="26"/>
      <c r="AA738" s="25"/>
      <c r="AB738" s="25"/>
      <c r="AC738" s="25"/>
      <c r="AD738" s="25"/>
      <c r="AE738" s="26"/>
      <c r="AF738" s="25"/>
      <c r="AG738" s="26"/>
      <c r="AH738" s="24"/>
      <c r="AI738" s="25"/>
      <c r="AJ738" s="27"/>
    </row>
    <row r="739" ht="24.75" customHeight="1">
      <c r="A739" s="28">
        <f>IFERROR(__xludf.DUMMYFUNCTION("""COMPUTED_VALUE"""),1.0)</f>
        <v>1</v>
      </c>
      <c r="B739" s="28" t="str">
        <f>IFERROR(__xludf.DUMMYFUNCTION("""COMPUTED_VALUE"""),"A104")</f>
        <v>A104</v>
      </c>
      <c r="C739" s="28" t="str">
        <f>IFERROR(__xludf.DUMMYFUNCTION("""COMPUTED_VALUE"""),"CML10")</f>
        <v>CML10</v>
      </c>
      <c r="D739" s="29" t="str">
        <f>IFERROR(__xludf.DUMMYFUNCTION("""COMPUTED_VALUE"""),"Camelot")</f>
        <v>Camelot</v>
      </c>
      <c r="E739" s="30" t="str">
        <f>IFERROR(__xludf.DUMMYFUNCTION("""COMPUTED_VALUE"""),"Holy City")</f>
        <v>Holy City</v>
      </c>
      <c r="F739" s="31">
        <f>IFERROR(__xludf.DUMMYFUNCTION("""COMPUTED_VALUE"""),20.0)</f>
        <v>20</v>
      </c>
      <c r="G739" s="32">
        <f>IFERROR(__xludf.DUMMYFUNCTION("""COMPUTED_VALUE"""),28629.0)</f>
        <v>28629</v>
      </c>
      <c r="H739" s="33" t="str">
        <f>IFERROR(__xludf.DUMMYFUNCTION("""COMPUTED_VALUE"""),"")</f>
        <v/>
      </c>
      <c r="I739" s="34">
        <f>IFERROR(__xludf.DUMMYFUNCTION("""COMPUTED_VALUE"""),166.3)</f>
        <v>166.3</v>
      </c>
      <c r="J739" s="35" t="str">
        <f>IFERROR(__xludf.DUMMYFUNCTION("""COMPUTED_VALUE"""),"AP")</f>
        <v>AP</v>
      </c>
      <c r="K739" s="34">
        <f>IFERROR(__xludf.DUMMYFUNCTION("""COMPUTED_VALUE"""),12.0)</f>
        <v>12</v>
      </c>
      <c r="L739" s="35" t="str">
        <f>IFERROR(__xludf.DUMMYFUNCTION("""COMPUTED_VALUE"""),"%")</f>
        <v>%</v>
      </c>
      <c r="M739" s="36">
        <f>IFERROR(__xludf.DUMMYFUNCTION("""COMPUTED_VALUE"""),1.0)</f>
        <v>1</v>
      </c>
      <c r="N739" s="37" t="str">
        <f>IFERROR(__xludf.DUMMYFUNCTION("""COMPUTED_VALUE"""),"A203")</f>
        <v>A203</v>
      </c>
      <c r="O739" s="38" t="str">
        <f>IFERROR(__xludf.DUMMYFUNCTION("""COMPUTED_VALUE"""),"")</f>
        <v/>
      </c>
      <c r="P739" s="34">
        <f>IFERROR(__xludf.DUMMYFUNCTION("""COMPUTED_VALUE"""),73.1)</f>
        <v>73.1</v>
      </c>
      <c r="Q739" s="35" t="str">
        <f>IFERROR(__xludf.DUMMYFUNCTION("""COMPUTED_VALUE"""),"AP")</f>
        <v>AP</v>
      </c>
      <c r="R739" s="34">
        <f>IFERROR(__xludf.DUMMYFUNCTION("""COMPUTED_VALUE"""),27.4)</f>
        <v>27.4</v>
      </c>
      <c r="S739" s="35" t="str">
        <f>IFERROR(__xludf.DUMMYFUNCTION("""COMPUTED_VALUE"""),"%")</f>
        <v>%</v>
      </c>
      <c r="T739" s="36">
        <f>IFERROR(__xludf.DUMMYFUNCTION("""COMPUTED_VALUE"""),2.0)</f>
        <v>2</v>
      </c>
      <c r="U739" s="37" t="str">
        <f>IFERROR(__xludf.DUMMYFUNCTION("""COMPUTED_VALUE"""),"A301")</f>
        <v>A301</v>
      </c>
      <c r="V739" s="38" t="str">
        <f>IFERROR(__xludf.DUMMYFUNCTION("""COMPUTED_VALUE"""),"")</f>
        <v/>
      </c>
      <c r="W739" s="34">
        <f>IFERROR(__xludf.DUMMYFUNCTION("""COMPUTED_VALUE"""),55.9)</f>
        <v>55.9</v>
      </c>
      <c r="X739" s="35" t="str">
        <f>IFERROR(__xludf.DUMMYFUNCTION("""COMPUTED_VALUE"""),"AP")</f>
        <v>AP</v>
      </c>
      <c r="Y739" s="34">
        <f>IFERROR(__xludf.DUMMYFUNCTION("""COMPUTED_VALUE"""),35.8)</f>
        <v>35.8</v>
      </c>
      <c r="Z739" s="35" t="str">
        <f>IFERROR(__xludf.DUMMYFUNCTION("""COMPUTED_VALUE"""),"%")</f>
        <v>%</v>
      </c>
      <c r="AA739" s="36">
        <f>IFERROR(__xludf.DUMMYFUNCTION("""COMPUTED_VALUE"""),3.0)</f>
        <v>3</v>
      </c>
      <c r="AB739" s="37" t="str">
        <f>IFERROR(__xludf.DUMMYFUNCTION("""COMPUTED_VALUE"""),"B101")</f>
        <v>B101</v>
      </c>
      <c r="AC739" s="38" t="str">
        <f>IFERROR(__xludf.DUMMYFUNCTION("""COMPUTED_VALUE"""),"")</f>
        <v/>
      </c>
      <c r="AD739" s="34">
        <f>IFERROR(__xludf.DUMMYFUNCTION("""COMPUTED_VALUE"""),610.3)</f>
        <v>610.3</v>
      </c>
      <c r="AE739" s="35" t="str">
        <f>IFERROR(__xludf.DUMMYFUNCTION("""COMPUTED_VALUE"""),"AP")</f>
        <v>AP</v>
      </c>
      <c r="AF739" s="34">
        <f>IFERROR(__xludf.DUMMYFUNCTION("""COMPUTED_VALUE"""),3.3)</f>
        <v>3.3</v>
      </c>
      <c r="AG739" s="35" t="str">
        <f>IFERROR(__xludf.DUMMYFUNCTION("""COMPUTED_VALUE"""),"%")</f>
        <v>%</v>
      </c>
      <c r="AH739" s="31">
        <f>IFERROR(__xludf.DUMMYFUNCTION("""COMPUTED_VALUE"""),20.0)</f>
        <v>20</v>
      </c>
      <c r="AI739" s="32">
        <f>IFERROR(__xludf.DUMMYFUNCTION("""COMPUTED_VALUE"""),28629.0)</f>
        <v>28629</v>
      </c>
      <c r="AJ739" s="39" t="str">
        <f>IFERROR(__xludf.DUMMYFUNCTION("""COMPUTED_VALUE"""),"聖都市街")</f>
        <v>聖都市街</v>
      </c>
    </row>
    <row r="740" ht="24.75" customHeight="1">
      <c r="A740" s="40">
        <f>IFERROR(__xludf.DUMMYFUNCTION("""COMPUTED_VALUE"""),2.0)</f>
        <v>2</v>
      </c>
      <c r="B740" s="40" t="str">
        <f>IFERROR(__xludf.DUMMYFUNCTION("""COMPUTED_VALUE"""),"A104")</f>
        <v>A104</v>
      </c>
      <c r="C740" s="40" t="str">
        <f>IFERROR(__xludf.DUMMYFUNCTION("""COMPUTED_VALUE"""),"SJK8")</f>
        <v>SJK8</v>
      </c>
      <c r="D740" s="41" t="str">
        <f>IFERROR(__xludf.DUMMYFUNCTION("""COMPUTED_VALUE"""),"Shinjuku")</f>
        <v>Shinjuku</v>
      </c>
      <c r="E740" s="42" t="str">
        <f>IFERROR(__xludf.DUMMYFUNCTION("""COMPUTED_VALUE"""),"Tower - Top Floor")</f>
        <v>Tower - Top Floor</v>
      </c>
      <c r="F740" s="43">
        <f>IFERROR(__xludf.DUMMYFUNCTION("""COMPUTED_VALUE"""),21.0)</f>
        <v>21</v>
      </c>
      <c r="G740" s="44">
        <f>IFERROR(__xludf.DUMMYFUNCTION("""COMPUTED_VALUE"""),13982.0)</f>
        <v>13982</v>
      </c>
      <c r="H740" s="33" t="str">
        <f>IFERROR(__xludf.DUMMYFUNCTION("""COMPUTED_VALUE"""),"")</f>
        <v/>
      </c>
      <c r="I740" s="45">
        <f>IFERROR(__xludf.DUMMYFUNCTION("""COMPUTED_VALUE"""),180.2)</f>
        <v>180.2</v>
      </c>
      <c r="J740" s="46" t="str">
        <f>IFERROR(__xludf.DUMMYFUNCTION("""COMPUTED_VALUE"""),"AP")</f>
        <v>AP</v>
      </c>
      <c r="K740" s="47">
        <f>IFERROR(__xludf.DUMMYFUNCTION("""COMPUTED_VALUE"""),11.7)</f>
        <v>11.7</v>
      </c>
      <c r="L740" s="48" t="str">
        <f>IFERROR(__xludf.DUMMYFUNCTION("""COMPUTED_VALUE"""),"%")</f>
        <v>%</v>
      </c>
      <c r="M740" s="49">
        <f>IFERROR(__xludf.DUMMYFUNCTION("""COMPUTED_VALUE"""),1.0)</f>
        <v>1</v>
      </c>
      <c r="N740" s="50" t="str">
        <f>IFERROR(__xludf.DUMMYFUNCTION("""COMPUTED_VALUE"""),"A206")</f>
        <v>A206</v>
      </c>
      <c r="O740" s="38" t="str">
        <f>IFERROR(__xludf.DUMMYFUNCTION("""COMPUTED_VALUE"""),"")</f>
        <v/>
      </c>
      <c r="P740" s="45">
        <f>IFERROR(__xludf.DUMMYFUNCTION("""COMPUTED_VALUE"""),101.9)</f>
        <v>101.9</v>
      </c>
      <c r="Q740" s="46" t="str">
        <f>IFERROR(__xludf.DUMMYFUNCTION("""COMPUTED_VALUE"""),"AP")</f>
        <v>AP</v>
      </c>
      <c r="R740" s="47">
        <f>IFERROR(__xludf.DUMMYFUNCTION("""COMPUTED_VALUE"""),20.6)</f>
        <v>20.6</v>
      </c>
      <c r="S740" s="48" t="str">
        <f>IFERROR(__xludf.DUMMYFUNCTION("""COMPUTED_VALUE"""),"%")</f>
        <v>%</v>
      </c>
      <c r="T740" s="49">
        <f>IFERROR(__xludf.DUMMYFUNCTION("""COMPUTED_VALUE"""),2.0)</f>
        <v>2</v>
      </c>
      <c r="U740" s="50" t="str">
        <f>IFERROR(__xludf.DUMMYFUNCTION("""COMPUTED_VALUE"""),"B101")</f>
        <v>B101</v>
      </c>
      <c r="V740" s="38" t="str">
        <f>IFERROR(__xludf.DUMMYFUNCTION("""COMPUTED_VALUE"""),"")</f>
        <v/>
      </c>
      <c r="W740" s="45">
        <f>IFERROR(__xludf.DUMMYFUNCTION("""COMPUTED_VALUE"""),497.8)</f>
        <v>497.8</v>
      </c>
      <c r="X740" s="46" t="str">
        <f>IFERROR(__xludf.DUMMYFUNCTION("""COMPUTED_VALUE"""),"AP")</f>
        <v>AP</v>
      </c>
      <c r="Y740" s="47">
        <f>IFERROR(__xludf.DUMMYFUNCTION("""COMPUTED_VALUE"""),4.2)</f>
        <v>4.2</v>
      </c>
      <c r="Z740" s="48" t="str">
        <f>IFERROR(__xludf.DUMMYFUNCTION("""COMPUTED_VALUE"""),"%")</f>
        <v>%</v>
      </c>
      <c r="AA740" s="49">
        <f>IFERROR(__xludf.DUMMYFUNCTION("""COMPUTED_VALUE"""),3.0)</f>
        <v>3</v>
      </c>
      <c r="AB740" s="50" t="str">
        <f>IFERROR(__xludf.DUMMYFUNCTION("""COMPUTED_VALUE"""),"B116")</f>
        <v>B116</v>
      </c>
      <c r="AC740" s="38" t="str">
        <f>IFERROR(__xludf.DUMMYFUNCTION("""COMPUTED_VALUE"""),"")</f>
        <v/>
      </c>
      <c r="AD740" s="45">
        <f>IFERROR(__xludf.DUMMYFUNCTION("""COMPUTED_VALUE"""),79.3)</f>
        <v>79.3</v>
      </c>
      <c r="AE740" s="46" t="str">
        <f>IFERROR(__xludf.DUMMYFUNCTION("""COMPUTED_VALUE"""),"AP")</f>
        <v>AP</v>
      </c>
      <c r="AF740" s="47">
        <f>IFERROR(__xludf.DUMMYFUNCTION("""COMPUTED_VALUE"""),26.5)</f>
        <v>26.5</v>
      </c>
      <c r="AG740" s="48" t="str">
        <f>IFERROR(__xludf.DUMMYFUNCTION("""COMPUTED_VALUE"""),"%")</f>
        <v>%</v>
      </c>
      <c r="AH740" s="43">
        <f>IFERROR(__xludf.DUMMYFUNCTION("""COMPUTED_VALUE"""),21.0)</f>
        <v>21</v>
      </c>
      <c r="AI740" s="44">
        <f>IFERROR(__xludf.DUMMYFUNCTION("""COMPUTED_VALUE"""),13982.0)</f>
        <v>13982</v>
      </c>
      <c r="AJ740" s="51" t="str">
        <f>IFERROR(__xludf.DUMMYFUNCTION("""COMPUTED_VALUE"""),"タワー最上階")</f>
        <v>タワー最上階</v>
      </c>
    </row>
    <row r="741" ht="24.75" customHeight="1">
      <c r="A741" s="28">
        <f>IFERROR(__xludf.DUMMYFUNCTION("""COMPUTED_VALUE"""),3.0)</f>
        <v>3</v>
      </c>
      <c r="B741" s="28" t="str">
        <f>IFERROR(__xludf.DUMMYFUNCTION("""COMPUTED_VALUE"""),"A104")</f>
        <v>A104</v>
      </c>
      <c r="C741" s="28" t="str">
        <f>IFERROR(__xludf.DUMMYFUNCTION("""COMPUTED_VALUE"""),"GTT11")</f>
        <v>GTT11</v>
      </c>
      <c r="D741" s="29" t="str">
        <f>IFERROR(__xludf.DUMMYFUNCTION("""COMPUTED_VALUE"""),"Götterdämmerung")</f>
        <v>Götterdämmerung</v>
      </c>
      <c r="E741" s="30" t="str">
        <f>IFERROR(__xludf.DUMMYFUNCTION("""COMPUTED_VALUE"""),"Forgotten Shrine")</f>
        <v>Forgotten Shrine</v>
      </c>
      <c r="F741" s="31">
        <f>IFERROR(__xludf.DUMMYFUNCTION("""COMPUTED_VALUE"""),21.0)</f>
        <v>21</v>
      </c>
      <c r="G741" s="32">
        <f>IFERROR(__xludf.DUMMYFUNCTION("""COMPUTED_VALUE"""),4261.0)</f>
        <v>4261</v>
      </c>
      <c r="H741" s="33" t="str">
        <f>IFERROR(__xludf.DUMMYFUNCTION("""COMPUTED_VALUE"""),"")</f>
        <v/>
      </c>
      <c r="I741" s="34">
        <f>IFERROR(__xludf.DUMMYFUNCTION("""COMPUTED_VALUE"""),184.9)</f>
        <v>184.9</v>
      </c>
      <c r="J741" s="35" t="str">
        <f>IFERROR(__xludf.DUMMYFUNCTION("""COMPUTED_VALUE"""),"AP")</f>
        <v>AP</v>
      </c>
      <c r="K741" s="34">
        <f>IFERROR(__xludf.DUMMYFUNCTION("""COMPUTED_VALUE"""),11.4)</f>
        <v>11.4</v>
      </c>
      <c r="L741" s="35" t="str">
        <f>IFERROR(__xludf.DUMMYFUNCTION("""COMPUTED_VALUE"""),"%")</f>
        <v>%</v>
      </c>
      <c r="M741" s="36">
        <f>IFERROR(__xludf.DUMMYFUNCTION("""COMPUTED_VALUE"""),1.0)</f>
        <v>1</v>
      </c>
      <c r="N741" s="37" t="str">
        <f>IFERROR(__xludf.DUMMYFUNCTION("""COMPUTED_VALUE"""),"A215")</f>
        <v>A215</v>
      </c>
      <c r="O741" s="38" t="str">
        <f>IFERROR(__xludf.DUMMYFUNCTION("""COMPUTED_VALUE"""),"")</f>
        <v/>
      </c>
      <c r="P741" s="34">
        <f>IFERROR(__xludf.DUMMYFUNCTION("""COMPUTED_VALUE"""),87.3)</f>
        <v>87.3</v>
      </c>
      <c r="Q741" s="35" t="str">
        <f>IFERROR(__xludf.DUMMYFUNCTION("""COMPUTED_VALUE"""),"AP")</f>
        <v>AP</v>
      </c>
      <c r="R741" s="34">
        <f>IFERROR(__xludf.DUMMYFUNCTION("""COMPUTED_VALUE"""),24.1)</f>
        <v>24.1</v>
      </c>
      <c r="S741" s="35" t="str">
        <f>IFERROR(__xludf.DUMMYFUNCTION("""COMPUTED_VALUE"""),"%")</f>
        <v>%</v>
      </c>
      <c r="T741" s="36">
        <f>IFERROR(__xludf.DUMMYFUNCTION("""COMPUTED_VALUE"""),2.0)</f>
        <v>2</v>
      </c>
      <c r="U741" s="37" t="str">
        <f>IFERROR(__xludf.DUMMYFUNCTION("""COMPUTED_VALUE"""),"B101")</f>
        <v>B101</v>
      </c>
      <c r="V741" s="38" t="str">
        <f>IFERROR(__xludf.DUMMYFUNCTION("""COMPUTED_VALUE"""),"")</f>
        <v/>
      </c>
      <c r="W741" s="34">
        <f>IFERROR(__xludf.DUMMYFUNCTION("""COMPUTED_VALUE"""),529.9)</f>
        <v>529.9</v>
      </c>
      <c r="X741" s="35" t="str">
        <f>IFERROR(__xludf.DUMMYFUNCTION("""COMPUTED_VALUE"""),"AP")</f>
        <v>AP</v>
      </c>
      <c r="Y741" s="34">
        <f>IFERROR(__xludf.DUMMYFUNCTION("""COMPUTED_VALUE"""),4.0)</f>
        <v>4</v>
      </c>
      <c r="Z741" s="35" t="str">
        <f>IFERROR(__xludf.DUMMYFUNCTION("""COMPUTED_VALUE"""),"%")</f>
        <v>%</v>
      </c>
      <c r="AA741" s="36">
        <f>IFERROR(__xludf.DUMMYFUNCTION("""COMPUTED_VALUE"""),3.0)</f>
        <v>3</v>
      </c>
      <c r="AB741" s="37" t="str">
        <f>IFERROR(__xludf.DUMMYFUNCTION("""COMPUTED_VALUE"""),"B114")</f>
        <v>B114</v>
      </c>
      <c r="AC741" s="38" t="str">
        <f>IFERROR(__xludf.DUMMYFUNCTION("""COMPUTED_VALUE"""),"")</f>
        <v/>
      </c>
      <c r="AD741" s="34">
        <f>IFERROR(__xludf.DUMMYFUNCTION("""COMPUTED_VALUE"""),52.2)</f>
        <v>52.2</v>
      </c>
      <c r="AE741" s="35" t="str">
        <f>IFERROR(__xludf.DUMMYFUNCTION("""COMPUTED_VALUE"""),"AP")</f>
        <v>AP</v>
      </c>
      <c r="AF741" s="34">
        <f>IFERROR(__xludf.DUMMYFUNCTION("""COMPUTED_VALUE"""),40.2)</f>
        <v>40.2</v>
      </c>
      <c r="AG741" s="35" t="str">
        <f>IFERROR(__xludf.DUMMYFUNCTION("""COMPUTED_VALUE"""),"%")</f>
        <v>%</v>
      </c>
      <c r="AH741" s="31">
        <f>IFERROR(__xludf.DUMMYFUNCTION("""COMPUTED_VALUE"""),21.0)</f>
        <v>21</v>
      </c>
      <c r="AI741" s="32">
        <f>IFERROR(__xludf.DUMMYFUNCTION("""COMPUTED_VALUE"""),4261.0)</f>
        <v>4261</v>
      </c>
      <c r="AJ741" s="39" t="str">
        <f>IFERROR(__xludf.DUMMYFUNCTION("""COMPUTED_VALUE"""),"忘れられた神殿")</f>
        <v>忘れられた神殿</v>
      </c>
    </row>
    <row r="742" ht="24.75" customHeight="1">
      <c r="A742" s="40">
        <f>IFERROR(__xludf.DUMMYFUNCTION("""COMPUTED_VALUE"""),4.0)</f>
        <v>4</v>
      </c>
      <c r="B742" s="40" t="str">
        <f>IFERROR(__xludf.DUMMYFUNCTION("""COMPUTED_VALUE"""),"A104")</f>
        <v>A104</v>
      </c>
      <c r="C742" s="40" t="str">
        <f>IFERROR(__xludf.DUMMYFUNCTION("""COMPUTED_VALUE"""),"ATL5")</f>
        <v>ATL5</v>
      </c>
      <c r="D742" s="41" t="str">
        <f>IFERROR(__xludf.DUMMYFUNCTION("""COMPUTED_VALUE"""),"Atlantis")</f>
        <v>Atlantis</v>
      </c>
      <c r="E742" s="42" t="str">
        <f>IFERROR(__xludf.DUMMYFUNCTION("""COMPUTED_VALUE"""),"Astraea Island")</f>
        <v>Astraea Island</v>
      </c>
      <c r="F742" s="43">
        <f>IFERROR(__xludf.DUMMYFUNCTION("""COMPUTED_VALUE"""),21.0)</f>
        <v>21</v>
      </c>
      <c r="G742" s="44">
        <f>IFERROR(__xludf.DUMMYFUNCTION("""COMPUTED_VALUE"""),34644.0)</f>
        <v>34644</v>
      </c>
      <c r="H742" s="33" t="str">
        <f>IFERROR(__xludf.DUMMYFUNCTION("""COMPUTED_VALUE"""),"")</f>
        <v/>
      </c>
      <c r="I742" s="45">
        <f>IFERROR(__xludf.DUMMYFUNCTION("""COMPUTED_VALUE"""),207.6)</f>
        <v>207.6</v>
      </c>
      <c r="J742" s="46" t="str">
        <f>IFERROR(__xludf.DUMMYFUNCTION("""COMPUTED_VALUE"""),"AP")</f>
        <v>AP</v>
      </c>
      <c r="K742" s="47">
        <f>IFERROR(__xludf.DUMMYFUNCTION("""COMPUTED_VALUE"""),10.1)</f>
        <v>10.1</v>
      </c>
      <c r="L742" s="48" t="str">
        <f>IFERROR(__xludf.DUMMYFUNCTION("""COMPUTED_VALUE"""),"%")</f>
        <v>%</v>
      </c>
      <c r="M742" s="49">
        <f>IFERROR(__xludf.DUMMYFUNCTION("""COMPUTED_VALUE"""),1.0)</f>
        <v>1</v>
      </c>
      <c r="N742" s="50" t="str">
        <f>IFERROR(__xludf.DUMMYFUNCTION("""COMPUTED_VALUE"""),"A218")</f>
        <v>A218</v>
      </c>
      <c r="O742" s="38" t="str">
        <f>IFERROR(__xludf.DUMMYFUNCTION("""COMPUTED_VALUE"""),"")</f>
        <v/>
      </c>
      <c r="P742" s="45">
        <f>IFERROR(__xludf.DUMMYFUNCTION("""COMPUTED_VALUE"""),105.2)</f>
        <v>105.2</v>
      </c>
      <c r="Q742" s="46" t="str">
        <f>IFERROR(__xludf.DUMMYFUNCTION("""COMPUTED_VALUE"""),"AP")</f>
        <v>AP</v>
      </c>
      <c r="R742" s="47">
        <f>IFERROR(__xludf.DUMMYFUNCTION("""COMPUTED_VALUE"""),20.0)</f>
        <v>20</v>
      </c>
      <c r="S742" s="48" t="str">
        <f>IFERROR(__xludf.DUMMYFUNCTION("""COMPUTED_VALUE"""),"%")</f>
        <v>%</v>
      </c>
      <c r="T742" s="49">
        <f>IFERROR(__xludf.DUMMYFUNCTION("""COMPUTED_VALUE"""),2.0)</f>
        <v>2</v>
      </c>
      <c r="U742" s="50" t="str">
        <f>IFERROR(__xludf.DUMMYFUNCTION("""COMPUTED_VALUE"""),"A304")</f>
        <v>A304</v>
      </c>
      <c r="V742" s="38" t="str">
        <f>IFERROR(__xludf.DUMMYFUNCTION("""COMPUTED_VALUE"""),"")</f>
        <v/>
      </c>
      <c r="W742" s="45">
        <f>IFERROR(__xludf.DUMMYFUNCTION("""COMPUTED_VALUE"""),69.6)</f>
        <v>69.6</v>
      </c>
      <c r="X742" s="46" t="str">
        <f>IFERROR(__xludf.DUMMYFUNCTION("""COMPUTED_VALUE"""),"AP")</f>
        <v>AP</v>
      </c>
      <c r="Y742" s="47">
        <f>IFERROR(__xludf.DUMMYFUNCTION("""COMPUTED_VALUE"""),30.2)</f>
        <v>30.2</v>
      </c>
      <c r="Z742" s="48" t="str">
        <f>IFERROR(__xludf.DUMMYFUNCTION("""COMPUTED_VALUE"""),"%")</f>
        <v>%</v>
      </c>
      <c r="AA742" s="49">
        <f>IFERROR(__xludf.DUMMYFUNCTION("""COMPUTED_VALUE"""),3.0)</f>
        <v>3</v>
      </c>
      <c r="AB742" s="50" t="str">
        <f>IFERROR(__xludf.DUMMYFUNCTION("""COMPUTED_VALUE"""),"B101")</f>
        <v>B101</v>
      </c>
      <c r="AC742" s="38" t="str">
        <f>IFERROR(__xludf.DUMMYFUNCTION("""COMPUTED_VALUE"""),"")</f>
        <v/>
      </c>
      <c r="AD742" s="45">
        <f>IFERROR(__xludf.DUMMYFUNCTION("""COMPUTED_VALUE"""),645.8)</f>
        <v>645.8</v>
      </c>
      <c r="AE742" s="46" t="str">
        <f>IFERROR(__xludf.DUMMYFUNCTION("""COMPUTED_VALUE"""),"AP")</f>
        <v>AP</v>
      </c>
      <c r="AF742" s="47">
        <f>IFERROR(__xludf.DUMMYFUNCTION("""COMPUTED_VALUE"""),3.3)</f>
        <v>3.3</v>
      </c>
      <c r="AG742" s="48" t="str">
        <f>IFERROR(__xludf.DUMMYFUNCTION("""COMPUTED_VALUE"""),"%")</f>
        <v>%</v>
      </c>
      <c r="AH742" s="43">
        <f>IFERROR(__xludf.DUMMYFUNCTION("""COMPUTED_VALUE"""),21.0)</f>
        <v>21</v>
      </c>
      <c r="AI742" s="44">
        <f>IFERROR(__xludf.DUMMYFUNCTION("""COMPUTED_VALUE"""),34644.0)</f>
        <v>34644</v>
      </c>
      <c r="AJ742" s="51" t="str">
        <f>IFERROR(__xludf.DUMMYFUNCTION("""COMPUTED_VALUE"""),"アストライア島")</f>
        <v>アストライア島</v>
      </c>
    </row>
    <row r="743" ht="24.75" customHeight="1">
      <c r="A743" s="28">
        <f>IFERROR(__xludf.DUMMYFUNCTION("""COMPUTED_VALUE"""),5.0)</f>
        <v>5</v>
      </c>
      <c r="B743" s="28" t="str">
        <f>IFERROR(__xludf.DUMMYFUNCTION("""COMPUTED_VALUE"""),"A104")</f>
        <v>A104</v>
      </c>
      <c r="C743" s="28" t="str">
        <f>IFERROR(__xludf.DUMMYFUNCTION("""COMPUTED_VALUE"""),"EPU13")</f>
        <v>EPU13</v>
      </c>
      <c r="D743" s="29" t="str">
        <f>IFERROR(__xludf.DUMMYFUNCTION("""COMPUTED_VALUE"""),"E Pluribus Unum")</f>
        <v>E Pluribus Unum</v>
      </c>
      <c r="E743" s="30" t="str">
        <f>IFERROR(__xludf.DUMMYFUNCTION("""COMPUTED_VALUE"""),"Washington")</f>
        <v>Washington</v>
      </c>
      <c r="F743" s="31">
        <f>IFERROR(__xludf.DUMMYFUNCTION("""COMPUTED_VALUE"""),20.0)</f>
        <v>20</v>
      </c>
      <c r="G743" s="32">
        <f>IFERROR(__xludf.DUMMYFUNCTION("""COMPUTED_VALUE"""),1551.0)</f>
        <v>1551</v>
      </c>
      <c r="H743" s="33" t="str">
        <f>IFERROR(__xludf.DUMMYFUNCTION("""COMPUTED_VALUE"""),"")</f>
        <v/>
      </c>
      <c r="I743" s="34">
        <f>IFERROR(__xludf.DUMMYFUNCTION("""COMPUTED_VALUE"""),242.3)</f>
        <v>242.3</v>
      </c>
      <c r="J743" s="35" t="str">
        <f>IFERROR(__xludf.DUMMYFUNCTION("""COMPUTED_VALUE"""),"AP")</f>
        <v>AP</v>
      </c>
      <c r="K743" s="34">
        <f>IFERROR(__xludf.DUMMYFUNCTION("""COMPUTED_VALUE"""),8.3)</f>
        <v>8.3</v>
      </c>
      <c r="L743" s="35" t="str">
        <f>IFERROR(__xludf.DUMMYFUNCTION("""COMPUTED_VALUE"""),"%")</f>
        <v>%</v>
      </c>
      <c r="M743" s="36">
        <f>IFERROR(__xludf.DUMMYFUNCTION("""COMPUTED_VALUE"""),1.0)</f>
        <v>1</v>
      </c>
      <c r="N743" s="37" t="str">
        <f>IFERROR(__xludf.DUMMYFUNCTION("""COMPUTED_VALUE"""),"A301")</f>
        <v>A301</v>
      </c>
      <c r="O743" s="38" t="str">
        <f>IFERROR(__xludf.DUMMYFUNCTION("""COMPUTED_VALUE"""),"")</f>
        <v/>
      </c>
      <c r="P743" s="34">
        <f>IFERROR(__xludf.DUMMYFUNCTION("""COMPUTED_VALUE"""),37.9)</f>
        <v>37.9</v>
      </c>
      <c r="Q743" s="35" t="str">
        <f>IFERROR(__xludf.DUMMYFUNCTION("""COMPUTED_VALUE"""),"AP")</f>
        <v>AP</v>
      </c>
      <c r="R743" s="34">
        <f>IFERROR(__xludf.DUMMYFUNCTION("""COMPUTED_VALUE"""),52.7)</f>
        <v>52.7</v>
      </c>
      <c r="S743" s="35" t="str">
        <f>IFERROR(__xludf.DUMMYFUNCTION("""COMPUTED_VALUE"""),"%")</f>
        <v>%</v>
      </c>
      <c r="T743" s="36">
        <f>IFERROR(__xludf.DUMMYFUNCTION("""COMPUTED_VALUE"""),2.0)</f>
        <v>2</v>
      </c>
      <c r="U743" s="37" t="str">
        <f>IFERROR(__xludf.DUMMYFUNCTION("""COMPUTED_VALUE"""),"B101")</f>
        <v>B101</v>
      </c>
      <c r="V743" s="38" t="str">
        <f>IFERROR(__xludf.DUMMYFUNCTION("""COMPUTED_VALUE"""),"")</f>
        <v/>
      </c>
      <c r="W743" s="34">
        <f>IFERROR(__xludf.DUMMYFUNCTION("""COMPUTED_VALUE"""),621.4)</f>
        <v>621.4</v>
      </c>
      <c r="X743" s="35" t="str">
        <f>IFERROR(__xludf.DUMMYFUNCTION("""COMPUTED_VALUE"""),"AP")</f>
        <v>AP</v>
      </c>
      <c r="Y743" s="34">
        <f>IFERROR(__xludf.DUMMYFUNCTION("""COMPUTED_VALUE"""),3.2)</f>
        <v>3.2</v>
      </c>
      <c r="Z743" s="35" t="str">
        <f>IFERROR(__xludf.DUMMYFUNCTION("""COMPUTED_VALUE"""),"%")</f>
        <v>%</v>
      </c>
      <c r="AA743" s="36">
        <f>IFERROR(__xludf.DUMMYFUNCTION("""COMPUTED_VALUE"""),3.0)</f>
        <v>3</v>
      </c>
      <c r="AB743" s="37"/>
      <c r="AC743" s="38"/>
      <c r="AD743" s="34" t="str">
        <f>IFERROR(__xludf.DUMMYFUNCTION("""COMPUTED_VALUE"""),"")</f>
        <v/>
      </c>
      <c r="AE743" s="35" t="str">
        <f>IFERROR(__xludf.DUMMYFUNCTION("""COMPUTED_VALUE"""),"AP")</f>
        <v>AP</v>
      </c>
      <c r="AF743" s="34" t="str">
        <f>IFERROR(__xludf.DUMMYFUNCTION("""COMPUTED_VALUE"""),"")</f>
        <v/>
      </c>
      <c r="AG743" s="35" t="str">
        <f>IFERROR(__xludf.DUMMYFUNCTION("""COMPUTED_VALUE"""),"%")</f>
        <v>%</v>
      </c>
      <c r="AH743" s="31">
        <f>IFERROR(__xludf.DUMMYFUNCTION("""COMPUTED_VALUE"""),20.0)</f>
        <v>20</v>
      </c>
      <c r="AI743" s="32">
        <f>IFERROR(__xludf.DUMMYFUNCTION("""COMPUTED_VALUE"""),1551.0)</f>
        <v>1551</v>
      </c>
      <c r="AJ743" s="39" t="str">
        <f>IFERROR(__xludf.DUMMYFUNCTION("""COMPUTED_VALUE"""),"ワシントン")</f>
        <v>ワシントン</v>
      </c>
    </row>
    <row r="744" ht="24.75" customHeight="1">
      <c r="A744" s="40">
        <f>IFERROR(__xludf.DUMMYFUNCTION("""COMPUTED_VALUE"""),6.0)</f>
        <v>6</v>
      </c>
      <c r="B744" s="40" t="str">
        <f>IFERROR(__xludf.DUMMYFUNCTION("""COMPUTED_VALUE"""),"A104")</f>
        <v>A104</v>
      </c>
      <c r="C744" s="40" t="str">
        <f>IFERROR(__xludf.DUMMYFUNCTION("""COMPUTED_VALUE"""),"TRF28")</f>
        <v>TRF28</v>
      </c>
      <c r="D744" s="41" t="str">
        <f>IFERROR(__xludf.DUMMYFUNCTION("""COMPUTED_VALUE"""),"Chaldea Gate (Sun)")</f>
        <v>Chaldea Gate (Sun)</v>
      </c>
      <c r="E744" s="42" t="str">
        <f>IFERROR(__xludf.DUMMYFUNCTION("""COMPUTED_VALUE"""),"SUN Saber Training Ground- Exp")</f>
        <v>SUN Saber Training Ground- Exp</v>
      </c>
      <c r="F744" s="43">
        <f>IFERROR(__xludf.DUMMYFUNCTION("""COMPUTED_VALUE"""),40.0)</f>
        <v>40</v>
      </c>
      <c r="G744" s="44">
        <f>IFERROR(__xludf.DUMMYFUNCTION("""COMPUTED_VALUE"""),27682.0)</f>
        <v>27682</v>
      </c>
      <c r="H744" s="33" t="str">
        <f>IFERROR(__xludf.DUMMYFUNCTION("""COMPUTED_VALUE"""),"")</f>
        <v/>
      </c>
      <c r="I744" s="45">
        <f>IFERROR(__xludf.DUMMYFUNCTION("""COMPUTED_VALUE"""),498.8)</f>
        <v>498.8</v>
      </c>
      <c r="J744" s="46" t="str">
        <f>IFERROR(__xludf.DUMMYFUNCTION("""COMPUTED_VALUE"""),"AP")</f>
        <v>AP</v>
      </c>
      <c r="K744" s="47">
        <f>IFERROR(__xludf.DUMMYFUNCTION("""COMPUTED_VALUE"""),8.0)</f>
        <v>8</v>
      </c>
      <c r="L744" s="48" t="str">
        <f>IFERROR(__xludf.DUMMYFUNCTION("""COMPUTED_VALUE"""),"%")</f>
        <v>%</v>
      </c>
      <c r="M744" s="49">
        <f>IFERROR(__xludf.DUMMYFUNCTION("""COMPUTED_VALUE"""),1.0)</f>
        <v>1</v>
      </c>
      <c r="N744" s="50" t="str">
        <f>IFERROR(__xludf.DUMMYFUNCTION("""COMPUTED_VALUE"""),"A201")</f>
        <v>A201</v>
      </c>
      <c r="O744" s="38" t="str">
        <f>IFERROR(__xludf.DUMMYFUNCTION("""COMPUTED_VALUE"""),"")</f>
        <v/>
      </c>
      <c r="P744" s="45">
        <f>IFERROR(__xludf.DUMMYFUNCTION("""COMPUTED_VALUE"""),149.7)</f>
        <v>149.7</v>
      </c>
      <c r="Q744" s="46" t="str">
        <f>IFERROR(__xludf.DUMMYFUNCTION("""COMPUTED_VALUE"""),"AP")</f>
        <v>AP</v>
      </c>
      <c r="R744" s="47">
        <f>IFERROR(__xludf.DUMMYFUNCTION("""COMPUTED_VALUE"""),26.7)</f>
        <v>26.7</v>
      </c>
      <c r="S744" s="48" t="str">
        <f>IFERROR(__xludf.DUMMYFUNCTION("""COMPUTED_VALUE"""),"%")</f>
        <v>%</v>
      </c>
      <c r="T744" s="49">
        <f>IFERROR(__xludf.DUMMYFUNCTION("""COMPUTED_VALUE"""),2.0)</f>
        <v>2</v>
      </c>
      <c r="U744" s="50" t="str">
        <f>IFERROR(__xludf.DUMMYFUNCTION("""COMPUTED_VALUE"""),"A205")</f>
        <v>A205</v>
      </c>
      <c r="V744" s="38" t="str">
        <f>IFERROR(__xludf.DUMMYFUNCTION("""COMPUTED_VALUE"""),"")</f>
        <v/>
      </c>
      <c r="W744" s="45">
        <f>IFERROR(__xludf.DUMMYFUNCTION("""COMPUTED_VALUE"""),377.3)</f>
        <v>377.3</v>
      </c>
      <c r="X744" s="46" t="str">
        <f>IFERROR(__xludf.DUMMYFUNCTION("""COMPUTED_VALUE"""),"AP")</f>
        <v>AP</v>
      </c>
      <c r="Y744" s="47">
        <f>IFERROR(__xludf.DUMMYFUNCTION("""COMPUTED_VALUE"""),10.6)</f>
        <v>10.6</v>
      </c>
      <c r="Z744" s="48" t="str">
        <f>IFERROR(__xludf.DUMMYFUNCTION("""COMPUTED_VALUE"""),"%")</f>
        <v>%</v>
      </c>
      <c r="AA744" s="49">
        <f>IFERROR(__xludf.DUMMYFUNCTION("""COMPUTED_VALUE"""),3.0)</f>
        <v>3</v>
      </c>
      <c r="AB744" s="50" t="str">
        <f>IFERROR(__xludf.DUMMYFUNCTION("""COMPUTED_VALUE"""),"A206")</f>
        <v>A206</v>
      </c>
      <c r="AC744" s="38" t="str">
        <f>IFERROR(__xludf.DUMMYFUNCTION("""COMPUTED_VALUE"""),"")</f>
        <v/>
      </c>
      <c r="AD744" s="45">
        <f>IFERROR(__xludf.DUMMYFUNCTION("""COMPUTED_VALUE"""),196.1)</f>
        <v>196.1</v>
      </c>
      <c r="AE744" s="46" t="str">
        <f>IFERROR(__xludf.DUMMYFUNCTION("""COMPUTED_VALUE"""),"AP")</f>
        <v>AP</v>
      </c>
      <c r="AF744" s="47">
        <f>IFERROR(__xludf.DUMMYFUNCTION("""COMPUTED_VALUE"""),20.4)</f>
        <v>20.4</v>
      </c>
      <c r="AG744" s="48" t="str">
        <f>IFERROR(__xludf.DUMMYFUNCTION("""COMPUTED_VALUE"""),"%")</f>
        <v>%</v>
      </c>
      <c r="AH744" s="43">
        <f>IFERROR(__xludf.DUMMYFUNCTION("""COMPUTED_VALUE"""),40.0)</f>
        <v>40</v>
      </c>
      <c r="AI744" s="44">
        <f>IFERROR(__xludf.DUMMYFUNCTION("""COMPUTED_VALUE"""),27682.0)</f>
        <v>27682</v>
      </c>
      <c r="AJ744" s="51" t="str">
        <f>IFERROR(__xludf.DUMMYFUNCTION("""COMPUTED_VALUE"""),"剣超級")</f>
        <v>剣超級</v>
      </c>
    </row>
    <row r="745" ht="24.75" customHeight="1">
      <c r="A745" s="28">
        <f>IFERROR(__xludf.DUMMYFUNCTION("""COMPUTED_VALUE"""),7.0)</f>
        <v>7</v>
      </c>
      <c r="B745" s="28" t="str">
        <f>IFERROR(__xludf.DUMMYFUNCTION("""COMPUTED_VALUE"""),"A104")</f>
        <v>A104</v>
      </c>
      <c r="C745" s="28" t="str">
        <f>IFERROR(__xludf.DUMMYFUNCTION("""COMPUTED_VALUE"""),"TRF27")</f>
        <v>TRF27</v>
      </c>
      <c r="D745" s="29" t="str">
        <f>IFERROR(__xludf.DUMMYFUNCTION("""COMPUTED_VALUE"""),"Chaldea Gate (Sun)")</f>
        <v>Chaldea Gate (Sun)</v>
      </c>
      <c r="E745" s="30" t="str">
        <f>IFERROR(__xludf.DUMMYFUNCTION("""COMPUTED_VALUE"""),"SUN Saber Training Ground- Adv")</f>
        <v>SUN Saber Training Ground- Adv</v>
      </c>
      <c r="F745" s="31">
        <f>IFERROR(__xludf.DUMMYFUNCTION("""COMPUTED_VALUE"""),30.0)</f>
        <v>30</v>
      </c>
      <c r="G745" s="32">
        <f>IFERROR(__xludf.DUMMYFUNCTION("""COMPUTED_VALUE"""),3856.0)</f>
        <v>3856</v>
      </c>
      <c r="H745" s="33" t="str">
        <f>IFERROR(__xludf.DUMMYFUNCTION("""COMPUTED_VALUE"""),"")</f>
        <v/>
      </c>
      <c r="I745" s="34">
        <f>IFERROR(__xludf.DUMMYFUNCTION("""COMPUTED_VALUE"""),776.4)</f>
        <v>776.4</v>
      </c>
      <c r="J745" s="35" t="str">
        <f>IFERROR(__xludf.DUMMYFUNCTION("""COMPUTED_VALUE"""),"AP")</f>
        <v>AP</v>
      </c>
      <c r="K745" s="34">
        <f>IFERROR(__xludf.DUMMYFUNCTION("""COMPUTED_VALUE"""),3.9)</f>
        <v>3.9</v>
      </c>
      <c r="L745" s="35" t="str">
        <f>IFERROR(__xludf.DUMMYFUNCTION("""COMPUTED_VALUE"""),"%")</f>
        <v>%</v>
      </c>
      <c r="M745" s="36">
        <f>IFERROR(__xludf.DUMMYFUNCTION("""COMPUTED_VALUE"""),1.0)</f>
        <v>1</v>
      </c>
      <c r="N745" s="37" t="str">
        <f>IFERROR(__xludf.DUMMYFUNCTION("""COMPUTED_VALUE"""),"A201")</f>
        <v>A201</v>
      </c>
      <c r="O745" s="38" t="str">
        <f>IFERROR(__xludf.DUMMYFUNCTION("""COMPUTED_VALUE"""),"")</f>
        <v/>
      </c>
      <c r="P745" s="34">
        <f>IFERROR(__xludf.DUMMYFUNCTION("""COMPUTED_VALUE"""),124.8)</f>
        <v>124.8</v>
      </c>
      <c r="Q745" s="35" t="str">
        <f>IFERROR(__xludf.DUMMYFUNCTION("""COMPUTED_VALUE"""),"AP")</f>
        <v>AP</v>
      </c>
      <c r="R745" s="34">
        <f>IFERROR(__xludf.DUMMYFUNCTION("""COMPUTED_VALUE"""),24.0)</f>
        <v>24</v>
      </c>
      <c r="S745" s="35" t="str">
        <f>IFERROR(__xludf.DUMMYFUNCTION("""COMPUTED_VALUE"""),"%")</f>
        <v>%</v>
      </c>
      <c r="T745" s="36">
        <f>IFERROR(__xludf.DUMMYFUNCTION("""COMPUTED_VALUE"""),2.0)</f>
        <v>2</v>
      </c>
      <c r="U745" s="37" t="str">
        <f>IFERROR(__xludf.DUMMYFUNCTION("""COMPUTED_VALUE"""),"A205")</f>
        <v>A205</v>
      </c>
      <c r="V745" s="38" t="str">
        <f>IFERROR(__xludf.DUMMYFUNCTION("""COMPUTED_VALUE"""),"")</f>
        <v/>
      </c>
      <c r="W745" s="34">
        <f>IFERROR(__xludf.DUMMYFUNCTION("""COMPUTED_VALUE"""),173.4)</f>
        <v>173.4</v>
      </c>
      <c r="X745" s="35" t="str">
        <f>IFERROR(__xludf.DUMMYFUNCTION("""COMPUTED_VALUE"""),"AP")</f>
        <v>AP</v>
      </c>
      <c r="Y745" s="34">
        <f>IFERROR(__xludf.DUMMYFUNCTION("""COMPUTED_VALUE"""),17.3)</f>
        <v>17.3</v>
      </c>
      <c r="Z745" s="35" t="str">
        <f>IFERROR(__xludf.DUMMYFUNCTION("""COMPUTED_VALUE"""),"%")</f>
        <v>%</v>
      </c>
      <c r="AA745" s="36">
        <f>IFERROR(__xludf.DUMMYFUNCTION("""COMPUTED_VALUE"""),3.0)</f>
        <v>3</v>
      </c>
      <c r="AB745" s="37" t="str">
        <f>IFERROR(__xludf.DUMMYFUNCTION("""COMPUTED_VALUE"""),"A206")</f>
        <v>A206</v>
      </c>
      <c r="AC745" s="38" t="str">
        <f>IFERROR(__xludf.DUMMYFUNCTION("""COMPUTED_VALUE"""),"")</f>
        <v/>
      </c>
      <c r="AD745" s="34">
        <f>IFERROR(__xludf.DUMMYFUNCTION("""COMPUTED_VALUE"""),209.9)</f>
        <v>209.9</v>
      </c>
      <c r="AE745" s="35" t="str">
        <f>IFERROR(__xludf.DUMMYFUNCTION("""COMPUTED_VALUE"""),"AP")</f>
        <v>AP</v>
      </c>
      <c r="AF745" s="34">
        <f>IFERROR(__xludf.DUMMYFUNCTION("""COMPUTED_VALUE"""),14.3)</f>
        <v>14.3</v>
      </c>
      <c r="AG745" s="35" t="str">
        <f>IFERROR(__xludf.DUMMYFUNCTION("""COMPUTED_VALUE"""),"%")</f>
        <v>%</v>
      </c>
      <c r="AH745" s="31">
        <f>IFERROR(__xludf.DUMMYFUNCTION("""COMPUTED_VALUE"""),30.0)</f>
        <v>30</v>
      </c>
      <c r="AI745" s="32">
        <f>IFERROR(__xludf.DUMMYFUNCTION("""COMPUTED_VALUE"""),3856.0)</f>
        <v>3856</v>
      </c>
      <c r="AJ745" s="39" t="str">
        <f>IFERROR(__xludf.DUMMYFUNCTION("""COMPUTED_VALUE"""),"剣上級")</f>
        <v>剣上級</v>
      </c>
    </row>
    <row r="746" ht="24.75" customHeight="1">
      <c r="A746" s="40">
        <f>IFERROR(__xludf.DUMMYFUNCTION("""COMPUTED_VALUE"""),8.0)</f>
        <v>8</v>
      </c>
      <c r="B746" s="40" t="str">
        <f>IFERROR(__xludf.DUMMYFUNCTION("""COMPUTED_VALUE"""),"A104")</f>
        <v>A104</v>
      </c>
      <c r="C746" s="40"/>
      <c r="D746" s="41"/>
      <c r="E746" s="66"/>
      <c r="F746" s="43"/>
      <c r="G746" s="44"/>
      <c r="H746" s="33" t="str">
        <f>IFERROR(__xludf.DUMMYFUNCTION("""COMPUTED_VALUE""")," ")</f>
        <v> </v>
      </c>
      <c r="I746" s="45"/>
      <c r="J746" s="46" t="str">
        <f>IFERROR(__xludf.DUMMYFUNCTION("""COMPUTED_VALUE"""),"AP")</f>
        <v>AP</v>
      </c>
      <c r="K746" s="47"/>
      <c r="L746" s="48" t="str">
        <f>IFERROR(__xludf.DUMMYFUNCTION("""COMPUTED_VALUE"""),"%")</f>
        <v>%</v>
      </c>
      <c r="M746" s="49">
        <f>IFERROR(__xludf.DUMMYFUNCTION("""COMPUTED_VALUE"""),1.0)</f>
        <v>1</v>
      </c>
      <c r="N746" s="50"/>
      <c r="O746" s="38"/>
      <c r="P746" s="45" t="str">
        <f>IFERROR(__xludf.DUMMYFUNCTION("""COMPUTED_VALUE"""),"")</f>
        <v/>
      </c>
      <c r="Q746" s="46" t="str">
        <f>IFERROR(__xludf.DUMMYFUNCTION("""COMPUTED_VALUE"""),"AP")</f>
        <v>AP</v>
      </c>
      <c r="R746" s="47" t="str">
        <f>IFERROR(__xludf.DUMMYFUNCTION("""COMPUTED_VALUE"""),"")</f>
        <v/>
      </c>
      <c r="S746" s="48" t="str">
        <f>IFERROR(__xludf.DUMMYFUNCTION("""COMPUTED_VALUE"""),"%")</f>
        <v>%</v>
      </c>
      <c r="T746" s="49">
        <f>IFERROR(__xludf.DUMMYFUNCTION("""COMPUTED_VALUE"""),2.0)</f>
        <v>2</v>
      </c>
      <c r="U746" s="50"/>
      <c r="V746" s="38"/>
      <c r="W746" s="45" t="str">
        <f>IFERROR(__xludf.DUMMYFUNCTION("""COMPUTED_VALUE"""),"")</f>
        <v/>
      </c>
      <c r="X746" s="46" t="str">
        <f>IFERROR(__xludf.DUMMYFUNCTION("""COMPUTED_VALUE"""),"AP")</f>
        <v>AP</v>
      </c>
      <c r="Y746" s="47" t="str">
        <f>IFERROR(__xludf.DUMMYFUNCTION("""COMPUTED_VALUE"""),"")</f>
        <v/>
      </c>
      <c r="Z746" s="48" t="str">
        <f>IFERROR(__xludf.DUMMYFUNCTION("""COMPUTED_VALUE"""),"%")</f>
        <v>%</v>
      </c>
      <c r="AA746" s="49">
        <f>IFERROR(__xludf.DUMMYFUNCTION("""COMPUTED_VALUE"""),3.0)</f>
        <v>3</v>
      </c>
      <c r="AB746" s="50"/>
      <c r="AC746" s="38"/>
      <c r="AD746" s="45" t="str">
        <f>IFERROR(__xludf.DUMMYFUNCTION("""COMPUTED_VALUE"""),"")</f>
        <v/>
      </c>
      <c r="AE746" s="46" t="str">
        <f>IFERROR(__xludf.DUMMYFUNCTION("""COMPUTED_VALUE"""),"AP")</f>
        <v>AP</v>
      </c>
      <c r="AF746" s="47" t="str">
        <f>IFERROR(__xludf.DUMMYFUNCTION("""COMPUTED_VALUE"""),"")</f>
        <v/>
      </c>
      <c r="AG746" s="48" t="str">
        <f>IFERROR(__xludf.DUMMYFUNCTION("""COMPUTED_VALUE"""),"%")</f>
        <v>%</v>
      </c>
      <c r="AH746" s="43"/>
      <c r="AI746" s="44"/>
      <c r="AJ746" s="51"/>
    </row>
    <row r="747" ht="24.75" hidden="1" customHeight="1">
      <c r="A747" s="28">
        <f>IFERROR(__xludf.DUMMYFUNCTION("""COMPUTED_VALUE"""),9.0)</f>
        <v>9</v>
      </c>
      <c r="B747" s="28" t="str">
        <f>IFERROR(__xludf.DUMMYFUNCTION("""COMPUTED_VALUE"""),"A104")</f>
        <v>A104</v>
      </c>
      <c r="C747" s="28"/>
      <c r="D747" s="29"/>
      <c r="E747" s="67"/>
      <c r="F747" s="31"/>
      <c r="G747" s="32"/>
      <c r="H747" s="33" t="str">
        <f>IFERROR(__xludf.DUMMYFUNCTION("""COMPUTED_VALUE""")," ")</f>
        <v> </v>
      </c>
      <c r="I747" s="34"/>
      <c r="J747" s="35" t="str">
        <f>IFERROR(__xludf.DUMMYFUNCTION("""COMPUTED_VALUE"""),"AP")</f>
        <v>AP</v>
      </c>
      <c r="K747" s="34"/>
      <c r="L747" s="35" t="str">
        <f>IFERROR(__xludf.DUMMYFUNCTION("""COMPUTED_VALUE"""),"%")</f>
        <v>%</v>
      </c>
      <c r="M747" s="36">
        <f>IFERROR(__xludf.DUMMYFUNCTION("""COMPUTED_VALUE"""),1.0)</f>
        <v>1</v>
      </c>
      <c r="N747" s="37"/>
      <c r="O747" s="38"/>
      <c r="P747" s="34" t="str">
        <f>IFERROR(__xludf.DUMMYFUNCTION("""COMPUTED_VALUE"""),"")</f>
        <v/>
      </c>
      <c r="Q747" s="35" t="str">
        <f>IFERROR(__xludf.DUMMYFUNCTION("""COMPUTED_VALUE"""),"AP")</f>
        <v>AP</v>
      </c>
      <c r="R747" s="34" t="str">
        <f>IFERROR(__xludf.DUMMYFUNCTION("""COMPUTED_VALUE"""),"")</f>
        <v/>
      </c>
      <c r="S747" s="35" t="str">
        <f>IFERROR(__xludf.DUMMYFUNCTION("""COMPUTED_VALUE"""),"%")</f>
        <v>%</v>
      </c>
      <c r="T747" s="36">
        <f>IFERROR(__xludf.DUMMYFUNCTION("""COMPUTED_VALUE"""),2.0)</f>
        <v>2</v>
      </c>
      <c r="U747" s="37"/>
      <c r="V747" s="38"/>
      <c r="W747" s="34" t="str">
        <f>IFERROR(__xludf.DUMMYFUNCTION("""COMPUTED_VALUE"""),"")</f>
        <v/>
      </c>
      <c r="X747" s="35" t="str">
        <f>IFERROR(__xludf.DUMMYFUNCTION("""COMPUTED_VALUE"""),"AP")</f>
        <v>AP</v>
      </c>
      <c r="Y747" s="34" t="str">
        <f>IFERROR(__xludf.DUMMYFUNCTION("""COMPUTED_VALUE"""),"")</f>
        <v/>
      </c>
      <c r="Z747" s="35" t="str">
        <f>IFERROR(__xludf.DUMMYFUNCTION("""COMPUTED_VALUE"""),"%")</f>
        <v>%</v>
      </c>
      <c r="AA747" s="36">
        <f>IFERROR(__xludf.DUMMYFUNCTION("""COMPUTED_VALUE"""),3.0)</f>
        <v>3</v>
      </c>
      <c r="AB747" s="37"/>
      <c r="AC747" s="38"/>
      <c r="AD747" s="34" t="str">
        <f>IFERROR(__xludf.DUMMYFUNCTION("""COMPUTED_VALUE"""),"")</f>
        <v/>
      </c>
      <c r="AE747" s="35" t="str">
        <f>IFERROR(__xludf.DUMMYFUNCTION("""COMPUTED_VALUE"""),"AP")</f>
        <v>AP</v>
      </c>
      <c r="AF747" s="34" t="str">
        <f>IFERROR(__xludf.DUMMYFUNCTION("""COMPUTED_VALUE"""),"")</f>
        <v/>
      </c>
      <c r="AG747" s="35" t="str">
        <f>IFERROR(__xludf.DUMMYFUNCTION("""COMPUTED_VALUE"""),"%")</f>
        <v>%</v>
      </c>
      <c r="AH747" s="31"/>
      <c r="AI747" s="32"/>
      <c r="AJ747" s="39"/>
    </row>
    <row r="748" ht="24.75" hidden="1" customHeight="1">
      <c r="A748" s="40">
        <f>IFERROR(__xludf.DUMMYFUNCTION("""COMPUTED_VALUE"""),10.0)</f>
        <v>10</v>
      </c>
      <c r="B748" s="40" t="str">
        <f>IFERROR(__xludf.DUMMYFUNCTION("""COMPUTED_VALUE"""),"A104")</f>
        <v>A104</v>
      </c>
      <c r="C748" s="40"/>
      <c r="D748" s="41"/>
      <c r="E748" s="66"/>
      <c r="F748" s="43"/>
      <c r="G748" s="44"/>
      <c r="H748" s="33" t="str">
        <f>IFERROR(__xludf.DUMMYFUNCTION("""COMPUTED_VALUE""")," ")</f>
        <v> </v>
      </c>
      <c r="I748" s="45"/>
      <c r="J748" s="46" t="str">
        <f>IFERROR(__xludf.DUMMYFUNCTION("""COMPUTED_VALUE"""),"AP")</f>
        <v>AP</v>
      </c>
      <c r="K748" s="47"/>
      <c r="L748" s="48" t="str">
        <f>IFERROR(__xludf.DUMMYFUNCTION("""COMPUTED_VALUE"""),"%")</f>
        <v>%</v>
      </c>
      <c r="M748" s="49">
        <f>IFERROR(__xludf.DUMMYFUNCTION("""COMPUTED_VALUE"""),1.0)</f>
        <v>1</v>
      </c>
      <c r="N748" s="50"/>
      <c r="O748" s="38"/>
      <c r="P748" s="45" t="str">
        <f>IFERROR(__xludf.DUMMYFUNCTION("""COMPUTED_VALUE"""),"")</f>
        <v/>
      </c>
      <c r="Q748" s="46" t="str">
        <f>IFERROR(__xludf.DUMMYFUNCTION("""COMPUTED_VALUE"""),"AP")</f>
        <v>AP</v>
      </c>
      <c r="R748" s="47" t="str">
        <f>IFERROR(__xludf.DUMMYFUNCTION("""COMPUTED_VALUE"""),"")</f>
        <v/>
      </c>
      <c r="S748" s="48" t="str">
        <f>IFERROR(__xludf.DUMMYFUNCTION("""COMPUTED_VALUE"""),"%")</f>
        <v>%</v>
      </c>
      <c r="T748" s="49">
        <f>IFERROR(__xludf.DUMMYFUNCTION("""COMPUTED_VALUE"""),2.0)</f>
        <v>2</v>
      </c>
      <c r="U748" s="50"/>
      <c r="V748" s="38"/>
      <c r="W748" s="45" t="str">
        <f>IFERROR(__xludf.DUMMYFUNCTION("""COMPUTED_VALUE"""),"")</f>
        <v/>
      </c>
      <c r="X748" s="46" t="str">
        <f>IFERROR(__xludf.DUMMYFUNCTION("""COMPUTED_VALUE"""),"AP")</f>
        <v>AP</v>
      </c>
      <c r="Y748" s="47" t="str">
        <f>IFERROR(__xludf.DUMMYFUNCTION("""COMPUTED_VALUE"""),"")</f>
        <v/>
      </c>
      <c r="Z748" s="48" t="str">
        <f>IFERROR(__xludf.DUMMYFUNCTION("""COMPUTED_VALUE"""),"%")</f>
        <v>%</v>
      </c>
      <c r="AA748" s="49">
        <f>IFERROR(__xludf.DUMMYFUNCTION("""COMPUTED_VALUE"""),3.0)</f>
        <v>3</v>
      </c>
      <c r="AB748" s="50"/>
      <c r="AC748" s="38"/>
      <c r="AD748" s="45" t="str">
        <f>IFERROR(__xludf.DUMMYFUNCTION("""COMPUTED_VALUE"""),"")</f>
        <v/>
      </c>
      <c r="AE748" s="46" t="str">
        <f>IFERROR(__xludf.DUMMYFUNCTION("""COMPUTED_VALUE"""),"AP")</f>
        <v>AP</v>
      </c>
      <c r="AF748" s="47" t="str">
        <f>IFERROR(__xludf.DUMMYFUNCTION("""COMPUTED_VALUE"""),"")</f>
        <v/>
      </c>
      <c r="AG748" s="48" t="str">
        <f>IFERROR(__xludf.DUMMYFUNCTION("""COMPUTED_VALUE"""),"%")</f>
        <v>%</v>
      </c>
      <c r="AH748" s="43"/>
      <c r="AI748" s="44"/>
      <c r="AJ748" s="51"/>
    </row>
    <row r="749" ht="24.75" hidden="1" customHeight="1">
      <c r="A749" s="28">
        <f>IFERROR(__xludf.DUMMYFUNCTION("""COMPUTED_VALUE"""),11.0)</f>
        <v>11</v>
      </c>
      <c r="B749" s="28" t="str">
        <f>IFERROR(__xludf.DUMMYFUNCTION("""COMPUTED_VALUE"""),"A104")</f>
        <v>A104</v>
      </c>
      <c r="C749" s="28"/>
      <c r="D749" s="29"/>
      <c r="E749" s="67"/>
      <c r="F749" s="31"/>
      <c r="G749" s="32"/>
      <c r="H749" s="33" t="str">
        <f>IFERROR(__xludf.DUMMYFUNCTION("""COMPUTED_VALUE""")," ")</f>
        <v> </v>
      </c>
      <c r="I749" s="34"/>
      <c r="J749" s="35" t="str">
        <f>IFERROR(__xludf.DUMMYFUNCTION("""COMPUTED_VALUE"""),"AP")</f>
        <v>AP</v>
      </c>
      <c r="K749" s="34"/>
      <c r="L749" s="35" t="str">
        <f>IFERROR(__xludf.DUMMYFUNCTION("""COMPUTED_VALUE"""),"%")</f>
        <v>%</v>
      </c>
      <c r="M749" s="36">
        <f>IFERROR(__xludf.DUMMYFUNCTION("""COMPUTED_VALUE"""),1.0)</f>
        <v>1</v>
      </c>
      <c r="N749" s="37"/>
      <c r="O749" s="38"/>
      <c r="P749" s="34" t="str">
        <f>IFERROR(__xludf.DUMMYFUNCTION("""COMPUTED_VALUE"""),"")</f>
        <v/>
      </c>
      <c r="Q749" s="35" t="str">
        <f>IFERROR(__xludf.DUMMYFUNCTION("""COMPUTED_VALUE"""),"AP")</f>
        <v>AP</v>
      </c>
      <c r="R749" s="34" t="str">
        <f>IFERROR(__xludf.DUMMYFUNCTION("""COMPUTED_VALUE"""),"")</f>
        <v/>
      </c>
      <c r="S749" s="35" t="str">
        <f>IFERROR(__xludf.DUMMYFUNCTION("""COMPUTED_VALUE"""),"%")</f>
        <v>%</v>
      </c>
      <c r="T749" s="36">
        <f>IFERROR(__xludf.DUMMYFUNCTION("""COMPUTED_VALUE"""),2.0)</f>
        <v>2</v>
      </c>
      <c r="U749" s="37"/>
      <c r="V749" s="38"/>
      <c r="W749" s="34" t="str">
        <f>IFERROR(__xludf.DUMMYFUNCTION("""COMPUTED_VALUE"""),"")</f>
        <v/>
      </c>
      <c r="X749" s="35" t="str">
        <f>IFERROR(__xludf.DUMMYFUNCTION("""COMPUTED_VALUE"""),"AP")</f>
        <v>AP</v>
      </c>
      <c r="Y749" s="34" t="str">
        <f>IFERROR(__xludf.DUMMYFUNCTION("""COMPUTED_VALUE"""),"")</f>
        <v/>
      </c>
      <c r="Z749" s="35" t="str">
        <f>IFERROR(__xludf.DUMMYFUNCTION("""COMPUTED_VALUE"""),"%")</f>
        <v>%</v>
      </c>
      <c r="AA749" s="36">
        <f>IFERROR(__xludf.DUMMYFUNCTION("""COMPUTED_VALUE"""),3.0)</f>
        <v>3</v>
      </c>
      <c r="AB749" s="37"/>
      <c r="AC749" s="38"/>
      <c r="AD749" s="34" t="str">
        <f>IFERROR(__xludf.DUMMYFUNCTION("""COMPUTED_VALUE"""),"")</f>
        <v/>
      </c>
      <c r="AE749" s="35" t="str">
        <f>IFERROR(__xludf.DUMMYFUNCTION("""COMPUTED_VALUE"""),"AP")</f>
        <v>AP</v>
      </c>
      <c r="AF749" s="34" t="str">
        <f>IFERROR(__xludf.DUMMYFUNCTION("""COMPUTED_VALUE"""),"")</f>
        <v/>
      </c>
      <c r="AG749" s="35" t="str">
        <f>IFERROR(__xludf.DUMMYFUNCTION("""COMPUTED_VALUE"""),"%")</f>
        <v>%</v>
      </c>
      <c r="AH749" s="31"/>
      <c r="AI749" s="32"/>
      <c r="AJ749" s="39"/>
    </row>
    <row r="750" ht="24.75" hidden="1" customHeight="1">
      <c r="A750" s="40">
        <f>IFERROR(__xludf.DUMMYFUNCTION("""COMPUTED_VALUE"""),12.0)</f>
        <v>12</v>
      </c>
      <c r="B750" s="40" t="str">
        <f>IFERROR(__xludf.DUMMYFUNCTION("""COMPUTED_VALUE"""),"A104")</f>
        <v>A104</v>
      </c>
      <c r="C750" s="40"/>
      <c r="D750" s="41"/>
      <c r="E750" s="66"/>
      <c r="F750" s="43"/>
      <c r="G750" s="44"/>
      <c r="H750" s="33" t="str">
        <f>IFERROR(__xludf.DUMMYFUNCTION("""COMPUTED_VALUE""")," ")</f>
        <v> </v>
      </c>
      <c r="I750" s="45"/>
      <c r="J750" s="46" t="str">
        <f>IFERROR(__xludf.DUMMYFUNCTION("""COMPUTED_VALUE"""),"AP")</f>
        <v>AP</v>
      </c>
      <c r="K750" s="47"/>
      <c r="L750" s="48" t="str">
        <f>IFERROR(__xludf.DUMMYFUNCTION("""COMPUTED_VALUE"""),"%")</f>
        <v>%</v>
      </c>
      <c r="M750" s="49">
        <f>IFERROR(__xludf.DUMMYFUNCTION("""COMPUTED_VALUE"""),1.0)</f>
        <v>1</v>
      </c>
      <c r="N750" s="50"/>
      <c r="O750" s="38"/>
      <c r="P750" s="45" t="str">
        <f>IFERROR(__xludf.DUMMYFUNCTION("""COMPUTED_VALUE"""),"")</f>
        <v/>
      </c>
      <c r="Q750" s="46" t="str">
        <f>IFERROR(__xludf.DUMMYFUNCTION("""COMPUTED_VALUE"""),"AP")</f>
        <v>AP</v>
      </c>
      <c r="R750" s="47" t="str">
        <f>IFERROR(__xludf.DUMMYFUNCTION("""COMPUTED_VALUE"""),"")</f>
        <v/>
      </c>
      <c r="S750" s="48" t="str">
        <f>IFERROR(__xludf.DUMMYFUNCTION("""COMPUTED_VALUE"""),"%")</f>
        <v>%</v>
      </c>
      <c r="T750" s="49">
        <f>IFERROR(__xludf.DUMMYFUNCTION("""COMPUTED_VALUE"""),2.0)</f>
        <v>2</v>
      </c>
      <c r="U750" s="50"/>
      <c r="V750" s="38"/>
      <c r="W750" s="45" t="str">
        <f>IFERROR(__xludf.DUMMYFUNCTION("""COMPUTED_VALUE"""),"")</f>
        <v/>
      </c>
      <c r="X750" s="46" t="str">
        <f>IFERROR(__xludf.DUMMYFUNCTION("""COMPUTED_VALUE"""),"AP")</f>
        <v>AP</v>
      </c>
      <c r="Y750" s="47" t="str">
        <f>IFERROR(__xludf.DUMMYFUNCTION("""COMPUTED_VALUE"""),"")</f>
        <v/>
      </c>
      <c r="Z750" s="48" t="str">
        <f>IFERROR(__xludf.DUMMYFUNCTION("""COMPUTED_VALUE"""),"%")</f>
        <v>%</v>
      </c>
      <c r="AA750" s="49">
        <f>IFERROR(__xludf.DUMMYFUNCTION("""COMPUTED_VALUE"""),3.0)</f>
        <v>3</v>
      </c>
      <c r="AB750" s="50"/>
      <c r="AC750" s="38"/>
      <c r="AD750" s="45" t="str">
        <f>IFERROR(__xludf.DUMMYFUNCTION("""COMPUTED_VALUE"""),"")</f>
        <v/>
      </c>
      <c r="AE750" s="46" t="str">
        <f>IFERROR(__xludf.DUMMYFUNCTION("""COMPUTED_VALUE"""),"AP")</f>
        <v>AP</v>
      </c>
      <c r="AF750" s="47" t="str">
        <f>IFERROR(__xludf.DUMMYFUNCTION("""COMPUTED_VALUE"""),"")</f>
        <v/>
      </c>
      <c r="AG750" s="48" t="str">
        <f>IFERROR(__xludf.DUMMYFUNCTION("""COMPUTED_VALUE"""),"%")</f>
        <v>%</v>
      </c>
      <c r="AH750" s="43"/>
      <c r="AI750" s="44"/>
      <c r="AJ750" s="51"/>
    </row>
    <row r="751" ht="24.75" hidden="1" customHeight="1">
      <c r="A751" s="28">
        <f>IFERROR(__xludf.DUMMYFUNCTION("""COMPUTED_VALUE"""),13.0)</f>
        <v>13</v>
      </c>
      <c r="B751" s="28" t="str">
        <f>IFERROR(__xludf.DUMMYFUNCTION("""COMPUTED_VALUE"""),"A104")</f>
        <v>A104</v>
      </c>
      <c r="C751" s="28"/>
      <c r="D751" s="29"/>
      <c r="E751" s="67"/>
      <c r="F751" s="31"/>
      <c r="G751" s="32"/>
      <c r="H751" s="33" t="str">
        <f>IFERROR(__xludf.DUMMYFUNCTION("""COMPUTED_VALUE""")," ")</f>
        <v> </v>
      </c>
      <c r="I751" s="34"/>
      <c r="J751" s="35" t="str">
        <f>IFERROR(__xludf.DUMMYFUNCTION("""COMPUTED_VALUE"""),"AP")</f>
        <v>AP</v>
      </c>
      <c r="K751" s="34"/>
      <c r="L751" s="35" t="str">
        <f>IFERROR(__xludf.DUMMYFUNCTION("""COMPUTED_VALUE"""),"%")</f>
        <v>%</v>
      </c>
      <c r="M751" s="36">
        <f>IFERROR(__xludf.DUMMYFUNCTION("""COMPUTED_VALUE"""),1.0)</f>
        <v>1</v>
      </c>
      <c r="N751" s="37"/>
      <c r="O751" s="38"/>
      <c r="P751" s="34" t="str">
        <f>IFERROR(__xludf.DUMMYFUNCTION("""COMPUTED_VALUE"""),"")</f>
        <v/>
      </c>
      <c r="Q751" s="35" t="str">
        <f>IFERROR(__xludf.DUMMYFUNCTION("""COMPUTED_VALUE"""),"AP")</f>
        <v>AP</v>
      </c>
      <c r="R751" s="34" t="str">
        <f>IFERROR(__xludf.DUMMYFUNCTION("""COMPUTED_VALUE"""),"")</f>
        <v/>
      </c>
      <c r="S751" s="35" t="str">
        <f>IFERROR(__xludf.DUMMYFUNCTION("""COMPUTED_VALUE"""),"%")</f>
        <v>%</v>
      </c>
      <c r="T751" s="36">
        <f>IFERROR(__xludf.DUMMYFUNCTION("""COMPUTED_VALUE"""),2.0)</f>
        <v>2</v>
      </c>
      <c r="U751" s="37"/>
      <c r="V751" s="38"/>
      <c r="W751" s="34" t="str">
        <f>IFERROR(__xludf.DUMMYFUNCTION("""COMPUTED_VALUE"""),"")</f>
        <v/>
      </c>
      <c r="X751" s="35" t="str">
        <f>IFERROR(__xludf.DUMMYFUNCTION("""COMPUTED_VALUE"""),"AP")</f>
        <v>AP</v>
      </c>
      <c r="Y751" s="34" t="str">
        <f>IFERROR(__xludf.DUMMYFUNCTION("""COMPUTED_VALUE"""),"")</f>
        <v/>
      </c>
      <c r="Z751" s="35" t="str">
        <f>IFERROR(__xludf.DUMMYFUNCTION("""COMPUTED_VALUE"""),"%")</f>
        <v>%</v>
      </c>
      <c r="AA751" s="36">
        <f>IFERROR(__xludf.DUMMYFUNCTION("""COMPUTED_VALUE"""),3.0)</f>
        <v>3</v>
      </c>
      <c r="AB751" s="37"/>
      <c r="AC751" s="38"/>
      <c r="AD751" s="34" t="str">
        <f>IFERROR(__xludf.DUMMYFUNCTION("""COMPUTED_VALUE"""),"")</f>
        <v/>
      </c>
      <c r="AE751" s="35" t="str">
        <f>IFERROR(__xludf.DUMMYFUNCTION("""COMPUTED_VALUE"""),"AP")</f>
        <v>AP</v>
      </c>
      <c r="AF751" s="34" t="str">
        <f>IFERROR(__xludf.DUMMYFUNCTION("""COMPUTED_VALUE"""),"")</f>
        <v/>
      </c>
      <c r="AG751" s="35" t="str">
        <f>IFERROR(__xludf.DUMMYFUNCTION("""COMPUTED_VALUE"""),"%")</f>
        <v>%</v>
      </c>
      <c r="AH751" s="31"/>
      <c r="AI751" s="32"/>
      <c r="AJ751" s="39"/>
    </row>
    <row r="752" ht="24.75" hidden="1" customHeight="1">
      <c r="A752" s="40">
        <f>IFERROR(__xludf.DUMMYFUNCTION("""COMPUTED_VALUE"""),14.0)</f>
        <v>14</v>
      </c>
      <c r="B752" s="40" t="str">
        <f>IFERROR(__xludf.DUMMYFUNCTION("""COMPUTED_VALUE"""),"A104")</f>
        <v>A104</v>
      </c>
      <c r="C752" s="40"/>
      <c r="D752" s="41"/>
      <c r="E752" s="66"/>
      <c r="F752" s="43"/>
      <c r="G752" s="44"/>
      <c r="H752" s="33" t="str">
        <f>IFERROR(__xludf.DUMMYFUNCTION("""COMPUTED_VALUE""")," ")</f>
        <v> </v>
      </c>
      <c r="I752" s="45"/>
      <c r="J752" s="46" t="str">
        <f>IFERROR(__xludf.DUMMYFUNCTION("""COMPUTED_VALUE"""),"AP")</f>
        <v>AP</v>
      </c>
      <c r="K752" s="47"/>
      <c r="L752" s="48" t="str">
        <f>IFERROR(__xludf.DUMMYFUNCTION("""COMPUTED_VALUE"""),"%")</f>
        <v>%</v>
      </c>
      <c r="M752" s="49">
        <f>IFERROR(__xludf.DUMMYFUNCTION("""COMPUTED_VALUE"""),1.0)</f>
        <v>1</v>
      </c>
      <c r="N752" s="50"/>
      <c r="O752" s="38"/>
      <c r="P752" s="45" t="str">
        <f>IFERROR(__xludf.DUMMYFUNCTION("""COMPUTED_VALUE"""),"")</f>
        <v/>
      </c>
      <c r="Q752" s="46" t="str">
        <f>IFERROR(__xludf.DUMMYFUNCTION("""COMPUTED_VALUE"""),"AP")</f>
        <v>AP</v>
      </c>
      <c r="R752" s="47" t="str">
        <f>IFERROR(__xludf.DUMMYFUNCTION("""COMPUTED_VALUE"""),"")</f>
        <v/>
      </c>
      <c r="S752" s="48" t="str">
        <f>IFERROR(__xludf.DUMMYFUNCTION("""COMPUTED_VALUE"""),"%")</f>
        <v>%</v>
      </c>
      <c r="T752" s="49">
        <f>IFERROR(__xludf.DUMMYFUNCTION("""COMPUTED_VALUE"""),2.0)</f>
        <v>2</v>
      </c>
      <c r="U752" s="50"/>
      <c r="V752" s="38"/>
      <c r="W752" s="45" t="str">
        <f>IFERROR(__xludf.DUMMYFUNCTION("""COMPUTED_VALUE"""),"")</f>
        <v/>
      </c>
      <c r="X752" s="46" t="str">
        <f>IFERROR(__xludf.DUMMYFUNCTION("""COMPUTED_VALUE"""),"AP")</f>
        <v>AP</v>
      </c>
      <c r="Y752" s="47" t="str">
        <f>IFERROR(__xludf.DUMMYFUNCTION("""COMPUTED_VALUE"""),"")</f>
        <v/>
      </c>
      <c r="Z752" s="48" t="str">
        <f>IFERROR(__xludf.DUMMYFUNCTION("""COMPUTED_VALUE"""),"%")</f>
        <v>%</v>
      </c>
      <c r="AA752" s="49">
        <f>IFERROR(__xludf.DUMMYFUNCTION("""COMPUTED_VALUE"""),3.0)</f>
        <v>3</v>
      </c>
      <c r="AB752" s="50"/>
      <c r="AC752" s="38"/>
      <c r="AD752" s="45" t="str">
        <f>IFERROR(__xludf.DUMMYFUNCTION("""COMPUTED_VALUE"""),"")</f>
        <v/>
      </c>
      <c r="AE752" s="46" t="str">
        <f>IFERROR(__xludf.DUMMYFUNCTION("""COMPUTED_VALUE"""),"AP")</f>
        <v>AP</v>
      </c>
      <c r="AF752" s="47" t="str">
        <f>IFERROR(__xludf.DUMMYFUNCTION("""COMPUTED_VALUE"""),"")</f>
        <v/>
      </c>
      <c r="AG752" s="48" t="str">
        <f>IFERROR(__xludf.DUMMYFUNCTION("""COMPUTED_VALUE"""),"%")</f>
        <v>%</v>
      </c>
      <c r="AH752" s="43"/>
      <c r="AI752" s="44"/>
      <c r="AJ752" s="51"/>
    </row>
    <row r="753" ht="24.75" hidden="1" customHeight="1">
      <c r="A753" s="28">
        <f>IFERROR(__xludf.DUMMYFUNCTION("""COMPUTED_VALUE"""),15.0)</f>
        <v>15</v>
      </c>
      <c r="B753" s="28" t="str">
        <f>IFERROR(__xludf.DUMMYFUNCTION("""COMPUTED_VALUE"""),"A104")</f>
        <v>A104</v>
      </c>
      <c r="C753" s="28"/>
      <c r="D753" s="29"/>
      <c r="E753" s="67"/>
      <c r="F753" s="31"/>
      <c r="G753" s="32"/>
      <c r="H753" s="33" t="str">
        <f>IFERROR(__xludf.DUMMYFUNCTION("""COMPUTED_VALUE""")," ")</f>
        <v> </v>
      </c>
      <c r="I753" s="34"/>
      <c r="J753" s="35" t="str">
        <f>IFERROR(__xludf.DUMMYFUNCTION("""COMPUTED_VALUE"""),"AP")</f>
        <v>AP</v>
      </c>
      <c r="K753" s="34"/>
      <c r="L753" s="35" t="str">
        <f>IFERROR(__xludf.DUMMYFUNCTION("""COMPUTED_VALUE"""),"%")</f>
        <v>%</v>
      </c>
      <c r="M753" s="36">
        <f>IFERROR(__xludf.DUMMYFUNCTION("""COMPUTED_VALUE"""),1.0)</f>
        <v>1</v>
      </c>
      <c r="N753" s="37"/>
      <c r="O753" s="38"/>
      <c r="P753" s="34" t="str">
        <f>IFERROR(__xludf.DUMMYFUNCTION("""COMPUTED_VALUE"""),"")</f>
        <v/>
      </c>
      <c r="Q753" s="35" t="str">
        <f>IFERROR(__xludf.DUMMYFUNCTION("""COMPUTED_VALUE"""),"AP")</f>
        <v>AP</v>
      </c>
      <c r="R753" s="34" t="str">
        <f>IFERROR(__xludf.DUMMYFUNCTION("""COMPUTED_VALUE"""),"")</f>
        <v/>
      </c>
      <c r="S753" s="35" t="str">
        <f>IFERROR(__xludf.DUMMYFUNCTION("""COMPUTED_VALUE"""),"%")</f>
        <v>%</v>
      </c>
      <c r="T753" s="36">
        <f>IFERROR(__xludf.DUMMYFUNCTION("""COMPUTED_VALUE"""),2.0)</f>
        <v>2</v>
      </c>
      <c r="U753" s="37"/>
      <c r="V753" s="38"/>
      <c r="W753" s="34" t="str">
        <f>IFERROR(__xludf.DUMMYFUNCTION("""COMPUTED_VALUE"""),"")</f>
        <v/>
      </c>
      <c r="X753" s="35" t="str">
        <f>IFERROR(__xludf.DUMMYFUNCTION("""COMPUTED_VALUE"""),"AP")</f>
        <v>AP</v>
      </c>
      <c r="Y753" s="34" t="str">
        <f>IFERROR(__xludf.DUMMYFUNCTION("""COMPUTED_VALUE"""),"")</f>
        <v/>
      </c>
      <c r="Z753" s="35" t="str">
        <f>IFERROR(__xludf.DUMMYFUNCTION("""COMPUTED_VALUE"""),"%")</f>
        <v>%</v>
      </c>
      <c r="AA753" s="36">
        <f>IFERROR(__xludf.DUMMYFUNCTION("""COMPUTED_VALUE"""),3.0)</f>
        <v>3</v>
      </c>
      <c r="AB753" s="37"/>
      <c r="AC753" s="38"/>
      <c r="AD753" s="34" t="str">
        <f>IFERROR(__xludf.DUMMYFUNCTION("""COMPUTED_VALUE"""),"")</f>
        <v/>
      </c>
      <c r="AE753" s="35" t="str">
        <f>IFERROR(__xludf.DUMMYFUNCTION("""COMPUTED_VALUE"""),"AP")</f>
        <v>AP</v>
      </c>
      <c r="AF753" s="34" t="str">
        <f>IFERROR(__xludf.DUMMYFUNCTION("""COMPUTED_VALUE"""),"")</f>
        <v/>
      </c>
      <c r="AG753" s="35" t="str">
        <f>IFERROR(__xludf.DUMMYFUNCTION("""COMPUTED_VALUE"""),"%")</f>
        <v>%</v>
      </c>
      <c r="AH753" s="31"/>
      <c r="AI753" s="32"/>
      <c r="AJ753" s="39"/>
    </row>
    <row r="754" ht="24.75" hidden="1" customHeight="1">
      <c r="A754" s="40">
        <f>IFERROR(__xludf.DUMMYFUNCTION("""COMPUTED_VALUE"""),16.0)</f>
        <v>16</v>
      </c>
      <c r="B754" s="40" t="str">
        <f>IFERROR(__xludf.DUMMYFUNCTION("""COMPUTED_VALUE"""),"A104")</f>
        <v>A104</v>
      </c>
      <c r="C754" s="40"/>
      <c r="D754" s="41"/>
      <c r="E754" s="66"/>
      <c r="F754" s="43"/>
      <c r="G754" s="44"/>
      <c r="H754" s="33" t="str">
        <f>IFERROR(__xludf.DUMMYFUNCTION("""COMPUTED_VALUE""")," ")</f>
        <v> </v>
      </c>
      <c r="I754" s="45"/>
      <c r="J754" s="46" t="str">
        <f>IFERROR(__xludf.DUMMYFUNCTION("""COMPUTED_VALUE"""),"AP")</f>
        <v>AP</v>
      </c>
      <c r="K754" s="47"/>
      <c r="L754" s="48" t="str">
        <f>IFERROR(__xludf.DUMMYFUNCTION("""COMPUTED_VALUE"""),"%")</f>
        <v>%</v>
      </c>
      <c r="M754" s="49">
        <f>IFERROR(__xludf.DUMMYFUNCTION("""COMPUTED_VALUE"""),1.0)</f>
        <v>1</v>
      </c>
      <c r="N754" s="50"/>
      <c r="O754" s="38"/>
      <c r="P754" s="45" t="str">
        <f>IFERROR(__xludf.DUMMYFUNCTION("""COMPUTED_VALUE"""),"")</f>
        <v/>
      </c>
      <c r="Q754" s="46" t="str">
        <f>IFERROR(__xludf.DUMMYFUNCTION("""COMPUTED_VALUE"""),"AP")</f>
        <v>AP</v>
      </c>
      <c r="R754" s="47" t="str">
        <f>IFERROR(__xludf.DUMMYFUNCTION("""COMPUTED_VALUE"""),"")</f>
        <v/>
      </c>
      <c r="S754" s="48" t="str">
        <f>IFERROR(__xludf.DUMMYFUNCTION("""COMPUTED_VALUE"""),"%")</f>
        <v>%</v>
      </c>
      <c r="T754" s="49">
        <f>IFERROR(__xludf.DUMMYFUNCTION("""COMPUTED_VALUE"""),2.0)</f>
        <v>2</v>
      </c>
      <c r="U754" s="50"/>
      <c r="V754" s="38"/>
      <c r="W754" s="45" t="str">
        <f>IFERROR(__xludf.DUMMYFUNCTION("""COMPUTED_VALUE"""),"")</f>
        <v/>
      </c>
      <c r="X754" s="46" t="str">
        <f>IFERROR(__xludf.DUMMYFUNCTION("""COMPUTED_VALUE"""),"AP")</f>
        <v>AP</v>
      </c>
      <c r="Y754" s="47" t="str">
        <f>IFERROR(__xludf.DUMMYFUNCTION("""COMPUTED_VALUE"""),"")</f>
        <v/>
      </c>
      <c r="Z754" s="48" t="str">
        <f>IFERROR(__xludf.DUMMYFUNCTION("""COMPUTED_VALUE"""),"%")</f>
        <v>%</v>
      </c>
      <c r="AA754" s="49">
        <f>IFERROR(__xludf.DUMMYFUNCTION("""COMPUTED_VALUE"""),3.0)</f>
        <v>3</v>
      </c>
      <c r="AB754" s="50"/>
      <c r="AC754" s="38"/>
      <c r="AD754" s="45" t="str">
        <f>IFERROR(__xludf.DUMMYFUNCTION("""COMPUTED_VALUE"""),"")</f>
        <v/>
      </c>
      <c r="AE754" s="46" t="str">
        <f>IFERROR(__xludf.DUMMYFUNCTION("""COMPUTED_VALUE"""),"AP")</f>
        <v>AP</v>
      </c>
      <c r="AF754" s="47" t="str">
        <f>IFERROR(__xludf.DUMMYFUNCTION("""COMPUTED_VALUE"""),"")</f>
        <v/>
      </c>
      <c r="AG754" s="48" t="str">
        <f>IFERROR(__xludf.DUMMYFUNCTION("""COMPUTED_VALUE"""),"%")</f>
        <v>%</v>
      </c>
      <c r="AH754" s="43"/>
      <c r="AI754" s="44"/>
      <c r="AJ754" s="51"/>
    </row>
    <row r="755" ht="24.75" hidden="1" customHeight="1">
      <c r="A755" s="28">
        <f>IFERROR(__xludf.DUMMYFUNCTION("""COMPUTED_VALUE"""),17.0)</f>
        <v>17</v>
      </c>
      <c r="B755" s="28" t="str">
        <f>IFERROR(__xludf.DUMMYFUNCTION("""COMPUTED_VALUE"""),"A104")</f>
        <v>A104</v>
      </c>
      <c r="C755" s="28"/>
      <c r="D755" s="29"/>
      <c r="E755" s="67"/>
      <c r="F755" s="31"/>
      <c r="G755" s="32"/>
      <c r="H755" s="33" t="str">
        <f>IFERROR(__xludf.DUMMYFUNCTION("""COMPUTED_VALUE""")," ")</f>
        <v> </v>
      </c>
      <c r="I755" s="34"/>
      <c r="J755" s="35" t="str">
        <f>IFERROR(__xludf.DUMMYFUNCTION("""COMPUTED_VALUE"""),"AP")</f>
        <v>AP</v>
      </c>
      <c r="K755" s="34"/>
      <c r="L755" s="35" t="str">
        <f>IFERROR(__xludf.DUMMYFUNCTION("""COMPUTED_VALUE"""),"%")</f>
        <v>%</v>
      </c>
      <c r="M755" s="36">
        <f>IFERROR(__xludf.DUMMYFUNCTION("""COMPUTED_VALUE"""),1.0)</f>
        <v>1</v>
      </c>
      <c r="N755" s="37"/>
      <c r="O755" s="38"/>
      <c r="P755" s="34" t="str">
        <f>IFERROR(__xludf.DUMMYFUNCTION("""COMPUTED_VALUE"""),"")</f>
        <v/>
      </c>
      <c r="Q755" s="35" t="str">
        <f>IFERROR(__xludf.DUMMYFUNCTION("""COMPUTED_VALUE"""),"AP")</f>
        <v>AP</v>
      </c>
      <c r="R755" s="34" t="str">
        <f>IFERROR(__xludf.DUMMYFUNCTION("""COMPUTED_VALUE"""),"")</f>
        <v/>
      </c>
      <c r="S755" s="35" t="str">
        <f>IFERROR(__xludf.DUMMYFUNCTION("""COMPUTED_VALUE"""),"%")</f>
        <v>%</v>
      </c>
      <c r="T755" s="36">
        <f>IFERROR(__xludf.DUMMYFUNCTION("""COMPUTED_VALUE"""),2.0)</f>
        <v>2</v>
      </c>
      <c r="U755" s="37"/>
      <c r="V755" s="38"/>
      <c r="W755" s="34" t="str">
        <f>IFERROR(__xludf.DUMMYFUNCTION("""COMPUTED_VALUE"""),"")</f>
        <v/>
      </c>
      <c r="X755" s="35" t="str">
        <f>IFERROR(__xludf.DUMMYFUNCTION("""COMPUTED_VALUE"""),"AP")</f>
        <v>AP</v>
      </c>
      <c r="Y755" s="34" t="str">
        <f>IFERROR(__xludf.DUMMYFUNCTION("""COMPUTED_VALUE"""),"")</f>
        <v/>
      </c>
      <c r="Z755" s="35" t="str">
        <f>IFERROR(__xludf.DUMMYFUNCTION("""COMPUTED_VALUE"""),"%")</f>
        <v>%</v>
      </c>
      <c r="AA755" s="36">
        <f>IFERROR(__xludf.DUMMYFUNCTION("""COMPUTED_VALUE"""),3.0)</f>
        <v>3</v>
      </c>
      <c r="AB755" s="37"/>
      <c r="AC755" s="38"/>
      <c r="AD755" s="34" t="str">
        <f>IFERROR(__xludf.DUMMYFUNCTION("""COMPUTED_VALUE"""),"")</f>
        <v/>
      </c>
      <c r="AE755" s="35" t="str">
        <f>IFERROR(__xludf.DUMMYFUNCTION("""COMPUTED_VALUE"""),"AP")</f>
        <v>AP</v>
      </c>
      <c r="AF755" s="34" t="str">
        <f>IFERROR(__xludf.DUMMYFUNCTION("""COMPUTED_VALUE"""),"")</f>
        <v/>
      </c>
      <c r="AG755" s="35" t="str">
        <f>IFERROR(__xludf.DUMMYFUNCTION("""COMPUTED_VALUE"""),"%")</f>
        <v>%</v>
      </c>
      <c r="AH755" s="31"/>
      <c r="AI755" s="32"/>
      <c r="AJ755" s="39"/>
    </row>
    <row r="756" ht="24.75" hidden="1" customHeight="1">
      <c r="A756" s="40">
        <f>IFERROR(__xludf.DUMMYFUNCTION("""COMPUTED_VALUE"""),18.0)</f>
        <v>18</v>
      </c>
      <c r="B756" s="40" t="str">
        <f>IFERROR(__xludf.DUMMYFUNCTION("""COMPUTED_VALUE"""),"A104")</f>
        <v>A104</v>
      </c>
      <c r="C756" s="40"/>
      <c r="D756" s="41"/>
      <c r="E756" s="66"/>
      <c r="F756" s="43"/>
      <c r="G756" s="44"/>
      <c r="H756" s="33" t="str">
        <f>IFERROR(__xludf.DUMMYFUNCTION("""COMPUTED_VALUE""")," ")</f>
        <v> </v>
      </c>
      <c r="I756" s="45"/>
      <c r="J756" s="46" t="str">
        <f>IFERROR(__xludf.DUMMYFUNCTION("""COMPUTED_VALUE"""),"AP")</f>
        <v>AP</v>
      </c>
      <c r="K756" s="47"/>
      <c r="L756" s="48" t="str">
        <f>IFERROR(__xludf.DUMMYFUNCTION("""COMPUTED_VALUE"""),"%")</f>
        <v>%</v>
      </c>
      <c r="M756" s="49">
        <f>IFERROR(__xludf.DUMMYFUNCTION("""COMPUTED_VALUE"""),1.0)</f>
        <v>1</v>
      </c>
      <c r="N756" s="50"/>
      <c r="O756" s="38"/>
      <c r="P756" s="45" t="str">
        <f>IFERROR(__xludf.DUMMYFUNCTION("""COMPUTED_VALUE"""),"")</f>
        <v/>
      </c>
      <c r="Q756" s="46" t="str">
        <f>IFERROR(__xludf.DUMMYFUNCTION("""COMPUTED_VALUE"""),"AP")</f>
        <v>AP</v>
      </c>
      <c r="R756" s="47" t="str">
        <f>IFERROR(__xludf.DUMMYFUNCTION("""COMPUTED_VALUE"""),"")</f>
        <v/>
      </c>
      <c r="S756" s="48" t="str">
        <f>IFERROR(__xludf.DUMMYFUNCTION("""COMPUTED_VALUE"""),"%")</f>
        <v>%</v>
      </c>
      <c r="T756" s="49">
        <f>IFERROR(__xludf.DUMMYFUNCTION("""COMPUTED_VALUE"""),2.0)</f>
        <v>2</v>
      </c>
      <c r="U756" s="50"/>
      <c r="V756" s="38"/>
      <c r="W756" s="45" t="str">
        <f>IFERROR(__xludf.DUMMYFUNCTION("""COMPUTED_VALUE"""),"")</f>
        <v/>
      </c>
      <c r="X756" s="46" t="str">
        <f>IFERROR(__xludf.DUMMYFUNCTION("""COMPUTED_VALUE"""),"AP")</f>
        <v>AP</v>
      </c>
      <c r="Y756" s="47" t="str">
        <f>IFERROR(__xludf.DUMMYFUNCTION("""COMPUTED_VALUE"""),"")</f>
        <v/>
      </c>
      <c r="Z756" s="48" t="str">
        <f>IFERROR(__xludf.DUMMYFUNCTION("""COMPUTED_VALUE"""),"%")</f>
        <v>%</v>
      </c>
      <c r="AA756" s="49">
        <f>IFERROR(__xludf.DUMMYFUNCTION("""COMPUTED_VALUE"""),3.0)</f>
        <v>3</v>
      </c>
      <c r="AB756" s="50"/>
      <c r="AC756" s="38"/>
      <c r="AD756" s="45" t="str">
        <f>IFERROR(__xludf.DUMMYFUNCTION("""COMPUTED_VALUE"""),"")</f>
        <v/>
      </c>
      <c r="AE756" s="46" t="str">
        <f>IFERROR(__xludf.DUMMYFUNCTION("""COMPUTED_VALUE"""),"AP")</f>
        <v>AP</v>
      </c>
      <c r="AF756" s="47" t="str">
        <f>IFERROR(__xludf.DUMMYFUNCTION("""COMPUTED_VALUE"""),"")</f>
        <v/>
      </c>
      <c r="AG756" s="48" t="str">
        <f>IFERROR(__xludf.DUMMYFUNCTION("""COMPUTED_VALUE"""),"%")</f>
        <v>%</v>
      </c>
      <c r="AH756" s="43"/>
      <c r="AI756" s="44"/>
      <c r="AJ756" s="51"/>
    </row>
    <row r="757" ht="24.75" hidden="1" customHeight="1">
      <c r="A757" s="28">
        <f>IFERROR(__xludf.DUMMYFUNCTION("""COMPUTED_VALUE"""),19.0)</f>
        <v>19</v>
      </c>
      <c r="B757" s="28" t="str">
        <f>IFERROR(__xludf.DUMMYFUNCTION("""COMPUTED_VALUE"""),"A104")</f>
        <v>A104</v>
      </c>
      <c r="C757" s="28"/>
      <c r="D757" s="29"/>
      <c r="E757" s="67"/>
      <c r="F757" s="31"/>
      <c r="G757" s="32"/>
      <c r="H757" s="33" t="str">
        <f>IFERROR(__xludf.DUMMYFUNCTION("""COMPUTED_VALUE""")," ")</f>
        <v> </v>
      </c>
      <c r="I757" s="34"/>
      <c r="J757" s="35" t="str">
        <f>IFERROR(__xludf.DUMMYFUNCTION("""COMPUTED_VALUE"""),"AP")</f>
        <v>AP</v>
      </c>
      <c r="K757" s="34"/>
      <c r="L757" s="35" t="str">
        <f>IFERROR(__xludf.DUMMYFUNCTION("""COMPUTED_VALUE"""),"%")</f>
        <v>%</v>
      </c>
      <c r="M757" s="36">
        <f>IFERROR(__xludf.DUMMYFUNCTION("""COMPUTED_VALUE"""),1.0)</f>
        <v>1</v>
      </c>
      <c r="N757" s="37"/>
      <c r="O757" s="38"/>
      <c r="P757" s="34" t="str">
        <f>IFERROR(__xludf.DUMMYFUNCTION("""COMPUTED_VALUE"""),"")</f>
        <v/>
      </c>
      <c r="Q757" s="35" t="str">
        <f>IFERROR(__xludf.DUMMYFUNCTION("""COMPUTED_VALUE"""),"AP")</f>
        <v>AP</v>
      </c>
      <c r="R757" s="34" t="str">
        <f>IFERROR(__xludf.DUMMYFUNCTION("""COMPUTED_VALUE"""),"")</f>
        <v/>
      </c>
      <c r="S757" s="35" t="str">
        <f>IFERROR(__xludf.DUMMYFUNCTION("""COMPUTED_VALUE"""),"%")</f>
        <v>%</v>
      </c>
      <c r="T757" s="36">
        <f>IFERROR(__xludf.DUMMYFUNCTION("""COMPUTED_VALUE"""),2.0)</f>
        <v>2</v>
      </c>
      <c r="U757" s="37"/>
      <c r="V757" s="38"/>
      <c r="W757" s="34" t="str">
        <f>IFERROR(__xludf.DUMMYFUNCTION("""COMPUTED_VALUE"""),"")</f>
        <v/>
      </c>
      <c r="X757" s="35" t="str">
        <f>IFERROR(__xludf.DUMMYFUNCTION("""COMPUTED_VALUE"""),"AP")</f>
        <v>AP</v>
      </c>
      <c r="Y757" s="34" t="str">
        <f>IFERROR(__xludf.DUMMYFUNCTION("""COMPUTED_VALUE"""),"")</f>
        <v/>
      </c>
      <c r="Z757" s="35" t="str">
        <f>IFERROR(__xludf.DUMMYFUNCTION("""COMPUTED_VALUE"""),"%")</f>
        <v>%</v>
      </c>
      <c r="AA757" s="36">
        <f>IFERROR(__xludf.DUMMYFUNCTION("""COMPUTED_VALUE"""),3.0)</f>
        <v>3</v>
      </c>
      <c r="AB757" s="37"/>
      <c r="AC757" s="38"/>
      <c r="AD757" s="34" t="str">
        <f>IFERROR(__xludf.DUMMYFUNCTION("""COMPUTED_VALUE"""),"")</f>
        <v/>
      </c>
      <c r="AE757" s="35" t="str">
        <f>IFERROR(__xludf.DUMMYFUNCTION("""COMPUTED_VALUE"""),"AP")</f>
        <v>AP</v>
      </c>
      <c r="AF757" s="34" t="str">
        <f>IFERROR(__xludf.DUMMYFUNCTION("""COMPUTED_VALUE"""),"")</f>
        <v/>
      </c>
      <c r="AG757" s="35" t="str">
        <f>IFERROR(__xludf.DUMMYFUNCTION("""COMPUTED_VALUE"""),"%")</f>
        <v>%</v>
      </c>
      <c r="AH757" s="31"/>
      <c r="AI757" s="32"/>
      <c r="AJ757" s="39"/>
    </row>
    <row r="758" ht="24.75" hidden="1" customHeight="1">
      <c r="A758" s="40">
        <f>IFERROR(__xludf.DUMMYFUNCTION("""COMPUTED_VALUE"""),20.0)</f>
        <v>20</v>
      </c>
      <c r="B758" s="40" t="str">
        <f>IFERROR(__xludf.DUMMYFUNCTION("""COMPUTED_VALUE"""),"A104")</f>
        <v>A104</v>
      </c>
      <c r="C758" s="40"/>
      <c r="D758" s="41"/>
      <c r="E758" s="66"/>
      <c r="F758" s="43"/>
      <c r="G758" s="44"/>
      <c r="H758" s="33" t="str">
        <f>IFERROR(__xludf.DUMMYFUNCTION("""COMPUTED_VALUE""")," ")</f>
        <v> </v>
      </c>
      <c r="I758" s="45"/>
      <c r="J758" s="46" t="str">
        <f>IFERROR(__xludf.DUMMYFUNCTION("""COMPUTED_VALUE"""),"AP")</f>
        <v>AP</v>
      </c>
      <c r="K758" s="47"/>
      <c r="L758" s="48" t="str">
        <f>IFERROR(__xludf.DUMMYFUNCTION("""COMPUTED_VALUE"""),"%")</f>
        <v>%</v>
      </c>
      <c r="M758" s="49">
        <f>IFERROR(__xludf.DUMMYFUNCTION("""COMPUTED_VALUE"""),1.0)</f>
        <v>1</v>
      </c>
      <c r="N758" s="50"/>
      <c r="O758" s="38"/>
      <c r="P758" s="45" t="str">
        <f>IFERROR(__xludf.DUMMYFUNCTION("""COMPUTED_VALUE"""),"")</f>
        <v/>
      </c>
      <c r="Q758" s="46" t="str">
        <f>IFERROR(__xludf.DUMMYFUNCTION("""COMPUTED_VALUE"""),"AP")</f>
        <v>AP</v>
      </c>
      <c r="R758" s="47" t="str">
        <f>IFERROR(__xludf.DUMMYFUNCTION("""COMPUTED_VALUE"""),"")</f>
        <v/>
      </c>
      <c r="S758" s="48" t="str">
        <f>IFERROR(__xludf.DUMMYFUNCTION("""COMPUTED_VALUE"""),"%")</f>
        <v>%</v>
      </c>
      <c r="T758" s="49">
        <f>IFERROR(__xludf.DUMMYFUNCTION("""COMPUTED_VALUE"""),2.0)</f>
        <v>2</v>
      </c>
      <c r="U758" s="50"/>
      <c r="V758" s="38"/>
      <c r="W758" s="45" t="str">
        <f>IFERROR(__xludf.DUMMYFUNCTION("""COMPUTED_VALUE"""),"")</f>
        <v/>
      </c>
      <c r="X758" s="46" t="str">
        <f>IFERROR(__xludf.DUMMYFUNCTION("""COMPUTED_VALUE"""),"AP")</f>
        <v>AP</v>
      </c>
      <c r="Y758" s="47" t="str">
        <f>IFERROR(__xludf.DUMMYFUNCTION("""COMPUTED_VALUE"""),"")</f>
        <v/>
      </c>
      <c r="Z758" s="48" t="str">
        <f>IFERROR(__xludf.DUMMYFUNCTION("""COMPUTED_VALUE"""),"%")</f>
        <v>%</v>
      </c>
      <c r="AA758" s="49">
        <f>IFERROR(__xludf.DUMMYFUNCTION("""COMPUTED_VALUE"""),3.0)</f>
        <v>3</v>
      </c>
      <c r="AB758" s="50"/>
      <c r="AC758" s="38"/>
      <c r="AD758" s="45" t="str">
        <f>IFERROR(__xludf.DUMMYFUNCTION("""COMPUTED_VALUE"""),"")</f>
        <v/>
      </c>
      <c r="AE758" s="46" t="str">
        <f>IFERROR(__xludf.DUMMYFUNCTION("""COMPUTED_VALUE"""),"AP")</f>
        <v>AP</v>
      </c>
      <c r="AF758" s="47" t="str">
        <f>IFERROR(__xludf.DUMMYFUNCTION("""COMPUTED_VALUE"""),"")</f>
        <v/>
      </c>
      <c r="AG758" s="48" t="str">
        <f>IFERROR(__xludf.DUMMYFUNCTION("""COMPUTED_VALUE"""),"%")</f>
        <v>%</v>
      </c>
      <c r="AH758" s="43"/>
      <c r="AI758" s="44"/>
      <c r="AJ758" s="51"/>
    </row>
    <row r="759">
      <c r="A759" s="52"/>
      <c r="B759" s="53"/>
      <c r="C759" s="54"/>
      <c r="D759" s="55"/>
      <c r="E759" s="56"/>
      <c r="F759" s="53"/>
      <c r="G759" s="53"/>
      <c r="H759" s="53"/>
      <c r="I759" s="53"/>
      <c r="J759" s="57"/>
      <c r="K759" s="53"/>
      <c r="L759" s="57"/>
      <c r="M759" s="53"/>
      <c r="N759" s="53"/>
      <c r="O759" s="53"/>
      <c r="P759" s="53"/>
      <c r="Q759" s="57"/>
      <c r="R759" s="53"/>
      <c r="S759" s="57"/>
      <c r="T759" s="53"/>
      <c r="U759" s="53"/>
      <c r="V759" s="53"/>
      <c r="W759" s="53"/>
      <c r="X759" s="57"/>
      <c r="Y759" s="53"/>
      <c r="Z759" s="57"/>
      <c r="AA759" s="53"/>
      <c r="AB759" s="53"/>
      <c r="AC759" s="53"/>
      <c r="AD759" s="53"/>
      <c r="AE759" s="57"/>
      <c r="AF759" s="53"/>
      <c r="AG759" s="57"/>
      <c r="AH759" s="53"/>
      <c r="AI759" s="53"/>
      <c r="AJ759" s="58"/>
    </row>
    <row r="760">
      <c r="A760" s="59"/>
      <c r="B760" s="60"/>
      <c r="C760" s="61"/>
      <c r="D760" s="62"/>
      <c r="E760" s="63"/>
      <c r="F760" s="60"/>
      <c r="G760" s="60"/>
      <c r="H760" s="60"/>
      <c r="I760" s="60"/>
      <c r="J760" s="64"/>
      <c r="K760" s="60"/>
      <c r="L760" s="64"/>
      <c r="M760" s="60"/>
      <c r="N760" s="60"/>
      <c r="O760" s="60"/>
      <c r="P760" s="60"/>
      <c r="Q760" s="64"/>
      <c r="R760" s="60"/>
      <c r="S760" s="64"/>
      <c r="T760" s="60"/>
      <c r="U760" s="60"/>
      <c r="V760" s="60"/>
      <c r="W760" s="60"/>
      <c r="X760" s="64"/>
      <c r="Y760" s="60"/>
      <c r="Z760" s="64"/>
      <c r="AA760" s="60"/>
      <c r="AB760" s="60"/>
      <c r="AC760" s="60"/>
      <c r="AD760" s="60"/>
      <c r="AE760" s="64"/>
      <c r="AF760" s="60"/>
      <c r="AG760" s="64"/>
      <c r="AH760" s="60"/>
      <c r="AI760" s="60"/>
      <c r="AJ760" s="65"/>
    </row>
    <row r="761" ht="33.0" customHeight="1">
      <c r="A761" s="20" t="str">
        <f>IFERROR(__xludf.DUMMYFUNCTION("""COMPUTED_VALUE""")," ")</f>
        <v> </v>
      </c>
      <c r="B761" s="21" t="str">
        <f>IFERROR(__xludf.DUMMYFUNCTION("""COMPUTED_VALUE"""),"A105")</f>
        <v>A105</v>
      </c>
      <c r="C761" s="20"/>
      <c r="D761" s="22" t="str">
        <f>IFERROR(__xludf.DUMMYFUNCTION("""COMPUTED_VALUE"""),"")</f>
        <v/>
      </c>
      <c r="E761" s="23" t="str">
        <f>IFERROR(__xludf.DUMMYFUNCTION("""COMPUTED_VALUE"""),"Warhorse's Young Horn")</f>
        <v>Warhorse's Young Horn</v>
      </c>
      <c r="F761" s="24"/>
      <c r="G761" s="24"/>
      <c r="H761" s="25"/>
      <c r="I761" s="25"/>
      <c r="J761" s="26"/>
      <c r="K761" s="25"/>
      <c r="L761" s="26"/>
      <c r="M761" s="25"/>
      <c r="N761" s="25"/>
      <c r="O761" s="25"/>
      <c r="P761" s="25"/>
      <c r="Q761" s="26"/>
      <c r="R761" s="25"/>
      <c r="S761" s="26"/>
      <c r="T761" s="25"/>
      <c r="U761" s="25"/>
      <c r="V761" s="25"/>
      <c r="W761" s="25"/>
      <c r="X761" s="26"/>
      <c r="Y761" s="25"/>
      <c r="Z761" s="26"/>
      <c r="AA761" s="25"/>
      <c r="AB761" s="25"/>
      <c r="AC761" s="25"/>
      <c r="AD761" s="25"/>
      <c r="AE761" s="26"/>
      <c r="AF761" s="25"/>
      <c r="AG761" s="26"/>
      <c r="AH761" s="24"/>
      <c r="AI761" s="25"/>
      <c r="AJ761" s="27"/>
    </row>
    <row r="762" ht="24.75" customHeight="1">
      <c r="A762" s="28">
        <f>IFERROR(__xludf.DUMMYFUNCTION("""COMPUTED_VALUE"""),1.0)</f>
        <v>1</v>
      </c>
      <c r="B762" s="28" t="str">
        <f>IFERROR(__xludf.DUMMYFUNCTION("""COMPUTED_VALUE"""),"A105")</f>
        <v>A105</v>
      </c>
      <c r="C762" s="28" t="str">
        <f>IFERROR(__xludf.DUMMYFUNCTION("""COMPUTED_VALUE"""),"AGT2")</f>
        <v>AGT2</v>
      </c>
      <c r="D762" s="29" t="str">
        <f>IFERROR(__xludf.DUMMYFUNCTION("""COMPUTED_VALUE"""),"Agartha")</f>
        <v>Agartha</v>
      </c>
      <c r="E762" s="30" t="str">
        <f>IFERROR(__xludf.DUMMYFUNCTION("""COMPUTED_VALUE"""),"Camping Ground")</f>
        <v>Camping Ground</v>
      </c>
      <c r="F762" s="31">
        <f>IFERROR(__xludf.DUMMYFUNCTION("""COMPUTED_VALUE"""),20.0)</f>
        <v>20</v>
      </c>
      <c r="G762" s="32">
        <f>IFERROR(__xludf.DUMMYFUNCTION("""COMPUTED_VALUE"""),2303.0)</f>
        <v>2303</v>
      </c>
      <c r="H762" s="33" t="str">
        <f>IFERROR(__xludf.DUMMYFUNCTION("""COMPUTED_VALUE"""),"")</f>
        <v/>
      </c>
      <c r="I762" s="34">
        <f>IFERROR(__xludf.DUMMYFUNCTION("""COMPUTED_VALUE"""),91.9)</f>
        <v>91.9</v>
      </c>
      <c r="J762" s="35" t="str">
        <f>IFERROR(__xludf.DUMMYFUNCTION("""COMPUTED_VALUE"""),"AP")</f>
        <v>AP</v>
      </c>
      <c r="K762" s="34">
        <f>IFERROR(__xludf.DUMMYFUNCTION("""COMPUTED_VALUE"""),21.8)</f>
        <v>21.8</v>
      </c>
      <c r="L762" s="35" t="str">
        <f>IFERROR(__xludf.DUMMYFUNCTION("""COMPUTED_VALUE"""),"%")</f>
        <v>%</v>
      </c>
      <c r="M762" s="36">
        <f>IFERROR(__xludf.DUMMYFUNCTION("""COMPUTED_VALUE"""),1.0)</f>
        <v>1</v>
      </c>
      <c r="N762" s="37" t="str">
        <f>IFERROR(__xludf.DUMMYFUNCTION("""COMPUTED_VALUE"""),"A201")</f>
        <v>A201</v>
      </c>
      <c r="O762" s="38" t="str">
        <f>IFERROR(__xludf.DUMMYFUNCTION("""COMPUTED_VALUE"""),"")</f>
        <v/>
      </c>
      <c r="P762" s="34">
        <f>IFERROR(__xludf.DUMMYFUNCTION("""COMPUTED_VALUE"""),117.5)</f>
        <v>117.5</v>
      </c>
      <c r="Q762" s="35" t="str">
        <f>IFERROR(__xludf.DUMMYFUNCTION("""COMPUTED_VALUE"""),"AP")</f>
        <v>AP</v>
      </c>
      <c r="R762" s="34">
        <f>IFERROR(__xludf.DUMMYFUNCTION("""COMPUTED_VALUE"""),17.0)</f>
        <v>17</v>
      </c>
      <c r="S762" s="35" t="str">
        <f>IFERROR(__xludf.DUMMYFUNCTION("""COMPUTED_VALUE"""),"%")</f>
        <v>%</v>
      </c>
      <c r="T762" s="36">
        <f>IFERROR(__xludf.DUMMYFUNCTION("""COMPUTED_VALUE"""),2.0)</f>
        <v>2</v>
      </c>
      <c r="U762" s="37" t="str">
        <f>IFERROR(__xludf.DUMMYFUNCTION("""COMPUTED_VALUE"""),"A205")</f>
        <v>A205</v>
      </c>
      <c r="V762" s="38" t="str">
        <f>IFERROR(__xludf.DUMMYFUNCTION("""COMPUTED_VALUE"""),"")</f>
        <v/>
      </c>
      <c r="W762" s="34">
        <f>IFERROR(__xludf.DUMMYFUNCTION("""COMPUTED_VALUE"""),134.3)</f>
        <v>134.3</v>
      </c>
      <c r="X762" s="35" t="str">
        <f>IFERROR(__xludf.DUMMYFUNCTION("""COMPUTED_VALUE"""),"AP")</f>
        <v>AP</v>
      </c>
      <c r="Y762" s="34">
        <f>IFERROR(__xludf.DUMMYFUNCTION("""COMPUTED_VALUE"""),14.9)</f>
        <v>14.9</v>
      </c>
      <c r="Z762" s="35" t="str">
        <f>IFERROR(__xludf.DUMMYFUNCTION("""COMPUTED_VALUE"""),"%")</f>
        <v>%</v>
      </c>
      <c r="AA762" s="36">
        <f>IFERROR(__xludf.DUMMYFUNCTION("""COMPUTED_VALUE"""),3.0)</f>
        <v>3</v>
      </c>
      <c r="AB762" s="37" t="str">
        <f>IFERROR(__xludf.DUMMYFUNCTION("""COMPUTED_VALUE"""),"B113")</f>
        <v>B113</v>
      </c>
      <c r="AC762" s="38" t="str">
        <f>IFERROR(__xludf.DUMMYFUNCTION("""COMPUTED_VALUE"""),"")</f>
        <v/>
      </c>
      <c r="AD762" s="34">
        <f>IFERROR(__xludf.DUMMYFUNCTION("""COMPUTED_VALUE"""),113.3)</f>
        <v>113.3</v>
      </c>
      <c r="AE762" s="35" t="str">
        <f>IFERROR(__xludf.DUMMYFUNCTION("""COMPUTED_VALUE"""),"AP")</f>
        <v>AP</v>
      </c>
      <c r="AF762" s="34">
        <f>IFERROR(__xludf.DUMMYFUNCTION("""COMPUTED_VALUE"""),17.7)</f>
        <v>17.7</v>
      </c>
      <c r="AG762" s="35" t="str">
        <f>IFERROR(__xludf.DUMMYFUNCTION("""COMPUTED_VALUE"""),"%")</f>
        <v>%</v>
      </c>
      <c r="AH762" s="31">
        <f>IFERROR(__xludf.DUMMYFUNCTION("""COMPUTED_VALUE"""),20.0)</f>
        <v>20</v>
      </c>
      <c r="AI762" s="32">
        <f>IFERROR(__xludf.DUMMYFUNCTION("""COMPUTED_VALUE"""),2303.0)</f>
        <v>2303</v>
      </c>
      <c r="AJ762" s="39" t="str">
        <f>IFERROR(__xludf.DUMMYFUNCTION("""COMPUTED_VALUE"""),"野営地")</f>
        <v>野営地</v>
      </c>
    </row>
    <row r="763" ht="24.75" customHeight="1">
      <c r="A763" s="40">
        <f>IFERROR(__xludf.DUMMYFUNCTION("""COMPUTED_VALUE"""),2.0)</f>
        <v>2</v>
      </c>
      <c r="B763" s="40" t="str">
        <f>IFERROR(__xludf.DUMMYFUNCTION("""COMPUTED_VALUE"""),"A105")</f>
        <v>A105</v>
      </c>
      <c r="C763" s="40" t="str">
        <f>IFERROR(__xludf.DUMMYFUNCTION("""COMPUTED_VALUE"""),"YKS1")</f>
        <v>YKS1</v>
      </c>
      <c r="D763" s="41" t="str">
        <f>IFERROR(__xludf.DUMMYFUNCTION("""COMPUTED_VALUE"""),"Yuga Kurukshetra")</f>
        <v>Yuga Kurukshetra</v>
      </c>
      <c r="E763" s="42" t="str">
        <f>IFERROR(__xludf.DUMMYFUNCTION("""COMPUTED_VALUE"""),"Initiate Point")</f>
        <v>Initiate Point</v>
      </c>
      <c r="F763" s="43">
        <f>IFERROR(__xludf.DUMMYFUNCTION("""COMPUTED_VALUE"""),20.0)</f>
        <v>20</v>
      </c>
      <c r="G763" s="44">
        <f>IFERROR(__xludf.DUMMYFUNCTION("""COMPUTED_VALUE"""),4522.0)</f>
        <v>4522</v>
      </c>
      <c r="H763" s="33" t="str">
        <f>IFERROR(__xludf.DUMMYFUNCTION("""COMPUTED_VALUE"""),"")</f>
        <v/>
      </c>
      <c r="I763" s="45">
        <f>IFERROR(__xludf.DUMMYFUNCTION("""COMPUTED_VALUE"""),95.3)</f>
        <v>95.3</v>
      </c>
      <c r="J763" s="46" t="str">
        <f>IFERROR(__xludf.DUMMYFUNCTION("""COMPUTED_VALUE"""),"AP")</f>
        <v>AP</v>
      </c>
      <c r="K763" s="47">
        <f>IFERROR(__xludf.DUMMYFUNCTION("""COMPUTED_VALUE"""),21.0)</f>
        <v>21</v>
      </c>
      <c r="L763" s="48" t="str">
        <f>IFERROR(__xludf.DUMMYFUNCTION("""COMPUTED_VALUE"""),"%")</f>
        <v>%</v>
      </c>
      <c r="M763" s="49">
        <f>IFERROR(__xludf.DUMMYFUNCTION("""COMPUTED_VALUE"""),1.0)</f>
        <v>1</v>
      </c>
      <c r="N763" s="50" t="str">
        <f>IFERROR(__xludf.DUMMYFUNCTION("""COMPUTED_VALUE"""),"A217")</f>
        <v>A217</v>
      </c>
      <c r="O763" s="38" t="str">
        <f>IFERROR(__xludf.DUMMYFUNCTION("""COMPUTED_VALUE"""),"")</f>
        <v/>
      </c>
      <c r="P763" s="45">
        <f>IFERROR(__xludf.DUMMYFUNCTION("""COMPUTED_VALUE"""),72.2)</f>
        <v>72.2</v>
      </c>
      <c r="Q763" s="46" t="str">
        <f>IFERROR(__xludf.DUMMYFUNCTION("""COMPUTED_VALUE"""),"AP")</f>
        <v>AP</v>
      </c>
      <c r="R763" s="47">
        <f>IFERROR(__xludf.DUMMYFUNCTION("""COMPUTED_VALUE"""),27.7)</f>
        <v>27.7</v>
      </c>
      <c r="S763" s="48" t="str">
        <f>IFERROR(__xludf.DUMMYFUNCTION("""COMPUTED_VALUE"""),"%")</f>
        <v>%</v>
      </c>
      <c r="T763" s="49">
        <f>IFERROR(__xludf.DUMMYFUNCTION("""COMPUTED_VALUE"""),2.0)</f>
        <v>2</v>
      </c>
      <c r="U763" s="50" t="str">
        <f>IFERROR(__xludf.DUMMYFUNCTION("""COMPUTED_VALUE"""),"B113")</f>
        <v>B113</v>
      </c>
      <c r="V763" s="38" t="str">
        <f>IFERROR(__xludf.DUMMYFUNCTION("""COMPUTED_VALUE"""),"")</f>
        <v/>
      </c>
      <c r="W763" s="45">
        <f>IFERROR(__xludf.DUMMYFUNCTION("""COMPUTED_VALUE"""),123.8)</f>
        <v>123.8</v>
      </c>
      <c r="X763" s="46" t="str">
        <f>IFERROR(__xludf.DUMMYFUNCTION("""COMPUTED_VALUE"""),"AP")</f>
        <v>AP</v>
      </c>
      <c r="Y763" s="47">
        <f>IFERROR(__xludf.DUMMYFUNCTION("""COMPUTED_VALUE"""),16.2)</f>
        <v>16.2</v>
      </c>
      <c r="Z763" s="48" t="str">
        <f>IFERROR(__xludf.DUMMYFUNCTION("""COMPUTED_VALUE"""),"%")</f>
        <v>%</v>
      </c>
      <c r="AA763" s="49">
        <f>IFERROR(__xludf.DUMMYFUNCTION("""COMPUTED_VALUE"""),3.0)</f>
        <v>3</v>
      </c>
      <c r="AB763" s="50"/>
      <c r="AC763" s="38"/>
      <c r="AD763" s="45" t="str">
        <f>IFERROR(__xludf.DUMMYFUNCTION("""COMPUTED_VALUE"""),"")</f>
        <v/>
      </c>
      <c r="AE763" s="46" t="str">
        <f>IFERROR(__xludf.DUMMYFUNCTION("""COMPUTED_VALUE"""),"AP")</f>
        <v>AP</v>
      </c>
      <c r="AF763" s="47" t="str">
        <f>IFERROR(__xludf.DUMMYFUNCTION("""COMPUTED_VALUE"""),"")</f>
        <v/>
      </c>
      <c r="AG763" s="48" t="str">
        <f>IFERROR(__xludf.DUMMYFUNCTION("""COMPUTED_VALUE"""),"%")</f>
        <v>%</v>
      </c>
      <c r="AH763" s="43">
        <f>IFERROR(__xludf.DUMMYFUNCTION("""COMPUTED_VALUE"""),20.0)</f>
        <v>20</v>
      </c>
      <c r="AI763" s="44">
        <f>IFERROR(__xludf.DUMMYFUNCTION("""COMPUTED_VALUE"""),4522.0)</f>
        <v>4522</v>
      </c>
      <c r="AJ763" s="51" t="str">
        <f>IFERROR(__xludf.DUMMYFUNCTION("""COMPUTED_VALUE"""),"イニシエートポイント")</f>
        <v>イニシエートポイント</v>
      </c>
    </row>
    <row r="764" ht="24.75" customHeight="1">
      <c r="A764" s="28">
        <f>IFERROR(__xludf.DUMMYFUNCTION("""COMPUTED_VALUE"""),3.0)</f>
        <v>3</v>
      </c>
      <c r="B764" s="28" t="str">
        <f>IFERROR(__xludf.DUMMYFUNCTION("""COMPUTED_VALUE"""),"A105")</f>
        <v>A105</v>
      </c>
      <c r="C764" s="28" t="str">
        <f>IFERROR(__xludf.DUMMYFUNCTION("""COMPUTED_VALUE"""),"ANA4")</f>
        <v>ANA4</v>
      </c>
      <c r="D764" s="29" t="str">
        <f>IFERROR(__xludf.DUMMYFUNCTION("""COMPUTED_VALUE"""),"Anastasia")</f>
        <v>Anastasia</v>
      </c>
      <c r="E764" s="30" t="str">
        <f>IFERROR(__xludf.DUMMYFUNCTION("""COMPUTED_VALUE"""),"Rebel Stronghold")</f>
        <v>Rebel Stronghold</v>
      </c>
      <c r="F764" s="31">
        <f>IFERROR(__xludf.DUMMYFUNCTION("""COMPUTED_VALUE"""),21.0)</f>
        <v>21</v>
      </c>
      <c r="G764" s="32">
        <f>IFERROR(__xludf.DUMMYFUNCTION("""COMPUTED_VALUE"""),3070.0)</f>
        <v>3070</v>
      </c>
      <c r="H764" s="33" t="str">
        <f>IFERROR(__xludf.DUMMYFUNCTION("""COMPUTED_VALUE"""),"")</f>
        <v/>
      </c>
      <c r="I764" s="34">
        <f>IFERROR(__xludf.DUMMYFUNCTION("""COMPUTED_VALUE"""),96.1)</f>
        <v>96.1</v>
      </c>
      <c r="J764" s="35" t="str">
        <f>IFERROR(__xludf.DUMMYFUNCTION("""COMPUTED_VALUE"""),"AP")</f>
        <v>AP</v>
      </c>
      <c r="K764" s="34">
        <f>IFERROR(__xludf.DUMMYFUNCTION("""COMPUTED_VALUE"""),21.9)</f>
        <v>21.9</v>
      </c>
      <c r="L764" s="35" t="str">
        <f>IFERROR(__xludf.DUMMYFUNCTION("""COMPUTED_VALUE"""),"%")</f>
        <v>%</v>
      </c>
      <c r="M764" s="36">
        <f>IFERROR(__xludf.DUMMYFUNCTION("""COMPUTED_VALUE"""),1.0)</f>
        <v>1</v>
      </c>
      <c r="N764" s="37" t="str">
        <f>IFERROR(__xludf.DUMMYFUNCTION("""COMPUTED_VALUE"""),"A309")</f>
        <v>A309</v>
      </c>
      <c r="O764" s="38" t="str">
        <f>IFERROR(__xludf.DUMMYFUNCTION("""COMPUTED_VALUE"""),"")</f>
        <v/>
      </c>
      <c r="P764" s="34">
        <f>IFERROR(__xludf.DUMMYFUNCTION("""COMPUTED_VALUE"""),50.7)</f>
        <v>50.7</v>
      </c>
      <c r="Q764" s="35" t="str">
        <f>IFERROR(__xludf.DUMMYFUNCTION("""COMPUTED_VALUE"""),"AP")</f>
        <v>AP</v>
      </c>
      <c r="R764" s="34">
        <f>IFERROR(__xludf.DUMMYFUNCTION("""COMPUTED_VALUE"""),41.4)</f>
        <v>41.4</v>
      </c>
      <c r="S764" s="35" t="str">
        <f>IFERROR(__xludf.DUMMYFUNCTION("""COMPUTED_VALUE"""),"%")</f>
        <v>%</v>
      </c>
      <c r="T764" s="36">
        <f>IFERROR(__xludf.DUMMYFUNCTION("""COMPUTED_VALUE"""),2.0)</f>
        <v>2</v>
      </c>
      <c r="U764" s="37" t="str">
        <f>IFERROR(__xludf.DUMMYFUNCTION("""COMPUTED_VALUE"""),"B113")</f>
        <v>B113</v>
      </c>
      <c r="V764" s="38" t="str">
        <f>IFERROR(__xludf.DUMMYFUNCTION("""COMPUTED_VALUE"""),"")</f>
        <v/>
      </c>
      <c r="W764" s="34">
        <f>IFERROR(__xludf.DUMMYFUNCTION("""COMPUTED_VALUE"""),257.0)</f>
        <v>257</v>
      </c>
      <c r="X764" s="35" t="str">
        <f>IFERROR(__xludf.DUMMYFUNCTION("""COMPUTED_VALUE"""),"AP")</f>
        <v>AP</v>
      </c>
      <c r="Y764" s="34">
        <f>IFERROR(__xludf.DUMMYFUNCTION("""COMPUTED_VALUE"""),8.2)</f>
        <v>8.2</v>
      </c>
      <c r="Z764" s="35" t="str">
        <f>IFERROR(__xludf.DUMMYFUNCTION("""COMPUTED_VALUE"""),"%")</f>
        <v>%</v>
      </c>
      <c r="AA764" s="36">
        <f>IFERROR(__xludf.DUMMYFUNCTION("""COMPUTED_VALUE"""),3.0)</f>
        <v>3</v>
      </c>
      <c r="AB764" s="37"/>
      <c r="AC764" s="38"/>
      <c r="AD764" s="34" t="str">
        <f>IFERROR(__xludf.DUMMYFUNCTION("""COMPUTED_VALUE"""),"")</f>
        <v/>
      </c>
      <c r="AE764" s="35" t="str">
        <f>IFERROR(__xludf.DUMMYFUNCTION("""COMPUTED_VALUE"""),"AP")</f>
        <v>AP</v>
      </c>
      <c r="AF764" s="34" t="str">
        <f>IFERROR(__xludf.DUMMYFUNCTION("""COMPUTED_VALUE"""),"")</f>
        <v/>
      </c>
      <c r="AG764" s="35" t="str">
        <f>IFERROR(__xludf.DUMMYFUNCTION("""COMPUTED_VALUE"""),"%")</f>
        <v>%</v>
      </c>
      <c r="AH764" s="31">
        <f>IFERROR(__xludf.DUMMYFUNCTION("""COMPUTED_VALUE"""),21.0)</f>
        <v>21</v>
      </c>
      <c r="AI764" s="32">
        <f>IFERROR(__xludf.DUMMYFUNCTION("""COMPUTED_VALUE"""),3070.0)</f>
        <v>3070</v>
      </c>
      <c r="AJ764" s="39" t="str">
        <f>IFERROR(__xludf.DUMMYFUNCTION("""COMPUTED_VALUE"""),"叛逆軍の砦")</f>
        <v>叛逆軍の砦</v>
      </c>
    </row>
    <row r="765" ht="24.75" customHeight="1">
      <c r="A765" s="40">
        <f>IFERROR(__xludf.DUMMYFUNCTION("""COMPUTED_VALUE"""),4.0)</f>
        <v>4</v>
      </c>
      <c r="B765" s="40" t="str">
        <f>IFERROR(__xludf.DUMMYFUNCTION("""COMPUTED_VALUE"""),"A105")</f>
        <v>A105</v>
      </c>
      <c r="C765" s="40" t="str">
        <f>IFERROR(__xludf.DUMMYFUNCTION("""COMPUTED_VALUE"""),"ANA1")</f>
        <v>ANA1</v>
      </c>
      <c r="D765" s="41" t="str">
        <f>IFERROR(__xludf.DUMMYFUNCTION("""COMPUTED_VALUE"""),"Anastasia")</f>
        <v>Anastasia</v>
      </c>
      <c r="E765" s="42" t="str">
        <f>IFERROR(__xludf.DUMMYFUNCTION("""COMPUTED_VALUE"""),"Anchor Point")</f>
        <v>Anchor Point</v>
      </c>
      <c r="F765" s="43">
        <f>IFERROR(__xludf.DUMMYFUNCTION("""COMPUTED_VALUE"""),20.0)</f>
        <v>20</v>
      </c>
      <c r="G765" s="44">
        <f>IFERROR(__xludf.DUMMYFUNCTION("""COMPUTED_VALUE"""),2652.0)</f>
        <v>2652</v>
      </c>
      <c r="H765" s="33" t="str">
        <f>IFERROR(__xludf.DUMMYFUNCTION("""COMPUTED_VALUE"""),"")</f>
        <v/>
      </c>
      <c r="I765" s="45">
        <f>IFERROR(__xludf.DUMMYFUNCTION("""COMPUTED_VALUE"""),98.0)</f>
        <v>98</v>
      </c>
      <c r="J765" s="46" t="str">
        <f>IFERROR(__xludf.DUMMYFUNCTION("""COMPUTED_VALUE"""),"AP")</f>
        <v>AP</v>
      </c>
      <c r="K765" s="47">
        <f>IFERROR(__xludf.DUMMYFUNCTION("""COMPUTED_VALUE"""),20.4)</f>
        <v>20.4</v>
      </c>
      <c r="L765" s="48" t="str">
        <f>IFERROR(__xludf.DUMMYFUNCTION("""COMPUTED_VALUE"""),"%")</f>
        <v>%</v>
      </c>
      <c r="M765" s="49">
        <f>IFERROR(__xludf.DUMMYFUNCTION("""COMPUTED_VALUE"""),1.0)</f>
        <v>1</v>
      </c>
      <c r="N765" s="50" t="str">
        <f>IFERROR(__xludf.DUMMYFUNCTION("""COMPUTED_VALUE"""),"A306")</f>
        <v>A306</v>
      </c>
      <c r="O765" s="38" t="str">
        <f>IFERROR(__xludf.DUMMYFUNCTION("""COMPUTED_VALUE"""),"")</f>
        <v/>
      </c>
      <c r="P765" s="45">
        <f>IFERROR(__xludf.DUMMYFUNCTION("""COMPUTED_VALUE"""),48.5)</f>
        <v>48.5</v>
      </c>
      <c r="Q765" s="46" t="str">
        <f>IFERROR(__xludf.DUMMYFUNCTION("""COMPUTED_VALUE"""),"AP")</f>
        <v>AP</v>
      </c>
      <c r="R765" s="47">
        <f>IFERROR(__xludf.DUMMYFUNCTION("""COMPUTED_VALUE"""),41.2)</f>
        <v>41.2</v>
      </c>
      <c r="S765" s="48" t="str">
        <f>IFERROR(__xludf.DUMMYFUNCTION("""COMPUTED_VALUE"""),"%")</f>
        <v>%</v>
      </c>
      <c r="T765" s="49">
        <f>IFERROR(__xludf.DUMMYFUNCTION("""COMPUTED_VALUE"""),2.0)</f>
        <v>2</v>
      </c>
      <c r="U765" s="50" t="str">
        <f>IFERROR(__xludf.DUMMYFUNCTION("""COMPUTED_VALUE"""),"B113")</f>
        <v>B113</v>
      </c>
      <c r="V765" s="38" t="str">
        <f>IFERROR(__xludf.DUMMYFUNCTION("""COMPUTED_VALUE"""),"")</f>
        <v/>
      </c>
      <c r="W765" s="45">
        <f>IFERROR(__xludf.DUMMYFUNCTION("""COMPUTED_VALUE"""),274.4)</f>
        <v>274.4</v>
      </c>
      <c r="X765" s="46" t="str">
        <f>IFERROR(__xludf.DUMMYFUNCTION("""COMPUTED_VALUE"""),"AP")</f>
        <v>AP</v>
      </c>
      <c r="Y765" s="47">
        <f>IFERROR(__xludf.DUMMYFUNCTION("""COMPUTED_VALUE"""),7.3)</f>
        <v>7.3</v>
      </c>
      <c r="Z765" s="48" t="str">
        <f>IFERROR(__xludf.DUMMYFUNCTION("""COMPUTED_VALUE"""),"%")</f>
        <v>%</v>
      </c>
      <c r="AA765" s="49">
        <f>IFERROR(__xludf.DUMMYFUNCTION("""COMPUTED_VALUE"""),3.0)</f>
        <v>3</v>
      </c>
      <c r="AB765" s="50"/>
      <c r="AC765" s="38"/>
      <c r="AD765" s="45" t="str">
        <f>IFERROR(__xludf.DUMMYFUNCTION("""COMPUTED_VALUE"""),"")</f>
        <v/>
      </c>
      <c r="AE765" s="46" t="str">
        <f>IFERROR(__xludf.DUMMYFUNCTION("""COMPUTED_VALUE"""),"AP")</f>
        <v>AP</v>
      </c>
      <c r="AF765" s="47" t="str">
        <f>IFERROR(__xludf.DUMMYFUNCTION("""COMPUTED_VALUE"""),"")</f>
        <v/>
      </c>
      <c r="AG765" s="48" t="str">
        <f>IFERROR(__xludf.DUMMYFUNCTION("""COMPUTED_VALUE"""),"%")</f>
        <v>%</v>
      </c>
      <c r="AH765" s="43">
        <f>IFERROR(__xludf.DUMMYFUNCTION("""COMPUTED_VALUE"""),20.0)</f>
        <v>20</v>
      </c>
      <c r="AI765" s="44">
        <f>IFERROR(__xludf.DUMMYFUNCTION("""COMPUTED_VALUE"""),2652.0)</f>
        <v>2652</v>
      </c>
      <c r="AJ765" s="51" t="str">
        <f>IFERROR(__xludf.DUMMYFUNCTION("""COMPUTED_VALUE"""),"アンカーポイント")</f>
        <v>アンカーポイント</v>
      </c>
    </row>
    <row r="766" ht="24.75" customHeight="1">
      <c r="A766" s="28">
        <f>IFERROR(__xludf.DUMMYFUNCTION("""COMPUTED_VALUE"""),5.0)</f>
        <v>5</v>
      </c>
      <c r="B766" s="28" t="str">
        <f>IFERROR(__xludf.DUMMYFUNCTION("""COMPUTED_VALUE"""),"A105")</f>
        <v>A105</v>
      </c>
      <c r="C766" s="28" t="str">
        <f>IFERROR(__xludf.DUMMYFUNCTION("""COMPUTED_VALUE"""),"ANA8")</f>
        <v>ANA8</v>
      </c>
      <c r="D766" s="29" t="str">
        <f>IFERROR(__xludf.DUMMYFUNCTION("""COMPUTED_VALUE"""),"Anastasia")</f>
        <v>Anastasia</v>
      </c>
      <c r="E766" s="30" t="str">
        <f>IFERROR(__xludf.DUMMYFUNCTION("""COMPUTED_VALUE"""),"Yaga Demensk")</f>
        <v>Yaga Demensk</v>
      </c>
      <c r="F766" s="31">
        <f>IFERROR(__xludf.DUMMYFUNCTION("""COMPUTED_VALUE"""),21.0)</f>
        <v>21</v>
      </c>
      <c r="G766" s="32">
        <f>IFERROR(__xludf.DUMMYFUNCTION("""COMPUTED_VALUE"""),5518.0)</f>
        <v>5518</v>
      </c>
      <c r="H766" s="33" t="str">
        <f>IFERROR(__xludf.DUMMYFUNCTION("""COMPUTED_VALUE"""),"")</f>
        <v/>
      </c>
      <c r="I766" s="34">
        <f>IFERROR(__xludf.DUMMYFUNCTION("""COMPUTED_VALUE"""),99.9)</f>
        <v>99.9</v>
      </c>
      <c r="J766" s="35" t="str">
        <f>IFERROR(__xludf.DUMMYFUNCTION("""COMPUTED_VALUE"""),"AP")</f>
        <v>AP</v>
      </c>
      <c r="K766" s="34">
        <f>IFERROR(__xludf.DUMMYFUNCTION("""COMPUTED_VALUE"""),21.0)</f>
        <v>21</v>
      </c>
      <c r="L766" s="35" t="str">
        <f>IFERROR(__xludf.DUMMYFUNCTION("""COMPUTED_VALUE"""),"%")</f>
        <v>%</v>
      </c>
      <c r="M766" s="36">
        <f>IFERROR(__xludf.DUMMYFUNCTION("""COMPUTED_VALUE"""),1.0)</f>
        <v>1</v>
      </c>
      <c r="N766" s="37" t="str">
        <f>IFERROR(__xludf.DUMMYFUNCTION("""COMPUTED_VALUE"""),"A213")</f>
        <v>A213</v>
      </c>
      <c r="O766" s="38" t="str">
        <f>IFERROR(__xludf.DUMMYFUNCTION("""COMPUTED_VALUE"""),"")</f>
        <v/>
      </c>
      <c r="P766" s="34">
        <f>IFERROR(__xludf.DUMMYFUNCTION("""COMPUTED_VALUE"""),81.0)</f>
        <v>81</v>
      </c>
      <c r="Q766" s="35" t="str">
        <f>IFERROR(__xludf.DUMMYFUNCTION("""COMPUTED_VALUE"""),"AP")</f>
        <v>AP</v>
      </c>
      <c r="R766" s="34">
        <f>IFERROR(__xludf.DUMMYFUNCTION("""COMPUTED_VALUE"""),25.9)</f>
        <v>25.9</v>
      </c>
      <c r="S766" s="35" t="str">
        <f>IFERROR(__xludf.DUMMYFUNCTION("""COMPUTED_VALUE"""),"%")</f>
        <v>%</v>
      </c>
      <c r="T766" s="36">
        <f>IFERROR(__xludf.DUMMYFUNCTION("""COMPUTED_VALUE"""),2.0)</f>
        <v>2</v>
      </c>
      <c r="U766" s="37" t="str">
        <f>IFERROR(__xludf.DUMMYFUNCTION("""COMPUTED_VALUE"""),"B113")</f>
        <v>B113</v>
      </c>
      <c r="V766" s="38" t="str">
        <f>IFERROR(__xludf.DUMMYFUNCTION("""COMPUTED_VALUE"""),"")</f>
        <v/>
      </c>
      <c r="W766" s="34">
        <f>IFERROR(__xludf.DUMMYFUNCTION("""COMPUTED_VALUE"""),255.8)</f>
        <v>255.8</v>
      </c>
      <c r="X766" s="35" t="str">
        <f>IFERROR(__xludf.DUMMYFUNCTION("""COMPUTED_VALUE"""),"AP")</f>
        <v>AP</v>
      </c>
      <c r="Y766" s="34">
        <f>IFERROR(__xludf.DUMMYFUNCTION("""COMPUTED_VALUE"""),8.2)</f>
        <v>8.2</v>
      </c>
      <c r="Z766" s="35" t="str">
        <f>IFERROR(__xludf.DUMMYFUNCTION("""COMPUTED_VALUE"""),"%")</f>
        <v>%</v>
      </c>
      <c r="AA766" s="36">
        <f>IFERROR(__xludf.DUMMYFUNCTION("""COMPUTED_VALUE"""),3.0)</f>
        <v>3</v>
      </c>
      <c r="AB766" s="37" t="str">
        <f>IFERROR(__xludf.DUMMYFUNCTION("""COMPUTED_VALUE"""),"B116")</f>
        <v>B116</v>
      </c>
      <c r="AC766" s="38" t="str">
        <f>IFERROR(__xludf.DUMMYFUNCTION("""COMPUTED_VALUE"""),"")</f>
        <v/>
      </c>
      <c r="AD766" s="34">
        <f>IFERROR(__xludf.DUMMYFUNCTION("""COMPUTED_VALUE"""),52.5)</f>
        <v>52.5</v>
      </c>
      <c r="AE766" s="35" t="str">
        <f>IFERROR(__xludf.DUMMYFUNCTION("""COMPUTED_VALUE"""),"AP")</f>
        <v>AP</v>
      </c>
      <c r="AF766" s="34">
        <f>IFERROR(__xludf.DUMMYFUNCTION("""COMPUTED_VALUE"""),40.0)</f>
        <v>40</v>
      </c>
      <c r="AG766" s="35" t="str">
        <f>IFERROR(__xludf.DUMMYFUNCTION("""COMPUTED_VALUE"""),"%")</f>
        <v>%</v>
      </c>
      <c r="AH766" s="31">
        <f>IFERROR(__xludf.DUMMYFUNCTION("""COMPUTED_VALUE"""),21.0)</f>
        <v>21</v>
      </c>
      <c r="AI766" s="32">
        <f>IFERROR(__xludf.DUMMYFUNCTION("""COMPUTED_VALUE"""),5518.0)</f>
        <v>5518</v>
      </c>
      <c r="AJ766" s="39" t="str">
        <f>IFERROR(__xludf.DUMMYFUNCTION("""COMPUTED_VALUE"""),"ヤガ・ジェメンスク")</f>
        <v>ヤガ・ジェメンスク</v>
      </c>
    </row>
    <row r="767" ht="24.75" customHeight="1">
      <c r="A767" s="40">
        <f>IFERROR(__xludf.DUMMYFUNCTION("""COMPUTED_VALUE"""),6.0)</f>
        <v>6</v>
      </c>
      <c r="B767" s="40" t="str">
        <f>IFERROR(__xludf.DUMMYFUNCTION("""COMPUTED_VALUE"""),"A105")</f>
        <v>A105</v>
      </c>
      <c r="C767" s="40" t="str">
        <f>IFERROR(__xludf.DUMMYFUNCTION("""COMPUTED_VALUE"""),"CML4")</f>
        <v>CML4</v>
      </c>
      <c r="D767" s="41" t="str">
        <f>IFERROR(__xludf.DUMMYFUNCTION("""COMPUTED_VALUE"""),"Camelot")</f>
        <v>Camelot</v>
      </c>
      <c r="E767" s="42" t="str">
        <f>IFERROR(__xludf.DUMMYFUNCTION("""COMPUTED_VALUE"""),"East Village")</f>
        <v>East Village</v>
      </c>
      <c r="F767" s="43">
        <f>IFERROR(__xludf.DUMMYFUNCTION("""COMPUTED_VALUE"""),19.0)</f>
        <v>19</v>
      </c>
      <c r="G767" s="44">
        <f>IFERROR(__xludf.DUMMYFUNCTION("""COMPUTED_VALUE"""),1404.0)</f>
        <v>1404</v>
      </c>
      <c r="H767" s="33" t="str">
        <f>IFERROR(__xludf.DUMMYFUNCTION("""COMPUTED_VALUE"""),"")</f>
        <v/>
      </c>
      <c r="I767" s="45">
        <f>IFERROR(__xludf.DUMMYFUNCTION("""COMPUTED_VALUE"""),115.0)</f>
        <v>115</v>
      </c>
      <c r="J767" s="46" t="str">
        <f>IFERROR(__xludf.DUMMYFUNCTION("""COMPUTED_VALUE"""),"AP")</f>
        <v>AP</v>
      </c>
      <c r="K767" s="47">
        <f>IFERROR(__xludf.DUMMYFUNCTION("""COMPUTED_VALUE"""),16.5)</f>
        <v>16.5</v>
      </c>
      <c r="L767" s="48" t="str">
        <f>IFERROR(__xludf.DUMMYFUNCTION("""COMPUTED_VALUE"""),"%")</f>
        <v>%</v>
      </c>
      <c r="M767" s="49">
        <f>IFERROR(__xludf.DUMMYFUNCTION("""COMPUTED_VALUE"""),1.0)</f>
        <v>1</v>
      </c>
      <c r="N767" s="50" t="str">
        <f>IFERROR(__xludf.DUMMYFUNCTION("""COMPUTED_VALUE"""),"A303")</f>
        <v>A303</v>
      </c>
      <c r="O767" s="38" t="str">
        <f>IFERROR(__xludf.DUMMYFUNCTION("""COMPUTED_VALUE"""),"")</f>
        <v/>
      </c>
      <c r="P767" s="45">
        <f>IFERROR(__xludf.DUMMYFUNCTION("""COMPUTED_VALUE"""),46.3)</f>
        <v>46.3</v>
      </c>
      <c r="Q767" s="46" t="str">
        <f>IFERROR(__xludf.DUMMYFUNCTION("""COMPUTED_VALUE"""),"AP")</f>
        <v>AP</v>
      </c>
      <c r="R767" s="47">
        <f>IFERROR(__xludf.DUMMYFUNCTION("""COMPUTED_VALUE"""),41.0)</f>
        <v>41</v>
      </c>
      <c r="S767" s="48" t="str">
        <f>IFERROR(__xludf.DUMMYFUNCTION("""COMPUTED_VALUE"""),"%")</f>
        <v>%</v>
      </c>
      <c r="T767" s="49">
        <f>IFERROR(__xludf.DUMMYFUNCTION("""COMPUTED_VALUE"""),2.0)</f>
        <v>2</v>
      </c>
      <c r="U767" s="50" t="str">
        <f>IFERROR(__xludf.DUMMYFUNCTION("""COMPUTED_VALUE"""),"B113")</f>
        <v>B113</v>
      </c>
      <c r="V767" s="38" t="str">
        <f>IFERROR(__xludf.DUMMYFUNCTION("""COMPUTED_VALUE"""),"")</f>
        <v/>
      </c>
      <c r="W767" s="45">
        <f>IFERROR(__xludf.DUMMYFUNCTION("""COMPUTED_VALUE"""),233.4)</f>
        <v>233.4</v>
      </c>
      <c r="X767" s="46" t="str">
        <f>IFERROR(__xludf.DUMMYFUNCTION("""COMPUTED_VALUE"""),"AP")</f>
        <v>AP</v>
      </c>
      <c r="Y767" s="47">
        <f>IFERROR(__xludf.DUMMYFUNCTION("""COMPUTED_VALUE"""),8.1)</f>
        <v>8.1</v>
      </c>
      <c r="Z767" s="48" t="str">
        <f>IFERROR(__xludf.DUMMYFUNCTION("""COMPUTED_VALUE"""),"%")</f>
        <v>%</v>
      </c>
      <c r="AA767" s="49">
        <f>IFERROR(__xludf.DUMMYFUNCTION("""COMPUTED_VALUE"""),3.0)</f>
        <v>3</v>
      </c>
      <c r="AB767" s="50"/>
      <c r="AC767" s="38"/>
      <c r="AD767" s="45" t="str">
        <f>IFERROR(__xludf.DUMMYFUNCTION("""COMPUTED_VALUE"""),"")</f>
        <v/>
      </c>
      <c r="AE767" s="46" t="str">
        <f>IFERROR(__xludf.DUMMYFUNCTION("""COMPUTED_VALUE"""),"AP")</f>
        <v>AP</v>
      </c>
      <c r="AF767" s="47" t="str">
        <f>IFERROR(__xludf.DUMMYFUNCTION("""COMPUTED_VALUE"""),"")</f>
        <v/>
      </c>
      <c r="AG767" s="48" t="str">
        <f>IFERROR(__xludf.DUMMYFUNCTION("""COMPUTED_VALUE"""),"%")</f>
        <v>%</v>
      </c>
      <c r="AH767" s="43">
        <f>IFERROR(__xludf.DUMMYFUNCTION("""COMPUTED_VALUE"""),19.0)</f>
        <v>19</v>
      </c>
      <c r="AI767" s="44">
        <f>IFERROR(__xludf.DUMMYFUNCTION("""COMPUTED_VALUE"""),1404.0)</f>
        <v>1404</v>
      </c>
      <c r="AJ767" s="51" t="str">
        <f>IFERROR(__xludf.DUMMYFUNCTION("""COMPUTED_VALUE"""),"東の村")</f>
        <v>東の村</v>
      </c>
    </row>
    <row r="768" ht="24.75" customHeight="1">
      <c r="A768" s="28">
        <f>IFERROR(__xludf.DUMMYFUNCTION("""COMPUTED_VALUE"""),7.0)</f>
        <v>7</v>
      </c>
      <c r="B768" s="28" t="str">
        <f>IFERROR(__xludf.DUMMYFUNCTION("""COMPUTED_VALUE"""),"A105")</f>
        <v>A105</v>
      </c>
      <c r="C768" s="28" t="str">
        <f>IFERROR(__xludf.DUMMYFUNCTION("""COMPUTED_VALUE"""),"EPU11")</f>
        <v>EPU11</v>
      </c>
      <c r="D768" s="29" t="str">
        <f>IFERROR(__xludf.DUMMYFUNCTION("""COMPUTED_VALUE"""),"E Pluribus Unum")</f>
        <v>E Pluribus Unum</v>
      </c>
      <c r="E768" s="30" t="str">
        <f>IFERROR(__xludf.DUMMYFUNCTION("""COMPUTED_VALUE"""),"Kearney")</f>
        <v>Kearney</v>
      </c>
      <c r="F768" s="31">
        <f>IFERROR(__xludf.DUMMYFUNCTION("""COMPUTED_VALUE"""),18.0)</f>
        <v>18</v>
      </c>
      <c r="G768" s="32">
        <f>IFERROR(__xludf.DUMMYFUNCTION("""COMPUTED_VALUE"""),2205.0)</f>
        <v>2205</v>
      </c>
      <c r="H768" s="33" t="str">
        <f>IFERROR(__xludf.DUMMYFUNCTION("""COMPUTED_VALUE"""),"")</f>
        <v/>
      </c>
      <c r="I768" s="34">
        <f>IFERROR(__xludf.DUMMYFUNCTION("""COMPUTED_VALUE"""),145.4)</f>
        <v>145.4</v>
      </c>
      <c r="J768" s="35" t="str">
        <f>IFERROR(__xludf.DUMMYFUNCTION("""COMPUTED_VALUE"""),"AP")</f>
        <v>AP</v>
      </c>
      <c r="K768" s="34">
        <f>IFERROR(__xludf.DUMMYFUNCTION("""COMPUTED_VALUE"""),12.4)</f>
        <v>12.4</v>
      </c>
      <c r="L768" s="35" t="str">
        <f>IFERROR(__xludf.DUMMYFUNCTION("""COMPUTED_VALUE"""),"%")</f>
        <v>%</v>
      </c>
      <c r="M768" s="36">
        <f>IFERROR(__xludf.DUMMYFUNCTION("""COMPUTED_VALUE"""),1.0)</f>
        <v>1</v>
      </c>
      <c r="N768" s="37" t="str">
        <f>IFERROR(__xludf.DUMMYFUNCTION("""COMPUTED_VALUE"""),"A301")</f>
        <v>A301</v>
      </c>
      <c r="O768" s="38" t="str">
        <f>IFERROR(__xludf.DUMMYFUNCTION("""COMPUTED_VALUE"""),"")</f>
        <v/>
      </c>
      <c r="P768" s="34">
        <f>IFERROR(__xludf.DUMMYFUNCTION("""COMPUTED_VALUE"""),32.5)</f>
        <v>32.5</v>
      </c>
      <c r="Q768" s="35" t="str">
        <f>IFERROR(__xludf.DUMMYFUNCTION("""COMPUTED_VALUE"""),"AP")</f>
        <v>AP</v>
      </c>
      <c r="R768" s="34">
        <f>IFERROR(__xludf.DUMMYFUNCTION("""COMPUTED_VALUE"""),55.5)</f>
        <v>55.5</v>
      </c>
      <c r="S768" s="35" t="str">
        <f>IFERROR(__xludf.DUMMYFUNCTION("""COMPUTED_VALUE"""),"%")</f>
        <v>%</v>
      </c>
      <c r="T768" s="36">
        <f>IFERROR(__xludf.DUMMYFUNCTION("""COMPUTED_VALUE"""),2.0)</f>
        <v>2</v>
      </c>
      <c r="U768" s="37" t="str">
        <f>IFERROR(__xludf.DUMMYFUNCTION("""COMPUTED_VALUE"""),"B113")</f>
        <v>B113</v>
      </c>
      <c r="V768" s="38" t="str">
        <f>IFERROR(__xludf.DUMMYFUNCTION("""COMPUTED_VALUE"""),"")</f>
        <v/>
      </c>
      <c r="W768" s="34">
        <f>IFERROR(__xludf.DUMMYFUNCTION("""COMPUTED_VALUE"""),193.3)</f>
        <v>193.3</v>
      </c>
      <c r="X768" s="35" t="str">
        <f>IFERROR(__xludf.DUMMYFUNCTION("""COMPUTED_VALUE"""),"AP")</f>
        <v>AP</v>
      </c>
      <c r="Y768" s="34">
        <f>IFERROR(__xludf.DUMMYFUNCTION("""COMPUTED_VALUE"""),9.3)</f>
        <v>9.3</v>
      </c>
      <c r="Z768" s="35" t="str">
        <f>IFERROR(__xludf.DUMMYFUNCTION("""COMPUTED_VALUE"""),"%")</f>
        <v>%</v>
      </c>
      <c r="AA768" s="36">
        <f>IFERROR(__xludf.DUMMYFUNCTION("""COMPUTED_VALUE"""),3.0)</f>
        <v>3</v>
      </c>
      <c r="AB768" s="37"/>
      <c r="AC768" s="38"/>
      <c r="AD768" s="34" t="str">
        <f>IFERROR(__xludf.DUMMYFUNCTION("""COMPUTED_VALUE"""),"")</f>
        <v/>
      </c>
      <c r="AE768" s="35" t="str">
        <f>IFERROR(__xludf.DUMMYFUNCTION("""COMPUTED_VALUE"""),"AP")</f>
        <v>AP</v>
      </c>
      <c r="AF768" s="34" t="str">
        <f>IFERROR(__xludf.DUMMYFUNCTION("""COMPUTED_VALUE"""),"")</f>
        <v/>
      </c>
      <c r="AG768" s="35" t="str">
        <f>IFERROR(__xludf.DUMMYFUNCTION("""COMPUTED_VALUE"""),"%")</f>
        <v>%</v>
      </c>
      <c r="AH768" s="31">
        <f>IFERROR(__xludf.DUMMYFUNCTION("""COMPUTED_VALUE"""),18.0)</f>
        <v>18</v>
      </c>
      <c r="AI768" s="32">
        <f>IFERROR(__xludf.DUMMYFUNCTION("""COMPUTED_VALUE"""),2205.0)</f>
        <v>2205</v>
      </c>
      <c r="AJ768" s="39" t="str">
        <f>IFERROR(__xludf.DUMMYFUNCTION("""COMPUTED_VALUE"""),"カーニー")</f>
        <v>カーニー</v>
      </c>
    </row>
    <row r="769" ht="24.75" customHeight="1">
      <c r="A769" s="40">
        <f>IFERROR(__xludf.DUMMYFUNCTION("""COMPUTED_VALUE"""),8.0)</f>
        <v>8</v>
      </c>
      <c r="B769" s="40" t="str">
        <f>IFERROR(__xludf.DUMMYFUNCTION("""COMPUTED_VALUE"""),"A105")</f>
        <v>A105</v>
      </c>
      <c r="C769" s="40" t="str">
        <f>IFERROR(__xludf.DUMMYFUNCTION("""COMPUTED_VALUE"""),"TRF8")</f>
        <v>TRF8</v>
      </c>
      <c r="D769" s="41" t="str">
        <f>IFERROR(__xludf.DUMMYFUNCTION("""COMPUTED_VALUE"""),"Chaldea Gate (Tue)")</f>
        <v>Chaldea Gate (Tue)</v>
      </c>
      <c r="E769" s="42" t="str">
        <f>IFERROR(__xludf.DUMMYFUNCTION("""COMPUTED_VALUE"""),"TUE Lancer Training Ground- Exp")</f>
        <v>TUE Lancer Training Ground- Exp</v>
      </c>
      <c r="F769" s="43">
        <f>IFERROR(__xludf.DUMMYFUNCTION("""COMPUTED_VALUE"""),40.0)</f>
        <v>40</v>
      </c>
      <c r="G769" s="44">
        <f>IFERROR(__xludf.DUMMYFUNCTION("""COMPUTED_VALUE"""),6290.0)</f>
        <v>6290</v>
      </c>
      <c r="H769" s="33" t="str">
        <f>IFERROR(__xludf.DUMMYFUNCTION("""COMPUTED_VALUE"""),"")</f>
        <v/>
      </c>
      <c r="I769" s="45">
        <f>IFERROR(__xludf.DUMMYFUNCTION("""COMPUTED_VALUE"""),311.9)</f>
        <v>311.9</v>
      </c>
      <c r="J769" s="46" t="str">
        <f>IFERROR(__xludf.DUMMYFUNCTION("""COMPUTED_VALUE"""),"AP")</f>
        <v>AP</v>
      </c>
      <c r="K769" s="47">
        <f>IFERROR(__xludf.DUMMYFUNCTION("""COMPUTED_VALUE"""),12.8)</f>
        <v>12.8</v>
      </c>
      <c r="L769" s="48" t="str">
        <f>IFERROR(__xludf.DUMMYFUNCTION("""COMPUTED_VALUE"""),"%")</f>
        <v>%</v>
      </c>
      <c r="M769" s="49">
        <f>IFERROR(__xludf.DUMMYFUNCTION("""COMPUTED_VALUE"""),1.0)</f>
        <v>1</v>
      </c>
      <c r="N769" s="50" t="str">
        <f>IFERROR(__xludf.DUMMYFUNCTION("""COMPUTED_VALUE"""),"A201")</f>
        <v>A201</v>
      </c>
      <c r="O769" s="38" t="str">
        <f>IFERROR(__xludf.DUMMYFUNCTION("""COMPUTED_VALUE"""),"")</f>
        <v/>
      </c>
      <c r="P769" s="45">
        <f>IFERROR(__xludf.DUMMYFUNCTION("""COMPUTED_VALUE"""),155.4)</f>
        <v>155.4</v>
      </c>
      <c r="Q769" s="46" t="str">
        <f>IFERROR(__xludf.DUMMYFUNCTION("""COMPUTED_VALUE"""),"AP")</f>
        <v>AP</v>
      </c>
      <c r="R769" s="47">
        <f>IFERROR(__xludf.DUMMYFUNCTION("""COMPUTED_VALUE"""),25.7)</f>
        <v>25.7</v>
      </c>
      <c r="S769" s="48" t="str">
        <f>IFERROR(__xludf.DUMMYFUNCTION("""COMPUTED_VALUE"""),"%")</f>
        <v>%</v>
      </c>
      <c r="T769" s="49">
        <f>IFERROR(__xludf.DUMMYFUNCTION("""COMPUTED_VALUE"""),2.0)</f>
        <v>2</v>
      </c>
      <c r="U769" s="50" t="str">
        <f>IFERROR(__xludf.DUMMYFUNCTION("""COMPUTED_VALUE"""),"A205")</f>
        <v>A205</v>
      </c>
      <c r="V769" s="38" t="str">
        <f>IFERROR(__xludf.DUMMYFUNCTION("""COMPUTED_VALUE"""),"")</f>
        <v/>
      </c>
      <c r="W769" s="45">
        <f>IFERROR(__xludf.DUMMYFUNCTION("""COMPUTED_VALUE"""),362.7)</f>
        <v>362.7</v>
      </c>
      <c r="X769" s="46" t="str">
        <f>IFERROR(__xludf.DUMMYFUNCTION("""COMPUTED_VALUE"""),"AP")</f>
        <v>AP</v>
      </c>
      <c r="Y769" s="47">
        <f>IFERROR(__xludf.DUMMYFUNCTION("""COMPUTED_VALUE"""),11.0)</f>
        <v>11</v>
      </c>
      <c r="Z769" s="48" t="str">
        <f>IFERROR(__xludf.DUMMYFUNCTION("""COMPUTED_VALUE"""),"%")</f>
        <v>%</v>
      </c>
      <c r="AA769" s="49">
        <f>IFERROR(__xludf.DUMMYFUNCTION("""COMPUTED_VALUE"""),3.0)</f>
        <v>3</v>
      </c>
      <c r="AB769" s="50" t="str">
        <f>IFERROR(__xludf.DUMMYFUNCTION("""COMPUTED_VALUE"""),"A208")</f>
        <v>A208</v>
      </c>
      <c r="AC769" s="38" t="str">
        <f>IFERROR(__xludf.DUMMYFUNCTION("""COMPUTED_VALUE"""),"")</f>
        <v/>
      </c>
      <c r="AD769" s="45">
        <f>IFERROR(__xludf.DUMMYFUNCTION("""COMPUTED_VALUE"""),189.8)</f>
        <v>189.8</v>
      </c>
      <c r="AE769" s="46" t="str">
        <f>IFERROR(__xludf.DUMMYFUNCTION("""COMPUTED_VALUE"""),"AP")</f>
        <v>AP</v>
      </c>
      <c r="AF769" s="47">
        <f>IFERROR(__xludf.DUMMYFUNCTION("""COMPUTED_VALUE"""),21.1)</f>
        <v>21.1</v>
      </c>
      <c r="AG769" s="48" t="str">
        <f>IFERROR(__xludf.DUMMYFUNCTION("""COMPUTED_VALUE"""),"%")</f>
        <v>%</v>
      </c>
      <c r="AH769" s="43">
        <f>IFERROR(__xludf.DUMMYFUNCTION("""COMPUTED_VALUE"""),40.0)</f>
        <v>40</v>
      </c>
      <c r="AI769" s="44">
        <f>IFERROR(__xludf.DUMMYFUNCTION("""COMPUTED_VALUE"""),6290.0)</f>
        <v>6290</v>
      </c>
      <c r="AJ769" s="51" t="str">
        <f>IFERROR(__xludf.DUMMYFUNCTION("""COMPUTED_VALUE"""),"槍超級")</f>
        <v>槍超級</v>
      </c>
    </row>
    <row r="770" ht="24.75" customHeight="1">
      <c r="A770" s="28">
        <f>IFERROR(__xludf.DUMMYFUNCTION("""COMPUTED_VALUE"""),9.0)</f>
        <v>9</v>
      </c>
      <c r="B770" s="28" t="str">
        <f>IFERROR(__xludf.DUMMYFUNCTION("""COMPUTED_VALUE"""),"A105")</f>
        <v>A105</v>
      </c>
      <c r="C770" s="28" t="str">
        <f>IFERROR(__xludf.DUMMYFUNCTION("""COMPUTED_VALUE"""),"TRF7")</f>
        <v>TRF7</v>
      </c>
      <c r="D770" s="29" t="str">
        <f>IFERROR(__xludf.DUMMYFUNCTION("""COMPUTED_VALUE"""),"Chaldea Gate (Tue)")</f>
        <v>Chaldea Gate (Tue)</v>
      </c>
      <c r="E770" s="30" t="str">
        <f>IFERROR(__xludf.DUMMYFUNCTION("""COMPUTED_VALUE"""),"TUE Lancer Training Ground- Adv")</f>
        <v>TUE Lancer Training Ground- Adv</v>
      </c>
      <c r="F770" s="31">
        <f>IFERROR(__xludf.DUMMYFUNCTION("""COMPUTED_VALUE"""),30.0)</f>
        <v>30</v>
      </c>
      <c r="G770" s="32">
        <f>IFERROR(__xludf.DUMMYFUNCTION("""COMPUTED_VALUE"""),1073.0)</f>
        <v>1073</v>
      </c>
      <c r="H770" s="33" t="str">
        <f>IFERROR(__xludf.DUMMYFUNCTION("""COMPUTED_VALUE"""),"")</f>
        <v/>
      </c>
      <c r="I770" s="34">
        <f>IFERROR(__xludf.DUMMYFUNCTION("""COMPUTED_VALUE"""),511.0)</f>
        <v>511</v>
      </c>
      <c r="J770" s="35" t="str">
        <f>IFERROR(__xludf.DUMMYFUNCTION("""COMPUTED_VALUE"""),"AP")</f>
        <v>AP</v>
      </c>
      <c r="K770" s="34">
        <f>IFERROR(__xludf.DUMMYFUNCTION("""COMPUTED_VALUE"""),5.9)</f>
        <v>5.9</v>
      </c>
      <c r="L770" s="35" t="str">
        <f>IFERROR(__xludf.DUMMYFUNCTION("""COMPUTED_VALUE"""),"%")</f>
        <v>%</v>
      </c>
      <c r="M770" s="36">
        <f>IFERROR(__xludf.DUMMYFUNCTION("""COMPUTED_VALUE"""),1.0)</f>
        <v>1</v>
      </c>
      <c r="N770" s="37" t="str">
        <f>IFERROR(__xludf.DUMMYFUNCTION("""COMPUTED_VALUE"""),"A201")</f>
        <v>A201</v>
      </c>
      <c r="O770" s="38" t="str">
        <f>IFERROR(__xludf.DUMMYFUNCTION("""COMPUTED_VALUE"""),"")</f>
        <v/>
      </c>
      <c r="P770" s="34">
        <f>IFERROR(__xludf.DUMMYFUNCTION("""COMPUTED_VALUE"""),157.0)</f>
        <v>157</v>
      </c>
      <c r="Q770" s="35" t="str">
        <f>IFERROR(__xludf.DUMMYFUNCTION("""COMPUTED_VALUE"""),"AP")</f>
        <v>AP</v>
      </c>
      <c r="R770" s="34">
        <f>IFERROR(__xludf.DUMMYFUNCTION("""COMPUTED_VALUE"""),19.1)</f>
        <v>19.1</v>
      </c>
      <c r="S770" s="35" t="str">
        <f>IFERROR(__xludf.DUMMYFUNCTION("""COMPUTED_VALUE"""),"%")</f>
        <v>%</v>
      </c>
      <c r="T770" s="36">
        <f>IFERROR(__xludf.DUMMYFUNCTION("""COMPUTED_VALUE"""),2.0)</f>
        <v>2</v>
      </c>
      <c r="U770" s="37" t="str">
        <f>IFERROR(__xludf.DUMMYFUNCTION("""COMPUTED_VALUE"""),"A205")</f>
        <v>A205</v>
      </c>
      <c r="V770" s="38" t="str">
        <f>IFERROR(__xludf.DUMMYFUNCTION("""COMPUTED_VALUE"""),"")</f>
        <v/>
      </c>
      <c r="W770" s="34">
        <f>IFERROR(__xludf.DUMMYFUNCTION("""COMPUTED_VALUE"""),349.9)</f>
        <v>349.9</v>
      </c>
      <c r="X770" s="35" t="str">
        <f>IFERROR(__xludf.DUMMYFUNCTION("""COMPUTED_VALUE"""),"AP")</f>
        <v>AP</v>
      </c>
      <c r="Y770" s="34">
        <f>IFERROR(__xludf.DUMMYFUNCTION("""COMPUTED_VALUE"""),8.6)</f>
        <v>8.6</v>
      </c>
      <c r="Z770" s="35" t="str">
        <f>IFERROR(__xludf.DUMMYFUNCTION("""COMPUTED_VALUE"""),"%")</f>
        <v>%</v>
      </c>
      <c r="AA770" s="36">
        <f>IFERROR(__xludf.DUMMYFUNCTION("""COMPUTED_VALUE"""),3.0)</f>
        <v>3</v>
      </c>
      <c r="AB770" s="37" t="str">
        <f>IFERROR(__xludf.DUMMYFUNCTION("""COMPUTED_VALUE"""),"A208")</f>
        <v>A208</v>
      </c>
      <c r="AC770" s="38" t="str">
        <f>IFERROR(__xludf.DUMMYFUNCTION("""COMPUTED_VALUE"""),"")</f>
        <v/>
      </c>
      <c r="AD770" s="34">
        <f>IFERROR(__xludf.DUMMYFUNCTION("""COMPUTED_VALUE"""),166.8)</f>
        <v>166.8</v>
      </c>
      <c r="AE770" s="35" t="str">
        <f>IFERROR(__xludf.DUMMYFUNCTION("""COMPUTED_VALUE"""),"AP")</f>
        <v>AP</v>
      </c>
      <c r="AF770" s="34">
        <f>IFERROR(__xludf.DUMMYFUNCTION("""COMPUTED_VALUE"""),18.0)</f>
        <v>18</v>
      </c>
      <c r="AG770" s="35" t="str">
        <f>IFERROR(__xludf.DUMMYFUNCTION("""COMPUTED_VALUE"""),"%")</f>
        <v>%</v>
      </c>
      <c r="AH770" s="31">
        <f>IFERROR(__xludf.DUMMYFUNCTION("""COMPUTED_VALUE"""),30.0)</f>
        <v>30</v>
      </c>
      <c r="AI770" s="32">
        <f>IFERROR(__xludf.DUMMYFUNCTION("""COMPUTED_VALUE"""),1073.0)</f>
        <v>1073</v>
      </c>
      <c r="AJ770" s="39" t="str">
        <f>IFERROR(__xludf.DUMMYFUNCTION("""COMPUTED_VALUE"""),"槍上級")</f>
        <v>槍上級</v>
      </c>
    </row>
    <row r="771" ht="24.75" customHeight="1">
      <c r="A771" s="40">
        <f>IFERROR(__xludf.DUMMYFUNCTION("""COMPUTED_VALUE"""),10.0)</f>
        <v>10</v>
      </c>
      <c r="B771" s="40" t="str">
        <f>IFERROR(__xludf.DUMMYFUNCTION("""COMPUTED_VALUE"""),"A105")</f>
        <v>A105</v>
      </c>
      <c r="C771" s="40"/>
      <c r="D771" s="41"/>
      <c r="E771" s="66"/>
      <c r="F771" s="43"/>
      <c r="G771" s="44"/>
      <c r="H771" s="33" t="str">
        <f>IFERROR(__xludf.DUMMYFUNCTION("""COMPUTED_VALUE""")," ")</f>
        <v> </v>
      </c>
      <c r="I771" s="45"/>
      <c r="J771" s="46" t="str">
        <f>IFERROR(__xludf.DUMMYFUNCTION("""COMPUTED_VALUE"""),"AP")</f>
        <v>AP</v>
      </c>
      <c r="K771" s="47"/>
      <c r="L771" s="48" t="str">
        <f>IFERROR(__xludf.DUMMYFUNCTION("""COMPUTED_VALUE"""),"%")</f>
        <v>%</v>
      </c>
      <c r="M771" s="49">
        <f>IFERROR(__xludf.DUMMYFUNCTION("""COMPUTED_VALUE"""),1.0)</f>
        <v>1</v>
      </c>
      <c r="N771" s="50"/>
      <c r="O771" s="38"/>
      <c r="P771" s="45" t="str">
        <f>IFERROR(__xludf.DUMMYFUNCTION("""COMPUTED_VALUE"""),"")</f>
        <v/>
      </c>
      <c r="Q771" s="46" t="str">
        <f>IFERROR(__xludf.DUMMYFUNCTION("""COMPUTED_VALUE"""),"AP")</f>
        <v>AP</v>
      </c>
      <c r="R771" s="47" t="str">
        <f>IFERROR(__xludf.DUMMYFUNCTION("""COMPUTED_VALUE"""),"")</f>
        <v/>
      </c>
      <c r="S771" s="48" t="str">
        <f>IFERROR(__xludf.DUMMYFUNCTION("""COMPUTED_VALUE"""),"%")</f>
        <v>%</v>
      </c>
      <c r="T771" s="49">
        <f>IFERROR(__xludf.DUMMYFUNCTION("""COMPUTED_VALUE"""),2.0)</f>
        <v>2</v>
      </c>
      <c r="U771" s="50"/>
      <c r="V771" s="38"/>
      <c r="W771" s="45" t="str">
        <f>IFERROR(__xludf.DUMMYFUNCTION("""COMPUTED_VALUE"""),"")</f>
        <v/>
      </c>
      <c r="X771" s="46" t="str">
        <f>IFERROR(__xludf.DUMMYFUNCTION("""COMPUTED_VALUE"""),"AP")</f>
        <v>AP</v>
      </c>
      <c r="Y771" s="47" t="str">
        <f>IFERROR(__xludf.DUMMYFUNCTION("""COMPUTED_VALUE"""),"")</f>
        <v/>
      </c>
      <c r="Z771" s="48" t="str">
        <f>IFERROR(__xludf.DUMMYFUNCTION("""COMPUTED_VALUE"""),"%")</f>
        <v>%</v>
      </c>
      <c r="AA771" s="49">
        <f>IFERROR(__xludf.DUMMYFUNCTION("""COMPUTED_VALUE"""),3.0)</f>
        <v>3</v>
      </c>
      <c r="AB771" s="50"/>
      <c r="AC771" s="38"/>
      <c r="AD771" s="45" t="str">
        <f>IFERROR(__xludf.DUMMYFUNCTION("""COMPUTED_VALUE"""),"")</f>
        <v/>
      </c>
      <c r="AE771" s="46" t="str">
        <f>IFERROR(__xludf.DUMMYFUNCTION("""COMPUTED_VALUE"""),"AP")</f>
        <v>AP</v>
      </c>
      <c r="AF771" s="47" t="str">
        <f>IFERROR(__xludf.DUMMYFUNCTION("""COMPUTED_VALUE"""),"")</f>
        <v/>
      </c>
      <c r="AG771" s="48" t="str">
        <f>IFERROR(__xludf.DUMMYFUNCTION("""COMPUTED_VALUE"""),"%")</f>
        <v>%</v>
      </c>
      <c r="AH771" s="43"/>
      <c r="AI771" s="44"/>
      <c r="AJ771" s="51"/>
    </row>
    <row r="772" ht="24.75" hidden="1" customHeight="1">
      <c r="A772" s="28">
        <f>IFERROR(__xludf.DUMMYFUNCTION("""COMPUTED_VALUE"""),11.0)</f>
        <v>11</v>
      </c>
      <c r="B772" s="28" t="str">
        <f>IFERROR(__xludf.DUMMYFUNCTION("""COMPUTED_VALUE"""),"A105")</f>
        <v>A105</v>
      </c>
      <c r="C772" s="28"/>
      <c r="D772" s="29"/>
      <c r="E772" s="67"/>
      <c r="F772" s="31"/>
      <c r="G772" s="32"/>
      <c r="H772" s="33" t="str">
        <f>IFERROR(__xludf.DUMMYFUNCTION("""COMPUTED_VALUE""")," ")</f>
        <v> </v>
      </c>
      <c r="I772" s="34"/>
      <c r="J772" s="35" t="str">
        <f>IFERROR(__xludf.DUMMYFUNCTION("""COMPUTED_VALUE"""),"AP")</f>
        <v>AP</v>
      </c>
      <c r="K772" s="34"/>
      <c r="L772" s="35" t="str">
        <f>IFERROR(__xludf.DUMMYFUNCTION("""COMPUTED_VALUE"""),"%")</f>
        <v>%</v>
      </c>
      <c r="M772" s="36">
        <f>IFERROR(__xludf.DUMMYFUNCTION("""COMPUTED_VALUE"""),1.0)</f>
        <v>1</v>
      </c>
      <c r="N772" s="37"/>
      <c r="O772" s="38"/>
      <c r="P772" s="34" t="str">
        <f>IFERROR(__xludf.DUMMYFUNCTION("""COMPUTED_VALUE"""),"")</f>
        <v/>
      </c>
      <c r="Q772" s="35" t="str">
        <f>IFERROR(__xludf.DUMMYFUNCTION("""COMPUTED_VALUE"""),"AP")</f>
        <v>AP</v>
      </c>
      <c r="R772" s="34" t="str">
        <f>IFERROR(__xludf.DUMMYFUNCTION("""COMPUTED_VALUE"""),"")</f>
        <v/>
      </c>
      <c r="S772" s="35" t="str">
        <f>IFERROR(__xludf.DUMMYFUNCTION("""COMPUTED_VALUE"""),"%")</f>
        <v>%</v>
      </c>
      <c r="T772" s="36">
        <f>IFERROR(__xludf.DUMMYFUNCTION("""COMPUTED_VALUE"""),2.0)</f>
        <v>2</v>
      </c>
      <c r="U772" s="37"/>
      <c r="V772" s="38"/>
      <c r="W772" s="34" t="str">
        <f>IFERROR(__xludf.DUMMYFUNCTION("""COMPUTED_VALUE"""),"")</f>
        <v/>
      </c>
      <c r="X772" s="35" t="str">
        <f>IFERROR(__xludf.DUMMYFUNCTION("""COMPUTED_VALUE"""),"AP")</f>
        <v>AP</v>
      </c>
      <c r="Y772" s="34" t="str">
        <f>IFERROR(__xludf.DUMMYFUNCTION("""COMPUTED_VALUE"""),"")</f>
        <v/>
      </c>
      <c r="Z772" s="35" t="str">
        <f>IFERROR(__xludf.DUMMYFUNCTION("""COMPUTED_VALUE"""),"%")</f>
        <v>%</v>
      </c>
      <c r="AA772" s="36">
        <f>IFERROR(__xludf.DUMMYFUNCTION("""COMPUTED_VALUE"""),3.0)</f>
        <v>3</v>
      </c>
      <c r="AB772" s="37"/>
      <c r="AC772" s="38"/>
      <c r="AD772" s="34" t="str">
        <f>IFERROR(__xludf.DUMMYFUNCTION("""COMPUTED_VALUE"""),"")</f>
        <v/>
      </c>
      <c r="AE772" s="35" t="str">
        <f>IFERROR(__xludf.DUMMYFUNCTION("""COMPUTED_VALUE"""),"AP")</f>
        <v>AP</v>
      </c>
      <c r="AF772" s="34" t="str">
        <f>IFERROR(__xludf.DUMMYFUNCTION("""COMPUTED_VALUE"""),"")</f>
        <v/>
      </c>
      <c r="AG772" s="35" t="str">
        <f>IFERROR(__xludf.DUMMYFUNCTION("""COMPUTED_VALUE"""),"%")</f>
        <v>%</v>
      </c>
      <c r="AH772" s="31"/>
      <c r="AI772" s="32"/>
      <c r="AJ772" s="39"/>
    </row>
    <row r="773" ht="24.75" hidden="1" customHeight="1">
      <c r="A773" s="40">
        <f>IFERROR(__xludf.DUMMYFUNCTION("""COMPUTED_VALUE"""),12.0)</f>
        <v>12</v>
      </c>
      <c r="B773" s="40" t="str">
        <f>IFERROR(__xludf.DUMMYFUNCTION("""COMPUTED_VALUE"""),"A105")</f>
        <v>A105</v>
      </c>
      <c r="C773" s="40"/>
      <c r="D773" s="41"/>
      <c r="E773" s="66"/>
      <c r="F773" s="43"/>
      <c r="G773" s="44"/>
      <c r="H773" s="33" t="str">
        <f>IFERROR(__xludf.DUMMYFUNCTION("""COMPUTED_VALUE""")," ")</f>
        <v> </v>
      </c>
      <c r="I773" s="45"/>
      <c r="J773" s="46" t="str">
        <f>IFERROR(__xludf.DUMMYFUNCTION("""COMPUTED_VALUE"""),"AP")</f>
        <v>AP</v>
      </c>
      <c r="K773" s="47"/>
      <c r="L773" s="48" t="str">
        <f>IFERROR(__xludf.DUMMYFUNCTION("""COMPUTED_VALUE"""),"%")</f>
        <v>%</v>
      </c>
      <c r="M773" s="49">
        <f>IFERROR(__xludf.DUMMYFUNCTION("""COMPUTED_VALUE"""),1.0)</f>
        <v>1</v>
      </c>
      <c r="N773" s="50"/>
      <c r="O773" s="38"/>
      <c r="P773" s="45" t="str">
        <f>IFERROR(__xludf.DUMMYFUNCTION("""COMPUTED_VALUE"""),"")</f>
        <v/>
      </c>
      <c r="Q773" s="46" t="str">
        <f>IFERROR(__xludf.DUMMYFUNCTION("""COMPUTED_VALUE"""),"AP")</f>
        <v>AP</v>
      </c>
      <c r="R773" s="47" t="str">
        <f>IFERROR(__xludf.DUMMYFUNCTION("""COMPUTED_VALUE"""),"")</f>
        <v/>
      </c>
      <c r="S773" s="48" t="str">
        <f>IFERROR(__xludf.DUMMYFUNCTION("""COMPUTED_VALUE"""),"%")</f>
        <v>%</v>
      </c>
      <c r="T773" s="49">
        <f>IFERROR(__xludf.DUMMYFUNCTION("""COMPUTED_VALUE"""),2.0)</f>
        <v>2</v>
      </c>
      <c r="U773" s="50"/>
      <c r="V773" s="38"/>
      <c r="W773" s="45" t="str">
        <f>IFERROR(__xludf.DUMMYFUNCTION("""COMPUTED_VALUE"""),"")</f>
        <v/>
      </c>
      <c r="X773" s="46" t="str">
        <f>IFERROR(__xludf.DUMMYFUNCTION("""COMPUTED_VALUE"""),"AP")</f>
        <v>AP</v>
      </c>
      <c r="Y773" s="47" t="str">
        <f>IFERROR(__xludf.DUMMYFUNCTION("""COMPUTED_VALUE"""),"")</f>
        <v/>
      </c>
      <c r="Z773" s="48" t="str">
        <f>IFERROR(__xludf.DUMMYFUNCTION("""COMPUTED_VALUE"""),"%")</f>
        <v>%</v>
      </c>
      <c r="AA773" s="49">
        <f>IFERROR(__xludf.DUMMYFUNCTION("""COMPUTED_VALUE"""),3.0)</f>
        <v>3</v>
      </c>
      <c r="AB773" s="50"/>
      <c r="AC773" s="38"/>
      <c r="AD773" s="45" t="str">
        <f>IFERROR(__xludf.DUMMYFUNCTION("""COMPUTED_VALUE"""),"")</f>
        <v/>
      </c>
      <c r="AE773" s="46" t="str">
        <f>IFERROR(__xludf.DUMMYFUNCTION("""COMPUTED_VALUE"""),"AP")</f>
        <v>AP</v>
      </c>
      <c r="AF773" s="47" t="str">
        <f>IFERROR(__xludf.DUMMYFUNCTION("""COMPUTED_VALUE"""),"")</f>
        <v/>
      </c>
      <c r="AG773" s="48" t="str">
        <f>IFERROR(__xludf.DUMMYFUNCTION("""COMPUTED_VALUE"""),"%")</f>
        <v>%</v>
      </c>
      <c r="AH773" s="43"/>
      <c r="AI773" s="44"/>
      <c r="AJ773" s="51"/>
    </row>
    <row r="774" ht="24.75" hidden="1" customHeight="1">
      <c r="A774" s="28">
        <f>IFERROR(__xludf.DUMMYFUNCTION("""COMPUTED_VALUE"""),13.0)</f>
        <v>13</v>
      </c>
      <c r="B774" s="28" t="str">
        <f>IFERROR(__xludf.DUMMYFUNCTION("""COMPUTED_VALUE"""),"A105")</f>
        <v>A105</v>
      </c>
      <c r="C774" s="28"/>
      <c r="D774" s="29"/>
      <c r="E774" s="67"/>
      <c r="F774" s="31"/>
      <c r="G774" s="32"/>
      <c r="H774" s="33" t="str">
        <f>IFERROR(__xludf.DUMMYFUNCTION("""COMPUTED_VALUE""")," ")</f>
        <v> </v>
      </c>
      <c r="I774" s="34"/>
      <c r="J774" s="35" t="str">
        <f>IFERROR(__xludf.DUMMYFUNCTION("""COMPUTED_VALUE"""),"AP")</f>
        <v>AP</v>
      </c>
      <c r="K774" s="34"/>
      <c r="L774" s="35" t="str">
        <f>IFERROR(__xludf.DUMMYFUNCTION("""COMPUTED_VALUE"""),"%")</f>
        <v>%</v>
      </c>
      <c r="M774" s="36">
        <f>IFERROR(__xludf.DUMMYFUNCTION("""COMPUTED_VALUE"""),1.0)</f>
        <v>1</v>
      </c>
      <c r="N774" s="37"/>
      <c r="O774" s="38"/>
      <c r="P774" s="34" t="str">
        <f>IFERROR(__xludf.DUMMYFUNCTION("""COMPUTED_VALUE"""),"")</f>
        <v/>
      </c>
      <c r="Q774" s="35" t="str">
        <f>IFERROR(__xludf.DUMMYFUNCTION("""COMPUTED_VALUE"""),"AP")</f>
        <v>AP</v>
      </c>
      <c r="R774" s="34" t="str">
        <f>IFERROR(__xludf.DUMMYFUNCTION("""COMPUTED_VALUE"""),"")</f>
        <v/>
      </c>
      <c r="S774" s="35" t="str">
        <f>IFERROR(__xludf.DUMMYFUNCTION("""COMPUTED_VALUE"""),"%")</f>
        <v>%</v>
      </c>
      <c r="T774" s="36">
        <f>IFERROR(__xludf.DUMMYFUNCTION("""COMPUTED_VALUE"""),2.0)</f>
        <v>2</v>
      </c>
      <c r="U774" s="37"/>
      <c r="V774" s="38"/>
      <c r="W774" s="34" t="str">
        <f>IFERROR(__xludf.DUMMYFUNCTION("""COMPUTED_VALUE"""),"")</f>
        <v/>
      </c>
      <c r="X774" s="35" t="str">
        <f>IFERROR(__xludf.DUMMYFUNCTION("""COMPUTED_VALUE"""),"AP")</f>
        <v>AP</v>
      </c>
      <c r="Y774" s="34" t="str">
        <f>IFERROR(__xludf.DUMMYFUNCTION("""COMPUTED_VALUE"""),"")</f>
        <v/>
      </c>
      <c r="Z774" s="35" t="str">
        <f>IFERROR(__xludf.DUMMYFUNCTION("""COMPUTED_VALUE"""),"%")</f>
        <v>%</v>
      </c>
      <c r="AA774" s="36">
        <f>IFERROR(__xludf.DUMMYFUNCTION("""COMPUTED_VALUE"""),3.0)</f>
        <v>3</v>
      </c>
      <c r="AB774" s="37"/>
      <c r="AC774" s="38"/>
      <c r="AD774" s="34" t="str">
        <f>IFERROR(__xludf.DUMMYFUNCTION("""COMPUTED_VALUE"""),"")</f>
        <v/>
      </c>
      <c r="AE774" s="35" t="str">
        <f>IFERROR(__xludf.DUMMYFUNCTION("""COMPUTED_VALUE"""),"AP")</f>
        <v>AP</v>
      </c>
      <c r="AF774" s="34" t="str">
        <f>IFERROR(__xludf.DUMMYFUNCTION("""COMPUTED_VALUE"""),"")</f>
        <v/>
      </c>
      <c r="AG774" s="35" t="str">
        <f>IFERROR(__xludf.DUMMYFUNCTION("""COMPUTED_VALUE"""),"%")</f>
        <v>%</v>
      </c>
      <c r="AH774" s="31"/>
      <c r="AI774" s="32"/>
      <c r="AJ774" s="39"/>
    </row>
    <row r="775" ht="24.75" hidden="1" customHeight="1">
      <c r="A775" s="40">
        <f>IFERROR(__xludf.DUMMYFUNCTION("""COMPUTED_VALUE"""),14.0)</f>
        <v>14</v>
      </c>
      <c r="B775" s="40" t="str">
        <f>IFERROR(__xludf.DUMMYFUNCTION("""COMPUTED_VALUE"""),"A105")</f>
        <v>A105</v>
      </c>
      <c r="C775" s="40"/>
      <c r="D775" s="41"/>
      <c r="E775" s="66"/>
      <c r="F775" s="43"/>
      <c r="G775" s="44"/>
      <c r="H775" s="33" t="str">
        <f>IFERROR(__xludf.DUMMYFUNCTION("""COMPUTED_VALUE""")," ")</f>
        <v> </v>
      </c>
      <c r="I775" s="45"/>
      <c r="J775" s="46" t="str">
        <f>IFERROR(__xludf.DUMMYFUNCTION("""COMPUTED_VALUE"""),"AP")</f>
        <v>AP</v>
      </c>
      <c r="K775" s="47"/>
      <c r="L775" s="48" t="str">
        <f>IFERROR(__xludf.DUMMYFUNCTION("""COMPUTED_VALUE"""),"%")</f>
        <v>%</v>
      </c>
      <c r="M775" s="49">
        <f>IFERROR(__xludf.DUMMYFUNCTION("""COMPUTED_VALUE"""),1.0)</f>
        <v>1</v>
      </c>
      <c r="N775" s="50"/>
      <c r="O775" s="38"/>
      <c r="P775" s="45" t="str">
        <f>IFERROR(__xludf.DUMMYFUNCTION("""COMPUTED_VALUE"""),"")</f>
        <v/>
      </c>
      <c r="Q775" s="46" t="str">
        <f>IFERROR(__xludf.DUMMYFUNCTION("""COMPUTED_VALUE"""),"AP")</f>
        <v>AP</v>
      </c>
      <c r="R775" s="47" t="str">
        <f>IFERROR(__xludf.DUMMYFUNCTION("""COMPUTED_VALUE"""),"")</f>
        <v/>
      </c>
      <c r="S775" s="48" t="str">
        <f>IFERROR(__xludf.DUMMYFUNCTION("""COMPUTED_VALUE"""),"%")</f>
        <v>%</v>
      </c>
      <c r="T775" s="49">
        <f>IFERROR(__xludf.DUMMYFUNCTION("""COMPUTED_VALUE"""),2.0)</f>
        <v>2</v>
      </c>
      <c r="U775" s="50"/>
      <c r="V775" s="38"/>
      <c r="W775" s="45" t="str">
        <f>IFERROR(__xludf.DUMMYFUNCTION("""COMPUTED_VALUE"""),"")</f>
        <v/>
      </c>
      <c r="X775" s="46" t="str">
        <f>IFERROR(__xludf.DUMMYFUNCTION("""COMPUTED_VALUE"""),"AP")</f>
        <v>AP</v>
      </c>
      <c r="Y775" s="47" t="str">
        <f>IFERROR(__xludf.DUMMYFUNCTION("""COMPUTED_VALUE"""),"")</f>
        <v/>
      </c>
      <c r="Z775" s="48" t="str">
        <f>IFERROR(__xludf.DUMMYFUNCTION("""COMPUTED_VALUE"""),"%")</f>
        <v>%</v>
      </c>
      <c r="AA775" s="49">
        <f>IFERROR(__xludf.DUMMYFUNCTION("""COMPUTED_VALUE"""),3.0)</f>
        <v>3</v>
      </c>
      <c r="AB775" s="50"/>
      <c r="AC775" s="38"/>
      <c r="AD775" s="45" t="str">
        <f>IFERROR(__xludf.DUMMYFUNCTION("""COMPUTED_VALUE"""),"")</f>
        <v/>
      </c>
      <c r="AE775" s="46" t="str">
        <f>IFERROR(__xludf.DUMMYFUNCTION("""COMPUTED_VALUE"""),"AP")</f>
        <v>AP</v>
      </c>
      <c r="AF775" s="47" t="str">
        <f>IFERROR(__xludf.DUMMYFUNCTION("""COMPUTED_VALUE"""),"")</f>
        <v/>
      </c>
      <c r="AG775" s="48" t="str">
        <f>IFERROR(__xludf.DUMMYFUNCTION("""COMPUTED_VALUE"""),"%")</f>
        <v>%</v>
      </c>
      <c r="AH775" s="43"/>
      <c r="AI775" s="44"/>
      <c r="AJ775" s="51"/>
    </row>
    <row r="776" ht="24.75" hidden="1" customHeight="1">
      <c r="A776" s="28">
        <f>IFERROR(__xludf.DUMMYFUNCTION("""COMPUTED_VALUE"""),15.0)</f>
        <v>15</v>
      </c>
      <c r="B776" s="28" t="str">
        <f>IFERROR(__xludf.DUMMYFUNCTION("""COMPUTED_VALUE"""),"A105")</f>
        <v>A105</v>
      </c>
      <c r="C776" s="28"/>
      <c r="D776" s="29"/>
      <c r="E776" s="67"/>
      <c r="F776" s="31"/>
      <c r="G776" s="32"/>
      <c r="H776" s="33" t="str">
        <f>IFERROR(__xludf.DUMMYFUNCTION("""COMPUTED_VALUE""")," ")</f>
        <v> </v>
      </c>
      <c r="I776" s="34"/>
      <c r="J776" s="35" t="str">
        <f>IFERROR(__xludf.DUMMYFUNCTION("""COMPUTED_VALUE"""),"AP")</f>
        <v>AP</v>
      </c>
      <c r="K776" s="34"/>
      <c r="L776" s="35" t="str">
        <f>IFERROR(__xludf.DUMMYFUNCTION("""COMPUTED_VALUE"""),"%")</f>
        <v>%</v>
      </c>
      <c r="M776" s="36">
        <f>IFERROR(__xludf.DUMMYFUNCTION("""COMPUTED_VALUE"""),1.0)</f>
        <v>1</v>
      </c>
      <c r="N776" s="37"/>
      <c r="O776" s="38"/>
      <c r="P776" s="34" t="str">
        <f>IFERROR(__xludf.DUMMYFUNCTION("""COMPUTED_VALUE"""),"")</f>
        <v/>
      </c>
      <c r="Q776" s="35" t="str">
        <f>IFERROR(__xludf.DUMMYFUNCTION("""COMPUTED_VALUE"""),"AP")</f>
        <v>AP</v>
      </c>
      <c r="R776" s="34" t="str">
        <f>IFERROR(__xludf.DUMMYFUNCTION("""COMPUTED_VALUE"""),"")</f>
        <v/>
      </c>
      <c r="S776" s="35" t="str">
        <f>IFERROR(__xludf.DUMMYFUNCTION("""COMPUTED_VALUE"""),"%")</f>
        <v>%</v>
      </c>
      <c r="T776" s="36">
        <f>IFERROR(__xludf.DUMMYFUNCTION("""COMPUTED_VALUE"""),2.0)</f>
        <v>2</v>
      </c>
      <c r="U776" s="37"/>
      <c r="V776" s="38"/>
      <c r="W776" s="34" t="str">
        <f>IFERROR(__xludf.DUMMYFUNCTION("""COMPUTED_VALUE"""),"")</f>
        <v/>
      </c>
      <c r="X776" s="35" t="str">
        <f>IFERROR(__xludf.DUMMYFUNCTION("""COMPUTED_VALUE"""),"AP")</f>
        <v>AP</v>
      </c>
      <c r="Y776" s="34" t="str">
        <f>IFERROR(__xludf.DUMMYFUNCTION("""COMPUTED_VALUE"""),"")</f>
        <v/>
      </c>
      <c r="Z776" s="35" t="str">
        <f>IFERROR(__xludf.DUMMYFUNCTION("""COMPUTED_VALUE"""),"%")</f>
        <v>%</v>
      </c>
      <c r="AA776" s="36">
        <f>IFERROR(__xludf.DUMMYFUNCTION("""COMPUTED_VALUE"""),3.0)</f>
        <v>3</v>
      </c>
      <c r="AB776" s="37"/>
      <c r="AC776" s="38"/>
      <c r="AD776" s="34" t="str">
        <f>IFERROR(__xludf.DUMMYFUNCTION("""COMPUTED_VALUE"""),"")</f>
        <v/>
      </c>
      <c r="AE776" s="35" t="str">
        <f>IFERROR(__xludf.DUMMYFUNCTION("""COMPUTED_VALUE"""),"AP")</f>
        <v>AP</v>
      </c>
      <c r="AF776" s="34" t="str">
        <f>IFERROR(__xludf.DUMMYFUNCTION("""COMPUTED_VALUE"""),"")</f>
        <v/>
      </c>
      <c r="AG776" s="35" t="str">
        <f>IFERROR(__xludf.DUMMYFUNCTION("""COMPUTED_VALUE"""),"%")</f>
        <v>%</v>
      </c>
      <c r="AH776" s="31"/>
      <c r="AI776" s="32"/>
      <c r="AJ776" s="39"/>
    </row>
    <row r="777" ht="24.75" hidden="1" customHeight="1">
      <c r="A777" s="40">
        <f>IFERROR(__xludf.DUMMYFUNCTION("""COMPUTED_VALUE"""),16.0)</f>
        <v>16</v>
      </c>
      <c r="B777" s="40" t="str">
        <f>IFERROR(__xludf.DUMMYFUNCTION("""COMPUTED_VALUE"""),"A105")</f>
        <v>A105</v>
      </c>
      <c r="C777" s="40"/>
      <c r="D777" s="41"/>
      <c r="E777" s="66"/>
      <c r="F777" s="43"/>
      <c r="G777" s="44"/>
      <c r="H777" s="33" t="str">
        <f>IFERROR(__xludf.DUMMYFUNCTION("""COMPUTED_VALUE""")," ")</f>
        <v> </v>
      </c>
      <c r="I777" s="45"/>
      <c r="J777" s="46" t="str">
        <f>IFERROR(__xludf.DUMMYFUNCTION("""COMPUTED_VALUE"""),"AP")</f>
        <v>AP</v>
      </c>
      <c r="K777" s="47"/>
      <c r="L777" s="48" t="str">
        <f>IFERROR(__xludf.DUMMYFUNCTION("""COMPUTED_VALUE"""),"%")</f>
        <v>%</v>
      </c>
      <c r="M777" s="49">
        <f>IFERROR(__xludf.DUMMYFUNCTION("""COMPUTED_VALUE"""),1.0)</f>
        <v>1</v>
      </c>
      <c r="N777" s="50"/>
      <c r="O777" s="38"/>
      <c r="P777" s="45" t="str">
        <f>IFERROR(__xludf.DUMMYFUNCTION("""COMPUTED_VALUE"""),"")</f>
        <v/>
      </c>
      <c r="Q777" s="46" t="str">
        <f>IFERROR(__xludf.DUMMYFUNCTION("""COMPUTED_VALUE"""),"AP")</f>
        <v>AP</v>
      </c>
      <c r="R777" s="47" t="str">
        <f>IFERROR(__xludf.DUMMYFUNCTION("""COMPUTED_VALUE"""),"")</f>
        <v/>
      </c>
      <c r="S777" s="48" t="str">
        <f>IFERROR(__xludf.DUMMYFUNCTION("""COMPUTED_VALUE"""),"%")</f>
        <v>%</v>
      </c>
      <c r="T777" s="49">
        <f>IFERROR(__xludf.DUMMYFUNCTION("""COMPUTED_VALUE"""),2.0)</f>
        <v>2</v>
      </c>
      <c r="U777" s="50"/>
      <c r="V777" s="38"/>
      <c r="W777" s="45" t="str">
        <f>IFERROR(__xludf.DUMMYFUNCTION("""COMPUTED_VALUE"""),"")</f>
        <v/>
      </c>
      <c r="X777" s="46" t="str">
        <f>IFERROR(__xludf.DUMMYFUNCTION("""COMPUTED_VALUE"""),"AP")</f>
        <v>AP</v>
      </c>
      <c r="Y777" s="47" t="str">
        <f>IFERROR(__xludf.DUMMYFUNCTION("""COMPUTED_VALUE"""),"")</f>
        <v/>
      </c>
      <c r="Z777" s="48" t="str">
        <f>IFERROR(__xludf.DUMMYFUNCTION("""COMPUTED_VALUE"""),"%")</f>
        <v>%</v>
      </c>
      <c r="AA777" s="49">
        <f>IFERROR(__xludf.DUMMYFUNCTION("""COMPUTED_VALUE"""),3.0)</f>
        <v>3</v>
      </c>
      <c r="AB777" s="50"/>
      <c r="AC777" s="38"/>
      <c r="AD777" s="45" t="str">
        <f>IFERROR(__xludf.DUMMYFUNCTION("""COMPUTED_VALUE"""),"")</f>
        <v/>
      </c>
      <c r="AE777" s="46" t="str">
        <f>IFERROR(__xludf.DUMMYFUNCTION("""COMPUTED_VALUE"""),"AP")</f>
        <v>AP</v>
      </c>
      <c r="AF777" s="47" t="str">
        <f>IFERROR(__xludf.DUMMYFUNCTION("""COMPUTED_VALUE"""),"")</f>
        <v/>
      </c>
      <c r="AG777" s="48" t="str">
        <f>IFERROR(__xludf.DUMMYFUNCTION("""COMPUTED_VALUE"""),"%")</f>
        <v>%</v>
      </c>
      <c r="AH777" s="43"/>
      <c r="AI777" s="44"/>
      <c r="AJ777" s="51"/>
    </row>
    <row r="778" ht="24.75" hidden="1" customHeight="1">
      <c r="A778" s="28">
        <f>IFERROR(__xludf.DUMMYFUNCTION("""COMPUTED_VALUE"""),17.0)</f>
        <v>17</v>
      </c>
      <c r="B778" s="28" t="str">
        <f>IFERROR(__xludf.DUMMYFUNCTION("""COMPUTED_VALUE"""),"A105")</f>
        <v>A105</v>
      </c>
      <c r="C778" s="28"/>
      <c r="D778" s="29"/>
      <c r="E778" s="67"/>
      <c r="F778" s="31"/>
      <c r="G778" s="32"/>
      <c r="H778" s="33" t="str">
        <f>IFERROR(__xludf.DUMMYFUNCTION("""COMPUTED_VALUE""")," ")</f>
        <v> </v>
      </c>
      <c r="I778" s="34"/>
      <c r="J778" s="35" t="str">
        <f>IFERROR(__xludf.DUMMYFUNCTION("""COMPUTED_VALUE"""),"AP")</f>
        <v>AP</v>
      </c>
      <c r="K778" s="34"/>
      <c r="L778" s="35" t="str">
        <f>IFERROR(__xludf.DUMMYFUNCTION("""COMPUTED_VALUE"""),"%")</f>
        <v>%</v>
      </c>
      <c r="M778" s="36">
        <f>IFERROR(__xludf.DUMMYFUNCTION("""COMPUTED_VALUE"""),1.0)</f>
        <v>1</v>
      </c>
      <c r="N778" s="37"/>
      <c r="O778" s="38"/>
      <c r="P778" s="34" t="str">
        <f>IFERROR(__xludf.DUMMYFUNCTION("""COMPUTED_VALUE"""),"")</f>
        <v/>
      </c>
      <c r="Q778" s="35" t="str">
        <f>IFERROR(__xludf.DUMMYFUNCTION("""COMPUTED_VALUE"""),"AP")</f>
        <v>AP</v>
      </c>
      <c r="R778" s="34" t="str">
        <f>IFERROR(__xludf.DUMMYFUNCTION("""COMPUTED_VALUE"""),"")</f>
        <v/>
      </c>
      <c r="S778" s="35" t="str">
        <f>IFERROR(__xludf.DUMMYFUNCTION("""COMPUTED_VALUE"""),"%")</f>
        <v>%</v>
      </c>
      <c r="T778" s="36">
        <f>IFERROR(__xludf.DUMMYFUNCTION("""COMPUTED_VALUE"""),2.0)</f>
        <v>2</v>
      </c>
      <c r="U778" s="37"/>
      <c r="V778" s="38"/>
      <c r="W778" s="34" t="str">
        <f>IFERROR(__xludf.DUMMYFUNCTION("""COMPUTED_VALUE"""),"")</f>
        <v/>
      </c>
      <c r="X778" s="35" t="str">
        <f>IFERROR(__xludf.DUMMYFUNCTION("""COMPUTED_VALUE"""),"AP")</f>
        <v>AP</v>
      </c>
      <c r="Y778" s="34" t="str">
        <f>IFERROR(__xludf.DUMMYFUNCTION("""COMPUTED_VALUE"""),"")</f>
        <v/>
      </c>
      <c r="Z778" s="35" t="str">
        <f>IFERROR(__xludf.DUMMYFUNCTION("""COMPUTED_VALUE"""),"%")</f>
        <v>%</v>
      </c>
      <c r="AA778" s="36">
        <f>IFERROR(__xludf.DUMMYFUNCTION("""COMPUTED_VALUE"""),3.0)</f>
        <v>3</v>
      </c>
      <c r="AB778" s="37"/>
      <c r="AC778" s="38"/>
      <c r="AD778" s="34" t="str">
        <f>IFERROR(__xludf.DUMMYFUNCTION("""COMPUTED_VALUE"""),"")</f>
        <v/>
      </c>
      <c r="AE778" s="35" t="str">
        <f>IFERROR(__xludf.DUMMYFUNCTION("""COMPUTED_VALUE"""),"AP")</f>
        <v>AP</v>
      </c>
      <c r="AF778" s="34" t="str">
        <f>IFERROR(__xludf.DUMMYFUNCTION("""COMPUTED_VALUE"""),"")</f>
        <v/>
      </c>
      <c r="AG778" s="35" t="str">
        <f>IFERROR(__xludf.DUMMYFUNCTION("""COMPUTED_VALUE"""),"%")</f>
        <v>%</v>
      </c>
      <c r="AH778" s="31"/>
      <c r="AI778" s="32"/>
      <c r="AJ778" s="39"/>
    </row>
    <row r="779" ht="24.75" hidden="1" customHeight="1">
      <c r="A779" s="40">
        <f>IFERROR(__xludf.DUMMYFUNCTION("""COMPUTED_VALUE"""),18.0)</f>
        <v>18</v>
      </c>
      <c r="B779" s="40" t="str">
        <f>IFERROR(__xludf.DUMMYFUNCTION("""COMPUTED_VALUE"""),"A105")</f>
        <v>A105</v>
      </c>
      <c r="C779" s="40"/>
      <c r="D779" s="41"/>
      <c r="E779" s="66"/>
      <c r="F779" s="43"/>
      <c r="G779" s="44"/>
      <c r="H779" s="33" t="str">
        <f>IFERROR(__xludf.DUMMYFUNCTION("""COMPUTED_VALUE""")," ")</f>
        <v> </v>
      </c>
      <c r="I779" s="45"/>
      <c r="J779" s="46" t="str">
        <f>IFERROR(__xludf.DUMMYFUNCTION("""COMPUTED_VALUE"""),"AP")</f>
        <v>AP</v>
      </c>
      <c r="K779" s="47"/>
      <c r="L779" s="48" t="str">
        <f>IFERROR(__xludf.DUMMYFUNCTION("""COMPUTED_VALUE"""),"%")</f>
        <v>%</v>
      </c>
      <c r="M779" s="49">
        <f>IFERROR(__xludf.DUMMYFUNCTION("""COMPUTED_VALUE"""),1.0)</f>
        <v>1</v>
      </c>
      <c r="N779" s="50"/>
      <c r="O779" s="38"/>
      <c r="P779" s="45" t="str">
        <f>IFERROR(__xludf.DUMMYFUNCTION("""COMPUTED_VALUE"""),"")</f>
        <v/>
      </c>
      <c r="Q779" s="46" t="str">
        <f>IFERROR(__xludf.DUMMYFUNCTION("""COMPUTED_VALUE"""),"AP")</f>
        <v>AP</v>
      </c>
      <c r="R779" s="47" t="str">
        <f>IFERROR(__xludf.DUMMYFUNCTION("""COMPUTED_VALUE"""),"")</f>
        <v/>
      </c>
      <c r="S779" s="48" t="str">
        <f>IFERROR(__xludf.DUMMYFUNCTION("""COMPUTED_VALUE"""),"%")</f>
        <v>%</v>
      </c>
      <c r="T779" s="49">
        <f>IFERROR(__xludf.DUMMYFUNCTION("""COMPUTED_VALUE"""),2.0)</f>
        <v>2</v>
      </c>
      <c r="U779" s="50"/>
      <c r="V779" s="38"/>
      <c r="W779" s="45" t="str">
        <f>IFERROR(__xludf.DUMMYFUNCTION("""COMPUTED_VALUE"""),"")</f>
        <v/>
      </c>
      <c r="X779" s="46" t="str">
        <f>IFERROR(__xludf.DUMMYFUNCTION("""COMPUTED_VALUE"""),"AP")</f>
        <v>AP</v>
      </c>
      <c r="Y779" s="47" t="str">
        <f>IFERROR(__xludf.DUMMYFUNCTION("""COMPUTED_VALUE"""),"")</f>
        <v/>
      </c>
      <c r="Z779" s="48" t="str">
        <f>IFERROR(__xludf.DUMMYFUNCTION("""COMPUTED_VALUE"""),"%")</f>
        <v>%</v>
      </c>
      <c r="AA779" s="49">
        <f>IFERROR(__xludf.DUMMYFUNCTION("""COMPUTED_VALUE"""),3.0)</f>
        <v>3</v>
      </c>
      <c r="AB779" s="50"/>
      <c r="AC779" s="38"/>
      <c r="AD779" s="45" t="str">
        <f>IFERROR(__xludf.DUMMYFUNCTION("""COMPUTED_VALUE"""),"")</f>
        <v/>
      </c>
      <c r="AE779" s="46" t="str">
        <f>IFERROR(__xludf.DUMMYFUNCTION("""COMPUTED_VALUE"""),"AP")</f>
        <v>AP</v>
      </c>
      <c r="AF779" s="47" t="str">
        <f>IFERROR(__xludf.DUMMYFUNCTION("""COMPUTED_VALUE"""),"")</f>
        <v/>
      </c>
      <c r="AG779" s="48" t="str">
        <f>IFERROR(__xludf.DUMMYFUNCTION("""COMPUTED_VALUE"""),"%")</f>
        <v>%</v>
      </c>
      <c r="AH779" s="43"/>
      <c r="AI779" s="44"/>
      <c r="AJ779" s="51"/>
    </row>
    <row r="780" ht="24.75" hidden="1" customHeight="1">
      <c r="A780" s="28">
        <f>IFERROR(__xludf.DUMMYFUNCTION("""COMPUTED_VALUE"""),19.0)</f>
        <v>19</v>
      </c>
      <c r="B780" s="28" t="str">
        <f>IFERROR(__xludf.DUMMYFUNCTION("""COMPUTED_VALUE"""),"A105")</f>
        <v>A105</v>
      </c>
      <c r="C780" s="28"/>
      <c r="D780" s="29"/>
      <c r="E780" s="67"/>
      <c r="F780" s="31"/>
      <c r="G780" s="32"/>
      <c r="H780" s="33" t="str">
        <f>IFERROR(__xludf.DUMMYFUNCTION("""COMPUTED_VALUE""")," ")</f>
        <v> </v>
      </c>
      <c r="I780" s="34"/>
      <c r="J780" s="35" t="str">
        <f>IFERROR(__xludf.DUMMYFUNCTION("""COMPUTED_VALUE"""),"AP")</f>
        <v>AP</v>
      </c>
      <c r="K780" s="34"/>
      <c r="L780" s="35" t="str">
        <f>IFERROR(__xludf.DUMMYFUNCTION("""COMPUTED_VALUE"""),"%")</f>
        <v>%</v>
      </c>
      <c r="M780" s="36">
        <f>IFERROR(__xludf.DUMMYFUNCTION("""COMPUTED_VALUE"""),1.0)</f>
        <v>1</v>
      </c>
      <c r="N780" s="37"/>
      <c r="O780" s="38"/>
      <c r="P780" s="34" t="str">
        <f>IFERROR(__xludf.DUMMYFUNCTION("""COMPUTED_VALUE"""),"")</f>
        <v/>
      </c>
      <c r="Q780" s="35" t="str">
        <f>IFERROR(__xludf.DUMMYFUNCTION("""COMPUTED_VALUE"""),"AP")</f>
        <v>AP</v>
      </c>
      <c r="R780" s="34" t="str">
        <f>IFERROR(__xludf.DUMMYFUNCTION("""COMPUTED_VALUE"""),"")</f>
        <v/>
      </c>
      <c r="S780" s="35" t="str">
        <f>IFERROR(__xludf.DUMMYFUNCTION("""COMPUTED_VALUE"""),"%")</f>
        <v>%</v>
      </c>
      <c r="T780" s="36">
        <f>IFERROR(__xludf.DUMMYFUNCTION("""COMPUTED_VALUE"""),2.0)</f>
        <v>2</v>
      </c>
      <c r="U780" s="37"/>
      <c r="V780" s="38"/>
      <c r="W780" s="34" t="str">
        <f>IFERROR(__xludf.DUMMYFUNCTION("""COMPUTED_VALUE"""),"")</f>
        <v/>
      </c>
      <c r="X780" s="35" t="str">
        <f>IFERROR(__xludf.DUMMYFUNCTION("""COMPUTED_VALUE"""),"AP")</f>
        <v>AP</v>
      </c>
      <c r="Y780" s="34" t="str">
        <f>IFERROR(__xludf.DUMMYFUNCTION("""COMPUTED_VALUE"""),"")</f>
        <v/>
      </c>
      <c r="Z780" s="35" t="str">
        <f>IFERROR(__xludf.DUMMYFUNCTION("""COMPUTED_VALUE"""),"%")</f>
        <v>%</v>
      </c>
      <c r="AA780" s="36">
        <f>IFERROR(__xludf.DUMMYFUNCTION("""COMPUTED_VALUE"""),3.0)</f>
        <v>3</v>
      </c>
      <c r="AB780" s="37"/>
      <c r="AC780" s="38"/>
      <c r="AD780" s="34" t="str">
        <f>IFERROR(__xludf.DUMMYFUNCTION("""COMPUTED_VALUE"""),"")</f>
        <v/>
      </c>
      <c r="AE780" s="35" t="str">
        <f>IFERROR(__xludf.DUMMYFUNCTION("""COMPUTED_VALUE"""),"AP")</f>
        <v>AP</v>
      </c>
      <c r="AF780" s="34" t="str">
        <f>IFERROR(__xludf.DUMMYFUNCTION("""COMPUTED_VALUE"""),"")</f>
        <v/>
      </c>
      <c r="AG780" s="35" t="str">
        <f>IFERROR(__xludf.DUMMYFUNCTION("""COMPUTED_VALUE"""),"%")</f>
        <v>%</v>
      </c>
      <c r="AH780" s="31"/>
      <c r="AI780" s="32"/>
      <c r="AJ780" s="39"/>
    </row>
    <row r="781" ht="24.75" hidden="1" customHeight="1">
      <c r="A781" s="40">
        <f>IFERROR(__xludf.DUMMYFUNCTION("""COMPUTED_VALUE"""),20.0)</f>
        <v>20</v>
      </c>
      <c r="B781" s="40" t="str">
        <f>IFERROR(__xludf.DUMMYFUNCTION("""COMPUTED_VALUE"""),"A105")</f>
        <v>A105</v>
      </c>
      <c r="C781" s="40"/>
      <c r="D781" s="41"/>
      <c r="E781" s="66"/>
      <c r="F781" s="43"/>
      <c r="G781" s="44"/>
      <c r="H781" s="33" t="str">
        <f>IFERROR(__xludf.DUMMYFUNCTION("""COMPUTED_VALUE""")," ")</f>
        <v> </v>
      </c>
      <c r="I781" s="45"/>
      <c r="J781" s="46" t="str">
        <f>IFERROR(__xludf.DUMMYFUNCTION("""COMPUTED_VALUE"""),"AP")</f>
        <v>AP</v>
      </c>
      <c r="K781" s="47"/>
      <c r="L781" s="48" t="str">
        <f>IFERROR(__xludf.DUMMYFUNCTION("""COMPUTED_VALUE"""),"%")</f>
        <v>%</v>
      </c>
      <c r="M781" s="49">
        <f>IFERROR(__xludf.DUMMYFUNCTION("""COMPUTED_VALUE"""),1.0)</f>
        <v>1</v>
      </c>
      <c r="N781" s="50"/>
      <c r="O781" s="38"/>
      <c r="P781" s="45" t="str">
        <f>IFERROR(__xludf.DUMMYFUNCTION("""COMPUTED_VALUE"""),"")</f>
        <v/>
      </c>
      <c r="Q781" s="46" t="str">
        <f>IFERROR(__xludf.DUMMYFUNCTION("""COMPUTED_VALUE"""),"AP")</f>
        <v>AP</v>
      </c>
      <c r="R781" s="47" t="str">
        <f>IFERROR(__xludf.DUMMYFUNCTION("""COMPUTED_VALUE"""),"")</f>
        <v/>
      </c>
      <c r="S781" s="48" t="str">
        <f>IFERROR(__xludf.DUMMYFUNCTION("""COMPUTED_VALUE"""),"%")</f>
        <v>%</v>
      </c>
      <c r="T781" s="49">
        <f>IFERROR(__xludf.DUMMYFUNCTION("""COMPUTED_VALUE"""),2.0)</f>
        <v>2</v>
      </c>
      <c r="U781" s="50"/>
      <c r="V781" s="38"/>
      <c r="W781" s="45" t="str">
        <f>IFERROR(__xludf.DUMMYFUNCTION("""COMPUTED_VALUE"""),"")</f>
        <v/>
      </c>
      <c r="X781" s="46" t="str">
        <f>IFERROR(__xludf.DUMMYFUNCTION("""COMPUTED_VALUE"""),"AP")</f>
        <v>AP</v>
      </c>
      <c r="Y781" s="47" t="str">
        <f>IFERROR(__xludf.DUMMYFUNCTION("""COMPUTED_VALUE"""),"")</f>
        <v/>
      </c>
      <c r="Z781" s="48" t="str">
        <f>IFERROR(__xludf.DUMMYFUNCTION("""COMPUTED_VALUE"""),"%")</f>
        <v>%</v>
      </c>
      <c r="AA781" s="49">
        <f>IFERROR(__xludf.DUMMYFUNCTION("""COMPUTED_VALUE"""),3.0)</f>
        <v>3</v>
      </c>
      <c r="AB781" s="50"/>
      <c r="AC781" s="38"/>
      <c r="AD781" s="45" t="str">
        <f>IFERROR(__xludf.DUMMYFUNCTION("""COMPUTED_VALUE"""),"")</f>
        <v/>
      </c>
      <c r="AE781" s="46" t="str">
        <f>IFERROR(__xludf.DUMMYFUNCTION("""COMPUTED_VALUE"""),"AP")</f>
        <v>AP</v>
      </c>
      <c r="AF781" s="47" t="str">
        <f>IFERROR(__xludf.DUMMYFUNCTION("""COMPUTED_VALUE"""),"")</f>
        <v/>
      </c>
      <c r="AG781" s="48" t="str">
        <f>IFERROR(__xludf.DUMMYFUNCTION("""COMPUTED_VALUE"""),"%")</f>
        <v>%</v>
      </c>
      <c r="AH781" s="43"/>
      <c r="AI781" s="44"/>
      <c r="AJ781" s="51"/>
    </row>
    <row r="782">
      <c r="A782" s="52"/>
      <c r="B782" s="53"/>
      <c r="C782" s="54"/>
      <c r="D782" s="55"/>
      <c r="E782" s="56"/>
      <c r="F782" s="53"/>
      <c r="G782" s="53"/>
      <c r="H782" s="53"/>
      <c r="I782" s="53"/>
      <c r="J782" s="57"/>
      <c r="K782" s="53"/>
      <c r="L782" s="57"/>
      <c r="M782" s="53"/>
      <c r="N782" s="53"/>
      <c r="O782" s="53"/>
      <c r="P782" s="53"/>
      <c r="Q782" s="57"/>
      <c r="R782" s="53"/>
      <c r="S782" s="57"/>
      <c r="T782" s="53"/>
      <c r="U782" s="53"/>
      <c r="V782" s="53"/>
      <c r="W782" s="53"/>
      <c r="X782" s="57"/>
      <c r="Y782" s="53"/>
      <c r="Z782" s="57"/>
      <c r="AA782" s="53"/>
      <c r="AB782" s="53"/>
      <c r="AC782" s="53"/>
      <c r="AD782" s="53"/>
      <c r="AE782" s="57"/>
      <c r="AF782" s="53"/>
      <c r="AG782" s="57"/>
      <c r="AH782" s="53"/>
      <c r="AI782" s="53"/>
      <c r="AJ782" s="58"/>
    </row>
    <row r="783">
      <c r="A783" s="59"/>
      <c r="B783" s="60"/>
      <c r="C783" s="61"/>
      <c r="D783" s="62"/>
      <c r="E783" s="63"/>
      <c r="F783" s="60"/>
      <c r="G783" s="60"/>
      <c r="H783" s="60"/>
      <c r="I783" s="60"/>
      <c r="J783" s="64"/>
      <c r="K783" s="60"/>
      <c r="L783" s="64"/>
      <c r="M783" s="60"/>
      <c r="N783" s="60"/>
      <c r="O783" s="60"/>
      <c r="P783" s="60"/>
      <c r="Q783" s="64"/>
      <c r="R783" s="60"/>
      <c r="S783" s="64"/>
      <c r="T783" s="60"/>
      <c r="U783" s="60"/>
      <c r="V783" s="60"/>
      <c r="W783" s="60"/>
      <c r="X783" s="64"/>
      <c r="Y783" s="60"/>
      <c r="Z783" s="64"/>
      <c r="AA783" s="60"/>
      <c r="AB783" s="60"/>
      <c r="AC783" s="60"/>
      <c r="AD783" s="60"/>
      <c r="AE783" s="64"/>
      <c r="AF783" s="60"/>
      <c r="AG783" s="64"/>
      <c r="AH783" s="60"/>
      <c r="AI783" s="60"/>
      <c r="AJ783" s="65"/>
    </row>
    <row r="784" ht="33.0" customHeight="1">
      <c r="A784" s="20" t="str">
        <f>IFERROR(__xludf.DUMMYFUNCTION("""COMPUTED_VALUE""")," ")</f>
        <v> </v>
      </c>
      <c r="B784" s="21" t="str">
        <f>IFERROR(__xludf.DUMMYFUNCTION("""COMPUTED_VALUE"""),"A106")</f>
        <v>A106</v>
      </c>
      <c r="C784" s="20"/>
      <c r="D784" s="22" t="str">
        <f>IFERROR(__xludf.DUMMYFUNCTION("""COMPUTED_VALUE"""),"")</f>
        <v/>
      </c>
      <c r="E784" s="23" t="str">
        <f>IFERROR(__xludf.DUMMYFUNCTION("""COMPUTED_VALUE"""),"Tearstone of Blood")</f>
        <v>Tearstone of Blood</v>
      </c>
      <c r="F784" s="24"/>
      <c r="G784" s="24"/>
      <c r="H784" s="25"/>
      <c r="I784" s="25"/>
      <c r="J784" s="26"/>
      <c r="K784" s="25"/>
      <c r="L784" s="26"/>
      <c r="M784" s="25"/>
      <c r="N784" s="25"/>
      <c r="O784" s="25"/>
      <c r="P784" s="25"/>
      <c r="Q784" s="26"/>
      <c r="R784" s="25"/>
      <c r="S784" s="26"/>
      <c r="T784" s="25"/>
      <c r="U784" s="25"/>
      <c r="V784" s="25"/>
      <c r="W784" s="25"/>
      <c r="X784" s="26"/>
      <c r="Y784" s="25"/>
      <c r="Z784" s="26"/>
      <c r="AA784" s="25"/>
      <c r="AB784" s="25"/>
      <c r="AC784" s="25"/>
      <c r="AD784" s="25"/>
      <c r="AE784" s="26"/>
      <c r="AF784" s="25"/>
      <c r="AG784" s="26"/>
      <c r="AH784" s="24"/>
      <c r="AI784" s="25"/>
      <c r="AJ784" s="27"/>
    </row>
    <row r="785" ht="24.75" customHeight="1">
      <c r="A785" s="28">
        <f>IFERROR(__xludf.DUMMYFUNCTION("""COMPUTED_VALUE"""),1.0)</f>
        <v>1</v>
      </c>
      <c r="B785" s="28" t="str">
        <f>IFERROR(__xludf.DUMMYFUNCTION("""COMPUTED_VALUE"""),"A106")</f>
        <v>A106</v>
      </c>
      <c r="C785" s="28" t="str">
        <f>IFERROR(__xludf.DUMMYFUNCTION("""COMPUTED_VALUE"""),"SJK10")</f>
        <v>SJK10</v>
      </c>
      <c r="D785" s="29" t="str">
        <f>IFERROR(__xludf.DUMMYFUNCTION("""COMPUTED_VALUE"""),"Shinjuku")</f>
        <v>Shinjuku</v>
      </c>
      <c r="E785" s="30" t="str">
        <f>IFERROR(__xludf.DUMMYFUNCTION("""COMPUTED_VALUE"""),"Shinjuku 2-chome")</f>
        <v>Shinjuku 2-chome</v>
      </c>
      <c r="F785" s="31">
        <f>IFERROR(__xludf.DUMMYFUNCTION("""COMPUTED_VALUE"""),21.0)</f>
        <v>21</v>
      </c>
      <c r="G785" s="32">
        <f>IFERROR(__xludf.DUMMYFUNCTION("""COMPUTED_VALUE"""),70270.0)</f>
        <v>70270</v>
      </c>
      <c r="H785" s="33" t="str">
        <f>IFERROR(__xludf.DUMMYFUNCTION("""COMPUTED_VALUE"""),"")</f>
        <v/>
      </c>
      <c r="I785" s="34">
        <f>IFERROR(__xludf.DUMMYFUNCTION("""COMPUTED_VALUE"""),116.0)</f>
        <v>116</v>
      </c>
      <c r="J785" s="35" t="str">
        <f>IFERROR(__xludf.DUMMYFUNCTION("""COMPUTED_VALUE"""),"AP")</f>
        <v>AP</v>
      </c>
      <c r="K785" s="34">
        <f>IFERROR(__xludf.DUMMYFUNCTION("""COMPUTED_VALUE"""),18.1)</f>
        <v>18.1</v>
      </c>
      <c r="L785" s="35" t="str">
        <f>IFERROR(__xludf.DUMMYFUNCTION("""COMPUTED_VALUE"""),"%")</f>
        <v>%</v>
      </c>
      <c r="M785" s="36">
        <f>IFERROR(__xludf.DUMMYFUNCTION("""COMPUTED_VALUE"""),1.0)</f>
        <v>1</v>
      </c>
      <c r="N785" s="37" t="str">
        <f>IFERROR(__xludf.DUMMYFUNCTION("""COMPUTED_VALUE"""),"A207")</f>
        <v>A207</v>
      </c>
      <c r="O785" s="38" t="str">
        <f>IFERROR(__xludf.DUMMYFUNCTION("""COMPUTED_VALUE"""),"")</f>
        <v/>
      </c>
      <c r="P785" s="34">
        <f>IFERROR(__xludf.DUMMYFUNCTION("""COMPUTED_VALUE"""),69.4)</f>
        <v>69.4</v>
      </c>
      <c r="Q785" s="35" t="str">
        <f>IFERROR(__xludf.DUMMYFUNCTION("""COMPUTED_VALUE"""),"AP")</f>
        <v>AP</v>
      </c>
      <c r="R785" s="34">
        <f>IFERROR(__xludf.DUMMYFUNCTION("""COMPUTED_VALUE"""),30.2)</f>
        <v>30.2</v>
      </c>
      <c r="S785" s="35" t="str">
        <f>IFERROR(__xludf.DUMMYFUNCTION("""COMPUTED_VALUE"""),"%")</f>
        <v>%</v>
      </c>
      <c r="T785" s="36">
        <f>IFERROR(__xludf.DUMMYFUNCTION("""COMPUTED_VALUE"""),2.0)</f>
        <v>2</v>
      </c>
      <c r="U785" s="37" t="str">
        <f>IFERROR(__xludf.DUMMYFUNCTION("""COMPUTED_VALUE"""),"B105")</f>
        <v>B105</v>
      </c>
      <c r="V785" s="38" t="str">
        <f>IFERROR(__xludf.DUMMYFUNCTION("""COMPUTED_VALUE"""),"")</f>
        <v/>
      </c>
      <c r="W785" s="34">
        <f>IFERROR(__xludf.DUMMYFUNCTION("""COMPUTED_VALUE"""),639.6)</f>
        <v>639.6</v>
      </c>
      <c r="X785" s="35" t="str">
        <f>IFERROR(__xludf.DUMMYFUNCTION("""COMPUTED_VALUE"""),"AP")</f>
        <v>AP</v>
      </c>
      <c r="Y785" s="34">
        <f>IFERROR(__xludf.DUMMYFUNCTION("""COMPUTED_VALUE"""),3.3)</f>
        <v>3.3</v>
      </c>
      <c r="Z785" s="35" t="str">
        <f>IFERROR(__xludf.DUMMYFUNCTION("""COMPUTED_VALUE"""),"%")</f>
        <v>%</v>
      </c>
      <c r="AA785" s="36">
        <f>IFERROR(__xludf.DUMMYFUNCTION("""COMPUTED_VALUE"""),3.0)</f>
        <v>3</v>
      </c>
      <c r="AB785" s="37" t="str">
        <f>IFERROR(__xludf.DUMMYFUNCTION("""COMPUTED_VALUE"""),"B112")</f>
        <v>B112</v>
      </c>
      <c r="AC785" s="38" t="str">
        <f>IFERROR(__xludf.DUMMYFUNCTION("""COMPUTED_VALUE"""),"")</f>
        <v/>
      </c>
      <c r="AD785" s="34">
        <f>IFERROR(__xludf.DUMMYFUNCTION("""COMPUTED_VALUE"""),255.2)</f>
        <v>255.2</v>
      </c>
      <c r="AE785" s="35" t="str">
        <f>IFERROR(__xludf.DUMMYFUNCTION("""COMPUTED_VALUE"""),"AP")</f>
        <v>AP</v>
      </c>
      <c r="AF785" s="34">
        <f>IFERROR(__xludf.DUMMYFUNCTION("""COMPUTED_VALUE"""),8.2)</f>
        <v>8.2</v>
      </c>
      <c r="AG785" s="35" t="str">
        <f>IFERROR(__xludf.DUMMYFUNCTION("""COMPUTED_VALUE"""),"%")</f>
        <v>%</v>
      </c>
      <c r="AH785" s="31">
        <f>IFERROR(__xludf.DUMMYFUNCTION("""COMPUTED_VALUE"""),21.0)</f>
        <v>21</v>
      </c>
      <c r="AI785" s="32">
        <f>IFERROR(__xludf.DUMMYFUNCTION("""COMPUTED_VALUE"""),70270.0)</f>
        <v>70270</v>
      </c>
      <c r="AJ785" s="39" t="str">
        <f>IFERROR(__xludf.DUMMYFUNCTION("""COMPUTED_VALUE"""),"新宿二丁目")</f>
        <v>新宿二丁目</v>
      </c>
    </row>
    <row r="786" ht="24.75" customHeight="1">
      <c r="A786" s="40">
        <f>IFERROR(__xludf.DUMMYFUNCTION("""COMPUTED_VALUE"""),2.0)</f>
        <v>2</v>
      </c>
      <c r="B786" s="40" t="str">
        <f>IFERROR(__xludf.DUMMYFUNCTION("""COMPUTED_VALUE"""),"A106")</f>
        <v>A106</v>
      </c>
      <c r="C786" s="40" t="str">
        <f>IFERROR(__xludf.DUMMYFUNCTION("""COMPUTED_VALUE"""),"EPU10")</f>
        <v>EPU10</v>
      </c>
      <c r="D786" s="41" t="str">
        <f>IFERROR(__xludf.DUMMYFUNCTION("""COMPUTED_VALUE"""),"E Pluribus Unum")</f>
        <v>E Pluribus Unum</v>
      </c>
      <c r="E786" s="42" t="str">
        <f>IFERROR(__xludf.DUMMYFUNCTION("""COMPUTED_VALUE"""),"Alexandria")</f>
        <v>Alexandria</v>
      </c>
      <c r="F786" s="43">
        <f>IFERROR(__xludf.DUMMYFUNCTION("""COMPUTED_VALUE"""),18.0)</f>
        <v>18</v>
      </c>
      <c r="G786" s="44">
        <f>IFERROR(__xludf.DUMMYFUNCTION("""COMPUTED_VALUE"""),12696.0)</f>
        <v>12696</v>
      </c>
      <c r="H786" s="33" t="str">
        <f>IFERROR(__xludf.DUMMYFUNCTION("""COMPUTED_VALUE"""),"")</f>
        <v/>
      </c>
      <c r="I786" s="45">
        <f>IFERROR(__xludf.DUMMYFUNCTION("""COMPUTED_VALUE"""),148.6)</f>
        <v>148.6</v>
      </c>
      <c r="J786" s="46" t="str">
        <f>IFERROR(__xludf.DUMMYFUNCTION("""COMPUTED_VALUE"""),"AP")</f>
        <v>AP</v>
      </c>
      <c r="K786" s="47">
        <f>IFERROR(__xludf.DUMMYFUNCTION("""COMPUTED_VALUE"""),12.1)</f>
        <v>12.1</v>
      </c>
      <c r="L786" s="48" t="str">
        <f>IFERROR(__xludf.DUMMYFUNCTION("""COMPUTED_VALUE"""),"%")</f>
        <v>%</v>
      </c>
      <c r="M786" s="49">
        <f>IFERROR(__xludf.DUMMYFUNCTION("""COMPUTED_VALUE"""),1.0)</f>
        <v>1</v>
      </c>
      <c r="N786" s="50" t="str">
        <f>IFERROR(__xludf.DUMMYFUNCTION("""COMPUTED_VALUE"""),"A301")</f>
        <v>A301</v>
      </c>
      <c r="O786" s="38" t="str">
        <f>IFERROR(__xludf.DUMMYFUNCTION("""COMPUTED_VALUE"""),"")</f>
        <v/>
      </c>
      <c r="P786" s="45">
        <f>IFERROR(__xludf.DUMMYFUNCTION("""COMPUTED_VALUE"""),33.7)</f>
        <v>33.7</v>
      </c>
      <c r="Q786" s="46" t="str">
        <f>IFERROR(__xludf.DUMMYFUNCTION("""COMPUTED_VALUE"""),"AP")</f>
        <v>AP</v>
      </c>
      <c r="R786" s="47">
        <f>IFERROR(__xludf.DUMMYFUNCTION("""COMPUTED_VALUE"""),53.4)</f>
        <v>53.4</v>
      </c>
      <c r="S786" s="48" t="str">
        <f>IFERROR(__xludf.DUMMYFUNCTION("""COMPUTED_VALUE"""),"%")</f>
        <v>%</v>
      </c>
      <c r="T786" s="49">
        <f>IFERROR(__xludf.DUMMYFUNCTION("""COMPUTED_VALUE"""),2.0)</f>
        <v>2</v>
      </c>
      <c r="U786" s="50" t="str">
        <f>IFERROR(__xludf.DUMMYFUNCTION("""COMPUTED_VALUE"""),"B112")</f>
        <v>B112</v>
      </c>
      <c r="V786" s="38" t="str">
        <f>IFERROR(__xludf.DUMMYFUNCTION("""COMPUTED_VALUE"""),"")</f>
        <v/>
      </c>
      <c r="W786" s="45">
        <f>IFERROR(__xludf.DUMMYFUNCTION("""COMPUTED_VALUE"""),225.2)</f>
        <v>225.2</v>
      </c>
      <c r="X786" s="46" t="str">
        <f>IFERROR(__xludf.DUMMYFUNCTION("""COMPUTED_VALUE"""),"AP")</f>
        <v>AP</v>
      </c>
      <c r="Y786" s="47">
        <f>IFERROR(__xludf.DUMMYFUNCTION("""COMPUTED_VALUE"""),8.0)</f>
        <v>8</v>
      </c>
      <c r="Z786" s="48" t="str">
        <f>IFERROR(__xludf.DUMMYFUNCTION("""COMPUTED_VALUE"""),"%")</f>
        <v>%</v>
      </c>
      <c r="AA786" s="49">
        <f>IFERROR(__xludf.DUMMYFUNCTION("""COMPUTED_VALUE"""),3.0)</f>
        <v>3</v>
      </c>
      <c r="AB786" s="50"/>
      <c r="AC786" s="38"/>
      <c r="AD786" s="45" t="str">
        <f>IFERROR(__xludf.DUMMYFUNCTION("""COMPUTED_VALUE"""),"")</f>
        <v/>
      </c>
      <c r="AE786" s="46" t="str">
        <f>IFERROR(__xludf.DUMMYFUNCTION("""COMPUTED_VALUE"""),"AP")</f>
        <v>AP</v>
      </c>
      <c r="AF786" s="47" t="str">
        <f>IFERROR(__xludf.DUMMYFUNCTION("""COMPUTED_VALUE"""),"")</f>
        <v/>
      </c>
      <c r="AG786" s="48" t="str">
        <f>IFERROR(__xludf.DUMMYFUNCTION("""COMPUTED_VALUE"""),"%")</f>
        <v>%</v>
      </c>
      <c r="AH786" s="43">
        <f>IFERROR(__xludf.DUMMYFUNCTION("""COMPUTED_VALUE"""),18.0)</f>
        <v>18</v>
      </c>
      <c r="AI786" s="44">
        <f>IFERROR(__xludf.DUMMYFUNCTION("""COMPUTED_VALUE"""),12696.0)</f>
        <v>12696</v>
      </c>
      <c r="AJ786" s="51" t="str">
        <f>IFERROR(__xludf.DUMMYFUNCTION("""COMPUTED_VALUE"""),"アレクサンドリア")</f>
        <v>アレクサンドリア</v>
      </c>
    </row>
    <row r="787" ht="24.75" customHeight="1">
      <c r="A787" s="28">
        <f>IFERROR(__xludf.DUMMYFUNCTION("""COMPUTED_VALUE"""),3.0)</f>
        <v>3</v>
      </c>
      <c r="B787" s="28" t="str">
        <f>IFERROR(__xludf.DUMMYFUNCTION("""COMPUTED_VALUE"""),"A106")</f>
        <v>A106</v>
      </c>
      <c r="C787" s="28" t="str">
        <f>IFERROR(__xludf.DUMMYFUNCTION("""COMPUTED_VALUE"""),"TRF4")</f>
        <v>TRF4</v>
      </c>
      <c r="D787" s="29" t="str">
        <f>IFERROR(__xludf.DUMMYFUNCTION("""COMPUTED_VALUE"""),"Chaldea Gate (Mon)")</f>
        <v>Chaldea Gate (Mon)</v>
      </c>
      <c r="E787" s="30" t="str">
        <f>IFERROR(__xludf.DUMMYFUNCTION("""COMPUTED_VALUE"""),"MON Archer Training Ground- Exp")</f>
        <v>MON Archer Training Ground- Exp</v>
      </c>
      <c r="F787" s="31">
        <f>IFERROR(__xludf.DUMMYFUNCTION("""COMPUTED_VALUE"""),40.0)</f>
        <v>40</v>
      </c>
      <c r="G787" s="32">
        <f>IFERROR(__xludf.DUMMYFUNCTION("""COMPUTED_VALUE"""),10115.0)</f>
        <v>10115</v>
      </c>
      <c r="H787" s="33" t="str">
        <f>IFERROR(__xludf.DUMMYFUNCTION("""COMPUTED_VALUE"""),"")</f>
        <v/>
      </c>
      <c r="I787" s="34">
        <f>IFERROR(__xludf.DUMMYFUNCTION("""COMPUTED_VALUE"""),315.5)</f>
        <v>315.5</v>
      </c>
      <c r="J787" s="35" t="str">
        <f>IFERROR(__xludf.DUMMYFUNCTION("""COMPUTED_VALUE"""),"AP")</f>
        <v>AP</v>
      </c>
      <c r="K787" s="34">
        <f>IFERROR(__xludf.DUMMYFUNCTION("""COMPUTED_VALUE"""),12.7)</f>
        <v>12.7</v>
      </c>
      <c r="L787" s="35" t="str">
        <f>IFERROR(__xludf.DUMMYFUNCTION("""COMPUTED_VALUE"""),"%")</f>
        <v>%</v>
      </c>
      <c r="M787" s="36">
        <f>IFERROR(__xludf.DUMMYFUNCTION("""COMPUTED_VALUE"""),1.0)</f>
        <v>1</v>
      </c>
      <c r="N787" s="37" t="str">
        <f>IFERROR(__xludf.DUMMYFUNCTION("""COMPUTED_VALUE"""),"A201")</f>
        <v>A201</v>
      </c>
      <c r="O787" s="38" t="str">
        <f>IFERROR(__xludf.DUMMYFUNCTION("""COMPUTED_VALUE"""),"")</f>
        <v/>
      </c>
      <c r="P787" s="34">
        <f>IFERROR(__xludf.DUMMYFUNCTION("""COMPUTED_VALUE"""),211.7)</f>
        <v>211.7</v>
      </c>
      <c r="Q787" s="35" t="str">
        <f>IFERROR(__xludf.DUMMYFUNCTION("""COMPUTED_VALUE"""),"AP")</f>
        <v>AP</v>
      </c>
      <c r="R787" s="34">
        <f>IFERROR(__xludf.DUMMYFUNCTION("""COMPUTED_VALUE"""),18.9)</f>
        <v>18.9</v>
      </c>
      <c r="S787" s="35" t="str">
        <f>IFERROR(__xludf.DUMMYFUNCTION("""COMPUTED_VALUE"""),"%")</f>
        <v>%</v>
      </c>
      <c r="T787" s="36">
        <f>IFERROR(__xludf.DUMMYFUNCTION("""COMPUTED_VALUE"""),2.0)</f>
        <v>2</v>
      </c>
      <c r="U787" s="37" t="str">
        <f>IFERROR(__xludf.DUMMYFUNCTION("""COMPUTED_VALUE"""),"A205")</f>
        <v>A205</v>
      </c>
      <c r="V787" s="38" t="str">
        <f>IFERROR(__xludf.DUMMYFUNCTION("""COMPUTED_VALUE"""),"")</f>
        <v/>
      </c>
      <c r="W787" s="34">
        <f>IFERROR(__xludf.DUMMYFUNCTION("""COMPUTED_VALUE"""),198.8)</f>
        <v>198.8</v>
      </c>
      <c r="X787" s="35" t="str">
        <f>IFERROR(__xludf.DUMMYFUNCTION("""COMPUTED_VALUE"""),"AP")</f>
        <v>AP</v>
      </c>
      <c r="Y787" s="34">
        <f>IFERROR(__xludf.DUMMYFUNCTION("""COMPUTED_VALUE"""),20.1)</f>
        <v>20.1</v>
      </c>
      <c r="Z787" s="35" t="str">
        <f>IFERROR(__xludf.DUMMYFUNCTION("""COMPUTED_VALUE"""),"%")</f>
        <v>%</v>
      </c>
      <c r="AA787" s="36">
        <f>IFERROR(__xludf.DUMMYFUNCTION("""COMPUTED_VALUE"""),3.0)</f>
        <v>3</v>
      </c>
      <c r="AB787" s="37" t="str">
        <f>IFERROR(__xludf.DUMMYFUNCTION("""COMPUTED_VALUE"""),"A209")</f>
        <v>A209</v>
      </c>
      <c r="AC787" s="38" t="str">
        <f>IFERROR(__xludf.DUMMYFUNCTION("""COMPUTED_VALUE"""),"")</f>
        <v/>
      </c>
      <c r="AD787" s="34">
        <f>IFERROR(__xludf.DUMMYFUNCTION("""COMPUTED_VALUE"""),208.0)</f>
        <v>208</v>
      </c>
      <c r="AE787" s="35" t="str">
        <f>IFERROR(__xludf.DUMMYFUNCTION("""COMPUTED_VALUE"""),"AP")</f>
        <v>AP</v>
      </c>
      <c r="AF787" s="34">
        <f>IFERROR(__xludf.DUMMYFUNCTION("""COMPUTED_VALUE"""),19.2)</f>
        <v>19.2</v>
      </c>
      <c r="AG787" s="35" t="str">
        <f>IFERROR(__xludf.DUMMYFUNCTION("""COMPUTED_VALUE"""),"%")</f>
        <v>%</v>
      </c>
      <c r="AH787" s="31">
        <f>IFERROR(__xludf.DUMMYFUNCTION("""COMPUTED_VALUE"""),40.0)</f>
        <v>40</v>
      </c>
      <c r="AI787" s="32">
        <f>IFERROR(__xludf.DUMMYFUNCTION("""COMPUTED_VALUE"""),10115.0)</f>
        <v>10115</v>
      </c>
      <c r="AJ787" s="39" t="str">
        <f>IFERROR(__xludf.DUMMYFUNCTION("""COMPUTED_VALUE"""),"弓超級")</f>
        <v>弓超級</v>
      </c>
    </row>
    <row r="788" ht="24.75" customHeight="1">
      <c r="A788" s="40">
        <f>IFERROR(__xludf.DUMMYFUNCTION("""COMPUTED_VALUE"""),4.0)</f>
        <v>4</v>
      </c>
      <c r="B788" s="40" t="str">
        <f>IFERROR(__xludf.DUMMYFUNCTION("""COMPUTED_VALUE"""),"A106")</f>
        <v>A106</v>
      </c>
      <c r="C788" s="40" t="str">
        <f>IFERROR(__xludf.DUMMYFUNCTION("""COMPUTED_VALUE"""),"TRF3")</f>
        <v>TRF3</v>
      </c>
      <c r="D788" s="41" t="str">
        <f>IFERROR(__xludf.DUMMYFUNCTION("""COMPUTED_VALUE"""),"Chaldea Gate (Mon)")</f>
        <v>Chaldea Gate (Mon)</v>
      </c>
      <c r="E788" s="42" t="str">
        <f>IFERROR(__xludf.DUMMYFUNCTION("""COMPUTED_VALUE"""),"MON Archer Training Ground- Adv")</f>
        <v>MON Archer Training Ground- Adv</v>
      </c>
      <c r="F788" s="43">
        <f>IFERROR(__xludf.DUMMYFUNCTION("""COMPUTED_VALUE"""),30.0)</f>
        <v>30</v>
      </c>
      <c r="G788" s="44">
        <f>IFERROR(__xludf.DUMMYFUNCTION("""COMPUTED_VALUE"""),1260.0)</f>
        <v>1260</v>
      </c>
      <c r="H788" s="33" t="str">
        <f>IFERROR(__xludf.DUMMYFUNCTION("""COMPUTED_VALUE"""),"")</f>
        <v/>
      </c>
      <c r="I788" s="45">
        <f>IFERROR(__xludf.DUMMYFUNCTION("""COMPUTED_VALUE"""),546.1)</f>
        <v>546.1</v>
      </c>
      <c r="J788" s="46" t="str">
        <f>IFERROR(__xludf.DUMMYFUNCTION("""COMPUTED_VALUE"""),"AP")</f>
        <v>AP</v>
      </c>
      <c r="K788" s="47">
        <f>IFERROR(__xludf.DUMMYFUNCTION("""COMPUTED_VALUE"""),5.5)</f>
        <v>5.5</v>
      </c>
      <c r="L788" s="48" t="str">
        <f>IFERROR(__xludf.DUMMYFUNCTION("""COMPUTED_VALUE"""),"%")</f>
        <v>%</v>
      </c>
      <c r="M788" s="49">
        <f>IFERROR(__xludf.DUMMYFUNCTION("""COMPUTED_VALUE"""),1.0)</f>
        <v>1</v>
      </c>
      <c r="N788" s="50" t="str">
        <f>IFERROR(__xludf.DUMMYFUNCTION("""COMPUTED_VALUE"""),"A201")</f>
        <v>A201</v>
      </c>
      <c r="O788" s="38" t="str">
        <f>IFERROR(__xludf.DUMMYFUNCTION("""COMPUTED_VALUE"""),"")</f>
        <v/>
      </c>
      <c r="P788" s="45">
        <f>IFERROR(__xludf.DUMMYFUNCTION("""COMPUTED_VALUE"""),201.8)</f>
        <v>201.8</v>
      </c>
      <c r="Q788" s="46" t="str">
        <f>IFERROR(__xludf.DUMMYFUNCTION("""COMPUTED_VALUE"""),"AP")</f>
        <v>AP</v>
      </c>
      <c r="R788" s="47">
        <f>IFERROR(__xludf.DUMMYFUNCTION("""COMPUTED_VALUE"""),14.9)</f>
        <v>14.9</v>
      </c>
      <c r="S788" s="48" t="str">
        <f>IFERROR(__xludf.DUMMYFUNCTION("""COMPUTED_VALUE"""),"%")</f>
        <v>%</v>
      </c>
      <c r="T788" s="49">
        <f>IFERROR(__xludf.DUMMYFUNCTION("""COMPUTED_VALUE"""),2.0)</f>
        <v>2</v>
      </c>
      <c r="U788" s="50" t="str">
        <f>IFERROR(__xludf.DUMMYFUNCTION("""COMPUTED_VALUE"""),"A205")</f>
        <v>A205</v>
      </c>
      <c r="V788" s="38" t="str">
        <f>IFERROR(__xludf.DUMMYFUNCTION("""COMPUTED_VALUE"""),"")</f>
        <v/>
      </c>
      <c r="W788" s="45">
        <f>IFERROR(__xludf.DUMMYFUNCTION("""COMPUTED_VALUE"""),328.2)</f>
        <v>328.2</v>
      </c>
      <c r="X788" s="46" t="str">
        <f>IFERROR(__xludf.DUMMYFUNCTION("""COMPUTED_VALUE"""),"AP")</f>
        <v>AP</v>
      </c>
      <c r="Y788" s="47">
        <f>IFERROR(__xludf.DUMMYFUNCTION("""COMPUTED_VALUE"""),9.1)</f>
        <v>9.1</v>
      </c>
      <c r="Z788" s="48" t="str">
        <f>IFERROR(__xludf.DUMMYFUNCTION("""COMPUTED_VALUE"""),"%")</f>
        <v>%</v>
      </c>
      <c r="AA788" s="49">
        <f>IFERROR(__xludf.DUMMYFUNCTION("""COMPUTED_VALUE"""),3.0)</f>
        <v>3</v>
      </c>
      <c r="AB788" s="50" t="str">
        <f>IFERROR(__xludf.DUMMYFUNCTION("""COMPUTED_VALUE"""),"A209")</f>
        <v>A209</v>
      </c>
      <c r="AC788" s="38" t="str">
        <f>IFERROR(__xludf.DUMMYFUNCTION("""COMPUTED_VALUE"""),"")</f>
        <v/>
      </c>
      <c r="AD788" s="45">
        <f>IFERROR(__xludf.DUMMYFUNCTION("""COMPUTED_VALUE"""),223.7)</f>
        <v>223.7</v>
      </c>
      <c r="AE788" s="46" t="str">
        <f>IFERROR(__xludf.DUMMYFUNCTION("""COMPUTED_VALUE"""),"AP")</f>
        <v>AP</v>
      </c>
      <c r="AF788" s="47">
        <f>IFERROR(__xludf.DUMMYFUNCTION("""COMPUTED_VALUE"""),13.4)</f>
        <v>13.4</v>
      </c>
      <c r="AG788" s="48" t="str">
        <f>IFERROR(__xludf.DUMMYFUNCTION("""COMPUTED_VALUE"""),"%")</f>
        <v>%</v>
      </c>
      <c r="AH788" s="43">
        <f>IFERROR(__xludf.DUMMYFUNCTION("""COMPUTED_VALUE"""),30.0)</f>
        <v>30</v>
      </c>
      <c r="AI788" s="44">
        <f>IFERROR(__xludf.DUMMYFUNCTION("""COMPUTED_VALUE"""),1260.0)</f>
        <v>1260</v>
      </c>
      <c r="AJ788" s="51" t="str">
        <f>IFERROR(__xludf.DUMMYFUNCTION("""COMPUTED_VALUE"""),"弓上級")</f>
        <v>弓上級</v>
      </c>
    </row>
    <row r="789" ht="24.75" customHeight="1">
      <c r="A789" s="28">
        <f>IFERROR(__xludf.DUMMYFUNCTION("""COMPUTED_VALUE"""),5.0)</f>
        <v>5</v>
      </c>
      <c r="B789" s="28" t="str">
        <f>IFERROR(__xludf.DUMMYFUNCTION("""COMPUTED_VALUE"""),"A106")</f>
        <v>A106</v>
      </c>
      <c r="C789" s="28"/>
      <c r="D789" s="29"/>
      <c r="E789" s="67"/>
      <c r="F789" s="31"/>
      <c r="G789" s="32"/>
      <c r="H789" s="33" t="str">
        <f>IFERROR(__xludf.DUMMYFUNCTION("""COMPUTED_VALUE""")," ")</f>
        <v> </v>
      </c>
      <c r="I789" s="34"/>
      <c r="J789" s="35" t="str">
        <f>IFERROR(__xludf.DUMMYFUNCTION("""COMPUTED_VALUE"""),"AP")</f>
        <v>AP</v>
      </c>
      <c r="K789" s="34"/>
      <c r="L789" s="35" t="str">
        <f>IFERROR(__xludf.DUMMYFUNCTION("""COMPUTED_VALUE"""),"%")</f>
        <v>%</v>
      </c>
      <c r="M789" s="36">
        <f>IFERROR(__xludf.DUMMYFUNCTION("""COMPUTED_VALUE"""),1.0)</f>
        <v>1</v>
      </c>
      <c r="N789" s="37"/>
      <c r="O789" s="38"/>
      <c r="P789" s="34" t="str">
        <f>IFERROR(__xludf.DUMMYFUNCTION("""COMPUTED_VALUE"""),"")</f>
        <v/>
      </c>
      <c r="Q789" s="35" t="str">
        <f>IFERROR(__xludf.DUMMYFUNCTION("""COMPUTED_VALUE"""),"AP")</f>
        <v>AP</v>
      </c>
      <c r="R789" s="34" t="str">
        <f>IFERROR(__xludf.DUMMYFUNCTION("""COMPUTED_VALUE"""),"")</f>
        <v/>
      </c>
      <c r="S789" s="35" t="str">
        <f>IFERROR(__xludf.DUMMYFUNCTION("""COMPUTED_VALUE"""),"%")</f>
        <v>%</v>
      </c>
      <c r="T789" s="36">
        <f>IFERROR(__xludf.DUMMYFUNCTION("""COMPUTED_VALUE"""),2.0)</f>
        <v>2</v>
      </c>
      <c r="U789" s="37"/>
      <c r="V789" s="38"/>
      <c r="W789" s="34" t="str">
        <f>IFERROR(__xludf.DUMMYFUNCTION("""COMPUTED_VALUE"""),"")</f>
        <v/>
      </c>
      <c r="X789" s="35" t="str">
        <f>IFERROR(__xludf.DUMMYFUNCTION("""COMPUTED_VALUE"""),"AP")</f>
        <v>AP</v>
      </c>
      <c r="Y789" s="34" t="str">
        <f>IFERROR(__xludf.DUMMYFUNCTION("""COMPUTED_VALUE"""),"")</f>
        <v/>
      </c>
      <c r="Z789" s="35" t="str">
        <f>IFERROR(__xludf.DUMMYFUNCTION("""COMPUTED_VALUE"""),"%")</f>
        <v>%</v>
      </c>
      <c r="AA789" s="36">
        <f>IFERROR(__xludf.DUMMYFUNCTION("""COMPUTED_VALUE"""),3.0)</f>
        <v>3</v>
      </c>
      <c r="AB789" s="37"/>
      <c r="AC789" s="38"/>
      <c r="AD789" s="34" t="str">
        <f>IFERROR(__xludf.DUMMYFUNCTION("""COMPUTED_VALUE"""),"")</f>
        <v/>
      </c>
      <c r="AE789" s="35" t="str">
        <f>IFERROR(__xludf.DUMMYFUNCTION("""COMPUTED_VALUE"""),"AP")</f>
        <v>AP</v>
      </c>
      <c r="AF789" s="34" t="str">
        <f>IFERROR(__xludf.DUMMYFUNCTION("""COMPUTED_VALUE"""),"")</f>
        <v/>
      </c>
      <c r="AG789" s="35" t="str">
        <f>IFERROR(__xludf.DUMMYFUNCTION("""COMPUTED_VALUE"""),"%")</f>
        <v>%</v>
      </c>
      <c r="AH789" s="31"/>
      <c r="AI789" s="32"/>
      <c r="AJ789" s="39"/>
    </row>
    <row r="790" ht="24.75" hidden="1" customHeight="1">
      <c r="A790" s="40">
        <f>IFERROR(__xludf.DUMMYFUNCTION("""COMPUTED_VALUE"""),6.0)</f>
        <v>6</v>
      </c>
      <c r="B790" s="40" t="str">
        <f>IFERROR(__xludf.DUMMYFUNCTION("""COMPUTED_VALUE"""),"A106")</f>
        <v>A106</v>
      </c>
      <c r="C790" s="40"/>
      <c r="D790" s="41"/>
      <c r="E790" s="66"/>
      <c r="F790" s="43"/>
      <c r="G790" s="44"/>
      <c r="H790" s="33" t="str">
        <f>IFERROR(__xludf.DUMMYFUNCTION("""COMPUTED_VALUE""")," ")</f>
        <v> </v>
      </c>
      <c r="I790" s="45"/>
      <c r="J790" s="46" t="str">
        <f>IFERROR(__xludf.DUMMYFUNCTION("""COMPUTED_VALUE"""),"AP")</f>
        <v>AP</v>
      </c>
      <c r="K790" s="47"/>
      <c r="L790" s="48" t="str">
        <f>IFERROR(__xludf.DUMMYFUNCTION("""COMPUTED_VALUE"""),"%")</f>
        <v>%</v>
      </c>
      <c r="M790" s="49">
        <f>IFERROR(__xludf.DUMMYFUNCTION("""COMPUTED_VALUE"""),1.0)</f>
        <v>1</v>
      </c>
      <c r="N790" s="50"/>
      <c r="O790" s="38"/>
      <c r="P790" s="45" t="str">
        <f>IFERROR(__xludf.DUMMYFUNCTION("""COMPUTED_VALUE"""),"")</f>
        <v/>
      </c>
      <c r="Q790" s="46" t="str">
        <f>IFERROR(__xludf.DUMMYFUNCTION("""COMPUTED_VALUE"""),"AP")</f>
        <v>AP</v>
      </c>
      <c r="R790" s="47" t="str">
        <f>IFERROR(__xludf.DUMMYFUNCTION("""COMPUTED_VALUE"""),"")</f>
        <v/>
      </c>
      <c r="S790" s="48" t="str">
        <f>IFERROR(__xludf.DUMMYFUNCTION("""COMPUTED_VALUE"""),"%")</f>
        <v>%</v>
      </c>
      <c r="T790" s="49">
        <f>IFERROR(__xludf.DUMMYFUNCTION("""COMPUTED_VALUE"""),2.0)</f>
        <v>2</v>
      </c>
      <c r="U790" s="50"/>
      <c r="V790" s="38"/>
      <c r="W790" s="45" t="str">
        <f>IFERROR(__xludf.DUMMYFUNCTION("""COMPUTED_VALUE"""),"")</f>
        <v/>
      </c>
      <c r="X790" s="46" t="str">
        <f>IFERROR(__xludf.DUMMYFUNCTION("""COMPUTED_VALUE"""),"AP")</f>
        <v>AP</v>
      </c>
      <c r="Y790" s="47" t="str">
        <f>IFERROR(__xludf.DUMMYFUNCTION("""COMPUTED_VALUE"""),"")</f>
        <v/>
      </c>
      <c r="Z790" s="48" t="str">
        <f>IFERROR(__xludf.DUMMYFUNCTION("""COMPUTED_VALUE"""),"%")</f>
        <v>%</v>
      </c>
      <c r="AA790" s="49">
        <f>IFERROR(__xludf.DUMMYFUNCTION("""COMPUTED_VALUE"""),3.0)</f>
        <v>3</v>
      </c>
      <c r="AB790" s="50"/>
      <c r="AC790" s="38"/>
      <c r="AD790" s="45" t="str">
        <f>IFERROR(__xludf.DUMMYFUNCTION("""COMPUTED_VALUE"""),"")</f>
        <v/>
      </c>
      <c r="AE790" s="46" t="str">
        <f>IFERROR(__xludf.DUMMYFUNCTION("""COMPUTED_VALUE"""),"AP")</f>
        <v>AP</v>
      </c>
      <c r="AF790" s="47" t="str">
        <f>IFERROR(__xludf.DUMMYFUNCTION("""COMPUTED_VALUE"""),"")</f>
        <v/>
      </c>
      <c r="AG790" s="48" t="str">
        <f>IFERROR(__xludf.DUMMYFUNCTION("""COMPUTED_VALUE"""),"%")</f>
        <v>%</v>
      </c>
      <c r="AH790" s="43"/>
      <c r="AI790" s="44"/>
      <c r="AJ790" s="51"/>
    </row>
    <row r="791" ht="24.75" hidden="1" customHeight="1">
      <c r="A791" s="28">
        <f>IFERROR(__xludf.DUMMYFUNCTION("""COMPUTED_VALUE"""),7.0)</f>
        <v>7</v>
      </c>
      <c r="B791" s="28" t="str">
        <f>IFERROR(__xludf.DUMMYFUNCTION("""COMPUTED_VALUE"""),"A106")</f>
        <v>A106</v>
      </c>
      <c r="C791" s="28"/>
      <c r="D791" s="29"/>
      <c r="E791" s="67"/>
      <c r="F791" s="31"/>
      <c r="G791" s="32"/>
      <c r="H791" s="33" t="str">
        <f>IFERROR(__xludf.DUMMYFUNCTION("""COMPUTED_VALUE""")," ")</f>
        <v> </v>
      </c>
      <c r="I791" s="34"/>
      <c r="J791" s="35" t="str">
        <f>IFERROR(__xludf.DUMMYFUNCTION("""COMPUTED_VALUE"""),"AP")</f>
        <v>AP</v>
      </c>
      <c r="K791" s="34"/>
      <c r="L791" s="35" t="str">
        <f>IFERROR(__xludf.DUMMYFUNCTION("""COMPUTED_VALUE"""),"%")</f>
        <v>%</v>
      </c>
      <c r="M791" s="36">
        <f>IFERROR(__xludf.DUMMYFUNCTION("""COMPUTED_VALUE"""),1.0)</f>
        <v>1</v>
      </c>
      <c r="N791" s="37"/>
      <c r="O791" s="38"/>
      <c r="P791" s="34" t="str">
        <f>IFERROR(__xludf.DUMMYFUNCTION("""COMPUTED_VALUE"""),"")</f>
        <v/>
      </c>
      <c r="Q791" s="35" t="str">
        <f>IFERROR(__xludf.DUMMYFUNCTION("""COMPUTED_VALUE"""),"AP")</f>
        <v>AP</v>
      </c>
      <c r="R791" s="34" t="str">
        <f>IFERROR(__xludf.DUMMYFUNCTION("""COMPUTED_VALUE"""),"")</f>
        <v/>
      </c>
      <c r="S791" s="35" t="str">
        <f>IFERROR(__xludf.DUMMYFUNCTION("""COMPUTED_VALUE"""),"%")</f>
        <v>%</v>
      </c>
      <c r="T791" s="36">
        <f>IFERROR(__xludf.DUMMYFUNCTION("""COMPUTED_VALUE"""),2.0)</f>
        <v>2</v>
      </c>
      <c r="U791" s="37"/>
      <c r="V791" s="38"/>
      <c r="W791" s="34" t="str">
        <f>IFERROR(__xludf.DUMMYFUNCTION("""COMPUTED_VALUE"""),"")</f>
        <v/>
      </c>
      <c r="X791" s="35" t="str">
        <f>IFERROR(__xludf.DUMMYFUNCTION("""COMPUTED_VALUE"""),"AP")</f>
        <v>AP</v>
      </c>
      <c r="Y791" s="34" t="str">
        <f>IFERROR(__xludf.DUMMYFUNCTION("""COMPUTED_VALUE"""),"")</f>
        <v/>
      </c>
      <c r="Z791" s="35" t="str">
        <f>IFERROR(__xludf.DUMMYFUNCTION("""COMPUTED_VALUE"""),"%")</f>
        <v>%</v>
      </c>
      <c r="AA791" s="36">
        <f>IFERROR(__xludf.DUMMYFUNCTION("""COMPUTED_VALUE"""),3.0)</f>
        <v>3</v>
      </c>
      <c r="AB791" s="37"/>
      <c r="AC791" s="38"/>
      <c r="AD791" s="34" t="str">
        <f>IFERROR(__xludf.DUMMYFUNCTION("""COMPUTED_VALUE"""),"")</f>
        <v/>
      </c>
      <c r="AE791" s="35" t="str">
        <f>IFERROR(__xludf.DUMMYFUNCTION("""COMPUTED_VALUE"""),"AP")</f>
        <v>AP</v>
      </c>
      <c r="AF791" s="34" t="str">
        <f>IFERROR(__xludf.DUMMYFUNCTION("""COMPUTED_VALUE"""),"")</f>
        <v/>
      </c>
      <c r="AG791" s="35" t="str">
        <f>IFERROR(__xludf.DUMMYFUNCTION("""COMPUTED_VALUE"""),"%")</f>
        <v>%</v>
      </c>
      <c r="AH791" s="31"/>
      <c r="AI791" s="32"/>
      <c r="AJ791" s="39"/>
    </row>
    <row r="792" ht="24.75" hidden="1" customHeight="1">
      <c r="A792" s="40">
        <f>IFERROR(__xludf.DUMMYFUNCTION("""COMPUTED_VALUE"""),8.0)</f>
        <v>8</v>
      </c>
      <c r="B792" s="40" t="str">
        <f>IFERROR(__xludf.DUMMYFUNCTION("""COMPUTED_VALUE"""),"A106")</f>
        <v>A106</v>
      </c>
      <c r="C792" s="40"/>
      <c r="D792" s="41"/>
      <c r="E792" s="66"/>
      <c r="F792" s="43"/>
      <c r="G792" s="44"/>
      <c r="H792" s="33" t="str">
        <f>IFERROR(__xludf.DUMMYFUNCTION("""COMPUTED_VALUE""")," ")</f>
        <v> </v>
      </c>
      <c r="I792" s="45"/>
      <c r="J792" s="46" t="str">
        <f>IFERROR(__xludf.DUMMYFUNCTION("""COMPUTED_VALUE"""),"AP")</f>
        <v>AP</v>
      </c>
      <c r="K792" s="47"/>
      <c r="L792" s="48" t="str">
        <f>IFERROR(__xludf.DUMMYFUNCTION("""COMPUTED_VALUE"""),"%")</f>
        <v>%</v>
      </c>
      <c r="M792" s="49">
        <f>IFERROR(__xludf.DUMMYFUNCTION("""COMPUTED_VALUE"""),1.0)</f>
        <v>1</v>
      </c>
      <c r="N792" s="50"/>
      <c r="O792" s="38"/>
      <c r="P792" s="45" t="str">
        <f>IFERROR(__xludf.DUMMYFUNCTION("""COMPUTED_VALUE"""),"")</f>
        <v/>
      </c>
      <c r="Q792" s="46" t="str">
        <f>IFERROR(__xludf.DUMMYFUNCTION("""COMPUTED_VALUE"""),"AP")</f>
        <v>AP</v>
      </c>
      <c r="R792" s="47" t="str">
        <f>IFERROR(__xludf.DUMMYFUNCTION("""COMPUTED_VALUE"""),"")</f>
        <v/>
      </c>
      <c r="S792" s="48" t="str">
        <f>IFERROR(__xludf.DUMMYFUNCTION("""COMPUTED_VALUE"""),"%")</f>
        <v>%</v>
      </c>
      <c r="T792" s="49">
        <f>IFERROR(__xludf.DUMMYFUNCTION("""COMPUTED_VALUE"""),2.0)</f>
        <v>2</v>
      </c>
      <c r="U792" s="50"/>
      <c r="V792" s="38"/>
      <c r="W792" s="45" t="str">
        <f>IFERROR(__xludf.DUMMYFUNCTION("""COMPUTED_VALUE"""),"")</f>
        <v/>
      </c>
      <c r="X792" s="46" t="str">
        <f>IFERROR(__xludf.DUMMYFUNCTION("""COMPUTED_VALUE"""),"AP")</f>
        <v>AP</v>
      </c>
      <c r="Y792" s="47" t="str">
        <f>IFERROR(__xludf.DUMMYFUNCTION("""COMPUTED_VALUE"""),"")</f>
        <v/>
      </c>
      <c r="Z792" s="48" t="str">
        <f>IFERROR(__xludf.DUMMYFUNCTION("""COMPUTED_VALUE"""),"%")</f>
        <v>%</v>
      </c>
      <c r="AA792" s="49">
        <f>IFERROR(__xludf.DUMMYFUNCTION("""COMPUTED_VALUE"""),3.0)</f>
        <v>3</v>
      </c>
      <c r="AB792" s="50"/>
      <c r="AC792" s="38"/>
      <c r="AD792" s="45" t="str">
        <f>IFERROR(__xludf.DUMMYFUNCTION("""COMPUTED_VALUE"""),"")</f>
        <v/>
      </c>
      <c r="AE792" s="46" t="str">
        <f>IFERROR(__xludf.DUMMYFUNCTION("""COMPUTED_VALUE"""),"AP")</f>
        <v>AP</v>
      </c>
      <c r="AF792" s="47" t="str">
        <f>IFERROR(__xludf.DUMMYFUNCTION("""COMPUTED_VALUE"""),"")</f>
        <v/>
      </c>
      <c r="AG792" s="48" t="str">
        <f>IFERROR(__xludf.DUMMYFUNCTION("""COMPUTED_VALUE"""),"%")</f>
        <v>%</v>
      </c>
      <c r="AH792" s="43"/>
      <c r="AI792" s="44"/>
      <c r="AJ792" s="51"/>
    </row>
    <row r="793" ht="24.75" hidden="1" customHeight="1">
      <c r="A793" s="28">
        <f>IFERROR(__xludf.DUMMYFUNCTION("""COMPUTED_VALUE"""),9.0)</f>
        <v>9</v>
      </c>
      <c r="B793" s="28" t="str">
        <f>IFERROR(__xludf.DUMMYFUNCTION("""COMPUTED_VALUE"""),"A106")</f>
        <v>A106</v>
      </c>
      <c r="C793" s="28"/>
      <c r="D793" s="29"/>
      <c r="E793" s="67"/>
      <c r="F793" s="31"/>
      <c r="G793" s="32"/>
      <c r="H793" s="33" t="str">
        <f>IFERROR(__xludf.DUMMYFUNCTION("""COMPUTED_VALUE""")," ")</f>
        <v> </v>
      </c>
      <c r="I793" s="34"/>
      <c r="J793" s="35" t="str">
        <f>IFERROR(__xludf.DUMMYFUNCTION("""COMPUTED_VALUE"""),"AP")</f>
        <v>AP</v>
      </c>
      <c r="K793" s="34"/>
      <c r="L793" s="35" t="str">
        <f>IFERROR(__xludf.DUMMYFUNCTION("""COMPUTED_VALUE"""),"%")</f>
        <v>%</v>
      </c>
      <c r="M793" s="36">
        <f>IFERROR(__xludf.DUMMYFUNCTION("""COMPUTED_VALUE"""),1.0)</f>
        <v>1</v>
      </c>
      <c r="N793" s="37"/>
      <c r="O793" s="38"/>
      <c r="P793" s="34" t="str">
        <f>IFERROR(__xludf.DUMMYFUNCTION("""COMPUTED_VALUE"""),"")</f>
        <v/>
      </c>
      <c r="Q793" s="35" t="str">
        <f>IFERROR(__xludf.DUMMYFUNCTION("""COMPUTED_VALUE"""),"AP")</f>
        <v>AP</v>
      </c>
      <c r="R793" s="34" t="str">
        <f>IFERROR(__xludf.DUMMYFUNCTION("""COMPUTED_VALUE"""),"")</f>
        <v/>
      </c>
      <c r="S793" s="35" t="str">
        <f>IFERROR(__xludf.DUMMYFUNCTION("""COMPUTED_VALUE"""),"%")</f>
        <v>%</v>
      </c>
      <c r="T793" s="36">
        <f>IFERROR(__xludf.DUMMYFUNCTION("""COMPUTED_VALUE"""),2.0)</f>
        <v>2</v>
      </c>
      <c r="U793" s="37"/>
      <c r="V793" s="38"/>
      <c r="W793" s="34" t="str">
        <f>IFERROR(__xludf.DUMMYFUNCTION("""COMPUTED_VALUE"""),"")</f>
        <v/>
      </c>
      <c r="X793" s="35" t="str">
        <f>IFERROR(__xludf.DUMMYFUNCTION("""COMPUTED_VALUE"""),"AP")</f>
        <v>AP</v>
      </c>
      <c r="Y793" s="34" t="str">
        <f>IFERROR(__xludf.DUMMYFUNCTION("""COMPUTED_VALUE"""),"")</f>
        <v/>
      </c>
      <c r="Z793" s="35" t="str">
        <f>IFERROR(__xludf.DUMMYFUNCTION("""COMPUTED_VALUE"""),"%")</f>
        <v>%</v>
      </c>
      <c r="AA793" s="36">
        <f>IFERROR(__xludf.DUMMYFUNCTION("""COMPUTED_VALUE"""),3.0)</f>
        <v>3</v>
      </c>
      <c r="AB793" s="37"/>
      <c r="AC793" s="38"/>
      <c r="AD793" s="34" t="str">
        <f>IFERROR(__xludf.DUMMYFUNCTION("""COMPUTED_VALUE"""),"")</f>
        <v/>
      </c>
      <c r="AE793" s="35" t="str">
        <f>IFERROR(__xludf.DUMMYFUNCTION("""COMPUTED_VALUE"""),"AP")</f>
        <v>AP</v>
      </c>
      <c r="AF793" s="34" t="str">
        <f>IFERROR(__xludf.DUMMYFUNCTION("""COMPUTED_VALUE"""),"")</f>
        <v/>
      </c>
      <c r="AG793" s="35" t="str">
        <f>IFERROR(__xludf.DUMMYFUNCTION("""COMPUTED_VALUE"""),"%")</f>
        <v>%</v>
      </c>
      <c r="AH793" s="31"/>
      <c r="AI793" s="32"/>
      <c r="AJ793" s="39"/>
    </row>
    <row r="794" ht="24.75" hidden="1" customHeight="1">
      <c r="A794" s="40">
        <f>IFERROR(__xludf.DUMMYFUNCTION("""COMPUTED_VALUE"""),10.0)</f>
        <v>10</v>
      </c>
      <c r="B794" s="40" t="str">
        <f>IFERROR(__xludf.DUMMYFUNCTION("""COMPUTED_VALUE"""),"A106")</f>
        <v>A106</v>
      </c>
      <c r="C794" s="40"/>
      <c r="D794" s="41"/>
      <c r="E794" s="66"/>
      <c r="F794" s="43"/>
      <c r="G794" s="44"/>
      <c r="H794" s="33" t="str">
        <f>IFERROR(__xludf.DUMMYFUNCTION("""COMPUTED_VALUE""")," ")</f>
        <v> </v>
      </c>
      <c r="I794" s="45"/>
      <c r="J794" s="46" t="str">
        <f>IFERROR(__xludf.DUMMYFUNCTION("""COMPUTED_VALUE"""),"AP")</f>
        <v>AP</v>
      </c>
      <c r="K794" s="47"/>
      <c r="L794" s="48" t="str">
        <f>IFERROR(__xludf.DUMMYFUNCTION("""COMPUTED_VALUE"""),"%")</f>
        <v>%</v>
      </c>
      <c r="M794" s="49">
        <f>IFERROR(__xludf.DUMMYFUNCTION("""COMPUTED_VALUE"""),1.0)</f>
        <v>1</v>
      </c>
      <c r="N794" s="50"/>
      <c r="O794" s="38"/>
      <c r="P794" s="45" t="str">
        <f>IFERROR(__xludf.DUMMYFUNCTION("""COMPUTED_VALUE"""),"")</f>
        <v/>
      </c>
      <c r="Q794" s="46" t="str">
        <f>IFERROR(__xludf.DUMMYFUNCTION("""COMPUTED_VALUE"""),"AP")</f>
        <v>AP</v>
      </c>
      <c r="R794" s="47" t="str">
        <f>IFERROR(__xludf.DUMMYFUNCTION("""COMPUTED_VALUE"""),"")</f>
        <v/>
      </c>
      <c r="S794" s="48" t="str">
        <f>IFERROR(__xludf.DUMMYFUNCTION("""COMPUTED_VALUE"""),"%")</f>
        <v>%</v>
      </c>
      <c r="T794" s="49">
        <f>IFERROR(__xludf.DUMMYFUNCTION("""COMPUTED_VALUE"""),2.0)</f>
        <v>2</v>
      </c>
      <c r="U794" s="50"/>
      <c r="V794" s="38"/>
      <c r="W794" s="45" t="str">
        <f>IFERROR(__xludf.DUMMYFUNCTION("""COMPUTED_VALUE"""),"")</f>
        <v/>
      </c>
      <c r="X794" s="46" t="str">
        <f>IFERROR(__xludf.DUMMYFUNCTION("""COMPUTED_VALUE"""),"AP")</f>
        <v>AP</v>
      </c>
      <c r="Y794" s="47" t="str">
        <f>IFERROR(__xludf.DUMMYFUNCTION("""COMPUTED_VALUE"""),"")</f>
        <v/>
      </c>
      <c r="Z794" s="48" t="str">
        <f>IFERROR(__xludf.DUMMYFUNCTION("""COMPUTED_VALUE"""),"%")</f>
        <v>%</v>
      </c>
      <c r="AA794" s="49">
        <f>IFERROR(__xludf.DUMMYFUNCTION("""COMPUTED_VALUE"""),3.0)</f>
        <v>3</v>
      </c>
      <c r="AB794" s="50"/>
      <c r="AC794" s="38"/>
      <c r="AD794" s="45" t="str">
        <f>IFERROR(__xludf.DUMMYFUNCTION("""COMPUTED_VALUE"""),"")</f>
        <v/>
      </c>
      <c r="AE794" s="46" t="str">
        <f>IFERROR(__xludf.DUMMYFUNCTION("""COMPUTED_VALUE"""),"AP")</f>
        <v>AP</v>
      </c>
      <c r="AF794" s="47" t="str">
        <f>IFERROR(__xludf.DUMMYFUNCTION("""COMPUTED_VALUE"""),"")</f>
        <v/>
      </c>
      <c r="AG794" s="48" t="str">
        <f>IFERROR(__xludf.DUMMYFUNCTION("""COMPUTED_VALUE"""),"%")</f>
        <v>%</v>
      </c>
      <c r="AH794" s="43"/>
      <c r="AI794" s="44"/>
      <c r="AJ794" s="51"/>
    </row>
    <row r="795" ht="24.75" hidden="1" customHeight="1">
      <c r="A795" s="28">
        <f>IFERROR(__xludf.DUMMYFUNCTION("""COMPUTED_VALUE"""),11.0)</f>
        <v>11</v>
      </c>
      <c r="B795" s="28" t="str">
        <f>IFERROR(__xludf.DUMMYFUNCTION("""COMPUTED_VALUE"""),"A106")</f>
        <v>A106</v>
      </c>
      <c r="C795" s="28"/>
      <c r="D795" s="29"/>
      <c r="E795" s="67"/>
      <c r="F795" s="31"/>
      <c r="G795" s="32"/>
      <c r="H795" s="33" t="str">
        <f>IFERROR(__xludf.DUMMYFUNCTION("""COMPUTED_VALUE""")," ")</f>
        <v> </v>
      </c>
      <c r="I795" s="34"/>
      <c r="J795" s="35" t="str">
        <f>IFERROR(__xludf.DUMMYFUNCTION("""COMPUTED_VALUE"""),"AP")</f>
        <v>AP</v>
      </c>
      <c r="K795" s="34"/>
      <c r="L795" s="35" t="str">
        <f>IFERROR(__xludf.DUMMYFUNCTION("""COMPUTED_VALUE"""),"%")</f>
        <v>%</v>
      </c>
      <c r="M795" s="36">
        <f>IFERROR(__xludf.DUMMYFUNCTION("""COMPUTED_VALUE"""),1.0)</f>
        <v>1</v>
      </c>
      <c r="N795" s="37"/>
      <c r="O795" s="38"/>
      <c r="P795" s="34" t="str">
        <f>IFERROR(__xludf.DUMMYFUNCTION("""COMPUTED_VALUE"""),"")</f>
        <v/>
      </c>
      <c r="Q795" s="35" t="str">
        <f>IFERROR(__xludf.DUMMYFUNCTION("""COMPUTED_VALUE"""),"AP")</f>
        <v>AP</v>
      </c>
      <c r="R795" s="34" t="str">
        <f>IFERROR(__xludf.DUMMYFUNCTION("""COMPUTED_VALUE"""),"")</f>
        <v/>
      </c>
      <c r="S795" s="35" t="str">
        <f>IFERROR(__xludf.DUMMYFUNCTION("""COMPUTED_VALUE"""),"%")</f>
        <v>%</v>
      </c>
      <c r="T795" s="36">
        <f>IFERROR(__xludf.DUMMYFUNCTION("""COMPUTED_VALUE"""),2.0)</f>
        <v>2</v>
      </c>
      <c r="U795" s="37"/>
      <c r="V795" s="38"/>
      <c r="W795" s="34" t="str">
        <f>IFERROR(__xludf.DUMMYFUNCTION("""COMPUTED_VALUE"""),"")</f>
        <v/>
      </c>
      <c r="X795" s="35" t="str">
        <f>IFERROR(__xludf.DUMMYFUNCTION("""COMPUTED_VALUE"""),"AP")</f>
        <v>AP</v>
      </c>
      <c r="Y795" s="34" t="str">
        <f>IFERROR(__xludf.DUMMYFUNCTION("""COMPUTED_VALUE"""),"")</f>
        <v/>
      </c>
      <c r="Z795" s="35" t="str">
        <f>IFERROR(__xludf.DUMMYFUNCTION("""COMPUTED_VALUE"""),"%")</f>
        <v>%</v>
      </c>
      <c r="AA795" s="36">
        <f>IFERROR(__xludf.DUMMYFUNCTION("""COMPUTED_VALUE"""),3.0)</f>
        <v>3</v>
      </c>
      <c r="AB795" s="37"/>
      <c r="AC795" s="38"/>
      <c r="AD795" s="34" t="str">
        <f>IFERROR(__xludf.DUMMYFUNCTION("""COMPUTED_VALUE"""),"")</f>
        <v/>
      </c>
      <c r="AE795" s="35" t="str">
        <f>IFERROR(__xludf.DUMMYFUNCTION("""COMPUTED_VALUE"""),"AP")</f>
        <v>AP</v>
      </c>
      <c r="AF795" s="34" t="str">
        <f>IFERROR(__xludf.DUMMYFUNCTION("""COMPUTED_VALUE"""),"")</f>
        <v/>
      </c>
      <c r="AG795" s="35" t="str">
        <f>IFERROR(__xludf.DUMMYFUNCTION("""COMPUTED_VALUE"""),"%")</f>
        <v>%</v>
      </c>
      <c r="AH795" s="31"/>
      <c r="AI795" s="32"/>
      <c r="AJ795" s="39"/>
    </row>
    <row r="796" ht="24.75" hidden="1" customHeight="1">
      <c r="A796" s="40">
        <f>IFERROR(__xludf.DUMMYFUNCTION("""COMPUTED_VALUE"""),12.0)</f>
        <v>12</v>
      </c>
      <c r="B796" s="40" t="str">
        <f>IFERROR(__xludf.DUMMYFUNCTION("""COMPUTED_VALUE"""),"A106")</f>
        <v>A106</v>
      </c>
      <c r="C796" s="40"/>
      <c r="D796" s="41"/>
      <c r="E796" s="66"/>
      <c r="F796" s="43"/>
      <c r="G796" s="44"/>
      <c r="H796" s="33" t="str">
        <f>IFERROR(__xludf.DUMMYFUNCTION("""COMPUTED_VALUE""")," ")</f>
        <v> </v>
      </c>
      <c r="I796" s="45"/>
      <c r="J796" s="46" t="str">
        <f>IFERROR(__xludf.DUMMYFUNCTION("""COMPUTED_VALUE"""),"AP")</f>
        <v>AP</v>
      </c>
      <c r="K796" s="47"/>
      <c r="L796" s="48" t="str">
        <f>IFERROR(__xludf.DUMMYFUNCTION("""COMPUTED_VALUE"""),"%")</f>
        <v>%</v>
      </c>
      <c r="M796" s="49">
        <f>IFERROR(__xludf.DUMMYFUNCTION("""COMPUTED_VALUE"""),1.0)</f>
        <v>1</v>
      </c>
      <c r="N796" s="50"/>
      <c r="O796" s="38"/>
      <c r="P796" s="45" t="str">
        <f>IFERROR(__xludf.DUMMYFUNCTION("""COMPUTED_VALUE"""),"")</f>
        <v/>
      </c>
      <c r="Q796" s="46" t="str">
        <f>IFERROR(__xludf.DUMMYFUNCTION("""COMPUTED_VALUE"""),"AP")</f>
        <v>AP</v>
      </c>
      <c r="R796" s="47" t="str">
        <f>IFERROR(__xludf.DUMMYFUNCTION("""COMPUTED_VALUE"""),"")</f>
        <v/>
      </c>
      <c r="S796" s="48" t="str">
        <f>IFERROR(__xludf.DUMMYFUNCTION("""COMPUTED_VALUE"""),"%")</f>
        <v>%</v>
      </c>
      <c r="T796" s="49">
        <f>IFERROR(__xludf.DUMMYFUNCTION("""COMPUTED_VALUE"""),2.0)</f>
        <v>2</v>
      </c>
      <c r="U796" s="50"/>
      <c r="V796" s="38"/>
      <c r="W796" s="45" t="str">
        <f>IFERROR(__xludf.DUMMYFUNCTION("""COMPUTED_VALUE"""),"")</f>
        <v/>
      </c>
      <c r="X796" s="46" t="str">
        <f>IFERROR(__xludf.DUMMYFUNCTION("""COMPUTED_VALUE"""),"AP")</f>
        <v>AP</v>
      </c>
      <c r="Y796" s="47" t="str">
        <f>IFERROR(__xludf.DUMMYFUNCTION("""COMPUTED_VALUE"""),"")</f>
        <v/>
      </c>
      <c r="Z796" s="48" t="str">
        <f>IFERROR(__xludf.DUMMYFUNCTION("""COMPUTED_VALUE"""),"%")</f>
        <v>%</v>
      </c>
      <c r="AA796" s="49">
        <f>IFERROR(__xludf.DUMMYFUNCTION("""COMPUTED_VALUE"""),3.0)</f>
        <v>3</v>
      </c>
      <c r="AB796" s="50"/>
      <c r="AC796" s="38"/>
      <c r="AD796" s="45" t="str">
        <f>IFERROR(__xludf.DUMMYFUNCTION("""COMPUTED_VALUE"""),"")</f>
        <v/>
      </c>
      <c r="AE796" s="46" t="str">
        <f>IFERROR(__xludf.DUMMYFUNCTION("""COMPUTED_VALUE"""),"AP")</f>
        <v>AP</v>
      </c>
      <c r="AF796" s="47" t="str">
        <f>IFERROR(__xludf.DUMMYFUNCTION("""COMPUTED_VALUE"""),"")</f>
        <v/>
      </c>
      <c r="AG796" s="48" t="str">
        <f>IFERROR(__xludf.DUMMYFUNCTION("""COMPUTED_VALUE"""),"%")</f>
        <v>%</v>
      </c>
      <c r="AH796" s="43"/>
      <c r="AI796" s="44"/>
      <c r="AJ796" s="51"/>
    </row>
    <row r="797" ht="24.75" hidden="1" customHeight="1">
      <c r="A797" s="28">
        <f>IFERROR(__xludf.DUMMYFUNCTION("""COMPUTED_VALUE"""),13.0)</f>
        <v>13</v>
      </c>
      <c r="B797" s="28" t="str">
        <f>IFERROR(__xludf.DUMMYFUNCTION("""COMPUTED_VALUE"""),"A106")</f>
        <v>A106</v>
      </c>
      <c r="C797" s="28"/>
      <c r="D797" s="29"/>
      <c r="E797" s="67"/>
      <c r="F797" s="31"/>
      <c r="G797" s="32"/>
      <c r="H797" s="33" t="str">
        <f>IFERROR(__xludf.DUMMYFUNCTION("""COMPUTED_VALUE""")," ")</f>
        <v> </v>
      </c>
      <c r="I797" s="34"/>
      <c r="J797" s="35" t="str">
        <f>IFERROR(__xludf.DUMMYFUNCTION("""COMPUTED_VALUE"""),"AP")</f>
        <v>AP</v>
      </c>
      <c r="K797" s="34"/>
      <c r="L797" s="35" t="str">
        <f>IFERROR(__xludf.DUMMYFUNCTION("""COMPUTED_VALUE"""),"%")</f>
        <v>%</v>
      </c>
      <c r="M797" s="36">
        <f>IFERROR(__xludf.DUMMYFUNCTION("""COMPUTED_VALUE"""),1.0)</f>
        <v>1</v>
      </c>
      <c r="N797" s="37"/>
      <c r="O797" s="38"/>
      <c r="P797" s="34" t="str">
        <f>IFERROR(__xludf.DUMMYFUNCTION("""COMPUTED_VALUE"""),"")</f>
        <v/>
      </c>
      <c r="Q797" s="35" t="str">
        <f>IFERROR(__xludf.DUMMYFUNCTION("""COMPUTED_VALUE"""),"AP")</f>
        <v>AP</v>
      </c>
      <c r="R797" s="34" t="str">
        <f>IFERROR(__xludf.DUMMYFUNCTION("""COMPUTED_VALUE"""),"")</f>
        <v/>
      </c>
      <c r="S797" s="35" t="str">
        <f>IFERROR(__xludf.DUMMYFUNCTION("""COMPUTED_VALUE"""),"%")</f>
        <v>%</v>
      </c>
      <c r="T797" s="36">
        <f>IFERROR(__xludf.DUMMYFUNCTION("""COMPUTED_VALUE"""),2.0)</f>
        <v>2</v>
      </c>
      <c r="U797" s="37"/>
      <c r="V797" s="38"/>
      <c r="W797" s="34" t="str">
        <f>IFERROR(__xludf.DUMMYFUNCTION("""COMPUTED_VALUE"""),"")</f>
        <v/>
      </c>
      <c r="X797" s="35" t="str">
        <f>IFERROR(__xludf.DUMMYFUNCTION("""COMPUTED_VALUE"""),"AP")</f>
        <v>AP</v>
      </c>
      <c r="Y797" s="34" t="str">
        <f>IFERROR(__xludf.DUMMYFUNCTION("""COMPUTED_VALUE"""),"")</f>
        <v/>
      </c>
      <c r="Z797" s="35" t="str">
        <f>IFERROR(__xludf.DUMMYFUNCTION("""COMPUTED_VALUE"""),"%")</f>
        <v>%</v>
      </c>
      <c r="AA797" s="36">
        <f>IFERROR(__xludf.DUMMYFUNCTION("""COMPUTED_VALUE"""),3.0)</f>
        <v>3</v>
      </c>
      <c r="AB797" s="37"/>
      <c r="AC797" s="38"/>
      <c r="AD797" s="34" t="str">
        <f>IFERROR(__xludf.DUMMYFUNCTION("""COMPUTED_VALUE"""),"")</f>
        <v/>
      </c>
      <c r="AE797" s="35" t="str">
        <f>IFERROR(__xludf.DUMMYFUNCTION("""COMPUTED_VALUE"""),"AP")</f>
        <v>AP</v>
      </c>
      <c r="AF797" s="34" t="str">
        <f>IFERROR(__xludf.DUMMYFUNCTION("""COMPUTED_VALUE"""),"")</f>
        <v/>
      </c>
      <c r="AG797" s="35" t="str">
        <f>IFERROR(__xludf.DUMMYFUNCTION("""COMPUTED_VALUE"""),"%")</f>
        <v>%</v>
      </c>
      <c r="AH797" s="31"/>
      <c r="AI797" s="32"/>
      <c r="AJ797" s="39"/>
    </row>
    <row r="798" ht="24.75" hidden="1" customHeight="1">
      <c r="A798" s="40">
        <f>IFERROR(__xludf.DUMMYFUNCTION("""COMPUTED_VALUE"""),14.0)</f>
        <v>14</v>
      </c>
      <c r="B798" s="40" t="str">
        <f>IFERROR(__xludf.DUMMYFUNCTION("""COMPUTED_VALUE"""),"A106")</f>
        <v>A106</v>
      </c>
      <c r="C798" s="40"/>
      <c r="D798" s="41"/>
      <c r="E798" s="66"/>
      <c r="F798" s="43"/>
      <c r="G798" s="44"/>
      <c r="H798" s="33" t="str">
        <f>IFERROR(__xludf.DUMMYFUNCTION("""COMPUTED_VALUE""")," ")</f>
        <v> </v>
      </c>
      <c r="I798" s="45"/>
      <c r="J798" s="46" t="str">
        <f>IFERROR(__xludf.DUMMYFUNCTION("""COMPUTED_VALUE"""),"AP")</f>
        <v>AP</v>
      </c>
      <c r="K798" s="47"/>
      <c r="L798" s="48" t="str">
        <f>IFERROR(__xludf.DUMMYFUNCTION("""COMPUTED_VALUE"""),"%")</f>
        <v>%</v>
      </c>
      <c r="M798" s="49">
        <f>IFERROR(__xludf.DUMMYFUNCTION("""COMPUTED_VALUE"""),1.0)</f>
        <v>1</v>
      </c>
      <c r="N798" s="50"/>
      <c r="O798" s="38"/>
      <c r="P798" s="45" t="str">
        <f>IFERROR(__xludf.DUMMYFUNCTION("""COMPUTED_VALUE"""),"")</f>
        <v/>
      </c>
      <c r="Q798" s="46" t="str">
        <f>IFERROR(__xludf.DUMMYFUNCTION("""COMPUTED_VALUE"""),"AP")</f>
        <v>AP</v>
      </c>
      <c r="R798" s="47" t="str">
        <f>IFERROR(__xludf.DUMMYFUNCTION("""COMPUTED_VALUE"""),"")</f>
        <v/>
      </c>
      <c r="S798" s="48" t="str">
        <f>IFERROR(__xludf.DUMMYFUNCTION("""COMPUTED_VALUE"""),"%")</f>
        <v>%</v>
      </c>
      <c r="T798" s="49">
        <f>IFERROR(__xludf.DUMMYFUNCTION("""COMPUTED_VALUE"""),2.0)</f>
        <v>2</v>
      </c>
      <c r="U798" s="50"/>
      <c r="V798" s="38"/>
      <c r="W798" s="45" t="str">
        <f>IFERROR(__xludf.DUMMYFUNCTION("""COMPUTED_VALUE"""),"")</f>
        <v/>
      </c>
      <c r="X798" s="46" t="str">
        <f>IFERROR(__xludf.DUMMYFUNCTION("""COMPUTED_VALUE"""),"AP")</f>
        <v>AP</v>
      </c>
      <c r="Y798" s="47" t="str">
        <f>IFERROR(__xludf.DUMMYFUNCTION("""COMPUTED_VALUE"""),"")</f>
        <v/>
      </c>
      <c r="Z798" s="48" t="str">
        <f>IFERROR(__xludf.DUMMYFUNCTION("""COMPUTED_VALUE"""),"%")</f>
        <v>%</v>
      </c>
      <c r="AA798" s="49">
        <f>IFERROR(__xludf.DUMMYFUNCTION("""COMPUTED_VALUE"""),3.0)</f>
        <v>3</v>
      </c>
      <c r="AB798" s="50"/>
      <c r="AC798" s="38"/>
      <c r="AD798" s="45" t="str">
        <f>IFERROR(__xludf.DUMMYFUNCTION("""COMPUTED_VALUE"""),"")</f>
        <v/>
      </c>
      <c r="AE798" s="46" t="str">
        <f>IFERROR(__xludf.DUMMYFUNCTION("""COMPUTED_VALUE"""),"AP")</f>
        <v>AP</v>
      </c>
      <c r="AF798" s="47" t="str">
        <f>IFERROR(__xludf.DUMMYFUNCTION("""COMPUTED_VALUE"""),"")</f>
        <v/>
      </c>
      <c r="AG798" s="48" t="str">
        <f>IFERROR(__xludf.DUMMYFUNCTION("""COMPUTED_VALUE"""),"%")</f>
        <v>%</v>
      </c>
      <c r="AH798" s="43"/>
      <c r="AI798" s="44"/>
      <c r="AJ798" s="51"/>
    </row>
    <row r="799" ht="24.75" hidden="1" customHeight="1">
      <c r="A799" s="28">
        <f>IFERROR(__xludf.DUMMYFUNCTION("""COMPUTED_VALUE"""),15.0)</f>
        <v>15</v>
      </c>
      <c r="B799" s="28" t="str">
        <f>IFERROR(__xludf.DUMMYFUNCTION("""COMPUTED_VALUE"""),"A106")</f>
        <v>A106</v>
      </c>
      <c r="C799" s="28"/>
      <c r="D799" s="29"/>
      <c r="E799" s="67"/>
      <c r="F799" s="31"/>
      <c r="G799" s="32"/>
      <c r="H799" s="33" t="str">
        <f>IFERROR(__xludf.DUMMYFUNCTION("""COMPUTED_VALUE""")," ")</f>
        <v> </v>
      </c>
      <c r="I799" s="34"/>
      <c r="J799" s="35" t="str">
        <f>IFERROR(__xludf.DUMMYFUNCTION("""COMPUTED_VALUE"""),"AP")</f>
        <v>AP</v>
      </c>
      <c r="K799" s="34"/>
      <c r="L799" s="35" t="str">
        <f>IFERROR(__xludf.DUMMYFUNCTION("""COMPUTED_VALUE"""),"%")</f>
        <v>%</v>
      </c>
      <c r="M799" s="36">
        <f>IFERROR(__xludf.DUMMYFUNCTION("""COMPUTED_VALUE"""),1.0)</f>
        <v>1</v>
      </c>
      <c r="N799" s="37"/>
      <c r="O799" s="38"/>
      <c r="P799" s="34" t="str">
        <f>IFERROR(__xludf.DUMMYFUNCTION("""COMPUTED_VALUE"""),"")</f>
        <v/>
      </c>
      <c r="Q799" s="35" t="str">
        <f>IFERROR(__xludf.DUMMYFUNCTION("""COMPUTED_VALUE"""),"AP")</f>
        <v>AP</v>
      </c>
      <c r="R799" s="34" t="str">
        <f>IFERROR(__xludf.DUMMYFUNCTION("""COMPUTED_VALUE"""),"")</f>
        <v/>
      </c>
      <c r="S799" s="35" t="str">
        <f>IFERROR(__xludf.DUMMYFUNCTION("""COMPUTED_VALUE"""),"%")</f>
        <v>%</v>
      </c>
      <c r="T799" s="36">
        <f>IFERROR(__xludf.DUMMYFUNCTION("""COMPUTED_VALUE"""),2.0)</f>
        <v>2</v>
      </c>
      <c r="U799" s="37"/>
      <c r="V799" s="38"/>
      <c r="W799" s="34" t="str">
        <f>IFERROR(__xludf.DUMMYFUNCTION("""COMPUTED_VALUE"""),"")</f>
        <v/>
      </c>
      <c r="X799" s="35" t="str">
        <f>IFERROR(__xludf.DUMMYFUNCTION("""COMPUTED_VALUE"""),"AP")</f>
        <v>AP</v>
      </c>
      <c r="Y799" s="34" t="str">
        <f>IFERROR(__xludf.DUMMYFUNCTION("""COMPUTED_VALUE"""),"")</f>
        <v/>
      </c>
      <c r="Z799" s="35" t="str">
        <f>IFERROR(__xludf.DUMMYFUNCTION("""COMPUTED_VALUE"""),"%")</f>
        <v>%</v>
      </c>
      <c r="AA799" s="36">
        <f>IFERROR(__xludf.DUMMYFUNCTION("""COMPUTED_VALUE"""),3.0)</f>
        <v>3</v>
      </c>
      <c r="AB799" s="37"/>
      <c r="AC799" s="38"/>
      <c r="AD799" s="34" t="str">
        <f>IFERROR(__xludf.DUMMYFUNCTION("""COMPUTED_VALUE"""),"")</f>
        <v/>
      </c>
      <c r="AE799" s="35" t="str">
        <f>IFERROR(__xludf.DUMMYFUNCTION("""COMPUTED_VALUE"""),"AP")</f>
        <v>AP</v>
      </c>
      <c r="AF799" s="34" t="str">
        <f>IFERROR(__xludf.DUMMYFUNCTION("""COMPUTED_VALUE"""),"")</f>
        <v/>
      </c>
      <c r="AG799" s="35" t="str">
        <f>IFERROR(__xludf.DUMMYFUNCTION("""COMPUTED_VALUE"""),"%")</f>
        <v>%</v>
      </c>
      <c r="AH799" s="31"/>
      <c r="AI799" s="32"/>
      <c r="AJ799" s="39"/>
    </row>
    <row r="800" ht="24.75" hidden="1" customHeight="1">
      <c r="A800" s="40">
        <f>IFERROR(__xludf.DUMMYFUNCTION("""COMPUTED_VALUE"""),16.0)</f>
        <v>16</v>
      </c>
      <c r="B800" s="40" t="str">
        <f>IFERROR(__xludf.DUMMYFUNCTION("""COMPUTED_VALUE"""),"A106")</f>
        <v>A106</v>
      </c>
      <c r="C800" s="40"/>
      <c r="D800" s="41"/>
      <c r="E800" s="66"/>
      <c r="F800" s="43"/>
      <c r="G800" s="44"/>
      <c r="H800" s="33" t="str">
        <f>IFERROR(__xludf.DUMMYFUNCTION("""COMPUTED_VALUE""")," ")</f>
        <v> </v>
      </c>
      <c r="I800" s="45"/>
      <c r="J800" s="46" t="str">
        <f>IFERROR(__xludf.DUMMYFUNCTION("""COMPUTED_VALUE"""),"AP")</f>
        <v>AP</v>
      </c>
      <c r="K800" s="47"/>
      <c r="L800" s="48" t="str">
        <f>IFERROR(__xludf.DUMMYFUNCTION("""COMPUTED_VALUE"""),"%")</f>
        <v>%</v>
      </c>
      <c r="M800" s="49">
        <f>IFERROR(__xludf.DUMMYFUNCTION("""COMPUTED_VALUE"""),1.0)</f>
        <v>1</v>
      </c>
      <c r="N800" s="50"/>
      <c r="O800" s="38"/>
      <c r="P800" s="45" t="str">
        <f>IFERROR(__xludf.DUMMYFUNCTION("""COMPUTED_VALUE"""),"")</f>
        <v/>
      </c>
      <c r="Q800" s="46" t="str">
        <f>IFERROR(__xludf.DUMMYFUNCTION("""COMPUTED_VALUE"""),"AP")</f>
        <v>AP</v>
      </c>
      <c r="R800" s="47" t="str">
        <f>IFERROR(__xludf.DUMMYFUNCTION("""COMPUTED_VALUE"""),"")</f>
        <v/>
      </c>
      <c r="S800" s="48" t="str">
        <f>IFERROR(__xludf.DUMMYFUNCTION("""COMPUTED_VALUE"""),"%")</f>
        <v>%</v>
      </c>
      <c r="T800" s="49">
        <f>IFERROR(__xludf.DUMMYFUNCTION("""COMPUTED_VALUE"""),2.0)</f>
        <v>2</v>
      </c>
      <c r="U800" s="50"/>
      <c r="V800" s="38"/>
      <c r="W800" s="45" t="str">
        <f>IFERROR(__xludf.DUMMYFUNCTION("""COMPUTED_VALUE"""),"")</f>
        <v/>
      </c>
      <c r="X800" s="46" t="str">
        <f>IFERROR(__xludf.DUMMYFUNCTION("""COMPUTED_VALUE"""),"AP")</f>
        <v>AP</v>
      </c>
      <c r="Y800" s="47" t="str">
        <f>IFERROR(__xludf.DUMMYFUNCTION("""COMPUTED_VALUE"""),"")</f>
        <v/>
      </c>
      <c r="Z800" s="48" t="str">
        <f>IFERROR(__xludf.DUMMYFUNCTION("""COMPUTED_VALUE"""),"%")</f>
        <v>%</v>
      </c>
      <c r="AA800" s="49">
        <f>IFERROR(__xludf.DUMMYFUNCTION("""COMPUTED_VALUE"""),3.0)</f>
        <v>3</v>
      </c>
      <c r="AB800" s="50"/>
      <c r="AC800" s="38"/>
      <c r="AD800" s="45" t="str">
        <f>IFERROR(__xludf.DUMMYFUNCTION("""COMPUTED_VALUE"""),"")</f>
        <v/>
      </c>
      <c r="AE800" s="46" t="str">
        <f>IFERROR(__xludf.DUMMYFUNCTION("""COMPUTED_VALUE"""),"AP")</f>
        <v>AP</v>
      </c>
      <c r="AF800" s="47" t="str">
        <f>IFERROR(__xludf.DUMMYFUNCTION("""COMPUTED_VALUE"""),"")</f>
        <v/>
      </c>
      <c r="AG800" s="48" t="str">
        <f>IFERROR(__xludf.DUMMYFUNCTION("""COMPUTED_VALUE"""),"%")</f>
        <v>%</v>
      </c>
      <c r="AH800" s="43"/>
      <c r="AI800" s="44"/>
      <c r="AJ800" s="51"/>
    </row>
    <row r="801" ht="24.75" hidden="1" customHeight="1">
      <c r="A801" s="28">
        <f>IFERROR(__xludf.DUMMYFUNCTION("""COMPUTED_VALUE"""),17.0)</f>
        <v>17</v>
      </c>
      <c r="B801" s="28" t="str">
        <f>IFERROR(__xludf.DUMMYFUNCTION("""COMPUTED_VALUE"""),"A106")</f>
        <v>A106</v>
      </c>
      <c r="C801" s="28"/>
      <c r="D801" s="29"/>
      <c r="E801" s="67"/>
      <c r="F801" s="31"/>
      <c r="G801" s="32"/>
      <c r="H801" s="33" t="str">
        <f>IFERROR(__xludf.DUMMYFUNCTION("""COMPUTED_VALUE""")," ")</f>
        <v> </v>
      </c>
      <c r="I801" s="34"/>
      <c r="J801" s="35" t="str">
        <f>IFERROR(__xludf.DUMMYFUNCTION("""COMPUTED_VALUE"""),"AP")</f>
        <v>AP</v>
      </c>
      <c r="K801" s="34"/>
      <c r="L801" s="35" t="str">
        <f>IFERROR(__xludf.DUMMYFUNCTION("""COMPUTED_VALUE"""),"%")</f>
        <v>%</v>
      </c>
      <c r="M801" s="36">
        <f>IFERROR(__xludf.DUMMYFUNCTION("""COMPUTED_VALUE"""),1.0)</f>
        <v>1</v>
      </c>
      <c r="N801" s="37"/>
      <c r="O801" s="38"/>
      <c r="P801" s="34" t="str">
        <f>IFERROR(__xludf.DUMMYFUNCTION("""COMPUTED_VALUE"""),"")</f>
        <v/>
      </c>
      <c r="Q801" s="35" t="str">
        <f>IFERROR(__xludf.DUMMYFUNCTION("""COMPUTED_VALUE"""),"AP")</f>
        <v>AP</v>
      </c>
      <c r="R801" s="34" t="str">
        <f>IFERROR(__xludf.DUMMYFUNCTION("""COMPUTED_VALUE"""),"")</f>
        <v/>
      </c>
      <c r="S801" s="35" t="str">
        <f>IFERROR(__xludf.DUMMYFUNCTION("""COMPUTED_VALUE"""),"%")</f>
        <v>%</v>
      </c>
      <c r="T801" s="36">
        <f>IFERROR(__xludf.DUMMYFUNCTION("""COMPUTED_VALUE"""),2.0)</f>
        <v>2</v>
      </c>
      <c r="U801" s="37"/>
      <c r="V801" s="38"/>
      <c r="W801" s="34" t="str">
        <f>IFERROR(__xludf.DUMMYFUNCTION("""COMPUTED_VALUE"""),"")</f>
        <v/>
      </c>
      <c r="X801" s="35" t="str">
        <f>IFERROR(__xludf.DUMMYFUNCTION("""COMPUTED_VALUE"""),"AP")</f>
        <v>AP</v>
      </c>
      <c r="Y801" s="34" t="str">
        <f>IFERROR(__xludf.DUMMYFUNCTION("""COMPUTED_VALUE"""),"")</f>
        <v/>
      </c>
      <c r="Z801" s="35" t="str">
        <f>IFERROR(__xludf.DUMMYFUNCTION("""COMPUTED_VALUE"""),"%")</f>
        <v>%</v>
      </c>
      <c r="AA801" s="36">
        <f>IFERROR(__xludf.DUMMYFUNCTION("""COMPUTED_VALUE"""),3.0)</f>
        <v>3</v>
      </c>
      <c r="AB801" s="37"/>
      <c r="AC801" s="38"/>
      <c r="AD801" s="34" t="str">
        <f>IFERROR(__xludf.DUMMYFUNCTION("""COMPUTED_VALUE"""),"")</f>
        <v/>
      </c>
      <c r="AE801" s="35" t="str">
        <f>IFERROR(__xludf.DUMMYFUNCTION("""COMPUTED_VALUE"""),"AP")</f>
        <v>AP</v>
      </c>
      <c r="AF801" s="34" t="str">
        <f>IFERROR(__xludf.DUMMYFUNCTION("""COMPUTED_VALUE"""),"")</f>
        <v/>
      </c>
      <c r="AG801" s="35" t="str">
        <f>IFERROR(__xludf.DUMMYFUNCTION("""COMPUTED_VALUE"""),"%")</f>
        <v>%</v>
      </c>
      <c r="AH801" s="31"/>
      <c r="AI801" s="32"/>
      <c r="AJ801" s="39"/>
    </row>
    <row r="802" ht="24.75" hidden="1" customHeight="1">
      <c r="A802" s="40">
        <f>IFERROR(__xludf.DUMMYFUNCTION("""COMPUTED_VALUE"""),18.0)</f>
        <v>18</v>
      </c>
      <c r="B802" s="40" t="str">
        <f>IFERROR(__xludf.DUMMYFUNCTION("""COMPUTED_VALUE"""),"A106")</f>
        <v>A106</v>
      </c>
      <c r="C802" s="40"/>
      <c r="D802" s="41"/>
      <c r="E802" s="66"/>
      <c r="F802" s="43"/>
      <c r="G802" s="44"/>
      <c r="H802" s="33" t="str">
        <f>IFERROR(__xludf.DUMMYFUNCTION("""COMPUTED_VALUE""")," ")</f>
        <v> </v>
      </c>
      <c r="I802" s="45"/>
      <c r="J802" s="46" t="str">
        <f>IFERROR(__xludf.DUMMYFUNCTION("""COMPUTED_VALUE"""),"AP")</f>
        <v>AP</v>
      </c>
      <c r="K802" s="47"/>
      <c r="L802" s="48" t="str">
        <f>IFERROR(__xludf.DUMMYFUNCTION("""COMPUTED_VALUE"""),"%")</f>
        <v>%</v>
      </c>
      <c r="M802" s="49">
        <f>IFERROR(__xludf.DUMMYFUNCTION("""COMPUTED_VALUE"""),1.0)</f>
        <v>1</v>
      </c>
      <c r="N802" s="50"/>
      <c r="O802" s="38"/>
      <c r="P802" s="45" t="str">
        <f>IFERROR(__xludf.DUMMYFUNCTION("""COMPUTED_VALUE"""),"")</f>
        <v/>
      </c>
      <c r="Q802" s="46" t="str">
        <f>IFERROR(__xludf.DUMMYFUNCTION("""COMPUTED_VALUE"""),"AP")</f>
        <v>AP</v>
      </c>
      <c r="R802" s="47" t="str">
        <f>IFERROR(__xludf.DUMMYFUNCTION("""COMPUTED_VALUE"""),"")</f>
        <v/>
      </c>
      <c r="S802" s="48" t="str">
        <f>IFERROR(__xludf.DUMMYFUNCTION("""COMPUTED_VALUE"""),"%")</f>
        <v>%</v>
      </c>
      <c r="T802" s="49">
        <f>IFERROR(__xludf.DUMMYFUNCTION("""COMPUTED_VALUE"""),2.0)</f>
        <v>2</v>
      </c>
      <c r="U802" s="50"/>
      <c r="V802" s="38"/>
      <c r="W802" s="45" t="str">
        <f>IFERROR(__xludf.DUMMYFUNCTION("""COMPUTED_VALUE"""),"")</f>
        <v/>
      </c>
      <c r="X802" s="46" t="str">
        <f>IFERROR(__xludf.DUMMYFUNCTION("""COMPUTED_VALUE"""),"AP")</f>
        <v>AP</v>
      </c>
      <c r="Y802" s="47" t="str">
        <f>IFERROR(__xludf.DUMMYFUNCTION("""COMPUTED_VALUE"""),"")</f>
        <v/>
      </c>
      <c r="Z802" s="48" t="str">
        <f>IFERROR(__xludf.DUMMYFUNCTION("""COMPUTED_VALUE"""),"%")</f>
        <v>%</v>
      </c>
      <c r="AA802" s="49">
        <f>IFERROR(__xludf.DUMMYFUNCTION("""COMPUTED_VALUE"""),3.0)</f>
        <v>3</v>
      </c>
      <c r="AB802" s="50"/>
      <c r="AC802" s="38"/>
      <c r="AD802" s="45" t="str">
        <f>IFERROR(__xludf.DUMMYFUNCTION("""COMPUTED_VALUE"""),"")</f>
        <v/>
      </c>
      <c r="AE802" s="46" t="str">
        <f>IFERROR(__xludf.DUMMYFUNCTION("""COMPUTED_VALUE"""),"AP")</f>
        <v>AP</v>
      </c>
      <c r="AF802" s="47" t="str">
        <f>IFERROR(__xludf.DUMMYFUNCTION("""COMPUTED_VALUE"""),"")</f>
        <v/>
      </c>
      <c r="AG802" s="48" t="str">
        <f>IFERROR(__xludf.DUMMYFUNCTION("""COMPUTED_VALUE"""),"%")</f>
        <v>%</v>
      </c>
      <c r="AH802" s="43"/>
      <c r="AI802" s="44"/>
      <c r="AJ802" s="51"/>
    </row>
    <row r="803" ht="24.75" hidden="1" customHeight="1">
      <c r="A803" s="28">
        <f>IFERROR(__xludf.DUMMYFUNCTION("""COMPUTED_VALUE"""),19.0)</f>
        <v>19</v>
      </c>
      <c r="B803" s="28" t="str">
        <f>IFERROR(__xludf.DUMMYFUNCTION("""COMPUTED_VALUE"""),"A106")</f>
        <v>A106</v>
      </c>
      <c r="C803" s="28"/>
      <c r="D803" s="29"/>
      <c r="E803" s="67"/>
      <c r="F803" s="31"/>
      <c r="G803" s="32"/>
      <c r="H803" s="33" t="str">
        <f>IFERROR(__xludf.DUMMYFUNCTION("""COMPUTED_VALUE""")," ")</f>
        <v> </v>
      </c>
      <c r="I803" s="34"/>
      <c r="J803" s="35" t="str">
        <f>IFERROR(__xludf.DUMMYFUNCTION("""COMPUTED_VALUE"""),"AP")</f>
        <v>AP</v>
      </c>
      <c r="K803" s="34"/>
      <c r="L803" s="35" t="str">
        <f>IFERROR(__xludf.DUMMYFUNCTION("""COMPUTED_VALUE"""),"%")</f>
        <v>%</v>
      </c>
      <c r="M803" s="36">
        <f>IFERROR(__xludf.DUMMYFUNCTION("""COMPUTED_VALUE"""),1.0)</f>
        <v>1</v>
      </c>
      <c r="N803" s="37"/>
      <c r="O803" s="38"/>
      <c r="P803" s="34" t="str">
        <f>IFERROR(__xludf.DUMMYFUNCTION("""COMPUTED_VALUE"""),"")</f>
        <v/>
      </c>
      <c r="Q803" s="35" t="str">
        <f>IFERROR(__xludf.DUMMYFUNCTION("""COMPUTED_VALUE"""),"AP")</f>
        <v>AP</v>
      </c>
      <c r="R803" s="34" t="str">
        <f>IFERROR(__xludf.DUMMYFUNCTION("""COMPUTED_VALUE"""),"")</f>
        <v/>
      </c>
      <c r="S803" s="35" t="str">
        <f>IFERROR(__xludf.DUMMYFUNCTION("""COMPUTED_VALUE"""),"%")</f>
        <v>%</v>
      </c>
      <c r="T803" s="36">
        <f>IFERROR(__xludf.DUMMYFUNCTION("""COMPUTED_VALUE"""),2.0)</f>
        <v>2</v>
      </c>
      <c r="U803" s="37"/>
      <c r="V803" s="38"/>
      <c r="W803" s="34" t="str">
        <f>IFERROR(__xludf.DUMMYFUNCTION("""COMPUTED_VALUE"""),"")</f>
        <v/>
      </c>
      <c r="X803" s="35" t="str">
        <f>IFERROR(__xludf.DUMMYFUNCTION("""COMPUTED_VALUE"""),"AP")</f>
        <v>AP</v>
      </c>
      <c r="Y803" s="34" t="str">
        <f>IFERROR(__xludf.DUMMYFUNCTION("""COMPUTED_VALUE"""),"")</f>
        <v/>
      </c>
      <c r="Z803" s="35" t="str">
        <f>IFERROR(__xludf.DUMMYFUNCTION("""COMPUTED_VALUE"""),"%")</f>
        <v>%</v>
      </c>
      <c r="AA803" s="36">
        <f>IFERROR(__xludf.DUMMYFUNCTION("""COMPUTED_VALUE"""),3.0)</f>
        <v>3</v>
      </c>
      <c r="AB803" s="37"/>
      <c r="AC803" s="38"/>
      <c r="AD803" s="34" t="str">
        <f>IFERROR(__xludf.DUMMYFUNCTION("""COMPUTED_VALUE"""),"")</f>
        <v/>
      </c>
      <c r="AE803" s="35" t="str">
        <f>IFERROR(__xludf.DUMMYFUNCTION("""COMPUTED_VALUE"""),"AP")</f>
        <v>AP</v>
      </c>
      <c r="AF803" s="34" t="str">
        <f>IFERROR(__xludf.DUMMYFUNCTION("""COMPUTED_VALUE"""),"")</f>
        <v/>
      </c>
      <c r="AG803" s="35" t="str">
        <f>IFERROR(__xludf.DUMMYFUNCTION("""COMPUTED_VALUE"""),"%")</f>
        <v>%</v>
      </c>
      <c r="AH803" s="31"/>
      <c r="AI803" s="32"/>
      <c r="AJ803" s="39"/>
    </row>
    <row r="804" ht="24.75" hidden="1" customHeight="1">
      <c r="A804" s="40">
        <f>IFERROR(__xludf.DUMMYFUNCTION("""COMPUTED_VALUE"""),20.0)</f>
        <v>20</v>
      </c>
      <c r="B804" s="40" t="str">
        <f>IFERROR(__xludf.DUMMYFUNCTION("""COMPUTED_VALUE"""),"A106")</f>
        <v>A106</v>
      </c>
      <c r="C804" s="40"/>
      <c r="D804" s="41"/>
      <c r="E804" s="66"/>
      <c r="F804" s="43"/>
      <c r="G804" s="44"/>
      <c r="H804" s="33" t="str">
        <f>IFERROR(__xludf.DUMMYFUNCTION("""COMPUTED_VALUE""")," ")</f>
        <v> </v>
      </c>
      <c r="I804" s="45"/>
      <c r="J804" s="46" t="str">
        <f>IFERROR(__xludf.DUMMYFUNCTION("""COMPUTED_VALUE"""),"AP")</f>
        <v>AP</v>
      </c>
      <c r="K804" s="47"/>
      <c r="L804" s="48" t="str">
        <f>IFERROR(__xludf.DUMMYFUNCTION("""COMPUTED_VALUE"""),"%")</f>
        <v>%</v>
      </c>
      <c r="M804" s="49">
        <f>IFERROR(__xludf.DUMMYFUNCTION("""COMPUTED_VALUE"""),1.0)</f>
        <v>1</v>
      </c>
      <c r="N804" s="50"/>
      <c r="O804" s="38"/>
      <c r="P804" s="45" t="str">
        <f>IFERROR(__xludf.DUMMYFUNCTION("""COMPUTED_VALUE"""),"")</f>
        <v/>
      </c>
      <c r="Q804" s="46" t="str">
        <f>IFERROR(__xludf.DUMMYFUNCTION("""COMPUTED_VALUE"""),"AP")</f>
        <v>AP</v>
      </c>
      <c r="R804" s="47" t="str">
        <f>IFERROR(__xludf.DUMMYFUNCTION("""COMPUTED_VALUE"""),"")</f>
        <v/>
      </c>
      <c r="S804" s="48" t="str">
        <f>IFERROR(__xludf.DUMMYFUNCTION("""COMPUTED_VALUE"""),"%")</f>
        <v>%</v>
      </c>
      <c r="T804" s="49">
        <f>IFERROR(__xludf.DUMMYFUNCTION("""COMPUTED_VALUE"""),2.0)</f>
        <v>2</v>
      </c>
      <c r="U804" s="50"/>
      <c r="V804" s="38"/>
      <c r="W804" s="45" t="str">
        <f>IFERROR(__xludf.DUMMYFUNCTION("""COMPUTED_VALUE"""),"")</f>
        <v/>
      </c>
      <c r="X804" s="46" t="str">
        <f>IFERROR(__xludf.DUMMYFUNCTION("""COMPUTED_VALUE"""),"AP")</f>
        <v>AP</v>
      </c>
      <c r="Y804" s="47" t="str">
        <f>IFERROR(__xludf.DUMMYFUNCTION("""COMPUTED_VALUE"""),"")</f>
        <v/>
      </c>
      <c r="Z804" s="48" t="str">
        <f>IFERROR(__xludf.DUMMYFUNCTION("""COMPUTED_VALUE"""),"%")</f>
        <v>%</v>
      </c>
      <c r="AA804" s="49">
        <f>IFERROR(__xludf.DUMMYFUNCTION("""COMPUTED_VALUE"""),3.0)</f>
        <v>3</v>
      </c>
      <c r="AB804" s="50"/>
      <c r="AC804" s="38"/>
      <c r="AD804" s="45" t="str">
        <f>IFERROR(__xludf.DUMMYFUNCTION("""COMPUTED_VALUE"""),"")</f>
        <v/>
      </c>
      <c r="AE804" s="46" t="str">
        <f>IFERROR(__xludf.DUMMYFUNCTION("""COMPUTED_VALUE"""),"AP")</f>
        <v>AP</v>
      </c>
      <c r="AF804" s="47" t="str">
        <f>IFERROR(__xludf.DUMMYFUNCTION("""COMPUTED_VALUE"""),"")</f>
        <v/>
      </c>
      <c r="AG804" s="48" t="str">
        <f>IFERROR(__xludf.DUMMYFUNCTION("""COMPUTED_VALUE"""),"%")</f>
        <v>%</v>
      </c>
      <c r="AH804" s="43"/>
      <c r="AI804" s="44"/>
      <c r="AJ804" s="51"/>
    </row>
    <row r="805">
      <c r="A805" s="52"/>
      <c r="B805" s="53"/>
      <c r="C805" s="54"/>
      <c r="D805" s="55"/>
      <c r="E805" s="56"/>
      <c r="F805" s="53"/>
      <c r="G805" s="53"/>
      <c r="H805" s="53"/>
      <c r="I805" s="53"/>
      <c r="J805" s="57"/>
      <c r="K805" s="53"/>
      <c r="L805" s="57"/>
      <c r="M805" s="53"/>
      <c r="N805" s="53"/>
      <c r="O805" s="53"/>
      <c r="P805" s="53"/>
      <c r="Q805" s="57"/>
      <c r="R805" s="53"/>
      <c r="S805" s="57"/>
      <c r="T805" s="53"/>
      <c r="U805" s="53"/>
      <c r="V805" s="53"/>
      <c r="W805" s="53"/>
      <c r="X805" s="57"/>
      <c r="Y805" s="53"/>
      <c r="Z805" s="57"/>
      <c r="AA805" s="53"/>
      <c r="AB805" s="53"/>
      <c r="AC805" s="53"/>
      <c r="AD805" s="53"/>
      <c r="AE805" s="57"/>
      <c r="AF805" s="53"/>
      <c r="AG805" s="57"/>
      <c r="AH805" s="53"/>
      <c r="AI805" s="53"/>
      <c r="AJ805" s="58"/>
    </row>
    <row r="806">
      <c r="A806" s="59"/>
      <c r="B806" s="60"/>
      <c r="C806" s="61"/>
      <c r="D806" s="62"/>
      <c r="E806" s="63"/>
      <c r="F806" s="60"/>
      <c r="G806" s="60"/>
      <c r="H806" s="60"/>
      <c r="I806" s="60"/>
      <c r="J806" s="64"/>
      <c r="K806" s="60"/>
      <c r="L806" s="64"/>
      <c r="M806" s="60"/>
      <c r="N806" s="60"/>
      <c r="O806" s="60"/>
      <c r="P806" s="60"/>
      <c r="Q806" s="64"/>
      <c r="R806" s="60"/>
      <c r="S806" s="64"/>
      <c r="T806" s="60"/>
      <c r="U806" s="60"/>
      <c r="V806" s="60"/>
      <c r="W806" s="60"/>
      <c r="X806" s="64"/>
      <c r="Y806" s="60"/>
      <c r="Z806" s="64"/>
      <c r="AA806" s="60"/>
      <c r="AB806" s="60"/>
      <c r="AC806" s="60"/>
      <c r="AD806" s="60"/>
      <c r="AE806" s="64"/>
      <c r="AF806" s="60"/>
      <c r="AG806" s="64"/>
      <c r="AH806" s="60"/>
      <c r="AI806" s="60"/>
      <c r="AJ806" s="65"/>
    </row>
    <row r="807" ht="33.0" customHeight="1">
      <c r="A807" s="20" t="str">
        <f>IFERROR(__xludf.DUMMYFUNCTION("""COMPUTED_VALUE""")," ")</f>
        <v> </v>
      </c>
      <c r="B807" s="21" t="str">
        <f>IFERROR(__xludf.DUMMYFUNCTION("""COMPUTED_VALUE"""),"A107")</f>
        <v>A107</v>
      </c>
      <c r="C807" s="20"/>
      <c r="D807" s="22" t="str">
        <f>IFERROR(__xludf.DUMMYFUNCTION("""COMPUTED_VALUE"""),"")</f>
        <v/>
      </c>
      <c r="E807" s="23" t="str">
        <f>IFERROR(__xludf.DUMMYFUNCTION("""COMPUTED_VALUE"""),"Black Beast Grease")</f>
        <v>Black Beast Grease</v>
      </c>
      <c r="F807" s="24"/>
      <c r="G807" s="24"/>
      <c r="H807" s="25"/>
      <c r="I807" s="25"/>
      <c r="J807" s="26"/>
      <c r="K807" s="25"/>
      <c r="L807" s="26"/>
      <c r="M807" s="25"/>
      <c r="N807" s="25"/>
      <c r="O807" s="25"/>
      <c r="P807" s="25"/>
      <c r="Q807" s="26"/>
      <c r="R807" s="25"/>
      <c r="S807" s="26"/>
      <c r="T807" s="25"/>
      <c r="U807" s="25"/>
      <c r="V807" s="25"/>
      <c r="W807" s="25"/>
      <c r="X807" s="26"/>
      <c r="Y807" s="25"/>
      <c r="Z807" s="26"/>
      <c r="AA807" s="25"/>
      <c r="AB807" s="25"/>
      <c r="AC807" s="25"/>
      <c r="AD807" s="25"/>
      <c r="AE807" s="26"/>
      <c r="AF807" s="25"/>
      <c r="AG807" s="26"/>
      <c r="AH807" s="24"/>
      <c r="AI807" s="25"/>
      <c r="AJ807" s="27"/>
    </row>
    <row r="808" ht="24.75" customHeight="1">
      <c r="A808" s="28">
        <f>IFERROR(__xludf.DUMMYFUNCTION("""COMPUTED_VALUE"""),1.0)</f>
        <v>1</v>
      </c>
      <c r="B808" s="28" t="str">
        <f>IFERROR(__xludf.DUMMYFUNCTION("""COMPUTED_VALUE"""),"A107")</f>
        <v>A107</v>
      </c>
      <c r="C808" s="28" t="str">
        <f>IFERROR(__xludf.DUMMYFUNCTION("""COMPUTED_VALUE"""),"AGT6")</f>
        <v>AGT6</v>
      </c>
      <c r="D808" s="29" t="str">
        <f>IFERROR(__xludf.DUMMYFUNCTION("""COMPUTED_VALUE"""),"Agartha")</f>
        <v>Agartha</v>
      </c>
      <c r="E808" s="30" t="str">
        <f>IFERROR(__xludf.DUMMYFUNCTION("""COMPUTED_VALUE"""),"Northern Cliffs")</f>
        <v>Northern Cliffs</v>
      </c>
      <c r="F808" s="31">
        <f>IFERROR(__xludf.DUMMYFUNCTION("""COMPUTED_VALUE"""),21.0)</f>
        <v>21</v>
      </c>
      <c r="G808" s="32">
        <f>IFERROR(__xludf.DUMMYFUNCTION("""COMPUTED_VALUE"""),2240.0)</f>
        <v>2240</v>
      </c>
      <c r="H808" s="33" t="str">
        <f>IFERROR(__xludf.DUMMYFUNCTION("""COMPUTED_VALUE"""),"")</f>
        <v/>
      </c>
      <c r="I808" s="34">
        <f>IFERROR(__xludf.DUMMYFUNCTION("""COMPUTED_VALUE"""),102.0)</f>
        <v>102</v>
      </c>
      <c r="J808" s="35" t="str">
        <f>IFERROR(__xludf.DUMMYFUNCTION("""COMPUTED_VALUE"""),"AP")</f>
        <v>AP</v>
      </c>
      <c r="K808" s="34">
        <f>IFERROR(__xludf.DUMMYFUNCTION("""COMPUTED_VALUE"""),20.6)</f>
        <v>20.6</v>
      </c>
      <c r="L808" s="35" t="str">
        <f>IFERROR(__xludf.DUMMYFUNCTION("""COMPUTED_VALUE"""),"%")</f>
        <v>%</v>
      </c>
      <c r="M808" s="36">
        <f>IFERROR(__xludf.DUMMYFUNCTION("""COMPUTED_VALUE"""),1.0)</f>
        <v>1</v>
      </c>
      <c r="N808" s="37" t="str">
        <f>IFERROR(__xludf.DUMMYFUNCTION("""COMPUTED_VALUE"""),"A305")</f>
        <v>A305</v>
      </c>
      <c r="O808" s="38" t="str">
        <f>IFERROR(__xludf.DUMMYFUNCTION("""COMPUTED_VALUE"""),"")</f>
        <v/>
      </c>
      <c r="P808" s="34">
        <f>IFERROR(__xludf.DUMMYFUNCTION("""COMPUTED_VALUE"""),52.8)</f>
        <v>52.8</v>
      </c>
      <c r="Q808" s="35" t="str">
        <f>IFERROR(__xludf.DUMMYFUNCTION("""COMPUTED_VALUE"""),"AP")</f>
        <v>AP</v>
      </c>
      <c r="R808" s="34">
        <f>IFERROR(__xludf.DUMMYFUNCTION("""COMPUTED_VALUE"""),39.8)</f>
        <v>39.8</v>
      </c>
      <c r="S808" s="35" t="str">
        <f>IFERROR(__xludf.DUMMYFUNCTION("""COMPUTED_VALUE"""),"%")</f>
        <v>%</v>
      </c>
      <c r="T808" s="36">
        <f>IFERROR(__xludf.DUMMYFUNCTION("""COMPUTED_VALUE"""),2.0)</f>
        <v>2</v>
      </c>
      <c r="U808" s="37" t="str">
        <f>IFERROR(__xludf.DUMMYFUNCTION("""COMPUTED_VALUE"""),"B116")</f>
        <v>B116</v>
      </c>
      <c r="V808" s="38" t="str">
        <f>IFERROR(__xludf.DUMMYFUNCTION("""COMPUTED_VALUE"""),"")</f>
        <v/>
      </c>
      <c r="W808" s="34">
        <f>IFERROR(__xludf.DUMMYFUNCTION("""COMPUTED_VALUE"""),67.5)</f>
        <v>67.5</v>
      </c>
      <c r="X808" s="35" t="str">
        <f>IFERROR(__xludf.DUMMYFUNCTION("""COMPUTED_VALUE"""),"AP")</f>
        <v>AP</v>
      </c>
      <c r="Y808" s="34">
        <f>IFERROR(__xludf.DUMMYFUNCTION("""COMPUTED_VALUE"""),31.1)</f>
        <v>31.1</v>
      </c>
      <c r="Z808" s="35" t="str">
        <f>IFERROR(__xludf.DUMMYFUNCTION("""COMPUTED_VALUE"""),"%")</f>
        <v>%</v>
      </c>
      <c r="AA808" s="36">
        <f>IFERROR(__xludf.DUMMYFUNCTION("""COMPUTED_VALUE"""),3.0)</f>
        <v>3</v>
      </c>
      <c r="AB808" s="37"/>
      <c r="AC808" s="38"/>
      <c r="AD808" s="34" t="str">
        <f>IFERROR(__xludf.DUMMYFUNCTION("""COMPUTED_VALUE"""),"")</f>
        <v/>
      </c>
      <c r="AE808" s="35" t="str">
        <f>IFERROR(__xludf.DUMMYFUNCTION("""COMPUTED_VALUE"""),"AP")</f>
        <v>AP</v>
      </c>
      <c r="AF808" s="34" t="str">
        <f>IFERROR(__xludf.DUMMYFUNCTION("""COMPUTED_VALUE"""),"")</f>
        <v/>
      </c>
      <c r="AG808" s="35" t="str">
        <f>IFERROR(__xludf.DUMMYFUNCTION("""COMPUTED_VALUE"""),"%")</f>
        <v>%</v>
      </c>
      <c r="AH808" s="31">
        <f>IFERROR(__xludf.DUMMYFUNCTION("""COMPUTED_VALUE"""),21.0)</f>
        <v>21</v>
      </c>
      <c r="AI808" s="32">
        <f>IFERROR(__xludf.DUMMYFUNCTION("""COMPUTED_VALUE"""),2240.0)</f>
        <v>2240</v>
      </c>
      <c r="AJ808" s="39" t="str">
        <f>IFERROR(__xludf.DUMMYFUNCTION("""COMPUTED_VALUE"""),"北の断崖")</f>
        <v>北の断崖</v>
      </c>
    </row>
    <row r="809" ht="24.75" customHeight="1">
      <c r="A809" s="40">
        <f>IFERROR(__xludf.DUMMYFUNCTION("""COMPUTED_VALUE"""),2.0)</f>
        <v>2</v>
      </c>
      <c r="B809" s="40" t="str">
        <f>IFERROR(__xludf.DUMMYFUNCTION("""COMPUTED_VALUE"""),"A107")</f>
        <v>A107</v>
      </c>
      <c r="C809" s="40" t="str">
        <f>IFERROR(__xludf.DUMMYFUNCTION("""COMPUTED_VALUE"""),"YKS3")</f>
        <v>YKS3</v>
      </c>
      <c r="D809" s="41" t="str">
        <f>IFERROR(__xludf.DUMMYFUNCTION("""COMPUTED_VALUE"""),"Yuga Kurukshetra")</f>
        <v>Yuga Kurukshetra</v>
      </c>
      <c r="E809" s="42" t="str">
        <f>IFERROR(__xludf.DUMMYFUNCTION("""COMPUTED_VALUE"""),"Secluded Grotto")</f>
        <v>Secluded Grotto</v>
      </c>
      <c r="F809" s="43">
        <f>IFERROR(__xludf.DUMMYFUNCTION("""COMPUTED_VALUE"""),21.0)</f>
        <v>21</v>
      </c>
      <c r="G809" s="44">
        <f>IFERROR(__xludf.DUMMYFUNCTION("""COMPUTED_VALUE"""),4926.0)</f>
        <v>4926</v>
      </c>
      <c r="H809" s="33" t="str">
        <f>IFERROR(__xludf.DUMMYFUNCTION("""COMPUTED_VALUE"""),"")</f>
        <v/>
      </c>
      <c r="I809" s="45">
        <f>IFERROR(__xludf.DUMMYFUNCTION("""COMPUTED_VALUE"""),104.19999990000001)</f>
        <v>104.1999999</v>
      </c>
      <c r="J809" s="46" t="str">
        <f>IFERROR(__xludf.DUMMYFUNCTION("""COMPUTED_VALUE"""),"AP")</f>
        <v>AP</v>
      </c>
      <c r="K809" s="47">
        <f>IFERROR(__xludf.DUMMYFUNCTION("""COMPUTED_VALUE"""),20.199999)</f>
        <v>20.199999</v>
      </c>
      <c r="L809" s="48" t="str">
        <f>IFERROR(__xludf.DUMMYFUNCTION("""COMPUTED_VALUE"""),"%")</f>
        <v>%</v>
      </c>
      <c r="M809" s="49">
        <f>IFERROR(__xludf.DUMMYFUNCTION("""COMPUTED_VALUE"""),1.0)</f>
        <v>1</v>
      </c>
      <c r="N809" s="50" t="str">
        <f>IFERROR(__xludf.DUMMYFUNCTION("""COMPUTED_VALUE"""),"A217")</f>
        <v>A217</v>
      </c>
      <c r="O809" s="38" t="str">
        <f>IFERROR(__xludf.DUMMYFUNCTION("""COMPUTED_VALUE"""),"")</f>
        <v/>
      </c>
      <c r="P809" s="45">
        <f>IFERROR(__xludf.DUMMYFUNCTION("""COMPUTED_VALUE"""),83.4)</f>
        <v>83.4</v>
      </c>
      <c r="Q809" s="46" t="str">
        <f>IFERROR(__xludf.DUMMYFUNCTION("""COMPUTED_VALUE"""),"AP")</f>
        <v>AP</v>
      </c>
      <c r="R809" s="47">
        <f>IFERROR(__xludf.DUMMYFUNCTION("""COMPUTED_VALUE"""),25.2)</f>
        <v>25.2</v>
      </c>
      <c r="S809" s="48" t="str">
        <f>IFERROR(__xludf.DUMMYFUNCTION("""COMPUTED_VALUE"""),"%")</f>
        <v>%</v>
      </c>
      <c r="T809" s="49">
        <f>IFERROR(__xludf.DUMMYFUNCTION("""COMPUTED_VALUE"""),2.0)</f>
        <v>2</v>
      </c>
      <c r="U809" s="50" t="str">
        <f>IFERROR(__xludf.DUMMYFUNCTION("""COMPUTED_VALUE"""),"B116")</f>
        <v>B116</v>
      </c>
      <c r="V809" s="38" t="str">
        <f>IFERROR(__xludf.DUMMYFUNCTION("""COMPUTED_VALUE"""),"")</f>
        <v/>
      </c>
      <c r="W809" s="45">
        <f>IFERROR(__xludf.DUMMYFUNCTION("""COMPUTED_VALUE"""),133.2)</f>
        <v>133.2</v>
      </c>
      <c r="X809" s="46" t="str">
        <f>IFERROR(__xludf.DUMMYFUNCTION("""COMPUTED_VALUE"""),"AP")</f>
        <v>AP</v>
      </c>
      <c r="Y809" s="47">
        <f>IFERROR(__xludf.DUMMYFUNCTION("""COMPUTED_VALUE"""),15.8)</f>
        <v>15.8</v>
      </c>
      <c r="Z809" s="48" t="str">
        <f>IFERROR(__xludf.DUMMYFUNCTION("""COMPUTED_VALUE"""),"%")</f>
        <v>%</v>
      </c>
      <c r="AA809" s="49">
        <f>IFERROR(__xludf.DUMMYFUNCTION("""COMPUTED_VALUE"""),3.0)</f>
        <v>3</v>
      </c>
      <c r="AB809" s="50"/>
      <c r="AC809" s="38"/>
      <c r="AD809" s="45" t="str">
        <f>IFERROR(__xludf.DUMMYFUNCTION("""COMPUTED_VALUE"""),"")</f>
        <v/>
      </c>
      <c r="AE809" s="46" t="str">
        <f>IFERROR(__xludf.DUMMYFUNCTION("""COMPUTED_VALUE"""),"AP")</f>
        <v>AP</v>
      </c>
      <c r="AF809" s="47" t="str">
        <f>IFERROR(__xludf.DUMMYFUNCTION("""COMPUTED_VALUE"""),"")</f>
        <v/>
      </c>
      <c r="AG809" s="48" t="str">
        <f>IFERROR(__xludf.DUMMYFUNCTION("""COMPUTED_VALUE"""),"%")</f>
        <v>%</v>
      </c>
      <c r="AH809" s="43">
        <f>IFERROR(__xludf.DUMMYFUNCTION("""COMPUTED_VALUE"""),21.0)</f>
        <v>21</v>
      </c>
      <c r="AI809" s="44">
        <f>IFERROR(__xludf.DUMMYFUNCTION("""COMPUTED_VALUE"""),4926.0)</f>
        <v>4926</v>
      </c>
      <c r="AJ809" s="51" t="str">
        <f>IFERROR(__xludf.DUMMYFUNCTION("""COMPUTED_VALUE"""),"隠遁窟")</f>
        <v>隠遁窟</v>
      </c>
    </row>
    <row r="810" ht="24.75" customHeight="1">
      <c r="A810" s="28">
        <f>IFERROR(__xludf.DUMMYFUNCTION("""COMPUTED_VALUE"""),3.0)</f>
        <v>3</v>
      </c>
      <c r="B810" s="28" t="str">
        <f>IFERROR(__xludf.DUMMYFUNCTION("""COMPUTED_VALUE"""),"A107")</f>
        <v>A107</v>
      </c>
      <c r="C810" s="28" t="str">
        <f>IFERROR(__xludf.DUMMYFUNCTION("""COMPUTED_VALUE"""),"BBL2")</f>
        <v>BBL2</v>
      </c>
      <c r="D810" s="29" t="str">
        <f>IFERROR(__xludf.DUMMYFUNCTION("""COMPUTED_VALUE"""),"Babylonia")</f>
        <v>Babylonia</v>
      </c>
      <c r="E810" s="30" t="str">
        <f>IFERROR(__xludf.DUMMYFUNCTION("""COMPUTED_VALUE"""),"Northern Hill")</f>
        <v>Northern Hill</v>
      </c>
      <c r="F810" s="31">
        <f>IFERROR(__xludf.DUMMYFUNCTION("""COMPUTED_VALUE"""),20.0)</f>
        <v>20</v>
      </c>
      <c r="G810" s="32">
        <f>IFERROR(__xludf.DUMMYFUNCTION("""COMPUTED_VALUE"""),14135.0)</f>
        <v>14135</v>
      </c>
      <c r="H810" s="33" t="str">
        <f>IFERROR(__xludf.DUMMYFUNCTION("""COMPUTED_VALUE"""),"")</f>
        <v/>
      </c>
      <c r="I810" s="34">
        <f>IFERROR(__xludf.DUMMYFUNCTION("""COMPUTED_VALUE"""),113.2)</f>
        <v>113.2</v>
      </c>
      <c r="J810" s="35" t="str">
        <f>IFERROR(__xludf.DUMMYFUNCTION("""COMPUTED_VALUE"""),"AP")</f>
        <v>AP</v>
      </c>
      <c r="K810" s="34">
        <f>IFERROR(__xludf.DUMMYFUNCTION("""COMPUTED_VALUE"""),17.7)</f>
        <v>17.7</v>
      </c>
      <c r="L810" s="35" t="str">
        <f>IFERROR(__xludf.DUMMYFUNCTION("""COMPUTED_VALUE"""),"%")</f>
        <v>%</v>
      </c>
      <c r="M810" s="36">
        <f>IFERROR(__xludf.DUMMYFUNCTION("""COMPUTED_VALUE"""),1.0)</f>
        <v>1</v>
      </c>
      <c r="N810" s="37" t="str">
        <f>IFERROR(__xludf.DUMMYFUNCTION("""COMPUTED_VALUE"""),"A201")</f>
        <v>A201</v>
      </c>
      <c r="O810" s="38" t="str">
        <f>IFERROR(__xludf.DUMMYFUNCTION("""COMPUTED_VALUE"""),"")</f>
        <v/>
      </c>
      <c r="P810" s="34">
        <f>IFERROR(__xludf.DUMMYFUNCTION("""COMPUTED_VALUE"""),80.2)</f>
        <v>80.2</v>
      </c>
      <c r="Q810" s="35" t="str">
        <f>IFERROR(__xludf.DUMMYFUNCTION("""COMPUTED_VALUE"""),"AP")</f>
        <v>AP</v>
      </c>
      <c r="R810" s="34">
        <f>IFERROR(__xludf.DUMMYFUNCTION("""COMPUTED_VALUE"""),24.9)</f>
        <v>24.9</v>
      </c>
      <c r="S810" s="35" t="str">
        <f>IFERROR(__xludf.DUMMYFUNCTION("""COMPUTED_VALUE"""),"%")</f>
        <v>%</v>
      </c>
      <c r="T810" s="36">
        <f>IFERROR(__xludf.DUMMYFUNCTION("""COMPUTED_VALUE"""),2.0)</f>
        <v>2</v>
      </c>
      <c r="U810" s="37" t="str">
        <f>IFERROR(__xludf.DUMMYFUNCTION("""COMPUTED_VALUE"""),"B116")</f>
        <v>B116</v>
      </c>
      <c r="V810" s="38" t="str">
        <f>IFERROR(__xludf.DUMMYFUNCTION("""COMPUTED_VALUE"""),"")</f>
        <v/>
      </c>
      <c r="W810" s="34">
        <f>IFERROR(__xludf.DUMMYFUNCTION("""COMPUTED_VALUE"""),250.4)</f>
        <v>250.4</v>
      </c>
      <c r="X810" s="35" t="str">
        <f>IFERROR(__xludf.DUMMYFUNCTION("""COMPUTED_VALUE"""),"AP")</f>
        <v>AP</v>
      </c>
      <c r="Y810" s="34">
        <f>IFERROR(__xludf.DUMMYFUNCTION("""COMPUTED_VALUE"""),8.0)</f>
        <v>8</v>
      </c>
      <c r="Z810" s="35" t="str">
        <f>IFERROR(__xludf.DUMMYFUNCTION("""COMPUTED_VALUE"""),"%")</f>
        <v>%</v>
      </c>
      <c r="AA810" s="36">
        <f>IFERROR(__xludf.DUMMYFUNCTION("""COMPUTED_VALUE"""),3.0)</f>
        <v>3</v>
      </c>
      <c r="AB810" s="37"/>
      <c r="AC810" s="38"/>
      <c r="AD810" s="34" t="str">
        <f>IFERROR(__xludf.DUMMYFUNCTION("""COMPUTED_VALUE"""),"")</f>
        <v/>
      </c>
      <c r="AE810" s="35" t="str">
        <f>IFERROR(__xludf.DUMMYFUNCTION("""COMPUTED_VALUE"""),"AP")</f>
        <v>AP</v>
      </c>
      <c r="AF810" s="34" t="str">
        <f>IFERROR(__xludf.DUMMYFUNCTION("""COMPUTED_VALUE"""),"")</f>
        <v/>
      </c>
      <c r="AG810" s="35" t="str">
        <f>IFERROR(__xludf.DUMMYFUNCTION("""COMPUTED_VALUE"""),"%")</f>
        <v>%</v>
      </c>
      <c r="AH810" s="31">
        <f>IFERROR(__xludf.DUMMYFUNCTION("""COMPUTED_VALUE"""),20.0)</f>
        <v>20</v>
      </c>
      <c r="AI810" s="32">
        <f>IFERROR(__xludf.DUMMYFUNCTION("""COMPUTED_VALUE"""),14135.0)</f>
        <v>14135</v>
      </c>
      <c r="AJ810" s="39" t="str">
        <f>IFERROR(__xludf.DUMMYFUNCTION("""COMPUTED_VALUE"""),"北の高台")</f>
        <v>北の高台</v>
      </c>
    </row>
    <row r="811" ht="24.75" customHeight="1">
      <c r="A811" s="40">
        <f>IFERROR(__xludf.DUMMYFUNCTION("""COMPUTED_VALUE"""),4.0)</f>
        <v>4</v>
      </c>
      <c r="B811" s="40" t="str">
        <f>IFERROR(__xludf.DUMMYFUNCTION("""COMPUTED_VALUE"""),"A107")</f>
        <v>A107</v>
      </c>
      <c r="C811" s="40" t="str">
        <f>IFERROR(__xludf.DUMMYFUNCTION("""COMPUTED_VALUE"""),"EPU9")</f>
        <v>EPU9</v>
      </c>
      <c r="D811" s="41" t="str">
        <f>IFERROR(__xludf.DUMMYFUNCTION("""COMPUTED_VALUE"""),"E Pluribus Unum")</f>
        <v>E Pluribus Unum</v>
      </c>
      <c r="E811" s="42" t="str">
        <f>IFERROR(__xludf.DUMMYFUNCTION("""COMPUTED_VALUE"""),"Lubbock")</f>
        <v>Lubbock</v>
      </c>
      <c r="F811" s="43">
        <f>IFERROR(__xludf.DUMMYFUNCTION("""COMPUTED_VALUE"""),18.0)</f>
        <v>18</v>
      </c>
      <c r="G811" s="44">
        <f>IFERROR(__xludf.DUMMYFUNCTION("""COMPUTED_VALUE"""),1005.0)</f>
        <v>1005</v>
      </c>
      <c r="H811" s="33" t="str">
        <f>IFERROR(__xludf.DUMMYFUNCTION("""COMPUTED_VALUE"""),"")</f>
        <v/>
      </c>
      <c r="I811" s="45">
        <f>IFERROR(__xludf.DUMMYFUNCTION("""COMPUTED_VALUE"""),145.9)</f>
        <v>145.9</v>
      </c>
      <c r="J811" s="46" t="str">
        <f>IFERROR(__xludf.DUMMYFUNCTION("""COMPUTED_VALUE"""),"AP")</f>
        <v>AP</v>
      </c>
      <c r="K811" s="47">
        <f>IFERROR(__xludf.DUMMYFUNCTION("""COMPUTED_VALUE"""),12.3)</f>
        <v>12.3</v>
      </c>
      <c r="L811" s="48" t="str">
        <f>IFERROR(__xludf.DUMMYFUNCTION("""COMPUTED_VALUE"""),"%")</f>
        <v>%</v>
      </c>
      <c r="M811" s="49">
        <f>IFERROR(__xludf.DUMMYFUNCTION("""COMPUTED_VALUE"""),1.0)</f>
        <v>1</v>
      </c>
      <c r="N811" s="50" t="str">
        <f>IFERROR(__xludf.DUMMYFUNCTION("""COMPUTED_VALUE"""),"A301")</f>
        <v>A301</v>
      </c>
      <c r="O811" s="38" t="str">
        <f>IFERROR(__xludf.DUMMYFUNCTION("""COMPUTED_VALUE"""),"")</f>
        <v/>
      </c>
      <c r="P811" s="45">
        <f>IFERROR(__xludf.DUMMYFUNCTION("""COMPUTED_VALUE"""),33.3)</f>
        <v>33.3</v>
      </c>
      <c r="Q811" s="46" t="str">
        <f>IFERROR(__xludf.DUMMYFUNCTION("""COMPUTED_VALUE"""),"AP")</f>
        <v>AP</v>
      </c>
      <c r="R811" s="47">
        <f>IFERROR(__xludf.DUMMYFUNCTION("""COMPUTED_VALUE"""),54.1)</f>
        <v>54.1</v>
      </c>
      <c r="S811" s="48" t="str">
        <f>IFERROR(__xludf.DUMMYFUNCTION("""COMPUTED_VALUE"""),"%")</f>
        <v>%</v>
      </c>
      <c r="T811" s="49">
        <f>IFERROR(__xludf.DUMMYFUNCTION("""COMPUTED_VALUE"""),2.0)</f>
        <v>2</v>
      </c>
      <c r="U811" s="50" t="str">
        <f>IFERROR(__xludf.DUMMYFUNCTION("""COMPUTED_VALUE"""),"B116")</f>
        <v>B116</v>
      </c>
      <c r="V811" s="38" t="str">
        <f>IFERROR(__xludf.DUMMYFUNCTION("""COMPUTED_VALUE"""),"")</f>
        <v/>
      </c>
      <c r="W811" s="45">
        <f>IFERROR(__xludf.DUMMYFUNCTION("""COMPUTED_VALUE"""),218.0)</f>
        <v>218</v>
      </c>
      <c r="X811" s="46" t="str">
        <f>IFERROR(__xludf.DUMMYFUNCTION("""COMPUTED_VALUE"""),"AP")</f>
        <v>AP</v>
      </c>
      <c r="Y811" s="47">
        <f>IFERROR(__xludf.DUMMYFUNCTION("""COMPUTED_VALUE"""),8.3)</f>
        <v>8.3</v>
      </c>
      <c r="Z811" s="48" t="str">
        <f>IFERROR(__xludf.DUMMYFUNCTION("""COMPUTED_VALUE"""),"%")</f>
        <v>%</v>
      </c>
      <c r="AA811" s="49">
        <f>IFERROR(__xludf.DUMMYFUNCTION("""COMPUTED_VALUE"""),3.0)</f>
        <v>3</v>
      </c>
      <c r="AB811" s="50"/>
      <c r="AC811" s="38"/>
      <c r="AD811" s="45" t="str">
        <f>IFERROR(__xludf.DUMMYFUNCTION("""COMPUTED_VALUE"""),"")</f>
        <v/>
      </c>
      <c r="AE811" s="46" t="str">
        <f>IFERROR(__xludf.DUMMYFUNCTION("""COMPUTED_VALUE"""),"AP")</f>
        <v>AP</v>
      </c>
      <c r="AF811" s="47" t="str">
        <f>IFERROR(__xludf.DUMMYFUNCTION("""COMPUTED_VALUE"""),"")</f>
        <v/>
      </c>
      <c r="AG811" s="48" t="str">
        <f>IFERROR(__xludf.DUMMYFUNCTION("""COMPUTED_VALUE"""),"%")</f>
        <v>%</v>
      </c>
      <c r="AH811" s="43">
        <f>IFERROR(__xludf.DUMMYFUNCTION("""COMPUTED_VALUE"""),18.0)</f>
        <v>18</v>
      </c>
      <c r="AI811" s="44">
        <f>IFERROR(__xludf.DUMMYFUNCTION("""COMPUTED_VALUE"""),1005.0)</f>
        <v>1005</v>
      </c>
      <c r="AJ811" s="51" t="str">
        <f>IFERROR(__xludf.DUMMYFUNCTION("""COMPUTED_VALUE"""),"ラボック")</f>
        <v>ラボック</v>
      </c>
    </row>
    <row r="812" ht="24.75" customHeight="1">
      <c r="A812" s="28">
        <f>IFERROR(__xludf.DUMMYFUNCTION("""COMPUTED_VALUE"""),5.0)</f>
        <v>5</v>
      </c>
      <c r="B812" s="28" t="str">
        <f>IFERROR(__xludf.DUMMYFUNCTION("""COMPUTED_VALUE"""),"A107")</f>
        <v>A107</v>
      </c>
      <c r="C812" s="28" t="str">
        <f>IFERROR(__xludf.DUMMYFUNCTION("""COMPUTED_VALUE"""),"HEA2")</f>
        <v>HEA2</v>
      </c>
      <c r="D812" s="29" t="str">
        <f>IFERROR(__xludf.DUMMYFUNCTION("""COMPUTED_VALUE"""),"Heian-kyo")</f>
        <v>Heian-kyo</v>
      </c>
      <c r="E812" s="30" t="str">
        <f>IFERROR(__xludf.DUMMYFUNCTION("""COMPUTED_VALUE"""),"Jō Seven, Bō Two")</f>
        <v>Jō Seven, Bō Two</v>
      </c>
      <c r="F812" s="31">
        <f>IFERROR(__xludf.DUMMYFUNCTION("""COMPUTED_VALUE"""),21.0)</f>
        <v>21</v>
      </c>
      <c r="G812" s="32">
        <f>IFERROR(__xludf.DUMMYFUNCTION("""COMPUTED_VALUE"""),1000.0)</f>
        <v>1000</v>
      </c>
      <c r="H812" s="33" t="str">
        <f>IFERROR(__xludf.DUMMYFUNCTION("""COMPUTED_VALUE"""),"")</f>
        <v/>
      </c>
      <c r="I812" s="34">
        <f>IFERROR(__xludf.DUMMYFUNCTION("""COMPUTED_VALUE"""),151.1)</f>
        <v>151.1</v>
      </c>
      <c r="J812" s="35" t="str">
        <f>IFERROR(__xludf.DUMMYFUNCTION("""COMPUTED_VALUE"""),"AP")</f>
        <v>AP</v>
      </c>
      <c r="K812" s="34">
        <f>IFERROR(__xludf.DUMMYFUNCTION("""COMPUTED_VALUE"""),13.9)</f>
        <v>13.9</v>
      </c>
      <c r="L812" s="35" t="str">
        <f>IFERROR(__xludf.DUMMYFUNCTION("""COMPUTED_VALUE"""),"%")</f>
        <v>%</v>
      </c>
      <c r="M812" s="36">
        <f>IFERROR(__xludf.DUMMYFUNCTION("""COMPUTED_VALUE"""),1.0)</f>
        <v>1</v>
      </c>
      <c r="N812" s="37" t="str">
        <f>IFERROR(__xludf.DUMMYFUNCTION("""COMPUTED_VALUE"""),"A220")</f>
        <v>A220</v>
      </c>
      <c r="O812" s="38" t="str">
        <f>IFERROR(__xludf.DUMMYFUNCTION("""COMPUTED_VALUE"""),"")</f>
        <v/>
      </c>
      <c r="P812" s="34">
        <f>IFERROR(__xludf.DUMMYFUNCTION("""COMPUTED_VALUE"""),102.9)</f>
        <v>102.9</v>
      </c>
      <c r="Q812" s="35" t="str">
        <f>IFERROR(__xludf.DUMMYFUNCTION("""COMPUTED_VALUE"""),"AP")</f>
        <v>AP</v>
      </c>
      <c r="R812" s="34">
        <f>IFERROR(__xludf.DUMMYFUNCTION("""COMPUTED_VALUE"""),20.4)</f>
        <v>20.4</v>
      </c>
      <c r="S812" s="35" t="str">
        <f>IFERROR(__xludf.DUMMYFUNCTION("""COMPUTED_VALUE"""),"%")</f>
        <v>%</v>
      </c>
      <c r="T812" s="36">
        <f>IFERROR(__xludf.DUMMYFUNCTION("""COMPUTED_VALUE"""),2.0)</f>
        <v>2</v>
      </c>
      <c r="U812" s="37" t="str">
        <f>IFERROR(__xludf.DUMMYFUNCTION("""COMPUTED_VALUE"""),"A304")</f>
        <v>A304</v>
      </c>
      <c r="V812" s="38" t="str">
        <f>IFERROR(__xludf.DUMMYFUNCTION("""COMPUTED_VALUE"""),"")</f>
        <v/>
      </c>
      <c r="W812" s="34">
        <f>IFERROR(__xludf.DUMMYFUNCTION("""COMPUTED_VALUE"""),73.7)</f>
        <v>73.7</v>
      </c>
      <c r="X812" s="35" t="str">
        <f>IFERROR(__xludf.DUMMYFUNCTION("""COMPUTED_VALUE"""),"AP")</f>
        <v>AP</v>
      </c>
      <c r="Y812" s="34">
        <f>IFERROR(__xludf.DUMMYFUNCTION("""COMPUTED_VALUE"""),28.5)</f>
        <v>28.5</v>
      </c>
      <c r="Z812" s="35" t="str">
        <f>IFERROR(__xludf.DUMMYFUNCTION("""COMPUTED_VALUE"""),"%")</f>
        <v>%</v>
      </c>
      <c r="AA812" s="36">
        <f>IFERROR(__xludf.DUMMYFUNCTION("""COMPUTED_VALUE"""),3.0)</f>
        <v>3</v>
      </c>
      <c r="AB812" s="37" t="str">
        <f>IFERROR(__xludf.DUMMYFUNCTION("""COMPUTED_VALUE"""),"B113")</f>
        <v>B113</v>
      </c>
      <c r="AC812" s="38" t="str">
        <f>IFERROR(__xludf.DUMMYFUNCTION("""COMPUTED_VALUE"""),"")</f>
        <v/>
      </c>
      <c r="AD812" s="34">
        <f>IFERROR(__xludf.DUMMYFUNCTION("""COMPUTED_VALUE"""),82.7)</f>
        <v>82.7</v>
      </c>
      <c r="AE812" s="35" t="str">
        <f>IFERROR(__xludf.DUMMYFUNCTION("""COMPUTED_VALUE"""),"AP")</f>
        <v>AP</v>
      </c>
      <c r="AF812" s="34">
        <f>IFERROR(__xludf.DUMMYFUNCTION("""COMPUTED_VALUE"""),25.4)</f>
        <v>25.4</v>
      </c>
      <c r="AG812" s="35" t="str">
        <f>IFERROR(__xludf.DUMMYFUNCTION("""COMPUTED_VALUE"""),"%")</f>
        <v>%</v>
      </c>
      <c r="AH812" s="31">
        <f>IFERROR(__xludf.DUMMYFUNCTION("""COMPUTED_VALUE"""),21.0)</f>
        <v>21</v>
      </c>
      <c r="AI812" s="32">
        <f>IFERROR(__xludf.DUMMYFUNCTION("""COMPUTED_VALUE"""),1000.0)</f>
        <v>1000</v>
      </c>
      <c r="AJ812" s="39" t="str">
        <f>IFERROR(__xludf.DUMMYFUNCTION("""COMPUTED_VALUE"""),"七条二坊")</f>
        <v>七条二坊</v>
      </c>
    </row>
    <row r="813" ht="24.75" customHeight="1">
      <c r="A813" s="40">
        <f>IFERROR(__xludf.DUMMYFUNCTION("""COMPUTED_VALUE"""),6.0)</f>
        <v>6</v>
      </c>
      <c r="B813" s="40" t="str">
        <f>IFERROR(__xludf.DUMMYFUNCTION("""COMPUTED_VALUE"""),"A107")</f>
        <v>A107</v>
      </c>
      <c r="C813" s="40" t="str">
        <f>IFERROR(__xludf.DUMMYFUNCTION("""COMPUTED_VALUE"""),"TRF24")</f>
        <v>TRF24</v>
      </c>
      <c r="D813" s="41" t="str">
        <f>IFERROR(__xludf.DUMMYFUNCTION("""COMPUTED_VALUE"""),"Chaldea Gate (Sat)")</f>
        <v>Chaldea Gate (Sat)</v>
      </c>
      <c r="E813" s="42" t="str">
        <f>IFERROR(__xludf.DUMMYFUNCTION("""COMPUTED_VALUE"""),"SAT Assassin Training Ground- Exp")</f>
        <v>SAT Assassin Training Ground- Exp</v>
      </c>
      <c r="F813" s="43">
        <f>IFERROR(__xludf.DUMMYFUNCTION("""COMPUTED_VALUE"""),40.0)</f>
        <v>40</v>
      </c>
      <c r="G813" s="44">
        <f>IFERROR(__xludf.DUMMYFUNCTION("""COMPUTED_VALUE"""),6919.0)</f>
        <v>6919</v>
      </c>
      <c r="H813" s="33" t="str">
        <f>IFERROR(__xludf.DUMMYFUNCTION("""COMPUTED_VALUE"""),"")</f>
        <v/>
      </c>
      <c r="I813" s="45">
        <f>IFERROR(__xludf.DUMMYFUNCTION("""COMPUTED_VALUE"""),333.0)</f>
        <v>333</v>
      </c>
      <c r="J813" s="46" t="str">
        <f>IFERROR(__xludf.DUMMYFUNCTION("""COMPUTED_VALUE"""),"AP")</f>
        <v>AP</v>
      </c>
      <c r="K813" s="47">
        <f>IFERROR(__xludf.DUMMYFUNCTION("""COMPUTED_VALUE"""),12.0)</f>
        <v>12</v>
      </c>
      <c r="L813" s="48" t="str">
        <f>IFERROR(__xludf.DUMMYFUNCTION("""COMPUTED_VALUE"""),"%")</f>
        <v>%</v>
      </c>
      <c r="M813" s="49">
        <f>IFERROR(__xludf.DUMMYFUNCTION("""COMPUTED_VALUE"""),1.0)</f>
        <v>1</v>
      </c>
      <c r="N813" s="50" t="str">
        <f>IFERROR(__xludf.DUMMYFUNCTION("""COMPUTED_VALUE"""),"A201")</f>
        <v>A201</v>
      </c>
      <c r="O813" s="38" t="str">
        <f>IFERROR(__xludf.DUMMYFUNCTION("""COMPUTED_VALUE"""),"")</f>
        <v/>
      </c>
      <c r="P813" s="45">
        <f>IFERROR(__xludf.DUMMYFUNCTION("""COMPUTED_VALUE"""),128.0)</f>
        <v>128</v>
      </c>
      <c r="Q813" s="46" t="str">
        <f>IFERROR(__xludf.DUMMYFUNCTION("""COMPUTED_VALUE"""),"AP")</f>
        <v>AP</v>
      </c>
      <c r="R813" s="47">
        <f>IFERROR(__xludf.DUMMYFUNCTION("""COMPUTED_VALUE"""),31.3)</f>
        <v>31.3</v>
      </c>
      <c r="S813" s="48" t="str">
        <f>IFERROR(__xludf.DUMMYFUNCTION("""COMPUTED_VALUE"""),"%")</f>
        <v>%</v>
      </c>
      <c r="T813" s="49">
        <f>IFERROR(__xludf.DUMMYFUNCTION("""COMPUTED_VALUE"""),2.0)</f>
        <v>2</v>
      </c>
      <c r="U813" s="50" t="str">
        <f>IFERROR(__xludf.DUMMYFUNCTION("""COMPUTED_VALUE"""),"A202")</f>
        <v>A202</v>
      </c>
      <c r="V813" s="38" t="str">
        <f>IFERROR(__xludf.DUMMYFUNCTION("""COMPUTED_VALUE"""),"")</f>
        <v/>
      </c>
      <c r="W813" s="45">
        <f>IFERROR(__xludf.DUMMYFUNCTION("""COMPUTED_VALUE"""),217.2)</f>
        <v>217.2</v>
      </c>
      <c r="X813" s="46" t="str">
        <f>IFERROR(__xludf.DUMMYFUNCTION("""COMPUTED_VALUE"""),"AP")</f>
        <v>AP</v>
      </c>
      <c r="Y813" s="47">
        <f>IFERROR(__xludf.DUMMYFUNCTION("""COMPUTED_VALUE"""),18.4)</f>
        <v>18.4</v>
      </c>
      <c r="Z813" s="48" t="str">
        <f>IFERROR(__xludf.DUMMYFUNCTION("""COMPUTED_VALUE"""),"%")</f>
        <v>%</v>
      </c>
      <c r="AA813" s="49">
        <f>IFERROR(__xludf.DUMMYFUNCTION("""COMPUTED_VALUE"""),3.0)</f>
        <v>3</v>
      </c>
      <c r="AB813" s="50" t="str">
        <f>IFERROR(__xludf.DUMMYFUNCTION("""COMPUTED_VALUE"""),"A206")</f>
        <v>A206</v>
      </c>
      <c r="AC813" s="38" t="str">
        <f>IFERROR(__xludf.DUMMYFUNCTION("""COMPUTED_VALUE"""),"")</f>
        <v/>
      </c>
      <c r="AD813" s="45">
        <f>IFERROR(__xludf.DUMMYFUNCTION("""COMPUTED_VALUE"""),4555.3)</f>
        <v>4555.3</v>
      </c>
      <c r="AE813" s="46" t="str">
        <f>IFERROR(__xludf.DUMMYFUNCTION("""COMPUTED_VALUE"""),"AP")</f>
        <v>AP</v>
      </c>
      <c r="AF813" s="47">
        <f>IFERROR(__xludf.DUMMYFUNCTION("""COMPUTED_VALUE"""),0.9)</f>
        <v>0.9</v>
      </c>
      <c r="AG813" s="48" t="str">
        <f>IFERROR(__xludf.DUMMYFUNCTION("""COMPUTED_VALUE"""),"%")</f>
        <v>%</v>
      </c>
      <c r="AH813" s="43">
        <f>IFERROR(__xludf.DUMMYFUNCTION("""COMPUTED_VALUE"""),40.0)</f>
        <v>40</v>
      </c>
      <c r="AI813" s="44">
        <f>IFERROR(__xludf.DUMMYFUNCTION("""COMPUTED_VALUE"""),6919.0)</f>
        <v>6919</v>
      </c>
      <c r="AJ813" s="51" t="str">
        <f>IFERROR(__xludf.DUMMYFUNCTION("""COMPUTED_VALUE"""),"殺超級")</f>
        <v>殺超級</v>
      </c>
    </row>
    <row r="814" ht="24.75" customHeight="1">
      <c r="A814" s="28">
        <f>IFERROR(__xludf.DUMMYFUNCTION("""COMPUTED_VALUE"""),7.0)</f>
        <v>7</v>
      </c>
      <c r="B814" s="28" t="str">
        <f>IFERROR(__xludf.DUMMYFUNCTION("""COMPUTED_VALUE"""),"A107")</f>
        <v>A107</v>
      </c>
      <c r="C814" s="28" t="str">
        <f>IFERROR(__xludf.DUMMYFUNCTION("""COMPUTED_VALUE"""),"TRF23")</f>
        <v>TRF23</v>
      </c>
      <c r="D814" s="29" t="str">
        <f>IFERROR(__xludf.DUMMYFUNCTION("""COMPUTED_VALUE"""),"Chaldea Gate (Sat)")</f>
        <v>Chaldea Gate (Sat)</v>
      </c>
      <c r="E814" s="30" t="str">
        <f>IFERROR(__xludf.DUMMYFUNCTION("""COMPUTED_VALUE"""),"SAT Assassin Training Ground- Adv")</f>
        <v>SAT Assassin Training Ground- Adv</v>
      </c>
      <c r="F814" s="31">
        <f>IFERROR(__xludf.DUMMYFUNCTION("""COMPUTED_VALUE"""),30.0)</f>
        <v>30</v>
      </c>
      <c r="G814" s="32">
        <f>IFERROR(__xludf.DUMMYFUNCTION("""COMPUTED_VALUE"""),1209.0)</f>
        <v>1209</v>
      </c>
      <c r="H814" s="33" t="str">
        <f>IFERROR(__xludf.DUMMYFUNCTION("""COMPUTED_VALUE"""),"")</f>
        <v/>
      </c>
      <c r="I814" s="34">
        <f>IFERROR(__xludf.DUMMYFUNCTION("""COMPUTED_VALUE"""),510.8)</f>
        <v>510.8</v>
      </c>
      <c r="J814" s="35" t="str">
        <f>IFERROR(__xludf.DUMMYFUNCTION("""COMPUTED_VALUE"""),"AP")</f>
        <v>AP</v>
      </c>
      <c r="K814" s="34">
        <f>IFERROR(__xludf.DUMMYFUNCTION("""COMPUTED_VALUE"""),5.9)</f>
        <v>5.9</v>
      </c>
      <c r="L814" s="35" t="str">
        <f>IFERROR(__xludf.DUMMYFUNCTION("""COMPUTED_VALUE"""),"%")</f>
        <v>%</v>
      </c>
      <c r="M814" s="36">
        <f>IFERROR(__xludf.DUMMYFUNCTION("""COMPUTED_VALUE"""),1.0)</f>
        <v>1</v>
      </c>
      <c r="N814" s="37" t="str">
        <f>IFERROR(__xludf.DUMMYFUNCTION("""COMPUTED_VALUE"""),"A201")</f>
        <v>A201</v>
      </c>
      <c r="O814" s="38" t="str">
        <f>IFERROR(__xludf.DUMMYFUNCTION("""COMPUTED_VALUE"""),"")</f>
        <v/>
      </c>
      <c r="P814" s="34">
        <f>IFERROR(__xludf.DUMMYFUNCTION("""COMPUTED_VALUE"""),191.9)</f>
        <v>191.9</v>
      </c>
      <c r="Q814" s="35" t="str">
        <f>IFERROR(__xludf.DUMMYFUNCTION("""COMPUTED_VALUE"""),"AP")</f>
        <v>AP</v>
      </c>
      <c r="R814" s="34">
        <f>IFERROR(__xludf.DUMMYFUNCTION("""COMPUTED_VALUE"""),15.6)</f>
        <v>15.6</v>
      </c>
      <c r="S814" s="35" t="str">
        <f>IFERROR(__xludf.DUMMYFUNCTION("""COMPUTED_VALUE"""),"%")</f>
        <v>%</v>
      </c>
      <c r="T814" s="36">
        <f>IFERROR(__xludf.DUMMYFUNCTION("""COMPUTED_VALUE"""),2.0)</f>
        <v>2</v>
      </c>
      <c r="U814" s="37" t="str">
        <f>IFERROR(__xludf.DUMMYFUNCTION("""COMPUTED_VALUE"""),"A202")</f>
        <v>A202</v>
      </c>
      <c r="V814" s="38" t="str">
        <f>IFERROR(__xludf.DUMMYFUNCTION("""COMPUTED_VALUE"""),"")</f>
        <v/>
      </c>
      <c r="W814" s="34">
        <f>IFERROR(__xludf.DUMMYFUNCTION("""COMPUTED_VALUE"""),186.0)</f>
        <v>186</v>
      </c>
      <c r="X814" s="35" t="str">
        <f>IFERROR(__xludf.DUMMYFUNCTION("""COMPUTED_VALUE"""),"AP")</f>
        <v>AP</v>
      </c>
      <c r="Y814" s="34">
        <f>IFERROR(__xludf.DUMMYFUNCTION("""COMPUTED_VALUE"""),16.1)</f>
        <v>16.1</v>
      </c>
      <c r="Z814" s="35" t="str">
        <f>IFERROR(__xludf.DUMMYFUNCTION("""COMPUTED_VALUE"""),"%")</f>
        <v>%</v>
      </c>
      <c r="AA814" s="36">
        <f>IFERROR(__xludf.DUMMYFUNCTION("""COMPUTED_VALUE"""),3.0)</f>
        <v>3</v>
      </c>
      <c r="AB814" s="37" t="str">
        <f>IFERROR(__xludf.DUMMYFUNCTION("""COMPUTED_VALUE"""),"A206")</f>
        <v>A206</v>
      </c>
      <c r="AC814" s="38" t="str">
        <f>IFERROR(__xludf.DUMMYFUNCTION("""COMPUTED_VALUE"""),"")</f>
        <v/>
      </c>
      <c r="AD814" s="34">
        <f>IFERROR(__xludf.DUMMYFUNCTION("""COMPUTED_VALUE"""),188.9)</f>
        <v>188.9</v>
      </c>
      <c r="AE814" s="35" t="str">
        <f>IFERROR(__xludf.DUMMYFUNCTION("""COMPUTED_VALUE"""),"AP")</f>
        <v>AP</v>
      </c>
      <c r="AF814" s="34">
        <f>IFERROR(__xludf.DUMMYFUNCTION("""COMPUTED_VALUE"""),15.9)</f>
        <v>15.9</v>
      </c>
      <c r="AG814" s="35" t="str">
        <f>IFERROR(__xludf.DUMMYFUNCTION("""COMPUTED_VALUE"""),"%")</f>
        <v>%</v>
      </c>
      <c r="AH814" s="31">
        <f>IFERROR(__xludf.DUMMYFUNCTION("""COMPUTED_VALUE"""),30.0)</f>
        <v>30</v>
      </c>
      <c r="AI814" s="32">
        <f>IFERROR(__xludf.DUMMYFUNCTION("""COMPUTED_VALUE"""),1209.0)</f>
        <v>1209</v>
      </c>
      <c r="AJ814" s="39" t="str">
        <f>IFERROR(__xludf.DUMMYFUNCTION("""COMPUTED_VALUE"""),"殺上級")</f>
        <v>殺上級</v>
      </c>
    </row>
    <row r="815" ht="24.75" customHeight="1">
      <c r="A815" s="40">
        <f>IFERROR(__xludf.DUMMYFUNCTION("""COMPUTED_VALUE"""),8.0)</f>
        <v>8</v>
      </c>
      <c r="B815" s="40" t="str">
        <f>IFERROR(__xludf.DUMMYFUNCTION("""COMPUTED_VALUE"""),"A107")</f>
        <v>A107</v>
      </c>
      <c r="C815" s="40"/>
      <c r="D815" s="41"/>
      <c r="E815" s="66"/>
      <c r="F815" s="43"/>
      <c r="G815" s="44"/>
      <c r="H815" s="33" t="str">
        <f>IFERROR(__xludf.DUMMYFUNCTION("""COMPUTED_VALUE""")," ")</f>
        <v> </v>
      </c>
      <c r="I815" s="45"/>
      <c r="J815" s="46" t="str">
        <f>IFERROR(__xludf.DUMMYFUNCTION("""COMPUTED_VALUE"""),"AP")</f>
        <v>AP</v>
      </c>
      <c r="K815" s="47"/>
      <c r="L815" s="48" t="str">
        <f>IFERROR(__xludf.DUMMYFUNCTION("""COMPUTED_VALUE"""),"%")</f>
        <v>%</v>
      </c>
      <c r="M815" s="49">
        <f>IFERROR(__xludf.DUMMYFUNCTION("""COMPUTED_VALUE"""),1.0)</f>
        <v>1</v>
      </c>
      <c r="N815" s="50"/>
      <c r="O815" s="38"/>
      <c r="P815" s="45" t="str">
        <f>IFERROR(__xludf.DUMMYFUNCTION("""COMPUTED_VALUE"""),"")</f>
        <v/>
      </c>
      <c r="Q815" s="46" t="str">
        <f>IFERROR(__xludf.DUMMYFUNCTION("""COMPUTED_VALUE"""),"AP")</f>
        <v>AP</v>
      </c>
      <c r="R815" s="47" t="str">
        <f>IFERROR(__xludf.DUMMYFUNCTION("""COMPUTED_VALUE"""),"")</f>
        <v/>
      </c>
      <c r="S815" s="48" t="str">
        <f>IFERROR(__xludf.DUMMYFUNCTION("""COMPUTED_VALUE"""),"%")</f>
        <v>%</v>
      </c>
      <c r="T815" s="49">
        <f>IFERROR(__xludf.DUMMYFUNCTION("""COMPUTED_VALUE"""),2.0)</f>
        <v>2</v>
      </c>
      <c r="U815" s="50"/>
      <c r="V815" s="38"/>
      <c r="W815" s="45" t="str">
        <f>IFERROR(__xludf.DUMMYFUNCTION("""COMPUTED_VALUE"""),"")</f>
        <v/>
      </c>
      <c r="X815" s="46" t="str">
        <f>IFERROR(__xludf.DUMMYFUNCTION("""COMPUTED_VALUE"""),"AP")</f>
        <v>AP</v>
      </c>
      <c r="Y815" s="47" t="str">
        <f>IFERROR(__xludf.DUMMYFUNCTION("""COMPUTED_VALUE"""),"")</f>
        <v/>
      </c>
      <c r="Z815" s="48" t="str">
        <f>IFERROR(__xludf.DUMMYFUNCTION("""COMPUTED_VALUE"""),"%")</f>
        <v>%</v>
      </c>
      <c r="AA815" s="49">
        <f>IFERROR(__xludf.DUMMYFUNCTION("""COMPUTED_VALUE"""),3.0)</f>
        <v>3</v>
      </c>
      <c r="AB815" s="50"/>
      <c r="AC815" s="38"/>
      <c r="AD815" s="45" t="str">
        <f>IFERROR(__xludf.DUMMYFUNCTION("""COMPUTED_VALUE"""),"")</f>
        <v/>
      </c>
      <c r="AE815" s="46" t="str">
        <f>IFERROR(__xludf.DUMMYFUNCTION("""COMPUTED_VALUE"""),"AP")</f>
        <v>AP</v>
      </c>
      <c r="AF815" s="47" t="str">
        <f>IFERROR(__xludf.DUMMYFUNCTION("""COMPUTED_VALUE"""),"")</f>
        <v/>
      </c>
      <c r="AG815" s="48" t="str">
        <f>IFERROR(__xludf.DUMMYFUNCTION("""COMPUTED_VALUE"""),"%")</f>
        <v>%</v>
      </c>
      <c r="AH815" s="43"/>
      <c r="AI815" s="44"/>
      <c r="AJ815" s="51"/>
    </row>
    <row r="816" ht="24.75" hidden="1" customHeight="1">
      <c r="A816" s="28">
        <f>IFERROR(__xludf.DUMMYFUNCTION("""COMPUTED_VALUE"""),9.0)</f>
        <v>9</v>
      </c>
      <c r="B816" s="28" t="str">
        <f>IFERROR(__xludf.DUMMYFUNCTION("""COMPUTED_VALUE"""),"A107")</f>
        <v>A107</v>
      </c>
      <c r="C816" s="28"/>
      <c r="D816" s="29"/>
      <c r="E816" s="67"/>
      <c r="F816" s="31"/>
      <c r="G816" s="32"/>
      <c r="H816" s="33" t="str">
        <f>IFERROR(__xludf.DUMMYFUNCTION("""COMPUTED_VALUE""")," ")</f>
        <v> </v>
      </c>
      <c r="I816" s="34"/>
      <c r="J816" s="35" t="str">
        <f>IFERROR(__xludf.DUMMYFUNCTION("""COMPUTED_VALUE"""),"AP")</f>
        <v>AP</v>
      </c>
      <c r="K816" s="34"/>
      <c r="L816" s="35" t="str">
        <f>IFERROR(__xludf.DUMMYFUNCTION("""COMPUTED_VALUE"""),"%")</f>
        <v>%</v>
      </c>
      <c r="M816" s="36">
        <f>IFERROR(__xludf.DUMMYFUNCTION("""COMPUTED_VALUE"""),1.0)</f>
        <v>1</v>
      </c>
      <c r="N816" s="37"/>
      <c r="O816" s="38"/>
      <c r="P816" s="34" t="str">
        <f>IFERROR(__xludf.DUMMYFUNCTION("""COMPUTED_VALUE"""),"")</f>
        <v/>
      </c>
      <c r="Q816" s="35" t="str">
        <f>IFERROR(__xludf.DUMMYFUNCTION("""COMPUTED_VALUE"""),"AP")</f>
        <v>AP</v>
      </c>
      <c r="R816" s="34" t="str">
        <f>IFERROR(__xludf.DUMMYFUNCTION("""COMPUTED_VALUE"""),"")</f>
        <v/>
      </c>
      <c r="S816" s="35" t="str">
        <f>IFERROR(__xludf.DUMMYFUNCTION("""COMPUTED_VALUE"""),"%")</f>
        <v>%</v>
      </c>
      <c r="T816" s="36">
        <f>IFERROR(__xludf.DUMMYFUNCTION("""COMPUTED_VALUE"""),2.0)</f>
        <v>2</v>
      </c>
      <c r="U816" s="37"/>
      <c r="V816" s="38"/>
      <c r="W816" s="34" t="str">
        <f>IFERROR(__xludf.DUMMYFUNCTION("""COMPUTED_VALUE"""),"")</f>
        <v/>
      </c>
      <c r="X816" s="35" t="str">
        <f>IFERROR(__xludf.DUMMYFUNCTION("""COMPUTED_VALUE"""),"AP")</f>
        <v>AP</v>
      </c>
      <c r="Y816" s="34" t="str">
        <f>IFERROR(__xludf.DUMMYFUNCTION("""COMPUTED_VALUE"""),"")</f>
        <v/>
      </c>
      <c r="Z816" s="35" t="str">
        <f>IFERROR(__xludf.DUMMYFUNCTION("""COMPUTED_VALUE"""),"%")</f>
        <v>%</v>
      </c>
      <c r="AA816" s="36">
        <f>IFERROR(__xludf.DUMMYFUNCTION("""COMPUTED_VALUE"""),3.0)</f>
        <v>3</v>
      </c>
      <c r="AB816" s="37"/>
      <c r="AC816" s="38"/>
      <c r="AD816" s="34" t="str">
        <f>IFERROR(__xludf.DUMMYFUNCTION("""COMPUTED_VALUE"""),"")</f>
        <v/>
      </c>
      <c r="AE816" s="35" t="str">
        <f>IFERROR(__xludf.DUMMYFUNCTION("""COMPUTED_VALUE"""),"AP")</f>
        <v>AP</v>
      </c>
      <c r="AF816" s="34" t="str">
        <f>IFERROR(__xludf.DUMMYFUNCTION("""COMPUTED_VALUE"""),"")</f>
        <v/>
      </c>
      <c r="AG816" s="35" t="str">
        <f>IFERROR(__xludf.DUMMYFUNCTION("""COMPUTED_VALUE"""),"%")</f>
        <v>%</v>
      </c>
      <c r="AH816" s="31"/>
      <c r="AI816" s="32"/>
      <c r="AJ816" s="39"/>
    </row>
    <row r="817" ht="24.75" hidden="1" customHeight="1">
      <c r="A817" s="40">
        <f>IFERROR(__xludf.DUMMYFUNCTION("""COMPUTED_VALUE"""),10.0)</f>
        <v>10</v>
      </c>
      <c r="B817" s="40" t="str">
        <f>IFERROR(__xludf.DUMMYFUNCTION("""COMPUTED_VALUE"""),"A107")</f>
        <v>A107</v>
      </c>
      <c r="C817" s="40"/>
      <c r="D817" s="41"/>
      <c r="E817" s="66"/>
      <c r="F817" s="43"/>
      <c r="G817" s="44"/>
      <c r="H817" s="33" t="str">
        <f>IFERROR(__xludf.DUMMYFUNCTION("""COMPUTED_VALUE""")," ")</f>
        <v> </v>
      </c>
      <c r="I817" s="45"/>
      <c r="J817" s="46" t="str">
        <f>IFERROR(__xludf.DUMMYFUNCTION("""COMPUTED_VALUE"""),"AP")</f>
        <v>AP</v>
      </c>
      <c r="K817" s="47"/>
      <c r="L817" s="48" t="str">
        <f>IFERROR(__xludf.DUMMYFUNCTION("""COMPUTED_VALUE"""),"%")</f>
        <v>%</v>
      </c>
      <c r="M817" s="49">
        <f>IFERROR(__xludf.DUMMYFUNCTION("""COMPUTED_VALUE"""),1.0)</f>
        <v>1</v>
      </c>
      <c r="N817" s="50"/>
      <c r="O817" s="38"/>
      <c r="P817" s="45" t="str">
        <f>IFERROR(__xludf.DUMMYFUNCTION("""COMPUTED_VALUE"""),"")</f>
        <v/>
      </c>
      <c r="Q817" s="46" t="str">
        <f>IFERROR(__xludf.DUMMYFUNCTION("""COMPUTED_VALUE"""),"AP")</f>
        <v>AP</v>
      </c>
      <c r="R817" s="47" t="str">
        <f>IFERROR(__xludf.DUMMYFUNCTION("""COMPUTED_VALUE"""),"")</f>
        <v/>
      </c>
      <c r="S817" s="48" t="str">
        <f>IFERROR(__xludf.DUMMYFUNCTION("""COMPUTED_VALUE"""),"%")</f>
        <v>%</v>
      </c>
      <c r="T817" s="49">
        <f>IFERROR(__xludf.DUMMYFUNCTION("""COMPUTED_VALUE"""),2.0)</f>
        <v>2</v>
      </c>
      <c r="U817" s="50"/>
      <c r="V817" s="38"/>
      <c r="W817" s="45" t="str">
        <f>IFERROR(__xludf.DUMMYFUNCTION("""COMPUTED_VALUE"""),"")</f>
        <v/>
      </c>
      <c r="X817" s="46" t="str">
        <f>IFERROR(__xludf.DUMMYFUNCTION("""COMPUTED_VALUE"""),"AP")</f>
        <v>AP</v>
      </c>
      <c r="Y817" s="47" t="str">
        <f>IFERROR(__xludf.DUMMYFUNCTION("""COMPUTED_VALUE"""),"")</f>
        <v/>
      </c>
      <c r="Z817" s="48" t="str">
        <f>IFERROR(__xludf.DUMMYFUNCTION("""COMPUTED_VALUE"""),"%")</f>
        <v>%</v>
      </c>
      <c r="AA817" s="49">
        <f>IFERROR(__xludf.DUMMYFUNCTION("""COMPUTED_VALUE"""),3.0)</f>
        <v>3</v>
      </c>
      <c r="AB817" s="50"/>
      <c r="AC817" s="38"/>
      <c r="AD817" s="45" t="str">
        <f>IFERROR(__xludf.DUMMYFUNCTION("""COMPUTED_VALUE"""),"")</f>
        <v/>
      </c>
      <c r="AE817" s="46" t="str">
        <f>IFERROR(__xludf.DUMMYFUNCTION("""COMPUTED_VALUE"""),"AP")</f>
        <v>AP</v>
      </c>
      <c r="AF817" s="47" t="str">
        <f>IFERROR(__xludf.DUMMYFUNCTION("""COMPUTED_VALUE"""),"")</f>
        <v/>
      </c>
      <c r="AG817" s="48" t="str">
        <f>IFERROR(__xludf.DUMMYFUNCTION("""COMPUTED_VALUE"""),"%")</f>
        <v>%</v>
      </c>
      <c r="AH817" s="43"/>
      <c r="AI817" s="44"/>
      <c r="AJ817" s="51"/>
    </row>
    <row r="818" ht="24.75" hidden="1" customHeight="1">
      <c r="A818" s="28">
        <f>IFERROR(__xludf.DUMMYFUNCTION("""COMPUTED_VALUE"""),11.0)</f>
        <v>11</v>
      </c>
      <c r="B818" s="28" t="str">
        <f>IFERROR(__xludf.DUMMYFUNCTION("""COMPUTED_VALUE"""),"A107")</f>
        <v>A107</v>
      </c>
      <c r="C818" s="28"/>
      <c r="D818" s="29"/>
      <c r="E818" s="67"/>
      <c r="F818" s="31"/>
      <c r="G818" s="32"/>
      <c r="H818" s="33" t="str">
        <f>IFERROR(__xludf.DUMMYFUNCTION("""COMPUTED_VALUE""")," ")</f>
        <v> </v>
      </c>
      <c r="I818" s="34"/>
      <c r="J818" s="35" t="str">
        <f>IFERROR(__xludf.DUMMYFUNCTION("""COMPUTED_VALUE"""),"AP")</f>
        <v>AP</v>
      </c>
      <c r="K818" s="34"/>
      <c r="L818" s="35" t="str">
        <f>IFERROR(__xludf.DUMMYFUNCTION("""COMPUTED_VALUE"""),"%")</f>
        <v>%</v>
      </c>
      <c r="M818" s="36">
        <f>IFERROR(__xludf.DUMMYFUNCTION("""COMPUTED_VALUE"""),1.0)</f>
        <v>1</v>
      </c>
      <c r="N818" s="37"/>
      <c r="O818" s="38"/>
      <c r="P818" s="34" t="str">
        <f>IFERROR(__xludf.DUMMYFUNCTION("""COMPUTED_VALUE"""),"")</f>
        <v/>
      </c>
      <c r="Q818" s="35" t="str">
        <f>IFERROR(__xludf.DUMMYFUNCTION("""COMPUTED_VALUE"""),"AP")</f>
        <v>AP</v>
      </c>
      <c r="R818" s="34" t="str">
        <f>IFERROR(__xludf.DUMMYFUNCTION("""COMPUTED_VALUE"""),"")</f>
        <v/>
      </c>
      <c r="S818" s="35" t="str">
        <f>IFERROR(__xludf.DUMMYFUNCTION("""COMPUTED_VALUE"""),"%")</f>
        <v>%</v>
      </c>
      <c r="T818" s="36">
        <f>IFERROR(__xludf.DUMMYFUNCTION("""COMPUTED_VALUE"""),2.0)</f>
        <v>2</v>
      </c>
      <c r="U818" s="37"/>
      <c r="V818" s="38"/>
      <c r="W818" s="34" t="str">
        <f>IFERROR(__xludf.DUMMYFUNCTION("""COMPUTED_VALUE"""),"")</f>
        <v/>
      </c>
      <c r="X818" s="35" t="str">
        <f>IFERROR(__xludf.DUMMYFUNCTION("""COMPUTED_VALUE"""),"AP")</f>
        <v>AP</v>
      </c>
      <c r="Y818" s="34" t="str">
        <f>IFERROR(__xludf.DUMMYFUNCTION("""COMPUTED_VALUE"""),"")</f>
        <v/>
      </c>
      <c r="Z818" s="35" t="str">
        <f>IFERROR(__xludf.DUMMYFUNCTION("""COMPUTED_VALUE"""),"%")</f>
        <v>%</v>
      </c>
      <c r="AA818" s="36">
        <f>IFERROR(__xludf.DUMMYFUNCTION("""COMPUTED_VALUE"""),3.0)</f>
        <v>3</v>
      </c>
      <c r="AB818" s="37"/>
      <c r="AC818" s="38"/>
      <c r="AD818" s="34" t="str">
        <f>IFERROR(__xludf.DUMMYFUNCTION("""COMPUTED_VALUE"""),"")</f>
        <v/>
      </c>
      <c r="AE818" s="35" t="str">
        <f>IFERROR(__xludf.DUMMYFUNCTION("""COMPUTED_VALUE"""),"AP")</f>
        <v>AP</v>
      </c>
      <c r="AF818" s="34" t="str">
        <f>IFERROR(__xludf.DUMMYFUNCTION("""COMPUTED_VALUE"""),"")</f>
        <v/>
      </c>
      <c r="AG818" s="35" t="str">
        <f>IFERROR(__xludf.DUMMYFUNCTION("""COMPUTED_VALUE"""),"%")</f>
        <v>%</v>
      </c>
      <c r="AH818" s="31"/>
      <c r="AI818" s="32"/>
      <c r="AJ818" s="39"/>
    </row>
    <row r="819" ht="24.75" hidden="1" customHeight="1">
      <c r="A819" s="40">
        <f>IFERROR(__xludf.DUMMYFUNCTION("""COMPUTED_VALUE"""),12.0)</f>
        <v>12</v>
      </c>
      <c r="B819" s="40" t="str">
        <f>IFERROR(__xludf.DUMMYFUNCTION("""COMPUTED_VALUE"""),"A107")</f>
        <v>A107</v>
      </c>
      <c r="C819" s="40"/>
      <c r="D819" s="41"/>
      <c r="E819" s="66"/>
      <c r="F819" s="43"/>
      <c r="G819" s="44"/>
      <c r="H819" s="33" t="str">
        <f>IFERROR(__xludf.DUMMYFUNCTION("""COMPUTED_VALUE""")," ")</f>
        <v> </v>
      </c>
      <c r="I819" s="45"/>
      <c r="J819" s="46" t="str">
        <f>IFERROR(__xludf.DUMMYFUNCTION("""COMPUTED_VALUE"""),"AP")</f>
        <v>AP</v>
      </c>
      <c r="K819" s="47"/>
      <c r="L819" s="48" t="str">
        <f>IFERROR(__xludf.DUMMYFUNCTION("""COMPUTED_VALUE"""),"%")</f>
        <v>%</v>
      </c>
      <c r="M819" s="49">
        <f>IFERROR(__xludf.DUMMYFUNCTION("""COMPUTED_VALUE"""),1.0)</f>
        <v>1</v>
      </c>
      <c r="N819" s="50"/>
      <c r="O819" s="38"/>
      <c r="P819" s="45" t="str">
        <f>IFERROR(__xludf.DUMMYFUNCTION("""COMPUTED_VALUE"""),"")</f>
        <v/>
      </c>
      <c r="Q819" s="46" t="str">
        <f>IFERROR(__xludf.DUMMYFUNCTION("""COMPUTED_VALUE"""),"AP")</f>
        <v>AP</v>
      </c>
      <c r="R819" s="47" t="str">
        <f>IFERROR(__xludf.DUMMYFUNCTION("""COMPUTED_VALUE"""),"")</f>
        <v/>
      </c>
      <c r="S819" s="48" t="str">
        <f>IFERROR(__xludf.DUMMYFUNCTION("""COMPUTED_VALUE"""),"%")</f>
        <v>%</v>
      </c>
      <c r="T819" s="49">
        <f>IFERROR(__xludf.DUMMYFUNCTION("""COMPUTED_VALUE"""),2.0)</f>
        <v>2</v>
      </c>
      <c r="U819" s="50"/>
      <c r="V819" s="38"/>
      <c r="W819" s="45" t="str">
        <f>IFERROR(__xludf.DUMMYFUNCTION("""COMPUTED_VALUE"""),"")</f>
        <v/>
      </c>
      <c r="X819" s="46" t="str">
        <f>IFERROR(__xludf.DUMMYFUNCTION("""COMPUTED_VALUE"""),"AP")</f>
        <v>AP</v>
      </c>
      <c r="Y819" s="47" t="str">
        <f>IFERROR(__xludf.DUMMYFUNCTION("""COMPUTED_VALUE"""),"")</f>
        <v/>
      </c>
      <c r="Z819" s="48" t="str">
        <f>IFERROR(__xludf.DUMMYFUNCTION("""COMPUTED_VALUE"""),"%")</f>
        <v>%</v>
      </c>
      <c r="AA819" s="49">
        <f>IFERROR(__xludf.DUMMYFUNCTION("""COMPUTED_VALUE"""),3.0)</f>
        <v>3</v>
      </c>
      <c r="AB819" s="50"/>
      <c r="AC819" s="38"/>
      <c r="AD819" s="45" t="str">
        <f>IFERROR(__xludf.DUMMYFUNCTION("""COMPUTED_VALUE"""),"")</f>
        <v/>
      </c>
      <c r="AE819" s="46" t="str">
        <f>IFERROR(__xludf.DUMMYFUNCTION("""COMPUTED_VALUE"""),"AP")</f>
        <v>AP</v>
      </c>
      <c r="AF819" s="47" t="str">
        <f>IFERROR(__xludf.DUMMYFUNCTION("""COMPUTED_VALUE"""),"")</f>
        <v/>
      </c>
      <c r="AG819" s="48" t="str">
        <f>IFERROR(__xludf.DUMMYFUNCTION("""COMPUTED_VALUE"""),"%")</f>
        <v>%</v>
      </c>
      <c r="AH819" s="43"/>
      <c r="AI819" s="44"/>
      <c r="AJ819" s="51"/>
    </row>
    <row r="820" ht="24.75" hidden="1" customHeight="1">
      <c r="A820" s="28">
        <f>IFERROR(__xludf.DUMMYFUNCTION("""COMPUTED_VALUE"""),13.0)</f>
        <v>13</v>
      </c>
      <c r="B820" s="28" t="str">
        <f>IFERROR(__xludf.DUMMYFUNCTION("""COMPUTED_VALUE"""),"A107")</f>
        <v>A107</v>
      </c>
      <c r="C820" s="28"/>
      <c r="D820" s="29"/>
      <c r="E820" s="67"/>
      <c r="F820" s="31"/>
      <c r="G820" s="32"/>
      <c r="H820" s="33" t="str">
        <f>IFERROR(__xludf.DUMMYFUNCTION("""COMPUTED_VALUE""")," ")</f>
        <v> </v>
      </c>
      <c r="I820" s="34"/>
      <c r="J820" s="35" t="str">
        <f>IFERROR(__xludf.DUMMYFUNCTION("""COMPUTED_VALUE"""),"AP")</f>
        <v>AP</v>
      </c>
      <c r="K820" s="34"/>
      <c r="L820" s="35" t="str">
        <f>IFERROR(__xludf.DUMMYFUNCTION("""COMPUTED_VALUE"""),"%")</f>
        <v>%</v>
      </c>
      <c r="M820" s="36">
        <f>IFERROR(__xludf.DUMMYFUNCTION("""COMPUTED_VALUE"""),1.0)</f>
        <v>1</v>
      </c>
      <c r="N820" s="37"/>
      <c r="O820" s="38"/>
      <c r="P820" s="34" t="str">
        <f>IFERROR(__xludf.DUMMYFUNCTION("""COMPUTED_VALUE"""),"")</f>
        <v/>
      </c>
      <c r="Q820" s="35" t="str">
        <f>IFERROR(__xludf.DUMMYFUNCTION("""COMPUTED_VALUE"""),"AP")</f>
        <v>AP</v>
      </c>
      <c r="R820" s="34" t="str">
        <f>IFERROR(__xludf.DUMMYFUNCTION("""COMPUTED_VALUE"""),"")</f>
        <v/>
      </c>
      <c r="S820" s="35" t="str">
        <f>IFERROR(__xludf.DUMMYFUNCTION("""COMPUTED_VALUE"""),"%")</f>
        <v>%</v>
      </c>
      <c r="T820" s="36">
        <f>IFERROR(__xludf.DUMMYFUNCTION("""COMPUTED_VALUE"""),2.0)</f>
        <v>2</v>
      </c>
      <c r="U820" s="37"/>
      <c r="V820" s="38"/>
      <c r="W820" s="34" t="str">
        <f>IFERROR(__xludf.DUMMYFUNCTION("""COMPUTED_VALUE"""),"")</f>
        <v/>
      </c>
      <c r="X820" s="35" t="str">
        <f>IFERROR(__xludf.DUMMYFUNCTION("""COMPUTED_VALUE"""),"AP")</f>
        <v>AP</v>
      </c>
      <c r="Y820" s="34" t="str">
        <f>IFERROR(__xludf.DUMMYFUNCTION("""COMPUTED_VALUE"""),"")</f>
        <v/>
      </c>
      <c r="Z820" s="35" t="str">
        <f>IFERROR(__xludf.DUMMYFUNCTION("""COMPUTED_VALUE"""),"%")</f>
        <v>%</v>
      </c>
      <c r="AA820" s="36">
        <f>IFERROR(__xludf.DUMMYFUNCTION("""COMPUTED_VALUE"""),3.0)</f>
        <v>3</v>
      </c>
      <c r="AB820" s="37"/>
      <c r="AC820" s="38"/>
      <c r="AD820" s="34" t="str">
        <f>IFERROR(__xludf.DUMMYFUNCTION("""COMPUTED_VALUE"""),"")</f>
        <v/>
      </c>
      <c r="AE820" s="35" t="str">
        <f>IFERROR(__xludf.DUMMYFUNCTION("""COMPUTED_VALUE"""),"AP")</f>
        <v>AP</v>
      </c>
      <c r="AF820" s="34" t="str">
        <f>IFERROR(__xludf.DUMMYFUNCTION("""COMPUTED_VALUE"""),"")</f>
        <v/>
      </c>
      <c r="AG820" s="35" t="str">
        <f>IFERROR(__xludf.DUMMYFUNCTION("""COMPUTED_VALUE"""),"%")</f>
        <v>%</v>
      </c>
      <c r="AH820" s="31"/>
      <c r="AI820" s="32"/>
      <c r="AJ820" s="39"/>
    </row>
    <row r="821" ht="24.75" hidden="1" customHeight="1">
      <c r="A821" s="40">
        <f>IFERROR(__xludf.DUMMYFUNCTION("""COMPUTED_VALUE"""),14.0)</f>
        <v>14</v>
      </c>
      <c r="B821" s="40" t="str">
        <f>IFERROR(__xludf.DUMMYFUNCTION("""COMPUTED_VALUE"""),"A107")</f>
        <v>A107</v>
      </c>
      <c r="C821" s="40"/>
      <c r="D821" s="41"/>
      <c r="E821" s="66"/>
      <c r="F821" s="43"/>
      <c r="G821" s="44"/>
      <c r="H821" s="33" t="str">
        <f>IFERROR(__xludf.DUMMYFUNCTION("""COMPUTED_VALUE""")," ")</f>
        <v> </v>
      </c>
      <c r="I821" s="45"/>
      <c r="J821" s="46" t="str">
        <f>IFERROR(__xludf.DUMMYFUNCTION("""COMPUTED_VALUE"""),"AP")</f>
        <v>AP</v>
      </c>
      <c r="K821" s="47"/>
      <c r="L821" s="48" t="str">
        <f>IFERROR(__xludf.DUMMYFUNCTION("""COMPUTED_VALUE"""),"%")</f>
        <v>%</v>
      </c>
      <c r="M821" s="49">
        <f>IFERROR(__xludf.DUMMYFUNCTION("""COMPUTED_VALUE"""),1.0)</f>
        <v>1</v>
      </c>
      <c r="N821" s="50"/>
      <c r="O821" s="38"/>
      <c r="P821" s="45" t="str">
        <f>IFERROR(__xludf.DUMMYFUNCTION("""COMPUTED_VALUE"""),"")</f>
        <v/>
      </c>
      <c r="Q821" s="46" t="str">
        <f>IFERROR(__xludf.DUMMYFUNCTION("""COMPUTED_VALUE"""),"AP")</f>
        <v>AP</v>
      </c>
      <c r="R821" s="47" t="str">
        <f>IFERROR(__xludf.DUMMYFUNCTION("""COMPUTED_VALUE"""),"")</f>
        <v/>
      </c>
      <c r="S821" s="48" t="str">
        <f>IFERROR(__xludf.DUMMYFUNCTION("""COMPUTED_VALUE"""),"%")</f>
        <v>%</v>
      </c>
      <c r="T821" s="49">
        <f>IFERROR(__xludf.DUMMYFUNCTION("""COMPUTED_VALUE"""),2.0)</f>
        <v>2</v>
      </c>
      <c r="U821" s="50"/>
      <c r="V821" s="38"/>
      <c r="W821" s="45" t="str">
        <f>IFERROR(__xludf.DUMMYFUNCTION("""COMPUTED_VALUE"""),"")</f>
        <v/>
      </c>
      <c r="X821" s="46" t="str">
        <f>IFERROR(__xludf.DUMMYFUNCTION("""COMPUTED_VALUE"""),"AP")</f>
        <v>AP</v>
      </c>
      <c r="Y821" s="47" t="str">
        <f>IFERROR(__xludf.DUMMYFUNCTION("""COMPUTED_VALUE"""),"")</f>
        <v/>
      </c>
      <c r="Z821" s="48" t="str">
        <f>IFERROR(__xludf.DUMMYFUNCTION("""COMPUTED_VALUE"""),"%")</f>
        <v>%</v>
      </c>
      <c r="AA821" s="49">
        <f>IFERROR(__xludf.DUMMYFUNCTION("""COMPUTED_VALUE"""),3.0)</f>
        <v>3</v>
      </c>
      <c r="AB821" s="50"/>
      <c r="AC821" s="38"/>
      <c r="AD821" s="45" t="str">
        <f>IFERROR(__xludf.DUMMYFUNCTION("""COMPUTED_VALUE"""),"")</f>
        <v/>
      </c>
      <c r="AE821" s="46" t="str">
        <f>IFERROR(__xludf.DUMMYFUNCTION("""COMPUTED_VALUE"""),"AP")</f>
        <v>AP</v>
      </c>
      <c r="AF821" s="47" t="str">
        <f>IFERROR(__xludf.DUMMYFUNCTION("""COMPUTED_VALUE"""),"")</f>
        <v/>
      </c>
      <c r="AG821" s="48" t="str">
        <f>IFERROR(__xludf.DUMMYFUNCTION("""COMPUTED_VALUE"""),"%")</f>
        <v>%</v>
      </c>
      <c r="AH821" s="43"/>
      <c r="AI821" s="44"/>
      <c r="AJ821" s="51"/>
    </row>
    <row r="822" ht="24.75" hidden="1" customHeight="1">
      <c r="A822" s="28">
        <f>IFERROR(__xludf.DUMMYFUNCTION("""COMPUTED_VALUE"""),15.0)</f>
        <v>15</v>
      </c>
      <c r="B822" s="28" t="str">
        <f>IFERROR(__xludf.DUMMYFUNCTION("""COMPUTED_VALUE"""),"A107")</f>
        <v>A107</v>
      </c>
      <c r="C822" s="28"/>
      <c r="D822" s="29"/>
      <c r="E822" s="67"/>
      <c r="F822" s="31"/>
      <c r="G822" s="32"/>
      <c r="H822" s="33" t="str">
        <f>IFERROR(__xludf.DUMMYFUNCTION("""COMPUTED_VALUE""")," ")</f>
        <v> </v>
      </c>
      <c r="I822" s="34"/>
      <c r="J822" s="35" t="str">
        <f>IFERROR(__xludf.DUMMYFUNCTION("""COMPUTED_VALUE"""),"AP")</f>
        <v>AP</v>
      </c>
      <c r="K822" s="34"/>
      <c r="L822" s="35" t="str">
        <f>IFERROR(__xludf.DUMMYFUNCTION("""COMPUTED_VALUE"""),"%")</f>
        <v>%</v>
      </c>
      <c r="M822" s="36">
        <f>IFERROR(__xludf.DUMMYFUNCTION("""COMPUTED_VALUE"""),1.0)</f>
        <v>1</v>
      </c>
      <c r="N822" s="37"/>
      <c r="O822" s="38"/>
      <c r="P822" s="34" t="str">
        <f>IFERROR(__xludf.DUMMYFUNCTION("""COMPUTED_VALUE"""),"")</f>
        <v/>
      </c>
      <c r="Q822" s="35" t="str">
        <f>IFERROR(__xludf.DUMMYFUNCTION("""COMPUTED_VALUE"""),"AP")</f>
        <v>AP</v>
      </c>
      <c r="R822" s="34" t="str">
        <f>IFERROR(__xludf.DUMMYFUNCTION("""COMPUTED_VALUE"""),"")</f>
        <v/>
      </c>
      <c r="S822" s="35" t="str">
        <f>IFERROR(__xludf.DUMMYFUNCTION("""COMPUTED_VALUE"""),"%")</f>
        <v>%</v>
      </c>
      <c r="T822" s="36">
        <f>IFERROR(__xludf.DUMMYFUNCTION("""COMPUTED_VALUE"""),2.0)</f>
        <v>2</v>
      </c>
      <c r="U822" s="37"/>
      <c r="V822" s="38"/>
      <c r="W822" s="34" t="str">
        <f>IFERROR(__xludf.DUMMYFUNCTION("""COMPUTED_VALUE"""),"")</f>
        <v/>
      </c>
      <c r="X822" s="35" t="str">
        <f>IFERROR(__xludf.DUMMYFUNCTION("""COMPUTED_VALUE"""),"AP")</f>
        <v>AP</v>
      </c>
      <c r="Y822" s="34" t="str">
        <f>IFERROR(__xludf.DUMMYFUNCTION("""COMPUTED_VALUE"""),"")</f>
        <v/>
      </c>
      <c r="Z822" s="35" t="str">
        <f>IFERROR(__xludf.DUMMYFUNCTION("""COMPUTED_VALUE"""),"%")</f>
        <v>%</v>
      </c>
      <c r="AA822" s="36">
        <f>IFERROR(__xludf.DUMMYFUNCTION("""COMPUTED_VALUE"""),3.0)</f>
        <v>3</v>
      </c>
      <c r="AB822" s="37"/>
      <c r="AC822" s="38"/>
      <c r="AD822" s="34" t="str">
        <f>IFERROR(__xludf.DUMMYFUNCTION("""COMPUTED_VALUE"""),"")</f>
        <v/>
      </c>
      <c r="AE822" s="35" t="str">
        <f>IFERROR(__xludf.DUMMYFUNCTION("""COMPUTED_VALUE"""),"AP")</f>
        <v>AP</v>
      </c>
      <c r="AF822" s="34" t="str">
        <f>IFERROR(__xludf.DUMMYFUNCTION("""COMPUTED_VALUE"""),"")</f>
        <v/>
      </c>
      <c r="AG822" s="35" t="str">
        <f>IFERROR(__xludf.DUMMYFUNCTION("""COMPUTED_VALUE"""),"%")</f>
        <v>%</v>
      </c>
      <c r="AH822" s="31"/>
      <c r="AI822" s="32"/>
      <c r="AJ822" s="39"/>
    </row>
    <row r="823" ht="24.75" hidden="1" customHeight="1">
      <c r="A823" s="40">
        <f>IFERROR(__xludf.DUMMYFUNCTION("""COMPUTED_VALUE"""),16.0)</f>
        <v>16</v>
      </c>
      <c r="B823" s="40" t="str">
        <f>IFERROR(__xludf.DUMMYFUNCTION("""COMPUTED_VALUE"""),"A107")</f>
        <v>A107</v>
      </c>
      <c r="C823" s="40"/>
      <c r="D823" s="41"/>
      <c r="E823" s="66"/>
      <c r="F823" s="43"/>
      <c r="G823" s="44"/>
      <c r="H823" s="33" t="str">
        <f>IFERROR(__xludf.DUMMYFUNCTION("""COMPUTED_VALUE""")," ")</f>
        <v> </v>
      </c>
      <c r="I823" s="45"/>
      <c r="J823" s="46" t="str">
        <f>IFERROR(__xludf.DUMMYFUNCTION("""COMPUTED_VALUE"""),"AP")</f>
        <v>AP</v>
      </c>
      <c r="K823" s="47"/>
      <c r="L823" s="48" t="str">
        <f>IFERROR(__xludf.DUMMYFUNCTION("""COMPUTED_VALUE"""),"%")</f>
        <v>%</v>
      </c>
      <c r="M823" s="49">
        <f>IFERROR(__xludf.DUMMYFUNCTION("""COMPUTED_VALUE"""),1.0)</f>
        <v>1</v>
      </c>
      <c r="N823" s="50"/>
      <c r="O823" s="38"/>
      <c r="P823" s="45" t="str">
        <f>IFERROR(__xludf.DUMMYFUNCTION("""COMPUTED_VALUE"""),"")</f>
        <v/>
      </c>
      <c r="Q823" s="46" t="str">
        <f>IFERROR(__xludf.DUMMYFUNCTION("""COMPUTED_VALUE"""),"AP")</f>
        <v>AP</v>
      </c>
      <c r="R823" s="47" t="str">
        <f>IFERROR(__xludf.DUMMYFUNCTION("""COMPUTED_VALUE"""),"")</f>
        <v/>
      </c>
      <c r="S823" s="48" t="str">
        <f>IFERROR(__xludf.DUMMYFUNCTION("""COMPUTED_VALUE"""),"%")</f>
        <v>%</v>
      </c>
      <c r="T823" s="49">
        <f>IFERROR(__xludf.DUMMYFUNCTION("""COMPUTED_VALUE"""),2.0)</f>
        <v>2</v>
      </c>
      <c r="U823" s="50"/>
      <c r="V823" s="38"/>
      <c r="W823" s="45" t="str">
        <f>IFERROR(__xludf.DUMMYFUNCTION("""COMPUTED_VALUE"""),"")</f>
        <v/>
      </c>
      <c r="X823" s="46" t="str">
        <f>IFERROR(__xludf.DUMMYFUNCTION("""COMPUTED_VALUE"""),"AP")</f>
        <v>AP</v>
      </c>
      <c r="Y823" s="47" t="str">
        <f>IFERROR(__xludf.DUMMYFUNCTION("""COMPUTED_VALUE"""),"")</f>
        <v/>
      </c>
      <c r="Z823" s="48" t="str">
        <f>IFERROR(__xludf.DUMMYFUNCTION("""COMPUTED_VALUE"""),"%")</f>
        <v>%</v>
      </c>
      <c r="AA823" s="49">
        <f>IFERROR(__xludf.DUMMYFUNCTION("""COMPUTED_VALUE"""),3.0)</f>
        <v>3</v>
      </c>
      <c r="AB823" s="50"/>
      <c r="AC823" s="38"/>
      <c r="AD823" s="45" t="str">
        <f>IFERROR(__xludf.DUMMYFUNCTION("""COMPUTED_VALUE"""),"")</f>
        <v/>
      </c>
      <c r="AE823" s="46" t="str">
        <f>IFERROR(__xludf.DUMMYFUNCTION("""COMPUTED_VALUE"""),"AP")</f>
        <v>AP</v>
      </c>
      <c r="AF823" s="47" t="str">
        <f>IFERROR(__xludf.DUMMYFUNCTION("""COMPUTED_VALUE"""),"")</f>
        <v/>
      </c>
      <c r="AG823" s="48" t="str">
        <f>IFERROR(__xludf.DUMMYFUNCTION("""COMPUTED_VALUE"""),"%")</f>
        <v>%</v>
      </c>
      <c r="AH823" s="43"/>
      <c r="AI823" s="44"/>
      <c r="AJ823" s="51"/>
    </row>
    <row r="824" ht="24.75" hidden="1" customHeight="1">
      <c r="A824" s="28">
        <f>IFERROR(__xludf.DUMMYFUNCTION("""COMPUTED_VALUE"""),17.0)</f>
        <v>17</v>
      </c>
      <c r="B824" s="28" t="str">
        <f>IFERROR(__xludf.DUMMYFUNCTION("""COMPUTED_VALUE"""),"A107")</f>
        <v>A107</v>
      </c>
      <c r="C824" s="28"/>
      <c r="D824" s="29"/>
      <c r="E824" s="67"/>
      <c r="F824" s="31"/>
      <c r="G824" s="32"/>
      <c r="H824" s="33" t="str">
        <f>IFERROR(__xludf.DUMMYFUNCTION("""COMPUTED_VALUE""")," ")</f>
        <v> </v>
      </c>
      <c r="I824" s="34"/>
      <c r="J824" s="35" t="str">
        <f>IFERROR(__xludf.DUMMYFUNCTION("""COMPUTED_VALUE"""),"AP")</f>
        <v>AP</v>
      </c>
      <c r="K824" s="34"/>
      <c r="L824" s="35" t="str">
        <f>IFERROR(__xludf.DUMMYFUNCTION("""COMPUTED_VALUE"""),"%")</f>
        <v>%</v>
      </c>
      <c r="M824" s="36">
        <f>IFERROR(__xludf.DUMMYFUNCTION("""COMPUTED_VALUE"""),1.0)</f>
        <v>1</v>
      </c>
      <c r="N824" s="37"/>
      <c r="O824" s="38"/>
      <c r="P824" s="34" t="str">
        <f>IFERROR(__xludf.DUMMYFUNCTION("""COMPUTED_VALUE"""),"")</f>
        <v/>
      </c>
      <c r="Q824" s="35" t="str">
        <f>IFERROR(__xludf.DUMMYFUNCTION("""COMPUTED_VALUE"""),"AP")</f>
        <v>AP</v>
      </c>
      <c r="R824" s="34" t="str">
        <f>IFERROR(__xludf.DUMMYFUNCTION("""COMPUTED_VALUE"""),"")</f>
        <v/>
      </c>
      <c r="S824" s="35" t="str">
        <f>IFERROR(__xludf.DUMMYFUNCTION("""COMPUTED_VALUE"""),"%")</f>
        <v>%</v>
      </c>
      <c r="T824" s="36">
        <f>IFERROR(__xludf.DUMMYFUNCTION("""COMPUTED_VALUE"""),2.0)</f>
        <v>2</v>
      </c>
      <c r="U824" s="37"/>
      <c r="V824" s="38"/>
      <c r="W824" s="34" t="str">
        <f>IFERROR(__xludf.DUMMYFUNCTION("""COMPUTED_VALUE"""),"")</f>
        <v/>
      </c>
      <c r="X824" s="35" t="str">
        <f>IFERROR(__xludf.DUMMYFUNCTION("""COMPUTED_VALUE"""),"AP")</f>
        <v>AP</v>
      </c>
      <c r="Y824" s="34" t="str">
        <f>IFERROR(__xludf.DUMMYFUNCTION("""COMPUTED_VALUE"""),"")</f>
        <v/>
      </c>
      <c r="Z824" s="35" t="str">
        <f>IFERROR(__xludf.DUMMYFUNCTION("""COMPUTED_VALUE"""),"%")</f>
        <v>%</v>
      </c>
      <c r="AA824" s="36">
        <f>IFERROR(__xludf.DUMMYFUNCTION("""COMPUTED_VALUE"""),3.0)</f>
        <v>3</v>
      </c>
      <c r="AB824" s="37"/>
      <c r="AC824" s="38"/>
      <c r="AD824" s="34" t="str">
        <f>IFERROR(__xludf.DUMMYFUNCTION("""COMPUTED_VALUE"""),"")</f>
        <v/>
      </c>
      <c r="AE824" s="35" t="str">
        <f>IFERROR(__xludf.DUMMYFUNCTION("""COMPUTED_VALUE"""),"AP")</f>
        <v>AP</v>
      </c>
      <c r="AF824" s="34" t="str">
        <f>IFERROR(__xludf.DUMMYFUNCTION("""COMPUTED_VALUE"""),"")</f>
        <v/>
      </c>
      <c r="AG824" s="35" t="str">
        <f>IFERROR(__xludf.DUMMYFUNCTION("""COMPUTED_VALUE"""),"%")</f>
        <v>%</v>
      </c>
      <c r="AH824" s="31"/>
      <c r="AI824" s="32"/>
      <c r="AJ824" s="39"/>
    </row>
    <row r="825" ht="24.75" hidden="1" customHeight="1">
      <c r="A825" s="40">
        <f>IFERROR(__xludf.DUMMYFUNCTION("""COMPUTED_VALUE"""),18.0)</f>
        <v>18</v>
      </c>
      <c r="B825" s="40" t="str">
        <f>IFERROR(__xludf.DUMMYFUNCTION("""COMPUTED_VALUE"""),"A107")</f>
        <v>A107</v>
      </c>
      <c r="C825" s="40"/>
      <c r="D825" s="41"/>
      <c r="E825" s="66"/>
      <c r="F825" s="43"/>
      <c r="G825" s="44"/>
      <c r="H825" s="33" t="str">
        <f>IFERROR(__xludf.DUMMYFUNCTION("""COMPUTED_VALUE""")," ")</f>
        <v> </v>
      </c>
      <c r="I825" s="45"/>
      <c r="J825" s="46" t="str">
        <f>IFERROR(__xludf.DUMMYFUNCTION("""COMPUTED_VALUE"""),"AP")</f>
        <v>AP</v>
      </c>
      <c r="K825" s="47"/>
      <c r="L825" s="48" t="str">
        <f>IFERROR(__xludf.DUMMYFUNCTION("""COMPUTED_VALUE"""),"%")</f>
        <v>%</v>
      </c>
      <c r="M825" s="49">
        <f>IFERROR(__xludf.DUMMYFUNCTION("""COMPUTED_VALUE"""),1.0)</f>
        <v>1</v>
      </c>
      <c r="N825" s="50"/>
      <c r="O825" s="38"/>
      <c r="P825" s="45" t="str">
        <f>IFERROR(__xludf.DUMMYFUNCTION("""COMPUTED_VALUE"""),"")</f>
        <v/>
      </c>
      <c r="Q825" s="46" t="str">
        <f>IFERROR(__xludf.DUMMYFUNCTION("""COMPUTED_VALUE"""),"AP")</f>
        <v>AP</v>
      </c>
      <c r="R825" s="47" t="str">
        <f>IFERROR(__xludf.DUMMYFUNCTION("""COMPUTED_VALUE"""),"")</f>
        <v/>
      </c>
      <c r="S825" s="48" t="str">
        <f>IFERROR(__xludf.DUMMYFUNCTION("""COMPUTED_VALUE"""),"%")</f>
        <v>%</v>
      </c>
      <c r="T825" s="49">
        <f>IFERROR(__xludf.DUMMYFUNCTION("""COMPUTED_VALUE"""),2.0)</f>
        <v>2</v>
      </c>
      <c r="U825" s="50"/>
      <c r="V825" s="38"/>
      <c r="W825" s="45" t="str">
        <f>IFERROR(__xludf.DUMMYFUNCTION("""COMPUTED_VALUE"""),"")</f>
        <v/>
      </c>
      <c r="X825" s="46" t="str">
        <f>IFERROR(__xludf.DUMMYFUNCTION("""COMPUTED_VALUE"""),"AP")</f>
        <v>AP</v>
      </c>
      <c r="Y825" s="47" t="str">
        <f>IFERROR(__xludf.DUMMYFUNCTION("""COMPUTED_VALUE"""),"")</f>
        <v/>
      </c>
      <c r="Z825" s="48" t="str">
        <f>IFERROR(__xludf.DUMMYFUNCTION("""COMPUTED_VALUE"""),"%")</f>
        <v>%</v>
      </c>
      <c r="AA825" s="49">
        <f>IFERROR(__xludf.DUMMYFUNCTION("""COMPUTED_VALUE"""),3.0)</f>
        <v>3</v>
      </c>
      <c r="AB825" s="50"/>
      <c r="AC825" s="38"/>
      <c r="AD825" s="45" t="str">
        <f>IFERROR(__xludf.DUMMYFUNCTION("""COMPUTED_VALUE"""),"")</f>
        <v/>
      </c>
      <c r="AE825" s="46" t="str">
        <f>IFERROR(__xludf.DUMMYFUNCTION("""COMPUTED_VALUE"""),"AP")</f>
        <v>AP</v>
      </c>
      <c r="AF825" s="47" t="str">
        <f>IFERROR(__xludf.DUMMYFUNCTION("""COMPUTED_VALUE"""),"")</f>
        <v/>
      </c>
      <c r="AG825" s="48" t="str">
        <f>IFERROR(__xludf.DUMMYFUNCTION("""COMPUTED_VALUE"""),"%")</f>
        <v>%</v>
      </c>
      <c r="AH825" s="43"/>
      <c r="AI825" s="44"/>
      <c r="AJ825" s="51"/>
    </row>
    <row r="826" ht="24.75" hidden="1" customHeight="1">
      <c r="A826" s="28">
        <f>IFERROR(__xludf.DUMMYFUNCTION("""COMPUTED_VALUE"""),19.0)</f>
        <v>19</v>
      </c>
      <c r="B826" s="28" t="str">
        <f>IFERROR(__xludf.DUMMYFUNCTION("""COMPUTED_VALUE"""),"A107")</f>
        <v>A107</v>
      </c>
      <c r="C826" s="28"/>
      <c r="D826" s="29"/>
      <c r="E826" s="67"/>
      <c r="F826" s="31"/>
      <c r="G826" s="32"/>
      <c r="H826" s="33" t="str">
        <f>IFERROR(__xludf.DUMMYFUNCTION("""COMPUTED_VALUE""")," ")</f>
        <v> </v>
      </c>
      <c r="I826" s="34"/>
      <c r="J826" s="35" t="str">
        <f>IFERROR(__xludf.DUMMYFUNCTION("""COMPUTED_VALUE"""),"AP")</f>
        <v>AP</v>
      </c>
      <c r="K826" s="34"/>
      <c r="L826" s="35" t="str">
        <f>IFERROR(__xludf.DUMMYFUNCTION("""COMPUTED_VALUE"""),"%")</f>
        <v>%</v>
      </c>
      <c r="M826" s="36">
        <f>IFERROR(__xludf.DUMMYFUNCTION("""COMPUTED_VALUE"""),1.0)</f>
        <v>1</v>
      </c>
      <c r="N826" s="37"/>
      <c r="O826" s="38"/>
      <c r="P826" s="34" t="str">
        <f>IFERROR(__xludf.DUMMYFUNCTION("""COMPUTED_VALUE"""),"")</f>
        <v/>
      </c>
      <c r="Q826" s="35" t="str">
        <f>IFERROR(__xludf.DUMMYFUNCTION("""COMPUTED_VALUE"""),"AP")</f>
        <v>AP</v>
      </c>
      <c r="R826" s="34" t="str">
        <f>IFERROR(__xludf.DUMMYFUNCTION("""COMPUTED_VALUE"""),"")</f>
        <v/>
      </c>
      <c r="S826" s="35" t="str">
        <f>IFERROR(__xludf.DUMMYFUNCTION("""COMPUTED_VALUE"""),"%")</f>
        <v>%</v>
      </c>
      <c r="T826" s="36">
        <f>IFERROR(__xludf.DUMMYFUNCTION("""COMPUTED_VALUE"""),2.0)</f>
        <v>2</v>
      </c>
      <c r="U826" s="37"/>
      <c r="V826" s="38"/>
      <c r="W826" s="34" t="str">
        <f>IFERROR(__xludf.DUMMYFUNCTION("""COMPUTED_VALUE"""),"")</f>
        <v/>
      </c>
      <c r="X826" s="35" t="str">
        <f>IFERROR(__xludf.DUMMYFUNCTION("""COMPUTED_VALUE"""),"AP")</f>
        <v>AP</v>
      </c>
      <c r="Y826" s="34" t="str">
        <f>IFERROR(__xludf.DUMMYFUNCTION("""COMPUTED_VALUE"""),"")</f>
        <v/>
      </c>
      <c r="Z826" s="35" t="str">
        <f>IFERROR(__xludf.DUMMYFUNCTION("""COMPUTED_VALUE"""),"%")</f>
        <v>%</v>
      </c>
      <c r="AA826" s="36">
        <f>IFERROR(__xludf.DUMMYFUNCTION("""COMPUTED_VALUE"""),3.0)</f>
        <v>3</v>
      </c>
      <c r="AB826" s="37"/>
      <c r="AC826" s="38"/>
      <c r="AD826" s="34" t="str">
        <f>IFERROR(__xludf.DUMMYFUNCTION("""COMPUTED_VALUE"""),"")</f>
        <v/>
      </c>
      <c r="AE826" s="35" t="str">
        <f>IFERROR(__xludf.DUMMYFUNCTION("""COMPUTED_VALUE"""),"AP")</f>
        <v>AP</v>
      </c>
      <c r="AF826" s="34" t="str">
        <f>IFERROR(__xludf.DUMMYFUNCTION("""COMPUTED_VALUE"""),"")</f>
        <v/>
      </c>
      <c r="AG826" s="35" t="str">
        <f>IFERROR(__xludf.DUMMYFUNCTION("""COMPUTED_VALUE"""),"%")</f>
        <v>%</v>
      </c>
      <c r="AH826" s="31"/>
      <c r="AI826" s="32"/>
      <c r="AJ826" s="39"/>
    </row>
    <row r="827" ht="24.75" hidden="1" customHeight="1">
      <c r="A827" s="40">
        <f>IFERROR(__xludf.DUMMYFUNCTION("""COMPUTED_VALUE"""),20.0)</f>
        <v>20</v>
      </c>
      <c r="B827" s="40" t="str">
        <f>IFERROR(__xludf.DUMMYFUNCTION("""COMPUTED_VALUE"""),"A107")</f>
        <v>A107</v>
      </c>
      <c r="C827" s="40"/>
      <c r="D827" s="41"/>
      <c r="E827" s="66"/>
      <c r="F827" s="43"/>
      <c r="G827" s="44"/>
      <c r="H827" s="33" t="str">
        <f>IFERROR(__xludf.DUMMYFUNCTION("""COMPUTED_VALUE""")," ")</f>
        <v> </v>
      </c>
      <c r="I827" s="45"/>
      <c r="J827" s="46" t="str">
        <f>IFERROR(__xludf.DUMMYFUNCTION("""COMPUTED_VALUE"""),"AP")</f>
        <v>AP</v>
      </c>
      <c r="K827" s="47"/>
      <c r="L827" s="48" t="str">
        <f>IFERROR(__xludf.DUMMYFUNCTION("""COMPUTED_VALUE"""),"%")</f>
        <v>%</v>
      </c>
      <c r="M827" s="49">
        <f>IFERROR(__xludf.DUMMYFUNCTION("""COMPUTED_VALUE"""),1.0)</f>
        <v>1</v>
      </c>
      <c r="N827" s="50"/>
      <c r="O827" s="38"/>
      <c r="P827" s="45" t="str">
        <f>IFERROR(__xludf.DUMMYFUNCTION("""COMPUTED_VALUE"""),"")</f>
        <v/>
      </c>
      <c r="Q827" s="46" t="str">
        <f>IFERROR(__xludf.DUMMYFUNCTION("""COMPUTED_VALUE"""),"AP")</f>
        <v>AP</v>
      </c>
      <c r="R827" s="47" t="str">
        <f>IFERROR(__xludf.DUMMYFUNCTION("""COMPUTED_VALUE"""),"")</f>
        <v/>
      </c>
      <c r="S827" s="48" t="str">
        <f>IFERROR(__xludf.DUMMYFUNCTION("""COMPUTED_VALUE"""),"%")</f>
        <v>%</v>
      </c>
      <c r="T827" s="49">
        <f>IFERROR(__xludf.DUMMYFUNCTION("""COMPUTED_VALUE"""),2.0)</f>
        <v>2</v>
      </c>
      <c r="U827" s="50"/>
      <c r="V827" s="38"/>
      <c r="W827" s="45" t="str">
        <f>IFERROR(__xludf.DUMMYFUNCTION("""COMPUTED_VALUE"""),"")</f>
        <v/>
      </c>
      <c r="X827" s="46" t="str">
        <f>IFERROR(__xludf.DUMMYFUNCTION("""COMPUTED_VALUE"""),"AP")</f>
        <v>AP</v>
      </c>
      <c r="Y827" s="47" t="str">
        <f>IFERROR(__xludf.DUMMYFUNCTION("""COMPUTED_VALUE"""),"")</f>
        <v/>
      </c>
      <c r="Z827" s="48" t="str">
        <f>IFERROR(__xludf.DUMMYFUNCTION("""COMPUTED_VALUE"""),"%")</f>
        <v>%</v>
      </c>
      <c r="AA827" s="49">
        <f>IFERROR(__xludf.DUMMYFUNCTION("""COMPUTED_VALUE"""),3.0)</f>
        <v>3</v>
      </c>
      <c r="AB827" s="50"/>
      <c r="AC827" s="38"/>
      <c r="AD827" s="45" t="str">
        <f>IFERROR(__xludf.DUMMYFUNCTION("""COMPUTED_VALUE"""),"")</f>
        <v/>
      </c>
      <c r="AE827" s="46" t="str">
        <f>IFERROR(__xludf.DUMMYFUNCTION("""COMPUTED_VALUE"""),"AP")</f>
        <v>AP</v>
      </c>
      <c r="AF827" s="47" t="str">
        <f>IFERROR(__xludf.DUMMYFUNCTION("""COMPUTED_VALUE"""),"")</f>
        <v/>
      </c>
      <c r="AG827" s="48" t="str">
        <f>IFERROR(__xludf.DUMMYFUNCTION("""COMPUTED_VALUE"""),"%")</f>
        <v>%</v>
      </c>
      <c r="AH827" s="43"/>
      <c r="AI827" s="44"/>
      <c r="AJ827" s="51"/>
    </row>
    <row r="828">
      <c r="A828" s="52"/>
      <c r="B828" s="53"/>
      <c r="C828" s="54"/>
      <c r="D828" s="55"/>
      <c r="E828" s="56"/>
      <c r="F828" s="53"/>
      <c r="G828" s="53"/>
      <c r="H828" s="53"/>
      <c r="I828" s="53"/>
      <c r="J828" s="57"/>
      <c r="K828" s="53"/>
      <c r="L828" s="57"/>
      <c r="M828" s="53"/>
      <c r="N828" s="53"/>
      <c r="O828" s="53"/>
      <c r="P828" s="53"/>
      <c r="Q828" s="57"/>
      <c r="R828" s="53"/>
      <c r="S828" s="57"/>
      <c r="T828" s="53"/>
      <c r="U828" s="53"/>
      <c r="V828" s="53"/>
      <c r="W828" s="53"/>
      <c r="X828" s="57"/>
      <c r="Y828" s="53"/>
      <c r="Z828" s="57"/>
      <c r="AA828" s="53"/>
      <c r="AB828" s="53"/>
      <c r="AC828" s="53"/>
      <c r="AD828" s="53"/>
      <c r="AE828" s="57"/>
      <c r="AF828" s="53"/>
      <c r="AG828" s="57"/>
      <c r="AH828" s="53"/>
      <c r="AI828" s="53"/>
      <c r="AJ828" s="58"/>
    </row>
    <row r="829">
      <c r="A829" s="59"/>
      <c r="B829" s="60"/>
      <c r="C829" s="61"/>
      <c r="D829" s="62"/>
      <c r="E829" s="63"/>
      <c r="F829" s="60"/>
      <c r="G829" s="60"/>
      <c r="H829" s="60"/>
      <c r="I829" s="60"/>
      <c r="J829" s="64"/>
      <c r="K829" s="60"/>
      <c r="L829" s="64"/>
      <c r="M829" s="60"/>
      <c r="N829" s="60"/>
      <c r="O829" s="60"/>
      <c r="P829" s="60"/>
      <c r="Q829" s="64"/>
      <c r="R829" s="60"/>
      <c r="S829" s="64"/>
      <c r="T829" s="60"/>
      <c r="U829" s="60"/>
      <c r="V829" s="60"/>
      <c r="W829" s="60"/>
      <c r="X829" s="64"/>
      <c r="Y829" s="60"/>
      <c r="Z829" s="64"/>
      <c r="AA829" s="60"/>
      <c r="AB829" s="60"/>
      <c r="AC829" s="60"/>
      <c r="AD829" s="60"/>
      <c r="AE829" s="64"/>
      <c r="AF829" s="60"/>
      <c r="AG829" s="64"/>
      <c r="AH829" s="60"/>
      <c r="AI829" s="60"/>
      <c r="AJ829" s="65"/>
    </row>
    <row r="830" ht="33.0" customHeight="1">
      <c r="A830" s="20" t="str">
        <f>IFERROR(__xludf.DUMMYFUNCTION("""COMPUTED_VALUE""")," ")</f>
        <v> </v>
      </c>
      <c r="B830" s="21" t="str">
        <f>IFERROR(__xludf.DUMMYFUNCTION("""COMPUTED_VALUE"""),"A108")</f>
        <v>A108</v>
      </c>
      <c r="C830" s="20"/>
      <c r="D830" s="22" t="str">
        <f>IFERROR(__xludf.DUMMYFUNCTION("""COMPUTED_VALUE"""),"")</f>
        <v/>
      </c>
      <c r="E830" s="23" t="str">
        <f>IFERROR(__xludf.DUMMYFUNCTION("""COMPUTED_VALUE"""),"Lamp of Evil-Sealing")</f>
        <v>Lamp of Evil-Sealing</v>
      </c>
      <c r="F830" s="24"/>
      <c r="G830" s="24"/>
      <c r="H830" s="25"/>
      <c r="I830" s="25"/>
      <c r="J830" s="26"/>
      <c r="K830" s="25"/>
      <c r="L830" s="26"/>
      <c r="M830" s="25"/>
      <c r="N830" s="25"/>
      <c r="O830" s="25"/>
      <c r="P830" s="25"/>
      <c r="Q830" s="26"/>
      <c r="R830" s="25"/>
      <c r="S830" s="26"/>
      <c r="T830" s="25"/>
      <c r="U830" s="25"/>
      <c r="V830" s="25"/>
      <c r="W830" s="25"/>
      <c r="X830" s="26"/>
      <c r="Y830" s="25"/>
      <c r="Z830" s="26"/>
      <c r="AA830" s="25"/>
      <c r="AB830" s="25"/>
      <c r="AC830" s="25"/>
      <c r="AD830" s="25"/>
      <c r="AE830" s="26"/>
      <c r="AF830" s="25"/>
      <c r="AG830" s="26"/>
      <c r="AH830" s="24"/>
      <c r="AI830" s="25"/>
      <c r="AJ830" s="27"/>
    </row>
    <row r="831" ht="24.75" customHeight="1">
      <c r="A831" s="28">
        <f>IFERROR(__xludf.DUMMYFUNCTION("""COMPUTED_VALUE"""),1.0)</f>
        <v>1</v>
      </c>
      <c r="B831" s="28" t="str">
        <f>IFERROR(__xludf.DUMMYFUNCTION("""COMPUTED_VALUE"""),"A108")</f>
        <v>A108</v>
      </c>
      <c r="C831" s="28" t="str">
        <f>IFERROR(__xludf.DUMMYFUNCTION("""COMPUTED_VALUE"""),"SLM11")</f>
        <v>SLM11</v>
      </c>
      <c r="D831" s="29" t="str">
        <f>IFERROR(__xludf.DUMMYFUNCTION("""COMPUTED_VALUE"""),"Salem")</f>
        <v>Salem</v>
      </c>
      <c r="E831" s="30" t="str">
        <f>IFERROR(__xludf.DUMMYFUNCTION("""COMPUTED_VALUE"""),"Jail")</f>
        <v>Jail</v>
      </c>
      <c r="F831" s="31">
        <f>IFERROR(__xludf.DUMMYFUNCTION("""COMPUTED_VALUE"""),21.0)</f>
        <v>21</v>
      </c>
      <c r="G831" s="32">
        <f>IFERROR(__xludf.DUMMYFUNCTION("""COMPUTED_VALUE"""),2710.0)</f>
        <v>2710</v>
      </c>
      <c r="H831" s="33" t="str">
        <f>IFERROR(__xludf.DUMMYFUNCTION("""COMPUTED_VALUE"""),"")</f>
        <v/>
      </c>
      <c r="I831" s="34">
        <f>IFERROR(__xludf.DUMMYFUNCTION("""COMPUTED_VALUE"""),100.0)</f>
        <v>100</v>
      </c>
      <c r="J831" s="35" t="str">
        <f>IFERROR(__xludf.DUMMYFUNCTION("""COMPUTED_VALUE"""),"AP")</f>
        <v>AP</v>
      </c>
      <c r="K831" s="34">
        <f>IFERROR(__xludf.DUMMYFUNCTION("""COMPUTED_VALUE"""),21.0)</f>
        <v>21</v>
      </c>
      <c r="L831" s="35" t="str">
        <f>IFERROR(__xludf.DUMMYFUNCTION("""COMPUTED_VALUE"""),"%")</f>
        <v>%</v>
      </c>
      <c r="M831" s="36">
        <f>IFERROR(__xludf.DUMMYFUNCTION("""COMPUTED_VALUE"""),1.0)</f>
        <v>1</v>
      </c>
      <c r="N831" s="37" t="str">
        <f>IFERROR(__xludf.DUMMYFUNCTION("""COMPUTED_VALUE"""),"A303")</f>
        <v>A303</v>
      </c>
      <c r="O831" s="38" t="str">
        <f>IFERROR(__xludf.DUMMYFUNCTION("""COMPUTED_VALUE"""),"")</f>
        <v/>
      </c>
      <c r="P831" s="34">
        <f>IFERROR(__xludf.DUMMYFUNCTION("""COMPUTED_VALUE"""),52.7)</f>
        <v>52.7</v>
      </c>
      <c r="Q831" s="35" t="str">
        <f>IFERROR(__xludf.DUMMYFUNCTION("""COMPUTED_VALUE"""),"AP")</f>
        <v>AP</v>
      </c>
      <c r="R831" s="34">
        <f>IFERROR(__xludf.DUMMYFUNCTION("""COMPUTED_VALUE"""),39.9)</f>
        <v>39.9</v>
      </c>
      <c r="S831" s="35" t="str">
        <f>IFERROR(__xludf.DUMMYFUNCTION("""COMPUTED_VALUE"""),"%")</f>
        <v>%</v>
      </c>
      <c r="T831" s="36">
        <f>IFERROR(__xludf.DUMMYFUNCTION("""COMPUTED_VALUE"""),2.0)</f>
        <v>2</v>
      </c>
      <c r="U831" s="37" t="str">
        <f>IFERROR(__xludf.DUMMYFUNCTION("""COMPUTED_VALUE"""),"B115")</f>
        <v>B115</v>
      </c>
      <c r="V831" s="38" t="str">
        <f>IFERROR(__xludf.DUMMYFUNCTION("""COMPUTED_VALUE"""),"")</f>
        <v/>
      </c>
      <c r="W831" s="34">
        <f>IFERROR(__xludf.DUMMYFUNCTION("""COMPUTED_VALUE"""),275.4)</f>
        <v>275.4</v>
      </c>
      <c r="X831" s="35" t="str">
        <f>IFERROR(__xludf.DUMMYFUNCTION("""COMPUTED_VALUE"""),"AP")</f>
        <v>AP</v>
      </c>
      <c r="Y831" s="34">
        <f>IFERROR(__xludf.DUMMYFUNCTION("""COMPUTED_VALUE"""),7.6)</f>
        <v>7.6</v>
      </c>
      <c r="Z831" s="35" t="str">
        <f>IFERROR(__xludf.DUMMYFUNCTION("""COMPUTED_VALUE"""),"%")</f>
        <v>%</v>
      </c>
      <c r="AA831" s="36">
        <f>IFERROR(__xludf.DUMMYFUNCTION("""COMPUTED_VALUE"""),3.0)</f>
        <v>3</v>
      </c>
      <c r="AB831" s="37"/>
      <c r="AC831" s="38"/>
      <c r="AD831" s="34" t="str">
        <f>IFERROR(__xludf.DUMMYFUNCTION("""COMPUTED_VALUE"""),"")</f>
        <v/>
      </c>
      <c r="AE831" s="35" t="str">
        <f>IFERROR(__xludf.DUMMYFUNCTION("""COMPUTED_VALUE"""),"AP")</f>
        <v>AP</v>
      </c>
      <c r="AF831" s="34" t="str">
        <f>IFERROR(__xludf.DUMMYFUNCTION("""COMPUTED_VALUE"""),"")</f>
        <v/>
      </c>
      <c r="AG831" s="35" t="str">
        <f>IFERROR(__xludf.DUMMYFUNCTION("""COMPUTED_VALUE"""),"%")</f>
        <v>%</v>
      </c>
      <c r="AH831" s="31">
        <f>IFERROR(__xludf.DUMMYFUNCTION("""COMPUTED_VALUE"""),21.0)</f>
        <v>21</v>
      </c>
      <c r="AI831" s="32">
        <f>IFERROR(__xludf.DUMMYFUNCTION("""COMPUTED_VALUE"""),2710.0)</f>
        <v>2710</v>
      </c>
      <c r="AJ831" s="39" t="str">
        <f>IFERROR(__xludf.DUMMYFUNCTION("""COMPUTED_VALUE"""),"留置所")</f>
        <v>留置所</v>
      </c>
    </row>
    <row r="832" ht="24.75" customHeight="1">
      <c r="A832" s="40">
        <f>IFERROR(__xludf.DUMMYFUNCTION("""COMPUTED_VALUE"""),2.0)</f>
        <v>2</v>
      </c>
      <c r="B832" s="40" t="str">
        <f>IFERROR(__xludf.DUMMYFUNCTION("""COMPUTED_VALUE"""),"A108")</f>
        <v>A108</v>
      </c>
      <c r="C832" s="40" t="str">
        <f>IFERROR(__xludf.DUMMYFUNCTION("""COMPUTED_VALUE"""),"YKS10")</f>
        <v>YKS10</v>
      </c>
      <c r="D832" s="41" t="str">
        <f>IFERROR(__xludf.DUMMYFUNCTION("""COMPUTED_VALUE"""),"Yuga Kurukshetra")</f>
        <v>Yuga Kurukshetra</v>
      </c>
      <c r="E832" s="42" t="str">
        <f>IFERROR(__xludf.DUMMYFUNCTION("""COMPUTED_VALUE"""),"Eastern Flower Garden")</f>
        <v>Eastern Flower Garden</v>
      </c>
      <c r="F832" s="43">
        <f>IFERROR(__xludf.DUMMYFUNCTION("""COMPUTED_VALUE"""),21.0)</f>
        <v>21</v>
      </c>
      <c r="G832" s="44">
        <f>IFERROR(__xludf.DUMMYFUNCTION("""COMPUTED_VALUE"""),6018.0)</f>
        <v>6018</v>
      </c>
      <c r="H832" s="33" t="str">
        <f>IFERROR(__xludf.DUMMYFUNCTION("""COMPUTED_VALUE"""),"")</f>
        <v/>
      </c>
      <c r="I832" s="45">
        <f>IFERROR(__xludf.DUMMYFUNCTION("""COMPUTED_VALUE"""),110.9)</f>
        <v>110.9</v>
      </c>
      <c r="J832" s="46" t="str">
        <f>IFERROR(__xludf.DUMMYFUNCTION("""COMPUTED_VALUE"""),"AP")</f>
        <v>AP</v>
      </c>
      <c r="K832" s="47">
        <f>IFERROR(__xludf.DUMMYFUNCTION("""COMPUTED_VALUE"""),18.9)</f>
        <v>18.9</v>
      </c>
      <c r="L832" s="48" t="str">
        <f>IFERROR(__xludf.DUMMYFUNCTION("""COMPUTED_VALUE"""),"%")</f>
        <v>%</v>
      </c>
      <c r="M832" s="49">
        <f>IFERROR(__xludf.DUMMYFUNCTION("""COMPUTED_VALUE"""),1.0)</f>
        <v>1</v>
      </c>
      <c r="N832" s="50" t="str">
        <f>IFERROR(__xludf.DUMMYFUNCTION("""COMPUTED_VALUE"""),"A205")</f>
        <v>A205</v>
      </c>
      <c r="O832" s="38" t="str">
        <f>IFERROR(__xludf.DUMMYFUNCTION("""COMPUTED_VALUE"""),"")</f>
        <v/>
      </c>
      <c r="P832" s="45">
        <f>IFERROR(__xludf.DUMMYFUNCTION("""COMPUTED_VALUE"""),106.7)</f>
        <v>106.7</v>
      </c>
      <c r="Q832" s="46" t="str">
        <f>IFERROR(__xludf.DUMMYFUNCTION("""COMPUTED_VALUE"""),"AP")</f>
        <v>AP</v>
      </c>
      <c r="R832" s="47">
        <f>IFERROR(__xludf.DUMMYFUNCTION("""COMPUTED_VALUE"""),19.7)</f>
        <v>19.7</v>
      </c>
      <c r="S832" s="48" t="str">
        <f>IFERROR(__xludf.DUMMYFUNCTION("""COMPUTED_VALUE"""),"%")</f>
        <v>%</v>
      </c>
      <c r="T832" s="49">
        <f>IFERROR(__xludf.DUMMYFUNCTION("""COMPUTED_VALUE"""),2.0)</f>
        <v>2</v>
      </c>
      <c r="U832" s="50" t="str">
        <f>IFERROR(__xludf.DUMMYFUNCTION("""COMPUTED_VALUE"""),"B115")</f>
        <v>B115</v>
      </c>
      <c r="V832" s="38" t="str">
        <f>IFERROR(__xludf.DUMMYFUNCTION("""COMPUTED_VALUE"""),"")</f>
        <v/>
      </c>
      <c r="W832" s="45">
        <f>IFERROR(__xludf.DUMMYFUNCTION("""COMPUTED_VALUE"""),51.7)</f>
        <v>51.7</v>
      </c>
      <c r="X832" s="46" t="str">
        <f>IFERROR(__xludf.DUMMYFUNCTION("""COMPUTED_VALUE"""),"AP")</f>
        <v>AP</v>
      </c>
      <c r="Y832" s="47">
        <f>IFERROR(__xludf.DUMMYFUNCTION("""COMPUTED_VALUE"""),40.6)</f>
        <v>40.6</v>
      </c>
      <c r="Z832" s="48" t="str">
        <f>IFERROR(__xludf.DUMMYFUNCTION("""COMPUTED_VALUE"""),"%")</f>
        <v>%</v>
      </c>
      <c r="AA832" s="49">
        <f>IFERROR(__xludf.DUMMYFUNCTION("""COMPUTED_VALUE"""),3.0)</f>
        <v>3</v>
      </c>
      <c r="AB832" s="50"/>
      <c r="AC832" s="38"/>
      <c r="AD832" s="45" t="str">
        <f>IFERROR(__xludf.DUMMYFUNCTION("""COMPUTED_VALUE"""),"")</f>
        <v/>
      </c>
      <c r="AE832" s="46" t="str">
        <f>IFERROR(__xludf.DUMMYFUNCTION("""COMPUTED_VALUE"""),"AP")</f>
        <v>AP</v>
      </c>
      <c r="AF832" s="47" t="str">
        <f>IFERROR(__xludf.DUMMYFUNCTION("""COMPUTED_VALUE"""),"")</f>
        <v/>
      </c>
      <c r="AG832" s="48" t="str">
        <f>IFERROR(__xludf.DUMMYFUNCTION("""COMPUTED_VALUE"""),"%")</f>
        <v>%</v>
      </c>
      <c r="AH832" s="43">
        <f>IFERROR(__xludf.DUMMYFUNCTION("""COMPUTED_VALUE"""),21.0)</f>
        <v>21</v>
      </c>
      <c r="AI832" s="44">
        <f>IFERROR(__xludf.DUMMYFUNCTION("""COMPUTED_VALUE"""),6018.0)</f>
        <v>6018</v>
      </c>
      <c r="AJ832" s="51" t="str">
        <f>IFERROR(__xludf.DUMMYFUNCTION("""COMPUTED_VALUE"""),"東の花園")</f>
        <v>東の花園</v>
      </c>
    </row>
    <row r="833" ht="24.75" customHeight="1">
      <c r="A833" s="28">
        <f>IFERROR(__xludf.DUMMYFUNCTION("""COMPUTED_VALUE"""),3.0)</f>
        <v>3</v>
      </c>
      <c r="B833" s="28" t="str">
        <f>IFERROR(__xludf.DUMMYFUNCTION("""COMPUTED_VALUE"""),"A108")</f>
        <v>A108</v>
      </c>
      <c r="C833" s="28" t="str">
        <f>IFERROR(__xludf.DUMMYFUNCTION("""COMPUTED_VALUE"""),"CML11")</f>
        <v>CML11</v>
      </c>
      <c r="D833" s="29" t="str">
        <f>IFERROR(__xludf.DUMMYFUNCTION("""COMPUTED_VALUE"""),"Camelot")</f>
        <v>Camelot</v>
      </c>
      <c r="E833" s="30" t="str">
        <f>IFERROR(__xludf.DUMMYFUNCTION("""COMPUTED_VALUE"""),"Hidden Village")</f>
        <v>Hidden Village</v>
      </c>
      <c r="F833" s="31">
        <f>IFERROR(__xludf.DUMMYFUNCTION("""COMPUTED_VALUE"""),21.0)</f>
        <v>21</v>
      </c>
      <c r="G833" s="32">
        <f>IFERROR(__xludf.DUMMYFUNCTION("""COMPUTED_VALUE"""),123673.0)</f>
        <v>123673</v>
      </c>
      <c r="H833" s="33" t="str">
        <f>IFERROR(__xludf.DUMMYFUNCTION("""COMPUTED_VALUE"""),"")</f>
        <v/>
      </c>
      <c r="I833" s="34">
        <f>IFERROR(__xludf.DUMMYFUNCTION("""COMPUTED_VALUE"""),130.2)</f>
        <v>130.2</v>
      </c>
      <c r="J833" s="35" t="str">
        <f>IFERROR(__xludf.DUMMYFUNCTION("""COMPUTED_VALUE"""),"AP")</f>
        <v>AP</v>
      </c>
      <c r="K833" s="34">
        <f>IFERROR(__xludf.DUMMYFUNCTION("""COMPUTED_VALUE"""),16.1)</f>
        <v>16.1</v>
      </c>
      <c r="L833" s="35" t="str">
        <f>IFERROR(__xludf.DUMMYFUNCTION("""COMPUTED_VALUE"""),"%")</f>
        <v>%</v>
      </c>
      <c r="M833" s="36">
        <f>IFERROR(__xludf.DUMMYFUNCTION("""COMPUTED_VALUE"""),1.0)</f>
        <v>1</v>
      </c>
      <c r="N833" s="37" t="str">
        <f>IFERROR(__xludf.DUMMYFUNCTION("""COMPUTED_VALUE"""),"A305")</f>
        <v>A305</v>
      </c>
      <c r="O833" s="38" t="str">
        <f>IFERROR(__xludf.DUMMYFUNCTION("""COMPUTED_VALUE"""),"")</f>
        <v/>
      </c>
      <c r="P833" s="34">
        <f>IFERROR(__xludf.DUMMYFUNCTION("""COMPUTED_VALUE"""),69.1)</f>
        <v>69.1</v>
      </c>
      <c r="Q833" s="35" t="str">
        <f>IFERROR(__xludf.DUMMYFUNCTION("""COMPUTED_VALUE"""),"AP")</f>
        <v>AP</v>
      </c>
      <c r="R833" s="34">
        <f>IFERROR(__xludf.DUMMYFUNCTION("""COMPUTED_VALUE"""),30.4)</f>
        <v>30.4</v>
      </c>
      <c r="S833" s="35" t="str">
        <f>IFERROR(__xludf.DUMMYFUNCTION("""COMPUTED_VALUE"""),"%")</f>
        <v>%</v>
      </c>
      <c r="T833" s="36">
        <f>IFERROR(__xludf.DUMMYFUNCTION("""COMPUTED_VALUE"""),2.0)</f>
        <v>2</v>
      </c>
      <c r="U833" s="37" t="str">
        <f>IFERROR(__xludf.DUMMYFUNCTION("""COMPUTED_VALUE"""),"B115")</f>
        <v>B115</v>
      </c>
      <c r="V833" s="38" t="str">
        <f>IFERROR(__xludf.DUMMYFUNCTION("""COMPUTED_VALUE"""),"")</f>
        <v/>
      </c>
      <c r="W833" s="34">
        <f>IFERROR(__xludf.DUMMYFUNCTION("""COMPUTED_VALUE"""),266.7)</f>
        <v>266.7</v>
      </c>
      <c r="X833" s="35" t="str">
        <f>IFERROR(__xludf.DUMMYFUNCTION("""COMPUTED_VALUE"""),"AP")</f>
        <v>AP</v>
      </c>
      <c r="Y833" s="34">
        <f>IFERROR(__xludf.DUMMYFUNCTION("""COMPUTED_VALUE"""),7.9)</f>
        <v>7.9</v>
      </c>
      <c r="Z833" s="35" t="str">
        <f>IFERROR(__xludf.DUMMYFUNCTION("""COMPUTED_VALUE"""),"%")</f>
        <v>%</v>
      </c>
      <c r="AA833" s="36">
        <f>IFERROR(__xludf.DUMMYFUNCTION("""COMPUTED_VALUE"""),3.0)</f>
        <v>3</v>
      </c>
      <c r="AB833" s="37"/>
      <c r="AC833" s="38"/>
      <c r="AD833" s="34" t="str">
        <f>IFERROR(__xludf.DUMMYFUNCTION("""COMPUTED_VALUE"""),"")</f>
        <v/>
      </c>
      <c r="AE833" s="35" t="str">
        <f>IFERROR(__xludf.DUMMYFUNCTION("""COMPUTED_VALUE"""),"AP")</f>
        <v>AP</v>
      </c>
      <c r="AF833" s="34" t="str">
        <f>IFERROR(__xludf.DUMMYFUNCTION("""COMPUTED_VALUE"""),"")</f>
        <v/>
      </c>
      <c r="AG833" s="35" t="str">
        <f>IFERROR(__xludf.DUMMYFUNCTION("""COMPUTED_VALUE"""),"%")</f>
        <v>%</v>
      </c>
      <c r="AH833" s="31">
        <f>IFERROR(__xludf.DUMMYFUNCTION("""COMPUTED_VALUE"""),21.0)</f>
        <v>21</v>
      </c>
      <c r="AI833" s="32">
        <f>IFERROR(__xludf.DUMMYFUNCTION("""COMPUTED_VALUE"""),123673.0)</f>
        <v>123673</v>
      </c>
      <c r="AJ833" s="39" t="str">
        <f>IFERROR(__xludf.DUMMYFUNCTION("""COMPUTED_VALUE"""),"隠れ村")</f>
        <v>隠れ村</v>
      </c>
    </row>
    <row r="834" ht="24.75" customHeight="1">
      <c r="A834" s="40">
        <f>IFERROR(__xludf.DUMMYFUNCTION("""COMPUTED_VALUE"""),4.0)</f>
        <v>4</v>
      </c>
      <c r="B834" s="40" t="str">
        <f>IFERROR(__xludf.DUMMYFUNCTION("""COMPUTED_VALUE"""),"A108")</f>
        <v>A108</v>
      </c>
      <c r="C834" s="40" t="str">
        <f>IFERROR(__xludf.DUMMYFUNCTION("""COMPUTED_VALUE"""),"CML2")</f>
        <v>CML2</v>
      </c>
      <c r="D834" s="41" t="str">
        <f>IFERROR(__xludf.DUMMYFUNCTION("""COMPUTED_VALUE"""),"Camelot")</f>
        <v>Camelot</v>
      </c>
      <c r="E834" s="42" t="str">
        <f>IFERROR(__xludf.DUMMYFUNCTION("""COMPUTED_VALUE"""),"Dune of Dawn")</f>
        <v>Dune of Dawn</v>
      </c>
      <c r="F834" s="43">
        <f>IFERROR(__xludf.DUMMYFUNCTION("""COMPUTED_VALUE"""),19.0)</f>
        <v>19</v>
      </c>
      <c r="G834" s="44">
        <f>IFERROR(__xludf.DUMMYFUNCTION("""COMPUTED_VALUE"""),1102.0)</f>
        <v>1102</v>
      </c>
      <c r="H834" s="33" t="str">
        <f>IFERROR(__xludf.DUMMYFUNCTION("""COMPUTED_VALUE"""),"")</f>
        <v/>
      </c>
      <c r="I834" s="45">
        <f>IFERROR(__xludf.DUMMYFUNCTION("""COMPUTED_VALUE"""),174.5)</f>
        <v>174.5</v>
      </c>
      <c r="J834" s="46" t="str">
        <f>IFERROR(__xludf.DUMMYFUNCTION("""COMPUTED_VALUE"""),"AP")</f>
        <v>AP</v>
      </c>
      <c r="K834" s="47">
        <f>IFERROR(__xludf.DUMMYFUNCTION("""COMPUTED_VALUE"""),10.9)</f>
        <v>10.9</v>
      </c>
      <c r="L834" s="48" t="str">
        <f>IFERROR(__xludf.DUMMYFUNCTION("""COMPUTED_VALUE"""),"%")</f>
        <v>%</v>
      </c>
      <c r="M834" s="49">
        <f>IFERROR(__xludf.DUMMYFUNCTION("""COMPUTED_VALUE"""),1.0)</f>
        <v>1</v>
      </c>
      <c r="N834" s="50" t="str">
        <f>IFERROR(__xludf.DUMMYFUNCTION("""COMPUTED_VALUE"""),"A204")</f>
        <v>A204</v>
      </c>
      <c r="O834" s="38" t="str">
        <f>IFERROR(__xludf.DUMMYFUNCTION("""COMPUTED_VALUE"""),"")</f>
        <v/>
      </c>
      <c r="P834" s="45">
        <f>IFERROR(__xludf.DUMMYFUNCTION("""COMPUTED_VALUE"""),136.0)</f>
        <v>136</v>
      </c>
      <c r="Q834" s="46" t="str">
        <f>IFERROR(__xludf.DUMMYFUNCTION("""COMPUTED_VALUE"""),"AP")</f>
        <v>AP</v>
      </c>
      <c r="R834" s="47">
        <f>IFERROR(__xludf.DUMMYFUNCTION("""COMPUTED_VALUE"""),14.0)</f>
        <v>14</v>
      </c>
      <c r="S834" s="48" t="str">
        <f>IFERROR(__xludf.DUMMYFUNCTION("""COMPUTED_VALUE"""),"%")</f>
        <v>%</v>
      </c>
      <c r="T834" s="49">
        <f>IFERROR(__xludf.DUMMYFUNCTION("""COMPUTED_VALUE"""),2.0)</f>
        <v>2</v>
      </c>
      <c r="U834" s="50" t="str">
        <f>IFERROR(__xludf.DUMMYFUNCTION("""COMPUTED_VALUE"""),"B115")</f>
        <v>B115</v>
      </c>
      <c r="V834" s="38" t="str">
        <f>IFERROR(__xludf.DUMMYFUNCTION("""COMPUTED_VALUE"""),"")</f>
        <v/>
      </c>
      <c r="W834" s="45">
        <f>IFERROR(__xludf.DUMMYFUNCTION("""COMPUTED_VALUE"""),42.9)</f>
        <v>42.9</v>
      </c>
      <c r="X834" s="46" t="str">
        <f>IFERROR(__xludf.DUMMYFUNCTION("""COMPUTED_VALUE"""),"AP")</f>
        <v>AP</v>
      </c>
      <c r="Y834" s="47">
        <f>IFERROR(__xludf.DUMMYFUNCTION("""COMPUTED_VALUE"""),44.3)</f>
        <v>44.3</v>
      </c>
      <c r="Z834" s="48" t="str">
        <f>IFERROR(__xludf.DUMMYFUNCTION("""COMPUTED_VALUE"""),"%")</f>
        <v>%</v>
      </c>
      <c r="AA834" s="49">
        <f>IFERROR(__xludf.DUMMYFUNCTION("""COMPUTED_VALUE"""),3.0)</f>
        <v>3</v>
      </c>
      <c r="AB834" s="50"/>
      <c r="AC834" s="38"/>
      <c r="AD834" s="45" t="str">
        <f>IFERROR(__xludf.DUMMYFUNCTION("""COMPUTED_VALUE"""),"")</f>
        <v/>
      </c>
      <c r="AE834" s="46" t="str">
        <f>IFERROR(__xludf.DUMMYFUNCTION("""COMPUTED_VALUE"""),"AP")</f>
        <v>AP</v>
      </c>
      <c r="AF834" s="47" t="str">
        <f>IFERROR(__xludf.DUMMYFUNCTION("""COMPUTED_VALUE"""),"")</f>
        <v/>
      </c>
      <c r="AG834" s="48" t="str">
        <f>IFERROR(__xludf.DUMMYFUNCTION("""COMPUTED_VALUE"""),"%")</f>
        <v>%</v>
      </c>
      <c r="AH834" s="43">
        <f>IFERROR(__xludf.DUMMYFUNCTION("""COMPUTED_VALUE"""),19.0)</f>
        <v>19</v>
      </c>
      <c r="AI834" s="44">
        <f>IFERROR(__xludf.DUMMYFUNCTION("""COMPUTED_VALUE"""),1102.0)</f>
        <v>1102</v>
      </c>
      <c r="AJ834" s="51" t="str">
        <f>IFERROR(__xludf.DUMMYFUNCTION("""COMPUTED_VALUE"""),"明けの砂丘")</f>
        <v>明けの砂丘</v>
      </c>
    </row>
    <row r="835" ht="24.75" customHeight="1">
      <c r="A835" s="28">
        <f>IFERROR(__xludf.DUMMYFUNCTION("""COMPUTED_VALUE"""),5.0)</f>
        <v>5</v>
      </c>
      <c r="B835" s="28" t="str">
        <f>IFERROR(__xludf.DUMMYFUNCTION("""COMPUTED_VALUE"""),"A108")</f>
        <v>A108</v>
      </c>
      <c r="C835" s="28"/>
      <c r="D835" s="29"/>
      <c r="E835" s="67"/>
      <c r="F835" s="31"/>
      <c r="G835" s="32"/>
      <c r="H835" s="33" t="str">
        <f>IFERROR(__xludf.DUMMYFUNCTION("""COMPUTED_VALUE""")," ")</f>
        <v> </v>
      </c>
      <c r="I835" s="34"/>
      <c r="J835" s="35" t="str">
        <f>IFERROR(__xludf.DUMMYFUNCTION("""COMPUTED_VALUE"""),"AP")</f>
        <v>AP</v>
      </c>
      <c r="K835" s="34"/>
      <c r="L835" s="35" t="str">
        <f>IFERROR(__xludf.DUMMYFUNCTION("""COMPUTED_VALUE"""),"%")</f>
        <v>%</v>
      </c>
      <c r="M835" s="36">
        <f>IFERROR(__xludf.DUMMYFUNCTION("""COMPUTED_VALUE"""),1.0)</f>
        <v>1</v>
      </c>
      <c r="N835" s="37"/>
      <c r="O835" s="38"/>
      <c r="P835" s="34" t="str">
        <f>IFERROR(__xludf.DUMMYFUNCTION("""COMPUTED_VALUE"""),"")</f>
        <v/>
      </c>
      <c r="Q835" s="35" t="str">
        <f>IFERROR(__xludf.DUMMYFUNCTION("""COMPUTED_VALUE"""),"AP")</f>
        <v>AP</v>
      </c>
      <c r="R835" s="34" t="str">
        <f>IFERROR(__xludf.DUMMYFUNCTION("""COMPUTED_VALUE"""),"")</f>
        <v/>
      </c>
      <c r="S835" s="35" t="str">
        <f>IFERROR(__xludf.DUMMYFUNCTION("""COMPUTED_VALUE"""),"%")</f>
        <v>%</v>
      </c>
      <c r="T835" s="36">
        <f>IFERROR(__xludf.DUMMYFUNCTION("""COMPUTED_VALUE"""),2.0)</f>
        <v>2</v>
      </c>
      <c r="U835" s="37"/>
      <c r="V835" s="38"/>
      <c r="W835" s="34" t="str">
        <f>IFERROR(__xludf.DUMMYFUNCTION("""COMPUTED_VALUE"""),"")</f>
        <v/>
      </c>
      <c r="X835" s="35" t="str">
        <f>IFERROR(__xludf.DUMMYFUNCTION("""COMPUTED_VALUE"""),"AP")</f>
        <v>AP</v>
      </c>
      <c r="Y835" s="34" t="str">
        <f>IFERROR(__xludf.DUMMYFUNCTION("""COMPUTED_VALUE"""),"")</f>
        <v/>
      </c>
      <c r="Z835" s="35" t="str">
        <f>IFERROR(__xludf.DUMMYFUNCTION("""COMPUTED_VALUE"""),"%")</f>
        <v>%</v>
      </c>
      <c r="AA835" s="36">
        <f>IFERROR(__xludf.DUMMYFUNCTION("""COMPUTED_VALUE"""),3.0)</f>
        <v>3</v>
      </c>
      <c r="AB835" s="37"/>
      <c r="AC835" s="38"/>
      <c r="AD835" s="34" t="str">
        <f>IFERROR(__xludf.DUMMYFUNCTION("""COMPUTED_VALUE"""),"")</f>
        <v/>
      </c>
      <c r="AE835" s="35" t="str">
        <f>IFERROR(__xludf.DUMMYFUNCTION("""COMPUTED_VALUE"""),"AP")</f>
        <v>AP</v>
      </c>
      <c r="AF835" s="34" t="str">
        <f>IFERROR(__xludf.DUMMYFUNCTION("""COMPUTED_VALUE"""),"")</f>
        <v/>
      </c>
      <c r="AG835" s="35" t="str">
        <f>IFERROR(__xludf.DUMMYFUNCTION("""COMPUTED_VALUE"""),"%")</f>
        <v>%</v>
      </c>
      <c r="AH835" s="31"/>
      <c r="AI835" s="32"/>
      <c r="AJ835" s="39"/>
    </row>
    <row r="836" ht="24.75" hidden="1" customHeight="1">
      <c r="A836" s="40">
        <f>IFERROR(__xludf.DUMMYFUNCTION("""COMPUTED_VALUE"""),6.0)</f>
        <v>6</v>
      </c>
      <c r="B836" s="40" t="str">
        <f>IFERROR(__xludf.DUMMYFUNCTION("""COMPUTED_VALUE"""),"A108")</f>
        <v>A108</v>
      </c>
      <c r="C836" s="40"/>
      <c r="D836" s="41"/>
      <c r="E836" s="66"/>
      <c r="F836" s="43"/>
      <c r="G836" s="44"/>
      <c r="H836" s="33" t="str">
        <f>IFERROR(__xludf.DUMMYFUNCTION("""COMPUTED_VALUE""")," ")</f>
        <v> </v>
      </c>
      <c r="I836" s="45"/>
      <c r="J836" s="46" t="str">
        <f>IFERROR(__xludf.DUMMYFUNCTION("""COMPUTED_VALUE"""),"AP")</f>
        <v>AP</v>
      </c>
      <c r="K836" s="47"/>
      <c r="L836" s="48" t="str">
        <f>IFERROR(__xludf.DUMMYFUNCTION("""COMPUTED_VALUE"""),"%")</f>
        <v>%</v>
      </c>
      <c r="M836" s="49">
        <f>IFERROR(__xludf.DUMMYFUNCTION("""COMPUTED_VALUE"""),1.0)</f>
        <v>1</v>
      </c>
      <c r="N836" s="50"/>
      <c r="O836" s="38"/>
      <c r="P836" s="45" t="str">
        <f>IFERROR(__xludf.DUMMYFUNCTION("""COMPUTED_VALUE"""),"")</f>
        <v/>
      </c>
      <c r="Q836" s="46" t="str">
        <f>IFERROR(__xludf.DUMMYFUNCTION("""COMPUTED_VALUE"""),"AP")</f>
        <v>AP</v>
      </c>
      <c r="R836" s="47" t="str">
        <f>IFERROR(__xludf.DUMMYFUNCTION("""COMPUTED_VALUE"""),"")</f>
        <v/>
      </c>
      <c r="S836" s="48" t="str">
        <f>IFERROR(__xludf.DUMMYFUNCTION("""COMPUTED_VALUE"""),"%")</f>
        <v>%</v>
      </c>
      <c r="T836" s="49">
        <f>IFERROR(__xludf.DUMMYFUNCTION("""COMPUTED_VALUE"""),2.0)</f>
        <v>2</v>
      </c>
      <c r="U836" s="50"/>
      <c r="V836" s="38"/>
      <c r="W836" s="45" t="str">
        <f>IFERROR(__xludf.DUMMYFUNCTION("""COMPUTED_VALUE"""),"")</f>
        <v/>
      </c>
      <c r="X836" s="46" t="str">
        <f>IFERROR(__xludf.DUMMYFUNCTION("""COMPUTED_VALUE"""),"AP")</f>
        <v>AP</v>
      </c>
      <c r="Y836" s="47" t="str">
        <f>IFERROR(__xludf.DUMMYFUNCTION("""COMPUTED_VALUE"""),"")</f>
        <v/>
      </c>
      <c r="Z836" s="48" t="str">
        <f>IFERROR(__xludf.DUMMYFUNCTION("""COMPUTED_VALUE"""),"%")</f>
        <v>%</v>
      </c>
      <c r="AA836" s="49">
        <f>IFERROR(__xludf.DUMMYFUNCTION("""COMPUTED_VALUE"""),3.0)</f>
        <v>3</v>
      </c>
      <c r="AB836" s="50"/>
      <c r="AC836" s="38"/>
      <c r="AD836" s="45" t="str">
        <f>IFERROR(__xludf.DUMMYFUNCTION("""COMPUTED_VALUE"""),"")</f>
        <v/>
      </c>
      <c r="AE836" s="46" t="str">
        <f>IFERROR(__xludf.DUMMYFUNCTION("""COMPUTED_VALUE"""),"AP")</f>
        <v>AP</v>
      </c>
      <c r="AF836" s="47" t="str">
        <f>IFERROR(__xludf.DUMMYFUNCTION("""COMPUTED_VALUE"""),"")</f>
        <v/>
      </c>
      <c r="AG836" s="48" t="str">
        <f>IFERROR(__xludf.DUMMYFUNCTION("""COMPUTED_VALUE"""),"%")</f>
        <v>%</v>
      </c>
      <c r="AH836" s="43"/>
      <c r="AI836" s="44"/>
      <c r="AJ836" s="51"/>
    </row>
    <row r="837" ht="24.75" hidden="1" customHeight="1">
      <c r="A837" s="28">
        <f>IFERROR(__xludf.DUMMYFUNCTION("""COMPUTED_VALUE"""),7.0)</f>
        <v>7</v>
      </c>
      <c r="B837" s="28" t="str">
        <f>IFERROR(__xludf.DUMMYFUNCTION("""COMPUTED_VALUE"""),"A108")</f>
        <v>A108</v>
      </c>
      <c r="C837" s="28"/>
      <c r="D837" s="29"/>
      <c r="E837" s="67"/>
      <c r="F837" s="31"/>
      <c r="G837" s="32"/>
      <c r="H837" s="33" t="str">
        <f>IFERROR(__xludf.DUMMYFUNCTION("""COMPUTED_VALUE""")," ")</f>
        <v> </v>
      </c>
      <c r="I837" s="34"/>
      <c r="J837" s="35" t="str">
        <f>IFERROR(__xludf.DUMMYFUNCTION("""COMPUTED_VALUE"""),"AP")</f>
        <v>AP</v>
      </c>
      <c r="K837" s="34"/>
      <c r="L837" s="35" t="str">
        <f>IFERROR(__xludf.DUMMYFUNCTION("""COMPUTED_VALUE"""),"%")</f>
        <v>%</v>
      </c>
      <c r="M837" s="36">
        <f>IFERROR(__xludf.DUMMYFUNCTION("""COMPUTED_VALUE"""),1.0)</f>
        <v>1</v>
      </c>
      <c r="N837" s="37"/>
      <c r="O837" s="38"/>
      <c r="P837" s="34" t="str">
        <f>IFERROR(__xludf.DUMMYFUNCTION("""COMPUTED_VALUE"""),"")</f>
        <v/>
      </c>
      <c r="Q837" s="35" t="str">
        <f>IFERROR(__xludf.DUMMYFUNCTION("""COMPUTED_VALUE"""),"AP")</f>
        <v>AP</v>
      </c>
      <c r="R837" s="34" t="str">
        <f>IFERROR(__xludf.DUMMYFUNCTION("""COMPUTED_VALUE"""),"")</f>
        <v/>
      </c>
      <c r="S837" s="35" t="str">
        <f>IFERROR(__xludf.DUMMYFUNCTION("""COMPUTED_VALUE"""),"%")</f>
        <v>%</v>
      </c>
      <c r="T837" s="36">
        <f>IFERROR(__xludf.DUMMYFUNCTION("""COMPUTED_VALUE"""),2.0)</f>
        <v>2</v>
      </c>
      <c r="U837" s="37"/>
      <c r="V837" s="38"/>
      <c r="W837" s="34" t="str">
        <f>IFERROR(__xludf.DUMMYFUNCTION("""COMPUTED_VALUE"""),"")</f>
        <v/>
      </c>
      <c r="X837" s="35" t="str">
        <f>IFERROR(__xludf.DUMMYFUNCTION("""COMPUTED_VALUE"""),"AP")</f>
        <v>AP</v>
      </c>
      <c r="Y837" s="34" t="str">
        <f>IFERROR(__xludf.DUMMYFUNCTION("""COMPUTED_VALUE"""),"")</f>
        <v/>
      </c>
      <c r="Z837" s="35" t="str">
        <f>IFERROR(__xludf.DUMMYFUNCTION("""COMPUTED_VALUE"""),"%")</f>
        <v>%</v>
      </c>
      <c r="AA837" s="36">
        <f>IFERROR(__xludf.DUMMYFUNCTION("""COMPUTED_VALUE"""),3.0)</f>
        <v>3</v>
      </c>
      <c r="AB837" s="37"/>
      <c r="AC837" s="38"/>
      <c r="AD837" s="34" t="str">
        <f>IFERROR(__xludf.DUMMYFUNCTION("""COMPUTED_VALUE"""),"")</f>
        <v/>
      </c>
      <c r="AE837" s="35" t="str">
        <f>IFERROR(__xludf.DUMMYFUNCTION("""COMPUTED_VALUE"""),"AP")</f>
        <v>AP</v>
      </c>
      <c r="AF837" s="34" t="str">
        <f>IFERROR(__xludf.DUMMYFUNCTION("""COMPUTED_VALUE"""),"")</f>
        <v/>
      </c>
      <c r="AG837" s="35" t="str">
        <f>IFERROR(__xludf.DUMMYFUNCTION("""COMPUTED_VALUE"""),"%")</f>
        <v>%</v>
      </c>
      <c r="AH837" s="31"/>
      <c r="AI837" s="32"/>
      <c r="AJ837" s="39"/>
    </row>
    <row r="838" ht="24.75" hidden="1" customHeight="1">
      <c r="A838" s="40">
        <f>IFERROR(__xludf.DUMMYFUNCTION("""COMPUTED_VALUE"""),8.0)</f>
        <v>8</v>
      </c>
      <c r="B838" s="40" t="str">
        <f>IFERROR(__xludf.DUMMYFUNCTION("""COMPUTED_VALUE"""),"A108")</f>
        <v>A108</v>
      </c>
      <c r="C838" s="40"/>
      <c r="D838" s="41"/>
      <c r="E838" s="66"/>
      <c r="F838" s="43"/>
      <c r="G838" s="44"/>
      <c r="H838" s="33" t="str">
        <f>IFERROR(__xludf.DUMMYFUNCTION("""COMPUTED_VALUE""")," ")</f>
        <v> </v>
      </c>
      <c r="I838" s="45"/>
      <c r="J838" s="46" t="str">
        <f>IFERROR(__xludf.DUMMYFUNCTION("""COMPUTED_VALUE"""),"AP")</f>
        <v>AP</v>
      </c>
      <c r="K838" s="47"/>
      <c r="L838" s="48" t="str">
        <f>IFERROR(__xludf.DUMMYFUNCTION("""COMPUTED_VALUE"""),"%")</f>
        <v>%</v>
      </c>
      <c r="M838" s="49">
        <f>IFERROR(__xludf.DUMMYFUNCTION("""COMPUTED_VALUE"""),1.0)</f>
        <v>1</v>
      </c>
      <c r="N838" s="50"/>
      <c r="O838" s="38"/>
      <c r="P838" s="45" t="str">
        <f>IFERROR(__xludf.DUMMYFUNCTION("""COMPUTED_VALUE"""),"")</f>
        <v/>
      </c>
      <c r="Q838" s="46" t="str">
        <f>IFERROR(__xludf.DUMMYFUNCTION("""COMPUTED_VALUE"""),"AP")</f>
        <v>AP</v>
      </c>
      <c r="R838" s="47" t="str">
        <f>IFERROR(__xludf.DUMMYFUNCTION("""COMPUTED_VALUE"""),"")</f>
        <v/>
      </c>
      <c r="S838" s="48" t="str">
        <f>IFERROR(__xludf.DUMMYFUNCTION("""COMPUTED_VALUE"""),"%")</f>
        <v>%</v>
      </c>
      <c r="T838" s="49">
        <f>IFERROR(__xludf.DUMMYFUNCTION("""COMPUTED_VALUE"""),2.0)</f>
        <v>2</v>
      </c>
      <c r="U838" s="50"/>
      <c r="V838" s="38"/>
      <c r="W838" s="45" t="str">
        <f>IFERROR(__xludf.DUMMYFUNCTION("""COMPUTED_VALUE"""),"")</f>
        <v/>
      </c>
      <c r="X838" s="46" t="str">
        <f>IFERROR(__xludf.DUMMYFUNCTION("""COMPUTED_VALUE"""),"AP")</f>
        <v>AP</v>
      </c>
      <c r="Y838" s="47" t="str">
        <f>IFERROR(__xludf.DUMMYFUNCTION("""COMPUTED_VALUE"""),"")</f>
        <v/>
      </c>
      <c r="Z838" s="48" t="str">
        <f>IFERROR(__xludf.DUMMYFUNCTION("""COMPUTED_VALUE"""),"%")</f>
        <v>%</v>
      </c>
      <c r="AA838" s="49">
        <f>IFERROR(__xludf.DUMMYFUNCTION("""COMPUTED_VALUE"""),3.0)</f>
        <v>3</v>
      </c>
      <c r="AB838" s="50"/>
      <c r="AC838" s="38"/>
      <c r="AD838" s="45" t="str">
        <f>IFERROR(__xludf.DUMMYFUNCTION("""COMPUTED_VALUE"""),"")</f>
        <v/>
      </c>
      <c r="AE838" s="46" t="str">
        <f>IFERROR(__xludf.DUMMYFUNCTION("""COMPUTED_VALUE"""),"AP")</f>
        <v>AP</v>
      </c>
      <c r="AF838" s="47" t="str">
        <f>IFERROR(__xludf.DUMMYFUNCTION("""COMPUTED_VALUE"""),"")</f>
        <v/>
      </c>
      <c r="AG838" s="48" t="str">
        <f>IFERROR(__xludf.DUMMYFUNCTION("""COMPUTED_VALUE"""),"%")</f>
        <v>%</v>
      </c>
      <c r="AH838" s="43"/>
      <c r="AI838" s="44"/>
      <c r="AJ838" s="51"/>
    </row>
    <row r="839" ht="24.75" hidden="1" customHeight="1">
      <c r="A839" s="28">
        <f>IFERROR(__xludf.DUMMYFUNCTION("""COMPUTED_VALUE"""),9.0)</f>
        <v>9</v>
      </c>
      <c r="B839" s="28" t="str">
        <f>IFERROR(__xludf.DUMMYFUNCTION("""COMPUTED_VALUE"""),"A108")</f>
        <v>A108</v>
      </c>
      <c r="C839" s="28"/>
      <c r="D839" s="29"/>
      <c r="E839" s="67"/>
      <c r="F839" s="31"/>
      <c r="G839" s="32"/>
      <c r="H839" s="33" t="str">
        <f>IFERROR(__xludf.DUMMYFUNCTION("""COMPUTED_VALUE""")," ")</f>
        <v> </v>
      </c>
      <c r="I839" s="34"/>
      <c r="J839" s="35" t="str">
        <f>IFERROR(__xludf.DUMMYFUNCTION("""COMPUTED_VALUE"""),"AP")</f>
        <v>AP</v>
      </c>
      <c r="K839" s="34"/>
      <c r="L839" s="35" t="str">
        <f>IFERROR(__xludf.DUMMYFUNCTION("""COMPUTED_VALUE"""),"%")</f>
        <v>%</v>
      </c>
      <c r="M839" s="36">
        <f>IFERROR(__xludf.DUMMYFUNCTION("""COMPUTED_VALUE"""),1.0)</f>
        <v>1</v>
      </c>
      <c r="N839" s="37"/>
      <c r="O839" s="38"/>
      <c r="P839" s="34" t="str">
        <f>IFERROR(__xludf.DUMMYFUNCTION("""COMPUTED_VALUE"""),"")</f>
        <v/>
      </c>
      <c r="Q839" s="35" t="str">
        <f>IFERROR(__xludf.DUMMYFUNCTION("""COMPUTED_VALUE"""),"AP")</f>
        <v>AP</v>
      </c>
      <c r="R839" s="34" t="str">
        <f>IFERROR(__xludf.DUMMYFUNCTION("""COMPUTED_VALUE"""),"")</f>
        <v/>
      </c>
      <c r="S839" s="35" t="str">
        <f>IFERROR(__xludf.DUMMYFUNCTION("""COMPUTED_VALUE"""),"%")</f>
        <v>%</v>
      </c>
      <c r="T839" s="36">
        <f>IFERROR(__xludf.DUMMYFUNCTION("""COMPUTED_VALUE"""),2.0)</f>
        <v>2</v>
      </c>
      <c r="U839" s="37"/>
      <c r="V839" s="38"/>
      <c r="W839" s="34" t="str">
        <f>IFERROR(__xludf.DUMMYFUNCTION("""COMPUTED_VALUE"""),"")</f>
        <v/>
      </c>
      <c r="X839" s="35" t="str">
        <f>IFERROR(__xludf.DUMMYFUNCTION("""COMPUTED_VALUE"""),"AP")</f>
        <v>AP</v>
      </c>
      <c r="Y839" s="34" t="str">
        <f>IFERROR(__xludf.DUMMYFUNCTION("""COMPUTED_VALUE"""),"")</f>
        <v/>
      </c>
      <c r="Z839" s="35" t="str">
        <f>IFERROR(__xludf.DUMMYFUNCTION("""COMPUTED_VALUE"""),"%")</f>
        <v>%</v>
      </c>
      <c r="AA839" s="36">
        <f>IFERROR(__xludf.DUMMYFUNCTION("""COMPUTED_VALUE"""),3.0)</f>
        <v>3</v>
      </c>
      <c r="AB839" s="37"/>
      <c r="AC839" s="38"/>
      <c r="AD839" s="34" t="str">
        <f>IFERROR(__xludf.DUMMYFUNCTION("""COMPUTED_VALUE"""),"")</f>
        <v/>
      </c>
      <c r="AE839" s="35" t="str">
        <f>IFERROR(__xludf.DUMMYFUNCTION("""COMPUTED_VALUE"""),"AP")</f>
        <v>AP</v>
      </c>
      <c r="AF839" s="34" t="str">
        <f>IFERROR(__xludf.DUMMYFUNCTION("""COMPUTED_VALUE"""),"")</f>
        <v/>
      </c>
      <c r="AG839" s="35" t="str">
        <f>IFERROR(__xludf.DUMMYFUNCTION("""COMPUTED_VALUE"""),"%")</f>
        <v>%</v>
      </c>
      <c r="AH839" s="31"/>
      <c r="AI839" s="32"/>
      <c r="AJ839" s="39"/>
    </row>
    <row r="840" ht="24.75" hidden="1" customHeight="1">
      <c r="A840" s="40">
        <f>IFERROR(__xludf.DUMMYFUNCTION("""COMPUTED_VALUE"""),10.0)</f>
        <v>10</v>
      </c>
      <c r="B840" s="40" t="str">
        <f>IFERROR(__xludf.DUMMYFUNCTION("""COMPUTED_VALUE"""),"A108")</f>
        <v>A108</v>
      </c>
      <c r="C840" s="40"/>
      <c r="D840" s="41"/>
      <c r="E840" s="66"/>
      <c r="F840" s="43"/>
      <c r="G840" s="44"/>
      <c r="H840" s="33" t="str">
        <f>IFERROR(__xludf.DUMMYFUNCTION("""COMPUTED_VALUE""")," ")</f>
        <v> </v>
      </c>
      <c r="I840" s="45"/>
      <c r="J840" s="46" t="str">
        <f>IFERROR(__xludf.DUMMYFUNCTION("""COMPUTED_VALUE"""),"AP")</f>
        <v>AP</v>
      </c>
      <c r="K840" s="47"/>
      <c r="L840" s="48" t="str">
        <f>IFERROR(__xludf.DUMMYFUNCTION("""COMPUTED_VALUE"""),"%")</f>
        <v>%</v>
      </c>
      <c r="M840" s="49">
        <f>IFERROR(__xludf.DUMMYFUNCTION("""COMPUTED_VALUE"""),1.0)</f>
        <v>1</v>
      </c>
      <c r="N840" s="50"/>
      <c r="O840" s="38"/>
      <c r="P840" s="45" t="str">
        <f>IFERROR(__xludf.DUMMYFUNCTION("""COMPUTED_VALUE"""),"")</f>
        <v/>
      </c>
      <c r="Q840" s="46" t="str">
        <f>IFERROR(__xludf.DUMMYFUNCTION("""COMPUTED_VALUE"""),"AP")</f>
        <v>AP</v>
      </c>
      <c r="R840" s="47" t="str">
        <f>IFERROR(__xludf.DUMMYFUNCTION("""COMPUTED_VALUE"""),"")</f>
        <v/>
      </c>
      <c r="S840" s="48" t="str">
        <f>IFERROR(__xludf.DUMMYFUNCTION("""COMPUTED_VALUE"""),"%")</f>
        <v>%</v>
      </c>
      <c r="T840" s="49">
        <f>IFERROR(__xludf.DUMMYFUNCTION("""COMPUTED_VALUE"""),2.0)</f>
        <v>2</v>
      </c>
      <c r="U840" s="50"/>
      <c r="V840" s="38"/>
      <c r="W840" s="45" t="str">
        <f>IFERROR(__xludf.DUMMYFUNCTION("""COMPUTED_VALUE"""),"")</f>
        <v/>
      </c>
      <c r="X840" s="46" t="str">
        <f>IFERROR(__xludf.DUMMYFUNCTION("""COMPUTED_VALUE"""),"AP")</f>
        <v>AP</v>
      </c>
      <c r="Y840" s="47" t="str">
        <f>IFERROR(__xludf.DUMMYFUNCTION("""COMPUTED_VALUE"""),"")</f>
        <v/>
      </c>
      <c r="Z840" s="48" t="str">
        <f>IFERROR(__xludf.DUMMYFUNCTION("""COMPUTED_VALUE"""),"%")</f>
        <v>%</v>
      </c>
      <c r="AA840" s="49">
        <f>IFERROR(__xludf.DUMMYFUNCTION("""COMPUTED_VALUE"""),3.0)</f>
        <v>3</v>
      </c>
      <c r="AB840" s="50"/>
      <c r="AC840" s="38"/>
      <c r="AD840" s="45" t="str">
        <f>IFERROR(__xludf.DUMMYFUNCTION("""COMPUTED_VALUE"""),"")</f>
        <v/>
      </c>
      <c r="AE840" s="46" t="str">
        <f>IFERROR(__xludf.DUMMYFUNCTION("""COMPUTED_VALUE"""),"AP")</f>
        <v>AP</v>
      </c>
      <c r="AF840" s="47" t="str">
        <f>IFERROR(__xludf.DUMMYFUNCTION("""COMPUTED_VALUE"""),"")</f>
        <v/>
      </c>
      <c r="AG840" s="48" t="str">
        <f>IFERROR(__xludf.DUMMYFUNCTION("""COMPUTED_VALUE"""),"%")</f>
        <v>%</v>
      </c>
      <c r="AH840" s="43"/>
      <c r="AI840" s="44"/>
      <c r="AJ840" s="51"/>
    </row>
    <row r="841" ht="24.75" hidden="1" customHeight="1">
      <c r="A841" s="28">
        <f>IFERROR(__xludf.DUMMYFUNCTION("""COMPUTED_VALUE"""),11.0)</f>
        <v>11</v>
      </c>
      <c r="B841" s="28" t="str">
        <f>IFERROR(__xludf.DUMMYFUNCTION("""COMPUTED_VALUE"""),"A108")</f>
        <v>A108</v>
      </c>
      <c r="C841" s="28"/>
      <c r="D841" s="29"/>
      <c r="E841" s="67"/>
      <c r="F841" s="31"/>
      <c r="G841" s="32"/>
      <c r="H841" s="33" t="str">
        <f>IFERROR(__xludf.DUMMYFUNCTION("""COMPUTED_VALUE""")," ")</f>
        <v> </v>
      </c>
      <c r="I841" s="34"/>
      <c r="J841" s="35" t="str">
        <f>IFERROR(__xludf.DUMMYFUNCTION("""COMPUTED_VALUE"""),"AP")</f>
        <v>AP</v>
      </c>
      <c r="K841" s="34"/>
      <c r="L841" s="35" t="str">
        <f>IFERROR(__xludf.DUMMYFUNCTION("""COMPUTED_VALUE"""),"%")</f>
        <v>%</v>
      </c>
      <c r="M841" s="36">
        <f>IFERROR(__xludf.DUMMYFUNCTION("""COMPUTED_VALUE"""),1.0)</f>
        <v>1</v>
      </c>
      <c r="N841" s="37"/>
      <c r="O841" s="38"/>
      <c r="P841" s="34" t="str">
        <f>IFERROR(__xludf.DUMMYFUNCTION("""COMPUTED_VALUE"""),"")</f>
        <v/>
      </c>
      <c r="Q841" s="35" t="str">
        <f>IFERROR(__xludf.DUMMYFUNCTION("""COMPUTED_VALUE"""),"AP")</f>
        <v>AP</v>
      </c>
      <c r="R841" s="34" t="str">
        <f>IFERROR(__xludf.DUMMYFUNCTION("""COMPUTED_VALUE"""),"")</f>
        <v/>
      </c>
      <c r="S841" s="35" t="str">
        <f>IFERROR(__xludf.DUMMYFUNCTION("""COMPUTED_VALUE"""),"%")</f>
        <v>%</v>
      </c>
      <c r="T841" s="36">
        <f>IFERROR(__xludf.DUMMYFUNCTION("""COMPUTED_VALUE"""),2.0)</f>
        <v>2</v>
      </c>
      <c r="U841" s="37"/>
      <c r="V841" s="38"/>
      <c r="W841" s="34" t="str">
        <f>IFERROR(__xludf.DUMMYFUNCTION("""COMPUTED_VALUE"""),"")</f>
        <v/>
      </c>
      <c r="X841" s="35" t="str">
        <f>IFERROR(__xludf.DUMMYFUNCTION("""COMPUTED_VALUE"""),"AP")</f>
        <v>AP</v>
      </c>
      <c r="Y841" s="34" t="str">
        <f>IFERROR(__xludf.DUMMYFUNCTION("""COMPUTED_VALUE"""),"")</f>
        <v/>
      </c>
      <c r="Z841" s="35" t="str">
        <f>IFERROR(__xludf.DUMMYFUNCTION("""COMPUTED_VALUE"""),"%")</f>
        <v>%</v>
      </c>
      <c r="AA841" s="36">
        <f>IFERROR(__xludf.DUMMYFUNCTION("""COMPUTED_VALUE"""),3.0)</f>
        <v>3</v>
      </c>
      <c r="AB841" s="37"/>
      <c r="AC841" s="38"/>
      <c r="AD841" s="34" t="str">
        <f>IFERROR(__xludf.DUMMYFUNCTION("""COMPUTED_VALUE"""),"")</f>
        <v/>
      </c>
      <c r="AE841" s="35" t="str">
        <f>IFERROR(__xludf.DUMMYFUNCTION("""COMPUTED_VALUE"""),"AP")</f>
        <v>AP</v>
      </c>
      <c r="AF841" s="34" t="str">
        <f>IFERROR(__xludf.DUMMYFUNCTION("""COMPUTED_VALUE"""),"")</f>
        <v/>
      </c>
      <c r="AG841" s="35" t="str">
        <f>IFERROR(__xludf.DUMMYFUNCTION("""COMPUTED_VALUE"""),"%")</f>
        <v>%</v>
      </c>
      <c r="AH841" s="31"/>
      <c r="AI841" s="32"/>
      <c r="AJ841" s="39"/>
    </row>
    <row r="842" ht="24.75" hidden="1" customHeight="1">
      <c r="A842" s="40">
        <f>IFERROR(__xludf.DUMMYFUNCTION("""COMPUTED_VALUE"""),12.0)</f>
        <v>12</v>
      </c>
      <c r="B842" s="40" t="str">
        <f>IFERROR(__xludf.DUMMYFUNCTION("""COMPUTED_VALUE"""),"A108")</f>
        <v>A108</v>
      </c>
      <c r="C842" s="40"/>
      <c r="D842" s="41"/>
      <c r="E842" s="66"/>
      <c r="F842" s="43"/>
      <c r="G842" s="44"/>
      <c r="H842" s="33" t="str">
        <f>IFERROR(__xludf.DUMMYFUNCTION("""COMPUTED_VALUE""")," ")</f>
        <v> </v>
      </c>
      <c r="I842" s="45"/>
      <c r="J842" s="46" t="str">
        <f>IFERROR(__xludf.DUMMYFUNCTION("""COMPUTED_VALUE"""),"AP")</f>
        <v>AP</v>
      </c>
      <c r="K842" s="47"/>
      <c r="L842" s="48" t="str">
        <f>IFERROR(__xludf.DUMMYFUNCTION("""COMPUTED_VALUE"""),"%")</f>
        <v>%</v>
      </c>
      <c r="M842" s="49">
        <f>IFERROR(__xludf.DUMMYFUNCTION("""COMPUTED_VALUE"""),1.0)</f>
        <v>1</v>
      </c>
      <c r="N842" s="50"/>
      <c r="O842" s="38"/>
      <c r="P842" s="45" t="str">
        <f>IFERROR(__xludf.DUMMYFUNCTION("""COMPUTED_VALUE"""),"")</f>
        <v/>
      </c>
      <c r="Q842" s="46" t="str">
        <f>IFERROR(__xludf.DUMMYFUNCTION("""COMPUTED_VALUE"""),"AP")</f>
        <v>AP</v>
      </c>
      <c r="R842" s="47" t="str">
        <f>IFERROR(__xludf.DUMMYFUNCTION("""COMPUTED_VALUE"""),"")</f>
        <v/>
      </c>
      <c r="S842" s="48" t="str">
        <f>IFERROR(__xludf.DUMMYFUNCTION("""COMPUTED_VALUE"""),"%")</f>
        <v>%</v>
      </c>
      <c r="T842" s="49">
        <f>IFERROR(__xludf.DUMMYFUNCTION("""COMPUTED_VALUE"""),2.0)</f>
        <v>2</v>
      </c>
      <c r="U842" s="50"/>
      <c r="V842" s="38"/>
      <c r="W842" s="45" t="str">
        <f>IFERROR(__xludf.DUMMYFUNCTION("""COMPUTED_VALUE"""),"")</f>
        <v/>
      </c>
      <c r="X842" s="46" t="str">
        <f>IFERROR(__xludf.DUMMYFUNCTION("""COMPUTED_VALUE"""),"AP")</f>
        <v>AP</v>
      </c>
      <c r="Y842" s="47" t="str">
        <f>IFERROR(__xludf.DUMMYFUNCTION("""COMPUTED_VALUE"""),"")</f>
        <v/>
      </c>
      <c r="Z842" s="48" t="str">
        <f>IFERROR(__xludf.DUMMYFUNCTION("""COMPUTED_VALUE"""),"%")</f>
        <v>%</v>
      </c>
      <c r="AA842" s="49">
        <f>IFERROR(__xludf.DUMMYFUNCTION("""COMPUTED_VALUE"""),3.0)</f>
        <v>3</v>
      </c>
      <c r="AB842" s="50"/>
      <c r="AC842" s="38"/>
      <c r="AD842" s="45" t="str">
        <f>IFERROR(__xludf.DUMMYFUNCTION("""COMPUTED_VALUE"""),"")</f>
        <v/>
      </c>
      <c r="AE842" s="46" t="str">
        <f>IFERROR(__xludf.DUMMYFUNCTION("""COMPUTED_VALUE"""),"AP")</f>
        <v>AP</v>
      </c>
      <c r="AF842" s="47" t="str">
        <f>IFERROR(__xludf.DUMMYFUNCTION("""COMPUTED_VALUE"""),"")</f>
        <v/>
      </c>
      <c r="AG842" s="48" t="str">
        <f>IFERROR(__xludf.DUMMYFUNCTION("""COMPUTED_VALUE"""),"%")</f>
        <v>%</v>
      </c>
      <c r="AH842" s="43"/>
      <c r="AI842" s="44"/>
      <c r="AJ842" s="51"/>
    </row>
    <row r="843" ht="24.75" hidden="1" customHeight="1">
      <c r="A843" s="28">
        <f>IFERROR(__xludf.DUMMYFUNCTION("""COMPUTED_VALUE"""),13.0)</f>
        <v>13</v>
      </c>
      <c r="B843" s="28" t="str">
        <f>IFERROR(__xludf.DUMMYFUNCTION("""COMPUTED_VALUE"""),"A108")</f>
        <v>A108</v>
      </c>
      <c r="C843" s="28"/>
      <c r="D843" s="29"/>
      <c r="E843" s="67"/>
      <c r="F843" s="31"/>
      <c r="G843" s="32"/>
      <c r="H843" s="33" t="str">
        <f>IFERROR(__xludf.DUMMYFUNCTION("""COMPUTED_VALUE""")," ")</f>
        <v> </v>
      </c>
      <c r="I843" s="34"/>
      <c r="J843" s="35" t="str">
        <f>IFERROR(__xludf.DUMMYFUNCTION("""COMPUTED_VALUE"""),"AP")</f>
        <v>AP</v>
      </c>
      <c r="K843" s="34"/>
      <c r="L843" s="35" t="str">
        <f>IFERROR(__xludf.DUMMYFUNCTION("""COMPUTED_VALUE"""),"%")</f>
        <v>%</v>
      </c>
      <c r="M843" s="36">
        <f>IFERROR(__xludf.DUMMYFUNCTION("""COMPUTED_VALUE"""),1.0)</f>
        <v>1</v>
      </c>
      <c r="N843" s="37"/>
      <c r="O843" s="38"/>
      <c r="P843" s="34" t="str">
        <f>IFERROR(__xludf.DUMMYFUNCTION("""COMPUTED_VALUE"""),"")</f>
        <v/>
      </c>
      <c r="Q843" s="35" t="str">
        <f>IFERROR(__xludf.DUMMYFUNCTION("""COMPUTED_VALUE"""),"AP")</f>
        <v>AP</v>
      </c>
      <c r="R843" s="34" t="str">
        <f>IFERROR(__xludf.DUMMYFUNCTION("""COMPUTED_VALUE"""),"")</f>
        <v/>
      </c>
      <c r="S843" s="35" t="str">
        <f>IFERROR(__xludf.DUMMYFUNCTION("""COMPUTED_VALUE"""),"%")</f>
        <v>%</v>
      </c>
      <c r="T843" s="36">
        <f>IFERROR(__xludf.DUMMYFUNCTION("""COMPUTED_VALUE"""),2.0)</f>
        <v>2</v>
      </c>
      <c r="U843" s="37"/>
      <c r="V843" s="38"/>
      <c r="W843" s="34" t="str">
        <f>IFERROR(__xludf.DUMMYFUNCTION("""COMPUTED_VALUE"""),"")</f>
        <v/>
      </c>
      <c r="X843" s="35" t="str">
        <f>IFERROR(__xludf.DUMMYFUNCTION("""COMPUTED_VALUE"""),"AP")</f>
        <v>AP</v>
      </c>
      <c r="Y843" s="34" t="str">
        <f>IFERROR(__xludf.DUMMYFUNCTION("""COMPUTED_VALUE"""),"")</f>
        <v/>
      </c>
      <c r="Z843" s="35" t="str">
        <f>IFERROR(__xludf.DUMMYFUNCTION("""COMPUTED_VALUE"""),"%")</f>
        <v>%</v>
      </c>
      <c r="AA843" s="36">
        <f>IFERROR(__xludf.DUMMYFUNCTION("""COMPUTED_VALUE"""),3.0)</f>
        <v>3</v>
      </c>
      <c r="AB843" s="37"/>
      <c r="AC843" s="38"/>
      <c r="AD843" s="34" t="str">
        <f>IFERROR(__xludf.DUMMYFUNCTION("""COMPUTED_VALUE"""),"")</f>
        <v/>
      </c>
      <c r="AE843" s="35" t="str">
        <f>IFERROR(__xludf.DUMMYFUNCTION("""COMPUTED_VALUE"""),"AP")</f>
        <v>AP</v>
      </c>
      <c r="AF843" s="34" t="str">
        <f>IFERROR(__xludf.DUMMYFUNCTION("""COMPUTED_VALUE"""),"")</f>
        <v/>
      </c>
      <c r="AG843" s="35" t="str">
        <f>IFERROR(__xludf.DUMMYFUNCTION("""COMPUTED_VALUE"""),"%")</f>
        <v>%</v>
      </c>
      <c r="AH843" s="31"/>
      <c r="AI843" s="32"/>
      <c r="AJ843" s="39"/>
    </row>
    <row r="844" ht="24.75" hidden="1" customHeight="1">
      <c r="A844" s="40">
        <f>IFERROR(__xludf.DUMMYFUNCTION("""COMPUTED_VALUE"""),14.0)</f>
        <v>14</v>
      </c>
      <c r="B844" s="40" t="str">
        <f>IFERROR(__xludf.DUMMYFUNCTION("""COMPUTED_VALUE"""),"A108")</f>
        <v>A108</v>
      </c>
      <c r="C844" s="40"/>
      <c r="D844" s="41"/>
      <c r="E844" s="66"/>
      <c r="F844" s="43"/>
      <c r="G844" s="44"/>
      <c r="H844" s="33" t="str">
        <f>IFERROR(__xludf.DUMMYFUNCTION("""COMPUTED_VALUE""")," ")</f>
        <v> </v>
      </c>
      <c r="I844" s="45"/>
      <c r="J844" s="46" t="str">
        <f>IFERROR(__xludf.DUMMYFUNCTION("""COMPUTED_VALUE"""),"AP")</f>
        <v>AP</v>
      </c>
      <c r="K844" s="47"/>
      <c r="L844" s="48" t="str">
        <f>IFERROR(__xludf.DUMMYFUNCTION("""COMPUTED_VALUE"""),"%")</f>
        <v>%</v>
      </c>
      <c r="M844" s="49">
        <f>IFERROR(__xludf.DUMMYFUNCTION("""COMPUTED_VALUE"""),1.0)</f>
        <v>1</v>
      </c>
      <c r="N844" s="50"/>
      <c r="O844" s="38"/>
      <c r="P844" s="45" t="str">
        <f>IFERROR(__xludf.DUMMYFUNCTION("""COMPUTED_VALUE"""),"")</f>
        <v/>
      </c>
      <c r="Q844" s="46" t="str">
        <f>IFERROR(__xludf.DUMMYFUNCTION("""COMPUTED_VALUE"""),"AP")</f>
        <v>AP</v>
      </c>
      <c r="R844" s="47" t="str">
        <f>IFERROR(__xludf.DUMMYFUNCTION("""COMPUTED_VALUE"""),"")</f>
        <v/>
      </c>
      <c r="S844" s="48" t="str">
        <f>IFERROR(__xludf.DUMMYFUNCTION("""COMPUTED_VALUE"""),"%")</f>
        <v>%</v>
      </c>
      <c r="T844" s="49">
        <f>IFERROR(__xludf.DUMMYFUNCTION("""COMPUTED_VALUE"""),2.0)</f>
        <v>2</v>
      </c>
      <c r="U844" s="50"/>
      <c r="V844" s="38"/>
      <c r="W844" s="45" t="str">
        <f>IFERROR(__xludf.DUMMYFUNCTION("""COMPUTED_VALUE"""),"")</f>
        <v/>
      </c>
      <c r="X844" s="46" t="str">
        <f>IFERROR(__xludf.DUMMYFUNCTION("""COMPUTED_VALUE"""),"AP")</f>
        <v>AP</v>
      </c>
      <c r="Y844" s="47" t="str">
        <f>IFERROR(__xludf.DUMMYFUNCTION("""COMPUTED_VALUE"""),"")</f>
        <v/>
      </c>
      <c r="Z844" s="48" t="str">
        <f>IFERROR(__xludf.DUMMYFUNCTION("""COMPUTED_VALUE"""),"%")</f>
        <v>%</v>
      </c>
      <c r="AA844" s="49">
        <f>IFERROR(__xludf.DUMMYFUNCTION("""COMPUTED_VALUE"""),3.0)</f>
        <v>3</v>
      </c>
      <c r="AB844" s="50"/>
      <c r="AC844" s="38"/>
      <c r="AD844" s="45" t="str">
        <f>IFERROR(__xludf.DUMMYFUNCTION("""COMPUTED_VALUE"""),"")</f>
        <v/>
      </c>
      <c r="AE844" s="46" t="str">
        <f>IFERROR(__xludf.DUMMYFUNCTION("""COMPUTED_VALUE"""),"AP")</f>
        <v>AP</v>
      </c>
      <c r="AF844" s="47" t="str">
        <f>IFERROR(__xludf.DUMMYFUNCTION("""COMPUTED_VALUE"""),"")</f>
        <v/>
      </c>
      <c r="AG844" s="48" t="str">
        <f>IFERROR(__xludf.DUMMYFUNCTION("""COMPUTED_VALUE"""),"%")</f>
        <v>%</v>
      </c>
      <c r="AH844" s="43"/>
      <c r="AI844" s="44"/>
      <c r="AJ844" s="51"/>
    </row>
    <row r="845" ht="24.75" hidden="1" customHeight="1">
      <c r="A845" s="28">
        <f>IFERROR(__xludf.DUMMYFUNCTION("""COMPUTED_VALUE"""),15.0)</f>
        <v>15</v>
      </c>
      <c r="B845" s="28" t="str">
        <f>IFERROR(__xludf.DUMMYFUNCTION("""COMPUTED_VALUE"""),"A108")</f>
        <v>A108</v>
      </c>
      <c r="C845" s="28"/>
      <c r="D845" s="29"/>
      <c r="E845" s="67"/>
      <c r="F845" s="31"/>
      <c r="G845" s="32"/>
      <c r="H845" s="33" t="str">
        <f>IFERROR(__xludf.DUMMYFUNCTION("""COMPUTED_VALUE""")," ")</f>
        <v> </v>
      </c>
      <c r="I845" s="34"/>
      <c r="J845" s="35" t="str">
        <f>IFERROR(__xludf.DUMMYFUNCTION("""COMPUTED_VALUE"""),"AP")</f>
        <v>AP</v>
      </c>
      <c r="K845" s="34"/>
      <c r="L845" s="35" t="str">
        <f>IFERROR(__xludf.DUMMYFUNCTION("""COMPUTED_VALUE"""),"%")</f>
        <v>%</v>
      </c>
      <c r="M845" s="36">
        <f>IFERROR(__xludf.DUMMYFUNCTION("""COMPUTED_VALUE"""),1.0)</f>
        <v>1</v>
      </c>
      <c r="N845" s="37"/>
      <c r="O845" s="38"/>
      <c r="P845" s="34" t="str">
        <f>IFERROR(__xludf.DUMMYFUNCTION("""COMPUTED_VALUE"""),"")</f>
        <v/>
      </c>
      <c r="Q845" s="35" t="str">
        <f>IFERROR(__xludf.DUMMYFUNCTION("""COMPUTED_VALUE"""),"AP")</f>
        <v>AP</v>
      </c>
      <c r="R845" s="34" t="str">
        <f>IFERROR(__xludf.DUMMYFUNCTION("""COMPUTED_VALUE"""),"")</f>
        <v/>
      </c>
      <c r="S845" s="35" t="str">
        <f>IFERROR(__xludf.DUMMYFUNCTION("""COMPUTED_VALUE"""),"%")</f>
        <v>%</v>
      </c>
      <c r="T845" s="36">
        <f>IFERROR(__xludf.DUMMYFUNCTION("""COMPUTED_VALUE"""),2.0)</f>
        <v>2</v>
      </c>
      <c r="U845" s="37"/>
      <c r="V845" s="38"/>
      <c r="W845" s="34" t="str">
        <f>IFERROR(__xludf.DUMMYFUNCTION("""COMPUTED_VALUE"""),"")</f>
        <v/>
      </c>
      <c r="X845" s="35" t="str">
        <f>IFERROR(__xludf.DUMMYFUNCTION("""COMPUTED_VALUE"""),"AP")</f>
        <v>AP</v>
      </c>
      <c r="Y845" s="34" t="str">
        <f>IFERROR(__xludf.DUMMYFUNCTION("""COMPUTED_VALUE"""),"")</f>
        <v/>
      </c>
      <c r="Z845" s="35" t="str">
        <f>IFERROR(__xludf.DUMMYFUNCTION("""COMPUTED_VALUE"""),"%")</f>
        <v>%</v>
      </c>
      <c r="AA845" s="36">
        <f>IFERROR(__xludf.DUMMYFUNCTION("""COMPUTED_VALUE"""),3.0)</f>
        <v>3</v>
      </c>
      <c r="AB845" s="37"/>
      <c r="AC845" s="38"/>
      <c r="AD845" s="34" t="str">
        <f>IFERROR(__xludf.DUMMYFUNCTION("""COMPUTED_VALUE"""),"")</f>
        <v/>
      </c>
      <c r="AE845" s="35" t="str">
        <f>IFERROR(__xludf.DUMMYFUNCTION("""COMPUTED_VALUE"""),"AP")</f>
        <v>AP</v>
      </c>
      <c r="AF845" s="34" t="str">
        <f>IFERROR(__xludf.DUMMYFUNCTION("""COMPUTED_VALUE"""),"")</f>
        <v/>
      </c>
      <c r="AG845" s="35" t="str">
        <f>IFERROR(__xludf.DUMMYFUNCTION("""COMPUTED_VALUE"""),"%")</f>
        <v>%</v>
      </c>
      <c r="AH845" s="31"/>
      <c r="AI845" s="32"/>
      <c r="AJ845" s="39"/>
    </row>
    <row r="846" ht="24.75" hidden="1" customHeight="1">
      <c r="A846" s="40">
        <f>IFERROR(__xludf.DUMMYFUNCTION("""COMPUTED_VALUE"""),16.0)</f>
        <v>16</v>
      </c>
      <c r="B846" s="40" t="str">
        <f>IFERROR(__xludf.DUMMYFUNCTION("""COMPUTED_VALUE"""),"A108")</f>
        <v>A108</v>
      </c>
      <c r="C846" s="40"/>
      <c r="D846" s="41"/>
      <c r="E846" s="66"/>
      <c r="F846" s="43"/>
      <c r="G846" s="44"/>
      <c r="H846" s="33" t="str">
        <f>IFERROR(__xludf.DUMMYFUNCTION("""COMPUTED_VALUE""")," ")</f>
        <v> </v>
      </c>
      <c r="I846" s="45"/>
      <c r="J846" s="46" t="str">
        <f>IFERROR(__xludf.DUMMYFUNCTION("""COMPUTED_VALUE"""),"AP")</f>
        <v>AP</v>
      </c>
      <c r="K846" s="47"/>
      <c r="L846" s="48" t="str">
        <f>IFERROR(__xludf.DUMMYFUNCTION("""COMPUTED_VALUE"""),"%")</f>
        <v>%</v>
      </c>
      <c r="M846" s="49">
        <f>IFERROR(__xludf.DUMMYFUNCTION("""COMPUTED_VALUE"""),1.0)</f>
        <v>1</v>
      </c>
      <c r="N846" s="50"/>
      <c r="O846" s="38"/>
      <c r="P846" s="45" t="str">
        <f>IFERROR(__xludf.DUMMYFUNCTION("""COMPUTED_VALUE"""),"")</f>
        <v/>
      </c>
      <c r="Q846" s="46" t="str">
        <f>IFERROR(__xludf.DUMMYFUNCTION("""COMPUTED_VALUE"""),"AP")</f>
        <v>AP</v>
      </c>
      <c r="R846" s="47" t="str">
        <f>IFERROR(__xludf.DUMMYFUNCTION("""COMPUTED_VALUE"""),"")</f>
        <v/>
      </c>
      <c r="S846" s="48" t="str">
        <f>IFERROR(__xludf.DUMMYFUNCTION("""COMPUTED_VALUE"""),"%")</f>
        <v>%</v>
      </c>
      <c r="T846" s="49">
        <f>IFERROR(__xludf.DUMMYFUNCTION("""COMPUTED_VALUE"""),2.0)</f>
        <v>2</v>
      </c>
      <c r="U846" s="50"/>
      <c r="V846" s="38"/>
      <c r="W846" s="45" t="str">
        <f>IFERROR(__xludf.DUMMYFUNCTION("""COMPUTED_VALUE"""),"")</f>
        <v/>
      </c>
      <c r="X846" s="46" t="str">
        <f>IFERROR(__xludf.DUMMYFUNCTION("""COMPUTED_VALUE"""),"AP")</f>
        <v>AP</v>
      </c>
      <c r="Y846" s="47" t="str">
        <f>IFERROR(__xludf.DUMMYFUNCTION("""COMPUTED_VALUE"""),"")</f>
        <v/>
      </c>
      <c r="Z846" s="48" t="str">
        <f>IFERROR(__xludf.DUMMYFUNCTION("""COMPUTED_VALUE"""),"%")</f>
        <v>%</v>
      </c>
      <c r="AA846" s="49">
        <f>IFERROR(__xludf.DUMMYFUNCTION("""COMPUTED_VALUE"""),3.0)</f>
        <v>3</v>
      </c>
      <c r="AB846" s="50"/>
      <c r="AC846" s="38"/>
      <c r="AD846" s="45" t="str">
        <f>IFERROR(__xludf.DUMMYFUNCTION("""COMPUTED_VALUE"""),"")</f>
        <v/>
      </c>
      <c r="AE846" s="46" t="str">
        <f>IFERROR(__xludf.DUMMYFUNCTION("""COMPUTED_VALUE"""),"AP")</f>
        <v>AP</v>
      </c>
      <c r="AF846" s="47" t="str">
        <f>IFERROR(__xludf.DUMMYFUNCTION("""COMPUTED_VALUE"""),"")</f>
        <v/>
      </c>
      <c r="AG846" s="48" t="str">
        <f>IFERROR(__xludf.DUMMYFUNCTION("""COMPUTED_VALUE"""),"%")</f>
        <v>%</v>
      </c>
      <c r="AH846" s="43"/>
      <c r="AI846" s="44"/>
      <c r="AJ846" s="51"/>
    </row>
    <row r="847" ht="24.75" hidden="1" customHeight="1">
      <c r="A847" s="28">
        <f>IFERROR(__xludf.DUMMYFUNCTION("""COMPUTED_VALUE"""),17.0)</f>
        <v>17</v>
      </c>
      <c r="B847" s="28" t="str">
        <f>IFERROR(__xludf.DUMMYFUNCTION("""COMPUTED_VALUE"""),"A108")</f>
        <v>A108</v>
      </c>
      <c r="C847" s="28"/>
      <c r="D847" s="29"/>
      <c r="E847" s="67"/>
      <c r="F847" s="31"/>
      <c r="G847" s="32"/>
      <c r="H847" s="33" t="str">
        <f>IFERROR(__xludf.DUMMYFUNCTION("""COMPUTED_VALUE""")," ")</f>
        <v> </v>
      </c>
      <c r="I847" s="34"/>
      <c r="J847" s="35" t="str">
        <f>IFERROR(__xludf.DUMMYFUNCTION("""COMPUTED_VALUE"""),"AP")</f>
        <v>AP</v>
      </c>
      <c r="K847" s="34"/>
      <c r="L847" s="35" t="str">
        <f>IFERROR(__xludf.DUMMYFUNCTION("""COMPUTED_VALUE"""),"%")</f>
        <v>%</v>
      </c>
      <c r="M847" s="36">
        <f>IFERROR(__xludf.DUMMYFUNCTION("""COMPUTED_VALUE"""),1.0)</f>
        <v>1</v>
      </c>
      <c r="N847" s="37"/>
      <c r="O847" s="38"/>
      <c r="P847" s="34" t="str">
        <f>IFERROR(__xludf.DUMMYFUNCTION("""COMPUTED_VALUE"""),"")</f>
        <v/>
      </c>
      <c r="Q847" s="35" t="str">
        <f>IFERROR(__xludf.DUMMYFUNCTION("""COMPUTED_VALUE"""),"AP")</f>
        <v>AP</v>
      </c>
      <c r="R847" s="34" t="str">
        <f>IFERROR(__xludf.DUMMYFUNCTION("""COMPUTED_VALUE"""),"")</f>
        <v/>
      </c>
      <c r="S847" s="35" t="str">
        <f>IFERROR(__xludf.DUMMYFUNCTION("""COMPUTED_VALUE"""),"%")</f>
        <v>%</v>
      </c>
      <c r="T847" s="36">
        <f>IFERROR(__xludf.DUMMYFUNCTION("""COMPUTED_VALUE"""),2.0)</f>
        <v>2</v>
      </c>
      <c r="U847" s="37"/>
      <c r="V847" s="38"/>
      <c r="W847" s="34" t="str">
        <f>IFERROR(__xludf.DUMMYFUNCTION("""COMPUTED_VALUE"""),"")</f>
        <v/>
      </c>
      <c r="X847" s="35" t="str">
        <f>IFERROR(__xludf.DUMMYFUNCTION("""COMPUTED_VALUE"""),"AP")</f>
        <v>AP</v>
      </c>
      <c r="Y847" s="34" t="str">
        <f>IFERROR(__xludf.DUMMYFUNCTION("""COMPUTED_VALUE"""),"")</f>
        <v/>
      </c>
      <c r="Z847" s="35" t="str">
        <f>IFERROR(__xludf.DUMMYFUNCTION("""COMPUTED_VALUE"""),"%")</f>
        <v>%</v>
      </c>
      <c r="AA847" s="36">
        <f>IFERROR(__xludf.DUMMYFUNCTION("""COMPUTED_VALUE"""),3.0)</f>
        <v>3</v>
      </c>
      <c r="AB847" s="37"/>
      <c r="AC847" s="38"/>
      <c r="AD847" s="34" t="str">
        <f>IFERROR(__xludf.DUMMYFUNCTION("""COMPUTED_VALUE"""),"")</f>
        <v/>
      </c>
      <c r="AE847" s="35" t="str">
        <f>IFERROR(__xludf.DUMMYFUNCTION("""COMPUTED_VALUE"""),"AP")</f>
        <v>AP</v>
      </c>
      <c r="AF847" s="34" t="str">
        <f>IFERROR(__xludf.DUMMYFUNCTION("""COMPUTED_VALUE"""),"")</f>
        <v/>
      </c>
      <c r="AG847" s="35" t="str">
        <f>IFERROR(__xludf.DUMMYFUNCTION("""COMPUTED_VALUE"""),"%")</f>
        <v>%</v>
      </c>
      <c r="AH847" s="31"/>
      <c r="AI847" s="32"/>
      <c r="AJ847" s="39"/>
    </row>
    <row r="848" ht="24.75" hidden="1" customHeight="1">
      <c r="A848" s="40">
        <f>IFERROR(__xludf.DUMMYFUNCTION("""COMPUTED_VALUE"""),18.0)</f>
        <v>18</v>
      </c>
      <c r="B848" s="40" t="str">
        <f>IFERROR(__xludf.DUMMYFUNCTION("""COMPUTED_VALUE"""),"A108")</f>
        <v>A108</v>
      </c>
      <c r="C848" s="40"/>
      <c r="D848" s="41"/>
      <c r="E848" s="66"/>
      <c r="F848" s="43"/>
      <c r="G848" s="44"/>
      <c r="H848" s="33" t="str">
        <f>IFERROR(__xludf.DUMMYFUNCTION("""COMPUTED_VALUE""")," ")</f>
        <v> </v>
      </c>
      <c r="I848" s="45"/>
      <c r="J848" s="46" t="str">
        <f>IFERROR(__xludf.DUMMYFUNCTION("""COMPUTED_VALUE"""),"AP")</f>
        <v>AP</v>
      </c>
      <c r="K848" s="47"/>
      <c r="L848" s="48" t="str">
        <f>IFERROR(__xludf.DUMMYFUNCTION("""COMPUTED_VALUE"""),"%")</f>
        <v>%</v>
      </c>
      <c r="M848" s="49">
        <f>IFERROR(__xludf.DUMMYFUNCTION("""COMPUTED_VALUE"""),1.0)</f>
        <v>1</v>
      </c>
      <c r="N848" s="50"/>
      <c r="O848" s="38"/>
      <c r="P848" s="45" t="str">
        <f>IFERROR(__xludf.DUMMYFUNCTION("""COMPUTED_VALUE"""),"")</f>
        <v/>
      </c>
      <c r="Q848" s="46" t="str">
        <f>IFERROR(__xludf.DUMMYFUNCTION("""COMPUTED_VALUE"""),"AP")</f>
        <v>AP</v>
      </c>
      <c r="R848" s="47" t="str">
        <f>IFERROR(__xludf.DUMMYFUNCTION("""COMPUTED_VALUE"""),"")</f>
        <v/>
      </c>
      <c r="S848" s="48" t="str">
        <f>IFERROR(__xludf.DUMMYFUNCTION("""COMPUTED_VALUE"""),"%")</f>
        <v>%</v>
      </c>
      <c r="T848" s="49">
        <f>IFERROR(__xludf.DUMMYFUNCTION("""COMPUTED_VALUE"""),2.0)</f>
        <v>2</v>
      </c>
      <c r="U848" s="50"/>
      <c r="V848" s="38"/>
      <c r="W848" s="45" t="str">
        <f>IFERROR(__xludf.DUMMYFUNCTION("""COMPUTED_VALUE"""),"")</f>
        <v/>
      </c>
      <c r="X848" s="46" t="str">
        <f>IFERROR(__xludf.DUMMYFUNCTION("""COMPUTED_VALUE"""),"AP")</f>
        <v>AP</v>
      </c>
      <c r="Y848" s="47" t="str">
        <f>IFERROR(__xludf.DUMMYFUNCTION("""COMPUTED_VALUE"""),"")</f>
        <v/>
      </c>
      <c r="Z848" s="48" t="str">
        <f>IFERROR(__xludf.DUMMYFUNCTION("""COMPUTED_VALUE"""),"%")</f>
        <v>%</v>
      </c>
      <c r="AA848" s="49">
        <f>IFERROR(__xludf.DUMMYFUNCTION("""COMPUTED_VALUE"""),3.0)</f>
        <v>3</v>
      </c>
      <c r="AB848" s="50"/>
      <c r="AC848" s="38"/>
      <c r="AD848" s="45" t="str">
        <f>IFERROR(__xludf.DUMMYFUNCTION("""COMPUTED_VALUE"""),"")</f>
        <v/>
      </c>
      <c r="AE848" s="46" t="str">
        <f>IFERROR(__xludf.DUMMYFUNCTION("""COMPUTED_VALUE"""),"AP")</f>
        <v>AP</v>
      </c>
      <c r="AF848" s="47" t="str">
        <f>IFERROR(__xludf.DUMMYFUNCTION("""COMPUTED_VALUE"""),"")</f>
        <v/>
      </c>
      <c r="AG848" s="48" t="str">
        <f>IFERROR(__xludf.DUMMYFUNCTION("""COMPUTED_VALUE"""),"%")</f>
        <v>%</v>
      </c>
      <c r="AH848" s="43"/>
      <c r="AI848" s="44"/>
      <c r="AJ848" s="51"/>
    </row>
    <row r="849" ht="24.75" hidden="1" customHeight="1">
      <c r="A849" s="28">
        <f>IFERROR(__xludf.DUMMYFUNCTION("""COMPUTED_VALUE"""),19.0)</f>
        <v>19</v>
      </c>
      <c r="B849" s="28" t="str">
        <f>IFERROR(__xludf.DUMMYFUNCTION("""COMPUTED_VALUE"""),"A108")</f>
        <v>A108</v>
      </c>
      <c r="C849" s="28"/>
      <c r="D849" s="29"/>
      <c r="E849" s="67"/>
      <c r="F849" s="31"/>
      <c r="G849" s="32"/>
      <c r="H849" s="33" t="str">
        <f>IFERROR(__xludf.DUMMYFUNCTION("""COMPUTED_VALUE""")," ")</f>
        <v> </v>
      </c>
      <c r="I849" s="34"/>
      <c r="J849" s="35" t="str">
        <f>IFERROR(__xludf.DUMMYFUNCTION("""COMPUTED_VALUE"""),"AP")</f>
        <v>AP</v>
      </c>
      <c r="K849" s="34"/>
      <c r="L849" s="35" t="str">
        <f>IFERROR(__xludf.DUMMYFUNCTION("""COMPUTED_VALUE"""),"%")</f>
        <v>%</v>
      </c>
      <c r="M849" s="36">
        <f>IFERROR(__xludf.DUMMYFUNCTION("""COMPUTED_VALUE"""),1.0)</f>
        <v>1</v>
      </c>
      <c r="N849" s="37"/>
      <c r="O849" s="38"/>
      <c r="P849" s="34" t="str">
        <f>IFERROR(__xludf.DUMMYFUNCTION("""COMPUTED_VALUE"""),"")</f>
        <v/>
      </c>
      <c r="Q849" s="35" t="str">
        <f>IFERROR(__xludf.DUMMYFUNCTION("""COMPUTED_VALUE"""),"AP")</f>
        <v>AP</v>
      </c>
      <c r="R849" s="34" t="str">
        <f>IFERROR(__xludf.DUMMYFUNCTION("""COMPUTED_VALUE"""),"")</f>
        <v/>
      </c>
      <c r="S849" s="35" t="str">
        <f>IFERROR(__xludf.DUMMYFUNCTION("""COMPUTED_VALUE"""),"%")</f>
        <v>%</v>
      </c>
      <c r="T849" s="36">
        <f>IFERROR(__xludf.DUMMYFUNCTION("""COMPUTED_VALUE"""),2.0)</f>
        <v>2</v>
      </c>
      <c r="U849" s="37"/>
      <c r="V849" s="38"/>
      <c r="W849" s="34" t="str">
        <f>IFERROR(__xludf.DUMMYFUNCTION("""COMPUTED_VALUE"""),"")</f>
        <v/>
      </c>
      <c r="X849" s="35" t="str">
        <f>IFERROR(__xludf.DUMMYFUNCTION("""COMPUTED_VALUE"""),"AP")</f>
        <v>AP</v>
      </c>
      <c r="Y849" s="34" t="str">
        <f>IFERROR(__xludf.DUMMYFUNCTION("""COMPUTED_VALUE"""),"")</f>
        <v/>
      </c>
      <c r="Z849" s="35" t="str">
        <f>IFERROR(__xludf.DUMMYFUNCTION("""COMPUTED_VALUE"""),"%")</f>
        <v>%</v>
      </c>
      <c r="AA849" s="36">
        <f>IFERROR(__xludf.DUMMYFUNCTION("""COMPUTED_VALUE"""),3.0)</f>
        <v>3</v>
      </c>
      <c r="AB849" s="37"/>
      <c r="AC849" s="38"/>
      <c r="AD849" s="34" t="str">
        <f>IFERROR(__xludf.DUMMYFUNCTION("""COMPUTED_VALUE"""),"")</f>
        <v/>
      </c>
      <c r="AE849" s="35" t="str">
        <f>IFERROR(__xludf.DUMMYFUNCTION("""COMPUTED_VALUE"""),"AP")</f>
        <v>AP</v>
      </c>
      <c r="AF849" s="34" t="str">
        <f>IFERROR(__xludf.DUMMYFUNCTION("""COMPUTED_VALUE"""),"")</f>
        <v/>
      </c>
      <c r="AG849" s="35" t="str">
        <f>IFERROR(__xludf.DUMMYFUNCTION("""COMPUTED_VALUE"""),"%")</f>
        <v>%</v>
      </c>
      <c r="AH849" s="31"/>
      <c r="AI849" s="32"/>
      <c r="AJ849" s="39"/>
    </row>
    <row r="850" ht="24.75" hidden="1" customHeight="1">
      <c r="A850" s="40">
        <f>IFERROR(__xludf.DUMMYFUNCTION("""COMPUTED_VALUE"""),20.0)</f>
        <v>20</v>
      </c>
      <c r="B850" s="40" t="str">
        <f>IFERROR(__xludf.DUMMYFUNCTION("""COMPUTED_VALUE"""),"A108")</f>
        <v>A108</v>
      </c>
      <c r="C850" s="40"/>
      <c r="D850" s="41"/>
      <c r="E850" s="66"/>
      <c r="F850" s="43"/>
      <c r="G850" s="44"/>
      <c r="H850" s="33" t="str">
        <f>IFERROR(__xludf.DUMMYFUNCTION("""COMPUTED_VALUE""")," ")</f>
        <v> </v>
      </c>
      <c r="I850" s="45"/>
      <c r="J850" s="46" t="str">
        <f>IFERROR(__xludf.DUMMYFUNCTION("""COMPUTED_VALUE"""),"AP")</f>
        <v>AP</v>
      </c>
      <c r="K850" s="47"/>
      <c r="L850" s="48" t="str">
        <f>IFERROR(__xludf.DUMMYFUNCTION("""COMPUTED_VALUE"""),"%")</f>
        <v>%</v>
      </c>
      <c r="M850" s="49">
        <f>IFERROR(__xludf.DUMMYFUNCTION("""COMPUTED_VALUE"""),1.0)</f>
        <v>1</v>
      </c>
      <c r="N850" s="50"/>
      <c r="O850" s="38"/>
      <c r="P850" s="45" t="str">
        <f>IFERROR(__xludf.DUMMYFUNCTION("""COMPUTED_VALUE"""),"")</f>
        <v/>
      </c>
      <c r="Q850" s="46" t="str">
        <f>IFERROR(__xludf.DUMMYFUNCTION("""COMPUTED_VALUE"""),"AP")</f>
        <v>AP</v>
      </c>
      <c r="R850" s="47" t="str">
        <f>IFERROR(__xludf.DUMMYFUNCTION("""COMPUTED_VALUE"""),"")</f>
        <v/>
      </c>
      <c r="S850" s="48" t="str">
        <f>IFERROR(__xludf.DUMMYFUNCTION("""COMPUTED_VALUE"""),"%")</f>
        <v>%</v>
      </c>
      <c r="T850" s="49">
        <f>IFERROR(__xludf.DUMMYFUNCTION("""COMPUTED_VALUE"""),2.0)</f>
        <v>2</v>
      </c>
      <c r="U850" s="50"/>
      <c r="V850" s="38"/>
      <c r="W850" s="45" t="str">
        <f>IFERROR(__xludf.DUMMYFUNCTION("""COMPUTED_VALUE"""),"")</f>
        <v/>
      </c>
      <c r="X850" s="46" t="str">
        <f>IFERROR(__xludf.DUMMYFUNCTION("""COMPUTED_VALUE"""),"AP")</f>
        <v>AP</v>
      </c>
      <c r="Y850" s="47" t="str">
        <f>IFERROR(__xludf.DUMMYFUNCTION("""COMPUTED_VALUE"""),"")</f>
        <v/>
      </c>
      <c r="Z850" s="48" t="str">
        <f>IFERROR(__xludf.DUMMYFUNCTION("""COMPUTED_VALUE"""),"%")</f>
        <v>%</v>
      </c>
      <c r="AA850" s="49">
        <f>IFERROR(__xludf.DUMMYFUNCTION("""COMPUTED_VALUE"""),3.0)</f>
        <v>3</v>
      </c>
      <c r="AB850" s="50"/>
      <c r="AC850" s="38"/>
      <c r="AD850" s="45" t="str">
        <f>IFERROR(__xludf.DUMMYFUNCTION("""COMPUTED_VALUE"""),"")</f>
        <v/>
      </c>
      <c r="AE850" s="46" t="str">
        <f>IFERROR(__xludf.DUMMYFUNCTION("""COMPUTED_VALUE"""),"AP")</f>
        <v>AP</v>
      </c>
      <c r="AF850" s="47" t="str">
        <f>IFERROR(__xludf.DUMMYFUNCTION("""COMPUTED_VALUE"""),"")</f>
        <v/>
      </c>
      <c r="AG850" s="48" t="str">
        <f>IFERROR(__xludf.DUMMYFUNCTION("""COMPUTED_VALUE"""),"%")</f>
        <v>%</v>
      </c>
      <c r="AH850" s="43"/>
      <c r="AI850" s="44"/>
      <c r="AJ850" s="51"/>
    </row>
    <row r="851">
      <c r="A851" s="52"/>
      <c r="B851" s="53"/>
      <c r="C851" s="54"/>
      <c r="D851" s="55"/>
      <c r="E851" s="56"/>
      <c r="F851" s="53"/>
      <c r="G851" s="53"/>
      <c r="H851" s="53"/>
      <c r="I851" s="53"/>
      <c r="J851" s="57"/>
      <c r="K851" s="53"/>
      <c r="L851" s="57"/>
      <c r="M851" s="53"/>
      <c r="N851" s="53"/>
      <c r="O851" s="53"/>
      <c r="P851" s="53"/>
      <c r="Q851" s="57"/>
      <c r="R851" s="53"/>
      <c r="S851" s="57"/>
      <c r="T851" s="53"/>
      <c r="U851" s="53"/>
      <c r="V851" s="53"/>
      <c r="W851" s="53"/>
      <c r="X851" s="57"/>
      <c r="Y851" s="53"/>
      <c r="Z851" s="57"/>
      <c r="AA851" s="53"/>
      <c r="AB851" s="53"/>
      <c r="AC851" s="53"/>
      <c r="AD851" s="53"/>
      <c r="AE851" s="57"/>
      <c r="AF851" s="53"/>
      <c r="AG851" s="57"/>
      <c r="AH851" s="53"/>
      <c r="AI851" s="53"/>
      <c r="AJ851" s="58"/>
    </row>
    <row r="852">
      <c r="A852" s="59"/>
      <c r="B852" s="60"/>
      <c r="C852" s="61"/>
      <c r="D852" s="62"/>
      <c r="E852" s="63"/>
      <c r="F852" s="60"/>
      <c r="G852" s="60"/>
      <c r="H852" s="60"/>
      <c r="I852" s="60"/>
      <c r="J852" s="64"/>
      <c r="K852" s="60"/>
      <c r="L852" s="64"/>
      <c r="M852" s="60"/>
      <c r="N852" s="60"/>
      <c r="O852" s="60"/>
      <c r="P852" s="60"/>
      <c r="Q852" s="64"/>
      <c r="R852" s="60"/>
      <c r="S852" s="64"/>
      <c r="T852" s="60"/>
      <c r="U852" s="60"/>
      <c r="V852" s="60"/>
      <c r="W852" s="60"/>
      <c r="X852" s="64"/>
      <c r="Y852" s="60"/>
      <c r="Z852" s="64"/>
      <c r="AA852" s="60"/>
      <c r="AB852" s="60"/>
      <c r="AC852" s="60"/>
      <c r="AD852" s="60"/>
      <c r="AE852" s="64"/>
      <c r="AF852" s="60"/>
      <c r="AG852" s="64"/>
      <c r="AH852" s="60"/>
      <c r="AI852" s="60"/>
      <c r="AJ852" s="65"/>
    </row>
    <row r="853" ht="33.0" customHeight="1">
      <c r="A853" s="20" t="str">
        <f>IFERROR(__xludf.DUMMYFUNCTION("""COMPUTED_VALUE""")," ")</f>
        <v> </v>
      </c>
      <c r="B853" s="21" t="str">
        <f>IFERROR(__xludf.DUMMYFUNCTION("""COMPUTED_VALUE"""),"A109")</f>
        <v>A109</v>
      </c>
      <c r="C853" s="20"/>
      <c r="D853" s="22" t="str">
        <f>IFERROR(__xludf.DUMMYFUNCTION("""COMPUTED_VALUE"""),"")</f>
        <v/>
      </c>
      <c r="E853" s="23" t="str">
        <f>IFERROR(__xludf.DUMMYFUNCTION("""COMPUTED_VALUE"""),"Scarab of Wisdom")</f>
        <v>Scarab of Wisdom</v>
      </c>
      <c r="F853" s="24"/>
      <c r="G853" s="24"/>
      <c r="H853" s="25"/>
      <c r="I853" s="25"/>
      <c r="J853" s="26"/>
      <c r="K853" s="25"/>
      <c r="L853" s="26"/>
      <c r="M853" s="25"/>
      <c r="N853" s="25"/>
      <c r="O853" s="25"/>
      <c r="P853" s="25"/>
      <c r="Q853" s="26"/>
      <c r="R853" s="25"/>
      <c r="S853" s="26"/>
      <c r="T853" s="25"/>
      <c r="U853" s="25"/>
      <c r="V853" s="25"/>
      <c r="W853" s="25"/>
      <c r="X853" s="26"/>
      <c r="Y853" s="25"/>
      <c r="Z853" s="26"/>
      <c r="AA853" s="25"/>
      <c r="AB853" s="25"/>
      <c r="AC853" s="25"/>
      <c r="AD853" s="25"/>
      <c r="AE853" s="26"/>
      <c r="AF853" s="25"/>
      <c r="AG853" s="26"/>
      <c r="AH853" s="24"/>
      <c r="AI853" s="25"/>
      <c r="AJ853" s="27"/>
    </row>
    <row r="854" ht="24.75" customHeight="1">
      <c r="A854" s="28">
        <f>IFERROR(__xludf.DUMMYFUNCTION("""COMPUTED_VALUE"""),1.0)</f>
        <v>1</v>
      </c>
      <c r="B854" s="28" t="str">
        <f>IFERROR(__xludf.DUMMYFUNCTION("""COMPUTED_VALUE"""),"A109")</f>
        <v>A109</v>
      </c>
      <c r="C854" s="28" t="str">
        <f>IFERROR(__xludf.DUMMYFUNCTION("""COMPUTED_VALUE"""),"ATL4")</f>
        <v>ATL4</v>
      </c>
      <c r="D854" s="29" t="str">
        <f>IFERROR(__xludf.DUMMYFUNCTION("""COMPUTED_VALUE"""),"Atlantis")</f>
        <v>Atlantis</v>
      </c>
      <c r="E854" s="30" t="str">
        <f>IFERROR(__xludf.DUMMYFUNCTION("""COMPUTED_VALUE"""),"Deimos Island")</f>
        <v>Deimos Island</v>
      </c>
      <c r="F854" s="31">
        <f>IFERROR(__xludf.DUMMYFUNCTION("""COMPUTED_VALUE"""),21.0)</f>
        <v>21</v>
      </c>
      <c r="G854" s="32">
        <f>IFERROR(__xludf.DUMMYFUNCTION("""COMPUTED_VALUE"""),6220.0)</f>
        <v>6220</v>
      </c>
      <c r="H854" s="33" t="str">
        <f>IFERROR(__xludf.DUMMYFUNCTION("""COMPUTED_VALUE"""),"")</f>
        <v/>
      </c>
      <c r="I854" s="34">
        <f>IFERROR(__xludf.DUMMYFUNCTION("""COMPUTED_VALUE"""),175.3)</f>
        <v>175.3</v>
      </c>
      <c r="J854" s="35" t="str">
        <f>IFERROR(__xludf.DUMMYFUNCTION("""COMPUTED_VALUE"""),"AP")</f>
        <v>AP</v>
      </c>
      <c r="K854" s="34">
        <f>IFERROR(__xludf.DUMMYFUNCTION("""COMPUTED_VALUE"""),12.0)</f>
        <v>12</v>
      </c>
      <c r="L854" s="35" t="str">
        <f>IFERROR(__xludf.DUMMYFUNCTION("""COMPUTED_VALUE"""),"%")</f>
        <v>%</v>
      </c>
      <c r="M854" s="36">
        <f>IFERROR(__xludf.DUMMYFUNCTION("""COMPUTED_VALUE"""),1.0)</f>
        <v>1</v>
      </c>
      <c r="N854" s="37" t="str">
        <f>IFERROR(__xludf.DUMMYFUNCTION("""COMPUTED_VALUE"""),"A218")</f>
        <v>A218</v>
      </c>
      <c r="O854" s="38" t="str">
        <f>IFERROR(__xludf.DUMMYFUNCTION("""COMPUTED_VALUE"""),"")</f>
        <v/>
      </c>
      <c r="P854" s="34">
        <f>IFERROR(__xludf.DUMMYFUNCTION("""COMPUTED_VALUE"""),79.6)</f>
        <v>79.6</v>
      </c>
      <c r="Q854" s="35" t="str">
        <f>IFERROR(__xludf.DUMMYFUNCTION("""COMPUTED_VALUE"""),"AP")</f>
        <v>AP</v>
      </c>
      <c r="R854" s="34">
        <f>IFERROR(__xludf.DUMMYFUNCTION("""COMPUTED_VALUE"""),26.4)</f>
        <v>26.4</v>
      </c>
      <c r="S854" s="35" t="str">
        <f>IFERROR(__xludf.DUMMYFUNCTION("""COMPUTED_VALUE"""),"%")</f>
        <v>%</v>
      </c>
      <c r="T854" s="36">
        <f>IFERROR(__xludf.DUMMYFUNCTION("""COMPUTED_VALUE"""),2.0)</f>
        <v>2</v>
      </c>
      <c r="U854" s="37" t="str">
        <f>IFERROR(__xludf.DUMMYFUNCTION("""COMPUTED_VALUE"""),"B105")</f>
        <v>B105</v>
      </c>
      <c r="V854" s="38" t="str">
        <f>IFERROR(__xludf.DUMMYFUNCTION("""COMPUTED_VALUE"""),"")</f>
        <v/>
      </c>
      <c r="W854" s="34">
        <f>IFERROR(__xludf.DUMMYFUNCTION("""COMPUTED_VALUE"""),365.4)</f>
        <v>365.4</v>
      </c>
      <c r="X854" s="35" t="str">
        <f>IFERROR(__xludf.DUMMYFUNCTION("""COMPUTED_VALUE"""),"AP")</f>
        <v>AP</v>
      </c>
      <c r="Y854" s="34">
        <f>IFERROR(__xludf.DUMMYFUNCTION("""COMPUTED_VALUE"""),5.7)</f>
        <v>5.7</v>
      </c>
      <c r="Z854" s="35" t="str">
        <f>IFERROR(__xludf.DUMMYFUNCTION("""COMPUTED_VALUE"""),"%")</f>
        <v>%</v>
      </c>
      <c r="AA854" s="36">
        <f>IFERROR(__xludf.DUMMYFUNCTION("""COMPUTED_VALUE"""),3.0)</f>
        <v>3</v>
      </c>
      <c r="AB854" s="37" t="str">
        <f>IFERROR(__xludf.DUMMYFUNCTION("""COMPUTED_VALUE"""),"B111")</f>
        <v>B111</v>
      </c>
      <c r="AC854" s="38" t="str">
        <f>IFERROR(__xludf.DUMMYFUNCTION("""COMPUTED_VALUE"""),"")</f>
        <v/>
      </c>
      <c r="AD854" s="34">
        <f>IFERROR(__xludf.DUMMYFUNCTION("""COMPUTED_VALUE"""),60.7)</f>
        <v>60.7</v>
      </c>
      <c r="AE854" s="35" t="str">
        <f>IFERROR(__xludf.DUMMYFUNCTION("""COMPUTED_VALUE"""),"AP")</f>
        <v>AP</v>
      </c>
      <c r="AF854" s="34">
        <f>IFERROR(__xludf.DUMMYFUNCTION("""COMPUTED_VALUE"""),34.6)</f>
        <v>34.6</v>
      </c>
      <c r="AG854" s="35" t="str">
        <f>IFERROR(__xludf.DUMMYFUNCTION("""COMPUTED_VALUE"""),"%")</f>
        <v>%</v>
      </c>
      <c r="AH854" s="31">
        <f>IFERROR(__xludf.DUMMYFUNCTION("""COMPUTED_VALUE"""),21.0)</f>
        <v>21</v>
      </c>
      <c r="AI854" s="32">
        <f>IFERROR(__xludf.DUMMYFUNCTION("""COMPUTED_VALUE"""),6220.0)</f>
        <v>6220</v>
      </c>
      <c r="AJ854" s="39" t="str">
        <f>IFERROR(__xludf.DUMMYFUNCTION("""COMPUTED_VALUE"""),"デイモス島")</f>
        <v>デイモス島</v>
      </c>
    </row>
    <row r="855" ht="24.75" customHeight="1">
      <c r="A855" s="40">
        <f>IFERROR(__xludf.DUMMYFUNCTION("""COMPUTED_VALUE"""),2.0)</f>
        <v>2</v>
      </c>
      <c r="B855" s="40" t="str">
        <f>IFERROR(__xludf.DUMMYFUNCTION("""COMPUTED_VALUE"""),"A109")</f>
        <v>A109</v>
      </c>
      <c r="C855" s="40" t="str">
        <f>IFERROR(__xludf.DUMMYFUNCTION("""COMPUTED_VALUE"""),"CML14")</f>
        <v>CML14</v>
      </c>
      <c r="D855" s="41" t="str">
        <f>IFERROR(__xludf.DUMMYFUNCTION("""COMPUTED_VALUE"""),"Camelot")</f>
        <v>Camelot</v>
      </c>
      <c r="E855" s="42" t="str">
        <f>IFERROR(__xludf.DUMMYFUNCTION("""COMPUTED_VALUE"""),"Great Temple")</f>
        <v>Great Temple</v>
      </c>
      <c r="F855" s="43">
        <f>IFERROR(__xludf.DUMMYFUNCTION("""COMPUTED_VALUE"""),22.0)</f>
        <v>22</v>
      </c>
      <c r="G855" s="44">
        <f>IFERROR(__xludf.DUMMYFUNCTION("""COMPUTED_VALUE"""),42852.0)</f>
        <v>42852</v>
      </c>
      <c r="H855" s="33" t="str">
        <f>IFERROR(__xludf.DUMMYFUNCTION("""COMPUTED_VALUE"""),"")</f>
        <v/>
      </c>
      <c r="I855" s="45">
        <f>IFERROR(__xludf.DUMMYFUNCTION("""COMPUTED_VALUE"""),181.6)</f>
        <v>181.6</v>
      </c>
      <c r="J855" s="46" t="str">
        <f>IFERROR(__xludf.DUMMYFUNCTION("""COMPUTED_VALUE"""),"AP")</f>
        <v>AP</v>
      </c>
      <c r="K855" s="47">
        <f>IFERROR(__xludf.DUMMYFUNCTION("""COMPUTED_VALUE"""),12.1)</f>
        <v>12.1</v>
      </c>
      <c r="L855" s="48" t="str">
        <f>IFERROR(__xludf.DUMMYFUNCTION("""COMPUTED_VALUE"""),"%")</f>
        <v>%</v>
      </c>
      <c r="M855" s="49">
        <f>IFERROR(__xludf.DUMMYFUNCTION("""COMPUTED_VALUE"""),1.0)</f>
        <v>1</v>
      </c>
      <c r="N855" s="50" t="str">
        <f>IFERROR(__xludf.DUMMYFUNCTION("""COMPUTED_VALUE"""),"A305")</f>
        <v>A305</v>
      </c>
      <c r="O855" s="38" t="str">
        <f>IFERROR(__xludf.DUMMYFUNCTION("""COMPUTED_VALUE"""),"")</f>
        <v/>
      </c>
      <c r="P855" s="45">
        <f>IFERROR(__xludf.DUMMYFUNCTION("""COMPUTED_VALUE"""),51.9)</f>
        <v>51.9</v>
      </c>
      <c r="Q855" s="46" t="str">
        <f>IFERROR(__xludf.DUMMYFUNCTION("""COMPUTED_VALUE"""),"AP")</f>
        <v>AP</v>
      </c>
      <c r="R855" s="47">
        <f>IFERROR(__xludf.DUMMYFUNCTION("""COMPUTED_VALUE"""),42.4)</f>
        <v>42.4</v>
      </c>
      <c r="S855" s="48" t="str">
        <f>IFERROR(__xludf.DUMMYFUNCTION("""COMPUTED_VALUE"""),"%")</f>
        <v>%</v>
      </c>
      <c r="T855" s="49">
        <f>IFERROR(__xludf.DUMMYFUNCTION("""COMPUTED_VALUE"""),2.0)</f>
        <v>2</v>
      </c>
      <c r="U855" s="50" t="str">
        <f>IFERROR(__xludf.DUMMYFUNCTION("""COMPUTED_VALUE"""),"B105")</f>
        <v>B105</v>
      </c>
      <c r="V855" s="38" t="str">
        <f>IFERROR(__xludf.DUMMYFUNCTION("""COMPUTED_VALUE"""),"")</f>
        <v/>
      </c>
      <c r="W855" s="45">
        <f>IFERROR(__xludf.DUMMYFUNCTION("""COMPUTED_VALUE"""),364.9)</f>
        <v>364.9</v>
      </c>
      <c r="X855" s="46" t="str">
        <f>IFERROR(__xludf.DUMMYFUNCTION("""COMPUTED_VALUE"""),"AP")</f>
        <v>AP</v>
      </c>
      <c r="Y855" s="47">
        <f>IFERROR(__xludf.DUMMYFUNCTION("""COMPUTED_VALUE"""),6.0)</f>
        <v>6</v>
      </c>
      <c r="Z855" s="48" t="str">
        <f>IFERROR(__xludf.DUMMYFUNCTION("""COMPUTED_VALUE"""),"%")</f>
        <v>%</v>
      </c>
      <c r="AA855" s="49">
        <f>IFERROR(__xludf.DUMMYFUNCTION("""COMPUTED_VALUE"""),3.0)</f>
        <v>3</v>
      </c>
      <c r="AB855" s="50"/>
      <c r="AC855" s="38"/>
      <c r="AD855" s="45" t="str">
        <f>IFERROR(__xludf.DUMMYFUNCTION("""COMPUTED_VALUE"""),"")</f>
        <v/>
      </c>
      <c r="AE855" s="46" t="str">
        <f>IFERROR(__xludf.DUMMYFUNCTION("""COMPUTED_VALUE"""),"AP")</f>
        <v>AP</v>
      </c>
      <c r="AF855" s="47" t="str">
        <f>IFERROR(__xludf.DUMMYFUNCTION("""COMPUTED_VALUE"""),"")</f>
        <v/>
      </c>
      <c r="AG855" s="48" t="str">
        <f>IFERROR(__xludf.DUMMYFUNCTION("""COMPUTED_VALUE"""),"%")</f>
        <v>%</v>
      </c>
      <c r="AH855" s="43">
        <f>IFERROR(__xludf.DUMMYFUNCTION("""COMPUTED_VALUE"""),22.0)</f>
        <v>22</v>
      </c>
      <c r="AI855" s="44">
        <f>IFERROR(__xludf.DUMMYFUNCTION("""COMPUTED_VALUE"""),42852.0)</f>
        <v>42852</v>
      </c>
      <c r="AJ855" s="51" t="str">
        <f>IFERROR(__xludf.DUMMYFUNCTION("""COMPUTED_VALUE"""),"大神殿")</f>
        <v>大神殿</v>
      </c>
    </row>
    <row r="856" ht="24.75" customHeight="1">
      <c r="A856" s="28">
        <f>IFERROR(__xludf.DUMMYFUNCTION("""COMPUTED_VALUE"""),3.0)</f>
        <v>3</v>
      </c>
      <c r="B856" s="28" t="str">
        <f>IFERROR(__xludf.DUMMYFUNCTION("""COMPUTED_VALUE"""),"A109")</f>
        <v>A109</v>
      </c>
      <c r="C856" s="28" t="str">
        <f>IFERROR(__xludf.DUMMYFUNCTION("""COMPUTED_VALUE"""),"CML1")</f>
        <v>CML1</v>
      </c>
      <c r="D856" s="29" t="str">
        <f>IFERROR(__xludf.DUMMYFUNCTION("""COMPUTED_VALUE"""),"Camelot")</f>
        <v>Camelot</v>
      </c>
      <c r="E856" s="30" t="str">
        <f>IFERROR(__xludf.DUMMYFUNCTION("""COMPUTED_VALUE"""),"Sandstorm Desert")</f>
        <v>Sandstorm Desert</v>
      </c>
      <c r="F856" s="31">
        <f>IFERROR(__xludf.DUMMYFUNCTION("""COMPUTED_VALUE"""),19.0)</f>
        <v>19</v>
      </c>
      <c r="G856" s="32">
        <f>IFERROR(__xludf.DUMMYFUNCTION("""COMPUTED_VALUE"""),70842.0)</f>
        <v>70842</v>
      </c>
      <c r="H856" s="33" t="str">
        <f>IFERROR(__xludf.DUMMYFUNCTION("""COMPUTED_VALUE"""),"")</f>
        <v/>
      </c>
      <c r="I856" s="34">
        <f>IFERROR(__xludf.DUMMYFUNCTION("""COMPUTED_VALUE"""),233.6)</f>
        <v>233.6</v>
      </c>
      <c r="J856" s="35" t="str">
        <f>IFERROR(__xludf.DUMMYFUNCTION("""COMPUTED_VALUE"""),"AP")</f>
        <v>AP</v>
      </c>
      <c r="K856" s="34">
        <f>IFERROR(__xludf.DUMMYFUNCTION("""COMPUTED_VALUE"""),8.1)</f>
        <v>8.1</v>
      </c>
      <c r="L856" s="35" t="str">
        <f>IFERROR(__xludf.DUMMYFUNCTION("""COMPUTED_VALUE"""),"%")</f>
        <v>%</v>
      </c>
      <c r="M856" s="36">
        <f>IFERROR(__xludf.DUMMYFUNCTION("""COMPUTED_VALUE"""),1.0)</f>
        <v>1</v>
      </c>
      <c r="N856" s="37" t="str">
        <f>IFERROR(__xludf.DUMMYFUNCTION("""COMPUTED_VALUE"""),"A302")</f>
        <v>A302</v>
      </c>
      <c r="O856" s="38" t="str">
        <f>IFERROR(__xludf.DUMMYFUNCTION("""COMPUTED_VALUE"""),"")</f>
        <v/>
      </c>
      <c r="P856" s="34">
        <f>IFERROR(__xludf.DUMMYFUNCTION("""COMPUTED_VALUE"""),30.1)</f>
        <v>30.1</v>
      </c>
      <c r="Q856" s="35" t="str">
        <f>IFERROR(__xludf.DUMMYFUNCTION("""COMPUTED_VALUE"""),"AP")</f>
        <v>AP</v>
      </c>
      <c r="R856" s="34">
        <f>IFERROR(__xludf.DUMMYFUNCTION("""COMPUTED_VALUE"""),63.0)</f>
        <v>63</v>
      </c>
      <c r="S856" s="35" t="str">
        <f>IFERROR(__xludf.DUMMYFUNCTION("""COMPUTED_VALUE"""),"%")</f>
        <v>%</v>
      </c>
      <c r="T856" s="36">
        <f>IFERROR(__xludf.DUMMYFUNCTION("""COMPUTED_VALUE"""),2.0)</f>
        <v>2</v>
      </c>
      <c r="U856" s="37" t="str">
        <f>IFERROR(__xludf.DUMMYFUNCTION("""COMPUTED_VALUE"""),"B105")</f>
        <v>B105</v>
      </c>
      <c r="V856" s="38" t="str">
        <f>IFERROR(__xludf.DUMMYFUNCTION("""COMPUTED_VALUE"""),"")</f>
        <v/>
      </c>
      <c r="W856" s="34">
        <f>IFERROR(__xludf.DUMMYFUNCTION("""COMPUTED_VALUE"""),616.1)</f>
        <v>616.1</v>
      </c>
      <c r="X856" s="35" t="str">
        <f>IFERROR(__xludf.DUMMYFUNCTION("""COMPUTED_VALUE"""),"AP")</f>
        <v>AP</v>
      </c>
      <c r="Y856" s="34">
        <f>IFERROR(__xludf.DUMMYFUNCTION("""COMPUTED_VALUE"""),3.1)</f>
        <v>3.1</v>
      </c>
      <c r="Z856" s="35" t="str">
        <f>IFERROR(__xludf.DUMMYFUNCTION("""COMPUTED_VALUE"""),"%")</f>
        <v>%</v>
      </c>
      <c r="AA856" s="36">
        <f>IFERROR(__xludf.DUMMYFUNCTION("""COMPUTED_VALUE"""),3.0)</f>
        <v>3</v>
      </c>
      <c r="AB856" s="37"/>
      <c r="AC856" s="38"/>
      <c r="AD856" s="34" t="str">
        <f>IFERROR(__xludf.DUMMYFUNCTION("""COMPUTED_VALUE"""),"")</f>
        <v/>
      </c>
      <c r="AE856" s="35" t="str">
        <f>IFERROR(__xludf.DUMMYFUNCTION("""COMPUTED_VALUE"""),"AP")</f>
        <v>AP</v>
      </c>
      <c r="AF856" s="34" t="str">
        <f>IFERROR(__xludf.DUMMYFUNCTION("""COMPUTED_VALUE"""),"")</f>
        <v/>
      </c>
      <c r="AG856" s="35" t="str">
        <f>IFERROR(__xludf.DUMMYFUNCTION("""COMPUTED_VALUE"""),"%")</f>
        <v>%</v>
      </c>
      <c r="AH856" s="31">
        <f>IFERROR(__xludf.DUMMYFUNCTION("""COMPUTED_VALUE"""),19.0)</f>
        <v>19</v>
      </c>
      <c r="AI856" s="32">
        <f>IFERROR(__xludf.DUMMYFUNCTION("""COMPUTED_VALUE"""),70842.0)</f>
        <v>70842</v>
      </c>
      <c r="AJ856" s="39" t="str">
        <f>IFERROR(__xludf.DUMMYFUNCTION("""COMPUTED_VALUE"""),"砂嵐の砂漠")</f>
        <v>砂嵐の砂漠</v>
      </c>
    </row>
    <row r="857" ht="24.75" customHeight="1">
      <c r="A857" s="40">
        <f>IFERROR(__xludf.DUMMYFUNCTION("""COMPUTED_VALUE"""),4.0)</f>
        <v>4</v>
      </c>
      <c r="B857" s="40" t="str">
        <f>IFERROR(__xludf.DUMMYFUNCTION("""COMPUTED_VALUE"""),"A109")</f>
        <v>A109</v>
      </c>
      <c r="C857" s="40"/>
      <c r="D857" s="41"/>
      <c r="E857" s="66"/>
      <c r="F857" s="43"/>
      <c r="G857" s="44"/>
      <c r="H857" s="33" t="str">
        <f>IFERROR(__xludf.DUMMYFUNCTION("""COMPUTED_VALUE""")," ")</f>
        <v> </v>
      </c>
      <c r="I857" s="45"/>
      <c r="J857" s="46" t="str">
        <f>IFERROR(__xludf.DUMMYFUNCTION("""COMPUTED_VALUE"""),"AP")</f>
        <v>AP</v>
      </c>
      <c r="K857" s="47"/>
      <c r="L857" s="48" t="str">
        <f>IFERROR(__xludf.DUMMYFUNCTION("""COMPUTED_VALUE"""),"%")</f>
        <v>%</v>
      </c>
      <c r="M857" s="49">
        <f>IFERROR(__xludf.DUMMYFUNCTION("""COMPUTED_VALUE"""),1.0)</f>
        <v>1</v>
      </c>
      <c r="N857" s="50"/>
      <c r="O857" s="38"/>
      <c r="P857" s="45" t="str">
        <f>IFERROR(__xludf.DUMMYFUNCTION("""COMPUTED_VALUE"""),"")</f>
        <v/>
      </c>
      <c r="Q857" s="46" t="str">
        <f>IFERROR(__xludf.DUMMYFUNCTION("""COMPUTED_VALUE"""),"AP")</f>
        <v>AP</v>
      </c>
      <c r="R857" s="47" t="str">
        <f>IFERROR(__xludf.DUMMYFUNCTION("""COMPUTED_VALUE"""),"")</f>
        <v/>
      </c>
      <c r="S857" s="48" t="str">
        <f>IFERROR(__xludf.DUMMYFUNCTION("""COMPUTED_VALUE"""),"%")</f>
        <v>%</v>
      </c>
      <c r="T857" s="49">
        <f>IFERROR(__xludf.DUMMYFUNCTION("""COMPUTED_VALUE"""),2.0)</f>
        <v>2</v>
      </c>
      <c r="U857" s="50"/>
      <c r="V857" s="38"/>
      <c r="W857" s="45" t="str">
        <f>IFERROR(__xludf.DUMMYFUNCTION("""COMPUTED_VALUE"""),"")</f>
        <v/>
      </c>
      <c r="X857" s="46" t="str">
        <f>IFERROR(__xludf.DUMMYFUNCTION("""COMPUTED_VALUE"""),"AP")</f>
        <v>AP</v>
      </c>
      <c r="Y857" s="47" t="str">
        <f>IFERROR(__xludf.DUMMYFUNCTION("""COMPUTED_VALUE"""),"")</f>
        <v/>
      </c>
      <c r="Z857" s="48" t="str">
        <f>IFERROR(__xludf.DUMMYFUNCTION("""COMPUTED_VALUE"""),"%")</f>
        <v>%</v>
      </c>
      <c r="AA857" s="49">
        <f>IFERROR(__xludf.DUMMYFUNCTION("""COMPUTED_VALUE"""),3.0)</f>
        <v>3</v>
      </c>
      <c r="AB857" s="50"/>
      <c r="AC857" s="38"/>
      <c r="AD857" s="45" t="str">
        <f>IFERROR(__xludf.DUMMYFUNCTION("""COMPUTED_VALUE"""),"")</f>
        <v/>
      </c>
      <c r="AE857" s="46" t="str">
        <f>IFERROR(__xludf.DUMMYFUNCTION("""COMPUTED_VALUE"""),"AP")</f>
        <v>AP</v>
      </c>
      <c r="AF857" s="47" t="str">
        <f>IFERROR(__xludf.DUMMYFUNCTION("""COMPUTED_VALUE"""),"")</f>
        <v/>
      </c>
      <c r="AG857" s="48" t="str">
        <f>IFERROR(__xludf.DUMMYFUNCTION("""COMPUTED_VALUE"""),"%")</f>
        <v>%</v>
      </c>
      <c r="AH857" s="43"/>
      <c r="AI857" s="44"/>
      <c r="AJ857" s="51"/>
    </row>
    <row r="858" ht="24.75" hidden="1" customHeight="1">
      <c r="A858" s="28">
        <f>IFERROR(__xludf.DUMMYFUNCTION("""COMPUTED_VALUE"""),5.0)</f>
        <v>5</v>
      </c>
      <c r="B858" s="28" t="str">
        <f>IFERROR(__xludf.DUMMYFUNCTION("""COMPUTED_VALUE"""),"A109")</f>
        <v>A109</v>
      </c>
      <c r="C858" s="28"/>
      <c r="D858" s="29"/>
      <c r="E858" s="67"/>
      <c r="F858" s="31"/>
      <c r="G858" s="32"/>
      <c r="H858" s="33" t="str">
        <f>IFERROR(__xludf.DUMMYFUNCTION("""COMPUTED_VALUE""")," ")</f>
        <v> </v>
      </c>
      <c r="I858" s="34"/>
      <c r="J858" s="35" t="str">
        <f>IFERROR(__xludf.DUMMYFUNCTION("""COMPUTED_VALUE"""),"AP")</f>
        <v>AP</v>
      </c>
      <c r="K858" s="34"/>
      <c r="L858" s="35" t="str">
        <f>IFERROR(__xludf.DUMMYFUNCTION("""COMPUTED_VALUE"""),"%")</f>
        <v>%</v>
      </c>
      <c r="M858" s="36">
        <f>IFERROR(__xludf.DUMMYFUNCTION("""COMPUTED_VALUE"""),1.0)</f>
        <v>1</v>
      </c>
      <c r="N858" s="37"/>
      <c r="O858" s="38"/>
      <c r="P858" s="34" t="str">
        <f>IFERROR(__xludf.DUMMYFUNCTION("""COMPUTED_VALUE"""),"")</f>
        <v/>
      </c>
      <c r="Q858" s="35" t="str">
        <f>IFERROR(__xludf.DUMMYFUNCTION("""COMPUTED_VALUE"""),"AP")</f>
        <v>AP</v>
      </c>
      <c r="R858" s="34" t="str">
        <f>IFERROR(__xludf.DUMMYFUNCTION("""COMPUTED_VALUE"""),"")</f>
        <v/>
      </c>
      <c r="S858" s="35" t="str">
        <f>IFERROR(__xludf.DUMMYFUNCTION("""COMPUTED_VALUE"""),"%")</f>
        <v>%</v>
      </c>
      <c r="T858" s="36">
        <f>IFERROR(__xludf.DUMMYFUNCTION("""COMPUTED_VALUE"""),2.0)</f>
        <v>2</v>
      </c>
      <c r="U858" s="37"/>
      <c r="V858" s="38"/>
      <c r="W858" s="34" t="str">
        <f>IFERROR(__xludf.DUMMYFUNCTION("""COMPUTED_VALUE"""),"")</f>
        <v/>
      </c>
      <c r="X858" s="35" t="str">
        <f>IFERROR(__xludf.DUMMYFUNCTION("""COMPUTED_VALUE"""),"AP")</f>
        <v>AP</v>
      </c>
      <c r="Y858" s="34" t="str">
        <f>IFERROR(__xludf.DUMMYFUNCTION("""COMPUTED_VALUE"""),"")</f>
        <v/>
      </c>
      <c r="Z858" s="35" t="str">
        <f>IFERROR(__xludf.DUMMYFUNCTION("""COMPUTED_VALUE"""),"%")</f>
        <v>%</v>
      </c>
      <c r="AA858" s="36">
        <f>IFERROR(__xludf.DUMMYFUNCTION("""COMPUTED_VALUE"""),3.0)</f>
        <v>3</v>
      </c>
      <c r="AB858" s="37"/>
      <c r="AC858" s="38"/>
      <c r="AD858" s="34" t="str">
        <f>IFERROR(__xludf.DUMMYFUNCTION("""COMPUTED_VALUE"""),"")</f>
        <v/>
      </c>
      <c r="AE858" s="35" t="str">
        <f>IFERROR(__xludf.DUMMYFUNCTION("""COMPUTED_VALUE"""),"AP")</f>
        <v>AP</v>
      </c>
      <c r="AF858" s="34" t="str">
        <f>IFERROR(__xludf.DUMMYFUNCTION("""COMPUTED_VALUE"""),"")</f>
        <v/>
      </c>
      <c r="AG858" s="35" t="str">
        <f>IFERROR(__xludf.DUMMYFUNCTION("""COMPUTED_VALUE"""),"%")</f>
        <v>%</v>
      </c>
      <c r="AH858" s="31"/>
      <c r="AI858" s="32"/>
      <c r="AJ858" s="39"/>
    </row>
    <row r="859" ht="24.75" hidden="1" customHeight="1">
      <c r="A859" s="40">
        <f>IFERROR(__xludf.DUMMYFUNCTION("""COMPUTED_VALUE"""),6.0)</f>
        <v>6</v>
      </c>
      <c r="B859" s="40" t="str">
        <f>IFERROR(__xludf.DUMMYFUNCTION("""COMPUTED_VALUE"""),"A109")</f>
        <v>A109</v>
      </c>
      <c r="C859" s="40"/>
      <c r="D859" s="41"/>
      <c r="E859" s="66"/>
      <c r="F859" s="43"/>
      <c r="G859" s="44"/>
      <c r="H859" s="33" t="str">
        <f>IFERROR(__xludf.DUMMYFUNCTION("""COMPUTED_VALUE""")," ")</f>
        <v> </v>
      </c>
      <c r="I859" s="45"/>
      <c r="J859" s="46" t="str">
        <f>IFERROR(__xludf.DUMMYFUNCTION("""COMPUTED_VALUE"""),"AP")</f>
        <v>AP</v>
      </c>
      <c r="K859" s="47"/>
      <c r="L859" s="48" t="str">
        <f>IFERROR(__xludf.DUMMYFUNCTION("""COMPUTED_VALUE"""),"%")</f>
        <v>%</v>
      </c>
      <c r="M859" s="49">
        <f>IFERROR(__xludf.DUMMYFUNCTION("""COMPUTED_VALUE"""),1.0)</f>
        <v>1</v>
      </c>
      <c r="N859" s="50"/>
      <c r="O859" s="38"/>
      <c r="P859" s="45" t="str">
        <f>IFERROR(__xludf.DUMMYFUNCTION("""COMPUTED_VALUE"""),"")</f>
        <v/>
      </c>
      <c r="Q859" s="46" t="str">
        <f>IFERROR(__xludf.DUMMYFUNCTION("""COMPUTED_VALUE"""),"AP")</f>
        <v>AP</v>
      </c>
      <c r="R859" s="47" t="str">
        <f>IFERROR(__xludf.DUMMYFUNCTION("""COMPUTED_VALUE"""),"")</f>
        <v/>
      </c>
      <c r="S859" s="48" t="str">
        <f>IFERROR(__xludf.DUMMYFUNCTION("""COMPUTED_VALUE"""),"%")</f>
        <v>%</v>
      </c>
      <c r="T859" s="49">
        <f>IFERROR(__xludf.DUMMYFUNCTION("""COMPUTED_VALUE"""),2.0)</f>
        <v>2</v>
      </c>
      <c r="U859" s="50"/>
      <c r="V859" s="38"/>
      <c r="W859" s="45" t="str">
        <f>IFERROR(__xludf.DUMMYFUNCTION("""COMPUTED_VALUE"""),"")</f>
        <v/>
      </c>
      <c r="X859" s="46" t="str">
        <f>IFERROR(__xludf.DUMMYFUNCTION("""COMPUTED_VALUE"""),"AP")</f>
        <v>AP</v>
      </c>
      <c r="Y859" s="47" t="str">
        <f>IFERROR(__xludf.DUMMYFUNCTION("""COMPUTED_VALUE"""),"")</f>
        <v/>
      </c>
      <c r="Z859" s="48" t="str">
        <f>IFERROR(__xludf.DUMMYFUNCTION("""COMPUTED_VALUE"""),"%")</f>
        <v>%</v>
      </c>
      <c r="AA859" s="49">
        <f>IFERROR(__xludf.DUMMYFUNCTION("""COMPUTED_VALUE"""),3.0)</f>
        <v>3</v>
      </c>
      <c r="AB859" s="50"/>
      <c r="AC859" s="38"/>
      <c r="AD859" s="45" t="str">
        <f>IFERROR(__xludf.DUMMYFUNCTION("""COMPUTED_VALUE"""),"")</f>
        <v/>
      </c>
      <c r="AE859" s="46" t="str">
        <f>IFERROR(__xludf.DUMMYFUNCTION("""COMPUTED_VALUE"""),"AP")</f>
        <v>AP</v>
      </c>
      <c r="AF859" s="47" t="str">
        <f>IFERROR(__xludf.DUMMYFUNCTION("""COMPUTED_VALUE"""),"")</f>
        <v/>
      </c>
      <c r="AG859" s="48" t="str">
        <f>IFERROR(__xludf.DUMMYFUNCTION("""COMPUTED_VALUE"""),"%")</f>
        <v>%</v>
      </c>
      <c r="AH859" s="43"/>
      <c r="AI859" s="44"/>
      <c r="AJ859" s="51"/>
    </row>
    <row r="860" ht="24.75" hidden="1" customHeight="1">
      <c r="A860" s="28">
        <f>IFERROR(__xludf.DUMMYFUNCTION("""COMPUTED_VALUE"""),7.0)</f>
        <v>7</v>
      </c>
      <c r="B860" s="28" t="str">
        <f>IFERROR(__xludf.DUMMYFUNCTION("""COMPUTED_VALUE"""),"A109")</f>
        <v>A109</v>
      </c>
      <c r="C860" s="28"/>
      <c r="D860" s="29"/>
      <c r="E860" s="67"/>
      <c r="F860" s="31"/>
      <c r="G860" s="32"/>
      <c r="H860" s="33" t="str">
        <f>IFERROR(__xludf.DUMMYFUNCTION("""COMPUTED_VALUE""")," ")</f>
        <v> </v>
      </c>
      <c r="I860" s="34"/>
      <c r="J860" s="35" t="str">
        <f>IFERROR(__xludf.DUMMYFUNCTION("""COMPUTED_VALUE"""),"AP")</f>
        <v>AP</v>
      </c>
      <c r="K860" s="34"/>
      <c r="L860" s="35" t="str">
        <f>IFERROR(__xludf.DUMMYFUNCTION("""COMPUTED_VALUE"""),"%")</f>
        <v>%</v>
      </c>
      <c r="M860" s="36">
        <f>IFERROR(__xludf.DUMMYFUNCTION("""COMPUTED_VALUE"""),1.0)</f>
        <v>1</v>
      </c>
      <c r="N860" s="37"/>
      <c r="O860" s="38"/>
      <c r="P860" s="34" t="str">
        <f>IFERROR(__xludf.DUMMYFUNCTION("""COMPUTED_VALUE"""),"")</f>
        <v/>
      </c>
      <c r="Q860" s="35" t="str">
        <f>IFERROR(__xludf.DUMMYFUNCTION("""COMPUTED_VALUE"""),"AP")</f>
        <v>AP</v>
      </c>
      <c r="R860" s="34" t="str">
        <f>IFERROR(__xludf.DUMMYFUNCTION("""COMPUTED_VALUE"""),"")</f>
        <v/>
      </c>
      <c r="S860" s="35" t="str">
        <f>IFERROR(__xludf.DUMMYFUNCTION("""COMPUTED_VALUE"""),"%")</f>
        <v>%</v>
      </c>
      <c r="T860" s="36">
        <f>IFERROR(__xludf.DUMMYFUNCTION("""COMPUTED_VALUE"""),2.0)</f>
        <v>2</v>
      </c>
      <c r="U860" s="37"/>
      <c r="V860" s="38"/>
      <c r="W860" s="34" t="str">
        <f>IFERROR(__xludf.DUMMYFUNCTION("""COMPUTED_VALUE"""),"")</f>
        <v/>
      </c>
      <c r="X860" s="35" t="str">
        <f>IFERROR(__xludf.DUMMYFUNCTION("""COMPUTED_VALUE"""),"AP")</f>
        <v>AP</v>
      </c>
      <c r="Y860" s="34" t="str">
        <f>IFERROR(__xludf.DUMMYFUNCTION("""COMPUTED_VALUE"""),"")</f>
        <v/>
      </c>
      <c r="Z860" s="35" t="str">
        <f>IFERROR(__xludf.DUMMYFUNCTION("""COMPUTED_VALUE"""),"%")</f>
        <v>%</v>
      </c>
      <c r="AA860" s="36">
        <f>IFERROR(__xludf.DUMMYFUNCTION("""COMPUTED_VALUE"""),3.0)</f>
        <v>3</v>
      </c>
      <c r="AB860" s="37"/>
      <c r="AC860" s="38"/>
      <c r="AD860" s="34" t="str">
        <f>IFERROR(__xludf.DUMMYFUNCTION("""COMPUTED_VALUE"""),"")</f>
        <v/>
      </c>
      <c r="AE860" s="35" t="str">
        <f>IFERROR(__xludf.DUMMYFUNCTION("""COMPUTED_VALUE"""),"AP")</f>
        <v>AP</v>
      </c>
      <c r="AF860" s="34" t="str">
        <f>IFERROR(__xludf.DUMMYFUNCTION("""COMPUTED_VALUE"""),"")</f>
        <v/>
      </c>
      <c r="AG860" s="35" t="str">
        <f>IFERROR(__xludf.DUMMYFUNCTION("""COMPUTED_VALUE"""),"%")</f>
        <v>%</v>
      </c>
      <c r="AH860" s="31"/>
      <c r="AI860" s="32"/>
      <c r="AJ860" s="39"/>
    </row>
    <row r="861" ht="24.75" hidden="1" customHeight="1">
      <c r="A861" s="40">
        <f>IFERROR(__xludf.DUMMYFUNCTION("""COMPUTED_VALUE"""),8.0)</f>
        <v>8</v>
      </c>
      <c r="B861" s="40" t="str">
        <f>IFERROR(__xludf.DUMMYFUNCTION("""COMPUTED_VALUE"""),"A109")</f>
        <v>A109</v>
      </c>
      <c r="C861" s="40"/>
      <c r="D861" s="41"/>
      <c r="E861" s="66"/>
      <c r="F861" s="43"/>
      <c r="G861" s="44"/>
      <c r="H861" s="33" t="str">
        <f>IFERROR(__xludf.DUMMYFUNCTION("""COMPUTED_VALUE""")," ")</f>
        <v> </v>
      </c>
      <c r="I861" s="45"/>
      <c r="J861" s="46" t="str">
        <f>IFERROR(__xludf.DUMMYFUNCTION("""COMPUTED_VALUE"""),"AP")</f>
        <v>AP</v>
      </c>
      <c r="K861" s="47"/>
      <c r="L861" s="48" t="str">
        <f>IFERROR(__xludf.DUMMYFUNCTION("""COMPUTED_VALUE"""),"%")</f>
        <v>%</v>
      </c>
      <c r="M861" s="49">
        <f>IFERROR(__xludf.DUMMYFUNCTION("""COMPUTED_VALUE"""),1.0)</f>
        <v>1</v>
      </c>
      <c r="N861" s="50"/>
      <c r="O861" s="38"/>
      <c r="P861" s="45" t="str">
        <f>IFERROR(__xludf.DUMMYFUNCTION("""COMPUTED_VALUE"""),"")</f>
        <v/>
      </c>
      <c r="Q861" s="46" t="str">
        <f>IFERROR(__xludf.DUMMYFUNCTION("""COMPUTED_VALUE"""),"AP")</f>
        <v>AP</v>
      </c>
      <c r="R861" s="47" t="str">
        <f>IFERROR(__xludf.DUMMYFUNCTION("""COMPUTED_VALUE"""),"")</f>
        <v/>
      </c>
      <c r="S861" s="48" t="str">
        <f>IFERROR(__xludf.DUMMYFUNCTION("""COMPUTED_VALUE"""),"%")</f>
        <v>%</v>
      </c>
      <c r="T861" s="49">
        <f>IFERROR(__xludf.DUMMYFUNCTION("""COMPUTED_VALUE"""),2.0)</f>
        <v>2</v>
      </c>
      <c r="U861" s="50"/>
      <c r="V861" s="38"/>
      <c r="W861" s="45" t="str">
        <f>IFERROR(__xludf.DUMMYFUNCTION("""COMPUTED_VALUE"""),"")</f>
        <v/>
      </c>
      <c r="X861" s="46" t="str">
        <f>IFERROR(__xludf.DUMMYFUNCTION("""COMPUTED_VALUE"""),"AP")</f>
        <v>AP</v>
      </c>
      <c r="Y861" s="47" t="str">
        <f>IFERROR(__xludf.DUMMYFUNCTION("""COMPUTED_VALUE"""),"")</f>
        <v/>
      </c>
      <c r="Z861" s="48" t="str">
        <f>IFERROR(__xludf.DUMMYFUNCTION("""COMPUTED_VALUE"""),"%")</f>
        <v>%</v>
      </c>
      <c r="AA861" s="49">
        <f>IFERROR(__xludf.DUMMYFUNCTION("""COMPUTED_VALUE"""),3.0)</f>
        <v>3</v>
      </c>
      <c r="AB861" s="50"/>
      <c r="AC861" s="38"/>
      <c r="AD861" s="45" t="str">
        <f>IFERROR(__xludf.DUMMYFUNCTION("""COMPUTED_VALUE"""),"")</f>
        <v/>
      </c>
      <c r="AE861" s="46" t="str">
        <f>IFERROR(__xludf.DUMMYFUNCTION("""COMPUTED_VALUE"""),"AP")</f>
        <v>AP</v>
      </c>
      <c r="AF861" s="47" t="str">
        <f>IFERROR(__xludf.DUMMYFUNCTION("""COMPUTED_VALUE"""),"")</f>
        <v/>
      </c>
      <c r="AG861" s="48" t="str">
        <f>IFERROR(__xludf.DUMMYFUNCTION("""COMPUTED_VALUE"""),"%")</f>
        <v>%</v>
      </c>
      <c r="AH861" s="43"/>
      <c r="AI861" s="44"/>
      <c r="AJ861" s="51"/>
    </row>
    <row r="862" ht="24.75" hidden="1" customHeight="1">
      <c r="A862" s="28">
        <f>IFERROR(__xludf.DUMMYFUNCTION("""COMPUTED_VALUE"""),9.0)</f>
        <v>9</v>
      </c>
      <c r="B862" s="28" t="str">
        <f>IFERROR(__xludf.DUMMYFUNCTION("""COMPUTED_VALUE"""),"A109")</f>
        <v>A109</v>
      </c>
      <c r="C862" s="28"/>
      <c r="D862" s="29"/>
      <c r="E862" s="67"/>
      <c r="F862" s="31"/>
      <c r="G862" s="32"/>
      <c r="H862" s="33" t="str">
        <f>IFERROR(__xludf.DUMMYFUNCTION("""COMPUTED_VALUE""")," ")</f>
        <v> </v>
      </c>
      <c r="I862" s="34"/>
      <c r="J862" s="35" t="str">
        <f>IFERROR(__xludf.DUMMYFUNCTION("""COMPUTED_VALUE"""),"AP")</f>
        <v>AP</v>
      </c>
      <c r="K862" s="34"/>
      <c r="L862" s="35" t="str">
        <f>IFERROR(__xludf.DUMMYFUNCTION("""COMPUTED_VALUE"""),"%")</f>
        <v>%</v>
      </c>
      <c r="M862" s="36">
        <f>IFERROR(__xludf.DUMMYFUNCTION("""COMPUTED_VALUE"""),1.0)</f>
        <v>1</v>
      </c>
      <c r="N862" s="37"/>
      <c r="O862" s="38"/>
      <c r="P862" s="34" t="str">
        <f>IFERROR(__xludf.DUMMYFUNCTION("""COMPUTED_VALUE"""),"")</f>
        <v/>
      </c>
      <c r="Q862" s="35" t="str">
        <f>IFERROR(__xludf.DUMMYFUNCTION("""COMPUTED_VALUE"""),"AP")</f>
        <v>AP</v>
      </c>
      <c r="R862" s="34" t="str">
        <f>IFERROR(__xludf.DUMMYFUNCTION("""COMPUTED_VALUE"""),"")</f>
        <v/>
      </c>
      <c r="S862" s="35" t="str">
        <f>IFERROR(__xludf.DUMMYFUNCTION("""COMPUTED_VALUE"""),"%")</f>
        <v>%</v>
      </c>
      <c r="T862" s="36">
        <f>IFERROR(__xludf.DUMMYFUNCTION("""COMPUTED_VALUE"""),2.0)</f>
        <v>2</v>
      </c>
      <c r="U862" s="37"/>
      <c r="V862" s="38"/>
      <c r="W862" s="34" t="str">
        <f>IFERROR(__xludf.DUMMYFUNCTION("""COMPUTED_VALUE"""),"")</f>
        <v/>
      </c>
      <c r="X862" s="35" t="str">
        <f>IFERROR(__xludf.DUMMYFUNCTION("""COMPUTED_VALUE"""),"AP")</f>
        <v>AP</v>
      </c>
      <c r="Y862" s="34" t="str">
        <f>IFERROR(__xludf.DUMMYFUNCTION("""COMPUTED_VALUE"""),"")</f>
        <v/>
      </c>
      <c r="Z862" s="35" t="str">
        <f>IFERROR(__xludf.DUMMYFUNCTION("""COMPUTED_VALUE"""),"%")</f>
        <v>%</v>
      </c>
      <c r="AA862" s="36">
        <f>IFERROR(__xludf.DUMMYFUNCTION("""COMPUTED_VALUE"""),3.0)</f>
        <v>3</v>
      </c>
      <c r="AB862" s="37"/>
      <c r="AC862" s="38"/>
      <c r="AD862" s="34" t="str">
        <f>IFERROR(__xludf.DUMMYFUNCTION("""COMPUTED_VALUE"""),"")</f>
        <v/>
      </c>
      <c r="AE862" s="35" t="str">
        <f>IFERROR(__xludf.DUMMYFUNCTION("""COMPUTED_VALUE"""),"AP")</f>
        <v>AP</v>
      </c>
      <c r="AF862" s="34" t="str">
        <f>IFERROR(__xludf.DUMMYFUNCTION("""COMPUTED_VALUE"""),"")</f>
        <v/>
      </c>
      <c r="AG862" s="35" t="str">
        <f>IFERROR(__xludf.DUMMYFUNCTION("""COMPUTED_VALUE"""),"%")</f>
        <v>%</v>
      </c>
      <c r="AH862" s="31"/>
      <c r="AI862" s="32"/>
      <c r="AJ862" s="39"/>
    </row>
    <row r="863" ht="24.75" hidden="1" customHeight="1">
      <c r="A863" s="40">
        <f>IFERROR(__xludf.DUMMYFUNCTION("""COMPUTED_VALUE"""),10.0)</f>
        <v>10</v>
      </c>
      <c r="B863" s="40" t="str">
        <f>IFERROR(__xludf.DUMMYFUNCTION("""COMPUTED_VALUE"""),"A109")</f>
        <v>A109</v>
      </c>
      <c r="C863" s="40"/>
      <c r="D863" s="41"/>
      <c r="E863" s="66"/>
      <c r="F863" s="43"/>
      <c r="G863" s="44"/>
      <c r="H863" s="33" t="str">
        <f>IFERROR(__xludf.DUMMYFUNCTION("""COMPUTED_VALUE""")," ")</f>
        <v> </v>
      </c>
      <c r="I863" s="45"/>
      <c r="J863" s="46" t="str">
        <f>IFERROR(__xludf.DUMMYFUNCTION("""COMPUTED_VALUE"""),"AP")</f>
        <v>AP</v>
      </c>
      <c r="K863" s="47"/>
      <c r="L863" s="48" t="str">
        <f>IFERROR(__xludf.DUMMYFUNCTION("""COMPUTED_VALUE"""),"%")</f>
        <v>%</v>
      </c>
      <c r="M863" s="49">
        <f>IFERROR(__xludf.DUMMYFUNCTION("""COMPUTED_VALUE"""),1.0)</f>
        <v>1</v>
      </c>
      <c r="N863" s="50"/>
      <c r="O863" s="38"/>
      <c r="P863" s="45" t="str">
        <f>IFERROR(__xludf.DUMMYFUNCTION("""COMPUTED_VALUE"""),"")</f>
        <v/>
      </c>
      <c r="Q863" s="46" t="str">
        <f>IFERROR(__xludf.DUMMYFUNCTION("""COMPUTED_VALUE"""),"AP")</f>
        <v>AP</v>
      </c>
      <c r="R863" s="47" t="str">
        <f>IFERROR(__xludf.DUMMYFUNCTION("""COMPUTED_VALUE"""),"")</f>
        <v/>
      </c>
      <c r="S863" s="48" t="str">
        <f>IFERROR(__xludf.DUMMYFUNCTION("""COMPUTED_VALUE"""),"%")</f>
        <v>%</v>
      </c>
      <c r="T863" s="49">
        <f>IFERROR(__xludf.DUMMYFUNCTION("""COMPUTED_VALUE"""),2.0)</f>
        <v>2</v>
      </c>
      <c r="U863" s="50"/>
      <c r="V863" s="38"/>
      <c r="W863" s="45" t="str">
        <f>IFERROR(__xludf.DUMMYFUNCTION("""COMPUTED_VALUE"""),"")</f>
        <v/>
      </c>
      <c r="X863" s="46" t="str">
        <f>IFERROR(__xludf.DUMMYFUNCTION("""COMPUTED_VALUE"""),"AP")</f>
        <v>AP</v>
      </c>
      <c r="Y863" s="47" t="str">
        <f>IFERROR(__xludf.DUMMYFUNCTION("""COMPUTED_VALUE"""),"")</f>
        <v/>
      </c>
      <c r="Z863" s="48" t="str">
        <f>IFERROR(__xludf.DUMMYFUNCTION("""COMPUTED_VALUE"""),"%")</f>
        <v>%</v>
      </c>
      <c r="AA863" s="49">
        <f>IFERROR(__xludf.DUMMYFUNCTION("""COMPUTED_VALUE"""),3.0)</f>
        <v>3</v>
      </c>
      <c r="AB863" s="50"/>
      <c r="AC863" s="38"/>
      <c r="AD863" s="45" t="str">
        <f>IFERROR(__xludf.DUMMYFUNCTION("""COMPUTED_VALUE"""),"")</f>
        <v/>
      </c>
      <c r="AE863" s="46" t="str">
        <f>IFERROR(__xludf.DUMMYFUNCTION("""COMPUTED_VALUE"""),"AP")</f>
        <v>AP</v>
      </c>
      <c r="AF863" s="47" t="str">
        <f>IFERROR(__xludf.DUMMYFUNCTION("""COMPUTED_VALUE"""),"")</f>
        <v/>
      </c>
      <c r="AG863" s="48" t="str">
        <f>IFERROR(__xludf.DUMMYFUNCTION("""COMPUTED_VALUE"""),"%")</f>
        <v>%</v>
      </c>
      <c r="AH863" s="43"/>
      <c r="AI863" s="44"/>
      <c r="AJ863" s="51"/>
    </row>
    <row r="864" ht="24.75" hidden="1" customHeight="1">
      <c r="A864" s="28">
        <f>IFERROR(__xludf.DUMMYFUNCTION("""COMPUTED_VALUE"""),11.0)</f>
        <v>11</v>
      </c>
      <c r="B864" s="28" t="str">
        <f>IFERROR(__xludf.DUMMYFUNCTION("""COMPUTED_VALUE"""),"A109")</f>
        <v>A109</v>
      </c>
      <c r="C864" s="28"/>
      <c r="D864" s="29"/>
      <c r="E864" s="67"/>
      <c r="F864" s="31"/>
      <c r="G864" s="32"/>
      <c r="H864" s="33" t="str">
        <f>IFERROR(__xludf.DUMMYFUNCTION("""COMPUTED_VALUE""")," ")</f>
        <v> </v>
      </c>
      <c r="I864" s="34"/>
      <c r="J864" s="35" t="str">
        <f>IFERROR(__xludf.DUMMYFUNCTION("""COMPUTED_VALUE"""),"AP")</f>
        <v>AP</v>
      </c>
      <c r="K864" s="34"/>
      <c r="L864" s="35" t="str">
        <f>IFERROR(__xludf.DUMMYFUNCTION("""COMPUTED_VALUE"""),"%")</f>
        <v>%</v>
      </c>
      <c r="M864" s="36">
        <f>IFERROR(__xludf.DUMMYFUNCTION("""COMPUTED_VALUE"""),1.0)</f>
        <v>1</v>
      </c>
      <c r="N864" s="37"/>
      <c r="O864" s="38"/>
      <c r="P864" s="34" t="str">
        <f>IFERROR(__xludf.DUMMYFUNCTION("""COMPUTED_VALUE"""),"")</f>
        <v/>
      </c>
      <c r="Q864" s="35" t="str">
        <f>IFERROR(__xludf.DUMMYFUNCTION("""COMPUTED_VALUE"""),"AP")</f>
        <v>AP</v>
      </c>
      <c r="R864" s="34" t="str">
        <f>IFERROR(__xludf.DUMMYFUNCTION("""COMPUTED_VALUE"""),"")</f>
        <v/>
      </c>
      <c r="S864" s="35" t="str">
        <f>IFERROR(__xludf.DUMMYFUNCTION("""COMPUTED_VALUE"""),"%")</f>
        <v>%</v>
      </c>
      <c r="T864" s="36">
        <f>IFERROR(__xludf.DUMMYFUNCTION("""COMPUTED_VALUE"""),2.0)</f>
        <v>2</v>
      </c>
      <c r="U864" s="37"/>
      <c r="V864" s="38"/>
      <c r="W864" s="34" t="str">
        <f>IFERROR(__xludf.DUMMYFUNCTION("""COMPUTED_VALUE"""),"")</f>
        <v/>
      </c>
      <c r="X864" s="35" t="str">
        <f>IFERROR(__xludf.DUMMYFUNCTION("""COMPUTED_VALUE"""),"AP")</f>
        <v>AP</v>
      </c>
      <c r="Y864" s="34" t="str">
        <f>IFERROR(__xludf.DUMMYFUNCTION("""COMPUTED_VALUE"""),"")</f>
        <v/>
      </c>
      <c r="Z864" s="35" t="str">
        <f>IFERROR(__xludf.DUMMYFUNCTION("""COMPUTED_VALUE"""),"%")</f>
        <v>%</v>
      </c>
      <c r="AA864" s="36">
        <f>IFERROR(__xludf.DUMMYFUNCTION("""COMPUTED_VALUE"""),3.0)</f>
        <v>3</v>
      </c>
      <c r="AB864" s="37"/>
      <c r="AC864" s="38"/>
      <c r="AD864" s="34" t="str">
        <f>IFERROR(__xludf.DUMMYFUNCTION("""COMPUTED_VALUE"""),"")</f>
        <v/>
      </c>
      <c r="AE864" s="35" t="str">
        <f>IFERROR(__xludf.DUMMYFUNCTION("""COMPUTED_VALUE"""),"AP")</f>
        <v>AP</v>
      </c>
      <c r="AF864" s="34" t="str">
        <f>IFERROR(__xludf.DUMMYFUNCTION("""COMPUTED_VALUE"""),"")</f>
        <v/>
      </c>
      <c r="AG864" s="35" t="str">
        <f>IFERROR(__xludf.DUMMYFUNCTION("""COMPUTED_VALUE"""),"%")</f>
        <v>%</v>
      </c>
      <c r="AH864" s="31"/>
      <c r="AI864" s="32"/>
      <c r="AJ864" s="39"/>
    </row>
    <row r="865" ht="24.75" hidden="1" customHeight="1">
      <c r="A865" s="40">
        <f>IFERROR(__xludf.DUMMYFUNCTION("""COMPUTED_VALUE"""),12.0)</f>
        <v>12</v>
      </c>
      <c r="B865" s="40" t="str">
        <f>IFERROR(__xludf.DUMMYFUNCTION("""COMPUTED_VALUE"""),"A109")</f>
        <v>A109</v>
      </c>
      <c r="C865" s="40"/>
      <c r="D865" s="41"/>
      <c r="E865" s="66"/>
      <c r="F865" s="43"/>
      <c r="G865" s="44"/>
      <c r="H865" s="33" t="str">
        <f>IFERROR(__xludf.DUMMYFUNCTION("""COMPUTED_VALUE""")," ")</f>
        <v> </v>
      </c>
      <c r="I865" s="45"/>
      <c r="J865" s="46" t="str">
        <f>IFERROR(__xludf.DUMMYFUNCTION("""COMPUTED_VALUE"""),"AP")</f>
        <v>AP</v>
      </c>
      <c r="K865" s="47"/>
      <c r="L865" s="48" t="str">
        <f>IFERROR(__xludf.DUMMYFUNCTION("""COMPUTED_VALUE"""),"%")</f>
        <v>%</v>
      </c>
      <c r="M865" s="49">
        <f>IFERROR(__xludf.DUMMYFUNCTION("""COMPUTED_VALUE"""),1.0)</f>
        <v>1</v>
      </c>
      <c r="N865" s="50"/>
      <c r="O865" s="38"/>
      <c r="P865" s="45" t="str">
        <f>IFERROR(__xludf.DUMMYFUNCTION("""COMPUTED_VALUE"""),"")</f>
        <v/>
      </c>
      <c r="Q865" s="46" t="str">
        <f>IFERROR(__xludf.DUMMYFUNCTION("""COMPUTED_VALUE"""),"AP")</f>
        <v>AP</v>
      </c>
      <c r="R865" s="47" t="str">
        <f>IFERROR(__xludf.DUMMYFUNCTION("""COMPUTED_VALUE"""),"")</f>
        <v/>
      </c>
      <c r="S865" s="48" t="str">
        <f>IFERROR(__xludf.DUMMYFUNCTION("""COMPUTED_VALUE"""),"%")</f>
        <v>%</v>
      </c>
      <c r="T865" s="49">
        <f>IFERROR(__xludf.DUMMYFUNCTION("""COMPUTED_VALUE"""),2.0)</f>
        <v>2</v>
      </c>
      <c r="U865" s="50"/>
      <c r="V865" s="38"/>
      <c r="W865" s="45" t="str">
        <f>IFERROR(__xludf.DUMMYFUNCTION("""COMPUTED_VALUE"""),"")</f>
        <v/>
      </c>
      <c r="X865" s="46" t="str">
        <f>IFERROR(__xludf.DUMMYFUNCTION("""COMPUTED_VALUE"""),"AP")</f>
        <v>AP</v>
      </c>
      <c r="Y865" s="47" t="str">
        <f>IFERROR(__xludf.DUMMYFUNCTION("""COMPUTED_VALUE"""),"")</f>
        <v/>
      </c>
      <c r="Z865" s="48" t="str">
        <f>IFERROR(__xludf.DUMMYFUNCTION("""COMPUTED_VALUE"""),"%")</f>
        <v>%</v>
      </c>
      <c r="AA865" s="49">
        <f>IFERROR(__xludf.DUMMYFUNCTION("""COMPUTED_VALUE"""),3.0)</f>
        <v>3</v>
      </c>
      <c r="AB865" s="50"/>
      <c r="AC865" s="38"/>
      <c r="AD865" s="45" t="str">
        <f>IFERROR(__xludf.DUMMYFUNCTION("""COMPUTED_VALUE"""),"")</f>
        <v/>
      </c>
      <c r="AE865" s="46" t="str">
        <f>IFERROR(__xludf.DUMMYFUNCTION("""COMPUTED_VALUE"""),"AP")</f>
        <v>AP</v>
      </c>
      <c r="AF865" s="47" t="str">
        <f>IFERROR(__xludf.DUMMYFUNCTION("""COMPUTED_VALUE"""),"")</f>
        <v/>
      </c>
      <c r="AG865" s="48" t="str">
        <f>IFERROR(__xludf.DUMMYFUNCTION("""COMPUTED_VALUE"""),"%")</f>
        <v>%</v>
      </c>
      <c r="AH865" s="43"/>
      <c r="AI865" s="44"/>
      <c r="AJ865" s="51"/>
    </row>
    <row r="866" ht="24.75" hidden="1" customHeight="1">
      <c r="A866" s="28">
        <f>IFERROR(__xludf.DUMMYFUNCTION("""COMPUTED_VALUE"""),13.0)</f>
        <v>13</v>
      </c>
      <c r="B866" s="28" t="str">
        <f>IFERROR(__xludf.DUMMYFUNCTION("""COMPUTED_VALUE"""),"A109")</f>
        <v>A109</v>
      </c>
      <c r="C866" s="28"/>
      <c r="D866" s="29"/>
      <c r="E866" s="67"/>
      <c r="F866" s="31"/>
      <c r="G866" s="32"/>
      <c r="H866" s="33" t="str">
        <f>IFERROR(__xludf.DUMMYFUNCTION("""COMPUTED_VALUE""")," ")</f>
        <v> </v>
      </c>
      <c r="I866" s="34"/>
      <c r="J866" s="35" t="str">
        <f>IFERROR(__xludf.DUMMYFUNCTION("""COMPUTED_VALUE"""),"AP")</f>
        <v>AP</v>
      </c>
      <c r="K866" s="34"/>
      <c r="L866" s="35" t="str">
        <f>IFERROR(__xludf.DUMMYFUNCTION("""COMPUTED_VALUE"""),"%")</f>
        <v>%</v>
      </c>
      <c r="M866" s="36">
        <f>IFERROR(__xludf.DUMMYFUNCTION("""COMPUTED_VALUE"""),1.0)</f>
        <v>1</v>
      </c>
      <c r="N866" s="37"/>
      <c r="O866" s="38"/>
      <c r="P866" s="34" t="str">
        <f>IFERROR(__xludf.DUMMYFUNCTION("""COMPUTED_VALUE"""),"")</f>
        <v/>
      </c>
      <c r="Q866" s="35" t="str">
        <f>IFERROR(__xludf.DUMMYFUNCTION("""COMPUTED_VALUE"""),"AP")</f>
        <v>AP</v>
      </c>
      <c r="R866" s="34" t="str">
        <f>IFERROR(__xludf.DUMMYFUNCTION("""COMPUTED_VALUE"""),"")</f>
        <v/>
      </c>
      <c r="S866" s="35" t="str">
        <f>IFERROR(__xludf.DUMMYFUNCTION("""COMPUTED_VALUE"""),"%")</f>
        <v>%</v>
      </c>
      <c r="T866" s="36">
        <f>IFERROR(__xludf.DUMMYFUNCTION("""COMPUTED_VALUE"""),2.0)</f>
        <v>2</v>
      </c>
      <c r="U866" s="37"/>
      <c r="V866" s="38"/>
      <c r="W866" s="34" t="str">
        <f>IFERROR(__xludf.DUMMYFUNCTION("""COMPUTED_VALUE"""),"")</f>
        <v/>
      </c>
      <c r="X866" s="35" t="str">
        <f>IFERROR(__xludf.DUMMYFUNCTION("""COMPUTED_VALUE"""),"AP")</f>
        <v>AP</v>
      </c>
      <c r="Y866" s="34" t="str">
        <f>IFERROR(__xludf.DUMMYFUNCTION("""COMPUTED_VALUE"""),"")</f>
        <v/>
      </c>
      <c r="Z866" s="35" t="str">
        <f>IFERROR(__xludf.DUMMYFUNCTION("""COMPUTED_VALUE"""),"%")</f>
        <v>%</v>
      </c>
      <c r="AA866" s="36">
        <f>IFERROR(__xludf.DUMMYFUNCTION("""COMPUTED_VALUE"""),3.0)</f>
        <v>3</v>
      </c>
      <c r="AB866" s="37"/>
      <c r="AC866" s="38"/>
      <c r="AD866" s="34" t="str">
        <f>IFERROR(__xludf.DUMMYFUNCTION("""COMPUTED_VALUE"""),"")</f>
        <v/>
      </c>
      <c r="AE866" s="35" t="str">
        <f>IFERROR(__xludf.DUMMYFUNCTION("""COMPUTED_VALUE"""),"AP")</f>
        <v>AP</v>
      </c>
      <c r="AF866" s="34" t="str">
        <f>IFERROR(__xludf.DUMMYFUNCTION("""COMPUTED_VALUE"""),"")</f>
        <v/>
      </c>
      <c r="AG866" s="35" t="str">
        <f>IFERROR(__xludf.DUMMYFUNCTION("""COMPUTED_VALUE"""),"%")</f>
        <v>%</v>
      </c>
      <c r="AH866" s="31"/>
      <c r="AI866" s="32"/>
      <c r="AJ866" s="39"/>
    </row>
    <row r="867" ht="24.75" hidden="1" customHeight="1">
      <c r="A867" s="40">
        <f>IFERROR(__xludf.DUMMYFUNCTION("""COMPUTED_VALUE"""),14.0)</f>
        <v>14</v>
      </c>
      <c r="B867" s="40" t="str">
        <f>IFERROR(__xludf.DUMMYFUNCTION("""COMPUTED_VALUE"""),"A109")</f>
        <v>A109</v>
      </c>
      <c r="C867" s="40"/>
      <c r="D867" s="41"/>
      <c r="E867" s="66"/>
      <c r="F867" s="43"/>
      <c r="G867" s="44"/>
      <c r="H867" s="33" t="str">
        <f>IFERROR(__xludf.DUMMYFUNCTION("""COMPUTED_VALUE""")," ")</f>
        <v> </v>
      </c>
      <c r="I867" s="45"/>
      <c r="J867" s="46" t="str">
        <f>IFERROR(__xludf.DUMMYFUNCTION("""COMPUTED_VALUE"""),"AP")</f>
        <v>AP</v>
      </c>
      <c r="K867" s="47"/>
      <c r="L867" s="48" t="str">
        <f>IFERROR(__xludf.DUMMYFUNCTION("""COMPUTED_VALUE"""),"%")</f>
        <v>%</v>
      </c>
      <c r="M867" s="49">
        <f>IFERROR(__xludf.DUMMYFUNCTION("""COMPUTED_VALUE"""),1.0)</f>
        <v>1</v>
      </c>
      <c r="N867" s="50"/>
      <c r="O867" s="38"/>
      <c r="P867" s="45" t="str">
        <f>IFERROR(__xludf.DUMMYFUNCTION("""COMPUTED_VALUE"""),"")</f>
        <v/>
      </c>
      <c r="Q867" s="46" t="str">
        <f>IFERROR(__xludf.DUMMYFUNCTION("""COMPUTED_VALUE"""),"AP")</f>
        <v>AP</v>
      </c>
      <c r="R867" s="47" t="str">
        <f>IFERROR(__xludf.DUMMYFUNCTION("""COMPUTED_VALUE"""),"")</f>
        <v/>
      </c>
      <c r="S867" s="48" t="str">
        <f>IFERROR(__xludf.DUMMYFUNCTION("""COMPUTED_VALUE"""),"%")</f>
        <v>%</v>
      </c>
      <c r="T867" s="49">
        <f>IFERROR(__xludf.DUMMYFUNCTION("""COMPUTED_VALUE"""),2.0)</f>
        <v>2</v>
      </c>
      <c r="U867" s="50"/>
      <c r="V867" s="38"/>
      <c r="W867" s="45" t="str">
        <f>IFERROR(__xludf.DUMMYFUNCTION("""COMPUTED_VALUE"""),"")</f>
        <v/>
      </c>
      <c r="X867" s="46" t="str">
        <f>IFERROR(__xludf.DUMMYFUNCTION("""COMPUTED_VALUE"""),"AP")</f>
        <v>AP</v>
      </c>
      <c r="Y867" s="47" t="str">
        <f>IFERROR(__xludf.DUMMYFUNCTION("""COMPUTED_VALUE"""),"")</f>
        <v/>
      </c>
      <c r="Z867" s="48" t="str">
        <f>IFERROR(__xludf.DUMMYFUNCTION("""COMPUTED_VALUE"""),"%")</f>
        <v>%</v>
      </c>
      <c r="AA867" s="49">
        <f>IFERROR(__xludf.DUMMYFUNCTION("""COMPUTED_VALUE"""),3.0)</f>
        <v>3</v>
      </c>
      <c r="AB867" s="50"/>
      <c r="AC867" s="38"/>
      <c r="AD867" s="45" t="str">
        <f>IFERROR(__xludf.DUMMYFUNCTION("""COMPUTED_VALUE"""),"")</f>
        <v/>
      </c>
      <c r="AE867" s="46" t="str">
        <f>IFERROR(__xludf.DUMMYFUNCTION("""COMPUTED_VALUE"""),"AP")</f>
        <v>AP</v>
      </c>
      <c r="AF867" s="47" t="str">
        <f>IFERROR(__xludf.DUMMYFUNCTION("""COMPUTED_VALUE"""),"")</f>
        <v/>
      </c>
      <c r="AG867" s="48" t="str">
        <f>IFERROR(__xludf.DUMMYFUNCTION("""COMPUTED_VALUE"""),"%")</f>
        <v>%</v>
      </c>
      <c r="AH867" s="43"/>
      <c r="AI867" s="44"/>
      <c r="AJ867" s="51"/>
    </row>
    <row r="868" ht="24.75" hidden="1" customHeight="1">
      <c r="A868" s="28">
        <f>IFERROR(__xludf.DUMMYFUNCTION("""COMPUTED_VALUE"""),15.0)</f>
        <v>15</v>
      </c>
      <c r="B868" s="28" t="str">
        <f>IFERROR(__xludf.DUMMYFUNCTION("""COMPUTED_VALUE"""),"A109")</f>
        <v>A109</v>
      </c>
      <c r="C868" s="28"/>
      <c r="D868" s="29"/>
      <c r="E868" s="67"/>
      <c r="F868" s="31"/>
      <c r="G868" s="32"/>
      <c r="H868" s="33" t="str">
        <f>IFERROR(__xludf.DUMMYFUNCTION("""COMPUTED_VALUE""")," ")</f>
        <v> </v>
      </c>
      <c r="I868" s="34"/>
      <c r="J868" s="35" t="str">
        <f>IFERROR(__xludf.DUMMYFUNCTION("""COMPUTED_VALUE"""),"AP")</f>
        <v>AP</v>
      </c>
      <c r="K868" s="34"/>
      <c r="L868" s="35" t="str">
        <f>IFERROR(__xludf.DUMMYFUNCTION("""COMPUTED_VALUE"""),"%")</f>
        <v>%</v>
      </c>
      <c r="M868" s="36">
        <f>IFERROR(__xludf.DUMMYFUNCTION("""COMPUTED_VALUE"""),1.0)</f>
        <v>1</v>
      </c>
      <c r="N868" s="37"/>
      <c r="O868" s="38"/>
      <c r="P868" s="34" t="str">
        <f>IFERROR(__xludf.DUMMYFUNCTION("""COMPUTED_VALUE"""),"")</f>
        <v/>
      </c>
      <c r="Q868" s="35" t="str">
        <f>IFERROR(__xludf.DUMMYFUNCTION("""COMPUTED_VALUE"""),"AP")</f>
        <v>AP</v>
      </c>
      <c r="R868" s="34" t="str">
        <f>IFERROR(__xludf.DUMMYFUNCTION("""COMPUTED_VALUE"""),"")</f>
        <v/>
      </c>
      <c r="S868" s="35" t="str">
        <f>IFERROR(__xludf.DUMMYFUNCTION("""COMPUTED_VALUE"""),"%")</f>
        <v>%</v>
      </c>
      <c r="T868" s="36">
        <f>IFERROR(__xludf.DUMMYFUNCTION("""COMPUTED_VALUE"""),2.0)</f>
        <v>2</v>
      </c>
      <c r="U868" s="37"/>
      <c r="V868" s="38"/>
      <c r="W868" s="34" t="str">
        <f>IFERROR(__xludf.DUMMYFUNCTION("""COMPUTED_VALUE"""),"")</f>
        <v/>
      </c>
      <c r="X868" s="35" t="str">
        <f>IFERROR(__xludf.DUMMYFUNCTION("""COMPUTED_VALUE"""),"AP")</f>
        <v>AP</v>
      </c>
      <c r="Y868" s="34" t="str">
        <f>IFERROR(__xludf.DUMMYFUNCTION("""COMPUTED_VALUE"""),"")</f>
        <v/>
      </c>
      <c r="Z868" s="35" t="str">
        <f>IFERROR(__xludf.DUMMYFUNCTION("""COMPUTED_VALUE"""),"%")</f>
        <v>%</v>
      </c>
      <c r="AA868" s="36">
        <f>IFERROR(__xludf.DUMMYFUNCTION("""COMPUTED_VALUE"""),3.0)</f>
        <v>3</v>
      </c>
      <c r="AB868" s="37"/>
      <c r="AC868" s="38"/>
      <c r="AD868" s="34" t="str">
        <f>IFERROR(__xludf.DUMMYFUNCTION("""COMPUTED_VALUE"""),"")</f>
        <v/>
      </c>
      <c r="AE868" s="35" t="str">
        <f>IFERROR(__xludf.DUMMYFUNCTION("""COMPUTED_VALUE"""),"AP")</f>
        <v>AP</v>
      </c>
      <c r="AF868" s="34" t="str">
        <f>IFERROR(__xludf.DUMMYFUNCTION("""COMPUTED_VALUE"""),"")</f>
        <v/>
      </c>
      <c r="AG868" s="35" t="str">
        <f>IFERROR(__xludf.DUMMYFUNCTION("""COMPUTED_VALUE"""),"%")</f>
        <v>%</v>
      </c>
      <c r="AH868" s="31"/>
      <c r="AI868" s="32"/>
      <c r="AJ868" s="39"/>
    </row>
    <row r="869" ht="24.75" hidden="1" customHeight="1">
      <c r="A869" s="40">
        <f>IFERROR(__xludf.DUMMYFUNCTION("""COMPUTED_VALUE"""),16.0)</f>
        <v>16</v>
      </c>
      <c r="B869" s="40" t="str">
        <f>IFERROR(__xludf.DUMMYFUNCTION("""COMPUTED_VALUE"""),"A109")</f>
        <v>A109</v>
      </c>
      <c r="C869" s="40"/>
      <c r="D869" s="41"/>
      <c r="E869" s="66"/>
      <c r="F869" s="43"/>
      <c r="G869" s="44"/>
      <c r="H869" s="33" t="str">
        <f>IFERROR(__xludf.DUMMYFUNCTION("""COMPUTED_VALUE""")," ")</f>
        <v> </v>
      </c>
      <c r="I869" s="45"/>
      <c r="J869" s="46" t="str">
        <f>IFERROR(__xludf.DUMMYFUNCTION("""COMPUTED_VALUE"""),"AP")</f>
        <v>AP</v>
      </c>
      <c r="K869" s="47"/>
      <c r="L869" s="48" t="str">
        <f>IFERROR(__xludf.DUMMYFUNCTION("""COMPUTED_VALUE"""),"%")</f>
        <v>%</v>
      </c>
      <c r="M869" s="49">
        <f>IFERROR(__xludf.DUMMYFUNCTION("""COMPUTED_VALUE"""),1.0)</f>
        <v>1</v>
      </c>
      <c r="N869" s="50"/>
      <c r="O869" s="38"/>
      <c r="P869" s="45" t="str">
        <f>IFERROR(__xludf.DUMMYFUNCTION("""COMPUTED_VALUE"""),"")</f>
        <v/>
      </c>
      <c r="Q869" s="46" t="str">
        <f>IFERROR(__xludf.DUMMYFUNCTION("""COMPUTED_VALUE"""),"AP")</f>
        <v>AP</v>
      </c>
      <c r="R869" s="47" t="str">
        <f>IFERROR(__xludf.DUMMYFUNCTION("""COMPUTED_VALUE"""),"")</f>
        <v/>
      </c>
      <c r="S869" s="48" t="str">
        <f>IFERROR(__xludf.DUMMYFUNCTION("""COMPUTED_VALUE"""),"%")</f>
        <v>%</v>
      </c>
      <c r="T869" s="49">
        <f>IFERROR(__xludf.DUMMYFUNCTION("""COMPUTED_VALUE"""),2.0)</f>
        <v>2</v>
      </c>
      <c r="U869" s="50"/>
      <c r="V869" s="38"/>
      <c r="W869" s="45" t="str">
        <f>IFERROR(__xludf.DUMMYFUNCTION("""COMPUTED_VALUE"""),"")</f>
        <v/>
      </c>
      <c r="X869" s="46" t="str">
        <f>IFERROR(__xludf.DUMMYFUNCTION("""COMPUTED_VALUE"""),"AP")</f>
        <v>AP</v>
      </c>
      <c r="Y869" s="47" t="str">
        <f>IFERROR(__xludf.DUMMYFUNCTION("""COMPUTED_VALUE"""),"")</f>
        <v/>
      </c>
      <c r="Z869" s="48" t="str">
        <f>IFERROR(__xludf.DUMMYFUNCTION("""COMPUTED_VALUE"""),"%")</f>
        <v>%</v>
      </c>
      <c r="AA869" s="49">
        <f>IFERROR(__xludf.DUMMYFUNCTION("""COMPUTED_VALUE"""),3.0)</f>
        <v>3</v>
      </c>
      <c r="AB869" s="50"/>
      <c r="AC869" s="38"/>
      <c r="AD869" s="45" t="str">
        <f>IFERROR(__xludf.DUMMYFUNCTION("""COMPUTED_VALUE"""),"")</f>
        <v/>
      </c>
      <c r="AE869" s="46" t="str">
        <f>IFERROR(__xludf.DUMMYFUNCTION("""COMPUTED_VALUE"""),"AP")</f>
        <v>AP</v>
      </c>
      <c r="AF869" s="47" t="str">
        <f>IFERROR(__xludf.DUMMYFUNCTION("""COMPUTED_VALUE"""),"")</f>
        <v/>
      </c>
      <c r="AG869" s="48" t="str">
        <f>IFERROR(__xludf.DUMMYFUNCTION("""COMPUTED_VALUE"""),"%")</f>
        <v>%</v>
      </c>
      <c r="AH869" s="43"/>
      <c r="AI869" s="44"/>
      <c r="AJ869" s="51"/>
    </row>
    <row r="870" ht="24.75" hidden="1" customHeight="1">
      <c r="A870" s="28">
        <f>IFERROR(__xludf.DUMMYFUNCTION("""COMPUTED_VALUE"""),17.0)</f>
        <v>17</v>
      </c>
      <c r="B870" s="28" t="str">
        <f>IFERROR(__xludf.DUMMYFUNCTION("""COMPUTED_VALUE"""),"A109")</f>
        <v>A109</v>
      </c>
      <c r="C870" s="28"/>
      <c r="D870" s="29"/>
      <c r="E870" s="67"/>
      <c r="F870" s="31"/>
      <c r="G870" s="32"/>
      <c r="H870" s="33" t="str">
        <f>IFERROR(__xludf.DUMMYFUNCTION("""COMPUTED_VALUE""")," ")</f>
        <v> </v>
      </c>
      <c r="I870" s="34"/>
      <c r="J870" s="35" t="str">
        <f>IFERROR(__xludf.DUMMYFUNCTION("""COMPUTED_VALUE"""),"AP")</f>
        <v>AP</v>
      </c>
      <c r="K870" s="34"/>
      <c r="L870" s="35" t="str">
        <f>IFERROR(__xludf.DUMMYFUNCTION("""COMPUTED_VALUE"""),"%")</f>
        <v>%</v>
      </c>
      <c r="M870" s="36">
        <f>IFERROR(__xludf.DUMMYFUNCTION("""COMPUTED_VALUE"""),1.0)</f>
        <v>1</v>
      </c>
      <c r="N870" s="37"/>
      <c r="O870" s="38"/>
      <c r="P870" s="34" t="str">
        <f>IFERROR(__xludf.DUMMYFUNCTION("""COMPUTED_VALUE"""),"")</f>
        <v/>
      </c>
      <c r="Q870" s="35" t="str">
        <f>IFERROR(__xludf.DUMMYFUNCTION("""COMPUTED_VALUE"""),"AP")</f>
        <v>AP</v>
      </c>
      <c r="R870" s="34" t="str">
        <f>IFERROR(__xludf.DUMMYFUNCTION("""COMPUTED_VALUE"""),"")</f>
        <v/>
      </c>
      <c r="S870" s="35" t="str">
        <f>IFERROR(__xludf.DUMMYFUNCTION("""COMPUTED_VALUE"""),"%")</f>
        <v>%</v>
      </c>
      <c r="T870" s="36">
        <f>IFERROR(__xludf.DUMMYFUNCTION("""COMPUTED_VALUE"""),2.0)</f>
        <v>2</v>
      </c>
      <c r="U870" s="37"/>
      <c r="V870" s="38"/>
      <c r="W870" s="34" t="str">
        <f>IFERROR(__xludf.DUMMYFUNCTION("""COMPUTED_VALUE"""),"")</f>
        <v/>
      </c>
      <c r="X870" s="35" t="str">
        <f>IFERROR(__xludf.DUMMYFUNCTION("""COMPUTED_VALUE"""),"AP")</f>
        <v>AP</v>
      </c>
      <c r="Y870" s="34" t="str">
        <f>IFERROR(__xludf.DUMMYFUNCTION("""COMPUTED_VALUE"""),"")</f>
        <v/>
      </c>
      <c r="Z870" s="35" t="str">
        <f>IFERROR(__xludf.DUMMYFUNCTION("""COMPUTED_VALUE"""),"%")</f>
        <v>%</v>
      </c>
      <c r="AA870" s="36">
        <f>IFERROR(__xludf.DUMMYFUNCTION("""COMPUTED_VALUE"""),3.0)</f>
        <v>3</v>
      </c>
      <c r="AB870" s="37"/>
      <c r="AC870" s="38"/>
      <c r="AD870" s="34" t="str">
        <f>IFERROR(__xludf.DUMMYFUNCTION("""COMPUTED_VALUE"""),"")</f>
        <v/>
      </c>
      <c r="AE870" s="35" t="str">
        <f>IFERROR(__xludf.DUMMYFUNCTION("""COMPUTED_VALUE"""),"AP")</f>
        <v>AP</v>
      </c>
      <c r="AF870" s="34" t="str">
        <f>IFERROR(__xludf.DUMMYFUNCTION("""COMPUTED_VALUE"""),"")</f>
        <v/>
      </c>
      <c r="AG870" s="35" t="str">
        <f>IFERROR(__xludf.DUMMYFUNCTION("""COMPUTED_VALUE"""),"%")</f>
        <v>%</v>
      </c>
      <c r="AH870" s="31"/>
      <c r="AI870" s="32"/>
      <c r="AJ870" s="39"/>
    </row>
    <row r="871" ht="24.75" hidden="1" customHeight="1">
      <c r="A871" s="40">
        <f>IFERROR(__xludf.DUMMYFUNCTION("""COMPUTED_VALUE"""),18.0)</f>
        <v>18</v>
      </c>
      <c r="B871" s="40" t="str">
        <f>IFERROR(__xludf.DUMMYFUNCTION("""COMPUTED_VALUE"""),"A109")</f>
        <v>A109</v>
      </c>
      <c r="C871" s="40"/>
      <c r="D871" s="41"/>
      <c r="E871" s="66"/>
      <c r="F871" s="43"/>
      <c r="G871" s="44"/>
      <c r="H871" s="33" t="str">
        <f>IFERROR(__xludf.DUMMYFUNCTION("""COMPUTED_VALUE""")," ")</f>
        <v> </v>
      </c>
      <c r="I871" s="45"/>
      <c r="J871" s="46" t="str">
        <f>IFERROR(__xludf.DUMMYFUNCTION("""COMPUTED_VALUE"""),"AP")</f>
        <v>AP</v>
      </c>
      <c r="K871" s="47"/>
      <c r="L871" s="48" t="str">
        <f>IFERROR(__xludf.DUMMYFUNCTION("""COMPUTED_VALUE"""),"%")</f>
        <v>%</v>
      </c>
      <c r="M871" s="49">
        <f>IFERROR(__xludf.DUMMYFUNCTION("""COMPUTED_VALUE"""),1.0)</f>
        <v>1</v>
      </c>
      <c r="N871" s="50"/>
      <c r="O871" s="38"/>
      <c r="P871" s="45" t="str">
        <f>IFERROR(__xludf.DUMMYFUNCTION("""COMPUTED_VALUE"""),"")</f>
        <v/>
      </c>
      <c r="Q871" s="46" t="str">
        <f>IFERROR(__xludf.DUMMYFUNCTION("""COMPUTED_VALUE"""),"AP")</f>
        <v>AP</v>
      </c>
      <c r="R871" s="47" t="str">
        <f>IFERROR(__xludf.DUMMYFUNCTION("""COMPUTED_VALUE"""),"")</f>
        <v/>
      </c>
      <c r="S871" s="48" t="str">
        <f>IFERROR(__xludf.DUMMYFUNCTION("""COMPUTED_VALUE"""),"%")</f>
        <v>%</v>
      </c>
      <c r="T871" s="49">
        <f>IFERROR(__xludf.DUMMYFUNCTION("""COMPUTED_VALUE"""),2.0)</f>
        <v>2</v>
      </c>
      <c r="U871" s="50"/>
      <c r="V871" s="38"/>
      <c r="W871" s="45" t="str">
        <f>IFERROR(__xludf.DUMMYFUNCTION("""COMPUTED_VALUE"""),"")</f>
        <v/>
      </c>
      <c r="X871" s="46" t="str">
        <f>IFERROR(__xludf.DUMMYFUNCTION("""COMPUTED_VALUE"""),"AP")</f>
        <v>AP</v>
      </c>
      <c r="Y871" s="47" t="str">
        <f>IFERROR(__xludf.DUMMYFUNCTION("""COMPUTED_VALUE"""),"")</f>
        <v/>
      </c>
      <c r="Z871" s="48" t="str">
        <f>IFERROR(__xludf.DUMMYFUNCTION("""COMPUTED_VALUE"""),"%")</f>
        <v>%</v>
      </c>
      <c r="AA871" s="49">
        <f>IFERROR(__xludf.DUMMYFUNCTION("""COMPUTED_VALUE"""),3.0)</f>
        <v>3</v>
      </c>
      <c r="AB871" s="50"/>
      <c r="AC871" s="38"/>
      <c r="AD871" s="45" t="str">
        <f>IFERROR(__xludf.DUMMYFUNCTION("""COMPUTED_VALUE"""),"")</f>
        <v/>
      </c>
      <c r="AE871" s="46" t="str">
        <f>IFERROR(__xludf.DUMMYFUNCTION("""COMPUTED_VALUE"""),"AP")</f>
        <v>AP</v>
      </c>
      <c r="AF871" s="47" t="str">
        <f>IFERROR(__xludf.DUMMYFUNCTION("""COMPUTED_VALUE"""),"")</f>
        <v/>
      </c>
      <c r="AG871" s="48" t="str">
        <f>IFERROR(__xludf.DUMMYFUNCTION("""COMPUTED_VALUE"""),"%")</f>
        <v>%</v>
      </c>
      <c r="AH871" s="43"/>
      <c r="AI871" s="44"/>
      <c r="AJ871" s="51"/>
    </row>
    <row r="872" ht="24.75" hidden="1" customHeight="1">
      <c r="A872" s="28">
        <f>IFERROR(__xludf.DUMMYFUNCTION("""COMPUTED_VALUE"""),19.0)</f>
        <v>19</v>
      </c>
      <c r="B872" s="28" t="str">
        <f>IFERROR(__xludf.DUMMYFUNCTION("""COMPUTED_VALUE"""),"A109")</f>
        <v>A109</v>
      </c>
      <c r="C872" s="28"/>
      <c r="D872" s="29"/>
      <c r="E872" s="67"/>
      <c r="F872" s="31"/>
      <c r="G872" s="32"/>
      <c r="H872" s="33" t="str">
        <f>IFERROR(__xludf.DUMMYFUNCTION("""COMPUTED_VALUE""")," ")</f>
        <v> </v>
      </c>
      <c r="I872" s="34"/>
      <c r="J872" s="35" t="str">
        <f>IFERROR(__xludf.DUMMYFUNCTION("""COMPUTED_VALUE"""),"AP")</f>
        <v>AP</v>
      </c>
      <c r="K872" s="34"/>
      <c r="L872" s="35" t="str">
        <f>IFERROR(__xludf.DUMMYFUNCTION("""COMPUTED_VALUE"""),"%")</f>
        <v>%</v>
      </c>
      <c r="M872" s="36">
        <f>IFERROR(__xludf.DUMMYFUNCTION("""COMPUTED_VALUE"""),1.0)</f>
        <v>1</v>
      </c>
      <c r="N872" s="37"/>
      <c r="O872" s="38"/>
      <c r="P872" s="34" t="str">
        <f>IFERROR(__xludf.DUMMYFUNCTION("""COMPUTED_VALUE"""),"")</f>
        <v/>
      </c>
      <c r="Q872" s="35" t="str">
        <f>IFERROR(__xludf.DUMMYFUNCTION("""COMPUTED_VALUE"""),"AP")</f>
        <v>AP</v>
      </c>
      <c r="R872" s="34" t="str">
        <f>IFERROR(__xludf.DUMMYFUNCTION("""COMPUTED_VALUE"""),"")</f>
        <v/>
      </c>
      <c r="S872" s="35" t="str">
        <f>IFERROR(__xludf.DUMMYFUNCTION("""COMPUTED_VALUE"""),"%")</f>
        <v>%</v>
      </c>
      <c r="T872" s="36">
        <f>IFERROR(__xludf.DUMMYFUNCTION("""COMPUTED_VALUE"""),2.0)</f>
        <v>2</v>
      </c>
      <c r="U872" s="37"/>
      <c r="V872" s="38"/>
      <c r="W872" s="34" t="str">
        <f>IFERROR(__xludf.DUMMYFUNCTION("""COMPUTED_VALUE"""),"")</f>
        <v/>
      </c>
      <c r="X872" s="35" t="str">
        <f>IFERROR(__xludf.DUMMYFUNCTION("""COMPUTED_VALUE"""),"AP")</f>
        <v>AP</v>
      </c>
      <c r="Y872" s="34" t="str">
        <f>IFERROR(__xludf.DUMMYFUNCTION("""COMPUTED_VALUE"""),"")</f>
        <v/>
      </c>
      <c r="Z872" s="35" t="str">
        <f>IFERROR(__xludf.DUMMYFUNCTION("""COMPUTED_VALUE"""),"%")</f>
        <v>%</v>
      </c>
      <c r="AA872" s="36">
        <f>IFERROR(__xludf.DUMMYFUNCTION("""COMPUTED_VALUE"""),3.0)</f>
        <v>3</v>
      </c>
      <c r="AB872" s="37"/>
      <c r="AC872" s="38"/>
      <c r="AD872" s="34" t="str">
        <f>IFERROR(__xludf.DUMMYFUNCTION("""COMPUTED_VALUE"""),"")</f>
        <v/>
      </c>
      <c r="AE872" s="35" t="str">
        <f>IFERROR(__xludf.DUMMYFUNCTION("""COMPUTED_VALUE"""),"AP")</f>
        <v>AP</v>
      </c>
      <c r="AF872" s="34" t="str">
        <f>IFERROR(__xludf.DUMMYFUNCTION("""COMPUTED_VALUE"""),"")</f>
        <v/>
      </c>
      <c r="AG872" s="35" t="str">
        <f>IFERROR(__xludf.DUMMYFUNCTION("""COMPUTED_VALUE"""),"%")</f>
        <v>%</v>
      </c>
      <c r="AH872" s="31"/>
      <c r="AI872" s="32"/>
      <c r="AJ872" s="39"/>
    </row>
    <row r="873" ht="24.75" hidden="1" customHeight="1">
      <c r="A873" s="40">
        <f>IFERROR(__xludf.DUMMYFUNCTION("""COMPUTED_VALUE"""),20.0)</f>
        <v>20</v>
      </c>
      <c r="B873" s="40" t="str">
        <f>IFERROR(__xludf.DUMMYFUNCTION("""COMPUTED_VALUE"""),"A109")</f>
        <v>A109</v>
      </c>
      <c r="C873" s="40"/>
      <c r="D873" s="41"/>
      <c r="E873" s="66"/>
      <c r="F873" s="43"/>
      <c r="G873" s="44"/>
      <c r="H873" s="33" t="str">
        <f>IFERROR(__xludf.DUMMYFUNCTION("""COMPUTED_VALUE""")," ")</f>
        <v> </v>
      </c>
      <c r="I873" s="45"/>
      <c r="J873" s="46" t="str">
        <f>IFERROR(__xludf.DUMMYFUNCTION("""COMPUTED_VALUE"""),"AP")</f>
        <v>AP</v>
      </c>
      <c r="K873" s="47"/>
      <c r="L873" s="48" t="str">
        <f>IFERROR(__xludf.DUMMYFUNCTION("""COMPUTED_VALUE"""),"%")</f>
        <v>%</v>
      </c>
      <c r="M873" s="49">
        <f>IFERROR(__xludf.DUMMYFUNCTION("""COMPUTED_VALUE"""),1.0)</f>
        <v>1</v>
      </c>
      <c r="N873" s="50"/>
      <c r="O873" s="38"/>
      <c r="P873" s="45" t="str">
        <f>IFERROR(__xludf.DUMMYFUNCTION("""COMPUTED_VALUE"""),"")</f>
        <v/>
      </c>
      <c r="Q873" s="46" t="str">
        <f>IFERROR(__xludf.DUMMYFUNCTION("""COMPUTED_VALUE"""),"AP")</f>
        <v>AP</v>
      </c>
      <c r="R873" s="47" t="str">
        <f>IFERROR(__xludf.DUMMYFUNCTION("""COMPUTED_VALUE"""),"")</f>
        <v/>
      </c>
      <c r="S873" s="48" t="str">
        <f>IFERROR(__xludf.DUMMYFUNCTION("""COMPUTED_VALUE"""),"%")</f>
        <v>%</v>
      </c>
      <c r="T873" s="49">
        <f>IFERROR(__xludf.DUMMYFUNCTION("""COMPUTED_VALUE"""),2.0)</f>
        <v>2</v>
      </c>
      <c r="U873" s="50"/>
      <c r="V873" s="38"/>
      <c r="W873" s="45" t="str">
        <f>IFERROR(__xludf.DUMMYFUNCTION("""COMPUTED_VALUE"""),"")</f>
        <v/>
      </c>
      <c r="X873" s="46" t="str">
        <f>IFERROR(__xludf.DUMMYFUNCTION("""COMPUTED_VALUE"""),"AP")</f>
        <v>AP</v>
      </c>
      <c r="Y873" s="47" t="str">
        <f>IFERROR(__xludf.DUMMYFUNCTION("""COMPUTED_VALUE"""),"")</f>
        <v/>
      </c>
      <c r="Z873" s="48" t="str">
        <f>IFERROR(__xludf.DUMMYFUNCTION("""COMPUTED_VALUE"""),"%")</f>
        <v>%</v>
      </c>
      <c r="AA873" s="49">
        <f>IFERROR(__xludf.DUMMYFUNCTION("""COMPUTED_VALUE"""),3.0)</f>
        <v>3</v>
      </c>
      <c r="AB873" s="50"/>
      <c r="AC873" s="38"/>
      <c r="AD873" s="45" t="str">
        <f>IFERROR(__xludf.DUMMYFUNCTION("""COMPUTED_VALUE"""),"")</f>
        <v/>
      </c>
      <c r="AE873" s="46" t="str">
        <f>IFERROR(__xludf.DUMMYFUNCTION("""COMPUTED_VALUE"""),"AP")</f>
        <v>AP</v>
      </c>
      <c r="AF873" s="47" t="str">
        <f>IFERROR(__xludf.DUMMYFUNCTION("""COMPUTED_VALUE"""),"")</f>
        <v/>
      </c>
      <c r="AG873" s="48" t="str">
        <f>IFERROR(__xludf.DUMMYFUNCTION("""COMPUTED_VALUE"""),"%")</f>
        <v>%</v>
      </c>
      <c r="AH873" s="43"/>
      <c r="AI873" s="44"/>
      <c r="AJ873" s="51"/>
    </row>
    <row r="874">
      <c r="A874" s="52"/>
      <c r="B874" s="53"/>
      <c r="C874" s="54"/>
      <c r="D874" s="55"/>
      <c r="E874" s="56"/>
      <c r="F874" s="53"/>
      <c r="G874" s="53"/>
      <c r="H874" s="53"/>
      <c r="I874" s="53"/>
      <c r="J874" s="57"/>
      <c r="K874" s="53"/>
      <c r="L874" s="57"/>
      <c r="M874" s="53"/>
      <c r="N874" s="53"/>
      <c r="O874" s="53"/>
      <c r="P874" s="53"/>
      <c r="Q874" s="57"/>
      <c r="R874" s="53"/>
      <c r="S874" s="57"/>
      <c r="T874" s="53"/>
      <c r="U874" s="53"/>
      <c r="V874" s="53"/>
      <c r="W874" s="53"/>
      <c r="X874" s="57"/>
      <c r="Y874" s="53"/>
      <c r="Z874" s="57"/>
      <c r="AA874" s="53"/>
      <c r="AB874" s="53"/>
      <c r="AC874" s="53"/>
      <c r="AD874" s="53"/>
      <c r="AE874" s="57"/>
      <c r="AF874" s="53"/>
      <c r="AG874" s="57"/>
      <c r="AH874" s="53"/>
      <c r="AI874" s="53"/>
      <c r="AJ874" s="58"/>
    </row>
    <row r="875">
      <c r="A875" s="59"/>
      <c r="B875" s="60"/>
      <c r="C875" s="61"/>
      <c r="D875" s="62"/>
      <c r="E875" s="63"/>
      <c r="F875" s="60"/>
      <c r="G875" s="60"/>
      <c r="H875" s="60"/>
      <c r="I875" s="60"/>
      <c r="J875" s="64"/>
      <c r="K875" s="60"/>
      <c r="L875" s="64"/>
      <c r="M875" s="60"/>
      <c r="N875" s="60"/>
      <c r="O875" s="60"/>
      <c r="P875" s="60"/>
      <c r="Q875" s="64"/>
      <c r="R875" s="60"/>
      <c r="S875" s="64"/>
      <c r="T875" s="60"/>
      <c r="U875" s="60"/>
      <c r="V875" s="60"/>
      <c r="W875" s="60"/>
      <c r="X875" s="64"/>
      <c r="Y875" s="60"/>
      <c r="Z875" s="64"/>
      <c r="AA875" s="60"/>
      <c r="AB875" s="60"/>
      <c r="AC875" s="60"/>
      <c r="AD875" s="60"/>
      <c r="AE875" s="64"/>
      <c r="AF875" s="60"/>
      <c r="AG875" s="64"/>
      <c r="AH875" s="60"/>
      <c r="AI875" s="60"/>
      <c r="AJ875" s="65"/>
    </row>
    <row r="876" ht="33.0" customHeight="1">
      <c r="A876" s="20" t="str">
        <f>IFERROR(__xludf.DUMMYFUNCTION("""COMPUTED_VALUE""")," ")</f>
        <v> </v>
      </c>
      <c r="B876" s="21" t="str">
        <f>IFERROR(__xludf.DUMMYFUNCTION("""COMPUTED_VALUE"""),"A110")</f>
        <v>A110</v>
      </c>
      <c r="C876" s="20"/>
      <c r="D876" s="22" t="str">
        <f>IFERROR(__xludf.DUMMYFUNCTION("""COMPUTED_VALUE"""),"")</f>
        <v/>
      </c>
      <c r="E876" s="23" t="str">
        <f>IFERROR(__xludf.DUMMYFUNCTION("""COMPUTED_VALUE"""),"Primordial Lanugo")</f>
        <v>Primordial Lanugo</v>
      </c>
      <c r="F876" s="24"/>
      <c r="G876" s="24"/>
      <c r="H876" s="25"/>
      <c r="I876" s="25"/>
      <c r="J876" s="26"/>
      <c r="K876" s="25"/>
      <c r="L876" s="26"/>
      <c r="M876" s="25"/>
      <c r="N876" s="25"/>
      <c r="O876" s="25"/>
      <c r="P876" s="25"/>
      <c r="Q876" s="26"/>
      <c r="R876" s="25"/>
      <c r="S876" s="26"/>
      <c r="T876" s="25"/>
      <c r="U876" s="25"/>
      <c r="V876" s="25"/>
      <c r="W876" s="25"/>
      <c r="X876" s="26"/>
      <c r="Y876" s="25"/>
      <c r="Z876" s="26"/>
      <c r="AA876" s="25"/>
      <c r="AB876" s="25"/>
      <c r="AC876" s="25"/>
      <c r="AD876" s="25"/>
      <c r="AE876" s="26"/>
      <c r="AF876" s="25"/>
      <c r="AG876" s="26"/>
      <c r="AH876" s="24"/>
      <c r="AI876" s="25"/>
      <c r="AJ876" s="27"/>
    </row>
    <row r="877" ht="24.75" customHeight="1">
      <c r="A877" s="28">
        <f>IFERROR(__xludf.DUMMYFUNCTION("""COMPUTED_VALUE"""),1.0)</f>
        <v>1</v>
      </c>
      <c r="B877" s="28" t="str">
        <f>IFERROR(__xludf.DUMMYFUNCTION("""COMPUTED_VALUE"""),"A110")</f>
        <v>A110</v>
      </c>
      <c r="C877" s="28" t="str">
        <f>IFERROR(__xludf.DUMMYFUNCTION("""COMPUTED_VALUE"""),"BBL14")</f>
        <v>BBL14</v>
      </c>
      <c r="D877" s="29" t="str">
        <f>IFERROR(__xludf.DUMMYFUNCTION("""COMPUTED_VALUE"""),"Babylonia")</f>
        <v>Babylonia</v>
      </c>
      <c r="E877" s="30" t="str">
        <f>IFERROR(__xludf.DUMMYFUNCTION("""COMPUTED_VALUE"""),"Blood Fort")</f>
        <v>Blood Fort</v>
      </c>
      <c r="F877" s="31">
        <f>IFERROR(__xludf.DUMMYFUNCTION("""COMPUTED_VALUE"""),21.0)</f>
        <v>21</v>
      </c>
      <c r="G877" s="32">
        <f>IFERROR(__xludf.DUMMYFUNCTION("""COMPUTED_VALUE"""),80896.0)</f>
        <v>80896</v>
      </c>
      <c r="H877" s="33" t="str">
        <f>IFERROR(__xludf.DUMMYFUNCTION("""COMPUTED_VALUE"""),"")</f>
        <v/>
      </c>
      <c r="I877" s="34">
        <f>IFERROR(__xludf.DUMMYFUNCTION("""COMPUTED_VALUE"""),115.3)</f>
        <v>115.3</v>
      </c>
      <c r="J877" s="35" t="str">
        <f>IFERROR(__xludf.DUMMYFUNCTION("""COMPUTED_VALUE"""),"AP")</f>
        <v>AP</v>
      </c>
      <c r="K877" s="34">
        <f>IFERROR(__xludf.DUMMYFUNCTION("""COMPUTED_VALUE"""),18.2)</f>
        <v>18.2</v>
      </c>
      <c r="L877" s="35" t="str">
        <f>IFERROR(__xludf.DUMMYFUNCTION("""COMPUTED_VALUE"""),"%")</f>
        <v>%</v>
      </c>
      <c r="M877" s="36">
        <f>IFERROR(__xludf.DUMMYFUNCTION("""COMPUTED_VALUE"""),1.0)</f>
        <v>1</v>
      </c>
      <c r="N877" s="37" t="str">
        <f>IFERROR(__xludf.DUMMYFUNCTION("""COMPUTED_VALUE"""),"A201")</f>
        <v>A201</v>
      </c>
      <c r="O877" s="38" t="str">
        <f>IFERROR(__xludf.DUMMYFUNCTION("""COMPUTED_VALUE"""),"")</f>
        <v/>
      </c>
      <c r="P877" s="34">
        <f>IFERROR(__xludf.DUMMYFUNCTION("""COMPUTED_VALUE"""),87.2)</f>
        <v>87.2</v>
      </c>
      <c r="Q877" s="35" t="str">
        <f>IFERROR(__xludf.DUMMYFUNCTION("""COMPUTED_VALUE"""),"AP")</f>
        <v>AP</v>
      </c>
      <c r="R877" s="34">
        <f>IFERROR(__xludf.DUMMYFUNCTION("""COMPUTED_VALUE"""),24.1)</f>
        <v>24.1</v>
      </c>
      <c r="S877" s="35" t="str">
        <f>IFERROR(__xludf.DUMMYFUNCTION("""COMPUTED_VALUE"""),"%")</f>
        <v>%</v>
      </c>
      <c r="T877" s="36">
        <f>IFERROR(__xludf.DUMMYFUNCTION("""COMPUTED_VALUE"""),2.0)</f>
        <v>2</v>
      </c>
      <c r="U877" s="37" t="str">
        <f>IFERROR(__xludf.DUMMYFUNCTION("""COMPUTED_VALUE"""),"B114")</f>
        <v>B114</v>
      </c>
      <c r="V877" s="38" t="str">
        <f>IFERROR(__xludf.DUMMYFUNCTION("""COMPUTED_VALUE"""),"")</f>
        <v/>
      </c>
      <c r="W877" s="34">
        <f>IFERROR(__xludf.DUMMYFUNCTION("""COMPUTED_VALUE"""),132.0)</f>
        <v>132</v>
      </c>
      <c r="X877" s="35" t="str">
        <f>IFERROR(__xludf.DUMMYFUNCTION("""COMPUTED_VALUE"""),"AP")</f>
        <v>AP</v>
      </c>
      <c r="Y877" s="34">
        <f>IFERROR(__xludf.DUMMYFUNCTION("""COMPUTED_VALUE"""),15.9)</f>
        <v>15.9</v>
      </c>
      <c r="Z877" s="35" t="str">
        <f>IFERROR(__xludf.DUMMYFUNCTION("""COMPUTED_VALUE"""),"%")</f>
        <v>%</v>
      </c>
      <c r="AA877" s="36">
        <f>IFERROR(__xludf.DUMMYFUNCTION("""COMPUTED_VALUE"""),3.0)</f>
        <v>3</v>
      </c>
      <c r="AB877" s="37"/>
      <c r="AC877" s="38"/>
      <c r="AD877" s="34" t="str">
        <f>IFERROR(__xludf.DUMMYFUNCTION("""COMPUTED_VALUE"""),"")</f>
        <v/>
      </c>
      <c r="AE877" s="35" t="str">
        <f>IFERROR(__xludf.DUMMYFUNCTION("""COMPUTED_VALUE"""),"AP")</f>
        <v>AP</v>
      </c>
      <c r="AF877" s="34" t="str">
        <f>IFERROR(__xludf.DUMMYFUNCTION("""COMPUTED_VALUE"""),"")</f>
        <v/>
      </c>
      <c r="AG877" s="35" t="str">
        <f>IFERROR(__xludf.DUMMYFUNCTION("""COMPUTED_VALUE"""),"%")</f>
        <v>%</v>
      </c>
      <c r="AH877" s="31">
        <f>IFERROR(__xludf.DUMMYFUNCTION("""COMPUTED_VALUE"""),21.0)</f>
        <v>21</v>
      </c>
      <c r="AI877" s="32">
        <f>IFERROR(__xludf.DUMMYFUNCTION("""COMPUTED_VALUE"""),80896.0)</f>
        <v>80896</v>
      </c>
      <c r="AJ877" s="39" t="str">
        <f>IFERROR(__xludf.DUMMYFUNCTION("""COMPUTED_VALUE"""),"鮮血神殿")</f>
        <v>鮮血神殿</v>
      </c>
    </row>
    <row r="878" ht="24.75" customHeight="1">
      <c r="A878" s="40">
        <f>IFERROR(__xludf.DUMMYFUNCTION("""COMPUTED_VALUE"""),2.0)</f>
        <v>2</v>
      </c>
      <c r="B878" s="40" t="str">
        <f>IFERROR(__xludf.DUMMYFUNCTION("""COMPUTED_VALUE"""),"A110")</f>
        <v>A110</v>
      </c>
      <c r="C878" s="40" t="str">
        <f>IFERROR(__xludf.DUMMYFUNCTION("""COMPUTED_VALUE"""),"GTT9")</f>
        <v>GTT9</v>
      </c>
      <c r="D878" s="41" t="str">
        <f>IFERROR(__xludf.DUMMYFUNCTION("""COMPUTED_VALUE"""),"Götterdämmerung")</f>
        <v>Götterdämmerung</v>
      </c>
      <c r="E878" s="42" t="str">
        <f>IFERROR(__xludf.DUMMYFUNCTION("""COMPUTED_VALUE"""),"Village 67")</f>
        <v>Village 67</v>
      </c>
      <c r="F878" s="43">
        <f>IFERROR(__xludf.DUMMYFUNCTION("""COMPUTED_VALUE"""),21.0)</f>
        <v>21</v>
      </c>
      <c r="G878" s="44">
        <f>IFERROR(__xludf.DUMMYFUNCTION("""COMPUTED_VALUE"""),1113.0)</f>
        <v>1113</v>
      </c>
      <c r="H878" s="33" t="str">
        <f>IFERROR(__xludf.DUMMYFUNCTION("""COMPUTED_VALUE"""),"")</f>
        <v/>
      </c>
      <c r="I878" s="45">
        <f>IFERROR(__xludf.DUMMYFUNCTION("""COMPUTED_VALUE"""),117.5)</f>
        <v>117.5</v>
      </c>
      <c r="J878" s="46" t="str">
        <f>IFERROR(__xludf.DUMMYFUNCTION("""COMPUTED_VALUE"""),"AP")</f>
        <v>AP</v>
      </c>
      <c r="K878" s="47">
        <f>IFERROR(__xludf.DUMMYFUNCTION("""COMPUTED_VALUE"""),17.9)</f>
        <v>17.9</v>
      </c>
      <c r="L878" s="48" t="str">
        <f>IFERROR(__xludf.DUMMYFUNCTION("""COMPUTED_VALUE"""),"%")</f>
        <v>%</v>
      </c>
      <c r="M878" s="49">
        <f>IFERROR(__xludf.DUMMYFUNCTION("""COMPUTED_VALUE"""),1.0)</f>
        <v>1</v>
      </c>
      <c r="N878" s="50" t="str">
        <f>IFERROR(__xludf.DUMMYFUNCTION("""COMPUTED_VALUE"""),"A215")</f>
        <v>A215</v>
      </c>
      <c r="O878" s="38" t="str">
        <f>IFERROR(__xludf.DUMMYFUNCTION("""COMPUTED_VALUE"""),"")</f>
        <v/>
      </c>
      <c r="P878" s="45">
        <f>IFERROR(__xludf.DUMMYFUNCTION("""COMPUTED_VALUE"""),82.3)</f>
        <v>82.3</v>
      </c>
      <c r="Q878" s="46" t="str">
        <f>IFERROR(__xludf.DUMMYFUNCTION("""COMPUTED_VALUE"""),"AP")</f>
        <v>AP</v>
      </c>
      <c r="R878" s="47">
        <f>IFERROR(__xludf.DUMMYFUNCTION("""COMPUTED_VALUE"""),25.5)</f>
        <v>25.5</v>
      </c>
      <c r="S878" s="48" t="str">
        <f>IFERROR(__xludf.DUMMYFUNCTION("""COMPUTED_VALUE"""),"%")</f>
        <v>%</v>
      </c>
      <c r="T878" s="49">
        <f>IFERROR(__xludf.DUMMYFUNCTION("""COMPUTED_VALUE"""),2.0)</f>
        <v>2</v>
      </c>
      <c r="U878" s="50" t="str">
        <f>IFERROR(__xludf.DUMMYFUNCTION("""COMPUTED_VALUE"""),"B114")</f>
        <v>B114</v>
      </c>
      <c r="V878" s="38" t="str">
        <f>IFERROR(__xludf.DUMMYFUNCTION("""COMPUTED_VALUE"""),"")</f>
        <v/>
      </c>
      <c r="W878" s="45">
        <f>IFERROR(__xludf.DUMMYFUNCTION("""COMPUTED_VALUE"""),63.5)</f>
        <v>63.5</v>
      </c>
      <c r="X878" s="46" t="str">
        <f>IFERROR(__xludf.DUMMYFUNCTION("""COMPUTED_VALUE"""),"AP")</f>
        <v>AP</v>
      </c>
      <c r="Y878" s="47">
        <f>IFERROR(__xludf.DUMMYFUNCTION("""COMPUTED_VALUE"""),33.1)</f>
        <v>33.1</v>
      </c>
      <c r="Z878" s="48" t="str">
        <f>IFERROR(__xludf.DUMMYFUNCTION("""COMPUTED_VALUE"""),"%")</f>
        <v>%</v>
      </c>
      <c r="AA878" s="49">
        <f>IFERROR(__xludf.DUMMYFUNCTION("""COMPUTED_VALUE"""),3.0)</f>
        <v>3</v>
      </c>
      <c r="AB878" s="50" t="str">
        <f>IFERROR(__xludf.DUMMYFUNCTION("""COMPUTED_VALUE"""),"B116")</f>
        <v>B116</v>
      </c>
      <c r="AC878" s="38" t="str">
        <f>IFERROR(__xludf.DUMMYFUNCTION("""COMPUTED_VALUE"""),"")</f>
        <v/>
      </c>
      <c r="AD878" s="45">
        <f>IFERROR(__xludf.DUMMYFUNCTION("""COMPUTED_VALUE"""),286.2)</f>
        <v>286.2</v>
      </c>
      <c r="AE878" s="46" t="str">
        <f>IFERROR(__xludf.DUMMYFUNCTION("""COMPUTED_VALUE"""),"AP")</f>
        <v>AP</v>
      </c>
      <c r="AF878" s="47">
        <f>IFERROR(__xludf.DUMMYFUNCTION("""COMPUTED_VALUE"""),7.3)</f>
        <v>7.3</v>
      </c>
      <c r="AG878" s="48" t="str">
        <f>IFERROR(__xludf.DUMMYFUNCTION("""COMPUTED_VALUE"""),"%")</f>
        <v>%</v>
      </c>
      <c r="AH878" s="43">
        <f>IFERROR(__xludf.DUMMYFUNCTION("""COMPUTED_VALUE"""),21.0)</f>
        <v>21</v>
      </c>
      <c r="AI878" s="44">
        <f>IFERROR(__xludf.DUMMYFUNCTION("""COMPUTED_VALUE"""),1113.0)</f>
        <v>1113</v>
      </c>
      <c r="AJ878" s="51" t="str">
        <f>IFERROR(__xludf.DUMMYFUNCTION("""COMPUTED_VALUE"""),"第67集落")</f>
        <v>第67集落</v>
      </c>
    </row>
    <row r="879" ht="24.75" customHeight="1">
      <c r="A879" s="28">
        <f>IFERROR(__xludf.DUMMYFUNCTION("""COMPUTED_VALUE"""),3.0)</f>
        <v>3</v>
      </c>
      <c r="B879" s="28" t="str">
        <f>IFERROR(__xludf.DUMMYFUNCTION("""COMPUTED_VALUE"""),"A110")</f>
        <v>A110</v>
      </c>
      <c r="C879" s="28" t="str">
        <f>IFERROR(__xludf.DUMMYFUNCTION("""COMPUTED_VALUE"""),"GTT7")</f>
        <v>GTT7</v>
      </c>
      <c r="D879" s="29" t="str">
        <f>IFERROR(__xludf.DUMMYFUNCTION("""COMPUTED_VALUE"""),"Götterdämmerung")</f>
        <v>Götterdämmerung</v>
      </c>
      <c r="E879" s="30" t="str">
        <f>IFERROR(__xludf.DUMMYFUNCTION("""COMPUTED_VALUE"""),"Road to the End")</f>
        <v>Road to the End</v>
      </c>
      <c r="F879" s="31">
        <f>IFERROR(__xludf.DUMMYFUNCTION("""COMPUTED_VALUE"""),21.0)</f>
        <v>21</v>
      </c>
      <c r="G879" s="32">
        <f>IFERROR(__xludf.DUMMYFUNCTION("""COMPUTED_VALUE"""),16351.0)</f>
        <v>16351</v>
      </c>
      <c r="H879" s="33" t="str">
        <f>IFERROR(__xludf.DUMMYFUNCTION("""COMPUTED_VALUE"""),"")</f>
        <v/>
      </c>
      <c r="I879" s="34">
        <f>IFERROR(__xludf.DUMMYFUNCTION("""COMPUTED_VALUE"""),118.7)</f>
        <v>118.7</v>
      </c>
      <c r="J879" s="35" t="str">
        <f>IFERROR(__xludf.DUMMYFUNCTION("""COMPUTED_VALUE"""),"AP")</f>
        <v>AP</v>
      </c>
      <c r="K879" s="34">
        <f>IFERROR(__xludf.DUMMYFUNCTION("""COMPUTED_VALUE"""),17.699999899999998)</f>
        <v>17.6999999</v>
      </c>
      <c r="L879" s="35" t="str">
        <f>IFERROR(__xludf.DUMMYFUNCTION("""COMPUTED_VALUE"""),"%")</f>
        <v>%</v>
      </c>
      <c r="M879" s="36">
        <f>IFERROR(__xludf.DUMMYFUNCTION("""COMPUTED_VALUE"""),1.0)</f>
        <v>1</v>
      </c>
      <c r="N879" s="37" t="str">
        <f>IFERROR(__xludf.DUMMYFUNCTION("""COMPUTED_VALUE"""),"A214")</f>
        <v>A214</v>
      </c>
      <c r="O879" s="38" t="str">
        <f>IFERROR(__xludf.DUMMYFUNCTION("""COMPUTED_VALUE"""),"")</f>
        <v/>
      </c>
      <c r="P879" s="34">
        <f>IFERROR(__xludf.DUMMYFUNCTION("""COMPUTED_VALUE"""),84.6)</f>
        <v>84.6</v>
      </c>
      <c r="Q879" s="35" t="str">
        <f>IFERROR(__xludf.DUMMYFUNCTION("""COMPUTED_VALUE"""),"AP")</f>
        <v>AP</v>
      </c>
      <c r="R879" s="34">
        <f>IFERROR(__xludf.DUMMYFUNCTION("""COMPUTED_VALUE"""),24.8)</f>
        <v>24.8</v>
      </c>
      <c r="S879" s="35" t="str">
        <f>IFERROR(__xludf.DUMMYFUNCTION("""COMPUTED_VALUE"""),"%")</f>
        <v>%</v>
      </c>
      <c r="T879" s="36">
        <f>IFERROR(__xludf.DUMMYFUNCTION("""COMPUTED_VALUE"""),2.0)</f>
        <v>2</v>
      </c>
      <c r="U879" s="37" t="str">
        <f>IFERROR(__xludf.DUMMYFUNCTION("""COMPUTED_VALUE"""),"B116")</f>
        <v>B116</v>
      </c>
      <c r="V879" s="38" t="str">
        <f>IFERROR(__xludf.DUMMYFUNCTION("""COMPUTED_VALUE"""),"")</f>
        <v/>
      </c>
      <c r="W879" s="34">
        <f>IFERROR(__xludf.DUMMYFUNCTION("""COMPUTED_VALUE"""),250.0)</f>
        <v>250</v>
      </c>
      <c r="X879" s="35" t="str">
        <f>IFERROR(__xludf.DUMMYFUNCTION("""COMPUTED_VALUE"""),"AP")</f>
        <v>AP</v>
      </c>
      <c r="Y879" s="34">
        <f>IFERROR(__xludf.DUMMYFUNCTION("""COMPUTED_VALUE"""),8.4)</f>
        <v>8.4</v>
      </c>
      <c r="Z879" s="35" t="str">
        <f>IFERROR(__xludf.DUMMYFUNCTION("""COMPUTED_VALUE"""),"%")</f>
        <v>%</v>
      </c>
      <c r="AA879" s="36">
        <f>IFERROR(__xludf.DUMMYFUNCTION("""COMPUTED_VALUE"""),3.0)</f>
        <v>3</v>
      </c>
      <c r="AB879" s="37" t="str">
        <f>IFERROR(__xludf.DUMMYFUNCTION("""COMPUTED_VALUE"""),"B117")</f>
        <v>B117</v>
      </c>
      <c r="AC879" s="38" t="str">
        <f>IFERROR(__xludf.DUMMYFUNCTION("""COMPUTED_VALUE"""),"")</f>
        <v/>
      </c>
      <c r="AD879" s="34">
        <f>IFERROR(__xludf.DUMMYFUNCTION("""COMPUTED_VALUE"""),52.0)</f>
        <v>52</v>
      </c>
      <c r="AE879" s="35" t="str">
        <f>IFERROR(__xludf.DUMMYFUNCTION("""COMPUTED_VALUE"""),"AP")</f>
        <v>AP</v>
      </c>
      <c r="AF879" s="34">
        <f>IFERROR(__xludf.DUMMYFUNCTION("""COMPUTED_VALUE"""),40.4)</f>
        <v>40.4</v>
      </c>
      <c r="AG879" s="35" t="str">
        <f>IFERROR(__xludf.DUMMYFUNCTION("""COMPUTED_VALUE"""),"%")</f>
        <v>%</v>
      </c>
      <c r="AH879" s="31">
        <f>IFERROR(__xludf.DUMMYFUNCTION("""COMPUTED_VALUE"""),21.0)</f>
        <v>21</v>
      </c>
      <c r="AI879" s="32">
        <f>IFERROR(__xludf.DUMMYFUNCTION("""COMPUTED_VALUE"""),16351.0)</f>
        <v>16351</v>
      </c>
      <c r="AJ879" s="39" t="str">
        <f>IFERROR(__xludf.DUMMYFUNCTION("""COMPUTED_VALUE"""),"果てへと至る道")</f>
        <v>果てへと至る道</v>
      </c>
    </row>
    <row r="880" ht="24.75" customHeight="1">
      <c r="A880" s="40">
        <f>IFERROR(__xludf.DUMMYFUNCTION("""COMPUTED_VALUE"""),4.0)</f>
        <v>4</v>
      </c>
      <c r="B880" s="40" t="str">
        <f>IFERROR(__xludf.DUMMYFUNCTION("""COMPUTED_VALUE"""),"A110")</f>
        <v>A110</v>
      </c>
      <c r="C880" s="40" t="str">
        <f>IFERROR(__xludf.DUMMYFUNCTION("""COMPUTED_VALUE"""),"BBL3")</f>
        <v>BBL3</v>
      </c>
      <c r="D880" s="41" t="str">
        <f>IFERROR(__xludf.DUMMYFUNCTION("""COMPUTED_VALUE"""),"Babylonia")</f>
        <v>Babylonia</v>
      </c>
      <c r="E880" s="42" t="str">
        <f>IFERROR(__xludf.DUMMYFUNCTION("""COMPUTED_VALUE"""),"Black Cedar Forest")</f>
        <v>Black Cedar Forest</v>
      </c>
      <c r="F880" s="43">
        <f>IFERROR(__xludf.DUMMYFUNCTION("""COMPUTED_VALUE"""),20.0)</f>
        <v>20</v>
      </c>
      <c r="G880" s="44">
        <f>IFERROR(__xludf.DUMMYFUNCTION("""COMPUTED_VALUE"""),1916.0)</f>
        <v>1916</v>
      </c>
      <c r="H880" s="33" t="str">
        <f>IFERROR(__xludf.DUMMYFUNCTION("""COMPUTED_VALUE"""),"")</f>
        <v/>
      </c>
      <c r="I880" s="45">
        <f>IFERROR(__xludf.DUMMYFUNCTION("""COMPUTED_VALUE"""),150.9)</f>
        <v>150.9</v>
      </c>
      <c r="J880" s="46" t="str">
        <f>IFERROR(__xludf.DUMMYFUNCTION("""COMPUTED_VALUE"""),"AP")</f>
        <v>AP</v>
      </c>
      <c r="K880" s="47">
        <f>IFERROR(__xludf.DUMMYFUNCTION("""COMPUTED_VALUE"""),13.3)</f>
        <v>13.3</v>
      </c>
      <c r="L880" s="48" t="str">
        <f>IFERROR(__xludf.DUMMYFUNCTION("""COMPUTED_VALUE"""),"%")</f>
        <v>%</v>
      </c>
      <c r="M880" s="49">
        <f>IFERROR(__xludf.DUMMYFUNCTION("""COMPUTED_VALUE"""),1.0)</f>
        <v>1</v>
      </c>
      <c r="N880" s="50" t="str">
        <f>IFERROR(__xludf.DUMMYFUNCTION("""COMPUTED_VALUE"""),"A201")</f>
        <v>A201</v>
      </c>
      <c r="O880" s="38" t="str">
        <f>IFERROR(__xludf.DUMMYFUNCTION("""COMPUTED_VALUE"""),"")</f>
        <v/>
      </c>
      <c r="P880" s="45">
        <f>IFERROR(__xludf.DUMMYFUNCTION("""COMPUTED_VALUE"""),58.6)</f>
        <v>58.6</v>
      </c>
      <c r="Q880" s="46" t="str">
        <f>IFERROR(__xludf.DUMMYFUNCTION("""COMPUTED_VALUE"""),"AP")</f>
        <v>AP</v>
      </c>
      <c r="R880" s="47">
        <f>IFERROR(__xludf.DUMMYFUNCTION("""COMPUTED_VALUE"""),34.1)</f>
        <v>34.1</v>
      </c>
      <c r="S880" s="48" t="str">
        <f>IFERROR(__xludf.DUMMYFUNCTION("""COMPUTED_VALUE"""),"%")</f>
        <v>%</v>
      </c>
      <c r="T880" s="49">
        <f>IFERROR(__xludf.DUMMYFUNCTION("""COMPUTED_VALUE"""),2.0)</f>
        <v>2</v>
      </c>
      <c r="U880" s="50" t="str">
        <f>IFERROR(__xludf.DUMMYFUNCTION("""COMPUTED_VALUE"""),"B114")</f>
        <v>B114</v>
      </c>
      <c r="V880" s="38" t="str">
        <f>IFERROR(__xludf.DUMMYFUNCTION("""COMPUTED_VALUE"""),"")</f>
        <v/>
      </c>
      <c r="W880" s="45">
        <f>IFERROR(__xludf.DUMMYFUNCTION("""COMPUTED_VALUE"""),232.0)</f>
        <v>232</v>
      </c>
      <c r="X880" s="46" t="str">
        <f>IFERROR(__xludf.DUMMYFUNCTION("""COMPUTED_VALUE"""),"AP")</f>
        <v>AP</v>
      </c>
      <c r="Y880" s="47">
        <f>IFERROR(__xludf.DUMMYFUNCTION("""COMPUTED_VALUE"""),8.6)</f>
        <v>8.6</v>
      </c>
      <c r="Z880" s="48" t="str">
        <f>IFERROR(__xludf.DUMMYFUNCTION("""COMPUTED_VALUE"""),"%")</f>
        <v>%</v>
      </c>
      <c r="AA880" s="49">
        <f>IFERROR(__xludf.DUMMYFUNCTION("""COMPUTED_VALUE"""),3.0)</f>
        <v>3</v>
      </c>
      <c r="AB880" s="50"/>
      <c r="AC880" s="38"/>
      <c r="AD880" s="45" t="str">
        <f>IFERROR(__xludf.DUMMYFUNCTION("""COMPUTED_VALUE"""),"")</f>
        <v/>
      </c>
      <c r="AE880" s="46" t="str">
        <f>IFERROR(__xludf.DUMMYFUNCTION("""COMPUTED_VALUE"""),"AP")</f>
        <v>AP</v>
      </c>
      <c r="AF880" s="47" t="str">
        <f>IFERROR(__xludf.DUMMYFUNCTION("""COMPUTED_VALUE"""),"")</f>
        <v/>
      </c>
      <c r="AG880" s="48" t="str">
        <f>IFERROR(__xludf.DUMMYFUNCTION("""COMPUTED_VALUE"""),"%")</f>
        <v>%</v>
      </c>
      <c r="AH880" s="43">
        <f>IFERROR(__xludf.DUMMYFUNCTION("""COMPUTED_VALUE"""),20.0)</f>
        <v>20</v>
      </c>
      <c r="AI880" s="44">
        <f>IFERROR(__xludf.DUMMYFUNCTION("""COMPUTED_VALUE"""),1916.0)</f>
        <v>1916</v>
      </c>
      <c r="AJ880" s="51" t="str">
        <f>IFERROR(__xludf.DUMMYFUNCTION("""COMPUTED_VALUE"""),"黒い杉の森")</f>
        <v>黒い杉の森</v>
      </c>
    </row>
    <row r="881" ht="24.75" customHeight="1">
      <c r="A881" s="28">
        <f>IFERROR(__xludf.DUMMYFUNCTION("""COMPUTED_VALUE"""),5.0)</f>
        <v>5</v>
      </c>
      <c r="B881" s="28" t="str">
        <f>IFERROR(__xludf.DUMMYFUNCTION("""COMPUTED_VALUE"""),"A110")</f>
        <v>A110</v>
      </c>
      <c r="C881" s="28" t="str">
        <f>IFERROR(__xludf.DUMMYFUNCTION("""COMPUTED_VALUE"""),"GTT1")</f>
        <v>GTT1</v>
      </c>
      <c r="D881" s="29" t="str">
        <f>IFERROR(__xludf.DUMMYFUNCTION("""COMPUTED_VALUE"""),"Götterdämmerung")</f>
        <v>Götterdämmerung</v>
      </c>
      <c r="E881" s="30" t="str">
        <f>IFERROR(__xludf.DUMMYFUNCTION("""COMPUTED_VALUE"""),"Landing Point")</f>
        <v>Landing Point</v>
      </c>
      <c r="F881" s="31">
        <f>IFERROR(__xludf.DUMMYFUNCTION("""COMPUTED_VALUE"""),20.0)</f>
        <v>20</v>
      </c>
      <c r="G881" s="32">
        <f>IFERROR(__xludf.DUMMYFUNCTION("""COMPUTED_VALUE"""),7996.0)</f>
        <v>7996</v>
      </c>
      <c r="H881" s="33" t="str">
        <f>IFERROR(__xludf.DUMMYFUNCTION("""COMPUTED_VALUE"""),"")</f>
        <v/>
      </c>
      <c r="I881" s="34">
        <f>IFERROR(__xludf.DUMMYFUNCTION("""COMPUTED_VALUE"""),164.9)</f>
        <v>164.9</v>
      </c>
      <c r="J881" s="35" t="str">
        <f>IFERROR(__xludf.DUMMYFUNCTION("""COMPUTED_VALUE"""),"AP")</f>
        <v>AP</v>
      </c>
      <c r="K881" s="34">
        <f>IFERROR(__xludf.DUMMYFUNCTION("""COMPUTED_VALUE"""),12.1)</f>
        <v>12.1</v>
      </c>
      <c r="L881" s="35" t="str">
        <f>IFERROR(__xludf.DUMMYFUNCTION("""COMPUTED_VALUE"""),"%")</f>
        <v>%</v>
      </c>
      <c r="M881" s="36">
        <f>IFERROR(__xludf.DUMMYFUNCTION("""COMPUTED_VALUE"""),1.0)</f>
        <v>1</v>
      </c>
      <c r="N881" s="37" t="str">
        <f>IFERROR(__xludf.DUMMYFUNCTION("""COMPUTED_VALUE"""),"A201")</f>
        <v>A201</v>
      </c>
      <c r="O881" s="38" t="str">
        <f>IFERROR(__xludf.DUMMYFUNCTION("""COMPUTED_VALUE"""),"")</f>
        <v/>
      </c>
      <c r="P881" s="34">
        <f>IFERROR(__xludf.DUMMYFUNCTION("""COMPUTED_VALUE"""),77.3)</f>
        <v>77.3</v>
      </c>
      <c r="Q881" s="35" t="str">
        <f>IFERROR(__xludf.DUMMYFUNCTION("""COMPUTED_VALUE"""),"AP")</f>
        <v>AP</v>
      </c>
      <c r="R881" s="34">
        <f>IFERROR(__xludf.DUMMYFUNCTION("""COMPUTED_VALUE"""),25.9)</f>
        <v>25.9</v>
      </c>
      <c r="S881" s="35" t="str">
        <f>IFERROR(__xludf.DUMMYFUNCTION("""COMPUTED_VALUE"""),"%")</f>
        <v>%</v>
      </c>
      <c r="T881" s="36">
        <f>IFERROR(__xludf.DUMMYFUNCTION("""COMPUTED_VALUE"""),2.0)</f>
        <v>2</v>
      </c>
      <c r="U881" s="37" t="str">
        <f>IFERROR(__xludf.DUMMYFUNCTION("""COMPUTED_VALUE"""),"A304")</f>
        <v>A304</v>
      </c>
      <c r="V881" s="38" t="str">
        <f>IFERROR(__xludf.DUMMYFUNCTION("""COMPUTED_VALUE"""),"")</f>
        <v/>
      </c>
      <c r="W881" s="34">
        <f>IFERROR(__xludf.DUMMYFUNCTION("""COMPUTED_VALUE"""),65.0)</f>
        <v>65</v>
      </c>
      <c r="X881" s="35" t="str">
        <f>IFERROR(__xludf.DUMMYFUNCTION("""COMPUTED_VALUE"""),"AP")</f>
        <v>AP</v>
      </c>
      <c r="Y881" s="34">
        <f>IFERROR(__xludf.DUMMYFUNCTION("""COMPUTED_VALUE"""),30.8)</f>
        <v>30.8</v>
      </c>
      <c r="Z881" s="35" t="str">
        <f>IFERROR(__xludf.DUMMYFUNCTION("""COMPUTED_VALUE"""),"%")</f>
        <v>%</v>
      </c>
      <c r="AA881" s="36">
        <f>IFERROR(__xludf.DUMMYFUNCTION("""COMPUTED_VALUE"""),3.0)</f>
        <v>3</v>
      </c>
      <c r="AB881" s="37" t="str">
        <f>IFERROR(__xludf.DUMMYFUNCTION("""COMPUTED_VALUE"""),"B116")</f>
        <v>B116</v>
      </c>
      <c r="AC881" s="38" t="str">
        <f>IFERROR(__xludf.DUMMYFUNCTION("""COMPUTED_VALUE"""),"")</f>
        <v/>
      </c>
      <c r="AD881" s="34">
        <f>IFERROR(__xludf.DUMMYFUNCTION("""COMPUTED_VALUE"""),242.4)</f>
        <v>242.4</v>
      </c>
      <c r="AE881" s="35" t="str">
        <f>IFERROR(__xludf.DUMMYFUNCTION("""COMPUTED_VALUE"""),"AP")</f>
        <v>AP</v>
      </c>
      <c r="AF881" s="34">
        <f>IFERROR(__xludf.DUMMYFUNCTION("""COMPUTED_VALUE"""),8.2)</f>
        <v>8.2</v>
      </c>
      <c r="AG881" s="35" t="str">
        <f>IFERROR(__xludf.DUMMYFUNCTION("""COMPUTED_VALUE"""),"%")</f>
        <v>%</v>
      </c>
      <c r="AH881" s="31">
        <f>IFERROR(__xludf.DUMMYFUNCTION("""COMPUTED_VALUE"""),20.0)</f>
        <v>20</v>
      </c>
      <c r="AI881" s="32">
        <f>IFERROR(__xludf.DUMMYFUNCTION("""COMPUTED_VALUE"""),7996.0)</f>
        <v>7996</v>
      </c>
      <c r="AJ881" s="39" t="str">
        <f>IFERROR(__xludf.DUMMYFUNCTION("""COMPUTED_VALUE"""),"ランディングポイント")</f>
        <v>ランディングポイント</v>
      </c>
    </row>
    <row r="882" ht="24.75" customHeight="1">
      <c r="A882" s="40">
        <f>IFERROR(__xludf.DUMMYFUNCTION("""COMPUTED_VALUE"""),6.0)</f>
        <v>6</v>
      </c>
      <c r="B882" s="40" t="str">
        <f>IFERROR(__xludf.DUMMYFUNCTION("""COMPUTED_VALUE"""),"A110")</f>
        <v>A110</v>
      </c>
      <c r="C882" s="40" t="str">
        <f>IFERROR(__xludf.DUMMYFUNCTION("""COMPUTED_VALUE"""),"BBL11")</f>
        <v>BBL11</v>
      </c>
      <c r="D882" s="41" t="str">
        <f>IFERROR(__xludf.DUMMYFUNCTION("""COMPUTED_VALUE"""),"Babylonia")</f>
        <v>Babylonia</v>
      </c>
      <c r="E882" s="42" t="str">
        <f>IFERROR(__xludf.DUMMYFUNCTION("""COMPUTED_VALUE"""),"Northern Wall")</f>
        <v>Northern Wall</v>
      </c>
      <c r="F882" s="43">
        <f>IFERROR(__xludf.DUMMYFUNCTION("""COMPUTED_VALUE"""),21.0)</f>
        <v>21</v>
      </c>
      <c r="G882" s="44">
        <f>IFERROR(__xludf.DUMMYFUNCTION("""COMPUTED_VALUE"""),5788.0)</f>
        <v>5788</v>
      </c>
      <c r="H882" s="33" t="str">
        <f>IFERROR(__xludf.DUMMYFUNCTION("""COMPUTED_VALUE"""),"")</f>
        <v/>
      </c>
      <c r="I882" s="45">
        <f>IFERROR(__xludf.DUMMYFUNCTION("""COMPUTED_VALUE"""),166.0)</f>
        <v>166</v>
      </c>
      <c r="J882" s="46" t="str">
        <f>IFERROR(__xludf.DUMMYFUNCTION("""COMPUTED_VALUE"""),"AP")</f>
        <v>AP</v>
      </c>
      <c r="K882" s="47">
        <f>IFERROR(__xludf.DUMMYFUNCTION("""COMPUTED_VALUE"""),12.6)</f>
        <v>12.6</v>
      </c>
      <c r="L882" s="48" t="str">
        <f>IFERROR(__xludf.DUMMYFUNCTION("""COMPUTED_VALUE"""),"%")</f>
        <v>%</v>
      </c>
      <c r="M882" s="49">
        <f>IFERROR(__xludf.DUMMYFUNCTION("""COMPUTED_VALUE"""),1.0)</f>
        <v>1</v>
      </c>
      <c r="N882" s="50" t="str">
        <f>IFERROR(__xludf.DUMMYFUNCTION("""COMPUTED_VALUE"""),"A306")</f>
        <v>A306</v>
      </c>
      <c r="O882" s="38" t="str">
        <f>IFERROR(__xludf.DUMMYFUNCTION("""COMPUTED_VALUE"""),"")</f>
        <v/>
      </c>
      <c r="P882" s="45">
        <f>IFERROR(__xludf.DUMMYFUNCTION("""COMPUTED_VALUE"""),50.9)</f>
        <v>50.9</v>
      </c>
      <c r="Q882" s="46" t="str">
        <f>IFERROR(__xludf.DUMMYFUNCTION("""COMPUTED_VALUE"""),"AP")</f>
        <v>AP</v>
      </c>
      <c r="R882" s="47">
        <f>IFERROR(__xludf.DUMMYFUNCTION("""COMPUTED_VALUE"""),41.3)</f>
        <v>41.3</v>
      </c>
      <c r="S882" s="48" t="str">
        <f>IFERROR(__xludf.DUMMYFUNCTION("""COMPUTED_VALUE"""),"%")</f>
        <v>%</v>
      </c>
      <c r="T882" s="49">
        <f>IFERROR(__xludf.DUMMYFUNCTION("""COMPUTED_VALUE"""),2.0)</f>
        <v>2</v>
      </c>
      <c r="U882" s="50" t="str">
        <f>IFERROR(__xludf.DUMMYFUNCTION("""COMPUTED_VALUE"""),"B114")</f>
        <v>B114</v>
      </c>
      <c r="V882" s="38" t="str">
        <f>IFERROR(__xludf.DUMMYFUNCTION("""COMPUTED_VALUE"""),"")</f>
        <v/>
      </c>
      <c r="W882" s="45">
        <f>IFERROR(__xludf.DUMMYFUNCTION("""COMPUTED_VALUE"""),277.8)</f>
        <v>277.8</v>
      </c>
      <c r="X882" s="46" t="str">
        <f>IFERROR(__xludf.DUMMYFUNCTION("""COMPUTED_VALUE"""),"AP")</f>
        <v>AP</v>
      </c>
      <c r="Y882" s="47">
        <f>IFERROR(__xludf.DUMMYFUNCTION("""COMPUTED_VALUE"""),7.6)</f>
        <v>7.6</v>
      </c>
      <c r="Z882" s="48" t="str">
        <f>IFERROR(__xludf.DUMMYFUNCTION("""COMPUTED_VALUE"""),"%")</f>
        <v>%</v>
      </c>
      <c r="AA882" s="49">
        <f>IFERROR(__xludf.DUMMYFUNCTION("""COMPUTED_VALUE"""),3.0)</f>
        <v>3</v>
      </c>
      <c r="AB882" s="50"/>
      <c r="AC882" s="38"/>
      <c r="AD882" s="45" t="str">
        <f>IFERROR(__xludf.DUMMYFUNCTION("""COMPUTED_VALUE"""),"")</f>
        <v/>
      </c>
      <c r="AE882" s="46" t="str">
        <f>IFERROR(__xludf.DUMMYFUNCTION("""COMPUTED_VALUE"""),"AP")</f>
        <v>AP</v>
      </c>
      <c r="AF882" s="47" t="str">
        <f>IFERROR(__xludf.DUMMYFUNCTION("""COMPUTED_VALUE"""),"")</f>
        <v/>
      </c>
      <c r="AG882" s="48" t="str">
        <f>IFERROR(__xludf.DUMMYFUNCTION("""COMPUTED_VALUE"""),"%")</f>
        <v>%</v>
      </c>
      <c r="AH882" s="43">
        <f>IFERROR(__xludf.DUMMYFUNCTION("""COMPUTED_VALUE"""),21.0)</f>
        <v>21</v>
      </c>
      <c r="AI882" s="44">
        <f>IFERROR(__xludf.DUMMYFUNCTION("""COMPUTED_VALUE"""),5788.0)</f>
        <v>5788</v>
      </c>
      <c r="AJ882" s="51" t="str">
        <f>IFERROR(__xludf.DUMMYFUNCTION("""COMPUTED_VALUE"""),"北壁")</f>
        <v>北壁</v>
      </c>
    </row>
    <row r="883" ht="24.75" customHeight="1">
      <c r="A883" s="28">
        <f>IFERROR(__xludf.DUMMYFUNCTION("""COMPUTED_VALUE"""),7.0)</f>
        <v>7</v>
      </c>
      <c r="B883" s="28" t="str">
        <f>IFERROR(__xludf.DUMMYFUNCTION("""COMPUTED_VALUE"""),"A110")</f>
        <v>A110</v>
      </c>
      <c r="C883" s="28"/>
      <c r="D883" s="29"/>
      <c r="E883" s="67"/>
      <c r="F883" s="31"/>
      <c r="G883" s="32"/>
      <c r="H883" s="33" t="str">
        <f>IFERROR(__xludf.DUMMYFUNCTION("""COMPUTED_VALUE""")," ")</f>
        <v> </v>
      </c>
      <c r="I883" s="34"/>
      <c r="J883" s="35" t="str">
        <f>IFERROR(__xludf.DUMMYFUNCTION("""COMPUTED_VALUE"""),"AP")</f>
        <v>AP</v>
      </c>
      <c r="K883" s="34"/>
      <c r="L883" s="35" t="str">
        <f>IFERROR(__xludf.DUMMYFUNCTION("""COMPUTED_VALUE"""),"%")</f>
        <v>%</v>
      </c>
      <c r="M883" s="36">
        <f>IFERROR(__xludf.DUMMYFUNCTION("""COMPUTED_VALUE"""),1.0)</f>
        <v>1</v>
      </c>
      <c r="N883" s="37"/>
      <c r="O883" s="38"/>
      <c r="P883" s="34" t="str">
        <f>IFERROR(__xludf.DUMMYFUNCTION("""COMPUTED_VALUE"""),"")</f>
        <v/>
      </c>
      <c r="Q883" s="35" t="str">
        <f>IFERROR(__xludf.DUMMYFUNCTION("""COMPUTED_VALUE"""),"AP")</f>
        <v>AP</v>
      </c>
      <c r="R883" s="34" t="str">
        <f>IFERROR(__xludf.DUMMYFUNCTION("""COMPUTED_VALUE"""),"")</f>
        <v/>
      </c>
      <c r="S883" s="35" t="str">
        <f>IFERROR(__xludf.DUMMYFUNCTION("""COMPUTED_VALUE"""),"%")</f>
        <v>%</v>
      </c>
      <c r="T883" s="36">
        <f>IFERROR(__xludf.DUMMYFUNCTION("""COMPUTED_VALUE"""),2.0)</f>
        <v>2</v>
      </c>
      <c r="U883" s="37"/>
      <c r="V883" s="38"/>
      <c r="W883" s="34" t="str">
        <f>IFERROR(__xludf.DUMMYFUNCTION("""COMPUTED_VALUE"""),"")</f>
        <v/>
      </c>
      <c r="X883" s="35" t="str">
        <f>IFERROR(__xludf.DUMMYFUNCTION("""COMPUTED_VALUE"""),"AP")</f>
        <v>AP</v>
      </c>
      <c r="Y883" s="34" t="str">
        <f>IFERROR(__xludf.DUMMYFUNCTION("""COMPUTED_VALUE"""),"")</f>
        <v/>
      </c>
      <c r="Z883" s="35" t="str">
        <f>IFERROR(__xludf.DUMMYFUNCTION("""COMPUTED_VALUE"""),"%")</f>
        <v>%</v>
      </c>
      <c r="AA883" s="36">
        <f>IFERROR(__xludf.DUMMYFUNCTION("""COMPUTED_VALUE"""),3.0)</f>
        <v>3</v>
      </c>
      <c r="AB883" s="37"/>
      <c r="AC883" s="38"/>
      <c r="AD883" s="34" t="str">
        <f>IFERROR(__xludf.DUMMYFUNCTION("""COMPUTED_VALUE"""),"")</f>
        <v/>
      </c>
      <c r="AE883" s="35" t="str">
        <f>IFERROR(__xludf.DUMMYFUNCTION("""COMPUTED_VALUE"""),"AP")</f>
        <v>AP</v>
      </c>
      <c r="AF883" s="34" t="str">
        <f>IFERROR(__xludf.DUMMYFUNCTION("""COMPUTED_VALUE"""),"")</f>
        <v/>
      </c>
      <c r="AG883" s="35" t="str">
        <f>IFERROR(__xludf.DUMMYFUNCTION("""COMPUTED_VALUE"""),"%")</f>
        <v>%</v>
      </c>
      <c r="AH883" s="31"/>
      <c r="AI883" s="32"/>
      <c r="AJ883" s="39"/>
    </row>
    <row r="884" ht="24.75" hidden="1" customHeight="1">
      <c r="A884" s="40">
        <f>IFERROR(__xludf.DUMMYFUNCTION("""COMPUTED_VALUE"""),8.0)</f>
        <v>8</v>
      </c>
      <c r="B884" s="40" t="str">
        <f>IFERROR(__xludf.DUMMYFUNCTION("""COMPUTED_VALUE"""),"A110")</f>
        <v>A110</v>
      </c>
      <c r="C884" s="40"/>
      <c r="D884" s="41"/>
      <c r="E884" s="66"/>
      <c r="F884" s="43"/>
      <c r="G884" s="44"/>
      <c r="H884" s="33" t="str">
        <f>IFERROR(__xludf.DUMMYFUNCTION("""COMPUTED_VALUE""")," ")</f>
        <v> </v>
      </c>
      <c r="I884" s="45"/>
      <c r="J884" s="46" t="str">
        <f>IFERROR(__xludf.DUMMYFUNCTION("""COMPUTED_VALUE"""),"AP")</f>
        <v>AP</v>
      </c>
      <c r="K884" s="47"/>
      <c r="L884" s="48" t="str">
        <f>IFERROR(__xludf.DUMMYFUNCTION("""COMPUTED_VALUE"""),"%")</f>
        <v>%</v>
      </c>
      <c r="M884" s="49">
        <f>IFERROR(__xludf.DUMMYFUNCTION("""COMPUTED_VALUE"""),1.0)</f>
        <v>1</v>
      </c>
      <c r="N884" s="50"/>
      <c r="O884" s="38"/>
      <c r="P884" s="45" t="str">
        <f>IFERROR(__xludf.DUMMYFUNCTION("""COMPUTED_VALUE"""),"")</f>
        <v/>
      </c>
      <c r="Q884" s="46" t="str">
        <f>IFERROR(__xludf.DUMMYFUNCTION("""COMPUTED_VALUE"""),"AP")</f>
        <v>AP</v>
      </c>
      <c r="R884" s="47" t="str">
        <f>IFERROR(__xludf.DUMMYFUNCTION("""COMPUTED_VALUE"""),"")</f>
        <v/>
      </c>
      <c r="S884" s="48" t="str">
        <f>IFERROR(__xludf.DUMMYFUNCTION("""COMPUTED_VALUE"""),"%")</f>
        <v>%</v>
      </c>
      <c r="T884" s="49">
        <f>IFERROR(__xludf.DUMMYFUNCTION("""COMPUTED_VALUE"""),2.0)</f>
        <v>2</v>
      </c>
      <c r="U884" s="50"/>
      <c r="V884" s="38"/>
      <c r="W884" s="45" t="str">
        <f>IFERROR(__xludf.DUMMYFUNCTION("""COMPUTED_VALUE"""),"")</f>
        <v/>
      </c>
      <c r="X884" s="46" t="str">
        <f>IFERROR(__xludf.DUMMYFUNCTION("""COMPUTED_VALUE"""),"AP")</f>
        <v>AP</v>
      </c>
      <c r="Y884" s="47" t="str">
        <f>IFERROR(__xludf.DUMMYFUNCTION("""COMPUTED_VALUE"""),"")</f>
        <v/>
      </c>
      <c r="Z884" s="48" t="str">
        <f>IFERROR(__xludf.DUMMYFUNCTION("""COMPUTED_VALUE"""),"%")</f>
        <v>%</v>
      </c>
      <c r="AA884" s="49">
        <f>IFERROR(__xludf.DUMMYFUNCTION("""COMPUTED_VALUE"""),3.0)</f>
        <v>3</v>
      </c>
      <c r="AB884" s="50"/>
      <c r="AC884" s="38"/>
      <c r="AD884" s="45" t="str">
        <f>IFERROR(__xludf.DUMMYFUNCTION("""COMPUTED_VALUE"""),"")</f>
        <v/>
      </c>
      <c r="AE884" s="46" t="str">
        <f>IFERROR(__xludf.DUMMYFUNCTION("""COMPUTED_VALUE"""),"AP")</f>
        <v>AP</v>
      </c>
      <c r="AF884" s="47" t="str">
        <f>IFERROR(__xludf.DUMMYFUNCTION("""COMPUTED_VALUE"""),"")</f>
        <v/>
      </c>
      <c r="AG884" s="48" t="str">
        <f>IFERROR(__xludf.DUMMYFUNCTION("""COMPUTED_VALUE"""),"%")</f>
        <v>%</v>
      </c>
      <c r="AH884" s="43"/>
      <c r="AI884" s="44"/>
      <c r="AJ884" s="51"/>
    </row>
    <row r="885" ht="24.75" hidden="1" customHeight="1">
      <c r="A885" s="28">
        <f>IFERROR(__xludf.DUMMYFUNCTION("""COMPUTED_VALUE"""),9.0)</f>
        <v>9</v>
      </c>
      <c r="B885" s="28" t="str">
        <f>IFERROR(__xludf.DUMMYFUNCTION("""COMPUTED_VALUE"""),"A110")</f>
        <v>A110</v>
      </c>
      <c r="C885" s="28"/>
      <c r="D885" s="29"/>
      <c r="E885" s="67"/>
      <c r="F885" s="31"/>
      <c r="G885" s="32"/>
      <c r="H885" s="33" t="str">
        <f>IFERROR(__xludf.DUMMYFUNCTION("""COMPUTED_VALUE""")," ")</f>
        <v> </v>
      </c>
      <c r="I885" s="34"/>
      <c r="J885" s="35" t="str">
        <f>IFERROR(__xludf.DUMMYFUNCTION("""COMPUTED_VALUE"""),"AP")</f>
        <v>AP</v>
      </c>
      <c r="K885" s="34"/>
      <c r="L885" s="35" t="str">
        <f>IFERROR(__xludf.DUMMYFUNCTION("""COMPUTED_VALUE"""),"%")</f>
        <v>%</v>
      </c>
      <c r="M885" s="36">
        <f>IFERROR(__xludf.DUMMYFUNCTION("""COMPUTED_VALUE"""),1.0)</f>
        <v>1</v>
      </c>
      <c r="N885" s="37"/>
      <c r="O885" s="38"/>
      <c r="P885" s="34" t="str">
        <f>IFERROR(__xludf.DUMMYFUNCTION("""COMPUTED_VALUE"""),"")</f>
        <v/>
      </c>
      <c r="Q885" s="35" t="str">
        <f>IFERROR(__xludf.DUMMYFUNCTION("""COMPUTED_VALUE"""),"AP")</f>
        <v>AP</v>
      </c>
      <c r="R885" s="34" t="str">
        <f>IFERROR(__xludf.DUMMYFUNCTION("""COMPUTED_VALUE"""),"")</f>
        <v/>
      </c>
      <c r="S885" s="35" t="str">
        <f>IFERROR(__xludf.DUMMYFUNCTION("""COMPUTED_VALUE"""),"%")</f>
        <v>%</v>
      </c>
      <c r="T885" s="36">
        <f>IFERROR(__xludf.DUMMYFUNCTION("""COMPUTED_VALUE"""),2.0)</f>
        <v>2</v>
      </c>
      <c r="U885" s="37"/>
      <c r="V885" s="38"/>
      <c r="W885" s="34" t="str">
        <f>IFERROR(__xludf.DUMMYFUNCTION("""COMPUTED_VALUE"""),"")</f>
        <v/>
      </c>
      <c r="X885" s="35" t="str">
        <f>IFERROR(__xludf.DUMMYFUNCTION("""COMPUTED_VALUE"""),"AP")</f>
        <v>AP</v>
      </c>
      <c r="Y885" s="34" t="str">
        <f>IFERROR(__xludf.DUMMYFUNCTION("""COMPUTED_VALUE"""),"")</f>
        <v/>
      </c>
      <c r="Z885" s="35" t="str">
        <f>IFERROR(__xludf.DUMMYFUNCTION("""COMPUTED_VALUE"""),"%")</f>
        <v>%</v>
      </c>
      <c r="AA885" s="36">
        <f>IFERROR(__xludf.DUMMYFUNCTION("""COMPUTED_VALUE"""),3.0)</f>
        <v>3</v>
      </c>
      <c r="AB885" s="37"/>
      <c r="AC885" s="38"/>
      <c r="AD885" s="34" t="str">
        <f>IFERROR(__xludf.DUMMYFUNCTION("""COMPUTED_VALUE"""),"")</f>
        <v/>
      </c>
      <c r="AE885" s="35" t="str">
        <f>IFERROR(__xludf.DUMMYFUNCTION("""COMPUTED_VALUE"""),"AP")</f>
        <v>AP</v>
      </c>
      <c r="AF885" s="34" t="str">
        <f>IFERROR(__xludf.DUMMYFUNCTION("""COMPUTED_VALUE"""),"")</f>
        <v/>
      </c>
      <c r="AG885" s="35" t="str">
        <f>IFERROR(__xludf.DUMMYFUNCTION("""COMPUTED_VALUE"""),"%")</f>
        <v>%</v>
      </c>
      <c r="AH885" s="31"/>
      <c r="AI885" s="32"/>
      <c r="AJ885" s="39"/>
    </row>
    <row r="886" ht="24.75" hidden="1" customHeight="1">
      <c r="A886" s="40">
        <f>IFERROR(__xludf.DUMMYFUNCTION("""COMPUTED_VALUE"""),10.0)</f>
        <v>10</v>
      </c>
      <c r="B886" s="40" t="str">
        <f>IFERROR(__xludf.DUMMYFUNCTION("""COMPUTED_VALUE"""),"A110")</f>
        <v>A110</v>
      </c>
      <c r="C886" s="40"/>
      <c r="D886" s="41"/>
      <c r="E886" s="66"/>
      <c r="F886" s="43"/>
      <c r="G886" s="44"/>
      <c r="H886" s="33" t="str">
        <f>IFERROR(__xludf.DUMMYFUNCTION("""COMPUTED_VALUE""")," ")</f>
        <v> </v>
      </c>
      <c r="I886" s="45"/>
      <c r="J886" s="46" t="str">
        <f>IFERROR(__xludf.DUMMYFUNCTION("""COMPUTED_VALUE"""),"AP")</f>
        <v>AP</v>
      </c>
      <c r="K886" s="47"/>
      <c r="L886" s="48" t="str">
        <f>IFERROR(__xludf.DUMMYFUNCTION("""COMPUTED_VALUE"""),"%")</f>
        <v>%</v>
      </c>
      <c r="M886" s="49">
        <f>IFERROR(__xludf.DUMMYFUNCTION("""COMPUTED_VALUE"""),1.0)</f>
        <v>1</v>
      </c>
      <c r="N886" s="50"/>
      <c r="O886" s="38"/>
      <c r="P886" s="45" t="str">
        <f>IFERROR(__xludf.DUMMYFUNCTION("""COMPUTED_VALUE"""),"")</f>
        <v/>
      </c>
      <c r="Q886" s="46" t="str">
        <f>IFERROR(__xludf.DUMMYFUNCTION("""COMPUTED_VALUE"""),"AP")</f>
        <v>AP</v>
      </c>
      <c r="R886" s="47" t="str">
        <f>IFERROR(__xludf.DUMMYFUNCTION("""COMPUTED_VALUE"""),"")</f>
        <v/>
      </c>
      <c r="S886" s="48" t="str">
        <f>IFERROR(__xludf.DUMMYFUNCTION("""COMPUTED_VALUE"""),"%")</f>
        <v>%</v>
      </c>
      <c r="T886" s="49">
        <f>IFERROR(__xludf.DUMMYFUNCTION("""COMPUTED_VALUE"""),2.0)</f>
        <v>2</v>
      </c>
      <c r="U886" s="50"/>
      <c r="V886" s="38"/>
      <c r="W886" s="45" t="str">
        <f>IFERROR(__xludf.DUMMYFUNCTION("""COMPUTED_VALUE"""),"")</f>
        <v/>
      </c>
      <c r="X886" s="46" t="str">
        <f>IFERROR(__xludf.DUMMYFUNCTION("""COMPUTED_VALUE"""),"AP")</f>
        <v>AP</v>
      </c>
      <c r="Y886" s="47" t="str">
        <f>IFERROR(__xludf.DUMMYFUNCTION("""COMPUTED_VALUE"""),"")</f>
        <v/>
      </c>
      <c r="Z886" s="48" t="str">
        <f>IFERROR(__xludf.DUMMYFUNCTION("""COMPUTED_VALUE"""),"%")</f>
        <v>%</v>
      </c>
      <c r="AA886" s="49">
        <f>IFERROR(__xludf.DUMMYFUNCTION("""COMPUTED_VALUE"""),3.0)</f>
        <v>3</v>
      </c>
      <c r="AB886" s="50"/>
      <c r="AC886" s="38"/>
      <c r="AD886" s="45" t="str">
        <f>IFERROR(__xludf.DUMMYFUNCTION("""COMPUTED_VALUE"""),"")</f>
        <v/>
      </c>
      <c r="AE886" s="46" t="str">
        <f>IFERROR(__xludf.DUMMYFUNCTION("""COMPUTED_VALUE"""),"AP")</f>
        <v>AP</v>
      </c>
      <c r="AF886" s="47" t="str">
        <f>IFERROR(__xludf.DUMMYFUNCTION("""COMPUTED_VALUE"""),"")</f>
        <v/>
      </c>
      <c r="AG886" s="48" t="str">
        <f>IFERROR(__xludf.DUMMYFUNCTION("""COMPUTED_VALUE"""),"%")</f>
        <v>%</v>
      </c>
      <c r="AH886" s="43"/>
      <c r="AI886" s="44"/>
      <c r="AJ886" s="51"/>
    </row>
    <row r="887" ht="24.75" hidden="1" customHeight="1">
      <c r="A887" s="28">
        <f>IFERROR(__xludf.DUMMYFUNCTION("""COMPUTED_VALUE"""),11.0)</f>
        <v>11</v>
      </c>
      <c r="B887" s="28" t="str">
        <f>IFERROR(__xludf.DUMMYFUNCTION("""COMPUTED_VALUE"""),"A110")</f>
        <v>A110</v>
      </c>
      <c r="C887" s="28"/>
      <c r="D887" s="29"/>
      <c r="E887" s="67"/>
      <c r="F887" s="31"/>
      <c r="G887" s="32"/>
      <c r="H887" s="33" t="str">
        <f>IFERROR(__xludf.DUMMYFUNCTION("""COMPUTED_VALUE""")," ")</f>
        <v> </v>
      </c>
      <c r="I887" s="34"/>
      <c r="J887" s="35" t="str">
        <f>IFERROR(__xludf.DUMMYFUNCTION("""COMPUTED_VALUE"""),"AP")</f>
        <v>AP</v>
      </c>
      <c r="K887" s="34"/>
      <c r="L887" s="35" t="str">
        <f>IFERROR(__xludf.DUMMYFUNCTION("""COMPUTED_VALUE"""),"%")</f>
        <v>%</v>
      </c>
      <c r="M887" s="36">
        <f>IFERROR(__xludf.DUMMYFUNCTION("""COMPUTED_VALUE"""),1.0)</f>
        <v>1</v>
      </c>
      <c r="N887" s="37"/>
      <c r="O887" s="38"/>
      <c r="P887" s="34" t="str">
        <f>IFERROR(__xludf.DUMMYFUNCTION("""COMPUTED_VALUE"""),"")</f>
        <v/>
      </c>
      <c r="Q887" s="35" t="str">
        <f>IFERROR(__xludf.DUMMYFUNCTION("""COMPUTED_VALUE"""),"AP")</f>
        <v>AP</v>
      </c>
      <c r="R887" s="34" t="str">
        <f>IFERROR(__xludf.DUMMYFUNCTION("""COMPUTED_VALUE"""),"")</f>
        <v/>
      </c>
      <c r="S887" s="35" t="str">
        <f>IFERROR(__xludf.DUMMYFUNCTION("""COMPUTED_VALUE"""),"%")</f>
        <v>%</v>
      </c>
      <c r="T887" s="36">
        <f>IFERROR(__xludf.DUMMYFUNCTION("""COMPUTED_VALUE"""),2.0)</f>
        <v>2</v>
      </c>
      <c r="U887" s="37"/>
      <c r="V887" s="38"/>
      <c r="W887" s="34" t="str">
        <f>IFERROR(__xludf.DUMMYFUNCTION("""COMPUTED_VALUE"""),"")</f>
        <v/>
      </c>
      <c r="X887" s="35" t="str">
        <f>IFERROR(__xludf.DUMMYFUNCTION("""COMPUTED_VALUE"""),"AP")</f>
        <v>AP</v>
      </c>
      <c r="Y887" s="34" t="str">
        <f>IFERROR(__xludf.DUMMYFUNCTION("""COMPUTED_VALUE"""),"")</f>
        <v/>
      </c>
      <c r="Z887" s="35" t="str">
        <f>IFERROR(__xludf.DUMMYFUNCTION("""COMPUTED_VALUE"""),"%")</f>
        <v>%</v>
      </c>
      <c r="AA887" s="36">
        <f>IFERROR(__xludf.DUMMYFUNCTION("""COMPUTED_VALUE"""),3.0)</f>
        <v>3</v>
      </c>
      <c r="AB887" s="37"/>
      <c r="AC887" s="38"/>
      <c r="AD887" s="34" t="str">
        <f>IFERROR(__xludf.DUMMYFUNCTION("""COMPUTED_VALUE"""),"")</f>
        <v/>
      </c>
      <c r="AE887" s="35" t="str">
        <f>IFERROR(__xludf.DUMMYFUNCTION("""COMPUTED_VALUE"""),"AP")</f>
        <v>AP</v>
      </c>
      <c r="AF887" s="34" t="str">
        <f>IFERROR(__xludf.DUMMYFUNCTION("""COMPUTED_VALUE"""),"")</f>
        <v/>
      </c>
      <c r="AG887" s="35" t="str">
        <f>IFERROR(__xludf.DUMMYFUNCTION("""COMPUTED_VALUE"""),"%")</f>
        <v>%</v>
      </c>
      <c r="AH887" s="31"/>
      <c r="AI887" s="32"/>
      <c r="AJ887" s="39"/>
    </row>
    <row r="888" ht="24.75" hidden="1" customHeight="1">
      <c r="A888" s="40">
        <f>IFERROR(__xludf.DUMMYFUNCTION("""COMPUTED_VALUE"""),12.0)</f>
        <v>12</v>
      </c>
      <c r="B888" s="40" t="str">
        <f>IFERROR(__xludf.DUMMYFUNCTION("""COMPUTED_VALUE"""),"A110")</f>
        <v>A110</v>
      </c>
      <c r="C888" s="40"/>
      <c r="D888" s="41"/>
      <c r="E888" s="66"/>
      <c r="F888" s="43"/>
      <c r="G888" s="44"/>
      <c r="H888" s="33" t="str">
        <f>IFERROR(__xludf.DUMMYFUNCTION("""COMPUTED_VALUE""")," ")</f>
        <v> </v>
      </c>
      <c r="I888" s="45"/>
      <c r="J888" s="46" t="str">
        <f>IFERROR(__xludf.DUMMYFUNCTION("""COMPUTED_VALUE"""),"AP")</f>
        <v>AP</v>
      </c>
      <c r="K888" s="47"/>
      <c r="L888" s="48" t="str">
        <f>IFERROR(__xludf.DUMMYFUNCTION("""COMPUTED_VALUE"""),"%")</f>
        <v>%</v>
      </c>
      <c r="M888" s="49">
        <f>IFERROR(__xludf.DUMMYFUNCTION("""COMPUTED_VALUE"""),1.0)</f>
        <v>1</v>
      </c>
      <c r="N888" s="50"/>
      <c r="O888" s="38"/>
      <c r="P888" s="45" t="str">
        <f>IFERROR(__xludf.DUMMYFUNCTION("""COMPUTED_VALUE"""),"")</f>
        <v/>
      </c>
      <c r="Q888" s="46" t="str">
        <f>IFERROR(__xludf.DUMMYFUNCTION("""COMPUTED_VALUE"""),"AP")</f>
        <v>AP</v>
      </c>
      <c r="R888" s="47" t="str">
        <f>IFERROR(__xludf.DUMMYFUNCTION("""COMPUTED_VALUE"""),"")</f>
        <v/>
      </c>
      <c r="S888" s="48" t="str">
        <f>IFERROR(__xludf.DUMMYFUNCTION("""COMPUTED_VALUE"""),"%")</f>
        <v>%</v>
      </c>
      <c r="T888" s="49">
        <f>IFERROR(__xludf.DUMMYFUNCTION("""COMPUTED_VALUE"""),2.0)</f>
        <v>2</v>
      </c>
      <c r="U888" s="50"/>
      <c r="V888" s="38"/>
      <c r="W888" s="45" t="str">
        <f>IFERROR(__xludf.DUMMYFUNCTION("""COMPUTED_VALUE"""),"")</f>
        <v/>
      </c>
      <c r="X888" s="46" t="str">
        <f>IFERROR(__xludf.DUMMYFUNCTION("""COMPUTED_VALUE"""),"AP")</f>
        <v>AP</v>
      </c>
      <c r="Y888" s="47" t="str">
        <f>IFERROR(__xludf.DUMMYFUNCTION("""COMPUTED_VALUE"""),"")</f>
        <v/>
      </c>
      <c r="Z888" s="48" t="str">
        <f>IFERROR(__xludf.DUMMYFUNCTION("""COMPUTED_VALUE"""),"%")</f>
        <v>%</v>
      </c>
      <c r="AA888" s="49">
        <f>IFERROR(__xludf.DUMMYFUNCTION("""COMPUTED_VALUE"""),3.0)</f>
        <v>3</v>
      </c>
      <c r="AB888" s="50"/>
      <c r="AC888" s="38"/>
      <c r="AD888" s="45" t="str">
        <f>IFERROR(__xludf.DUMMYFUNCTION("""COMPUTED_VALUE"""),"")</f>
        <v/>
      </c>
      <c r="AE888" s="46" t="str">
        <f>IFERROR(__xludf.DUMMYFUNCTION("""COMPUTED_VALUE"""),"AP")</f>
        <v>AP</v>
      </c>
      <c r="AF888" s="47" t="str">
        <f>IFERROR(__xludf.DUMMYFUNCTION("""COMPUTED_VALUE"""),"")</f>
        <v/>
      </c>
      <c r="AG888" s="48" t="str">
        <f>IFERROR(__xludf.DUMMYFUNCTION("""COMPUTED_VALUE"""),"%")</f>
        <v>%</v>
      </c>
      <c r="AH888" s="43"/>
      <c r="AI888" s="44"/>
      <c r="AJ888" s="51"/>
    </row>
    <row r="889" ht="24.75" hidden="1" customHeight="1">
      <c r="A889" s="28">
        <f>IFERROR(__xludf.DUMMYFUNCTION("""COMPUTED_VALUE"""),13.0)</f>
        <v>13</v>
      </c>
      <c r="B889" s="28" t="str">
        <f>IFERROR(__xludf.DUMMYFUNCTION("""COMPUTED_VALUE"""),"A110")</f>
        <v>A110</v>
      </c>
      <c r="C889" s="28"/>
      <c r="D889" s="29"/>
      <c r="E889" s="67"/>
      <c r="F889" s="31"/>
      <c r="G889" s="32"/>
      <c r="H889" s="33" t="str">
        <f>IFERROR(__xludf.DUMMYFUNCTION("""COMPUTED_VALUE""")," ")</f>
        <v> </v>
      </c>
      <c r="I889" s="34"/>
      <c r="J889" s="35" t="str">
        <f>IFERROR(__xludf.DUMMYFUNCTION("""COMPUTED_VALUE"""),"AP")</f>
        <v>AP</v>
      </c>
      <c r="K889" s="34"/>
      <c r="L889" s="35" t="str">
        <f>IFERROR(__xludf.DUMMYFUNCTION("""COMPUTED_VALUE"""),"%")</f>
        <v>%</v>
      </c>
      <c r="M889" s="36">
        <f>IFERROR(__xludf.DUMMYFUNCTION("""COMPUTED_VALUE"""),1.0)</f>
        <v>1</v>
      </c>
      <c r="N889" s="37"/>
      <c r="O889" s="38"/>
      <c r="P889" s="34" t="str">
        <f>IFERROR(__xludf.DUMMYFUNCTION("""COMPUTED_VALUE"""),"")</f>
        <v/>
      </c>
      <c r="Q889" s="35" t="str">
        <f>IFERROR(__xludf.DUMMYFUNCTION("""COMPUTED_VALUE"""),"AP")</f>
        <v>AP</v>
      </c>
      <c r="R889" s="34" t="str">
        <f>IFERROR(__xludf.DUMMYFUNCTION("""COMPUTED_VALUE"""),"")</f>
        <v/>
      </c>
      <c r="S889" s="35" t="str">
        <f>IFERROR(__xludf.DUMMYFUNCTION("""COMPUTED_VALUE"""),"%")</f>
        <v>%</v>
      </c>
      <c r="T889" s="36">
        <f>IFERROR(__xludf.DUMMYFUNCTION("""COMPUTED_VALUE"""),2.0)</f>
        <v>2</v>
      </c>
      <c r="U889" s="37"/>
      <c r="V889" s="38"/>
      <c r="W889" s="34" t="str">
        <f>IFERROR(__xludf.DUMMYFUNCTION("""COMPUTED_VALUE"""),"")</f>
        <v/>
      </c>
      <c r="X889" s="35" t="str">
        <f>IFERROR(__xludf.DUMMYFUNCTION("""COMPUTED_VALUE"""),"AP")</f>
        <v>AP</v>
      </c>
      <c r="Y889" s="34" t="str">
        <f>IFERROR(__xludf.DUMMYFUNCTION("""COMPUTED_VALUE"""),"")</f>
        <v/>
      </c>
      <c r="Z889" s="35" t="str">
        <f>IFERROR(__xludf.DUMMYFUNCTION("""COMPUTED_VALUE"""),"%")</f>
        <v>%</v>
      </c>
      <c r="AA889" s="36">
        <f>IFERROR(__xludf.DUMMYFUNCTION("""COMPUTED_VALUE"""),3.0)</f>
        <v>3</v>
      </c>
      <c r="AB889" s="37"/>
      <c r="AC889" s="38"/>
      <c r="AD889" s="34" t="str">
        <f>IFERROR(__xludf.DUMMYFUNCTION("""COMPUTED_VALUE"""),"")</f>
        <v/>
      </c>
      <c r="AE889" s="35" t="str">
        <f>IFERROR(__xludf.DUMMYFUNCTION("""COMPUTED_VALUE"""),"AP")</f>
        <v>AP</v>
      </c>
      <c r="AF889" s="34" t="str">
        <f>IFERROR(__xludf.DUMMYFUNCTION("""COMPUTED_VALUE"""),"")</f>
        <v/>
      </c>
      <c r="AG889" s="35" t="str">
        <f>IFERROR(__xludf.DUMMYFUNCTION("""COMPUTED_VALUE"""),"%")</f>
        <v>%</v>
      </c>
      <c r="AH889" s="31"/>
      <c r="AI889" s="32"/>
      <c r="AJ889" s="39"/>
    </row>
    <row r="890" ht="24.75" hidden="1" customHeight="1">
      <c r="A890" s="40">
        <f>IFERROR(__xludf.DUMMYFUNCTION("""COMPUTED_VALUE"""),14.0)</f>
        <v>14</v>
      </c>
      <c r="B890" s="40" t="str">
        <f>IFERROR(__xludf.DUMMYFUNCTION("""COMPUTED_VALUE"""),"A110")</f>
        <v>A110</v>
      </c>
      <c r="C890" s="40"/>
      <c r="D890" s="41"/>
      <c r="E890" s="66"/>
      <c r="F890" s="43"/>
      <c r="G890" s="44"/>
      <c r="H890" s="33" t="str">
        <f>IFERROR(__xludf.DUMMYFUNCTION("""COMPUTED_VALUE""")," ")</f>
        <v> </v>
      </c>
      <c r="I890" s="45"/>
      <c r="J890" s="46" t="str">
        <f>IFERROR(__xludf.DUMMYFUNCTION("""COMPUTED_VALUE"""),"AP")</f>
        <v>AP</v>
      </c>
      <c r="K890" s="47"/>
      <c r="L890" s="48" t="str">
        <f>IFERROR(__xludf.DUMMYFUNCTION("""COMPUTED_VALUE"""),"%")</f>
        <v>%</v>
      </c>
      <c r="M890" s="49">
        <f>IFERROR(__xludf.DUMMYFUNCTION("""COMPUTED_VALUE"""),1.0)</f>
        <v>1</v>
      </c>
      <c r="N890" s="50"/>
      <c r="O890" s="38"/>
      <c r="P890" s="45" t="str">
        <f>IFERROR(__xludf.DUMMYFUNCTION("""COMPUTED_VALUE"""),"")</f>
        <v/>
      </c>
      <c r="Q890" s="46" t="str">
        <f>IFERROR(__xludf.DUMMYFUNCTION("""COMPUTED_VALUE"""),"AP")</f>
        <v>AP</v>
      </c>
      <c r="R890" s="47" t="str">
        <f>IFERROR(__xludf.DUMMYFUNCTION("""COMPUTED_VALUE"""),"")</f>
        <v/>
      </c>
      <c r="S890" s="48" t="str">
        <f>IFERROR(__xludf.DUMMYFUNCTION("""COMPUTED_VALUE"""),"%")</f>
        <v>%</v>
      </c>
      <c r="T890" s="49">
        <f>IFERROR(__xludf.DUMMYFUNCTION("""COMPUTED_VALUE"""),2.0)</f>
        <v>2</v>
      </c>
      <c r="U890" s="50"/>
      <c r="V890" s="38"/>
      <c r="W890" s="45" t="str">
        <f>IFERROR(__xludf.DUMMYFUNCTION("""COMPUTED_VALUE"""),"")</f>
        <v/>
      </c>
      <c r="X890" s="46" t="str">
        <f>IFERROR(__xludf.DUMMYFUNCTION("""COMPUTED_VALUE"""),"AP")</f>
        <v>AP</v>
      </c>
      <c r="Y890" s="47" t="str">
        <f>IFERROR(__xludf.DUMMYFUNCTION("""COMPUTED_VALUE"""),"")</f>
        <v/>
      </c>
      <c r="Z890" s="48" t="str">
        <f>IFERROR(__xludf.DUMMYFUNCTION("""COMPUTED_VALUE"""),"%")</f>
        <v>%</v>
      </c>
      <c r="AA890" s="49">
        <f>IFERROR(__xludf.DUMMYFUNCTION("""COMPUTED_VALUE"""),3.0)</f>
        <v>3</v>
      </c>
      <c r="AB890" s="50"/>
      <c r="AC890" s="38"/>
      <c r="AD890" s="45" t="str">
        <f>IFERROR(__xludf.DUMMYFUNCTION("""COMPUTED_VALUE"""),"")</f>
        <v/>
      </c>
      <c r="AE890" s="46" t="str">
        <f>IFERROR(__xludf.DUMMYFUNCTION("""COMPUTED_VALUE"""),"AP")</f>
        <v>AP</v>
      </c>
      <c r="AF890" s="47" t="str">
        <f>IFERROR(__xludf.DUMMYFUNCTION("""COMPUTED_VALUE"""),"")</f>
        <v/>
      </c>
      <c r="AG890" s="48" t="str">
        <f>IFERROR(__xludf.DUMMYFUNCTION("""COMPUTED_VALUE"""),"%")</f>
        <v>%</v>
      </c>
      <c r="AH890" s="43"/>
      <c r="AI890" s="44"/>
      <c r="AJ890" s="51"/>
    </row>
    <row r="891" ht="24.75" hidden="1" customHeight="1">
      <c r="A891" s="28">
        <f>IFERROR(__xludf.DUMMYFUNCTION("""COMPUTED_VALUE"""),15.0)</f>
        <v>15</v>
      </c>
      <c r="B891" s="28" t="str">
        <f>IFERROR(__xludf.DUMMYFUNCTION("""COMPUTED_VALUE"""),"A110")</f>
        <v>A110</v>
      </c>
      <c r="C891" s="28"/>
      <c r="D891" s="29"/>
      <c r="E891" s="67"/>
      <c r="F891" s="31"/>
      <c r="G891" s="32"/>
      <c r="H891" s="33" t="str">
        <f>IFERROR(__xludf.DUMMYFUNCTION("""COMPUTED_VALUE""")," ")</f>
        <v> </v>
      </c>
      <c r="I891" s="34"/>
      <c r="J891" s="35" t="str">
        <f>IFERROR(__xludf.DUMMYFUNCTION("""COMPUTED_VALUE"""),"AP")</f>
        <v>AP</v>
      </c>
      <c r="K891" s="34"/>
      <c r="L891" s="35" t="str">
        <f>IFERROR(__xludf.DUMMYFUNCTION("""COMPUTED_VALUE"""),"%")</f>
        <v>%</v>
      </c>
      <c r="M891" s="36">
        <f>IFERROR(__xludf.DUMMYFUNCTION("""COMPUTED_VALUE"""),1.0)</f>
        <v>1</v>
      </c>
      <c r="N891" s="37"/>
      <c r="O891" s="38"/>
      <c r="P891" s="34" t="str">
        <f>IFERROR(__xludf.DUMMYFUNCTION("""COMPUTED_VALUE"""),"")</f>
        <v/>
      </c>
      <c r="Q891" s="35" t="str">
        <f>IFERROR(__xludf.DUMMYFUNCTION("""COMPUTED_VALUE"""),"AP")</f>
        <v>AP</v>
      </c>
      <c r="R891" s="34" t="str">
        <f>IFERROR(__xludf.DUMMYFUNCTION("""COMPUTED_VALUE"""),"")</f>
        <v/>
      </c>
      <c r="S891" s="35" t="str">
        <f>IFERROR(__xludf.DUMMYFUNCTION("""COMPUTED_VALUE"""),"%")</f>
        <v>%</v>
      </c>
      <c r="T891" s="36">
        <f>IFERROR(__xludf.DUMMYFUNCTION("""COMPUTED_VALUE"""),2.0)</f>
        <v>2</v>
      </c>
      <c r="U891" s="37"/>
      <c r="V891" s="38"/>
      <c r="W891" s="34" t="str">
        <f>IFERROR(__xludf.DUMMYFUNCTION("""COMPUTED_VALUE"""),"")</f>
        <v/>
      </c>
      <c r="X891" s="35" t="str">
        <f>IFERROR(__xludf.DUMMYFUNCTION("""COMPUTED_VALUE"""),"AP")</f>
        <v>AP</v>
      </c>
      <c r="Y891" s="34" t="str">
        <f>IFERROR(__xludf.DUMMYFUNCTION("""COMPUTED_VALUE"""),"")</f>
        <v/>
      </c>
      <c r="Z891" s="35" t="str">
        <f>IFERROR(__xludf.DUMMYFUNCTION("""COMPUTED_VALUE"""),"%")</f>
        <v>%</v>
      </c>
      <c r="AA891" s="36">
        <f>IFERROR(__xludf.DUMMYFUNCTION("""COMPUTED_VALUE"""),3.0)</f>
        <v>3</v>
      </c>
      <c r="AB891" s="37"/>
      <c r="AC891" s="38"/>
      <c r="AD891" s="34" t="str">
        <f>IFERROR(__xludf.DUMMYFUNCTION("""COMPUTED_VALUE"""),"")</f>
        <v/>
      </c>
      <c r="AE891" s="35" t="str">
        <f>IFERROR(__xludf.DUMMYFUNCTION("""COMPUTED_VALUE"""),"AP")</f>
        <v>AP</v>
      </c>
      <c r="AF891" s="34" t="str">
        <f>IFERROR(__xludf.DUMMYFUNCTION("""COMPUTED_VALUE"""),"")</f>
        <v/>
      </c>
      <c r="AG891" s="35" t="str">
        <f>IFERROR(__xludf.DUMMYFUNCTION("""COMPUTED_VALUE"""),"%")</f>
        <v>%</v>
      </c>
      <c r="AH891" s="31"/>
      <c r="AI891" s="32"/>
      <c r="AJ891" s="39"/>
    </row>
    <row r="892" ht="24.75" hidden="1" customHeight="1">
      <c r="A892" s="40">
        <f>IFERROR(__xludf.DUMMYFUNCTION("""COMPUTED_VALUE"""),16.0)</f>
        <v>16</v>
      </c>
      <c r="B892" s="40" t="str">
        <f>IFERROR(__xludf.DUMMYFUNCTION("""COMPUTED_VALUE"""),"A110")</f>
        <v>A110</v>
      </c>
      <c r="C892" s="40"/>
      <c r="D892" s="41"/>
      <c r="E892" s="66"/>
      <c r="F892" s="43"/>
      <c r="G892" s="44"/>
      <c r="H892" s="33" t="str">
        <f>IFERROR(__xludf.DUMMYFUNCTION("""COMPUTED_VALUE""")," ")</f>
        <v> </v>
      </c>
      <c r="I892" s="45"/>
      <c r="J892" s="46" t="str">
        <f>IFERROR(__xludf.DUMMYFUNCTION("""COMPUTED_VALUE"""),"AP")</f>
        <v>AP</v>
      </c>
      <c r="K892" s="47"/>
      <c r="L892" s="48" t="str">
        <f>IFERROR(__xludf.DUMMYFUNCTION("""COMPUTED_VALUE"""),"%")</f>
        <v>%</v>
      </c>
      <c r="M892" s="49">
        <f>IFERROR(__xludf.DUMMYFUNCTION("""COMPUTED_VALUE"""),1.0)</f>
        <v>1</v>
      </c>
      <c r="N892" s="50"/>
      <c r="O892" s="38"/>
      <c r="P892" s="45" t="str">
        <f>IFERROR(__xludf.DUMMYFUNCTION("""COMPUTED_VALUE"""),"")</f>
        <v/>
      </c>
      <c r="Q892" s="46" t="str">
        <f>IFERROR(__xludf.DUMMYFUNCTION("""COMPUTED_VALUE"""),"AP")</f>
        <v>AP</v>
      </c>
      <c r="R892" s="47" t="str">
        <f>IFERROR(__xludf.DUMMYFUNCTION("""COMPUTED_VALUE"""),"")</f>
        <v/>
      </c>
      <c r="S892" s="48" t="str">
        <f>IFERROR(__xludf.DUMMYFUNCTION("""COMPUTED_VALUE"""),"%")</f>
        <v>%</v>
      </c>
      <c r="T892" s="49">
        <f>IFERROR(__xludf.DUMMYFUNCTION("""COMPUTED_VALUE"""),2.0)</f>
        <v>2</v>
      </c>
      <c r="U892" s="50"/>
      <c r="V892" s="38"/>
      <c r="W892" s="45" t="str">
        <f>IFERROR(__xludf.DUMMYFUNCTION("""COMPUTED_VALUE"""),"")</f>
        <v/>
      </c>
      <c r="X892" s="46" t="str">
        <f>IFERROR(__xludf.DUMMYFUNCTION("""COMPUTED_VALUE"""),"AP")</f>
        <v>AP</v>
      </c>
      <c r="Y892" s="47" t="str">
        <f>IFERROR(__xludf.DUMMYFUNCTION("""COMPUTED_VALUE"""),"")</f>
        <v/>
      </c>
      <c r="Z892" s="48" t="str">
        <f>IFERROR(__xludf.DUMMYFUNCTION("""COMPUTED_VALUE"""),"%")</f>
        <v>%</v>
      </c>
      <c r="AA892" s="49">
        <f>IFERROR(__xludf.DUMMYFUNCTION("""COMPUTED_VALUE"""),3.0)</f>
        <v>3</v>
      </c>
      <c r="AB892" s="50"/>
      <c r="AC892" s="38"/>
      <c r="AD892" s="45" t="str">
        <f>IFERROR(__xludf.DUMMYFUNCTION("""COMPUTED_VALUE"""),"")</f>
        <v/>
      </c>
      <c r="AE892" s="46" t="str">
        <f>IFERROR(__xludf.DUMMYFUNCTION("""COMPUTED_VALUE"""),"AP")</f>
        <v>AP</v>
      </c>
      <c r="AF892" s="47" t="str">
        <f>IFERROR(__xludf.DUMMYFUNCTION("""COMPUTED_VALUE"""),"")</f>
        <v/>
      </c>
      <c r="AG892" s="48" t="str">
        <f>IFERROR(__xludf.DUMMYFUNCTION("""COMPUTED_VALUE"""),"%")</f>
        <v>%</v>
      </c>
      <c r="AH892" s="43"/>
      <c r="AI892" s="44"/>
      <c r="AJ892" s="51"/>
    </row>
    <row r="893" ht="24.75" hidden="1" customHeight="1">
      <c r="A893" s="28">
        <f>IFERROR(__xludf.DUMMYFUNCTION("""COMPUTED_VALUE"""),17.0)</f>
        <v>17</v>
      </c>
      <c r="B893" s="28" t="str">
        <f>IFERROR(__xludf.DUMMYFUNCTION("""COMPUTED_VALUE"""),"A110")</f>
        <v>A110</v>
      </c>
      <c r="C893" s="28"/>
      <c r="D893" s="29"/>
      <c r="E893" s="67"/>
      <c r="F893" s="31"/>
      <c r="G893" s="32"/>
      <c r="H893" s="33" t="str">
        <f>IFERROR(__xludf.DUMMYFUNCTION("""COMPUTED_VALUE""")," ")</f>
        <v> </v>
      </c>
      <c r="I893" s="34"/>
      <c r="J893" s="35" t="str">
        <f>IFERROR(__xludf.DUMMYFUNCTION("""COMPUTED_VALUE"""),"AP")</f>
        <v>AP</v>
      </c>
      <c r="K893" s="34"/>
      <c r="L893" s="35" t="str">
        <f>IFERROR(__xludf.DUMMYFUNCTION("""COMPUTED_VALUE"""),"%")</f>
        <v>%</v>
      </c>
      <c r="M893" s="36">
        <f>IFERROR(__xludf.DUMMYFUNCTION("""COMPUTED_VALUE"""),1.0)</f>
        <v>1</v>
      </c>
      <c r="N893" s="37"/>
      <c r="O893" s="38"/>
      <c r="P893" s="34" t="str">
        <f>IFERROR(__xludf.DUMMYFUNCTION("""COMPUTED_VALUE"""),"")</f>
        <v/>
      </c>
      <c r="Q893" s="35" t="str">
        <f>IFERROR(__xludf.DUMMYFUNCTION("""COMPUTED_VALUE"""),"AP")</f>
        <v>AP</v>
      </c>
      <c r="R893" s="34" t="str">
        <f>IFERROR(__xludf.DUMMYFUNCTION("""COMPUTED_VALUE"""),"")</f>
        <v/>
      </c>
      <c r="S893" s="35" t="str">
        <f>IFERROR(__xludf.DUMMYFUNCTION("""COMPUTED_VALUE"""),"%")</f>
        <v>%</v>
      </c>
      <c r="T893" s="36">
        <f>IFERROR(__xludf.DUMMYFUNCTION("""COMPUTED_VALUE"""),2.0)</f>
        <v>2</v>
      </c>
      <c r="U893" s="37"/>
      <c r="V893" s="38"/>
      <c r="W893" s="34" t="str">
        <f>IFERROR(__xludf.DUMMYFUNCTION("""COMPUTED_VALUE"""),"")</f>
        <v/>
      </c>
      <c r="X893" s="35" t="str">
        <f>IFERROR(__xludf.DUMMYFUNCTION("""COMPUTED_VALUE"""),"AP")</f>
        <v>AP</v>
      </c>
      <c r="Y893" s="34" t="str">
        <f>IFERROR(__xludf.DUMMYFUNCTION("""COMPUTED_VALUE"""),"")</f>
        <v/>
      </c>
      <c r="Z893" s="35" t="str">
        <f>IFERROR(__xludf.DUMMYFUNCTION("""COMPUTED_VALUE"""),"%")</f>
        <v>%</v>
      </c>
      <c r="AA893" s="36">
        <f>IFERROR(__xludf.DUMMYFUNCTION("""COMPUTED_VALUE"""),3.0)</f>
        <v>3</v>
      </c>
      <c r="AB893" s="37"/>
      <c r="AC893" s="38"/>
      <c r="AD893" s="34" t="str">
        <f>IFERROR(__xludf.DUMMYFUNCTION("""COMPUTED_VALUE"""),"")</f>
        <v/>
      </c>
      <c r="AE893" s="35" t="str">
        <f>IFERROR(__xludf.DUMMYFUNCTION("""COMPUTED_VALUE"""),"AP")</f>
        <v>AP</v>
      </c>
      <c r="AF893" s="34" t="str">
        <f>IFERROR(__xludf.DUMMYFUNCTION("""COMPUTED_VALUE"""),"")</f>
        <v/>
      </c>
      <c r="AG893" s="35" t="str">
        <f>IFERROR(__xludf.DUMMYFUNCTION("""COMPUTED_VALUE"""),"%")</f>
        <v>%</v>
      </c>
      <c r="AH893" s="31"/>
      <c r="AI893" s="32"/>
      <c r="AJ893" s="39"/>
    </row>
    <row r="894" ht="24.75" hidden="1" customHeight="1">
      <c r="A894" s="40">
        <f>IFERROR(__xludf.DUMMYFUNCTION("""COMPUTED_VALUE"""),18.0)</f>
        <v>18</v>
      </c>
      <c r="B894" s="40" t="str">
        <f>IFERROR(__xludf.DUMMYFUNCTION("""COMPUTED_VALUE"""),"A110")</f>
        <v>A110</v>
      </c>
      <c r="C894" s="40"/>
      <c r="D894" s="41"/>
      <c r="E894" s="66"/>
      <c r="F894" s="43"/>
      <c r="G894" s="44"/>
      <c r="H894" s="33" t="str">
        <f>IFERROR(__xludf.DUMMYFUNCTION("""COMPUTED_VALUE""")," ")</f>
        <v> </v>
      </c>
      <c r="I894" s="45"/>
      <c r="J894" s="46" t="str">
        <f>IFERROR(__xludf.DUMMYFUNCTION("""COMPUTED_VALUE"""),"AP")</f>
        <v>AP</v>
      </c>
      <c r="K894" s="47"/>
      <c r="L894" s="48" t="str">
        <f>IFERROR(__xludf.DUMMYFUNCTION("""COMPUTED_VALUE"""),"%")</f>
        <v>%</v>
      </c>
      <c r="M894" s="49">
        <f>IFERROR(__xludf.DUMMYFUNCTION("""COMPUTED_VALUE"""),1.0)</f>
        <v>1</v>
      </c>
      <c r="N894" s="50"/>
      <c r="O894" s="38"/>
      <c r="P894" s="45" t="str">
        <f>IFERROR(__xludf.DUMMYFUNCTION("""COMPUTED_VALUE"""),"")</f>
        <v/>
      </c>
      <c r="Q894" s="46" t="str">
        <f>IFERROR(__xludf.DUMMYFUNCTION("""COMPUTED_VALUE"""),"AP")</f>
        <v>AP</v>
      </c>
      <c r="R894" s="47" t="str">
        <f>IFERROR(__xludf.DUMMYFUNCTION("""COMPUTED_VALUE"""),"")</f>
        <v/>
      </c>
      <c r="S894" s="48" t="str">
        <f>IFERROR(__xludf.DUMMYFUNCTION("""COMPUTED_VALUE"""),"%")</f>
        <v>%</v>
      </c>
      <c r="T894" s="49">
        <f>IFERROR(__xludf.DUMMYFUNCTION("""COMPUTED_VALUE"""),2.0)</f>
        <v>2</v>
      </c>
      <c r="U894" s="50"/>
      <c r="V894" s="38"/>
      <c r="W894" s="45" t="str">
        <f>IFERROR(__xludf.DUMMYFUNCTION("""COMPUTED_VALUE"""),"")</f>
        <v/>
      </c>
      <c r="X894" s="46" t="str">
        <f>IFERROR(__xludf.DUMMYFUNCTION("""COMPUTED_VALUE"""),"AP")</f>
        <v>AP</v>
      </c>
      <c r="Y894" s="47" t="str">
        <f>IFERROR(__xludf.DUMMYFUNCTION("""COMPUTED_VALUE"""),"")</f>
        <v/>
      </c>
      <c r="Z894" s="48" t="str">
        <f>IFERROR(__xludf.DUMMYFUNCTION("""COMPUTED_VALUE"""),"%")</f>
        <v>%</v>
      </c>
      <c r="AA894" s="49">
        <f>IFERROR(__xludf.DUMMYFUNCTION("""COMPUTED_VALUE"""),3.0)</f>
        <v>3</v>
      </c>
      <c r="AB894" s="50"/>
      <c r="AC894" s="38"/>
      <c r="AD894" s="45" t="str">
        <f>IFERROR(__xludf.DUMMYFUNCTION("""COMPUTED_VALUE"""),"")</f>
        <v/>
      </c>
      <c r="AE894" s="46" t="str">
        <f>IFERROR(__xludf.DUMMYFUNCTION("""COMPUTED_VALUE"""),"AP")</f>
        <v>AP</v>
      </c>
      <c r="AF894" s="47" t="str">
        <f>IFERROR(__xludf.DUMMYFUNCTION("""COMPUTED_VALUE"""),"")</f>
        <v/>
      </c>
      <c r="AG894" s="48" t="str">
        <f>IFERROR(__xludf.DUMMYFUNCTION("""COMPUTED_VALUE"""),"%")</f>
        <v>%</v>
      </c>
      <c r="AH894" s="43"/>
      <c r="AI894" s="44"/>
      <c r="AJ894" s="51"/>
    </row>
    <row r="895" ht="24.75" hidden="1" customHeight="1">
      <c r="A895" s="28">
        <f>IFERROR(__xludf.DUMMYFUNCTION("""COMPUTED_VALUE"""),19.0)</f>
        <v>19</v>
      </c>
      <c r="B895" s="28" t="str">
        <f>IFERROR(__xludf.DUMMYFUNCTION("""COMPUTED_VALUE"""),"A110")</f>
        <v>A110</v>
      </c>
      <c r="C895" s="28"/>
      <c r="D895" s="29"/>
      <c r="E895" s="67"/>
      <c r="F895" s="31"/>
      <c r="G895" s="32"/>
      <c r="H895" s="33" t="str">
        <f>IFERROR(__xludf.DUMMYFUNCTION("""COMPUTED_VALUE""")," ")</f>
        <v> </v>
      </c>
      <c r="I895" s="34"/>
      <c r="J895" s="35" t="str">
        <f>IFERROR(__xludf.DUMMYFUNCTION("""COMPUTED_VALUE"""),"AP")</f>
        <v>AP</v>
      </c>
      <c r="K895" s="34"/>
      <c r="L895" s="35" t="str">
        <f>IFERROR(__xludf.DUMMYFUNCTION("""COMPUTED_VALUE"""),"%")</f>
        <v>%</v>
      </c>
      <c r="M895" s="36">
        <f>IFERROR(__xludf.DUMMYFUNCTION("""COMPUTED_VALUE"""),1.0)</f>
        <v>1</v>
      </c>
      <c r="N895" s="37"/>
      <c r="O895" s="38"/>
      <c r="P895" s="34" t="str">
        <f>IFERROR(__xludf.DUMMYFUNCTION("""COMPUTED_VALUE"""),"")</f>
        <v/>
      </c>
      <c r="Q895" s="35" t="str">
        <f>IFERROR(__xludf.DUMMYFUNCTION("""COMPUTED_VALUE"""),"AP")</f>
        <v>AP</v>
      </c>
      <c r="R895" s="34" t="str">
        <f>IFERROR(__xludf.DUMMYFUNCTION("""COMPUTED_VALUE"""),"")</f>
        <v/>
      </c>
      <c r="S895" s="35" t="str">
        <f>IFERROR(__xludf.DUMMYFUNCTION("""COMPUTED_VALUE"""),"%")</f>
        <v>%</v>
      </c>
      <c r="T895" s="36">
        <f>IFERROR(__xludf.DUMMYFUNCTION("""COMPUTED_VALUE"""),2.0)</f>
        <v>2</v>
      </c>
      <c r="U895" s="37"/>
      <c r="V895" s="38"/>
      <c r="W895" s="34" t="str">
        <f>IFERROR(__xludf.DUMMYFUNCTION("""COMPUTED_VALUE"""),"")</f>
        <v/>
      </c>
      <c r="X895" s="35" t="str">
        <f>IFERROR(__xludf.DUMMYFUNCTION("""COMPUTED_VALUE"""),"AP")</f>
        <v>AP</v>
      </c>
      <c r="Y895" s="34" t="str">
        <f>IFERROR(__xludf.DUMMYFUNCTION("""COMPUTED_VALUE"""),"")</f>
        <v/>
      </c>
      <c r="Z895" s="35" t="str">
        <f>IFERROR(__xludf.DUMMYFUNCTION("""COMPUTED_VALUE"""),"%")</f>
        <v>%</v>
      </c>
      <c r="AA895" s="36">
        <f>IFERROR(__xludf.DUMMYFUNCTION("""COMPUTED_VALUE"""),3.0)</f>
        <v>3</v>
      </c>
      <c r="AB895" s="37"/>
      <c r="AC895" s="38"/>
      <c r="AD895" s="34" t="str">
        <f>IFERROR(__xludf.DUMMYFUNCTION("""COMPUTED_VALUE"""),"")</f>
        <v/>
      </c>
      <c r="AE895" s="35" t="str">
        <f>IFERROR(__xludf.DUMMYFUNCTION("""COMPUTED_VALUE"""),"AP")</f>
        <v>AP</v>
      </c>
      <c r="AF895" s="34" t="str">
        <f>IFERROR(__xludf.DUMMYFUNCTION("""COMPUTED_VALUE"""),"")</f>
        <v/>
      </c>
      <c r="AG895" s="35" t="str">
        <f>IFERROR(__xludf.DUMMYFUNCTION("""COMPUTED_VALUE"""),"%")</f>
        <v>%</v>
      </c>
      <c r="AH895" s="31"/>
      <c r="AI895" s="32"/>
      <c r="AJ895" s="39"/>
    </row>
    <row r="896" ht="24.75" hidden="1" customHeight="1">
      <c r="A896" s="40">
        <f>IFERROR(__xludf.DUMMYFUNCTION("""COMPUTED_VALUE"""),20.0)</f>
        <v>20</v>
      </c>
      <c r="B896" s="40" t="str">
        <f>IFERROR(__xludf.DUMMYFUNCTION("""COMPUTED_VALUE"""),"A110")</f>
        <v>A110</v>
      </c>
      <c r="C896" s="40"/>
      <c r="D896" s="41"/>
      <c r="E896" s="66"/>
      <c r="F896" s="43"/>
      <c r="G896" s="44"/>
      <c r="H896" s="33" t="str">
        <f>IFERROR(__xludf.DUMMYFUNCTION("""COMPUTED_VALUE""")," ")</f>
        <v> </v>
      </c>
      <c r="I896" s="45"/>
      <c r="J896" s="46" t="str">
        <f>IFERROR(__xludf.DUMMYFUNCTION("""COMPUTED_VALUE"""),"AP")</f>
        <v>AP</v>
      </c>
      <c r="K896" s="47"/>
      <c r="L896" s="48" t="str">
        <f>IFERROR(__xludf.DUMMYFUNCTION("""COMPUTED_VALUE"""),"%")</f>
        <v>%</v>
      </c>
      <c r="M896" s="49">
        <f>IFERROR(__xludf.DUMMYFUNCTION("""COMPUTED_VALUE"""),1.0)</f>
        <v>1</v>
      </c>
      <c r="N896" s="50"/>
      <c r="O896" s="38"/>
      <c r="P896" s="45" t="str">
        <f>IFERROR(__xludf.DUMMYFUNCTION("""COMPUTED_VALUE"""),"")</f>
        <v/>
      </c>
      <c r="Q896" s="46" t="str">
        <f>IFERROR(__xludf.DUMMYFUNCTION("""COMPUTED_VALUE"""),"AP")</f>
        <v>AP</v>
      </c>
      <c r="R896" s="47" t="str">
        <f>IFERROR(__xludf.DUMMYFUNCTION("""COMPUTED_VALUE"""),"")</f>
        <v/>
      </c>
      <c r="S896" s="48" t="str">
        <f>IFERROR(__xludf.DUMMYFUNCTION("""COMPUTED_VALUE"""),"%")</f>
        <v>%</v>
      </c>
      <c r="T896" s="49">
        <f>IFERROR(__xludf.DUMMYFUNCTION("""COMPUTED_VALUE"""),2.0)</f>
        <v>2</v>
      </c>
      <c r="U896" s="50"/>
      <c r="V896" s="38"/>
      <c r="W896" s="45" t="str">
        <f>IFERROR(__xludf.DUMMYFUNCTION("""COMPUTED_VALUE"""),"")</f>
        <v/>
      </c>
      <c r="X896" s="46" t="str">
        <f>IFERROR(__xludf.DUMMYFUNCTION("""COMPUTED_VALUE"""),"AP")</f>
        <v>AP</v>
      </c>
      <c r="Y896" s="47" t="str">
        <f>IFERROR(__xludf.DUMMYFUNCTION("""COMPUTED_VALUE"""),"")</f>
        <v/>
      </c>
      <c r="Z896" s="48" t="str">
        <f>IFERROR(__xludf.DUMMYFUNCTION("""COMPUTED_VALUE"""),"%")</f>
        <v>%</v>
      </c>
      <c r="AA896" s="49">
        <f>IFERROR(__xludf.DUMMYFUNCTION("""COMPUTED_VALUE"""),3.0)</f>
        <v>3</v>
      </c>
      <c r="AB896" s="50"/>
      <c r="AC896" s="38"/>
      <c r="AD896" s="45" t="str">
        <f>IFERROR(__xludf.DUMMYFUNCTION("""COMPUTED_VALUE"""),"")</f>
        <v/>
      </c>
      <c r="AE896" s="46" t="str">
        <f>IFERROR(__xludf.DUMMYFUNCTION("""COMPUTED_VALUE"""),"AP")</f>
        <v>AP</v>
      </c>
      <c r="AF896" s="47" t="str">
        <f>IFERROR(__xludf.DUMMYFUNCTION("""COMPUTED_VALUE"""),"")</f>
        <v/>
      </c>
      <c r="AG896" s="48" t="str">
        <f>IFERROR(__xludf.DUMMYFUNCTION("""COMPUTED_VALUE"""),"%")</f>
        <v>%</v>
      </c>
      <c r="AH896" s="43"/>
      <c r="AI896" s="44"/>
      <c r="AJ896" s="51"/>
    </row>
    <row r="897">
      <c r="A897" s="52"/>
      <c r="B897" s="53"/>
      <c r="C897" s="54"/>
      <c r="D897" s="55"/>
      <c r="E897" s="56"/>
      <c r="F897" s="53"/>
      <c r="G897" s="53"/>
      <c r="H897" s="53"/>
      <c r="I897" s="53"/>
      <c r="J897" s="57"/>
      <c r="K897" s="53"/>
      <c r="L897" s="57"/>
      <c r="M897" s="53"/>
      <c r="N897" s="53"/>
      <c r="O897" s="53"/>
      <c r="P897" s="53"/>
      <c r="Q897" s="57"/>
      <c r="R897" s="53"/>
      <c r="S897" s="57"/>
      <c r="T897" s="53"/>
      <c r="U897" s="53"/>
      <c r="V897" s="53"/>
      <c r="W897" s="53"/>
      <c r="X897" s="57"/>
      <c r="Y897" s="53"/>
      <c r="Z897" s="57"/>
      <c r="AA897" s="53"/>
      <c r="AB897" s="53"/>
      <c r="AC897" s="53"/>
      <c r="AD897" s="53"/>
      <c r="AE897" s="57"/>
      <c r="AF897" s="53"/>
      <c r="AG897" s="57"/>
      <c r="AH897" s="53"/>
      <c r="AI897" s="53"/>
      <c r="AJ897" s="58"/>
    </row>
    <row r="898">
      <c r="A898" s="59"/>
      <c r="B898" s="60"/>
      <c r="C898" s="61"/>
      <c r="D898" s="62"/>
      <c r="E898" s="63"/>
      <c r="F898" s="60"/>
      <c r="G898" s="60"/>
      <c r="H898" s="60"/>
      <c r="I898" s="60"/>
      <c r="J898" s="64"/>
      <c r="K898" s="60"/>
      <c r="L898" s="64"/>
      <c r="M898" s="60"/>
      <c r="N898" s="60"/>
      <c r="O898" s="60"/>
      <c r="P898" s="60"/>
      <c r="Q898" s="64"/>
      <c r="R898" s="60"/>
      <c r="S898" s="64"/>
      <c r="T898" s="60"/>
      <c r="U898" s="60"/>
      <c r="V898" s="60"/>
      <c r="W898" s="60"/>
      <c r="X898" s="64"/>
      <c r="Y898" s="60"/>
      <c r="Z898" s="64"/>
      <c r="AA898" s="60"/>
      <c r="AB898" s="60"/>
      <c r="AC898" s="60"/>
      <c r="AD898" s="60"/>
      <c r="AE898" s="64"/>
      <c r="AF898" s="60"/>
      <c r="AG898" s="64"/>
      <c r="AH898" s="60"/>
      <c r="AI898" s="60"/>
      <c r="AJ898" s="65"/>
    </row>
    <row r="899" ht="33.0" customHeight="1">
      <c r="A899" s="20" t="str">
        <f>IFERROR(__xludf.DUMMYFUNCTION("""COMPUTED_VALUE""")," ")</f>
        <v> </v>
      </c>
      <c r="B899" s="21" t="str">
        <f>IFERROR(__xludf.DUMMYFUNCTION("""COMPUTED_VALUE"""),"A111")</f>
        <v>A111</v>
      </c>
      <c r="C899" s="20"/>
      <c r="D899" s="22" t="str">
        <f>IFERROR(__xludf.DUMMYFUNCTION("""COMPUTED_VALUE"""),"")</f>
        <v/>
      </c>
      <c r="E899" s="23" t="str">
        <f>IFERROR(__xludf.DUMMYFUNCTION("""COMPUTED_VALUE"""),"Cursed Beast Gallstone")</f>
        <v>Cursed Beast Gallstone</v>
      </c>
      <c r="F899" s="24"/>
      <c r="G899" s="24"/>
      <c r="H899" s="25"/>
      <c r="I899" s="25"/>
      <c r="J899" s="26"/>
      <c r="K899" s="25"/>
      <c r="L899" s="26"/>
      <c r="M899" s="25"/>
      <c r="N899" s="25"/>
      <c r="O899" s="25"/>
      <c r="P899" s="25"/>
      <c r="Q899" s="26"/>
      <c r="R899" s="25"/>
      <c r="S899" s="26"/>
      <c r="T899" s="25"/>
      <c r="U899" s="25"/>
      <c r="V899" s="25"/>
      <c r="W899" s="25"/>
      <c r="X899" s="26"/>
      <c r="Y899" s="25"/>
      <c r="Z899" s="26"/>
      <c r="AA899" s="25"/>
      <c r="AB899" s="25"/>
      <c r="AC899" s="25"/>
      <c r="AD899" s="25"/>
      <c r="AE899" s="26"/>
      <c r="AF899" s="25"/>
      <c r="AG899" s="26"/>
      <c r="AH899" s="24"/>
      <c r="AI899" s="25"/>
      <c r="AJ899" s="27"/>
    </row>
    <row r="900" ht="24.75" customHeight="1">
      <c r="A900" s="28">
        <f>IFERROR(__xludf.DUMMYFUNCTION("""COMPUTED_VALUE"""),1.0)</f>
        <v>1</v>
      </c>
      <c r="B900" s="28" t="str">
        <f>IFERROR(__xludf.DUMMYFUNCTION("""COMPUTED_VALUE"""),"A111")</f>
        <v>A111</v>
      </c>
      <c r="C900" s="28" t="str">
        <f>IFERROR(__xludf.DUMMYFUNCTION("""COMPUTED_VALUE"""),"SMS8")</f>
        <v>SMS8</v>
      </c>
      <c r="D900" s="29" t="str">
        <f>IFERROR(__xludf.DUMMYFUNCTION("""COMPUTED_VALUE"""),"Shimosa")</f>
        <v>Shimosa</v>
      </c>
      <c r="E900" s="30" t="str">
        <f>IFERROR(__xludf.DUMMYFUNCTION("""COMPUTED_VALUE"""),"Arakawa Field")</f>
        <v>Arakawa Field</v>
      </c>
      <c r="F900" s="31">
        <f>IFERROR(__xludf.DUMMYFUNCTION("""COMPUTED_VALUE"""),21.0)</f>
        <v>21</v>
      </c>
      <c r="G900" s="32">
        <f>IFERROR(__xludf.DUMMYFUNCTION("""COMPUTED_VALUE"""),28975.0)</f>
        <v>28975</v>
      </c>
      <c r="H900" s="33" t="str">
        <f>IFERROR(__xludf.DUMMYFUNCTION("""COMPUTED_VALUE"""),"")</f>
        <v/>
      </c>
      <c r="I900" s="34">
        <f>IFERROR(__xludf.DUMMYFUNCTION("""COMPUTED_VALUE"""),170.5)</f>
        <v>170.5</v>
      </c>
      <c r="J900" s="35" t="str">
        <f>IFERROR(__xludf.DUMMYFUNCTION("""COMPUTED_VALUE"""),"AP")</f>
        <v>AP</v>
      </c>
      <c r="K900" s="34">
        <f>IFERROR(__xludf.DUMMYFUNCTION("""COMPUTED_VALUE"""),12.3)</f>
        <v>12.3</v>
      </c>
      <c r="L900" s="35" t="str">
        <f>IFERROR(__xludf.DUMMYFUNCTION("""COMPUTED_VALUE"""),"%")</f>
        <v>%</v>
      </c>
      <c r="M900" s="36">
        <f>IFERROR(__xludf.DUMMYFUNCTION("""COMPUTED_VALUE"""),1.0)</f>
        <v>1</v>
      </c>
      <c r="N900" s="37" t="str">
        <f>IFERROR(__xludf.DUMMYFUNCTION("""COMPUTED_VALUE"""),"A212")</f>
        <v>A212</v>
      </c>
      <c r="O900" s="38" t="str">
        <f>IFERROR(__xludf.DUMMYFUNCTION("""COMPUTED_VALUE"""),"")</f>
        <v/>
      </c>
      <c r="P900" s="34">
        <f>IFERROR(__xludf.DUMMYFUNCTION("""COMPUTED_VALUE"""),105.4)</f>
        <v>105.4</v>
      </c>
      <c r="Q900" s="35" t="str">
        <f>IFERROR(__xludf.DUMMYFUNCTION("""COMPUTED_VALUE"""),"AP")</f>
        <v>AP</v>
      </c>
      <c r="R900" s="34">
        <f>IFERROR(__xludf.DUMMYFUNCTION("""COMPUTED_VALUE"""),19.9)</f>
        <v>19.9</v>
      </c>
      <c r="S900" s="35" t="str">
        <f>IFERROR(__xludf.DUMMYFUNCTION("""COMPUTED_VALUE"""),"%")</f>
        <v>%</v>
      </c>
      <c r="T900" s="36">
        <f>IFERROR(__xludf.DUMMYFUNCTION("""COMPUTED_VALUE"""),2.0)</f>
        <v>2</v>
      </c>
      <c r="U900" s="37" t="str">
        <f>IFERROR(__xludf.DUMMYFUNCTION("""COMPUTED_VALUE"""),"A304")</f>
        <v>A304</v>
      </c>
      <c r="V900" s="38" t="str">
        <f>IFERROR(__xludf.DUMMYFUNCTION("""COMPUTED_VALUE"""),"")</f>
        <v/>
      </c>
      <c r="W900" s="34">
        <f>IFERROR(__xludf.DUMMYFUNCTION("""COMPUTED_VALUE"""),70.1)</f>
        <v>70.1</v>
      </c>
      <c r="X900" s="35" t="str">
        <f>IFERROR(__xludf.DUMMYFUNCTION("""COMPUTED_VALUE"""),"AP")</f>
        <v>AP</v>
      </c>
      <c r="Y900" s="34">
        <f>IFERROR(__xludf.DUMMYFUNCTION("""COMPUTED_VALUE"""),30.0)</f>
        <v>30</v>
      </c>
      <c r="Z900" s="35" t="str">
        <f>IFERROR(__xludf.DUMMYFUNCTION("""COMPUTED_VALUE"""),"%")</f>
        <v>%</v>
      </c>
      <c r="AA900" s="36">
        <f>IFERROR(__xludf.DUMMYFUNCTION("""COMPUTED_VALUE"""),3.0)</f>
        <v>3</v>
      </c>
      <c r="AB900" s="37" t="str">
        <f>IFERROR(__xludf.DUMMYFUNCTION("""COMPUTED_VALUE"""),"B107")</f>
        <v>B107</v>
      </c>
      <c r="AC900" s="38" t="str">
        <f>IFERROR(__xludf.DUMMYFUNCTION("""COMPUTED_VALUE"""),"")</f>
        <v/>
      </c>
      <c r="AD900" s="34">
        <f>IFERROR(__xludf.DUMMYFUNCTION("""COMPUTED_VALUE"""),674.1)</f>
        <v>674.1</v>
      </c>
      <c r="AE900" s="35" t="str">
        <f>IFERROR(__xludf.DUMMYFUNCTION("""COMPUTED_VALUE"""),"AP")</f>
        <v>AP</v>
      </c>
      <c r="AF900" s="34">
        <f>IFERROR(__xludf.DUMMYFUNCTION("""COMPUTED_VALUE"""),3.1)</f>
        <v>3.1</v>
      </c>
      <c r="AG900" s="35" t="str">
        <f>IFERROR(__xludf.DUMMYFUNCTION("""COMPUTED_VALUE"""),"%")</f>
        <v>%</v>
      </c>
      <c r="AH900" s="31">
        <f>IFERROR(__xludf.DUMMYFUNCTION("""COMPUTED_VALUE"""),21.0)</f>
        <v>21</v>
      </c>
      <c r="AI900" s="32">
        <f>IFERROR(__xludf.DUMMYFUNCTION("""COMPUTED_VALUE"""),28975.0)</f>
        <v>28975</v>
      </c>
      <c r="AJ900" s="39" t="str">
        <f>IFERROR(__xludf.DUMMYFUNCTION("""COMPUTED_VALUE"""),"荒川の原")</f>
        <v>荒川の原</v>
      </c>
    </row>
    <row r="901" ht="24.75" customHeight="1">
      <c r="A901" s="40">
        <f>IFERROR(__xludf.DUMMYFUNCTION("""COMPUTED_VALUE"""),2.0)</f>
        <v>2</v>
      </c>
      <c r="B901" s="40" t="str">
        <f>IFERROR(__xludf.DUMMYFUNCTION("""COMPUTED_VALUE"""),"A111")</f>
        <v>A111</v>
      </c>
      <c r="C901" s="40" t="str">
        <f>IFERROR(__xludf.DUMMYFUNCTION("""COMPUTED_VALUE"""),"BBL13")</f>
        <v>BBL13</v>
      </c>
      <c r="D901" s="41" t="str">
        <f>IFERROR(__xludf.DUMMYFUNCTION("""COMPUTED_VALUE"""),"Babylonia")</f>
        <v>Babylonia</v>
      </c>
      <c r="E901" s="42" t="str">
        <f>IFERROR(__xludf.DUMMYFUNCTION("""COMPUTED_VALUE"""),"Mt. Ebih")</f>
        <v>Mt. Ebih</v>
      </c>
      <c r="F901" s="43">
        <f>IFERROR(__xludf.DUMMYFUNCTION("""COMPUTED_VALUE"""),21.0)</f>
        <v>21</v>
      </c>
      <c r="G901" s="44">
        <f>IFERROR(__xludf.DUMMYFUNCTION("""COMPUTED_VALUE"""),29368.0)</f>
        <v>29368</v>
      </c>
      <c r="H901" s="33" t="str">
        <f>IFERROR(__xludf.DUMMYFUNCTION("""COMPUTED_VALUE"""),"")</f>
        <v/>
      </c>
      <c r="I901" s="45">
        <f>IFERROR(__xludf.DUMMYFUNCTION("""COMPUTED_VALUE"""),180.0)</f>
        <v>180</v>
      </c>
      <c r="J901" s="46" t="str">
        <f>IFERROR(__xludf.DUMMYFUNCTION("""COMPUTED_VALUE"""),"AP")</f>
        <v>AP</v>
      </c>
      <c r="K901" s="47">
        <f>IFERROR(__xludf.DUMMYFUNCTION("""COMPUTED_VALUE"""),11.6999999)</f>
        <v>11.6999999</v>
      </c>
      <c r="L901" s="48" t="str">
        <f>IFERROR(__xludf.DUMMYFUNCTION("""COMPUTED_VALUE"""),"%")</f>
        <v>%</v>
      </c>
      <c r="M901" s="49">
        <f>IFERROR(__xludf.DUMMYFUNCTION("""COMPUTED_VALUE"""),1.0)</f>
        <v>1</v>
      </c>
      <c r="N901" s="50" t="str">
        <f>IFERROR(__xludf.DUMMYFUNCTION("""COMPUTED_VALUE"""),"A201")</f>
        <v>A201</v>
      </c>
      <c r="O901" s="38" t="str">
        <f>IFERROR(__xludf.DUMMYFUNCTION("""COMPUTED_VALUE"""),"")</f>
        <v/>
      </c>
      <c r="P901" s="45">
        <f>IFERROR(__xludf.DUMMYFUNCTION("""COMPUTED_VALUE"""),82.4)</f>
        <v>82.4</v>
      </c>
      <c r="Q901" s="46" t="str">
        <f>IFERROR(__xludf.DUMMYFUNCTION("""COMPUTED_VALUE"""),"AP")</f>
        <v>AP</v>
      </c>
      <c r="R901" s="47">
        <f>IFERROR(__xludf.DUMMYFUNCTION("""COMPUTED_VALUE"""),25.5)</f>
        <v>25.5</v>
      </c>
      <c r="S901" s="48" t="str">
        <f>IFERROR(__xludf.DUMMYFUNCTION("""COMPUTED_VALUE"""),"%")</f>
        <v>%</v>
      </c>
      <c r="T901" s="49">
        <f>IFERROR(__xludf.DUMMYFUNCTION("""COMPUTED_VALUE"""),2.0)</f>
        <v>2</v>
      </c>
      <c r="U901" s="50" t="str">
        <f>IFERROR(__xludf.DUMMYFUNCTION("""COMPUTED_VALUE"""),"B107")</f>
        <v>B107</v>
      </c>
      <c r="V901" s="38" t="str">
        <f>IFERROR(__xludf.DUMMYFUNCTION("""COMPUTED_VALUE"""),"")</f>
        <v/>
      </c>
      <c r="W901" s="45">
        <f>IFERROR(__xludf.DUMMYFUNCTION("""COMPUTED_VALUE"""),658.6)</f>
        <v>658.6</v>
      </c>
      <c r="X901" s="46" t="str">
        <f>IFERROR(__xludf.DUMMYFUNCTION("""COMPUTED_VALUE"""),"AP")</f>
        <v>AP</v>
      </c>
      <c r="Y901" s="47">
        <f>IFERROR(__xludf.DUMMYFUNCTION("""COMPUTED_VALUE"""),3.2)</f>
        <v>3.2</v>
      </c>
      <c r="Z901" s="48" t="str">
        <f>IFERROR(__xludf.DUMMYFUNCTION("""COMPUTED_VALUE"""),"%")</f>
        <v>%</v>
      </c>
      <c r="AA901" s="49">
        <f>IFERROR(__xludf.DUMMYFUNCTION("""COMPUTED_VALUE"""),3.0)</f>
        <v>3</v>
      </c>
      <c r="AB901" s="50" t="str">
        <f>IFERROR(__xludf.DUMMYFUNCTION("""COMPUTED_VALUE"""),"B117")</f>
        <v>B117</v>
      </c>
      <c r="AC901" s="38" t="str">
        <f>IFERROR(__xludf.DUMMYFUNCTION("""COMPUTED_VALUE"""),"")</f>
        <v/>
      </c>
      <c r="AD901" s="45">
        <f>IFERROR(__xludf.DUMMYFUNCTION("""COMPUTED_VALUE"""),84.8)</f>
        <v>84.8</v>
      </c>
      <c r="AE901" s="46" t="str">
        <f>IFERROR(__xludf.DUMMYFUNCTION("""COMPUTED_VALUE"""),"AP")</f>
        <v>AP</v>
      </c>
      <c r="AF901" s="47">
        <f>IFERROR(__xludf.DUMMYFUNCTION("""COMPUTED_VALUE"""),24.8)</f>
        <v>24.8</v>
      </c>
      <c r="AG901" s="48" t="str">
        <f>IFERROR(__xludf.DUMMYFUNCTION("""COMPUTED_VALUE"""),"%")</f>
        <v>%</v>
      </c>
      <c r="AH901" s="43">
        <f>IFERROR(__xludf.DUMMYFUNCTION("""COMPUTED_VALUE"""),21.0)</f>
        <v>21</v>
      </c>
      <c r="AI901" s="44">
        <f>IFERROR(__xludf.DUMMYFUNCTION("""COMPUTED_VALUE"""),29368.0)</f>
        <v>29368</v>
      </c>
      <c r="AJ901" s="51" t="str">
        <f>IFERROR(__xludf.DUMMYFUNCTION("""COMPUTED_VALUE"""),"エビフ山")</f>
        <v>エビフ山</v>
      </c>
    </row>
    <row r="902" ht="24.75" customHeight="1">
      <c r="A902" s="28">
        <f>IFERROR(__xludf.DUMMYFUNCTION("""COMPUTED_VALUE"""),3.0)</f>
        <v>3</v>
      </c>
      <c r="B902" s="28" t="str">
        <f>IFERROR(__xludf.DUMMYFUNCTION("""COMPUTED_VALUE"""),"A111")</f>
        <v>A111</v>
      </c>
      <c r="C902" s="28"/>
      <c r="D902" s="29"/>
      <c r="E902" s="67"/>
      <c r="F902" s="31"/>
      <c r="G902" s="32"/>
      <c r="H902" s="33" t="str">
        <f>IFERROR(__xludf.DUMMYFUNCTION("""COMPUTED_VALUE""")," ")</f>
        <v> </v>
      </c>
      <c r="I902" s="34"/>
      <c r="J902" s="35" t="str">
        <f>IFERROR(__xludf.DUMMYFUNCTION("""COMPUTED_VALUE"""),"AP")</f>
        <v>AP</v>
      </c>
      <c r="K902" s="34"/>
      <c r="L902" s="35" t="str">
        <f>IFERROR(__xludf.DUMMYFUNCTION("""COMPUTED_VALUE"""),"%")</f>
        <v>%</v>
      </c>
      <c r="M902" s="36">
        <f>IFERROR(__xludf.DUMMYFUNCTION("""COMPUTED_VALUE"""),1.0)</f>
        <v>1</v>
      </c>
      <c r="N902" s="37"/>
      <c r="O902" s="38"/>
      <c r="P902" s="34" t="str">
        <f>IFERROR(__xludf.DUMMYFUNCTION("""COMPUTED_VALUE"""),"")</f>
        <v/>
      </c>
      <c r="Q902" s="35" t="str">
        <f>IFERROR(__xludf.DUMMYFUNCTION("""COMPUTED_VALUE"""),"AP")</f>
        <v>AP</v>
      </c>
      <c r="R902" s="34" t="str">
        <f>IFERROR(__xludf.DUMMYFUNCTION("""COMPUTED_VALUE"""),"")</f>
        <v/>
      </c>
      <c r="S902" s="35" t="str">
        <f>IFERROR(__xludf.DUMMYFUNCTION("""COMPUTED_VALUE"""),"%")</f>
        <v>%</v>
      </c>
      <c r="T902" s="36">
        <f>IFERROR(__xludf.DUMMYFUNCTION("""COMPUTED_VALUE"""),2.0)</f>
        <v>2</v>
      </c>
      <c r="U902" s="37"/>
      <c r="V902" s="38"/>
      <c r="W902" s="34" t="str">
        <f>IFERROR(__xludf.DUMMYFUNCTION("""COMPUTED_VALUE"""),"")</f>
        <v/>
      </c>
      <c r="X902" s="35" t="str">
        <f>IFERROR(__xludf.DUMMYFUNCTION("""COMPUTED_VALUE"""),"AP")</f>
        <v>AP</v>
      </c>
      <c r="Y902" s="34" t="str">
        <f>IFERROR(__xludf.DUMMYFUNCTION("""COMPUTED_VALUE"""),"")</f>
        <v/>
      </c>
      <c r="Z902" s="35" t="str">
        <f>IFERROR(__xludf.DUMMYFUNCTION("""COMPUTED_VALUE"""),"%")</f>
        <v>%</v>
      </c>
      <c r="AA902" s="36">
        <f>IFERROR(__xludf.DUMMYFUNCTION("""COMPUTED_VALUE"""),3.0)</f>
        <v>3</v>
      </c>
      <c r="AB902" s="37"/>
      <c r="AC902" s="38"/>
      <c r="AD902" s="34" t="str">
        <f>IFERROR(__xludf.DUMMYFUNCTION("""COMPUTED_VALUE"""),"")</f>
        <v/>
      </c>
      <c r="AE902" s="35" t="str">
        <f>IFERROR(__xludf.DUMMYFUNCTION("""COMPUTED_VALUE"""),"AP")</f>
        <v>AP</v>
      </c>
      <c r="AF902" s="34" t="str">
        <f>IFERROR(__xludf.DUMMYFUNCTION("""COMPUTED_VALUE"""),"")</f>
        <v/>
      </c>
      <c r="AG902" s="35" t="str">
        <f>IFERROR(__xludf.DUMMYFUNCTION("""COMPUTED_VALUE"""),"%")</f>
        <v>%</v>
      </c>
      <c r="AH902" s="31"/>
      <c r="AI902" s="32"/>
      <c r="AJ902" s="39"/>
    </row>
    <row r="903" ht="24.75" hidden="1" customHeight="1">
      <c r="A903" s="40">
        <f>IFERROR(__xludf.DUMMYFUNCTION("""COMPUTED_VALUE"""),4.0)</f>
        <v>4</v>
      </c>
      <c r="B903" s="40" t="str">
        <f>IFERROR(__xludf.DUMMYFUNCTION("""COMPUTED_VALUE"""),"A111")</f>
        <v>A111</v>
      </c>
      <c r="C903" s="40"/>
      <c r="D903" s="41"/>
      <c r="E903" s="66"/>
      <c r="F903" s="43"/>
      <c r="G903" s="44"/>
      <c r="H903" s="33" t="str">
        <f>IFERROR(__xludf.DUMMYFUNCTION("""COMPUTED_VALUE""")," ")</f>
        <v> </v>
      </c>
      <c r="I903" s="45"/>
      <c r="J903" s="46" t="str">
        <f>IFERROR(__xludf.DUMMYFUNCTION("""COMPUTED_VALUE"""),"AP")</f>
        <v>AP</v>
      </c>
      <c r="K903" s="47"/>
      <c r="L903" s="48" t="str">
        <f>IFERROR(__xludf.DUMMYFUNCTION("""COMPUTED_VALUE"""),"%")</f>
        <v>%</v>
      </c>
      <c r="M903" s="49">
        <f>IFERROR(__xludf.DUMMYFUNCTION("""COMPUTED_VALUE"""),1.0)</f>
        <v>1</v>
      </c>
      <c r="N903" s="50"/>
      <c r="O903" s="38"/>
      <c r="P903" s="45" t="str">
        <f>IFERROR(__xludf.DUMMYFUNCTION("""COMPUTED_VALUE"""),"")</f>
        <v/>
      </c>
      <c r="Q903" s="46" t="str">
        <f>IFERROR(__xludf.DUMMYFUNCTION("""COMPUTED_VALUE"""),"AP")</f>
        <v>AP</v>
      </c>
      <c r="R903" s="47" t="str">
        <f>IFERROR(__xludf.DUMMYFUNCTION("""COMPUTED_VALUE"""),"")</f>
        <v/>
      </c>
      <c r="S903" s="48" t="str">
        <f>IFERROR(__xludf.DUMMYFUNCTION("""COMPUTED_VALUE"""),"%")</f>
        <v>%</v>
      </c>
      <c r="T903" s="49">
        <f>IFERROR(__xludf.DUMMYFUNCTION("""COMPUTED_VALUE"""),2.0)</f>
        <v>2</v>
      </c>
      <c r="U903" s="50"/>
      <c r="V903" s="38"/>
      <c r="W903" s="45" t="str">
        <f>IFERROR(__xludf.DUMMYFUNCTION("""COMPUTED_VALUE"""),"")</f>
        <v/>
      </c>
      <c r="X903" s="46" t="str">
        <f>IFERROR(__xludf.DUMMYFUNCTION("""COMPUTED_VALUE"""),"AP")</f>
        <v>AP</v>
      </c>
      <c r="Y903" s="47" t="str">
        <f>IFERROR(__xludf.DUMMYFUNCTION("""COMPUTED_VALUE"""),"")</f>
        <v/>
      </c>
      <c r="Z903" s="48" t="str">
        <f>IFERROR(__xludf.DUMMYFUNCTION("""COMPUTED_VALUE"""),"%")</f>
        <v>%</v>
      </c>
      <c r="AA903" s="49">
        <f>IFERROR(__xludf.DUMMYFUNCTION("""COMPUTED_VALUE"""),3.0)</f>
        <v>3</v>
      </c>
      <c r="AB903" s="50"/>
      <c r="AC903" s="38"/>
      <c r="AD903" s="45" t="str">
        <f>IFERROR(__xludf.DUMMYFUNCTION("""COMPUTED_VALUE"""),"")</f>
        <v/>
      </c>
      <c r="AE903" s="46" t="str">
        <f>IFERROR(__xludf.DUMMYFUNCTION("""COMPUTED_VALUE"""),"AP")</f>
        <v>AP</v>
      </c>
      <c r="AF903" s="47" t="str">
        <f>IFERROR(__xludf.DUMMYFUNCTION("""COMPUTED_VALUE"""),"")</f>
        <v/>
      </c>
      <c r="AG903" s="48" t="str">
        <f>IFERROR(__xludf.DUMMYFUNCTION("""COMPUTED_VALUE"""),"%")</f>
        <v>%</v>
      </c>
      <c r="AH903" s="43"/>
      <c r="AI903" s="44"/>
      <c r="AJ903" s="51"/>
    </row>
    <row r="904" ht="24.75" hidden="1" customHeight="1">
      <c r="A904" s="28">
        <f>IFERROR(__xludf.DUMMYFUNCTION("""COMPUTED_VALUE"""),5.0)</f>
        <v>5</v>
      </c>
      <c r="B904" s="28" t="str">
        <f>IFERROR(__xludf.DUMMYFUNCTION("""COMPUTED_VALUE"""),"A111")</f>
        <v>A111</v>
      </c>
      <c r="C904" s="28"/>
      <c r="D904" s="29"/>
      <c r="E904" s="67"/>
      <c r="F904" s="31"/>
      <c r="G904" s="32"/>
      <c r="H904" s="33" t="str">
        <f>IFERROR(__xludf.DUMMYFUNCTION("""COMPUTED_VALUE""")," ")</f>
        <v> </v>
      </c>
      <c r="I904" s="34"/>
      <c r="J904" s="35" t="str">
        <f>IFERROR(__xludf.DUMMYFUNCTION("""COMPUTED_VALUE"""),"AP")</f>
        <v>AP</v>
      </c>
      <c r="K904" s="34"/>
      <c r="L904" s="35" t="str">
        <f>IFERROR(__xludf.DUMMYFUNCTION("""COMPUTED_VALUE"""),"%")</f>
        <v>%</v>
      </c>
      <c r="M904" s="36">
        <f>IFERROR(__xludf.DUMMYFUNCTION("""COMPUTED_VALUE"""),1.0)</f>
        <v>1</v>
      </c>
      <c r="N904" s="37"/>
      <c r="O904" s="38"/>
      <c r="P904" s="34" t="str">
        <f>IFERROR(__xludf.DUMMYFUNCTION("""COMPUTED_VALUE"""),"")</f>
        <v/>
      </c>
      <c r="Q904" s="35" t="str">
        <f>IFERROR(__xludf.DUMMYFUNCTION("""COMPUTED_VALUE"""),"AP")</f>
        <v>AP</v>
      </c>
      <c r="R904" s="34" t="str">
        <f>IFERROR(__xludf.DUMMYFUNCTION("""COMPUTED_VALUE"""),"")</f>
        <v/>
      </c>
      <c r="S904" s="35" t="str">
        <f>IFERROR(__xludf.DUMMYFUNCTION("""COMPUTED_VALUE"""),"%")</f>
        <v>%</v>
      </c>
      <c r="T904" s="36">
        <f>IFERROR(__xludf.DUMMYFUNCTION("""COMPUTED_VALUE"""),2.0)</f>
        <v>2</v>
      </c>
      <c r="U904" s="37"/>
      <c r="V904" s="38"/>
      <c r="W904" s="34" t="str">
        <f>IFERROR(__xludf.DUMMYFUNCTION("""COMPUTED_VALUE"""),"")</f>
        <v/>
      </c>
      <c r="X904" s="35" t="str">
        <f>IFERROR(__xludf.DUMMYFUNCTION("""COMPUTED_VALUE"""),"AP")</f>
        <v>AP</v>
      </c>
      <c r="Y904" s="34" t="str">
        <f>IFERROR(__xludf.DUMMYFUNCTION("""COMPUTED_VALUE"""),"")</f>
        <v/>
      </c>
      <c r="Z904" s="35" t="str">
        <f>IFERROR(__xludf.DUMMYFUNCTION("""COMPUTED_VALUE"""),"%")</f>
        <v>%</v>
      </c>
      <c r="AA904" s="36">
        <f>IFERROR(__xludf.DUMMYFUNCTION("""COMPUTED_VALUE"""),3.0)</f>
        <v>3</v>
      </c>
      <c r="AB904" s="37"/>
      <c r="AC904" s="38"/>
      <c r="AD904" s="34" t="str">
        <f>IFERROR(__xludf.DUMMYFUNCTION("""COMPUTED_VALUE"""),"")</f>
        <v/>
      </c>
      <c r="AE904" s="35" t="str">
        <f>IFERROR(__xludf.DUMMYFUNCTION("""COMPUTED_VALUE"""),"AP")</f>
        <v>AP</v>
      </c>
      <c r="AF904" s="34" t="str">
        <f>IFERROR(__xludf.DUMMYFUNCTION("""COMPUTED_VALUE"""),"")</f>
        <v/>
      </c>
      <c r="AG904" s="35" t="str">
        <f>IFERROR(__xludf.DUMMYFUNCTION("""COMPUTED_VALUE"""),"%")</f>
        <v>%</v>
      </c>
      <c r="AH904" s="31"/>
      <c r="AI904" s="32"/>
      <c r="AJ904" s="39"/>
    </row>
    <row r="905" ht="24.75" hidden="1" customHeight="1">
      <c r="A905" s="40">
        <f>IFERROR(__xludf.DUMMYFUNCTION("""COMPUTED_VALUE"""),6.0)</f>
        <v>6</v>
      </c>
      <c r="B905" s="40" t="str">
        <f>IFERROR(__xludf.DUMMYFUNCTION("""COMPUTED_VALUE"""),"A111")</f>
        <v>A111</v>
      </c>
      <c r="C905" s="40"/>
      <c r="D905" s="41"/>
      <c r="E905" s="66"/>
      <c r="F905" s="43"/>
      <c r="G905" s="44"/>
      <c r="H905" s="33" t="str">
        <f>IFERROR(__xludf.DUMMYFUNCTION("""COMPUTED_VALUE""")," ")</f>
        <v> </v>
      </c>
      <c r="I905" s="45"/>
      <c r="J905" s="46" t="str">
        <f>IFERROR(__xludf.DUMMYFUNCTION("""COMPUTED_VALUE"""),"AP")</f>
        <v>AP</v>
      </c>
      <c r="K905" s="47"/>
      <c r="L905" s="48" t="str">
        <f>IFERROR(__xludf.DUMMYFUNCTION("""COMPUTED_VALUE"""),"%")</f>
        <v>%</v>
      </c>
      <c r="M905" s="49">
        <f>IFERROR(__xludf.DUMMYFUNCTION("""COMPUTED_VALUE"""),1.0)</f>
        <v>1</v>
      </c>
      <c r="N905" s="50"/>
      <c r="O905" s="38"/>
      <c r="P905" s="45" t="str">
        <f>IFERROR(__xludf.DUMMYFUNCTION("""COMPUTED_VALUE"""),"")</f>
        <v/>
      </c>
      <c r="Q905" s="46" t="str">
        <f>IFERROR(__xludf.DUMMYFUNCTION("""COMPUTED_VALUE"""),"AP")</f>
        <v>AP</v>
      </c>
      <c r="R905" s="47" t="str">
        <f>IFERROR(__xludf.DUMMYFUNCTION("""COMPUTED_VALUE"""),"")</f>
        <v/>
      </c>
      <c r="S905" s="48" t="str">
        <f>IFERROR(__xludf.DUMMYFUNCTION("""COMPUTED_VALUE"""),"%")</f>
        <v>%</v>
      </c>
      <c r="T905" s="49">
        <f>IFERROR(__xludf.DUMMYFUNCTION("""COMPUTED_VALUE"""),2.0)</f>
        <v>2</v>
      </c>
      <c r="U905" s="50"/>
      <c r="V905" s="38"/>
      <c r="W905" s="45" t="str">
        <f>IFERROR(__xludf.DUMMYFUNCTION("""COMPUTED_VALUE"""),"")</f>
        <v/>
      </c>
      <c r="X905" s="46" t="str">
        <f>IFERROR(__xludf.DUMMYFUNCTION("""COMPUTED_VALUE"""),"AP")</f>
        <v>AP</v>
      </c>
      <c r="Y905" s="47" t="str">
        <f>IFERROR(__xludf.DUMMYFUNCTION("""COMPUTED_VALUE"""),"")</f>
        <v/>
      </c>
      <c r="Z905" s="48" t="str">
        <f>IFERROR(__xludf.DUMMYFUNCTION("""COMPUTED_VALUE"""),"%")</f>
        <v>%</v>
      </c>
      <c r="AA905" s="49">
        <f>IFERROR(__xludf.DUMMYFUNCTION("""COMPUTED_VALUE"""),3.0)</f>
        <v>3</v>
      </c>
      <c r="AB905" s="50"/>
      <c r="AC905" s="38"/>
      <c r="AD905" s="45" t="str">
        <f>IFERROR(__xludf.DUMMYFUNCTION("""COMPUTED_VALUE"""),"")</f>
        <v/>
      </c>
      <c r="AE905" s="46" t="str">
        <f>IFERROR(__xludf.DUMMYFUNCTION("""COMPUTED_VALUE"""),"AP")</f>
        <v>AP</v>
      </c>
      <c r="AF905" s="47" t="str">
        <f>IFERROR(__xludf.DUMMYFUNCTION("""COMPUTED_VALUE"""),"")</f>
        <v/>
      </c>
      <c r="AG905" s="48" t="str">
        <f>IFERROR(__xludf.DUMMYFUNCTION("""COMPUTED_VALUE"""),"%")</f>
        <v>%</v>
      </c>
      <c r="AH905" s="43"/>
      <c r="AI905" s="44"/>
      <c r="AJ905" s="51"/>
    </row>
    <row r="906" ht="24.75" hidden="1" customHeight="1">
      <c r="A906" s="28">
        <f>IFERROR(__xludf.DUMMYFUNCTION("""COMPUTED_VALUE"""),7.0)</f>
        <v>7</v>
      </c>
      <c r="B906" s="28" t="str">
        <f>IFERROR(__xludf.DUMMYFUNCTION("""COMPUTED_VALUE"""),"A111")</f>
        <v>A111</v>
      </c>
      <c r="C906" s="28"/>
      <c r="D906" s="29"/>
      <c r="E906" s="67"/>
      <c r="F906" s="31"/>
      <c r="G906" s="32"/>
      <c r="H906" s="33" t="str">
        <f>IFERROR(__xludf.DUMMYFUNCTION("""COMPUTED_VALUE""")," ")</f>
        <v> </v>
      </c>
      <c r="I906" s="34"/>
      <c r="J906" s="35" t="str">
        <f>IFERROR(__xludf.DUMMYFUNCTION("""COMPUTED_VALUE"""),"AP")</f>
        <v>AP</v>
      </c>
      <c r="K906" s="34"/>
      <c r="L906" s="35" t="str">
        <f>IFERROR(__xludf.DUMMYFUNCTION("""COMPUTED_VALUE"""),"%")</f>
        <v>%</v>
      </c>
      <c r="M906" s="36">
        <f>IFERROR(__xludf.DUMMYFUNCTION("""COMPUTED_VALUE"""),1.0)</f>
        <v>1</v>
      </c>
      <c r="N906" s="37"/>
      <c r="O906" s="38"/>
      <c r="P906" s="34" t="str">
        <f>IFERROR(__xludf.DUMMYFUNCTION("""COMPUTED_VALUE"""),"")</f>
        <v/>
      </c>
      <c r="Q906" s="35" t="str">
        <f>IFERROR(__xludf.DUMMYFUNCTION("""COMPUTED_VALUE"""),"AP")</f>
        <v>AP</v>
      </c>
      <c r="R906" s="34" t="str">
        <f>IFERROR(__xludf.DUMMYFUNCTION("""COMPUTED_VALUE"""),"")</f>
        <v/>
      </c>
      <c r="S906" s="35" t="str">
        <f>IFERROR(__xludf.DUMMYFUNCTION("""COMPUTED_VALUE"""),"%")</f>
        <v>%</v>
      </c>
      <c r="T906" s="36">
        <f>IFERROR(__xludf.DUMMYFUNCTION("""COMPUTED_VALUE"""),2.0)</f>
        <v>2</v>
      </c>
      <c r="U906" s="37"/>
      <c r="V906" s="38"/>
      <c r="W906" s="34" t="str">
        <f>IFERROR(__xludf.DUMMYFUNCTION("""COMPUTED_VALUE"""),"")</f>
        <v/>
      </c>
      <c r="X906" s="35" t="str">
        <f>IFERROR(__xludf.DUMMYFUNCTION("""COMPUTED_VALUE"""),"AP")</f>
        <v>AP</v>
      </c>
      <c r="Y906" s="34" t="str">
        <f>IFERROR(__xludf.DUMMYFUNCTION("""COMPUTED_VALUE"""),"")</f>
        <v/>
      </c>
      <c r="Z906" s="35" t="str">
        <f>IFERROR(__xludf.DUMMYFUNCTION("""COMPUTED_VALUE"""),"%")</f>
        <v>%</v>
      </c>
      <c r="AA906" s="36">
        <f>IFERROR(__xludf.DUMMYFUNCTION("""COMPUTED_VALUE"""),3.0)</f>
        <v>3</v>
      </c>
      <c r="AB906" s="37"/>
      <c r="AC906" s="38"/>
      <c r="AD906" s="34" t="str">
        <f>IFERROR(__xludf.DUMMYFUNCTION("""COMPUTED_VALUE"""),"")</f>
        <v/>
      </c>
      <c r="AE906" s="35" t="str">
        <f>IFERROR(__xludf.DUMMYFUNCTION("""COMPUTED_VALUE"""),"AP")</f>
        <v>AP</v>
      </c>
      <c r="AF906" s="34" t="str">
        <f>IFERROR(__xludf.DUMMYFUNCTION("""COMPUTED_VALUE"""),"")</f>
        <v/>
      </c>
      <c r="AG906" s="35" t="str">
        <f>IFERROR(__xludf.DUMMYFUNCTION("""COMPUTED_VALUE"""),"%")</f>
        <v>%</v>
      </c>
      <c r="AH906" s="31"/>
      <c r="AI906" s="32"/>
      <c r="AJ906" s="39"/>
    </row>
    <row r="907" ht="24.75" hidden="1" customHeight="1">
      <c r="A907" s="40">
        <f>IFERROR(__xludf.DUMMYFUNCTION("""COMPUTED_VALUE"""),8.0)</f>
        <v>8</v>
      </c>
      <c r="B907" s="40" t="str">
        <f>IFERROR(__xludf.DUMMYFUNCTION("""COMPUTED_VALUE"""),"A111")</f>
        <v>A111</v>
      </c>
      <c r="C907" s="40"/>
      <c r="D907" s="41"/>
      <c r="E907" s="66"/>
      <c r="F907" s="43"/>
      <c r="G907" s="44"/>
      <c r="H907" s="33" t="str">
        <f>IFERROR(__xludf.DUMMYFUNCTION("""COMPUTED_VALUE""")," ")</f>
        <v> </v>
      </c>
      <c r="I907" s="45"/>
      <c r="J907" s="46" t="str">
        <f>IFERROR(__xludf.DUMMYFUNCTION("""COMPUTED_VALUE"""),"AP")</f>
        <v>AP</v>
      </c>
      <c r="K907" s="47"/>
      <c r="L907" s="48" t="str">
        <f>IFERROR(__xludf.DUMMYFUNCTION("""COMPUTED_VALUE"""),"%")</f>
        <v>%</v>
      </c>
      <c r="M907" s="49">
        <f>IFERROR(__xludf.DUMMYFUNCTION("""COMPUTED_VALUE"""),1.0)</f>
        <v>1</v>
      </c>
      <c r="N907" s="50"/>
      <c r="O907" s="38"/>
      <c r="P907" s="45" t="str">
        <f>IFERROR(__xludf.DUMMYFUNCTION("""COMPUTED_VALUE"""),"")</f>
        <v/>
      </c>
      <c r="Q907" s="46" t="str">
        <f>IFERROR(__xludf.DUMMYFUNCTION("""COMPUTED_VALUE"""),"AP")</f>
        <v>AP</v>
      </c>
      <c r="R907" s="47" t="str">
        <f>IFERROR(__xludf.DUMMYFUNCTION("""COMPUTED_VALUE"""),"")</f>
        <v/>
      </c>
      <c r="S907" s="48" t="str">
        <f>IFERROR(__xludf.DUMMYFUNCTION("""COMPUTED_VALUE"""),"%")</f>
        <v>%</v>
      </c>
      <c r="T907" s="49">
        <f>IFERROR(__xludf.DUMMYFUNCTION("""COMPUTED_VALUE"""),2.0)</f>
        <v>2</v>
      </c>
      <c r="U907" s="50"/>
      <c r="V907" s="38"/>
      <c r="W907" s="45" t="str">
        <f>IFERROR(__xludf.DUMMYFUNCTION("""COMPUTED_VALUE"""),"")</f>
        <v/>
      </c>
      <c r="X907" s="46" t="str">
        <f>IFERROR(__xludf.DUMMYFUNCTION("""COMPUTED_VALUE"""),"AP")</f>
        <v>AP</v>
      </c>
      <c r="Y907" s="47" t="str">
        <f>IFERROR(__xludf.DUMMYFUNCTION("""COMPUTED_VALUE"""),"")</f>
        <v/>
      </c>
      <c r="Z907" s="48" t="str">
        <f>IFERROR(__xludf.DUMMYFUNCTION("""COMPUTED_VALUE"""),"%")</f>
        <v>%</v>
      </c>
      <c r="AA907" s="49">
        <f>IFERROR(__xludf.DUMMYFUNCTION("""COMPUTED_VALUE"""),3.0)</f>
        <v>3</v>
      </c>
      <c r="AB907" s="50"/>
      <c r="AC907" s="38"/>
      <c r="AD907" s="45" t="str">
        <f>IFERROR(__xludf.DUMMYFUNCTION("""COMPUTED_VALUE"""),"")</f>
        <v/>
      </c>
      <c r="AE907" s="46" t="str">
        <f>IFERROR(__xludf.DUMMYFUNCTION("""COMPUTED_VALUE"""),"AP")</f>
        <v>AP</v>
      </c>
      <c r="AF907" s="47" t="str">
        <f>IFERROR(__xludf.DUMMYFUNCTION("""COMPUTED_VALUE"""),"")</f>
        <v/>
      </c>
      <c r="AG907" s="48" t="str">
        <f>IFERROR(__xludf.DUMMYFUNCTION("""COMPUTED_VALUE"""),"%")</f>
        <v>%</v>
      </c>
      <c r="AH907" s="43"/>
      <c r="AI907" s="44"/>
      <c r="AJ907" s="51"/>
    </row>
    <row r="908" ht="24.75" hidden="1" customHeight="1">
      <c r="A908" s="28">
        <f>IFERROR(__xludf.DUMMYFUNCTION("""COMPUTED_VALUE"""),9.0)</f>
        <v>9</v>
      </c>
      <c r="B908" s="28" t="str">
        <f>IFERROR(__xludf.DUMMYFUNCTION("""COMPUTED_VALUE"""),"A111")</f>
        <v>A111</v>
      </c>
      <c r="C908" s="28"/>
      <c r="D908" s="29"/>
      <c r="E908" s="67"/>
      <c r="F908" s="31"/>
      <c r="G908" s="32"/>
      <c r="H908" s="33" t="str">
        <f>IFERROR(__xludf.DUMMYFUNCTION("""COMPUTED_VALUE""")," ")</f>
        <v> </v>
      </c>
      <c r="I908" s="34"/>
      <c r="J908" s="35" t="str">
        <f>IFERROR(__xludf.DUMMYFUNCTION("""COMPUTED_VALUE"""),"AP")</f>
        <v>AP</v>
      </c>
      <c r="K908" s="34"/>
      <c r="L908" s="35" t="str">
        <f>IFERROR(__xludf.DUMMYFUNCTION("""COMPUTED_VALUE"""),"%")</f>
        <v>%</v>
      </c>
      <c r="M908" s="36">
        <f>IFERROR(__xludf.DUMMYFUNCTION("""COMPUTED_VALUE"""),1.0)</f>
        <v>1</v>
      </c>
      <c r="N908" s="37"/>
      <c r="O908" s="38"/>
      <c r="P908" s="34" t="str">
        <f>IFERROR(__xludf.DUMMYFUNCTION("""COMPUTED_VALUE"""),"")</f>
        <v/>
      </c>
      <c r="Q908" s="35" t="str">
        <f>IFERROR(__xludf.DUMMYFUNCTION("""COMPUTED_VALUE"""),"AP")</f>
        <v>AP</v>
      </c>
      <c r="R908" s="34" t="str">
        <f>IFERROR(__xludf.DUMMYFUNCTION("""COMPUTED_VALUE"""),"")</f>
        <v/>
      </c>
      <c r="S908" s="35" t="str">
        <f>IFERROR(__xludf.DUMMYFUNCTION("""COMPUTED_VALUE"""),"%")</f>
        <v>%</v>
      </c>
      <c r="T908" s="36">
        <f>IFERROR(__xludf.DUMMYFUNCTION("""COMPUTED_VALUE"""),2.0)</f>
        <v>2</v>
      </c>
      <c r="U908" s="37"/>
      <c r="V908" s="38"/>
      <c r="W908" s="34" t="str">
        <f>IFERROR(__xludf.DUMMYFUNCTION("""COMPUTED_VALUE"""),"")</f>
        <v/>
      </c>
      <c r="X908" s="35" t="str">
        <f>IFERROR(__xludf.DUMMYFUNCTION("""COMPUTED_VALUE"""),"AP")</f>
        <v>AP</v>
      </c>
      <c r="Y908" s="34" t="str">
        <f>IFERROR(__xludf.DUMMYFUNCTION("""COMPUTED_VALUE"""),"")</f>
        <v/>
      </c>
      <c r="Z908" s="35" t="str">
        <f>IFERROR(__xludf.DUMMYFUNCTION("""COMPUTED_VALUE"""),"%")</f>
        <v>%</v>
      </c>
      <c r="AA908" s="36">
        <f>IFERROR(__xludf.DUMMYFUNCTION("""COMPUTED_VALUE"""),3.0)</f>
        <v>3</v>
      </c>
      <c r="AB908" s="37"/>
      <c r="AC908" s="38"/>
      <c r="AD908" s="34" t="str">
        <f>IFERROR(__xludf.DUMMYFUNCTION("""COMPUTED_VALUE"""),"")</f>
        <v/>
      </c>
      <c r="AE908" s="35" t="str">
        <f>IFERROR(__xludf.DUMMYFUNCTION("""COMPUTED_VALUE"""),"AP")</f>
        <v>AP</v>
      </c>
      <c r="AF908" s="34" t="str">
        <f>IFERROR(__xludf.DUMMYFUNCTION("""COMPUTED_VALUE"""),"")</f>
        <v/>
      </c>
      <c r="AG908" s="35" t="str">
        <f>IFERROR(__xludf.DUMMYFUNCTION("""COMPUTED_VALUE"""),"%")</f>
        <v>%</v>
      </c>
      <c r="AH908" s="31"/>
      <c r="AI908" s="32"/>
      <c r="AJ908" s="39"/>
    </row>
    <row r="909" ht="24.75" hidden="1" customHeight="1">
      <c r="A909" s="40">
        <f>IFERROR(__xludf.DUMMYFUNCTION("""COMPUTED_VALUE"""),10.0)</f>
        <v>10</v>
      </c>
      <c r="B909" s="40" t="str">
        <f>IFERROR(__xludf.DUMMYFUNCTION("""COMPUTED_VALUE"""),"A111")</f>
        <v>A111</v>
      </c>
      <c r="C909" s="40"/>
      <c r="D909" s="41"/>
      <c r="E909" s="66"/>
      <c r="F909" s="43"/>
      <c r="G909" s="44"/>
      <c r="H909" s="33" t="str">
        <f>IFERROR(__xludf.DUMMYFUNCTION("""COMPUTED_VALUE""")," ")</f>
        <v> </v>
      </c>
      <c r="I909" s="45"/>
      <c r="J909" s="46" t="str">
        <f>IFERROR(__xludf.DUMMYFUNCTION("""COMPUTED_VALUE"""),"AP")</f>
        <v>AP</v>
      </c>
      <c r="K909" s="47"/>
      <c r="L909" s="48" t="str">
        <f>IFERROR(__xludf.DUMMYFUNCTION("""COMPUTED_VALUE"""),"%")</f>
        <v>%</v>
      </c>
      <c r="M909" s="49">
        <f>IFERROR(__xludf.DUMMYFUNCTION("""COMPUTED_VALUE"""),1.0)</f>
        <v>1</v>
      </c>
      <c r="N909" s="50"/>
      <c r="O909" s="38"/>
      <c r="P909" s="45" t="str">
        <f>IFERROR(__xludf.DUMMYFUNCTION("""COMPUTED_VALUE"""),"")</f>
        <v/>
      </c>
      <c r="Q909" s="46" t="str">
        <f>IFERROR(__xludf.DUMMYFUNCTION("""COMPUTED_VALUE"""),"AP")</f>
        <v>AP</v>
      </c>
      <c r="R909" s="47" t="str">
        <f>IFERROR(__xludf.DUMMYFUNCTION("""COMPUTED_VALUE"""),"")</f>
        <v/>
      </c>
      <c r="S909" s="48" t="str">
        <f>IFERROR(__xludf.DUMMYFUNCTION("""COMPUTED_VALUE"""),"%")</f>
        <v>%</v>
      </c>
      <c r="T909" s="49">
        <f>IFERROR(__xludf.DUMMYFUNCTION("""COMPUTED_VALUE"""),2.0)</f>
        <v>2</v>
      </c>
      <c r="U909" s="50"/>
      <c r="V909" s="38"/>
      <c r="W909" s="45" t="str">
        <f>IFERROR(__xludf.DUMMYFUNCTION("""COMPUTED_VALUE"""),"")</f>
        <v/>
      </c>
      <c r="X909" s="46" t="str">
        <f>IFERROR(__xludf.DUMMYFUNCTION("""COMPUTED_VALUE"""),"AP")</f>
        <v>AP</v>
      </c>
      <c r="Y909" s="47" t="str">
        <f>IFERROR(__xludf.DUMMYFUNCTION("""COMPUTED_VALUE"""),"")</f>
        <v/>
      </c>
      <c r="Z909" s="48" t="str">
        <f>IFERROR(__xludf.DUMMYFUNCTION("""COMPUTED_VALUE"""),"%")</f>
        <v>%</v>
      </c>
      <c r="AA909" s="49">
        <f>IFERROR(__xludf.DUMMYFUNCTION("""COMPUTED_VALUE"""),3.0)</f>
        <v>3</v>
      </c>
      <c r="AB909" s="50"/>
      <c r="AC909" s="38"/>
      <c r="AD909" s="45" t="str">
        <f>IFERROR(__xludf.DUMMYFUNCTION("""COMPUTED_VALUE"""),"")</f>
        <v/>
      </c>
      <c r="AE909" s="46" t="str">
        <f>IFERROR(__xludf.DUMMYFUNCTION("""COMPUTED_VALUE"""),"AP")</f>
        <v>AP</v>
      </c>
      <c r="AF909" s="47" t="str">
        <f>IFERROR(__xludf.DUMMYFUNCTION("""COMPUTED_VALUE"""),"")</f>
        <v/>
      </c>
      <c r="AG909" s="48" t="str">
        <f>IFERROR(__xludf.DUMMYFUNCTION("""COMPUTED_VALUE"""),"%")</f>
        <v>%</v>
      </c>
      <c r="AH909" s="43"/>
      <c r="AI909" s="44"/>
      <c r="AJ909" s="51"/>
    </row>
    <row r="910" ht="24.75" hidden="1" customHeight="1">
      <c r="A910" s="28">
        <f>IFERROR(__xludf.DUMMYFUNCTION("""COMPUTED_VALUE"""),11.0)</f>
        <v>11</v>
      </c>
      <c r="B910" s="28" t="str">
        <f>IFERROR(__xludf.DUMMYFUNCTION("""COMPUTED_VALUE"""),"A111")</f>
        <v>A111</v>
      </c>
      <c r="C910" s="28"/>
      <c r="D910" s="29"/>
      <c r="E910" s="67"/>
      <c r="F910" s="31"/>
      <c r="G910" s="32"/>
      <c r="H910" s="33" t="str">
        <f>IFERROR(__xludf.DUMMYFUNCTION("""COMPUTED_VALUE""")," ")</f>
        <v> </v>
      </c>
      <c r="I910" s="34"/>
      <c r="J910" s="35" t="str">
        <f>IFERROR(__xludf.DUMMYFUNCTION("""COMPUTED_VALUE"""),"AP")</f>
        <v>AP</v>
      </c>
      <c r="K910" s="34"/>
      <c r="L910" s="35" t="str">
        <f>IFERROR(__xludf.DUMMYFUNCTION("""COMPUTED_VALUE"""),"%")</f>
        <v>%</v>
      </c>
      <c r="M910" s="36">
        <f>IFERROR(__xludf.DUMMYFUNCTION("""COMPUTED_VALUE"""),1.0)</f>
        <v>1</v>
      </c>
      <c r="N910" s="37"/>
      <c r="O910" s="38"/>
      <c r="P910" s="34" t="str">
        <f>IFERROR(__xludf.DUMMYFUNCTION("""COMPUTED_VALUE"""),"")</f>
        <v/>
      </c>
      <c r="Q910" s="35" t="str">
        <f>IFERROR(__xludf.DUMMYFUNCTION("""COMPUTED_VALUE"""),"AP")</f>
        <v>AP</v>
      </c>
      <c r="R910" s="34" t="str">
        <f>IFERROR(__xludf.DUMMYFUNCTION("""COMPUTED_VALUE"""),"")</f>
        <v/>
      </c>
      <c r="S910" s="35" t="str">
        <f>IFERROR(__xludf.DUMMYFUNCTION("""COMPUTED_VALUE"""),"%")</f>
        <v>%</v>
      </c>
      <c r="T910" s="36">
        <f>IFERROR(__xludf.DUMMYFUNCTION("""COMPUTED_VALUE"""),2.0)</f>
        <v>2</v>
      </c>
      <c r="U910" s="37"/>
      <c r="V910" s="38"/>
      <c r="W910" s="34" t="str">
        <f>IFERROR(__xludf.DUMMYFUNCTION("""COMPUTED_VALUE"""),"")</f>
        <v/>
      </c>
      <c r="X910" s="35" t="str">
        <f>IFERROR(__xludf.DUMMYFUNCTION("""COMPUTED_VALUE"""),"AP")</f>
        <v>AP</v>
      </c>
      <c r="Y910" s="34" t="str">
        <f>IFERROR(__xludf.DUMMYFUNCTION("""COMPUTED_VALUE"""),"")</f>
        <v/>
      </c>
      <c r="Z910" s="35" t="str">
        <f>IFERROR(__xludf.DUMMYFUNCTION("""COMPUTED_VALUE"""),"%")</f>
        <v>%</v>
      </c>
      <c r="AA910" s="36">
        <f>IFERROR(__xludf.DUMMYFUNCTION("""COMPUTED_VALUE"""),3.0)</f>
        <v>3</v>
      </c>
      <c r="AB910" s="37"/>
      <c r="AC910" s="38"/>
      <c r="AD910" s="34" t="str">
        <f>IFERROR(__xludf.DUMMYFUNCTION("""COMPUTED_VALUE"""),"")</f>
        <v/>
      </c>
      <c r="AE910" s="35" t="str">
        <f>IFERROR(__xludf.DUMMYFUNCTION("""COMPUTED_VALUE"""),"AP")</f>
        <v>AP</v>
      </c>
      <c r="AF910" s="34" t="str">
        <f>IFERROR(__xludf.DUMMYFUNCTION("""COMPUTED_VALUE"""),"")</f>
        <v/>
      </c>
      <c r="AG910" s="35" t="str">
        <f>IFERROR(__xludf.DUMMYFUNCTION("""COMPUTED_VALUE"""),"%")</f>
        <v>%</v>
      </c>
      <c r="AH910" s="31"/>
      <c r="AI910" s="32"/>
      <c r="AJ910" s="39"/>
    </row>
    <row r="911" ht="24.75" hidden="1" customHeight="1">
      <c r="A911" s="40">
        <f>IFERROR(__xludf.DUMMYFUNCTION("""COMPUTED_VALUE"""),12.0)</f>
        <v>12</v>
      </c>
      <c r="B911" s="40" t="str">
        <f>IFERROR(__xludf.DUMMYFUNCTION("""COMPUTED_VALUE"""),"A111")</f>
        <v>A111</v>
      </c>
      <c r="C911" s="40"/>
      <c r="D911" s="41"/>
      <c r="E911" s="66"/>
      <c r="F911" s="43"/>
      <c r="G911" s="44"/>
      <c r="H911" s="33" t="str">
        <f>IFERROR(__xludf.DUMMYFUNCTION("""COMPUTED_VALUE""")," ")</f>
        <v> </v>
      </c>
      <c r="I911" s="45"/>
      <c r="J911" s="46" t="str">
        <f>IFERROR(__xludf.DUMMYFUNCTION("""COMPUTED_VALUE"""),"AP")</f>
        <v>AP</v>
      </c>
      <c r="K911" s="47"/>
      <c r="L911" s="48" t="str">
        <f>IFERROR(__xludf.DUMMYFUNCTION("""COMPUTED_VALUE"""),"%")</f>
        <v>%</v>
      </c>
      <c r="M911" s="49">
        <f>IFERROR(__xludf.DUMMYFUNCTION("""COMPUTED_VALUE"""),1.0)</f>
        <v>1</v>
      </c>
      <c r="N911" s="50"/>
      <c r="O911" s="38"/>
      <c r="P911" s="45" t="str">
        <f>IFERROR(__xludf.DUMMYFUNCTION("""COMPUTED_VALUE"""),"")</f>
        <v/>
      </c>
      <c r="Q911" s="46" t="str">
        <f>IFERROR(__xludf.DUMMYFUNCTION("""COMPUTED_VALUE"""),"AP")</f>
        <v>AP</v>
      </c>
      <c r="R911" s="47" t="str">
        <f>IFERROR(__xludf.DUMMYFUNCTION("""COMPUTED_VALUE"""),"")</f>
        <v/>
      </c>
      <c r="S911" s="48" t="str">
        <f>IFERROR(__xludf.DUMMYFUNCTION("""COMPUTED_VALUE"""),"%")</f>
        <v>%</v>
      </c>
      <c r="T911" s="49">
        <f>IFERROR(__xludf.DUMMYFUNCTION("""COMPUTED_VALUE"""),2.0)</f>
        <v>2</v>
      </c>
      <c r="U911" s="50"/>
      <c r="V911" s="38"/>
      <c r="W911" s="45" t="str">
        <f>IFERROR(__xludf.DUMMYFUNCTION("""COMPUTED_VALUE"""),"")</f>
        <v/>
      </c>
      <c r="X911" s="46" t="str">
        <f>IFERROR(__xludf.DUMMYFUNCTION("""COMPUTED_VALUE"""),"AP")</f>
        <v>AP</v>
      </c>
      <c r="Y911" s="47" t="str">
        <f>IFERROR(__xludf.DUMMYFUNCTION("""COMPUTED_VALUE"""),"")</f>
        <v/>
      </c>
      <c r="Z911" s="48" t="str">
        <f>IFERROR(__xludf.DUMMYFUNCTION("""COMPUTED_VALUE"""),"%")</f>
        <v>%</v>
      </c>
      <c r="AA911" s="49">
        <f>IFERROR(__xludf.DUMMYFUNCTION("""COMPUTED_VALUE"""),3.0)</f>
        <v>3</v>
      </c>
      <c r="AB911" s="50"/>
      <c r="AC911" s="38"/>
      <c r="AD911" s="45" t="str">
        <f>IFERROR(__xludf.DUMMYFUNCTION("""COMPUTED_VALUE"""),"")</f>
        <v/>
      </c>
      <c r="AE911" s="46" t="str">
        <f>IFERROR(__xludf.DUMMYFUNCTION("""COMPUTED_VALUE"""),"AP")</f>
        <v>AP</v>
      </c>
      <c r="AF911" s="47" t="str">
        <f>IFERROR(__xludf.DUMMYFUNCTION("""COMPUTED_VALUE"""),"")</f>
        <v/>
      </c>
      <c r="AG911" s="48" t="str">
        <f>IFERROR(__xludf.DUMMYFUNCTION("""COMPUTED_VALUE"""),"%")</f>
        <v>%</v>
      </c>
      <c r="AH911" s="43"/>
      <c r="AI911" s="44"/>
      <c r="AJ911" s="51"/>
    </row>
    <row r="912" ht="24.75" hidden="1" customHeight="1">
      <c r="A912" s="28">
        <f>IFERROR(__xludf.DUMMYFUNCTION("""COMPUTED_VALUE"""),13.0)</f>
        <v>13</v>
      </c>
      <c r="B912" s="28" t="str">
        <f>IFERROR(__xludf.DUMMYFUNCTION("""COMPUTED_VALUE"""),"A111")</f>
        <v>A111</v>
      </c>
      <c r="C912" s="28"/>
      <c r="D912" s="29"/>
      <c r="E912" s="67"/>
      <c r="F912" s="31"/>
      <c r="G912" s="32"/>
      <c r="H912" s="33" t="str">
        <f>IFERROR(__xludf.DUMMYFUNCTION("""COMPUTED_VALUE""")," ")</f>
        <v> </v>
      </c>
      <c r="I912" s="34"/>
      <c r="J912" s="35" t="str">
        <f>IFERROR(__xludf.DUMMYFUNCTION("""COMPUTED_VALUE"""),"AP")</f>
        <v>AP</v>
      </c>
      <c r="K912" s="34"/>
      <c r="L912" s="35" t="str">
        <f>IFERROR(__xludf.DUMMYFUNCTION("""COMPUTED_VALUE"""),"%")</f>
        <v>%</v>
      </c>
      <c r="M912" s="36">
        <f>IFERROR(__xludf.DUMMYFUNCTION("""COMPUTED_VALUE"""),1.0)</f>
        <v>1</v>
      </c>
      <c r="N912" s="37"/>
      <c r="O912" s="38"/>
      <c r="P912" s="34" t="str">
        <f>IFERROR(__xludf.DUMMYFUNCTION("""COMPUTED_VALUE"""),"")</f>
        <v/>
      </c>
      <c r="Q912" s="35" t="str">
        <f>IFERROR(__xludf.DUMMYFUNCTION("""COMPUTED_VALUE"""),"AP")</f>
        <v>AP</v>
      </c>
      <c r="R912" s="34" t="str">
        <f>IFERROR(__xludf.DUMMYFUNCTION("""COMPUTED_VALUE"""),"")</f>
        <v/>
      </c>
      <c r="S912" s="35" t="str">
        <f>IFERROR(__xludf.DUMMYFUNCTION("""COMPUTED_VALUE"""),"%")</f>
        <v>%</v>
      </c>
      <c r="T912" s="36">
        <f>IFERROR(__xludf.DUMMYFUNCTION("""COMPUTED_VALUE"""),2.0)</f>
        <v>2</v>
      </c>
      <c r="U912" s="37"/>
      <c r="V912" s="38"/>
      <c r="W912" s="34" t="str">
        <f>IFERROR(__xludf.DUMMYFUNCTION("""COMPUTED_VALUE"""),"")</f>
        <v/>
      </c>
      <c r="X912" s="35" t="str">
        <f>IFERROR(__xludf.DUMMYFUNCTION("""COMPUTED_VALUE"""),"AP")</f>
        <v>AP</v>
      </c>
      <c r="Y912" s="34" t="str">
        <f>IFERROR(__xludf.DUMMYFUNCTION("""COMPUTED_VALUE"""),"")</f>
        <v/>
      </c>
      <c r="Z912" s="35" t="str">
        <f>IFERROR(__xludf.DUMMYFUNCTION("""COMPUTED_VALUE"""),"%")</f>
        <v>%</v>
      </c>
      <c r="AA912" s="36">
        <f>IFERROR(__xludf.DUMMYFUNCTION("""COMPUTED_VALUE"""),3.0)</f>
        <v>3</v>
      </c>
      <c r="AB912" s="37"/>
      <c r="AC912" s="38"/>
      <c r="AD912" s="34" t="str">
        <f>IFERROR(__xludf.DUMMYFUNCTION("""COMPUTED_VALUE"""),"")</f>
        <v/>
      </c>
      <c r="AE912" s="35" t="str">
        <f>IFERROR(__xludf.DUMMYFUNCTION("""COMPUTED_VALUE"""),"AP")</f>
        <v>AP</v>
      </c>
      <c r="AF912" s="34" t="str">
        <f>IFERROR(__xludf.DUMMYFUNCTION("""COMPUTED_VALUE"""),"")</f>
        <v/>
      </c>
      <c r="AG912" s="35" t="str">
        <f>IFERROR(__xludf.DUMMYFUNCTION("""COMPUTED_VALUE"""),"%")</f>
        <v>%</v>
      </c>
      <c r="AH912" s="31"/>
      <c r="AI912" s="32"/>
      <c r="AJ912" s="39"/>
    </row>
    <row r="913" ht="24.75" hidden="1" customHeight="1">
      <c r="A913" s="40">
        <f>IFERROR(__xludf.DUMMYFUNCTION("""COMPUTED_VALUE"""),14.0)</f>
        <v>14</v>
      </c>
      <c r="B913" s="40" t="str">
        <f>IFERROR(__xludf.DUMMYFUNCTION("""COMPUTED_VALUE"""),"A111")</f>
        <v>A111</v>
      </c>
      <c r="C913" s="40"/>
      <c r="D913" s="41"/>
      <c r="E913" s="66"/>
      <c r="F913" s="43"/>
      <c r="G913" s="44"/>
      <c r="H913" s="33" t="str">
        <f>IFERROR(__xludf.DUMMYFUNCTION("""COMPUTED_VALUE""")," ")</f>
        <v> </v>
      </c>
      <c r="I913" s="45"/>
      <c r="J913" s="46" t="str">
        <f>IFERROR(__xludf.DUMMYFUNCTION("""COMPUTED_VALUE"""),"AP")</f>
        <v>AP</v>
      </c>
      <c r="K913" s="47"/>
      <c r="L913" s="48" t="str">
        <f>IFERROR(__xludf.DUMMYFUNCTION("""COMPUTED_VALUE"""),"%")</f>
        <v>%</v>
      </c>
      <c r="M913" s="49">
        <f>IFERROR(__xludf.DUMMYFUNCTION("""COMPUTED_VALUE"""),1.0)</f>
        <v>1</v>
      </c>
      <c r="N913" s="50"/>
      <c r="O913" s="38"/>
      <c r="P913" s="45" t="str">
        <f>IFERROR(__xludf.DUMMYFUNCTION("""COMPUTED_VALUE"""),"")</f>
        <v/>
      </c>
      <c r="Q913" s="46" t="str">
        <f>IFERROR(__xludf.DUMMYFUNCTION("""COMPUTED_VALUE"""),"AP")</f>
        <v>AP</v>
      </c>
      <c r="R913" s="47" t="str">
        <f>IFERROR(__xludf.DUMMYFUNCTION("""COMPUTED_VALUE"""),"")</f>
        <v/>
      </c>
      <c r="S913" s="48" t="str">
        <f>IFERROR(__xludf.DUMMYFUNCTION("""COMPUTED_VALUE"""),"%")</f>
        <v>%</v>
      </c>
      <c r="T913" s="49">
        <f>IFERROR(__xludf.DUMMYFUNCTION("""COMPUTED_VALUE"""),2.0)</f>
        <v>2</v>
      </c>
      <c r="U913" s="50"/>
      <c r="V913" s="38"/>
      <c r="W913" s="45" t="str">
        <f>IFERROR(__xludf.DUMMYFUNCTION("""COMPUTED_VALUE"""),"")</f>
        <v/>
      </c>
      <c r="X913" s="46" t="str">
        <f>IFERROR(__xludf.DUMMYFUNCTION("""COMPUTED_VALUE"""),"AP")</f>
        <v>AP</v>
      </c>
      <c r="Y913" s="47" t="str">
        <f>IFERROR(__xludf.DUMMYFUNCTION("""COMPUTED_VALUE"""),"")</f>
        <v/>
      </c>
      <c r="Z913" s="48" t="str">
        <f>IFERROR(__xludf.DUMMYFUNCTION("""COMPUTED_VALUE"""),"%")</f>
        <v>%</v>
      </c>
      <c r="AA913" s="49">
        <f>IFERROR(__xludf.DUMMYFUNCTION("""COMPUTED_VALUE"""),3.0)</f>
        <v>3</v>
      </c>
      <c r="AB913" s="50"/>
      <c r="AC913" s="38"/>
      <c r="AD913" s="45" t="str">
        <f>IFERROR(__xludf.DUMMYFUNCTION("""COMPUTED_VALUE"""),"")</f>
        <v/>
      </c>
      <c r="AE913" s="46" t="str">
        <f>IFERROR(__xludf.DUMMYFUNCTION("""COMPUTED_VALUE"""),"AP")</f>
        <v>AP</v>
      </c>
      <c r="AF913" s="47" t="str">
        <f>IFERROR(__xludf.DUMMYFUNCTION("""COMPUTED_VALUE"""),"")</f>
        <v/>
      </c>
      <c r="AG913" s="48" t="str">
        <f>IFERROR(__xludf.DUMMYFUNCTION("""COMPUTED_VALUE"""),"%")</f>
        <v>%</v>
      </c>
      <c r="AH913" s="43"/>
      <c r="AI913" s="44"/>
      <c r="AJ913" s="51"/>
    </row>
    <row r="914" ht="24.75" hidden="1" customHeight="1">
      <c r="A914" s="28">
        <f>IFERROR(__xludf.DUMMYFUNCTION("""COMPUTED_VALUE"""),15.0)</f>
        <v>15</v>
      </c>
      <c r="B914" s="28" t="str">
        <f>IFERROR(__xludf.DUMMYFUNCTION("""COMPUTED_VALUE"""),"A111")</f>
        <v>A111</v>
      </c>
      <c r="C914" s="28"/>
      <c r="D914" s="29"/>
      <c r="E914" s="67"/>
      <c r="F914" s="31"/>
      <c r="G914" s="32"/>
      <c r="H914" s="33" t="str">
        <f>IFERROR(__xludf.DUMMYFUNCTION("""COMPUTED_VALUE""")," ")</f>
        <v> </v>
      </c>
      <c r="I914" s="34"/>
      <c r="J914" s="35" t="str">
        <f>IFERROR(__xludf.DUMMYFUNCTION("""COMPUTED_VALUE"""),"AP")</f>
        <v>AP</v>
      </c>
      <c r="K914" s="34"/>
      <c r="L914" s="35" t="str">
        <f>IFERROR(__xludf.DUMMYFUNCTION("""COMPUTED_VALUE"""),"%")</f>
        <v>%</v>
      </c>
      <c r="M914" s="36">
        <f>IFERROR(__xludf.DUMMYFUNCTION("""COMPUTED_VALUE"""),1.0)</f>
        <v>1</v>
      </c>
      <c r="N914" s="37"/>
      <c r="O914" s="38"/>
      <c r="P914" s="34" t="str">
        <f>IFERROR(__xludf.DUMMYFUNCTION("""COMPUTED_VALUE"""),"")</f>
        <v/>
      </c>
      <c r="Q914" s="35" t="str">
        <f>IFERROR(__xludf.DUMMYFUNCTION("""COMPUTED_VALUE"""),"AP")</f>
        <v>AP</v>
      </c>
      <c r="R914" s="34" t="str">
        <f>IFERROR(__xludf.DUMMYFUNCTION("""COMPUTED_VALUE"""),"")</f>
        <v/>
      </c>
      <c r="S914" s="35" t="str">
        <f>IFERROR(__xludf.DUMMYFUNCTION("""COMPUTED_VALUE"""),"%")</f>
        <v>%</v>
      </c>
      <c r="T914" s="36">
        <f>IFERROR(__xludf.DUMMYFUNCTION("""COMPUTED_VALUE"""),2.0)</f>
        <v>2</v>
      </c>
      <c r="U914" s="37"/>
      <c r="V914" s="38"/>
      <c r="W914" s="34" t="str">
        <f>IFERROR(__xludf.DUMMYFUNCTION("""COMPUTED_VALUE"""),"")</f>
        <v/>
      </c>
      <c r="X914" s="35" t="str">
        <f>IFERROR(__xludf.DUMMYFUNCTION("""COMPUTED_VALUE"""),"AP")</f>
        <v>AP</v>
      </c>
      <c r="Y914" s="34" t="str">
        <f>IFERROR(__xludf.DUMMYFUNCTION("""COMPUTED_VALUE"""),"")</f>
        <v/>
      </c>
      <c r="Z914" s="35" t="str">
        <f>IFERROR(__xludf.DUMMYFUNCTION("""COMPUTED_VALUE"""),"%")</f>
        <v>%</v>
      </c>
      <c r="AA914" s="36">
        <f>IFERROR(__xludf.DUMMYFUNCTION("""COMPUTED_VALUE"""),3.0)</f>
        <v>3</v>
      </c>
      <c r="AB914" s="37"/>
      <c r="AC914" s="38"/>
      <c r="AD914" s="34" t="str">
        <f>IFERROR(__xludf.DUMMYFUNCTION("""COMPUTED_VALUE"""),"")</f>
        <v/>
      </c>
      <c r="AE914" s="35" t="str">
        <f>IFERROR(__xludf.DUMMYFUNCTION("""COMPUTED_VALUE"""),"AP")</f>
        <v>AP</v>
      </c>
      <c r="AF914" s="34" t="str">
        <f>IFERROR(__xludf.DUMMYFUNCTION("""COMPUTED_VALUE"""),"")</f>
        <v/>
      </c>
      <c r="AG914" s="35" t="str">
        <f>IFERROR(__xludf.DUMMYFUNCTION("""COMPUTED_VALUE"""),"%")</f>
        <v>%</v>
      </c>
      <c r="AH914" s="31"/>
      <c r="AI914" s="32"/>
      <c r="AJ914" s="39"/>
    </row>
    <row r="915" ht="24.75" hidden="1" customHeight="1">
      <c r="A915" s="40">
        <f>IFERROR(__xludf.DUMMYFUNCTION("""COMPUTED_VALUE"""),16.0)</f>
        <v>16</v>
      </c>
      <c r="B915" s="40" t="str">
        <f>IFERROR(__xludf.DUMMYFUNCTION("""COMPUTED_VALUE"""),"A111")</f>
        <v>A111</v>
      </c>
      <c r="C915" s="40"/>
      <c r="D915" s="41"/>
      <c r="E915" s="66"/>
      <c r="F915" s="43"/>
      <c r="G915" s="44"/>
      <c r="H915" s="33" t="str">
        <f>IFERROR(__xludf.DUMMYFUNCTION("""COMPUTED_VALUE""")," ")</f>
        <v> </v>
      </c>
      <c r="I915" s="45"/>
      <c r="J915" s="46" t="str">
        <f>IFERROR(__xludf.DUMMYFUNCTION("""COMPUTED_VALUE"""),"AP")</f>
        <v>AP</v>
      </c>
      <c r="K915" s="47"/>
      <c r="L915" s="48" t="str">
        <f>IFERROR(__xludf.DUMMYFUNCTION("""COMPUTED_VALUE"""),"%")</f>
        <v>%</v>
      </c>
      <c r="M915" s="49">
        <f>IFERROR(__xludf.DUMMYFUNCTION("""COMPUTED_VALUE"""),1.0)</f>
        <v>1</v>
      </c>
      <c r="N915" s="50"/>
      <c r="O915" s="38"/>
      <c r="P915" s="45" t="str">
        <f>IFERROR(__xludf.DUMMYFUNCTION("""COMPUTED_VALUE"""),"")</f>
        <v/>
      </c>
      <c r="Q915" s="46" t="str">
        <f>IFERROR(__xludf.DUMMYFUNCTION("""COMPUTED_VALUE"""),"AP")</f>
        <v>AP</v>
      </c>
      <c r="R915" s="47" t="str">
        <f>IFERROR(__xludf.DUMMYFUNCTION("""COMPUTED_VALUE"""),"")</f>
        <v/>
      </c>
      <c r="S915" s="48" t="str">
        <f>IFERROR(__xludf.DUMMYFUNCTION("""COMPUTED_VALUE"""),"%")</f>
        <v>%</v>
      </c>
      <c r="T915" s="49">
        <f>IFERROR(__xludf.DUMMYFUNCTION("""COMPUTED_VALUE"""),2.0)</f>
        <v>2</v>
      </c>
      <c r="U915" s="50"/>
      <c r="V915" s="38"/>
      <c r="W915" s="45" t="str">
        <f>IFERROR(__xludf.DUMMYFUNCTION("""COMPUTED_VALUE"""),"")</f>
        <v/>
      </c>
      <c r="X915" s="46" t="str">
        <f>IFERROR(__xludf.DUMMYFUNCTION("""COMPUTED_VALUE"""),"AP")</f>
        <v>AP</v>
      </c>
      <c r="Y915" s="47" t="str">
        <f>IFERROR(__xludf.DUMMYFUNCTION("""COMPUTED_VALUE"""),"")</f>
        <v/>
      </c>
      <c r="Z915" s="48" t="str">
        <f>IFERROR(__xludf.DUMMYFUNCTION("""COMPUTED_VALUE"""),"%")</f>
        <v>%</v>
      </c>
      <c r="AA915" s="49">
        <f>IFERROR(__xludf.DUMMYFUNCTION("""COMPUTED_VALUE"""),3.0)</f>
        <v>3</v>
      </c>
      <c r="AB915" s="50"/>
      <c r="AC915" s="38"/>
      <c r="AD915" s="45" t="str">
        <f>IFERROR(__xludf.DUMMYFUNCTION("""COMPUTED_VALUE"""),"")</f>
        <v/>
      </c>
      <c r="AE915" s="46" t="str">
        <f>IFERROR(__xludf.DUMMYFUNCTION("""COMPUTED_VALUE"""),"AP")</f>
        <v>AP</v>
      </c>
      <c r="AF915" s="47" t="str">
        <f>IFERROR(__xludf.DUMMYFUNCTION("""COMPUTED_VALUE"""),"")</f>
        <v/>
      </c>
      <c r="AG915" s="48" t="str">
        <f>IFERROR(__xludf.DUMMYFUNCTION("""COMPUTED_VALUE"""),"%")</f>
        <v>%</v>
      </c>
      <c r="AH915" s="43"/>
      <c r="AI915" s="44"/>
      <c r="AJ915" s="51"/>
    </row>
    <row r="916" ht="24.75" hidden="1" customHeight="1">
      <c r="A916" s="28">
        <f>IFERROR(__xludf.DUMMYFUNCTION("""COMPUTED_VALUE"""),17.0)</f>
        <v>17</v>
      </c>
      <c r="B916" s="28" t="str">
        <f>IFERROR(__xludf.DUMMYFUNCTION("""COMPUTED_VALUE"""),"A111")</f>
        <v>A111</v>
      </c>
      <c r="C916" s="28"/>
      <c r="D916" s="29"/>
      <c r="E916" s="67"/>
      <c r="F916" s="31"/>
      <c r="G916" s="32"/>
      <c r="H916" s="33" t="str">
        <f>IFERROR(__xludf.DUMMYFUNCTION("""COMPUTED_VALUE""")," ")</f>
        <v> </v>
      </c>
      <c r="I916" s="34"/>
      <c r="J916" s="35" t="str">
        <f>IFERROR(__xludf.DUMMYFUNCTION("""COMPUTED_VALUE"""),"AP")</f>
        <v>AP</v>
      </c>
      <c r="K916" s="34"/>
      <c r="L916" s="35" t="str">
        <f>IFERROR(__xludf.DUMMYFUNCTION("""COMPUTED_VALUE"""),"%")</f>
        <v>%</v>
      </c>
      <c r="M916" s="36">
        <f>IFERROR(__xludf.DUMMYFUNCTION("""COMPUTED_VALUE"""),1.0)</f>
        <v>1</v>
      </c>
      <c r="N916" s="37"/>
      <c r="O916" s="38"/>
      <c r="P916" s="34" t="str">
        <f>IFERROR(__xludf.DUMMYFUNCTION("""COMPUTED_VALUE"""),"")</f>
        <v/>
      </c>
      <c r="Q916" s="35" t="str">
        <f>IFERROR(__xludf.DUMMYFUNCTION("""COMPUTED_VALUE"""),"AP")</f>
        <v>AP</v>
      </c>
      <c r="R916" s="34" t="str">
        <f>IFERROR(__xludf.DUMMYFUNCTION("""COMPUTED_VALUE"""),"")</f>
        <v/>
      </c>
      <c r="S916" s="35" t="str">
        <f>IFERROR(__xludf.DUMMYFUNCTION("""COMPUTED_VALUE"""),"%")</f>
        <v>%</v>
      </c>
      <c r="T916" s="36">
        <f>IFERROR(__xludf.DUMMYFUNCTION("""COMPUTED_VALUE"""),2.0)</f>
        <v>2</v>
      </c>
      <c r="U916" s="37"/>
      <c r="V916" s="38"/>
      <c r="W916" s="34" t="str">
        <f>IFERROR(__xludf.DUMMYFUNCTION("""COMPUTED_VALUE"""),"")</f>
        <v/>
      </c>
      <c r="X916" s="35" t="str">
        <f>IFERROR(__xludf.DUMMYFUNCTION("""COMPUTED_VALUE"""),"AP")</f>
        <v>AP</v>
      </c>
      <c r="Y916" s="34" t="str">
        <f>IFERROR(__xludf.DUMMYFUNCTION("""COMPUTED_VALUE"""),"")</f>
        <v/>
      </c>
      <c r="Z916" s="35" t="str">
        <f>IFERROR(__xludf.DUMMYFUNCTION("""COMPUTED_VALUE"""),"%")</f>
        <v>%</v>
      </c>
      <c r="AA916" s="36">
        <f>IFERROR(__xludf.DUMMYFUNCTION("""COMPUTED_VALUE"""),3.0)</f>
        <v>3</v>
      </c>
      <c r="AB916" s="37"/>
      <c r="AC916" s="38"/>
      <c r="AD916" s="34" t="str">
        <f>IFERROR(__xludf.DUMMYFUNCTION("""COMPUTED_VALUE"""),"")</f>
        <v/>
      </c>
      <c r="AE916" s="35" t="str">
        <f>IFERROR(__xludf.DUMMYFUNCTION("""COMPUTED_VALUE"""),"AP")</f>
        <v>AP</v>
      </c>
      <c r="AF916" s="34" t="str">
        <f>IFERROR(__xludf.DUMMYFUNCTION("""COMPUTED_VALUE"""),"")</f>
        <v/>
      </c>
      <c r="AG916" s="35" t="str">
        <f>IFERROR(__xludf.DUMMYFUNCTION("""COMPUTED_VALUE"""),"%")</f>
        <v>%</v>
      </c>
      <c r="AH916" s="31"/>
      <c r="AI916" s="32"/>
      <c r="AJ916" s="39"/>
    </row>
    <row r="917" ht="24.75" hidden="1" customHeight="1">
      <c r="A917" s="40">
        <f>IFERROR(__xludf.DUMMYFUNCTION("""COMPUTED_VALUE"""),18.0)</f>
        <v>18</v>
      </c>
      <c r="B917" s="40" t="str">
        <f>IFERROR(__xludf.DUMMYFUNCTION("""COMPUTED_VALUE"""),"A111")</f>
        <v>A111</v>
      </c>
      <c r="C917" s="40"/>
      <c r="D917" s="41"/>
      <c r="E917" s="66"/>
      <c r="F917" s="43"/>
      <c r="G917" s="44"/>
      <c r="H917" s="33" t="str">
        <f>IFERROR(__xludf.DUMMYFUNCTION("""COMPUTED_VALUE""")," ")</f>
        <v> </v>
      </c>
      <c r="I917" s="45"/>
      <c r="J917" s="46" t="str">
        <f>IFERROR(__xludf.DUMMYFUNCTION("""COMPUTED_VALUE"""),"AP")</f>
        <v>AP</v>
      </c>
      <c r="K917" s="47"/>
      <c r="L917" s="48" t="str">
        <f>IFERROR(__xludf.DUMMYFUNCTION("""COMPUTED_VALUE"""),"%")</f>
        <v>%</v>
      </c>
      <c r="M917" s="49">
        <f>IFERROR(__xludf.DUMMYFUNCTION("""COMPUTED_VALUE"""),1.0)</f>
        <v>1</v>
      </c>
      <c r="N917" s="50"/>
      <c r="O917" s="38"/>
      <c r="P917" s="45" t="str">
        <f>IFERROR(__xludf.DUMMYFUNCTION("""COMPUTED_VALUE"""),"")</f>
        <v/>
      </c>
      <c r="Q917" s="46" t="str">
        <f>IFERROR(__xludf.DUMMYFUNCTION("""COMPUTED_VALUE"""),"AP")</f>
        <v>AP</v>
      </c>
      <c r="R917" s="47" t="str">
        <f>IFERROR(__xludf.DUMMYFUNCTION("""COMPUTED_VALUE"""),"")</f>
        <v/>
      </c>
      <c r="S917" s="48" t="str">
        <f>IFERROR(__xludf.DUMMYFUNCTION("""COMPUTED_VALUE"""),"%")</f>
        <v>%</v>
      </c>
      <c r="T917" s="49">
        <f>IFERROR(__xludf.DUMMYFUNCTION("""COMPUTED_VALUE"""),2.0)</f>
        <v>2</v>
      </c>
      <c r="U917" s="50"/>
      <c r="V917" s="38"/>
      <c r="W917" s="45" t="str">
        <f>IFERROR(__xludf.DUMMYFUNCTION("""COMPUTED_VALUE"""),"")</f>
        <v/>
      </c>
      <c r="X917" s="46" t="str">
        <f>IFERROR(__xludf.DUMMYFUNCTION("""COMPUTED_VALUE"""),"AP")</f>
        <v>AP</v>
      </c>
      <c r="Y917" s="47" t="str">
        <f>IFERROR(__xludf.DUMMYFUNCTION("""COMPUTED_VALUE"""),"")</f>
        <v/>
      </c>
      <c r="Z917" s="48" t="str">
        <f>IFERROR(__xludf.DUMMYFUNCTION("""COMPUTED_VALUE"""),"%")</f>
        <v>%</v>
      </c>
      <c r="AA917" s="49">
        <f>IFERROR(__xludf.DUMMYFUNCTION("""COMPUTED_VALUE"""),3.0)</f>
        <v>3</v>
      </c>
      <c r="AB917" s="50"/>
      <c r="AC917" s="38"/>
      <c r="AD917" s="45" t="str">
        <f>IFERROR(__xludf.DUMMYFUNCTION("""COMPUTED_VALUE"""),"")</f>
        <v/>
      </c>
      <c r="AE917" s="46" t="str">
        <f>IFERROR(__xludf.DUMMYFUNCTION("""COMPUTED_VALUE"""),"AP")</f>
        <v>AP</v>
      </c>
      <c r="AF917" s="47" t="str">
        <f>IFERROR(__xludf.DUMMYFUNCTION("""COMPUTED_VALUE"""),"")</f>
        <v/>
      </c>
      <c r="AG917" s="48" t="str">
        <f>IFERROR(__xludf.DUMMYFUNCTION("""COMPUTED_VALUE"""),"%")</f>
        <v>%</v>
      </c>
      <c r="AH917" s="43"/>
      <c r="AI917" s="44"/>
      <c r="AJ917" s="51"/>
    </row>
    <row r="918" ht="24.75" hidden="1" customHeight="1">
      <c r="A918" s="28">
        <f>IFERROR(__xludf.DUMMYFUNCTION("""COMPUTED_VALUE"""),19.0)</f>
        <v>19</v>
      </c>
      <c r="B918" s="28" t="str">
        <f>IFERROR(__xludf.DUMMYFUNCTION("""COMPUTED_VALUE"""),"A111")</f>
        <v>A111</v>
      </c>
      <c r="C918" s="28"/>
      <c r="D918" s="29"/>
      <c r="E918" s="67"/>
      <c r="F918" s="31"/>
      <c r="G918" s="32"/>
      <c r="H918" s="33" t="str">
        <f>IFERROR(__xludf.DUMMYFUNCTION("""COMPUTED_VALUE""")," ")</f>
        <v> </v>
      </c>
      <c r="I918" s="34"/>
      <c r="J918" s="35" t="str">
        <f>IFERROR(__xludf.DUMMYFUNCTION("""COMPUTED_VALUE"""),"AP")</f>
        <v>AP</v>
      </c>
      <c r="K918" s="34"/>
      <c r="L918" s="35" t="str">
        <f>IFERROR(__xludf.DUMMYFUNCTION("""COMPUTED_VALUE"""),"%")</f>
        <v>%</v>
      </c>
      <c r="M918" s="36">
        <f>IFERROR(__xludf.DUMMYFUNCTION("""COMPUTED_VALUE"""),1.0)</f>
        <v>1</v>
      </c>
      <c r="N918" s="37"/>
      <c r="O918" s="38"/>
      <c r="P918" s="34" t="str">
        <f>IFERROR(__xludf.DUMMYFUNCTION("""COMPUTED_VALUE"""),"")</f>
        <v/>
      </c>
      <c r="Q918" s="35" t="str">
        <f>IFERROR(__xludf.DUMMYFUNCTION("""COMPUTED_VALUE"""),"AP")</f>
        <v>AP</v>
      </c>
      <c r="R918" s="34" t="str">
        <f>IFERROR(__xludf.DUMMYFUNCTION("""COMPUTED_VALUE"""),"")</f>
        <v/>
      </c>
      <c r="S918" s="35" t="str">
        <f>IFERROR(__xludf.DUMMYFUNCTION("""COMPUTED_VALUE"""),"%")</f>
        <v>%</v>
      </c>
      <c r="T918" s="36">
        <f>IFERROR(__xludf.DUMMYFUNCTION("""COMPUTED_VALUE"""),2.0)</f>
        <v>2</v>
      </c>
      <c r="U918" s="37"/>
      <c r="V918" s="38"/>
      <c r="W918" s="34" t="str">
        <f>IFERROR(__xludf.DUMMYFUNCTION("""COMPUTED_VALUE"""),"")</f>
        <v/>
      </c>
      <c r="X918" s="35" t="str">
        <f>IFERROR(__xludf.DUMMYFUNCTION("""COMPUTED_VALUE"""),"AP")</f>
        <v>AP</v>
      </c>
      <c r="Y918" s="34" t="str">
        <f>IFERROR(__xludf.DUMMYFUNCTION("""COMPUTED_VALUE"""),"")</f>
        <v/>
      </c>
      <c r="Z918" s="35" t="str">
        <f>IFERROR(__xludf.DUMMYFUNCTION("""COMPUTED_VALUE"""),"%")</f>
        <v>%</v>
      </c>
      <c r="AA918" s="36">
        <f>IFERROR(__xludf.DUMMYFUNCTION("""COMPUTED_VALUE"""),3.0)</f>
        <v>3</v>
      </c>
      <c r="AB918" s="37"/>
      <c r="AC918" s="38"/>
      <c r="AD918" s="34" t="str">
        <f>IFERROR(__xludf.DUMMYFUNCTION("""COMPUTED_VALUE"""),"")</f>
        <v/>
      </c>
      <c r="AE918" s="35" t="str">
        <f>IFERROR(__xludf.DUMMYFUNCTION("""COMPUTED_VALUE"""),"AP")</f>
        <v>AP</v>
      </c>
      <c r="AF918" s="34" t="str">
        <f>IFERROR(__xludf.DUMMYFUNCTION("""COMPUTED_VALUE"""),"")</f>
        <v/>
      </c>
      <c r="AG918" s="35" t="str">
        <f>IFERROR(__xludf.DUMMYFUNCTION("""COMPUTED_VALUE"""),"%")</f>
        <v>%</v>
      </c>
      <c r="AH918" s="31"/>
      <c r="AI918" s="32"/>
      <c r="AJ918" s="39"/>
    </row>
    <row r="919" ht="24.75" hidden="1" customHeight="1">
      <c r="A919" s="40">
        <f>IFERROR(__xludf.DUMMYFUNCTION("""COMPUTED_VALUE"""),20.0)</f>
        <v>20</v>
      </c>
      <c r="B919" s="40" t="str">
        <f>IFERROR(__xludf.DUMMYFUNCTION("""COMPUTED_VALUE"""),"A111")</f>
        <v>A111</v>
      </c>
      <c r="C919" s="40"/>
      <c r="D919" s="41"/>
      <c r="E919" s="66"/>
      <c r="F919" s="43"/>
      <c r="G919" s="44"/>
      <c r="H919" s="33" t="str">
        <f>IFERROR(__xludf.DUMMYFUNCTION("""COMPUTED_VALUE""")," ")</f>
        <v> </v>
      </c>
      <c r="I919" s="45"/>
      <c r="J919" s="46" t="str">
        <f>IFERROR(__xludf.DUMMYFUNCTION("""COMPUTED_VALUE"""),"AP")</f>
        <v>AP</v>
      </c>
      <c r="K919" s="47"/>
      <c r="L919" s="48" t="str">
        <f>IFERROR(__xludf.DUMMYFUNCTION("""COMPUTED_VALUE"""),"%")</f>
        <v>%</v>
      </c>
      <c r="M919" s="49">
        <f>IFERROR(__xludf.DUMMYFUNCTION("""COMPUTED_VALUE"""),1.0)</f>
        <v>1</v>
      </c>
      <c r="N919" s="50"/>
      <c r="O919" s="38"/>
      <c r="P919" s="45" t="str">
        <f>IFERROR(__xludf.DUMMYFUNCTION("""COMPUTED_VALUE"""),"")</f>
        <v/>
      </c>
      <c r="Q919" s="46" t="str">
        <f>IFERROR(__xludf.DUMMYFUNCTION("""COMPUTED_VALUE"""),"AP")</f>
        <v>AP</v>
      </c>
      <c r="R919" s="47" t="str">
        <f>IFERROR(__xludf.DUMMYFUNCTION("""COMPUTED_VALUE"""),"")</f>
        <v/>
      </c>
      <c r="S919" s="48" t="str">
        <f>IFERROR(__xludf.DUMMYFUNCTION("""COMPUTED_VALUE"""),"%")</f>
        <v>%</v>
      </c>
      <c r="T919" s="49">
        <f>IFERROR(__xludf.DUMMYFUNCTION("""COMPUTED_VALUE"""),2.0)</f>
        <v>2</v>
      </c>
      <c r="U919" s="50"/>
      <c r="V919" s="38"/>
      <c r="W919" s="45" t="str">
        <f>IFERROR(__xludf.DUMMYFUNCTION("""COMPUTED_VALUE"""),"")</f>
        <v/>
      </c>
      <c r="X919" s="46" t="str">
        <f>IFERROR(__xludf.DUMMYFUNCTION("""COMPUTED_VALUE"""),"AP")</f>
        <v>AP</v>
      </c>
      <c r="Y919" s="47" t="str">
        <f>IFERROR(__xludf.DUMMYFUNCTION("""COMPUTED_VALUE"""),"")</f>
        <v/>
      </c>
      <c r="Z919" s="48" t="str">
        <f>IFERROR(__xludf.DUMMYFUNCTION("""COMPUTED_VALUE"""),"%")</f>
        <v>%</v>
      </c>
      <c r="AA919" s="49">
        <f>IFERROR(__xludf.DUMMYFUNCTION("""COMPUTED_VALUE"""),3.0)</f>
        <v>3</v>
      </c>
      <c r="AB919" s="50"/>
      <c r="AC919" s="38"/>
      <c r="AD919" s="45" t="str">
        <f>IFERROR(__xludf.DUMMYFUNCTION("""COMPUTED_VALUE"""),"")</f>
        <v/>
      </c>
      <c r="AE919" s="46" t="str">
        <f>IFERROR(__xludf.DUMMYFUNCTION("""COMPUTED_VALUE"""),"AP")</f>
        <v>AP</v>
      </c>
      <c r="AF919" s="47" t="str">
        <f>IFERROR(__xludf.DUMMYFUNCTION("""COMPUTED_VALUE"""),"")</f>
        <v/>
      </c>
      <c r="AG919" s="48" t="str">
        <f>IFERROR(__xludf.DUMMYFUNCTION("""COMPUTED_VALUE"""),"%")</f>
        <v>%</v>
      </c>
      <c r="AH919" s="43"/>
      <c r="AI919" s="44"/>
      <c r="AJ919" s="51"/>
    </row>
    <row r="920">
      <c r="A920" s="52"/>
      <c r="B920" s="53"/>
      <c r="C920" s="54"/>
      <c r="D920" s="55"/>
      <c r="E920" s="56"/>
      <c r="F920" s="53"/>
      <c r="G920" s="53"/>
      <c r="H920" s="53"/>
      <c r="I920" s="53"/>
      <c r="J920" s="57"/>
      <c r="K920" s="53"/>
      <c r="L920" s="57"/>
      <c r="M920" s="53"/>
      <c r="N920" s="53"/>
      <c r="O920" s="53"/>
      <c r="P920" s="53"/>
      <c r="Q920" s="57"/>
      <c r="R920" s="53"/>
      <c r="S920" s="57"/>
      <c r="T920" s="53"/>
      <c r="U920" s="53"/>
      <c r="V920" s="53"/>
      <c r="W920" s="53"/>
      <c r="X920" s="57"/>
      <c r="Y920" s="53"/>
      <c r="Z920" s="57"/>
      <c r="AA920" s="53"/>
      <c r="AB920" s="53"/>
      <c r="AC920" s="53"/>
      <c r="AD920" s="53"/>
      <c r="AE920" s="57"/>
      <c r="AF920" s="53"/>
      <c r="AG920" s="57"/>
      <c r="AH920" s="53"/>
      <c r="AI920" s="53"/>
      <c r="AJ920" s="58"/>
    </row>
    <row r="921">
      <c r="A921" s="59"/>
      <c r="B921" s="60"/>
      <c r="C921" s="61"/>
      <c r="D921" s="62"/>
      <c r="E921" s="63"/>
      <c r="F921" s="60"/>
      <c r="G921" s="60"/>
      <c r="H921" s="60"/>
      <c r="I921" s="60"/>
      <c r="J921" s="64"/>
      <c r="K921" s="60"/>
      <c r="L921" s="64"/>
      <c r="M921" s="60"/>
      <c r="N921" s="60"/>
      <c r="O921" s="60"/>
      <c r="P921" s="60"/>
      <c r="Q921" s="64"/>
      <c r="R921" s="60"/>
      <c r="S921" s="64"/>
      <c r="T921" s="60"/>
      <c r="U921" s="60"/>
      <c r="V921" s="60"/>
      <c r="W921" s="60"/>
      <c r="X921" s="64"/>
      <c r="Y921" s="60"/>
      <c r="Z921" s="64"/>
      <c r="AA921" s="60"/>
      <c r="AB921" s="60"/>
      <c r="AC921" s="60"/>
      <c r="AD921" s="60"/>
      <c r="AE921" s="64"/>
      <c r="AF921" s="60"/>
      <c r="AG921" s="64"/>
      <c r="AH921" s="60"/>
      <c r="AI921" s="60"/>
      <c r="AJ921" s="65"/>
    </row>
    <row r="922" ht="33.0" customHeight="1">
      <c r="A922" s="20" t="str">
        <f>IFERROR(__xludf.DUMMYFUNCTION("""COMPUTED_VALUE""")," ")</f>
        <v> </v>
      </c>
      <c r="B922" s="21" t="str">
        <f>IFERROR(__xludf.DUMMYFUNCTION("""COMPUTED_VALUE"""),"A112")</f>
        <v>A112</v>
      </c>
      <c r="C922" s="20"/>
      <c r="D922" s="22" t="str">
        <f>IFERROR(__xludf.DUMMYFUNCTION("""COMPUTED_VALUE"""),"")</f>
        <v/>
      </c>
      <c r="E922" s="23" t="str">
        <f>IFERROR(__xludf.DUMMYFUNCTION("""COMPUTED_VALUE"""),"Mysterious Divine Wine")</f>
        <v>Mysterious Divine Wine</v>
      </c>
      <c r="F922" s="24"/>
      <c r="G922" s="24"/>
      <c r="H922" s="25"/>
      <c r="I922" s="25"/>
      <c r="J922" s="26"/>
      <c r="K922" s="25"/>
      <c r="L922" s="26"/>
      <c r="M922" s="25"/>
      <c r="N922" s="25"/>
      <c r="O922" s="25"/>
      <c r="P922" s="25"/>
      <c r="Q922" s="26"/>
      <c r="R922" s="25"/>
      <c r="S922" s="26"/>
      <c r="T922" s="25"/>
      <c r="U922" s="25"/>
      <c r="V922" s="25"/>
      <c r="W922" s="25"/>
      <c r="X922" s="26"/>
      <c r="Y922" s="25"/>
      <c r="Z922" s="26"/>
      <c r="AA922" s="25"/>
      <c r="AB922" s="25"/>
      <c r="AC922" s="25"/>
      <c r="AD922" s="25"/>
      <c r="AE922" s="26"/>
      <c r="AF922" s="25"/>
      <c r="AG922" s="26"/>
      <c r="AH922" s="24"/>
      <c r="AI922" s="25"/>
      <c r="AJ922" s="27"/>
    </row>
    <row r="923" ht="24.75" customHeight="1">
      <c r="A923" s="28">
        <f>IFERROR(__xludf.DUMMYFUNCTION("""COMPUTED_VALUE"""),1.0)</f>
        <v>1</v>
      </c>
      <c r="B923" s="28" t="str">
        <f>IFERROR(__xludf.DUMMYFUNCTION("""COMPUTED_VALUE"""),"A112")</f>
        <v>A112</v>
      </c>
      <c r="C923" s="28" t="str">
        <f>IFERROR(__xludf.DUMMYFUNCTION("""COMPUTED_VALUE"""),"AGT9")</f>
        <v>AGT9</v>
      </c>
      <c r="D923" s="29" t="str">
        <f>IFERROR(__xludf.DUMMYFUNCTION("""COMPUTED_VALUE"""),"Agartha")</f>
        <v>Agartha</v>
      </c>
      <c r="E923" s="30" t="str">
        <f>IFERROR(__xludf.DUMMYFUNCTION("""COMPUTED_VALUE"""),"Palace of Dragon King")</f>
        <v>Palace of Dragon King</v>
      </c>
      <c r="F923" s="31">
        <f>IFERROR(__xludf.DUMMYFUNCTION("""COMPUTED_VALUE"""),21.0)</f>
        <v>21</v>
      </c>
      <c r="G923" s="32">
        <f>IFERROR(__xludf.DUMMYFUNCTION("""COMPUTED_VALUE"""),4641.0)</f>
        <v>4641</v>
      </c>
      <c r="H923" s="33" t="str">
        <f>IFERROR(__xludf.DUMMYFUNCTION("""COMPUTED_VALUE"""),"")</f>
        <v/>
      </c>
      <c r="I923" s="34">
        <f>IFERROR(__xludf.DUMMYFUNCTION("""COMPUTED_VALUE"""),170.1)</f>
        <v>170.1</v>
      </c>
      <c r="J923" s="35" t="str">
        <f>IFERROR(__xludf.DUMMYFUNCTION("""COMPUTED_VALUE"""),"AP")</f>
        <v>AP</v>
      </c>
      <c r="K923" s="34">
        <f>IFERROR(__xludf.DUMMYFUNCTION("""COMPUTED_VALUE"""),12.3)</f>
        <v>12.3</v>
      </c>
      <c r="L923" s="35" t="str">
        <f>IFERROR(__xludf.DUMMYFUNCTION("""COMPUTED_VALUE"""),"%")</f>
        <v>%</v>
      </c>
      <c r="M923" s="36">
        <f>IFERROR(__xludf.DUMMYFUNCTION("""COMPUTED_VALUE"""),1.0)</f>
        <v>1</v>
      </c>
      <c r="N923" s="37" t="str">
        <f>IFERROR(__xludf.DUMMYFUNCTION("""COMPUTED_VALUE"""),"A301")</f>
        <v>A301</v>
      </c>
      <c r="O923" s="38" t="str">
        <f>IFERROR(__xludf.DUMMYFUNCTION("""COMPUTED_VALUE"""),"")</f>
        <v/>
      </c>
      <c r="P923" s="34">
        <f>IFERROR(__xludf.DUMMYFUNCTION("""COMPUTED_VALUE"""),73.6)</f>
        <v>73.6</v>
      </c>
      <c r="Q923" s="35" t="str">
        <f>IFERROR(__xludf.DUMMYFUNCTION("""COMPUTED_VALUE"""),"AP")</f>
        <v>AP</v>
      </c>
      <c r="R923" s="34">
        <f>IFERROR(__xludf.DUMMYFUNCTION("""COMPUTED_VALUE"""),28.5)</f>
        <v>28.5</v>
      </c>
      <c r="S923" s="35" t="str">
        <f>IFERROR(__xludf.DUMMYFUNCTION("""COMPUTED_VALUE"""),"%")</f>
        <v>%</v>
      </c>
      <c r="T923" s="36">
        <f>IFERROR(__xludf.DUMMYFUNCTION("""COMPUTED_VALUE"""),2.0)</f>
        <v>2</v>
      </c>
      <c r="U923" s="37" t="str">
        <f>IFERROR(__xludf.DUMMYFUNCTION("""COMPUTED_VALUE"""),"B102")</f>
        <v>B102</v>
      </c>
      <c r="V923" s="38" t="str">
        <f>IFERROR(__xludf.DUMMYFUNCTION("""COMPUTED_VALUE"""),"")</f>
        <v/>
      </c>
      <c r="W923" s="34">
        <f>IFERROR(__xludf.DUMMYFUNCTION("""COMPUTED_VALUE"""),486.1)</f>
        <v>486.1</v>
      </c>
      <c r="X923" s="35" t="str">
        <f>IFERROR(__xludf.DUMMYFUNCTION("""COMPUTED_VALUE"""),"AP")</f>
        <v>AP</v>
      </c>
      <c r="Y923" s="34">
        <f>IFERROR(__xludf.DUMMYFUNCTION("""COMPUTED_VALUE"""),4.3)</f>
        <v>4.3</v>
      </c>
      <c r="Z923" s="35" t="str">
        <f>IFERROR(__xludf.DUMMYFUNCTION("""COMPUTED_VALUE"""),"%")</f>
        <v>%</v>
      </c>
      <c r="AA923" s="36">
        <f>IFERROR(__xludf.DUMMYFUNCTION("""COMPUTED_VALUE"""),3.0)</f>
        <v>3</v>
      </c>
      <c r="AB923" s="37"/>
      <c r="AC923" s="38"/>
      <c r="AD923" s="34" t="str">
        <f>IFERROR(__xludf.DUMMYFUNCTION("""COMPUTED_VALUE"""),"")</f>
        <v/>
      </c>
      <c r="AE923" s="35" t="str">
        <f>IFERROR(__xludf.DUMMYFUNCTION("""COMPUTED_VALUE"""),"AP")</f>
        <v>AP</v>
      </c>
      <c r="AF923" s="34" t="str">
        <f>IFERROR(__xludf.DUMMYFUNCTION("""COMPUTED_VALUE"""),"")</f>
        <v/>
      </c>
      <c r="AG923" s="35" t="str">
        <f>IFERROR(__xludf.DUMMYFUNCTION("""COMPUTED_VALUE"""),"%")</f>
        <v>%</v>
      </c>
      <c r="AH923" s="31">
        <f>IFERROR(__xludf.DUMMYFUNCTION("""COMPUTED_VALUE"""),21.0)</f>
        <v>21</v>
      </c>
      <c r="AI923" s="32">
        <f>IFERROR(__xludf.DUMMYFUNCTION("""COMPUTED_VALUE"""),4641.0)</f>
        <v>4641</v>
      </c>
      <c r="AJ923" s="39" t="str">
        <f>IFERROR(__xludf.DUMMYFUNCTION("""COMPUTED_VALUE"""),"竜宮城")</f>
        <v>竜宮城</v>
      </c>
    </row>
    <row r="924" ht="24.75" customHeight="1">
      <c r="A924" s="40">
        <f>IFERROR(__xludf.DUMMYFUNCTION("""COMPUTED_VALUE"""),2.0)</f>
        <v>2</v>
      </c>
      <c r="B924" s="40" t="str">
        <f>IFERROR(__xludf.DUMMYFUNCTION("""COMPUTED_VALUE"""),"A112")</f>
        <v>A112</v>
      </c>
      <c r="C924" s="40" t="str">
        <f>IFERROR(__xludf.DUMMYFUNCTION("""COMPUTED_VALUE"""),"ATL2")</f>
        <v>ATL2</v>
      </c>
      <c r="D924" s="41" t="str">
        <f>IFERROR(__xludf.DUMMYFUNCTION("""COMPUTED_VALUE"""),"Atlantis")</f>
        <v>Atlantis</v>
      </c>
      <c r="E924" s="42" t="str">
        <f>IFERROR(__xludf.DUMMYFUNCTION("""COMPUTED_VALUE"""),"Hestia Island")</f>
        <v>Hestia Island</v>
      </c>
      <c r="F924" s="43">
        <f>IFERROR(__xludf.DUMMYFUNCTION("""COMPUTED_VALUE"""),21.0)</f>
        <v>21</v>
      </c>
      <c r="G924" s="44">
        <f>IFERROR(__xludf.DUMMYFUNCTION("""COMPUTED_VALUE"""),3235.0)</f>
        <v>3235</v>
      </c>
      <c r="H924" s="33" t="str">
        <f>IFERROR(__xludf.DUMMYFUNCTION("""COMPUTED_VALUE"""),"")</f>
        <v/>
      </c>
      <c r="I924" s="45">
        <f>IFERROR(__xludf.DUMMYFUNCTION("""COMPUTED_VALUE"""),178.3)</f>
        <v>178.3</v>
      </c>
      <c r="J924" s="46" t="str">
        <f>IFERROR(__xludf.DUMMYFUNCTION("""COMPUTED_VALUE"""),"AP")</f>
        <v>AP</v>
      </c>
      <c r="K924" s="47">
        <f>IFERROR(__xludf.DUMMYFUNCTION("""COMPUTED_VALUE"""),11.8)</f>
        <v>11.8</v>
      </c>
      <c r="L924" s="48" t="str">
        <f>IFERROR(__xludf.DUMMYFUNCTION("""COMPUTED_VALUE"""),"%")</f>
        <v>%</v>
      </c>
      <c r="M924" s="49">
        <f>IFERROR(__xludf.DUMMYFUNCTION("""COMPUTED_VALUE"""),1.0)</f>
        <v>1</v>
      </c>
      <c r="N924" s="50" t="str">
        <f>IFERROR(__xludf.DUMMYFUNCTION("""COMPUTED_VALUE"""),"A218")</f>
        <v>A218</v>
      </c>
      <c r="O924" s="38" t="str">
        <f>IFERROR(__xludf.DUMMYFUNCTION("""COMPUTED_VALUE"""),"")</f>
        <v/>
      </c>
      <c r="P924" s="45">
        <f>IFERROR(__xludf.DUMMYFUNCTION("""COMPUTED_VALUE"""),83.9)</f>
        <v>83.9</v>
      </c>
      <c r="Q924" s="46" t="str">
        <f>IFERROR(__xludf.DUMMYFUNCTION("""COMPUTED_VALUE"""),"AP")</f>
        <v>AP</v>
      </c>
      <c r="R924" s="47">
        <f>IFERROR(__xludf.DUMMYFUNCTION("""COMPUTED_VALUE"""),25.0)</f>
        <v>25</v>
      </c>
      <c r="S924" s="48" t="str">
        <f>IFERROR(__xludf.DUMMYFUNCTION("""COMPUTED_VALUE"""),"%")</f>
        <v>%</v>
      </c>
      <c r="T924" s="49">
        <f>IFERROR(__xludf.DUMMYFUNCTION("""COMPUTED_VALUE"""),2.0)</f>
        <v>2</v>
      </c>
      <c r="U924" s="50" t="str">
        <f>IFERROR(__xludf.DUMMYFUNCTION("""COMPUTED_VALUE"""),"B102")</f>
        <v>B102</v>
      </c>
      <c r="V924" s="38" t="str">
        <f>IFERROR(__xludf.DUMMYFUNCTION("""COMPUTED_VALUE"""),"")</f>
        <v/>
      </c>
      <c r="W924" s="45">
        <f>IFERROR(__xludf.DUMMYFUNCTION("""COMPUTED_VALUE"""),534.6)</f>
        <v>534.6</v>
      </c>
      <c r="X924" s="46" t="str">
        <f>IFERROR(__xludf.DUMMYFUNCTION("""COMPUTED_VALUE"""),"AP")</f>
        <v>AP</v>
      </c>
      <c r="Y924" s="47">
        <f>IFERROR(__xludf.DUMMYFUNCTION("""COMPUTED_VALUE"""),3.9)</f>
        <v>3.9</v>
      </c>
      <c r="Z924" s="48" t="str">
        <f>IFERROR(__xludf.DUMMYFUNCTION("""COMPUTED_VALUE"""),"%")</f>
        <v>%</v>
      </c>
      <c r="AA924" s="49">
        <f>IFERROR(__xludf.DUMMYFUNCTION("""COMPUTED_VALUE"""),3.0)</f>
        <v>3</v>
      </c>
      <c r="AB924" s="50" t="str">
        <f>IFERROR(__xludf.DUMMYFUNCTION("""COMPUTED_VALUE"""),"B116")</f>
        <v>B116</v>
      </c>
      <c r="AC924" s="38" t="str">
        <f>IFERROR(__xludf.DUMMYFUNCTION("""COMPUTED_VALUE"""),"")</f>
        <v/>
      </c>
      <c r="AD924" s="45">
        <f>IFERROR(__xludf.DUMMYFUNCTION("""COMPUTED_VALUE"""),104.6)</f>
        <v>104.6</v>
      </c>
      <c r="AE924" s="46" t="str">
        <f>IFERROR(__xludf.DUMMYFUNCTION("""COMPUTED_VALUE"""),"AP")</f>
        <v>AP</v>
      </c>
      <c r="AF924" s="47">
        <f>IFERROR(__xludf.DUMMYFUNCTION("""COMPUTED_VALUE"""),20.1)</f>
        <v>20.1</v>
      </c>
      <c r="AG924" s="48" t="str">
        <f>IFERROR(__xludf.DUMMYFUNCTION("""COMPUTED_VALUE"""),"%")</f>
        <v>%</v>
      </c>
      <c r="AH924" s="43">
        <f>IFERROR(__xludf.DUMMYFUNCTION("""COMPUTED_VALUE"""),21.0)</f>
        <v>21</v>
      </c>
      <c r="AI924" s="44">
        <f>IFERROR(__xludf.DUMMYFUNCTION("""COMPUTED_VALUE"""),3235.0)</f>
        <v>3235</v>
      </c>
      <c r="AJ924" s="51" t="str">
        <f>IFERROR(__xludf.DUMMYFUNCTION("""COMPUTED_VALUE"""),"ヘスティア島")</f>
        <v>ヘスティア島</v>
      </c>
    </row>
    <row r="925" ht="24.75" customHeight="1">
      <c r="A925" s="28">
        <f>IFERROR(__xludf.DUMMYFUNCTION("""COMPUTED_VALUE"""),3.0)</f>
        <v>3</v>
      </c>
      <c r="B925" s="28" t="str">
        <f>IFERROR(__xludf.DUMMYFUNCTION("""COMPUTED_VALUE"""),"A112")</f>
        <v>A112</v>
      </c>
      <c r="C925" s="28" t="str">
        <f>IFERROR(__xludf.DUMMYFUNCTION("""COMPUTED_VALUE"""),"SIN3")</f>
        <v>SIN3</v>
      </c>
      <c r="D925" s="29" t="str">
        <f>IFERROR(__xludf.DUMMYFUNCTION("""COMPUTED_VALUE"""),"SIN")</f>
        <v>SIN</v>
      </c>
      <c r="E925" s="30" t="str">
        <f>IFERROR(__xludf.DUMMYFUNCTION("""COMPUTED_VALUE"""),"Icy Cave")</f>
        <v>Icy Cave</v>
      </c>
      <c r="F925" s="31">
        <f>IFERROR(__xludf.DUMMYFUNCTION("""COMPUTED_VALUE"""),20.0)</f>
        <v>20</v>
      </c>
      <c r="G925" s="32">
        <f>IFERROR(__xludf.DUMMYFUNCTION("""COMPUTED_VALUE"""),1872.0)</f>
        <v>1872</v>
      </c>
      <c r="H925" s="33" t="str">
        <f>IFERROR(__xludf.DUMMYFUNCTION("""COMPUTED_VALUE"""),"")</f>
        <v/>
      </c>
      <c r="I925" s="34">
        <f>IFERROR(__xludf.DUMMYFUNCTION("""COMPUTED_VALUE"""),197.1)</f>
        <v>197.1</v>
      </c>
      <c r="J925" s="35" t="str">
        <f>IFERROR(__xludf.DUMMYFUNCTION("""COMPUTED_VALUE"""),"AP")</f>
        <v>AP</v>
      </c>
      <c r="K925" s="34">
        <f>IFERROR(__xludf.DUMMYFUNCTION("""COMPUTED_VALUE"""),10.1)</f>
        <v>10.1</v>
      </c>
      <c r="L925" s="35" t="str">
        <f>IFERROR(__xludf.DUMMYFUNCTION("""COMPUTED_VALUE"""),"%")</f>
        <v>%</v>
      </c>
      <c r="M925" s="36">
        <f>IFERROR(__xludf.DUMMYFUNCTION("""COMPUTED_VALUE"""),1.0)</f>
        <v>1</v>
      </c>
      <c r="N925" s="37" t="str">
        <f>IFERROR(__xludf.DUMMYFUNCTION("""COMPUTED_VALUE"""),"A201")</f>
        <v>A201</v>
      </c>
      <c r="O925" s="38" t="str">
        <f>IFERROR(__xludf.DUMMYFUNCTION("""COMPUTED_VALUE"""),"")</f>
        <v/>
      </c>
      <c r="P925" s="34">
        <f>IFERROR(__xludf.DUMMYFUNCTION("""COMPUTED_VALUE"""),60.7)</f>
        <v>60.7</v>
      </c>
      <c r="Q925" s="35" t="str">
        <f>IFERROR(__xludf.DUMMYFUNCTION("""COMPUTED_VALUE"""),"AP")</f>
        <v>AP</v>
      </c>
      <c r="R925" s="34">
        <f>IFERROR(__xludf.DUMMYFUNCTION("""COMPUTED_VALUE"""),33.0)</f>
        <v>33</v>
      </c>
      <c r="S925" s="35" t="str">
        <f>IFERROR(__xludf.DUMMYFUNCTION("""COMPUTED_VALUE"""),"%")</f>
        <v>%</v>
      </c>
      <c r="T925" s="36">
        <f>IFERROR(__xludf.DUMMYFUNCTION("""COMPUTED_VALUE"""),2.0)</f>
        <v>2</v>
      </c>
      <c r="U925" s="37" t="str">
        <f>IFERROR(__xludf.DUMMYFUNCTION("""COMPUTED_VALUE"""),"B106")</f>
        <v>B106</v>
      </c>
      <c r="V925" s="38" t="str">
        <f>IFERROR(__xludf.DUMMYFUNCTION("""COMPUTED_VALUE"""),"")</f>
        <v/>
      </c>
      <c r="W925" s="34">
        <f>IFERROR(__xludf.DUMMYFUNCTION("""COMPUTED_VALUE"""),558.8)</f>
        <v>558.8</v>
      </c>
      <c r="X925" s="35" t="str">
        <f>IFERROR(__xludf.DUMMYFUNCTION("""COMPUTED_VALUE"""),"AP")</f>
        <v>AP</v>
      </c>
      <c r="Y925" s="34">
        <f>IFERROR(__xludf.DUMMYFUNCTION("""COMPUTED_VALUE"""),3.6)</f>
        <v>3.6</v>
      </c>
      <c r="Z925" s="35" t="str">
        <f>IFERROR(__xludf.DUMMYFUNCTION("""COMPUTED_VALUE"""),"%")</f>
        <v>%</v>
      </c>
      <c r="AA925" s="36">
        <f>IFERROR(__xludf.DUMMYFUNCTION("""COMPUTED_VALUE"""),3.0)</f>
        <v>3</v>
      </c>
      <c r="AB925" s="37"/>
      <c r="AC925" s="38"/>
      <c r="AD925" s="34" t="str">
        <f>IFERROR(__xludf.DUMMYFUNCTION("""COMPUTED_VALUE"""),"")</f>
        <v/>
      </c>
      <c r="AE925" s="35" t="str">
        <f>IFERROR(__xludf.DUMMYFUNCTION("""COMPUTED_VALUE"""),"AP")</f>
        <v>AP</v>
      </c>
      <c r="AF925" s="34" t="str">
        <f>IFERROR(__xludf.DUMMYFUNCTION("""COMPUTED_VALUE"""),"")</f>
        <v/>
      </c>
      <c r="AG925" s="35" t="str">
        <f>IFERROR(__xludf.DUMMYFUNCTION("""COMPUTED_VALUE"""),"%")</f>
        <v>%</v>
      </c>
      <c r="AH925" s="31">
        <f>IFERROR(__xludf.DUMMYFUNCTION("""COMPUTED_VALUE"""),20.0)</f>
        <v>20</v>
      </c>
      <c r="AI925" s="32">
        <f>IFERROR(__xludf.DUMMYFUNCTION("""COMPUTED_VALUE"""),1872.0)</f>
        <v>1872</v>
      </c>
      <c r="AJ925" s="39" t="str">
        <f>IFERROR(__xludf.DUMMYFUNCTION("""COMPUTED_VALUE"""),"氷冷窟")</f>
        <v>氷冷窟</v>
      </c>
    </row>
    <row r="926" ht="24.75" customHeight="1">
      <c r="A926" s="40">
        <f>IFERROR(__xludf.DUMMYFUNCTION("""COMPUTED_VALUE"""),4.0)</f>
        <v>4</v>
      </c>
      <c r="B926" s="40" t="str">
        <f>IFERROR(__xludf.DUMMYFUNCTION("""COMPUTED_VALUE"""),"A112")</f>
        <v>A112</v>
      </c>
      <c r="C926" s="40" t="str">
        <f>IFERROR(__xludf.DUMMYFUNCTION("""COMPUTED_VALUE"""),"ANA12")</f>
        <v>ANA12</v>
      </c>
      <c r="D926" s="41" t="str">
        <f>IFERROR(__xludf.DUMMYFUNCTION("""COMPUTED_VALUE"""),"Anastasia")</f>
        <v>Anastasia</v>
      </c>
      <c r="E926" s="42" t="str">
        <f>IFERROR(__xludf.DUMMYFUNCTION("""COMPUTED_VALUE"""),"Strath Stronghold")</f>
        <v>Strath Stronghold</v>
      </c>
      <c r="F926" s="43">
        <f>IFERROR(__xludf.DUMMYFUNCTION("""COMPUTED_VALUE"""),21.0)</f>
        <v>21</v>
      </c>
      <c r="G926" s="44">
        <f>IFERROR(__xludf.DUMMYFUNCTION("""COMPUTED_VALUE"""),14193.0)</f>
        <v>14193</v>
      </c>
      <c r="H926" s="33" t="str">
        <f>IFERROR(__xludf.DUMMYFUNCTION("""COMPUTED_VALUE"""),"")</f>
        <v/>
      </c>
      <c r="I926" s="45">
        <f>IFERROR(__xludf.DUMMYFUNCTION("""COMPUTED_VALUE"""),207.3)</f>
        <v>207.3</v>
      </c>
      <c r="J926" s="46" t="str">
        <f>IFERROR(__xludf.DUMMYFUNCTION("""COMPUTED_VALUE"""),"AP")</f>
        <v>AP</v>
      </c>
      <c r="K926" s="47">
        <f>IFERROR(__xludf.DUMMYFUNCTION("""COMPUTED_VALUE"""),10.1)</f>
        <v>10.1</v>
      </c>
      <c r="L926" s="48" t="str">
        <f>IFERROR(__xludf.DUMMYFUNCTION("""COMPUTED_VALUE"""),"%")</f>
        <v>%</v>
      </c>
      <c r="M926" s="49">
        <f>IFERROR(__xludf.DUMMYFUNCTION("""COMPUTED_VALUE"""),1.0)</f>
        <v>1</v>
      </c>
      <c r="N926" s="50" t="str">
        <f>IFERROR(__xludf.DUMMYFUNCTION("""COMPUTED_VALUE"""),"A304")</f>
        <v>A304</v>
      </c>
      <c r="O926" s="38" t="str">
        <f>IFERROR(__xludf.DUMMYFUNCTION("""COMPUTED_VALUE"""),"")</f>
        <v/>
      </c>
      <c r="P926" s="45">
        <f>IFERROR(__xludf.DUMMYFUNCTION("""COMPUTED_VALUE"""),71.1)</f>
        <v>71.1</v>
      </c>
      <c r="Q926" s="46" t="str">
        <f>IFERROR(__xludf.DUMMYFUNCTION("""COMPUTED_VALUE"""),"AP")</f>
        <v>AP</v>
      </c>
      <c r="R926" s="47">
        <f>IFERROR(__xludf.DUMMYFUNCTION("""COMPUTED_VALUE"""),29.5)</f>
        <v>29.5</v>
      </c>
      <c r="S926" s="48" t="str">
        <f>IFERROR(__xludf.DUMMYFUNCTION("""COMPUTED_VALUE"""),"%")</f>
        <v>%</v>
      </c>
      <c r="T926" s="49">
        <f>IFERROR(__xludf.DUMMYFUNCTION("""COMPUTED_VALUE"""),2.0)</f>
        <v>2</v>
      </c>
      <c r="U926" s="50" t="str">
        <f>IFERROR(__xludf.DUMMYFUNCTION("""COMPUTED_VALUE"""),"A309")</f>
        <v>A309</v>
      </c>
      <c r="V926" s="38" t="str">
        <f>IFERROR(__xludf.DUMMYFUNCTION("""COMPUTED_VALUE"""),"")</f>
        <v/>
      </c>
      <c r="W926" s="45">
        <f>IFERROR(__xludf.DUMMYFUNCTION("""COMPUTED_VALUE"""),73.7)</f>
        <v>73.7</v>
      </c>
      <c r="X926" s="46" t="str">
        <f>IFERROR(__xludf.DUMMYFUNCTION("""COMPUTED_VALUE"""),"AP")</f>
        <v>AP</v>
      </c>
      <c r="Y926" s="47">
        <f>IFERROR(__xludf.DUMMYFUNCTION("""COMPUTED_VALUE"""),28.5)</f>
        <v>28.5</v>
      </c>
      <c r="Z926" s="48" t="str">
        <f>IFERROR(__xludf.DUMMYFUNCTION("""COMPUTED_VALUE"""),"%")</f>
        <v>%</v>
      </c>
      <c r="AA926" s="49">
        <f>IFERROR(__xludf.DUMMYFUNCTION("""COMPUTED_VALUE"""),3.0)</f>
        <v>3</v>
      </c>
      <c r="AB926" s="50" t="str">
        <f>IFERROR(__xludf.DUMMYFUNCTION("""COMPUTED_VALUE"""),"B106")</f>
        <v>B106</v>
      </c>
      <c r="AC926" s="38" t="str">
        <f>IFERROR(__xludf.DUMMYFUNCTION("""COMPUTED_VALUE"""),"")</f>
        <v/>
      </c>
      <c r="AD926" s="45">
        <f>IFERROR(__xludf.DUMMYFUNCTION("""COMPUTED_VALUE"""),506.9)</f>
        <v>506.9</v>
      </c>
      <c r="AE926" s="46" t="str">
        <f>IFERROR(__xludf.DUMMYFUNCTION("""COMPUTED_VALUE"""),"AP")</f>
        <v>AP</v>
      </c>
      <c r="AF926" s="47">
        <f>IFERROR(__xludf.DUMMYFUNCTION("""COMPUTED_VALUE"""),4.1)</f>
        <v>4.1</v>
      </c>
      <c r="AG926" s="48" t="str">
        <f>IFERROR(__xludf.DUMMYFUNCTION("""COMPUTED_VALUE"""),"%")</f>
        <v>%</v>
      </c>
      <c r="AH926" s="43">
        <f>IFERROR(__xludf.DUMMYFUNCTION("""COMPUTED_VALUE"""),21.0)</f>
        <v>21</v>
      </c>
      <c r="AI926" s="44">
        <f>IFERROR(__xludf.DUMMYFUNCTION("""COMPUTED_VALUE"""),14193.0)</f>
        <v>14193</v>
      </c>
      <c r="AJ926" s="51" t="str">
        <f>IFERROR(__xludf.DUMMYFUNCTION("""COMPUTED_VALUE"""),"大渓谷の砦")</f>
        <v>大渓谷の砦</v>
      </c>
    </row>
    <row r="927" ht="24.75" customHeight="1">
      <c r="A927" s="28">
        <f>IFERROR(__xludf.DUMMYFUNCTION("""COMPUTED_VALUE"""),5.0)</f>
        <v>5</v>
      </c>
      <c r="B927" s="28" t="str">
        <f>IFERROR(__xludf.DUMMYFUNCTION("""COMPUTED_VALUE"""),"A112")</f>
        <v>A112</v>
      </c>
      <c r="C927" s="28" t="str">
        <f>IFERROR(__xludf.DUMMYFUNCTION("""COMPUTED_VALUE"""),"OLP5")</f>
        <v>OLP5</v>
      </c>
      <c r="D927" s="29" t="str">
        <f>IFERROR(__xludf.DUMMYFUNCTION("""COMPUTED_VALUE"""),"Olympus")</f>
        <v>Olympus</v>
      </c>
      <c r="E927" s="30" t="str">
        <f>IFERROR(__xludf.DUMMYFUNCTION("""COMPUTED_VALUE"""),"Grand Workshop")</f>
        <v>Grand Workshop</v>
      </c>
      <c r="F927" s="31">
        <f>IFERROR(__xludf.DUMMYFUNCTION("""COMPUTED_VALUE"""),21.0)</f>
        <v>21</v>
      </c>
      <c r="G927" s="32">
        <f>IFERROR(__xludf.DUMMYFUNCTION("""COMPUTED_VALUE"""),4719.0)</f>
        <v>4719</v>
      </c>
      <c r="H927" s="33" t="str">
        <f>IFERROR(__xludf.DUMMYFUNCTION("""COMPUTED_VALUE"""),"")</f>
        <v/>
      </c>
      <c r="I927" s="34">
        <f>IFERROR(__xludf.DUMMYFUNCTION("""COMPUTED_VALUE"""),209.1)</f>
        <v>209.1</v>
      </c>
      <c r="J927" s="35" t="str">
        <f>IFERROR(__xludf.DUMMYFUNCTION("""COMPUTED_VALUE"""),"AP")</f>
        <v>AP</v>
      </c>
      <c r="K927" s="34">
        <f>IFERROR(__xludf.DUMMYFUNCTION("""COMPUTED_VALUE"""),10.0)</f>
        <v>10</v>
      </c>
      <c r="L927" s="35" t="str">
        <f>IFERROR(__xludf.DUMMYFUNCTION("""COMPUTED_VALUE"""),"%")</f>
        <v>%</v>
      </c>
      <c r="M927" s="36">
        <f>IFERROR(__xludf.DUMMYFUNCTION("""COMPUTED_VALUE"""),1.0)</f>
        <v>1</v>
      </c>
      <c r="N927" s="37" t="str">
        <f>IFERROR(__xludf.DUMMYFUNCTION("""COMPUTED_VALUE"""),"A219")</f>
        <v>A219</v>
      </c>
      <c r="O927" s="38" t="str">
        <f>IFERROR(__xludf.DUMMYFUNCTION("""COMPUTED_VALUE"""),"")</f>
        <v/>
      </c>
      <c r="P927" s="34">
        <f>IFERROR(__xludf.DUMMYFUNCTION("""COMPUTED_VALUE"""),112.0)</f>
        <v>112</v>
      </c>
      <c r="Q927" s="35" t="str">
        <f>IFERROR(__xludf.DUMMYFUNCTION("""COMPUTED_VALUE"""),"AP")</f>
        <v>AP</v>
      </c>
      <c r="R927" s="34">
        <f>IFERROR(__xludf.DUMMYFUNCTION("""COMPUTED_VALUE"""),18.8)</f>
        <v>18.8</v>
      </c>
      <c r="S927" s="35" t="str">
        <f>IFERROR(__xludf.DUMMYFUNCTION("""COMPUTED_VALUE"""),"%")</f>
        <v>%</v>
      </c>
      <c r="T927" s="36">
        <f>IFERROR(__xludf.DUMMYFUNCTION("""COMPUTED_VALUE"""),2.0)</f>
        <v>2</v>
      </c>
      <c r="U927" s="37" t="str">
        <f>IFERROR(__xludf.DUMMYFUNCTION("""COMPUTED_VALUE"""),"A304")</f>
        <v>A304</v>
      </c>
      <c r="V927" s="38" t="str">
        <f>IFERROR(__xludf.DUMMYFUNCTION("""COMPUTED_VALUE"""),"")</f>
        <v/>
      </c>
      <c r="W927" s="34">
        <f>IFERROR(__xludf.DUMMYFUNCTION("""COMPUTED_VALUE"""),70.2)</f>
        <v>70.2</v>
      </c>
      <c r="X927" s="35" t="str">
        <f>IFERROR(__xludf.DUMMYFUNCTION("""COMPUTED_VALUE"""),"AP")</f>
        <v>AP</v>
      </c>
      <c r="Y927" s="34">
        <f>IFERROR(__xludf.DUMMYFUNCTION("""COMPUTED_VALUE"""),29.9)</f>
        <v>29.9</v>
      </c>
      <c r="Z927" s="35" t="str">
        <f>IFERROR(__xludf.DUMMYFUNCTION("""COMPUTED_VALUE"""),"%")</f>
        <v>%</v>
      </c>
      <c r="AA927" s="36">
        <f>IFERROR(__xludf.DUMMYFUNCTION("""COMPUTED_VALUE"""),3.0)</f>
        <v>3</v>
      </c>
      <c r="AB927" s="37" t="str">
        <f>IFERROR(__xludf.DUMMYFUNCTION("""COMPUTED_VALUE"""),"B102")</f>
        <v>B102</v>
      </c>
      <c r="AC927" s="38" t="str">
        <f>IFERROR(__xludf.DUMMYFUNCTION("""COMPUTED_VALUE"""),"")</f>
        <v/>
      </c>
      <c r="AD927" s="34">
        <f>IFERROR(__xludf.DUMMYFUNCTION("""COMPUTED_VALUE"""),510.2)</f>
        <v>510.2</v>
      </c>
      <c r="AE927" s="35" t="str">
        <f>IFERROR(__xludf.DUMMYFUNCTION("""COMPUTED_VALUE"""),"AP")</f>
        <v>AP</v>
      </c>
      <c r="AF927" s="34">
        <f>IFERROR(__xludf.DUMMYFUNCTION("""COMPUTED_VALUE"""),4.1)</f>
        <v>4.1</v>
      </c>
      <c r="AG927" s="35" t="str">
        <f>IFERROR(__xludf.DUMMYFUNCTION("""COMPUTED_VALUE"""),"%")</f>
        <v>%</v>
      </c>
      <c r="AH927" s="31">
        <f>IFERROR(__xludf.DUMMYFUNCTION("""COMPUTED_VALUE"""),21.0)</f>
        <v>21</v>
      </c>
      <c r="AI927" s="32">
        <f>IFERROR(__xludf.DUMMYFUNCTION("""COMPUTED_VALUE"""),4719.0)</f>
        <v>4719</v>
      </c>
      <c r="AJ927" s="39" t="str">
        <f>IFERROR(__xludf.DUMMYFUNCTION("""COMPUTED_VALUE"""),"大工房")</f>
        <v>大工房</v>
      </c>
    </row>
    <row r="928" ht="24.75" customHeight="1">
      <c r="A928" s="40">
        <f>IFERROR(__xludf.DUMMYFUNCTION("""COMPUTED_VALUE"""),6.0)</f>
        <v>6</v>
      </c>
      <c r="B928" s="40" t="str">
        <f>IFERROR(__xludf.DUMMYFUNCTION("""COMPUTED_VALUE"""),"A112")</f>
        <v>A112</v>
      </c>
      <c r="C928" s="40" t="str">
        <f>IFERROR(__xludf.DUMMYFUNCTION("""COMPUTED_VALUE"""),"SMS6")</f>
        <v>SMS6</v>
      </c>
      <c r="D928" s="41" t="str">
        <f>IFERROR(__xludf.DUMMYFUNCTION("""COMPUTED_VALUE"""),"Shimosa")</f>
        <v>Shimosa</v>
      </c>
      <c r="E928" s="42" t="str">
        <f>IFERROR(__xludf.DUMMYFUNCTION("""COMPUTED_VALUE"""),"Toke Castle")</f>
        <v>Toke Castle</v>
      </c>
      <c r="F928" s="43">
        <f>IFERROR(__xludf.DUMMYFUNCTION("""COMPUTED_VALUE"""),21.0)</f>
        <v>21</v>
      </c>
      <c r="G928" s="44">
        <f>IFERROR(__xludf.DUMMYFUNCTION("""COMPUTED_VALUE"""),2591.0)</f>
        <v>2591</v>
      </c>
      <c r="H928" s="33" t="str">
        <f>IFERROR(__xludf.DUMMYFUNCTION("""COMPUTED_VALUE"""),"")</f>
        <v/>
      </c>
      <c r="I928" s="45">
        <f>IFERROR(__xludf.DUMMYFUNCTION("""COMPUTED_VALUE"""),221.2)</f>
        <v>221.2</v>
      </c>
      <c r="J928" s="46" t="str">
        <f>IFERROR(__xludf.DUMMYFUNCTION("""COMPUTED_VALUE"""),"AP")</f>
        <v>AP</v>
      </c>
      <c r="K928" s="47">
        <f>IFERROR(__xludf.DUMMYFUNCTION("""COMPUTED_VALUE"""),9.5)</f>
        <v>9.5</v>
      </c>
      <c r="L928" s="48" t="str">
        <f>IFERROR(__xludf.DUMMYFUNCTION("""COMPUTED_VALUE"""),"%")</f>
        <v>%</v>
      </c>
      <c r="M928" s="49">
        <f>IFERROR(__xludf.DUMMYFUNCTION("""COMPUTED_VALUE"""),1.0)</f>
        <v>1</v>
      </c>
      <c r="N928" s="50" t="str">
        <f>IFERROR(__xludf.DUMMYFUNCTION("""COMPUTED_VALUE"""),"A212")</f>
        <v>A212</v>
      </c>
      <c r="O928" s="38" t="str">
        <f>IFERROR(__xludf.DUMMYFUNCTION("""COMPUTED_VALUE"""),"")</f>
        <v/>
      </c>
      <c r="P928" s="45">
        <f>IFERROR(__xludf.DUMMYFUNCTION("""COMPUTED_VALUE"""),79.8)</f>
        <v>79.8</v>
      </c>
      <c r="Q928" s="46" t="str">
        <f>IFERROR(__xludf.DUMMYFUNCTION("""COMPUTED_VALUE"""),"AP")</f>
        <v>AP</v>
      </c>
      <c r="R928" s="47">
        <f>IFERROR(__xludf.DUMMYFUNCTION("""COMPUTED_VALUE"""),26.3)</f>
        <v>26.3</v>
      </c>
      <c r="S928" s="48" t="str">
        <f>IFERROR(__xludf.DUMMYFUNCTION("""COMPUTED_VALUE"""),"%")</f>
        <v>%</v>
      </c>
      <c r="T928" s="49">
        <f>IFERROR(__xludf.DUMMYFUNCTION("""COMPUTED_VALUE"""),2.0)</f>
        <v>2</v>
      </c>
      <c r="U928" s="50" t="str">
        <f>IFERROR(__xludf.DUMMYFUNCTION("""COMPUTED_VALUE"""),"A304")</f>
        <v>A304</v>
      </c>
      <c r="V928" s="38" t="str">
        <f>IFERROR(__xludf.DUMMYFUNCTION("""COMPUTED_VALUE"""),"")</f>
        <v/>
      </c>
      <c r="W928" s="45">
        <f>IFERROR(__xludf.DUMMYFUNCTION("""COMPUTED_VALUE"""),72.6)</f>
        <v>72.6</v>
      </c>
      <c r="X928" s="46" t="str">
        <f>IFERROR(__xludf.DUMMYFUNCTION("""COMPUTED_VALUE"""),"AP")</f>
        <v>AP</v>
      </c>
      <c r="Y928" s="47">
        <f>IFERROR(__xludf.DUMMYFUNCTION("""COMPUTED_VALUE"""),28.9)</f>
        <v>28.9</v>
      </c>
      <c r="Z928" s="48" t="str">
        <f>IFERROR(__xludf.DUMMYFUNCTION("""COMPUTED_VALUE"""),"%")</f>
        <v>%</v>
      </c>
      <c r="AA928" s="49">
        <f>IFERROR(__xludf.DUMMYFUNCTION("""COMPUTED_VALUE"""),3.0)</f>
        <v>3</v>
      </c>
      <c r="AB928" s="50" t="str">
        <f>IFERROR(__xludf.DUMMYFUNCTION("""COMPUTED_VALUE"""),"B103")</f>
        <v>B103</v>
      </c>
      <c r="AC928" s="38" t="str">
        <f>IFERROR(__xludf.DUMMYFUNCTION("""COMPUTED_VALUE"""),"")</f>
        <v/>
      </c>
      <c r="AD928" s="45">
        <f>IFERROR(__xludf.DUMMYFUNCTION("""COMPUTED_VALUE"""),528.5)</f>
        <v>528.5</v>
      </c>
      <c r="AE928" s="46" t="str">
        <f>IFERROR(__xludf.DUMMYFUNCTION("""COMPUTED_VALUE"""),"AP")</f>
        <v>AP</v>
      </c>
      <c r="AF928" s="47">
        <f>IFERROR(__xludf.DUMMYFUNCTION("""COMPUTED_VALUE"""),4.0)</f>
        <v>4</v>
      </c>
      <c r="AG928" s="48" t="str">
        <f>IFERROR(__xludf.DUMMYFUNCTION("""COMPUTED_VALUE"""),"%")</f>
        <v>%</v>
      </c>
      <c r="AH928" s="43">
        <f>IFERROR(__xludf.DUMMYFUNCTION("""COMPUTED_VALUE"""),21.0)</f>
        <v>21</v>
      </c>
      <c r="AI928" s="44">
        <f>IFERROR(__xludf.DUMMYFUNCTION("""COMPUTED_VALUE"""),2591.0)</f>
        <v>2591</v>
      </c>
      <c r="AJ928" s="51" t="str">
        <f>IFERROR(__xludf.DUMMYFUNCTION("""COMPUTED_VALUE"""),"土気城")</f>
        <v>土気城</v>
      </c>
    </row>
    <row r="929" ht="24.75" customHeight="1">
      <c r="A929" s="28">
        <f>IFERROR(__xludf.DUMMYFUNCTION("""COMPUTED_VALUE"""),7.0)</f>
        <v>7</v>
      </c>
      <c r="B929" s="28" t="str">
        <f>IFERROR(__xludf.DUMMYFUNCTION("""COMPUTED_VALUE"""),"A112")</f>
        <v>A112</v>
      </c>
      <c r="C929" s="28"/>
      <c r="D929" s="29"/>
      <c r="E929" s="67"/>
      <c r="F929" s="31"/>
      <c r="G929" s="32"/>
      <c r="H929" s="33" t="str">
        <f>IFERROR(__xludf.DUMMYFUNCTION("""COMPUTED_VALUE""")," ")</f>
        <v> </v>
      </c>
      <c r="I929" s="34"/>
      <c r="J929" s="35" t="str">
        <f>IFERROR(__xludf.DUMMYFUNCTION("""COMPUTED_VALUE"""),"AP")</f>
        <v>AP</v>
      </c>
      <c r="K929" s="34"/>
      <c r="L929" s="35" t="str">
        <f>IFERROR(__xludf.DUMMYFUNCTION("""COMPUTED_VALUE"""),"%")</f>
        <v>%</v>
      </c>
      <c r="M929" s="36">
        <f>IFERROR(__xludf.DUMMYFUNCTION("""COMPUTED_VALUE"""),1.0)</f>
        <v>1</v>
      </c>
      <c r="N929" s="37"/>
      <c r="O929" s="38"/>
      <c r="P929" s="34" t="str">
        <f>IFERROR(__xludf.DUMMYFUNCTION("""COMPUTED_VALUE"""),"")</f>
        <v/>
      </c>
      <c r="Q929" s="35" t="str">
        <f>IFERROR(__xludf.DUMMYFUNCTION("""COMPUTED_VALUE"""),"AP")</f>
        <v>AP</v>
      </c>
      <c r="R929" s="34" t="str">
        <f>IFERROR(__xludf.DUMMYFUNCTION("""COMPUTED_VALUE"""),"")</f>
        <v/>
      </c>
      <c r="S929" s="35" t="str">
        <f>IFERROR(__xludf.DUMMYFUNCTION("""COMPUTED_VALUE"""),"%")</f>
        <v>%</v>
      </c>
      <c r="T929" s="36">
        <f>IFERROR(__xludf.DUMMYFUNCTION("""COMPUTED_VALUE"""),2.0)</f>
        <v>2</v>
      </c>
      <c r="U929" s="37"/>
      <c r="V929" s="38"/>
      <c r="W929" s="34" t="str">
        <f>IFERROR(__xludf.DUMMYFUNCTION("""COMPUTED_VALUE"""),"")</f>
        <v/>
      </c>
      <c r="X929" s="35" t="str">
        <f>IFERROR(__xludf.DUMMYFUNCTION("""COMPUTED_VALUE"""),"AP")</f>
        <v>AP</v>
      </c>
      <c r="Y929" s="34" t="str">
        <f>IFERROR(__xludf.DUMMYFUNCTION("""COMPUTED_VALUE"""),"")</f>
        <v/>
      </c>
      <c r="Z929" s="35" t="str">
        <f>IFERROR(__xludf.DUMMYFUNCTION("""COMPUTED_VALUE"""),"%")</f>
        <v>%</v>
      </c>
      <c r="AA929" s="36">
        <f>IFERROR(__xludf.DUMMYFUNCTION("""COMPUTED_VALUE"""),3.0)</f>
        <v>3</v>
      </c>
      <c r="AB929" s="37"/>
      <c r="AC929" s="38"/>
      <c r="AD929" s="34" t="str">
        <f>IFERROR(__xludf.DUMMYFUNCTION("""COMPUTED_VALUE"""),"")</f>
        <v/>
      </c>
      <c r="AE929" s="35" t="str">
        <f>IFERROR(__xludf.DUMMYFUNCTION("""COMPUTED_VALUE"""),"AP")</f>
        <v>AP</v>
      </c>
      <c r="AF929" s="34" t="str">
        <f>IFERROR(__xludf.DUMMYFUNCTION("""COMPUTED_VALUE"""),"")</f>
        <v/>
      </c>
      <c r="AG929" s="35" t="str">
        <f>IFERROR(__xludf.DUMMYFUNCTION("""COMPUTED_VALUE"""),"%")</f>
        <v>%</v>
      </c>
      <c r="AH929" s="31"/>
      <c r="AI929" s="32"/>
      <c r="AJ929" s="39"/>
    </row>
    <row r="930" ht="24.75" hidden="1" customHeight="1">
      <c r="A930" s="40">
        <f>IFERROR(__xludf.DUMMYFUNCTION("""COMPUTED_VALUE"""),8.0)</f>
        <v>8</v>
      </c>
      <c r="B930" s="40" t="str">
        <f>IFERROR(__xludf.DUMMYFUNCTION("""COMPUTED_VALUE"""),"A112")</f>
        <v>A112</v>
      </c>
      <c r="C930" s="40"/>
      <c r="D930" s="41"/>
      <c r="E930" s="66"/>
      <c r="F930" s="43"/>
      <c r="G930" s="44"/>
      <c r="H930" s="33" t="str">
        <f>IFERROR(__xludf.DUMMYFUNCTION("""COMPUTED_VALUE""")," ")</f>
        <v> </v>
      </c>
      <c r="I930" s="45"/>
      <c r="J930" s="46" t="str">
        <f>IFERROR(__xludf.DUMMYFUNCTION("""COMPUTED_VALUE"""),"AP")</f>
        <v>AP</v>
      </c>
      <c r="K930" s="47"/>
      <c r="L930" s="48" t="str">
        <f>IFERROR(__xludf.DUMMYFUNCTION("""COMPUTED_VALUE"""),"%")</f>
        <v>%</v>
      </c>
      <c r="M930" s="49">
        <f>IFERROR(__xludf.DUMMYFUNCTION("""COMPUTED_VALUE"""),1.0)</f>
        <v>1</v>
      </c>
      <c r="N930" s="50"/>
      <c r="O930" s="38"/>
      <c r="P930" s="45" t="str">
        <f>IFERROR(__xludf.DUMMYFUNCTION("""COMPUTED_VALUE"""),"")</f>
        <v/>
      </c>
      <c r="Q930" s="46" t="str">
        <f>IFERROR(__xludf.DUMMYFUNCTION("""COMPUTED_VALUE"""),"AP")</f>
        <v>AP</v>
      </c>
      <c r="R930" s="47" t="str">
        <f>IFERROR(__xludf.DUMMYFUNCTION("""COMPUTED_VALUE"""),"")</f>
        <v/>
      </c>
      <c r="S930" s="48" t="str">
        <f>IFERROR(__xludf.DUMMYFUNCTION("""COMPUTED_VALUE"""),"%")</f>
        <v>%</v>
      </c>
      <c r="T930" s="49">
        <f>IFERROR(__xludf.DUMMYFUNCTION("""COMPUTED_VALUE"""),2.0)</f>
        <v>2</v>
      </c>
      <c r="U930" s="50"/>
      <c r="V930" s="38"/>
      <c r="W930" s="45" t="str">
        <f>IFERROR(__xludf.DUMMYFUNCTION("""COMPUTED_VALUE"""),"")</f>
        <v/>
      </c>
      <c r="X930" s="46" t="str">
        <f>IFERROR(__xludf.DUMMYFUNCTION("""COMPUTED_VALUE"""),"AP")</f>
        <v>AP</v>
      </c>
      <c r="Y930" s="47" t="str">
        <f>IFERROR(__xludf.DUMMYFUNCTION("""COMPUTED_VALUE"""),"")</f>
        <v/>
      </c>
      <c r="Z930" s="48" t="str">
        <f>IFERROR(__xludf.DUMMYFUNCTION("""COMPUTED_VALUE"""),"%")</f>
        <v>%</v>
      </c>
      <c r="AA930" s="49">
        <f>IFERROR(__xludf.DUMMYFUNCTION("""COMPUTED_VALUE"""),3.0)</f>
        <v>3</v>
      </c>
      <c r="AB930" s="50"/>
      <c r="AC930" s="38"/>
      <c r="AD930" s="45" t="str">
        <f>IFERROR(__xludf.DUMMYFUNCTION("""COMPUTED_VALUE"""),"")</f>
        <v/>
      </c>
      <c r="AE930" s="46" t="str">
        <f>IFERROR(__xludf.DUMMYFUNCTION("""COMPUTED_VALUE"""),"AP")</f>
        <v>AP</v>
      </c>
      <c r="AF930" s="47" t="str">
        <f>IFERROR(__xludf.DUMMYFUNCTION("""COMPUTED_VALUE"""),"")</f>
        <v/>
      </c>
      <c r="AG930" s="48" t="str">
        <f>IFERROR(__xludf.DUMMYFUNCTION("""COMPUTED_VALUE"""),"%")</f>
        <v>%</v>
      </c>
      <c r="AH930" s="43"/>
      <c r="AI930" s="44"/>
      <c r="AJ930" s="51"/>
    </row>
    <row r="931" ht="24.75" hidden="1" customHeight="1">
      <c r="A931" s="28">
        <f>IFERROR(__xludf.DUMMYFUNCTION("""COMPUTED_VALUE"""),9.0)</f>
        <v>9</v>
      </c>
      <c r="B931" s="28" t="str">
        <f>IFERROR(__xludf.DUMMYFUNCTION("""COMPUTED_VALUE"""),"A112")</f>
        <v>A112</v>
      </c>
      <c r="C931" s="28"/>
      <c r="D931" s="29"/>
      <c r="E931" s="67"/>
      <c r="F931" s="31"/>
      <c r="G931" s="32"/>
      <c r="H931" s="33" t="str">
        <f>IFERROR(__xludf.DUMMYFUNCTION("""COMPUTED_VALUE""")," ")</f>
        <v> </v>
      </c>
      <c r="I931" s="34"/>
      <c r="J931" s="35" t="str">
        <f>IFERROR(__xludf.DUMMYFUNCTION("""COMPUTED_VALUE"""),"AP")</f>
        <v>AP</v>
      </c>
      <c r="K931" s="34"/>
      <c r="L931" s="35" t="str">
        <f>IFERROR(__xludf.DUMMYFUNCTION("""COMPUTED_VALUE"""),"%")</f>
        <v>%</v>
      </c>
      <c r="M931" s="36">
        <f>IFERROR(__xludf.DUMMYFUNCTION("""COMPUTED_VALUE"""),1.0)</f>
        <v>1</v>
      </c>
      <c r="N931" s="37"/>
      <c r="O931" s="38"/>
      <c r="P931" s="34" t="str">
        <f>IFERROR(__xludf.DUMMYFUNCTION("""COMPUTED_VALUE"""),"")</f>
        <v/>
      </c>
      <c r="Q931" s="35" t="str">
        <f>IFERROR(__xludf.DUMMYFUNCTION("""COMPUTED_VALUE"""),"AP")</f>
        <v>AP</v>
      </c>
      <c r="R931" s="34" t="str">
        <f>IFERROR(__xludf.DUMMYFUNCTION("""COMPUTED_VALUE"""),"")</f>
        <v/>
      </c>
      <c r="S931" s="35" t="str">
        <f>IFERROR(__xludf.DUMMYFUNCTION("""COMPUTED_VALUE"""),"%")</f>
        <v>%</v>
      </c>
      <c r="T931" s="36">
        <f>IFERROR(__xludf.DUMMYFUNCTION("""COMPUTED_VALUE"""),2.0)</f>
        <v>2</v>
      </c>
      <c r="U931" s="37"/>
      <c r="V931" s="38"/>
      <c r="W931" s="34" t="str">
        <f>IFERROR(__xludf.DUMMYFUNCTION("""COMPUTED_VALUE"""),"")</f>
        <v/>
      </c>
      <c r="X931" s="35" t="str">
        <f>IFERROR(__xludf.DUMMYFUNCTION("""COMPUTED_VALUE"""),"AP")</f>
        <v>AP</v>
      </c>
      <c r="Y931" s="34" t="str">
        <f>IFERROR(__xludf.DUMMYFUNCTION("""COMPUTED_VALUE"""),"")</f>
        <v/>
      </c>
      <c r="Z931" s="35" t="str">
        <f>IFERROR(__xludf.DUMMYFUNCTION("""COMPUTED_VALUE"""),"%")</f>
        <v>%</v>
      </c>
      <c r="AA931" s="36">
        <f>IFERROR(__xludf.DUMMYFUNCTION("""COMPUTED_VALUE"""),3.0)</f>
        <v>3</v>
      </c>
      <c r="AB931" s="37"/>
      <c r="AC931" s="38"/>
      <c r="AD931" s="34" t="str">
        <f>IFERROR(__xludf.DUMMYFUNCTION("""COMPUTED_VALUE"""),"")</f>
        <v/>
      </c>
      <c r="AE931" s="35" t="str">
        <f>IFERROR(__xludf.DUMMYFUNCTION("""COMPUTED_VALUE"""),"AP")</f>
        <v>AP</v>
      </c>
      <c r="AF931" s="34" t="str">
        <f>IFERROR(__xludf.DUMMYFUNCTION("""COMPUTED_VALUE"""),"")</f>
        <v/>
      </c>
      <c r="AG931" s="35" t="str">
        <f>IFERROR(__xludf.DUMMYFUNCTION("""COMPUTED_VALUE"""),"%")</f>
        <v>%</v>
      </c>
      <c r="AH931" s="31"/>
      <c r="AI931" s="32"/>
      <c r="AJ931" s="39"/>
    </row>
    <row r="932" ht="24.75" hidden="1" customHeight="1">
      <c r="A932" s="40">
        <f>IFERROR(__xludf.DUMMYFUNCTION("""COMPUTED_VALUE"""),10.0)</f>
        <v>10</v>
      </c>
      <c r="B932" s="40" t="str">
        <f>IFERROR(__xludf.DUMMYFUNCTION("""COMPUTED_VALUE"""),"A112")</f>
        <v>A112</v>
      </c>
      <c r="C932" s="40"/>
      <c r="D932" s="41"/>
      <c r="E932" s="66"/>
      <c r="F932" s="43"/>
      <c r="G932" s="44"/>
      <c r="H932" s="33" t="str">
        <f>IFERROR(__xludf.DUMMYFUNCTION("""COMPUTED_VALUE""")," ")</f>
        <v> </v>
      </c>
      <c r="I932" s="45"/>
      <c r="J932" s="46" t="str">
        <f>IFERROR(__xludf.DUMMYFUNCTION("""COMPUTED_VALUE"""),"AP")</f>
        <v>AP</v>
      </c>
      <c r="K932" s="47"/>
      <c r="L932" s="48" t="str">
        <f>IFERROR(__xludf.DUMMYFUNCTION("""COMPUTED_VALUE"""),"%")</f>
        <v>%</v>
      </c>
      <c r="M932" s="49">
        <f>IFERROR(__xludf.DUMMYFUNCTION("""COMPUTED_VALUE"""),1.0)</f>
        <v>1</v>
      </c>
      <c r="N932" s="50"/>
      <c r="O932" s="38"/>
      <c r="P932" s="45" t="str">
        <f>IFERROR(__xludf.DUMMYFUNCTION("""COMPUTED_VALUE"""),"")</f>
        <v/>
      </c>
      <c r="Q932" s="46" t="str">
        <f>IFERROR(__xludf.DUMMYFUNCTION("""COMPUTED_VALUE"""),"AP")</f>
        <v>AP</v>
      </c>
      <c r="R932" s="47" t="str">
        <f>IFERROR(__xludf.DUMMYFUNCTION("""COMPUTED_VALUE"""),"")</f>
        <v/>
      </c>
      <c r="S932" s="48" t="str">
        <f>IFERROR(__xludf.DUMMYFUNCTION("""COMPUTED_VALUE"""),"%")</f>
        <v>%</v>
      </c>
      <c r="T932" s="49">
        <f>IFERROR(__xludf.DUMMYFUNCTION("""COMPUTED_VALUE"""),2.0)</f>
        <v>2</v>
      </c>
      <c r="U932" s="50"/>
      <c r="V932" s="38"/>
      <c r="W932" s="45" t="str">
        <f>IFERROR(__xludf.DUMMYFUNCTION("""COMPUTED_VALUE"""),"")</f>
        <v/>
      </c>
      <c r="X932" s="46" t="str">
        <f>IFERROR(__xludf.DUMMYFUNCTION("""COMPUTED_VALUE"""),"AP")</f>
        <v>AP</v>
      </c>
      <c r="Y932" s="47" t="str">
        <f>IFERROR(__xludf.DUMMYFUNCTION("""COMPUTED_VALUE"""),"")</f>
        <v/>
      </c>
      <c r="Z932" s="48" t="str">
        <f>IFERROR(__xludf.DUMMYFUNCTION("""COMPUTED_VALUE"""),"%")</f>
        <v>%</v>
      </c>
      <c r="AA932" s="49">
        <f>IFERROR(__xludf.DUMMYFUNCTION("""COMPUTED_VALUE"""),3.0)</f>
        <v>3</v>
      </c>
      <c r="AB932" s="50"/>
      <c r="AC932" s="38"/>
      <c r="AD932" s="45" t="str">
        <f>IFERROR(__xludf.DUMMYFUNCTION("""COMPUTED_VALUE"""),"")</f>
        <v/>
      </c>
      <c r="AE932" s="46" t="str">
        <f>IFERROR(__xludf.DUMMYFUNCTION("""COMPUTED_VALUE"""),"AP")</f>
        <v>AP</v>
      </c>
      <c r="AF932" s="47" t="str">
        <f>IFERROR(__xludf.DUMMYFUNCTION("""COMPUTED_VALUE"""),"")</f>
        <v/>
      </c>
      <c r="AG932" s="48" t="str">
        <f>IFERROR(__xludf.DUMMYFUNCTION("""COMPUTED_VALUE"""),"%")</f>
        <v>%</v>
      </c>
      <c r="AH932" s="43"/>
      <c r="AI932" s="44"/>
      <c r="AJ932" s="51"/>
    </row>
    <row r="933" ht="24.75" hidden="1" customHeight="1">
      <c r="A933" s="28">
        <f>IFERROR(__xludf.DUMMYFUNCTION("""COMPUTED_VALUE"""),11.0)</f>
        <v>11</v>
      </c>
      <c r="B933" s="28" t="str">
        <f>IFERROR(__xludf.DUMMYFUNCTION("""COMPUTED_VALUE"""),"A112")</f>
        <v>A112</v>
      </c>
      <c r="C933" s="28"/>
      <c r="D933" s="29"/>
      <c r="E933" s="67"/>
      <c r="F933" s="31"/>
      <c r="G933" s="32"/>
      <c r="H933" s="33" t="str">
        <f>IFERROR(__xludf.DUMMYFUNCTION("""COMPUTED_VALUE""")," ")</f>
        <v> </v>
      </c>
      <c r="I933" s="34"/>
      <c r="J933" s="35" t="str">
        <f>IFERROR(__xludf.DUMMYFUNCTION("""COMPUTED_VALUE"""),"AP")</f>
        <v>AP</v>
      </c>
      <c r="K933" s="34"/>
      <c r="L933" s="35" t="str">
        <f>IFERROR(__xludf.DUMMYFUNCTION("""COMPUTED_VALUE"""),"%")</f>
        <v>%</v>
      </c>
      <c r="M933" s="36">
        <f>IFERROR(__xludf.DUMMYFUNCTION("""COMPUTED_VALUE"""),1.0)</f>
        <v>1</v>
      </c>
      <c r="N933" s="37"/>
      <c r="O933" s="38"/>
      <c r="P933" s="34" t="str">
        <f>IFERROR(__xludf.DUMMYFUNCTION("""COMPUTED_VALUE"""),"")</f>
        <v/>
      </c>
      <c r="Q933" s="35" t="str">
        <f>IFERROR(__xludf.DUMMYFUNCTION("""COMPUTED_VALUE"""),"AP")</f>
        <v>AP</v>
      </c>
      <c r="R933" s="34" t="str">
        <f>IFERROR(__xludf.DUMMYFUNCTION("""COMPUTED_VALUE"""),"")</f>
        <v/>
      </c>
      <c r="S933" s="35" t="str">
        <f>IFERROR(__xludf.DUMMYFUNCTION("""COMPUTED_VALUE"""),"%")</f>
        <v>%</v>
      </c>
      <c r="T933" s="36">
        <f>IFERROR(__xludf.DUMMYFUNCTION("""COMPUTED_VALUE"""),2.0)</f>
        <v>2</v>
      </c>
      <c r="U933" s="37"/>
      <c r="V933" s="38"/>
      <c r="W933" s="34" t="str">
        <f>IFERROR(__xludf.DUMMYFUNCTION("""COMPUTED_VALUE"""),"")</f>
        <v/>
      </c>
      <c r="X933" s="35" t="str">
        <f>IFERROR(__xludf.DUMMYFUNCTION("""COMPUTED_VALUE"""),"AP")</f>
        <v>AP</v>
      </c>
      <c r="Y933" s="34" t="str">
        <f>IFERROR(__xludf.DUMMYFUNCTION("""COMPUTED_VALUE"""),"")</f>
        <v/>
      </c>
      <c r="Z933" s="35" t="str">
        <f>IFERROR(__xludf.DUMMYFUNCTION("""COMPUTED_VALUE"""),"%")</f>
        <v>%</v>
      </c>
      <c r="AA933" s="36">
        <f>IFERROR(__xludf.DUMMYFUNCTION("""COMPUTED_VALUE"""),3.0)</f>
        <v>3</v>
      </c>
      <c r="AB933" s="37"/>
      <c r="AC933" s="38"/>
      <c r="AD933" s="34" t="str">
        <f>IFERROR(__xludf.DUMMYFUNCTION("""COMPUTED_VALUE"""),"")</f>
        <v/>
      </c>
      <c r="AE933" s="35" t="str">
        <f>IFERROR(__xludf.DUMMYFUNCTION("""COMPUTED_VALUE"""),"AP")</f>
        <v>AP</v>
      </c>
      <c r="AF933" s="34" t="str">
        <f>IFERROR(__xludf.DUMMYFUNCTION("""COMPUTED_VALUE"""),"")</f>
        <v/>
      </c>
      <c r="AG933" s="35" t="str">
        <f>IFERROR(__xludf.DUMMYFUNCTION("""COMPUTED_VALUE"""),"%")</f>
        <v>%</v>
      </c>
      <c r="AH933" s="31"/>
      <c r="AI933" s="32"/>
      <c r="AJ933" s="39"/>
    </row>
    <row r="934" ht="24.75" hidden="1" customHeight="1">
      <c r="A934" s="40">
        <f>IFERROR(__xludf.DUMMYFUNCTION("""COMPUTED_VALUE"""),12.0)</f>
        <v>12</v>
      </c>
      <c r="B934" s="40" t="str">
        <f>IFERROR(__xludf.DUMMYFUNCTION("""COMPUTED_VALUE"""),"A112")</f>
        <v>A112</v>
      </c>
      <c r="C934" s="40"/>
      <c r="D934" s="41"/>
      <c r="E934" s="66"/>
      <c r="F934" s="43"/>
      <c r="G934" s="44"/>
      <c r="H934" s="33" t="str">
        <f>IFERROR(__xludf.DUMMYFUNCTION("""COMPUTED_VALUE""")," ")</f>
        <v> </v>
      </c>
      <c r="I934" s="45"/>
      <c r="J934" s="46" t="str">
        <f>IFERROR(__xludf.DUMMYFUNCTION("""COMPUTED_VALUE"""),"AP")</f>
        <v>AP</v>
      </c>
      <c r="K934" s="47"/>
      <c r="L934" s="48" t="str">
        <f>IFERROR(__xludf.DUMMYFUNCTION("""COMPUTED_VALUE"""),"%")</f>
        <v>%</v>
      </c>
      <c r="M934" s="49">
        <f>IFERROR(__xludf.DUMMYFUNCTION("""COMPUTED_VALUE"""),1.0)</f>
        <v>1</v>
      </c>
      <c r="N934" s="50"/>
      <c r="O934" s="38"/>
      <c r="P934" s="45" t="str">
        <f>IFERROR(__xludf.DUMMYFUNCTION("""COMPUTED_VALUE"""),"")</f>
        <v/>
      </c>
      <c r="Q934" s="46" t="str">
        <f>IFERROR(__xludf.DUMMYFUNCTION("""COMPUTED_VALUE"""),"AP")</f>
        <v>AP</v>
      </c>
      <c r="R934" s="47" t="str">
        <f>IFERROR(__xludf.DUMMYFUNCTION("""COMPUTED_VALUE"""),"")</f>
        <v/>
      </c>
      <c r="S934" s="48" t="str">
        <f>IFERROR(__xludf.DUMMYFUNCTION("""COMPUTED_VALUE"""),"%")</f>
        <v>%</v>
      </c>
      <c r="T934" s="49">
        <f>IFERROR(__xludf.DUMMYFUNCTION("""COMPUTED_VALUE"""),2.0)</f>
        <v>2</v>
      </c>
      <c r="U934" s="50"/>
      <c r="V934" s="38"/>
      <c r="W934" s="45" t="str">
        <f>IFERROR(__xludf.DUMMYFUNCTION("""COMPUTED_VALUE"""),"")</f>
        <v/>
      </c>
      <c r="X934" s="46" t="str">
        <f>IFERROR(__xludf.DUMMYFUNCTION("""COMPUTED_VALUE"""),"AP")</f>
        <v>AP</v>
      </c>
      <c r="Y934" s="47" t="str">
        <f>IFERROR(__xludf.DUMMYFUNCTION("""COMPUTED_VALUE"""),"")</f>
        <v/>
      </c>
      <c r="Z934" s="48" t="str">
        <f>IFERROR(__xludf.DUMMYFUNCTION("""COMPUTED_VALUE"""),"%")</f>
        <v>%</v>
      </c>
      <c r="AA934" s="49">
        <f>IFERROR(__xludf.DUMMYFUNCTION("""COMPUTED_VALUE"""),3.0)</f>
        <v>3</v>
      </c>
      <c r="AB934" s="50"/>
      <c r="AC934" s="38"/>
      <c r="AD934" s="45" t="str">
        <f>IFERROR(__xludf.DUMMYFUNCTION("""COMPUTED_VALUE"""),"")</f>
        <v/>
      </c>
      <c r="AE934" s="46" t="str">
        <f>IFERROR(__xludf.DUMMYFUNCTION("""COMPUTED_VALUE"""),"AP")</f>
        <v>AP</v>
      </c>
      <c r="AF934" s="47" t="str">
        <f>IFERROR(__xludf.DUMMYFUNCTION("""COMPUTED_VALUE"""),"")</f>
        <v/>
      </c>
      <c r="AG934" s="48" t="str">
        <f>IFERROR(__xludf.DUMMYFUNCTION("""COMPUTED_VALUE"""),"%")</f>
        <v>%</v>
      </c>
      <c r="AH934" s="43"/>
      <c r="AI934" s="44"/>
      <c r="AJ934" s="51"/>
    </row>
    <row r="935" ht="24.75" hidden="1" customHeight="1">
      <c r="A935" s="28">
        <f>IFERROR(__xludf.DUMMYFUNCTION("""COMPUTED_VALUE"""),13.0)</f>
        <v>13</v>
      </c>
      <c r="B935" s="28" t="str">
        <f>IFERROR(__xludf.DUMMYFUNCTION("""COMPUTED_VALUE"""),"A112")</f>
        <v>A112</v>
      </c>
      <c r="C935" s="28"/>
      <c r="D935" s="29"/>
      <c r="E935" s="67"/>
      <c r="F935" s="31"/>
      <c r="G935" s="32"/>
      <c r="H935" s="33" t="str">
        <f>IFERROR(__xludf.DUMMYFUNCTION("""COMPUTED_VALUE""")," ")</f>
        <v> </v>
      </c>
      <c r="I935" s="34"/>
      <c r="J935" s="35" t="str">
        <f>IFERROR(__xludf.DUMMYFUNCTION("""COMPUTED_VALUE"""),"AP")</f>
        <v>AP</v>
      </c>
      <c r="K935" s="34"/>
      <c r="L935" s="35" t="str">
        <f>IFERROR(__xludf.DUMMYFUNCTION("""COMPUTED_VALUE"""),"%")</f>
        <v>%</v>
      </c>
      <c r="M935" s="36">
        <f>IFERROR(__xludf.DUMMYFUNCTION("""COMPUTED_VALUE"""),1.0)</f>
        <v>1</v>
      </c>
      <c r="N935" s="37"/>
      <c r="O935" s="38"/>
      <c r="P935" s="34" t="str">
        <f>IFERROR(__xludf.DUMMYFUNCTION("""COMPUTED_VALUE"""),"")</f>
        <v/>
      </c>
      <c r="Q935" s="35" t="str">
        <f>IFERROR(__xludf.DUMMYFUNCTION("""COMPUTED_VALUE"""),"AP")</f>
        <v>AP</v>
      </c>
      <c r="R935" s="34" t="str">
        <f>IFERROR(__xludf.DUMMYFUNCTION("""COMPUTED_VALUE"""),"")</f>
        <v/>
      </c>
      <c r="S935" s="35" t="str">
        <f>IFERROR(__xludf.DUMMYFUNCTION("""COMPUTED_VALUE"""),"%")</f>
        <v>%</v>
      </c>
      <c r="T935" s="36">
        <f>IFERROR(__xludf.DUMMYFUNCTION("""COMPUTED_VALUE"""),2.0)</f>
        <v>2</v>
      </c>
      <c r="U935" s="37"/>
      <c r="V935" s="38"/>
      <c r="W935" s="34" t="str">
        <f>IFERROR(__xludf.DUMMYFUNCTION("""COMPUTED_VALUE"""),"")</f>
        <v/>
      </c>
      <c r="X935" s="35" t="str">
        <f>IFERROR(__xludf.DUMMYFUNCTION("""COMPUTED_VALUE"""),"AP")</f>
        <v>AP</v>
      </c>
      <c r="Y935" s="34" t="str">
        <f>IFERROR(__xludf.DUMMYFUNCTION("""COMPUTED_VALUE"""),"")</f>
        <v/>
      </c>
      <c r="Z935" s="35" t="str">
        <f>IFERROR(__xludf.DUMMYFUNCTION("""COMPUTED_VALUE"""),"%")</f>
        <v>%</v>
      </c>
      <c r="AA935" s="36">
        <f>IFERROR(__xludf.DUMMYFUNCTION("""COMPUTED_VALUE"""),3.0)</f>
        <v>3</v>
      </c>
      <c r="AB935" s="37"/>
      <c r="AC935" s="38"/>
      <c r="AD935" s="34" t="str">
        <f>IFERROR(__xludf.DUMMYFUNCTION("""COMPUTED_VALUE"""),"")</f>
        <v/>
      </c>
      <c r="AE935" s="35" t="str">
        <f>IFERROR(__xludf.DUMMYFUNCTION("""COMPUTED_VALUE"""),"AP")</f>
        <v>AP</v>
      </c>
      <c r="AF935" s="34" t="str">
        <f>IFERROR(__xludf.DUMMYFUNCTION("""COMPUTED_VALUE"""),"")</f>
        <v/>
      </c>
      <c r="AG935" s="35" t="str">
        <f>IFERROR(__xludf.DUMMYFUNCTION("""COMPUTED_VALUE"""),"%")</f>
        <v>%</v>
      </c>
      <c r="AH935" s="31"/>
      <c r="AI935" s="32"/>
      <c r="AJ935" s="39"/>
    </row>
    <row r="936" ht="24.75" hidden="1" customHeight="1">
      <c r="A936" s="40">
        <f>IFERROR(__xludf.DUMMYFUNCTION("""COMPUTED_VALUE"""),14.0)</f>
        <v>14</v>
      </c>
      <c r="B936" s="40" t="str">
        <f>IFERROR(__xludf.DUMMYFUNCTION("""COMPUTED_VALUE"""),"A112")</f>
        <v>A112</v>
      </c>
      <c r="C936" s="40"/>
      <c r="D936" s="41"/>
      <c r="E936" s="66"/>
      <c r="F936" s="43"/>
      <c r="G936" s="44"/>
      <c r="H936" s="33" t="str">
        <f>IFERROR(__xludf.DUMMYFUNCTION("""COMPUTED_VALUE""")," ")</f>
        <v> </v>
      </c>
      <c r="I936" s="45"/>
      <c r="J936" s="46" t="str">
        <f>IFERROR(__xludf.DUMMYFUNCTION("""COMPUTED_VALUE"""),"AP")</f>
        <v>AP</v>
      </c>
      <c r="K936" s="47"/>
      <c r="L936" s="48" t="str">
        <f>IFERROR(__xludf.DUMMYFUNCTION("""COMPUTED_VALUE"""),"%")</f>
        <v>%</v>
      </c>
      <c r="M936" s="49">
        <f>IFERROR(__xludf.DUMMYFUNCTION("""COMPUTED_VALUE"""),1.0)</f>
        <v>1</v>
      </c>
      <c r="N936" s="50"/>
      <c r="O936" s="38"/>
      <c r="P936" s="45" t="str">
        <f>IFERROR(__xludf.DUMMYFUNCTION("""COMPUTED_VALUE"""),"")</f>
        <v/>
      </c>
      <c r="Q936" s="46" t="str">
        <f>IFERROR(__xludf.DUMMYFUNCTION("""COMPUTED_VALUE"""),"AP")</f>
        <v>AP</v>
      </c>
      <c r="R936" s="47" t="str">
        <f>IFERROR(__xludf.DUMMYFUNCTION("""COMPUTED_VALUE"""),"")</f>
        <v/>
      </c>
      <c r="S936" s="48" t="str">
        <f>IFERROR(__xludf.DUMMYFUNCTION("""COMPUTED_VALUE"""),"%")</f>
        <v>%</v>
      </c>
      <c r="T936" s="49">
        <f>IFERROR(__xludf.DUMMYFUNCTION("""COMPUTED_VALUE"""),2.0)</f>
        <v>2</v>
      </c>
      <c r="U936" s="50"/>
      <c r="V936" s="38"/>
      <c r="W936" s="45" t="str">
        <f>IFERROR(__xludf.DUMMYFUNCTION("""COMPUTED_VALUE"""),"")</f>
        <v/>
      </c>
      <c r="X936" s="46" t="str">
        <f>IFERROR(__xludf.DUMMYFUNCTION("""COMPUTED_VALUE"""),"AP")</f>
        <v>AP</v>
      </c>
      <c r="Y936" s="47" t="str">
        <f>IFERROR(__xludf.DUMMYFUNCTION("""COMPUTED_VALUE"""),"")</f>
        <v/>
      </c>
      <c r="Z936" s="48" t="str">
        <f>IFERROR(__xludf.DUMMYFUNCTION("""COMPUTED_VALUE"""),"%")</f>
        <v>%</v>
      </c>
      <c r="AA936" s="49">
        <f>IFERROR(__xludf.DUMMYFUNCTION("""COMPUTED_VALUE"""),3.0)</f>
        <v>3</v>
      </c>
      <c r="AB936" s="50"/>
      <c r="AC936" s="38"/>
      <c r="AD936" s="45" t="str">
        <f>IFERROR(__xludf.DUMMYFUNCTION("""COMPUTED_VALUE"""),"")</f>
        <v/>
      </c>
      <c r="AE936" s="46" t="str">
        <f>IFERROR(__xludf.DUMMYFUNCTION("""COMPUTED_VALUE"""),"AP")</f>
        <v>AP</v>
      </c>
      <c r="AF936" s="47" t="str">
        <f>IFERROR(__xludf.DUMMYFUNCTION("""COMPUTED_VALUE"""),"")</f>
        <v/>
      </c>
      <c r="AG936" s="48" t="str">
        <f>IFERROR(__xludf.DUMMYFUNCTION("""COMPUTED_VALUE"""),"%")</f>
        <v>%</v>
      </c>
      <c r="AH936" s="43"/>
      <c r="AI936" s="44"/>
      <c r="AJ936" s="51"/>
    </row>
    <row r="937" ht="24.75" hidden="1" customHeight="1">
      <c r="A937" s="28">
        <f>IFERROR(__xludf.DUMMYFUNCTION("""COMPUTED_VALUE"""),15.0)</f>
        <v>15</v>
      </c>
      <c r="B937" s="28" t="str">
        <f>IFERROR(__xludf.DUMMYFUNCTION("""COMPUTED_VALUE"""),"A112")</f>
        <v>A112</v>
      </c>
      <c r="C937" s="28"/>
      <c r="D937" s="29"/>
      <c r="E937" s="67"/>
      <c r="F937" s="31"/>
      <c r="G937" s="32"/>
      <c r="H937" s="33" t="str">
        <f>IFERROR(__xludf.DUMMYFUNCTION("""COMPUTED_VALUE""")," ")</f>
        <v> </v>
      </c>
      <c r="I937" s="34"/>
      <c r="J937" s="35" t="str">
        <f>IFERROR(__xludf.DUMMYFUNCTION("""COMPUTED_VALUE"""),"AP")</f>
        <v>AP</v>
      </c>
      <c r="K937" s="34"/>
      <c r="L937" s="35" t="str">
        <f>IFERROR(__xludf.DUMMYFUNCTION("""COMPUTED_VALUE"""),"%")</f>
        <v>%</v>
      </c>
      <c r="M937" s="36">
        <f>IFERROR(__xludf.DUMMYFUNCTION("""COMPUTED_VALUE"""),1.0)</f>
        <v>1</v>
      </c>
      <c r="N937" s="37"/>
      <c r="O937" s="38"/>
      <c r="P937" s="34" t="str">
        <f>IFERROR(__xludf.DUMMYFUNCTION("""COMPUTED_VALUE"""),"")</f>
        <v/>
      </c>
      <c r="Q937" s="35" t="str">
        <f>IFERROR(__xludf.DUMMYFUNCTION("""COMPUTED_VALUE"""),"AP")</f>
        <v>AP</v>
      </c>
      <c r="R937" s="34" t="str">
        <f>IFERROR(__xludf.DUMMYFUNCTION("""COMPUTED_VALUE"""),"")</f>
        <v/>
      </c>
      <c r="S937" s="35" t="str">
        <f>IFERROR(__xludf.DUMMYFUNCTION("""COMPUTED_VALUE"""),"%")</f>
        <v>%</v>
      </c>
      <c r="T937" s="36">
        <f>IFERROR(__xludf.DUMMYFUNCTION("""COMPUTED_VALUE"""),2.0)</f>
        <v>2</v>
      </c>
      <c r="U937" s="37"/>
      <c r="V937" s="38"/>
      <c r="W937" s="34" t="str">
        <f>IFERROR(__xludf.DUMMYFUNCTION("""COMPUTED_VALUE"""),"")</f>
        <v/>
      </c>
      <c r="X937" s="35" t="str">
        <f>IFERROR(__xludf.DUMMYFUNCTION("""COMPUTED_VALUE"""),"AP")</f>
        <v>AP</v>
      </c>
      <c r="Y937" s="34" t="str">
        <f>IFERROR(__xludf.DUMMYFUNCTION("""COMPUTED_VALUE"""),"")</f>
        <v/>
      </c>
      <c r="Z937" s="35" t="str">
        <f>IFERROR(__xludf.DUMMYFUNCTION("""COMPUTED_VALUE"""),"%")</f>
        <v>%</v>
      </c>
      <c r="AA937" s="36">
        <f>IFERROR(__xludf.DUMMYFUNCTION("""COMPUTED_VALUE"""),3.0)</f>
        <v>3</v>
      </c>
      <c r="AB937" s="37"/>
      <c r="AC937" s="38"/>
      <c r="AD937" s="34" t="str">
        <f>IFERROR(__xludf.DUMMYFUNCTION("""COMPUTED_VALUE"""),"")</f>
        <v/>
      </c>
      <c r="AE937" s="35" t="str">
        <f>IFERROR(__xludf.DUMMYFUNCTION("""COMPUTED_VALUE"""),"AP")</f>
        <v>AP</v>
      </c>
      <c r="AF937" s="34" t="str">
        <f>IFERROR(__xludf.DUMMYFUNCTION("""COMPUTED_VALUE"""),"")</f>
        <v/>
      </c>
      <c r="AG937" s="35" t="str">
        <f>IFERROR(__xludf.DUMMYFUNCTION("""COMPUTED_VALUE"""),"%")</f>
        <v>%</v>
      </c>
      <c r="AH937" s="31"/>
      <c r="AI937" s="32"/>
      <c r="AJ937" s="39"/>
    </row>
    <row r="938" ht="24.75" hidden="1" customHeight="1">
      <c r="A938" s="40">
        <f>IFERROR(__xludf.DUMMYFUNCTION("""COMPUTED_VALUE"""),16.0)</f>
        <v>16</v>
      </c>
      <c r="B938" s="40" t="str">
        <f>IFERROR(__xludf.DUMMYFUNCTION("""COMPUTED_VALUE"""),"A112")</f>
        <v>A112</v>
      </c>
      <c r="C938" s="40"/>
      <c r="D938" s="41"/>
      <c r="E938" s="66"/>
      <c r="F938" s="43"/>
      <c r="G938" s="44"/>
      <c r="H938" s="33" t="str">
        <f>IFERROR(__xludf.DUMMYFUNCTION("""COMPUTED_VALUE""")," ")</f>
        <v> </v>
      </c>
      <c r="I938" s="45"/>
      <c r="J938" s="46" t="str">
        <f>IFERROR(__xludf.DUMMYFUNCTION("""COMPUTED_VALUE"""),"AP")</f>
        <v>AP</v>
      </c>
      <c r="K938" s="47"/>
      <c r="L938" s="48" t="str">
        <f>IFERROR(__xludf.DUMMYFUNCTION("""COMPUTED_VALUE"""),"%")</f>
        <v>%</v>
      </c>
      <c r="M938" s="49">
        <f>IFERROR(__xludf.DUMMYFUNCTION("""COMPUTED_VALUE"""),1.0)</f>
        <v>1</v>
      </c>
      <c r="N938" s="50"/>
      <c r="O938" s="38"/>
      <c r="P938" s="45" t="str">
        <f>IFERROR(__xludf.DUMMYFUNCTION("""COMPUTED_VALUE"""),"")</f>
        <v/>
      </c>
      <c r="Q938" s="46" t="str">
        <f>IFERROR(__xludf.DUMMYFUNCTION("""COMPUTED_VALUE"""),"AP")</f>
        <v>AP</v>
      </c>
      <c r="R938" s="47" t="str">
        <f>IFERROR(__xludf.DUMMYFUNCTION("""COMPUTED_VALUE"""),"")</f>
        <v/>
      </c>
      <c r="S938" s="48" t="str">
        <f>IFERROR(__xludf.DUMMYFUNCTION("""COMPUTED_VALUE"""),"%")</f>
        <v>%</v>
      </c>
      <c r="T938" s="49">
        <f>IFERROR(__xludf.DUMMYFUNCTION("""COMPUTED_VALUE"""),2.0)</f>
        <v>2</v>
      </c>
      <c r="U938" s="50"/>
      <c r="V938" s="38"/>
      <c r="W938" s="45" t="str">
        <f>IFERROR(__xludf.DUMMYFUNCTION("""COMPUTED_VALUE"""),"")</f>
        <v/>
      </c>
      <c r="X938" s="46" t="str">
        <f>IFERROR(__xludf.DUMMYFUNCTION("""COMPUTED_VALUE"""),"AP")</f>
        <v>AP</v>
      </c>
      <c r="Y938" s="47" t="str">
        <f>IFERROR(__xludf.DUMMYFUNCTION("""COMPUTED_VALUE"""),"")</f>
        <v/>
      </c>
      <c r="Z938" s="48" t="str">
        <f>IFERROR(__xludf.DUMMYFUNCTION("""COMPUTED_VALUE"""),"%")</f>
        <v>%</v>
      </c>
      <c r="AA938" s="49">
        <f>IFERROR(__xludf.DUMMYFUNCTION("""COMPUTED_VALUE"""),3.0)</f>
        <v>3</v>
      </c>
      <c r="AB938" s="50"/>
      <c r="AC938" s="38"/>
      <c r="AD938" s="45" t="str">
        <f>IFERROR(__xludf.DUMMYFUNCTION("""COMPUTED_VALUE"""),"")</f>
        <v/>
      </c>
      <c r="AE938" s="46" t="str">
        <f>IFERROR(__xludf.DUMMYFUNCTION("""COMPUTED_VALUE"""),"AP")</f>
        <v>AP</v>
      </c>
      <c r="AF938" s="47" t="str">
        <f>IFERROR(__xludf.DUMMYFUNCTION("""COMPUTED_VALUE"""),"")</f>
        <v/>
      </c>
      <c r="AG938" s="48" t="str">
        <f>IFERROR(__xludf.DUMMYFUNCTION("""COMPUTED_VALUE"""),"%")</f>
        <v>%</v>
      </c>
      <c r="AH938" s="43"/>
      <c r="AI938" s="44"/>
      <c r="AJ938" s="51"/>
    </row>
    <row r="939" ht="24.75" hidden="1" customHeight="1">
      <c r="A939" s="28">
        <f>IFERROR(__xludf.DUMMYFUNCTION("""COMPUTED_VALUE"""),17.0)</f>
        <v>17</v>
      </c>
      <c r="B939" s="28" t="str">
        <f>IFERROR(__xludf.DUMMYFUNCTION("""COMPUTED_VALUE"""),"A112")</f>
        <v>A112</v>
      </c>
      <c r="C939" s="28"/>
      <c r="D939" s="29"/>
      <c r="E939" s="67"/>
      <c r="F939" s="31"/>
      <c r="G939" s="32"/>
      <c r="H939" s="33" t="str">
        <f>IFERROR(__xludf.DUMMYFUNCTION("""COMPUTED_VALUE""")," ")</f>
        <v> </v>
      </c>
      <c r="I939" s="34"/>
      <c r="J939" s="35" t="str">
        <f>IFERROR(__xludf.DUMMYFUNCTION("""COMPUTED_VALUE"""),"AP")</f>
        <v>AP</v>
      </c>
      <c r="K939" s="34"/>
      <c r="L939" s="35" t="str">
        <f>IFERROR(__xludf.DUMMYFUNCTION("""COMPUTED_VALUE"""),"%")</f>
        <v>%</v>
      </c>
      <c r="M939" s="36">
        <f>IFERROR(__xludf.DUMMYFUNCTION("""COMPUTED_VALUE"""),1.0)</f>
        <v>1</v>
      </c>
      <c r="N939" s="37"/>
      <c r="O939" s="38"/>
      <c r="P939" s="34" t="str">
        <f>IFERROR(__xludf.DUMMYFUNCTION("""COMPUTED_VALUE"""),"")</f>
        <v/>
      </c>
      <c r="Q939" s="35" t="str">
        <f>IFERROR(__xludf.DUMMYFUNCTION("""COMPUTED_VALUE"""),"AP")</f>
        <v>AP</v>
      </c>
      <c r="R939" s="34" t="str">
        <f>IFERROR(__xludf.DUMMYFUNCTION("""COMPUTED_VALUE"""),"")</f>
        <v/>
      </c>
      <c r="S939" s="35" t="str">
        <f>IFERROR(__xludf.DUMMYFUNCTION("""COMPUTED_VALUE"""),"%")</f>
        <v>%</v>
      </c>
      <c r="T939" s="36">
        <f>IFERROR(__xludf.DUMMYFUNCTION("""COMPUTED_VALUE"""),2.0)</f>
        <v>2</v>
      </c>
      <c r="U939" s="37"/>
      <c r="V939" s="38"/>
      <c r="W939" s="34" t="str">
        <f>IFERROR(__xludf.DUMMYFUNCTION("""COMPUTED_VALUE"""),"")</f>
        <v/>
      </c>
      <c r="X939" s="35" t="str">
        <f>IFERROR(__xludf.DUMMYFUNCTION("""COMPUTED_VALUE"""),"AP")</f>
        <v>AP</v>
      </c>
      <c r="Y939" s="34" t="str">
        <f>IFERROR(__xludf.DUMMYFUNCTION("""COMPUTED_VALUE"""),"")</f>
        <v/>
      </c>
      <c r="Z939" s="35" t="str">
        <f>IFERROR(__xludf.DUMMYFUNCTION("""COMPUTED_VALUE"""),"%")</f>
        <v>%</v>
      </c>
      <c r="AA939" s="36">
        <f>IFERROR(__xludf.DUMMYFUNCTION("""COMPUTED_VALUE"""),3.0)</f>
        <v>3</v>
      </c>
      <c r="AB939" s="37"/>
      <c r="AC939" s="38"/>
      <c r="AD939" s="34" t="str">
        <f>IFERROR(__xludf.DUMMYFUNCTION("""COMPUTED_VALUE"""),"")</f>
        <v/>
      </c>
      <c r="AE939" s="35" t="str">
        <f>IFERROR(__xludf.DUMMYFUNCTION("""COMPUTED_VALUE"""),"AP")</f>
        <v>AP</v>
      </c>
      <c r="AF939" s="34" t="str">
        <f>IFERROR(__xludf.DUMMYFUNCTION("""COMPUTED_VALUE"""),"")</f>
        <v/>
      </c>
      <c r="AG939" s="35" t="str">
        <f>IFERROR(__xludf.DUMMYFUNCTION("""COMPUTED_VALUE"""),"%")</f>
        <v>%</v>
      </c>
      <c r="AH939" s="31"/>
      <c r="AI939" s="32"/>
      <c r="AJ939" s="39"/>
    </row>
    <row r="940" ht="24.75" hidden="1" customHeight="1">
      <c r="A940" s="40">
        <f>IFERROR(__xludf.DUMMYFUNCTION("""COMPUTED_VALUE"""),18.0)</f>
        <v>18</v>
      </c>
      <c r="B940" s="40" t="str">
        <f>IFERROR(__xludf.DUMMYFUNCTION("""COMPUTED_VALUE"""),"A112")</f>
        <v>A112</v>
      </c>
      <c r="C940" s="40"/>
      <c r="D940" s="41"/>
      <c r="E940" s="66"/>
      <c r="F940" s="43"/>
      <c r="G940" s="44"/>
      <c r="H940" s="33" t="str">
        <f>IFERROR(__xludf.DUMMYFUNCTION("""COMPUTED_VALUE""")," ")</f>
        <v> </v>
      </c>
      <c r="I940" s="45"/>
      <c r="J940" s="46" t="str">
        <f>IFERROR(__xludf.DUMMYFUNCTION("""COMPUTED_VALUE"""),"AP")</f>
        <v>AP</v>
      </c>
      <c r="K940" s="47"/>
      <c r="L940" s="48" t="str">
        <f>IFERROR(__xludf.DUMMYFUNCTION("""COMPUTED_VALUE"""),"%")</f>
        <v>%</v>
      </c>
      <c r="M940" s="49">
        <f>IFERROR(__xludf.DUMMYFUNCTION("""COMPUTED_VALUE"""),1.0)</f>
        <v>1</v>
      </c>
      <c r="N940" s="50"/>
      <c r="O940" s="38"/>
      <c r="P940" s="45" t="str">
        <f>IFERROR(__xludf.DUMMYFUNCTION("""COMPUTED_VALUE"""),"")</f>
        <v/>
      </c>
      <c r="Q940" s="46" t="str">
        <f>IFERROR(__xludf.DUMMYFUNCTION("""COMPUTED_VALUE"""),"AP")</f>
        <v>AP</v>
      </c>
      <c r="R940" s="47" t="str">
        <f>IFERROR(__xludf.DUMMYFUNCTION("""COMPUTED_VALUE"""),"")</f>
        <v/>
      </c>
      <c r="S940" s="48" t="str">
        <f>IFERROR(__xludf.DUMMYFUNCTION("""COMPUTED_VALUE"""),"%")</f>
        <v>%</v>
      </c>
      <c r="T940" s="49">
        <f>IFERROR(__xludf.DUMMYFUNCTION("""COMPUTED_VALUE"""),2.0)</f>
        <v>2</v>
      </c>
      <c r="U940" s="50"/>
      <c r="V940" s="38"/>
      <c r="W940" s="45" t="str">
        <f>IFERROR(__xludf.DUMMYFUNCTION("""COMPUTED_VALUE"""),"")</f>
        <v/>
      </c>
      <c r="X940" s="46" t="str">
        <f>IFERROR(__xludf.DUMMYFUNCTION("""COMPUTED_VALUE"""),"AP")</f>
        <v>AP</v>
      </c>
      <c r="Y940" s="47" t="str">
        <f>IFERROR(__xludf.DUMMYFUNCTION("""COMPUTED_VALUE"""),"")</f>
        <v/>
      </c>
      <c r="Z940" s="48" t="str">
        <f>IFERROR(__xludf.DUMMYFUNCTION("""COMPUTED_VALUE"""),"%")</f>
        <v>%</v>
      </c>
      <c r="AA940" s="49">
        <f>IFERROR(__xludf.DUMMYFUNCTION("""COMPUTED_VALUE"""),3.0)</f>
        <v>3</v>
      </c>
      <c r="AB940" s="50"/>
      <c r="AC940" s="38"/>
      <c r="AD940" s="45" t="str">
        <f>IFERROR(__xludf.DUMMYFUNCTION("""COMPUTED_VALUE"""),"")</f>
        <v/>
      </c>
      <c r="AE940" s="46" t="str">
        <f>IFERROR(__xludf.DUMMYFUNCTION("""COMPUTED_VALUE"""),"AP")</f>
        <v>AP</v>
      </c>
      <c r="AF940" s="47" t="str">
        <f>IFERROR(__xludf.DUMMYFUNCTION("""COMPUTED_VALUE"""),"")</f>
        <v/>
      </c>
      <c r="AG940" s="48" t="str">
        <f>IFERROR(__xludf.DUMMYFUNCTION("""COMPUTED_VALUE"""),"%")</f>
        <v>%</v>
      </c>
      <c r="AH940" s="43"/>
      <c r="AI940" s="44"/>
      <c r="AJ940" s="51"/>
    </row>
    <row r="941" ht="24.75" hidden="1" customHeight="1">
      <c r="A941" s="28">
        <f>IFERROR(__xludf.DUMMYFUNCTION("""COMPUTED_VALUE"""),19.0)</f>
        <v>19</v>
      </c>
      <c r="B941" s="28" t="str">
        <f>IFERROR(__xludf.DUMMYFUNCTION("""COMPUTED_VALUE"""),"A112")</f>
        <v>A112</v>
      </c>
      <c r="C941" s="28"/>
      <c r="D941" s="29"/>
      <c r="E941" s="67"/>
      <c r="F941" s="31"/>
      <c r="G941" s="32"/>
      <c r="H941" s="33" t="str">
        <f>IFERROR(__xludf.DUMMYFUNCTION("""COMPUTED_VALUE""")," ")</f>
        <v> </v>
      </c>
      <c r="I941" s="34"/>
      <c r="J941" s="35" t="str">
        <f>IFERROR(__xludf.DUMMYFUNCTION("""COMPUTED_VALUE"""),"AP")</f>
        <v>AP</v>
      </c>
      <c r="K941" s="34"/>
      <c r="L941" s="35" t="str">
        <f>IFERROR(__xludf.DUMMYFUNCTION("""COMPUTED_VALUE"""),"%")</f>
        <v>%</v>
      </c>
      <c r="M941" s="36">
        <f>IFERROR(__xludf.DUMMYFUNCTION("""COMPUTED_VALUE"""),1.0)</f>
        <v>1</v>
      </c>
      <c r="N941" s="37"/>
      <c r="O941" s="38"/>
      <c r="P941" s="34" t="str">
        <f>IFERROR(__xludf.DUMMYFUNCTION("""COMPUTED_VALUE"""),"")</f>
        <v/>
      </c>
      <c r="Q941" s="35" t="str">
        <f>IFERROR(__xludf.DUMMYFUNCTION("""COMPUTED_VALUE"""),"AP")</f>
        <v>AP</v>
      </c>
      <c r="R941" s="34" t="str">
        <f>IFERROR(__xludf.DUMMYFUNCTION("""COMPUTED_VALUE"""),"")</f>
        <v/>
      </c>
      <c r="S941" s="35" t="str">
        <f>IFERROR(__xludf.DUMMYFUNCTION("""COMPUTED_VALUE"""),"%")</f>
        <v>%</v>
      </c>
      <c r="T941" s="36">
        <f>IFERROR(__xludf.DUMMYFUNCTION("""COMPUTED_VALUE"""),2.0)</f>
        <v>2</v>
      </c>
      <c r="U941" s="37"/>
      <c r="V941" s="38"/>
      <c r="W941" s="34" t="str">
        <f>IFERROR(__xludf.DUMMYFUNCTION("""COMPUTED_VALUE"""),"")</f>
        <v/>
      </c>
      <c r="X941" s="35" t="str">
        <f>IFERROR(__xludf.DUMMYFUNCTION("""COMPUTED_VALUE"""),"AP")</f>
        <v>AP</v>
      </c>
      <c r="Y941" s="34" t="str">
        <f>IFERROR(__xludf.DUMMYFUNCTION("""COMPUTED_VALUE"""),"")</f>
        <v/>
      </c>
      <c r="Z941" s="35" t="str">
        <f>IFERROR(__xludf.DUMMYFUNCTION("""COMPUTED_VALUE"""),"%")</f>
        <v>%</v>
      </c>
      <c r="AA941" s="36">
        <f>IFERROR(__xludf.DUMMYFUNCTION("""COMPUTED_VALUE"""),3.0)</f>
        <v>3</v>
      </c>
      <c r="AB941" s="37"/>
      <c r="AC941" s="38"/>
      <c r="AD941" s="34" t="str">
        <f>IFERROR(__xludf.DUMMYFUNCTION("""COMPUTED_VALUE"""),"")</f>
        <v/>
      </c>
      <c r="AE941" s="35" t="str">
        <f>IFERROR(__xludf.DUMMYFUNCTION("""COMPUTED_VALUE"""),"AP")</f>
        <v>AP</v>
      </c>
      <c r="AF941" s="34" t="str">
        <f>IFERROR(__xludf.DUMMYFUNCTION("""COMPUTED_VALUE"""),"")</f>
        <v/>
      </c>
      <c r="AG941" s="35" t="str">
        <f>IFERROR(__xludf.DUMMYFUNCTION("""COMPUTED_VALUE"""),"%")</f>
        <v>%</v>
      </c>
      <c r="AH941" s="31"/>
      <c r="AI941" s="32"/>
      <c r="AJ941" s="39"/>
    </row>
    <row r="942" ht="24.75" hidden="1" customHeight="1">
      <c r="A942" s="40">
        <f>IFERROR(__xludf.DUMMYFUNCTION("""COMPUTED_VALUE"""),20.0)</f>
        <v>20</v>
      </c>
      <c r="B942" s="40" t="str">
        <f>IFERROR(__xludf.DUMMYFUNCTION("""COMPUTED_VALUE"""),"A112")</f>
        <v>A112</v>
      </c>
      <c r="C942" s="40"/>
      <c r="D942" s="41"/>
      <c r="E942" s="66"/>
      <c r="F942" s="43"/>
      <c r="G942" s="44"/>
      <c r="H942" s="33" t="str">
        <f>IFERROR(__xludf.DUMMYFUNCTION("""COMPUTED_VALUE""")," ")</f>
        <v> </v>
      </c>
      <c r="I942" s="45"/>
      <c r="J942" s="46" t="str">
        <f>IFERROR(__xludf.DUMMYFUNCTION("""COMPUTED_VALUE"""),"AP")</f>
        <v>AP</v>
      </c>
      <c r="K942" s="47"/>
      <c r="L942" s="48" t="str">
        <f>IFERROR(__xludf.DUMMYFUNCTION("""COMPUTED_VALUE"""),"%")</f>
        <v>%</v>
      </c>
      <c r="M942" s="49">
        <f>IFERROR(__xludf.DUMMYFUNCTION("""COMPUTED_VALUE"""),1.0)</f>
        <v>1</v>
      </c>
      <c r="N942" s="50"/>
      <c r="O942" s="38"/>
      <c r="P942" s="45" t="str">
        <f>IFERROR(__xludf.DUMMYFUNCTION("""COMPUTED_VALUE"""),"")</f>
        <v/>
      </c>
      <c r="Q942" s="46" t="str">
        <f>IFERROR(__xludf.DUMMYFUNCTION("""COMPUTED_VALUE"""),"AP")</f>
        <v>AP</v>
      </c>
      <c r="R942" s="47" t="str">
        <f>IFERROR(__xludf.DUMMYFUNCTION("""COMPUTED_VALUE"""),"")</f>
        <v/>
      </c>
      <c r="S942" s="48" t="str">
        <f>IFERROR(__xludf.DUMMYFUNCTION("""COMPUTED_VALUE"""),"%")</f>
        <v>%</v>
      </c>
      <c r="T942" s="49">
        <f>IFERROR(__xludf.DUMMYFUNCTION("""COMPUTED_VALUE"""),2.0)</f>
        <v>2</v>
      </c>
      <c r="U942" s="50"/>
      <c r="V942" s="38"/>
      <c r="W942" s="45" t="str">
        <f>IFERROR(__xludf.DUMMYFUNCTION("""COMPUTED_VALUE"""),"")</f>
        <v/>
      </c>
      <c r="X942" s="46" t="str">
        <f>IFERROR(__xludf.DUMMYFUNCTION("""COMPUTED_VALUE"""),"AP")</f>
        <v>AP</v>
      </c>
      <c r="Y942" s="47" t="str">
        <f>IFERROR(__xludf.DUMMYFUNCTION("""COMPUTED_VALUE"""),"")</f>
        <v/>
      </c>
      <c r="Z942" s="48" t="str">
        <f>IFERROR(__xludf.DUMMYFUNCTION("""COMPUTED_VALUE"""),"%")</f>
        <v>%</v>
      </c>
      <c r="AA942" s="49">
        <f>IFERROR(__xludf.DUMMYFUNCTION("""COMPUTED_VALUE"""),3.0)</f>
        <v>3</v>
      </c>
      <c r="AB942" s="50"/>
      <c r="AC942" s="38"/>
      <c r="AD942" s="45" t="str">
        <f>IFERROR(__xludf.DUMMYFUNCTION("""COMPUTED_VALUE"""),"")</f>
        <v/>
      </c>
      <c r="AE942" s="46" t="str">
        <f>IFERROR(__xludf.DUMMYFUNCTION("""COMPUTED_VALUE"""),"AP")</f>
        <v>AP</v>
      </c>
      <c r="AF942" s="47" t="str">
        <f>IFERROR(__xludf.DUMMYFUNCTION("""COMPUTED_VALUE"""),"")</f>
        <v/>
      </c>
      <c r="AG942" s="48" t="str">
        <f>IFERROR(__xludf.DUMMYFUNCTION("""COMPUTED_VALUE"""),"%")</f>
        <v>%</v>
      </c>
      <c r="AH942" s="43"/>
      <c r="AI942" s="44"/>
      <c r="AJ942" s="51"/>
    </row>
    <row r="943">
      <c r="A943" s="52"/>
      <c r="B943" s="53"/>
      <c r="C943" s="54"/>
      <c r="D943" s="55"/>
      <c r="E943" s="56"/>
      <c r="F943" s="53"/>
      <c r="G943" s="53"/>
      <c r="H943" s="53"/>
      <c r="I943" s="53"/>
      <c r="J943" s="57"/>
      <c r="K943" s="53"/>
      <c r="L943" s="57"/>
      <c r="M943" s="53"/>
      <c r="N943" s="53"/>
      <c r="O943" s="53"/>
      <c r="P943" s="53"/>
      <c r="Q943" s="57"/>
      <c r="R943" s="53"/>
      <c r="S943" s="57"/>
      <c r="T943" s="53"/>
      <c r="U943" s="53"/>
      <c r="V943" s="53"/>
      <c r="W943" s="53"/>
      <c r="X943" s="57"/>
      <c r="Y943" s="53"/>
      <c r="Z943" s="57"/>
      <c r="AA943" s="53"/>
      <c r="AB943" s="53"/>
      <c r="AC943" s="53"/>
      <c r="AD943" s="53"/>
      <c r="AE943" s="57"/>
      <c r="AF943" s="53"/>
      <c r="AG943" s="57"/>
      <c r="AH943" s="53"/>
      <c r="AI943" s="53"/>
      <c r="AJ943" s="58"/>
    </row>
    <row r="944">
      <c r="A944" s="59"/>
      <c r="B944" s="60"/>
      <c r="C944" s="61"/>
      <c r="D944" s="62"/>
      <c r="E944" s="63"/>
      <c r="F944" s="60"/>
      <c r="G944" s="60"/>
      <c r="H944" s="60"/>
      <c r="I944" s="60"/>
      <c r="J944" s="64"/>
      <c r="K944" s="60"/>
      <c r="L944" s="64"/>
      <c r="M944" s="60"/>
      <c r="N944" s="60"/>
      <c r="O944" s="60"/>
      <c r="P944" s="60"/>
      <c r="Q944" s="64"/>
      <c r="R944" s="60"/>
      <c r="S944" s="64"/>
      <c r="T944" s="60"/>
      <c r="U944" s="60"/>
      <c r="V944" s="60"/>
      <c r="W944" s="60"/>
      <c r="X944" s="64"/>
      <c r="Y944" s="60"/>
      <c r="Z944" s="64"/>
      <c r="AA944" s="60"/>
      <c r="AB944" s="60"/>
      <c r="AC944" s="60"/>
      <c r="AD944" s="60"/>
      <c r="AE944" s="64"/>
      <c r="AF944" s="60"/>
      <c r="AG944" s="64"/>
      <c r="AH944" s="60"/>
      <c r="AI944" s="60"/>
      <c r="AJ944" s="65"/>
    </row>
    <row r="945" ht="33.0" customHeight="1">
      <c r="A945" s="20" t="str">
        <f>IFERROR(__xludf.DUMMYFUNCTION("""COMPUTED_VALUE""")," ")</f>
        <v> </v>
      </c>
      <c r="B945" s="21" t="str">
        <f>IFERROR(__xludf.DUMMYFUNCTION("""COMPUTED_VALUE"""),"A113")</f>
        <v>A113</v>
      </c>
      <c r="C945" s="20"/>
      <c r="D945" s="22" t="str">
        <f>IFERROR(__xludf.DUMMYFUNCTION("""COMPUTED_VALUE"""),"")</f>
        <v/>
      </c>
      <c r="E945" s="23" t="str">
        <f>IFERROR(__xludf.DUMMYFUNCTION("""COMPUTED_VALUE"""),"Reactor Core of Dawn")</f>
        <v>Reactor Core of Dawn</v>
      </c>
      <c r="F945" s="24"/>
      <c r="G945" s="24"/>
      <c r="H945" s="25"/>
      <c r="I945" s="25"/>
      <c r="J945" s="26"/>
      <c r="K945" s="25"/>
      <c r="L945" s="26"/>
      <c r="M945" s="25"/>
      <c r="N945" s="25"/>
      <c r="O945" s="25"/>
      <c r="P945" s="25"/>
      <c r="Q945" s="26"/>
      <c r="R945" s="25"/>
      <c r="S945" s="26"/>
      <c r="T945" s="25"/>
      <c r="U945" s="25"/>
      <c r="V945" s="25"/>
      <c r="W945" s="25"/>
      <c r="X945" s="26"/>
      <c r="Y945" s="25"/>
      <c r="Z945" s="26"/>
      <c r="AA945" s="25"/>
      <c r="AB945" s="25"/>
      <c r="AC945" s="25"/>
      <c r="AD945" s="25"/>
      <c r="AE945" s="26"/>
      <c r="AF945" s="25"/>
      <c r="AG945" s="26"/>
      <c r="AH945" s="24"/>
      <c r="AI945" s="25"/>
      <c r="AJ945" s="27"/>
    </row>
    <row r="946" ht="24.75" customHeight="1">
      <c r="A946" s="28">
        <f>IFERROR(__xludf.DUMMYFUNCTION("""COMPUTED_VALUE"""),1.0)</f>
        <v>1</v>
      </c>
      <c r="B946" s="28" t="str">
        <f>IFERROR(__xludf.DUMMYFUNCTION("""COMPUTED_VALUE"""),"A113")</f>
        <v>A113</v>
      </c>
      <c r="C946" s="28" t="str">
        <f>IFERROR(__xludf.DUMMYFUNCTION("""COMPUTED_VALUE"""),"SIN7")</f>
        <v>SIN7</v>
      </c>
      <c r="D946" s="29" t="str">
        <f>IFERROR(__xludf.DUMMYFUNCTION("""COMPUTED_VALUE"""),"SIN")</f>
        <v>SIN</v>
      </c>
      <c r="E946" s="30" t="str">
        <f>IFERROR(__xludf.DUMMYFUNCTION("""COMPUTED_VALUE"""),"Prison Camp")</f>
        <v>Prison Camp</v>
      </c>
      <c r="F946" s="31">
        <f>IFERROR(__xludf.DUMMYFUNCTION("""COMPUTED_VALUE"""),21.0)</f>
        <v>21</v>
      </c>
      <c r="G946" s="32">
        <f>IFERROR(__xludf.DUMMYFUNCTION("""COMPUTED_VALUE"""),64594.0)</f>
        <v>64594</v>
      </c>
      <c r="H946" s="33" t="str">
        <f>IFERROR(__xludf.DUMMYFUNCTION("""COMPUTED_VALUE"""),"")</f>
        <v/>
      </c>
      <c r="I946" s="34">
        <f>IFERROR(__xludf.DUMMYFUNCTION("""COMPUTED_VALUE"""),103.7)</f>
        <v>103.7</v>
      </c>
      <c r="J946" s="35" t="str">
        <f>IFERROR(__xludf.DUMMYFUNCTION("""COMPUTED_VALUE"""),"AP")</f>
        <v>AP</v>
      </c>
      <c r="K946" s="34">
        <f>IFERROR(__xludf.DUMMYFUNCTION("""COMPUTED_VALUE"""),20.2)</f>
        <v>20.2</v>
      </c>
      <c r="L946" s="35" t="str">
        <f>IFERROR(__xludf.DUMMYFUNCTION("""COMPUTED_VALUE"""),"%")</f>
        <v>%</v>
      </c>
      <c r="M946" s="36">
        <f>IFERROR(__xludf.DUMMYFUNCTION("""COMPUTED_VALUE"""),1.0)</f>
        <v>1</v>
      </c>
      <c r="N946" s="37" t="str">
        <f>IFERROR(__xludf.DUMMYFUNCTION("""COMPUTED_VALUE"""),"A216")</f>
        <v>A216</v>
      </c>
      <c r="O946" s="38" t="str">
        <f>IFERROR(__xludf.DUMMYFUNCTION("""COMPUTED_VALUE"""),"")</f>
        <v/>
      </c>
      <c r="P946" s="34">
        <f>IFERROR(__xludf.DUMMYFUNCTION("""COMPUTED_VALUE"""),83.1)</f>
        <v>83.1</v>
      </c>
      <c r="Q946" s="35" t="str">
        <f>IFERROR(__xludf.DUMMYFUNCTION("""COMPUTED_VALUE"""),"AP")</f>
        <v>AP</v>
      </c>
      <c r="R946" s="34">
        <f>IFERROR(__xludf.DUMMYFUNCTION("""COMPUTED_VALUE"""),25.3)</f>
        <v>25.3</v>
      </c>
      <c r="S946" s="35" t="str">
        <f>IFERROR(__xludf.DUMMYFUNCTION("""COMPUTED_VALUE"""),"%")</f>
        <v>%</v>
      </c>
      <c r="T946" s="36">
        <f>IFERROR(__xludf.DUMMYFUNCTION("""COMPUTED_VALUE"""),2.0)</f>
        <v>2</v>
      </c>
      <c r="U946" s="37" t="str">
        <f>IFERROR(__xludf.DUMMYFUNCTION("""COMPUTED_VALUE"""),"B112")</f>
        <v>B112</v>
      </c>
      <c r="V946" s="38" t="str">
        <f>IFERROR(__xludf.DUMMYFUNCTION("""COMPUTED_VALUE"""),"")</f>
        <v/>
      </c>
      <c r="W946" s="34">
        <f>IFERROR(__xludf.DUMMYFUNCTION("""COMPUTED_VALUE"""),141.0)</f>
        <v>141</v>
      </c>
      <c r="X946" s="35" t="str">
        <f>IFERROR(__xludf.DUMMYFUNCTION("""COMPUTED_VALUE"""),"AP")</f>
        <v>AP</v>
      </c>
      <c r="Y946" s="34">
        <f>IFERROR(__xludf.DUMMYFUNCTION("""COMPUTED_VALUE"""),14.9)</f>
        <v>14.9</v>
      </c>
      <c r="Z946" s="35" t="str">
        <f>IFERROR(__xludf.DUMMYFUNCTION("""COMPUTED_VALUE"""),"%")</f>
        <v>%</v>
      </c>
      <c r="AA946" s="36">
        <f>IFERROR(__xludf.DUMMYFUNCTION("""COMPUTED_VALUE"""),3.0)</f>
        <v>3</v>
      </c>
      <c r="AB946" s="37" t="str">
        <f>IFERROR(__xludf.DUMMYFUNCTION("""COMPUTED_VALUE"""),"B116")</f>
        <v>B116</v>
      </c>
      <c r="AC946" s="38" t="str">
        <f>IFERROR(__xludf.DUMMYFUNCTION("""COMPUTED_VALUE"""),"")</f>
        <v/>
      </c>
      <c r="AD946" s="34">
        <f>IFERROR(__xludf.DUMMYFUNCTION("""COMPUTED_VALUE"""),103.8)</f>
        <v>103.8</v>
      </c>
      <c r="AE946" s="35" t="str">
        <f>IFERROR(__xludf.DUMMYFUNCTION("""COMPUTED_VALUE"""),"AP")</f>
        <v>AP</v>
      </c>
      <c r="AF946" s="34">
        <f>IFERROR(__xludf.DUMMYFUNCTION("""COMPUTED_VALUE"""),20.2)</f>
        <v>20.2</v>
      </c>
      <c r="AG946" s="35" t="str">
        <f>IFERROR(__xludf.DUMMYFUNCTION("""COMPUTED_VALUE"""),"%")</f>
        <v>%</v>
      </c>
      <c r="AH946" s="31">
        <f>IFERROR(__xludf.DUMMYFUNCTION("""COMPUTED_VALUE"""),21.0)</f>
        <v>21</v>
      </c>
      <c r="AI946" s="32">
        <f>IFERROR(__xludf.DUMMYFUNCTION("""COMPUTED_VALUE"""),64594.0)</f>
        <v>64594</v>
      </c>
      <c r="AJ946" s="39" t="str">
        <f>IFERROR(__xludf.DUMMYFUNCTION("""COMPUTED_VALUE"""),"収容所")</f>
        <v>収容所</v>
      </c>
    </row>
    <row r="947" ht="24.75" customHeight="1">
      <c r="A947" s="40">
        <f>IFERROR(__xludf.DUMMYFUNCTION("""COMPUTED_VALUE"""),2.0)</f>
        <v>2</v>
      </c>
      <c r="B947" s="40" t="str">
        <f>IFERROR(__xludf.DUMMYFUNCTION("""COMPUTED_VALUE"""),"A113")</f>
        <v>A113</v>
      </c>
      <c r="C947" s="40" t="str">
        <f>IFERROR(__xludf.DUMMYFUNCTION("""COMPUTED_VALUE"""),"OLP2")</f>
        <v>OLP2</v>
      </c>
      <c r="D947" s="41" t="str">
        <f>IFERROR(__xludf.DUMMYFUNCTION("""COMPUTED_VALUE"""),"Olympus")</f>
        <v>Olympus</v>
      </c>
      <c r="E947" s="42" t="str">
        <f>IFERROR(__xludf.DUMMYFUNCTION("""COMPUTED_VALUE"""),"Interstellar City: West")</f>
        <v>Interstellar City: West</v>
      </c>
      <c r="F947" s="43">
        <f>IFERROR(__xludf.DUMMYFUNCTION("""COMPUTED_VALUE"""),21.0)</f>
        <v>21</v>
      </c>
      <c r="G947" s="44">
        <f>IFERROR(__xludf.DUMMYFUNCTION("""COMPUTED_VALUE"""),12319.0)</f>
        <v>12319</v>
      </c>
      <c r="H947" s="33" t="str">
        <f>IFERROR(__xludf.DUMMYFUNCTION("""COMPUTED_VALUE"""),"")</f>
        <v/>
      </c>
      <c r="I947" s="45">
        <f>IFERROR(__xludf.DUMMYFUNCTION("""COMPUTED_VALUE"""),104.7)</f>
        <v>104.7</v>
      </c>
      <c r="J947" s="46" t="str">
        <f>IFERROR(__xludf.DUMMYFUNCTION("""COMPUTED_VALUE"""),"AP")</f>
        <v>AP</v>
      </c>
      <c r="K947" s="47">
        <f>IFERROR(__xludf.DUMMYFUNCTION("""COMPUTED_VALUE"""),20.1)</f>
        <v>20.1</v>
      </c>
      <c r="L947" s="48" t="str">
        <f>IFERROR(__xludf.DUMMYFUNCTION("""COMPUTED_VALUE"""),"%")</f>
        <v>%</v>
      </c>
      <c r="M947" s="49">
        <f>IFERROR(__xludf.DUMMYFUNCTION("""COMPUTED_VALUE"""),1.0)</f>
        <v>1</v>
      </c>
      <c r="N947" s="50" t="str">
        <f>IFERROR(__xludf.DUMMYFUNCTION("""COMPUTED_VALUE"""),"A117")</f>
        <v>A117</v>
      </c>
      <c r="O947" s="38" t="str">
        <f>IFERROR(__xludf.DUMMYFUNCTION("""COMPUTED_VALUE"""),"")</f>
        <v/>
      </c>
      <c r="P947" s="45">
        <f>IFERROR(__xludf.DUMMYFUNCTION("""COMPUTED_VALUE"""),105.4)</f>
        <v>105.4</v>
      </c>
      <c r="Q947" s="46" t="str">
        <f>IFERROR(__xludf.DUMMYFUNCTION("""COMPUTED_VALUE"""),"AP")</f>
        <v>AP</v>
      </c>
      <c r="R947" s="47">
        <f>IFERROR(__xludf.DUMMYFUNCTION("""COMPUTED_VALUE"""),19.9)</f>
        <v>19.9</v>
      </c>
      <c r="S947" s="48" t="str">
        <f>IFERROR(__xludf.DUMMYFUNCTION("""COMPUTED_VALUE"""),"%")</f>
        <v>%</v>
      </c>
      <c r="T947" s="49">
        <f>IFERROR(__xludf.DUMMYFUNCTION("""COMPUTED_VALUE"""),2.0)</f>
        <v>2</v>
      </c>
      <c r="U947" s="50" t="str">
        <f>IFERROR(__xludf.DUMMYFUNCTION("""COMPUTED_VALUE"""),"B113")</f>
        <v>B113</v>
      </c>
      <c r="V947" s="38" t="str">
        <f>IFERROR(__xludf.DUMMYFUNCTION("""COMPUTED_VALUE"""),"")</f>
        <v/>
      </c>
      <c r="W947" s="45">
        <f>IFERROR(__xludf.DUMMYFUNCTION("""COMPUTED_VALUE"""),65.7)</f>
        <v>65.7</v>
      </c>
      <c r="X947" s="46" t="str">
        <f>IFERROR(__xludf.DUMMYFUNCTION("""COMPUTED_VALUE"""),"AP")</f>
        <v>AP</v>
      </c>
      <c r="Y947" s="47">
        <f>IFERROR(__xludf.DUMMYFUNCTION("""COMPUTED_VALUE"""),32.0)</f>
        <v>32</v>
      </c>
      <c r="Z947" s="48" t="str">
        <f>IFERROR(__xludf.DUMMYFUNCTION("""COMPUTED_VALUE"""),"%")</f>
        <v>%</v>
      </c>
      <c r="AA947" s="49">
        <f>IFERROR(__xludf.DUMMYFUNCTION("""COMPUTED_VALUE"""),3.0)</f>
        <v>3</v>
      </c>
      <c r="AB947" s="50"/>
      <c r="AC947" s="38"/>
      <c r="AD947" s="45" t="str">
        <f>IFERROR(__xludf.DUMMYFUNCTION("""COMPUTED_VALUE"""),"")</f>
        <v/>
      </c>
      <c r="AE947" s="46" t="str">
        <f>IFERROR(__xludf.DUMMYFUNCTION("""COMPUTED_VALUE"""),"AP")</f>
        <v>AP</v>
      </c>
      <c r="AF947" s="47" t="str">
        <f>IFERROR(__xludf.DUMMYFUNCTION("""COMPUTED_VALUE"""),"")</f>
        <v/>
      </c>
      <c r="AG947" s="48" t="str">
        <f>IFERROR(__xludf.DUMMYFUNCTION("""COMPUTED_VALUE"""),"%")</f>
        <v>%</v>
      </c>
      <c r="AH947" s="43">
        <f>IFERROR(__xludf.DUMMYFUNCTION("""COMPUTED_VALUE"""),21.0)</f>
        <v>21</v>
      </c>
      <c r="AI947" s="44">
        <f>IFERROR(__xludf.DUMMYFUNCTION("""COMPUTED_VALUE"""),12319.0)</f>
        <v>12319</v>
      </c>
      <c r="AJ947" s="51" t="str">
        <f>IFERROR(__xludf.DUMMYFUNCTION("""COMPUTED_VALUE"""),"星間都市西部")</f>
        <v>星間都市西部</v>
      </c>
    </row>
    <row r="948" ht="24.75" customHeight="1">
      <c r="A948" s="28">
        <f>IFERROR(__xludf.DUMMYFUNCTION("""COMPUTED_VALUE"""),3.0)</f>
        <v>3</v>
      </c>
      <c r="B948" s="28" t="str">
        <f>IFERROR(__xludf.DUMMYFUNCTION("""COMPUTED_VALUE"""),"A113")</f>
        <v>A113</v>
      </c>
      <c r="C948" s="28" t="str">
        <f>IFERROR(__xludf.DUMMYFUNCTION("""COMPUTED_VALUE"""),"SIN8")</f>
        <v>SIN8</v>
      </c>
      <c r="D948" s="29" t="str">
        <f>IFERROR(__xludf.DUMMYFUNCTION("""COMPUTED_VALUE"""),"SIN")</f>
        <v>SIN</v>
      </c>
      <c r="E948" s="30" t="str">
        <f>IFERROR(__xludf.DUMMYFUNCTION("""COMPUTED_VALUE"""),"Shiquan Canyon")</f>
        <v>Shiquan Canyon</v>
      </c>
      <c r="F948" s="31">
        <f>IFERROR(__xludf.DUMMYFUNCTION("""COMPUTED_VALUE"""),21.0)</f>
        <v>21</v>
      </c>
      <c r="G948" s="32">
        <f>IFERROR(__xludf.DUMMYFUNCTION("""COMPUTED_VALUE"""),12318.0)</f>
        <v>12318</v>
      </c>
      <c r="H948" s="33" t="str">
        <f>IFERROR(__xludf.DUMMYFUNCTION("""COMPUTED_VALUE"""),"")</f>
        <v/>
      </c>
      <c r="I948" s="34">
        <f>IFERROR(__xludf.DUMMYFUNCTION("""COMPUTED_VALUE"""),105.0)</f>
        <v>105</v>
      </c>
      <c r="J948" s="35" t="str">
        <f>IFERROR(__xludf.DUMMYFUNCTION("""COMPUTED_VALUE"""),"AP")</f>
        <v>AP</v>
      </c>
      <c r="K948" s="34">
        <f>IFERROR(__xludf.DUMMYFUNCTION("""COMPUTED_VALUE"""),20.0)</f>
        <v>20</v>
      </c>
      <c r="L948" s="35" t="str">
        <f>IFERROR(__xludf.DUMMYFUNCTION("""COMPUTED_VALUE"""),"%")</f>
        <v>%</v>
      </c>
      <c r="M948" s="36">
        <f>IFERROR(__xludf.DUMMYFUNCTION("""COMPUTED_VALUE"""),1.0)</f>
        <v>1</v>
      </c>
      <c r="N948" s="37" t="str">
        <f>IFERROR(__xludf.DUMMYFUNCTION("""COMPUTED_VALUE"""),"A206")</f>
        <v>A206</v>
      </c>
      <c r="O948" s="38" t="str">
        <f>IFERROR(__xludf.DUMMYFUNCTION("""COMPUTED_VALUE"""),"")</f>
        <v/>
      </c>
      <c r="P948" s="34">
        <f>IFERROR(__xludf.DUMMYFUNCTION("""COMPUTED_VALUE"""),69.7)</f>
        <v>69.7</v>
      </c>
      <c r="Q948" s="35" t="str">
        <f>IFERROR(__xludf.DUMMYFUNCTION("""COMPUTED_VALUE"""),"AP")</f>
        <v>AP</v>
      </c>
      <c r="R948" s="34">
        <f>IFERROR(__xludf.DUMMYFUNCTION("""COMPUTED_VALUE"""),30.1)</f>
        <v>30.1</v>
      </c>
      <c r="S948" s="35" t="str">
        <f>IFERROR(__xludf.DUMMYFUNCTION("""COMPUTED_VALUE"""),"%")</f>
        <v>%</v>
      </c>
      <c r="T948" s="36">
        <f>IFERROR(__xludf.DUMMYFUNCTION("""COMPUTED_VALUE"""),2.0)</f>
        <v>2</v>
      </c>
      <c r="U948" s="37" t="str">
        <f>IFERROR(__xludf.DUMMYFUNCTION("""COMPUTED_VALUE"""),"B112")</f>
        <v>B112</v>
      </c>
      <c r="V948" s="38" t="str">
        <f>IFERROR(__xludf.DUMMYFUNCTION("""COMPUTED_VALUE"""),"")</f>
        <v/>
      </c>
      <c r="W948" s="34">
        <f>IFERROR(__xludf.DUMMYFUNCTION("""COMPUTED_VALUE"""),107.8)</f>
        <v>107.8</v>
      </c>
      <c r="X948" s="35" t="str">
        <f>IFERROR(__xludf.DUMMYFUNCTION("""COMPUTED_VALUE"""),"AP")</f>
        <v>AP</v>
      </c>
      <c r="Y948" s="34">
        <f>IFERROR(__xludf.DUMMYFUNCTION("""COMPUTED_VALUE"""),19.5)</f>
        <v>19.5</v>
      </c>
      <c r="Z948" s="35" t="str">
        <f>IFERROR(__xludf.DUMMYFUNCTION("""COMPUTED_VALUE"""),"%")</f>
        <v>%</v>
      </c>
      <c r="AA948" s="36">
        <f>IFERROR(__xludf.DUMMYFUNCTION("""COMPUTED_VALUE"""),3.0)</f>
        <v>3</v>
      </c>
      <c r="AB948" s="37"/>
      <c r="AC948" s="38"/>
      <c r="AD948" s="34" t="str">
        <f>IFERROR(__xludf.DUMMYFUNCTION("""COMPUTED_VALUE"""),"")</f>
        <v/>
      </c>
      <c r="AE948" s="35" t="str">
        <f>IFERROR(__xludf.DUMMYFUNCTION("""COMPUTED_VALUE"""),"AP")</f>
        <v>AP</v>
      </c>
      <c r="AF948" s="34" t="str">
        <f>IFERROR(__xludf.DUMMYFUNCTION("""COMPUTED_VALUE"""),"")</f>
        <v/>
      </c>
      <c r="AG948" s="35" t="str">
        <f>IFERROR(__xludf.DUMMYFUNCTION("""COMPUTED_VALUE"""),"%")</f>
        <v>%</v>
      </c>
      <c r="AH948" s="31">
        <f>IFERROR(__xludf.DUMMYFUNCTION("""COMPUTED_VALUE"""),21.0)</f>
        <v>21</v>
      </c>
      <c r="AI948" s="32">
        <f>IFERROR(__xludf.DUMMYFUNCTION("""COMPUTED_VALUE"""),12318.0)</f>
        <v>12318</v>
      </c>
      <c r="AJ948" s="39" t="str">
        <f>IFERROR(__xludf.DUMMYFUNCTION("""COMPUTED_VALUE"""),"石泉峡")</f>
        <v>石泉峡</v>
      </c>
    </row>
    <row r="949" ht="24.75" customHeight="1">
      <c r="A949" s="40">
        <f>IFERROR(__xludf.DUMMYFUNCTION("""COMPUTED_VALUE"""),4.0)</f>
        <v>4</v>
      </c>
      <c r="B949" s="40" t="str">
        <f>IFERROR(__xludf.DUMMYFUNCTION("""COMPUTED_VALUE"""),"A113")</f>
        <v>A113</v>
      </c>
      <c r="C949" s="40" t="str">
        <f>IFERROR(__xludf.DUMMYFUNCTION("""COMPUTED_VALUE"""),"OLP6")</f>
        <v>OLP6</v>
      </c>
      <c r="D949" s="41" t="str">
        <f>IFERROR(__xludf.DUMMYFUNCTION("""COMPUTED_VALUE"""),"Olympus")</f>
        <v>Olympus</v>
      </c>
      <c r="E949" s="42" t="str">
        <f>IFERROR(__xludf.DUMMYFUNCTION("""COMPUTED_VALUE"""),"God Slayers League Base")</f>
        <v>God Slayers League Base</v>
      </c>
      <c r="F949" s="43">
        <f>IFERROR(__xludf.DUMMYFUNCTION("""COMPUTED_VALUE"""),21.0)</f>
        <v>21</v>
      </c>
      <c r="G949" s="44">
        <f>IFERROR(__xludf.DUMMYFUNCTION("""COMPUTED_VALUE"""),3244.0)</f>
        <v>3244</v>
      </c>
      <c r="H949" s="33" t="str">
        <f>IFERROR(__xludf.DUMMYFUNCTION("""COMPUTED_VALUE"""),"")</f>
        <v/>
      </c>
      <c r="I949" s="45">
        <f>IFERROR(__xludf.DUMMYFUNCTION("""COMPUTED_VALUE"""),105.5)</f>
        <v>105.5</v>
      </c>
      <c r="J949" s="46" t="str">
        <f>IFERROR(__xludf.DUMMYFUNCTION("""COMPUTED_VALUE"""),"AP")</f>
        <v>AP</v>
      </c>
      <c r="K949" s="47">
        <f>IFERROR(__xludf.DUMMYFUNCTION("""COMPUTED_VALUE"""),19.9)</f>
        <v>19.9</v>
      </c>
      <c r="L949" s="48" t="str">
        <f>IFERROR(__xludf.DUMMYFUNCTION("""COMPUTED_VALUE"""),"%")</f>
        <v>%</v>
      </c>
      <c r="M949" s="49">
        <f>IFERROR(__xludf.DUMMYFUNCTION("""COMPUTED_VALUE"""),1.0)</f>
        <v>1</v>
      </c>
      <c r="N949" s="50" t="str">
        <f>IFERROR(__xludf.DUMMYFUNCTION("""COMPUTED_VALUE"""),"A219")</f>
        <v>A219</v>
      </c>
      <c r="O949" s="38" t="str">
        <f>IFERROR(__xludf.DUMMYFUNCTION("""COMPUTED_VALUE"""),"")</f>
        <v/>
      </c>
      <c r="P949" s="45">
        <f>IFERROR(__xludf.DUMMYFUNCTION("""COMPUTED_VALUE"""),85.8)</f>
        <v>85.8</v>
      </c>
      <c r="Q949" s="46" t="str">
        <f>IFERROR(__xludf.DUMMYFUNCTION("""COMPUTED_VALUE"""),"AP")</f>
        <v>AP</v>
      </c>
      <c r="R949" s="47">
        <f>IFERROR(__xludf.DUMMYFUNCTION("""COMPUTED_VALUE"""),24.5)</f>
        <v>24.5</v>
      </c>
      <c r="S949" s="48" t="str">
        <f>IFERROR(__xludf.DUMMYFUNCTION("""COMPUTED_VALUE"""),"%")</f>
        <v>%</v>
      </c>
      <c r="T949" s="49">
        <f>IFERROR(__xludf.DUMMYFUNCTION("""COMPUTED_VALUE"""),2.0)</f>
        <v>2</v>
      </c>
      <c r="U949" s="50" t="str">
        <f>IFERROR(__xludf.DUMMYFUNCTION("""COMPUTED_VALUE"""),"B113")</f>
        <v>B113</v>
      </c>
      <c r="V949" s="38" t="str">
        <f>IFERROR(__xludf.DUMMYFUNCTION("""COMPUTED_VALUE"""),"")</f>
        <v/>
      </c>
      <c r="W949" s="45">
        <f>IFERROR(__xludf.DUMMYFUNCTION("""COMPUTED_VALUE"""),285.5)</f>
        <v>285.5</v>
      </c>
      <c r="X949" s="46" t="str">
        <f>IFERROR(__xludf.DUMMYFUNCTION("""COMPUTED_VALUE"""),"AP")</f>
        <v>AP</v>
      </c>
      <c r="Y949" s="47">
        <f>IFERROR(__xludf.DUMMYFUNCTION("""COMPUTED_VALUE"""),7.4)</f>
        <v>7.4</v>
      </c>
      <c r="Z949" s="48" t="str">
        <f>IFERROR(__xludf.DUMMYFUNCTION("""COMPUTED_VALUE"""),"%")</f>
        <v>%</v>
      </c>
      <c r="AA949" s="49">
        <f>IFERROR(__xludf.DUMMYFUNCTION("""COMPUTED_VALUE"""),3.0)</f>
        <v>3</v>
      </c>
      <c r="AB949" s="50" t="str">
        <f>IFERROR(__xludf.DUMMYFUNCTION("""COMPUTED_VALUE"""),"B116")</f>
        <v>B116</v>
      </c>
      <c r="AC949" s="38" t="str">
        <f>IFERROR(__xludf.DUMMYFUNCTION("""COMPUTED_VALUE"""),"")</f>
        <v/>
      </c>
      <c r="AD949" s="45">
        <f>IFERROR(__xludf.DUMMYFUNCTION("""COMPUTED_VALUE"""),60.2)</f>
        <v>60.2</v>
      </c>
      <c r="AE949" s="46" t="str">
        <f>IFERROR(__xludf.DUMMYFUNCTION("""COMPUTED_VALUE"""),"AP")</f>
        <v>AP</v>
      </c>
      <c r="AF949" s="47">
        <f>IFERROR(__xludf.DUMMYFUNCTION("""COMPUTED_VALUE"""),34.9)</f>
        <v>34.9</v>
      </c>
      <c r="AG949" s="48" t="str">
        <f>IFERROR(__xludf.DUMMYFUNCTION("""COMPUTED_VALUE"""),"%")</f>
        <v>%</v>
      </c>
      <c r="AH949" s="43">
        <f>IFERROR(__xludf.DUMMYFUNCTION("""COMPUTED_VALUE"""),21.0)</f>
        <v>21</v>
      </c>
      <c r="AI949" s="44">
        <f>IFERROR(__xludf.DUMMYFUNCTION("""COMPUTED_VALUE"""),3244.0)</f>
        <v>3244</v>
      </c>
      <c r="AJ949" s="51" t="str">
        <f>IFERROR(__xludf.DUMMYFUNCTION("""COMPUTED_VALUE"""),"破神同盟基地")</f>
        <v>破神同盟基地</v>
      </c>
    </row>
    <row r="950" ht="24.75" customHeight="1">
      <c r="A950" s="28">
        <f>IFERROR(__xludf.DUMMYFUNCTION("""COMPUTED_VALUE"""),5.0)</f>
        <v>5</v>
      </c>
      <c r="B950" s="28" t="str">
        <f>IFERROR(__xludf.DUMMYFUNCTION("""COMPUTED_VALUE"""),"A113")</f>
        <v>A113</v>
      </c>
      <c r="C950" s="28" t="str">
        <f>IFERROR(__xludf.DUMMYFUNCTION("""COMPUTED_VALUE"""),"ATL6")</f>
        <v>ATL6</v>
      </c>
      <c r="D950" s="29" t="str">
        <f>IFERROR(__xludf.DUMMYFUNCTION("""COMPUTED_VALUE"""),"Atlantis")</f>
        <v>Atlantis</v>
      </c>
      <c r="E950" s="30" t="str">
        <f>IFERROR(__xludf.DUMMYFUNCTION("""COMPUTED_VALUE"""),"Thetis Island")</f>
        <v>Thetis Island</v>
      </c>
      <c r="F950" s="31">
        <f>IFERROR(__xludf.DUMMYFUNCTION("""COMPUTED_VALUE"""),21.0)</f>
        <v>21</v>
      </c>
      <c r="G950" s="32">
        <f>IFERROR(__xludf.DUMMYFUNCTION("""COMPUTED_VALUE"""),1367.0)</f>
        <v>1367</v>
      </c>
      <c r="H950" s="33" t="str">
        <f>IFERROR(__xludf.DUMMYFUNCTION("""COMPUTED_VALUE"""),"")</f>
        <v/>
      </c>
      <c r="I950" s="34">
        <f>IFERROR(__xludf.DUMMYFUNCTION("""COMPUTED_VALUE"""),118.6)</f>
        <v>118.6</v>
      </c>
      <c r="J950" s="35" t="str">
        <f>IFERROR(__xludf.DUMMYFUNCTION("""COMPUTED_VALUE"""),"AP")</f>
        <v>AP</v>
      </c>
      <c r="K950" s="34">
        <f>IFERROR(__xludf.DUMMYFUNCTION("""COMPUTED_VALUE"""),17.7)</f>
        <v>17.7</v>
      </c>
      <c r="L950" s="35" t="str">
        <f>IFERROR(__xludf.DUMMYFUNCTION("""COMPUTED_VALUE"""),"%")</f>
        <v>%</v>
      </c>
      <c r="M950" s="36">
        <f>IFERROR(__xludf.DUMMYFUNCTION("""COMPUTED_VALUE"""),1.0)</f>
        <v>1</v>
      </c>
      <c r="N950" s="37" t="str">
        <f>IFERROR(__xludf.DUMMYFUNCTION("""COMPUTED_VALUE"""),"A204")</f>
        <v>A204</v>
      </c>
      <c r="O950" s="38" t="str">
        <f>IFERROR(__xludf.DUMMYFUNCTION("""COMPUTED_VALUE"""),"")</f>
        <v/>
      </c>
      <c r="P950" s="34">
        <f>IFERROR(__xludf.DUMMYFUNCTION("""COMPUTED_VALUE"""),87.5)</f>
        <v>87.5</v>
      </c>
      <c r="Q950" s="35" t="str">
        <f>IFERROR(__xludf.DUMMYFUNCTION("""COMPUTED_VALUE"""),"AP")</f>
        <v>AP</v>
      </c>
      <c r="R950" s="34">
        <f>IFERROR(__xludf.DUMMYFUNCTION("""COMPUTED_VALUE"""),24.0)</f>
        <v>24</v>
      </c>
      <c r="S950" s="35" t="str">
        <f>IFERROR(__xludf.DUMMYFUNCTION("""COMPUTED_VALUE"""),"%")</f>
        <v>%</v>
      </c>
      <c r="T950" s="36">
        <f>IFERROR(__xludf.DUMMYFUNCTION("""COMPUTED_VALUE"""),2.0)</f>
        <v>2</v>
      </c>
      <c r="U950" s="37" t="str">
        <f>IFERROR(__xludf.DUMMYFUNCTION("""COMPUTED_VALUE"""),"B113")</f>
        <v>B113</v>
      </c>
      <c r="V950" s="38" t="str">
        <f>IFERROR(__xludf.DUMMYFUNCTION("""COMPUTED_VALUE"""),"")</f>
        <v/>
      </c>
      <c r="W950" s="34">
        <f>IFERROR(__xludf.DUMMYFUNCTION("""COMPUTED_VALUE"""),176.1)</f>
        <v>176.1</v>
      </c>
      <c r="X950" s="35" t="str">
        <f>IFERROR(__xludf.DUMMYFUNCTION("""COMPUTED_VALUE"""),"AP")</f>
        <v>AP</v>
      </c>
      <c r="Y950" s="34">
        <f>IFERROR(__xludf.DUMMYFUNCTION("""COMPUTED_VALUE"""),11.9)</f>
        <v>11.9</v>
      </c>
      <c r="Z950" s="35" t="str">
        <f>IFERROR(__xludf.DUMMYFUNCTION("""COMPUTED_VALUE"""),"%")</f>
        <v>%</v>
      </c>
      <c r="AA950" s="36">
        <f>IFERROR(__xludf.DUMMYFUNCTION("""COMPUTED_VALUE"""),3.0)</f>
        <v>3</v>
      </c>
      <c r="AB950" s="37" t="str">
        <f>IFERROR(__xludf.DUMMYFUNCTION("""COMPUTED_VALUE"""),"B115")</f>
        <v>B115</v>
      </c>
      <c r="AC950" s="38" t="str">
        <f>IFERROR(__xludf.DUMMYFUNCTION("""COMPUTED_VALUE"""),"")</f>
        <v/>
      </c>
      <c r="AD950" s="34">
        <f>IFERROR(__xludf.DUMMYFUNCTION("""COMPUTED_VALUE"""),46.0)</f>
        <v>46</v>
      </c>
      <c r="AE950" s="35" t="str">
        <f>IFERROR(__xludf.DUMMYFUNCTION("""COMPUTED_VALUE"""),"AP")</f>
        <v>AP</v>
      </c>
      <c r="AF950" s="34">
        <f>IFERROR(__xludf.DUMMYFUNCTION("""COMPUTED_VALUE"""),45.6)</f>
        <v>45.6</v>
      </c>
      <c r="AG950" s="35" t="str">
        <f>IFERROR(__xludf.DUMMYFUNCTION("""COMPUTED_VALUE"""),"%")</f>
        <v>%</v>
      </c>
      <c r="AH950" s="31">
        <f>IFERROR(__xludf.DUMMYFUNCTION("""COMPUTED_VALUE"""),21.0)</f>
        <v>21</v>
      </c>
      <c r="AI950" s="32">
        <f>IFERROR(__xludf.DUMMYFUNCTION("""COMPUTED_VALUE"""),1367.0)</f>
        <v>1367</v>
      </c>
      <c r="AJ950" s="39" t="str">
        <f>IFERROR(__xludf.DUMMYFUNCTION("""COMPUTED_VALUE"""),"テティス島")</f>
        <v>テティス島</v>
      </c>
    </row>
    <row r="951" ht="24.75" customHeight="1">
      <c r="A951" s="40">
        <f>IFERROR(__xludf.DUMMYFUNCTION("""COMPUTED_VALUE"""),6.0)</f>
        <v>6</v>
      </c>
      <c r="B951" s="40" t="str">
        <f>IFERROR(__xludf.DUMMYFUNCTION("""COMPUTED_VALUE"""),"A113")</f>
        <v>A113</v>
      </c>
      <c r="C951" s="40" t="str">
        <f>IFERROR(__xludf.DUMMYFUNCTION("""COMPUTED_VALUE"""),"SIN10")</f>
        <v>SIN10</v>
      </c>
      <c r="D951" s="41" t="str">
        <f>IFERROR(__xludf.DUMMYFUNCTION("""COMPUTED_VALUE"""),"SIN")</f>
        <v>SIN</v>
      </c>
      <c r="E951" s="42" t="str">
        <f>IFERROR(__xludf.DUMMYFUNCTION("""COMPUTED_VALUE"""),"Xianyang")</f>
        <v>Xianyang</v>
      </c>
      <c r="F951" s="43">
        <f>IFERROR(__xludf.DUMMYFUNCTION("""COMPUTED_VALUE"""),21.0)</f>
        <v>21</v>
      </c>
      <c r="G951" s="44">
        <f>IFERROR(__xludf.DUMMYFUNCTION("""COMPUTED_VALUE"""),10327.0)</f>
        <v>10327</v>
      </c>
      <c r="H951" s="33" t="str">
        <f>IFERROR(__xludf.DUMMYFUNCTION("""COMPUTED_VALUE"""),"")</f>
        <v/>
      </c>
      <c r="I951" s="45">
        <f>IFERROR(__xludf.DUMMYFUNCTION("""COMPUTED_VALUE"""),131.8)</f>
        <v>131.8</v>
      </c>
      <c r="J951" s="46" t="str">
        <f>IFERROR(__xludf.DUMMYFUNCTION("""COMPUTED_VALUE"""),"AP")</f>
        <v>AP</v>
      </c>
      <c r="K951" s="47">
        <f>IFERROR(__xludf.DUMMYFUNCTION("""COMPUTED_VALUE"""),15.9)</f>
        <v>15.9</v>
      </c>
      <c r="L951" s="48" t="str">
        <f>IFERROR(__xludf.DUMMYFUNCTION("""COMPUTED_VALUE"""),"%")</f>
        <v>%</v>
      </c>
      <c r="M951" s="49">
        <f>IFERROR(__xludf.DUMMYFUNCTION("""COMPUTED_VALUE"""),1.0)</f>
        <v>1</v>
      </c>
      <c r="N951" s="50" t="str">
        <f>IFERROR(__xludf.DUMMYFUNCTION("""COMPUTED_VALUE"""),"A216")</f>
        <v>A216</v>
      </c>
      <c r="O951" s="38" t="str">
        <f>IFERROR(__xludf.DUMMYFUNCTION("""COMPUTED_VALUE"""),"")</f>
        <v/>
      </c>
      <c r="P951" s="45">
        <f>IFERROR(__xludf.DUMMYFUNCTION("""COMPUTED_VALUE"""),105.5)</f>
        <v>105.5</v>
      </c>
      <c r="Q951" s="46" t="str">
        <f>IFERROR(__xludf.DUMMYFUNCTION("""COMPUTED_VALUE"""),"AP")</f>
        <v>AP</v>
      </c>
      <c r="R951" s="47">
        <f>IFERROR(__xludf.DUMMYFUNCTION("""COMPUTED_VALUE"""),19.9)</f>
        <v>19.9</v>
      </c>
      <c r="S951" s="48" t="str">
        <f>IFERROR(__xludf.DUMMYFUNCTION("""COMPUTED_VALUE"""),"%")</f>
        <v>%</v>
      </c>
      <c r="T951" s="49">
        <f>IFERROR(__xludf.DUMMYFUNCTION("""COMPUTED_VALUE"""),2.0)</f>
        <v>2</v>
      </c>
      <c r="U951" s="50" t="str">
        <f>IFERROR(__xludf.DUMMYFUNCTION("""COMPUTED_VALUE"""),"A304")</f>
        <v>A304</v>
      </c>
      <c r="V951" s="38" t="str">
        <f>IFERROR(__xludf.DUMMYFUNCTION("""COMPUTED_VALUE"""),"")</f>
        <v/>
      </c>
      <c r="W951" s="45">
        <f>IFERROR(__xludf.DUMMYFUNCTION("""COMPUTED_VALUE"""),70.8)</f>
        <v>70.8</v>
      </c>
      <c r="X951" s="46" t="str">
        <f>IFERROR(__xludf.DUMMYFUNCTION("""COMPUTED_VALUE"""),"AP")</f>
        <v>AP</v>
      </c>
      <c r="Y951" s="47">
        <f>IFERROR(__xludf.DUMMYFUNCTION("""COMPUTED_VALUE"""),29.7)</f>
        <v>29.7</v>
      </c>
      <c r="Z951" s="48" t="str">
        <f>IFERROR(__xludf.DUMMYFUNCTION("""COMPUTED_VALUE"""),"%")</f>
        <v>%</v>
      </c>
      <c r="AA951" s="49">
        <f>IFERROR(__xludf.DUMMYFUNCTION("""COMPUTED_VALUE"""),3.0)</f>
        <v>3</v>
      </c>
      <c r="AB951" s="50" t="str">
        <f>IFERROR(__xludf.DUMMYFUNCTION("""COMPUTED_VALUE"""),"B112")</f>
        <v>B112</v>
      </c>
      <c r="AC951" s="38" t="str">
        <f>IFERROR(__xludf.DUMMYFUNCTION("""COMPUTED_VALUE"""),"")</f>
        <v/>
      </c>
      <c r="AD951" s="45">
        <f>IFERROR(__xludf.DUMMYFUNCTION("""COMPUTED_VALUE"""),137.7)</f>
        <v>137.7</v>
      </c>
      <c r="AE951" s="46" t="str">
        <f>IFERROR(__xludf.DUMMYFUNCTION("""COMPUTED_VALUE"""),"AP")</f>
        <v>AP</v>
      </c>
      <c r="AF951" s="47">
        <f>IFERROR(__xludf.DUMMYFUNCTION("""COMPUTED_VALUE"""),15.3)</f>
        <v>15.3</v>
      </c>
      <c r="AG951" s="48" t="str">
        <f>IFERROR(__xludf.DUMMYFUNCTION("""COMPUTED_VALUE"""),"%")</f>
        <v>%</v>
      </c>
      <c r="AH951" s="43">
        <f>IFERROR(__xludf.DUMMYFUNCTION("""COMPUTED_VALUE"""),21.0)</f>
        <v>21</v>
      </c>
      <c r="AI951" s="44">
        <f>IFERROR(__xludf.DUMMYFUNCTION("""COMPUTED_VALUE"""),10327.0)</f>
        <v>10327</v>
      </c>
      <c r="AJ951" s="51" t="str">
        <f>IFERROR(__xludf.DUMMYFUNCTION("""COMPUTED_VALUE"""),"咸陽")</f>
        <v>咸陽</v>
      </c>
    </row>
    <row r="952" ht="24.75" customHeight="1">
      <c r="A952" s="28">
        <f>IFERROR(__xludf.DUMMYFUNCTION("""COMPUTED_VALUE"""),7.0)</f>
        <v>7</v>
      </c>
      <c r="B952" s="28" t="str">
        <f>IFERROR(__xludf.DUMMYFUNCTION("""COMPUTED_VALUE"""),"A113")</f>
        <v>A113</v>
      </c>
      <c r="C952" s="28" t="str">
        <f>IFERROR(__xludf.DUMMYFUNCTION("""COMPUTED_VALUE"""),"SIN5")</f>
        <v>SIN5</v>
      </c>
      <c r="D952" s="29" t="str">
        <f>IFERROR(__xludf.DUMMYFUNCTION("""COMPUTED_VALUE"""),"SIN")</f>
        <v>SIN</v>
      </c>
      <c r="E952" s="30" t="str">
        <f>IFERROR(__xludf.DUMMYFUNCTION("""COMPUTED_VALUE"""),"Jingyang Field")</f>
        <v>Jingyang Field</v>
      </c>
      <c r="F952" s="31">
        <f>IFERROR(__xludf.DUMMYFUNCTION("""COMPUTED_VALUE"""),21.0)</f>
        <v>21</v>
      </c>
      <c r="G952" s="32">
        <f>IFERROR(__xludf.DUMMYFUNCTION("""COMPUTED_VALUE"""),5852.0)</f>
        <v>5852</v>
      </c>
      <c r="H952" s="33" t="str">
        <f>IFERROR(__xludf.DUMMYFUNCTION("""COMPUTED_VALUE"""),"")</f>
        <v/>
      </c>
      <c r="I952" s="34">
        <f>IFERROR(__xludf.DUMMYFUNCTION("""COMPUTED_VALUE"""),134.2)</f>
        <v>134.2</v>
      </c>
      <c r="J952" s="35" t="str">
        <f>IFERROR(__xludf.DUMMYFUNCTION("""COMPUTED_VALUE"""),"AP")</f>
        <v>AP</v>
      </c>
      <c r="K952" s="34">
        <f>IFERROR(__xludf.DUMMYFUNCTION("""COMPUTED_VALUE"""),15.7)</f>
        <v>15.7</v>
      </c>
      <c r="L952" s="35" t="str">
        <f>IFERROR(__xludf.DUMMYFUNCTION("""COMPUTED_VALUE"""),"%")</f>
        <v>%</v>
      </c>
      <c r="M952" s="36">
        <f>IFERROR(__xludf.DUMMYFUNCTION("""COMPUTED_VALUE"""),1.0)</f>
        <v>1</v>
      </c>
      <c r="N952" s="37" t="str">
        <f>IFERROR(__xludf.DUMMYFUNCTION("""COMPUTED_VALUE"""),"A214")</f>
        <v>A214</v>
      </c>
      <c r="O952" s="38" t="str">
        <f>IFERROR(__xludf.DUMMYFUNCTION("""COMPUTED_VALUE"""),"")</f>
        <v/>
      </c>
      <c r="P952" s="34">
        <f>IFERROR(__xludf.DUMMYFUNCTION("""COMPUTED_VALUE"""),101.6)</f>
        <v>101.6</v>
      </c>
      <c r="Q952" s="35" t="str">
        <f>IFERROR(__xludf.DUMMYFUNCTION("""COMPUTED_VALUE"""),"AP")</f>
        <v>AP</v>
      </c>
      <c r="R952" s="34">
        <f>IFERROR(__xludf.DUMMYFUNCTION("""COMPUTED_VALUE"""),20.7)</f>
        <v>20.7</v>
      </c>
      <c r="S952" s="35" t="str">
        <f>IFERROR(__xludf.DUMMYFUNCTION("""COMPUTED_VALUE"""),"%")</f>
        <v>%</v>
      </c>
      <c r="T952" s="36">
        <f>IFERROR(__xludf.DUMMYFUNCTION("""COMPUTED_VALUE"""),2.0)</f>
        <v>2</v>
      </c>
      <c r="U952" s="37" t="str">
        <f>IFERROR(__xludf.DUMMYFUNCTION("""COMPUTED_VALUE"""),"A304")</f>
        <v>A304</v>
      </c>
      <c r="V952" s="38" t="str">
        <f>IFERROR(__xludf.DUMMYFUNCTION("""COMPUTED_VALUE"""),"")</f>
        <v/>
      </c>
      <c r="W952" s="34">
        <f>IFERROR(__xludf.DUMMYFUNCTION("""COMPUTED_VALUE"""),65.4)</f>
        <v>65.4</v>
      </c>
      <c r="X952" s="35" t="str">
        <f>IFERROR(__xludf.DUMMYFUNCTION("""COMPUTED_VALUE"""),"AP")</f>
        <v>AP</v>
      </c>
      <c r="Y952" s="34">
        <f>IFERROR(__xludf.DUMMYFUNCTION("""COMPUTED_VALUE"""),32.1)</f>
        <v>32.1</v>
      </c>
      <c r="Z952" s="35" t="str">
        <f>IFERROR(__xludf.DUMMYFUNCTION("""COMPUTED_VALUE"""),"%")</f>
        <v>%</v>
      </c>
      <c r="AA952" s="36">
        <f>IFERROR(__xludf.DUMMYFUNCTION("""COMPUTED_VALUE"""),3.0)</f>
        <v>3</v>
      </c>
      <c r="AB952" s="37" t="str">
        <f>IFERROR(__xludf.DUMMYFUNCTION("""COMPUTED_VALUE"""),"B112")</f>
        <v>B112</v>
      </c>
      <c r="AC952" s="38" t="str">
        <f>IFERROR(__xludf.DUMMYFUNCTION("""COMPUTED_VALUE"""),"")</f>
        <v/>
      </c>
      <c r="AD952" s="34">
        <f>IFERROR(__xludf.DUMMYFUNCTION("""COMPUTED_VALUE"""),207.8)</f>
        <v>207.8</v>
      </c>
      <c r="AE952" s="35" t="str">
        <f>IFERROR(__xludf.DUMMYFUNCTION("""COMPUTED_VALUE"""),"AP")</f>
        <v>AP</v>
      </c>
      <c r="AF952" s="34">
        <f>IFERROR(__xludf.DUMMYFUNCTION("""COMPUTED_VALUE"""),10.1)</f>
        <v>10.1</v>
      </c>
      <c r="AG952" s="35" t="str">
        <f>IFERROR(__xludf.DUMMYFUNCTION("""COMPUTED_VALUE"""),"%")</f>
        <v>%</v>
      </c>
      <c r="AH952" s="31">
        <f>IFERROR(__xludf.DUMMYFUNCTION("""COMPUTED_VALUE"""),21.0)</f>
        <v>21</v>
      </c>
      <c r="AI952" s="32">
        <f>IFERROR(__xludf.DUMMYFUNCTION("""COMPUTED_VALUE"""),5852.0)</f>
        <v>5852</v>
      </c>
      <c r="AJ952" s="39" t="str">
        <f>IFERROR(__xludf.DUMMYFUNCTION("""COMPUTED_VALUE"""),"景陽原")</f>
        <v>景陽原</v>
      </c>
    </row>
    <row r="953" ht="24.75" customHeight="1">
      <c r="A953" s="40">
        <f>IFERROR(__xludf.DUMMYFUNCTION("""COMPUTED_VALUE"""),8.0)</f>
        <v>8</v>
      </c>
      <c r="B953" s="40" t="str">
        <f>IFERROR(__xludf.DUMMYFUNCTION("""COMPUTED_VALUE"""),"A113")</f>
        <v>A113</v>
      </c>
      <c r="C953" s="40" t="str">
        <f>IFERROR(__xludf.DUMMYFUNCTION("""COMPUTED_VALUE"""),"ATL7")</f>
        <v>ATL7</v>
      </c>
      <c r="D953" s="41" t="str">
        <f>IFERROR(__xludf.DUMMYFUNCTION("""COMPUTED_VALUE"""),"Atlantis")</f>
        <v>Atlantis</v>
      </c>
      <c r="E953" s="42" t="str">
        <f>IFERROR(__xludf.DUMMYFUNCTION("""COMPUTED_VALUE"""),"Eris Island")</f>
        <v>Eris Island</v>
      </c>
      <c r="F953" s="43">
        <f>IFERROR(__xludf.DUMMYFUNCTION("""COMPUTED_VALUE"""),21.0)</f>
        <v>21</v>
      </c>
      <c r="G953" s="44">
        <f>IFERROR(__xludf.DUMMYFUNCTION("""COMPUTED_VALUE"""),4175.0)</f>
        <v>4175</v>
      </c>
      <c r="H953" s="33" t="str">
        <f>IFERROR(__xludf.DUMMYFUNCTION("""COMPUTED_VALUE"""),"")</f>
        <v/>
      </c>
      <c r="I953" s="45">
        <f>IFERROR(__xludf.DUMMYFUNCTION("""COMPUTED_VALUE"""),136.1)</f>
        <v>136.1</v>
      </c>
      <c r="J953" s="46" t="str">
        <f>IFERROR(__xludf.DUMMYFUNCTION("""COMPUTED_VALUE"""),"AP")</f>
        <v>AP</v>
      </c>
      <c r="K953" s="47">
        <f>IFERROR(__xludf.DUMMYFUNCTION("""COMPUTED_VALUE"""),15.4)</f>
        <v>15.4</v>
      </c>
      <c r="L953" s="48" t="str">
        <f>IFERROR(__xludf.DUMMYFUNCTION("""COMPUTED_VALUE"""),"%")</f>
        <v>%</v>
      </c>
      <c r="M953" s="49">
        <f>IFERROR(__xludf.DUMMYFUNCTION("""COMPUTED_VALUE"""),1.0)</f>
        <v>1</v>
      </c>
      <c r="N953" s="50" t="str">
        <f>IFERROR(__xludf.DUMMYFUNCTION("""COMPUTED_VALUE"""),"A218")</f>
        <v>A218</v>
      </c>
      <c r="O953" s="38" t="str">
        <f>IFERROR(__xludf.DUMMYFUNCTION("""COMPUTED_VALUE"""),"")</f>
        <v/>
      </c>
      <c r="P953" s="45">
        <f>IFERROR(__xludf.DUMMYFUNCTION("""COMPUTED_VALUE"""),105.3)</f>
        <v>105.3</v>
      </c>
      <c r="Q953" s="46" t="str">
        <f>IFERROR(__xludf.DUMMYFUNCTION("""COMPUTED_VALUE"""),"AP")</f>
        <v>AP</v>
      </c>
      <c r="R953" s="47">
        <f>IFERROR(__xludf.DUMMYFUNCTION("""COMPUTED_VALUE"""),20.0)</f>
        <v>20</v>
      </c>
      <c r="S953" s="48" t="str">
        <f>IFERROR(__xludf.DUMMYFUNCTION("""COMPUTED_VALUE"""),"%")</f>
        <v>%</v>
      </c>
      <c r="T953" s="49">
        <f>IFERROR(__xludf.DUMMYFUNCTION("""COMPUTED_VALUE"""),2.0)</f>
        <v>2</v>
      </c>
      <c r="U953" s="50" t="str">
        <f>IFERROR(__xludf.DUMMYFUNCTION("""COMPUTED_VALUE"""),"A304")</f>
        <v>A304</v>
      </c>
      <c r="V953" s="38" t="str">
        <f>IFERROR(__xludf.DUMMYFUNCTION("""COMPUTED_VALUE"""),"")</f>
        <v/>
      </c>
      <c r="W953" s="45">
        <f>IFERROR(__xludf.DUMMYFUNCTION("""COMPUTED_VALUE"""),69.2)</f>
        <v>69.2</v>
      </c>
      <c r="X953" s="46" t="str">
        <f>IFERROR(__xludf.DUMMYFUNCTION("""COMPUTED_VALUE"""),"AP")</f>
        <v>AP</v>
      </c>
      <c r="Y953" s="47">
        <f>IFERROR(__xludf.DUMMYFUNCTION("""COMPUTED_VALUE"""),30.3)</f>
        <v>30.3</v>
      </c>
      <c r="Z953" s="48" t="str">
        <f>IFERROR(__xludf.DUMMYFUNCTION("""COMPUTED_VALUE"""),"%")</f>
        <v>%</v>
      </c>
      <c r="AA953" s="49">
        <f>IFERROR(__xludf.DUMMYFUNCTION("""COMPUTED_VALUE"""),3.0)</f>
        <v>3</v>
      </c>
      <c r="AB953" s="50" t="str">
        <f>IFERROR(__xludf.DUMMYFUNCTION("""COMPUTED_VALUE"""),"B113")</f>
        <v>B113</v>
      </c>
      <c r="AC953" s="38" t="str">
        <f>IFERROR(__xludf.DUMMYFUNCTION("""COMPUTED_VALUE"""),"")</f>
        <v/>
      </c>
      <c r="AD953" s="45">
        <f>IFERROR(__xludf.DUMMYFUNCTION("""COMPUTED_VALUE"""),254.8)</f>
        <v>254.8</v>
      </c>
      <c r="AE953" s="46" t="str">
        <f>IFERROR(__xludf.DUMMYFUNCTION("""COMPUTED_VALUE"""),"AP")</f>
        <v>AP</v>
      </c>
      <c r="AF953" s="47">
        <f>IFERROR(__xludf.DUMMYFUNCTION("""COMPUTED_VALUE"""),8.2)</f>
        <v>8.2</v>
      </c>
      <c r="AG953" s="48" t="str">
        <f>IFERROR(__xludf.DUMMYFUNCTION("""COMPUTED_VALUE"""),"%")</f>
        <v>%</v>
      </c>
      <c r="AH953" s="43">
        <f>IFERROR(__xludf.DUMMYFUNCTION("""COMPUTED_VALUE"""),21.0)</f>
        <v>21</v>
      </c>
      <c r="AI953" s="44">
        <f>IFERROR(__xludf.DUMMYFUNCTION("""COMPUTED_VALUE"""),4175.0)</f>
        <v>4175</v>
      </c>
      <c r="AJ953" s="51" t="str">
        <f>IFERROR(__xludf.DUMMYFUNCTION("""COMPUTED_VALUE"""),"エリス島")</f>
        <v>エリス島</v>
      </c>
    </row>
    <row r="954" ht="24.75" customHeight="1">
      <c r="A954" s="28">
        <f>IFERROR(__xludf.DUMMYFUNCTION("""COMPUTED_VALUE"""),9.0)</f>
        <v>9</v>
      </c>
      <c r="B954" s="28" t="str">
        <f>IFERROR(__xludf.DUMMYFUNCTION("""COMPUTED_VALUE"""),"A113")</f>
        <v>A113</v>
      </c>
      <c r="C954" s="28" t="str">
        <f>IFERROR(__xludf.DUMMYFUNCTION("""COMPUTED_VALUE"""),"SIN6")</f>
        <v>SIN6</v>
      </c>
      <c r="D954" s="29" t="str">
        <f>IFERROR(__xludf.DUMMYFUNCTION("""COMPUTED_VALUE"""),"SIN")</f>
        <v>SIN</v>
      </c>
      <c r="E954" s="30" t="str">
        <f>IFERROR(__xludf.DUMMYFUNCTION("""COMPUTED_VALUE"""),"Shanyang Hill")</f>
        <v>Shanyang Hill</v>
      </c>
      <c r="F954" s="31">
        <f>IFERROR(__xludf.DUMMYFUNCTION("""COMPUTED_VALUE"""),21.0)</f>
        <v>21</v>
      </c>
      <c r="G954" s="32">
        <f>IFERROR(__xludf.DUMMYFUNCTION("""COMPUTED_VALUE"""),5463.0)</f>
        <v>5463</v>
      </c>
      <c r="H954" s="33" t="str">
        <f>IFERROR(__xludf.DUMMYFUNCTION("""COMPUTED_VALUE"""),"")</f>
        <v/>
      </c>
      <c r="I954" s="34">
        <f>IFERROR(__xludf.DUMMYFUNCTION("""COMPUTED_VALUE"""),138.4)</f>
        <v>138.4</v>
      </c>
      <c r="J954" s="35" t="str">
        <f>IFERROR(__xludf.DUMMYFUNCTION("""COMPUTED_VALUE"""),"AP")</f>
        <v>AP</v>
      </c>
      <c r="K954" s="34">
        <f>IFERROR(__xludf.DUMMYFUNCTION("""COMPUTED_VALUE"""),15.2)</f>
        <v>15.2</v>
      </c>
      <c r="L954" s="35" t="str">
        <f>IFERROR(__xludf.DUMMYFUNCTION("""COMPUTED_VALUE"""),"%")</f>
        <v>%</v>
      </c>
      <c r="M954" s="36">
        <f>IFERROR(__xludf.DUMMYFUNCTION("""COMPUTED_VALUE"""),1.0)</f>
        <v>1</v>
      </c>
      <c r="N954" s="37" t="str">
        <f>IFERROR(__xludf.DUMMYFUNCTION("""COMPUTED_VALUE"""),"A304")</f>
        <v>A304</v>
      </c>
      <c r="O954" s="38" t="str">
        <f>IFERROR(__xludf.DUMMYFUNCTION("""COMPUTED_VALUE"""),"")</f>
        <v/>
      </c>
      <c r="P954" s="34">
        <f>IFERROR(__xludf.DUMMYFUNCTION("""COMPUTED_VALUE"""),71.9)</f>
        <v>71.9</v>
      </c>
      <c r="Q954" s="35" t="str">
        <f>IFERROR(__xludf.DUMMYFUNCTION("""COMPUTED_VALUE"""),"AP")</f>
        <v>AP</v>
      </c>
      <c r="R954" s="34">
        <f>IFERROR(__xludf.DUMMYFUNCTION("""COMPUTED_VALUE"""),29.2)</f>
        <v>29.2</v>
      </c>
      <c r="S954" s="35" t="str">
        <f>IFERROR(__xludf.DUMMYFUNCTION("""COMPUTED_VALUE"""),"%")</f>
        <v>%</v>
      </c>
      <c r="T954" s="36">
        <f>IFERROR(__xludf.DUMMYFUNCTION("""COMPUTED_VALUE"""),2.0)</f>
        <v>2</v>
      </c>
      <c r="U954" s="37" t="str">
        <f>IFERROR(__xludf.DUMMYFUNCTION("""COMPUTED_VALUE"""),"A306")</f>
        <v>A306</v>
      </c>
      <c r="V954" s="38" t="str">
        <f>IFERROR(__xludf.DUMMYFUNCTION("""COMPUTED_VALUE"""),"")</f>
        <v/>
      </c>
      <c r="W954" s="34">
        <f>IFERROR(__xludf.DUMMYFUNCTION("""COMPUTED_VALUE"""),69.7)</f>
        <v>69.7</v>
      </c>
      <c r="X954" s="35" t="str">
        <f>IFERROR(__xludf.DUMMYFUNCTION("""COMPUTED_VALUE"""),"AP")</f>
        <v>AP</v>
      </c>
      <c r="Y954" s="34">
        <f>IFERROR(__xludf.DUMMYFUNCTION("""COMPUTED_VALUE"""),30.1)</f>
        <v>30.1</v>
      </c>
      <c r="Z954" s="35" t="str">
        <f>IFERROR(__xludf.DUMMYFUNCTION("""COMPUTED_VALUE"""),"%")</f>
        <v>%</v>
      </c>
      <c r="AA954" s="36">
        <f>IFERROR(__xludf.DUMMYFUNCTION("""COMPUTED_VALUE"""),3.0)</f>
        <v>3</v>
      </c>
      <c r="AB954" s="37" t="str">
        <f>IFERROR(__xludf.DUMMYFUNCTION("""COMPUTED_VALUE"""),"B112")</f>
        <v>B112</v>
      </c>
      <c r="AC954" s="38" t="str">
        <f>IFERROR(__xludf.DUMMYFUNCTION("""COMPUTED_VALUE"""),"")</f>
        <v/>
      </c>
      <c r="AD954" s="34">
        <f>IFERROR(__xludf.DUMMYFUNCTION("""COMPUTED_VALUE"""),172.4)</f>
        <v>172.4</v>
      </c>
      <c r="AE954" s="35" t="str">
        <f>IFERROR(__xludf.DUMMYFUNCTION("""COMPUTED_VALUE"""),"AP")</f>
        <v>AP</v>
      </c>
      <c r="AF954" s="34">
        <f>IFERROR(__xludf.DUMMYFUNCTION("""COMPUTED_VALUE"""),12.2)</f>
        <v>12.2</v>
      </c>
      <c r="AG954" s="35" t="str">
        <f>IFERROR(__xludf.DUMMYFUNCTION("""COMPUTED_VALUE"""),"%")</f>
        <v>%</v>
      </c>
      <c r="AH954" s="31">
        <f>IFERROR(__xludf.DUMMYFUNCTION("""COMPUTED_VALUE"""),21.0)</f>
        <v>21</v>
      </c>
      <c r="AI954" s="32">
        <f>IFERROR(__xludf.DUMMYFUNCTION("""COMPUTED_VALUE"""),5463.0)</f>
        <v>5463</v>
      </c>
      <c r="AJ954" s="39" t="str">
        <f>IFERROR(__xludf.DUMMYFUNCTION("""COMPUTED_VALUE"""),"山陽丘")</f>
        <v>山陽丘</v>
      </c>
    </row>
    <row r="955" ht="24.75" customHeight="1">
      <c r="A955" s="40">
        <f>IFERROR(__xludf.DUMMYFUNCTION("""COMPUTED_VALUE"""),10.0)</f>
        <v>10</v>
      </c>
      <c r="B955" s="40" t="str">
        <f>IFERROR(__xludf.DUMMYFUNCTION("""COMPUTED_VALUE"""),"A113")</f>
        <v>A113</v>
      </c>
      <c r="C955" s="40"/>
      <c r="D955" s="41"/>
      <c r="E955" s="66"/>
      <c r="F955" s="43"/>
      <c r="G955" s="44"/>
      <c r="H955" s="33" t="str">
        <f>IFERROR(__xludf.DUMMYFUNCTION("""COMPUTED_VALUE""")," ")</f>
        <v> </v>
      </c>
      <c r="I955" s="45"/>
      <c r="J955" s="46" t="str">
        <f>IFERROR(__xludf.DUMMYFUNCTION("""COMPUTED_VALUE"""),"AP")</f>
        <v>AP</v>
      </c>
      <c r="K955" s="47"/>
      <c r="L955" s="48" t="str">
        <f>IFERROR(__xludf.DUMMYFUNCTION("""COMPUTED_VALUE"""),"%")</f>
        <v>%</v>
      </c>
      <c r="M955" s="49">
        <f>IFERROR(__xludf.DUMMYFUNCTION("""COMPUTED_VALUE"""),1.0)</f>
        <v>1</v>
      </c>
      <c r="N955" s="50"/>
      <c r="O955" s="38"/>
      <c r="P955" s="45" t="str">
        <f>IFERROR(__xludf.DUMMYFUNCTION("""COMPUTED_VALUE"""),"")</f>
        <v/>
      </c>
      <c r="Q955" s="46" t="str">
        <f>IFERROR(__xludf.DUMMYFUNCTION("""COMPUTED_VALUE"""),"AP")</f>
        <v>AP</v>
      </c>
      <c r="R955" s="47" t="str">
        <f>IFERROR(__xludf.DUMMYFUNCTION("""COMPUTED_VALUE"""),"")</f>
        <v/>
      </c>
      <c r="S955" s="48" t="str">
        <f>IFERROR(__xludf.DUMMYFUNCTION("""COMPUTED_VALUE"""),"%")</f>
        <v>%</v>
      </c>
      <c r="T955" s="49">
        <f>IFERROR(__xludf.DUMMYFUNCTION("""COMPUTED_VALUE"""),2.0)</f>
        <v>2</v>
      </c>
      <c r="U955" s="50"/>
      <c r="V955" s="38"/>
      <c r="W955" s="45" t="str">
        <f>IFERROR(__xludf.DUMMYFUNCTION("""COMPUTED_VALUE"""),"")</f>
        <v/>
      </c>
      <c r="X955" s="46" t="str">
        <f>IFERROR(__xludf.DUMMYFUNCTION("""COMPUTED_VALUE"""),"AP")</f>
        <v>AP</v>
      </c>
      <c r="Y955" s="47" t="str">
        <f>IFERROR(__xludf.DUMMYFUNCTION("""COMPUTED_VALUE"""),"")</f>
        <v/>
      </c>
      <c r="Z955" s="48" t="str">
        <f>IFERROR(__xludf.DUMMYFUNCTION("""COMPUTED_VALUE"""),"%")</f>
        <v>%</v>
      </c>
      <c r="AA955" s="49">
        <f>IFERROR(__xludf.DUMMYFUNCTION("""COMPUTED_VALUE"""),3.0)</f>
        <v>3</v>
      </c>
      <c r="AB955" s="50"/>
      <c r="AC955" s="38"/>
      <c r="AD955" s="45" t="str">
        <f>IFERROR(__xludf.DUMMYFUNCTION("""COMPUTED_VALUE"""),"")</f>
        <v/>
      </c>
      <c r="AE955" s="46" t="str">
        <f>IFERROR(__xludf.DUMMYFUNCTION("""COMPUTED_VALUE"""),"AP")</f>
        <v>AP</v>
      </c>
      <c r="AF955" s="47" t="str">
        <f>IFERROR(__xludf.DUMMYFUNCTION("""COMPUTED_VALUE"""),"")</f>
        <v/>
      </c>
      <c r="AG955" s="48" t="str">
        <f>IFERROR(__xludf.DUMMYFUNCTION("""COMPUTED_VALUE"""),"%")</f>
        <v>%</v>
      </c>
      <c r="AH955" s="43"/>
      <c r="AI955" s="44"/>
      <c r="AJ955" s="51"/>
    </row>
    <row r="956" ht="24.75" hidden="1" customHeight="1">
      <c r="A956" s="28">
        <f>IFERROR(__xludf.DUMMYFUNCTION("""COMPUTED_VALUE"""),11.0)</f>
        <v>11</v>
      </c>
      <c r="B956" s="28" t="str">
        <f>IFERROR(__xludf.DUMMYFUNCTION("""COMPUTED_VALUE"""),"A113")</f>
        <v>A113</v>
      </c>
      <c r="C956" s="28"/>
      <c r="D956" s="29"/>
      <c r="E956" s="67"/>
      <c r="F956" s="31"/>
      <c r="G956" s="32"/>
      <c r="H956" s="33" t="str">
        <f>IFERROR(__xludf.DUMMYFUNCTION("""COMPUTED_VALUE""")," ")</f>
        <v> </v>
      </c>
      <c r="I956" s="34"/>
      <c r="J956" s="35" t="str">
        <f>IFERROR(__xludf.DUMMYFUNCTION("""COMPUTED_VALUE"""),"AP")</f>
        <v>AP</v>
      </c>
      <c r="K956" s="34"/>
      <c r="L956" s="35" t="str">
        <f>IFERROR(__xludf.DUMMYFUNCTION("""COMPUTED_VALUE"""),"%")</f>
        <v>%</v>
      </c>
      <c r="M956" s="36">
        <f>IFERROR(__xludf.DUMMYFUNCTION("""COMPUTED_VALUE"""),1.0)</f>
        <v>1</v>
      </c>
      <c r="N956" s="37"/>
      <c r="O956" s="38"/>
      <c r="P956" s="34" t="str">
        <f>IFERROR(__xludf.DUMMYFUNCTION("""COMPUTED_VALUE"""),"")</f>
        <v/>
      </c>
      <c r="Q956" s="35" t="str">
        <f>IFERROR(__xludf.DUMMYFUNCTION("""COMPUTED_VALUE"""),"AP")</f>
        <v>AP</v>
      </c>
      <c r="R956" s="34" t="str">
        <f>IFERROR(__xludf.DUMMYFUNCTION("""COMPUTED_VALUE"""),"")</f>
        <v/>
      </c>
      <c r="S956" s="35" t="str">
        <f>IFERROR(__xludf.DUMMYFUNCTION("""COMPUTED_VALUE"""),"%")</f>
        <v>%</v>
      </c>
      <c r="T956" s="36">
        <f>IFERROR(__xludf.DUMMYFUNCTION("""COMPUTED_VALUE"""),2.0)</f>
        <v>2</v>
      </c>
      <c r="U956" s="37"/>
      <c r="V956" s="38"/>
      <c r="W956" s="34" t="str">
        <f>IFERROR(__xludf.DUMMYFUNCTION("""COMPUTED_VALUE"""),"")</f>
        <v/>
      </c>
      <c r="X956" s="35" t="str">
        <f>IFERROR(__xludf.DUMMYFUNCTION("""COMPUTED_VALUE"""),"AP")</f>
        <v>AP</v>
      </c>
      <c r="Y956" s="34" t="str">
        <f>IFERROR(__xludf.DUMMYFUNCTION("""COMPUTED_VALUE"""),"")</f>
        <v/>
      </c>
      <c r="Z956" s="35" t="str">
        <f>IFERROR(__xludf.DUMMYFUNCTION("""COMPUTED_VALUE"""),"%")</f>
        <v>%</v>
      </c>
      <c r="AA956" s="36">
        <f>IFERROR(__xludf.DUMMYFUNCTION("""COMPUTED_VALUE"""),3.0)</f>
        <v>3</v>
      </c>
      <c r="AB956" s="37"/>
      <c r="AC956" s="38"/>
      <c r="AD956" s="34" t="str">
        <f>IFERROR(__xludf.DUMMYFUNCTION("""COMPUTED_VALUE"""),"")</f>
        <v/>
      </c>
      <c r="AE956" s="35" t="str">
        <f>IFERROR(__xludf.DUMMYFUNCTION("""COMPUTED_VALUE"""),"AP")</f>
        <v>AP</v>
      </c>
      <c r="AF956" s="34" t="str">
        <f>IFERROR(__xludf.DUMMYFUNCTION("""COMPUTED_VALUE"""),"")</f>
        <v/>
      </c>
      <c r="AG956" s="35" t="str">
        <f>IFERROR(__xludf.DUMMYFUNCTION("""COMPUTED_VALUE"""),"%")</f>
        <v>%</v>
      </c>
      <c r="AH956" s="31"/>
      <c r="AI956" s="32"/>
      <c r="AJ956" s="39"/>
    </row>
    <row r="957" ht="24.75" hidden="1" customHeight="1">
      <c r="A957" s="40">
        <f>IFERROR(__xludf.DUMMYFUNCTION("""COMPUTED_VALUE"""),12.0)</f>
        <v>12</v>
      </c>
      <c r="B957" s="40" t="str">
        <f>IFERROR(__xludf.DUMMYFUNCTION("""COMPUTED_VALUE"""),"A113")</f>
        <v>A113</v>
      </c>
      <c r="C957" s="40"/>
      <c r="D957" s="41"/>
      <c r="E957" s="66"/>
      <c r="F957" s="43"/>
      <c r="G957" s="44"/>
      <c r="H957" s="33" t="str">
        <f>IFERROR(__xludf.DUMMYFUNCTION("""COMPUTED_VALUE""")," ")</f>
        <v> </v>
      </c>
      <c r="I957" s="45"/>
      <c r="J957" s="46" t="str">
        <f>IFERROR(__xludf.DUMMYFUNCTION("""COMPUTED_VALUE"""),"AP")</f>
        <v>AP</v>
      </c>
      <c r="K957" s="47"/>
      <c r="L957" s="48" t="str">
        <f>IFERROR(__xludf.DUMMYFUNCTION("""COMPUTED_VALUE"""),"%")</f>
        <v>%</v>
      </c>
      <c r="M957" s="49">
        <f>IFERROR(__xludf.DUMMYFUNCTION("""COMPUTED_VALUE"""),1.0)</f>
        <v>1</v>
      </c>
      <c r="N957" s="50"/>
      <c r="O957" s="38"/>
      <c r="P957" s="45" t="str">
        <f>IFERROR(__xludf.DUMMYFUNCTION("""COMPUTED_VALUE"""),"")</f>
        <v/>
      </c>
      <c r="Q957" s="46" t="str">
        <f>IFERROR(__xludf.DUMMYFUNCTION("""COMPUTED_VALUE"""),"AP")</f>
        <v>AP</v>
      </c>
      <c r="R957" s="47" t="str">
        <f>IFERROR(__xludf.DUMMYFUNCTION("""COMPUTED_VALUE"""),"")</f>
        <v/>
      </c>
      <c r="S957" s="48" t="str">
        <f>IFERROR(__xludf.DUMMYFUNCTION("""COMPUTED_VALUE"""),"%")</f>
        <v>%</v>
      </c>
      <c r="T957" s="49">
        <f>IFERROR(__xludf.DUMMYFUNCTION("""COMPUTED_VALUE"""),2.0)</f>
        <v>2</v>
      </c>
      <c r="U957" s="50"/>
      <c r="V957" s="38"/>
      <c r="W957" s="45" t="str">
        <f>IFERROR(__xludf.DUMMYFUNCTION("""COMPUTED_VALUE"""),"")</f>
        <v/>
      </c>
      <c r="X957" s="46" t="str">
        <f>IFERROR(__xludf.DUMMYFUNCTION("""COMPUTED_VALUE"""),"AP")</f>
        <v>AP</v>
      </c>
      <c r="Y957" s="47" t="str">
        <f>IFERROR(__xludf.DUMMYFUNCTION("""COMPUTED_VALUE"""),"")</f>
        <v/>
      </c>
      <c r="Z957" s="48" t="str">
        <f>IFERROR(__xludf.DUMMYFUNCTION("""COMPUTED_VALUE"""),"%")</f>
        <v>%</v>
      </c>
      <c r="AA957" s="49">
        <f>IFERROR(__xludf.DUMMYFUNCTION("""COMPUTED_VALUE"""),3.0)</f>
        <v>3</v>
      </c>
      <c r="AB957" s="50"/>
      <c r="AC957" s="38"/>
      <c r="AD957" s="45" t="str">
        <f>IFERROR(__xludf.DUMMYFUNCTION("""COMPUTED_VALUE"""),"")</f>
        <v/>
      </c>
      <c r="AE957" s="46" t="str">
        <f>IFERROR(__xludf.DUMMYFUNCTION("""COMPUTED_VALUE"""),"AP")</f>
        <v>AP</v>
      </c>
      <c r="AF957" s="47" t="str">
        <f>IFERROR(__xludf.DUMMYFUNCTION("""COMPUTED_VALUE"""),"")</f>
        <v/>
      </c>
      <c r="AG957" s="48" t="str">
        <f>IFERROR(__xludf.DUMMYFUNCTION("""COMPUTED_VALUE"""),"%")</f>
        <v>%</v>
      </c>
      <c r="AH957" s="43"/>
      <c r="AI957" s="44"/>
      <c r="AJ957" s="51"/>
    </row>
    <row r="958" ht="24.75" hidden="1" customHeight="1">
      <c r="A958" s="28">
        <f>IFERROR(__xludf.DUMMYFUNCTION("""COMPUTED_VALUE"""),13.0)</f>
        <v>13</v>
      </c>
      <c r="B958" s="28" t="str">
        <f>IFERROR(__xludf.DUMMYFUNCTION("""COMPUTED_VALUE"""),"A113")</f>
        <v>A113</v>
      </c>
      <c r="C958" s="28"/>
      <c r="D958" s="29"/>
      <c r="E958" s="67"/>
      <c r="F958" s="31"/>
      <c r="G958" s="32"/>
      <c r="H958" s="33" t="str">
        <f>IFERROR(__xludf.DUMMYFUNCTION("""COMPUTED_VALUE""")," ")</f>
        <v> </v>
      </c>
      <c r="I958" s="34"/>
      <c r="J958" s="35" t="str">
        <f>IFERROR(__xludf.DUMMYFUNCTION("""COMPUTED_VALUE"""),"AP")</f>
        <v>AP</v>
      </c>
      <c r="K958" s="34"/>
      <c r="L958" s="35" t="str">
        <f>IFERROR(__xludf.DUMMYFUNCTION("""COMPUTED_VALUE"""),"%")</f>
        <v>%</v>
      </c>
      <c r="M958" s="36">
        <f>IFERROR(__xludf.DUMMYFUNCTION("""COMPUTED_VALUE"""),1.0)</f>
        <v>1</v>
      </c>
      <c r="N958" s="37"/>
      <c r="O958" s="38"/>
      <c r="P958" s="34" t="str">
        <f>IFERROR(__xludf.DUMMYFUNCTION("""COMPUTED_VALUE"""),"")</f>
        <v/>
      </c>
      <c r="Q958" s="35" t="str">
        <f>IFERROR(__xludf.DUMMYFUNCTION("""COMPUTED_VALUE"""),"AP")</f>
        <v>AP</v>
      </c>
      <c r="R958" s="34" t="str">
        <f>IFERROR(__xludf.DUMMYFUNCTION("""COMPUTED_VALUE"""),"")</f>
        <v/>
      </c>
      <c r="S958" s="35" t="str">
        <f>IFERROR(__xludf.DUMMYFUNCTION("""COMPUTED_VALUE"""),"%")</f>
        <v>%</v>
      </c>
      <c r="T958" s="36">
        <f>IFERROR(__xludf.DUMMYFUNCTION("""COMPUTED_VALUE"""),2.0)</f>
        <v>2</v>
      </c>
      <c r="U958" s="37"/>
      <c r="V958" s="38"/>
      <c r="W958" s="34" t="str">
        <f>IFERROR(__xludf.DUMMYFUNCTION("""COMPUTED_VALUE"""),"")</f>
        <v/>
      </c>
      <c r="X958" s="35" t="str">
        <f>IFERROR(__xludf.DUMMYFUNCTION("""COMPUTED_VALUE"""),"AP")</f>
        <v>AP</v>
      </c>
      <c r="Y958" s="34" t="str">
        <f>IFERROR(__xludf.DUMMYFUNCTION("""COMPUTED_VALUE"""),"")</f>
        <v/>
      </c>
      <c r="Z958" s="35" t="str">
        <f>IFERROR(__xludf.DUMMYFUNCTION("""COMPUTED_VALUE"""),"%")</f>
        <v>%</v>
      </c>
      <c r="AA958" s="36">
        <f>IFERROR(__xludf.DUMMYFUNCTION("""COMPUTED_VALUE"""),3.0)</f>
        <v>3</v>
      </c>
      <c r="AB958" s="37"/>
      <c r="AC958" s="38"/>
      <c r="AD958" s="34" t="str">
        <f>IFERROR(__xludf.DUMMYFUNCTION("""COMPUTED_VALUE"""),"")</f>
        <v/>
      </c>
      <c r="AE958" s="35" t="str">
        <f>IFERROR(__xludf.DUMMYFUNCTION("""COMPUTED_VALUE"""),"AP")</f>
        <v>AP</v>
      </c>
      <c r="AF958" s="34" t="str">
        <f>IFERROR(__xludf.DUMMYFUNCTION("""COMPUTED_VALUE"""),"")</f>
        <v/>
      </c>
      <c r="AG958" s="35" t="str">
        <f>IFERROR(__xludf.DUMMYFUNCTION("""COMPUTED_VALUE"""),"%")</f>
        <v>%</v>
      </c>
      <c r="AH958" s="31"/>
      <c r="AI958" s="32"/>
      <c r="AJ958" s="39"/>
    </row>
    <row r="959" ht="24.75" hidden="1" customHeight="1">
      <c r="A959" s="40">
        <f>IFERROR(__xludf.DUMMYFUNCTION("""COMPUTED_VALUE"""),14.0)</f>
        <v>14</v>
      </c>
      <c r="B959" s="40" t="str">
        <f>IFERROR(__xludf.DUMMYFUNCTION("""COMPUTED_VALUE"""),"A113")</f>
        <v>A113</v>
      </c>
      <c r="C959" s="40"/>
      <c r="D959" s="41"/>
      <c r="E959" s="66"/>
      <c r="F959" s="43"/>
      <c r="G959" s="44"/>
      <c r="H959" s="33" t="str">
        <f>IFERROR(__xludf.DUMMYFUNCTION("""COMPUTED_VALUE""")," ")</f>
        <v> </v>
      </c>
      <c r="I959" s="45"/>
      <c r="J959" s="46" t="str">
        <f>IFERROR(__xludf.DUMMYFUNCTION("""COMPUTED_VALUE"""),"AP")</f>
        <v>AP</v>
      </c>
      <c r="K959" s="47"/>
      <c r="L959" s="48" t="str">
        <f>IFERROR(__xludf.DUMMYFUNCTION("""COMPUTED_VALUE"""),"%")</f>
        <v>%</v>
      </c>
      <c r="M959" s="49">
        <f>IFERROR(__xludf.DUMMYFUNCTION("""COMPUTED_VALUE"""),1.0)</f>
        <v>1</v>
      </c>
      <c r="N959" s="50"/>
      <c r="O959" s="38"/>
      <c r="P959" s="45" t="str">
        <f>IFERROR(__xludf.DUMMYFUNCTION("""COMPUTED_VALUE"""),"")</f>
        <v/>
      </c>
      <c r="Q959" s="46" t="str">
        <f>IFERROR(__xludf.DUMMYFUNCTION("""COMPUTED_VALUE"""),"AP")</f>
        <v>AP</v>
      </c>
      <c r="R959" s="47" t="str">
        <f>IFERROR(__xludf.DUMMYFUNCTION("""COMPUTED_VALUE"""),"")</f>
        <v/>
      </c>
      <c r="S959" s="48" t="str">
        <f>IFERROR(__xludf.DUMMYFUNCTION("""COMPUTED_VALUE"""),"%")</f>
        <v>%</v>
      </c>
      <c r="T959" s="49">
        <f>IFERROR(__xludf.DUMMYFUNCTION("""COMPUTED_VALUE"""),2.0)</f>
        <v>2</v>
      </c>
      <c r="U959" s="50"/>
      <c r="V959" s="38"/>
      <c r="W959" s="45" t="str">
        <f>IFERROR(__xludf.DUMMYFUNCTION("""COMPUTED_VALUE"""),"")</f>
        <v/>
      </c>
      <c r="X959" s="46" t="str">
        <f>IFERROR(__xludf.DUMMYFUNCTION("""COMPUTED_VALUE"""),"AP")</f>
        <v>AP</v>
      </c>
      <c r="Y959" s="47" t="str">
        <f>IFERROR(__xludf.DUMMYFUNCTION("""COMPUTED_VALUE"""),"")</f>
        <v/>
      </c>
      <c r="Z959" s="48" t="str">
        <f>IFERROR(__xludf.DUMMYFUNCTION("""COMPUTED_VALUE"""),"%")</f>
        <v>%</v>
      </c>
      <c r="AA959" s="49">
        <f>IFERROR(__xludf.DUMMYFUNCTION("""COMPUTED_VALUE"""),3.0)</f>
        <v>3</v>
      </c>
      <c r="AB959" s="50"/>
      <c r="AC959" s="38"/>
      <c r="AD959" s="45" t="str">
        <f>IFERROR(__xludf.DUMMYFUNCTION("""COMPUTED_VALUE"""),"")</f>
        <v/>
      </c>
      <c r="AE959" s="46" t="str">
        <f>IFERROR(__xludf.DUMMYFUNCTION("""COMPUTED_VALUE"""),"AP")</f>
        <v>AP</v>
      </c>
      <c r="AF959" s="47" t="str">
        <f>IFERROR(__xludf.DUMMYFUNCTION("""COMPUTED_VALUE"""),"")</f>
        <v/>
      </c>
      <c r="AG959" s="48" t="str">
        <f>IFERROR(__xludf.DUMMYFUNCTION("""COMPUTED_VALUE"""),"%")</f>
        <v>%</v>
      </c>
      <c r="AH959" s="43"/>
      <c r="AI959" s="44"/>
      <c r="AJ959" s="51"/>
    </row>
    <row r="960" ht="24.75" hidden="1" customHeight="1">
      <c r="A960" s="28">
        <f>IFERROR(__xludf.DUMMYFUNCTION("""COMPUTED_VALUE"""),15.0)</f>
        <v>15</v>
      </c>
      <c r="B960" s="28" t="str">
        <f>IFERROR(__xludf.DUMMYFUNCTION("""COMPUTED_VALUE"""),"A113")</f>
        <v>A113</v>
      </c>
      <c r="C960" s="28"/>
      <c r="D960" s="29"/>
      <c r="E960" s="67"/>
      <c r="F960" s="31"/>
      <c r="G960" s="32"/>
      <c r="H960" s="33" t="str">
        <f>IFERROR(__xludf.DUMMYFUNCTION("""COMPUTED_VALUE""")," ")</f>
        <v> </v>
      </c>
      <c r="I960" s="34"/>
      <c r="J960" s="35" t="str">
        <f>IFERROR(__xludf.DUMMYFUNCTION("""COMPUTED_VALUE"""),"AP")</f>
        <v>AP</v>
      </c>
      <c r="K960" s="34"/>
      <c r="L960" s="35" t="str">
        <f>IFERROR(__xludf.DUMMYFUNCTION("""COMPUTED_VALUE"""),"%")</f>
        <v>%</v>
      </c>
      <c r="M960" s="36">
        <f>IFERROR(__xludf.DUMMYFUNCTION("""COMPUTED_VALUE"""),1.0)</f>
        <v>1</v>
      </c>
      <c r="N960" s="37"/>
      <c r="O960" s="38"/>
      <c r="P960" s="34" t="str">
        <f>IFERROR(__xludf.DUMMYFUNCTION("""COMPUTED_VALUE"""),"")</f>
        <v/>
      </c>
      <c r="Q960" s="35" t="str">
        <f>IFERROR(__xludf.DUMMYFUNCTION("""COMPUTED_VALUE"""),"AP")</f>
        <v>AP</v>
      </c>
      <c r="R960" s="34" t="str">
        <f>IFERROR(__xludf.DUMMYFUNCTION("""COMPUTED_VALUE"""),"")</f>
        <v/>
      </c>
      <c r="S960" s="35" t="str">
        <f>IFERROR(__xludf.DUMMYFUNCTION("""COMPUTED_VALUE"""),"%")</f>
        <v>%</v>
      </c>
      <c r="T960" s="36">
        <f>IFERROR(__xludf.DUMMYFUNCTION("""COMPUTED_VALUE"""),2.0)</f>
        <v>2</v>
      </c>
      <c r="U960" s="37"/>
      <c r="V960" s="38"/>
      <c r="W960" s="34" t="str">
        <f>IFERROR(__xludf.DUMMYFUNCTION("""COMPUTED_VALUE"""),"")</f>
        <v/>
      </c>
      <c r="X960" s="35" t="str">
        <f>IFERROR(__xludf.DUMMYFUNCTION("""COMPUTED_VALUE"""),"AP")</f>
        <v>AP</v>
      </c>
      <c r="Y960" s="34" t="str">
        <f>IFERROR(__xludf.DUMMYFUNCTION("""COMPUTED_VALUE"""),"")</f>
        <v/>
      </c>
      <c r="Z960" s="35" t="str">
        <f>IFERROR(__xludf.DUMMYFUNCTION("""COMPUTED_VALUE"""),"%")</f>
        <v>%</v>
      </c>
      <c r="AA960" s="36">
        <f>IFERROR(__xludf.DUMMYFUNCTION("""COMPUTED_VALUE"""),3.0)</f>
        <v>3</v>
      </c>
      <c r="AB960" s="37"/>
      <c r="AC960" s="38"/>
      <c r="AD960" s="34" t="str">
        <f>IFERROR(__xludf.DUMMYFUNCTION("""COMPUTED_VALUE"""),"")</f>
        <v/>
      </c>
      <c r="AE960" s="35" t="str">
        <f>IFERROR(__xludf.DUMMYFUNCTION("""COMPUTED_VALUE"""),"AP")</f>
        <v>AP</v>
      </c>
      <c r="AF960" s="34" t="str">
        <f>IFERROR(__xludf.DUMMYFUNCTION("""COMPUTED_VALUE"""),"")</f>
        <v/>
      </c>
      <c r="AG960" s="35" t="str">
        <f>IFERROR(__xludf.DUMMYFUNCTION("""COMPUTED_VALUE"""),"%")</f>
        <v>%</v>
      </c>
      <c r="AH960" s="31"/>
      <c r="AI960" s="32"/>
      <c r="AJ960" s="39"/>
    </row>
    <row r="961" ht="24.75" hidden="1" customHeight="1">
      <c r="A961" s="40">
        <f>IFERROR(__xludf.DUMMYFUNCTION("""COMPUTED_VALUE"""),16.0)</f>
        <v>16</v>
      </c>
      <c r="B961" s="40" t="str">
        <f>IFERROR(__xludf.DUMMYFUNCTION("""COMPUTED_VALUE"""),"A113")</f>
        <v>A113</v>
      </c>
      <c r="C961" s="40"/>
      <c r="D961" s="41"/>
      <c r="E961" s="66"/>
      <c r="F961" s="43"/>
      <c r="G961" s="44"/>
      <c r="H961" s="33" t="str">
        <f>IFERROR(__xludf.DUMMYFUNCTION("""COMPUTED_VALUE""")," ")</f>
        <v> </v>
      </c>
      <c r="I961" s="45"/>
      <c r="J961" s="46" t="str">
        <f>IFERROR(__xludf.DUMMYFUNCTION("""COMPUTED_VALUE"""),"AP")</f>
        <v>AP</v>
      </c>
      <c r="K961" s="47"/>
      <c r="L961" s="48" t="str">
        <f>IFERROR(__xludf.DUMMYFUNCTION("""COMPUTED_VALUE"""),"%")</f>
        <v>%</v>
      </c>
      <c r="M961" s="49">
        <f>IFERROR(__xludf.DUMMYFUNCTION("""COMPUTED_VALUE"""),1.0)</f>
        <v>1</v>
      </c>
      <c r="N961" s="50"/>
      <c r="O961" s="38"/>
      <c r="P961" s="45" t="str">
        <f>IFERROR(__xludf.DUMMYFUNCTION("""COMPUTED_VALUE"""),"")</f>
        <v/>
      </c>
      <c r="Q961" s="46" t="str">
        <f>IFERROR(__xludf.DUMMYFUNCTION("""COMPUTED_VALUE"""),"AP")</f>
        <v>AP</v>
      </c>
      <c r="R961" s="47" t="str">
        <f>IFERROR(__xludf.DUMMYFUNCTION("""COMPUTED_VALUE"""),"")</f>
        <v/>
      </c>
      <c r="S961" s="48" t="str">
        <f>IFERROR(__xludf.DUMMYFUNCTION("""COMPUTED_VALUE"""),"%")</f>
        <v>%</v>
      </c>
      <c r="T961" s="49">
        <f>IFERROR(__xludf.DUMMYFUNCTION("""COMPUTED_VALUE"""),2.0)</f>
        <v>2</v>
      </c>
      <c r="U961" s="50"/>
      <c r="V961" s="38"/>
      <c r="W961" s="45" t="str">
        <f>IFERROR(__xludf.DUMMYFUNCTION("""COMPUTED_VALUE"""),"")</f>
        <v/>
      </c>
      <c r="X961" s="46" t="str">
        <f>IFERROR(__xludf.DUMMYFUNCTION("""COMPUTED_VALUE"""),"AP")</f>
        <v>AP</v>
      </c>
      <c r="Y961" s="47" t="str">
        <f>IFERROR(__xludf.DUMMYFUNCTION("""COMPUTED_VALUE"""),"")</f>
        <v/>
      </c>
      <c r="Z961" s="48" t="str">
        <f>IFERROR(__xludf.DUMMYFUNCTION("""COMPUTED_VALUE"""),"%")</f>
        <v>%</v>
      </c>
      <c r="AA961" s="49">
        <f>IFERROR(__xludf.DUMMYFUNCTION("""COMPUTED_VALUE"""),3.0)</f>
        <v>3</v>
      </c>
      <c r="AB961" s="50"/>
      <c r="AC961" s="38"/>
      <c r="AD961" s="45" t="str">
        <f>IFERROR(__xludf.DUMMYFUNCTION("""COMPUTED_VALUE"""),"")</f>
        <v/>
      </c>
      <c r="AE961" s="46" t="str">
        <f>IFERROR(__xludf.DUMMYFUNCTION("""COMPUTED_VALUE"""),"AP")</f>
        <v>AP</v>
      </c>
      <c r="AF961" s="47" t="str">
        <f>IFERROR(__xludf.DUMMYFUNCTION("""COMPUTED_VALUE"""),"")</f>
        <v/>
      </c>
      <c r="AG961" s="48" t="str">
        <f>IFERROR(__xludf.DUMMYFUNCTION("""COMPUTED_VALUE"""),"%")</f>
        <v>%</v>
      </c>
      <c r="AH961" s="43"/>
      <c r="AI961" s="44"/>
      <c r="AJ961" s="51"/>
    </row>
    <row r="962" ht="24.75" hidden="1" customHeight="1">
      <c r="A962" s="28">
        <f>IFERROR(__xludf.DUMMYFUNCTION("""COMPUTED_VALUE"""),17.0)</f>
        <v>17</v>
      </c>
      <c r="B962" s="28" t="str">
        <f>IFERROR(__xludf.DUMMYFUNCTION("""COMPUTED_VALUE"""),"A113")</f>
        <v>A113</v>
      </c>
      <c r="C962" s="28"/>
      <c r="D962" s="29"/>
      <c r="E962" s="67"/>
      <c r="F962" s="31"/>
      <c r="G962" s="32"/>
      <c r="H962" s="33" t="str">
        <f>IFERROR(__xludf.DUMMYFUNCTION("""COMPUTED_VALUE""")," ")</f>
        <v> </v>
      </c>
      <c r="I962" s="34"/>
      <c r="J962" s="35" t="str">
        <f>IFERROR(__xludf.DUMMYFUNCTION("""COMPUTED_VALUE"""),"AP")</f>
        <v>AP</v>
      </c>
      <c r="K962" s="34"/>
      <c r="L962" s="35" t="str">
        <f>IFERROR(__xludf.DUMMYFUNCTION("""COMPUTED_VALUE"""),"%")</f>
        <v>%</v>
      </c>
      <c r="M962" s="36">
        <f>IFERROR(__xludf.DUMMYFUNCTION("""COMPUTED_VALUE"""),1.0)</f>
        <v>1</v>
      </c>
      <c r="N962" s="37"/>
      <c r="O962" s="38"/>
      <c r="P962" s="34" t="str">
        <f>IFERROR(__xludf.DUMMYFUNCTION("""COMPUTED_VALUE"""),"")</f>
        <v/>
      </c>
      <c r="Q962" s="35" t="str">
        <f>IFERROR(__xludf.DUMMYFUNCTION("""COMPUTED_VALUE"""),"AP")</f>
        <v>AP</v>
      </c>
      <c r="R962" s="34" t="str">
        <f>IFERROR(__xludf.DUMMYFUNCTION("""COMPUTED_VALUE"""),"")</f>
        <v/>
      </c>
      <c r="S962" s="35" t="str">
        <f>IFERROR(__xludf.DUMMYFUNCTION("""COMPUTED_VALUE"""),"%")</f>
        <v>%</v>
      </c>
      <c r="T962" s="36">
        <f>IFERROR(__xludf.DUMMYFUNCTION("""COMPUTED_VALUE"""),2.0)</f>
        <v>2</v>
      </c>
      <c r="U962" s="37"/>
      <c r="V962" s="38"/>
      <c r="W962" s="34" t="str">
        <f>IFERROR(__xludf.DUMMYFUNCTION("""COMPUTED_VALUE"""),"")</f>
        <v/>
      </c>
      <c r="X962" s="35" t="str">
        <f>IFERROR(__xludf.DUMMYFUNCTION("""COMPUTED_VALUE"""),"AP")</f>
        <v>AP</v>
      </c>
      <c r="Y962" s="34" t="str">
        <f>IFERROR(__xludf.DUMMYFUNCTION("""COMPUTED_VALUE"""),"")</f>
        <v/>
      </c>
      <c r="Z962" s="35" t="str">
        <f>IFERROR(__xludf.DUMMYFUNCTION("""COMPUTED_VALUE"""),"%")</f>
        <v>%</v>
      </c>
      <c r="AA962" s="36">
        <f>IFERROR(__xludf.DUMMYFUNCTION("""COMPUTED_VALUE"""),3.0)</f>
        <v>3</v>
      </c>
      <c r="AB962" s="37"/>
      <c r="AC962" s="38"/>
      <c r="AD962" s="34" t="str">
        <f>IFERROR(__xludf.DUMMYFUNCTION("""COMPUTED_VALUE"""),"")</f>
        <v/>
      </c>
      <c r="AE962" s="35" t="str">
        <f>IFERROR(__xludf.DUMMYFUNCTION("""COMPUTED_VALUE"""),"AP")</f>
        <v>AP</v>
      </c>
      <c r="AF962" s="34" t="str">
        <f>IFERROR(__xludf.DUMMYFUNCTION("""COMPUTED_VALUE"""),"")</f>
        <v/>
      </c>
      <c r="AG962" s="35" t="str">
        <f>IFERROR(__xludf.DUMMYFUNCTION("""COMPUTED_VALUE"""),"%")</f>
        <v>%</v>
      </c>
      <c r="AH962" s="31"/>
      <c r="AI962" s="32"/>
      <c r="AJ962" s="39"/>
    </row>
    <row r="963" ht="24.75" hidden="1" customHeight="1">
      <c r="A963" s="40">
        <f>IFERROR(__xludf.DUMMYFUNCTION("""COMPUTED_VALUE"""),18.0)</f>
        <v>18</v>
      </c>
      <c r="B963" s="40" t="str">
        <f>IFERROR(__xludf.DUMMYFUNCTION("""COMPUTED_VALUE"""),"A113")</f>
        <v>A113</v>
      </c>
      <c r="C963" s="40"/>
      <c r="D963" s="41"/>
      <c r="E963" s="66"/>
      <c r="F963" s="43"/>
      <c r="G963" s="44"/>
      <c r="H963" s="33" t="str">
        <f>IFERROR(__xludf.DUMMYFUNCTION("""COMPUTED_VALUE""")," ")</f>
        <v> </v>
      </c>
      <c r="I963" s="45"/>
      <c r="J963" s="46" t="str">
        <f>IFERROR(__xludf.DUMMYFUNCTION("""COMPUTED_VALUE"""),"AP")</f>
        <v>AP</v>
      </c>
      <c r="K963" s="47"/>
      <c r="L963" s="48" t="str">
        <f>IFERROR(__xludf.DUMMYFUNCTION("""COMPUTED_VALUE"""),"%")</f>
        <v>%</v>
      </c>
      <c r="M963" s="49">
        <f>IFERROR(__xludf.DUMMYFUNCTION("""COMPUTED_VALUE"""),1.0)</f>
        <v>1</v>
      </c>
      <c r="N963" s="50"/>
      <c r="O963" s="38"/>
      <c r="P963" s="45" t="str">
        <f>IFERROR(__xludf.DUMMYFUNCTION("""COMPUTED_VALUE"""),"")</f>
        <v/>
      </c>
      <c r="Q963" s="46" t="str">
        <f>IFERROR(__xludf.DUMMYFUNCTION("""COMPUTED_VALUE"""),"AP")</f>
        <v>AP</v>
      </c>
      <c r="R963" s="47" t="str">
        <f>IFERROR(__xludf.DUMMYFUNCTION("""COMPUTED_VALUE"""),"")</f>
        <v/>
      </c>
      <c r="S963" s="48" t="str">
        <f>IFERROR(__xludf.DUMMYFUNCTION("""COMPUTED_VALUE"""),"%")</f>
        <v>%</v>
      </c>
      <c r="T963" s="49">
        <f>IFERROR(__xludf.DUMMYFUNCTION("""COMPUTED_VALUE"""),2.0)</f>
        <v>2</v>
      </c>
      <c r="U963" s="50"/>
      <c r="V963" s="38"/>
      <c r="W963" s="45" t="str">
        <f>IFERROR(__xludf.DUMMYFUNCTION("""COMPUTED_VALUE"""),"")</f>
        <v/>
      </c>
      <c r="X963" s="46" t="str">
        <f>IFERROR(__xludf.DUMMYFUNCTION("""COMPUTED_VALUE"""),"AP")</f>
        <v>AP</v>
      </c>
      <c r="Y963" s="47" t="str">
        <f>IFERROR(__xludf.DUMMYFUNCTION("""COMPUTED_VALUE"""),"")</f>
        <v/>
      </c>
      <c r="Z963" s="48" t="str">
        <f>IFERROR(__xludf.DUMMYFUNCTION("""COMPUTED_VALUE"""),"%")</f>
        <v>%</v>
      </c>
      <c r="AA963" s="49">
        <f>IFERROR(__xludf.DUMMYFUNCTION("""COMPUTED_VALUE"""),3.0)</f>
        <v>3</v>
      </c>
      <c r="AB963" s="50"/>
      <c r="AC963" s="38"/>
      <c r="AD963" s="45" t="str">
        <f>IFERROR(__xludf.DUMMYFUNCTION("""COMPUTED_VALUE"""),"")</f>
        <v/>
      </c>
      <c r="AE963" s="46" t="str">
        <f>IFERROR(__xludf.DUMMYFUNCTION("""COMPUTED_VALUE"""),"AP")</f>
        <v>AP</v>
      </c>
      <c r="AF963" s="47" t="str">
        <f>IFERROR(__xludf.DUMMYFUNCTION("""COMPUTED_VALUE"""),"")</f>
        <v/>
      </c>
      <c r="AG963" s="48" t="str">
        <f>IFERROR(__xludf.DUMMYFUNCTION("""COMPUTED_VALUE"""),"%")</f>
        <v>%</v>
      </c>
      <c r="AH963" s="43"/>
      <c r="AI963" s="44"/>
      <c r="AJ963" s="51"/>
    </row>
    <row r="964" ht="24.75" hidden="1" customHeight="1">
      <c r="A964" s="28">
        <f>IFERROR(__xludf.DUMMYFUNCTION("""COMPUTED_VALUE"""),19.0)</f>
        <v>19</v>
      </c>
      <c r="B964" s="28" t="str">
        <f>IFERROR(__xludf.DUMMYFUNCTION("""COMPUTED_VALUE"""),"A113")</f>
        <v>A113</v>
      </c>
      <c r="C964" s="28"/>
      <c r="D964" s="29"/>
      <c r="E964" s="67"/>
      <c r="F964" s="31"/>
      <c r="G964" s="32"/>
      <c r="H964" s="33" t="str">
        <f>IFERROR(__xludf.DUMMYFUNCTION("""COMPUTED_VALUE""")," ")</f>
        <v> </v>
      </c>
      <c r="I964" s="34"/>
      <c r="J964" s="35" t="str">
        <f>IFERROR(__xludf.DUMMYFUNCTION("""COMPUTED_VALUE"""),"AP")</f>
        <v>AP</v>
      </c>
      <c r="K964" s="34"/>
      <c r="L964" s="35" t="str">
        <f>IFERROR(__xludf.DUMMYFUNCTION("""COMPUTED_VALUE"""),"%")</f>
        <v>%</v>
      </c>
      <c r="M964" s="36">
        <f>IFERROR(__xludf.DUMMYFUNCTION("""COMPUTED_VALUE"""),1.0)</f>
        <v>1</v>
      </c>
      <c r="N964" s="37"/>
      <c r="O964" s="38"/>
      <c r="P964" s="34" t="str">
        <f>IFERROR(__xludf.DUMMYFUNCTION("""COMPUTED_VALUE"""),"")</f>
        <v/>
      </c>
      <c r="Q964" s="35" t="str">
        <f>IFERROR(__xludf.DUMMYFUNCTION("""COMPUTED_VALUE"""),"AP")</f>
        <v>AP</v>
      </c>
      <c r="R964" s="34" t="str">
        <f>IFERROR(__xludf.DUMMYFUNCTION("""COMPUTED_VALUE"""),"")</f>
        <v/>
      </c>
      <c r="S964" s="35" t="str">
        <f>IFERROR(__xludf.DUMMYFUNCTION("""COMPUTED_VALUE"""),"%")</f>
        <v>%</v>
      </c>
      <c r="T964" s="36">
        <f>IFERROR(__xludf.DUMMYFUNCTION("""COMPUTED_VALUE"""),2.0)</f>
        <v>2</v>
      </c>
      <c r="U964" s="37"/>
      <c r="V964" s="38"/>
      <c r="W964" s="34" t="str">
        <f>IFERROR(__xludf.DUMMYFUNCTION("""COMPUTED_VALUE"""),"")</f>
        <v/>
      </c>
      <c r="X964" s="35" t="str">
        <f>IFERROR(__xludf.DUMMYFUNCTION("""COMPUTED_VALUE"""),"AP")</f>
        <v>AP</v>
      </c>
      <c r="Y964" s="34" t="str">
        <f>IFERROR(__xludf.DUMMYFUNCTION("""COMPUTED_VALUE"""),"")</f>
        <v/>
      </c>
      <c r="Z964" s="35" t="str">
        <f>IFERROR(__xludf.DUMMYFUNCTION("""COMPUTED_VALUE"""),"%")</f>
        <v>%</v>
      </c>
      <c r="AA964" s="36">
        <f>IFERROR(__xludf.DUMMYFUNCTION("""COMPUTED_VALUE"""),3.0)</f>
        <v>3</v>
      </c>
      <c r="AB964" s="37"/>
      <c r="AC964" s="38"/>
      <c r="AD964" s="34" t="str">
        <f>IFERROR(__xludf.DUMMYFUNCTION("""COMPUTED_VALUE"""),"")</f>
        <v/>
      </c>
      <c r="AE964" s="35" t="str">
        <f>IFERROR(__xludf.DUMMYFUNCTION("""COMPUTED_VALUE"""),"AP")</f>
        <v>AP</v>
      </c>
      <c r="AF964" s="34" t="str">
        <f>IFERROR(__xludf.DUMMYFUNCTION("""COMPUTED_VALUE"""),"")</f>
        <v/>
      </c>
      <c r="AG964" s="35" t="str">
        <f>IFERROR(__xludf.DUMMYFUNCTION("""COMPUTED_VALUE"""),"%")</f>
        <v>%</v>
      </c>
      <c r="AH964" s="31"/>
      <c r="AI964" s="32"/>
      <c r="AJ964" s="39"/>
    </row>
    <row r="965" ht="24.75" hidden="1" customHeight="1">
      <c r="A965" s="40">
        <f>IFERROR(__xludf.DUMMYFUNCTION("""COMPUTED_VALUE"""),20.0)</f>
        <v>20</v>
      </c>
      <c r="B965" s="40" t="str">
        <f>IFERROR(__xludf.DUMMYFUNCTION("""COMPUTED_VALUE"""),"A113")</f>
        <v>A113</v>
      </c>
      <c r="C965" s="40"/>
      <c r="D965" s="41"/>
      <c r="E965" s="66"/>
      <c r="F965" s="43"/>
      <c r="G965" s="44"/>
      <c r="H965" s="33" t="str">
        <f>IFERROR(__xludf.DUMMYFUNCTION("""COMPUTED_VALUE""")," ")</f>
        <v> </v>
      </c>
      <c r="I965" s="45"/>
      <c r="J965" s="46" t="str">
        <f>IFERROR(__xludf.DUMMYFUNCTION("""COMPUTED_VALUE"""),"AP")</f>
        <v>AP</v>
      </c>
      <c r="K965" s="47"/>
      <c r="L965" s="48" t="str">
        <f>IFERROR(__xludf.DUMMYFUNCTION("""COMPUTED_VALUE"""),"%")</f>
        <v>%</v>
      </c>
      <c r="M965" s="49">
        <f>IFERROR(__xludf.DUMMYFUNCTION("""COMPUTED_VALUE"""),1.0)</f>
        <v>1</v>
      </c>
      <c r="N965" s="50"/>
      <c r="O965" s="38"/>
      <c r="P965" s="45" t="str">
        <f>IFERROR(__xludf.DUMMYFUNCTION("""COMPUTED_VALUE"""),"")</f>
        <v/>
      </c>
      <c r="Q965" s="46" t="str">
        <f>IFERROR(__xludf.DUMMYFUNCTION("""COMPUTED_VALUE"""),"AP")</f>
        <v>AP</v>
      </c>
      <c r="R965" s="47" t="str">
        <f>IFERROR(__xludf.DUMMYFUNCTION("""COMPUTED_VALUE"""),"")</f>
        <v/>
      </c>
      <c r="S965" s="48" t="str">
        <f>IFERROR(__xludf.DUMMYFUNCTION("""COMPUTED_VALUE"""),"%")</f>
        <v>%</v>
      </c>
      <c r="T965" s="49">
        <f>IFERROR(__xludf.DUMMYFUNCTION("""COMPUTED_VALUE"""),2.0)</f>
        <v>2</v>
      </c>
      <c r="U965" s="50"/>
      <c r="V965" s="38"/>
      <c r="W965" s="45" t="str">
        <f>IFERROR(__xludf.DUMMYFUNCTION("""COMPUTED_VALUE"""),"")</f>
        <v/>
      </c>
      <c r="X965" s="46" t="str">
        <f>IFERROR(__xludf.DUMMYFUNCTION("""COMPUTED_VALUE"""),"AP")</f>
        <v>AP</v>
      </c>
      <c r="Y965" s="47" t="str">
        <f>IFERROR(__xludf.DUMMYFUNCTION("""COMPUTED_VALUE"""),"")</f>
        <v/>
      </c>
      <c r="Z965" s="48" t="str">
        <f>IFERROR(__xludf.DUMMYFUNCTION("""COMPUTED_VALUE"""),"%")</f>
        <v>%</v>
      </c>
      <c r="AA965" s="49">
        <f>IFERROR(__xludf.DUMMYFUNCTION("""COMPUTED_VALUE"""),3.0)</f>
        <v>3</v>
      </c>
      <c r="AB965" s="50"/>
      <c r="AC965" s="38"/>
      <c r="AD965" s="45" t="str">
        <f>IFERROR(__xludf.DUMMYFUNCTION("""COMPUTED_VALUE"""),"")</f>
        <v/>
      </c>
      <c r="AE965" s="46" t="str">
        <f>IFERROR(__xludf.DUMMYFUNCTION("""COMPUTED_VALUE"""),"AP")</f>
        <v>AP</v>
      </c>
      <c r="AF965" s="47" t="str">
        <f>IFERROR(__xludf.DUMMYFUNCTION("""COMPUTED_VALUE"""),"")</f>
        <v/>
      </c>
      <c r="AG965" s="48" t="str">
        <f>IFERROR(__xludf.DUMMYFUNCTION("""COMPUTED_VALUE"""),"%")</f>
        <v>%</v>
      </c>
      <c r="AH965" s="43"/>
      <c r="AI965" s="44"/>
      <c r="AJ965" s="51"/>
    </row>
    <row r="966">
      <c r="A966" s="52"/>
      <c r="B966" s="53"/>
      <c r="C966" s="54"/>
      <c r="D966" s="55"/>
      <c r="E966" s="56"/>
      <c r="F966" s="53"/>
      <c r="G966" s="53"/>
      <c r="H966" s="53"/>
      <c r="I966" s="53"/>
      <c r="J966" s="57"/>
      <c r="K966" s="53"/>
      <c r="L966" s="57"/>
      <c r="M966" s="53"/>
      <c r="N966" s="53"/>
      <c r="O966" s="53"/>
      <c r="P966" s="53"/>
      <c r="Q966" s="57"/>
      <c r="R966" s="53"/>
      <c r="S966" s="57"/>
      <c r="T966" s="53"/>
      <c r="U966" s="53"/>
      <c r="V966" s="53"/>
      <c r="W966" s="53"/>
      <c r="X966" s="57"/>
      <c r="Y966" s="53"/>
      <c r="Z966" s="57"/>
      <c r="AA966" s="53"/>
      <c r="AB966" s="53"/>
      <c r="AC966" s="53"/>
      <c r="AD966" s="53"/>
      <c r="AE966" s="57"/>
      <c r="AF966" s="53"/>
      <c r="AG966" s="57"/>
      <c r="AH966" s="53"/>
      <c r="AI966" s="53"/>
      <c r="AJ966" s="58"/>
    </row>
    <row r="967">
      <c r="A967" s="59"/>
      <c r="B967" s="60"/>
      <c r="C967" s="61"/>
      <c r="D967" s="62"/>
      <c r="E967" s="63"/>
      <c r="F967" s="60"/>
      <c r="G967" s="60"/>
      <c r="H967" s="60"/>
      <c r="I967" s="60"/>
      <c r="J967" s="64"/>
      <c r="K967" s="60"/>
      <c r="L967" s="64"/>
      <c r="M967" s="60"/>
      <c r="N967" s="60"/>
      <c r="O967" s="60"/>
      <c r="P967" s="60"/>
      <c r="Q967" s="64"/>
      <c r="R967" s="60"/>
      <c r="S967" s="64"/>
      <c r="T967" s="60"/>
      <c r="U967" s="60"/>
      <c r="V967" s="60"/>
      <c r="W967" s="60"/>
      <c r="X967" s="64"/>
      <c r="Y967" s="60"/>
      <c r="Z967" s="64"/>
      <c r="AA967" s="60"/>
      <c r="AB967" s="60"/>
      <c r="AC967" s="60"/>
      <c r="AD967" s="60"/>
      <c r="AE967" s="64"/>
      <c r="AF967" s="60"/>
      <c r="AG967" s="64"/>
      <c r="AH967" s="60"/>
      <c r="AI967" s="60"/>
      <c r="AJ967" s="65"/>
    </row>
    <row r="968" ht="33.0" customHeight="1">
      <c r="A968" s="20" t="str">
        <f>IFERROR(__xludf.DUMMYFUNCTION("""COMPUTED_VALUE""")," ")</f>
        <v> </v>
      </c>
      <c r="B968" s="21" t="str">
        <f>IFERROR(__xludf.DUMMYFUNCTION("""COMPUTED_VALUE"""),"A114")</f>
        <v>A114</v>
      </c>
      <c r="C968" s="20"/>
      <c r="D968" s="22" t="str">
        <f>IFERROR(__xludf.DUMMYFUNCTION("""COMPUTED_VALUE"""),"")</f>
        <v/>
      </c>
      <c r="E968" s="23" t="str">
        <f>IFERROR(__xludf.DUMMYFUNCTION("""COMPUTED_VALUE"""),"Tsukumo Mirror")</f>
        <v>Tsukumo Mirror</v>
      </c>
      <c r="F968" s="24"/>
      <c r="G968" s="24"/>
      <c r="H968" s="25"/>
      <c r="I968" s="25"/>
      <c r="J968" s="26"/>
      <c r="K968" s="25"/>
      <c r="L968" s="26"/>
      <c r="M968" s="25"/>
      <c r="N968" s="25"/>
      <c r="O968" s="25"/>
      <c r="P968" s="25"/>
      <c r="Q968" s="26"/>
      <c r="R968" s="25"/>
      <c r="S968" s="26"/>
      <c r="T968" s="25"/>
      <c r="U968" s="25"/>
      <c r="V968" s="25"/>
      <c r="W968" s="25"/>
      <c r="X968" s="26"/>
      <c r="Y968" s="25"/>
      <c r="Z968" s="26"/>
      <c r="AA968" s="25"/>
      <c r="AB968" s="25"/>
      <c r="AC968" s="25"/>
      <c r="AD968" s="25"/>
      <c r="AE968" s="26"/>
      <c r="AF968" s="25"/>
      <c r="AG968" s="26"/>
      <c r="AH968" s="24"/>
      <c r="AI968" s="25"/>
      <c r="AJ968" s="27"/>
    </row>
    <row r="969" ht="24.75" customHeight="1">
      <c r="A969" s="28">
        <f>IFERROR(__xludf.DUMMYFUNCTION("""COMPUTED_VALUE"""),1.0)</f>
        <v>1</v>
      </c>
      <c r="B969" s="28" t="str">
        <f>IFERROR(__xludf.DUMMYFUNCTION("""COMPUTED_VALUE"""),"A114")</f>
        <v>A114</v>
      </c>
      <c r="C969" s="28" t="str">
        <f>IFERROR(__xludf.DUMMYFUNCTION("""COMPUTED_VALUE"""),"HEA1")</f>
        <v>HEA1</v>
      </c>
      <c r="D969" s="29" t="str">
        <f>IFERROR(__xludf.DUMMYFUNCTION("""COMPUTED_VALUE"""),"Heian-kyo")</f>
        <v>Heian-kyo</v>
      </c>
      <c r="E969" s="30" t="str">
        <f>IFERROR(__xludf.DUMMYFUNCTION("""COMPUTED_VALUE"""),"Jō Seven, Bō Four")</f>
        <v>Jō Seven, Bō Four</v>
      </c>
      <c r="F969" s="31">
        <f>IFERROR(__xludf.DUMMYFUNCTION("""COMPUTED_VALUE"""),21.0)</f>
        <v>21</v>
      </c>
      <c r="G969" s="32">
        <f>IFERROR(__xludf.DUMMYFUNCTION("""COMPUTED_VALUE"""),1250.0)</f>
        <v>1250</v>
      </c>
      <c r="H969" s="33" t="str">
        <f>IFERROR(__xludf.DUMMYFUNCTION("""COMPUTED_VALUE"""),"")</f>
        <v/>
      </c>
      <c r="I969" s="34">
        <f>IFERROR(__xludf.DUMMYFUNCTION("""COMPUTED_VALUE"""),161.0)</f>
        <v>161</v>
      </c>
      <c r="J969" s="35" t="str">
        <f>IFERROR(__xludf.DUMMYFUNCTION("""COMPUTED_VALUE"""),"AP")</f>
        <v>AP</v>
      </c>
      <c r="K969" s="34">
        <f>IFERROR(__xludf.DUMMYFUNCTION("""COMPUTED_VALUE"""),13.0)</f>
        <v>13</v>
      </c>
      <c r="L969" s="35" t="str">
        <f>IFERROR(__xludf.DUMMYFUNCTION("""COMPUTED_VALUE"""),"%")</f>
        <v>%</v>
      </c>
      <c r="M969" s="36">
        <f>IFERROR(__xludf.DUMMYFUNCTION("""COMPUTED_VALUE"""),1.0)</f>
        <v>1</v>
      </c>
      <c r="N969" s="37" t="str">
        <f>IFERROR(__xludf.DUMMYFUNCTION("""COMPUTED_VALUE"""),"A220")</f>
        <v>A220</v>
      </c>
      <c r="O969" s="38" t="str">
        <f>IFERROR(__xludf.DUMMYFUNCTION("""COMPUTED_VALUE"""),"")</f>
        <v/>
      </c>
      <c r="P969" s="34">
        <f>IFERROR(__xludf.DUMMYFUNCTION("""COMPUTED_VALUE"""),91.5)</f>
        <v>91.5</v>
      </c>
      <c r="Q969" s="35" t="str">
        <f>IFERROR(__xludf.DUMMYFUNCTION("""COMPUTED_VALUE"""),"AP")</f>
        <v>AP</v>
      </c>
      <c r="R969" s="34">
        <f>IFERROR(__xludf.DUMMYFUNCTION("""COMPUTED_VALUE"""),23.0)</f>
        <v>23</v>
      </c>
      <c r="S969" s="35" t="str">
        <f>IFERROR(__xludf.DUMMYFUNCTION("""COMPUTED_VALUE"""),"%")</f>
        <v>%</v>
      </c>
      <c r="T969" s="36">
        <f>IFERROR(__xludf.DUMMYFUNCTION("""COMPUTED_VALUE"""),2.0)</f>
        <v>2</v>
      </c>
      <c r="U969" s="37" t="str">
        <f>IFERROR(__xludf.DUMMYFUNCTION("""COMPUTED_VALUE"""),"B106")</f>
        <v>B106</v>
      </c>
      <c r="V969" s="38" t="str">
        <f>IFERROR(__xludf.DUMMYFUNCTION("""COMPUTED_VALUE"""),"")</f>
        <v/>
      </c>
      <c r="W969" s="34">
        <f>IFERROR(__xludf.DUMMYFUNCTION("""COMPUTED_VALUE"""),690.8)</f>
        <v>690.8</v>
      </c>
      <c r="X969" s="35" t="str">
        <f>IFERROR(__xludf.DUMMYFUNCTION("""COMPUTED_VALUE"""),"AP")</f>
        <v>AP</v>
      </c>
      <c r="Y969" s="34">
        <f>IFERROR(__xludf.DUMMYFUNCTION("""COMPUTED_VALUE"""),3.0)</f>
        <v>3</v>
      </c>
      <c r="Z969" s="35" t="str">
        <f>IFERROR(__xludf.DUMMYFUNCTION("""COMPUTED_VALUE"""),"%")</f>
        <v>%</v>
      </c>
      <c r="AA969" s="36">
        <f>IFERROR(__xludf.DUMMYFUNCTION("""COMPUTED_VALUE"""),3.0)</f>
        <v>3</v>
      </c>
      <c r="AB969" s="37" t="str">
        <f>IFERROR(__xludf.DUMMYFUNCTION("""COMPUTED_VALUE"""),"B113")</f>
        <v>B113</v>
      </c>
      <c r="AC969" s="38" t="str">
        <f>IFERROR(__xludf.DUMMYFUNCTION("""COMPUTED_VALUE"""),"")</f>
        <v/>
      </c>
      <c r="AD969" s="34">
        <f>IFERROR(__xludf.DUMMYFUNCTION("""COMPUTED_VALUE"""),70.0)</f>
        <v>70</v>
      </c>
      <c r="AE969" s="35" t="str">
        <f>IFERROR(__xludf.DUMMYFUNCTION("""COMPUTED_VALUE"""),"AP")</f>
        <v>AP</v>
      </c>
      <c r="AF969" s="34">
        <f>IFERROR(__xludf.DUMMYFUNCTION("""COMPUTED_VALUE"""),30.0)</f>
        <v>30</v>
      </c>
      <c r="AG969" s="35" t="str">
        <f>IFERROR(__xludf.DUMMYFUNCTION("""COMPUTED_VALUE"""),"%")</f>
        <v>%</v>
      </c>
      <c r="AH969" s="31">
        <f>IFERROR(__xludf.DUMMYFUNCTION("""COMPUTED_VALUE"""),21.0)</f>
        <v>21</v>
      </c>
      <c r="AI969" s="32">
        <f>IFERROR(__xludf.DUMMYFUNCTION("""COMPUTED_VALUE"""),1250.0)</f>
        <v>1250</v>
      </c>
      <c r="AJ969" s="39" t="str">
        <f>IFERROR(__xludf.DUMMYFUNCTION("""COMPUTED_VALUE"""),"七条四坊")</f>
        <v>七条四坊</v>
      </c>
    </row>
    <row r="970" ht="24.75" customHeight="1">
      <c r="A970" s="40">
        <f>IFERROR(__xludf.DUMMYFUNCTION("""COMPUTED_VALUE"""),2.0)</f>
        <v>2</v>
      </c>
      <c r="B970" s="40" t="str">
        <f>IFERROR(__xludf.DUMMYFUNCTION("""COMPUTED_VALUE"""),"A114")</f>
        <v>A114</v>
      </c>
      <c r="C970" s="40" t="str">
        <f>IFERROR(__xludf.DUMMYFUNCTION("""COMPUTED_VALUE"""),"HEA10")</f>
        <v>HEA10</v>
      </c>
      <c r="D970" s="41" t="str">
        <f>IFERROR(__xludf.DUMMYFUNCTION("""COMPUTED_VALUE"""),"Heian-kyo")</f>
        <v>Heian-kyo</v>
      </c>
      <c r="E970" s="42" t="str">
        <f>IFERROR(__xludf.DUMMYFUNCTION("""COMPUTED_VALUE"""),"Raikou's Residence")</f>
        <v>Raikou's Residence</v>
      </c>
      <c r="F970" s="43">
        <f>IFERROR(__xludf.DUMMYFUNCTION("""COMPUTED_VALUE"""),21.0)</f>
        <v>21</v>
      </c>
      <c r="G970" s="44">
        <f>IFERROR(__xludf.DUMMYFUNCTION("""COMPUTED_VALUE"""),1605.0)</f>
        <v>1605</v>
      </c>
      <c r="H970" s="33" t="str">
        <f>IFERROR(__xludf.DUMMYFUNCTION("""COMPUTED_VALUE"""),"")</f>
        <v/>
      </c>
      <c r="I970" s="45">
        <f>IFERROR(__xludf.DUMMYFUNCTION("""COMPUTED_VALUE"""),166.9)</f>
        <v>166.9</v>
      </c>
      <c r="J970" s="46" t="str">
        <f>IFERROR(__xludf.DUMMYFUNCTION("""COMPUTED_VALUE"""),"AP")</f>
        <v>AP</v>
      </c>
      <c r="K970" s="47">
        <f>IFERROR(__xludf.DUMMYFUNCTION("""COMPUTED_VALUE"""),12.6)</f>
        <v>12.6</v>
      </c>
      <c r="L970" s="48" t="str">
        <f>IFERROR(__xludf.DUMMYFUNCTION("""COMPUTED_VALUE"""),"%")</f>
        <v>%</v>
      </c>
      <c r="M970" s="49">
        <f>IFERROR(__xludf.DUMMYFUNCTION("""COMPUTED_VALUE"""),1.0)</f>
        <v>1</v>
      </c>
      <c r="N970" s="50" t="str">
        <f>IFERROR(__xludf.DUMMYFUNCTION("""COMPUTED_VALUE"""),"A303")</f>
        <v>A303</v>
      </c>
      <c r="O970" s="38" t="str">
        <f>IFERROR(__xludf.DUMMYFUNCTION("""COMPUTED_VALUE"""),"")</f>
        <v/>
      </c>
      <c r="P970" s="45">
        <f>IFERROR(__xludf.DUMMYFUNCTION("""COMPUTED_VALUE"""),51.9)</f>
        <v>51.9</v>
      </c>
      <c r="Q970" s="46" t="str">
        <f>IFERROR(__xludf.DUMMYFUNCTION("""COMPUTED_VALUE"""),"AP")</f>
        <v>AP</v>
      </c>
      <c r="R970" s="47">
        <f>IFERROR(__xludf.DUMMYFUNCTION("""COMPUTED_VALUE"""),40.4)</f>
        <v>40.4</v>
      </c>
      <c r="S970" s="48" t="str">
        <f>IFERROR(__xludf.DUMMYFUNCTION("""COMPUTED_VALUE"""),"%")</f>
        <v>%</v>
      </c>
      <c r="T970" s="49">
        <f>IFERROR(__xludf.DUMMYFUNCTION("""COMPUTED_VALUE"""),2.0)</f>
        <v>2</v>
      </c>
      <c r="U970" s="50" t="str">
        <f>IFERROR(__xludf.DUMMYFUNCTION("""COMPUTED_VALUE"""),"B106")</f>
        <v>B106</v>
      </c>
      <c r="V970" s="38" t="str">
        <f>IFERROR(__xludf.DUMMYFUNCTION("""COMPUTED_VALUE"""),"")</f>
        <v/>
      </c>
      <c r="W970" s="45">
        <f>IFERROR(__xludf.DUMMYFUNCTION("""COMPUTED_VALUE"""),548.6)</f>
        <v>548.6</v>
      </c>
      <c r="X970" s="46" t="str">
        <f>IFERROR(__xludf.DUMMYFUNCTION("""COMPUTED_VALUE"""),"AP")</f>
        <v>AP</v>
      </c>
      <c r="Y970" s="47">
        <f>IFERROR(__xludf.DUMMYFUNCTION("""COMPUTED_VALUE"""),3.8)</f>
        <v>3.8</v>
      </c>
      <c r="Z970" s="48" t="str">
        <f>IFERROR(__xludf.DUMMYFUNCTION("""COMPUTED_VALUE"""),"%")</f>
        <v>%</v>
      </c>
      <c r="AA970" s="49">
        <f>IFERROR(__xludf.DUMMYFUNCTION("""COMPUTED_VALUE"""),3.0)</f>
        <v>3</v>
      </c>
      <c r="AB970" s="50"/>
      <c r="AC970" s="38"/>
      <c r="AD970" s="45" t="str">
        <f>IFERROR(__xludf.DUMMYFUNCTION("""COMPUTED_VALUE"""),"")</f>
        <v/>
      </c>
      <c r="AE970" s="46" t="str">
        <f>IFERROR(__xludf.DUMMYFUNCTION("""COMPUTED_VALUE"""),"AP")</f>
        <v>AP</v>
      </c>
      <c r="AF970" s="47" t="str">
        <f>IFERROR(__xludf.DUMMYFUNCTION("""COMPUTED_VALUE"""),"")</f>
        <v/>
      </c>
      <c r="AG970" s="48" t="str">
        <f>IFERROR(__xludf.DUMMYFUNCTION("""COMPUTED_VALUE"""),"%")</f>
        <v>%</v>
      </c>
      <c r="AH970" s="43">
        <f>IFERROR(__xludf.DUMMYFUNCTION("""COMPUTED_VALUE"""),21.0)</f>
        <v>21</v>
      </c>
      <c r="AI970" s="44">
        <f>IFERROR(__xludf.DUMMYFUNCTION("""COMPUTED_VALUE"""),1605.0)</f>
        <v>1605</v>
      </c>
      <c r="AJ970" s="51" t="str">
        <f>IFERROR(__xludf.DUMMYFUNCTION("""COMPUTED_VALUE"""),"頼光の屋敷")</f>
        <v>頼光の屋敷</v>
      </c>
    </row>
    <row r="971" ht="24.75" customHeight="1">
      <c r="A971" s="28">
        <f>IFERROR(__xludf.DUMMYFUNCTION("""COMPUTED_VALUE"""),3.0)</f>
        <v>3</v>
      </c>
      <c r="B971" s="28" t="str">
        <f>IFERROR(__xludf.DUMMYFUNCTION("""COMPUTED_VALUE"""),"A114")</f>
        <v>A114</v>
      </c>
      <c r="C971" s="28" t="str">
        <f>IFERROR(__xludf.DUMMYFUNCTION("""COMPUTED_VALUE"""),"HEA4")</f>
        <v>HEA4</v>
      </c>
      <c r="D971" s="29" t="str">
        <f>IFERROR(__xludf.DUMMYFUNCTION("""COMPUTED_VALUE"""),"Heian-kyo")</f>
        <v>Heian-kyo</v>
      </c>
      <c r="E971" s="30" t="str">
        <f>IFERROR(__xludf.DUMMYFUNCTION("""COMPUTED_VALUE"""),"Aristocrat's Residence")</f>
        <v>Aristocrat's Residence</v>
      </c>
      <c r="F971" s="31">
        <f>IFERROR(__xludf.DUMMYFUNCTION("""COMPUTED_VALUE"""),21.0)</f>
        <v>21</v>
      </c>
      <c r="G971" s="32">
        <f>IFERROR(__xludf.DUMMYFUNCTION("""COMPUTED_VALUE"""),1400.0)</f>
        <v>1400</v>
      </c>
      <c r="H971" s="33" t="str">
        <f>IFERROR(__xludf.DUMMYFUNCTION("""COMPUTED_VALUE"""),"")</f>
        <v/>
      </c>
      <c r="I971" s="34">
        <f>IFERROR(__xludf.DUMMYFUNCTION("""COMPUTED_VALUE"""),169.0)</f>
        <v>169</v>
      </c>
      <c r="J971" s="35" t="str">
        <f>IFERROR(__xludf.DUMMYFUNCTION("""COMPUTED_VALUE"""),"AP")</f>
        <v>AP</v>
      </c>
      <c r="K971" s="34">
        <f>IFERROR(__xludf.DUMMYFUNCTION("""COMPUTED_VALUE"""),12.4)</f>
        <v>12.4</v>
      </c>
      <c r="L971" s="35" t="str">
        <f>IFERROR(__xludf.DUMMYFUNCTION("""COMPUTED_VALUE"""),"%")</f>
        <v>%</v>
      </c>
      <c r="M971" s="36">
        <f>IFERROR(__xludf.DUMMYFUNCTION("""COMPUTED_VALUE"""),1.0)</f>
        <v>1</v>
      </c>
      <c r="N971" s="37" t="str">
        <f>IFERROR(__xludf.DUMMYFUNCTION("""COMPUTED_VALUE"""),"A207")</f>
        <v>A207</v>
      </c>
      <c r="O971" s="38" t="str">
        <f>IFERROR(__xludf.DUMMYFUNCTION("""COMPUTED_VALUE"""),"")</f>
        <v/>
      </c>
      <c r="P971" s="34">
        <f>IFERROR(__xludf.DUMMYFUNCTION("""COMPUTED_VALUE"""),86.0)</f>
        <v>86</v>
      </c>
      <c r="Q971" s="35" t="str">
        <f>IFERROR(__xludf.DUMMYFUNCTION("""COMPUTED_VALUE"""),"AP")</f>
        <v>AP</v>
      </c>
      <c r="R971" s="34">
        <f>IFERROR(__xludf.DUMMYFUNCTION("""COMPUTED_VALUE"""),24.4)</f>
        <v>24.4</v>
      </c>
      <c r="S971" s="35" t="str">
        <f>IFERROR(__xludf.DUMMYFUNCTION("""COMPUTED_VALUE"""),"%")</f>
        <v>%</v>
      </c>
      <c r="T971" s="36">
        <f>IFERROR(__xludf.DUMMYFUNCTION("""COMPUTED_VALUE"""),2.0)</f>
        <v>2</v>
      </c>
      <c r="U971" s="37" t="str">
        <f>IFERROR(__xludf.DUMMYFUNCTION("""COMPUTED_VALUE"""),"B106")</f>
        <v>B106</v>
      </c>
      <c r="V971" s="38" t="str">
        <f>IFERROR(__xludf.DUMMYFUNCTION("""COMPUTED_VALUE"""),"")</f>
        <v/>
      </c>
      <c r="W971" s="34">
        <f>IFERROR(__xludf.DUMMYFUNCTION("""COMPUTED_VALUE"""),515.1)</f>
        <v>515.1</v>
      </c>
      <c r="X971" s="35" t="str">
        <f>IFERROR(__xludf.DUMMYFUNCTION("""COMPUTED_VALUE"""),"AP")</f>
        <v>AP</v>
      </c>
      <c r="Y971" s="34">
        <f>IFERROR(__xludf.DUMMYFUNCTION("""COMPUTED_VALUE"""),4.1)</f>
        <v>4.1</v>
      </c>
      <c r="Z971" s="35" t="str">
        <f>IFERROR(__xludf.DUMMYFUNCTION("""COMPUTED_VALUE"""),"%")</f>
        <v>%</v>
      </c>
      <c r="AA971" s="36">
        <f>IFERROR(__xludf.DUMMYFUNCTION("""COMPUTED_VALUE"""),3.0)</f>
        <v>3</v>
      </c>
      <c r="AB971" s="37" t="str">
        <f>IFERROR(__xludf.DUMMYFUNCTION("""COMPUTED_VALUE"""),"B115")</f>
        <v>B115</v>
      </c>
      <c r="AC971" s="38" t="str">
        <f>IFERROR(__xludf.DUMMYFUNCTION("""COMPUTED_VALUE"""),"")</f>
        <v/>
      </c>
      <c r="AD971" s="34">
        <f>IFERROR(__xludf.DUMMYFUNCTION("""COMPUTED_VALUE"""),48.8)</f>
        <v>48.8</v>
      </c>
      <c r="AE971" s="35" t="str">
        <f>IFERROR(__xludf.DUMMYFUNCTION("""COMPUTED_VALUE"""),"AP")</f>
        <v>AP</v>
      </c>
      <c r="AF971" s="34">
        <f>IFERROR(__xludf.DUMMYFUNCTION("""COMPUTED_VALUE"""),43.0)</f>
        <v>43</v>
      </c>
      <c r="AG971" s="35" t="str">
        <f>IFERROR(__xludf.DUMMYFUNCTION("""COMPUTED_VALUE"""),"%")</f>
        <v>%</v>
      </c>
      <c r="AH971" s="31">
        <f>IFERROR(__xludf.DUMMYFUNCTION("""COMPUTED_VALUE"""),21.0)</f>
        <v>21</v>
      </c>
      <c r="AI971" s="32">
        <f>IFERROR(__xludf.DUMMYFUNCTION("""COMPUTED_VALUE"""),1400.0)</f>
        <v>1400</v>
      </c>
      <c r="AJ971" s="39" t="str">
        <f>IFERROR(__xludf.DUMMYFUNCTION("""COMPUTED_VALUE"""),"貴族邸")</f>
        <v>貴族邸</v>
      </c>
    </row>
    <row r="972" ht="24.75" customHeight="1">
      <c r="A972" s="40">
        <f>IFERROR(__xludf.DUMMYFUNCTION("""COMPUTED_VALUE"""),4.0)</f>
        <v>4</v>
      </c>
      <c r="B972" s="40" t="str">
        <f>IFERROR(__xludf.DUMMYFUNCTION("""COMPUTED_VALUE"""),"A114")</f>
        <v>A114</v>
      </c>
      <c r="C972" s="40" t="str">
        <f>IFERROR(__xludf.DUMMYFUNCTION("""COMPUTED_VALUE"""),"SMS9")</f>
        <v>SMS9</v>
      </c>
      <c r="D972" s="41" t="str">
        <f>IFERROR(__xludf.DUMMYFUNCTION("""COMPUTED_VALUE"""),"Shimosa")</f>
        <v>Shimosa</v>
      </c>
      <c r="E972" s="42" t="str">
        <f>IFERROR(__xludf.DUMMYFUNCTION("""COMPUTED_VALUE"""),"Rear Mountain (Trembling in Fear)")</f>
        <v>Rear Mountain (Trembling in Fear)</v>
      </c>
      <c r="F972" s="43">
        <f>IFERROR(__xludf.DUMMYFUNCTION("""COMPUTED_VALUE"""),21.0)</f>
        <v>21</v>
      </c>
      <c r="G972" s="44">
        <f>IFERROR(__xludf.DUMMYFUNCTION("""COMPUTED_VALUE"""),25285.0)</f>
        <v>25285</v>
      </c>
      <c r="H972" s="33" t="str">
        <f>IFERROR(__xludf.DUMMYFUNCTION("""COMPUTED_VALUE"""),"")</f>
        <v/>
      </c>
      <c r="I972" s="45">
        <f>IFERROR(__xludf.DUMMYFUNCTION("""COMPUTED_VALUE"""),173.5)</f>
        <v>173.5</v>
      </c>
      <c r="J972" s="46" t="str">
        <f>IFERROR(__xludf.DUMMYFUNCTION("""COMPUTED_VALUE"""),"AP")</f>
        <v>AP</v>
      </c>
      <c r="K972" s="47">
        <f>IFERROR(__xludf.DUMMYFUNCTION("""COMPUTED_VALUE"""),12.1)</f>
        <v>12.1</v>
      </c>
      <c r="L972" s="48" t="str">
        <f>IFERROR(__xludf.DUMMYFUNCTION("""COMPUTED_VALUE"""),"%")</f>
        <v>%</v>
      </c>
      <c r="M972" s="49">
        <f>IFERROR(__xludf.DUMMYFUNCTION("""COMPUTED_VALUE"""),1.0)</f>
        <v>1</v>
      </c>
      <c r="N972" s="50" t="str">
        <f>IFERROR(__xludf.DUMMYFUNCTION("""COMPUTED_VALUE"""),"A202")</f>
        <v>A202</v>
      </c>
      <c r="O972" s="38" t="str">
        <f>IFERROR(__xludf.DUMMYFUNCTION("""COMPUTED_VALUE"""),"")</f>
        <v/>
      </c>
      <c r="P972" s="45">
        <f>IFERROR(__xludf.DUMMYFUNCTION("""COMPUTED_VALUE"""),82.1)</f>
        <v>82.1</v>
      </c>
      <c r="Q972" s="46" t="str">
        <f>IFERROR(__xludf.DUMMYFUNCTION("""COMPUTED_VALUE"""),"AP")</f>
        <v>AP</v>
      </c>
      <c r="R972" s="47">
        <f>IFERROR(__xludf.DUMMYFUNCTION("""COMPUTED_VALUE"""),25.6)</f>
        <v>25.6</v>
      </c>
      <c r="S972" s="48" t="str">
        <f>IFERROR(__xludf.DUMMYFUNCTION("""COMPUTED_VALUE"""),"%")</f>
        <v>%</v>
      </c>
      <c r="T972" s="49">
        <f>IFERROR(__xludf.DUMMYFUNCTION("""COMPUTED_VALUE"""),2.0)</f>
        <v>2</v>
      </c>
      <c r="U972" s="50" t="str">
        <f>IFERROR(__xludf.DUMMYFUNCTION("""COMPUTED_VALUE"""),"B106")</f>
        <v>B106</v>
      </c>
      <c r="V972" s="38" t="str">
        <f>IFERROR(__xludf.DUMMYFUNCTION("""COMPUTED_VALUE"""),"")</f>
        <v/>
      </c>
      <c r="W972" s="45">
        <f>IFERROR(__xludf.DUMMYFUNCTION("""COMPUTED_VALUE"""),497.6)</f>
        <v>497.6</v>
      </c>
      <c r="X972" s="46" t="str">
        <f>IFERROR(__xludf.DUMMYFUNCTION("""COMPUTED_VALUE"""),"AP")</f>
        <v>AP</v>
      </c>
      <c r="Y972" s="47">
        <f>IFERROR(__xludf.DUMMYFUNCTION("""COMPUTED_VALUE"""),4.19999999)</f>
        <v>4.19999999</v>
      </c>
      <c r="Z972" s="48" t="str">
        <f>IFERROR(__xludf.DUMMYFUNCTION("""COMPUTED_VALUE"""),"%")</f>
        <v>%</v>
      </c>
      <c r="AA972" s="49">
        <f>IFERROR(__xludf.DUMMYFUNCTION("""COMPUTED_VALUE"""),3.0)</f>
        <v>3</v>
      </c>
      <c r="AB972" s="50"/>
      <c r="AC972" s="38"/>
      <c r="AD972" s="45" t="str">
        <f>IFERROR(__xludf.DUMMYFUNCTION("""COMPUTED_VALUE"""),"")</f>
        <v/>
      </c>
      <c r="AE972" s="46" t="str">
        <f>IFERROR(__xludf.DUMMYFUNCTION("""COMPUTED_VALUE"""),"AP")</f>
        <v>AP</v>
      </c>
      <c r="AF972" s="47" t="str">
        <f>IFERROR(__xludf.DUMMYFUNCTION("""COMPUTED_VALUE"""),"")</f>
        <v/>
      </c>
      <c r="AG972" s="48" t="str">
        <f>IFERROR(__xludf.DUMMYFUNCTION("""COMPUTED_VALUE"""),"%")</f>
        <v>%</v>
      </c>
      <c r="AH972" s="43">
        <f>IFERROR(__xludf.DUMMYFUNCTION("""COMPUTED_VALUE"""),21.0)</f>
        <v>21</v>
      </c>
      <c r="AI972" s="44">
        <f>IFERROR(__xludf.DUMMYFUNCTION("""COMPUTED_VALUE"""),25285.0)</f>
        <v>25285</v>
      </c>
      <c r="AJ972" s="51" t="str">
        <f>IFERROR(__xludf.DUMMYFUNCTION("""COMPUTED_VALUE"""),"裏山（戦戦恐恐）")</f>
        <v>裏山（戦戦恐恐）</v>
      </c>
    </row>
    <row r="973" ht="24.75" customHeight="1">
      <c r="A973" s="28">
        <f>IFERROR(__xludf.DUMMYFUNCTION("""COMPUTED_VALUE"""),5.0)</f>
        <v>5</v>
      </c>
      <c r="B973" s="28" t="str">
        <f>IFERROR(__xludf.DUMMYFUNCTION("""COMPUTED_VALUE"""),"A114")</f>
        <v>A114</v>
      </c>
      <c r="C973" s="28" t="str">
        <f>IFERROR(__xludf.DUMMYFUNCTION("""COMPUTED_VALUE"""),"HEA6")</f>
        <v>HEA6</v>
      </c>
      <c r="D973" s="29" t="str">
        <f>IFERROR(__xludf.DUMMYFUNCTION("""COMPUTED_VALUE"""),"Heian-kyo")</f>
        <v>Heian-kyo</v>
      </c>
      <c r="E973" s="30" t="str">
        <f>IFERROR(__xludf.DUMMYFUNCTION("""COMPUTED_VALUE"""),"Heian Imperial Palace")</f>
        <v>Heian Imperial Palace</v>
      </c>
      <c r="F973" s="31">
        <f>IFERROR(__xludf.DUMMYFUNCTION("""COMPUTED_VALUE"""),21.0)</f>
        <v>21</v>
      </c>
      <c r="G973" s="32">
        <f>IFERROR(__xludf.DUMMYFUNCTION("""COMPUTED_VALUE"""),4753.0)</f>
        <v>4753</v>
      </c>
      <c r="H973" s="33" t="str">
        <f>IFERROR(__xludf.DUMMYFUNCTION("""COMPUTED_VALUE"""),"")</f>
        <v/>
      </c>
      <c r="I973" s="34">
        <f>IFERROR(__xludf.DUMMYFUNCTION("""COMPUTED_VALUE"""),186.6)</f>
        <v>186.6</v>
      </c>
      <c r="J973" s="35" t="str">
        <f>IFERROR(__xludf.DUMMYFUNCTION("""COMPUTED_VALUE"""),"AP")</f>
        <v>AP</v>
      </c>
      <c r="K973" s="34">
        <f>IFERROR(__xludf.DUMMYFUNCTION("""COMPUTED_VALUE"""),11.3)</f>
        <v>11.3</v>
      </c>
      <c r="L973" s="35" t="str">
        <f>IFERROR(__xludf.DUMMYFUNCTION("""COMPUTED_VALUE"""),"%")</f>
        <v>%</v>
      </c>
      <c r="M973" s="36">
        <f>IFERROR(__xludf.DUMMYFUNCTION("""COMPUTED_VALUE"""),1.0)</f>
        <v>1</v>
      </c>
      <c r="N973" s="37" t="str">
        <f>IFERROR(__xludf.DUMMYFUNCTION("""COMPUTED_VALUE"""),"A212")</f>
        <v>A212</v>
      </c>
      <c r="O973" s="38" t="str">
        <f>IFERROR(__xludf.DUMMYFUNCTION("""COMPUTED_VALUE"""),"")</f>
        <v/>
      </c>
      <c r="P973" s="34">
        <f>IFERROR(__xludf.DUMMYFUNCTION("""COMPUTED_VALUE"""),85.9)</f>
        <v>85.9</v>
      </c>
      <c r="Q973" s="35" t="str">
        <f>IFERROR(__xludf.DUMMYFUNCTION("""COMPUTED_VALUE"""),"AP")</f>
        <v>AP</v>
      </c>
      <c r="R973" s="34">
        <f>IFERROR(__xludf.DUMMYFUNCTION("""COMPUTED_VALUE"""),24.4)</f>
        <v>24.4</v>
      </c>
      <c r="S973" s="35" t="str">
        <f>IFERROR(__xludf.DUMMYFUNCTION("""COMPUTED_VALUE"""),"%")</f>
        <v>%</v>
      </c>
      <c r="T973" s="36">
        <f>IFERROR(__xludf.DUMMYFUNCTION("""COMPUTED_VALUE"""),2.0)</f>
        <v>2</v>
      </c>
      <c r="U973" s="37" t="str">
        <f>IFERROR(__xludf.DUMMYFUNCTION("""COMPUTED_VALUE"""),"B106")</f>
        <v>B106</v>
      </c>
      <c r="V973" s="38" t="str">
        <f>IFERROR(__xludf.DUMMYFUNCTION("""COMPUTED_VALUE"""),"")</f>
        <v/>
      </c>
      <c r="W973" s="34">
        <f>IFERROR(__xludf.DUMMYFUNCTION("""COMPUTED_VALUE"""),603.1)</f>
        <v>603.1</v>
      </c>
      <c r="X973" s="35" t="str">
        <f>IFERROR(__xludf.DUMMYFUNCTION("""COMPUTED_VALUE"""),"AP")</f>
        <v>AP</v>
      </c>
      <c r="Y973" s="34">
        <f>IFERROR(__xludf.DUMMYFUNCTION("""COMPUTED_VALUE"""),3.5)</f>
        <v>3.5</v>
      </c>
      <c r="Z973" s="35" t="str">
        <f>IFERROR(__xludf.DUMMYFUNCTION("""COMPUTED_VALUE"""),"%")</f>
        <v>%</v>
      </c>
      <c r="AA973" s="36">
        <f>IFERROR(__xludf.DUMMYFUNCTION("""COMPUTED_VALUE"""),3.0)</f>
        <v>3</v>
      </c>
      <c r="AB973" s="37" t="str">
        <f>IFERROR(__xludf.DUMMYFUNCTION("""COMPUTED_VALUE"""),"B111")</f>
        <v>B111</v>
      </c>
      <c r="AC973" s="38" t="str">
        <f>IFERROR(__xludf.DUMMYFUNCTION("""COMPUTED_VALUE"""),"")</f>
        <v/>
      </c>
      <c r="AD973" s="34">
        <f>IFERROR(__xludf.DUMMYFUNCTION("""COMPUTED_VALUE"""),53.7)</f>
        <v>53.7</v>
      </c>
      <c r="AE973" s="35" t="str">
        <f>IFERROR(__xludf.DUMMYFUNCTION("""COMPUTED_VALUE"""),"AP")</f>
        <v>AP</v>
      </c>
      <c r="AF973" s="34">
        <f>IFERROR(__xludf.DUMMYFUNCTION("""COMPUTED_VALUE"""),39.1)</f>
        <v>39.1</v>
      </c>
      <c r="AG973" s="35" t="str">
        <f>IFERROR(__xludf.DUMMYFUNCTION("""COMPUTED_VALUE"""),"%")</f>
        <v>%</v>
      </c>
      <c r="AH973" s="31">
        <f>IFERROR(__xludf.DUMMYFUNCTION("""COMPUTED_VALUE"""),21.0)</f>
        <v>21</v>
      </c>
      <c r="AI973" s="32">
        <f>IFERROR(__xludf.DUMMYFUNCTION("""COMPUTED_VALUE"""),4753.0)</f>
        <v>4753</v>
      </c>
      <c r="AJ973" s="39" t="str">
        <f>IFERROR(__xludf.DUMMYFUNCTION("""COMPUTED_VALUE"""),"平安宮")</f>
        <v>平安宮</v>
      </c>
    </row>
    <row r="974" ht="24.75" customHeight="1">
      <c r="A974" s="40">
        <f>IFERROR(__xludf.DUMMYFUNCTION("""COMPUTED_VALUE"""),6.0)</f>
        <v>6</v>
      </c>
      <c r="B974" s="40" t="str">
        <f>IFERROR(__xludf.DUMMYFUNCTION("""COMPUTED_VALUE"""),"A114")</f>
        <v>A114</v>
      </c>
      <c r="C974" s="40"/>
      <c r="D974" s="41"/>
      <c r="E974" s="66"/>
      <c r="F974" s="43"/>
      <c r="G974" s="44"/>
      <c r="H974" s="33" t="str">
        <f>IFERROR(__xludf.DUMMYFUNCTION("""COMPUTED_VALUE""")," ")</f>
        <v> </v>
      </c>
      <c r="I974" s="45"/>
      <c r="J974" s="46" t="str">
        <f>IFERROR(__xludf.DUMMYFUNCTION("""COMPUTED_VALUE"""),"AP")</f>
        <v>AP</v>
      </c>
      <c r="K974" s="47"/>
      <c r="L974" s="48" t="str">
        <f>IFERROR(__xludf.DUMMYFUNCTION("""COMPUTED_VALUE"""),"%")</f>
        <v>%</v>
      </c>
      <c r="M974" s="49">
        <f>IFERROR(__xludf.DUMMYFUNCTION("""COMPUTED_VALUE"""),1.0)</f>
        <v>1</v>
      </c>
      <c r="N974" s="50"/>
      <c r="O974" s="38"/>
      <c r="P974" s="45" t="str">
        <f>IFERROR(__xludf.DUMMYFUNCTION("""COMPUTED_VALUE"""),"")</f>
        <v/>
      </c>
      <c r="Q974" s="46" t="str">
        <f>IFERROR(__xludf.DUMMYFUNCTION("""COMPUTED_VALUE"""),"AP")</f>
        <v>AP</v>
      </c>
      <c r="R974" s="47" t="str">
        <f>IFERROR(__xludf.DUMMYFUNCTION("""COMPUTED_VALUE"""),"")</f>
        <v/>
      </c>
      <c r="S974" s="48" t="str">
        <f>IFERROR(__xludf.DUMMYFUNCTION("""COMPUTED_VALUE"""),"%")</f>
        <v>%</v>
      </c>
      <c r="T974" s="49">
        <f>IFERROR(__xludf.DUMMYFUNCTION("""COMPUTED_VALUE"""),2.0)</f>
        <v>2</v>
      </c>
      <c r="U974" s="50"/>
      <c r="V974" s="38"/>
      <c r="W974" s="45" t="str">
        <f>IFERROR(__xludf.DUMMYFUNCTION("""COMPUTED_VALUE"""),"")</f>
        <v/>
      </c>
      <c r="X974" s="46" t="str">
        <f>IFERROR(__xludf.DUMMYFUNCTION("""COMPUTED_VALUE"""),"AP")</f>
        <v>AP</v>
      </c>
      <c r="Y974" s="47" t="str">
        <f>IFERROR(__xludf.DUMMYFUNCTION("""COMPUTED_VALUE"""),"")</f>
        <v/>
      </c>
      <c r="Z974" s="48" t="str">
        <f>IFERROR(__xludf.DUMMYFUNCTION("""COMPUTED_VALUE"""),"%")</f>
        <v>%</v>
      </c>
      <c r="AA974" s="49">
        <f>IFERROR(__xludf.DUMMYFUNCTION("""COMPUTED_VALUE"""),3.0)</f>
        <v>3</v>
      </c>
      <c r="AB974" s="50"/>
      <c r="AC974" s="38"/>
      <c r="AD974" s="45" t="str">
        <f>IFERROR(__xludf.DUMMYFUNCTION("""COMPUTED_VALUE"""),"")</f>
        <v/>
      </c>
      <c r="AE974" s="46" t="str">
        <f>IFERROR(__xludf.DUMMYFUNCTION("""COMPUTED_VALUE"""),"AP")</f>
        <v>AP</v>
      </c>
      <c r="AF974" s="47" t="str">
        <f>IFERROR(__xludf.DUMMYFUNCTION("""COMPUTED_VALUE"""),"")</f>
        <v/>
      </c>
      <c r="AG974" s="48" t="str">
        <f>IFERROR(__xludf.DUMMYFUNCTION("""COMPUTED_VALUE"""),"%")</f>
        <v>%</v>
      </c>
      <c r="AH974" s="43"/>
      <c r="AI974" s="44"/>
      <c r="AJ974" s="51"/>
    </row>
    <row r="975" ht="24.75" hidden="1" customHeight="1">
      <c r="A975" s="28">
        <f>IFERROR(__xludf.DUMMYFUNCTION("""COMPUTED_VALUE"""),7.0)</f>
        <v>7</v>
      </c>
      <c r="B975" s="28" t="str">
        <f>IFERROR(__xludf.DUMMYFUNCTION("""COMPUTED_VALUE"""),"A114")</f>
        <v>A114</v>
      </c>
      <c r="C975" s="28"/>
      <c r="D975" s="29"/>
      <c r="E975" s="67"/>
      <c r="F975" s="31"/>
      <c r="G975" s="32"/>
      <c r="H975" s="33" t="str">
        <f>IFERROR(__xludf.DUMMYFUNCTION("""COMPUTED_VALUE""")," ")</f>
        <v> </v>
      </c>
      <c r="I975" s="34"/>
      <c r="J975" s="35" t="str">
        <f>IFERROR(__xludf.DUMMYFUNCTION("""COMPUTED_VALUE"""),"AP")</f>
        <v>AP</v>
      </c>
      <c r="K975" s="34"/>
      <c r="L975" s="35" t="str">
        <f>IFERROR(__xludf.DUMMYFUNCTION("""COMPUTED_VALUE"""),"%")</f>
        <v>%</v>
      </c>
      <c r="M975" s="36">
        <f>IFERROR(__xludf.DUMMYFUNCTION("""COMPUTED_VALUE"""),1.0)</f>
        <v>1</v>
      </c>
      <c r="N975" s="37"/>
      <c r="O975" s="38"/>
      <c r="P975" s="34" t="str">
        <f>IFERROR(__xludf.DUMMYFUNCTION("""COMPUTED_VALUE"""),"")</f>
        <v/>
      </c>
      <c r="Q975" s="35" t="str">
        <f>IFERROR(__xludf.DUMMYFUNCTION("""COMPUTED_VALUE"""),"AP")</f>
        <v>AP</v>
      </c>
      <c r="R975" s="34" t="str">
        <f>IFERROR(__xludf.DUMMYFUNCTION("""COMPUTED_VALUE"""),"")</f>
        <v/>
      </c>
      <c r="S975" s="35" t="str">
        <f>IFERROR(__xludf.DUMMYFUNCTION("""COMPUTED_VALUE"""),"%")</f>
        <v>%</v>
      </c>
      <c r="T975" s="36">
        <f>IFERROR(__xludf.DUMMYFUNCTION("""COMPUTED_VALUE"""),2.0)</f>
        <v>2</v>
      </c>
      <c r="U975" s="37"/>
      <c r="V975" s="38"/>
      <c r="W975" s="34" t="str">
        <f>IFERROR(__xludf.DUMMYFUNCTION("""COMPUTED_VALUE"""),"")</f>
        <v/>
      </c>
      <c r="X975" s="35" t="str">
        <f>IFERROR(__xludf.DUMMYFUNCTION("""COMPUTED_VALUE"""),"AP")</f>
        <v>AP</v>
      </c>
      <c r="Y975" s="34" t="str">
        <f>IFERROR(__xludf.DUMMYFUNCTION("""COMPUTED_VALUE"""),"")</f>
        <v/>
      </c>
      <c r="Z975" s="35" t="str">
        <f>IFERROR(__xludf.DUMMYFUNCTION("""COMPUTED_VALUE"""),"%")</f>
        <v>%</v>
      </c>
      <c r="AA975" s="36">
        <f>IFERROR(__xludf.DUMMYFUNCTION("""COMPUTED_VALUE"""),3.0)</f>
        <v>3</v>
      </c>
      <c r="AB975" s="37"/>
      <c r="AC975" s="38"/>
      <c r="AD975" s="34" t="str">
        <f>IFERROR(__xludf.DUMMYFUNCTION("""COMPUTED_VALUE"""),"")</f>
        <v/>
      </c>
      <c r="AE975" s="35" t="str">
        <f>IFERROR(__xludf.DUMMYFUNCTION("""COMPUTED_VALUE"""),"AP")</f>
        <v>AP</v>
      </c>
      <c r="AF975" s="34" t="str">
        <f>IFERROR(__xludf.DUMMYFUNCTION("""COMPUTED_VALUE"""),"")</f>
        <v/>
      </c>
      <c r="AG975" s="35" t="str">
        <f>IFERROR(__xludf.DUMMYFUNCTION("""COMPUTED_VALUE"""),"%")</f>
        <v>%</v>
      </c>
      <c r="AH975" s="31"/>
      <c r="AI975" s="32"/>
      <c r="AJ975" s="39"/>
    </row>
    <row r="976" ht="24.75" hidden="1" customHeight="1">
      <c r="A976" s="40">
        <f>IFERROR(__xludf.DUMMYFUNCTION("""COMPUTED_VALUE"""),8.0)</f>
        <v>8</v>
      </c>
      <c r="B976" s="40" t="str">
        <f>IFERROR(__xludf.DUMMYFUNCTION("""COMPUTED_VALUE"""),"A114")</f>
        <v>A114</v>
      </c>
      <c r="C976" s="40"/>
      <c r="D976" s="41"/>
      <c r="E976" s="66"/>
      <c r="F976" s="43"/>
      <c r="G976" s="44"/>
      <c r="H976" s="33" t="str">
        <f>IFERROR(__xludf.DUMMYFUNCTION("""COMPUTED_VALUE""")," ")</f>
        <v> </v>
      </c>
      <c r="I976" s="45"/>
      <c r="J976" s="46" t="str">
        <f>IFERROR(__xludf.DUMMYFUNCTION("""COMPUTED_VALUE"""),"AP")</f>
        <v>AP</v>
      </c>
      <c r="K976" s="47"/>
      <c r="L976" s="48" t="str">
        <f>IFERROR(__xludf.DUMMYFUNCTION("""COMPUTED_VALUE"""),"%")</f>
        <v>%</v>
      </c>
      <c r="M976" s="49">
        <f>IFERROR(__xludf.DUMMYFUNCTION("""COMPUTED_VALUE"""),1.0)</f>
        <v>1</v>
      </c>
      <c r="N976" s="50"/>
      <c r="O976" s="38"/>
      <c r="P976" s="45" t="str">
        <f>IFERROR(__xludf.DUMMYFUNCTION("""COMPUTED_VALUE"""),"")</f>
        <v/>
      </c>
      <c r="Q976" s="46" t="str">
        <f>IFERROR(__xludf.DUMMYFUNCTION("""COMPUTED_VALUE"""),"AP")</f>
        <v>AP</v>
      </c>
      <c r="R976" s="47" t="str">
        <f>IFERROR(__xludf.DUMMYFUNCTION("""COMPUTED_VALUE"""),"")</f>
        <v/>
      </c>
      <c r="S976" s="48" t="str">
        <f>IFERROR(__xludf.DUMMYFUNCTION("""COMPUTED_VALUE"""),"%")</f>
        <v>%</v>
      </c>
      <c r="T976" s="49">
        <f>IFERROR(__xludf.DUMMYFUNCTION("""COMPUTED_VALUE"""),2.0)</f>
        <v>2</v>
      </c>
      <c r="U976" s="50"/>
      <c r="V976" s="38"/>
      <c r="W976" s="45" t="str">
        <f>IFERROR(__xludf.DUMMYFUNCTION("""COMPUTED_VALUE"""),"")</f>
        <v/>
      </c>
      <c r="X976" s="46" t="str">
        <f>IFERROR(__xludf.DUMMYFUNCTION("""COMPUTED_VALUE"""),"AP")</f>
        <v>AP</v>
      </c>
      <c r="Y976" s="47" t="str">
        <f>IFERROR(__xludf.DUMMYFUNCTION("""COMPUTED_VALUE"""),"")</f>
        <v/>
      </c>
      <c r="Z976" s="48" t="str">
        <f>IFERROR(__xludf.DUMMYFUNCTION("""COMPUTED_VALUE"""),"%")</f>
        <v>%</v>
      </c>
      <c r="AA976" s="49">
        <f>IFERROR(__xludf.DUMMYFUNCTION("""COMPUTED_VALUE"""),3.0)</f>
        <v>3</v>
      </c>
      <c r="AB976" s="50"/>
      <c r="AC976" s="38"/>
      <c r="AD976" s="45" t="str">
        <f>IFERROR(__xludf.DUMMYFUNCTION("""COMPUTED_VALUE"""),"")</f>
        <v/>
      </c>
      <c r="AE976" s="46" t="str">
        <f>IFERROR(__xludf.DUMMYFUNCTION("""COMPUTED_VALUE"""),"AP")</f>
        <v>AP</v>
      </c>
      <c r="AF976" s="47" t="str">
        <f>IFERROR(__xludf.DUMMYFUNCTION("""COMPUTED_VALUE"""),"")</f>
        <v/>
      </c>
      <c r="AG976" s="48" t="str">
        <f>IFERROR(__xludf.DUMMYFUNCTION("""COMPUTED_VALUE"""),"%")</f>
        <v>%</v>
      </c>
      <c r="AH976" s="43"/>
      <c r="AI976" s="44"/>
      <c r="AJ976" s="51"/>
    </row>
    <row r="977" ht="24.75" hidden="1" customHeight="1">
      <c r="A977" s="28">
        <f>IFERROR(__xludf.DUMMYFUNCTION("""COMPUTED_VALUE"""),9.0)</f>
        <v>9</v>
      </c>
      <c r="B977" s="28" t="str">
        <f>IFERROR(__xludf.DUMMYFUNCTION("""COMPUTED_VALUE"""),"A114")</f>
        <v>A114</v>
      </c>
      <c r="C977" s="28"/>
      <c r="D977" s="29"/>
      <c r="E977" s="67"/>
      <c r="F977" s="31"/>
      <c r="G977" s="32"/>
      <c r="H977" s="33" t="str">
        <f>IFERROR(__xludf.DUMMYFUNCTION("""COMPUTED_VALUE""")," ")</f>
        <v> </v>
      </c>
      <c r="I977" s="34"/>
      <c r="J977" s="35" t="str">
        <f>IFERROR(__xludf.DUMMYFUNCTION("""COMPUTED_VALUE"""),"AP")</f>
        <v>AP</v>
      </c>
      <c r="K977" s="34"/>
      <c r="L977" s="35" t="str">
        <f>IFERROR(__xludf.DUMMYFUNCTION("""COMPUTED_VALUE"""),"%")</f>
        <v>%</v>
      </c>
      <c r="M977" s="36">
        <f>IFERROR(__xludf.DUMMYFUNCTION("""COMPUTED_VALUE"""),1.0)</f>
        <v>1</v>
      </c>
      <c r="N977" s="37"/>
      <c r="O977" s="38"/>
      <c r="P977" s="34" t="str">
        <f>IFERROR(__xludf.DUMMYFUNCTION("""COMPUTED_VALUE"""),"")</f>
        <v/>
      </c>
      <c r="Q977" s="35" t="str">
        <f>IFERROR(__xludf.DUMMYFUNCTION("""COMPUTED_VALUE"""),"AP")</f>
        <v>AP</v>
      </c>
      <c r="R977" s="34" t="str">
        <f>IFERROR(__xludf.DUMMYFUNCTION("""COMPUTED_VALUE"""),"")</f>
        <v/>
      </c>
      <c r="S977" s="35" t="str">
        <f>IFERROR(__xludf.DUMMYFUNCTION("""COMPUTED_VALUE"""),"%")</f>
        <v>%</v>
      </c>
      <c r="T977" s="36">
        <f>IFERROR(__xludf.DUMMYFUNCTION("""COMPUTED_VALUE"""),2.0)</f>
        <v>2</v>
      </c>
      <c r="U977" s="37"/>
      <c r="V977" s="38"/>
      <c r="W977" s="34" t="str">
        <f>IFERROR(__xludf.DUMMYFUNCTION("""COMPUTED_VALUE"""),"")</f>
        <v/>
      </c>
      <c r="X977" s="35" t="str">
        <f>IFERROR(__xludf.DUMMYFUNCTION("""COMPUTED_VALUE"""),"AP")</f>
        <v>AP</v>
      </c>
      <c r="Y977" s="34" t="str">
        <f>IFERROR(__xludf.DUMMYFUNCTION("""COMPUTED_VALUE"""),"")</f>
        <v/>
      </c>
      <c r="Z977" s="35" t="str">
        <f>IFERROR(__xludf.DUMMYFUNCTION("""COMPUTED_VALUE"""),"%")</f>
        <v>%</v>
      </c>
      <c r="AA977" s="36">
        <f>IFERROR(__xludf.DUMMYFUNCTION("""COMPUTED_VALUE"""),3.0)</f>
        <v>3</v>
      </c>
      <c r="AB977" s="37"/>
      <c r="AC977" s="38"/>
      <c r="AD977" s="34" t="str">
        <f>IFERROR(__xludf.DUMMYFUNCTION("""COMPUTED_VALUE"""),"")</f>
        <v/>
      </c>
      <c r="AE977" s="35" t="str">
        <f>IFERROR(__xludf.DUMMYFUNCTION("""COMPUTED_VALUE"""),"AP")</f>
        <v>AP</v>
      </c>
      <c r="AF977" s="34" t="str">
        <f>IFERROR(__xludf.DUMMYFUNCTION("""COMPUTED_VALUE"""),"")</f>
        <v/>
      </c>
      <c r="AG977" s="35" t="str">
        <f>IFERROR(__xludf.DUMMYFUNCTION("""COMPUTED_VALUE"""),"%")</f>
        <v>%</v>
      </c>
      <c r="AH977" s="31"/>
      <c r="AI977" s="32"/>
      <c r="AJ977" s="39"/>
    </row>
    <row r="978" ht="24.75" hidden="1" customHeight="1">
      <c r="A978" s="40">
        <f>IFERROR(__xludf.DUMMYFUNCTION("""COMPUTED_VALUE"""),10.0)</f>
        <v>10</v>
      </c>
      <c r="B978" s="40" t="str">
        <f>IFERROR(__xludf.DUMMYFUNCTION("""COMPUTED_VALUE"""),"A114")</f>
        <v>A114</v>
      </c>
      <c r="C978" s="40"/>
      <c r="D978" s="41"/>
      <c r="E978" s="66"/>
      <c r="F978" s="43"/>
      <c r="G978" s="44"/>
      <c r="H978" s="33" t="str">
        <f>IFERROR(__xludf.DUMMYFUNCTION("""COMPUTED_VALUE""")," ")</f>
        <v> </v>
      </c>
      <c r="I978" s="45"/>
      <c r="J978" s="46" t="str">
        <f>IFERROR(__xludf.DUMMYFUNCTION("""COMPUTED_VALUE"""),"AP")</f>
        <v>AP</v>
      </c>
      <c r="K978" s="47"/>
      <c r="L978" s="48" t="str">
        <f>IFERROR(__xludf.DUMMYFUNCTION("""COMPUTED_VALUE"""),"%")</f>
        <v>%</v>
      </c>
      <c r="M978" s="49">
        <f>IFERROR(__xludf.DUMMYFUNCTION("""COMPUTED_VALUE"""),1.0)</f>
        <v>1</v>
      </c>
      <c r="N978" s="50"/>
      <c r="O978" s="38"/>
      <c r="P978" s="45" t="str">
        <f>IFERROR(__xludf.DUMMYFUNCTION("""COMPUTED_VALUE"""),"")</f>
        <v/>
      </c>
      <c r="Q978" s="46" t="str">
        <f>IFERROR(__xludf.DUMMYFUNCTION("""COMPUTED_VALUE"""),"AP")</f>
        <v>AP</v>
      </c>
      <c r="R978" s="47" t="str">
        <f>IFERROR(__xludf.DUMMYFUNCTION("""COMPUTED_VALUE"""),"")</f>
        <v/>
      </c>
      <c r="S978" s="48" t="str">
        <f>IFERROR(__xludf.DUMMYFUNCTION("""COMPUTED_VALUE"""),"%")</f>
        <v>%</v>
      </c>
      <c r="T978" s="49">
        <f>IFERROR(__xludf.DUMMYFUNCTION("""COMPUTED_VALUE"""),2.0)</f>
        <v>2</v>
      </c>
      <c r="U978" s="50"/>
      <c r="V978" s="38"/>
      <c r="W978" s="45" t="str">
        <f>IFERROR(__xludf.DUMMYFUNCTION("""COMPUTED_VALUE"""),"")</f>
        <v/>
      </c>
      <c r="X978" s="46" t="str">
        <f>IFERROR(__xludf.DUMMYFUNCTION("""COMPUTED_VALUE"""),"AP")</f>
        <v>AP</v>
      </c>
      <c r="Y978" s="47" t="str">
        <f>IFERROR(__xludf.DUMMYFUNCTION("""COMPUTED_VALUE"""),"")</f>
        <v/>
      </c>
      <c r="Z978" s="48" t="str">
        <f>IFERROR(__xludf.DUMMYFUNCTION("""COMPUTED_VALUE"""),"%")</f>
        <v>%</v>
      </c>
      <c r="AA978" s="49">
        <f>IFERROR(__xludf.DUMMYFUNCTION("""COMPUTED_VALUE"""),3.0)</f>
        <v>3</v>
      </c>
      <c r="AB978" s="50"/>
      <c r="AC978" s="38"/>
      <c r="AD978" s="45" t="str">
        <f>IFERROR(__xludf.DUMMYFUNCTION("""COMPUTED_VALUE"""),"")</f>
        <v/>
      </c>
      <c r="AE978" s="46" t="str">
        <f>IFERROR(__xludf.DUMMYFUNCTION("""COMPUTED_VALUE"""),"AP")</f>
        <v>AP</v>
      </c>
      <c r="AF978" s="47" t="str">
        <f>IFERROR(__xludf.DUMMYFUNCTION("""COMPUTED_VALUE"""),"")</f>
        <v/>
      </c>
      <c r="AG978" s="48" t="str">
        <f>IFERROR(__xludf.DUMMYFUNCTION("""COMPUTED_VALUE"""),"%")</f>
        <v>%</v>
      </c>
      <c r="AH978" s="43"/>
      <c r="AI978" s="44"/>
      <c r="AJ978" s="51"/>
    </row>
    <row r="979" ht="24.75" hidden="1" customHeight="1">
      <c r="A979" s="28">
        <f>IFERROR(__xludf.DUMMYFUNCTION("""COMPUTED_VALUE"""),11.0)</f>
        <v>11</v>
      </c>
      <c r="B979" s="28" t="str">
        <f>IFERROR(__xludf.DUMMYFUNCTION("""COMPUTED_VALUE"""),"A114")</f>
        <v>A114</v>
      </c>
      <c r="C979" s="28"/>
      <c r="D979" s="29"/>
      <c r="E979" s="67"/>
      <c r="F979" s="31"/>
      <c r="G979" s="32"/>
      <c r="H979" s="33" t="str">
        <f>IFERROR(__xludf.DUMMYFUNCTION("""COMPUTED_VALUE""")," ")</f>
        <v> </v>
      </c>
      <c r="I979" s="34"/>
      <c r="J979" s="35" t="str">
        <f>IFERROR(__xludf.DUMMYFUNCTION("""COMPUTED_VALUE"""),"AP")</f>
        <v>AP</v>
      </c>
      <c r="K979" s="34"/>
      <c r="L979" s="35" t="str">
        <f>IFERROR(__xludf.DUMMYFUNCTION("""COMPUTED_VALUE"""),"%")</f>
        <v>%</v>
      </c>
      <c r="M979" s="36">
        <f>IFERROR(__xludf.DUMMYFUNCTION("""COMPUTED_VALUE"""),1.0)</f>
        <v>1</v>
      </c>
      <c r="N979" s="37"/>
      <c r="O979" s="38"/>
      <c r="P979" s="34" t="str">
        <f>IFERROR(__xludf.DUMMYFUNCTION("""COMPUTED_VALUE"""),"")</f>
        <v/>
      </c>
      <c r="Q979" s="35" t="str">
        <f>IFERROR(__xludf.DUMMYFUNCTION("""COMPUTED_VALUE"""),"AP")</f>
        <v>AP</v>
      </c>
      <c r="R979" s="34" t="str">
        <f>IFERROR(__xludf.DUMMYFUNCTION("""COMPUTED_VALUE"""),"")</f>
        <v/>
      </c>
      <c r="S979" s="35" t="str">
        <f>IFERROR(__xludf.DUMMYFUNCTION("""COMPUTED_VALUE"""),"%")</f>
        <v>%</v>
      </c>
      <c r="T979" s="36">
        <f>IFERROR(__xludf.DUMMYFUNCTION("""COMPUTED_VALUE"""),2.0)</f>
        <v>2</v>
      </c>
      <c r="U979" s="37"/>
      <c r="V979" s="38"/>
      <c r="W979" s="34" t="str">
        <f>IFERROR(__xludf.DUMMYFUNCTION("""COMPUTED_VALUE"""),"")</f>
        <v/>
      </c>
      <c r="X979" s="35" t="str">
        <f>IFERROR(__xludf.DUMMYFUNCTION("""COMPUTED_VALUE"""),"AP")</f>
        <v>AP</v>
      </c>
      <c r="Y979" s="34" t="str">
        <f>IFERROR(__xludf.DUMMYFUNCTION("""COMPUTED_VALUE"""),"")</f>
        <v/>
      </c>
      <c r="Z979" s="35" t="str">
        <f>IFERROR(__xludf.DUMMYFUNCTION("""COMPUTED_VALUE"""),"%")</f>
        <v>%</v>
      </c>
      <c r="AA979" s="36">
        <f>IFERROR(__xludf.DUMMYFUNCTION("""COMPUTED_VALUE"""),3.0)</f>
        <v>3</v>
      </c>
      <c r="AB979" s="37"/>
      <c r="AC979" s="38"/>
      <c r="AD979" s="34" t="str">
        <f>IFERROR(__xludf.DUMMYFUNCTION("""COMPUTED_VALUE"""),"")</f>
        <v/>
      </c>
      <c r="AE979" s="35" t="str">
        <f>IFERROR(__xludf.DUMMYFUNCTION("""COMPUTED_VALUE"""),"AP")</f>
        <v>AP</v>
      </c>
      <c r="AF979" s="34" t="str">
        <f>IFERROR(__xludf.DUMMYFUNCTION("""COMPUTED_VALUE"""),"")</f>
        <v/>
      </c>
      <c r="AG979" s="35" t="str">
        <f>IFERROR(__xludf.DUMMYFUNCTION("""COMPUTED_VALUE"""),"%")</f>
        <v>%</v>
      </c>
      <c r="AH979" s="31"/>
      <c r="AI979" s="32"/>
      <c r="AJ979" s="39"/>
    </row>
    <row r="980" ht="24.75" hidden="1" customHeight="1">
      <c r="A980" s="40">
        <f>IFERROR(__xludf.DUMMYFUNCTION("""COMPUTED_VALUE"""),12.0)</f>
        <v>12</v>
      </c>
      <c r="B980" s="40" t="str">
        <f>IFERROR(__xludf.DUMMYFUNCTION("""COMPUTED_VALUE"""),"A114")</f>
        <v>A114</v>
      </c>
      <c r="C980" s="40"/>
      <c r="D980" s="41"/>
      <c r="E980" s="66"/>
      <c r="F980" s="43"/>
      <c r="G980" s="44"/>
      <c r="H980" s="33" t="str">
        <f>IFERROR(__xludf.DUMMYFUNCTION("""COMPUTED_VALUE""")," ")</f>
        <v> </v>
      </c>
      <c r="I980" s="45"/>
      <c r="J980" s="46" t="str">
        <f>IFERROR(__xludf.DUMMYFUNCTION("""COMPUTED_VALUE"""),"AP")</f>
        <v>AP</v>
      </c>
      <c r="K980" s="47"/>
      <c r="L980" s="48" t="str">
        <f>IFERROR(__xludf.DUMMYFUNCTION("""COMPUTED_VALUE"""),"%")</f>
        <v>%</v>
      </c>
      <c r="M980" s="49">
        <f>IFERROR(__xludf.DUMMYFUNCTION("""COMPUTED_VALUE"""),1.0)</f>
        <v>1</v>
      </c>
      <c r="N980" s="50"/>
      <c r="O980" s="38"/>
      <c r="P980" s="45" t="str">
        <f>IFERROR(__xludf.DUMMYFUNCTION("""COMPUTED_VALUE"""),"")</f>
        <v/>
      </c>
      <c r="Q980" s="46" t="str">
        <f>IFERROR(__xludf.DUMMYFUNCTION("""COMPUTED_VALUE"""),"AP")</f>
        <v>AP</v>
      </c>
      <c r="R980" s="47" t="str">
        <f>IFERROR(__xludf.DUMMYFUNCTION("""COMPUTED_VALUE"""),"")</f>
        <v/>
      </c>
      <c r="S980" s="48" t="str">
        <f>IFERROR(__xludf.DUMMYFUNCTION("""COMPUTED_VALUE"""),"%")</f>
        <v>%</v>
      </c>
      <c r="T980" s="49">
        <f>IFERROR(__xludf.DUMMYFUNCTION("""COMPUTED_VALUE"""),2.0)</f>
        <v>2</v>
      </c>
      <c r="U980" s="50"/>
      <c r="V980" s="38"/>
      <c r="W980" s="45" t="str">
        <f>IFERROR(__xludf.DUMMYFUNCTION("""COMPUTED_VALUE"""),"")</f>
        <v/>
      </c>
      <c r="X980" s="46" t="str">
        <f>IFERROR(__xludf.DUMMYFUNCTION("""COMPUTED_VALUE"""),"AP")</f>
        <v>AP</v>
      </c>
      <c r="Y980" s="47" t="str">
        <f>IFERROR(__xludf.DUMMYFUNCTION("""COMPUTED_VALUE"""),"")</f>
        <v/>
      </c>
      <c r="Z980" s="48" t="str">
        <f>IFERROR(__xludf.DUMMYFUNCTION("""COMPUTED_VALUE"""),"%")</f>
        <v>%</v>
      </c>
      <c r="AA980" s="49">
        <f>IFERROR(__xludf.DUMMYFUNCTION("""COMPUTED_VALUE"""),3.0)</f>
        <v>3</v>
      </c>
      <c r="AB980" s="50"/>
      <c r="AC980" s="38"/>
      <c r="AD980" s="45" t="str">
        <f>IFERROR(__xludf.DUMMYFUNCTION("""COMPUTED_VALUE"""),"")</f>
        <v/>
      </c>
      <c r="AE980" s="46" t="str">
        <f>IFERROR(__xludf.DUMMYFUNCTION("""COMPUTED_VALUE"""),"AP")</f>
        <v>AP</v>
      </c>
      <c r="AF980" s="47" t="str">
        <f>IFERROR(__xludf.DUMMYFUNCTION("""COMPUTED_VALUE"""),"")</f>
        <v/>
      </c>
      <c r="AG980" s="48" t="str">
        <f>IFERROR(__xludf.DUMMYFUNCTION("""COMPUTED_VALUE"""),"%")</f>
        <v>%</v>
      </c>
      <c r="AH980" s="43"/>
      <c r="AI980" s="44"/>
      <c r="AJ980" s="51"/>
    </row>
    <row r="981" ht="24.75" hidden="1" customHeight="1">
      <c r="A981" s="28">
        <f>IFERROR(__xludf.DUMMYFUNCTION("""COMPUTED_VALUE"""),13.0)</f>
        <v>13</v>
      </c>
      <c r="B981" s="28" t="str">
        <f>IFERROR(__xludf.DUMMYFUNCTION("""COMPUTED_VALUE"""),"A114")</f>
        <v>A114</v>
      </c>
      <c r="C981" s="28"/>
      <c r="D981" s="29"/>
      <c r="E981" s="67"/>
      <c r="F981" s="31"/>
      <c r="G981" s="32"/>
      <c r="H981" s="33" t="str">
        <f>IFERROR(__xludf.DUMMYFUNCTION("""COMPUTED_VALUE""")," ")</f>
        <v> </v>
      </c>
      <c r="I981" s="34"/>
      <c r="J981" s="35" t="str">
        <f>IFERROR(__xludf.DUMMYFUNCTION("""COMPUTED_VALUE"""),"AP")</f>
        <v>AP</v>
      </c>
      <c r="K981" s="34"/>
      <c r="L981" s="35" t="str">
        <f>IFERROR(__xludf.DUMMYFUNCTION("""COMPUTED_VALUE"""),"%")</f>
        <v>%</v>
      </c>
      <c r="M981" s="36">
        <f>IFERROR(__xludf.DUMMYFUNCTION("""COMPUTED_VALUE"""),1.0)</f>
        <v>1</v>
      </c>
      <c r="N981" s="37"/>
      <c r="O981" s="38"/>
      <c r="P981" s="34" t="str">
        <f>IFERROR(__xludf.DUMMYFUNCTION("""COMPUTED_VALUE"""),"")</f>
        <v/>
      </c>
      <c r="Q981" s="35" t="str">
        <f>IFERROR(__xludf.DUMMYFUNCTION("""COMPUTED_VALUE"""),"AP")</f>
        <v>AP</v>
      </c>
      <c r="R981" s="34" t="str">
        <f>IFERROR(__xludf.DUMMYFUNCTION("""COMPUTED_VALUE"""),"")</f>
        <v/>
      </c>
      <c r="S981" s="35" t="str">
        <f>IFERROR(__xludf.DUMMYFUNCTION("""COMPUTED_VALUE"""),"%")</f>
        <v>%</v>
      </c>
      <c r="T981" s="36">
        <f>IFERROR(__xludf.DUMMYFUNCTION("""COMPUTED_VALUE"""),2.0)</f>
        <v>2</v>
      </c>
      <c r="U981" s="37"/>
      <c r="V981" s="38"/>
      <c r="W981" s="34" t="str">
        <f>IFERROR(__xludf.DUMMYFUNCTION("""COMPUTED_VALUE"""),"")</f>
        <v/>
      </c>
      <c r="X981" s="35" t="str">
        <f>IFERROR(__xludf.DUMMYFUNCTION("""COMPUTED_VALUE"""),"AP")</f>
        <v>AP</v>
      </c>
      <c r="Y981" s="34" t="str">
        <f>IFERROR(__xludf.DUMMYFUNCTION("""COMPUTED_VALUE"""),"")</f>
        <v/>
      </c>
      <c r="Z981" s="35" t="str">
        <f>IFERROR(__xludf.DUMMYFUNCTION("""COMPUTED_VALUE"""),"%")</f>
        <v>%</v>
      </c>
      <c r="AA981" s="36">
        <f>IFERROR(__xludf.DUMMYFUNCTION("""COMPUTED_VALUE"""),3.0)</f>
        <v>3</v>
      </c>
      <c r="AB981" s="37"/>
      <c r="AC981" s="38"/>
      <c r="AD981" s="34" t="str">
        <f>IFERROR(__xludf.DUMMYFUNCTION("""COMPUTED_VALUE"""),"")</f>
        <v/>
      </c>
      <c r="AE981" s="35" t="str">
        <f>IFERROR(__xludf.DUMMYFUNCTION("""COMPUTED_VALUE"""),"AP")</f>
        <v>AP</v>
      </c>
      <c r="AF981" s="34" t="str">
        <f>IFERROR(__xludf.DUMMYFUNCTION("""COMPUTED_VALUE"""),"")</f>
        <v/>
      </c>
      <c r="AG981" s="35" t="str">
        <f>IFERROR(__xludf.DUMMYFUNCTION("""COMPUTED_VALUE"""),"%")</f>
        <v>%</v>
      </c>
      <c r="AH981" s="31"/>
      <c r="AI981" s="32"/>
      <c r="AJ981" s="39"/>
    </row>
    <row r="982" ht="24.75" hidden="1" customHeight="1">
      <c r="A982" s="40">
        <f>IFERROR(__xludf.DUMMYFUNCTION("""COMPUTED_VALUE"""),14.0)</f>
        <v>14</v>
      </c>
      <c r="B982" s="40" t="str">
        <f>IFERROR(__xludf.DUMMYFUNCTION("""COMPUTED_VALUE"""),"A114")</f>
        <v>A114</v>
      </c>
      <c r="C982" s="40"/>
      <c r="D982" s="41"/>
      <c r="E982" s="66"/>
      <c r="F982" s="43"/>
      <c r="G982" s="44"/>
      <c r="H982" s="33" t="str">
        <f>IFERROR(__xludf.DUMMYFUNCTION("""COMPUTED_VALUE""")," ")</f>
        <v> </v>
      </c>
      <c r="I982" s="45"/>
      <c r="J982" s="46" t="str">
        <f>IFERROR(__xludf.DUMMYFUNCTION("""COMPUTED_VALUE"""),"AP")</f>
        <v>AP</v>
      </c>
      <c r="K982" s="47"/>
      <c r="L982" s="48" t="str">
        <f>IFERROR(__xludf.DUMMYFUNCTION("""COMPUTED_VALUE"""),"%")</f>
        <v>%</v>
      </c>
      <c r="M982" s="49">
        <f>IFERROR(__xludf.DUMMYFUNCTION("""COMPUTED_VALUE"""),1.0)</f>
        <v>1</v>
      </c>
      <c r="N982" s="50"/>
      <c r="O982" s="38"/>
      <c r="P982" s="45" t="str">
        <f>IFERROR(__xludf.DUMMYFUNCTION("""COMPUTED_VALUE"""),"")</f>
        <v/>
      </c>
      <c r="Q982" s="46" t="str">
        <f>IFERROR(__xludf.DUMMYFUNCTION("""COMPUTED_VALUE"""),"AP")</f>
        <v>AP</v>
      </c>
      <c r="R982" s="47" t="str">
        <f>IFERROR(__xludf.DUMMYFUNCTION("""COMPUTED_VALUE"""),"")</f>
        <v/>
      </c>
      <c r="S982" s="48" t="str">
        <f>IFERROR(__xludf.DUMMYFUNCTION("""COMPUTED_VALUE"""),"%")</f>
        <v>%</v>
      </c>
      <c r="T982" s="49">
        <f>IFERROR(__xludf.DUMMYFUNCTION("""COMPUTED_VALUE"""),2.0)</f>
        <v>2</v>
      </c>
      <c r="U982" s="50"/>
      <c r="V982" s="38"/>
      <c r="W982" s="45" t="str">
        <f>IFERROR(__xludf.DUMMYFUNCTION("""COMPUTED_VALUE"""),"")</f>
        <v/>
      </c>
      <c r="X982" s="46" t="str">
        <f>IFERROR(__xludf.DUMMYFUNCTION("""COMPUTED_VALUE"""),"AP")</f>
        <v>AP</v>
      </c>
      <c r="Y982" s="47" t="str">
        <f>IFERROR(__xludf.DUMMYFUNCTION("""COMPUTED_VALUE"""),"")</f>
        <v/>
      </c>
      <c r="Z982" s="48" t="str">
        <f>IFERROR(__xludf.DUMMYFUNCTION("""COMPUTED_VALUE"""),"%")</f>
        <v>%</v>
      </c>
      <c r="AA982" s="49">
        <f>IFERROR(__xludf.DUMMYFUNCTION("""COMPUTED_VALUE"""),3.0)</f>
        <v>3</v>
      </c>
      <c r="AB982" s="50"/>
      <c r="AC982" s="38"/>
      <c r="AD982" s="45" t="str">
        <f>IFERROR(__xludf.DUMMYFUNCTION("""COMPUTED_VALUE"""),"")</f>
        <v/>
      </c>
      <c r="AE982" s="46" t="str">
        <f>IFERROR(__xludf.DUMMYFUNCTION("""COMPUTED_VALUE"""),"AP")</f>
        <v>AP</v>
      </c>
      <c r="AF982" s="47" t="str">
        <f>IFERROR(__xludf.DUMMYFUNCTION("""COMPUTED_VALUE"""),"")</f>
        <v/>
      </c>
      <c r="AG982" s="48" t="str">
        <f>IFERROR(__xludf.DUMMYFUNCTION("""COMPUTED_VALUE"""),"%")</f>
        <v>%</v>
      </c>
      <c r="AH982" s="43"/>
      <c r="AI982" s="44"/>
      <c r="AJ982" s="51"/>
    </row>
    <row r="983" ht="24.75" hidden="1" customHeight="1">
      <c r="A983" s="28">
        <f>IFERROR(__xludf.DUMMYFUNCTION("""COMPUTED_VALUE"""),15.0)</f>
        <v>15</v>
      </c>
      <c r="B983" s="28" t="str">
        <f>IFERROR(__xludf.DUMMYFUNCTION("""COMPUTED_VALUE"""),"A114")</f>
        <v>A114</v>
      </c>
      <c r="C983" s="28"/>
      <c r="D983" s="29"/>
      <c r="E983" s="67"/>
      <c r="F983" s="31"/>
      <c r="G983" s="32"/>
      <c r="H983" s="33" t="str">
        <f>IFERROR(__xludf.DUMMYFUNCTION("""COMPUTED_VALUE""")," ")</f>
        <v> </v>
      </c>
      <c r="I983" s="34"/>
      <c r="J983" s="35" t="str">
        <f>IFERROR(__xludf.DUMMYFUNCTION("""COMPUTED_VALUE"""),"AP")</f>
        <v>AP</v>
      </c>
      <c r="K983" s="34"/>
      <c r="L983" s="35" t="str">
        <f>IFERROR(__xludf.DUMMYFUNCTION("""COMPUTED_VALUE"""),"%")</f>
        <v>%</v>
      </c>
      <c r="M983" s="36">
        <f>IFERROR(__xludf.DUMMYFUNCTION("""COMPUTED_VALUE"""),1.0)</f>
        <v>1</v>
      </c>
      <c r="N983" s="37"/>
      <c r="O983" s="38"/>
      <c r="P983" s="34" t="str">
        <f>IFERROR(__xludf.DUMMYFUNCTION("""COMPUTED_VALUE"""),"")</f>
        <v/>
      </c>
      <c r="Q983" s="35" t="str">
        <f>IFERROR(__xludf.DUMMYFUNCTION("""COMPUTED_VALUE"""),"AP")</f>
        <v>AP</v>
      </c>
      <c r="R983" s="34" t="str">
        <f>IFERROR(__xludf.DUMMYFUNCTION("""COMPUTED_VALUE"""),"")</f>
        <v/>
      </c>
      <c r="S983" s="35" t="str">
        <f>IFERROR(__xludf.DUMMYFUNCTION("""COMPUTED_VALUE"""),"%")</f>
        <v>%</v>
      </c>
      <c r="T983" s="36">
        <f>IFERROR(__xludf.DUMMYFUNCTION("""COMPUTED_VALUE"""),2.0)</f>
        <v>2</v>
      </c>
      <c r="U983" s="37"/>
      <c r="V983" s="38"/>
      <c r="W983" s="34" t="str">
        <f>IFERROR(__xludf.DUMMYFUNCTION("""COMPUTED_VALUE"""),"")</f>
        <v/>
      </c>
      <c r="X983" s="35" t="str">
        <f>IFERROR(__xludf.DUMMYFUNCTION("""COMPUTED_VALUE"""),"AP")</f>
        <v>AP</v>
      </c>
      <c r="Y983" s="34" t="str">
        <f>IFERROR(__xludf.DUMMYFUNCTION("""COMPUTED_VALUE"""),"")</f>
        <v/>
      </c>
      <c r="Z983" s="35" t="str">
        <f>IFERROR(__xludf.DUMMYFUNCTION("""COMPUTED_VALUE"""),"%")</f>
        <v>%</v>
      </c>
      <c r="AA983" s="36">
        <f>IFERROR(__xludf.DUMMYFUNCTION("""COMPUTED_VALUE"""),3.0)</f>
        <v>3</v>
      </c>
      <c r="AB983" s="37"/>
      <c r="AC983" s="38"/>
      <c r="AD983" s="34" t="str">
        <f>IFERROR(__xludf.DUMMYFUNCTION("""COMPUTED_VALUE"""),"")</f>
        <v/>
      </c>
      <c r="AE983" s="35" t="str">
        <f>IFERROR(__xludf.DUMMYFUNCTION("""COMPUTED_VALUE"""),"AP")</f>
        <v>AP</v>
      </c>
      <c r="AF983" s="34" t="str">
        <f>IFERROR(__xludf.DUMMYFUNCTION("""COMPUTED_VALUE"""),"")</f>
        <v/>
      </c>
      <c r="AG983" s="35" t="str">
        <f>IFERROR(__xludf.DUMMYFUNCTION("""COMPUTED_VALUE"""),"%")</f>
        <v>%</v>
      </c>
      <c r="AH983" s="31"/>
      <c r="AI983" s="32"/>
      <c r="AJ983" s="39"/>
    </row>
    <row r="984" ht="24.75" hidden="1" customHeight="1">
      <c r="A984" s="40">
        <f>IFERROR(__xludf.DUMMYFUNCTION("""COMPUTED_VALUE"""),16.0)</f>
        <v>16</v>
      </c>
      <c r="B984" s="40" t="str">
        <f>IFERROR(__xludf.DUMMYFUNCTION("""COMPUTED_VALUE"""),"A114")</f>
        <v>A114</v>
      </c>
      <c r="C984" s="40"/>
      <c r="D984" s="41"/>
      <c r="E984" s="66"/>
      <c r="F984" s="43"/>
      <c r="G984" s="44"/>
      <c r="H984" s="33" t="str">
        <f>IFERROR(__xludf.DUMMYFUNCTION("""COMPUTED_VALUE""")," ")</f>
        <v> </v>
      </c>
      <c r="I984" s="45"/>
      <c r="J984" s="46" t="str">
        <f>IFERROR(__xludf.DUMMYFUNCTION("""COMPUTED_VALUE"""),"AP")</f>
        <v>AP</v>
      </c>
      <c r="K984" s="47"/>
      <c r="L984" s="48" t="str">
        <f>IFERROR(__xludf.DUMMYFUNCTION("""COMPUTED_VALUE"""),"%")</f>
        <v>%</v>
      </c>
      <c r="M984" s="49">
        <f>IFERROR(__xludf.DUMMYFUNCTION("""COMPUTED_VALUE"""),1.0)</f>
        <v>1</v>
      </c>
      <c r="N984" s="50"/>
      <c r="O984" s="38"/>
      <c r="P984" s="45" t="str">
        <f>IFERROR(__xludf.DUMMYFUNCTION("""COMPUTED_VALUE"""),"")</f>
        <v/>
      </c>
      <c r="Q984" s="46" t="str">
        <f>IFERROR(__xludf.DUMMYFUNCTION("""COMPUTED_VALUE"""),"AP")</f>
        <v>AP</v>
      </c>
      <c r="R984" s="47" t="str">
        <f>IFERROR(__xludf.DUMMYFUNCTION("""COMPUTED_VALUE"""),"")</f>
        <v/>
      </c>
      <c r="S984" s="48" t="str">
        <f>IFERROR(__xludf.DUMMYFUNCTION("""COMPUTED_VALUE"""),"%")</f>
        <v>%</v>
      </c>
      <c r="T984" s="49">
        <f>IFERROR(__xludf.DUMMYFUNCTION("""COMPUTED_VALUE"""),2.0)</f>
        <v>2</v>
      </c>
      <c r="U984" s="50"/>
      <c r="V984" s="38"/>
      <c r="W984" s="45" t="str">
        <f>IFERROR(__xludf.DUMMYFUNCTION("""COMPUTED_VALUE"""),"")</f>
        <v/>
      </c>
      <c r="X984" s="46" t="str">
        <f>IFERROR(__xludf.DUMMYFUNCTION("""COMPUTED_VALUE"""),"AP")</f>
        <v>AP</v>
      </c>
      <c r="Y984" s="47" t="str">
        <f>IFERROR(__xludf.DUMMYFUNCTION("""COMPUTED_VALUE"""),"")</f>
        <v/>
      </c>
      <c r="Z984" s="48" t="str">
        <f>IFERROR(__xludf.DUMMYFUNCTION("""COMPUTED_VALUE"""),"%")</f>
        <v>%</v>
      </c>
      <c r="AA984" s="49">
        <f>IFERROR(__xludf.DUMMYFUNCTION("""COMPUTED_VALUE"""),3.0)</f>
        <v>3</v>
      </c>
      <c r="AB984" s="50"/>
      <c r="AC984" s="38"/>
      <c r="AD984" s="45" t="str">
        <f>IFERROR(__xludf.DUMMYFUNCTION("""COMPUTED_VALUE"""),"")</f>
        <v/>
      </c>
      <c r="AE984" s="46" t="str">
        <f>IFERROR(__xludf.DUMMYFUNCTION("""COMPUTED_VALUE"""),"AP")</f>
        <v>AP</v>
      </c>
      <c r="AF984" s="47" t="str">
        <f>IFERROR(__xludf.DUMMYFUNCTION("""COMPUTED_VALUE"""),"")</f>
        <v/>
      </c>
      <c r="AG984" s="48" t="str">
        <f>IFERROR(__xludf.DUMMYFUNCTION("""COMPUTED_VALUE"""),"%")</f>
        <v>%</v>
      </c>
      <c r="AH984" s="43"/>
      <c r="AI984" s="44"/>
      <c r="AJ984" s="51"/>
    </row>
    <row r="985" ht="24.75" hidden="1" customHeight="1">
      <c r="A985" s="28">
        <f>IFERROR(__xludf.DUMMYFUNCTION("""COMPUTED_VALUE"""),17.0)</f>
        <v>17</v>
      </c>
      <c r="B985" s="28" t="str">
        <f>IFERROR(__xludf.DUMMYFUNCTION("""COMPUTED_VALUE"""),"A114")</f>
        <v>A114</v>
      </c>
      <c r="C985" s="28"/>
      <c r="D985" s="29"/>
      <c r="E985" s="67"/>
      <c r="F985" s="31"/>
      <c r="G985" s="32"/>
      <c r="H985" s="33" t="str">
        <f>IFERROR(__xludf.DUMMYFUNCTION("""COMPUTED_VALUE""")," ")</f>
        <v> </v>
      </c>
      <c r="I985" s="34"/>
      <c r="J985" s="35" t="str">
        <f>IFERROR(__xludf.DUMMYFUNCTION("""COMPUTED_VALUE"""),"AP")</f>
        <v>AP</v>
      </c>
      <c r="K985" s="34"/>
      <c r="L985" s="35" t="str">
        <f>IFERROR(__xludf.DUMMYFUNCTION("""COMPUTED_VALUE"""),"%")</f>
        <v>%</v>
      </c>
      <c r="M985" s="36">
        <f>IFERROR(__xludf.DUMMYFUNCTION("""COMPUTED_VALUE"""),1.0)</f>
        <v>1</v>
      </c>
      <c r="N985" s="37"/>
      <c r="O985" s="38"/>
      <c r="P985" s="34" t="str">
        <f>IFERROR(__xludf.DUMMYFUNCTION("""COMPUTED_VALUE"""),"")</f>
        <v/>
      </c>
      <c r="Q985" s="35" t="str">
        <f>IFERROR(__xludf.DUMMYFUNCTION("""COMPUTED_VALUE"""),"AP")</f>
        <v>AP</v>
      </c>
      <c r="R985" s="34" t="str">
        <f>IFERROR(__xludf.DUMMYFUNCTION("""COMPUTED_VALUE"""),"")</f>
        <v/>
      </c>
      <c r="S985" s="35" t="str">
        <f>IFERROR(__xludf.DUMMYFUNCTION("""COMPUTED_VALUE"""),"%")</f>
        <v>%</v>
      </c>
      <c r="T985" s="36">
        <f>IFERROR(__xludf.DUMMYFUNCTION("""COMPUTED_VALUE"""),2.0)</f>
        <v>2</v>
      </c>
      <c r="U985" s="37"/>
      <c r="V985" s="38"/>
      <c r="W985" s="34" t="str">
        <f>IFERROR(__xludf.DUMMYFUNCTION("""COMPUTED_VALUE"""),"")</f>
        <v/>
      </c>
      <c r="X985" s="35" t="str">
        <f>IFERROR(__xludf.DUMMYFUNCTION("""COMPUTED_VALUE"""),"AP")</f>
        <v>AP</v>
      </c>
      <c r="Y985" s="34" t="str">
        <f>IFERROR(__xludf.DUMMYFUNCTION("""COMPUTED_VALUE"""),"")</f>
        <v/>
      </c>
      <c r="Z985" s="35" t="str">
        <f>IFERROR(__xludf.DUMMYFUNCTION("""COMPUTED_VALUE"""),"%")</f>
        <v>%</v>
      </c>
      <c r="AA985" s="36">
        <f>IFERROR(__xludf.DUMMYFUNCTION("""COMPUTED_VALUE"""),3.0)</f>
        <v>3</v>
      </c>
      <c r="AB985" s="37"/>
      <c r="AC985" s="38"/>
      <c r="AD985" s="34" t="str">
        <f>IFERROR(__xludf.DUMMYFUNCTION("""COMPUTED_VALUE"""),"")</f>
        <v/>
      </c>
      <c r="AE985" s="35" t="str">
        <f>IFERROR(__xludf.DUMMYFUNCTION("""COMPUTED_VALUE"""),"AP")</f>
        <v>AP</v>
      </c>
      <c r="AF985" s="34" t="str">
        <f>IFERROR(__xludf.DUMMYFUNCTION("""COMPUTED_VALUE"""),"")</f>
        <v/>
      </c>
      <c r="AG985" s="35" t="str">
        <f>IFERROR(__xludf.DUMMYFUNCTION("""COMPUTED_VALUE"""),"%")</f>
        <v>%</v>
      </c>
      <c r="AH985" s="31"/>
      <c r="AI985" s="32"/>
      <c r="AJ985" s="39"/>
    </row>
    <row r="986" ht="24.75" hidden="1" customHeight="1">
      <c r="A986" s="40">
        <f>IFERROR(__xludf.DUMMYFUNCTION("""COMPUTED_VALUE"""),18.0)</f>
        <v>18</v>
      </c>
      <c r="B986" s="40" t="str">
        <f>IFERROR(__xludf.DUMMYFUNCTION("""COMPUTED_VALUE"""),"A114")</f>
        <v>A114</v>
      </c>
      <c r="C986" s="40"/>
      <c r="D986" s="41"/>
      <c r="E986" s="66"/>
      <c r="F986" s="43"/>
      <c r="G986" s="44"/>
      <c r="H986" s="33" t="str">
        <f>IFERROR(__xludf.DUMMYFUNCTION("""COMPUTED_VALUE""")," ")</f>
        <v> </v>
      </c>
      <c r="I986" s="45"/>
      <c r="J986" s="46" t="str">
        <f>IFERROR(__xludf.DUMMYFUNCTION("""COMPUTED_VALUE"""),"AP")</f>
        <v>AP</v>
      </c>
      <c r="K986" s="47"/>
      <c r="L986" s="48" t="str">
        <f>IFERROR(__xludf.DUMMYFUNCTION("""COMPUTED_VALUE"""),"%")</f>
        <v>%</v>
      </c>
      <c r="M986" s="49">
        <f>IFERROR(__xludf.DUMMYFUNCTION("""COMPUTED_VALUE"""),1.0)</f>
        <v>1</v>
      </c>
      <c r="N986" s="50"/>
      <c r="O986" s="38"/>
      <c r="P986" s="45" t="str">
        <f>IFERROR(__xludf.DUMMYFUNCTION("""COMPUTED_VALUE"""),"")</f>
        <v/>
      </c>
      <c r="Q986" s="46" t="str">
        <f>IFERROR(__xludf.DUMMYFUNCTION("""COMPUTED_VALUE"""),"AP")</f>
        <v>AP</v>
      </c>
      <c r="R986" s="47" t="str">
        <f>IFERROR(__xludf.DUMMYFUNCTION("""COMPUTED_VALUE"""),"")</f>
        <v/>
      </c>
      <c r="S986" s="48" t="str">
        <f>IFERROR(__xludf.DUMMYFUNCTION("""COMPUTED_VALUE"""),"%")</f>
        <v>%</v>
      </c>
      <c r="T986" s="49">
        <f>IFERROR(__xludf.DUMMYFUNCTION("""COMPUTED_VALUE"""),2.0)</f>
        <v>2</v>
      </c>
      <c r="U986" s="50"/>
      <c r="V986" s="38"/>
      <c r="W986" s="45" t="str">
        <f>IFERROR(__xludf.DUMMYFUNCTION("""COMPUTED_VALUE"""),"")</f>
        <v/>
      </c>
      <c r="X986" s="46" t="str">
        <f>IFERROR(__xludf.DUMMYFUNCTION("""COMPUTED_VALUE"""),"AP")</f>
        <v>AP</v>
      </c>
      <c r="Y986" s="47" t="str">
        <f>IFERROR(__xludf.DUMMYFUNCTION("""COMPUTED_VALUE"""),"")</f>
        <v/>
      </c>
      <c r="Z986" s="48" t="str">
        <f>IFERROR(__xludf.DUMMYFUNCTION("""COMPUTED_VALUE"""),"%")</f>
        <v>%</v>
      </c>
      <c r="AA986" s="49">
        <f>IFERROR(__xludf.DUMMYFUNCTION("""COMPUTED_VALUE"""),3.0)</f>
        <v>3</v>
      </c>
      <c r="AB986" s="50"/>
      <c r="AC986" s="38"/>
      <c r="AD986" s="45" t="str">
        <f>IFERROR(__xludf.DUMMYFUNCTION("""COMPUTED_VALUE"""),"")</f>
        <v/>
      </c>
      <c r="AE986" s="46" t="str">
        <f>IFERROR(__xludf.DUMMYFUNCTION("""COMPUTED_VALUE"""),"AP")</f>
        <v>AP</v>
      </c>
      <c r="AF986" s="47" t="str">
        <f>IFERROR(__xludf.DUMMYFUNCTION("""COMPUTED_VALUE"""),"")</f>
        <v/>
      </c>
      <c r="AG986" s="48" t="str">
        <f>IFERROR(__xludf.DUMMYFUNCTION("""COMPUTED_VALUE"""),"%")</f>
        <v>%</v>
      </c>
      <c r="AH986" s="43"/>
      <c r="AI986" s="44"/>
      <c r="AJ986" s="51"/>
    </row>
    <row r="987" ht="24.75" hidden="1" customHeight="1">
      <c r="A987" s="28">
        <f>IFERROR(__xludf.DUMMYFUNCTION("""COMPUTED_VALUE"""),19.0)</f>
        <v>19</v>
      </c>
      <c r="B987" s="28" t="str">
        <f>IFERROR(__xludf.DUMMYFUNCTION("""COMPUTED_VALUE"""),"A114")</f>
        <v>A114</v>
      </c>
      <c r="C987" s="28"/>
      <c r="D987" s="29"/>
      <c r="E987" s="67"/>
      <c r="F987" s="31"/>
      <c r="G987" s="32"/>
      <c r="H987" s="33" t="str">
        <f>IFERROR(__xludf.DUMMYFUNCTION("""COMPUTED_VALUE""")," ")</f>
        <v> </v>
      </c>
      <c r="I987" s="34"/>
      <c r="J987" s="35" t="str">
        <f>IFERROR(__xludf.DUMMYFUNCTION("""COMPUTED_VALUE"""),"AP")</f>
        <v>AP</v>
      </c>
      <c r="K987" s="34"/>
      <c r="L987" s="35" t="str">
        <f>IFERROR(__xludf.DUMMYFUNCTION("""COMPUTED_VALUE"""),"%")</f>
        <v>%</v>
      </c>
      <c r="M987" s="36">
        <f>IFERROR(__xludf.DUMMYFUNCTION("""COMPUTED_VALUE"""),1.0)</f>
        <v>1</v>
      </c>
      <c r="N987" s="37"/>
      <c r="O987" s="38"/>
      <c r="P987" s="34" t="str">
        <f>IFERROR(__xludf.DUMMYFUNCTION("""COMPUTED_VALUE"""),"")</f>
        <v/>
      </c>
      <c r="Q987" s="35" t="str">
        <f>IFERROR(__xludf.DUMMYFUNCTION("""COMPUTED_VALUE"""),"AP")</f>
        <v>AP</v>
      </c>
      <c r="R987" s="34" t="str">
        <f>IFERROR(__xludf.DUMMYFUNCTION("""COMPUTED_VALUE"""),"")</f>
        <v/>
      </c>
      <c r="S987" s="35" t="str">
        <f>IFERROR(__xludf.DUMMYFUNCTION("""COMPUTED_VALUE"""),"%")</f>
        <v>%</v>
      </c>
      <c r="T987" s="36">
        <f>IFERROR(__xludf.DUMMYFUNCTION("""COMPUTED_VALUE"""),2.0)</f>
        <v>2</v>
      </c>
      <c r="U987" s="37"/>
      <c r="V987" s="38"/>
      <c r="W987" s="34" t="str">
        <f>IFERROR(__xludf.DUMMYFUNCTION("""COMPUTED_VALUE"""),"")</f>
        <v/>
      </c>
      <c r="X987" s="35" t="str">
        <f>IFERROR(__xludf.DUMMYFUNCTION("""COMPUTED_VALUE"""),"AP")</f>
        <v>AP</v>
      </c>
      <c r="Y987" s="34" t="str">
        <f>IFERROR(__xludf.DUMMYFUNCTION("""COMPUTED_VALUE"""),"")</f>
        <v/>
      </c>
      <c r="Z987" s="35" t="str">
        <f>IFERROR(__xludf.DUMMYFUNCTION("""COMPUTED_VALUE"""),"%")</f>
        <v>%</v>
      </c>
      <c r="AA987" s="36">
        <f>IFERROR(__xludf.DUMMYFUNCTION("""COMPUTED_VALUE"""),3.0)</f>
        <v>3</v>
      </c>
      <c r="AB987" s="37"/>
      <c r="AC987" s="38"/>
      <c r="AD987" s="34" t="str">
        <f>IFERROR(__xludf.DUMMYFUNCTION("""COMPUTED_VALUE"""),"")</f>
        <v/>
      </c>
      <c r="AE987" s="35" t="str">
        <f>IFERROR(__xludf.DUMMYFUNCTION("""COMPUTED_VALUE"""),"AP")</f>
        <v>AP</v>
      </c>
      <c r="AF987" s="34" t="str">
        <f>IFERROR(__xludf.DUMMYFUNCTION("""COMPUTED_VALUE"""),"")</f>
        <v/>
      </c>
      <c r="AG987" s="35" t="str">
        <f>IFERROR(__xludf.DUMMYFUNCTION("""COMPUTED_VALUE"""),"%")</f>
        <v>%</v>
      </c>
      <c r="AH987" s="31"/>
      <c r="AI987" s="32"/>
      <c r="AJ987" s="39"/>
    </row>
    <row r="988" ht="24.75" hidden="1" customHeight="1">
      <c r="A988" s="40">
        <f>IFERROR(__xludf.DUMMYFUNCTION("""COMPUTED_VALUE"""),20.0)</f>
        <v>20</v>
      </c>
      <c r="B988" s="40" t="str">
        <f>IFERROR(__xludf.DUMMYFUNCTION("""COMPUTED_VALUE"""),"A114")</f>
        <v>A114</v>
      </c>
      <c r="C988" s="40"/>
      <c r="D988" s="41"/>
      <c r="E988" s="66"/>
      <c r="F988" s="43"/>
      <c r="G988" s="44"/>
      <c r="H988" s="33" t="str">
        <f>IFERROR(__xludf.DUMMYFUNCTION("""COMPUTED_VALUE""")," ")</f>
        <v> </v>
      </c>
      <c r="I988" s="45"/>
      <c r="J988" s="46" t="str">
        <f>IFERROR(__xludf.DUMMYFUNCTION("""COMPUTED_VALUE"""),"AP")</f>
        <v>AP</v>
      </c>
      <c r="K988" s="47"/>
      <c r="L988" s="48" t="str">
        <f>IFERROR(__xludf.DUMMYFUNCTION("""COMPUTED_VALUE"""),"%")</f>
        <v>%</v>
      </c>
      <c r="M988" s="49">
        <f>IFERROR(__xludf.DUMMYFUNCTION("""COMPUTED_VALUE"""),1.0)</f>
        <v>1</v>
      </c>
      <c r="N988" s="50"/>
      <c r="O988" s="38"/>
      <c r="P988" s="45" t="str">
        <f>IFERROR(__xludf.DUMMYFUNCTION("""COMPUTED_VALUE"""),"")</f>
        <v/>
      </c>
      <c r="Q988" s="46" t="str">
        <f>IFERROR(__xludf.DUMMYFUNCTION("""COMPUTED_VALUE"""),"AP")</f>
        <v>AP</v>
      </c>
      <c r="R988" s="47" t="str">
        <f>IFERROR(__xludf.DUMMYFUNCTION("""COMPUTED_VALUE"""),"")</f>
        <v/>
      </c>
      <c r="S988" s="48" t="str">
        <f>IFERROR(__xludf.DUMMYFUNCTION("""COMPUTED_VALUE"""),"%")</f>
        <v>%</v>
      </c>
      <c r="T988" s="49">
        <f>IFERROR(__xludf.DUMMYFUNCTION("""COMPUTED_VALUE"""),2.0)</f>
        <v>2</v>
      </c>
      <c r="U988" s="50"/>
      <c r="V988" s="38"/>
      <c r="W988" s="45" t="str">
        <f>IFERROR(__xludf.DUMMYFUNCTION("""COMPUTED_VALUE"""),"")</f>
        <v/>
      </c>
      <c r="X988" s="46" t="str">
        <f>IFERROR(__xludf.DUMMYFUNCTION("""COMPUTED_VALUE"""),"AP")</f>
        <v>AP</v>
      </c>
      <c r="Y988" s="47" t="str">
        <f>IFERROR(__xludf.DUMMYFUNCTION("""COMPUTED_VALUE"""),"")</f>
        <v/>
      </c>
      <c r="Z988" s="48" t="str">
        <f>IFERROR(__xludf.DUMMYFUNCTION("""COMPUTED_VALUE"""),"%")</f>
        <v>%</v>
      </c>
      <c r="AA988" s="49">
        <f>IFERROR(__xludf.DUMMYFUNCTION("""COMPUTED_VALUE"""),3.0)</f>
        <v>3</v>
      </c>
      <c r="AB988" s="50"/>
      <c r="AC988" s="38"/>
      <c r="AD988" s="45" t="str">
        <f>IFERROR(__xludf.DUMMYFUNCTION("""COMPUTED_VALUE"""),"")</f>
        <v/>
      </c>
      <c r="AE988" s="46" t="str">
        <f>IFERROR(__xludf.DUMMYFUNCTION("""COMPUTED_VALUE"""),"AP")</f>
        <v>AP</v>
      </c>
      <c r="AF988" s="47" t="str">
        <f>IFERROR(__xludf.DUMMYFUNCTION("""COMPUTED_VALUE"""),"")</f>
        <v/>
      </c>
      <c r="AG988" s="48" t="str">
        <f>IFERROR(__xludf.DUMMYFUNCTION("""COMPUTED_VALUE"""),"%")</f>
        <v>%</v>
      </c>
      <c r="AH988" s="43"/>
      <c r="AI988" s="44"/>
      <c r="AJ988" s="51"/>
    </row>
    <row r="989">
      <c r="A989" s="52"/>
      <c r="B989" s="53"/>
      <c r="C989" s="54"/>
      <c r="D989" s="55"/>
      <c r="E989" s="56"/>
      <c r="F989" s="53"/>
      <c r="G989" s="53"/>
      <c r="H989" s="53"/>
      <c r="I989" s="53"/>
      <c r="J989" s="57"/>
      <c r="K989" s="53"/>
      <c r="L989" s="57"/>
      <c r="M989" s="53"/>
      <c r="N989" s="53"/>
      <c r="O989" s="53"/>
      <c r="P989" s="53"/>
      <c r="Q989" s="57"/>
      <c r="R989" s="53"/>
      <c r="S989" s="57"/>
      <c r="T989" s="53"/>
      <c r="U989" s="53"/>
      <c r="V989" s="53"/>
      <c r="W989" s="53"/>
      <c r="X989" s="57"/>
      <c r="Y989" s="53"/>
      <c r="Z989" s="57"/>
      <c r="AA989" s="53"/>
      <c r="AB989" s="53"/>
      <c r="AC989" s="53"/>
      <c r="AD989" s="53"/>
      <c r="AE989" s="57"/>
      <c r="AF989" s="53"/>
      <c r="AG989" s="57"/>
      <c r="AH989" s="53"/>
      <c r="AI989" s="53"/>
      <c r="AJ989" s="58"/>
    </row>
    <row r="990">
      <c r="A990" s="59"/>
      <c r="B990" s="60"/>
      <c r="C990" s="61"/>
      <c r="D990" s="62"/>
      <c r="E990" s="63"/>
      <c r="F990" s="60"/>
      <c r="G990" s="60"/>
      <c r="H990" s="60"/>
      <c r="I990" s="60"/>
      <c r="J990" s="64"/>
      <c r="K990" s="60"/>
      <c r="L990" s="64"/>
      <c r="M990" s="60"/>
      <c r="N990" s="60"/>
      <c r="O990" s="60"/>
      <c r="P990" s="60"/>
      <c r="Q990" s="64"/>
      <c r="R990" s="60"/>
      <c r="S990" s="64"/>
      <c r="T990" s="60"/>
      <c r="U990" s="60"/>
      <c r="V990" s="60"/>
      <c r="W990" s="60"/>
      <c r="X990" s="64"/>
      <c r="Y990" s="60"/>
      <c r="Z990" s="64"/>
      <c r="AA990" s="60"/>
      <c r="AB990" s="60"/>
      <c r="AC990" s="60"/>
      <c r="AD990" s="60"/>
      <c r="AE990" s="64"/>
      <c r="AF990" s="60"/>
      <c r="AG990" s="64"/>
      <c r="AH990" s="60"/>
      <c r="AI990" s="60"/>
      <c r="AJ990" s="65"/>
    </row>
    <row r="991" ht="33.0" customHeight="1">
      <c r="A991" s="20" t="str">
        <f>IFERROR(__xludf.DUMMYFUNCTION("""COMPUTED_VALUE""")," ")</f>
        <v> </v>
      </c>
      <c r="B991" s="21" t="str">
        <f>IFERROR(__xludf.DUMMYFUNCTION("""COMPUTED_VALUE"""),"A115")</f>
        <v>A115</v>
      </c>
      <c r="C991" s="20"/>
      <c r="D991" s="22" t="str">
        <f>IFERROR(__xludf.DUMMYFUNCTION("""COMPUTED_VALUE"""),"")</f>
        <v/>
      </c>
      <c r="E991" s="23" t="str">
        <f>IFERROR(__xludf.DUMMYFUNCTION("""COMPUTED_VALUE"""),"Egg of Truth")</f>
        <v>Egg of Truth</v>
      </c>
      <c r="F991" s="24"/>
      <c r="G991" s="24"/>
      <c r="H991" s="25"/>
      <c r="I991" s="25"/>
      <c r="J991" s="26"/>
      <c r="K991" s="25"/>
      <c r="L991" s="26"/>
      <c r="M991" s="25"/>
      <c r="N991" s="25"/>
      <c r="O991" s="25"/>
      <c r="P991" s="25"/>
      <c r="Q991" s="26"/>
      <c r="R991" s="25"/>
      <c r="S991" s="26"/>
      <c r="T991" s="25"/>
      <c r="U991" s="25"/>
      <c r="V991" s="25"/>
      <c r="W991" s="25"/>
      <c r="X991" s="26"/>
      <c r="Y991" s="25"/>
      <c r="Z991" s="26"/>
      <c r="AA991" s="25"/>
      <c r="AB991" s="25"/>
      <c r="AC991" s="25"/>
      <c r="AD991" s="25"/>
      <c r="AE991" s="26"/>
      <c r="AF991" s="25"/>
      <c r="AG991" s="26"/>
      <c r="AH991" s="24"/>
      <c r="AI991" s="25"/>
      <c r="AJ991" s="27"/>
    </row>
    <row r="992" ht="24.75" customHeight="1">
      <c r="A992" s="28">
        <f>IFERROR(__xludf.DUMMYFUNCTION("""COMPUTED_VALUE"""),1.0)</f>
        <v>1</v>
      </c>
      <c r="B992" s="28" t="str">
        <f>IFERROR(__xludf.DUMMYFUNCTION("""COMPUTED_VALUE"""),"A115")</f>
        <v>A115</v>
      </c>
      <c r="C992" s="28" t="str">
        <f>IFERROR(__xludf.DUMMYFUNCTION("""COMPUTED_VALUE"""),"HEA8")</f>
        <v>HEA8</v>
      </c>
      <c r="D992" s="29" t="str">
        <f>IFERROR(__xludf.DUMMYFUNCTION("""COMPUTED_VALUE"""),"Heian-kyo")</f>
        <v>Heian-kyo</v>
      </c>
      <c r="E992" s="30" t="str">
        <f>IFERROR(__xludf.DUMMYFUNCTION("""COMPUTED_VALUE"""),"Inari Shrine")</f>
        <v>Inari Shrine</v>
      </c>
      <c r="F992" s="31">
        <f>IFERROR(__xludf.DUMMYFUNCTION("""COMPUTED_VALUE"""),21.0)</f>
        <v>21</v>
      </c>
      <c r="G992" s="32">
        <f>IFERROR(__xludf.DUMMYFUNCTION("""COMPUTED_VALUE"""),1003.0)</f>
        <v>1003</v>
      </c>
      <c r="H992" s="33" t="str">
        <f>IFERROR(__xludf.DUMMYFUNCTION("""COMPUTED_VALUE"""),"")</f>
        <v/>
      </c>
      <c r="I992" s="34">
        <f>IFERROR(__xludf.DUMMYFUNCTION("""COMPUTED_VALUE"""),164.6)</f>
        <v>164.6</v>
      </c>
      <c r="J992" s="35" t="str">
        <f>IFERROR(__xludf.DUMMYFUNCTION("""COMPUTED_VALUE"""),"AP")</f>
        <v>AP</v>
      </c>
      <c r="K992" s="34">
        <f>IFERROR(__xludf.DUMMYFUNCTION("""COMPUTED_VALUE"""),12.8)</f>
        <v>12.8</v>
      </c>
      <c r="L992" s="35" t="str">
        <f>IFERROR(__xludf.DUMMYFUNCTION("""COMPUTED_VALUE"""),"%")</f>
        <v>%</v>
      </c>
      <c r="M992" s="36">
        <f>IFERROR(__xludf.DUMMYFUNCTION("""COMPUTED_VALUE"""),1.0)</f>
        <v>1</v>
      </c>
      <c r="N992" s="37" t="str">
        <f>IFERROR(__xludf.DUMMYFUNCTION("""COMPUTED_VALUE"""),"A206")</f>
        <v>A206</v>
      </c>
      <c r="O992" s="38" t="str">
        <f>IFERROR(__xludf.DUMMYFUNCTION("""COMPUTED_VALUE"""),"")</f>
        <v/>
      </c>
      <c r="P992" s="34">
        <f>IFERROR(__xludf.DUMMYFUNCTION("""COMPUTED_VALUE"""),89.6)</f>
        <v>89.6</v>
      </c>
      <c r="Q992" s="35" t="str">
        <f>IFERROR(__xludf.DUMMYFUNCTION("""COMPUTED_VALUE"""),"AP")</f>
        <v>AP</v>
      </c>
      <c r="R992" s="34">
        <f>IFERROR(__xludf.DUMMYFUNCTION("""COMPUTED_VALUE"""),23.4)</f>
        <v>23.4</v>
      </c>
      <c r="S992" s="35" t="str">
        <f>IFERROR(__xludf.DUMMYFUNCTION("""COMPUTED_VALUE"""),"%")</f>
        <v>%</v>
      </c>
      <c r="T992" s="36">
        <f>IFERROR(__xludf.DUMMYFUNCTION("""COMPUTED_VALUE"""),2.0)</f>
        <v>2</v>
      </c>
      <c r="U992" s="37" t="str">
        <f>IFERROR(__xludf.DUMMYFUNCTION("""COMPUTED_VALUE"""),"B103")</f>
        <v>B103</v>
      </c>
      <c r="V992" s="38" t="str">
        <f>IFERROR(__xludf.DUMMYFUNCTION("""COMPUTED_VALUE"""),"")</f>
        <v/>
      </c>
      <c r="W992" s="34">
        <f>IFERROR(__xludf.DUMMYFUNCTION("""COMPUTED_VALUE"""),752.3)</f>
        <v>752.3</v>
      </c>
      <c r="X992" s="35" t="str">
        <f>IFERROR(__xludf.DUMMYFUNCTION("""COMPUTED_VALUE"""),"AP")</f>
        <v>AP</v>
      </c>
      <c r="Y992" s="34">
        <f>IFERROR(__xludf.DUMMYFUNCTION("""COMPUTED_VALUE"""),2.8)</f>
        <v>2.8</v>
      </c>
      <c r="Z992" s="35" t="str">
        <f>IFERROR(__xludf.DUMMYFUNCTION("""COMPUTED_VALUE"""),"%")</f>
        <v>%</v>
      </c>
      <c r="AA992" s="36">
        <f>IFERROR(__xludf.DUMMYFUNCTION("""COMPUTED_VALUE"""),3.0)</f>
        <v>3</v>
      </c>
      <c r="AB992" s="37" t="str">
        <f>IFERROR(__xludf.DUMMYFUNCTION("""COMPUTED_VALUE"""),"B111")</f>
        <v>B111</v>
      </c>
      <c r="AC992" s="38" t="str">
        <f>IFERROR(__xludf.DUMMYFUNCTION("""COMPUTED_VALUE"""),"")</f>
        <v/>
      </c>
      <c r="AD992" s="34">
        <f>IFERROR(__xludf.DUMMYFUNCTION("""COMPUTED_VALUE"""),114.5)</f>
        <v>114.5</v>
      </c>
      <c r="AE992" s="35" t="str">
        <f>IFERROR(__xludf.DUMMYFUNCTION("""COMPUTED_VALUE"""),"AP")</f>
        <v>AP</v>
      </c>
      <c r="AF992" s="34">
        <f>IFERROR(__xludf.DUMMYFUNCTION("""COMPUTED_VALUE"""),18.3)</f>
        <v>18.3</v>
      </c>
      <c r="AG992" s="35" t="str">
        <f>IFERROR(__xludf.DUMMYFUNCTION("""COMPUTED_VALUE"""),"%")</f>
        <v>%</v>
      </c>
      <c r="AH992" s="31">
        <f>IFERROR(__xludf.DUMMYFUNCTION("""COMPUTED_VALUE"""),21.0)</f>
        <v>21</v>
      </c>
      <c r="AI992" s="32">
        <f>IFERROR(__xludf.DUMMYFUNCTION("""COMPUTED_VALUE"""),1003.0)</f>
        <v>1003</v>
      </c>
      <c r="AJ992" s="39" t="str">
        <f>IFERROR(__xludf.DUMMYFUNCTION("""COMPUTED_VALUE"""),"稲荷神社")</f>
        <v>稲荷神社</v>
      </c>
    </row>
    <row r="993" ht="24.75" customHeight="1">
      <c r="A993" s="40">
        <f>IFERROR(__xludf.DUMMYFUNCTION("""COMPUTED_VALUE"""),2.0)</f>
        <v>2</v>
      </c>
      <c r="B993" s="40" t="str">
        <f>IFERROR(__xludf.DUMMYFUNCTION("""COMPUTED_VALUE"""),"A115")</f>
        <v>A115</v>
      </c>
      <c r="C993" s="40" t="str">
        <f>IFERROR(__xludf.DUMMYFUNCTION("""COMPUTED_VALUE"""),"YKS6")</f>
        <v>YKS6</v>
      </c>
      <c r="D993" s="41" t="str">
        <f>IFERROR(__xludf.DUMMYFUNCTION("""COMPUTED_VALUE"""),"Yuga Kurukshetra")</f>
        <v>Yuga Kurukshetra</v>
      </c>
      <c r="E993" s="42" t="str">
        <f>IFERROR(__xludf.DUMMYFUNCTION("""COMPUTED_VALUE"""),"Deewar")</f>
        <v>Deewar</v>
      </c>
      <c r="F993" s="43">
        <f>IFERROR(__xludf.DUMMYFUNCTION("""COMPUTED_VALUE"""),21.0)</f>
        <v>21</v>
      </c>
      <c r="G993" s="44">
        <f>IFERROR(__xludf.DUMMYFUNCTION("""COMPUTED_VALUE"""),91778.0)</f>
        <v>91778</v>
      </c>
      <c r="H993" s="33" t="str">
        <f>IFERROR(__xludf.DUMMYFUNCTION("""COMPUTED_VALUE"""),"")</f>
        <v/>
      </c>
      <c r="I993" s="45">
        <f>IFERROR(__xludf.DUMMYFUNCTION("""COMPUTED_VALUE"""),170.4)</f>
        <v>170.4</v>
      </c>
      <c r="J993" s="46" t="str">
        <f>IFERROR(__xludf.DUMMYFUNCTION("""COMPUTED_VALUE"""),"AP")</f>
        <v>AP</v>
      </c>
      <c r="K993" s="47">
        <f>IFERROR(__xludf.DUMMYFUNCTION("""COMPUTED_VALUE"""),12.3)</f>
        <v>12.3</v>
      </c>
      <c r="L993" s="48" t="str">
        <f>IFERROR(__xludf.DUMMYFUNCTION("""COMPUTED_VALUE"""),"%")</f>
        <v>%</v>
      </c>
      <c r="M993" s="49">
        <f>IFERROR(__xludf.DUMMYFUNCTION("""COMPUTED_VALUE"""),1.0)</f>
        <v>1</v>
      </c>
      <c r="N993" s="50" t="str">
        <f>IFERROR(__xludf.DUMMYFUNCTION("""COMPUTED_VALUE"""),"A217")</f>
        <v>A217</v>
      </c>
      <c r="O993" s="38" t="str">
        <f>IFERROR(__xludf.DUMMYFUNCTION("""COMPUTED_VALUE"""),"")</f>
        <v/>
      </c>
      <c r="P993" s="45">
        <f>IFERROR(__xludf.DUMMYFUNCTION("""COMPUTED_VALUE"""),82.7)</f>
        <v>82.7</v>
      </c>
      <c r="Q993" s="46" t="str">
        <f>IFERROR(__xludf.DUMMYFUNCTION("""COMPUTED_VALUE"""),"AP")</f>
        <v>AP</v>
      </c>
      <c r="R993" s="47">
        <f>IFERROR(__xludf.DUMMYFUNCTION("""COMPUTED_VALUE"""),25.4)</f>
        <v>25.4</v>
      </c>
      <c r="S993" s="48" t="str">
        <f>IFERROR(__xludf.DUMMYFUNCTION("""COMPUTED_VALUE"""),"%")</f>
        <v>%</v>
      </c>
      <c r="T993" s="49">
        <f>IFERROR(__xludf.DUMMYFUNCTION("""COMPUTED_VALUE"""),2.0)</f>
        <v>2</v>
      </c>
      <c r="U993" s="50" t="str">
        <f>IFERROR(__xludf.DUMMYFUNCTION("""COMPUTED_VALUE"""),"B103")</f>
        <v>B103</v>
      </c>
      <c r="V993" s="38" t="str">
        <f>IFERROR(__xludf.DUMMYFUNCTION("""COMPUTED_VALUE"""),"")</f>
        <v/>
      </c>
      <c r="W993" s="45">
        <f>IFERROR(__xludf.DUMMYFUNCTION("""COMPUTED_VALUE"""),506.6)</f>
        <v>506.6</v>
      </c>
      <c r="X993" s="46" t="str">
        <f>IFERROR(__xludf.DUMMYFUNCTION("""COMPUTED_VALUE"""),"AP")</f>
        <v>AP</v>
      </c>
      <c r="Y993" s="47">
        <f>IFERROR(__xludf.DUMMYFUNCTION("""COMPUTED_VALUE"""),4.1)</f>
        <v>4.1</v>
      </c>
      <c r="Z993" s="48" t="str">
        <f>IFERROR(__xludf.DUMMYFUNCTION("""COMPUTED_VALUE"""),"%")</f>
        <v>%</v>
      </c>
      <c r="AA993" s="49">
        <f>IFERROR(__xludf.DUMMYFUNCTION("""COMPUTED_VALUE"""),3.0)</f>
        <v>3</v>
      </c>
      <c r="AB993" s="50"/>
      <c r="AC993" s="38"/>
      <c r="AD993" s="45" t="str">
        <f>IFERROR(__xludf.DUMMYFUNCTION("""COMPUTED_VALUE"""),"")</f>
        <v/>
      </c>
      <c r="AE993" s="46" t="str">
        <f>IFERROR(__xludf.DUMMYFUNCTION("""COMPUTED_VALUE"""),"AP")</f>
        <v>AP</v>
      </c>
      <c r="AF993" s="47" t="str">
        <f>IFERROR(__xludf.DUMMYFUNCTION("""COMPUTED_VALUE"""),"")</f>
        <v/>
      </c>
      <c r="AG993" s="48" t="str">
        <f>IFERROR(__xludf.DUMMYFUNCTION("""COMPUTED_VALUE"""),"%")</f>
        <v>%</v>
      </c>
      <c r="AH993" s="43">
        <f>IFERROR(__xludf.DUMMYFUNCTION("""COMPUTED_VALUE"""),21.0)</f>
        <v>21</v>
      </c>
      <c r="AI993" s="44">
        <f>IFERROR(__xludf.DUMMYFUNCTION("""COMPUTED_VALUE"""),91778.0)</f>
        <v>91778</v>
      </c>
      <c r="AJ993" s="51" t="str">
        <f>IFERROR(__xludf.DUMMYFUNCTION("""COMPUTED_VALUE"""),"ディーヴァール")</f>
        <v>ディーヴァール</v>
      </c>
    </row>
    <row r="994" ht="24.75" customHeight="1">
      <c r="A994" s="28">
        <f>IFERROR(__xludf.DUMMYFUNCTION("""COMPUTED_VALUE"""),3.0)</f>
        <v>3</v>
      </c>
      <c r="B994" s="28" t="str">
        <f>IFERROR(__xludf.DUMMYFUNCTION("""COMPUTED_VALUE"""),"A115")</f>
        <v>A115</v>
      </c>
      <c r="C994" s="28" t="str">
        <f>IFERROR(__xludf.DUMMYFUNCTION("""COMPUTED_VALUE"""),"YKS9")</f>
        <v>YKS9</v>
      </c>
      <c r="D994" s="29" t="str">
        <f>IFERROR(__xludf.DUMMYFUNCTION("""COMPUTED_VALUE"""),"Yuga Kurukshetra")</f>
        <v>Yuga Kurukshetra</v>
      </c>
      <c r="E994" s="30" t="str">
        <f>IFERROR(__xludf.DUMMYFUNCTION("""COMPUTED_VALUE"""),"Eternal Grounds")</f>
        <v>Eternal Grounds</v>
      </c>
      <c r="F994" s="31">
        <f>IFERROR(__xludf.DUMMYFUNCTION("""COMPUTED_VALUE"""),21.0)</f>
        <v>21</v>
      </c>
      <c r="G994" s="32">
        <f>IFERROR(__xludf.DUMMYFUNCTION("""COMPUTED_VALUE"""),22314.0)</f>
        <v>22314</v>
      </c>
      <c r="H994" s="33" t="str">
        <f>IFERROR(__xludf.DUMMYFUNCTION("""COMPUTED_VALUE"""),"")</f>
        <v/>
      </c>
      <c r="I994" s="34">
        <f>IFERROR(__xludf.DUMMYFUNCTION("""COMPUTED_VALUE"""),202.8)</f>
        <v>202.8</v>
      </c>
      <c r="J994" s="35" t="str">
        <f>IFERROR(__xludf.DUMMYFUNCTION("""COMPUTED_VALUE"""),"AP")</f>
        <v>AP</v>
      </c>
      <c r="K994" s="34">
        <f>IFERROR(__xludf.DUMMYFUNCTION("""COMPUTED_VALUE"""),10.4)</f>
        <v>10.4</v>
      </c>
      <c r="L994" s="35" t="str">
        <f>IFERROR(__xludf.DUMMYFUNCTION("""COMPUTED_VALUE"""),"%")</f>
        <v>%</v>
      </c>
      <c r="M994" s="36">
        <f>IFERROR(__xludf.DUMMYFUNCTION("""COMPUTED_VALUE"""),1.0)</f>
        <v>1</v>
      </c>
      <c r="N994" s="37" t="str">
        <f>IFERROR(__xludf.DUMMYFUNCTION("""COMPUTED_VALUE"""),"A205")</f>
        <v>A205</v>
      </c>
      <c r="O994" s="38" t="str">
        <f>IFERROR(__xludf.DUMMYFUNCTION("""COMPUTED_VALUE"""),"")</f>
        <v/>
      </c>
      <c r="P994" s="34">
        <f>IFERROR(__xludf.DUMMYFUNCTION("""COMPUTED_VALUE"""),136.8)</f>
        <v>136.8</v>
      </c>
      <c r="Q994" s="35" t="str">
        <f>IFERROR(__xludf.DUMMYFUNCTION("""COMPUTED_VALUE"""),"AP")</f>
        <v>AP</v>
      </c>
      <c r="R994" s="34">
        <f>IFERROR(__xludf.DUMMYFUNCTION("""COMPUTED_VALUE"""),15.4)</f>
        <v>15.4</v>
      </c>
      <c r="S994" s="35" t="str">
        <f>IFERROR(__xludf.DUMMYFUNCTION("""COMPUTED_VALUE"""),"%")</f>
        <v>%</v>
      </c>
      <c r="T994" s="36">
        <f>IFERROR(__xludf.DUMMYFUNCTION("""COMPUTED_VALUE"""),2.0)</f>
        <v>2</v>
      </c>
      <c r="U994" s="37" t="str">
        <f>IFERROR(__xludf.DUMMYFUNCTION("""COMPUTED_VALUE"""),"A304")</f>
        <v>A304</v>
      </c>
      <c r="V994" s="38" t="str">
        <f>IFERROR(__xludf.DUMMYFUNCTION("""COMPUTED_VALUE"""),"")</f>
        <v/>
      </c>
      <c r="W994" s="34">
        <f>IFERROR(__xludf.DUMMYFUNCTION("""COMPUTED_VALUE"""),70.4)</f>
        <v>70.4</v>
      </c>
      <c r="X994" s="35" t="str">
        <f>IFERROR(__xludf.DUMMYFUNCTION("""COMPUTED_VALUE"""),"AP")</f>
        <v>AP</v>
      </c>
      <c r="Y994" s="34">
        <f>IFERROR(__xludf.DUMMYFUNCTION("""COMPUTED_VALUE"""),29.8)</f>
        <v>29.8</v>
      </c>
      <c r="Z994" s="35" t="str">
        <f>IFERROR(__xludf.DUMMYFUNCTION("""COMPUTED_VALUE"""),"%")</f>
        <v>%</v>
      </c>
      <c r="AA994" s="36">
        <f>IFERROR(__xludf.DUMMYFUNCTION("""COMPUTED_VALUE"""),3.0)</f>
        <v>3</v>
      </c>
      <c r="AB994" s="37" t="str">
        <f>IFERROR(__xludf.DUMMYFUNCTION("""COMPUTED_VALUE"""),"B103")</f>
        <v>B103</v>
      </c>
      <c r="AC994" s="38" t="str">
        <f>IFERROR(__xludf.DUMMYFUNCTION("""COMPUTED_VALUE"""),"")</f>
        <v/>
      </c>
      <c r="AD994" s="34">
        <f>IFERROR(__xludf.DUMMYFUNCTION("""COMPUTED_VALUE"""),492.1)</f>
        <v>492.1</v>
      </c>
      <c r="AE994" s="35" t="str">
        <f>IFERROR(__xludf.DUMMYFUNCTION("""COMPUTED_VALUE"""),"AP")</f>
        <v>AP</v>
      </c>
      <c r="AF994" s="34">
        <f>IFERROR(__xludf.DUMMYFUNCTION("""COMPUTED_VALUE"""),4.3)</f>
        <v>4.3</v>
      </c>
      <c r="AG994" s="35" t="str">
        <f>IFERROR(__xludf.DUMMYFUNCTION("""COMPUTED_VALUE"""),"%")</f>
        <v>%</v>
      </c>
      <c r="AH994" s="31">
        <f>IFERROR(__xludf.DUMMYFUNCTION("""COMPUTED_VALUE"""),21.0)</f>
        <v>21</v>
      </c>
      <c r="AI994" s="32">
        <f>IFERROR(__xludf.DUMMYFUNCTION("""COMPUTED_VALUE"""),22314.0)</f>
        <v>22314</v>
      </c>
      <c r="AJ994" s="39" t="str">
        <f>IFERROR(__xludf.DUMMYFUNCTION("""COMPUTED_VALUE"""),"無窮の地")</f>
        <v>無窮の地</v>
      </c>
    </row>
    <row r="995" ht="24.75" customHeight="1">
      <c r="A995" s="40">
        <f>IFERROR(__xludf.DUMMYFUNCTION("""COMPUTED_VALUE"""),4.0)</f>
        <v>4</v>
      </c>
      <c r="B995" s="40" t="str">
        <f>IFERROR(__xludf.DUMMYFUNCTION("""COMPUTED_VALUE"""),"A115")</f>
        <v>A115</v>
      </c>
      <c r="C995" s="40" t="str">
        <f>IFERROR(__xludf.DUMMYFUNCTION("""COMPUTED_VALUE"""),"YKS4")</f>
        <v>YKS4</v>
      </c>
      <c r="D995" s="41" t="str">
        <f>IFERROR(__xludf.DUMMYFUNCTION("""COMPUTED_VALUE"""),"Yuga Kurukshetra")</f>
        <v>Yuga Kurukshetra</v>
      </c>
      <c r="E995" s="42" t="str">
        <f>IFERROR(__xludf.DUMMYFUNCTION("""COMPUTED_VALUE"""),"Northern Sacred Mountain")</f>
        <v>Northern Sacred Mountain</v>
      </c>
      <c r="F995" s="43">
        <f>IFERROR(__xludf.DUMMYFUNCTION("""COMPUTED_VALUE"""),21.0)</f>
        <v>21</v>
      </c>
      <c r="G995" s="44">
        <f>IFERROR(__xludf.DUMMYFUNCTION("""COMPUTED_VALUE"""),11672.0)</f>
        <v>11672</v>
      </c>
      <c r="H995" s="33" t="str">
        <f>IFERROR(__xludf.DUMMYFUNCTION("""COMPUTED_VALUE"""),"")</f>
        <v/>
      </c>
      <c r="I995" s="45">
        <f>IFERROR(__xludf.DUMMYFUNCTION("""COMPUTED_VALUE"""),213.5)</f>
        <v>213.5</v>
      </c>
      <c r="J995" s="46" t="str">
        <f>IFERROR(__xludf.DUMMYFUNCTION("""COMPUTED_VALUE"""),"AP")</f>
        <v>AP</v>
      </c>
      <c r="K995" s="47">
        <f>IFERROR(__xludf.DUMMYFUNCTION("""COMPUTED_VALUE"""),9.8)</f>
        <v>9.8</v>
      </c>
      <c r="L995" s="48" t="str">
        <f>IFERROR(__xludf.DUMMYFUNCTION("""COMPUTED_VALUE"""),"%")</f>
        <v>%</v>
      </c>
      <c r="M995" s="49">
        <f>IFERROR(__xludf.DUMMYFUNCTION("""COMPUTED_VALUE"""),1.0)</f>
        <v>1</v>
      </c>
      <c r="N995" s="50" t="str">
        <f>IFERROR(__xludf.DUMMYFUNCTION("""COMPUTED_VALUE"""),"A304")</f>
        <v>A304</v>
      </c>
      <c r="O995" s="38" t="str">
        <f>IFERROR(__xludf.DUMMYFUNCTION("""COMPUTED_VALUE"""),"")</f>
        <v/>
      </c>
      <c r="P995" s="45">
        <f>IFERROR(__xludf.DUMMYFUNCTION("""COMPUTED_VALUE"""),70.0)</f>
        <v>70</v>
      </c>
      <c r="Q995" s="46" t="str">
        <f>IFERROR(__xludf.DUMMYFUNCTION("""COMPUTED_VALUE"""),"AP")</f>
        <v>AP</v>
      </c>
      <c r="R995" s="47">
        <f>IFERROR(__xludf.DUMMYFUNCTION("""COMPUTED_VALUE"""),30.0)</f>
        <v>30</v>
      </c>
      <c r="S995" s="48" t="str">
        <f>IFERROR(__xludf.DUMMYFUNCTION("""COMPUTED_VALUE"""),"%")</f>
        <v>%</v>
      </c>
      <c r="T995" s="49">
        <f>IFERROR(__xludf.DUMMYFUNCTION("""COMPUTED_VALUE"""),2.0)</f>
        <v>2</v>
      </c>
      <c r="U995" s="50" t="str">
        <f>IFERROR(__xludf.DUMMYFUNCTION("""COMPUTED_VALUE"""),"A305")</f>
        <v>A305</v>
      </c>
      <c r="V995" s="38" t="str">
        <f>IFERROR(__xludf.DUMMYFUNCTION("""COMPUTED_VALUE"""),"")</f>
        <v/>
      </c>
      <c r="W995" s="45">
        <f>IFERROR(__xludf.DUMMYFUNCTION("""COMPUTED_VALUE"""),72.8)</f>
        <v>72.8</v>
      </c>
      <c r="X995" s="46" t="str">
        <f>IFERROR(__xludf.DUMMYFUNCTION("""COMPUTED_VALUE"""),"AP")</f>
        <v>AP</v>
      </c>
      <c r="Y995" s="47">
        <f>IFERROR(__xludf.DUMMYFUNCTION("""COMPUTED_VALUE"""),28.8)</f>
        <v>28.8</v>
      </c>
      <c r="Z995" s="48" t="str">
        <f>IFERROR(__xludf.DUMMYFUNCTION("""COMPUTED_VALUE"""),"%")</f>
        <v>%</v>
      </c>
      <c r="AA995" s="49">
        <f>IFERROR(__xludf.DUMMYFUNCTION("""COMPUTED_VALUE"""),3.0)</f>
        <v>3</v>
      </c>
      <c r="AB995" s="50" t="str">
        <f>IFERROR(__xludf.DUMMYFUNCTION("""COMPUTED_VALUE"""),"B103")</f>
        <v>B103</v>
      </c>
      <c r="AC995" s="38" t="str">
        <f>IFERROR(__xludf.DUMMYFUNCTION("""COMPUTED_VALUE"""),"")</f>
        <v/>
      </c>
      <c r="AD995" s="45">
        <f>IFERROR(__xludf.DUMMYFUNCTION("""COMPUTED_VALUE"""),506.1)</f>
        <v>506.1</v>
      </c>
      <c r="AE995" s="46" t="str">
        <f>IFERROR(__xludf.DUMMYFUNCTION("""COMPUTED_VALUE"""),"AP")</f>
        <v>AP</v>
      </c>
      <c r="AF995" s="47">
        <f>IFERROR(__xludf.DUMMYFUNCTION("""COMPUTED_VALUE"""),4.1)</f>
        <v>4.1</v>
      </c>
      <c r="AG995" s="48" t="str">
        <f>IFERROR(__xludf.DUMMYFUNCTION("""COMPUTED_VALUE"""),"%")</f>
        <v>%</v>
      </c>
      <c r="AH995" s="43">
        <f>IFERROR(__xludf.DUMMYFUNCTION("""COMPUTED_VALUE"""),21.0)</f>
        <v>21</v>
      </c>
      <c r="AI995" s="44">
        <f>IFERROR(__xludf.DUMMYFUNCTION("""COMPUTED_VALUE"""),11672.0)</f>
        <v>11672</v>
      </c>
      <c r="AJ995" s="51" t="str">
        <f>IFERROR(__xludf.DUMMYFUNCTION("""COMPUTED_VALUE"""),"北の霊峰")</f>
        <v>北の霊峰</v>
      </c>
    </row>
    <row r="996" ht="24.75" customHeight="1">
      <c r="A996" s="28">
        <f>IFERROR(__xludf.DUMMYFUNCTION("""COMPUTED_VALUE"""),5.0)</f>
        <v>5</v>
      </c>
      <c r="B996" s="28" t="str">
        <f>IFERROR(__xludf.DUMMYFUNCTION("""COMPUTED_VALUE"""),"A115")</f>
        <v>A115</v>
      </c>
      <c r="C996" s="28"/>
      <c r="D996" s="29"/>
      <c r="E996" s="67"/>
      <c r="F996" s="31"/>
      <c r="G996" s="32"/>
      <c r="H996" s="33" t="str">
        <f>IFERROR(__xludf.DUMMYFUNCTION("""COMPUTED_VALUE""")," ")</f>
        <v> </v>
      </c>
      <c r="I996" s="34"/>
      <c r="J996" s="35" t="str">
        <f>IFERROR(__xludf.DUMMYFUNCTION("""COMPUTED_VALUE"""),"AP")</f>
        <v>AP</v>
      </c>
      <c r="K996" s="34"/>
      <c r="L996" s="35" t="str">
        <f>IFERROR(__xludf.DUMMYFUNCTION("""COMPUTED_VALUE"""),"%")</f>
        <v>%</v>
      </c>
      <c r="M996" s="36">
        <f>IFERROR(__xludf.DUMMYFUNCTION("""COMPUTED_VALUE"""),1.0)</f>
        <v>1</v>
      </c>
      <c r="N996" s="37"/>
      <c r="O996" s="38"/>
      <c r="P996" s="34" t="str">
        <f>IFERROR(__xludf.DUMMYFUNCTION("""COMPUTED_VALUE"""),"")</f>
        <v/>
      </c>
      <c r="Q996" s="35" t="str">
        <f>IFERROR(__xludf.DUMMYFUNCTION("""COMPUTED_VALUE"""),"AP")</f>
        <v>AP</v>
      </c>
      <c r="R996" s="34" t="str">
        <f>IFERROR(__xludf.DUMMYFUNCTION("""COMPUTED_VALUE"""),"")</f>
        <v/>
      </c>
      <c r="S996" s="35" t="str">
        <f>IFERROR(__xludf.DUMMYFUNCTION("""COMPUTED_VALUE"""),"%")</f>
        <v>%</v>
      </c>
      <c r="T996" s="36">
        <f>IFERROR(__xludf.DUMMYFUNCTION("""COMPUTED_VALUE"""),2.0)</f>
        <v>2</v>
      </c>
      <c r="U996" s="37"/>
      <c r="V996" s="38"/>
      <c r="W996" s="34" t="str">
        <f>IFERROR(__xludf.DUMMYFUNCTION("""COMPUTED_VALUE"""),"")</f>
        <v/>
      </c>
      <c r="X996" s="35" t="str">
        <f>IFERROR(__xludf.DUMMYFUNCTION("""COMPUTED_VALUE"""),"AP")</f>
        <v>AP</v>
      </c>
      <c r="Y996" s="34" t="str">
        <f>IFERROR(__xludf.DUMMYFUNCTION("""COMPUTED_VALUE"""),"")</f>
        <v/>
      </c>
      <c r="Z996" s="35" t="str">
        <f>IFERROR(__xludf.DUMMYFUNCTION("""COMPUTED_VALUE"""),"%")</f>
        <v>%</v>
      </c>
      <c r="AA996" s="36">
        <f>IFERROR(__xludf.DUMMYFUNCTION("""COMPUTED_VALUE"""),3.0)</f>
        <v>3</v>
      </c>
      <c r="AB996" s="37"/>
      <c r="AC996" s="38"/>
      <c r="AD996" s="34" t="str">
        <f>IFERROR(__xludf.DUMMYFUNCTION("""COMPUTED_VALUE"""),"")</f>
        <v/>
      </c>
      <c r="AE996" s="35" t="str">
        <f>IFERROR(__xludf.DUMMYFUNCTION("""COMPUTED_VALUE"""),"AP")</f>
        <v>AP</v>
      </c>
      <c r="AF996" s="34" t="str">
        <f>IFERROR(__xludf.DUMMYFUNCTION("""COMPUTED_VALUE"""),"")</f>
        <v/>
      </c>
      <c r="AG996" s="35" t="str">
        <f>IFERROR(__xludf.DUMMYFUNCTION("""COMPUTED_VALUE"""),"%")</f>
        <v>%</v>
      </c>
      <c r="AH996" s="31"/>
      <c r="AI996" s="32"/>
      <c r="AJ996" s="39"/>
    </row>
    <row r="997" ht="24.75" hidden="1" customHeight="1">
      <c r="A997" s="40">
        <f>IFERROR(__xludf.DUMMYFUNCTION("""COMPUTED_VALUE"""),6.0)</f>
        <v>6</v>
      </c>
      <c r="B997" s="40" t="str">
        <f>IFERROR(__xludf.DUMMYFUNCTION("""COMPUTED_VALUE"""),"A115")</f>
        <v>A115</v>
      </c>
      <c r="C997" s="40"/>
      <c r="D997" s="41"/>
      <c r="E997" s="66"/>
      <c r="F997" s="43"/>
      <c r="G997" s="44"/>
      <c r="H997" s="33" t="str">
        <f>IFERROR(__xludf.DUMMYFUNCTION("""COMPUTED_VALUE""")," ")</f>
        <v> </v>
      </c>
      <c r="I997" s="45"/>
      <c r="J997" s="46" t="str">
        <f>IFERROR(__xludf.DUMMYFUNCTION("""COMPUTED_VALUE"""),"AP")</f>
        <v>AP</v>
      </c>
      <c r="K997" s="47"/>
      <c r="L997" s="48" t="str">
        <f>IFERROR(__xludf.DUMMYFUNCTION("""COMPUTED_VALUE"""),"%")</f>
        <v>%</v>
      </c>
      <c r="M997" s="49">
        <f>IFERROR(__xludf.DUMMYFUNCTION("""COMPUTED_VALUE"""),1.0)</f>
        <v>1</v>
      </c>
      <c r="N997" s="50"/>
      <c r="O997" s="38"/>
      <c r="P997" s="45" t="str">
        <f>IFERROR(__xludf.DUMMYFUNCTION("""COMPUTED_VALUE"""),"")</f>
        <v/>
      </c>
      <c r="Q997" s="46" t="str">
        <f>IFERROR(__xludf.DUMMYFUNCTION("""COMPUTED_VALUE"""),"AP")</f>
        <v>AP</v>
      </c>
      <c r="R997" s="47" t="str">
        <f>IFERROR(__xludf.DUMMYFUNCTION("""COMPUTED_VALUE"""),"")</f>
        <v/>
      </c>
      <c r="S997" s="48" t="str">
        <f>IFERROR(__xludf.DUMMYFUNCTION("""COMPUTED_VALUE"""),"%")</f>
        <v>%</v>
      </c>
      <c r="T997" s="49">
        <f>IFERROR(__xludf.DUMMYFUNCTION("""COMPUTED_VALUE"""),2.0)</f>
        <v>2</v>
      </c>
      <c r="U997" s="50"/>
      <c r="V997" s="38"/>
      <c r="W997" s="45" t="str">
        <f>IFERROR(__xludf.DUMMYFUNCTION("""COMPUTED_VALUE"""),"")</f>
        <v/>
      </c>
      <c r="X997" s="46" t="str">
        <f>IFERROR(__xludf.DUMMYFUNCTION("""COMPUTED_VALUE"""),"AP")</f>
        <v>AP</v>
      </c>
      <c r="Y997" s="47" t="str">
        <f>IFERROR(__xludf.DUMMYFUNCTION("""COMPUTED_VALUE"""),"")</f>
        <v/>
      </c>
      <c r="Z997" s="48" t="str">
        <f>IFERROR(__xludf.DUMMYFUNCTION("""COMPUTED_VALUE"""),"%")</f>
        <v>%</v>
      </c>
      <c r="AA997" s="49">
        <f>IFERROR(__xludf.DUMMYFUNCTION("""COMPUTED_VALUE"""),3.0)</f>
        <v>3</v>
      </c>
      <c r="AB997" s="50"/>
      <c r="AC997" s="38"/>
      <c r="AD997" s="45" t="str">
        <f>IFERROR(__xludf.DUMMYFUNCTION("""COMPUTED_VALUE"""),"")</f>
        <v/>
      </c>
      <c r="AE997" s="46" t="str">
        <f>IFERROR(__xludf.DUMMYFUNCTION("""COMPUTED_VALUE"""),"AP")</f>
        <v>AP</v>
      </c>
      <c r="AF997" s="47" t="str">
        <f>IFERROR(__xludf.DUMMYFUNCTION("""COMPUTED_VALUE"""),"")</f>
        <v/>
      </c>
      <c r="AG997" s="48" t="str">
        <f>IFERROR(__xludf.DUMMYFUNCTION("""COMPUTED_VALUE"""),"%")</f>
        <v>%</v>
      </c>
      <c r="AH997" s="43"/>
      <c r="AI997" s="44"/>
      <c r="AJ997" s="51"/>
    </row>
    <row r="998" ht="24.75" hidden="1" customHeight="1">
      <c r="A998" s="28">
        <f>IFERROR(__xludf.DUMMYFUNCTION("""COMPUTED_VALUE"""),7.0)</f>
        <v>7</v>
      </c>
      <c r="B998" s="28" t="str">
        <f>IFERROR(__xludf.DUMMYFUNCTION("""COMPUTED_VALUE"""),"A115")</f>
        <v>A115</v>
      </c>
      <c r="C998" s="28"/>
      <c r="D998" s="29"/>
      <c r="E998" s="67"/>
      <c r="F998" s="31"/>
      <c r="G998" s="32"/>
      <c r="H998" s="33" t="str">
        <f>IFERROR(__xludf.DUMMYFUNCTION("""COMPUTED_VALUE""")," ")</f>
        <v> </v>
      </c>
      <c r="I998" s="34"/>
      <c r="J998" s="35" t="str">
        <f>IFERROR(__xludf.DUMMYFUNCTION("""COMPUTED_VALUE"""),"AP")</f>
        <v>AP</v>
      </c>
      <c r="K998" s="34"/>
      <c r="L998" s="35" t="str">
        <f>IFERROR(__xludf.DUMMYFUNCTION("""COMPUTED_VALUE"""),"%")</f>
        <v>%</v>
      </c>
      <c r="M998" s="36">
        <f>IFERROR(__xludf.DUMMYFUNCTION("""COMPUTED_VALUE"""),1.0)</f>
        <v>1</v>
      </c>
      <c r="N998" s="37"/>
      <c r="O998" s="38"/>
      <c r="P998" s="34" t="str">
        <f>IFERROR(__xludf.DUMMYFUNCTION("""COMPUTED_VALUE"""),"")</f>
        <v/>
      </c>
      <c r="Q998" s="35" t="str">
        <f>IFERROR(__xludf.DUMMYFUNCTION("""COMPUTED_VALUE"""),"AP")</f>
        <v>AP</v>
      </c>
      <c r="R998" s="34" t="str">
        <f>IFERROR(__xludf.DUMMYFUNCTION("""COMPUTED_VALUE"""),"")</f>
        <v/>
      </c>
      <c r="S998" s="35" t="str">
        <f>IFERROR(__xludf.DUMMYFUNCTION("""COMPUTED_VALUE"""),"%")</f>
        <v>%</v>
      </c>
      <c r="T998" s="36">
        <f>IFERROR(__xludf.DUMMYFUNCTION("""COMPUTED_VALUE"""),2.0)</f>
        <v>2</v>
      </c>
      <c r="U998" s="37"/>
      <c r="V998" s="38"/>
      <c r="W998" s="34" t="str">
        <f>IFERROR(__xludf.DUMMYFUNCTION("""COMPUTED_VALUE"""),"")</f>
        <v/>
      </c>
      <c r="X998" s="35" t="str">
        <f>IFERROR(__xludf.DUMMYFUNCTION("""COMPUTED_VALUE"""),"AP")</f>
        <v>AP</v>
      </c>
      <c r="Y998" s="34" t="str">
        <f>IFERROR(__xludf.DUMMYFUNCTION("""COMPUTED_VALUE"""),"")</f>
        <v/>
      </c>
      <c r="Z998" s="35" t="str">
        <f>IFERROR(__xludf.DUMMYFUNCTION("""COMPUTED_VALUE"""),"%")</f>
        <v>%</v>
      </c>
      <c r="AA998" s="36">
        <f>IFERROR(__xludf.DUMMYFUNCTION("""COMPUTED_VALUE"""),3.0)</f>
        <v>3</v>
      </c>
      <c r="AB998" s="37"/>
      <c r="AC998" s="38"/>
      <c r="AD998" s="34" t="str">
        <f>IFERROR(__xludf.DUMMYFUNCTION("""COMPUTED_VALUE"""),"")</f>
        <v/>
      </c>
      <c r="AE998" s="35" t="str">
        <f>IFERROR(__xludf.DUMMYFUNCTION("""COMPUTED_VALUE"""),"AP")</f>
        <v>AP</v>
      </c>
      <c r="AF998" s="34" t="str">
        <f>IFERROR(__xludf.DUMMYFUNCTION("""COMPUTED_VALUE"""),"")</f>
        <v/>
      </c>
      <c r="AG998" s="35" t="str">
        <f>IFERROR(__xludf.DUMMYFUNCTION("""COMPUTED_VALUE"""),"%")</f>
        <v>%</v>
      </c>
      <c r="AH998" s="31"/>
      <c r="AI998" s="32"/>
      <c r="AJ998" s="39"/>
    </row>
    <row r="999" ht="24.75" hidden="1" customHeight="1">
      <c r="A999" s="40">
        <f>IFERROR(__xludf.DUMMYFUNCTION("""COMPUTED_VALUE"""),8.0)</f>
        <v>8</v>
      </c>
      <c r="B999" s="40" t="str">
        <f>IFERROR(__xludf.DUMMYFUNCTION("""COMPUTED_VALUE"""),"A115")</f>
        <v>A115</v>
      </c>
      <c r="C999" s="40"/>
      <c r="D999" s="41"/>
      <c r="E999" s="66"/>
      <c r="F999" s="43"/>
      <c r="G999" s="44"/>
      <c r="H999" s="33" t="str">
        <f>IFERROR(__xludf.DUMMYFUNCTION("""COMPUTED_VALUE""")," ")</f>
        <v> </v>
      </c>
      <c r="I999" s="45"/>
      <c r="J999" s="46" t="str">
        <f>IFERROR(__xludf.DUMMYFUNCTION("""COMPUTED_VALUE"""),"AP")</f>
        <v>AP</v>
      </c>
      <c r="K999" s="47"/>
      <c r="L999" s="48" t="str">
        <f>IFERROR(__xludf.DUMMYFUNCTION("""COMPUTED_VALUE"""),"%")</f>
        <v>%</v>
      </c>
      <c r="M999" s="49">
        <f>IFERROR(__xludf.DUMMYFUNCTION("""COMPUTED_VALUE"""),1.0)</f>
        <v>1</v>
      </c>
      <c r="N999" s="50"/>
      <c r="O999" s="38"/>
      <c r="P999" s="45" t="str">
        <f>IFERROR(__xludf.DUMMYFUNCTION("""COMPUTED_VALUE"""),"")</f>
        <v/>
      </c>
      <c r="Q999" s="46" t="str">
        <f>IFERROR(__xludf.DUMMYFUNCTION("""COMPUTED_VALUE"""),"AP")</f>
        <v>AP</v>
      </c>
      <c r="R999" s="47" t="str">
        <f>IFERROR(__xludf.DUMMYFUNCTION("""COMPUTED_VALUE"""),"")</f>
        <v/>
      </c>
      <c r="S999" s="48" t="str">
        <f>IFERROR(__xludf.DUMMYFUNCTION("""COMPUTED_VALUE"""),"%")</f>
        <v>%</v>
      </c>
      <c r="T999" s="49">
        <f>IFERROR(__xludf.DUMMYFUNCTION("""COMPUTED_VALUE"""),2.0)</f>
        <v>2</v>
      </c>
      <c r="U999" s="50"/>
      <c r="V999" s="38"/>
      <c r="W999" s="45" t="str">
        <f>IFERROR(__xludf.DUMMYFUNCTION("""COMPUTED_VALUE"""),"")</f>
        <v/>
      </c>
      <c r="X999" s="46" t="str">
        <f>IFERROR(__xludf.DUMMYFUNCTION("""COMPUTED_VALUE"""),"AP")</f>
        <v>AP</v>
      </c>
      <c r="Y999" s="47" t="str">
        <f>IFERROR(__xludf.DUMMYFUNCTION("""COMPUTED_VALUE"""),"")</f>
        <v/>
      </c>
      <c r="Z999" s="48" t="str">
        <f>IFERROR(__xludf.DUMMYFUNCTION("""COMPUTED_VALUE"""),"%")</f>
        <v>%</v>
      </c>
      <c r="AA999" s="49">
        <f>IFERROR(__xludf.DUMMYFUNCTION("""COMPUTED_VALUE"""),3.0)</f>
        <v>3</v>
      </c>
      <c r="AB999" s="50"/>
      <c r="AC999" s="38"/>
      <c r="AD999" s="45" t="str">
        <f>IFERROR(__xludf.DUMMYFUNCTION("""COMPUTED_VALUE"""),"")</f>
        <v/>
      </c>
      <c r="AE999" s="46" t="str">
        <f>IFERROR(__xludf.DUMMYFUNCTION("""COMPUTED_VALUE"""),"AP")</f>
        <v>AP</v>
      </c>
      <c r="AF999" s="47" t="str">
        <f>IFERROR(__xludf.DUMMYFUNCTION("""COMPUTED_VALUE"""),"")</f>
        <v/>
      </c>
      <c r="AG999" s="48" t="str">
        <f>IFERROR(__xludf.DUMMYFUNCTION("""COMPUTED_VALUE"""),"%")</f>
        <v>%</v>
      </c>
      <c r="AH999" s="43"/>
      <c r="AI999" s="44"/>
      <c r="AJ999" s="51"/>
    </row>
    <row r="1000" ht="24.75" hidden="1" customHeight="1">
      <c r="A1000" s="28">
        <f>IFERROR(__xludf.DUMMYFUNCTION("""COMPUTED_VALUE"""),9.0)</f>
        <v>9</v>
      </c>
      <c r="B1000" s="28" t="str">
        <f>IFERROR(__xludf.DUMMYFUNCTION("""COMPUTED_VALUE"""),"A115")</f>
        <v>A115</v>
      </c>
      <c r="C1000" s="28"/>
      <c r="D1000" s="29"/>
      <c r="E1000" s="67"/>
      <c r="F1000" s="31"/>
      <c r="G1000" s="32"/>
      <c r="H1000" s="33" t="str">
        <f>IFERROR(__xludf.DUMMYFUNCTION("""COMPUTED_VALUE""")," ")</f>
        <v> </v>
      </c>
      <c r="I1000" s="34"/>
      <c r="J1000" s="35" t="str">
        <f>IFERROR(__xludf.DUMMYFUNCTION("""COMPUTED_VALUE"""),"AP")</f>
        <v>AP</v>
      </c>
      <c r="K1000" s="34"/>
      <c r="L1000" s="35" t="str">
        <f>IFERROR(__xludf.DUMMYFUNCTION("""COMPUTED_VALUE"""),"%")</f>
        <v>%</v>
      </c>
      <c r="M1000" s="36">
        <f>IFERROR(__xludf.DUMMYFUNCTION("""COMPUTED_VALUE"""),1.0)</f>
        <v>1</v>
      </c>
      <c r="N1000" s="37"/>
      <c r="O1000" s="38"/>
      <c r="P1000" s="34" t="str">
        <f>IFERROR(__xludf.DUMMYFUNCTION("""COMPUTED_VALUE"""),"")</f>
        <v/>
      </c>
      <c r="Q1000" s="35" t="str">
        <f>IFERROR(__xludf.DUMMYFUNCTION("""COMPUTED_VALUE"""),"AP")</f>
        <v>AP</v>
      </c>
      <c r="R1000" s="34" t="str">
        <f>IFERROR(__xludf.DUMMYFUNCTION("""COMPUTED_VALUE"""),"")</f>
        <v/>
      </c>
      <c r="S1000" s="35" t="str">
        <f>IFERROR(__xludf.DUMMYFUNCTION("""COMPUTED_VALUE"""),"%")</f>
        <v>%</v>
      </c>
      <c r="T1000" s="36">
        <f>IFERROR(__xludf.DUMMYFUNCTION("""COMPUTED_VALUE"""),2.0)</f>
        <v>2</v>
      </c>
      <c r="U1000" s="37"/>
      <c r="V1000" s="38"/>
      <c r="W1000" s="34" t="str">
        <f>IFERROR(__xludf.DUMMYFUNCTION("""COMPUTED_VALUE"""),"")</f>
        <v/>
      </c>
      <c r="X1000" s="35" t="str">
        <f>IFERROR(__xludf.DUMMYFUNCTION("""COMPUTED_VALUE"""),"AP")</f>
        <v>AP</v>
      </c>
      <c r="Y1000" s="34" t="str">
        <f>IFERROR(__xludf.DUMMYFUNCTION("""COMPUTED_VALUE"""),"")</f>
        <v/>
      </c>
      <c r="Z1000" s="35" t="str">
        <f>IFERROR(__xludf.DUMMYFUNCTION("""COMPUTED_VALUE"""),"%")</f>
        <v>%</v>
      </c>
      <c r="AA1000" s="36">
        <f>IFERROR(__xludf.DUMMYFUNCTION("""COMPUTED_VALUE"""),3.0)</f>
        <v>3</v>
      </c>
      <c r="AB1000" s="37"/>
      <c r="AC1000" s="38"/>
      <c r="AD1000" s="34" t="str">
        <f>IFERROR(__xludf.DUMMYFUNCTION("""COMPUTED_VALUE"""),"")</f>
        <v/>
      </c>
      <c r="AE1000" s="35" t="str">
        <f>IFERROR(__xludf.DUMMYFUNCTION("""COMPUTED_VALUE"""),"AP")</f>
        <v>AP</v>
      </c>
      <c r="AF1000" s="34" t="str">
        <f>IFERROR(__xludf.DUMMYFUNCTION("""COMPUTED_VALUE"""),"")</f>
        <v/>
      </c>
      <c r="AG1000" s="35" t="str">
        <f>IFERROR(__xludf.DUMMYFUNCTION("""COMPUTED_VALUE"""),"%")</f>
        <v>%</v>
      </c>
      <c r="AH1000" s="31"/>
      <c r="AI1000" s="32"/>
      <c r="AJ1000" s="39"/>
    </row>
    <row r="1001" ht="24.75" hidden="1" customHeight="1">
      <c r="A1001" s="40">
        <f>IFERROR(__xludf.DUMMYFUNCTION("""COMPUTED_VALUE"""),10.0)</f>
        <v>10</v>
      </c>
      <c r="B1001" s="40" t="str">
        <f>IFERROR(__xludf.DUMMYFUNCTION("""COMPUTED_VALUE"""),"A115")</f>
        <v>A115</v>
      </c>
      <c r="C1001" s="40"/>
      <c r="D1001" s="41"/>
      <c r="E1001" s="66"/>
      <c r="F1001" s="43"/>
      <c r="G1001" s="44"/>
      <c r="H1001" s="33" t="str">
        <f>IFERROR(__xludf.DUMMYFUNCTION("""COMPUTED_VALUE""")," ")</f>
        <v> </v>
      </c>
      <c r="I1001" s="45"/>
      <c r="J1001" s="46" t="str">
        <f>IFERROR(__xludf.DUMMYFUNCTION("""COMPUTED_VALUE"""),"AP")</f>
        <v>AP</v>
      </c>
      <c r="K1001" s="47"/>
      <c r="L1001" s="48" t="str">
        <f>IFERROR(__xludf.DUMMYFUNCTION("""COMPUTED_VALUE"""),"%")</f>
        <v>%</v>
      </c>
      <c r="M1001" s="49">
        <f>IFERROR(__xludf.DUMMYFUNCTION("""COMPUTED_VALUE"""),1.0)</f>
        <v>1</v>
      </c>
      <c r="N1001" s="50"/>
      <c r="O1001" s="38"/>
      <c r="P1001" s="45" t="str">
        <f>IFERROR(__xludf.DUMMYFUNCTION("""COMPUTED_VALUE"""),"")</f>
        <v/>
      </c>
      <c r="Q1001" s="46" t="str">
        <f>IFERROR(__xludf.DUMMYFUNCTION("""COMPUTED_VALUE"""),"AP")</f>
        <v>AP</v>
      </c>
      <c r="R1001" s="47" t="str">
        <f>IFERROR(__xludf.DUMMYFUNCTION("""COMPUTED_VALUE"""),"")</f>
        <v/>
      </c>
      <c r="S1001" s="48" t="str">
        <f>IFERROR(__xludf.DUMMYFUNCTION("""COMPUTED_VALUE"""),"%")</f>
        <v>%</v>
      </c>
      <c r="T1001" s="49">
        <f>IFERROR(__xludf.DUMMYFUNCTION("""COMPUTED_VALUE"""),2.0)</f>
        <v>2</v>
      </c>
      <c r="U1001" s="50"/>
      <c r="V1001" s="38"/>
      <c r="W1001" s="45" t="str">
        <f>IFERROR(__xludf.DUMMYFUNCTION("""COMPUTED_VALUE"""),"")</f>
        <v/>
      </c>
      <c r="X1001" s="46" t="str">
        <f>IFERROR(__xludf.DUMMYFUNCTION("""COMPUTED_VALUE"""),"AP")</f>
        <v>AP</v>
      </c>
      <c r="Y1001" s="47" t="str">
        <f>IFERROR(__xludf.DUMMYFUNCTION("""COMPUTED_VALUE"""),"")</f>
        <v/>
      </c>
      <c r="Z1001" s="48" t="str">
        <f>IFERROR(__xludf.DUMMYFUNCTION("""COMPUTED_VALUE"""),"%")</f>
        <v>%</v>
      </c>
      <c r="AA1001" s="49">
        <f>IFERROR(__xludf.DUMMYFUNCTION("""COMPUTED_VALUE"""),3.0)</f>
        <v>3</v>
      </c>
      <c r="AB1001" s="50"/>
      <c r="AC1001" s="38"/>
      <c r="AD1001" s="45" t="str">
        <f>IFERROR(__xludf.DUMMYFUNCTION("""COMPUTED_VALUE"""),"")</f>
        <v/>
      </c>
      <c r="AE1001" s="46" t="str">
        <f>IFERROR(__xludf.DUMMYFUNCTION("""COMPUTED_VALUE"""),"AP")</f>
        <v>AP</v>
      </c>
      <c r="AF1001" s="47" t="str">
        <f>IFERROR(__xludf.DUMMYFUNCTION("""COMPUTED_VALUE"""),"")</f>
        <v/>
      </c>
      <c r="AG1001" s="48" t="str">
        <f>IFERROR(__xludf.DUMMYFUNCTION("""COMPUTED_VALUE"""),"%")</f>
        <v>%</v>
      </c>
      <c r="AH1001" s="43"/>
      <c r="AI1001" s="44"/>
      <c r="AJ1001" s="51"/>
    </row>
    <row r="1002" ht="24.75" hidden="1" customHeight="1">
      <c r="A1002" s="28">
        <f>IFERROR(__xludf.DUMMYFUNCTION("""COMPUTED_VALUE"""),11.0)</f>
        <v>11</v>
      </c>
      <c r="B1002" s="28" t="str">
        <f>IFERROR(__xludf.DUMMYFUNCTION("""COMPUTED_VALUE"""),"A115")</f>
        <v>A115</v>
      </c>
      <c r="C1002" s="28"/>
      <c r="D1002" s="29"/>
      <c r="E1002" s="67"/>
      <c r="F1002" s="31"/>
      <c r="G1002" s="32"/>
      <c r="H1002" s="33" t="str">
        <f>IFERROR(__xludf.DUMMYFUNCTION("""COMPUTED_VALUE""")," ")</f>
        <v> </v>
      </c>
      <c r="I1002" s="34"/>
      <c r="J1002" s="35" t="str">
        <f>IFERROR(__xludf.DUMMYFUNCTION("""COMPUTED_VALUE"""),"AP")</f>
        <v>AP</v>
      </c>
      <c r="K1002" s="34"/>
      <c r="L1002" s="35" t="str">
        <f>IFERROR(__xludf.DUMMYFUNCTION("""COMPUTED_VALUE"""),"%")</f>
        <v>%</v>
      </c>
      <c r="M1002" s="36">
        <f>IFERROR(__xludf.DUMMYFUNCTION("""COMPUTED_VALUE"""),1.0)</f>
        <v>1</v>
      </c>
      <c r="N1002" s="37"/>
      <c r="O1002" s="38"/>
      <c r="P1002" s="34" t="str">
        <f>IFERROR(__xludf.DUMMYFUNCTION("""COMPUTED_VALUE"""),"")</f>
        <v/>
      </c>
      <c r="Q1002" s="35" t="str">
        <f>IFERROR(__xludf.DUMMYFUNCTION("""COMPUTED_VALUE"""),"AP")</f>
        <v>AP</v>
      </c>
      <c r="R1002" s="34" t="str">
        <f>IFERROR(__xludf.DUMMYFUNCTION("""COMPUTED_VALUE"""),"")</f>
        <v/>
      </c>
      <c r="S1002" s="35" t="str">
        <f>IFERROR(__xludf.DUMMYFUNCTION("""COMPUTED_VALUE"""),"%")</f>
        <v>%</v>
      </c>
      <c r="T1002" s="36">
        <f>IFERROR(__xludf.DUMMYFUNCTION("""COMPUTED_VALUE"""),2.0)</f>
        <v>2</v>
      </c>
      <c r="U1002" s="37"/>
      <c r="V1002" s="38"/>
      <c r="W1002" s="34" t="str">
        <f>IFERROR(__xludf.DUMMYFUNCTION("""COMPUTED_VALUE"""),"")</f>
        <v/>
      </c>
      <c r="X1002" s="35" t="str">
        <f>IFERROR(__xludf.DUMMYFUNCTION("""COMPUTED_VALUE"""),"AP")</f>
        <v>AP</v>
      </c>
      <c r="Y1002" s="34" t="str">
        <f>IFERROR(__xludf.DUMMYFUNCTION("""COMPUTED_VALUE"""),"")</f>
        <v/>
      </c>
      <c r="Z1002" s="35" t="str">
        <f>IFERROR(__xludf.DUMMYFUNCTION("""COMPUTED_VALUE"""),"%")</f>
        <v>%</v>
      </c>
      <c r="AA1002" s="36">
        <f>IFERROR(__xludf.DUMMYFUNCTION("""COMPUTED_VALUE"""),3.0)</f>
        <v>3</v>
      </c>
      <c r="AB1002" s="37"/>
      <c r="AC1002" s="38"/>
      <c r="AD1002" s="34" t="str">
        <f>IFERROR(__xludf.DUMMYFUNCTION("""COMPUTED_VALUE"""),"")</f>
        <v/>
      </c>
      <c r="AE1002" s="35" t="str">
        <f>IFERROR(__xludf.DUMMYFUNCTION("""COMPUTED_VALUE"""),"AP")</f>
        <v>AP</v>
      </c>
      <c r="AF1002" s="34" t="str">
        <f>IFERROR(__xludf.DUMMYFUNCTION("""COMPUTED_VALUE"""),"")</f>
        <v/>
      </c>
      <c r="AG1002" s="35" t="str">
        <f>IFERROR(__xludf.DUMMYFUNCTION("""COMPUTED_VALUE"""),"%")</f>
        <v>%</v>
      </c>
      <c r="AH1002" s="31"/>
      <c r="AI1002" s="32"/>
      <c r="AJ1002" s="39"/>
    </row>
    <row r="1003" ht="24.75" hidden="1" customHeight="1">
      <c r="A1003" s="40">
        <f>IFERROR(__xludf.DUMMYFUNCTION("""COMPUTED_VALUE"""),12.0)</f>
        <v>12</v>
      </c>
      <c r="B1003" s="40" t="str">
        <f>IFERROR(__xludf.DUMMYFUNCTION("""COMPUTED_VALUE"""),"A115")</f>
        <v>A115</v>
      </c>
      <c r="C1003" s="40"/>
      <c r="D1003" s="41"/>
      <c r="E1003" s="66"/>
      <c r="F1003" s="43"/>
      <c r="G1003" s="44"/>
      <c r="H1003" s="33" t="str">
        <f>IFERROR(__xludf.DUMMYFUNCTION("""COMPUTED_VALUE""")," ")</f>
        <v> </v>
      </c>
      <c r="I1003" s="45"/>
      <c r="J1003" s="46" t="str">
        <f>IFERROR(__xludf.DUMMYFUNCTION("""COMPUTED_VALUE"""),"AP")</f>
        <v>AP</v>
      </c>
      <c r="K1003" s="47"/>
      <c r="L1003" s="48" t="str">
        <f>IFERROR(__xludf.DUMMYFUNCTION("""COMPUTED_VALUE"""),"%")</f>
        <v>%</v>
      </c>
      <c r="M1003" s="49">
        <f>IFERROR(__xludf.DUMMYFUNCTION("""COMPUTED_VALUE"""),1.0)</f>
        <v>1</v>
      </c>
      <c r="N1003" s="50"/>
      <c r="O1003" s="38"/>
      <c r="P1003" s="45" t="str">
        <f>IFERROR(__xludf.DUMMYFUNCTION("""COMPUTED_VALUE"""),"")</f>
        <v/>
      </c>
      <c r="Q1003" s="46" t="str">
        <f>IFERROR(__xludf.DUMMYFUNCTION("""COMPUTED_VALUE"""),"AP")</f>
        <v>AP</v>
      </c>
      <c r="R1003" s="47" t="str">
        <f>IFERROR(__xludf.DUMMYFUNCTION("""COMPUTED_VALUE"""),"")</f>
        <v/>
      </c>
      <c r="S1003" s="48" t="str">
        <f>IFERROR(__xludf.DUMMYFUNCTION("""COMPUTED_VALUE"""),"%")</f>
        <v>%</v>
      </c>
      <c r="T1003" s="49">
        <f>IFERROR(__xludf.DUMMYFUNCTION("""COMPUTED_VALUE"""),2.0)</f>
        <v>2</v>
      </c>
      <c r="U1003" s="50"/>
      <c r="V1003" s="38"/>
      <c r="W1003" s="45" t="str">
        <f>IFERROR(__xludf.DUMMYFUNCTION("""COMPUTED_VALUE"""),"")</f>
        <v/>
      </c>
      <c r="X1003" s="46" t="str">
        <f>IFERROR(__xludf.DUMMYFUNCTION("""COMPUTED_VALUE"""),"AP")</f>
        <v>AP</v>
      </c>
      <c r="Y1003" s="47" t="str">
        <f>IFERROR(__xludf.DUMMYFUNCTION("""COMPUTED_VALUE"""),"")</f>
        <v/>
      </c>
      <c r="Z1003" s="48" t="str">
        <f>IFERROR(__xludf.DUMMYFUNCTION("""COMPUTED_VALUE"""),"%")</f>
        <v>%</v>
      </c>
      <c r="AA1003" s="49">
        <f>IFERROR(__xludf.DUMMYFUNCTION("""COMPUTED_VALUE"""),3.0)</f>
        <v>3</v>
      </c>
      <c r="AB1003" s="50"/>
      <c r="AC1003" s="38"/>
      <c r="AD1003" s="45" t="str">
        <f>IFERROR(__xludf.DUMMYFUNCTION("""COMPUTED_VALUE"""),"")</f>
        <v/>
      </c>
      <c r="AE1003" s="46" t="str">
        <f>IFERROR(__xludf.DUMMYFUNCTION("""COMPUTED_VALUE"""),"AP")</f>
        <v>AP</v>
      </c>
      <c r="AF1003" s="47" t="str">
        <f>IFERROR(__xludf.DUMMYFUNCTION("""COMPUTED_VALUE"""),"")</f>
        <v/>
      </c>
      <c r="AG1003" s="48" t="str">
        <f>IFERROR(__xludf.DUMMYFUNCTION("""COMPUTED_VALUE"""),"%")</f>
        <v>%</v>
      </c>
      <c r="AH1003" s="43"/>
      <c r="AI1003" s="44"/>
      <c r="AJ1003" s="51"/>
    </row>
    <row r="1004" ht="24.75" hidden="1" customHeight="1">
      <c r="A1004" s="28">
        <f>IFERROR(__xludf.DUMMYFUNCTION("""COMPUTED_VALUE"""),13.0)</f>
        <v>13</v>
      </c>
      <c r="B1004" s="28" t="str">
        <f>IFERROR(__xludf.DUMMYFUNCTION("""COMPUTED_VALUE"""),"A115")</f>
        <v>A115</v>
      </c>
      <c r="C1004" s="28"/>
      <c r="D1004" s="29"/>
      <c r="E1004" s="67"/>
      <c r="F1004" s="31"/>
      <c r="G1004" s="32"/>
      <c r="H1004" s="33" t="str">
        <f>IFERROR(__xludf.DUMMYFUNCTION("""COMPUTED_VALUE""")," ")</f>
        <v> </v>
      </c>
      <c r="I1004" s="34"/>
      <c r="J1004" s="35" t="str">
        <f>IFERROR(__xludf.DUMMYFUNCTION("""COMPUTED_VALUE"""),"AP")</f>
        <v>AP</v>
      </c>
      <c r="K1004" s="34"/>
      <c r="L1004" s="35" t="str">
        <f>IFERROR(__xludf.DUMMYFUNCTION("""COMPUTED_VALUE"""),"%")</f>
        <v>%</v>
      </c>
      <c r="M1004" s="36">
        <f>IFERROR(__xludf.DUMMYFUNCTION("""COMPUTED_VALUE"""),1.0)</f>
        <v>1</v>
      </c>
      <c r="N1004" s="37"/>
      <c r="O1004" s="38"/>
      <c r="P1004" s="34" t="str">
        <f>IFERROR(__xludf.DUMMYFUNCTION("""COMPUTED_VALUE"""),"")</f>
        <v/>
      </c>
      <c r="Q1004" s="35" t="str">
        <f>IFERROR(__xludf.DUMMYFUNCTION("""COMPUTED_VALUE"""),"AP")</f>
        <v>AP</v>
      </c>
      <c r="R1004" s="34" t="str">
        <f>IFERROR(__xludf.DUMMYFUNCTION("""COMPUTED_VALUE"""),"")</f>
        <v/>
      </c>
      <c r="S1004" s="35" t="str">
        <f>IFERROR(__xludf.DUMMYFUNCTION("""COMPUTED_VALUE"""),"%")</f>
        <v>%</v>
      </c>
      <c r="T1004" s="36">
        <f>IFERROR(__xludf.DUMMYFUNCTION("""COMPUTED_VALUE"""),2.0)</f>
        <v>2</v>
      </c>
      <c r="U1004" s="37"/>
      <c r="V1004" s="38"/>
      <c r="W1004" s="34" t="str">
        <f>IFERROR(__xludf.DUMMYFUNCTION("""COMPUTED_VALUE"""),"")</f>
        <v/>
      </c>
      <c r="X1004" s="35" t="str">
        <f>IFERROR(__xludf.DUMMYFUNCTION("""COMPUTED_VALUE"""),"AP")</f>
        <v>AP</v>
      </c>
      <c r="Y1004" s="34" t="str">
        <f>IFERROR(__xludf.DUMMYFUNCTION("""COMPUTED_VALUE"""),"")</f>
        <v/>
      </c>
      <c r="Z1004" s="35" t="str">
        <f>IFERROR(__xludf.DUMMYFUNCTION("""COMPUTED_VALUE"""),"%")</f>
        <v>%</v>
      </c>
      <c r="AA1004" s="36">
        <f>IFERROR(__xludf.DUMMYFUNCTION("""COMPUTED_VALUE"""),3.0)</f>
        <v>3</v>
      </c>
      <c r="AB1004" s="37"/>
      <c r="AC1004" s="38"/>
      <c r="AD1004" s="34" t="str">
        <f>IFERROR(__xludf.DUMMYFUNCTION("""COMPUTED_VALUE"""),"")</f>
        <v/>
      </c>
      <c r="AE1004" s="35" t="str">
        <f>IFERROR(__xludf.DUMMYFUNCTION("""COMPUTED_VALUE"""),"AP")</f>
        <v>AP</v>
      </c>
      <c r="AF1004" s="34" t="str">
        <f>IFERROR(__xludf.DUMMYFUNCTION("""COMPUTED_VALUE"""),"")</f>
        <v/>
      </c>
      <c r="AG1004" s="35" t="str">
        <f>IFERROR(__xludf.DUMMYFUNCTION("""COMPUTED_VALUE"""),"%")</f>
        <v>%</v>
      </c>
      <c r="AH1004" s="31"/>
      <c r="AI1004" s="32"/>
      <c r="AJ1004" s="39"/>
    </row>
    <row r="1005" ht="24.75" hidden="1" customHeight="1">
      <c r="A1005" s="40">
        <f>IFERROR(__xludf.DUMMYFUNCTION("""COMPUTED_VALUE"""),14.0)</f>
        <v>14</v>
      </c>
      <c r="B1005" s="40" t="str">
        <f>IFERROR(__xludf.DUMMYFUNCTION("""COMPUTED_VALUE"""),"A115")</f>
        <v>A115</v>
      </c>
      <c r="C1005" s="40"/>
      <c r="D1005" s="41"/>
      <c r="E1005" s="66"/>
      <c r="F1005" s="43"/>
      <c r="G1005" s="44"/>
      <c r="H1005" s="33" t="str">
        <f>IFERROR(__xludf.DUMMYFUNCTION("""COMPUTED_VALUE""")," ")</f>
        <v> </v>
      </c>
      <c r="I1005" s="45"/>
      <c r="J1005" s="46" t="str">
        <f>IFERROR(__xludf.DUMMYFUNCTION("""COMPUTED_VALUE"""),"AP")</f>
        <v>AP</v>
      </c>
      <c r="K1005" s="47"/>
      <c r="L1005" s="48" t="str">
        <f>IFERROR(__xludf.DUMMYFUNCTION("""COMPUTED_VALUE"""),"%")</f>
        <v>%</v>
      </c>
      <c r="M1005" s="49">
        <f>IFERROR(__xludf.DUMMYFUNCTION("""COMPUTED_VALUE"""),1.0)</f>
        <v>1</v>
      </c>
      <c r="N1005" s="50"/>
      <c r="O1005" s="38"/>
      <c r="P1005" s="45" t="str">
        <f>IFERROR(__xludf.DUMMYFUNCTION("""COMPUTED_VALUE"""),"")</f>
        <v/>
      </c>
      <c r="Q1005" s="46" t="str">
        <f>IFERROR(__xludf.DUMMYFUNCTION("""COMPUTED_VALUE"""),"AP")</f>
        <v>AP</v>
      </c>
      <c r="R1005" s="47" t="str">
        <f>IFERROR(__xludf.DUMMYFUNCTION("""COMPUTED_VALUE"""),"")</f>
        <v/>
      </c>
      <c r="S1005" s="48" t="str">
        <f>IFERROR(__xludf.DUMMYFUNCTION("""COMPUTED_VALUE"""),"%")</f>
        <v>%</v>
      </c>
      <c r="T1005" s="49">
        <f>IFERROR(__xludf.DUMMYFUNCTION("""COMPUTED_VALUE"""),2.0)</f>
        <v>2</v>
      </c>
      <c r="U1005" s="50"/>
      <c r="V1005" s="38"/>
      <c r="W1005" s="45" t="str">
        <f>IFERROR(__xludf.DUMMYFUNCTION("""COMPUTED_VALUE"""),"")</f>
        <v/>
      </c>
      <c r="X1005" s="46" t="str">
        <f>IFERROR(__xludf.DUMMYFUNCTION("""COMPUTED_VALUE"""),"AP")</f>
        <v>AP</v>
      </c>
      <c r="Y1005" s="47" t="str">
        <f>IFERROR(__xludf.DUMMYFUNCTION("""COMPUTED_VALUE"""),"")</f>
        <v/>
      </c>
      <c r="Z1005" s="48" t="str">
        <f>IFERROR(__xludf.DUMMYFUNCTION("""COMPUTED_VALUE"""),"%")</f>
        <v>%</v>
      </c>
      <c r="AA1005" s="49">
        <f>IFERROR(__xludf.DUMMYFUNCTION("""COMPUTED_VALUE"""),3.0)</f>
        <v>3</v>
      </c>
      <c r="AB1005" s="50"/>
      <c r="AC1005" s="38"/>
      <c r="AD1005" s="45" t="str">
        <f>IFERROR(__xludf.DUMMYFUNCTION("""COMPUTED_VALUE"""),"")</f>
        <v/>
      </c>
      <c r="AE1005" s="46" t="str">
        <f>IFERROR(__xludf.DUMMYFUNCTION("""COMPUTED_VALUE"""),"AP")</f>
        <v>AP</v>
      </c>
      <c r="AF1005" s="47" t="str">
        <f>IFERROR(__xludf.DUMMYFUNCTION("""COMPUTED_VALUE"""),"")</f>
        <v/>
      </c>
      <c r="AG1005" s="48" t="str">
        <f>IFERROR(__xludf.DUMMYFUNCTION("""COMPUTED_VALUE"""),"%")</f>
        <v>%</v>
      </c>
      <c r="AH1005" s="43"/>
      <c r="AI1005" s="44"/>
      <c r="AJ1005" s="51"/>
    </row>
    <row r="1006" ht="24.75" hidden="1" customHeight="1">
      <c r="A1006" s="28">
        <f>IFERROR(__xludf.DUMMYFUNCTION("""COMPUTED_VALUE"""),15.0)</f>
        <v>15</v>
      </c>
      <c r="B1006" s="28" t="str">
        <f>IFERROR(__xludf.DUMMYFUNCTION("""COMPUTED_VALUE"""),"A115")</f>
        <v>A115</v>
      </c>
      <c r="C1006" s="28"/>
      <c r="D1006" s="29"/>
      <c r="E1006" s="67"/>
      <c r="F1006" s="31"/>
      <c r="G1006" s="32"/>
      <c r="H1006" s="33" t="str">
        <f>IFERROR(__xludf.DUMMYFUNCTION("""COMPUTED_VALUE""")," ")</f>
        <v> </v>
      </c>
      <c r="I1006" s="34"/>
      <c r="J1006" s="35" t="str">
        <f>IFERROR(__xludf.DUMMYFUNCTION("""COMPUTED_VALUE"""),"AP")</f>
        <v>AP</v>
      </c>
      <c r="K1006" s="34"/>
      <c r="L1006" s="35" t="str">
        <f>IFERROR(__xludf.DUMMYFUNCTION("""COMPUTED_VALUE"""),"%")</f>
        <v>%</v>
      </c>
      <c r="M1006" s="36">
        <f>IFERROR(__xludf.DUMMYFUNCTION("""COMPUTED_VALUE"""),1.0)</f>
        <v>1</v>
      </c>
      <c r="N1006" s="37"/>
      <c r="O1006" s="38"/>
      <c r="P1006" s="34" t="str">
        <f>IFERROR(__xludf.DUMMYFUNCTION("""COMPUTED_VALUE"""),"")</f>
        <v/>
      </c>
      <c r="Q1006" s="35" t="str">
        <f>IFERROR(__xludf.DUMMYFUNCTION("""COMPUTED_VALUE"""),"AP")</f>
        <v>AP</v>
      </c>
      <c r="R1006" s="34" t="str">
        <f>IFERROR(__xludf.DUMMYFUNCTION("""COMPUTED_VALUE"""),"")</f>
        <v/>
      </c>
      <c r="S1006" s="35" t="str">
        <f>IFERROR(__xludf.DUMMYFUNCTION("""COMPUTED_VALUE"""),"%")</f>
        <v>%</v>
      </c>
      <c r="T1006" s="36">
        <f>IFERROR(__xludf.DUMMYFUNCTION("""COMPUTED_VALUE"""),2.0)</f>
        <v>2</v>
      </c>
      <c r="U1006" s="37"/>
      <c r="V1006" s="38"/>
      <c r="W1006" s="34" t="str">
        <f>IFERROR(__xludf.DUMMYFUNCTION("""COMPUTED_VALUE"""),"")</f>
        <v/>
      </c>
      <c r="X1006" s="35" t="str">
        <f>IFERROR(__xludf.DUMMYFUNCTION("""COMPUTED_VALUE"""),"AP")</f>
        <v>AP</v>
      </c>
      <c r="Y1006" s="34" t="str">
        <f>IFERROR(__xludf.DUMMYFUNCTION("""COMPUTED_VALUE"""),"")</f>
        <v/>
      </c>
      <c r="Z1006" s="35" t="str">
        <f>IFERROR(__xludf.DUMMYFUNCTION("""COMPUTED_VALUE"""),"%")</f>
        <v>%</v>
      </c>
      <c r="AA1006" s="36">
        <f>IFERROR(__xludf.DUMMYFUNCTION("""COMPUTED_VALUE"""),3.0)</f>
        <v>3</v>
      </c>
      <c r="AB1006" s="37"/>
      <c r="AC1006" s="38"/>
      <c r="AD1006" s="34" t="str">
        <f>IFERROR(__xludf.DUMMYFUNCTION("""COMPUTED_VALUE"""),"")</f>
        <v/>
      </c>
      <c r="AE1006" s="35" t="str">
        <f>IFERROR(__xludf.DUMMYFUNCTION("""COMPUTED_VALUE"""),"AP")</f>
        <v>AP</v>
      </c>
      <c r="AF1006" s="34" t="str">
        <f>IFERROR(__xludf.DUMMYFUNCTION("""COMPUTED_VALUE"""),"")</f>
        <v/>
      </c>
      <c r="AG1006" s="35" t="str">
        <f>IFERROR(__xludf.DUMMYFUNCTION("""COMPUTED_VALUE"""),"%")</f>
        <v>%</v>
      </c>
      <c r="AH1006" s="31"/>
      <c r="AI1006" s="32"/>
      <c r="AJ1006" s="39"/>
    </row>
    <row r="1007" ht="24.75" hidden="1" customHeight="1">
      <c r="A1007" s="40">
        <f>IFERROR(__xludf.DUMMYFUNCTION("""COMPUTED_VALUE"""),16.0)</f>
        <v>16</v>
      </c>
      <c r="B1007" s="40" t="str">
        <f>IFERROR(__xludf.DUMMYFUNCTION("""COMPUTED_VALUE"""),"A115")</f>
        <v>A115</v>
      </c>
      <c r="C1007" s="40"/>
      <c r="D1007" s="41"/>
      <c r="E1007" s="66"/>
      <c r="F1007" s="43"/>
      <c r="G1007" s="44"/>
      <c r="H1007" s="33" t="str">
        <f>IFERROR(__xludf.DUMMYFUNCTION("""COMPUTED_VALUE""")," ")</f>
        <v> </v>
      </c>
      <c r="I1007" s="45"/>
      <c r="J1007" s="46" t="str">
        <f>IFERROR(__xludf.DUMMYFUNCTION("""COMPUTED_VALUE"""),"AP")</f>
        <v>AP</v>
      </c>
      <c r="K1007" s="47"/>
      <c r="L1007" s="48" t="str">
        <f>IFERROR(__xludf.DUMMYFUNCTION("""COMPUTED_VALUE"""),"%")</f>
        <v>%</v>
      </c>
      <c r="M1007" s="49">
        <f>IFERROR(__xludf.DUMMYFUNCTION("""COMPUTED_VALUE"""),1.0)</f>
        <v>1</v>
      </c>
      <c r="N1007" s="50"/>
      <c r="O1007" s="38"/>
      <c r="P1007" s="45" t="str">
        <f>IFERROR(__xludf.DUMMYFUNCTION("""COMPUTED_VALUE"""),"")</f>
        <v/>
      </c>
      <c r="Q1007" s="46" t="str">
        <f>IFERROR(__xludf.DUMMYFUNCTION("""COMPUTED_VALUE"""),"AP")</f>
        <v>AP</v>
      </c>
      <c r="R1007" s="47" t="str">
        <f>IFERROR(__xludf.DUMMYFUNCTION("""COMPUTED_VALUE"""),"")</f>
        <v/>
      </c>
      <c r="S1007" s="48" t="str">
        <f>IFERROR(__xludf.DUMMYFUNCTION("""COMPUTED_VALUE"""),"%")</f>
        <v>%</v>
      </c>
      <c r="T1007" s="49">
        <f>IFERROR(__xludf.DUMMYFUNCTION("""COMPUTED_VALUE"""),2.0)</f>
        <v>2</v>
      </c>
      <c r="U1007" s="50"/>
      <c r="V1007" s="38"/>
      <c r="W1007" s="45" t="str">
        <f>IFERROR(__xludf.DUMMYFUNCTION("""COMPUTED_VALUE"""),"")</f>
        <v/>
      </c>
      <c r="X1007" s="46" t="str">
        <f>IFERROR(__xludf.DUMMYFUNCTION("""COMPUTED_VALUE"""),"AP")</f>
        <v>AP</v>
      </c>
      <c r="Y1007" s="47" t="str">
        <f>IFERROR(__xludf.DUMMYFUNCTION("""COMPUTED_VALUE"""),"")</f>
        <v/>
      </c>
      <c r="Z1007" s="48" t="str">
        <f>IFERROR(__xludf.DUMMYFUNCTION("""COMPUTED_VALUE"""),"%")</f>
        <v>%</v>
      </c>
      <c r="AA1007" s="49">
        <f>IFERROR(__xludf.DUMMYFUNCTION("""COMPUTED_VALUE"""),3.0)</f>
        <v>3</v>
      </c>
      <c r="AB1007" s="50"/>
      <c r="AC1007" s="38"/>
      <c r="AD1007" s="45" t="str">
        <f>IFERROR(__xludf.DUMMYFUNCTION("""COMPUTED_VALUE"""),"")</f>
        <v/>
      </c>
      <c r="AE1007" s="46" t="str">
        <f>IFERROR(__xludf.DUMMYFUNCTION("""COMPUTED_VALUE"""),"AP")</f>
        <v>AP</v>
      </c>
      <c r="AF1007" s="47" t="str">
        <f>IFERROR(__xludf.DUMMYFUNCTION("""COMPUTED_VALUE"""),"")</f>
        <v/>
      </c>
      <c r="AG1007" s="48" t="str">
        <f>IFERROR(__xludf.DUMMYFUNCTION("""COMPUTED_VALUE"""),"%")</f>
        <v>%</v>
      </c>
      <c r="AH1007" s="43"/>
      <c r="AI1007" s="44"/>
      <c r="AJ1007" s="51"/>
    </row>
    <row r="1008" ht="24.75" hidden="1" customHeight="1">
      <c r="A1008" s="28">
        <f>IFERROR(__xludf.DUMMYFUNCTION("""COMPUTED_VALUE"""),17.0)</f>
        <v>17</v>
      </c>
      <c r="B1008" s="28" t="str">
        <f>IFERROR(__xludf.DUMMYFUNCTION("""COMPUTED_VALUE"""),"A115")</f>
        <v>A115</v>
      </c>
      <c r="C1008" s="28"/>
      <c r="D1008" s="29"/>
      <c r="E1008" s="67"/>
      <c r="F1008" s="31"/>
      <c r="G1008" s="32"/>
      <c r="H1008" s="33" t="str">
        <f>IFERROR(__xludf.DUMMYFUNCTION("""COMPUTED_VALUE""")," ")</f>
        <v> </v>
      </c>
      <c r="I1008" s="34"/>
      <c r="J1008" s="35" t="str">
        <f>IFERROR(__xludf.DUMMYFUNCTION("""COMPUTED_VALUE"""),"AP")</f>
        <v>AP</v>
      </c>
      <c r="K1008" s="34"/>
      <c r="L1008" s="35" t="str">
        <f>IFERROR(__xludf.DUMMYFUNCTION("""COMPUTED_VALUE"""),"%")</f>
        <v>%</v>
      </c>
      <c r="M1008" s="36">
        <f>IFERROR(__xludf.DUMMYFUNCTION("""COMPUTED_VALUE"""),1.0)</f>
        <v>1</v>
      </c>
      <c r="N1008" s="37"/>
      <c r="O1008" s="38"/>
      <c r="P1008" s="34" t="str">
        <f>IFERROR(__xludf.DUMMYFUNCTION("""COMPUTED_VALUE"""),"")</f>
        <v/>
      </c>
      <c r="Q1008" s="35" t="str">
        <f>IFERROR(__xludf.DUMMYFUNCTION("""COMPUTED_VALUE"""),"AP")</f>
        <v>AP</v>
      </c>
      <c r="R1008" s="34" t="str">
        <f>IFERROR(__xludf.DUMMYFUNCTION("""COMPUTED_VALUE"""),"")</f>
        <v/>
      </c>
      <c r="S1008" s="35" t="str">
        <f>IFERROR(__xludf.DUMMYFUNCTION("""COMPUTED_VALUE"""),"%")</f>
        <v>%</v>
      </c>
      <c r="T1008" s="36">
        <f>IFERROR(__xludf.DUMMYFUNCTION("""COMPUTED_VALUE"""),2.0)</f>
        <v>2</v>
      </c>
      <c r="U1008" s="37"/>
      <c r="V1008" s="38"/>
      <c r="W1008" s="34" t="str">
        <f>IFERROR(__xludf.DUMMYFUNCTION("""COMPUTED_VALUE"""),"")</f>
        <v/>
      </c>
      <c r="X1008" s="35" t="str">
        <f>IFERROR(__xludf.DUMMYFUNCTION("""COMPUTED_VALUE"""),"AP")</f>
        <v>AP</v>
      </c>
      <c r="Y1008" s="34" t="str">
        <f>IFERROR(__xludf.DUMMYFUNCTION("""COMPUTED_VALUE"""),"")</f>
        <v/>
      </c>
      <c r="Z1008" s="35" t="str">
        <f>IFERROR(__xludf.DUMMYFUNCTION("""COMPUTED_VALUE"""),"%")</f>
        <v>%</v>
      </c>
      <c r="AA1008" s="36">
        <f>IFERROR(__xludf.DUMMYFUNCTION("""COMPUTED_VALUE"""),3.0)</f>
        <v>3</v>
      </c>
      <c r="AB1008" s="37"/>
      <c r="AC1008" s="38"/>
      <c r="AD1008" s="34" t="str">
        <f>IFERROR(__xludf.DUMMYFUNCTION("""COMPUTED_VALUE"""),"")</f>
        <v/>
      </c>
      <c r="AE1008" s="35" t="str">
        <f>IFERROR(__xludf.DUMMYFUNCTION("""COMPUTED_VALUE"""),"AP")</f>
        <v>AP</v>
      </c>
      <c r="AF1008" s="34" t="str">
        <f>IFERROR(__xludf.DUMMYFUNCTION("""COMPUTED_VALUE"""),"")</f>
        <v/>
      </c>
      <c r="AG1008" s="35" t="str">
        <f>IFERROR(__xludf.DUMMYFUNCTION("""COMPUTED_VALUE"""),"%")</f>
        <v>%</v>
      </c>
      <c r="AH1008" s="31"/>
      <c r="AI1008" s="32"/>
      <c r="AJ1008" s="39"/>
    </row>
    <row r="1009" ht="24.75" hidden="1" customHeight="1">
      <c r="A1009" s="40">
        <f>IFERROR(__xludf.DUMMYFUNCTION("""COMPUTED_VALUE"""),18.0)</f>
        <v>18</v>
      </c>
      <c r="B1009" s="40" t="str">
        <f>IFERROR(__xludf.DUMMYFUNCTION("""COMPUTED_VALUE"""),"A115")</f>
        <v>A115</v>
      </c>
      <c r="C1009" s="40"/>
      <c r="D1009" s="41"/>
      <c r="E1009" s="66"/>
      <c r="F1009" s="43"/>
      <c r="G1009" s="44"/>
      <c r="H1009" s="33" t="str">
        <f>IFERROR(__xludf.DUMMYFUNCTION("""COMPUTED_VALUE""")," ")</f>
        <v> </v>
      </c>
      <c r="I1009" s="45"/>
      <c r="J1009" s="46" t="str">
        <f>IFERROR(__xludf.DUMMYFUNCTION("""COMPUTED_VALUE"""),"AP")</f>
        <v>AP</v>
      </c>
      <c r="K1009" s="47"/>
      <c r="L1009" s="48" t="str">
        <f>IFERROR(__xludf.DUMMYFUNCTION("""COMPUTED_VALUE"""),"%")</f>
        <v>%</v>
      </c>
      <c r="M1009" s="49">
        <f>IFERROR(__xludf.DUMMYFUNCTION("""COMPUTED_VALUE"""),1.0)</f>
        <v>1</v>
      </c>
      <c r="N1009" s="50"/>
      <c r="O1009" s="38"/>
      <c r="P1009" s="45" t="str">
        <f>IFERROR(__xludf.DUMMYFUNCTION("""COMPUTED_VALUE"""),"")</f>
        <v/>
      </c>
      <c r="Q1009" s="46" t="str">
        <f>IFERROR(__xludf.DUMMYFUNCTION("""COMPUTED_VALUE"""),"AP")</f>
        <v>AP</v>
      </c>
      <c r="R1009" s="47" t="str">
        <f>IFERROR(__xludf.DUMMYFUNCTION("""COMPUTED_VALUE"""),"")</f>
        <v/>
      </c>
      <c r="S1009" s="48" t="str">
        <f>IFERROR(__xludf.DUMMYFUNCTION("""COMPUTED_VALUE"""),"%")</f>
        <v>%</v>
      </c>
      <c r="T1009" s="49">
        <f>IFERROR(__xludf.DUMMYFUNCTION("""COMPUTED_VALUE"""),2.0)</f>
        <v>2</v>
      </c>
      <c r="U1009" s="50"/>
      <c r="V1009" s="38"/>
      <c r="W1009" s="45" t="str">
        <f>IFERROR(__xludf.DUMMYFUNCTION("""COMPUTED_VALUE"""),"")</f>
        <v/>
      </c>
      <c r="X1009" s="46" t="str">
        <f>IFERROR(__xludf.DUMMYFUNCTION("""COMPUTED_VALUE"""),"AP")</f>
        <v>AP</v>
      </c>
      <c r="Y1009" s="47" t="str">
        <f>IFERROR(__xludf.DUMMYFUNCTION("""COMPUTED_VALUE"""),"")</f>
        <v/>
      </c>
      <c r="Z1009" s="48" t="str">
        <f>IFERROR(__xludf.DUMMYFUNCTION("""COMPUTED_VALUE"""),"%")</f>
        <v>%</v>
      </c>
      <c r="AA1009" s="49">
        <f>IFERROR(__xludf.DUMMYFUNCTION("""COMPUTED_VALUE"""),3.0)</f>
        <v>3</v>
      </c>
      <c r="AB1009" s="50"/>
      <c r="AC1009" s="38"/>
      <c r="AD1009" s="45" t="str">
        <f>IFERROR(__xludf.DUMMYFUNCTION("""COMPUTED_VALUE"""),"")</f>
        <v/>
      </c>
      <c r="AE1009" s="46" t="str">
        <f>IFERROR(__xludf.DUMMYFUNCTION("""COMPUTED_VALUE"""),"AP")</f>
        <v>AP</v>
      </c>
      <c r="AF1009" s="47" t="str">
        <f>IFERROR(__xludf.DUMMYFUNCTION("""COMPUTED_VALUE"""),"")</f>
        <v/>
      </c>
      <c r="AG1009" s="48" t="str">
        <f>IFERROR(__xludf.DUMMYFUNCTION("""COMPUTED_VALUE"""),"%")</f>
        <v>%</v>
      </c>
      <c r="AH1009" s="43"/>
      <c r="AI1009" s="44"/>
      <c r="AJ1009" s="51"/>
    </row>
    <row r="1010" ht="24.75" hidden="1" customHeight="1">
      <c r="A1010" s="28">
        <f>IFERROR(__xludf.DUMMYFUNCTION("""COMPUTED_VALUE"""),19.0)</f>
        <v>19</v>
      </c>
      <c r="B1010" s="28" t="str">
        <f>IFERROR(__xludf.DUMMYFUNCTION("""COMPUTED_VALUE"""),"A115")</f>
        <v>A115</v>
      </c>
      <c r="C1010" s="28"/>
      <c r="D1010" s="29"/>
      <c r="E1010" s="67"/>
      <c r="F1010" s="31"/>
      <c r="G1010" s="32"/>
      <c r="H1010" s="33" t="str">
        <f>IFERROR(__xludf.DUMMYFUNCTION("""COMPUTED_VALUE""")," ")</f>
        <v> </v>
      </c>
      <c r="I1010" s="34"/>
      <c r="J1010" s="35" t="str">
        <f>IFERROR(__xludf.DUMMYFUNCTION("""COMPUTED_VALUE"""),"AP")</f>
        <v>AP</v>
      </c>
      <c r="K1010" s="34"/>
      <c r="L1010" s="35" t="str">
        <f>IFERROR(__xludf.DUMMYFUNCTION("""COMPUTED_VALUE"""),"%")</f>
        <v>%</v>
      </c>
      <c r="M1010" s="36">
        <f>IFERROR(__xludf.DUMMYFUNCTION("""COMPUTED_VALUE"""),1.0)</f>
        <v>1</v>
      </c>
      <c r="N1010" s="37"/>
      <c r="O1010" s="38"/>
      <c r="P1010" s="34" t="str">
        <f>IFERROR(__xludf.DUMMYFUNCTION("""COMPUTED_VALUE"""),"")</f>
        <v/>
      </c>
      <c r="Q1010" s="35" t="str">
        <f>IFERROR(__xludf.DUMMYFUNCTION("""COMPUTED_VALUE"""),"AP")</f>
        <v>AP</v>
      </c>
      <c r="R1010" s="34" t="str">
        <f>IFERROR(__xludf.DUMMYFUNCTION("""COMPUTED_VALUE"""),"")</f>
        <v/>
      </c>
      <c r="S1010" s="35" t="str">
        <f>IFERROR(__xludf.DUMMYFUNCTION("""COMPUTED_VALUE"""),"%")</f>
        <v>%</v>
      </c>
      <c r="T1010" s="36">
        <f>IFERROR(__xludf.DUMMYFUNCTION("""COMPUTED_VALUE"""),2.0)</f>
        <v>2</v>
      </c>
      <c r="U1010" s="37"/>
      <c r="V1010" s="38"/>
      <c r="W1010" s="34" t="str">
        <f>IFERROR(__xludf.DUMMYFUNCTION("""COMPUTED_VALUE"""),"")</f>
        <v/>
      </c>
      <c r="X1010" s="35" t="str">
        <f>IFERROR(__xludf.DUMMYFUNCTION("""COMPUTED_VALUE"""),"AP")</f>
        <v>AP</v>
      </c>
      <c r="Y1010" s="34" t="str">
        <f>IFERROR(__xludf.DUMMYFUNCTION("""COMPUTED_VALUE"""),"")</f>
        <v/>
      </c>
      <c r="Z1010" s="35" t="str">
        <f>IFERROR(__xludf.DUMMYFUNCTION("""COMPUTED_VALUE"""),"%")</f>
        <v>%</v>
      </c>
      <c r="AA1010" s="36">
        <f>IFERROR(__xludf.DUMMYFUNCTION("""COMPUTED_VALUE"""),3.0)</f>
        <v>3</v>
      </c>
      <c r="AB1010" s="37"/>
      <c r="AC1010" s="38"/>
      <c r="AD1010" s="34" t="str">
        <f>IFERROR(__xludf.DUMMYFUNCTION("""COMPUTED_VALUE"""),"")</f>
        <v/>
      </c>
      <c r="AE1010" s="35" t="str">
        <f>IFERROR(__xludf.DUMMYFUNCTION("""COMPUTED_VALUE"""),"AP")</f>
        <v>AP</v>
      </c>
      <c r="AF1010" s="34" t="str">
        <f>IFERROR(__xludf.DUMMYFUNCTION("""COMPUTED_VALUE"""),"")</f>
        <v/>
      </c>
      <c r="AG1010" s="35" t="str">
        <f>IFERROR(__xludf.DUMMYFUNCTION("""COMPUTED_VALUE"""),"%")</f>
        <v>%</v>
      </c>
      <c r="AH1010" s="31"/>
      <c r="AI1010" s="32"/>
      <c r="AJ1010" s="39"/>
    </row>
    <row r="1011" ht="24.75" hidden="1" customHeight="1">
      <c r="A1011" s="40">
        <f>IFERROR(__xludf.DUMMYFUNCTION("""COMPUTED_VALUE"""),20.0)</f>
        <v>20</v>
      </c>
      <c r="B1011" s="40" t="str">
        <f>IFERROR(__xludf.DUMMYFUNCTION("""COMPUTED_VALUE"""),"A115")</f>
        <v>A115</v>
      </c>
      <c r="C1011" s="40"/>
      <c r="D1011" s="41"/>
      <c r="E1011" s="66"/>
      <c r="F1011" s="43"/>
      <c r="G1011" s="44"/>
      <c r="H1011" s="33" t="str">
        <f>IFERROR(__xludf.DUMMYFUNCTION("""COMPUTED_VALUE""")," ")</f>
        <v> </v>
      </c>
      <c r="I1011" s="45"/>
      <c r="J1011" s="46" t="str">
        <f>IFERROR(__xludf.DUMMYFUNCTION("""COMPUTED_VALUE"""),"AP")</f>
        <v>AP</v>
      </c>
      <c r="K1011" s="47"/>
      <c r="L1011" s="48" t="str">
        <f>IFERROR(__xludf.DUMMYFUNCTION("""COMPUTED_VALUE"""),"%")</f>
        <v>%</v>
      </c>
      <c r="M1011" s="49">
        <f>IFERROR(__xludf.DUMMYFUNCTION("""COMPUTED_VALUE"""),1.0)</f>
        <v>1</v>
      </c>
      <c r="N1011" s="50"/>
      <c r="O1011" s="38"/>
      <c r="P1011" s="45" t="str">
        <f>IFERROR(__xludf.DUMMYFUNCTION("""COMPUTED_VALUE"""),"")</f>
        <v/>
      </c>
      <c r="Q1011" s="46" t="str">
        <f>IFERROR(__xludf.DUMMYFUNCTION("""COMPUTED_VALUE"""),"AP")</f>
        <v>AP</v>
      </c>
      <c r="R1011" s="47" t="str">
        <f>IFERROR(__xludf.DUMMYFUNCTION("""COMPUTED_VALUE"""),"")</f>
        <v/>
      </c>
      <c r="S1011" s="48" t="str">
        <f>IFERROR(__xludf.DUMMYFUNCTION("""COMPUTED_VALUE"""),"%")</f>
        <v>%</v>
      </c>
      <c r="T1011" s="49">
        <f>IFERROR(__xludf.DUMMYFUNCTION("""COMPUTED_VALUE"""),2.0)</f>
        <v>2</v>
      </c>
      <c r="U1011" s="50"/>
      <c r="V1011" s="38"/>
      <c r="W1011" s="45" t="str">
        <f>IFERROR(__xludf.DUMMYFUNCTION("""COMPUTED_VALUE"""),"")</f>
        <v/>
      </c>
      <c r="X1011" s="46" t="str">
        <f>IFERROR(__xludf.DUMMYFUNCTION("""COMPUTED_VALUE"""),"AP")</f>
        <v>AP</v>
      </c>
      <c r="Y1011" s="47" t="str">
        <f>IFERROR(__xludf.DUMMYFUNCTION("""COMPUTED_VALUE"""),"")</f>
        <v/>
      </c>
      <c r="Z1011" s="48" t="str">
        <f>IFERROR(__xludf.DUMMYFUNCTION("""COMPUTED_VALUE"""),"%")</f>
        <v>%</v>
      </c>
      <c r="AA1011" s="49">
        <f>IFERROR(__xludf.DUMMYFUNCTION("""COMPUTED_VALUE"""),3.0)</f>
        <v>3</v>
      </c>
      <c r="AB1011" s="50"/>
      <c r="AC1011" s="38"/>
      <c r="AD1011" s="45" t="str">
        <f>IFERROR(__xludf.DUMMYFUNCTION("""COMPUTED_VALUE"""),"")</f>
        <v/>
      </c>
      <c r="AE1011" s="46" t="str">
        <f>IFERROR(__xludf.DUMMYFUNCTION("""COMPUTED_VALUE"""),"AP")</f>
        <v>AP</v>
      </c>
      <c r="AF1011" s="47" t="str">
        <f>IFERROR(__xludf.DUMMYFUNCTION("""COMPUTED_VALUE"""),"")</f>
        <v/>
      </c>
      <c r="AG1011" s="48" t="str">
        <f>IFERROR(__xludf.DUMMYFUNCTION("""COMPUTED_VALUE"""),"%")</f>
        <v>%</v>
      </c>
      <c r="AH1011" s="43"/>
      <c r="AI1011" s="44"/>
      <c r="AJ1011" s="51"/>
    </row>
    <row r="1012">
      <c r="A1012" s="52"/>
      <c r="B1012" s="53"/>
      <c r="C1012" s="54"/>
      <c r="D1012" s="55"/>
      <c r="E1012" s="56"/>
      <c r="F1012" s="53"/>
      <c r="G1012" s="53"/>
      <c r="H1012" s="53"/>
      <c r="I1012" s="53"/>
      <c r="J1012" s="57"/>
      <c r="K1012" s="53"/>
      <c r="L1012" s="57"/>
      <c r="M1012" s="53"/>
      <c r="N1012" s="53"/>
      <c r="O1012" s="53"/>
      <c r="P1012" s="53"/>
      <c r="Q1012" s="57"/>
      <c r="R1012" s="53"/>
      <c r="S1012" s="57"/>
      <c r="T1012" s="53"/>
      <c r="U1012" s="53"/>
      <c r="V1012" s="53"/>
      <c r="W1012" s="53"/>
      <c r="X1012" s="57"/>
      <c r="Y1012" s="53"/>
      <c r="Z1012" s="57"/>
      <c r="AA1012" s="53"/>
      <c r="AB1012" s="53"/>
      <c r="AC1012" s="53"/>
      <c r="AD1012" s="53"/>
      <c r="AE1012" s="57"/>
      <c r="AF1012" s="53"/>
      <c r="AG1012" s="57"/>
      <c r="AH1012" s="53"/>
      <c r="AI1012" s="53"/>
      <c r="AJ1012" s="58"/>
    </row>
    <row r="1013">
      <c r="A1013" s="59"/>
      <c r="B1013" s="60"/>
      <c r="C1013" s="61"/>
      <c r="D1013" s="62"/>
      <c r="E1013" s="63"/>
      <c r="F1013" s="60"/>
      <c r="G1013" s="60"/>
      <c r="H1013" s="60"/>
      <c r="I1013" s="60"/>
      <c r="J1013" s="64"/>
      <c r="K1013" s="60"/>
      <c r="L1013" s="64"/>
      <c r="M1013" s="60"/>
      <c r="N1013" s="60"/>
      <c r="O1013" s="60"/>
      <c r="P1013" s="60"/>
      <c r="Q1013" s="64"/>
      <c r="R1013" s="60"/>
      <c r="S1013" s="64"/>
      <c r="T1013" s="60"/>
      <c r="U1013" s="60"/>
      <c r="V1013" s="60"/>
      <c r="W1013" s="60"/>
      <c r="X1013" s="64"/>
      <c r="Y1013" s="60"/>
      <c r="Z1013" s="64"/>
      <c r="AA1013" s="60"/>
      <c r="AB1013" s="60"/>
      <c r="AC1013" s="60"/>
      <c r="AD1013" s="60"/>
      <c r="AE1013" s="64"/>
      <c r="AF1013" s="60"/>
      <c r="AG1013" s="64"/>
      <c r="AH1013" s="60"/>
      <c r="AI1013" s="60"/>
      <c r="AJ1013" s="65"/>
    </row>
    <row r="1014" ht="33.0" customHeight="1">
      <c r="A1014" s="20" t="str">
        <f>IFERROR(__xludf.DUMMYFUNCTION("""COMPUTED_VALUE""")," ")</f>
        <v> </v>
      </c>
      <c r="B1014" s="21" t="str">
        <f>IFERROR(__xludf.DUMMYFUNCTION("""COMPUTED_VALUE"""),"A116")</f>
        <v>A116</v>
      </c>
      <c r="C1014" s="20"/>
      <c r="D1014" s="22" t="str">
        <f>IFERROR(__xludf.DUMMYFUNCTION("""COMPUTED_VALUE"""),"")</f>
        <v/>
      </c>
      <c r="E1014" s="23" t="str">
        <f>IFERROR(__xludf.DUMMYFUNCTION("""COMPUTED_VALUE"""),"Glittering Star Shard")</f>
        <v>Glittering Star Shard</v>
      </c>
      <c r="F1014" s="24"/>
      <c r="G1014" s="24"/>
      <c r="H1014" s="25"/>
      <c r="I1014" s="25"/>
      <c r="J1014" s="26"/>
      <c r="K1014" s="25"/>
      <c r="L1014" s="26"/>
      <c r="M1014" s="25"/>
      <c r="N1014" s="25"/>
      <c r="O1014" s="25"/>
      <c r="P1014" s="25"/>
      <c r="Q1014" s="26"/>
      <c r="R1014" s="25"/>
      <c r="S1014" s="26"/>
      <c r="T1014" s="25"/>
      <c r="U1014" s="25"/>
      <c r="V1014" s="25"/>
      <c r="W1014" s="25"/>
      <c r="X1014" s="26"/>
      <c r="Y1014" s="25"/>
      <c r="Z1014" s="26"/>
      <c r="AA1014" s="25"/>
      <c r="AB1014" s="25"/>
      <c r="AC1014" s="25"/>
      <c r="AD1014" s="25"/>
      <c r="AE1014" s="26"/>
      <c r="AF1014" s="25"/>
      <c r="AG1014" s="26"/>
      <c r="AH1014" s="24"/>
      <c r="AI1014" s="25"/>
      <c r="AJ1014" s="27"/>
    </row>
    <row r="1015" ht="24.75" customHeight="1">
      <c r="A1015" s="28">
        <f>IFERROR(__xludf.DUMMYFUNCTION("""COMPUTED_VALUE"""),1.0)</f>
        <v>1</v>
      </c>
      <c r="B1015" s="28" t="str">
        <f>IFERROR(__xludf.DUMMYFUNCTION("""COMPUTED_VALUE"""),"A116")</f>
        <v>A116</v>
      </c>
      <c r="C1015" s="28" t="str">
        <f>IFERROR(__xludf.DUMMYFUNCTION("""COMPUTED_VALUE"""),"OLP9")</f>
        <v>OLP9</v>
      </c>
      <c r="D1015" s="29" t="str">
        <f>IFERROR(__xludf.DUMMYFUNCTION("""COMPUTED_VALUE"""),"Olympus")</f>
        <v>Olympus</v>
      </c>
      <c r="E1015" s="30" t="str">
        <f>IFERROR(__xludf.DUMMYFUNCTION("""COMPUTED_VALUE"""),"Machine God's Cloister")</f>
        <v>Machine God's Cloister</v>
      </c>
      <c r="F1015" s="31">
        <f>IFERROR(__xludf.DUMMYFUNCTION("""COMPUTED_VALUE"""),21.0)</f>
        <v>21</v>
      </c>
      <c r="G1015" s="32">
        <f>IFERROR(__xludf.DUMMYFUNCTION("""COMPUTED_VALUE"""),3310.0)</f>
        <v>3310</v>
      </c>
      <c r="H1015" s="33" t="str">
        <f>IFERROR(__xludf.DUMMYFUNCTION("""COMPUTED_VALUE"""),"")</f>
        <v/>
      </c>
      <c r="I1015" s="34">
        <f>IFERROR(__xludf.DUMMYFUNCTION("""COMPUTED_VALUE"""),167.9)</f>
        <v>167.9</v>
      </c>
      <c r="J1015" s="35" t="str">
        <f>IFERROR(__xludf.DUMMYFUNCTION("""COMPUTED_VALUE"""),"AP")</f>
        <v>AP</v>
      </c>
      <c r="K1015" s="34">
        <f>IFERROR(__xludf.DUMMYFUNCTION("""COMPUTED_VALUE"""),12.5)</f>
        <v>12.5</v>
      </c>
      <c r="L1015" s="35" t="str">
        <f>IFERROR(__xludf.DUMMYFUNCTION("""COMPUTED_VALUE"""),"%")</f>
        <v>%</v>
      </c>
      <c r="M1015" s="36">
        <f>IFERROR(__xludf.DUMMYFUNCTION("""COMPUTED_VALUE"""),1.0)</f>
        <v>1</v>
      </c>
      <c r="N1015" s="37" t="str">
        <f>IFERROR(__xludf.DUMMYFUNCTION("""COMPUTED_VALUE"""),"A204")</f>
        <v>A204</v>
      </c>
      <c r="O1015" s="38" t="str">
        <f>IFERROR(__xludf.DUMMYFUNCTION("""COMPUTED_VALUE"""),"")</f>
        <v/>
      </c>
      <c r="P1015" s="34">
        <f>IFERROR(__xludf.DUMMYFUNCTION("""COMPUTED_VALUE"""),80.7)</f>
        <v>80.7</v>
      </c>
      <c r="Q1015" s="35" t="str">
        <f>IFERROR(__xludf.DUMMYFUNCTION("""COMPUTED_VALUE"""),"AP")</f>
        <v>AP</v>
      </c>
      <c r="R1015" s="34">
        <f>IFERROR(__xludf.DUMMYFUNCTION("""COMPUTED_VALUE"""),26.0)</f>
        <v>26</v>
      </c>
      <c r="S1015" s="35" t="str">
        <f>IFERROR(__xludf.DUMMYFUNCTION("""COMPUTED_VALUE"""),"%")</f>
        <v>%</v>
      </c>
      <c r="T1015" s="36">
        <f>IFERROR(__xludf.DUMMYFUNCTION("""COMPUTED_VALUE"""),2.0)</f>
        <v>2</v>
      </c>
      <c r="U1015" s="37" t="str">
        <f>IFERROR(__xludf.DUMMYFUNCTION("""COMPUTED_VALUE"""),"B104")</f>
        <v>B104</v>
      </c>
      <c r="V1015" s="38" t="str">
        <f>IFERROR(__xludf.DUMMYFUNCTION("""COMPUTED_VALUE"""),"")</f>
        <v/>
      </c>
      <c r="W1015" s="34">
        <f>IFERROR(__xludf.DUMMYFUNCTION("""COMPUTED_VALUE"""),471.7)</f>
        <v>471.7</v>
      </c>
      <c r="X1015" s="35" t="str">
        <f>IFERROR(__xludf.DUMMYFUNCTION("""COMPUTED_VALUE"""),"AP")</f>
        <v>AP</v>
      </c>
      <c r="Y1015" s="34">
        <f>IFERROR(__xludf.DUMMYFUNCTION("""COMPUTED_VALUE"""),4.5)</f>
        <v>4.5</v>
      </c>
      <c r="Z1015" s="35" t="str">
        <f>IFERROR(__xludf.DUMMYFUNCTION("""COMPUTED_VALUE"""),"%")</f>
        <v>%</v>
      </c>
      <c r="AA1015" s="36">
        <f>IFERROR(__xludf.DUMMYFUNCTION("""COMPUTED_VALUE"""),3.0)</f>
        <v>3</v>
      </c>
      <c r="AB1015" s="37" t="str">
        <f>IFERROR(__xludf.DUMMYFUNCTION("""COMPUTED_VALUE"""),"B115")</f>
        <v>B115</v>
      </c>
      <c r="AC1015" s="38" t="str">
        <f>IFERROR(__xludf.DUMMYFUNCTION("""COMPUTED_VALUE"""),"")</f>
        <v/>
      </c>
      <c r="AD1015" s="34">
        <f>IFERROR(__xludf.DUMMYFUNCTION("""COMPUTED_VALUE"""),37.9)</f>
        <v>37.9</v>
      </c>
      <c r="AE1015" s="35" t="str">
        <f>IFERROR(__xludf.DUMMYFUNCTION("""COMPUTED_VALUE"""),"AP")</f>
        <v>AP</v>
      </c>
      <c r="AF1015" s="34">
        <f>IFERROR(__xludf.DUMMYFUNCTION("""COMPUTED_VALUE"""),55.4)</f>
        <v>55.4</v>
      </c>
      <c r="AG1015" s="35" t="str">
        <f>IFERROR(__xludf.DUMMYFUNCTION("""COMPUTED_VALUE"""),"%")</f>
        <v>%</v>
      </c>
      <c r="AH1015" s="31">
        <f>IFERROR(__xludf.DUMMYFUNCTION("""COMPUTED_VALUE"""),21.0)</f>
        <v>21</v>
      </c>
      <c r="AI1015" s="32">
        <f>IFERROR(__xludf.DUMMYFUNCTION("""COMPUTED_VALUE"""),3310.0)</f>
        <v>3310</v>
      </c>
      <c r="AJ1015" s="39" t="str">
        <f>IFERROR(__xludf.DUMMYFUNCTION("""COMPUTED_VALUE"""),"機神回廊")</f>
        <v>機神回廊</v>
      </c>
    </row>
    <row r="1016" ht="24.75" customHeight="1">
      <c r="A1016" s="40">
        <f>IFERROR(__xludf.DUMMYFUNCTION("""COMPUTED_VALUE"""),2.0)</f>
        <v>2</v>
      </c>
      <c r="B1016" s="40" t="str">
        <f>IFERROR(__xludf.DUMMYFUNCTION("""COMPUTED_VALUE"""),"A116")</f>
        <v>A116</v>
      </c>
      <c r="C1016" s="40" t="str">
        <f>IFERROR(__xludf.DUMMYFUNCTION("""COMPUTED_VALUE"""),"OLP8")</f>
        <v>OLP8</v>
      </c>
      <c r="D1016" s="41" t="str">
        <f>IFERROR(__xludf.DUMMYFUNCTION("""COMPUTED_VALUE"""),"Olympus")</f>
        <v>Olympus</v>
      </c>
      <c r="E1016" s="42" t="str">
        <f>IFERROR(__xludf.DUMMYFUNCTION("""COMPUTED_VALUE"""),"Aerial Garden")</f>
        <v>Aerial Garden</v>
      </c>
      <c r="F1016" s="43">
        <f>IFERROR(__xludf.DUMMYFUNCTION("""COMPUTED_VALUE"""),21.0)</f>
        <v>21</v>
      </c>
      <c r="G1016" s="44">
        <f>IFERROR(__xludf.DUMMYFUNCTION("""COMPUTED_VALUE"""),39476.0)</f>
        <v>39476</v>
      </c>
      <c r="H1016" s="33" t="str">
        <f>IFERROR(__xludf.DUMMYFUNCTION("""COMPUTED_VALUE"""),"")</f>
        <v/>
      </c>
      <c r="I1016" s="45">
        <f>IFERROR(__xludf.DUMMYFUNCTION("""COMPUTED_VALUE"""),173.8)</f>
        <v>173.8</v>
      </c>
      <c r="J1016" s="46" t="str">
        <f>IFERROR(__xludf.DUMMYFUNCTION("""COMPUTED_VALUE"""),"AP")</f>
        <v>AP</v>
      </c>
      <c r="K1016" s="47">
        <f>IFERROR(__xludf.DUMMYFUNCTION("""COMPUTED_VALUE"""),12.1)</f>
        <v>12.1</v>
      </c>
      <c r="L1016" s="48" t="str">
        <f>IFERROR(__xludf.DUMMYFUNCTION("""COMPUTED_VALUE"""),"%")</f>
        <v>%</v>
      </c>
      <c r="M1016" s="49">
        <f>IFERROR(__xludf.DUMMYFUNCTION("""COMPUTED_VALUE"""),1.0)</f>
        <v>1</v>
      </c>
      <c r="N1016" s="50" t="str">
        <f>IFERROR(__xludf.DUMMYFUNCTION("""COMPUTED_VALUE"""),"A219")</f>
        <v>A219</v>
      </c>
      <c r="O1016" s="38" t="str">
        <f>IFERROR(__xludf.DUMMYFUNCTION("""COMPUTED_VALUE"""),"")</f>
        <v/>
      </c>
      <c r="P1016" s="45">
        <f>IFERROR(__xludf.DUMMYFUNCTION("""COMPUTED_VALUE"""),83.3)</f>
        <v>83.3</v>
      </c>
      <c r="Q1016" s="46" t="str">
        <f>IFERROR(__xludf.DUMMYFUNCTION("""COMPUTED_VALUE"""),"AP")</f>
        <v>AP</v>
      </c>
      <c r="R1016" s="47">
        <f>IFERROR(__xludf.DUMMYFUNCTION("""COMPUTED_VALUE"""),25.2)</f>
        <v>25.2</v>
      </c>
      <c r="S1016" s="48" t="str">
        <f>IFERROR(__xludf.DUMMYFUNCTION("""COMPUTED_VALUE"""),"%")</f>
        <v>%</v>
      </c>
      <c r="T1016" s="49">
        <f>IFERROR(__xludf.DUMMYFUNCTION("""COMPUTED_VALUE"""),2.0)</f>
        <v>2</v>
      </c>
      <c r="U1016" s="50" t="str">
        <f>IFERROR(__xludf.DUMMYFUNCTION("""COMPUTED_VALUE"""),"B104")</f>
        <v>B104</v>
      </c>
      <c r="V1016" s="38" t="str">
        <f>IFERROR(__xludf.DUMMYFUNCTION("""COMPUTED_VALUE"""),"")</f>
        <v/>
      </c>
      <c r="W1016" s="45">
        <f>IFERROR(__xludf.DUMMYFUNCTION("""COMPUTED_VALUE"""),511.1)</f>
        <v>511.1</v>
      </c>
      <c r="X1016" s="46" t="str">
        <f>IFERROR(__xludf.DUMMYFUNCTION("""COMPUTED_VALUE"""),"AP")</f>
        <v>AP</v>
      </c>
      <c r="Y1016" s="47">
        <f>IFERROR(__xludf.DUMMYFUNCTION("""COMPUTED_VALUE"""),4.1)</f>
        <v>4.1</v>
      </c>
      <c r="Z1016" s="48" t="str">
        <f>IFERROR(__xludf.DUMMYFUNCTION("""COMPUTED_VALUE"""),"%")</f>
        <v>%</v>
      </c>
      <c r="AA1016" s="49">
        <f>IFERROR(__xludf.DUMMYFUNCTION("""COMPUTED_VALUE"""),3.0)</f>
        <v>3</v>
      </c>
      <c r="AB1016" s="50" t="str">
        <f>IFERROR(__xludf.DUMMYFUNCTION("""COMPUTED_VALUE"""),"B116")</f>
        <v>B116</v>
      </c>
      <c r="AC1016" s="38" t="str">
        <f>IFERROR(__xludf.DUMMYFUNCTION("""COMPUTED_VALUE"""),"")</f>
        <v/>
      </c>
      <c r="AD1016" s="45">
        <f>IFERROR(__xludf.DUMMYFUNCTION("""COMPUTED_VALUE"""),62.1)</f>
        <v>62.1</v>
      </c>
      <c r="AE1016" s="46" t="str">
        <f>IFERROR(__xludf.DUMMYFUNCTION("""COMPUTED_VALUE"""),"AP")</f>
        <v>AP</v>
      </c>
      <c r="AF1016" s="47">
        <f>IFERROR(__xludf.DUMMYFUNCTION("""COMPUTED_VALUE"""),33.8)</f>
        <v>33.8</v>
      </c>
      <c r="AG1016" s="48" t="str">
        <f>IFERROR(__xludf.DUMMYFUNCTION("""COMPUTED_VALUE"""),"%")</f>
        <v>%</v>
      </c>
      <c r="AH1016" s="43">
        <f>IFERROR(__xludf.DUMMYFUNCTION("""COMPUTED_VALUE"""),21.0)</f>
        <v>21</v>
      </c>
      <c r="AI1016" s="44">
        <f>IFERROR(__xludf.DUMMYFUNCTION("""COMPUTED_VALUE"""),39476.0)</f>
        <v>39476</v>
      </c>
      <c r="AJ1016" s="51" t="str">
        <f>IFERROR(__xludf.DUMMYFUNCTION("""COMPUTED_VALUE"""),"空中庭園")</f>
        <v>空中庭園</v>
      </c>
    </row>
    <row r="1017" ht="24.75" customHeight="1">
      <c r="A1017" s="28">
        <f>IFERROR(__xludf.DUMMYFUNCTION("""COMPUTED_VALUE"""),3.0)</f>
        <v>3</v>
      </c>
      <c r="B1017" s="28" t="str">
        <f>IFERROR(__xludf.DUMMYFUNCTION("""COMPUTED_VALUE"""),"A116")</f>
        <v>A116</v>
      </c>
      <c r="C1017" s="28" t="str">
        <f>IFERROR(__xludf.DUMMYFUNCTION("""COMPUTED_VALUE"""),"ATL8")</f>
        <v>ATL8</v>
      </c>
      <c r="D1017" s="29" t="str">
        <f>IFERROR(__xludf.DUMMYFUNCTION("""COMPUTED_VALUE"""),"Atlantis")</f>
        <v>Atlantis</v>
      </c>
      <c r="E1017" s="30" t="str">
        <f>IFERROR(__xludf.DUMMYFUNCTION("""COMPUTED_VALUE"""),"Nemesis Island")</f>
        <v>Nemesis Island</v>
      </c>
      <c r="F1017" s="31">
        <f>IFERROR(__xludf.DUMMYFUNCTION("""COMPUTED_VALUE"""),21.0)</f>
        <v>21</v>
      </c>
      <c r="G1017" s="32">
        <f>IFERROR(__xludf.DUMMYFUNCTION("""COMPUTED_VALUE"""),93630.0)</f>
        <v>93630</v>
      </c>
      <c r="H1017" s="33" t="str">
        <f>IFERROR(__xludf.DUMMYFUNCTION("""COMPUTED_VALUE"""),"")</f>
        <v/>
      </c>
      <c r="I1017" s="34">
        <f>IFERROR(__xludf.DUMMYFUNCTION("""COMPUTED_VALUE"""),174.3)</f>
        <v>174.3</v>
      </c>
      <c r="J1017" s="35" t="str">
        <f>IFERROR(__xludf.DUMMYFUNCTION("""COMPUTED_VALUE"""),"AP")</f>
        <v>AP</v>
      </c>
      <c r="K1017" s="34">
        <f>IFERROR(__xludf.DUMMYFUNCTION("""COMPUTED_VALUE"""),12.0)</f>
        <v>12</v>
      </c>
      <c r="L1017" s="35" t="str">
        <f>IFERROR(__xludf.DUMMYFUNCTION("""COMPUTED_VALUE"""),"%")</f>
        <v>%</v>
      </c>
      <c r="M1017" s="36">
        <f>IFERROR(__xludf.DUMMYFUNCTION("""COMPUTED_VALUE"""),1.0)</f>
        <v>1</v>
      </c>
      <c r="N1017" s="37" t="str">
        <f>IFERROR(__xludf.DUMMYFUNCTION("""COMPUTED_VALUE"""),"A218")</f>
        <v>A218</v>
      </c>
      <c r="O1017" s="38" t="str">
        <f>IFERROR(__xludf.DUMMYFUNCTION("""COMPUTED_VALUE"""),"")</f>
        <v/>
      </c>
      <c r="P1017" s="34">
        <f>IFERROR(__xludf.DUMMYFUNCTION("""COMPUTED_VALUE"""),82.5)</f>
        <v>82.5</v>
      </c>
      <c r="Q1017" s="35" t="str">
        <f>IFERROR(__xludf.DUMMYFUNCTION("""COMPUTED_VALUE"""),"AP")</f>
        <v>AP</v>
      </c>
      <c r="R1017" s="34">
        <f>IFERROR(__xludf.DUMMYFUNCTION("""COMPUTED_VALUE"""),25.5)</f>
        <v>25.5</v>
      </c>
      <c r="S1017" s="35" t="str">
        <f>IFERROR(__xludf.DUMMYFUNCTION("""COMPUTED_VALUE"""),"%")</f>
        <v>%</v>
      </c>
      <c r="T1017" s="36">
        <f>IFERROR(__xludf.DUMMYFUNCTION("""COMPUTED_VALUE"""),2.0)</f>
        <v>2</v>
      </c>
      <c r="U1017" s="37" t="str">
        <f>IFERROR(__xludf.DUMMYFUNCTION("""COMPUTED_VALUE"""),"B104")</f>
        <v>B104</v>
      </c>
      <c r="V1017" s="38" t="str">
        <f>IFERROR(__xludf.DUMMYFUNCTION("""COMPUTED_VALUE"""),"")</f>
        <v/>
      </c>
      <c r="W1017" s="34">
        <f>IFERROR(__xludf.DUMMYFUNCTION("""COMPUTED_VALUE"""),527.0)</f>
        <v>527</v>
      </c>
      <c r="X1017" s="35" t="str">
        <f>IFERROR(__xludf.DUMMYFUNCTION("""COMPUTED_VALUE"""),"AP")</f>
        <v>AP</v>
      </c>
      <c r="Y1017" s="34">
        <f>IFERROR(__xludf.DUMMYFUNCTION("""COMPUTED_VALUE"""),4.0)</f>
        <v>4</v>
      </c>
      <c r="Z1017" s="35" t="str">
        <f>IFERROR(__xludf.DUMMYFUNCTION("""COMPUTED_VALUE"""),"%")</f>
        <v>%</v>
      </c>
      <c r="AA1017" s="36">
        <f>IFERROR(__xludf.DUMMYFUNCTION("""COMPUTED_VALUE"""),3.0)</f>
        <v>3</v>
      </c>
      <c r="AB1017" s="37" t="str">
        <f>IFERROR(__xludf.DUMMYFUNCTION("""COMPUTED_VALUE"""),"B117")</f>
        <v>B117</v>
      </c>
      <c r="AC1017" s="38" t="str">
        <f>IFERROR(__xludf.DUMMYFUNCTION("""COMPUTED_VALUE"""),"")</f>
        <v/>
      </c>
      <c r="AD1017" s="34">
        <f>IFERROR(__xludf.DUMMYFUNCTION("""COMPUTED_VALUE"""),60.1)</f>
        <v>60.1</v>
      </c>
      <c r="AE1017" s="35" t="str">
        <f>IFERROR(__xludf.DUMMYFUNCTION("""COMPUTED_VALUE"""),"AP")</f>
        <v>AP</v>
      </c>
      <c r="AF1017" s="34">
        <f>IFERROR(__xludf.DUMMYFUNCTION("""COMPUTED_VALUE"""),34.9)</f>
        <v>34.9</v>
      </c>
      <c r="AG1017" s="35" t="str">
        <f>IFERROR(__xludf.DUMMYFUNCTION("""COMPUTED_VALUE"""),"%")</f>
        <v>%</v>
      </c>
      <c r="AH1017" s="31">
        <f>IFERROR(__xludf.DUMMYFUNCTION("""COMPUTED_VALUE"""),21.0)</f>
        <v>21</v>
      </c>
      <c r="AI1017" s="32">
        <f>IFERROR(__xludf.DUMMYFUNCTION("""COMPUTED_VALUE"""),93630.0)</f>
        <v>93630</v>
      </c>
      <c r="AJ1017" s="39" t="str">
        <f>IFERROR(__xludf.DUMMYFUNCTION("""COMPUTED_VALUE"""),"ネメシス島")</f>
        <v>ネメシス島</v>
      </c>
    </row>
    <row r="1018" ht="24.75" customHeight="1">
      <c r="A1018" s="40">
        <f>IFERROR(__xludf.DUMMYFUNCTION("""COMPUTED_VALUE"""),4.0)</f>
        <v>4</v>
      </c>
      <c r="B1018" s="40" t="str">
        <f>IFERROR(__xludf.DUMMYFUNCTION("""COMPUTED_VALUE"""),"A116")</f>
        <v>A116</v>
      </c>
      <c r="C1018" s="40" t="str">
        <f>IFERROR(__xludf.DUMMYFUNCTION("""COMPUTED_VALUE"""),"ATL1")</f>
        <v>ATL1</v>
      </c>
      <c r="D1018" s="41" t="str">
        <f>IFERROR(__xludf.DUMMYFUNCTION("""COMPUTED_VALUE"""),"Atlantis")</f>
        <v>Atlantis</v>
      </c>
      <c r="E1018" s="42" t="str">
        <f>IFERROR(__xludf.DUMMYFUNCTION("""COMPUTED_VALUE"""),"Sailing Point")</f>
        <v>Sailing Point</v>
      </c>
      <c r="F1018" s="43">
        <f>IFERROR(__xludf.DUMMYFUNCTION("""COMPUTED_VALUE"""),21.0)</f>
        <v>21</v>
      </c>
      <c r="G1018" s="44">
        <f>IFERROR(__xludf.DUMMYFUNCTION("""COMPUTED_VALUE"""),53983.0)</f>
        <v>53983</v>
      </c>
      <c r="H1018" s="33" t="str">
        <f>IFERROR(__xludf.DUMMYFUNCTION("""COMPUTED_VALUE"""),"")</f>
        <v/>
      </c>
      <c r="I1018" s="45">
        <f>IFERROR(__xludf.DUMMYFUNCTION("""COMPUTED_VALUE"""),178.3)</f>
        <v>178.3</v>
      </c>
      <c r="J1018" s="46" t="str">
        <f>IFERROR(__xludf.DUMMYFUNCTION("""COMPUTED_VALUE"""),"AP")</f>
        <v>AP</v>
      </c>
      <c r="K1018" s="47">
        <f>IFERROR(__xludf.DUMMYFUNCTION("""COMPUTED_VALUE"""),11.8)</f>
        <v>11.8</v>
      </c>
      <c r="L1018" s="48" t="str">
        <f>IFERROR(__xludf.DUMMYFUNCTION("""COMPUTED_VALUE"""),"%")</f>
        <v>%</v>
      </c>
      <c r="M1018" s="49">
        <f>IFERROR(__xludf.DUMMYFUNCTION("""COMPUTED_VALUE"""),1.0)</f>
        <v>1</v>
      </c>
      <c r="N1018" s="50" t="str">
        <f>IFERROR(__xludf.DUMMYFUNCTION("""COMPUTED_VALUE"""),"A211")</f>
        <v>A211</v>
      </c>
      <c r="O1018" s="38" t="str">
        <f>IFERROR(__xludf.DUMMYFUNCTION("""COMPUTED_VALUE"""),"")</f>
        <v/>
      </c>
      <c r="P1018" s="45">
        <f>IFERROR(__xludf.DUMMYFUNCTION("""COMPUTED_VALUE"""),82.5)</f>
        <v>82.5</v>
      </c>
      <c r="Q1018" s="46" t="str">
        <f>IFERROR(__xludf.DUMMYFUNCTION("""COMPUTED_VALUE"""),"AP")</f>
        <v>AP</v>
      </c>
      <c r="R1018" s="47">
        <f>IFERROR(__xludf.DUMMYFUNCTION("""COMPUTED_VALUE"""),25.5)</f>
        <v>25.5</v>
      </c>
      <c r="S1018" s="48" t="str">
        <f>IFERROR(__xludf.DUMMYFUNCTION("""COMPUTED_VALUE"""),"%")</f>
        <v>%</v>
      </c>
      <c r="T1018" s="49">
        <f>IFERROR(__xludf.DUMMYFUNCTION("""COMPUTED_VALUE"""),2.0)</f>
        <v>2</v>
      </c>
      <c r="U1018" s="50" t="str">
        <f>IFERROR(__xludf.DUMMYFUNCTION("""COMPUTED_VALUE"""),"B104")</f>
        <v>B104</v>
      </c>
      <c r="V1018" s="38" t="str">
        <f>IFERROR(__xludf.DUMMYFUNCTION("""COMPUTED_VALUE"""),"")</f>
        <v/>
      </c>
      <c r="W1018" s="45">
        <f>IFERROR(__xludf.DUMMYFUNCTION("""COMPUTED_VALUE"""),521.9)</f>
        <v>521.9</v>
      </c>
      <c r="X1018" s="46" t="str">
        <f>IFERROR(__xludf.DUMMYFUNCTION("""COMPUTED_VALUE"""),"AP")</f>
        <v>AP</v>
      </c>
      <c r="Y1018" s="47">
        <f>IFERROR(__xludf.DUMMYFUNCTION("""COMPUTED_VALUE"""),4.0)</f>
        <v>4</v>
      </c>
      <c r="Z1018" s="48" t="str">
        <f>IFERROR(__xludf.DUMMYFUNCTION("""COMPUTED_VALUE"""),"%")</f>
        <v>%</v>
      </c>
      <c r="AA1018" s="49">
        <f>IFERROR(__xludf.DUMMYFUNCTION("""COMPUTED_VALUE"""),3.0)</f>
        <v>3</v>
      </c>
      <c r="AB1018" s="50"/>
      <c r="AC1018" s="38"/>
      <c r="AD1018" s="45" t="str">
        <f>IFERROR(__xludf.DUMMYFUNCTION("""COMPUTED_VALUE"""),"")</f>
        <v/>
      </c>
      <c r="AE1018" s="46" t="str">
        <f>IFERROR(__xludf.DUMMYFUNCTION("""COMPUTED_VALUE"""),"AP")</f>
        <v>AP</v>
      </c>
      <c r="AF1018" s="47" t="str">
        <f>IFERROR(__xludf.DUMMYFUNCTION("""COMPUTED_VALUE"""),"")</f>
        <v/>
      </c>
      <c r="AG1018" s="48" t="str">
        <f>IFERROR(__xludf.DUMMYFUNCTION("""COMPUTED_VALUE"""),"%")</f>
        <v>%</v>
      </c>
      <c r="AH1018" s="43">
        <f>IFERROR(__xludf.DUMMYFUNCTION("""COMPUTED_VALUE"""),21.0)</f>
        <v>21</v>
      </c>
      <c r="AI1018" s="44">
        <f>IFERROR(__xludf.DUMMYFUNCTION("""COMPUTED_VALUE"""),53983.0)</f>
        <v>53983</v>
      </c>
      <c r="AJ1018" s="51" t="str">
        <f>IFERROR(__xludf.DUMMYFUNCTION("""COMPUTED_VALUE"""),"セーリングポイント")</f>
        <v>セーリングポイント</v>
      </c>
    </row>
    <row r="1019" ht="24.75" customHeight="1">
      <c r="A1019" s="28">
        <f>IFERROR(__xludf.DUMMYFUNCTION("""COMPUTED_VALUE"""),5.0)</f>
        <v>5</v>
      </c>
      <c r="B1019" s="28" t="str">
        <f>IFERROR(__xludf.DUMMYFUNCTION("""COMPUTED_VALUE"""),"A116")</f>
        <v>A116</v>
      </c>
      <c r="C1019" s="28"/>
      <c r="D1019" s="29"/>
      <c r="E1019" s="67"/>
      <c r="F1019" s="31"/>
      <c r="G1019" s="32"/>
      <c r="H1019" s="33" t="str">
        <f>IFERROR(__xludf.DUMMYFUNCTION("""COMPUTED_VALUE""")," ")</f>
        <v> </v>
      </c>
      <c r="I1019" s="34"/>
      <c r="J1019" s="35" t="str">
        <f>IFERROR(__xludf.DUMMYFUNCTION("""COMPUTED_VALUE"""),"AP")</f>
        <v>AP</v>
      </c>
      <c r="K1019" s="34"/>
      <c r="L1019" s="35" t="str">
        <f>IFERROR(__xludf.DUMMYFUNCTION("""COMPUTED_VALUE"""),"%")</f>
        <v>%</v>
      </c>
      <c r="M1019" s="36">
        <f>IFERROR(__xludf.DUMMYFUNCTION("""COMPUTED_VALUE"""),1.0)</f>
        <v>1</v>
      </c>
      <c r="N1019" s="37"/>
      <c r="O1019" s="38"/>
      <c r="P1019" s="34" t="str">
        <f>IFERROR(__xludf.DUMMYFUNCTION("""COMPUTED_VALUE"""),"")</f>
        <v/>
      </c>
      <c r="Q1019" s="35" t="str">
        <f>IFERROR(__xludf.DUMMYFUNCTION("""COMPUTED_VALUE"""),"AP")</f>
        <v>AP</v>
      </c>
      <c r="R1019" s="34" t="str">
        <f>IFERROR(__xludf.DUMMYFUNCTION("""COMPUTED_VALUE"""),"")</f>
        <v/>
      </c>
      <c r="S1019" s="35" t="str">
        <f>IFERROR(__xludf.DUMMYFUNCTION("""COMPUTED_VALUE"""),"%")</f>
        <v>%</v>
      </c>
      <c r="T1019" s="36">
        <f>IFERROR(__xludf.DUMMYFUNCTION("""COMPUTED_VALUE"""),2.0)</f>
        <v>2</v>
      </c>
      <c r="U1019" s="37"/>
      <c r="V1019" s="38"/>
      <c r="W1019" s="34" t="str">
        <f>IFERROR(__xludf.DUMMYFUNCTION("""COMPUTED_VALUE"""),"")</f>
        <v/>
      </c>
      <c r="X1019" s="35" t="str">
        <f>IFERROR(__xludf.DUMMYFUNCTION("""COMPUTED_VALUE"""),"AP")</f>
        <v>AP</v>
      </c>
      <c r="Y1019" s="34" t="str">
        <f>IFERROR(__xludf.DUMMYFUNCTION("""COMPUTED_VALUE"""),"")</f>
        <v/>
      </c>
      <c r="Z1019" s="35" t="str">
        <f>IFERROR(__xludf.DUMMYFUNCTION("""COMPUTED_VALUE"""),"%")</f>
        <v>%</v>
      </c>
      <c r="AA1019" s="36">
        <f>IFERROR(__xludf.DUMMYFUNCTION("""COMPUTED_VALUE"""),3.0)</f>
        <v>3</v>
      </c>
      <c r="AB1019" s="37"/>
      <c r="AC1019" s="38"/>
      <c r="AD1019" s="34" t="str">
        <f>IFERROR(__xludf.DUMMYFUNCTION("""COMPUTED_VALUE"""),"")</f>
        <v/>
      </c>
      <c r="AE1019" s="35" t="str">
        <f>IFERROR(__xludf.DUMMYFUNCTION("""COMPUTED_VALUE"""),"AP")</f>
        <v>AP</v>
      </c>
      <c r="AF1019" s="34" t="str">
        <f>IFERROR(__xludf.DUMMYFUNCTION("""COMPUTED_VALUE"""),"")</f>
        <v/>
      </c>
      <c r="AG1019" s="35" t="str">
        <f>IFERROR(__xludf.DUMMYFUNCTION("""COMPUTED_VALUE"""),"%")</f>
        <v>%</v>
      </c>
      <c r="AH1019" s="31"/>
      <c r="AI1019" s="32"/>
      <c r="AJ1019" s="39"/>
    </row>
    <row r="1020" ht="24.75" hidden="1" customHeight="1">
      <c r="A1020" s="40">
        <f>IFERROR(__xludf.DUMMYFUNCTION("""COMPUTED_VALUE"""),6.0)</f>
        <v>6</v>
      </c>
      <c r="B1020" s="40" t="str">
        <f>IFERROR(__xludf.DUMMYFUNCTION("""COMPUTED_VALUE"""),"A116")</f>
        <v>A116</v>
      </c>
      <c r="C1020" s="40"/>
      <c r="D1020" s="41"/>
      <c r="E1020" s="66"/>
      <c r="F1020" s="43"/>
      <c r="G1020" s="44"/>
      <c r="H1020" s="33" t="str">
        <f>IFERROR(__xludf.DUMMYFUNCTION("""COMPUTED_VALUE""")," ")</f>
        <v> </v>
      </c>
      <c r="I1020" s="45"/>
      <c r="J1020" s="46" t="str">
        <f>IFERROR(__xludf.DUMMYFUNCTION("""COMPUTED_VALUE"""),"AP")</f>
        <v>AP</v>
      </c>
      <c r="K1020" s="47"/>
      <c r="L1020" s="48" t="str">
        <f>IFERROR(__xludf.DUMMYFUNCTION("""COMPUTED_VALUE"""),"%")</f>
        <v>%</v>
      </c>
      <c r="M1020" s="49">
        <f>IFERROR(__xludf.DUMMYFUNCTION("""COMPUTED_VALUE"""),1.0)</f>
        <v>1</v>
      </c>
      <c r="N1020" s="50"/>
      <c r="O1020" s="38"/>
      <c r="P1020" s="45" t="str">
        <f>IFERROR(__xludf.DUMMYFUNCTION("""COMPUTED_VALUE"""),"")</f>
        <v/>
      </c>
      <c r="Q1020" s="46" t="str">
        <f>IFERROR(__xludf.DUMMYFUNCTION("""COMPUTED_VALUE"""),"AP")</f>
        <v>AP</v>
      </c>
      <c r="R1020" s="47" t="str">
        <f>IFERROR(__xludf.DUMMYFUNCTION("""COMPUTED_VALUE"""),"")</f>
        <v/>
      </c>
      <c r="S1020" s="48" t="str">
        <f>IFERROR(__xludf.DUMMYFUNCTION("""COMPUTED_VALUE"""),"%")</f>
        <v>%</v>
      </c>
      <c r="T1020" s="49">
        <f>IFERROR(__xludf.DUMMYFUNCTION("""COMPUTED_VALUE"""),2.0)</f>
        <v>2</v>
      </c>
      <c r="U1020" s="50"/>
      <c r="V1020" s="38"/>
      <c r="W1020" s="45" t="str">
        <f>IFERROR(__xludf.DUMMYFUNCTION("""COMPUTED_VALUE"""),"")</f>
        <v/>
      </c>
      <c r="X1020" s="46" t="str">
        <f>IFERROR(__xludf.DUMMYFUNCTION("""COMPUTED_VALUE"""),"AP")</f>
        <v>AP</v>
      </c>
      <c r="Y1020" s="47" t="str">
        <f>IFERROR(__xludf.DUMMYFUNCTION("""COMPUTED_VALUE"""),"")</f>
        <v/>
      </c>
      <c r="Z1020" s="48" t="str">
        <f>IFERROR(__xludf.DUMMYFUNCTION("""COMPUTED_VALUE"""),"%")</f>
        <v>%</v>
      </c>
      <c r="AA1020" s="49">
        <f>IFERROR(__xludf.DUMMYFUNCTION("""COMPUTED_VALUE"""),3.0)</f>
        <v>3</v>
      </c>
      <c r="AB1020" s="50"/>
      <c r="AC1020" s="38"/>
      <c r="AD1020" s="45" t="str">
        <f>IFERROR(__xludf.DUMMYFUNCTION("""COMPUTED_VALUE"""),"")</f>
        <v/>
      </c>
      <c r="AE1020" s="46" t="str">
        <f>IFERROR(__xludf.DUMMYFUNCTION("""COMPUTED_VALUE"""),"AP")</f>
        <v>AP</v>
      </c>
      <c r="AF1020" s="47" t="str">
        <f>IFERROR(__xludf.DUMMYFUNCTION("""COMPUTED_VALUE"""),"")</f>
        <v/>
      </c>
      <c r="AG1020" s="48" t="str">
        <f>IFERROR(__xludf.DUMMYFUNCTION("""COMPUTED_VALUE"""),"%")</f>
        <v>%</v>
      </c>
      <c r="AH1020" s="43"/>
      <c r="AI1020" s="44"/>
      <c r="AJ1020" s="51"/>
    </row>
    <row r="1021" ht="24.75" hidden="1" customHeight="1">
      <c r="A1021" s="28">
        <f>IFERROR(__xludf.DUMMYFUNCTION("""COMPUTED_VALUE"""),7.0)</f>
        <v>7</v>
      </c>
      <c r="B1021" s="28" t="str">
        <f>IFERROR(__xludf.DUMMYFUNCTION("""COMPUTED_VALUE"""),"A116")</f>
        <v>A116</v>
      </c>
      <c r="C1021" s="28"/>
      <c r="D1021" s="29"/>
      <c r="E1021" s="67"/>
      <c r="F1021" s="31"/>
      <c r="G1021" s="32"/>
      <c r="H1021" s="33" t="str">
        <f>IFERROR(__xludf.DUMMYFUNCTION("""COMPUTED_VALUE""")," ")</f>
        <v> </v>
      </c>
      <c r="I1021" s="34"/>
      <c r="J1021" s="35" t="str">
        <f>IFERROR(__xludf.DUMMYFUNCTION("""COMPUTED_VALUE"""),"AP")</f>
        <v>AP</v>
      </c>
      <c r="K1021" s="34"/>
      <c r="L1021" s="35" t="str">
        <f>IFERROR(__xludf.DUMMYFUNCTION("""COMPUTED_VALUE"""),"%")</f>
        <v>%</v>
      </c>
      <c r="M1021" s="36">
        <f>IFERROR(__xludf.DUMMYFUNCTION("""COMPUTED_VALUE"""),1.0)</f>
        <v>1</v>
      </c>
      <c r="N1021" s="37"/>
      <c r="O1021" s="38"/>
      <c r="P1021" s="34" t="str">
        <f>IFERROR(__xludf.DUMMYFUNCTION("""COMPUTED_VALUE"""),"")</f>
        <v/>
      </c>
      <c r="Q1021" s="35" t="str">
        <f>IFERROR(__xludf.DUMMYFUNCTION("""COMPUTED_VALUE"""),"AP")</f>
        <v>AP</v>
      </c>
      <c r="R1021" s="34" t="str">
        <f>IFERROR(__xludf.DUMMYFUNCTION("""COMPUTED_VALUE"""),"")</f>
        <v/>
      </c>
      <c r="S1021" s="35" t="str">
        <f>IFERROR(__xludf.DUMMYFUNCTION("""COMPUTED_VALUE"""),"%")</f>
        <v>%</v>
      </c>
      <c r="T1021" s="36">
        <f>IFERROR(__xludf.DUMMYFUNCTION("""COMPUTED_VALUE"""),2.0)</f>
        <v>2</v>
      </c>
      <c r="U1021" s="37"/>
      <c r="V1021" s="38"/>
      <c r="W1021" s="34" t="str">
        <f>IFERROR(__xludf.DUMMYFUNCTION("""COMPUTED_VALUE"""),"")</f>
        <v/>
      </c>
      <c r="X1021" s="35" t="str">
        <f>IFERROR(__xludf.DUMMYFUNCTION("""COMPUTED_VALUE"""),"AP")</f>
        <v>AP</v>
      </c>
      <c r="Y1021" s="34" t="str">
        <f>IFERROR(__xludf.DUMMYFUNCTION("""COMPUTED_VALUE"""),"")</f>
        <v/>
      </c>
      <c r="Z1021" s="35" t="str">
        <f>IFERROR(__xludf.DUMMYFUNCTION("""COMPUTED_VALUE"""),"%")</f>
        <v>%</v>
      </c>
      <c r="AA1021" s="36">
        <f>IFERROR(__xludf.DUMMYFUNCTION("""COMPUTED_VALUE"""),3.0)</f>
        <v>3</v>
      </c>
      <c r="AB1021" s="37"/>
      <c r="AC1021" s="38"/>
      <c r="AD1021" s="34" t="str">
        <f>IFERROR(__xludf.DUMMYFUNCTION("""COMPUTED_VALUE"""),"")</f>
        <v/>
      </c>
      <c r="AE1021" s="35" t="str">
        <f>IFERROR(__xludf.DUMMYFUNCTION("""COMPUTED_VALUE"""),"AP")</f>
        <v>AP</v>
      </c>
      <c r="AF1021" s="34" t="str">
        <f>IFERROR(__xludf.DUMMYFUNCTION("""COMPUTED_VALUE"""),"")</f>
        <v/>
      </c>
      <c r="AG1021" s="35" t="str">
        <f>IFERROR(__xludf.DUMMYFUNCTION("""COMPUTED_VALUE"""),"%")</f>
        <v>%</v>
      </c>
      <c r="AH1021" s="31"/>
      <c r="AI1021" s="32"/>
      <c r="AJ1021" s="39"/>
    </row>
    <row r="1022" ht="24.75" hidden="1" customHeight="1">
      <c r="A1022" s="40">
        <f>IFERROR(__xludf.DUMMYFUNCTION("""COMPUTED_VALUE"""),8.0)</f>
        <v>8</v>
      </c>
      <c r="B1022" s="40" t="str">
        <f>IFERROR(__xludf.DUMMYFUNCTION("""COMPUTED_VALUE"""),"A116")</f>
        <v>A116</v>
      </c>
      <c r="C1022" s="40"/>
      <c r="D1022" s="41"/>
      <c r="E1022" s="66"/>
      <c r="F1022" s="43"/>
      <c r="G1022" s="44"/>
      <c r="H1022" s="33" t="str">
        <f>IFERROR(__xludf.DUMMYFUNCTION("""COMPUTED_VALUE""")," ")</f>
        <v> </v>
      </c>
      <c r="I1022" s="45"/>
      <c r="J1022" s="46" t="str">
        <f>IFERROR(__xludf.DUMMYFUNCTION("""COMPUTED_VALUE"""),"AP")</f>
        <v>AP</v>
      </c>
      <c r="K1022" s="47"/>
      <c r="L1022" s="48" t="str">
        <f>IFERROR(__xludf.DUMMYFUNCTION("""COMPUTED_VALUE"""),"%")</f>
        <v>%</v>
      </c>
      <c r="M1022" s="49">
        <f>IFERROR(__xludf.DUMMYFUNCTION("""COMPUTED_VALUE"""),1.0)</f>
        <v>1</v>
      </c>
      <c r="N1022" s="50"/>
      <c r="O1022" s="38"/>
      <c r="P1022" s="45" t="str">
        <f>IFERROR(__xludf.DUMMYFUNCTION("""COMPUTED_VALUE"""),"")</f>
        <v/>
      </c>
      <c r="Q1022" s="46" t="str">
        <f>IFERROR(__xludf.DUMMYFUNCTION("""COMPUTED_VALUE"""),"AP")</f>
        <v>AP</v>
      </c>
      <c r="R1022" s="47" t="str">
        <f>IFERROR(__xludf.DUMMYFUNCTION("""COMPUTED_VALUE"""),"")</f>
        <v/>
      </c>
      <c r="S1022" s="48" t="str">
        <f>IFERROR(__xludf.DUMMYFUNCTION("""COMPUTED_VALUE"""),"%")</f>
        <v>%</v>
      </c>
      <c r="T1022" s="49">
        <f>IFERROR(__xludf.DUMMYFUNCTION("""COMPUTED_VALUE"""),2.0)</f>
        <v>2</v>
      </c>
      <c r="U1022" s="50"/>
      <c r="V1022" s="38"/>
      <c r="W1022" s="45" t="str">
        <f>IFERROR(__xludf.DUMMYFUNCTION("""COMPUTED_VALUE"""),"")</f>
        <v/>
      </c>
      <c r="X1022" s="46" t="str">
        <f>IFERROR(__xludf.DUMMYFUNCTION("""COMPUTED_VALUE"""),"AP")</f>
        <v>AP</v>
      </c>
      <c r="Y1022" s="47" t="str">
        <f>IFERROR(__xludf.DUMMYFUNCTION("""COMPUTED_VALUE"""),"")</f>
        <v/>
      </c>
      <c r="Z1022" s="48" t="str">
        <f>IFERROR(__xludf.DUMMYFUNCTION("""COMPUTED_VALUE"""),"%")</f>
        <v>%</v>
      </c>
      <c r="AA1022" s="49">
        <f>IFERROR(__xludf.DUMMYFUNCTION("""COMPUTED_VALUE"""),3.0)</f>
        <v>3</v>
      </c>
      <c r="AB1022" s="50"/>
      <c r="AC1022" s="38"/>
      <c r="AD1022" s="45" t="str">
        <f>IFERROR(__xludf.DUMMYFUNCTION("""COMPUTED_VALUE"""),"")</f>
        <v/>
      </c>
      <c r="AE1022" s="46" t="str">
        <f>IFERROR(__xludf.DUMMYFUNCTION("""COMPUTED_VALUE"""),"AP")</f>
        <v>AP</v>
      </c>
      <c r="AF1022" s="47" t="str">
        <f>IFERROR(__xludf.DUMMYFUNCTION("""COMPUTED_VALUE"""),"")</f>
        <v/>
      </c>
      <c r="AG1022" s="48" t="str">
        <f>IFERROR(__xludf.DUMMYFUNCTION("""COMPUTED_VALUE"""),"%")</f>
        <v>%</v>
      </c>
      <c r="AH1022" s="43"/>
      <c r="AI1022" s="44"/>
      <c r="AJ1022" s="51"/>
    </row>
    <row r="1023" ht="24.75" hidden="1" customHeight="1">
      <c r="A1023" s="28">
        <f>IFERROR(__xludf.DUMMYFUNCTION("""COMPUTED_VALUE"""),9.0)</f>
        <v>9</v>
      </c>
      <c r="B1023" s="28" t="str">
        <f>IFERROR(__xludf.DUMMYFUNCTION("""COMPUTED_VALUE"""),"A116")</f>
        <v>A116</v>
      </c>
      <c r="C1023" s="28"/>
      <c r="D1023" s="29"/>
      <c r="E1023" s="67"/>
      <c r="F1023" s="31"/>
      <c r="G1023" s="32"/>
      <c r="H1023" s="33" t="str">
        <f>IFERROR(__xludf.DUMMYFUNCTION("""COMPUTED_VALUE""")," ")</f>
        <v> </v>
      </c>
      <c r="I1023" s="34"/>
      <c r="J1023" s="35" t="str">
        <f>IFERROR(__xludf.DUMMYFUNCTION("""COMPUTED_VALUE"""),"AP")</f>
        <v>AP</v>
      </c>
      <c r="K1023" s="34"/>
      <c r="L1023" s="35" t="str">
        <f>IFERROR(__xludf.DUMMYFUNCTION("""COMPUTED_VALUE"""),"%")</f>
        <v>%</v>
      </c>
      <c r="M1023" s="36">
        <f>IFERROR(__xludf.DUMMYFUNCTION("""COMPUTED_VALUE"""),1.0)</f>
        <v>1</v>
      </c>
      <c r="N1023" s="37"/>
      <c r="O1023" s="38"/>
      <c r="P1023" s="34" t="str">
        <f>IFERROR(__xludf.DUMMYFUNCTION("""COMPUTED_VALUE"""),"")</f>
        <v/>
      </c>
      <c r="Q1023" s="35" t="str">
        <f>IFERROR(__xludf.DUMMYFUNCTION("""COMPUTED_VALUE"""),"AP")</f>
        <v>AP</v>
      </c>
      <c r="R1023" s="34" t="str">
        <f>IFERROR(__xludf.DUMMYFUNCTION("""COMPUTED_VALUE"""),"")</f>
        <v/>
      </c>
      <c r="S1023" s="35" t="str">
        <f>IFERROR(__xludf.DUMMYFUNCTION("""COMPUTED_VALUE"""),"%")</f>
        <v>%</v>
      </c>
      <c r="T1023" s="36">
        <f>IFERROR(__xludf.DUMMYFUNCTION("""COMPUTED_VALUE"""),2.0)</f>
        <v>2</v>
      </c>
      <c r="U1023" s="37"/>
      <c r="V1023" s="38"/>
      <c r="W1023" s="34" t="str">
        <f>IFERROR(__xludf.DUMMYFUNCTION("""COMPUTED_VALUE"""),"")</f>
        <v/>
      </c>
      <c r="X1023" s="35" t="str">
        <f>IFERROR(__xludf.DUMMYFUNCTION("""COMPUTED_VALUE"""),"AP")</f>
        <v>AP</v>
      </c>
      <c r="Y1023" s="34" t="str">
        <f>IFERROR(__xludf.DUMMYFUNCTION("""COMPUTED_VALUE"""),"")</f>
        <v/>
      </c>
      <c r="Z1023" s="35" t="str">
        <f>IFERROR(__xludf.DUMMYFUNCTION("""COMPUTED_VALUE"""),"%")</f>
        <v>%</v>
      </c>
      <c r="AA1023" s="36">
        <f>IFERROR(__xludf.DUMMYFUNCTION("""COMPUTED_VALUE"""),3.0)</f>
        <v>3</v>
      </c>
      <c r="AB1023" s="37"/>
      <c r="AC1023" s="38"/>
      <c r="AD1023" s="34" t="str">
        <f>IFERROR(__xludf.DUMMYFUNCTION("""COMPUTED_VALUE"""),"")</f>
        <v/>
      </c>
      <c r="AE1023" s="35" t="str">
        <f>IFERROR(__xludf.DUMMYFUNCTION("""COMPUTED_VALUE"""),"AP")</f>
        <v>AP</v>
      </c>
      <c r="AF1023" s="34" t="str">
        <f>IFERROR(__xludf.DUMMYFUNCTION("""COMPUTED_VALUE"""),"")</f>
        <v/>
      </c>
      <c r="AG1023" s="35" t="str">
        <f>IFERROR(__xludf.DUMMYFUNCTION("""COMPUTED_VALUE"""),"%")</f>
        <v>%</v>
      </c>
      <c r="AH1023" s="31"/>
      <c r="AI1023" s="32"/>
      <c r="AJ1023" s="39"/>
    </row>
    <row r="1024" ht="24.75" hidden="1" customHeight="1">
      <c r="A1024" s="40">
        <f>IFERROR(__xludf.DUMMYFUNCTION("""COMPUTED_VALUE"""),10.0)</f>
        <v>10</v>
      </c>
      <c r="B1024" s="40" t="str">
        <f>IFERROR(__xludf.DUMMYFUNCTION("""COMPUTED_VALUE"""),"A116")</f>
        <v>A116</v>
      </c>
      <c r="C1024" s="40"/>
      <c r="D1024" s="41"/>
      <c r="E1024" s="66"/>
      <c r="F1024" s="43"/>
      <c r="G1024" s="44"/>
      <c r="H1024" s="33" t="str">
        <f>IFERROR(__xludf.DUMMYFUNCTION("""COMPUTED_VALUE""")," ")</f>
        <v> </v>
      </c>
      <c r="I1024" s="45"/>
      <c r="J1024" s="46" t="str">
        <f>IFERROR(__xludf.DUMMYFUNCTION("""COMPUTED_VALUE"""),"AP")</f>
        <v>AP</v>
      </c>
      <c r="K1024" s="47"/>
      <c r="L1024" s="48" t="str">
        <f>IFERROR(__xludf.DUMMYFUNCTION("""COMPUTED_VALUE"""),"%")</f>
        <v>%</v>
      </c>
      <c r="M1024" s="49">
        <f>IFERROR(__xludf.DUMMYFUNCTION("""COMPUTED_VALUE"""),1.0)</f>
        <v>1</v>
      </c>
      <c r="N1024" s="50"/>
      <c r="O1024" s="38"/>
      <c r="P1024" s="45" t="str">
        <f>IFERROR(__xludf.DUMMYFUNCTION("""COMPUTED_VALUE"""),"")</f>
        <v/>
      </c>
      <c r="Q1024" s="46" t="str">
        <f>IFERROR(__xludf.DUMMYFUNCTION("""COMPUTED_VALUE"""),"AP")</f>
        <v>AP</v>
      </c>
      <c r="R1024" s="47" t="str">
        <f>IFERROR(__xludf.DUMMYFUNCTION("""COMPUTED_VALUE"""),"")</f>
        <v/>
      </c>
      <c r="S1024" s="48" t="str">
        <f>IFERROR(__xludf.DUMMYFUNCTION("""COMPUTED_VALUE"""),"%")</f>
        <v>%</v>
      </c>
      <c r="T1024" s="49">
        <f>IFERROR(__xludf.DUMMYFUNCTION("""COMPUTED_VALUE"""),2.0)</f>
        <v>2</v>
      </c>
      <c r="U1024" s="50"/>
      <c r="V1024" s="38"/>
      <c r="W1024" s="45" t="str">
        <f>IFERROR(__xludf.DUMMYFUNCTION("""COMPUTED_VALUE"""),"")</f>
        <v/>
      </c>
      <c r="X1024" s="46" t="str">
        <f>IFERROR(__xludf.DUMMYFUNCTION("""COMPUTED_VALUE"""),"AP")</f>
        <v>AP</v>
      </c>
      <c r="Y1024" s="47" t="str">
        <f>IFERROR(__xludf.DUMMYFUNCTION("""COMPUTED_VALUE"""),"")</f>
        <v/>
      </c>
      <c r="Z1024" s="48" t="str">
        <f>IFERROR(__xludf.DUMMYFUNCTION("""COMPUTED_VALUE"""),"%")</f>
        <v>%</v>
      </c>
      <c r="AA1024" s="49">
        <f>IFERROR(__xludf.DUMMYFUNCTION("""COMPUTED_VALUE"""),3.0)</f>
        <v>3</v>
      </c>
      <c r="AB1024" s="50"/>
      <c r="AC1024" s="38"/>
      <c r="AD1024" s="45" t="str">
        <f>IFERROR(__xludf.DUMMYFUNCTION("""COMPUTED_VALUE"""),"")</f>
        <v/>
      </c>
      <c r="AE1024" s="46" t="str">
        <f>IFERROR(__xludf.DUMMYFUNCTION("""COMPUTED_VALUE"""),"AP")</f>
        <v>AP</v>
      </c>
      <c r="AF1024" s="47" t="str">
        <f>IFERROR(__xludf.DUMMYFUNCTION("""COMPUTED_VALUE"""),"")</f>
        <v/>
      </c>
      <c r="AG1024" s="48" t="str">
        <f>IFERROR(__xludf.DUMMYFUNCTION("""COMPUTED_VALUE"""),"%")</f>
        <v>%</v>
      </c>
      <c r="AH1024" s="43"/>
      <c r="AI1024" s="44"/>
      <c r="AJ1024" s="51"/>
    </row>
    <row r="1025" ht="24.75" hidden="1" customHeight="1">
      <c r="A1025" s="28">
        <f>IFERROR(__xludf.DUMMYFUNCTION("""COMPUTED_VALUE"""),11.0)</f>
        <v>11</v>
      </c>
      <c r="B1025" s="28" t="str">
        <f>IFERROR(__xludf.DUMMYFUNCTION("""COMPUTED_VALUE"""),"A116")</f>
        <v>A116</v>
      </c>
      <c r="C1025" s="28"/>
      <c r="D1025" s="29"/>
      <c r="E1025" s="67"/>
      <c r="F1025" s="31"/>
      <c r="G1025" s="32"/>
      <c r="H1025" s="33" t="str">
        <f>IFERROR(__xludf.DUMMYFUNCTION("""COMPUTED_VALUE""")," ")</f>
        <v> </v>
      </c>
      <c r="I1025" s="34"/>
      <c r="J1025" s="35" t="str">
        <f>IFERROR(__xludf.DUMMYFUNCTION("""COMPUTED_VALUE"""),"AP")</f>
        <v>AP</v>
      </c>
      <c r="K1025" s="34"/>
      <c r="L1025" s="35" t="str">
        <f>IFERROR(__xludf.DUMMYFUNCTION("""COMPUTED_VALUE"""),"%")</f>
        <v>%</v>
      </c>
      <c r="M1025" s="36">
        <f>IFERROR(__xludf.DUMMYFUNCTION("""COMPUTED_VALUE"""),1.0)</f>
        <v>1</v>
      </c>
      <c r="N1025" s="37"/>
      <c r="O1025" s="38"/>
      <c r="P1025" s="34" t="str">
        <f>IFERROR(__xludf.DUMMYFUNCTION("""COMPUTED_VALUE"""),"")</f>
        <v/>
      </c>
      <c r="Q1025" s="35" t="str">
        <f>IFERROR(__xludf.DUMMYFUNCTION("""COMPUTED_VALUE"""),"AP")</f>
        <v>AP</v>
      </c>
      <c r="R1025" s="34" t="str">
        <f>IFERROR(__xludf.DUMMYFUNCTION("""COMPUTED_VALUE"""),"")</f>
        <v/>
      </c>
      <c r="S1025" s="35" t="str">
        <f>IFERROR(__xludf.DUMMYFUNCTION("""COMPUTED_VALUE"""),"%")</f>
        <v>%</v>
      </c>
      <c r="T1025" s="36">
        <f>IFERROR(__xludf.DUMMYFUNCTION("""COMPUTED_VALUE"""),2.0)</f>
        <v>2</v>
      </c>
      <c r="U1025" s="37"/>
      <c r="V1025" s="38"/>
      <c r="W1025" s="34" t="str">
        <f>IFERROR(__xludf.DUMMYFUNCTION("""COMPUTED_VALUE"""),"")</f>
        <v/>
      </c>
      <c r="X1025" s="35" t="str">
        <f>IFERROR(__xludf.DUMMYFUNCTION("""COMPUTED_VALUE"""),"AP")</f>
        <v>AP</v>
      </c>
      <c r="Y1025" s="34" t="str">
        <f>IFERROR(__xludf.DUMMYFUNCTION("""COMPUTED_VALUE"""),"")</f>
        <v/>
      </c>
      <c r="Z1025" s="35" t="str">
        <f>IFERROR(__xludf.DUMMYFUNCTION("""COMPUTED_VALUE"""),"%")</f>
        <v>%</v>
      </c>
      <c r="AA1025" s="36">
        <f>IFERROR(__xludf.DUMMYFUNCTION("""COMPUTED_VALUE"""),3.0)</f>
        <v>3</v>
      </c>
      <c r="AB1025" s="37"/>
      <c r="AC1025" s="38"/>
      <c r="AD1025" s="34" t="str">
        <f>IFERROR(__xludf.DUMMYFUNCTION("""COMPUTED_VALUE"""),"")</f>
        <v/>
      </c>
      <c r="AE1025" s="35" t="str">
        <f>IFERROR(__xludf.DUMMYFUNCTION("""COMPUTED_VALUE"""),"AP")</f>
        <v>AP</v>
      </c>
      <c r="AF1025" s="34" t="str">
        <f>IFERROR(__xludf.DUMMYFUNCTION("""COMPUTED_VALUE"""),"")</f>
        <v/>
      </c>
      <c r="AG1025" s="35" t="str">
        <f>IFERROR(__xludf.DUMMYFUNCTION("""COMPUTED_VALUE"""),"%")</f>
        <v>%</v>
      </c>
      <c r="AH1025" s="31"/>
      <c r="AI1025" s="32"/>
      <c r="AJ1025" s="39"/>
    </row>
    <row r="1026" ht="24.75" hidden="1" customHeight="1">
      <c r="A1026" s="40">
        <f>IFERROR(__xludf.DUMMYFUNCTION("""COMPUTED_VALUE"""),12.0)</f>
        <v>12</v>
      </c>
      <c r="B1026" s="40" t="str">
        <f>IFERROR(__xludf.DUMMYFUNCTION("""COMPUTED_VALUE"""),"A116")</f>
        <v>A116</v>
      </c>
      <c r="C1026" s="40"/>
      <c r="D1026" s="41"/>
      <c r="E1026" s="66"/>
      <c r="F1026" s="43"/>
      <c r="G1026" s="44"/>
      <c r="H1026" s="33" t="str">
        <f>IFERROR(__xludf.DUMMYFUNCTION("""COMPUTED_VALUE""")," ")</f>
        <v> </v>
      </c>
      <c r="I1026" s="45"/>
      <c r="J1026" s="46" t="str">
        <f>IFERROR(__xludf.DUMMYFUNCTION("""COMPUTED_VALUE"""),"AP")</f>
        <v>AP</v>
      </c>
      <c r="K1026" s="47"/>
      <c r="L1026" s="48" t="str">
        <f>IFERROR(__xludf.DUMMYFUNCTION("""COMPUTED_VALUE"""),"%")</f>
        <v>%</v>
      </c>
      <c r="M1026" s="49">
        <f>IFERROR(__xludf.DUMMYFUNCTION("""COMPUTED_VALUE"""),1.0)</f>
        <v>1</v>
      </c>
      <c r="N1026" s="50"/>
      <c r="O1026" s="38"/>
      <c r="P1026" s="45" t="str">
        <f>IFERROR(__xludf.DUMMYFUNCTION("""COMPUTED_VALUE"""),"")</f>
        <v/>
      </c>
      <c r="Q1026" s="46" t="str">
        <f>IFERROR(__xludf.DUMMYFUNCTION("""COMPUTED_VALUE"""),"AP")</f>
        <v>AP</v>
      </c>
      <c r="R1026" s="47" t="str">
        <f>IFERROR(__xludf.DUMMYFUNCTION("""COMPUTED_VALUE"""),"")</f>
        <v/>
      </c>
      <c r="S1026" s="48" t="str">
        <f>IFERROR(__xludf.DUMMYFUNCTION("""COMPUTED_VALUE"""),"%")</f>
        <v>%</v>
      </c>
      <c r="T1026" s="49">
        <f>IFERROR(__xludf.DUMMYFUNCTION("""COMPUTED_VALUE"""),2.0)</f>
        <v>2</v>
      </c>
      <c r="U1026" s="50"/>
      <c r="V1026" s="38"/>
      <c r="W1026" s="45" t="str">
        <f>IFERROR(__xludf.DUMMYFUNCTION("""COMPUTED_VALUE"""),"")</f>
        <v/>
      </c>
      <c r="X1026" s="46" t="str">
        <f>IFERROR(__xludf.DUMMYFUNCTION("""COMPUTED_VALUE"""),"AP")</f>
        <v>AP</v>
      </c>
      <c r="Y1026" s="47" t="str">
        <f>IFERROR(__xludf.DUMMYFUNCTION("""COMPUTED_VALUE"""),"")</f>
        <v/>
      </c>
      <c r="Z1026" s="48" t="str">
        <f>IFERROR(__xludf.DUMMYFUNCTION("""COMPUTED_VALUE"""),"%")</f>
        <v>%</v>
      </c>
      <c r="AA1026" s="49">
        <f>IFERROR(__xludf.DUMMYFUNCTION("""COMPUTED_VALUE"""),3.0)</f>
        <v>3</v>
      </c>
      <c r="AB1026" s="50"/>
      <c r="AC1026" s="38"/>
      <c r="AD1026" s="45" t="str">
        <f>IFERROR(__xludf.DUMMYFUNCTION("""COMPUTED_VALUE"""),"")</f>
        <v/>
      </c>
      <c r="AE1026" s="46" t="str">
        <f>IFERROR(__xludf.DUMMYFUNCTION("""COMPUTED_VALUE"""),"AP")</f>
        <v>AP</v>
      </c>
      <c r="AF1026" s="47" t="str">
        <f>IFERROR(__xludf.DUMMYFUNCTION("""COMPUTED_VALUE"""),"")</f>
        <v/>
      </c>
      <c r="AG1026" s="48" t="str">
        <f>IFERROR(__xludf.DUMMYFUNCTION("""COMPUTED_VALUE"""),"%")</f>
        <v>%</v>
      </c>
      <c r="AH1026" s="43"/>
      <c r="AI1026" s="44"/>
      <c r="AJ1026" s="51"/>
    </row>
    <row r="1027" ht="24.75" hidden="1" customHeight="1">
      <c r="A1027" s="28">
        <f>IFERROR(__xludf.DUMMYFUNCTION("""COMPUTED_VALUE"""),13.0)</f>
        <v>13</v>
      </c>
      <c r="B1027" s="28" t="str">
        <f>IFERROR(__xludf.DUMMYFUNCTION("""COMPUTED_VALUE"""),"A116")</f>
        <v>A116</v>
      </c>
      <c r="C1027" s="28"/>
      <c r="D1027" s="29"/>
      <c r="E1027" s="67"/>
      <c r="F1027" s="31"/>
      <c r="G1027" s="32"/>
      <c r="H1027" s="33" t="str">
        <f>IFERROR(__xludf.DUMMYFUNCTION("""COMPUTED_VALUE""")," ")</f>
        <v> </v>
      </c>
      <c r="I1027" s="34"/>
      <c r="J1027" s="35" t="str">
        <f>IFERROR(__xludf.DUMMYFUNCTION("""COMPUTED_VALUE"""),"AP")</f>
        <v>AP</v>
      </c>
      <c r="K1027" s="34"/>
      <c r="L1027" s="35" t="str">
        <f>IFERROR(__xludf.DUMMYFUNCTION("""COMPUTED_VALUE"""),"%")</f>
        <v>%</v>
      </c>
      <c r="M1027" s="36">
        <f>IFERROR(__xludf.DUMMYFUNCTION("""COMPUTED_VALUE"""),1.0)</f>
        <v>1</v>
      </c>
      <c r="N1027" s="37"/>
      <c r="O1027" s="38"/>
      <c r="P1027" s="34" t="str">
        <f>IFERROR(__xludf.DUMMYFUNCTION("""COMPUTED_VALUE"""),"")</f>
        <v/>
      </c>
      <c r="Q1027" s="35" t="str">
        <f>IFERROR(__xludf.DUMMYFUNCTION("""COMPUTED_VALUE"""),"AP")</f>
        <v>AP</v>
      </c>
      <c r="R1027" s="34" t="str">
        <f>IFERROR(__xludf.DUMMYFUNCTION("""COMPUTED_VALUE"""),"")</f>
        <v/>
      </c>
      <c r="S1027" s="35" t="str">
        <f>IFERROR(__xludf.DUMMYFUNCTION("""COMPUTED_VALUE"""),"%")</f>
        <v>%</v>
      </c>
      <c r="T1027" s="36">
        <f>IFERROR(__xludf.DUMMYFUNCTION("""COMPUTED_VALUE"""),2.0)</f>
        <v>2</v>
      </c>
      <c r="U1027" s="37"/>
      <c r="V1027" s="38"/>
      <c r="W1027" s="34" t="str">
        <f>IFERROR(__xludf.DUMMYFUNCTION("""COMPUTED_VALUE"""),"")</f>
        <v/>
      </c>
      <c r="X1027" s="35" t="str">
        <f>IFERROR(__xludf.DUMMYFUNCTION("""COMPUTED_VALUE"""),"AP")</f>
        <v>AP</v>
      </c>
      <c r="Y1027" s="34" t="str">
        <f>IFERROR(__xludf.DUMMYFUNCTION("""COMPUTED_VALUE"""),"")</f>
        <v/>
      </c>
      <c r="Z1027" s="35" t="str">
        <f>IFERROR(__xludf.DUMMYFUNCTION("""COMPUTED_VALUE"""),"%")</f>
        <v>%</v>
      </c>
      <c r="AA1027" s="36">
        <f>IFERROR(__xludf.DUMMYFUNCTION("""COMPUTED_VALUE"""),3.0)</f>
        <v>3</v>
      </c>
      <c r="AB1027" s="37"/>
      <c r="AC1027" s="38"/>
      <c r="AD1027" s="34" t="str">
        <f>IFERROR(__xludf.DUMMYFUNCTION("""COMPUTED_VALUE"""),"")</f>
        <v/>
      </c>
      <c r="AE1027" s="35" t="str">
        <f>IFERROR(__xludf.DUMMYFUNCTION("""COMPUTED_VALUE"""),"AP")</f>
        <v>AP</v>
      </c>
      <c r="AF1027" s="34" t="str">
        <f>IFERROR(__xludf.DUMMYFUNCTION("""COMPUTED_VALUE"""),"")</f>
        <v/>
      </c>
      <c r="AG1027" s="35" t="str">
        <f>IFERROR(__xludf.DUMMYFUNCTION("""COMPUTED_VALUE"""),"%")</f>
        <v>%</v>
      </c>
      <c r="AH1027" s="31"/>
      <c r="AI1027" s="32"/>
      <c r="AJ1027" s="39"/>
    </row>
    <row r="1028" ht="24.75" hidden="1" customHeight="1">
      <c r="A1028" s="40">
        <f>IFERROR(__xludf.DUMMYFUNCTION("""COMPUTED_VALUE"""),14.0)</f>
        <v>14</v>
      </c>
      <c r="B1028" s="40" t="str">
        <f>IFERROR(__xludf.DUMMYFUNCTION("""COMPUTED_VALUE"""),"A116")</f>
        <v>A116</v>
      </c>
      <c r="C1028" s="40"/>
      <c r="D1028" s="41"/>
      <c r="E1028" s="66"/>
      <c r="F1028" s="43"/>
      <c r="G1028" s="44"/>
      <c r="H1028" s="33" t="str">
        <f>IFERROR(__xludf.DUMMYFUNCTION("""COMPUTED_VALUE""")," ")</f>
        <v> </v>
      </c>
      <c r="I1028" s="45"/>
      <c r="J1028" s="46" t="str">
        <f>IFERROR(__xludf.DUMMYFUNCTION("""COMPUTED_VALUE"""),"AP")</f>
        <v>AP</v>
      </c>
      <c r="K1028" s="47"/>
      <c r="L1028" s="48" t="str">
        <f>IFERROR(__xludf.DUMMYFUNCTION("""COMPUTED_VALUE"""),"%")</f>
        <v>%</v>
      </c>
      <c r="M1028" s="49">
        <f>IFERROR(__xludf.DUMMYFUNCTION("""COMPUTED_VALUE"""),1.0)</f>
        <v>1</v>
      </c>
      <c r="N1028" s="50"/>
      <c r="O1028" s="38"/>
      <c r="P1028" s="45" t="str">
        <f>IFERROR(__xludf.DUMMYFUNCTION("""COMPUTED_VALUE"""),"")</f>
        <v/>
      </c>
      <c r="Q1028" s="46" t="str">
        <f>IFERROR(__xludf.DUMMYFUNCTION("""COMPUTED_VALUE"""),"AP")</f>
        <v>AP</v>
      </c>
      <c r="R1028" s="47" t="str">
        <f>IFERROR(__xludf.DUMMYFUNCTION("""COMPUTED_VALUE"""),"")</f>
        <v/>
      </c>
      <c r="S1028" s="48" t="str">
        <f>IFERROR(__xludf.DUMMYFUNCTION("""COMPUTED_VALUE"""),"%")</f>
        <v>%</v>
      </c>
      <c r="T1028" s="49">
        <f>IFERROR(__xludf.DUMMYFUNCTION("""COMPUTED_VALUE"""),2.0)</f>
        <v>2</v>
      </c>
      <c r="U1028" s="50"/>
      <c r="V1028" s="38"/>
      <c r="W1028" s="45" t="str">
        <f>IFERROR(__xludf.DUMMYFUNCTION("""COMPUTED_VALUE"""),"")</f>
        <v/>
      </c>
      <c r="X1028" s="46" t="str">
        <f>IFERROR(__xludf.DUMMYFUNCTION("""COMPUTED_VALUE"""),"AP")</f>
        <v>AP</v>
      </c>
      <c r="Y1028" s="47" t="str">
        <f>IFERROR(__xludf.DUMMYFUNCTION("""COMPUTED_VALUE"""),"")</f>
        <v/>
      </c>
      <c r="Z1028" s="48" t="str">
        <f>IFERROR(__xludf.DUMMYFUNCTION("""COMPUTED_VALUE"""),"%")</f>
        <v>%</v>
      </c>
      <c r="AA1028" s="49">
        <f>IFERROR(__xludf.DUMMYFUNCTION("""COMPUTED_VALUE"""),3.0)</f>
        <v>3</v>
      </c>
      <c r="AB1028" s="50"/>
      <c r="AC1028" s="38"/>
      <c r="AD1028" s="45" t="str">
        <f>IFERROR(__xludf.DUMMYFUNCTION("""COMPUTED_VALUE"""),"")</f>
        <v/>
      </c>
      <c r="AE1028" s="46" t="str">
        <f>IFERROR(__xludf.DUMMYFUNCTION("""COMPUTED_VALUE"""),"AP")</f>
        <v>AP</v>
      </c>
      <c r="AF1028" s="47" t="str">
        <f>IFERROR(__xludf.DUMMYFUNCTION("""COMPUTED_VALUE"""),"")</f>
        <v/>
      </c>
      <c r="AG1028" s="48" t="str">
        <f>IFERROR(__xludf.DUMMYFUNCTION("""COMPUTED_VALUE"""),"%")</f>
        <v>%</v>
      </c>
      <c r="AH1028" s="43"/>
      <c r="AI1028" s="44"/>
      <c r="AJ1028" s="51"/>
    </row>
    <row r="1029" ht="24.75" hidden="1" customHeight="1">
      <c r="A1029" s="28">
        <f>IFERROR(__xludf.DUMMYFUNCTION("""COMPUTED_VALUE"""),15.0)</f>
        <v>15</v>
      </c>
      <c r="B1029" s="28" t="str">
        <f>IFERROR(__xludf.DUMMYFUNCTION("""COMPUTED_VALUE"""),"A116")</f>
        <v>A116</v>
      </c>
      <c r="C1029" s="28"/>
      <c r="D1029" s="29"/>
      <c r="E1029" s="67"/>
      <c r="F1029" s="31"/>
      <c r="G1029" s="32"/>
      <c r="H1029" s="33" t="str">
        <f>IFERROR(__xludf.DUMMYFUNCTION("""COMPUTED_VALUE""")," ")</f>
        <v> </v>
      </c>
      <c r="I1029" s="34"/>
      <c r="J1029" s="35" t="str">
        <f>IFERROR(__xludf.DUMMYFUNCTION("""COMPUTED_VALUE"""),"AP")</f>
        <v>AP</v>
      </c>
      <c r="K1029" s="34"/>
      <c r="L1029" s="35" t="str">
        <f>IFERROR(__xludf.DUMMYFUNCTION("""COMPUTED_VALUE"""),"%")</f>
        <v>%</v>
      </c>
      <c r="M1029" s="36">
        <f>IFERROR(__xludf.DUMMYFUNCTION("""COMPUTED_VALUE"""),1.0)</f>
        <v>1</v>
      </c>
      <c r="N1029" s="37"/>
      <c r="O1029" s="38"/>
      <c r="P1029" s="34" t="str">
        <f>IFERROR(__xludf.DUMMYFUNCTION("""COMPUTED_VALUE"""),"")</f>
        <v/>
      </c>
      <c r="Q1029" s="35" t="str">
        <f>IFERROR(__xludf.DUMMYFUNCTION("""COMPUTED_VALUE"""),"AP")</f>
        <v>AP</v>
      </c>
      <c r="R1029" s="34" t="str">
        <f>IFERROR(__xludf.DUMMYFUNCTION("""COMPUTED_VALUE"""),"")</f>
        <v/>
      </c>
      <c r="S1029" s="35" t="str">
        <f>IFERROR(__xludf.DUMMYFUNCTION("""COMPUTED_VALUE"""),"%")</f>
        <v>%</v>
      </c>
      <c r="T1029" s="36">
        <f>IFERROR(__xludf.DUMMYFUNCTION("""COMPUTED_VALUE"""),2.0)</f>
        <v>2</v>
      </c>
      <c r="U1029" s="37"/>
      <c r="V1029" s="38"/>
      <c r="W1029" s="34" t="str">
        <f>IFERROR(__xludf.DUMMYFUNCTION("""COMPUTED_VALUE"""),"")</f>
        <v/>
      </c>
      <c r="X1029" s="35" t="str">
        <f>IFERROR(__xludf.DUMMYFUNCTION("""COMPUTED_VALUE"""),"AP")</f>
        <v>AP</v>
      </c>
      <c r="Y1029" s="34" t="str">
        <f>IFERROR(__xludf.DUMMYFUNCTION("""COMPUTED_VALUE"""),"")</f>
        <v/>
      </c>
      <c r="Z1029" s="35" t="str">
        <f>IFERROR(__xludf.DUMMYFUNCTION("""COMPUTED_VALUE"""),"%")</f>
        <v>%</v>
      </c>
      <c r="AA1029" s="36">
        <f>IFERROR(__xludf.DUMMYFUNCTION("""COMPUTED_VALUE"""),3.0)</f>
        <v>3</v>
      </c>
      <c r="AB1029" s="37"/>
      <c r="AC1029" s="38"/>
      <c r="AD1029" s="34" t="str">
        <f>IFERROR(__xludf.DUMMYFUNCTION("""COMPUTED_VALUE"""),"")</f>
        <v/>
      </c>
      <c r="AE1029" s="35" t="str">
        <f>IFERROR(__xludf.DUMMYFUNCTION("""COMPUTED_VALUE"""),"AP")</f>
        <v>AP</v>
      </c>
      <c r="AF1029" s="34" t="str">
        <f>IFERROR(__xludf.DUMMYFUNCTION("""COMPUTED_VALUE"""),"")</f>
        <v/>
      </c>
      <c r="AG1029" s="35" t="str">
        <f>IFERROR(__xludf.DUMMYFUNCTION("""COMPUTED_VALUE"""),"%")</f>
        <v>%</v>
      </c>
      <c r="AH1029" s="31"/>
      <c r="AI1029" s="32"/>
      <c r="AJ1029" s="39"/>
    </row>
    <row r="1030" ht="24.75" hidden="1" customHeight="1">
      <c r="A1030" s="40">
        <f>IFERROR(__xludf.DUMMYFUNCTION("""COMPUTED_VALUE"""),16.0)</f>
        <v>16</v>
      </c>
      <c r="B1030" s="40" t="str">
        <f>IFERROR(__xludf.DUMMYFUNCTION("""COMPUTED_VALUE"""),"A116")</f>
        <v>A116</v>
      </c>
      <c r="C1030" s="40"/>
      <c r="D1030" s="41"/>
      <c r="E1030" s="66"/>
      <c r="F1030" s="43"/>
      <c r="G1030" s="44"/>
      <c r="H1030" s="33" t="str">
        <f>IFERROR(__xludf.DUMMYFUNCTION("""COMPUTED_VALUE""")," ")</f>
        <v> </v>
      </c>
      <c r="I1030" s="45"/>
      <c r="J1030" s="46" t="str">
        <f>IFERROR(__xludf.DUMMYFUNCTION("""COMPUTED_VALUE"""),"AP")</f>
        <v>AP</v>
      </c>
      <c r="K1030" s="47"/>
      <c r="L1030" s="48" t="str">
        <f>IFERROR(__xludf.DUMMYFUNCTION("""COMPUTED_VALUE"""),"%")</f>
        <v>%</v>
      </c>
      <c r="M1030" s="49">
        <f>IFERROR(__xludf.DUMMYFUNCTION("""COMPUTED_VALUE"""),1.0)</f>
        <v>1</v>
      </c>
      <c r="N1030" s="50"/>
      <c r="O1030" s="38"/>
      <c r="P1030" s="45" t="str">
        <f>IFERROR(__xludf.DUMMYFUNCTION("""COMPUTED_VALUE"""),"")</f>
        <v/>
      </c>
      <c r="Q1030" s="46" t="str">
        <f>IFERROR(__xludf.DUMMYFUNCTION("""COMPUTED_VALUE"""),"AP")</f>
        <v>AP</v>
      </c>
      <c r="R1030" s="47" t="str">
        <f>IFERROR(__xludf.DUMMYFUNCTION("""COMPUTED_VALUE"""),"")</f>
        <v/>
      </c>
      <c r="S1030" s="48" t="str">
        <f>IFERROR(__xludf.DUMMYFUNCTION("""COMPUTED_VALUE"""),"%")</f>
        <v>%</v>
      </c>
      <c r="T1030" s="49">
        <f>IFERROR(__xludf.DUMMYFUNCTION("""COMPUTED_VALUE"""),2.0)</f>
        <v>2</v>
      </c>
      <c r="U1030" s="50"/>
      <c r="V1030" s="38"/>
      <c r="W1030" s="45" t="str">
        <f>IFERROR(__xludf.DUMMYFUNCTION("""COMPUTED_VALUE"""),"")</f>
        <v/>
      </c>
      <c r="X1030" s="46" t="str">
        <f>IFERROR(__xludf.DUMMYFUNCTION("""COMPUTED_VALUE"""),"AP")</f>
        <v>AP</v>
      </c>
      <c r="Y1030" s="47" t="str">
        <f>IFERROR(__xludf.DUMMYFUNCTION("""COMPUTED_VALUE"""),"")</f>
        <v/>
      </c>
      <c r="Z1030" s="48" t="str">
        <f>IFERROR(__xludf.DUMMYFUNCTION("""COMPUTED_VALUE"""),"%")</f>
        <v>%</v>
      </c>
      <c r="AA1030" s="49">
        <f>IFERROR(__xludf.DUMMYFUNCTION("""COMPUTED_VALUE"""),3.0)</f>
        <v>3</v>
      </c>
      <c r="AB1030" s="50"/>
      <c r="AC1030" s="38"/>
      <c r="AD1030" s="45" t="str">
        <f>IFERROR(__xludf.DUMMYFUNCTION("""COMPUTED_VALUE"""),"")</f>
        <v/>
      </c>
      <c r="AE1030" s="46" t="str">
        <f>IFERROR(__xludf.DUMMYFUNCTION("""COMPUTED_VALUE"""),"AP")</f>
        <v>AP</v>
      </c>
      <c r="AF1030" s="47" t="str">
        <f>IFERROR(__xludf.DUMMYFUNCTION("""COMPUTED_VALUE"""),"")</f>
        <v/>
      </c>
      <c r="AG1030" s="48" t="str">
        <f>IFERROR(__xludf.DUMMYFUNCTION("""COMPUTED_VALUE"""),"%")</f>
        <v>%</v>
      </c>
      <c r="AH1030" s="43"/>
      <c r="AI1030" s="44"/>
      <c r="AJ1030" s="51"/>
    </row>
    <row r="1031" ht="24.75" hidden="1" customHeight="1">
      <c r="A1031" s="28">
        <f>IFERROR(__xludf.DUMMYFUNCTION("""COMPUTED_VALUE"""),17.0)</f>
        <v>17</v>
      </c>
      <c r="B1031" s="28" t="str">
        <f>IFERROR(__xludf.DUMMYFUNCTION("""COMPUTED_VALUE"""),"A116")</f>
        <v>A116</v>
      </c>
      <c r="C1031" s="28"/>
      <c r="D1031" s="29"/>
      <c r="E1031" s="67"/>
      <c r="F1031" s="31"/>
      <c r="G1031" s="32"/>
      <c r="H1031" s="33" t="str">
        <f>IFERROR(__xludf.DUMMYFUNCTION("""COMPUTED_VALUE""")," ")</f>
        <v> </v>
      </c>
      <c r="I1031" s="34"/>
      <c r="J1031" s="35" t="str">
        <f>IFERROR(__xludf.DUMMYFUNCTION("""COMPUTED_VALUE"""),"AP")</f>
        <v>AP</v>
      </c>
      <c r="K1031" s="34"/>
      <c r="L1031" s="35" t="str">
        <f>IFERROR(__xludf.DUMMYFUNCTION("""COMPUTED_VALUE"""),"%")</f>
        <v>%</v>
      </c>
      <c r="M1031" s="36">
        <f>IFERROR(__xludf.DUMMYFUNCTION("""COMPUTED_VALUE"""),1.0)</f>
        <v>1</v>
      </c>
      <c r="N1031" s="37"/>
      <c r="O1031" s="38"/>
      <c r="P1031" s="34" t="str">
        <f>IFERROR(__xludf.DUMMYFUNCTION("""COMPUTED_VALUE"""),"")</f>
        <v/>
      </c>
      <c r="Q1031" s="35" t="str">
        <f>IFERROR(__xludf.DUMMYFUNCTION("""COMPUTED_VALUE"""),"AP")</f>
        <v>AP</v>
      </c>
      <c r="R1031" s="34" t="str">
        <f>IFERROR(__xludf.DUMMYFUNCTION("""COMPUTED_VALUE"""),"")</f>
        <v/>
      </c>
      <c r="S1031" s="35" t="str">
        <f>IFERROR(__xludf.DUMMYFUNCTION("""COMPUTED_VALUE"""),"%")</f>
        <v>%</v>
      </c>
      <c r="T1031" s="36">
        <f>IFERROR(__xludf.DUMMYFUNCTION("""COMPUTED_VALUE"""),2.0)</f>
        <v>2</v>
      </c>
      <c r="U1031" s="37"/>
      <c r="V1031" s="38"/>
      <c r="W1031" s="34" t="str">
        <f>IFERROR(__xludf.DUMMYFUNCTION("""COMPUTED_VALUE"""),"")</f>
        <v/>
      </c>
      <c r="X1031" s="35" t="str">
        <f>IFERROR(__xludf.DUMMYFUNCTION("""COMPUTED_VALUE"""),"AP")</f>
        <v>AP</v>
      </c>
      <c r="Y1031" s="34" t="str">
        <f>IFERROR(__xludf.DUMMYFUNCTION("""COMPUTED_VALUE"""),"")</f>
        <v/>
      </c>
      <c r="Z1031" s="35" t="str">
        <f>IFERROR(__xludf.DUMMYFUNCTION("""COMPUTED_VALUE"""),"%")</f>
        <v>%</v>
      </c>
      <c r="AA1031" s="36">
        <f>IFERROR(__xludf.DUMMYFUNCTION("""COMPUTED_VALUE"""),3.0)</f>
        <v>3</v>
      </c>
      <c r="AB1031" s="37"/>
      <c r="AC1031" s="38"/>
      <c r="AD1031" s="34" t="str">
        <f>IFERROR(__xludf.DUMMYFUNCTION("""COMPUTED_VALUE"""),"")</f>
        <v/>
      </c>
      <c r="AE1031" s="35" t="str">
        <f>IFERROR(__xludf.DUMMYFUNCTION("""COMPUTED_VALUE"""),"AP")</f>
        <v>AP</v>
      </c>
      <c r="AF1031" s="34" t="str">
        <f>IFERROR(__xludf.DUMMYFUNCTION("""COMPUTED_VALUE"""),"")</f>
        <v/>
      </c>
      <c r="AG1031" s="35" t="str">
        <f>IFERROR(__xludf.DUMMYFUNCTION("""COMPUTED_VALUE"""),"%")</f>
        <v>%</v>
      </c>
      <c r="AH1031" s="31"/>
      <c r="AI1031" s="32"/>
      <c r="AJ1031" s="39"/>
    </row>
    <row r="1032" ht="24.75" hidden="1" customHeight="1">
      <c r="A1032" s="40">
        <f>IFERROR(__xludf.DUMMYFUNCTION("""COMPUTED_VALUE"""),18.0)</f>
        <v>18</v>
      </c>
      <c r="B1032" s="40" t="str">
        <f>IFERROR(__xludf.DUMMYFUNCTION("""COMPUTED_VALUE"""),"A116")</f>
        <v>A116</v>
      </c>
      <c r="C1032" s="40"/>
      <c r="D1032" s="41"/>
      <c r="E1032" s="66"/>
      <c r="F1032" s="43"/>
      <c r="G1032" s="44"/>
      <c r="H1032" s="33" t="str">
        <f>IFERROR(__xludf.DUMMYFUNCTION("""COMPUTED_VALUE""")," ")</f>
        <v> </v>
      </c>
      <c r="I1032" s="45"/>
      <c r="J1032" s="46" t="str">
        <f>IFERROR(__xludf.DUMMYFUNCTION("""COMPUTED_VALUE"""),"AP")</f>
        <v>AP</v>
      </c>
      <c r="K1032" s="47"/>
      <c r="L1032" s="48" t="str">
        <f>IFERROR(__xludf.DUMMYFUNCTION("""COMPUTED_VALUE"""),"%")</f>
        <v>%</v>
      </c>
      <c r="M1032" s="49">
        <f>IFERROR(__xludf.DUMMYFUNCTION("""COMPUTED_VALUE"""),1.0)</f>
        <v>1</v>
      </c>
      <c r="N1032" s="50"/>
      <c r="O1032" s="38"/>
      <c r="P1032" s="45" t="str">
        <f>IFERROR(__xludf.DUMMYFUNCTION("""COMPUTED_VALUE"""),"")</f>
        <v/>
      </c>
      <c r="Q1032" s="46" t="str">
        <f>IFERROR(__xludf.DUMMYFUNCTION("""COMPUTED_VALUE"""),"AP")</f>
        <v>AP</v>
      </c>
      <c r="R1032" s="47" t="str">
        <f>IFERROR(__xludf.DUMMYFUNCTION("""COMPUTED_VALUE"""),"")</f>
        <v/>
      </c>
      <c r="S1032" s="48" t="str">
        <f>IFERROR(__xludf.DUMMYFUNCTION("""COMPUTED_VALUE"""),"%")</f>
        <v>%</v>
      </c>
      <c r="T1032" s="49">
        <f>IFERROR(__xludf.DUMMYFUNCTION("""COMPUTED_VALUE"""),2.0)</f>
        <v>2</v>
      </c>
      <c r="U1032" s="50"/>
      <c r="V1032" s="38"/>
      <c r="W1032" s="45" t="str">
        <f>IFERROR(__xludf.DUMMYFUNCTION("""COMPUTED_VALUE"""),"")</f>
        <v/>
      </c>
      <c r="X1032" s="46" t="str">
        <f>IFERROR(__xludf.DUMMYFUNCTION("""COMPUTED_VALUE"""),"AP")</f>
        <v>AP</v>
      </c>
      <c r="Y1032" s="47" t="str">
        <f>IFERROR(__xludf.DUMMYFUNCTION("""COMPUTED_VALUE"""),"")</f>
        <v/>
      </c>
      <c r="Z1032" s="48" t="str">
        <f>IFERROR(__xludf.DUMMYFUNCTION("""COMPUTED_VALUE"""),"%")</f>
        <v>%</v>
      </c>
      <c r="AA1032" s="49">
        <f>IFERROR(__xludf.DUMMYFUNCTION("""COMPUTED_VALUE"""),3.0)</f>
        <v>3</v>
      </c>
      <c r="AB1032" s="50"/>
      <c r="AC1032" s="38"/>
      <c r="AD1032" s="45" t="str">
        <f>IFERROR(__xludf.DUMMYFUNCTION("""COMPUTED_VALUE"""),"")</f>
        <v/>
      </c>
      <c r="AE1032" s="46" t="str">
        <f>IFERROR(__xludf.DUMMYFUNCTION("""COMPUTED_VALUE"""),"AP")</f>
        <v>AP</v>
      </c>
      <c r="AF1032" s="47" t="str">
        <f>IFERROR(__xludf.DUMMYFUNCTION("""COMPUTED_VALUE"""),"")</f>
        <v/>
      </c>
      <c r="AG1032" s="48" t="str">
        <f>IFERROR(__xludf.DUMMYFUNCTION("""COMPUTED_VALUE"""),"%")</f>
        <v>%</v>
      </c>
      <c r="AH1032" s="43"/>
      <c r="AI1032" s="44"/>
      <c r="AJ1032" s="51"/>
    </row>
    <row r="1033" ht="24.75" hidden="1" customHeight="1">
      <c r="A1033" s="28">
        <f>IFERROR(__xludf.DUMMYFUNCTION("""COMPUTED_VALUE"""),19.0)</f>
        <v>19</v>
      </c>
      <c r="B1033" s="28" t="str">
        <f>IFERROR(__xludf.DUMMYFUNCTION("""COMPUTED_VALUE"""),"A116")</f>
        <v>A116</v>
      </c>
      <c r="C1033" s="28"/>
      <c r="D1033" s="29"/>
      <c r="E1033" s="67"/>
      <c r="F1033" s="31"/>
      <c r="G1033" s="32"/>
      <c r="H1033" s="33" t="str">
        <f>IFERROR(__xludf.DUMMYFUNCTION("""COMPUTED_VALUE""")," ")</f>
        <v> </v>
      </c>
      <c r="I1033" s="34"/>
      <c r="J1033" s="35" t="str">
        <f>IFERROR(__xludf.DUMMYFUNCTION("""COMPUTED_VALUE"""),"AP")</f>
        <v>AP</v>
      </c>
      <c r="K1033" s="34"/>
      <c r="L1033" s="35" t="str">
        <f>IFERROR(__xludf.DUMMYFUNCTION("""COMPUTED_VALUE"""),"%")</f>
        <v>%</v>
      </c>
      <c r="M1033" s="36">
        <f>IFERROR(__xludf.DUMMYFUNCTION("""COMPUTED_VALUE"""),1.0)</f>
        <v>1</v>
      </c>
      <c r="N1033" s="37"/>
      <c r="O1033" s="38"/>
      <c r="P1033" s="34" t="str">
        <f>IFERROR(__xludf.DUMMYFUNCTION("""COMPUTED_VALUE"""),"")</f>
        <v/>
      </c>
      <c r="Q1033" s="35" t="str">
        <f>IFERROR(__xludf.DUMMYFUNCTION("""COMPUTED_VALUE"""),"AP")</f>
        <v>AP</v>
      </c>
      <c r="R1033" s="34" t="str">
        <f>IFERROR(__xludf.DUMMYFUNCTION("""COMPUTED_VALUE"""),"")</f>
        <v/>
      </c>
      <c r="S1033" s="35" t="str">
        <f>IFERROR(__xludf.DUMMYFUNCTION("""COMPUTED_VALUE"""),"%")</f>
        <v>%</v>
      </c>
      <c r="T1033" s="36">
        <f>IFERROR(__xludf.DUMMYFUNCTION("""COMPUTED_VALUE"""),2.0)</f>
        <v>2</v>
      </c>
      <c r="U1033" s="37"/>
      <c r="V1033" s="38"/>
      <c r="W1033" s="34" t="str">
        <f>IFERROR(__xludf.DUMMYFUNCTION("""COMPUTED_VALUE"""),"")</f>
        <v/>
      </c>
      <c r="X1033" s="35" t="str">
        <f>IFERROR(__xludf.DUMMYFUNCTION("""COMPUTED_VALUE"""),"AP")</f>
        <v>AP</v>
      </c>
      <c r="Y1033" s="34" t="str">
        <f>IFERROR(__xludf.DUMMYFUNCTION("""COMPUTED_VALUE"""),"")</f>
        <v/>
      </c>
      <c r="Z1033" s="35" t="str">
        <f>IFERROR(__xludf.DUMMYFUNCTION("""COMPUTED_VALUE"""),"%")</f>
        <v>%</v>
      </c>
      <c r="AA1033" s="36">
        <f>IFERROR(__xludf.DUMMYFUNCTION("""COMPUTED_VALUE"""),3.0)</f>
        <v>3</v>
      </c>
      <c r="AB1033" s="37"/>
      <c r="AC1033" s="38"/>
      <c r="AD1033" s="34" t="str">
        <f>IFERROR(__xludf.DUMMYFUNCTION("""COMPUTED_VALUE"""),"")</f>
        <v/>
      </c>
      <c r="AE1033" s="35" t="str">
        <f>IFERROR(__xludf.DUMMYFUNCTION("""COMPUTED_VALUE"""),"AP")</f>
        <v>AP</v>
      </c>
      <c r="AF1033" s="34" t="str">
        <f>IFERROR(__xludf.DUMMYFUNCTION("""COMPUTED_VALUE"""),"")</f>
        <v/>
      </c>
      <c r="AG1033" s="35" t="str">
        <f>IFERROR(__xludf.DUMMYFUNCTION("""COMPUTED_VALUE"""),"%")</f>
        <v>%</v>
      </c>
      <c r="AH1033" s="31"/>
      <c r="AI1033" s="32"/>
      <c r="AJ1033" s="39"/>
    </row>
    <row r="1034" ht="24.75" hidden="1" customHeight="1">
      <c r="A1034" s="40">
        <f>IFERROR(__xludf.DUMMYFUNCTION("""COMPUTED_VALUE"""),20.0)</f>
        <v>20</v>
      </c>
      <c r="B1034" s="40" t="str">
        <f>IFERROR(__xludf.DUMMYFUNCTION("""COMPUTED_VALUE"""),"A116")</f>
        <v>A116</v>
      </c>
      <c r="C1034" s="40"/>
      <c r="D1034" s="41"/>
      <c r="E1034" s="66"/>
      <c r="F1034" s="43"/>
      <c r="G1034" s="44"/>
      <c r="H1034" s="33" t="str">
        <f>IFERROR(__xludf.DUMMYFUNCTION("""COMPUTED_VALUE""")," ")</f>
        <v> </v>
      </c>
      <c r="I1034" s="45"/>
      <c r="J1034" s="46" t="str">
        <f>IFERROR(__xludf.DUMMYFUNCTION("""COMPUTED_VALUE"""),"AP")</f>
        <v>AP</v>
      </c>
      <c r="K1034" s="47"/>
      <c r="L1034" s="48" t="str">
        <f>IFERROR(__xludf.DUMMYFUNCTION("""COMPUTED_VALUE"""),"%")</f>
        <v>%</v>
      </c>
      <c r="M1034" s="49">
        <f>IFERROR(__xludf.DUMMYFUNCTION("""COMPUTED_VALUE"""),1.0)</f>
        <v>1</v>
      </c>
      <c r="N1034" s="50"/>
      <c r="O1034" s="38"/>
      <c r="P1034" s="45" t="str">
        <f>IFERROR(__xludf.DUMMYFUNCTION("""COMPUTED_VALUE"""),"")</f>
        <v/>
      </c>
      <c r="Q1034" s="46" t="str">
        <f>IFERROR(__xludf.DUMMYFUNCTION("""COMPUTED_VALUE"""),"AP")</f>
        <v>AP</v>
      </c>
      <c r="R1034" s="47" t="str">
        <f>IFERROR(__xludf.DUMMYFUNCTION("""COMPUTED_VALUE"""),"")</f>
        <v/>
      </c>
      <c r="S1034" s="48" t="str">
        <f>IFERROR(__xludf.DUMMYFUNCTION("""COMPUTED_VALUE"""),"%")</f>
        <v>%</v>
      </c>
      <c r="T1034" s="49">
        <f>IFERROR(__xludf.DUMMYFUNCTION("""COMPUTED_VALUE"""),2.0)</f>
        <v>2</v>
      </c>
      <c r="U1034" s="50"/>
      <c r="V1034" s="38"/>
      <c r="W1034" s="45" t="str">
        <f>IFERROR(__xludf.DUMMYFUNCTION("""COMPUTED_VALUE"""),"")</f>
        <v/>
      </c>
      <c r="X1034" s="46" t="str">
        <f>IFERROR(__xludf.DUMMYFUNCTION("""COMPUTED_VALUE"""),"AP")</f>
        <v>AP</v>
      </c>
      <c r="Y1034" s="47" t="str">
        <f>IFERROR(__xludf.DUMMYFUNCTION("""COMPUTED_VALUE"""),"")</f>
        <v/>
      </c>
      <c r="Z1034" s="48" t="str">
        <f>IFERROR(__xludf.DUMMYFUNCTION("""COMPUTED_VALUE"""),"%")</f>
        <v>%</v>
      </c>
      <c r="AA1034" s="49">
        <f>IFERROR(__xludf.DUMMYFUNCTION("""COMPUTED_VALUE"""),3.0)</f>
        <v>3</v>
      </c>
      <c r="AB1034" s="50"/>
      <c r="AC1034" s="38"/>
      <c r="AD1034" s="45" t="str">
        <f>IFERROR(__xludf.DUMMYFUNCTION("""COMPUTED_VALUE"""),"")</f>
        <v/>
      </c>
      <c r="AE1034" s="46" t="str">
        <f>IFERROR(__xludf.DUMMYFUNCTION("""COMPUTED_VALUE"""),"AP")</f>
        <v>AP</v>
      </c>
      <c r="AF1034" s="47" t="str">
        <f>IFERROR(__xludf.DUMMYFUNCTION("""COMPUTED_VALUE"""),"")</f>
        <v/>
      </c>
      <c r="AG1034" s="48" t="str">
        <f>IFERROR(__xludf.DUMMYFUNCTION("""COMPUTED_VALUE"""),"%")</f>
        <v>%</v>
      </c>
      <c r="AH1034" s="43"/>
      <c r="AI1034" s="44"/>
      <c r="AJ1034" s="51"/>
    </row>
    <row r="1035">
      <c r="A1035" s="52"/>
      <c r="B1035" s="53"/>
      <c r="C1035" s="54"/>
      <c r="D1035" s="55"/>
      <c r="E1035" s="56"/>
      <c r="F1035" s="53"/>
      <c r="G1035" s="53"/>
      <c r="H1035" s="53"/>
      <c r="I1035" s="53"/>
      <c r="J1035" s="57"/>
      <c r="K1035" s="53"/>
      <c r="L1035" s="57"/>
      <c r="M1035" s="53"/>
      <c r="N1035" s="53"/>
      <c r="O1035" s="53"/>
      <c r="P1035" s="53"/>
      <c r="Q1035" s="57"/>
      <c r="R1035" s="53"/>
      <c r="S1035" s="57"/>
      <c r="T1035" s="53"/>
      <c r="U1035" s="53"/>
      <c r="V1035" s="53"/>
      <c r="W1035" s="53"/>
      <c r="X1035" s="57"/>
      <c r="Y1035" s="53"/>
      <c r="Z1035" s="57"/>
      <c r="AA1035" s="53"/>
      <c r="AB1035" s="53"/>
      <c r="AC1035" s="53"/>
      <c r="AD1035" s="53"/>
      <c r="AE1035" s="57"/>
      <c r="AF1035" s="53"/>
      <c r="AG1035" s="57"/>
      <c r="AH1035" s="53"/>
      <c r="AI1035" s="53"/>
      <c r="AJ1035" s="58"/>
    </row>
    <row r="1036">
      <c r="A1036" s="59"/>
      <c r="B1036" s="60"/>
      <c r="C1036" s="61"/>
      <c r="D1036" s="62"/>
      <c r="E1036" s="63"/>
      <c r="F1036" s="60"/>
      <c r="G1036" s="60"/>
      <c r="H1036" s="60"/>
      <c r="I1036" s="60"/>
      <c r="J1036" s="64"/>
      <c r="K1036" s="60"/>
      <c r="L1036" s="64"/>
      <c r="M1036" s="60"/>
      <c r="N1036" s="60"/>
      <c r="O1036" s="60"/>
      <c r="P1036" s="60"/>
      <c r="Q1036" s="64"/>
      <c r="R1036" s="60"/>
      <c r="S1036" s="64"/>
      <c r="T1036" s="60"/>
      <c r="U1036" s="60"/>
      <c r="V1036" s="60"/>
      <c r="W1036" s="60"/>
      <c r="X1036" s="64"/>
      <c r="Y1036" s="60"/>
      <c r="Z1036" s="64"/>
      <c r="AA1036" s="60"/>
      <c r="AB1036" s="60"/>
      <c r="AC1036" s="60"/>
      <c r="AD1036" s="60"/>
      <c r="AE1036" s="64"/>
      <c r="AF1036" s="60"/>
      <c r="AG1036" s="64"/>
      <c r="AH1036" s="60"/>
      <c r="AI1036" s="60"/>
      <c r="AJ1036" s="65"/>
    </row>
    <row r="1037" ht="33.0" customHeight="1">
      <c r="A1037" s="20" t="str">
        <f>IFERROR(__xludf.DUMMYFUNCTION("""COMPUTED_VALUE""")," ")</f>
        <v> </v>
      </c>
      <c r="B1037" s="21" t="str">
        <f>IFERROR(__xludf.DUMMYFUNCTION("""COMPUTED_VALUE"""),"A117")</f>
        <v>A117</v>
      </c>
      <c r="C1037" s="20"/>
      <c r="D1037" s="22" t="str">
        <f>IFERROR(__xludf.DUMMYFUNCTION("""COMPUTED_VALUE"""),"")</f>
        <v/>
      </c>
      <c r="E1037" s="23" t="str">
        <f>IFERROR(__xludf.DUMMYFUNCTION("""COMPUTED_VALUE"""),"Fruit of Eternity")</f>
        <v>Fruit of Eternity</v>
      </c>
      <c r="F1037" s="24"/>
      <c r="G1037" s="24"/>
      <c r="H1037" s="25"/>
      <c r="I1037" s="25"/>
      <c r="J1037" s="26"/>
      <c r="K1037" s="25"/>
      <c r="L1037" s="26"/>
      <c r="M1037" s="25"/>
      <c r="N1037" s="25"/>
      <c r="O1037" s="25"/>
      <c r="P1037" s="25"/>
      <c r="Q1037" s="26"/>
      <c r="R1037" s="25"/>
      <c r="S1037" s="26"/>
      <c r="T1037" s="25"/>
      <c r="U1037" s="25"/>
      <c r="V1037" s="25"/>
      <c r="W1037" s="25"/>
      <c r="X1037" s="26"/>
      <c r="Y1037" s="25"/>
      <c r="Z1037" s="26"/>
      <c r="AA1037" s="25"/>
      <c r="AB1037" s="25"/>
      <c r="AC1037" s="25"/>
      <c r="AD1037" s="25"/>
      <c r="AE1037" s="26"/>
      <c r="AF1037" s="25"/>
      <c r="AG1037" s="26"/>
      <c r="AH1037" s="24"/>
      <c r="AI1037" s="25"/>
      <c r="AJ1037" s="27"/>
    </row>
    <row r="1038" ht="24.75" customHeight="1">
      <c r="A1038" s="28">
        <f>IFERROR(__xludf.DUMMYFUNCTION("""COMPUTED_VALUE"""),1.0)</f>
        <v>1</v>
      </c>
      <c r="B1038" s="28" t="str">
        <f>IFERROR(__xludf.DUMMYFUNCTION("""COMPUTED_VALUE"""),"A117")</f>
        <v>A117</v>
      </c>
      <c r="C1038" s="28" t="str">
        <f>IFERROR(__xludf.DUMMYFUNCTION("""COMPUTED_VALUE"""),"OLP3")</f>
        <v>OLP3</v>
      </c>
      <c r="D1038" s="29" t="str">
        <f>IFERROR(__xludf.DUMMYFUNCTION("""COMPUTED_VALUE"""),"Olympus")</f>
        <v>Olympus</v>
      </c>
      <c r="E1038" s="30" t="str">
        <f>IFERROR(__xludf.DUMMYFUNCTION("""COMPUTED_VALUE"""),"Interstellar City: South")</f>
        <v>Interstellar City: South</v>
      </c>
      <c r="F1038" s="31">
        <f>IFERROR(__xludf.DUMMYFUNCTION("""COMPUTED_VALUE"""),21.0)</f>
        <v>21</v>
      </c>
      <c r="G1038" s="32">
        <f>IFERROR(__xludf.DUMMYFUNCTION("""COMPUTED_VALUE"""),65354.0)</f>
        <v>65354</v>
      </c>
      <c r="H1038" s="33" t="str">
        <f>IFERROR(__xludf.DUMMYFUNCTION("""COMPUTED_VALUE"""),"")</f>
        <v/>
      </c>
      <c r="I1038" s="34">
        <f>IFERROR(__xludf.DUMMYFUNCTION("""COMPUTED_VALUE"""),104.6)</f>
        <v>104.6</v>
      </c>
      <c r="J1038" s="35" t="str">
        <f>IFERROR(__xludf.DUMMYFUNCTION("""COMPUTED_VALUE"""),"AP")</f>
        <v>AP</v>
      </c>
      <c r="K1038" s="34">
        <f>IFERROR(__xludf.DUMMYFUNCTION("""COMPUTED_VALUE"""),20.1)</f>
        <v>20.1</v>
      </c>
      <c r="L1038" s="35" t="str">
        <f>IFERROR(__xludf.DUMMYFUNCTION("""COMPUTED_VALUE"""),"%")</f>
        <v>%</v>
      </c>
      <c r="M1038" s="36">
        <f>IFERROR(__xludf.DUMMYFUNCTION("""COMPUTED_VALUE"""),1.0)</f>
        <v>1</v>
      </c>
      <c r="N1038" s="37" t="str">
        <f>IFERROR(__xludf.DUMMYFUNCTION("""COMPUTED_VALUE"""),"A219")</f>
        <v>A219</v>
      </c>
      <c r="O1038" s="38" t="str">
        <f>IFERROR(__xludf.DUMMYFUNCTION("""COMPUTED_VALUE"""),"")</f>
        <v/>
      </c>
      <c r="P1038" s="34">
        <f>IFERROR(__xludf.DUMMYFUNCTION("""COMPUTED_VALUE"""),83.1)</f>
        <v>83.1</v>
      </c>
      <c r="Q1038" s="35" t="str">
        <f>IFERROR(__xludf.DUMMYFUNCTION("""COMPUTED_VALUE"""),"AP")</f>
        <v>AP</v>
      </c>
      <c r="R1038" s="34">
        <f>IFERROR(__xludf.DUMMYFUNCTION("""COMPUTED_VALUE"""),25.3)</f>
        <v>25.3</v>
      </c>
      <c r="S1038" s="35" t="str">
        <f>IFERROR(__xludf.DUMMYFUNCTION("""COMPUTED_VALUE"""),"%")</f>
        <v>%</v>
      </c>
      <c r="T1038" s="36">
        <f>IFERROR(__xludf.DUMMYFUNCTION("""COMPUTED_VALUE"""),2.0)</f>
        <v>2</v>
      </c>
      <c r="U1038" s="37" t="str">
        <f>IFERROR(__xludf.DUMMYFUNCTION("""COMPUTED_VALUE"""),"B113")</f>
        <v>B113</v>
      </c>
      <c r="V1038" s="38" t="str">
        <f>IFERROR(__xludf.DUMMYFUNCTION("""COMPUTED_VALUE"""),"")</f>
        <v/>
      </c>
      <c r="W1038" s="34">
        <f>IFERROR(__xludf.DUMMYFUNCTION("""COMPUTED_VALUE"""),135.5)</f>
        <v>135.5</v>
      </c>
      <c r="X1038" s="35" t="str">
        <f>IFERROR(__xludf.DUMMYFUNCTION("""COMPUTED_VALUE"""),"AP")</f>
        <v>AP</v>
      </c>
      <c r="Y1038" s="34">
        <f>IFERROR(__xludf.DUMMYFUNCTION("""COMPUTED_VALUE"""),15.5)</f>
        <v>15.5</v>
      </c>
      <c r="Z1038" s="35" t="str">
        <f>IFERROR(__xludf.DUMMYFUNCTION("""COMPUTED_VALUE"""),"%")</f>
        <v>%</v>
      </c>
      <c r="AA1038" s="36">
        <f>IFERROR(__xludf.DUMMYFUNCTION("""COMPUTED_VALUE"""),3.0)</f>
        <v>3</v>
      </c>
      <c r="AB1038" s="37" t="str">
        <f>IFERROR(__xludf.DUMMYFUNCTION("""COMPUTED_VALUE"""),"B116")</f>
        <v>B116</v>
      </c>
      <c r="AC1038" s="38" t="str">
        <f>IFERROR(__xludf.DUMMYFUNCTION("""COMPUTED_VALUE"""),"")</f>
        <v/>
      </c>
      <c r="AD1038" s="34">
        <f>IFERROR(__xludf.DUMMYFUNCTION("""COMPUTED_VALUE"""),62.8)</f>
        <v>62.8</v>
      </c>
      <c r="AE1038" s="35" t="str">
        <f>IFERROR(__xludf.DUMMYFUNCTION("""COMPUTED_VALUE"""),"AP")</f>
        <v>AP</v>
      </c>
      <c r="AF1038" s="34">
        <f>IFERROR(__xludf.DUMMYFUNCTION("""COMPUTED_VALUE"""),33.4)</f>
        <v>33.4</v>
      </c>
      <c r="AG1038" s="35" t="str">
        <f>IFERROR(__xludf.DUMMYFUNCTION("""COMPUTED_VALUE"""),"%")</f>
        <v>%</v>
      </c>
      <c r="AH1038" s="31">
        <f>IFERROR(__xludf.DUMMYFUNCTION("""COMPUTED_VALUE"""),21.0)</f>
        <v>21</v>
      </c>
      <c r="AI1038" s="32">
        <f>IFERROR(__xludf.DUMMYFUNCTION("""COMPUTED_VALUE"""),65354.0)</f>
        <v>65354</v>
      </c>
      <c r="AJ1038" s="39" t="str">
        <f>IFERROR(__xludf.DUMMYFUNCTION("""COMPUTED_VALUE"""),"星間都市南部")</f>
        <v>星間都市南部</v>
      </c>
    </row>
    <row r="1039" ht="24.75" customHeight="1">
      <c r="A1039" s="40">
        <f>IFERROR(__xludf.DUMMYFUNCTION("""COMPUTED_VALUE"""),2.0)</f>
        <v>2</v>
      </c>
      <c r="B1039" s="40" t="str">
        <f>IFERROR(__xludf.DUMMYFUNCTION("""COMPUTED_VALUE"""),"A117")</f>
        <v>A117</v>
      </c>
      <c r="C1039" s="40" t="str">
        <f>IFERROR(__xludf.DUMMYFUNCTION("""COMPUTED_VALUE"""),"OLP2")</f>
        <v>OLP2</v>
      </c>
      <c r="D1039" s="41" t="str">
        <f>IFERROR(__xludf.DUMMYFUNCTION("""COMPUTED_VALUE"""),"Olympus")</f>
        <v>Olympus</v>
      </c>
      <c r="E1039" s="42" t="str">
        <f>IFERROR(__xludf.DUMMYFUNCTION("""COMPUTED_VALUE"""),"Interstellar City: West")</f>
        <v>Interstellar City: West</v>
      </c>
      <c r="F1039" s="43">
        <f>IFERROR(__xludf.DUMMYFUNCTION("""COMPUTED_VALUE"""),21.0)</f>
        <v>21</v>
      </c>
      <c r="G1039" s="44">
        <f>IFERROR(__xludf.DUMMYFUNCTION("""COMPUTED_VALUE"""),12319.0)</f>
        <v>12319</v>
      </c>
      <c r="H1039" s="33" t="str">
        <f>IFERROR(__xludf.DUMMYFUNCTION("""COMPUTED_VALUE"""),"")</f>
        <v/>
      </c>
      <c r="I1039" s="45">
        <f>IFERROR(__xludf.DUMMYFUNCTION("""COMPUTED_VALUE"""),105.4)</f>
        <v>105.4</v>
      </c>
      <c r="J1039" s="46" t="str">
        <f>IFERROR(__xludf.DUMMYFUNCTION("""COMPUTED_VALUE"""),"AP")</f>
        <v>AP</v>
      </c>
      <c r="K1039" s="47">
        <f>IFERROR(__xludf.DUMMYFUNCTION("""COMPUTED_VALUE"""),19.9)</f>
        <v>19.9</v>
      </c>
      <c r="L1039" s="48" t="str">
        <f>IFERROR(__xludf.DUMMYFUNCTION("""COMPUTED_VALUE"""),"%")</f>
        <v>%</v>
      </c>
      <c r="M1039" s="49">
        <f>IFERROR(__xludf.DUMMYFUNCTION("""COMPUTED_VALUE"""),1.0)</f>
        <v>1</v>
      </c>
      <c r="N1039" s="50" t="str">
        <f>IFERROR(__xludf.DUMMYFUNCTION("""COMPUTED_VALUE"""),"A113")</f>
        <v>A113</v>
      </c>
      <c r="O1039" s="38" t="str">
        <f>IFERROR(__xludf.DUMMYFUNCTION("""COMPUTED_VALUE"""),"")</f>
        <v/>
      </c>
      <c r="P1039" s="45">
        <f>IFERROR(__xludf.DUMMYFUNCTION("""COMPUTED_VALUE"""),104.7)</f>
        <v>104.7</v>
      </c>
      <c r="Q1039" s="46" t="str">
        <f>IFERROR(__xludf.DUMMYFUNCTION("""COMPUTED_VALUE"""),"AP")</f>
        <v>AP</v>
      </c>
      <c r="R1039" s="47">
        <f>IFERROR(__xludf.DUMMYFUNCTION("""COMPUTED_VALUE"""),20.1)</f>
        <v>20.1</v>
      </c>
      <c r="S1039" s="48" t="str">
        <f>IFERROR(__xludf.DUMMYFUNCTION("""COMPUTED_VALUE"""),"%")</f>
        <v>%</v>
      </c>
      <c r="T1039" s="49">
        <f>IFERROR(__xludf.DUMMYFUNCTION("""COMPUTED_VALUE"""),2.0)</f>
        <v>2</v>
      </c>
      <c r="U1039" s="50" t="str">
        <f>IFERROR(__xludf.DUMMYFUNCTION("""COMPUTED_VALUE"""),"B113")</f>
        <v>B113</v>
      </c>
      <c r="V1039" s="38" t="str">
        <f>IFERROR(__xludf.DUMMYFUNCTION("""COMPUTED_VALUE"""),"")</f>
        <v/>
      </c>
      <c r="W1039" s="45">
        <f>IFERROR(__xludf.DUMMYFUNCTION("""COMPUTED_VALUE"""),65.7)</f>
        <v>65.7</v>
      </c>
      <c r="X1039" s="46" t="str">
        <f>IFERROR(__xludf.DUMMYFUNCTION("""COMPUTED_VALUE"""),"AP")</f>
        <v>AP</v>
      </c>
      <c r="Y1039" s="47">
        <f>IFERROR(__xludf.DUMMYFUNCTION("""COMPUTED_VALUE"""),32.0)</f>
        <v>32</v>
      </c>
      <c r="Z1039" s="48" t="str">
        <f>IFERROR(__xludf.DUMMYFUNCTION("""COMPUTED_VALUE"""),"%")</f>
        <v>%</v>
      </c>
      <c r="AA1039" s="49">
        <f>IFERROR(__xludf.DUMMYFUNCTION("""COMPUTED_VALUE"""),3.0)</f>
        <v>3</v>
      </c>
      <c r="AB1039" s="50"/>
      <c r="AC1039" s="38"/>
      <c r="AD1039" s="45" t="str">
        <f>IFERROR(__xludf.DUMMYFUNCTION("""COMPUTED_VALUE"""),"")</f>
        <v/>
      </c>
      <c r="AE1039" s="46" t="str">
        <f>IFERROR(__xludf.DUMMYFUNCTION("""COMPUTED_VALUE"""),"AP")</f>
        <v>AP</v>
      </c>
      <c r="AF1039" s="47" t="str">
        <f>IFERROR(__xludf.DUMMYFUNCTION("""COMPUTED_VALUE"""),"")</f>
        <v/>
      </c>
      <c r="AG1039" s="48" t="str">
        <f>IFERROR(__xludf.DUMMYFUNCTION("""COMPUTED_VALUE"""),"%")</f>
        <v>%</v>
      </c>
      <c r="AH1039" s="43">
        <f>IFERROR(__xludf.DUMMYFUNCTION("""COMPUTED_VALUE"""),21.0)</f>
        <v>21</v>
      </c>
      <c r="AI1039" s="44">
        <f>IFERROR(__xludf.DUMMYFUNCTION("""COMPUTED_VALUE"""),12319.0)</f>
        <v>12319</v>
      </c>
      <c r="AJ1039" s="51" t="str">
        <f>IFERROR(__xludf.DUMMYFUNCTION("""COMPUTED_VALUE"""),"星間都市西部")</f>
        <v>星間都市西部</v>
      </c>
    </row>
    <row r="1040" ht="24.75" customHeight="1">
      <c r="A1040" s="28">
        <f>IFERROR(__xludf.DUMMYFUNCTION("""COMPUTED_VALUE"""),3.0)</f>
        <v>3</v>
      </c>
      <c r="B1040" s="28" t="str">
        <f>IFERROR(__xludf.DUMMYFUNCTION("""COMPUTED_VALUE"""),"A117")</f>
        <v>A117</v>
      </c>
      <c r="C1040" s="28" t="str">
        <f>IFERROR(__xludf.DUMMYFUNCTION("""COMPUTED_VALUE"""),"OLP4")</f>
        <v>OLP4</v>
      </c>
      <c r="D1040" s="29" t="str">
        <f>IFERROR(__xludf.DUMMYFUNCTION("""COMPUTED_VALUE"""),"Olympus")</f>
        <v>Olympus</v>
      </c>
      <c r="E1040" s="30" t="str">
        <f>IFERROR(__xludf.DUMMYFUNCTION("""COMPUTED_VALUE"""),"Interstellar City: East")</f>
        <v>Interstellar City: East</v>
      </c>
      <c r="F1040" s="31">
        <f>IFERROR(__xludf.DUMMYFUNCTION("""COMPUTED_VALUE"""),21.0)</f>
        <v>21</v>
      </c>
      <c r="G1040" s="32">
        <f>IFERROR(__xludf.DUMMYFUNCTION("""COMPUTED_VALUE"""),3293.0)</f>
        <v>3293</v>
      </c>
      <c r="H1040" s="33" t="str">
        <f>IFERROR(__xludf.DUMMYFUNCTION("""COMPUTED_VALUE"""),"")</f>
        <v/>
      </c>
      <c r="I1040" s="34">
        <f>IFERROR(__xludf.DUMMYFUNCTION("""COMPUTED_VALUE"""),107.4)</f>
        <v>107.4</v>
      </c>
      <c r="J1040" s="35" t="str">
        <f>IFERROR(__xludf.DUMMYFUNCTION("""COMPUTED_VALUE"""),"AP")</f>
        <v>AP</v>
      </c>
      <c r="K1040" s="34">
        <f>IFERROR(__xludf.DUMMYFUNCTION("""COMPUTED_VALUE"""),19.6)</f>
        <v>19.6</v>
      </c>
      <c r="L1040" s="35" t="str">
        <f>IFERROR(__xludf.DUMMYFUNCTION("""COMPUTED_VALUE"""),"%")</f>
        <v>%</v>
      </c>
      <c r="M1040" s="36">
        <f>IFERROR(__xludf.DUMMYFUNCTION("""COMPUTED_VALUE"""),1.0)</f>
        <v>1</v>
      </c>
      <c r="N1040" s="37" t="str">
        <f>IFERROR(__xludf.DUMMYFUNCTION("""COMPUTED_VALUE"""),"A203")</f>
        <v>A203</v>
      </c>
      <c r="O1040" s="38" t="str">
        <f>IFERROR(__xludf.DUMMYFUNCTION("""COMPUTED_VALUE"""),"")</f>
        <v/>
      </c>
      <c r="P1040" s="34">
        <f>IFERROR(__xludf.DUMMYFUNCTION("""COMPUTED_VALUE"""),84.1)</f>
        <v>84.1</v>
      </c>
      <c r="Q1040" s="35" t="str">
        <f>IFERROR(__xludf.DUMMYFUNCTION("""COMPUTED_VALUE"""),"AP")</f>
        <v>AP</v>
      </c>
      <c r="R1040" s="34">
        <f>IFERROR(__xludf.DUMMYFUNCTION("""COMPUTED_VALUE"""),25.0)</f>
        <v>25</v>
      </c>
      <c r="S1040" s="35" t="str">
        <f>IFERROR(__xludf.DUMMYFUNCTION("""COMPUTED_VALUE"""),"%")</f>
        <v>%</v>
      </c>
      <c r="T1040" s="36">
        <f>IFERROR(__xludf.DUMMYFUNCTION("""COMPUTED_VALUE"""),2.0)</f>
        <v>2</v>
      </c>
      <c r="U1040" s="37" t="str">
        <f>IFERROR(__xludf.DUMMYFUNCTION("""COMPUTED_VALUE"""),"B107")</f>
        <v>B107</v>
      </c>
      <c r="V1040" s="38" t="str">
        <f>IFERROR(__xludf.DUMMYFUNCTION("""COMPUTED_VALUE"""),"")</f>
        <v/>
      </c>
      <c r="W1040" s="34">
        <f>IFERROR(__xludf.DUMMYFUNCTION("""COMPUTED_VALUE"""),398.9)</f>
        <v>398.9</v>
      </c>
      <c r="X1040" s="35" t="str">
        <f>IFERROR(__xludf.DUMMYFUNCTION("""COMPUTED_VALUE"""),"AP")</f>
        <v>AP</v>
      </c>
      <c r="Y1040" s="34">
        <f>IFERROR(__xludf.DUMMYFUNCTION("""COMPUTED_VALUE"""),5.3)</f>
        <v>5.3</v>
      </c>
      <c r="Z1040" s="35" t="str">
        <f>IFERROR(__xludf.DUMMYFUNCTION("""COMPUTED_VALUE"""),"%")</f>
        <v>%</v>
      </c>
      <c r="AA1040" s="36">
        <f>IFERROR(__xludf.DUMMYFUNCTION("""COMPUTED_VALUE"""),3.0)</f>
        <v>3</v>
      </c>
      <c r="AB1040" s="37" t="str">
        <f>IFERROR(__xludf.DUMMYFUNCTION("""COMPUTED_VALUE"""),"B113")</f>
        <v>B113</v>
      </c>
      <c r="AC1040" s="38" t="str">
        <f>IFERROR(__xludf.DUMMYFUNCTION("""COMPUTED_VALUE"""),"")</f>
        <v/>
      </c>
      <c r="AD1040" s="34">
        <f>IFERROR(__xludf.DUMMYFUNCTION("""COMPUTED_VALUE"""),153.7)</f>
        <v>153.7</v>
      </c>
      <c r="AE1040" s="35" t="str">
        <f>IFERROR(__xludf.DUMMYFUNCTION("""COMPUTED_VALUE"""),"AP")</f>
        <v>AP</v>
      </c>
      <c r="AF1040" s="34">
        <f>IFERROR(__xludf.DUMMYFUNCTION("""COMPUTED_VALUE"""),13.7)</f>
        <v>13.7</v>
      </c>
      <c r="AG1040" s="35" t="str">
        <f>IFERROR(__xludf.DUMMYFUNCTION("""COMPUTED_VALUE"""),"%")</f>
        <v>%</v>
      </c>
      <c r="AH1040" s="31">
        <f>IFERROR(__xludf.DUMMYFUNCTION("""COMPUTED_VALUE"""),21.0)</f>
        <v>21</v>
      </c>
      <c r="AI1040" s="32">
        <f>IFERROR(__xludf.DUMMYFUNCTION("""COMPUTED_VALUE"""),3293.0)</f>
        <v>3293</v>
      </c>
      <c r="AJ1040" s="39" t="str">
        <f>IFERROR(__xludf.DUMMYFUNCTION("""COMPUTED_VALUE"""),"星間都市東部")</f>
        <v>星間都市東部</v>
      </c>
    </row>
    <row r="1041" ht="24.75" customHeight="1">
      <c r="A1041" s="40">
        <f>IFERROR(__xludf.DUMMYFUNCTION("""COMPUTED_VALUE"""),4.0)</f>
        <v>4</v>
      </c>
      <c r="B1041" s="40" t="str">
        <f>IFERROR(__xludf.DUMMYFUNCTION("""COMPUTED_VALUE"""),"A117")</f>
        <v>A117</v>
      </c>
      <c r="C1041" s="40" t="str">
        <f>IFERROR(__xludf.DUMMYFUNCTION("""COMPUTED_VALUE"""),"OLP7")</f>
        <v>OLP7</v>
      </c>
      <c r="D1041" s="41" t="str">
        <f>IFERROR(__xludf.DUMMYFUNCTION("""COMPUTED_VALUE"""),"Olympus")</f>
        <v>Olympus</v>
      </c>
      <c r="E1041" s="42" t="str">
        <f>IFERROR(__xludf.DUMMYFUNCTION("""COMPUTED_VALUE"""),"Altar District")</f>
        <v>Altar District</v>
      </c>
      <c r="F1041" s="43">
        <f>IFERROR(__xludf.DUMMYFUNCTION("""COMPUTED_VALUE"""),21.0)</f>
        <v>21</v>
      </c>
      <c r="G1041" s="44">
        <f>IFERROR(__xludf.DUMMYFUNCTION("""COMPUTED_VALUE"""),3474.0)</f>
        <v>3474</v>
      </c>
      <c r="H1041" s="33" t="str">
        <f>IFERROR(__xludf.DUMMYFUNCTION("""COMPUTED_VALUE"""),"")</f>
        <v/>
      </c>
      <c r="I1041" s="45">
        <f>IFERROR(__xludf.DUMMYFUNCTION("""COMPUTED_VALUE"""),129.8)</f>
        <v>129.8</v>
      </c>
      <c r="J1041" s="46" t="str">
        <f>IFERROR(__xludf.DUMMYFUNCTION("""COMPUTED_VALUE"""),"AP")</f>
        <v>AP</v>
      </c>
      <c r="K1041" s="47">
        <f>IFERROR(__xludf.DUMMYFUNCTION("""COMPUTED_VALUE"""),16.2)</f>
        <v>16.2</v>
      </c>
      <c r="L1041" s="48" t="str">
        <f>IFERROR(__xludf.DUMMYFUNCTION("""COMPUTED_VALUE"""),"%")</f>
        <v>%</v>
      </c>
      <c r="M1041" s="49">
        <f>IFERROR(__xludf.DUMMYFUNCTION("""COMPUTED_VALUE"""),1.0)</f>
        <v>1</v>
      </c>
      <c r="N1041" s="50" t="str">
        <f>IFERROR(__xludf.DUMMYFUNCTION("""COMPUTED_VALUE"""),"A204")</f>
        <v>A204</v>
      </c>
      <c r="O1041" s="38" t="str">
        <f>IFERROR(__xludf.DUMMYFUNCTION("""COMPUTED_VALUE"""),"")</f>
        <v/>
      </c>
      <c r="P1041" s="45">
        <f>IFERROR(__xludf.DUMMYFUNCTION("""COMPUTED_VALUE"""),84.2)</f>
        <v>84.2</v>
      </c>
      <c r="Q1041" s="46" t="str">
        <f>IFERROR(__xludf.DUMMYFUNCTION("""COMPUTED_VALUE"""),"AP")</f>
        <v>AP</v>
      </c>
      <c r="R1041" s="47">
        <f>IFERROR(__xludf.DUMMYFUNCTION("""COMPUTED_VALUE"""),24.9)</f>
        <v>24.9</v>
      </c>
      <c r="S1041" s="48" t="str">
        <f>IFERROR(__xludf.DUMMYFUNCTION("""COMPUTED_VALUE"""),"%")</f>
        <v>%</v>
      </c>
      <c r="T1041" s="49">
        <f>IFERROR(__xludf.DUMMYFUNCTION("""COMPUTED_VALUE"""),2.0)</f>
        <v>2</v>
      </c>
      <c r="U1041" s="50" t="str">
        <f>IFERROR(__xludf.DUMMYFUNCTION("""COMPUTED_VALUE"""),"B113")</f>
        <v>B113</v>
      </c>
      <c r="V1041" s="38" t="str">
        <f>IFERROR(__xludf.DUMMYFUNCTION("""COMPUTED_VALUE"""),"")</f>
        <v/>
      </c>
      <c r="W1041" s="45">
        <f>IFERROR(__xludf.DUMMYFUNCTION("""COMPUTED_VALUE"""),191.5)</f>
        <v>191.5</v>
      </c>
      <c r="X1041" s="46" t="str">
        <f>IFERROR(__xludf.DUMMYFUNCTION("""COMPUTED_VALUE"""),"AP")</f>
        <v>AP</v>
      </c>
      <c r="Y1041" s="47">
        <f>IFERROR(__xludf.DUMMYFUNCTION("""COMPUTED_VALUE"""),11.0)</f>
        <v>11</v>
      </c>
      <c r="Z1041" s="48" t="str">
        <f>IFERROR(__xludf.DUMMYFUNCTION("""COMPUTED_VALUE"""),"%")</f>
        <v>%</v>
      </c>
      <c r="AA1041" s="49">
        <f>IFERROR(__xludf.DUMMYFUNCTION("""COMPUTED_VALUE"""),3.0)</f>
        <v>3</v>
      </c>
      <c r="AB1041" s="50" t="str">
        <f>IFERROR(__xludf.DUMMYFUNCTION("""COMPUTED_VALUE"""),"B115")</f>
        <v>B115</v>
      </c>
      <c r="AC1041" s="38" t="str">
        <f>IFERROR(__xludf.DUMMYFUNCTION("""COMPUTED_VALUE"""),"")</f>
        <v/>
      </c>
      <c r="AD1041" s="45">
        <f>IFERROR(__xludf.DUMMYFUNCTION("""COMPUTED_VALUE"""),44.3)</f>
        <v>44.3</v>
      </c>
      <c r="AE1041" s="46" t="str">
        <f>IFERROR(__xludf.DUMMYFUNCTION("""COMPUTED_VALUE"""),"AP")</f>
        <v>AP</v>
      </c>
      <c r="AF1041" s="47">
        <f>IFERROR(__xludf.DUMMYFUNCTION("""COMPUTED_VALUE"""),47.4)</f>
        <v>47.4</v>
      </c>
      <c r="AG1041" s="48" t="str">
        <f>IFERROR(__xludf.DUMMYFUNCTION("""COMPUTED_VALUE"""),"%")</f>
        <v>%</v>
      </c>
      <c r="AH1041" s="43">
        <f>IFERROR(__xludf.DUMMYFUNCTION("""COMPUTED_VALUE"""),21.0)</f>
        <v>21</v>
      </c>
      <c r="AI1041" s="44">
        <f>IFERROR(__xludf.DUMMYFUNCTION("""COMPUTED_VALUE"""),3474.0)</f>
        <v>3474</v>
      </c>
      <c r="AJ1041" s="51" t="str">
        <f>IFERROR(__xludf.DUMMYFUNCTION("""COMPUTED_VALUE"""),"祭壇街")</f>
        <v>祭壇街</v>
      </c>
    </row>
    <row r="1042" ht="24.75" customHeight="1">
      <c r="A1042" s="28">
        <f>IFERROR(__xludf.DUMMYFUNCTION("""COMPUTED_VALUE"""),5.0)</f>
        <v>5</v>
      </c>
      <c r="B1042" s="28" t="str">
        <f>IFERROR(__xludf.DUMMYFUNCTION("""COMPUTED_VALUE"""),"A117")</f>
        <v>A117</v>
      </c>
      <c r="C1042" s="28"/>
      <c r="D1042" s="29"/>
      <c r="E1042" s="67"/>
      <c r="F1042" s="31"/>
      <c r="G1042" s="32"/>
      <c r="H1042" s="33" t="str">
        <f>IFERROR(__xludf.DUMMYFUNCTION("""COMPUTED_VALUE""")," ")</f>
        <v> </v>
      </c>
      <c r="I1042" s="34"/>
      <c r="J1042" s="35" t="str">
        <f>IFERROR(__xludf.DUMMYFUNCTION("""COMPUTED_VALUE"""),"AP")</f>
        <v>AP</v>
      </c>
      <c r="K1042" s="34"/>
      <c r="L1042" s="35" t="str">
        <f>IFERROR(__xludf.DUMMYFUNCTION("""COMPUTED_VALUE"""),"%")</f>
        <v>%</v>
      </c>
      <c r="M1042" s="36">
        <f>IFERROR(__xludf.DUMMYFUNCTION("""COMPUTED_VALUE"""),1.0)</f>
        <v>1</v>
      </c>
      <c r="N1042" s="37"/>
      <c r="O1042" s="38"/>
      <c r="P1042" s="34" t="str">
        <f>IFERROR(__xludf.DUMMYFUNCTION("""COMPUTED_VALUE"""),"")</f>
        <v/>
      </c>
      <c r="Q1042" s="35" t="str">
        <f>IFERROR(__xludf.DUMMYFUNCTION("""COMPUTED_VALUE"""),"AP")</f>
        <v>AP</v>
      </c>
      <c r="R1042" s="34" t="str">
        <f>IFERROR(__xludf.DUMMYFUNCTION("""COMPUTED_VALUE"""),"")</f>
        <v/>
      </c>
      <c r="S1042" s="35" t="str">
        <f>IFERROR(__xludf.DUMMYFUNCTION("""COMPUTED_VALUE"""),"%")</f>
        <v>%</v>
      </c>
      <c r="T1042" s="36">
        <f>IFERROR(__xludf.DUMMYFUNCTION("""COMPUTED_VALUE"""),2.0)</f>
        <v>2</v>
      </c>
      <c r="U1042" s="37"/>
      <c r="V1042" s="38"/>
      <c r="W1042" s="34" t="str">
        <f>IFERROR(__xludf.DUMMYFUNCTION("""COMPUTED_VALUE"""),"")</f>
        <v/>
      </c>
      <c r="X1042" s="35" t="str">
        <f>IFERROR(__xludf.DUMMYFUNCTION("""COMPUTED_VALUE"""),"AP")</f>
        <v>AP</v>
      </c>
      <c r="Y1042" s="34" t="str">
        <f>IFERROR(__xludf.DUMMYFUNCTION("""COMPUTED_VALUE"""),"")</f>
        <v/>
      </c>
      <c r="Z1042" s="35" t="str">
        <f>IFERROR(__xludf.DUMMYFUNCTION("""COMPUTED_VALUE"""),"%")</f>
        <v>%</v>
      </c>
      <c r="AA1042" s="36">
        <f>IFERROR(__xludf.DUMMYFUNCTION("""COMPUTED_VALUE"""),3.0)</f>
        <v>3</v>
      </c>
      <c r="AB1042" s="37"/>
      <c r="AC1042" s="38"/>
      <c r="AD1042" s="34" t="str">
        <f>IFERROR(__xludf.DUMMYFUNCTION("""COMPUTED_VALUE"""),"")</f>
        <v/>
      </c>
      <c r="AE1042" s="35" t="str">
        <f>IFERROR(__xludf.DUMMYFUNCTION("""COMPUTED_VALUE"""),"AP")</f>
        <v>AP</v>
      </c>
      <c r="AF1042" s="34" t="str">
        <f>IFERROR(__xludf.DUMMYFUNCTION("""COMPUTED_VALUE"""),"")</f>
        <v/>
      </c>
      <c r="AG1042" s="35" t="str">
        <f>IFERROR(__xludf.DUMMYFUNCTION("""COMPUTED_VALUE"""),"%")</f>
        <v>%</v>
      </c>
      <c r="AH1042" s="31"/>
      <c r="AI1042" s="32"/>
      <c r="AJ1042" s="39"/>
    </row>
    <row r="1043" ht="24.75" hidden="1" customHeight="1">
      <c r="A1043" s="40">
        <f>IFERROR(__xludf.DUMMYFUNCTION("""COMPUTED_VALUE"""),6.0)</f>
        <v>6</v>
      </c>
      <c r="B1043" s="40" t="str">
        <f>IFERROR(__xludf.DUMMYFUNCTION("""COMPUTED_VALUE"""),"A117")</f>
        <v>A117</v>
      </c>
      <c r="C1043" s="40"/>
      <c r="D1043" s="41"/>
      <c r="E1043" s="66"/>
      <c r="F1043" s="43"/>
      <c r="G1043" s="44"/>
      <c r="H1043" s="33" t="str">
        <f>IFERROR(__xludf.DUMMYFUNCTION("""COMPUTED_VALUE""")," ")</f>
        <v> </v>
      </c>
      <c r="I1043" s="45"/>
      <c r="J1043" s="46" t="str">
        <f>IFERROR(__xludf.DUMMYFUNCTION("""COMPUTED_VALUE"""),"AP")</f>
        <v>AP</v>
      </c>
      <c r="K1043" s="47"/>
      <c r="L1043" s="48" t="str">
        <f>IFERROR(__xludf.DUMMYFUNCTION("""COMPUTED_VALUE"""),"%")</f>
        <v>%</v>
      </c>
      <c r="M1043" s="49">
        <f>IFERROR(__xludf.DUMMYFUNCTION("""COMPUTED_VALUE"""),1.0)</f>
        <v>1</v>
      </c>
      <c r="N1043" s="50"/>
      <c r="O1043" s="38"/>
      <c r="P1043" s="45" t="str">
        <f>IFERROR(__xludf.DUMMYFUNCTION("""COMPUTED_VALUE"""),"")</f>
        <v/>
      </c>
      <c r="Q1043" s="46" t="str">
        <f>IFERROR(__xludf.DUMMYFUNCTION("""COMPUTED_VALUE"""),"AP")</f>
        <v>AP</v>
      </c>
      <c r="R1043" s="47" t="str">
        <f>IFERROR(__xludf.DUMMYFUNCTION("""COMPUTED_VALUE"""),"")</f>
        <v/>
      </c>
      <c r="S1043" s="48" t="str">
        <f>IFERROR(__xludf.DUMMYFUNCTION("""COMPUTED_VALUE"""),"%")</f>
        <v>%</v>
      </c>
      <c r="T1043" s="49">
        <f>IFERROR(__xludf.DUMMYFUNCTION("""COMPUTED_VALUE"""),2.0)</f>
        <v>2</v>
      </c>
      <c r="U1043" s="50"/>
      <c r="V1043" s="38"/>
      <c r="W1043" s="45" t="str">
        <f>IFERROR(__xludf.DUMMYFUNCTION("""COMPUTED_VALUE"""),"")</f>
        <v/>
      </c>
      <c r="X1043" s="46" t="str">
        <f>IFERROR(__xludf.DUMMYFUNCTION("""COMPUTED_VALUE"""),"AP")</f>
        <v>AP</v>
      </c>
      <c r="Y1043" s="47" t="str">
        <f>IFERROR(__xludf.DUMMYFUNCTION("""COMPUTED_VALUE"""),"")</f>
        <v/>
      </c>
      <c r="Z1043" s="48" t="str">
        <f>IFERROR(__xludf.DUMMYFUNCTION("""COMPUTED_VALUE"""),"%")</f>
        <v>%</v>
      </c>
      <c r="AA1043" s="49">
        <f>IFERROR(__xludf.DUMMYFUNCTION("""COMPUTED_VALUE"""),3.0)</f>
        <v>3</v>
      </c>
      <c r="AB1043" s="50"/>
      <c r="AC1043" s="38"/>
      <c r="AD1043" s="45" t="str">
        <f>IFERROR(__xludf.DUMMYFUNCTION("""COMPUTED_VALUE"""),"")</f>
        <v/>
      </c>
      <c r="AE1043" s="46" t="str">
        <f>IFERROR(__xludf.DUMMYFUNCTION("""COMPUTED_VALUE"""),"AP")</f>
        <v>AP</v>
      </c>
      <c r="AF1043" s="47" t="str">
        <f>IFERROR(__xludf.DUMMYFUNCTION("""COMPUTED_VALUE"""),"")</f>
        <v/>
      </c>
      <c r="AG1043" s="48" t="str">
        <f>IFERROR(__xludf.DUMMYFUNCTION("""COMPUTED_VALUE"""),"%")</f>
        <v>%</v>
      </c>
      <c r="AH1043" s="43"/>
      <c r="AI1043" s="44"/>
      <c r="AJ1043" s="51"/>
    </row>
    <row r="1044" ht="24.75" hidden="1" customHeight="1">
      <c r="A1044" s="28">
        <f>IFERROR(__xludf.DUMMYFUNCTION("""COMPUTED_VALUE"""),7.0)</f>
        <v>7</v>
      </c>
      <c r="B1044" s="28" t="str">
        <f>IFERROR(__xludf.DUMMYFUNCTION("""COMPUTED_VALUE"""),"A117")</f>
        <v>A117</v>
      </c>
      <c r="C1044" s="28"/>
      <c r="D1044" s="29"/>
      <c r="E1044" s="67"/>
      <c r="F1044" s="31"/>
      <c r="G1044" s="32"/>
      <c r="H1044" s="33" t="str">
        <f>IFERROR(__xludf.DUMMYFUNCTION("""COMPUTED_VALUE""")," ")</f>
        <v> </v>
      </c>
      <c r="I1044" s="34"/>
      <c r="J1044" s="35" t="str">
        <f>IFERROR(__xludf.DUMMYFUNCTION("""COMPUTED_VALUE"""),"AP")</f>
        <v>AP</v>
      </c>
      <c r="K1044" s="34"/>
      <c r="L1044" s="35" t="str">
        <f>IFERROR(__xludf.DUMMYFUNCTION("""COMPUTED_VALUE"""),"%")</f>
        <v>%</v>
      </c>
      <c r="M1044" s="36">
        <f>IFERROR(__xludf.DUMMYFUNCTION("""COMPUTED_VALUE"""),1.0)</f>
        <v>1</v>
      </c>
      <c r="N1044" s="37"/>
      <c r="O1044" s="38"/>
      <c r="P1044" s="34" t="str">
        <f>IFERROR(__xludf.DUMMYFUNCTION("""COMPUTED_VALUE"""),"")</f>
        <v/>
      </c>
      <c r="Q1044" s="35" t="str">
        <f>IFERROR(__xludf.DUMMYFUNCTION("""COMPUTED_VALUE"""),"AP")</f>
        <v>AP</v>
      </c>
      <c r="R1044" s="34" t="str">
        <f>IFERROR(__xludf.DUMMYFUNCTION("""COMPUTED_VALUE"""),"")</f>
        <v/>
      </c>
      <c r="S1044" s="35" t="str">
        <f>IFERROR(__xludf.DUMMYFUNCTION("""COMPUTED_VALUE"""),"%")</f>
        <v>%</v>
      </c>
      <c r="T1044" s="36">
        <f>IFERROR(__xludf.DUMMYFUNCTION("""COMPUTED_VALUE"""),2.0)</f>
        <v>2</v>
      </c>
      <c r="U1044" s="37"/>
      <c r="V1044" s="38"/>
      <c r="W1044" s="34" t="str">
        <f>IFERROR(__xludf.DUMMYFUNCTION("""COMPUTED_VALUE"""),"")</f>
        <v/>
      </c>
      <c r="X1044" s="35" t="str">
        <f>IFERROR(__xludf.DUMMYFUNCTION("""COMPUTED_VALUE"""),"AP")</f>
        <v>AP</v>
      </c>
      <c r="Y1044" s="34" t="str">
        <f>IFERROR(__xludf.DUMMYFUNCTION("""COMPUTED_VALUE"""),"")</f>
        <v/>
      </c>
      <c r="Z1044" s="35" t="str">
        <f>IFERROR(__xludf.DUMMYFUNCTION("""COMPUTED_VALUE"""),"%")</f>
        <v>%</v>
      </c>
      <c r="AA1044" s="36">
        <f>IFERROR(__xludf.DUMMYFUNCTION("""COMPUTED_VALUE"""),3.0)</f>
        <v>3</v>
      </c>
      <c r="AB1044" s="37"/>
      <c r="AC1044" s="38"/>
      <c r="AD1044" s="34" t="str">
        <f>IFERROR(__xludf.DUMMYFUNCTION("""COMPUTED_VALUE"""),"")</f>
        <v/>
      </c>
      <c r="AE1044" s="35" t="str">
        <f>IFERROR(__xludf.DUMMYFUNCTION("""COMPUTED_VALUE"""),"AP")</f>
        <v>AP</v>
      </c>
      <c r="AF1044" s="34" t="str">
        <f>IFERROR(__xludf.DUMMYFUNCTION("""COMPUTED_VALUE"""),"")</f>
        <v/>
      </c>
      <c r="AG1044" s="35" t="str">
        <f>IFERROR(__xludf.DUMMYFUNCTION("""COMPUTED_VALUE"""),"%")</f>
        <v>%</v>
      </c>
      <c r="AH1044" s="31"/>
      <c r="AI1044" s="32"/>
      <c r="AJ1044" s="39"/>
    </row>
    <row r="1045" ht="24.75" hidden="1" customHeight="1">
      <c r="A1045" s="40">
        <f>IFERROR(__xludf.DUMMYFUNCTION("""COMPUTED_VALUE"""),8.0)</f>
        <v>8</v>
      </c>
      <c r="B1045" s="40" t="str">
        <f>IFERROR(__xludf.DUMMYFUNCTION("""COMPUTED_VALUE"""),"A117")</f>
        <v>A117</v>
      </c>
      <c r="C1045" s="40"/>
      <c r="D1045" s="41"/>
      <c r="E1045" s="66"/>
      <c r="F1045" s="43"/>
      <c r="G1045" s="44"/>
      <c r="H1045" s="33" t="str">
        <f>IFERROR(__xludf.DUMMYFUNCTION("""COMPUTED_VALUE""")," ")</f>
        <v> </v>
      </c>
      <c r="I1045" s="45"/>
      <c r="J1045" s="46" t="str">
        <f>IFERROR(__xludf.DUMMYFUNCTION("""COMPUTED_VALUE"""),"AP")</f>
        <v>AP</v>
      </c>
      <c r="K1045" s="47"/>
      <c r="L1045" s="48" t="str">
        <f>IFERROR(__xludf.DUMMYFUNCTION("""COMPUTED_VALUE"""),"%")</f>
        <v>%</v>
      </c>
      <c r="M1045" s="49">
        <f>IFERROR(__xludf.DUMMYFUNCTION("""COMPUTED_VALUE"""),1.0)</f>
        <v>1</v>
      </c>
      <c r="N1045" s="50"/>
      <c r="O1045" s="38"/>
      <c r="P1045" s="45" t="str">
        <f>IFERROR(__xludf.DUMMYFUNCTION("""COMPUTED_VALUE"""),"")</f>
        <v/>
      </c>
      <c r="Q1045" s="46" t="str">
        <f>IFERROR(__xludf.DUMMYFUNCTION("""COMPUTED_VALUE"""),"AP")</f>
        <v>AP</v>
      </c>
      <c r="R1045" s="47" t="str">
        <f>IFERROR(__xludf.DUMMYFUNCTION("""COMPUTED_VALUE"""),"")</f>
        <v/>
      </c>
      <c r="S1045" s="48" t="str">
        <f>IFERROR(__xludf.DUMMYFUNCTION("""COMPUTED_VALUE"""),"%")</f>
        <v>%</v>
      </c>
      <c r="T1045" s="49">
        <f>IFERROR(__xludf.DUMMYFUNCTION("""COMPUTED_VALUE"""),2.0)</f>
        <v>2</v>
      </c>
      <c r="U1045" s="50"/>
      <c r="V1045" s="38"/>
      <c r="W1045" s="45" t="str">
        <f>IFERROR(__xludf.DUMMYFUNCTION("""COMPUTED_VALUE"""),"")</f>
        <v/>
      </c>
      <c r="X1045" s="46" t="str">
        <f>IFERROR(__xludf.DUMMYFUNCTION("""COMPUTED_VALUE"""),"AP")</f>
        <v>AP</v>
      </c>
      <c r="Y1045" s="47" t="str">
        <f>IFERROR(__xludf.DUMMYFUNCTION("""COMPUTED_VALUE"""),"")</f>
        <v/>
      </c>
      <c r="Z1045" s="48" t="str">
        <f>IFERROR(__xludf.DUMMYFUNCTION("""COMPUTED_VALUE"""),"%")</f>
        <v>%</v>
      </c>
      <c r="AA1045" s="49">
        <f>IFERROR(__xludf.DUMMYFUNCTION("""COMPUTED_VALUE"""),3.0)</f>
        <v>3</v>
      </c>
      <c r="AB1045" s="50"/>
      <c r="AC1045" s="38"/>
      <c r="AD1045" s="45" t="str">
        <f>IFERROR(__xludf.DUMMYFUNCTION("""COMPUTED_VALUE"""),"")</f>
        <v/>
      </c>
      <c r="AE1045" s="46" t="str">
        <f>IFERROR(__xludf.DUMMYFUNCTION("""COMPUTED_VALUE"""),"AP")</f>
        <v>AP</v>
      </c>
      <c r="AF1045" s="47" t="str">
        <f>IFERROR(__xludf.DUMMYFUNCTION("""COMPUTED_VALUE"""),"")</f>
        <v/>
      </c>
      <c r="AG1045" s="48" t="str">
        <f>IFERROR(__xludf.DUMMYFUNCTION("""COMPUTED_VALUE"""),"%")</f>
        <v>%</v>
      </c>
      <c r="AH1045" s="43"/>
      <c r="AI1045" s="44"/>
      <c r="AJ1045" s="51"/>
    </row>
    <row r="1046" ht="24.75" hidden="1" customHeight="1">
      <c r="A1046" s="28">
        <f>IFERROR(__xludf.DUMMYFUNCTION("""COMPUTED_VALUE"""),9.0)</f>
        <v>9</v>
      </c>
      <c r="B1046" s="28" t="str">
        <f>IFERROR(__xludf.DUMMYFUNCTION("""COMPUTED_VALUE"""),"A117")</f>
        <v>A117</v>
      </c>
      <c r="C1046" s="28"/>
      <c r="D1046" s="29"/>
      <c r="E1046" s="67"/>
      <c r="F1046" s="31"/>
      <c r="G1046" s="32"/>
      <c r="H1046" s="33" t="str">
        <f>IFERROR(__xludf.DUMMYFUNCTION("""COMPUTED_VALUE""")," ")</f>
        <v> </v>
      </c>
      <c r="I1046" s="34"/>
      <c r="J1046" s="35" t="str">
        <f>IFERROR(__xludf.DUMMYFUNCTION("""COMPUTED_VALUE"""),"AP")</f>
        <v>AP</v>
      </c>
      <c r="K1046" s="34"/>
      <c r="L1046" s="35" t="str">
        <f>IFERROR(__xludf.DUMMYFUNCTION("""COMPUTED_VALUE"""),"%")</f>
        <v>%</v>
      </c>
      <c r="M1046" s="36">
        <f>IFERROR(__xludf.DUMMYFUNCTION("""COMPUTED_VALUE"""),1.0)</f>
        <v>1</v>
      </c>
      <c r="N1046" s="37"/>
      <c r="O1046" s="38"/>
      <c r="P1046" s="34" t="str">
        <f>IFERROR(__xludf.DUMMYFUNCTION("""COMPUTED_VALUE"""),"")</f>
        <v/>
      </c>
      <c r="Q1046" s="35" t="str">
        <f>IFERROR(__xludf.DUMMYFUNCTION("""COMPUTED_VALUE"""),"AP")</f>
        <v>AP</v>
      </c>
      <c r="R1046" s="34" t="str">
        <f>IFERROR(__xludf.DUMMYFUNCTION("""COMPUTED_VALUE"""),"")</f>
        <v/>
      </c>
      <c r="S1046" s="35" t="str">
        <f>IFERROR(__xludf.DUMMYFUNCTION("""COMPUTED_VALUE"""),"%")</f>
        <v>%</v>
      </c>
      <c r="T1046" s="36">
        <f>IFERROR(__xludf.DUMMYFUNCTION("""COMPUTED_VALUE"""),2.0)</f>
        <v>2</v>
      </c>
      <c r="U1046" s="37"/>
      <c r="V1046" s="38"/>
      <c r="W1046" s="34" t="str">
        <f>IFERROR(__xludf.DUMMYFUNCTION("""COMPUTED_VALUE"""),"")</f>
        <v/>
      </c>
      <c r="X1046" s="35" t="str">
        <f>IFERROR(__xludf.DUMMYFUNCTION("""COMPUTED_VALUE"""),"AP")</f>
        <v>AP</v>
      </c>
      <c r="Y1046" s="34" t="str">
        <f>IFERROR(__xludf.DUMMYFUNCTION("""COMPUTED_VALUE"""),"")</f>
        <v/>
      </c>
      <c r="Z1046" s="35" t="str">
        <f>IFERROR(__xludf.DUMMYFUNCTION("""COMPUTED_VALUE"""),"%")</f>
        <v>%</v>
      </c>
      <c r="AA1046" s="36">
        <f>IFERROR(__xludf.DUMMYFUNCTION("""COMPUTED_VALUE"""),3.0)</f>
        <v>3</v>
      </c>
      <c r="AB1046" s="37"/>
      <c r="AC1046" s="38"/>
      <c r="AD1046" s="34" t="str">
        <f>IFERROR(__xludf.DUMMYFUNCTION("""COMPUTED_VALUE"""),"")</f>
        <v/>
      </c>
      <c r="AE1046" s="35" t="str">
        <f>IFERROR(__xludf.DUMMYFUNCTION("""COMPUTED_VALUE"""),"AP")</f>
        <v>AP</v>
      </c>
      <c r="AF1046" s="34" t="str">
        <f>IFERROR(__xludf.DUMMYFUNCTION("""COMPUTED_VALUE"""),"")</f>
        <v/>
      </c>
      <c r="AG1046" s="35" t="str">
        <f>IFERROR(__xludf.DUMMYFUNCTION("""COMPUTED_VALUE"""),"%")</f>
        <v>%</v>
      </c>
      <c r="AH1046" s="31"/>
      <c r="AI1046" s="32"/>
      <c r="AJ1046" s="39"/>
    </row>
    <row r="1047" ht="24.75" hidden="1" customHeight="1">
      <c r="A1047" s="40">
        <f>IFERROR(__xludf.DUMMYFUNCTION("""COMPUTED_VALUE"""),10.0)</f>
        <v>10</v>
      </c>
      <c r="B1047" s="40" t="str">
        <f>IFERROR(__xludf.DUMMYFUNCTION("""COMPUTED_VALUE"""),"A117")</f>
        <v>A117</v>
      </c>
      <c r="C1047" s="40"/>
      <c r="D1047" s="41"/>
      <c r="E1047" s="66"/>
      <c r="F1047" s="43"/>
      <c r="G1047" s="44"/>
      <c r="H1047" s="33" t="str">
        <f>IFERROR(__xludf.DUMMYFUNCTION("""COMPUTED_VALUE""")," ")</f>
        <v> </v>
      </c>
      <c r="I1047" s="45"/>
      <c r="J1047" s="46" t="str">
        <f>IFERROR(__xludf.DUMMYFUNCTION("""COMPUTED_VALUE"""),"AP")</f>
        <v>AP</v>
      </c>
      <c r="K1047" s="47"/>
      <c r="L1047" s="48" t="str">
        <f>IFERROR(__xludf.DUMMYFUNCTION("""COMPUTED_VALUE"""),"%")</f>
        <v>%</v>
      </c>
      <c r="M1047" s="49">
        <f>IFERROR(__xludf.DUMMYFUNCTION("""COMPUTED_VALUE"""),1.0)</f>
        <v>1</v>
      </c>
      <c r="N1047" s="50"/>
      <c r="O1047" s="38"/>
      <c r="P1047" s="45" t="str">
        <f>IFERROR(__xludf.DUMMYFUNCTION("""COMPUTED_VALUE"""),"")</f>
        <v/>
      </c>
      <c r="Q1047" s="46" t="str">
        <f>IFERROR(__xludf.DUMMYFUNCTION("""COMPUTED_VALUE"""),"AP")</f>
        <v>AP</v>
      </c>
      <c r="R1047" s="47" t="str">
        <f>IFERROR(__xludf.DUMMYFUNCTION("""COMPUTED_VALUE"""),"")</f>
        <v/>
      </c>
      <c r="S1047" s="48" t="str">
        <f>IFERROR(__xludf.DUMMYFUNCTION("""COMPUTED_VALUE"""),"%")</f>
        <v>%</v>
      </c>
      <c r="T1047" s="49">
        <f>IFERROR(__xludf.DUMMYFUNCTION("""COMPUTED_VALUE"""),2.0)</f>
        <v>2</v>
      </c>
      <c r="U1047" s="50"/>
      <c r="V1047" s="38"/>
      <c r="W1047" s="45" t="str">
        <f>IFERROR(__xludf.DUMMYFUNCTION("""COMPUTED_VALUE"""),"")</f>
        <v/>
      </c>
      <c r="X1047" s="46" t="str">
        <f>IFERROR(__xludf.DUMMYFUNCTION("""COMPUTED_VALUE"""),"AP")</f>
        <v>AP</v>
      </c>
      <c r="Y1047" s="47" t="str">
        <f>IFERROR(__xludf.DUMMYFUNCTION("""COMPUTED_VALUE"""),"")</f>
        <v/>
      </c>
      <c r="Z1047" s="48" t="str">
        <f>IFERROR(__xludf.DUMMYFUNCTION("""COMPUTED_VALUE"""),"%")</f>
        <v>%</v>
      </c>
      <c r="AA1047" s="49">
        <f>IFERROR(__xludf.DUMMYFUNCTION("""COMPUTED_VALUE"""),3.0)</f>
        <v>3</v>
      </c>
      <c r="AB1047" s="50"/>
      <c r="AC1047" s="38"/>
      <c r="AD1047" s="45" t="str">
        <f>IFERROR(__xludf.DUMMYFUNCTION("""COMPUTED_VALUE"""),"")</f>
        <v/>
      </c>
      <c r="AE1047" s="46" t="str">
        <f>IFERROR(__xludf.DUMMYFUNCTION("""COMPUTED_VALUE"""),"AP")</f>
        <v>AP</v>
      </c>
      <c r="AF1047" s="47" t="str">
        <f>IFERROR(__xludf.DUMMYFUNCTION("""COMPUTED_VALUE"""),"")</f>
        <v/>
      </c>
      <c r="AG1047" s="48" t="str">
        <f>IFERROR(__xludf.DUMMYFUNCTION("""COMPUTED_VALUE"""),"%")</f>
        <v>%</v>
      </c>
      <c r="AH1047" s="43"/>
      <c r="AI1047" s="44"/>
      <c r="AJ1047" s="51"/>
    </row>
    <row r="1048" ht="24.75" hidden="1" customHeight="1">
      <c r="A1048" s="28">
        <f>IFERROR(__xludf.DUMMYFUNCTION("""COMPUTED_VALUE"""),11.0)</f>
        <v>11</v>
      </c>
      <c r="B1048" s="28" t="str">
        <f>IFERROR(__xludf.DUMMYFUNCTION("""COMPUTED_VALUE"""),"A117")</f>
        <v>A117</v>
      </c>
      <c r="C1048" s="28"/>
      <c r="D1048" s="29"/>
      <c r="E1048" s="67"/>
      <c r="F1048" s="31"/>
      <c r="G1048" s="32"/>
      <c r="H1048" s="33" t="str">
        <f>IFERROR(__xludf.DUMMYFUNCTION("""COMPUTED_VALUE""")," ")</f>
        <v> </v>
      </c>
      <c r="I1048" s="34"/>
      <c r="J1048" s="35" t="str">
        <f>IFERROR(__xludf.DUMMYFUNCTION("""COMPUTED_VALUE"""),"AP")</f>
        <v>AP</v>
      </c>
      <c r="K1048" s="34"/>
      <c r="L1048" s="35" t="str">
        <f>IFERROR(__xludf.DUMMYFUNCTION("""COMPUTED_VALUE"""),"%")</f>
        <v>%</v>
      </c>
      <c r="M1048" s="36">
        <f>IFERROR(__xludf.DUMMYFUNCTION("""COMPUTED_VALUE"""),1.0)</f>
        <v>1</v>
      </c>
      <c r="N1048" s="37"/>
      <c r="O1048" s="38"/>
      <c r="P1048" s="34" t="str">
        <f>IFERROR(__xludf.DUMMYFUNCTION("""COMPUTED_VALUE"""),"")</f>
        <v/>
      </c>
      <c r="Q1048" s="35" t="str">
        <f>IFERROR(__xludf.DUMMYFUNCTION("""COMPUTED_VALUE"""),"AP")</f>
        <v>AP</v>
      </c>
      <c r="R1048" s="34" t="str">
        <f>IFERROR(__xludf.DUMMYFUNCTION("""COMPUTED_VALUE"""),"")</f>
        <v/>
      </c>
      <c r="S1048" s="35" t="str">
        <f>IFERROR(__xludf.DUMMYFUNCTION("""COMPUTED_VALUE"""),"%")</f>
        <v>%</v>
      </c>
      <c r="T1048" s="36">
        <f>IFERROR(__xludf.DUMMYFUNCTION("""COMPUTED_VALUE"""),2.0)</f>
        <v>2</v>
      </c>
      <c r="U1048" s="37"/>
      <c r="V1048" s="38"/>
      <c r="W1048" s="34" t="str">
        <f>IFERROR(__xludf.DUMMYFUNCTION("""COMPUTED_VALUE"""),"")</f>
        <v/>
      </c>
      <c r="X1048" s="35" t="str">
        <f>IFERROR(__xludf.DUMMYFUNCTION("""COMPUTED_VALUE"""),"AP")</f>
        <v>AP</v>
      </c>
      <c r="Y1048" s="34" t="str">
        <f>IFERROR(__xludf.DUMMYFUNCTION("""COMPUTED_VALUE"""),"")</f>
        <v/>
      </c>
      <c r="Z1048" s="35" t="str">
        <f>IFERROR(__xludf.DUMMYFUNCTION("""COMPUTED_VALUE"""),"%")</f>
        <v>%</v>
      </c>
      <c r="AA1048" s="36">
        <f>IFERROR(__xludf.DUMMYFUNCTION("""COMPUTED_VALUE"""),3.0)</f>
        <v>3</v>
      </c>
      <c r="AB1048" s="37"/>
      <c r="AC1048" s="38"/>
      <c r="AD1048" s="34" t="str">
        <f>IFERROR(__xludf.DUMMYFUNCTION("""COMPUTED_VALUE"""),"")</f>
        <v/>
      </c>
      <c r="AE1048" s="35" t="str">
        <f>IFERROR(__xludf.DUMMYFUNCTION("""COMPUTED_VALUE"""),"AP")</f>
        <v>AP</v>
      </c>
      <c r="AF1048" s="34" t="str">
        <f>IFERROR(__xludf.DUMMYFUNCTION("""COMPUTED_VALUE"""),"")</f>
        <v/>
      </c>
      <c r="AG1048" s="35" t="str">
        <f>IFERROR(__xludf.DUMMYFUNCTION("""COMPUTED_VALUE"""),"%")</f>
        <v>%</v>
      </c>
      <c r="AH1048" s="31"/>
      <c r="AI1048" s="32"/>
      <c r="AJ1048" s="39"/>
    </row>
    <row r="1049" ht="24.75" hidden="1" customHeight="1">
      <c r="A1049" s="40">
        <f>IFERROR(__xludf.DUMMYFUNCTION("""COMPUTED_VALUE"""),12.0)</f>
        <v>12</v>
      </c>
      <c r="B1049" s="40" t="str">
        <f>IFERROR(__xludf.DUMMYFUNCTION("""COMPUTED_VALUE"""),"A117")</f>
        <v>A117</v>
      </c>
      <c r="C1049" s="40"/>
      <c r="D1049" s="41"/>
      <c r="E1049" s="66"/>
      <c r="F1049" s="43"/>
      <c r="G1049" s="44"/>
      <c r="H1049" s="33" t="str">
        <f>IFERROR(__xludf.DUMMYFUNCTION("""COMPUTED_VALUE""")," ")</f>
        <v> </v>
      </c>
      <c r="I1049" s="45"/>
      <c r="J1049" s="46" t="str">
        <f>IFERROR(__xludf.DUMMYFUNCTION("""COMPUTED_VALUE"""),"AP")</f>
        <v>AP</v>
      </c>
      <c r="K1049" s="47"/>
      <c r="L1049" s="48" t="str">
        <f>IFERROR(__xludf.DUMMYFUNCTION("""COMPUTED_VALUE"""),"%")</f>
        <v>%</v>
      </c>
      <c r="M1049" s="49">
        <f>IFERROR(__xludf.DUMMYFUNCTION("""COMPUTED_VALUE"""),1.0)</f>
        <v>1</v>
      </c>
      <c r="N1049" s="50"/>
      <c r="O1049" s="38"/>
      <c r="P1049" s="45" t="str">
        <f>IFERROR(__xludf.DUMMYFUNCTION("""COMPUTED_VALUE"""),"")</f>
        <v/>
      </c>
      <c r="Q1049" s="46" t="str">
        <f>IFERROR(__xludf.DUMMYFUNCTION("""COMPUTED_VALUE"""),"AP")</f>
        <v>AP</v>
      </c>
      <c r="R1049" s="47" t="str">
        <f>IFERROR(__xludf.DUMMYFUNCTION("""COMPUTED_VALUE"""),"")</f>
        <v/>
      </c>
      <c r="S1049" s="48" t="str">
        <f>IFERROR(__xludf.DUMMYFUNCTION("""COMPUTED_VALUE"""),"%")</f>
        <v>%</v>
      </c>
      <c r="T1049" s="49">
        <f>IFERROR(__xludf.DUMMYFUNCTION("""COMPUTED_VALUE"""),2.0)</f>
        <v>2</v>
      </c>
      <c r="U1049" s="50"/>
      <c r="V1049" s="38"/>
      <c r="W1049" s="45" t="str">
        <f>IFERROR(__xludf.DUMMYFUNCTION("""COMPUTED_VALUE"""),"")</f>
        <v/>
      </c>
      <c r="X1049" s="46" t="str">
        <f>IFERROR(__xludf.DUMMYFUNCTION("""COMPUTED_VALUE"""),"AP")</f>
        <v>AP</v>
      </c>
      <c r="Y1049" s="47" t="str">
        <f>IFERROR(__xludf.DUMMYFUNCTION("""COMPUTED_VALUE"""),"")</f>
        <v/>
      </c>
      <c r="Z1049" s="48" t="str">
        <f>IFERROR(__xludf.DUMMYFUNCTION("""COMPUTED_VALUE"""),"%")</f>
        <v>%</v>
      </c>
      <c r="AA1049" s="49">
        <f>IFERROR(__xludf.DUMMYFUNCTION("""COMPUTED_VALUE"""),3.0)</f>
        <v>3</v>
      </c>
      <c r="AB1049" s="50"/>
      <c r="AC1049" s="38"/>
      <c r="AD1049" s="45" t="str">
        <f>IFERROR(__xludf.DUMMYFUNCTION("""COMPUTED_VALUE"""),"")</f>
        <v/>
      </c>
      <c r="AE1049" s="46" t="str">
        <f>IFERROR(__xludf.DUMMYFUNCTION("""COMPUTED_VALUE"""),"AP")</f>
        <v>AP</v>
      </c>
      <c r="AF1049" s="47" t="str">
        <f>IFERROR(__xludf.DUMMYFUNCTION("""COMPUTED_VALUE"""),"")</f>
        <v/>
      </c>
      <c r="AG1049" s="48" t="str">
        <f>IFERROR(__xludf.DUMMYFUNCTION("""COMPUTED_VALUE"""),"%")</f>
        <v>%</v>
      </c>
      <c r="AH1049" s="43"/>
      <c r="AI1049" s="44"/>
      <c r="AJ1049" s="51"/>
    </row>
    <row r="1050" ht="24.75" hidden="1" customHeight="1">
      <c r="A1050" s="28">
        <f>IFERROR(__xludf.DUMMYFUNCTION("""COMPUTED_VALUE"""),13.0)</f>
        <v>13</v>
      </c>
      <c r="B1050" s="28" t="str">
        <f>IFERROR(__xludf.DUMMYFUNCTION("""COMPUTED_VALUE"""),"A117")</f>
        <v>A117</v>
      </c>
      <c r="C1050" s="28"/>
      <c r="D1050" s="29"/>
      <c r="E1050" s="67"/>
      <c r="F1050" s="31"/>
      <c r="G1050" s="32"/>
      <c r="H1050" s="33" t="str">
        <f>IFERROR(__xludf.DUMMYFUNCTION("""COMPUTED_VALUE""")," ")</f>
        <v> </v>
      </c>
      <c r="I1050" s="34"/>
      <c r="J1050" s="35" t="str">
        <f>IFERROR(__xludf.DUMMYFUNCTION("""COMPUTED_VALUE"""),"AP")</f>
        <v>AP</v>
      </c>
      <c r="K1050" s="34"/>
      <c r="L1050" s="35" t="str">
        <f>IFERROR(__xludf.DUMMYFUNCTION("""COMPUTED_VALUE"""),"%")</f>
        <v>%</v>
      </c>
      <c r="M1050" s="36">
        <f>IFERROR(__xludf.DUMMYFUNCTION("""COMPUTED_VALUE"""),1.0)</f>
        <v>1</v>
      </c>
      <c r="N1050" s="37"/>
      <c r="O1050" s="38"/>
      <c r="P1050" s="34" t="str">
        <f>IFERROR(__xludf.DUMMYFUNCTION("""COMPUTED_VALUE"""),"")</f>
        <v/>
      </c>
      <c r="Q1050" s="35" t="str">
        <f>IFERROR(__xludf.DUMMYFUNCTION("""COMPUTED_VALUE"""),"AP")</f>
        <v>AP</v>
      </c>
      <c r="R1050" s="34" t="str">
        <f>IFERROR(__xludf.DUMMYFUNCTION("""COMPUTED_VALUE"""),"")</f>
        <v/>
      </c>
      <c r="S1050" s="35" t="str">
        <f>IFERROR(__xludf.DUMMYFUNCTION("""COMPUTED_VALUE"""),"%")</f>
        <v>%</v>
      </c>
      <c r="T1050" s="36">
        <f>IFERROR(__xludf.DUMMYFUNCTION("""COMPUTED_VALUE"""),2.0)</f>
        <v>2</v>
      </c>
      <c r="U1050" s="37"/>
      <c r="V1050" s="38"/>
      <c r="W1050" s="34" t="str">
        <f>IFERROR(__xludf.DUMMYFUNCTION("""COMPUTED_VALUE"""),"")</f>
        <v/>
      </c>
      <c r="X1050" s="35" t="str">
        <f>IFERROR(__xludf.DUMMYFUNCTION("""COMPUTED_VALUE"""),"AP")</f>
        <v>AP</v>
      </c>
      <c r="Y1050" s="34" t="str">
        <f>IFERROR(__xludf.DUMMYFUNCTION("""COMPUTED_VALUE"""),"")</f>
        <v/>
      </c>
      <c r="Z1050" s="35" t="str">
        <f>IFERROR(__xludf.DUMMYFUNCTION("""COMPUTED_VALUE"""),"%")</f>
        <v>%</v>
      </c>
      <c r="AA1050" s="36">
        <f>IFERROR(__xludf.DUMMYFUNCTION("""COMPUTED_VALUE"""),3.0)</f>
        <v>3</v>
      </c>
      <c r="AB1050" s="37"/>
      <c r="AC1050" s="38"/>
      <c r="AD1050" s="34" t="str">
        <f>IFERROR(__xludf.DUMMYFUNCTION("""COMPUTED_VALUE"""),"")</f>
        <v/>
      </c>
      <c r="AE1050" s="35" t="str">
        <f>IFERROR(__xludf.DUMMYFUNCTION("""COMPUTED_VALUE"""),"AP")</f>
        <v>AP</v>
      </c>
      <c r="AF1050" s="34" t="str">
        <f>IFERROR(__xludf.DUMMYFUNCTION("""COMPUTED_VALUE"""),"")</f>
        <v/>
      </c>
      <c r="AG1050" s="35" t="str">
        <f>IFERROR(__xludf.DUMMYFUNCTION("""COMPUTED_VALUE"""),"%")</f>
        <v>%</v>
      </c>
      <c r="AH1050" s="31"/>
      <c r="AI1050" s="32"/>
      <c r="AJ1050" s="39"/>
    </row>
    <row r="1051" ht="24.75" hidden="1" customHeight="1">
      <c r="A1051" s="40">
        <f>IFERROR(__xludf.DUMMYFUNCTION("""COMPUTED_VALUE"""),14.0)</f>
        <v>14</v>
      </c>
      <c r="B1051" s="40" t="str">
        <f>IFERROR(__xludf.DUMMYFUNCTION("""COMPUTED_VALUE"""),"A117")</f>
        <v>A117</v>
      </c>
      <c r="C1051" s="40"/>
      <c r="D1051" s="41"/>
      <c r="E1051" s="66"/>
      <c r="F1051" s="43"/>
      <c r="G1051" s="44"/>
      <c r="H1051" s="33" t="str">
        <f>IFERROR(__xludf.DUMMYFUNCTION("""COMPUTED_VALUE""")," ")</f>
        <v> </v>
      </c>
      <c r="I1051" s="45"/>
      <c r="J1051" s="46" t="str">
        <f>IFERROR(__xludf.DUMMYFUNCTION("""COMPUTED_VALUE"""),"AP")</f>
        <v>AP</v>
      </c>
      <c r="K1051" s="47"/>
      <c r="L1051" s="48" t="str">
        <f>IFERROR(__xludf.DUMMYFUNCTION("""COMPUTED_VALUE"""),"%")</f>
        <v>%</v>
      </c>
      <c r="M1051" s="49">
        <f>IFERROR(__xludf.DUMMYFUNCTION("""COMPUTED_VALUE"""),1.0)</f>
        <v>1</v>
      </c>
      <c r="N1051" s="50"/>
      <c r="O1051" s="38"/>
      <c r="P1051" s="45" t="str">
        <f>IFERROR(__xludf.DUMMYFUNCTION("""COMPUTED_VALUE"""),"")</f>
        <v/>
      </c>
      <c r="Q1051" s="46" t="str">
        <f>IFERROR(__xludf.DUMMYFUNCTION("""COMPUTED_VALUE"""),"AP")</f>
        <v>AP</v>
      </c>
      <c r="R1051" s="47" t="str">
        <f>IFERROR(__xludf.DUMMYFUNCTION("""COMPUTED_VALUE"""),"")</f>
        <v/>
      </c>
      <c r="S1051" s="48" t="str">
        <f>IFERROR(__xludf.DUMMYFUNCTION("""COMPUTED_VALUE"""),"%")</f>
        <v>%</v>
      </c>
      <c r="T1051" s="49">
        <f>IFERROR(__xludf.DUMMYFUNCTION("""COMPUTED_VALUE"""),2.0)</f>
        <v>2</v>
      </c>
      <c r="U1051" s="50"/>
      <c r="V1051" s="38"/>
      <c r="W1051" s="45" t="str">
        <f>IFERROR(__xludf.DUMMYFUNCTION("""COMPUTED_VALUE"""),"")</f>
        <v/>
      </c>
      <c r="X1051" s="46" t="str">
        <f>IFERROR(__xludf.DUMMYFUNCTION("""COMPUTED_VALUE"""),"AP")</f>
        <v>AP</v>
      </c>
      <c r="Y1051" s="47" t="str">
        <f>IFERROR(__xludf.DUMMYFUNCTION("""COMPUTED_VALUE"""),"")</f>
        <v/>
      </c>
      <c r="Z1051" s="48" t="str">
        <f>IFERROR(__xludf.DUMMYFUNCTION("""COMPUTED_VALUE"""),"%")</f>
        <v>%</v>
      </c>
      <c r="AA1051" s="49">
        <f>IFERROR(__xludf.DUMMYFUNCTION("""COMPUTED_VALUE"""),3.0)</f>
        <v>3</v>
      </c>
      <c r="AB1051" s="50"/>
      <c r="AC1051" s="38"/>
      <c r="AD1051" s="45" t="str">
        <f>IFERROR(__xludf.DUMMYFUNCTION("""COMPUTED_VALUE"""),"")</f>
        <v/>
      </c>
      <c r="AE1051" s="46" t="str">
        <f>IFERROR(__xludf.DUMMYFUNCTION("""COMPUTED_VALUE"""),"AP")</f>
        <v>AP</v>
      </c>
      <c r="AF1051" s="47" t="str">
        <f>IFERROR(__xludf.DUMMYFUNCTION("""COMPUTED_VALUE"""),"")</f>
        <v/>
      </c>
      <c r="AG1051" s="48" t="str">
        <f>IFERROR(__xludf.DUMMYFUNCTION("""COMPUTED_VALUE"""),"%")</f>
        <v>%</v>
      </c>
      <c r="AH1051" s="43"/>
      <c r="AI1051" s="44"/>
      <c r="AJ1051" s="51"/>
    </row>
    <row r="1052" ht="24.75" hidden="1" customHeight="1">
      <c r="A1052" s="28">
        <f>IFERROR(__xludf.DUMMYFUNCTION("""COMPUTED_VALUE"""),15.0)</f>
        <v>15</v>
      </c>
      <c r="B1052" s="28" t="str">
        <f>IFERROR(__xludf.DUMMYFUNCTION("""COMPUTED_VALUE"""),"A117")</f>
        <v>A117</v>
      </c>
      <c r="C1052" s="28"/>
      <c r="D1052" s="29"/>
      <c r="E1052" s="67"/>
      <c r="F1052" s="31"/>
      <c r="G1052" s="32"/>
      <c r="H1052" s="33" t="str">
        <f>IFERROR(__xludf.DUMMYFUNCTION("""COMPUTED_VALUE""")," ")</f>
        <v> </v>
      </c>
      <c r="I1052" s="34"/>
      <c r="J1052" s="35" t="str">
        <f>IFERROR(__xludf.DUMMYFUNCTION("""COMPUTED_VALUE"""),"AP")</f>
        <v>AP</v>
      </c>
      <c r="K1052" s="34"/>
      <c r="L1052" s="35" t="str">
        <f>IFERROR(__xludf.DUMMYFUNCTION("""COMPUTED_VALUE"""),"%")</f>
        <v>%</v>
      </c>
      <c r="M1052" s="36">
        <f>IFERROR(__xludf.DUMMYFUNCTION("""COMPUTED_VALUE"""),1.0)</f>
        <v>1</v>
      </c>
      <c r="N1052" s="37"/>
      <c r="O1052" s="38"/>
      <c r="P1052" s="34" t="str">
        <f>IFERROR(__xludf.DUMMYFUNCTION("""COMPUTED_VALUE"""),"")</f>
        <v/>
      </c>
      <c r="Q1052" s="35" t="str">
        <f>IFERROR(__xludf.DUMMYFUNCTION("""COMPUTED_VALUE"""),"AP")</f>
        <v>AP</v>
      </c>
      <c r="R1052" s="34" t="str">
        <f>IFERROR(__xludf.DUMMYFUNCTION("""COMPUTED_VALUE"""),"")</f>
        <v/>
      </c>
      <c r="S1052" s="35" t="str">
        <f>IFERROR(__xludf.DUMMYFUNCTION("""COMPUTED_VALUE"""),"%")</f>
        <v>%</v>
      </c>
      <c r="T1052" s="36">
        <f>IFERROR(__xludf.DUMMYFUNCTION("""COMPUTED_VALUE"""),2.0)</f>
        <v>2</v>
      </c>
      <c r="U1052" s="37"/>
      <c r="V1052" s="38"/>
      <c r="W1052" s="34" t="str">
        <f>IFERROR(__xludf.DUMMYFUNCTION("""COMPUTED_VALUE"""),"")</f>
        <v/>
      </c>
      <c r="X1052" s="35" t="str">
        <f>IFERROR(__xludf.DUMMYFUNCTION("""COMPUTED_VALUE"""),"AP")</f>
        <v>AP</v>
      </c>
      <c r="Y1052" s="34" t="str">
        <f>IFERROR(__xludf.DUMMYFUNCTION("""COMPUTED_VALUE"""),"")</f>
        <v/>
      </c>
      <c r="Z1052" s="35" t="str">
        <f>IFERROR(__xludf.DUMMYFUNCTION("""COMPUTED_VALUE"""),"%")</f>
        <v>%</v>
      </c>
      <c r="AA1052" s="36">
        <f>IFERROR(__xludf.DUMMYFUNCTION("""COMPUTED_VALUE"""),3.0)</f>
        <v>3</v>
      </c>
      <c r="AB1052" s="37"/>
      <c r="AC1052" s="38"/>
      <c r="AD1052" s="34" t="str">
        <f>IFERROR(__xludf.DUMMYFUNCTION("""COMPUTED_VALUE"""),"")</f>
        <v/>
      </c>
      <c r="AE1052" s="35" t="str">
        <f>IFERROR(__xludf.DUMMYFUNCTION("""COMPUTED_VALUE"""),"AP")</f>
        <v>AP</v>
      </c>
      <c r="AF1052" s="34" t="str">
        <f>IFERROR(__xludf.DUMMYFUNCTION("""COMPUTED_VALUE"""),"")</f>
        <v/>
      </c>
      <c r="AG1052" s="35" t="str">
        <f>IFERROR(__xludf.DUMMYFUNCTION("""COMPUTED_VALUE"""),"%")</f>
        <v>%</v>
      </c>
      <c r="AH1052" s="31"/>
      <c r="AI1052" s="32"/>
      <c r="AJ1052" s="39"/>
    </row>
    <row r="1053" ht="24.75" hidden="1" customHeight="1">
      <c r="A1053" s="40">
        <f>IFERROR(__xludf.DUMMYFUNCTION("""COMPUTED_VALUE"""),16.0)</f>
        <v>16</v>
      </c>
      <c r="B1053" s="40" t="str">
        <f>IFERROR(__xludf.DUMMYFUNCTION("""COMPUTED_VALUE"""),"A117")</f>
        <v>A117</v>
      </c>
      <c r="C1053" s="40"/>
      <c r="D1053" s="41"/>
      <c r="E1053" s="66"/>
      <c r="F1053" s="43"/>
      <c r="G1053" s="44"/>
      <c r="H1053" s="33" t="str">
        <f>IFERROR(__xludf.DUMMYFUNCTION("""COMPUTED_VALUE""")," ")</f>
        <v> </v>
      </c>
      <c r="I1053" s="45"/>
      <c r="J1053" s="46" t="str">
        <f>IFERROR(__xludf.DUMMYFUNCTION("""COMPUTED_VALUE"""),"AP")</f>
        <v>AP</v>
      </c>
      <c r="K1053" s="47"/>
      <c r="L1053" s="48" t="str">
        <f>IFERROR(__xludf.DUMMYFUNCTION("""COMPUTED_VALUE"""),"%")</f>
        <v>%</v>
      </c>
      <c r="M1053" s="49">
        <f>IFERROR(__xludf.DUMMYFUNCTION("""COMPUTED_VALUE"""),1.0)</f>
        <v>1</v>
      </c>
      <c r="N1053" s="50"/>
      <c r="O1053" s="38"/>
      <c r="P1053" s="45" t="str">
        <f>IFERROR(__xludf.DUMMYFUNCTION("""COMPUTED_VALUE"""),"")</f>
        <v/>
      </c>
      <c r="Q1053" s="46" t="str">
        <f>IFERROR(__xludf.DUMMYFUNCTION("""COMPUTED_VALUE"""),"AP")</f>
        <v>AP</v>
      </c>
      <c r="R1053" s="47" t="str">
        <f>IFERROR(__xludf.DUMMYFUNCTION("""COMPUTED_VALUE"""),"")</f>
        <v/>
      </c>
      <c r="S1053" s="48" t="str">
        <f>IFERROR(__xludf.DUMMYFUNCTION("""COMPUTED_VALUE"""),"%")</f>
        <v>%</v>
      </c>
      <c r="T1053" s="49">
        <f>IFERROR(__xludf.DUMMYFUNCTION("""COMPUTED_VALUE"""),2.0)</f>
        <v>2</v>
      </c>
      <c r="U1053" s="50"/>
      <c r="V1053" s="38"/>
      <c r="W1053" s="45" t="str">
        <f>IFERROR(__xludf.DUMMYFUNCTION("""COMPUTED_VALUE"""),"")</f>
        <v/>
      </c>
      <c r="X1053" s="46" t="str">
        <f>IFERROR(__xludf.DUMMYFUNCTION("""COMPUTED_VALUE"""),"AP")</f>
        <v>AP</v>
      </c>
      <c r="Y1053" s="47" t="str">
        <f>IFERROR(__xludf.DUMMYFUNCTION("""COMPUTED_VALUE"""),"")</f>
        <v/>
      </c>
      <c r="Z1053" s="48" t="str">
        <f>IFERROR(__xludf.DUMMYFUNCTION("""COMPUTED_VALUE"""),"%")</f>
        <v>%</v>
      </c>
      <c r="AA1053" s="49">
        <f>IFERROR(__xludf.DUMMYFUNCTION("""COMPUTED_VALUE"""),3.0)</f>
        <v>3</v>
      </c>
      <c r="AB1053" s="50"/>
      <c r="AC1053" s="38"/>
      <c r="AD1053" s="45" t="str">
        <f>IFERROR(__xludf.DUMMYFUNCTION("""COMPUTED_VALUE"""),"")</f>
        <v/>
      </c>
      <c r="AE1053" s="46" t="str">
        <f>IFERROR(__xludf.DUMMYFUNCTION("""COMPUTED_VALUE"""),"AP")</f>
        <v>AP</v>
      </c>
      <c r="AF1053" s="47" t="str">
        <f>IFERROR(__xludf.DUMMYFUNCTION("""COMPUTED_VALUE"""),"")</f>
        <v/>
      </c>
      <c r="AG1053" s="48" t="str">
        <f>IFERROR(__xludf.DUMMYFUNCTION("""COMPUTED_VALUE"""),"%")</f>
        <v>%</v>
      </c>
      <c r="AH1053" s="43"/>
      <c r="AI1053" s="44"/>
      <c r="AJ1053" s="51"/>
    </row>
    <row r="1054" ht="24.75" hidden="1" customHeight="1">
      <c r="A1054" s="28">
        <f>IFERROR(__xludf.DUMMYFUNCTION("""COMPUTED_VALUE"""),17.0)</f>
        <v>17</v>
      </c>
      <c r="B1054" s="28" t="str">
        <f>IFERROR(__xludf.DUMMYFUNCTION("""COMPUTED_VALUE"""),"A117")</f>
        <v>A117</v>
      </c>
      <c r="C1054" s="28"/>
      <c r="D1054" s="29"/>
      <c r="E1054" s="67"/>
      <c r="F1054" s="31"/>
      <c r="G1054" s="32"/>
      <c r="H1054" s="33" t="str">
        <f>IFERROR(__xludf.DUMMYFUNCTION("""COMPUTED_VALUE""")," ")</f>
        <v> </v>
      </c>
      <c r="I1054" s="34"/>
      <c r="J1054" s="35" t="str">
        <f>IFERROR(__xludf.DUMMYFUNCTION("""COMPUTED_VALUE"""),"AP")</f>
        <v>AP</v>
      </c>
      <c r="K1054" s="34"/>
      <c r="L1054" s="35" t="str">
        <f>IFERROR(__xludf.DUMMYFUNCTION("""COMPUTED_VALUE"""),"%")</f>
        <v>%</v>
      </c>
      <c r="M1054" s="36">
        <f>IFERROR(__xludf.DUMMYFUNCTION("""COMPUTED_VALUE"""),1.0)</f>
        <v>1</v>
      </c>
      <c r="N1054" s="37"/>
      <c r="O1054" s="38"/>
      <c r="P1054" s="34" t="str">
        <f>IFERROR(__xludf.DUMMYFUNCTION("""COMPUTED_VALUE"""),"")</f>
        <v/>
      </c>
      <c r="Q1054" s="35" t="str">
        <f>IFERROR(__xludf.DUMMYFUNCTION("""COMPUTED_VALUE"""),"AP")</f>
        <v>AP</v>
      </c>
      <c r="R1054" s="34" t="str">
        <f>IFERROR(__xludf.DUMMYFUNCTION("""COMPUTED_VALUE"""),"")</f>
        <v/>
      </c>
      <c r="S1054" s="35" t="str">
        <f>IFERROR(__xludf.DUMMYFUNCTION("""COMPUTED_VALUE"""),"%")</f>
        <v>%</v>
      </c>
      <c r="T1054" s="36">
        <f>IFERROR(__xludf.DUMMYFUNCTION("""COMPUTED_VALUE"""),2.0)</f>
        <v>2</v>
      </c>
      <c r="U1054" s="37"/>
      <c r="V1054" s="38"/>
      <c r="W1054" s="34" t="str">
        <f>IFERROR(__xludf.DUMMYFUNCTION("""COMPUTED_VALUE"""),"")</f>
        <v/>
      </c>
      <c r="X1054" s="35" t="str">
        <f>IFERROR(__xludf.DUMMYFUNCTION("""COMPUTED_VALUE"""),"AP")</f>
        <v>AP</v>
      </c>
      <c r="Y1054" s="34" t="str">
        <f>IFERROR(__xludf.DUMMYFUNCTION("""COMPUTED_VALUE"""),"")</f>
        <v/>
      </c>
      <c r="Z1054" s="35" t="str">
        <f>IFERROR(__xludf.DUMMYFUNCTION("""COMPUTED_VALUE"""),"%")</f>
        <v>%</v>
      </c>
      <c r="AA1054" s="36">
        <f>IFERROR(__xludf.DUMMYFUNCTION("""COMPUTED_VALUE"""),3.0)</f>
        <v>3</v>
      </c>
      <c r="AB1054" s="37"/>
      <c r="AC1054" s="38"/>
      <c r="AD1054" s="34" t="str">
        <f>IFERROR(__xludf.DUMMYFUNCTION("""COMPUTED_VALUE"""),"")</f>
        <v/>
      </c>
      <c r="AE1054" s="35" t="str">
        <f>IFERROR(__xludf.DUMMYFUNCTION("""COMPUTED_VALUE"""),"AP")</f>
        <v>AP</v>
      </c>
      <c r="AF1054" s="34" t="str">
        <f>IFERROR(__xludf.DUMMYFUNCTION("""COMPUTED_VALUE"""),"")</f>
        <v/>
      </c>
      <c r="AG1054" s="35" t="str">
        <f>IFERROR(__xludf.DUMMYFUNCTION("""COMPUTED_VALUE"""),"%")</f>
        <v>%</v>
      </c>
      <c r="AH1054" s="31"/>
      <c r="AI1054" s="32"/>
      <c r="AJ1054" s="39"/>
    </row>
    <row r="1055" ht="24.75" hidden="1" customHeight="1">
      <c r="A1055" s="40">
        <f>IFERROR(__xludf.DUMMYFUNCTION("""COMPUTED_VALUE"""),18.0)</f>
        <v>18</v>
      </c>
      <c r="B1055" s="40" t="str">
        <f>IFERROR(__xludf.DUMMYFUNCTION("""COMPUTED_VALUE"""),"A117")</f>
        <v>A117</v>
      </c>
      <c r="C1055" s="40"/>
      <c r="D1055" s="41"/>
      <c r="E1055" s="66"/>
      <c r="F1055" s="43"/>
      <c r="G1055" s="44"/>
      <c r="H1055" s="33" t="str">
        <f>IFERROR(__xludf.DUMMYFUNCTION("""COMPUTED_VALUE""")," ")</f>
        <v> </v>
      </c>
      <c r="I1055" s="45"/>
      <c r="J1055" s="46" t="str">
        <f>IFERROR(__xludf.DUMMYFUNCTION("""COMPUTED_VALUE"""),"AP")</f>
        <v>AP</v>
      </c>
      <c r="K1055" s="47"/>
      <c r="L1055" s="48" t="str">
        <f>IFERROR(__xludf.DUMMYFUNCTION("""COMPUTED_VALUE"""),"%")</f>
        <v>%</v>
      </c>
      <c r="M1055" s="49">
        <f>IFERROR(__xludf.DUMMYFUNCTION("""COMPUTED_VALUE"""),1.0)</f>
        <v>1</v>
      </c>
      <c r="N1055" s="50"/>
      <c r="O1055" s="38"/>
      <c r="P1055" s="45" t="str">
        <f>IFERROR(__xludf.DUMMYFUNCTION("""COMPUTED_VALUE"""),"")</f>
        <v/>
      </c>
      <c r="Q1055" s="46" t="str">
        <f>IFERROR(__xludf.DUMMYFUNCTION("""COMPUTED_VALUE"""),"AP")</f>
        <v>AP</v>
      </c>
      <c r="R1055" s="47" t="str">
        <f>IFERROR(__xludf.DUMMYFUNCTION("""COMPUTED_VALUE"""),"")</f>
        <v/>
      </c>
      <c r="S1055" s="48" t="str">
        <f>IFERROR(__xludf.DUMMYFUNCTION("""COMPUTED_VALUE"""),"%")</f>
        <v>%</v>
      </c>
      <c r="T1055" s="49">
        <f>IFERROR(__xludf.DUMMYFUNCTION("""COMPUTED_VALUE"""),2.0)</f>
        <v>2</v>
      </c>
      <c r="U1055" s="50"/>
      <c r="V1055" s="38"/>
      <c r="W1055" s="45" t="str">
        <f>IFERROR(__xludf.DUMMYFUNCTION("""COMPUTED_VALUE"""),"")</f>
        <v/>
      </c>
      <c r="X1055" s="46" t="str">
        <f>IFERROR(__xludf.DUMMYFUNCTION("""COMPUTED_VALUE"""),"AP")</f>
        <v>AP</v>
      </c>
      <c r="Y1055" s="47" t="str">
        <f>IFERROR(__xludf.DUMMYFUNCTION("""COMPUTED_VALUE"""),"")</f>
        <v/>
      </c>
      <c r="Z1055" s="48" t="str">
        <f>IFERROR(__xludf.DUMMYFUNCTION("""COMPUTED_VALUE"""),"%")</f>
        <v>%</v>
      </c>
      <c r="AA1055" s="49">
        <f>IFERROR(__xludf.DUMMYFUNCTION("""COMPUTED_VALUE"""),3.0)</f>
        <v>3</v>
      </c>
      <c r="AB1055" s="50"/>
      <c r="AC1055" s="38"/>
      <c r="AD1055" s="45" t="str">
        <f>IFERROR(__xludf.DUMMYFUNCTION("""COMPUTED_VALUE"""),"")</f>
        <v/>
      </c>
      <c r="AE1055" s="46" t="str">
        <f>IFERROR(__xludf.DUMMYFUNCTION("""COMPUTED_VALUE"""),"AP")</f>
        <v>AP</v>
      </c>
      <c r="AF1055" s="47" t="str">
        <f>IFERROR(__xludf.DUMMYFUNCTION("""COMPUTED_VALUE"""),"")</f>
        <v/>
      </c>
      <c r="AG1055" s="48" t="str">
        <f>IFERROR(__xludf.DUMMYFUNCTION("""COMPUTED_VALUE"""),"%")</f>
        <v>%</v>
      </c>
      <c r="AH1055" s="43"/>
      <c r="AI1055" s="44"/>
      <c r="AJ1055" s="51"/>
    </row>
    <row r="1056" ht="24.75" hidden="1" customHeight="1">
      <c r="A1056" s="28">
        <f>IFERROR(__xludf.DUMMYFUNCTION("""COMPUTED_VALUE"""),19.0)</f>
        <v>19</v>
      </c>
      <c r="B1056" s="28" t="str">
        <f>IFERROR(__xludf.DUMMYFUNCTION("""COMPUTED_VALUE"""),"A117")</f>
        <v>A117</v>
      </c>
      <c r="C1056" s="28"/>
      <c r="D1056" s="29"/>
      <c r="E1056" s="67"/>
      <c r="F1056" s="31"/>
      <c r="G1056" s="32"/>
      <c r="H1056" s="33" t="str">
        <f>IFERROR(__xludf.DUMMYFUNCTION("""COMPUTED_VALUE""")," ")</f>
        <v> </v>
      </c>
      <c r="I1056" s="34"/>
      <c r="J1056" s="35" t="str">
        <f>IFERROR(__xludf.DUMMYFUNCTION("""COMPUTED_VALUE"""),"AP")</f>
        <v>AP</v>
      </c>
      <c r="K1056" s="34"/>
      <c r="L1056" s="35" t="str">
        <f>IFERROR(__xludf.DUMMYFUNCTION("""COMPUTED_VALUE"""),"%")</f>
        <v>%</v>
      </c>
      <c r="M1056" s="36">
        <f>IFERROR(__xludf.DUMMYFUNCTION("""COMPUTED_VALUE"""),1.0)</f>
        <v>1</v>
      </c>
      <c r="N1056" s="37"/>
      <c r="O1056" s="38"/>
      <c r="P1056" s="34" t="str">
        <f>IFERROR(__xludf.DUMMYFUNCTION("""COMPUTED_VALUE"""),"")</f>
        <v/>
      </c>
      <c r="Q1056" s="35" t="str">
        <f>IFERROR(__xludf.DUMMYFUNCTION("""COMPUTED_VALUE"""),"AP")</f>
        <v>AP</v>
      </c>
      <c r="R1056" s="34" t="str">
        <f>IFERROR(__xludf.DUMMYFUNCTION("""COMPUTED_VALUE"""),"")</f>
        <v/>
      </c>
      <c r="S1056" s="35" t="str">
        <f>IFERROR(__xludf.DUMMYFUNCTION("""COMPUTED_VALUE"""),"%")</f>
        <v>%</v>
      </c>
      <c r="T1056" s="36">
        <f>IFERROR(__xludf.DUMMYFUNCTION("""COMPUTED_VALUE"""),2.0)</f>
        <v>2</v>
      </c>
      <c r="U1056" s="37"/>
      <c r="V1056" s="38"/>
      <c r="W1056" s="34" t="str">
        <f>IFERROR(__xludf.DUMMYFUNCTION("""COMPUTED_VALUE"""),"")</f>
        <v/>
      </c>
      <c r="X1056" s="35" t="str">
        <f>IFERROR(__xludf.DUMMYFUNCTION("""COMPUTED_VALUE"""),"AP")</f>
        <v>AP</v>
      </c>
      <c r="Y1056" s="34" t="str">
        <f>IFERROR(__xludf.DUMMYFUNCTION("""COMPUTED_VALUE"""),"")</f>
        <v/>
      </c>
      <c r="Z1056" s="35" t="str">
        <f>IFERROR(__xludf.DUMMYFUNCTION("""COMPUTED_VALUE"""),"%")</f>
        <v>%</v>
      </c>
      <c r="AA1056" s="36">
        <f>IFERROR(__xludf.DUMMYFUNCTION("""COMPUTED_VALUE"""),3.0)</f>
        <v>3</v>
      </c>
      <c r="AB1056" s="37"/>
      <c r="AC1056" s="38"/>
      <c r="AD1056" s="34" t="str">
        <f>IFERROR(__xludf.DUMMYFUNCTION("""COMPUTED_VALUE"""),"")</f>
        <v/>
      </c>
      <c r="AE1056" s="35" t="str">
        <f>IFERROR(__xludf.DUMMYFUNCTION("""COMPUTED_VALUE"""),"AP")</f>
        <v>AP</v>
      </c>
      <c r="AF1056" s="34" t="str">
        <f>IFERROR(__xludf.DUMMYFUNCTION("""COMPUTED_VALUE"""),"")</f>
        <v/>
      </c>
      <c r="AG1056" s="35" t="str">
        <f>IFERROR(__xludf.DUMMYFUNCTION("""COMPUTED_VALUE"""),"%")</f>
        <v>%</v>
      </c>
      <c r="AH1056" s="31"/>
      <c r="AI1056" s="32"/>
      <c r="AJ1056" s="39"/>
    </row>
    <row r="1057" ht="24.75" hidden="1" customHeight="1">
      <c r="A1057" s="40">
        <f>IFERROR(__xludf.DUMMYFUNCTION("""COMPUTED_VALUE"""),20.0)</f>
        <v>20</v>
      </c>
      <c r="B1057" s="40" t="str">
        <f>IFERROR(__xludf.DUMMYFUNCTION("""COMPUTED_VALUE"""),"A117")</f>
        <v>A117</v>
      </c>
      <c r="C1057" s="40"/>
      <c r="D1057" s="41"/>
      <c r="E1057" s="66"/>
      <c r="F1057" s="43"/>
      <c r="G1057" s="44"/>
      <c r="H1057" s="33" t="str">
        <f>IFERROR(__xludf.DUMMYFUNCTION("""COMPUTED_VALUE""")," ")</f>
        <v> </v>
      </c>
      <c r="I1057" s="45"/>
      <c r="J1057" s="46" t="str">
        <f>IFERROR(__xludf.DUMMYFUNCTION("""COMPUTED_VALUE"""),"AP")</f>
        <v>AP</v>
      </c>
      <c r="K1057" s="47"/>
      <c r="L1057" s="48" t="str">
        <f>IFERROR(__xludf.DUMMYFUNCTION("""COMPUTED_VALUE"""),"%")</f>
        <v>%</v>
      </c>
      <c r="M1057" s="49">
        <f>IFERROR(__xludf.DUMMYFUNCTION("""COMPUTED_VALUE"""),1.0)</f>
        <v>1</v>
      </c>
      <c r="N1057" s="50"/>
      <c r="O1057" s="38"/>
      <c r="P1057" s="45" t="str">
        <f>IFERROR(__xludf.DUMMYFUNCTION("""COMPUTED_VALUE"""),"")</f>
        <v/>
      </c>
      <c r="Q1057" s="46" t="str">
        <f>IFERROR(__xludf.DUMMYFUNCTION("""COMPUTED_VALUE"""),"AP")</f>
        <v>AP</v>
      </c>
      <c r="R1057" s="47" t="str">
        <f>IFERROR(__xludf.DUMMYFUNCTION("""COMPUTED_VALUE"""),"")</f>
        <v/>
      </c>
      <c r="S1057" s="48" t="str">
        <f>IFERROR(__xludf.DUMMYFUNCTION("""COMPUTED_VALUE"""),"%")</f>
        <v>%</v>
      </c>
      <c r="T1057" s="49">
        <f>IFERROR(__xludf.DUMMYFUNCTION("""COMPUTED_VALUE"""),2.0)</f>
        <v>2</v>
      </c>
      <c r="U1057" s="50"/>
      <c r="V1057" s="38"/>
      <c r="W1057" s="45" t="str">
        <f>IFERROR(__xludf.DUMMYFUNCTION("""COMPUTED_VALUE"""),"")</f>
        <v/>
      </c>
      <c r="X1057" s="46" t="str">
        <f>IFERROR(__xludf.DUMMYFUNCTION("""COMPUTED_VALUE"""),"AP")</f>
        <v>AP</v>
      </c>
      <c r="Y1057" s="47" t="str">
        <f>IFERROR(__xludf.DUMMYFUNCTION("""COMPUTED_VALUE"""),"")</f>
        <v/>
      </c>
      <c r="Z1057" s="48" t="str">
        <f>IFERROR(__xludf.DUMMYFUNCTION("""COMPUTED_VALUE"""),"%")</f>
        <v>%</v>
      </c>
      <c r="AA1057" s="49">
        <f>IFERROR(__xludf.DUMMYFUNCTION("""COMPUTED_VALUE"""),3.0)</f>
        <v>3</v>
      </c>
      <c r="AB1057" s="50"/>
      <c r="AC1057" s="38"/>
      <c r="AD1057" s="45" t="str">
        <f>IFERROR(__xludf.DUMMYFUNCTION("""COMPUTED_VALUE"""),"")</f>
        <v/>
      </c>
      <c r="AE1057" s="46" t="str">
        <f>IFERROR(__xludf.DUMMYFUNCTION("""COMPUTED_VALUE"""),"AP")</f>
        <v>AP</v>
      </c>
      <c r="AF1057" s="47" t="str">
        <f>IFERROR(__xludf.DUMMYFUNCTION("""COMPUTED_VALUE"""),"")</f>
        <v/>
      </c>
      <c r="AG1057" s="48" t="str">
        <f>IFERROR(__xludf.DUMMYFUNCTION("""COMPUTED_VALUE"""),"%")</f>
        <v>%</v>
      </c>
      <c r="AH1057" s="43"/>
      <c r="AI1057" s="44"/>
      <c r="AJ1057" s="51"/>
    </row>
    <row r="1058">
      <c r="A1058" s="52"/>
      <c r="B1058" s="53"/>
      <c r="C1058" s="54"/>
      <c r="D1058" s="55"/>
      <c r="E1058" s="56"/>
      <c r="F1058" s="53"/>
      <c r="G1058" s="53"/>
      <c r="H1058" s="53"/>
      <c r="I1058" s="53"/>
      <c r="J1058" s="57"/>
      <c r="K1058" s="53"/>
      <c r="L1058" s="57"/>
      <c r="M1058" s="53"/>
      <c r="N1058" s="53"/>
      <c r="O1058" s="53"/>
      <c r="P1058" s="53"/>
      <c r="Q1058" s="57"/>
      <c r="R1058" s="53"/>
      <c r="S1058" s="57"/>
      <c r="T1058" s="53"/>
      <c r="U1058" s="53"/>
      <c r="V1058" s="53"/>
      <c r="W1058" s="53"/>
      <c r="X1058" s="57"/>
      <c r="Y1058" s="53"/>
      <c r="Z1058" s="57"/>
      <c r="AA1058" s="53"/>
      <c r="AB1058" s="53"/>
      <c r="AC1058" s="53"/>
      <c r="AD1058" s="53"/>
      <c r="AE1058" s="57"/>
      <c r="AF1058" s="53"/>
      <c r="AG1058" s="57"/>
      <c r="AH1058" s="53"/>
      <c r="AI1058" s="53"/>
      <c r="AJ1058" s="58"/>
    </row>
    <row r="1059">
      <c r="A1059" s="59"/>
      <c r="B1059" s="60"/>
      <c r="C1059" s="61"/>
      <c r="D1059" s="62"/>
      <c r="E1059" s="63"/>
      <c r="F1059" s="60"/>
      <c r="G1059" s="60"/>
      <c r="H1059" s="60"/>
      <c r="I1059" s="60"/>
      <c r="J1059" s="64"/>
      <c r="K1059" s="60"/>
      <c r="L1059" s="64"/>
      <c r="M1059" s="60"/>
      <c r="N1059" s="60"/>
      <c r="O1059" s="60"/>
      <c r="P1059" s="60"/>
      <c r="Q1059" s="64"/>
      <c r="R1059" s="60"/>
      <c r="S1059" s="64"/>
      <c r="T1059" s="60"/>
      <c r="U1059" s="60"/>
      <c r="V1059" s="60"/>
      <c r="W1059" s="60"/>
      <c r="X1059" s="64"/>
      <c r="Y1059" s="60"/>
      <c r="Z1059" s="64"/>
      <c r="AA1059" s="60"/>
      <c r="AB1059" s="60"/>
      <c r="AC1059" s="60"/>
      <c r="AD1059" s="60"/>
      <c r="AE1059" s="64"/>
      <c r="AF1059" s="60"/>
      <c r="AG1059" s="64"/>
      <c r="AH1059" s="60"/>
      <c r="AI1059" s="60"/>
      <c r="AJ1059" s="65"/>
    </row>
    <row r="1060" ht="33.0" customHeight="1">
      <c r="A1060" s="20" t="str">
        <f>IFERROR(__xludf.DUMMYFUNCTION("""COMPUTED_VALUE""")," ")</f>
        <v> </v>
      </c>
      <c r="B1060" s="21" t="str">
        <f>IFERROR(__xludf.DUMMYFUNCTION("""COMPUTED_VALUE"""),"A118")</f>
        <v>A118</v>
      </c>
      <c r="C1060" s="20"/>
      <c r="D1060" s="22" t="str">
        <f>IFERROR(__xludf.DUMMYFUNCTION("""COMPUTED_VALUE"""),"")</f>
        <v/>
      </c>
      <c r="E1060" s="23" t="str">
        <f>IFERROR(__xludf.DUMMYFUNCTION("""COMPUTED_VALUE"""),"Demon Flame Lantern")</f>
        <v>Demon Flame Lantern</v>
      </c>
      <c r="F1060" s="24"/>
      <c r="G1060" s="24"/>
      <c r="H1060" s="25"/>
      <c r="I1060" s="25"/>
      <c r="J1060" s="26"/>
      <c r="K1060" s="25"/>
      <c r="L1060" s="26"/>
      <c r="M1060" s="25"/>
      <c r="N1060" s="25"/>
      <c r="O1060" s="25"/>
      <c r="P1060" s="25"/>
      <c r="Q1060" s="26"/>
      <c r="R1060" s="25"/>
      <c r="S1060" s="26"/>
      <c r="T1060" s="25"/>
      <c r="U1060" s="25"/>
      <c r="V1060" s="25"/>
      <c r="W1060" s="25"/>
      <c r="X1060" s="26"/>
      <c r="Y1060" s="25"/>
      <c r="Z1060" s="26"/>
      <c r="AA1060" s="25"/>
      <c r="AB1060" s="25"/>
      <c r="AC1060" s="25"/>
      <c r="AD1060" s="25"/>
      <c r="AE1060" s="26"/>
      <c r="AF1060" s="25"/>
      <c r="AG1060" s="26"/>
      <c r="AH1060" s="24"/>
      <c r="AI1060" s="25"/>
      <c r="AJ1060" s="27"/>
    </row>
    <row r="1061" ht="24.75" customHeight="1">
      <c r="A1061" s="28">
        <f>IFERROR(__xludf.DUMMYFUNCTION("""COMPUTED_VALUE"""),1.0)</f>
        <v>1</v>
      </c>
      <c r="B1061" s="28" t="str">
        <f>IFERROR(__xludf.DUMMYFUNCTION("""COMPUTED_VALUE"""),"A118")</f>
        <v>A118</v>
      </c>
      <c r="C1061" s="28" t="str">
        <f>IFERROR(__xludf.DUMMYFUNCTION("""COMPUTED_VALUE"""),"HEA5")</f>
        <v>HEA5</v>
      </c>
      <c r="D1061" s="29" t="str">
        <f>IFERROR(__xludf.DUMMYFUNCTION("""COMPUTED_VALUE"""),"Heian-kyo")</f>
        <v>Heian-kyo</v>
      </c>
      <c r="E1061" s="30" t="str">
        <f>IFERROR(__xludf.DUMMYFUNCTION("""COMPUTED_VALUE"""),"Suzakumon")</f>
        <v>Suzakumon</v>
      </c>
      <c r="F1061" s="31">
        <f>IFERROR(__xludf.DUMMYFUNCTION("""COMPUTED_VALUE"""),21.0)</f>
        <v>21</v>
      </c>
      <c r="G1061" s="32">
        <f>IFERROR(__xludf.DUMMYFUNCTION("""COMPUTED_VALUE"""),11136.0)</f>
        <v>11136</v>
      </c>
      <c r="H1061" s="33" t="str">
        <f>IFERROR(__xludf.DUMMYFUNCTION("""COMPUTED_VALUE"""),"")</f>
        <v/>
      </c>
      <c r="I1061" s="34">
        <f>IFERROR(__xludf.DUMMYFUNCTION("""COMPUTED_VALUE"""),171.1)</f>
        <v>171.1</v>
      </c>
      <c r="J1061" s="35" t="str">
        <f>IFERROR(__xludf.DUMMYFUNCTION("""COMPUTED_VALUE"""),"AP")</f>
        <v>AP</v>
      </c>
      <c r="K1061" s="34">
        <f>IFERROR(__xludf.DUMMYFUNCTION("""COMPUTED_VALUE"""),12.299999900000001)</f>
        <v>12.2999999</v>
      </c>
      <c r="L1061" s="35" t="str">
        <f>IFERROR(__xludf.DUMMYFUNCTION("""COMPUTED_VALUE"""),"%")</f>
        <v>%</v>
      </c>
      <c r="M1061" s="36">
        <f>IFERROR(__xludf.DUMMYFUNCTION("""COMPUTED_VALUE"""),1.0)</f>
        <v>1</v>
      </c>
      <c r="N1061" s="37" t="str">
        <f>IFERROR(__xludf.DUMMYFUNCTION("""COMPUTED_VALUE"""),"A212")</f>
        <v>A212</v>
      </c>
      <c r="O1061" s="38" t="str">
        <f>IFERROR(__xludf.DUMMYFUNCTION("""COMPUTED_VALUE"""),"")</f>
        <v/>
      </c>
      <c r="P1061" s="34">
        <f>IFERROR(__xludf.DUMMYFUNCTION("""COMPUTED_VALUE"""),82.0)</f>
        <v>82</v>
      </c>
      <c r="Q1061" s="35" t="str">
        <f>IFERROR(__xludf.DUMMYFUNCTION("""COMPUTED_VALUE"""),"AP")</f>
        <v>AP</v>
      </c>
      <c r="R1061" s="34">
        <f>IFERROR(__xludf.DUMMYFUNCTION("""COMPUTED_VALUE"""),25.6)</f>
        <v>25.6</v>
      </c>
      <c r="S1061" s="35" t="str">
        <f>IFERROR(__xludf.DUMMYFUNCTION("""COMPUTED_VALUE"""),"%")</f>
        <v>%</v>
      </c>
      <c r="T1061" s="36">
        <f>IFERROR(__xludf.DUMMYFUNCTION("""COMPUTED_VALUE"""),2.0)</f>
        <v>2</v>
      </c>
      <c r="U1061" s="37" t="str">
        <f>IFERROR(__xludf.DUMMYFUNCTION("""COMPUTED_VALUE"""),"B107")</f>
        <v>B107</v>
      </c>
      <c r="V1061" s="38" t="str">
        <f>IFERROR(__xludf.DUMMYFUNCTION("""COMPUTED_VALUE"""),"")</f>
        <v/>
      </c>
      <c r="W1061" s="34">
        <f>IFERROR(__xludf.DUMMYFUNCTION("""COMPUTED_VALUE"""),510.0)</f>
        <v>510</v>
      </c>
      <c r="X1061" s="35" t="str">
        <f>IFERROR(__xludf.DUMMYFUNCTION("""COMPUTED_VALUE"""),"AP")</f>
        <v>AP</v>
      </c>
      <c r="Y1061" s="34">
        <f>IFERROR(__xludf.DUMMYFUNCTION("""COMPUTED_VALUE"""),4.1)</f>
        <v>4.1</v>
      </c>
      <c r="Z1061" s="35" t="str">
        <f>IFERROR(__xludf.DUMMYFUNCTION("""COMPUTED_VALUE"""),"%")</f>
        <v>%</v>
      </c>
      <c r="AA1061" s="36">
        <f>IFERROR(__xludf.DUMMYFUNCTION("""COMPUTED_VALUE"""),3.0)</f>
        <v>3</v>
      </c>
      <c r="AB1061" s="37" t="str">
        <f>IFERROR(__xludf.DUMMYFUNCTION("""COMPUTED_VALUE"""),"B111")</f>
        <v>B111</v>
      </c>
      <c r="AC1061" s="38" t="str">
        <f>IFERROR(__xludf.DUMMYFUNCTION("""COMPUTED_VALUE"""),"")</f>
        <v/>
      </c>
      <c r="AD1061" s="34">
        <f>IFERROR(__xludf.DUMMYFUNCTION("""COMPUTED_VALUE"""),58.6)</f>
        <v>58.6</v>
      </c>
      <c r="AE1061" s="35" t="str">
        <f>IFERROR(__xludf.DUMMYFUNCTION("""COMPUTED_VALUE"""),"AP")</f>
        <v>AP</v>
      </c>
      <c r="AF1061" s="34">
        <f>IFERROR(__xludf.DUMMYFUNCTION("""COMPUTED_VALUE"""),35.8)</f>
        <v>35.8</v>
      </c>
      <c r="AG1061" s="35" t="str">
        <f>IFERROR(__xludf.DUMMYFUNCTION("""COMPUTED_VALUE"""),"%")</f>
        <v>%</v>
      </c>
      <c r="AH1061" s="31">
        <f>IFERROR(__xludf.DUMMYFUNCTION("""COMPUTED_VALUE"""),21.0)</f>
        <v>21</v>
      </c>
      <c r="AI1061" s="32">
        <f>IFERROR(__xludf.DUMMYFUNCTION("""COMPUTED_VALUE"""),11136.0)</f>
        <v>11136</v>
      </c>
      <c r="AJ1061" s="39" t="str">
        <f>IFERROR(__xludf.DUMMYFUNCTION("""COMPUTED_VALUE"""),"朱雀門")</f>
        <v>朱雀門</v>
      </c>
    </row>
    <row r="1062" ht="24.75" customHeight="1">
      <c r="A1062" s="40">
        <f>IFERROR(__xludf.DUMMYFUNCTION("""COMPUTED_VALUE"""),2.0)</f>
        <v>2</v>
      </c>
      <c r="B1062" s="40" t="str">
        <f>IFERROR(__xludf.DUMMYFUNCTION("""COMPUTED_VALUE"""),"A118")</f>
        <v>A118</v>
      </c>
      <c r="C1062" s="40" t="str">
        <f>IFERROR(__xludf.DUMMYFUNCTION("""COMPUTED_VALUE"""),"HEA13")</f>
        <v>HEA13</v>
      </c>
      <c r="D1062" s="41" t="str">
        <f>IFERROR(__xludf.DUMMYFUNCTION("""COMPUTED_VALUE"""),"Heian-kyo")</f>
        <v>Heian-kyo</v>
      </c>
      <c r="E1062" s="42" t="str">
        <f>IFERROR(__xludf.DUMMYFUNCTION("""COMPUTED_VALUE"""),"Jō Three, Bō Three")</f>
        <v>Jō Three, Bō Three</v>
      </c>
      <c r="F1062" s="43">
        <f>IFERROR(__xludf.DUMMYFUNCTION("""COMPUTED_VALUE"""),21.0)</f>
        <v>21</v>
      </c>
      <c r="G1062" s="44">
        <f>IFERROR(__xludf.DUMMYFUNCTION("""COMPUTED_VALUE"""),116296.0)</f>
        <v>116296</v>
      </c>
      <c r="H1062" s="33" t="str">
        <f>IFERROR(__xludf.DUMMYFUNCTION("""COMPUTED_VALUE"""),"")</f>
        <v/>
      </c>
      <c r="I1062" s="45">
        <f>IFERROR(__xludf.DUMMYFUNCTION("""COMPUTED_VALUE"""),172.5)</f>
        <v>172.5</v>
      </c>
      <c r="J1062" s="46" t="str">
        <f>IFERROR(__xludf.DUMMYFUNCTION("""COMPUTED_VALUE"""),"AP")</f>
        <v>AP</v>
      </c>
      <c r="K1062" s="47">
        <f>IFERROR(__xludf.DUMMYFUNCTION("""COMPUTED_VALUE"""),12.2)</f>
        <v>12.2</v>
      </c>
      <c r="L1062" s="48" t="str">
        <f>IFERROR(__xludf.DUMMYFUNCTION("""COMPUTED_VALUE"""),"%")</f>
        <v>%</v>
      </c>
      <c r="M1062" s="49">
        <f>IFERROR(__xludf.DUMMYFUNCTION("""COMPUTED_VALUE"""),1.0)</f>
        <v>1</v>
      </c>
      <c r="N1062" s="50" t="str">
        <f>IFERROR(__xludf.DUMMYFUNCTION("""COMPUTED_VALUE"""),"A220")</f>
        <v>A220</v>
      </c>
      <c r="O1062" s="38" t="str">
        <f>IFERROR(__xludf.DUMMYFUNCTION("""COMPUTED_VALUE"""),"")</f>
        <v/>
      </c>
      <c r="P1062" s="45">
        <f>IFERROR(__xludf.DUMMYFUNCTION("""COMPUTED_VALUE"""),83.0)</f>
        <v>83</v>
      </c>
      <c r="Q1062" s="46" t="str">
        <f>IFERROR(__xludf.DUMMYFUNCTION("""COMPUTED_VALUE"""),"AP")</f>
        <v>AP</v>
      </c>
      <c r="R1062" s="47">
        <f>IFERROR(__xludf.DUMMYFUNCTION("""COMPUTED_VALUE"""),25.3)</f>
        <v>25.3</v>
      </c>
      <c r="S1062" s="48" t="str">
        <f>IFERROR(__xludf.DUMMYFUNCTION("""COMPUTED_VALUE"""),"%")</f>
        <v>%</v>
      </c>
      <c r="T1062" s="49">
        <f>IFERROR(__xludf.DUMMYFUNCTION("""COMPUTED_VALUE"""),2.0)</f>
        <v>2</v>
      </c>
      <c r="U1062" s="50" t="str">
        <f>IFERROR(__xludf.DUMMYFUNCTION("""COMPUTED_VALUE"""),"B107")</f>
        <v>B107</v>
      </c>
      <c r="V1062" s="38" t="str">
        <f>IFERROR(__xludf.DUMMYFUNCTION("""COMPUTED_VALUE"""),"")</f>
        <v/>
      </c>
      <c r="W1062" s="45">
        <f>IFERROR(__xludf.DUMMYFUNCTION("""COMPUTED_VALUE"""),500.1)</f>
        <v>500.1</v>
      </c>
      <c r="X1062" s="46" t="str">
        <f>IFERROR(__xludf.DUMMYFUNCTION("""COMPUTED_VALUE"""),"AP")</f>
        <v>AP</v>
      </c>
      <c r="Y1062" s="47">
        <f>IFERROR(__xludf.DUMMYFUNCTION("""COMPUTED_VALUE"""),4.2)</f>
        <v>4.2</v>
      </c>
      <c r="Z1062" s="48" t="str">
        <f>IFERROR(__xludf.DUMMYFUNCTION("""COMPUTED_VALUE"""),"%")</f>
        <v>%</v>
      </c>
      <c r="AA1062" s="49">
        <f>IFERROR(__xludf.DUMMYFUNCTION("""COMPUTED_VALUE"""),3.0)</f>
        <v>3</v>
      </c>
      <c r="AB1062" s="50" t="str">
        <f>IFERROR(__xludf.DUMMYFUNCTION("""COMPUTED_VALUE"""),"B113")</f>
        <v>B113</v>
      </c>
      <c r="AC1062" s="38" t="str">
        <f>IFERROR(__xludf.DUMMYFUNCTION("""COMPUTED_VALUE"""),"")</f>
        <v/>
      </c>
      <c r="AD1062" s="45">
        <f>IFERROR(__xludf.DUMMYFUNCTION("""COMPUTED_VALUE"""),69.3)</f>
        <v>69.3</v>
      </c>
      <c r="AE1062" s="46" t="str">
        <f>IFERROR(__xludf.DUMMYFUNCTION("""COMPUTED_VALUE"""),"AP")</f>
        <v>AP</v>
      </c>
      <c r="AF1062" s="47">
        <f>IFERROR(__xludf.DUMMYFUNCTION("""COMPUTED_VALUE"""),30.3)</f>
        <v>30.3</v>
      </c>
      <c r="AG1062" s="48" t="str">
        <f>IFERROR(__xludf.DUMMYFUNCTION("""COMPUTED_VALUE"""),"%")</f>
        <v>%</v>
      </c>
      <c r="AH1062" s="43">
        <f>IFERROR(__xludf.DUMMYFUNCTION("""COMPUTED_VALUE"""),21.0)</f>
        <v>21</v>
      </c>
      <c r="AI1062" s="44">
        <f>IFERROR(__xludf.DUMMYFUNCTION("""COMPUTED_VALUE"""),116296.0)</f>
        <v>116296</v>
      </c>
      <c r="AJ1062" s="51" t="str">
        <f>IFERROR(__xludf.DUMMYFUNCTION("""COMPUTED_VALUE"""),"三条三坊")</f>
        <v>三条三坊</v>
      </c>
    </row>
    <row r="1063" ht="24.75" customHeight="1">
      <c r="A1063" s="28">
        <f>IFERROR(__xludf.DUMMYFUNCTION("""COMPUTED_VALUE"""),3.0)</f>
        <v>3</v>
      </c>
      <c r="B1063" s="28" t="str">
        <f>IFERROR(__xludf.DUMMYFUNCTION("""COMPUTED_VALUE"""),"A118")</f>
        <v>A118</v>
      </c>
      <c r="C1063" s="28" t="str">
        <f>IFERROR(__xludf.DUMMYFUNCTION("""COMPUTED_VALUE"""),"HEA12")</f>
        <v>HEA12</v>
      </c>
      <c r="D1063" s="29" t="str">
        <f>IFERROR(__xludf.DUMMYFUNCTION("""COMPUTED_VALUE"""),"Heian-kyo")</f>
        <v>Heian-kyo</v>
      </c>
      <c r="E1063" s="30" t="str">
        <f>IFERROR(__xludf.DUMMYFUNCTION("""COMPUTED_VALUE"""),"Mount Ōe")</f>
        <v>Mount Ōe</v>
      </c>
      <c r="F1063" s="31">
        <f>IFERROR(__xludf.DUMMYFUNCTION("""COMPUTED_VALUE"""),21.0)</f>
        <v>21</v>
      </c>
      <c r="G1063" s="32">
        <f>IFERROR(__xludf.DUMMYFUNCTION("""COMPUTED_VALUE"""),4207.0)</f>
        <v>4207</v>
      </c>
      <c r="H1063" s="33" t="str">
        <f>IFERROR(__xludf.DUMMYFUNCTION("""COMPUTED_VALUE"""),"")</f>
        <v/>
      </c>
      <c r="I1063" s="34">
        <f>IFERROR(__xludf.DUMMYFUNCTION("""COMPUTED_VALUE"""),185.1)</f>
        <v>185.1</v>
      </c>
      <c r="J1063" s="35" t="str">
        <f>IFERROR(__xludf.DUMMYFUNCTION("""COMPUTED_VALUE"""),"AP")</f>
        <v>AP</v>
      </c>
      <c r="K1063" s="34">
        <f>IFERROR(__xludf.DUMMYFUNCTION("""COMPUTED_VALUE"""),11.3)</f>
        <v>11.3</v>
      </c>
      <c r="L1063" s="35" t="str">
        <f>IFERROR(__xludf.DUMMYFUNCTION("""COMPUTED_VALUE"""),"%")</f>
        <v>%</v>
      </c>
      <c r="M1063" s="36">
        <f>IFERROR(__xludf.DUMMYFUNCTION("""COMPUTED_VALUE"""),1.0)</f>
        <v>1</v>
      </c>
      <c r="N1063" s="37" t="str">
        <f>IFERROR(__xludf.DUMMYFUNCTION("""COMPUTED_VALUE"""),"A302")</f>
        <v>A302</v>
      </c>
      <c r="O1063" s="38" t="str">
        <f>IFERROR(__xludf.DUMMYFUNCTION("""COMPUTED_VALUE"""),"")</f>
        <v/>
      </c>
      <c r="P1063" s="34">
        <f>IFERROR(__xludf.DUMMYFUNCTION("""COMPUTED_VALUE"""),51.7)</f>
        <v>51.7</v>
      </c>
      <c r="Q1063" s="35" t="str">
        <f>IFERROR(__xludf.DUMMYFUNCTION("""COMPUTED_VALUE"""),"AP")</f>
        <v>AP</v>
      </c>
      <c r="R1063" s="34">
        <f>IFERROR(__xludf.DUMMYFUNCTION("""COMPUTED_VALUE"""),40.6)</f>
        <v>40.6</v>
      </c>
      <c r="S1063" s="35" t="str">
        <f>IFERROR(__xludf.DUMMYFUNCTION("""COMPUTED_VALUE"""),"%")</f>
        <v>%</v>
      </c>
      <c r="T1063" s="36">
        <f>IFERROR(__xludf.DUMMYFUNCTION("""COMPUTED_VALUE"""),2.0)</f>
        <v>2</v>
      </c>
      <c r="U1063" s="37" t="str">
        <f>IFERROR(__xludf.DUMMYFUNCTION("""COMPUTED_VALUE"""),"B107")</f>
        <v>B107</v>
      </c>
      <c r="V1063" s="38" t="str">
        <f>IFERROR(__xludf.DUMMYFUNCTION("""COMPUTED_VALUE"""),"")</f>
        <v/>
      </c>
      <c r="W1063" s="34">
        <f>IFERROR(__xludf.DUMMYFUNCTION("""COMPUTED_VALUE"""),488.0)</f>
        <v>488</v>
      </c>
      <c r="X1063" s="35" t="str">
        <f>IFERROR(__xludf.DUMMYFUNCTION("""COMPUTED_VALUE"""),"AP")</f>
        <v>AP</v>
      </c>
      <c r="Y1063" s="34">
        <f>IFERROR(__xludf.DUMMYFUNCTION("""COMPUTED_VALUE"""),4.3)</f>
        <v>4.3</v>
      </c>
      <c r="Z1063" s="35" t="str">
        <f>IFERROR(__xludf.DUMMYFUNCTION("""COMPUTED_VALUE"""),"%")</f>
        <v>%</v>
      </c>
      <c r="AA1063" s="36">
        <f>IFERROR(__xludf.DUMMYFUNCTION("""COMPUTED_VALUE"""),3.0)</f>
        <v>3</v>
      </c>
      <c r="AB1063" s="37"/>
      <c r="AC1063" s="38"/>
      <c r="AD1063" s="34" t="str">
        <f>IFERROR(__xludf.DUMMYFUNCTION("""COMPUTED_VALUE"""),"")</f>
        <v/>
      </c>
      <c r="AE1063" s="35" t="str">
        <f>IFERROR(__xludf.DUMMYFUNCTION("""COMPUTED_VALUE"""),"AP")</f>
        <v>AP</v>
      </c>
      <c r="AF1063" s="34" t="str">
        <f>IFERROR(__xludf.DUMMYFUNCTION("""COMPUTED_VALUE"""),"")</f>
        <v/>
      </c>
      <c r="AG1063" s="35" t="str">
        <f>IFERROR(__xludf.DUMMYFUNCTION("""COMPUTED_VALUE"""),"%")</f>
        <v>%</v>
      </c>
      <c r="AH1063" s="31">
        <f>IFERROR(__xludf.DUMMYFUNCTION("""COMPUTED_VALUE"""),21.0)</f>
        <v>21</v>
      </c>
      <c r="AI1063" s="32">
        <f>IFERROR(__xludf.DUMMYFUNCTION("""COMPUTED_VALUE"""),4207.0)</f>
        <v>4207</v>
      </c>
      <c r="AJ1063" s="39" t="str">
        <f>IFERROR(__xludf.DUMMYFUNCTION("""COMPUTED_VALUE"""),"大江山")</f>
        <v>大江山</v>
      </c>
    </row>
    <row r="1064" ht="24.75" customHeight="1">
      <c r="A1064" s="40">
        <f>IFERROR(__xludf.DUMMYFUNCTION("""COMPUTED_VALUE"""),4.0)</f>
        <v>4</v>
      </c>
      <c r="B1064" s="40" t="str">
        <f>IFERROR(__xludf.DUMMYFUNCTION("""COMPUTED_VALUE"""),"A118")</f>
        <v>A118</v>
      </c>
      <c r="C1064" s="40" t="str">
        <f>IFERROR(__xludf.DUMMYFUNCTION("""COMPUTED_VALUE"""),"HEA9")</f>
        <v>HEA9</v>
      </c>
      <c r="D1064" s="41" t="str">
        <f>IFERROR(__xludf.DUMMYFUNCTION("""COMPUTED_VALUE"""),"Heian-kyo")</f>
        <v>Heian-kyo</v>
      </c>
      <c r="E1064" s="42" t="str">
        <f>IFERROR(__xludf.DUMMYFUNCTION("""COMPUTED_VALUE"""),"Imperial Palace Main Street")</f>
        <v>Imperial Palace Main Street</v>
      </c>
      <c r="F1064" s="43">
        <f>IFERROR(__xludf.DUMMYFUNCTION("""COMPUTED_VALUE"""),21.0)</f>
        <v>21</v>
      </c>
      <c r="G1064" s="44">
        <f>IFERROR(__xludf.DUMMYFUNCTION("""COMPUTED_VALUE"""),7620.0)</f>
        <v>7620</v>
      </c>
      <c r="H1064" s="33" t="str">
        <f>IFERROR(__xludf.DUMMYFUNCTION("""COMPUTED_VALUE"""),"")</f>
        <v/>
      </c>
      <c r="I1064" s="45">
        <f>IFERROR(__xludf.DUMMYFUNCTION("""COMPUTED_VALUE"""),195.6)</f>
        <v>195.6</v>
      </c>
      <c r="J1064" s="46" t="str">
        <f>IFERROR(__xludf.DUMMYFUNCTION("""COMPUTED_VALUE"""),"AP")</f>
        <v>AP</v>
      </c>
      <c r="K1064" s="47">
        <f>IFERROR(__xludf.DUMMYFUNCTION("""COMPUTED_VALUE"""),10.7)</f>
        <v>10.7</v>
      </c>
      <c r="L1064" s="48" t="str">
        <f>IFERROR(__xludf.DUMMYFUNCTION("""COMPUTED_VALUE"""),"%")</f>
        <v>%</v>
      </c>
      <c r="M1064" s="49">
        <f>IFERROR(__xludf.DUMMYFUNCTION("""COMPUTED_VALUE"""),1.0)</f>
        <v>1</v>
      </c>
      <c r="N1064" s="50" t="str">
        <f>IFERROR(__xludf.DUMMYFUNCTION("""COMPUTED_VALUE"""),"A302")</f>
        <v>A302</v>
      </c>
      <c r="O1064" s="38" t="str">
        <f>IFERROR(__xludf.DUMMYFUNCTION("""COMPUTED_VALUE"""),"")</f>
        <v/>
      </c>
      <c r="P1064" s="45">
        <f>IFERROR(__xludf.DUMMYFUNCTION("""COMPUTED_VALUE"""),68.6)</f>
        <v>68.6</v>
      </c>
      <c r="Q1064" s="46" t="str">
        <f>IFERROR(__xludf.DUMMYFUNCTION("""COMPUTED_VALUE"""),"AP")</f>
        <v>AP</v>
      </c>
      <c r="R1064" s="47">
        <f>IFERROR(__xludf.DUMMYFUNCTION("""COMPUTED_VALUE"""),30.6)</f>
        <v>30.6</v>
      </c>
      <c r="S1064" s="48" t="str">
        <f>IFERROR(__xludf.DUMMYFUNCTION("""COMPUTED_VALUE"""),"%")</f>
        <v>%</v>
      </c>
      <c r="T1064" s="49">
        <f>IFERROR(__xludf.DUMMYFUNCTION("""COMPUTED_VALUE"""),2.0)</f>
        <v>2</v>
      </c>
      <c r="U1064" s="50" t="str">
        <f>IFERROR(__xludf.DUMMYFUNCTION("""COMPUTED_VALUE"""),"A304")</f>
        <v>A304</v>
      </c>
      <c r="V1064" s="38" t="str">
        <f>IFERROR(__xludf.DUMMYFUNCTION("""COMPUTED_VALUE"""),"")</f>
        <v/>
      </c>
      <c r="W1064" s="45">
        <f>IFERROR(__xludf.DUMMYFUNCTION("""COMPUTED_VALUE"""),69.6)</f>
        <v>69.6</v>
      </c>
      <c r="X1064" s="46" t="str">
        <f>IFERROR(__xludf.DUMMYFUNCTION("""COMPUTED_VALUE"""),"AP")</f>
        <v>AP</v>
      </c>
      <c r="Y1064" s="47">
        <f>IFERROR(__xludf.DUMMYFUNCTION("""COMPUTED_VALUE"""),30.2)</f>
        <v>30.2</v>
      </c>
      <c r="Z1064" s="48" t="str">
        <f>IFERROR(__xludf.DUMMYFUNCTION("""COMPUTED_VALUE"""),"%")</f>
        <v>%</v>
      </c>
      <c r="AA1064" s="49">
        <f>IFERROR(__xludf.DUMMYFUNCTION("""COMPUTED_VALUE"""),3.0)</f>
        <v>3</v>
      </c>
      <c r="AB1064" s="50" t="str">
        <f>IFERROR(__xludf.DUMMYFUNCTION("""COMPUTED_VALUE"""),"B107")</f>
        <v>B107</v>
      </c>
      <c r="AC1064" s="38" t="str">
        <f>IFERROR(__xludf.DUMMYFUNCTION("""COMPUTED_VALUE"""),"")</f>
        <v/>
      </c>
      <c r="AD1064" s="45">
        <f>IFERROR(__xludf.DUMMYFUNCTION("""COMPUTED_VALUE"""),527.9)</f>
        <v>527.9</v>
      </c>
      <c r="AE1064" s="46" t="str">
        <f>IFERROR(__xludf.DUMMYFUNCTION("""COMPUTED_VALUE"""),"AP")</f>
        <v>AP</v>
      </c>
      <c r="AF1064" s="47">
        <f>IFERROR(__xludf.DUMMYFUNCTION("""COMPUTED_VALUE"""),4.0)</f>
        <v>4</v>
      </c>
      <c r="AG1064" s="48" t="str">
        <f>IFERROR(__xludf.DUMMYFUNCTION("""COMPUTED_VALUE"""),"%")</f>
        <v>%</v>
      </c>
      <c r="AH1064" s="43">
        <f>IFERROR(__xludf.DUMMYFUNCTION("""COMPUTED_VALUE"""),21.0)</f>
        <v>21</v>
      </c>
      <c r="AI1064" s="44">
        <f>IFERROR(__xludf.DUMMYFUNCTION("""COMPUTED_VALUE"""),7620.0)</f>
        <v>7620</v>
      </c>
      <c r="AJ1064" s="51" t="str">
        <f>IFERROR(__xludf.DUMMYFUNCTION("""COMPUTED_VALUE"""),"大宮大路")</f>
        <v>大宮大路</v>
      </c>
    </row>
    <row r="1065" ht="24.75" customHeight="1">
      <c r="A1065" s="28">
        <f>IFERROR(__xludf.DUMMYFUNCTION("""COMPUTED_VALUE"""),5.0)</f>
        <v>5</v>
      </c>
      <c r="B1065" s="28" t="str">
        <f>IFERROR(__xludf.DUMMYFUNCTION("""COMPUTED_VALUE"""),"A118")</f>
        <v>A118</v>
      </c>
      <c r="C1065" s="28"/>
      <c r="D1065" s="29"/>
      <c r="E1065" s="67"/>
      <c r="F1065" s="31"/>
      <c r="G1065" s="32"/>
      <c r="H1065" s="33" t="str">
        <f>IFERROR(__xludf.DUMMYFUNCTION("""COMPUTED_VALUE""")," ")</f>
        <v> </v>
      </c>
      <c r="I1065" s="34"/>
      <c r="J1065" s="35" t="str">
        <f>IFERROR(__xludf.DUMMYFUNCTION("""COMPUTED_VALUE"""),"AP")</f>
        <v>AP</v>
      </c>
      <c r="K1065" s="34"/>
      <c r="L1065" s="35" t="str">
        <f>IFERROR(__xludf.DUMMYFUNCTION("""COMPUTED_VALUE"""),"%")</f>
        <v>%</v>
      </c>
      <c r="M1065" s="36">
        <f>IFERROR(__xludf.DUMMYFUNCTION("""COMPUTED_VALUE"""),1.0)</f>
        <v>1</v>
      </c>
      <c r="N1065" s="37"/>
      <c r="O1065" s="38"/>
      <c r="P1065" s="34" t="str">
        <f>IFERROR(__xludf.DUMMYFUNCTION("""COMPUTED_VALUE"""),"")</f>
        <v/>
      </c>
      <c r="Q1065" s="35" t="str">
        <f>IFERROR(__xludf.DUMMYFUNCTION("""COMPUTED_VALUE"""),"AP")</f>
        <v>AP</v>
      </c>
      <c r="R1065" s="34" t="str">
        <f>IFERROR(__xludf.DUMMYFUNCTION("""COMPUTED_VALUE"""),"")</f>
        <v/>
      </c>
      <c r="S1065" s="35" t="str">
        <f>IFERROR(__xludf.DUMMYFUNCTION("""COMPUTED_VALUE"""),"%")</f>
        <v>%</v>
      </c>
      <c r="T1065" s="36">
        <f>IFERROR(__xludf.DUMMYFUNCTION("""COMPUTED_VALUE"""),2.0)</f>
        <v>2</v>
      </c>
      <c r="U1065" s="37"/>
      <c r="V1065" s="38"/>
      <c r="W1065" s="34" t="str">
        <f>IFERROR(__xludf.DUMMYFUNCTION("""COMPUTED_VALUE"""),"")</f>
        <v/>
      </c>
      <c r="X1065" s="35" t="str">
        <f>IFERROR(__xludf.DUMMYFUNCTION("""COMPUTED_VALUE"""),"AP")</f>
        <v>AP</v>
      </c>
      <c r="Y1065" s="34" t="str">
        <f>IFERROR(__xludf.DUMMYFUNCTION("""COMPUTED_VALUE"""),"")</f>
        <v/>
      </c>
      <c r="Z1065" s="35" t="str">
        <f>IFERROR(__xludf.DUMMYFUNCTION("""COMPUTED_VALUE"""),"%")</f>
        <v>%</v>
      </c>
      <c r="AA1065" s="36">
        <f>IFERROR(__xludf.DUMMYFUNCTION("""COMPUTED_VALUE"""),3.0)</f>
        <v>3</v>
      </c>
      <c r="AB1065" s="37"/>
      <c r="AC1065" s="38"/>
      <c r="AD1065" s="34" t="str">
        <f>IFERROR(__xludf.DUMMYFUNCTION("""COMPUTED_VALUE"""),"")</f>
        <v/>
      </c>
      <c r="AE1065" s="35" t="str">
        <f>IFERROR(__xludf.DUMMYFUNCTION("""COMPUTED_VALUE"""),"AP")</f>
        <v>AP</v>
      </c>
      <c r="AF1065" s="34" t="str">
        <f>IFERROR(__xludf.DUMMYFUNCTION("""COMPUTED_VALUE"""),"")</f>
        <v/>
      </c>
      <c r="AG1065" s="35" t="str">
        <f>IFERROR(__xludf.DUMMYFUNCTION("""COMPUTED_VALUE"""),"%")</f>
        <v>%</v>
      </c>
      <c r="AH1065" s="31"/>
      <c r="AI1065" s="32"/>
      <c r="AJ1065" s="39"/>
    </row>
    <row r="1066" ht="24.75" hidden="1" customHeight="1">
      <c r="A1066" s="40">
        <f>IFERROR(__xludf.DUMMYFUNCTION("""COMPUTED_VALUE"""),6.0)</f>
        <v>6</v>
      </c>
      <c r="B1066" s="40" t="str">
        <f>IFERROR(__xludf.DUMMYFUNCTION("""COMPUTED_VALUE"""),"A118")</f>
        <v>A118</v>
      </c>
      <c r="C1066" s="40"/>
      <c r="D1066" s="41"/>
      <c r="E1066" s="66"/>
      <c r="F1066" s="43"/>
      <c r="G1066" s="44"/>
      <c r="H1066" s="33" t="str">
        <f>IFERROR(__xludf.DUMMYFUNCTION("""COMPUTED_VALUE""")," ")</f>
        <v> </v>
      </c>
      <c r="I1066" s="45"/>
      <c r="J1066" s="46" t="str">
        <f>IFERROR(__xludf.DUMMYFUNCTION("""COMPUTED_VALUE"""),"AP")</f>
        <v>AP</v>
      </c>
      <c r="K1066" s="47"/>
      <c r="L1066" s="48" t="str">
        <f>IFERROR(__xludf.DUMMYFUNCTION("""COMPUTED_VALUE"""),"%")</f>
        <v>%</v>
      </c>
      <c r="M1066" s="49">
        <f>IFERROR(__xludf.DUMMYFUNCTION("""COMPUTED_VALUE"""),1.0)</f>
        <v>1</v>
      </c>
      <c r="N1066" s="50"/>
      <c r="O1066" s="38"/>
      <c r="P1066" s="45" t="str">
        <f>IFERROR(__xludf.DUMMYFUNCTION("""COMPUTED_VALUE"""),"")</f>
        <v/>
      </c>
      <c r="Q1066" s="46" t="str">
        <f>IFERROR(__xludf.DUMMYFUNCTION("""COMPUTED_VALUE"""),"AP")</f>
        <v>AP</v>
      </c>
      <c r="R1066" s="47" t="str">
        <f>IFERROR(__xludf.DUMMYFUNCTION("""COMPUTED_VALUE"""),"")</f>
        <v/>
      </c>
      <c r="S1066" s="48" t="str">
        <f>IFERROR(__xludf.DUMMYFUNCTION("""COMPUTED_VALUE"""),"%")</f>
        <v>%</v>
      </c>
      <c r="T1066" s="49">
        <f>IFERROR(__xludf.DUMMYFUNCTION("""COMPUTED_VALUE"""),2.0)</f>
        <v>2</v>
      </c>
      <c r="U1066" s="50"/>
      <c r="V1066" s="38"/>
      <c r="W1066" s="45" t="str">
        <f>IFERROR(__xludf.DUMMYFUNCTION("""COMPUTED_VALUE"""),"")</f>
        <v/>
      </c>
      <c r="X1066" s="46" t="str">
        <f>IFERROR(__xludf.DUMMYFUNCTION("""COMPUTED_VALUE"""),"AP")</f>
        <v>AP</v>
      </c>
      <c r="Y1066" s="47" t="str">
        <f>IFERROR(__xludf.DUMMYFUNCTION("""COMPUTED_VALUE"""),"")</f>
        <v/>
      </c>
      <c r="Z1066" s="48" t="str">
        <f>IFERROR(__xludf.DUMMYFUNCTION("""COMPUTED_VALUE"""),"%")</f>
        <v>%</v>
      </c>
      <c r="AA1066" s="49">
        <f>IFERROR(__xludf.DUMMYFUNCTION("""COMPUTED_VALUE"""),3.0)</f>
        <v>3</v>
      </c>
      <c r="AB1066" s="50"/>
      <c r="AC1066" s="38"/>
      <c r="AD1066" s="45" t="str">
        <f>IFERROR(__xludf.DUMMYFUNCTION("""COMPUTED_VALUE"""),"")</f>
        <v/>
      </c>
      <c r="AE1066" s="46" t="str">
        <f>IFERROR(__xludf.DUMMYFUNCTION("""COMPUTED_VALUE"""),"AP")</f>
        <v>AP</v>
      </c>
      <c r="AF1066" s="47" t="str">
        <f>IFERROR(__xludf.DUMMYFUNCTION("""COMPUTED_VALUE"""),"")</f>
        <v/>
      </c>
      <c r="AG1066" s="48" t="str">
        <f>IFERROR(__xludf.DUMMYFUNCTION("""COMPUTED_VALUE"""),"%")</f>
        <v>%</v>
      </c>
      <c r="AH1066" s="43"/>
      <c r="AI1066" s="44"/>
      <c r="AJ1066" s="51"/>
    </row>
    <row r="1067" ht="24.75" hidden="1" customHeight="1">
      <c r="A1067" s="28">
        <f>IFERROR(__xludf.DUMMYFUNCTION("""COMPUTED_VALUE"""),7.0)</f>
        <v>7</v>
      </c>
      <c r="B1067" s="28" t="str">
        <f>IFERROR(__xludf.DUMMYFUNCTION("""COMPUTED_VALUE"""),"A118")</f>
        <v>A118</v>
      </c>
      <c r="C1067" s="28"/>
      <c r="D1067" s="29"/>
      <c r="E1067" s="67"/>
      <c r="F1067" s="31"/>
      <c r="G1067" s="32"/>
      <c r="H1067" s="33" t="str">
        <f>IFERROR(__xludf.DUMMYFUNCTION("""COMPUTED_VALUE""")," ")</f>
        <v> </v>
      </c>
      <c r="I1067" s="34"/>
      <c r="J1067" s="35" t="str">
        <f>IFERROR(__xludf.DUMMYFUNCTION("""COMPUTED_VALUE"""),"AP")</f>
        <v>AP</v>
      </c>
      <c r="K1067" s="34"/>
      <c r="L1067" s="35" t="str">
        <f>IFERROR(__xludf.DUMMYFUNCTION("""COMPUTED_VALUE"""),"%")</f>
        <v>%</v>
      </c>
      <c r="M1067" s="36">
        <f>IFERROR(__xludf.DUMMYFUNCTION("""COMPUTED_VALUE"""),1.0)</f>
        <v>1</v>
      </c>
      <c r="N1067" s="37"/>
      <c r="O1067" s="38"/>
      <c r="P1067" s="34" t="str">
        <f>IFERROR(__xludf.DUMMYFUNCTION("""COMPUTED_VALUE"""),"")</f>
        <v/>
      </c>
      <c r="Q1067" s="35" t="str">
        <f>IFERROR(__xludf.DUMMYFUNCTION("""COMPUTED_VALUE"""),"AP")</f>
        <v>AP</v>
      </c>
      <c r="R1067" s="34" t="str">
        <f>IFERROR(__xludf.DUMMYFUNCTION("""COMPUTED_VALUE"""),"")</f>
        <v/>
      </c>
      <c r="S1067" s="35" t="str">
        <f>IFERROR(__xludf.DUMMYFUNCTION("""COMPUTED_VALUE"""),"%")</f>
        <v>%</v>
      </c>
      <c r="T1067" s="36">
        <f>IFERROR(__xludf.DUMMYFUNCTION("""COMPUTED_VALUE"""),2.0)</f>
        <v>2</v>
      </c>
      <c r="U1067" s="37"/>
      <c r="V1067" s="38"/>
      <c r="W1067" s="34" t="str">
        <f>IFERROR(__xludf.DUMMYFUNCTION("""COMPUTED_VALUE"""),"")</f>
        <v/>
      </c>
      <c r="X1067" s="35" t="str">
        <f>IFERROR(__xludf.DUMMYFUNCTION("""COMPUTED_VALUE"""),"AP")</f>
        <v>AP</v>
      </c>
      <c r="Y1067" s="34" t="str">
        <f>IFERROR(__xludf.DUMMYFUNCTION("""COMPUTED_VALUE"""),"")</f>
        <v/>
      </c>
      <c r="Z1067" s="35" t="str">
        <f>IFERROR(__xludf.DUMMYFUNCTION("""COMPUTED_VALUE"""),"%")</f>
        <v>%</v>
      </c>
      <c r="AA1067" s="36">
        <f>IFERROR(__xludf.DUMMYFUNCTION("""COMPUTED_VALUE"""),3.0)</f>
        <v>3</v>
      </c>
      <c r="AB1067" s="37"/>
      <c r="AC1067" s="38"/>
      <c r="AD1067" s="34" t="str">
        <f>IFERROR(__xludf.DUMMYFUNCTION("""COMPUTED_VALUE"""),"")</f>
        <v/>
      </c>
      <c r="AE1067" s="35" t="str">
        <f>IFERROR(__xludf.DUMMYFUNCTION("""COMPUTED_VALUE"""),"AP")</f>
        <v>AP</v>
      </c>
      <c r="AF1067" s="34" t="str">
        <f>IFERROR(__xludf.DUMMYFUNCTION("""COMPUTED_VALUE"""),"")</f>
        <v/>
      </c>
      <c r="AG1067" s="35" t="str">
        <f>IFERROR(__xludf.DUMMYFUNCTION("""COMPUTED_VALUE"""),"%")</f>
        <v>%</v>
      </c>
      <c r="AH1067" s="31"/>
      <c r="AI1067" s="32"/>
      <c r="AJ1067" s="39"/>
    </row>
    <row r="1068" ht="24.75" hidden="1" customHeight="1">
      <c r="A1068" s="40">
        <f>IFERROR(__xludf.DUMMYFUNCTION("""COMPUTED_VALUE"""),8.0)</f>
        <v>8</v>
      </c>
      <c r="B1068" s="40" t="str">
        <f>IFERROR(__xludf.DUMMYFUNCTION("""COMPUTED_VALUE"""),"A118")</f>
        <v>A118</v>
      </c>
      <c r="C1068" s="40"/>
      <c r="D1068" s="41"/>
      <c r="E1068" s="66"/>
      <c r="F1068" s="43"/>
      <c r="G1068" s="44"/>
      <c r="H1068" s="33" t="str">
        <f>IFERROR(__xludf.DUMMYFUNCTION("""COMPUTED_VALUE""")," ")</f>
        <v> </v>
      </c>
      <c r="I1068" s="45"/>
      <c r="J1068" s="46" t="str">
        <f>IFERROR(__xludf.DUMMYFUNCTION("""COMPUTED_VALUE"""),"AP")</f>
        <v>AP</v>
      </c>
      <c r="K1068" s="47"/>
      <c r="L1068" s="48" t="str">
        <f>IFERROR(__xludf.DUMMYFUNCTION("""COMPUTED_VALUE"""),"%")</f>
        <v>%</v>
      </c>
      <c r="M1068" s="49">
        <f>IFERROR(__xludf.DUMMYFUNCTION("""COMPUTED_VALUE"""),1.0)</f>
        <v>1</v>
      </c>
      <c r="N1068" s="50"/>
      <c r="O1068" s="38"/>
      <c r="P1068" s="45" t="str">
        <f>IFERROR(__xludf.DUMMYFUNCTION("""COMPUTED_VALUE"""),"")</f>
        <v/>
      </c>
      <c r="Q1068" s="46" t="str">
        <f>IFERROR(__xludf.DUMMYFUNCTION("""COMPUTED_VALUE"""),"AP")</f>
        <v>AP</v>
      </c>
      <c r="R1068" s="47" t="str">
        <f>IFERROR(__xludf.DUMMYFUNCTION("""COMPUTED_VALUE"""),"")</f>
        <v/>
      </c>
      <c r="S1068" s="48" t="str">
        <f>IFERROR(__xludf.DUMMYFUNCTION("""COMPUTED_VALUE"""),"%")</f>
        <v>%</v>
      </c>
      <c r="T1068" s="49">
        <f>IFERROR(__xludf.DUMMYFUNCTION("""COMPUTED_VALUE"""),2.0)</f>
        <v>2</v>
      </c>
      <c r="U1068" s="50"/>
      <c r="V1068" s="38"/>
      <c r="W1068" s="45" t="str">
        <f>IFERROR(__xludf.DUMMYFUNCTION("""COMPUTED_VALUE"""),"")</f>
        <v/>
      </c>
      <c r="X1068" s="46" t="str">
        <f>IFERROR(__xludf.DUMMYFUNCTION("""COMPUTED_VALUE"""),"AP")</f>
        <v>AP</v>
      </c>
      <c r="Y1068" s="47" t="str">
        <f>IFERROR(__xludf.DUMMYFUNCTION("""COMPUTED_VALUE"""),"")</f>
        <v/>
      </c>
      <c r="Z1068" s="48" t="str">
        <f>IFERROR(__xludf.DUMMYFUNCTION("""COMPUTED_VALUE"""),"%")</f>
        <v>%</v>
      </c>
      <c r="AA1068" s="49">
        <f>IFERROR(__xludf.DUMMYFUNCTION("""COMPUTED_VALUE"""),3.0)</f>
        <v>3</v>
      </c>
      <c r="AB1068" s="50"/>
      <c r="AC1068" s="38"/>
      <c r="AD1068" s="45" t="str">
        <f>IFERROR(__xludf.DUMMYFUNCTION("""COMPUTED_VALUE"""),"")</f>
        <v/>
      </c>
      <c r="AE1068" s="46" t="str">
        <f>IFERROR(__xludf.DUMMYFUNCTION("""COMPUTED_VALUE"""),"AP")</f>
        <v>AP</v>
      </c>
      <c r="AF1068" s="47" t="str">
        <f>IFERROR(__xludf.DUMMYFUNCTION("""COMPUTED_VALUE"""),"")</f>
        <v/>
      </c>
      <c r="AG1068" s="48" t="str">
        <f>IFERROR(__xludf.DUMMYFUNCTION("""COMPUTED_VALUE"""),"%")</f>
        <v>%</v>
      </c>
      <c r="AH1068" s="43"/>
      <c r="AI1068" s="44"/>
      <c r="AJ1068" s="51"/>
    </row>
    <row r="1069" ht="24.75" hidden="1" customHeight="1">
      <c r="A1069" s="28">
        <f>IFERROR(__xludf.DUMMYFUNCTION("""COMPUTED_VALUE"""),9.0)</f>
        <v>9</v>
      </c>
      <c r="B1069" s="28" t="str">
        <f>IFERROR(__xludf.DUMMYFUNCTION("""COMPUTED_VALUE"""),"A118")</f>
        <v>A118</v>
      </c>
      <c r="C1069" s="28"/>
      <c r="D1069" s="29"/>
      <c r="E1069" s="67"/>
      <c r="F1069" s="31"/>
      <c r="G1069" s="32"/>
      <c r="H1069" s="33" t="str">
        <f>IFERROR(__xludf.DUMMYFUNCTION("""COMPUTED_VALUE""")," ")</f>
        <v> </v>
      </c>
      <c r="I1069" s="34"/>
      <c r="J1069" s="35" t="str">
        <f>IFERROR(__xludf.DUMMYFUNCTION("""COMPUTED_VALUE"""),"AP")</f>
        <v>AP</v>
      </c>
      <c r="K1069" s="34"/>
      <c r="L1069" s="35" t="str">
        <f>IFERROR(__xludf.DUMMYFUNCTION("""COMPUTED_VALUE"""),"%")</f>
        <v>%</v>
      </c>
      <c r="M1069" s="36">
        <f>IFERROR(__xludf.DUMMYFUNCTION("""COMPUTED_VALUE"""),1.0)</f>
        <v>1</v>
      </c>
      <c r="N1069" s="37"/>
      <c r="O1069" s="38"/>
      <c r="P1069" s="34" t="str">
        <f>IFERROR(__xludf.DUMMYFUNCTION("""COMPUTED_VALUE"""),"")</f>
        <v/>
      </c>
      <c r="Q1069" s="35" t="str">
        <f>IFERROR(__xludf.DUMMYFUNCTION("""COMPUTED_VALUE"""),"AP")</f>
        <v>AP</v>
      </c>
      <c r="R1069" s="34" t="str">
        <f>IFERROR(__xludf.DUMMYFUNCTION("""COMPUTED_VALUE"""),"")</f>
        <v/>
      </c>
      <c r="S1069" s="35" t="str">
        <f>IFERROR(__xludf.DUMMYFUNCTION("""COMPUTED_VALUE"""),"%")</f>
        <v>%</v>
      </c>
      <c r="T1069" s="36">
        <f>IFERROR(__xludf.DUMMYFUNCTION("""COMPUTED_VALUE"""),2.0)</f>
        <v>2</v>
      </c>
      <c r="U1069" s="37"/>
      <c r="V1069" s="38"/>
      <c r="W1069" s="34" t="str">
        <f>IFERROR(__xludf.DUMMYFUNCTION("""COMPUTED_VALUE"""),"")</f>
        <v/>
      </c>
      <c r="X1069" s="35" t="str">
        <f>IFERROR(__xludf.DUMMYFUNCTION("""COMPUTED_VALUE"""),"AP")</f>
        <v>AP</v>
      </c>
      <c r="Y1069" s="34" t="str">
        <f>IFERROR(__xludf.DUMMYFUNCTION("""COMPUTED_VALUE"""),"")</f>
        <v/>
      </c>
      <c r="Z1069" s="35" t="str">
        <f>IFERROR(__xludf.DUMMYFUNCTION("""COMPUTED_VALUE"""),"%")</f>
        <v>%</v>
      </c>
      <c r="AA1069" s="36">
        <f>IFERROR(__xludf.DUMMYFUNCTION("""COMPUTED_VALUE"""),3.0)</f>
        <v>3</v>
      </c>
      <c r="AB1069" s="37"/>
      <c r="AC1069" s="38"/>
      <c r="AD1069" s="34" t="str">
        <f>IFERROR(__xludf.DUMMYFUNCTION("""COMPUTED_VALUE"""),"")</f>
        <v/>
      </c>
      <c r="AE1069" s="35" t="str">
        <f>IFERROR(__xludf.DUMMYFUNCTION("""COMPUTED_VALUE"""),"AP")</f>
        <v>AP</v>
      </c>
      <c r="AF1069" s="34" t="str">
        <f>IFERROR(__xludf.DUMMYFUNCTION("""COMPUTED_VALUE"""),"")</f>
        <v/>
      </c>
      <c r="AG1069" s="35" t="str">
        <f>IFERROR(__xludf.DUMMYFUNCTION("""COMPUTED_VALUE"""),"%")</f>
        <v>%</v>
      </c>
      <c r="AH1069" s="31"/>
      <c r="AI1069" s="32"/>
      <c r="AJ1069" s="39"/>
    </row>
    <row r="1070" ht="24.75" hidden="1" customHeight="1">
      <c r="A1070" s="40">
        <f>IFERROR(__xludf.DUMMYFUNCTION("""COMPUTED_VALUE"""),10.0)</f>
        <v>10</v>
      </c>
      <c r="B1070" s="40" t="str">
        <f>IFERROR(__xludf.DUMMYFUNCTION("""COMPUTED_VALUE"""),"A118")</f>
        <v>A118</v>
      </c>
      <c r="C1070" s="40"/>
      <c r="D1070" s="41"/>
      <c r="E1070" s="66"/>
      <c r="F1070" s="43"/>
      <c r="G1070" s="44"/>
      <c r="H1070" s="33" t="str">
        <f>IFERROR(__xludf.DUMMYFUNCTION("""COMPUTED_VALUE""")," ")</f>
        <v> </v>
      </c>
      <c r="I1070" s="45"/>
      <c r="J1070" s="46" t="str">
        <f>IFERROR(__xludf.DUMMYFUNCTION("""COMPUTED_VALUE"""),"AP")</f>
        <v>AP</v>
      </c>
      <c r="K1070" s="47"/>
      <c r="L1070" s="48" t="str">
        <f>IFERROR(__xludf.DUMMYFUNCTION("""COMPUTED_VALUE"""),"%")</f>
        <v>%</v>
      </c>
      <c r="M1070" s="49">
        <f>IFERROR(__xludf.DUMMYFUNCTION("""COMPUTED_VALUE"""),1.0)</f>
        <v>1</v>
      </c>
      <c r="N1070" s="50"/>
      <c r="O1070" s="38"/>
      <c r="P1070" s="45" t="str">
        <f>IFERROR(__xludf.DUMMYFUNCTION("""COMPUTED_VALUE"""),"")</f>
        <v/>
      </c>
      <c r="Q1070" s="46" t="str">
        <f>IFERROR(__xludf.DUMMYFUNCTION("""COMPUTED_VALUE"""),"AP")</f>
        <v>AP</v>
      </c>
      <c r="R1070" s="47" t="str">
        <f>IFERROR(__xludf.DUMMYFUNCTION("""COMPUTED_VALUE"""),"")</f>
        <v/>
      </c>
      <c r="S1070" s="48" t="str">
        <f>IFERROR(__xludf.DUMMYFUNCTION("""COMPUTED_VALUE"""),"%")</f>
        <v>%</v>
      </c>
      <c r="T1070" s="49">
        <f>IFERROR(__xludf.DUMMYFUNCTION("""COMPUTED_VALUE"""),2.0)</f>
        <v>2</v>
      </c>
      <c r="U1070" s="50"/>
      <c r="V1070" s="38"/>
      <c r="W1070" s="45" t="str">
        <f>IFERROR(__xludf.DUMMYFUNCTION("""COMPUTED_VALUE"""),"")</f>
        <v/>
      </c>
      <c r="X1070" s="46" t="str">
        <f>IFERROR(__xludf.DUMMYFUNCTION("""COMPUTED_VALUE"""),"AP")</f>
        <v>AP</v>
      </c>
      <c r="Y1070" s="47" t="str">
        <f>IFERROR(__xludf.DUMMYFUNCTION("""COMPUTED_VALUE"""),"")</f>
        <v/>
      </c>
      <c r="Z1070" s="48" t="str">
        <f>IFERROR(__xludf.DUMMYFUNCTION("""COMPUTED_VALUE"""),"%")</f>
        <v>%</v>
      </c>
      <c r="AA1070" s="49">
        <f>IFERROR(__xludf.DUMMYFUNCTION("""COMPUTED_VALUE"""),3.0)</f>
        <v>3</v>
      </c>
      <c r="AB1070" s="50"/>
      <c r="AC1070" s="38"/>
      <c r="AD1070" s="45" t="str">
        <f>IFERROR(__xludf.DUMMYFUNCTION("""COMPUTED_VALUE"""),"")</f>
        <v/>
      </c>
      <c r="AE1070" s="46" t="str">
        <f>IFERROR(__xludf.DUMMYFUNCTION("""COMPUTED_VALUE"""),"AP")</f>
        <v>AP</v>
      </c>
      <c r="AF1070" s="47" t="str">
        <f>IFERROR(__xludf.DUMMYFUNCTION("""COMPUTED_VALUE"""),"")</f>
        <v/>
      </c>
      <c r="AG1070" s="48" t="str">
        <f>IFERROR(__xludf.DUMMYFUNCTION("""COMPUTED_VALUE"""),"%")</f>
        <v>%</v>
      </c>
      <c r="AH1070" s="43"/>
      <c r="AI1070" s="44"/>
      <c r="AJ1070" s="51"/>
    </row>
    <row r="1071" ht="24.75" hidden="1" customHeight="1">
      <c r="A1071" s="28">
        <f>IFERROR(__xludf.DUMMYFUNCTION("""COMPUTED_VALUE"""),11.0)</f>
        <v>11</v>
      </c>
      <c r="B1071" s="28" t="str">
        <f>IFERROR(__xludf.DUMMYFUNCTION("""COMPUTED_VALUE"""),"A118")</f>
        <v>A118</v>
      </c>
      <c r="C1071" s="28"/>
      <c r="D1071" s="29"/>
      <c r="E1071" s="67"/>
      <c r="F1071" s="31"/>
      <c r="G1071" s="32"/>
      <c r="H1071" s="33" t="str">
        <f>IFERROR(__xludf.DUMMYFUNCTION("""COMPUTED_VALUE""")," ")</f>
        <v> </v>
      </c>
      <c r="I1071" s="34"/>
      <c r="J1071" s="35" t="str">
        <f>IFERROR(__xludf.DUMMYFUNCTION("""COMPUTED_VALUE"""),"AP")</f>
        <v>AP</v>
      </c>
      <c r="K1071" s="34"/>
      <c r="L1071" s="35" t="str">
        <f>IFERROR(__xludf.DUMMYFUNCTION("""COMPUTED_VALUE"""),"%")</f>
        <v>%</v>
      </c>
      <c r="M1071" s="36">
        <f>IFERROR(__xludf.DUMMYFUNCTION("""COMPUTED_VALUE"""),1.0)</f>
        <v>1</v>
      </c>
      <c r="N1071" s="37"/>
      <c r="O1071" s="38"/>
      <c r="P1071" s="34" t="str">
        <f>IFERROR(__xludf.DUMMYFUNCTION("""COMPUTED_VALUE"""),"")</f>
        <v/>
      </c>
      <c r="Q1071" s="35" t="str">
        <f>IFERROR(__xludf.DUMMYFUNCTION("""COMPUTED_VALUE"""),"AP")</f>
        <v>AP</v>
      </c>
      <c r="R1071" s="34" t="str">
        <f>IFERROR(__xludf.DUMMYFUNCTION("""COMPUTED_VALUE"""),"")</f>
        <v/>
      </c>
      <c r="S1071" s="35" t="str">
        <f>IFERROR(__xludf.DUMMYFUNCTION("""COMPUTED_VALUE"""),"%")</f>
        <v>%</v>
      </c>
      <c r="T1071" s="36">
        <f>IFERROR(__xludf.DUMMYFUNCTION("""COMPUTED_VALUE"""),2.0)</f>
        <v>2</v>
      </c>
      <c r="U1071" s="37"/>
      <c r="V1071" s="38"/>
      <c r="W1071" s="34" t="str">
        <f>IFERROR(__xludf.DUMMYFUNCTION("""COMPUTED_VALUE"""),"")</f>
        <v/>
      </c>
      <c r="X1071" s="35" t="str">
        <f>IFERROR(__xludf.DUMMYFUNCTION("""COMPUTED_VALUE"""),"AP")</f>
        <v>AP</v>
      </c>
      <c r="Y1071" s="34" t="str">
        <f>IFERROR(__xludf.DUMMYFUNCTION("""COMPUTED_VALUE"""),"")</f>
        <v/>
      </c>
      <c r="Z1071" s="35" t="str">
        <f>IFERROR(__xludf.DUMMYFUNCTION("""COMPUTED_VALUE"""),"%")</f>
        <v>%</v>
      </c>
      <c r="AA1071" s="36">
        <f>IFERROR(__xludf.DUMMYFUNCTION("""COMPUTED_VALUE"""),3.0)</f>
        <v>3</v>
      </c>
      <c r="AB1071" s="37"/>
      <c r="AC1071" s="38"/>
      <c r="AD1071" s="34" t="str">
        <f>IFERROR(__xludf.DUMMYFUNCTION("""COMPUTED_VALUE"""),"")</f>
        <v/>
      </c>
      <c r="AE1071" s="35" t="str">
        <f>IFERROR(__xludf.DUMMYFUNCTION("""COMPUTED_VALUE"""),"AP")</f>
        <v>AP</v>
      </c>
      <c r="AF1071" s="34" t="str">
        <f>IFERROR(__xludf.DUMMYFUNCTION("""COMPUTED_VALUE"""),"")</f>
        <v/>
      </c>
      <c r="AG1071" s="35" t="str">
        <f>IFERROR(__xludf.DUMMYFUNCTION("""COMPUTED_VALUE"""),"%")</f>
        <v>%</v>
      </c>
      <c r="AH1071" s="31"/>
      <c r="AI1071" s="32"/>
      <c r="AJ1071" s="39"/>
    </row>
    <row r="1072" ht="24.75" hidden="1" customHeight="1">
      <c r="A1072" s="40">
        <f>IFERROR(__xludf.DUMMYFUNCTION("""COMPUTED_VALUE"""),12.0)</f>
        <v>12</v>
      </c>
      <c r="B1072" s="40" t="str">
        <f>IFERROR(__xludf.DUMMYFUNCTION("""COMPUTED_VALUE"""),"A118")</f>
        <v>A118</v>
      </c>
      <c r="C1072" s="40"/>
      <c r="D1072" s="41"/>
      <c r="E1072" s="66"/>
      <c r="F1072" s="43"/>
      <c r="G1072" s="44"/>
      <c r="H1072" s="33" t="str">
        <f>IFERROR(__xludf.DUMMYFUNCTION("""COMPUTED_VALUE""")," ")</f>
        <v> </v>
      </c>
      <c r="I1072" s="45"/>
      <c r="J1072" s="46" t="str">
        <f>IFERROR(__xludf.DUMMYFUNCTION("""COMPUTED_VALUE"""),"AP")</f>
        <v>AP</v>
      </c>
      <c r="K1072" s="47"/>
      <c r="L1072" s="48" t="str">
        <f>IFERROR(__xludf.DUMMYFUNCTION("""COMPUTED_VALUE"""),"%")</f>
        <v>%</v>
      </c>
      <c r="M1072" s="49">
        <f>IFERROR(__xludf.DUMMYFUNCTION("""COMPUTED_VALUE"""),1.0)</f>
        <v>1</v>
      </c>
      <c r="N1072" s="50"/>
      <c r="O1072" s="38"/>
      <c r="P1072" s="45" t="str">
        <f>IFERROR(__xludf.DUMMYFUNCTION("""COMPUTED_VALUE"""),"")</f>
        <v/>
      </c>
      <c r="Q1072" s="46" t="str">
        <f>IFERROR(__xludf.DUMMYFUNCTION("""COMPUTED_VALUE"""),"AP")</f>
        <v>AP</v>
      </c>
      <c r="R1072" s="47" t="str">
        <f>IFERROR(__xludf.DUMMYFUNCTION("""COMPUTED_VALUE"""),"")</f>
        <v/>
      </c>
      <c r="S1072" s="48" t="str">
        <f>IFERROR(__xludf.DUMMYFUNCTION("""COMPUTED_VALUE"""),"%")</f>
        <v>%</v>
      </c>
      <c r="T1072" s="49">
        <f>IFERROR(__xludf.DUMMYFUNCTION("""COMPUTED_VALUE"""),2.0)</f>
        <v>2</v>
      </c>
      <c r="U1072" s="50"/>
      <c r="V1072" s="38"/>
      <c r="W1072" s="45" t="str">
        <f>IFERROR(__xludf.DUMMYFUNCTION("""COMPUTED_VALUE"""),"")</f>
        <v/>
      </c>
      <c r="X1072" s="46" t="str">
        <f>IFERROR(__xludf.DUMMYFUNCTION("""COMPUTED_VALUE"""),"AP")</f>
        <v>AP</v>
      </c>
      <c r="Y1072" s="47" t="str">
        <f>IFERROR(__xludf.DUMMYFUNCTION("""COMPUTED_VALUE"""),"")</f>
        <v/>
      </c>
      <c r="Z1072" s="48" t="str">
        <f>IFERROR(__xludf.DUMMYFUNCTION("""COMPUTED_VALUE"""),"%")</f>
        <v>%</v>
      </c>
      <c r="AA1072" s="49">
        <f>IFERROR(__xludf.DUMMYFUNCTION("""COMPUTED_VALUE"""),3.0)</f>
        <v>3</v>
      </c>
      <c r="AB1072" s="50"/>
      <c r="AC1072" s="38"/>
      <c r="AD1072" s="45" t="str">
        <f>IFERROR(__xludf.DUMMYFUNCTION("""COMPUTED_VALUE"""),"")</f>
        <v/>
      </c>
      <c r="AE1072" s="46" t="str">
        <f>IFERROR(__xludf.DUMMYFUNCTION("""COMPUTED_VALUE"""),"AP")</f>
        <v>AP</v>
      </c>
      <c r="AF1072" s="47" t="str">
        <f>IFERROR(__xludf.DUMMYFUNCTION("""COMPUTED_VALUE"""),"")</f>
        <v/>
      </c>
      <c r="AG1072" s="48" t="str">
        <f>IFERROR(__xludf.DUMMYFUNCTION("""COMPUTED_VALUE"""),"%")</f>
        <v>%</v>
      </c>
      <c r="AH1072" s="43"/>
      <c r="AI1072" s="44"/>
      <c r="AJ1072" s="51"/>
    </row>
    <row r="1073" ht="24.75" hidden="1" customHeight="1">
      <c r="A1073" s="28">
        <f>IFERROR(__xludf.DUMMYFUNCTION("""COMPUTED_VALUE"""),13.0)</f>
        <v>13</v>
      </c>
      <c r="B1073" s="28" t="str">
        <f>IFERROR(__xludf.DUMMYFUNCTION("""COMPUTED_VALUE"""),"A118")</f>
        <v>A118</v>
      </c>
      <c r="C1073" s="28"/>
      <c r="D1073" s="29"/>
      <c r="E1073" s="67"/>
      <c r="F1073" s="31"/>
      <c r="G1073" s="32"/>
      <c r="H1073" s="33" t="str">
        <f>IFERROR(__xludf.DUMMYFUNCTION("""COMPUTED_VALUE""")," ")</f>
        <v> </v>
      </c>
      <c r="I1073" s="34"/>
      <c r="J1073" s="35" t="str">
        <f>IFERROR(__xludf.DUMMYFUNCTION("""COMPUTED_VALUE"""),"AP")</f>
        <v>AP</v>
      </c>
      <c r="K1073" s="34"/>
      <c r="L1073" s="35" t="str">
        <f>IFERROR(__xludf.DUMMYFUNCTION("""COMPUTED_VALUE"""),"%")</f>
        <v>%</v>
      </c>
      <c r="M1073" s="36">
        <f>IFERROR(__xludf.DUMMYFUNCTION("""COMPUTED_VALUE"""),1.0)</f>
        <v>1</v>
      </c>
      <c r="N1073" s="37"/>
      <c r="O1073" s="38"/>
      <c r="P1073" s="34" t="str">
        <f>IFERROR(__xludf.DUMMYFUNCTION("""COMPUTED_VALUE"""),"")</f>
        <v/>
      </c>
      <c r="Q1073" s="35" t="str">
        <f>IFERROR(__xludf.DUMMYFUNCTION("""COMPUTED_VALUE"""),"AP")</f>
        <v>AP</v>
      </c>
      <c r="R1073" s="34" t="str">
        <f>IFERROR(__xludf.DUMMYFUNCTION("""COMPUTED_VALUE"""),"")</f>
        <v/>
      </c>
      <c r="S1073" s="35" t="str">
        <f>IFERROR(__xludf.DUMMYFUNCTION("""COMPUTED_VALUE"""),"%")</f>
        <v>%</v>
      </c>
      <c r="T1073" s="36">
        <f>IFERROR(__xludf.DUMMYFUNCTION("""COMPUTED_VALUE"""),2.0)</f>
        <v>2</v>
      </c>
      <c r="U1073" s="37"/>
      <c r="V1073" s="38"/>
      <c r="W1073" s="34" t="str">
        <f>IFERROR(__xludf.DUMMYFUNCTION("""COMPUTED_VALUE"""),"")</f>
        <v/>
      </c>
      <c r="X1073" s="35" t="str">
        <f>IFERROR(__xludf.DUMMYFUNCTION("""COMPUTED_VALUE"""),"AP")</f>
        <v>AP</v>
      </c>
      <c r="Y1073" s="34" t="str">
        <f>IFERROR(__xludf.DUMMYFUNCTION("""COMPUTED_VALUE"""),"")</f>
        <v/>
      </c>
      <c r="Z1073" s="35" t="str">
        <f>IFERROR(__xludf.DUMMYFUNCTION("""COMPUTED_VALUE"""),"%")</f>
        <v>%</v>
      </c>
      <c r="AA1073" s="36">
        <f>IFERROR(__xludf.DUMMYFUNCTION("""COMPUTED_VALUE"""),3.0)</f>
        <v>3</v>
      </c>
      <c r="AB1073" s="37"/>
      <c r="AC1073" s="38"/>
      <c r="AD1073" s="34" t="str">
        <f>IFERROR(__xludf.DUMMYFUNCTION("""COMPUTED_VALUE"""),"")</f>
        <v/>
      </c>
      <c r="AE1073" s="35" t="str">
        <f>IFERROR(__xludf.DUMMYFUNCTION("""COMPUTED_VALUE"""),"AP")</f>
        <v>AP</v>
      </c>
      <c r="AF1073" s="34" t="str">
        <f>IFERROR(__xludf.DUMMYFUNCTION("""COMPUTED_VALUE"""),"")</f>
        <v/>
      </c>
      <c r="AG1073" s="35" t="str">
        <f>IFERROR(__xludf.DUMMYFUNCTION("""COMPUTED_VALUE"""),"%")</f>
        <v>%</v>
      </c>
      <c r="AH1073" s="31"/>
      <c r="AI1073" s="32"/>
      <c r="AJ1073" s="39"/>
    </row>
    <row r="1074" ht="24.75" hidden="1" customHeight="1">
      <c r="A1074" s="40">
        <f>IFERROR(__xludf.DUMMYFUNCTION("""COMPUTED_VALUE"""),14.0)</f>
        <v>14</v>
      </c>
      <c r="B1074" s="40" t="str">
        <f>IFERROR(__xludf.DUMMYFUNCTION("""COMPUTED_VALUE"""),"A118")</f>
        <v>A118</v>
      </c>
      <c r="C1074" s="40"/>
      <c r="D1074" s="41"/>
      <c r="E1074" s="66"/>
      <c r="F1074" s="43"/>
      <c r="G1074" s="44"/>
      <c r="H1074" s="33" t="str">
        <f>IFERROR(__xludf.DUMMYFUNCTION("""COMPUTED_VALUE""")," ")</f>
        <v> </v>
      </c>
      <c r="I1074" s="45"/>
      <c r="J1074" s="46" t="str">
        <f>IFERROR(__xludf.DUMMYFUNCTION("""COMPUTED_VALUE"""),"AP")</f>
        <v>AP</v>
      </c>
      <c r="K1074" s="47"/>
      <c r="L1074" s="48" t="str">
        <f>IFERROR(__xludf.DUMMYFUNCTION("""COMPUTED_VALUE"""),"%")</f>
        <v>%</v>
      </c>
      <c r="M1074" s="49">
        <f>IFERROR(__xludf.DUMMYFUNCTION("""COMPUTED_VALUE"""),1.0)</f>
        <v>1</v>
      </c>
      <c r="N1074" s="50"/>
      <c r="O1074" s="38"/>
      <c r="P1074" s="45" t="str">
        <f>IFERROR(__xludf.DUMMYFUNCTION("""COMPUTED_VALUE"""),"")</f>
        <v/>
      </c>
      <c r="Q1074" s="46" t="str">
        <f>IFERROR(__xludf.DUMMYFUNCTION("""COMPUTED_VALUE"""),"AP")</f>
        <v>AP</v>
      </c>
      <c r="R1074" s="47" t="str">
        <f>IFERROR(__xludf.DUMMYFUNCTION("""COMPUTED_VALUE"""),"")</f>
        <v/>
      </c>
      <c r="S1074" s="48" t="str">
        <f>IFERROR(__xludf.DUMMYFUNCTION("""COMPUTED_VALUE"""),"%")</f>
        <v>%</v>
      </c>
      <c r="T1074" s="49">
        <f>IFERROR(__xludf.DUMMYFUNCTION("""COMPUTED_VALUE"""),2.0)</f>
        <v>2</v>
      </c>
      <c r="U1074" s="50"/>
      <c r="V1074" s="38"/>
      <c r="W1074" s="45" t="str">
        <f>IFERROR(__xludf.DUMMYFUNCTION("""COMPUTED_VALUE"""),"")</f>
        <v/>
      </c>
      <c r="X1074" s="46" t="str">
        <f>IFERROR(__xludf.DUMMYFUNCTION("""COMPUTED_VALUE"""),"AP")</f>
        <v>AP</v>
      </c>
      <c r="Y1074" s="47" t="str">
        <f>IFERROR(__xludf.DUMMYFUNCTION("""COMPUTED_VALUE"""),"")</f>
        <v/>
      </c>
      <c r="Z1074" s="48" t="str">
        <f>IFERROR(__xludf.DUMMYFUNCTION("""COMPUTED_VALUE"""),"%")</f>
        <v>%</v>
      </c>
      <c r="AA1074" s="49">
        <f>IFERROR(__xludf.DUMMYFUNCTION("""COMPUTED_VALUE"""),3.0)</f>
        <v>3</v>
      </c>
      <c r="AB1074" s="50"/>
      <c r="AC1074" s="38"/>
      <c r="AD1074" s="45" t="str">
        <f>IFERROR(__xludf.DUMMYFUNCTION("""COMPUTED_VALUE"""),"")</f>
        <v/>
      </c>
      <c r="AE1074" s="46" t="str">
        <f>IFERROR(__xludf.DUMMYFUNCTION("""COMPUTED_VALUE"""),"AP")</f>
        <v>AP</v>
      </c>
      <c r="AF1074" s="47" t="str">
        <f>IFERROR(__xludf.DUMMYFUNCTION("""COMPUTED_VALUE"""),"")</f>
        <v/>
      </c>
      <c r="AG1074" s="48" t="str">
        <f>IFERROR(__xludf.DUMMYFUNCTION("""COMPUTED_VALUE"""),"%")</f>
        <v>%</v>
      </c>
      <c r="AH1074" s="43"/>
      <c r="AI1074" s="44"/>
      <c r="AJ1074" s="51"/>
    </row>
    <row r="1075" ht="24.75" hidden="1" customHeight="1">
      <c r="A1075" s="28">
        <f>IFERROR(__xludf.DUMMYFUNCTION("""COMPUTED_VALUE"""),15.0)</f>
        <v>15</v>
      </c>
      <c r="B1075" s="28" t="str">
        <f>IFERROR(__xludf.DUMMYFUNCTION("""COMPUTED_VALUE"""),"A118")</f>
        <v>A118</v>
      </c>
      <c r="C1075" s="28"/>
      <c r="D1075" s="29"/>
      <c r="E1075" s="67"/>
      <c r="F1075" s="31"/>
      <c r="G1075" s="32"/>
      <c r="H1075" s="33" t="str">
        <f>IFERROR(__xludf.DUMMYFUNCTION("""COMPUTED_VALUE""")," ")</f>
        <v> </v>
      </c>
      <c r="I1075" s="34"/>
      <c r="J1075" s="35" t="str">
        <f>IFERROR(__xludf.DUMMYFUNCTION("""COMPUTED_VALUE"""),"AP")</f>
        <v>AP</v>
      </c>
      <c r="K1075" s="34"/>
      <c r="L1075" s="35" t="str">
        <f>IFERROR(__xludf.DUMMYFUNCTION("""COMPUTED_VALUE"""),"%")</f>
        <v>%</v>
      </c>
      <c r="M1075" s="36">
        <f>IFERROR(__xludf.DUMMYFUNCTION("""COMPUTED_VALUE"""),1.0)</f>
        <v>1</v>
      </c>
      <c r="N1075" s="37"/>
      <c r="O1075" s="38"/>
      <c r="P1075" s="34" t="str">
        <f>IFERROR(__xludf.DUMMYFUNCTION("""COMPUTED_VALUE"""),"")</f>
        <v/>
      </c>
      <c r="Q1075" s="35" t="str">
        <f>IFERROR(__xludf.DUMMYFUNCTION("""COMPUTED_VALUE"""),"AP")</f>
        <v>AP</v>
      </c>
      <c r="R1075" s="34" t="str">
        <f>IFERROR(__xludf.DUMMYFUNCTION("""COMPUTED_VALUE"""),"")</f>
        <v/>
      </c>
      <c r="S1075" s="35" t="str">
        <f>IFERROR(__xludf.DUMMYFUNCTION("""COMPUTED_VALUE"""),"%")</f>
        <v>%</v>
      </c>
      <c r="T1075" s="36">
        <f>IFERROR(__xludf.DUMMYFUNCTION("""COMPUTED_VALUE"""),2.0)</f>
        <v>2</v>
      </c>
      <c r="U1075" s="37"/>
      <c r="V1075" s="38"/>
      <c r="W1075" s="34" t="str">
        <f>IFERROR(__xludf.DUMMYFUNCTION("""COMPUTED_VALUE"""),"")</f>
        <v/>
      </c>
      <c r="X1075" s="35" t="str">
        <f>IFERROR(__xludf.DUMMYFUNCTION("""COMPUTED_VALUE"""),"AP")</f>
        <v>AP</v>
      </c>
      <c r="Y1075" s="34" t="str">
        <f>IFERROR(__xludf.DUMMYFUNCTION("""COMPUTED_VALUE"""),"")</f>
        <v/>
      </c>
      <c r="Z1075" s="35" t="str">
        <f>IFERROR(__xludf.DUMMYFUNCTION("""COMPUTED_VALUE"""),"%")</f>
        <v>%</v>
      </c>
      <c r="AA1075" s="36">
        <f>IFERROR(__xludf.DUMMYFUNCTION("""COMPUTED_VALUE"""),3.0)</f>
        <v>3</v>
      </c>
      <c r="AB1075" s="37"/>
      <c r="AC1075" s="38"/>
      <c r="AD1075" s="34" t="str">
        <f>IFERROR(__xludf.DUMMYFUNCTION("""COMPUTED_VALUE"""),"")</f>
        <v/>
      </c>
      <c r="AE1075" s="35" t="str">
        <f>IFERROR(__xludf.DUMMYFUNCTION("""COMPUTED_VALUE"""),"AP")</f>
        <v>AP</v>
      </c>
      <c r="AF1075" s="34" t="str">
        <f>IFERROR(__xludf.DUMMYFUNCTION("""COMPUTED_VALUE"""),"")</f>
        <v/>
      </c>
      <c r="AG1075" s="35" t="str">
        <f>IFERROR(__xludf.DUMMYFUNCTION("""COMPUTED_VALUE"""),"%")</f>
        <v>%</v>
      </c>
      <c r="AH1075" s="31"/>
      <c r="AI1075" s="32"/>
      <c r="AJ1075" s="39"/>
    </row>
    <row r="1076" ht="24.75" hidden="1" customHeight="1">
      <c r="A1076" s="40">
        <f>IFERROR(__xludf.DUMMYFUNCTION("""COMPUTED_VALUE"""),16.0)</f>
        <v>16</v>
      </c>
      <c r="B1076" s="40" t="str">
        <f>IFERROR(__xludf.DUMMYFUNCTION("""COMPUTED_VALUE"""),"A118")</f>
        <v>A118</v>
      </c>
      <c r="C1076" s="40"/>
      <c r="D1076" s="41"/>
      <c r="E1076" s="66"/>
      <c r="F1076" s="43"/>
      <c r="G1076" s="44"/>
      <c r="H1076" s="33" t="str">
        <f>IFERROR(__xludf.DUMMYFUNCTION("""COMPUTED_VALUE""")," ")</f>
        <v> </v>
      </c>
      <c r="I1076" s="45"/>
      <c r="J1076" s="46" t="str">
        <f>IFERROR(__xludf.DUMMYFUNCTION("""COMPUTED_VALUE"""),"AP")</f>
        <v>AP</v>
      </c>
      <c r="K1076" s="47"/>
      <c r="L1076" s="48" t="str">
        <f>IFERROR(__xludf.DUMMYFUNCTION("""COMPUTED_VALUE"""),"%")</f>
        <v>%</v>
      </c>
      <c r="M1076" s="49">
        <f>IFERROR(__xludf.DUMMYFUNCTION("""COMPUTED_VALUE"""),1.0)</f>
        <v>1</v>
      </c>
      <c r="N1076" s="50"/>
      <c r="O1076" s="38"/>
      <c r="P1076" s="45" t="str">
        <f>IFERROR(__xludf.DUMMYFUNCTION("""COMPUTED_VALUE"""),"")</f>
        <v/>
      </c>
      <c r="Q1076" s="46" t="str">
        <f>IFERROR(__xludf.DUMMYFUNCTION("""COMPUTED_VALUE"""),"AP")</f>
        <v>AP</v>
      </c>
      <c r="R1076" s="47" t="str">
        <f>IFERROR(__xludf.DUMMYFUNCTION("""COMPUTED_VALUE"""),"")</f>
        <v/>
      </c>
      <c r="S1076" s="48" t="str">
        <f>IFERROR(__xludf.DUMMYFUNCTION("""COMPUTED_VALUE"""),"%")</f>
        <v>%</v>
      </c>
      <c r="T1076" s="49">
        <f>IFERROR(__xludf.DUMMYFUNCTION("""COMPUTED_VALUE"""),2.0)</f>
        <v>2</v>
      </c>
      <c r="U1076" s="50"/>
      <c r="V1076" s="38"/>
      <c r="W1076" s="45" t="str">
        <f>IFERROR(__xludf.DUMMYFUNCTION("""COMPUTED_VALUE"""),"")</f>
        <v/>
      </c>
      <c r="X1076" s="46" t="str">
        <f>IFERROR(__xludf.DUMMYFUNCTION("""COMPUTED_VALUE"""),"AP")</f>
        <v>AP</v>
      </c>
      <c r="Y1076" s="47" t="str">
        <f>IFERROR(__xludf.DUMMYFUNCTION("""COMPUTED_VALUE"""),"")</f>
        <v/>
      </c>
      <c r="Z1076" s="48" t="str">
        <f>IFERROR(__xludf.DUMMYFUNCTION("""COMPUTED_VALUE"""),"%")</f>
        <v>%</v>
      </c>
      <c r="AA1076" s="49">
        <f>IFERROR(__xludf.DUMMYFUNCTION("""COMPUTED_VALUE"""),3.0)</f>
        <v>3</v>
      </c>
      <c r="AB1076" s="50"/>
      <c r="AC1076" s="38"/>
      <c r="AD1076" s="45" t="str">
        <f>IFERROR(__xludf.DUMMYFUNCTION("""COMPUTED_VALUE"""),"")</f>
        <v/>
      </c>
      <c r="AE1076" s="46" t="str">
        <f>IFERROR(__xludf.DUMMYFUNCTION("""COMPUTED_VALUE"""),"AP")</f>
        <v>AP</v>
      </c>
      <c r="AF1076" s="47" t="str">
        <f>IFERROR(__xludf.DUMMYFUNCTION("""COMPUTED_VALUE"""),"")</f>
        <v/>
      </c>
      <c r="AG1076" s="48" t="str">
        <f>IFERROR(__xludf.DUMMYFUNCTION("""COMPUTED_VALUE"""),"%")</f>
        <v>%</v>
      </c>
      <c r="AH1076" s="43"/>
      <c r="AI1076" s="44"/>
      <c r="AJ1076" s="51"/>
    </row>
    <row r="1077" ht="24.75" hidden="1" customHeight="1">
      <c r="A1077" s="28">
        <f>IFERROR(__xludf.DUMMYFUNCTION("""COMPUTED_VALUE"""),17.0)</f>
        <v>17</v>
      </c>
      <c r="B1077" s="28" t="str">
        <f>IFERROR(__xludf.DUMMYFUNCTION("""COMPUTED_VALUE"""),"A118")</f>
        <v>A118</v>
      </c>
      <c r="C1077" s="28"/>
      <c r="D1077" s="29"/>
      <c r="E1077" s="67"/>
      <c r="F1077" s="31"/>
      <c r="G1077" s="32"/>
      <c r="H1077" s="33" t="str">
        <f>IFERROR(__xludf.DUMMYFUNCTION("""COMPUTED_VALUE""")," ")</f>
        <v> </v>
      </c>
      <c r="I1077" s="34"/>
      <c r="J1077" s="35" t="str">
        <f>IFERROR(__xludf.DUMMYFUNCTION("""COMPUTED_VALUE"""),"AP")</f>
        <v>AP</v>
      </c>
      <c r="K1077" s="34"/>
      <c r="L1077" s="35" t="str">
        <f>IFERROR(__xludf.DUMMYFUNCTION("""COMPUTED_VALUE"""),"%")</f>
        <v>%</v>
      </c>
      <c r="M1077" s="36">
        <f>IFERROR(__xludf.DUMMYFUNCTION("""COMPUTED_VALUE"""),1.0)</f>
        <v>1</v>
      </c>
      <c r="N1077" s="37"/>
      <c r="O1077" s="38"/>
      <c r="P1077" s="34" t="str">
        <f>IFERROR(__xludf.DUMMYFUNCTION("""COMPUTED_VALUE"""),"")</f>
        <v/>
      </c>
      <c r="Q1077" s="35" t="str">
        <f>IFERROR(__xludf.DUMMYFUNCTION("""COMPUTED_VALUE"""),"AP")</f>
        <v>AP</v>
      </c>
      <c r="R1077" s="34" t="str">
        <f>IFERROR(__xludf.DUMMYFUNCTION("""COMPUTED_VALUE"""),"")</f>
        <v/>
      </c>
      <c r="S1077" s="35" t="str">
        <f>IFERROR(__xludf.DUMMYFUNCTION("""COMPUTED_VALUE"""),"%")</f>
        <v>%</v>
      </c>
      <c r="T1077" s="36">
        <f>IFERROR(__xludf.DUMMYFUNCTION("""COMPUTED_VALUE"""),2.0)</f>
        <v>2</v>
      </c>
      <c r="U1077" s="37"/>
      <c r="V1077" s="38"/>
      <c r="W1077" s="34" t="str">
        <f>IFERROR(__xludf.DUMMYFUNCTION("""COMPUTED_VALUE"""),"")</f>
        <v/>
      </c>
      <c r="X1077" s="35" t="str">
        <f>IFERROR(__xludf.DUMMYFUNCTION("""COMPUTED_VALUE"""),"AP")</f>
        <v>AP</v>
      </c>
      <c r="Y1077" s="34" t="str">
        <f>IFERROR(__xludf.DUMMYFUNCTION("""COMPUTED_VALUE"""),"")</f>
        <v/>
      </c>
      <c r="Z1077" s="35" t="str">
        <f>IFERROR(__xludf.DUMMYFUNCTION("""COMPUTED_VALUE"""),"%")</f>
        <v>%</v>
      </c>
      <c r="AA1077" s="36">
        <f>IFERROR(__xludf.DUMMYFUNCTION("""COMPUTED_VALUE"""),3.0)</f>
        <v>3</v>
      </c>
      <c r="AB1077" s="37"/>
      <c r="AC1077" s="38"/>
      <c r="AD1077" s="34" t="str">
        <f>IFERROR(__xludf.DUMMYFUNCTION("""COMPUTED_VALUE"""),"")</f>
        <v/>
      </c>
      <c r="AE1077" s="35" t="str">
        <f>IFERROR(__xludf.DUMMYFUNCTION("""COMPUTED_VALUE"""),"AP")</f>
        <v>AP</v>
      </c>
      <c r="AF1077" s="34" t="str">
        <f>IFERROR(__xludf.DUMMYFUNCTION("""COMPUTED_VALUE"""),"")</f>
        <v/>
      </c>
      <c r="AG1077" s="35" t="str">
        <f>IFERROR(__xludf.DUMMYFUNCTION("""COMPUTED_VALUE"""),"%")</f>
        <v>%</v>
      </c>
      <c r="AH1077" s="31"/>
      <c r="AI1077" s="32"/>
      <c r="AJ1077" s="39"/>
    </row>
    <row r="1078" ht="24.75" hidden="1" customHeight="1">
      <c r="A1078" s="40">
        <f>IFERROR(__xludf.DUMMYFUNCTION("""COMPUTED_VALUE"""),18.0)</f>
        <v>18</v>
      </c>
      <c r="B1078" s="40" t="str">
        <f>IFERROR(__xludf.DUMMYFUNCTION("""COMPUTED_VALUE"""),"A118")</f>
        <v>A118</v>
      </c>
      <c r="C1078" s="40"/>
      <c r="D1078" s="41"/>
      <c r="E1078" s="66"/>
      <c r="F1078" s="43"/>
      <c r="G1078" s="44"/>
      <c r="H1078" s="33" t="str">
        <f>IFERROR(__xludf.DUMMYFUNCTION("""COMPUTED_VALUE""")," ")</f>
        <v> </v>
      </c>
      <c r="I1078" s="45"/>
      <c r="J1078" s="46" t="str">
        <f>IFERROR(__xludf.DUMMYFUNCTION("""COMPUTED_VALUE"""),"AP")</f>
        <v>AP</v>
      </c>
      <c r="K1078" s="47"/>
      <c r="L1078" s="48" t="str">
        <f>IFERROR(__xludf.DUMMYFUNCTION("""COMPUTED_VALUE"""),"%")</f>
        <v>%</v>
      </c>
      <c r="M1078" s="49">
        <f>IFERROR(__xludf.DUMMYFUNCTION("""COMPUTED_VALUE"""),1.0)</f>
        <v>1</v>
      </c>
      <c r="N1078" s="50"/>
      <c r="O1078" s="38"/>
      <c r="P1078" s="45" t="str">
        <f>IFERROR(__xludf.DUMMYFUNCTION("""COMPUTED_VALUE"""),"")</f>
        <v/>
      </c>
      <c r="Q1078" s="46" t="str">
        <f>IFERROR(__xludf.DUMMYFUNCTION("""COMPUTED_VALUE"""),"AP")</f>
        <v>AP</v>
      </c>
      <c r="R1078" s="47" t="str">
        <f>IFERROR(__xludf.DUMMYFUNCTION("""COMPUTED_VALUE"""),"")</f>
        <v/>
      </c>
      <c r="S1078" s="48" t="str">
        <f>IFERROR(__xludf.DUMMYFUNCTION("""COMPUTED_VALUE"""),"%")</f>
        <v>%</v>
      </c>
      <c r="T1078" s="49">
        <f>IFERROR(__xludf.DUMMYFUNCTION("""COMPUTED_VALUE"""),2.0)</f>
        <v>2</v>
      </c>
      <c r="U1078" s="50"/>
      <c r="V1078" s="38"/>
      <c r="W1078" s="45" t="str">
        <f>IFERROR(__xludf.DUMMYFUNCTION("""COMPUTED_VALUE"""),"")</f>
        <v/>
      </c>
      <c r="X1078" s="46" t="str">
        <f>IFERROR(__xludf.DUMMYFUNCTION("""COMPUTED_VALUE"""),"AP")</f>
        <v>AP</v>
      </c>
      <c r="Y1078" s="47" t="str">
        <f>IFERROR(__xludf.DUMMYFUNCTION("""COMPUTED_VALUE"""),"")</f>
        <v/>
      </c>
      <c r="Z1078" s="48" t="str">
        <f>IFERROR(__xludf.DUMMYFUNCTION("""COMPUTED_VALUE"""),"%")</f>
        <v>%</v>
      </c>
      <c r="AA1078" s="49">
        <f>IFERROR(__xludf.DUMMYFUNCTION("""COMPUTED_VALUE"""),3.0)</f>
        <v>3</v>
      </c>
      <c r="AB1078" s="50"/>
      <c r="AC1078" s="38"/>
      <c r="AD1078" s="45" t="str">
        <f>IFERROR(__xludf.DUMMYFUNCTION("""COMPUTED_VALUE"""),"")</f>
        <v/>
      </c>
      <c r="AE1078" s="46" t="str">
        <f>IFERROR(__xludf.DUMMYFUNCTION("""COMPUTED_VALUE"""),"AP")</f>
        <v>AP</v>
      </c>
      <c r="AF1078" s="47" t="str">
        <f>IFERROR(__xludf.DUMMYFUNCTION("""COMPUTED_VALUE"""),"")</f>
        <v/>
      </c>
      <c r="AG1078" s="48" t="str">
        <f>IFERROR(__xludf.DUMMYFUNCTION("""COMPUTED_VALUE"""),"%")</f>
        <v>%</v>
      </c>
      <c r="AH1078" s="43"/>
      <c r="AI1078" s="44"/>
      <c r="AJ1078" s="51"/>
    </row>
    <row r="1079" ht="24.75" hidden="1" customHeight="1">
      <c r="A1079" s="28">
        <f>IFERROR(__xludf.DUMMYFUNCTION("""COMPUTED_VALUE"""),19.0)</f>
        <v>19</v>
      </c>
      <c r="B1079" s="28" t="str">
        <f>IFERROR(__xludf.DUMMYFUNCTION("""COMPUTED_VALUE"""),"A118")</f>
        <v>A118</v>
      </c>
      <c r="C1079" s="28"/>
      <c r="D1079" s="29"/>
      <c r="E1079" s="67"/>
      <c r="F1079" s="31"/>
      <c r="G1079" s="32"/>
      <c r="H1079" s="33" t="str">
        <f>IFERROR(__xludf.DUMMYFUNCTION("""COMPUTED_VALUE""")," ")</f>
        <v> </v>
      </c>
      <c r="I1079" s="34"/>
      <c r="J1079" s="35" t="str">
        <f>IFERROR(__xludf.DUMMYFUNCTION("""COMPUTED_VALUE"""),"AP")</f>
        <v>AP</v>
      </c>
      <c r="K1079" s="34"/>
      <c r="L1079" s="35" t="str">
        <f>IFERROR(__xludf.DUMMYFUNCTION("""COMPUTED_VALUE"""),"%")</f>
        <v>%</v>
      </c>
      <c r="M1079" s="36">
        <f>IFERROR(__xludf.DUMMYFUNCTION("""COMPUTED_VALUE"""),1.0)</f>
        <v>1</v>
      </c>
      <c r="N1079" s="37"/>
      <c r="O1079" s="38"/>
      <c r="P1079" s="34" t="str">
        <f>IFERROR(__xludf.DUMMYFUNCTION("""COMPUTED_VALUE"""),"")</f>
        <v/>
      </c>
      <c r="Q1079" s="35" t="str">
        <f>IFERROR(__xludf.DUMMYFUNCTION("""COMPUTED_VALUE"""),"AP")</f>
        <v>AP</v>
      </c>
      <c r="R1079" s="34" t="str">
        <f>IFERROR(__xludf.DUMMYFUNCTION("""COMPUTED_VALUE"""),"")</f>
        <v/>
      </c>
      <c r="S1079" s="35" t="str">
        <f>IFERROR(__xludf.DUMMYFUNCTION("""COMPUTED_VALUE"""),"%")</f>
        <v>%</v>
      </c>
      <c r="T1079" s="36">
        <f>IFERROR(__xludf.DUMMYFUNCTION("""COMPUTED_VALUE"""),2.0)</f>
        <v>2</v>
      </c>
      <c r="U1079" s="37"/>
      <c r="V1079" s="38"/>
      <c r="W1079" s="34" t="str">
        <f>IFERROR(__xludf.DUMMYFUNCTION("""COMPUTED_VALUE"""),"")</f>
        <v/>
      </c>
      <c r="X1079" s="35" t="str">
        <f>IFERROR(__xludf.DUMMYFUNCTION("""COMPUTED_VALUE"""),"AP")</f>
        <v>AP</v>
      </c>
      <c r="Y1079" s="34" t="str">
        <f>IFERROR(__xludf.DUMMYFUNCTION("""COMPUTED_VALUE"""),"")</f>
        <v/>
      </c>
      <c r="Z1079" s="35" t="str">
        <f>IFERROR(__xludf.DUMMYFUNCTION("""COMPUTED_VALUE"""),"%")</f>
        <v>%</v>
      </c>
      <c r="AA1079" s="36">
        <f>IFERROR(__xludf.DUMMYFUNCTION("""COMPUTED_VALUE"""),3.0)</f>
        <v>3</v>
      </c>
      <c r="AB1079" s="37"/>
      <c r="AC1079" s="38"/>
      <c r="AD1079" s="34" t="str">
        <f>IFERROR(__xludf.DUMMYFUNCTION("""COMPUTED_VALUE"""),"")</f>
        <v/>
      </c>
      <c r="AE1079" s="35" t="str">
        <f>IFERROR(__xludf.DUMMYFUNCTION("""COMPUTED_VALUE"""),"AP")</f>
        <v>AP</v>
      </c>
      <c r="AF1079" s="34" t="str">
        <f>IFERROR(__xludf.DUMMYFUNCTION("""COMPUTED_VALUE"""),"")</f>
        <v/>
      </c>
      <c r="AG1079" s="35" t="str">
        <f>IFERROR(__xludf.DUMMYFUNCTION("""COMPUTED_VALUE"""),"%")</f>
        <v>%</v>
      </c>
      <c r="AH1079" s="31"/>
      <c r="AI1079" s="32"/>
      <c r="AJ1079" s="39"/>
    </row>
    <row r="1080" ht="24.75" hidden="1" customHeight="1">
      <c r="A1080" s="40">
        <f>IFERROR(__xludf.DUMMYFUNCTION("""COMPUTED_VALUE"""),20.0)</f>
        <v>20</v>
      </c>
      <c r="B1080" s="40" t="str">
        <f>IFERROR(__xludf.DUMMYFUNCTION("""COMPUTED_VALUE"""),"A118")</f>
        <v>A118</v>
      </c>
      <c r="C1080" s="40"/>
      <c r="D1080" s="41"/>
      <c r="E1080" s="66"/>
      <c r="F1080" s="43"/>
      <c r="G1080" s="44"/>
      <c r="H1080" s="33" t="str">
        <f>IFERROR(__xludf.DUMMYFUNCTION("""COMPUTED_VALUE""")," ")</f>
        <v> </v>
      </c>
      <c r="I1080" s="45"/>
      <c r="J1080" s="46" t="str">
        <f>IFERROR(__xludf.DUMMYFUNCTION("""COMPUTED_VALUE"""),"AP")</f>
        <v>AP</v>
      </c>
      <c r="K1080" s="47"/>
      <c r="L1080" s="48" t="str">
        <f>IFERROR(__xludf.DUMMYFUNCTION("""COMPUTED_VALUE"""),"%")</f>
        <v>%</v>
      </c>
      <c r="M1080" s="49">
        <f>IFERROR(__xludf.DUMMYFUNCTION("""COMPUTED_VALUE"""),1.0)</f>
        <v>1</v>
      </c>
      <c r="N1080" s="50"/>
      <c r="O1080" s="38"/>
      <c r="P1080" s="45" t="str">
        <f>IFERROR(__xludf.DUMMYFUNCTION("""COMPUTED_VALUE"""),"")</f>
        <v/>
      </c>
      <c r="Q1080" s="46" t="str">
        <f>IFERROR(__xludf.DUMMYFUNCTION("""COMPUTED_VALUE"""),"AP")</f>
        <v>AP</v>
      </c>
      <c r="R1080" s="47" t="str">
        <f>IFERROR(__xludf.DUMMYFUNCTION("""COMPUTED_VALUE"""),"")</f>
        <v/>
      </c>
      <c r="S1080" s="48" t="str">
        <f>IFERROR(__xludf.DUMMYFUNCTION("""COMPUTED_VALUE"""),"%")</f>
        <v>%</v>
      </c>
      <c r="T1080" s="49">
        <f>IFERROR(__xludf.DUMMYFUNCTION("""COMPUTED_VALUE"""),2.0)</f>
        <v>2</v>
      </c>
      <c r="U1080" s="50"/>
      <c r="V1080" s="38"/>
      <c r="W1080" s="45" t="str">
        <f>IFERROR(__xludf.DUMMYFUNCTION("""COMPUTED_VALUE"""),"")</f>
        <v/>
      </c>
      <c r="X1080" s="46" t="str">
        <f>IFERROR(__xludf.DUMMYFUNCTION("""COMPUTED_VALUE"""),"AP")</f>
        <v>AP</v>
      </c>
      <c r="Y1080" s="47" t="str">
        <f>IFERROR(__xludf.DUMMYFUNCTION("""COMPUTED_VALUE"""),"")</f>
        <v/>
      </c>
      <c r="Z1080" s="48" t="str">
        <f>IFERROR(__xludf.DUMMYFUNCTION("""COMPUTED_VALUE"""),"%")</f>
        <v>%</v>
      </c>
      <c r="AA1080" s="49">
        <f>IFERROR(__xludf.DUMMYFUNCTION("""COMPUTED_VALUE"""),3.0)</f>
        <v>3</v>
      </c>
      <c r="AB1080" s="50"/>
      <c r="AC1080" s="38"/>
      <c r="AD1080" s="45" t="str">
        <f>IFERROR(__xludf.DUMMYFUNCTION("""COMPUTED_VALUE"""),"")</f>
        <v/>
      </c>
      <c r="AE1080" s="46" t="str">
        <f>IFERROR(__xludf.DUMMYFUNCTION("""COMPUTED_VALUE"""),"AP")</f>
        <v>AP</v>
      </c>
      <c r="AF1080" s="47" t="str">
        <f>IFERROR(__xludf.DUMMYFUNCTION("""COMPUTED_VALUE"""),"")</f>
        <v/>
      </c>
      <c r="AG1080" s="48" t="str">
        <f>IFERROR(__xludf.DUMMYFUNCTION("""COMPUTED_VALUE"""),"%")</f>
        <v>%</v>
      </c>
      <c r="AH1080" s="43"/>
      <c r="AI1080" s="44"/>
      <c r="AJ1080" s="51"/>
    </row>
    <row r="1081">
      <c r="A1081" s="52"/>
      <c r="B1081" s="53"/>
      <c r="C1081" s="54"/>
      <c r="D1081" s="55"/>
      <c r="E1081" s="56"/>
      <c r="F1081" s="53"/>
      <c r="G1081" s="53"/>
      <c r="H1081" s="53"/>
      <c r="I1081" s="53"/>
      <c r="J1081" s="57"/>
      <c r="K1081" s="53"/>
      <c r="L1081" s="57"/>
      <c r="M1081" s="53"/>
      <c r="N1081" s="53"/>
      <c r="O1081" s="53"/>
      <c r="P1081" s="53"/>
      <c r="Q1081" s="57"/>
      <c r="R1081" s="53"/>
      <c r="S1081" s="57"/>
      <c r="T1081" s="53"/>
      <c r="U1081" s="53"/>
      <c r="V1081" s="53"/>
      <c r="W1081" s="53"/>
      <c r="X1081" s="57"/>
      <c r="Y1081" s="53"/>
      <c r="Z1081" s="57"/>
      <c r="AA1081" s="53"/>
      <c r="AB1081" s="53"/>
      <c r="AC1081" s="53"/>
      <c r="AD1081" s="53"/>
      <c r="AE1081" s="57"/>
      <c r="AF1081" s="53"/>
      <c r="AG1081" s="57"/>
      <c r="AH1081" s="53"/>
      <c r="AI1081" s="53"/>
      <c r="AJ1081" s="58"/>
    </row>
    <row r="1082" hidden="1">
      <c r="A1082" s="68"/>
      <c r="B1082" s="68"/>
      <c r="C1082" s="69"/>
      <c r="D1082" s="70"/>
      <c r="E1082" s="71"/>
      <c r="F1082" s="68"/>
      <c r="G1082" s="68"/>
      <c r="H1082" s="68"/>
      <c r="I1082" s="68"/>
      <c r="J1082" s="72"/>
      <c r="K1082" s="68"/>
      <c r="L1082" s="72"/>
      <c r="M1082" s="68"/>
      <c r="N1082" s="68"/>
      <c r="O1082" s="68"/>
      <c r="P1082" s="68"/>
      <c r="Q1082" s="72"/>
      <c r="R1082" s="68"/>
      <c r="S1082" s="72"/>
      <c r="T1082" s="68"/>
      <c r="U1082" s="68"/>
      <c r="V1082" s="68"/>
      <c r="W1082" s="68"/>
      <c r="X1082" s="72"/>
      <c r="Y1082" s="68"/>
      <c r="Z1082" s="72"/>
      <c r="AA1082" s="68"/>
      <c r="AB1082" s="68"/>
      <c r="AC1082" s="68"/>
      <c r="AD1082" s="68"/>
      <c r="AE1082" s="72"/>
      <c r="AF1082" s="68"/>
      <c r="AG1082" s="72"/>
      <c r="AH1082" s="68"/>
      <c r="AI1082" s="68"/>
      <c r="AJ1082" s="70"/>
    </row>
    <row r="1083" hidden="1">
      <c r="A1083" s="68"/>
      <c r="B1083" s="68"/>
      <c r="C1083" s="69"/>
      <c r="D1083" s="70"/>
      <c r="E1083" s="71"/>
      <c r="F1083" s="68"/>
      <c r="G1083" s="68"/>
      <c r="H1083" s="68"/>
      <c r="I1083" s="68"/>
      <c r="J1083" s="72"/>
      <c r="K1083" s="68"/>
      <c r="L1083" s="72"/>
      <c r="M1083" s="68"/>
      <c r="N1083" s="68"/>
      <c r="O1083" s="68"/>
      <c r="P1083" s="68"/>
      <c r="Q1083" s="72"/>
      <c r="R1083" s="68"/>
      <c r="S1083" s="72"/>
      <c r="T1083" s="68"/>
      <c r="U1083" s="68"/>
      <c r="V1083" s="68"/>
      <c r="W1083" s="68"/>
      <c r="X1083" s="72"/>
      <c r="Y1083" s="68"/>
      <c r="Z1083" s="72"/>
      <c r="AA1083" s="68"/>
      <c r="AB1083" s="68"/>
      <c r="AC1083" s="68"/>
      <c r="AD1083" s="68"/>
      <c r="AE1083" s="72"/>
      <c r="AF1083" s="68"/>
      <c r="AG1083" s="72"/>
      <c r="AH1083" s="68"/>
      <c r="AI1083" s="68"/>
      <c r="AJ1083" s="70"/>
    </row>
    <row r="1084" hidden="1">
      <c r="A1084" s="68"/>
      <c r="B1084" s="68"/>
      <c r="C1084" s="69"/>
      <c r="D1084" s="70"/>
      <c r="E1084" s="71"/>
      <c r="F1084" s="68"/>
      <c r="G1084" s="68"/>
      <c r="H1084" s="68"/>
      <c r="I1084" s="68"/>
      <c r="J1084" s="72"/>
      <c r="K1084" s="68"/>
      <c r="L1084" s="72"/>
      <c r="M1084" s="68"/>
      <c r="N1084" s="68"/>
      <c r="O1084" s="68"/>
      <c r="P1084" s="68"/>
      <c r="Q1084" s="72"/>
      <c r="R1084" s="68"/>
      <c r="S1084" s="72"/>
      <c r="T1084" s="68"/>
      <c r="U1084" s="68"/>
      <c r="V1084" s="68"/>
      <c r="W1084" s="68"/>
      <c r="X1084" s="72"/>
      <c r="Y1084" s="68"/>
      <c r="Z1084" s="72"/>
      <c r="AA1084" s="68"/>
      <c r="AB1084" s="68"/>
      <c r="AC1084" s="68"/>
      <c r="AD1084" s="68"/>
      <c r="AE1084" s="72"/>
      <c r="AF1084" s="68"/>
      <c r="AG1084" s="72"/>
      <c r="AH1084" s="68"/>
      <c r="AI1084" s="68"/>
      <c r="AJ1084" s="70"/>
    </row>
    <row r="1085" hidden="1">
      <c r="A1085" s="68"/>
      <c r="B1085" s="68"/>
      <c r="C1085" s="69"/>
      <c r="D1085" s="70"/>
      <c r="E1085" s="71"/>
      <c r="F1085" s="68"/>
      <c r="G1085" s="68"/>
      <c r="H1085" s="68"/>
      <c r="I1085" s="68"/>
      <c r="J1085" s="72"/>
      <c r="K1085" s="68"/>
      <c r="L1085" s="72"/>
      <c r="M1085" s="68"/>
      <c r="N1085" s="68"/>
      <c r="O1085" s="68"/>
      <c r="P1085" s="68"/>
      <c r="Q1085" s="72"/>
      <c r="R1085" s="68"/>
      <c r="S1085" s="72"/>
      <c r="T1085" s="68"/>
      <c r="U1085" s="68"/>
      <c r="V1085" s="68"/>
      <c r="W1085" s="68"/>
      <c r="X1085" s="72"/>
      <c r="Y1085" s="68"/>
      <c r="Z1085" s="72"/>
      <c r="AA1085" s="68"/>
      <c r="AB1085" s="68"/>
      <c r="AC1085" s="68"/>
      <c r="AD1085" s="68"/>
      <c r="AE1085" s="72"/>
      <c r="AF1085" s="68"/>
      <c r="AG1085" s="72"/>
      <c r="AH1085" s="68"/>
      <c r="AI1085" s="68"/>
      <c r="AJ1085" s="70"/>
    </row>
    <row r="1086" hidden="1">
      <c r="A1086" s="68"/>
      <c r="B1086" s="68"/>
      <c r="C1086" s="69"/>
      <c r="D1086" s="70"/>
      <c r="E1086" s="71"/>
      <c r="F1086" s="68"/>
      <c r="G1086" s="68"/>
      <c r="H1086" s="68"/>
      <c r="I1086" s="68"/>
      <c r="J1086" s="72"/>
      <c r="K1086" s="68"/>
      <c r="L1086" s="72"/>
      <c r="M1086" s="68"/>
      <c r="N1086" s="68"/>
      <c r="O1086" s="68"/>
      <c r="P1086" s="68"/>
      <c r="Q1086" s="72"/>
      <c r="R1086" s="68"/>
      <c r="S1086" s="72"/>
      <c r="T1086" s="68"/>
      <c r="U1086" s="68"/>
      <c r="V1086" s="68"/>
      <c r="W1086" s="68"/>
      <c r="X1086" s="72"/>
      <c r="Y1086" s="68"/>
      <c r="Z1086" s="72"/>
      <c r="AA1086" s="68"/>
      <c r="AB1086" s="68"/>
      <c r="AC1086" s="68"/>
      <c r="AD1086" s="68"/>
      <c r="AE1086" s="72"/>
      <c r="AF1086" s="68"/>
      <c r="AG1086" s="72"/>
      <c r="AH1086" s="68"/>
      <c r="AI1086" s="68"/>
      <c r="AJ1086" s="70"/>
    </row>
    <row r="1087" hidden="1">
      <c r="A1087" s="68"/>
      <c r="B1087" s="68"/>
      <c r="C1087" s="69"/>
      <c r="D1087" s="70"/>
      <c r="E1087" s="71"/>
      <c r="F1087" s="68"/>
      <c r="G1087" s="68"/>
      <c r="H1087" s="68"/>
      <c r="I1087" s="68"/>
      <c r="J1087" s="72"/>
      <c r="K1087" s="68"/>
      <c r="L1087" s="72"/>
      <c r="M1087" s="68"/>
      <c r="N1087" s="68"/>
      <c r="O1087" s="68"/>
      <c r="P1087" s="68"/>
      <c r="Q1087" s="72"/>
      <c r="R1087" s="68"/>
      <c r="S1087" s="72"/>
      <c r="T1087" s="68"/>
      <c r="U1087" s="68"/>
      <c r="V1087" s="68"/>
      <c r="W1087" s="68"/>
      <c r="X1087" s="72"/>
      <c r="Y1087" s="68"/>
      <c r="Z1087" s="72"/>
      <c r="AA1087" s="68"/>
      <c r="AB1087" s="68"/>
      <c r="AC1087" s="68"/>
      <c r="AD1087" s="68"/>
      <c r="AE1087" s="72"/>
      <c r="AF1087" s="68"/>
      <c r="AG1087" s="72"/>
      <c r="AH1087" s="68"/>
      <c r="AI1087" s="68"/>
      <c r="AJ1087" s="70"/>
    </row>
    <row r="1088" hidden="1">
      <c r="A1088" s="68"/>
      <c r="B1088" s="68"/>
      <c r="C1088" s="69"/>
      <c r="D1088" s="70"/>
      <c r="E1088" s="71"/>
      <c r="F1088" s="68"/>
      <c r="G1088" s="68"/>
      <c r="H1088" s="68"/>
      <c r="I1088" s="68"/>
      <c r="J1088" s="72"/>
      <c r="K1088" s="68"/>
      <c r="L1088" s="72"/>
      <c r="M1088" s="68"/>
      <c r="N1088" s="68"/>
      <c r="O1088" s="68"/>
      <c r="P1088" s="68"/>
      <c r="Q1088" s="72"/>
      <c r="R1088" s="68"/>
      <c r="S1088" s="72"/>
      <c r="T1088" s="68"/>
      <c r="U1088" s="68"/>
      <c r="V1088" s="68"/>
      <c r="W1088" s="68"/>
      <c r="X1088" s="72"/>
      <c r="Y1088" s="68"/>
      <c r="Z1088" s="72"/>
      <c r="AA1088" s="68"/>
      <c r="AB1088" s="68"/>
      <c r="AC1088" s="68"/>
      <c r="AD1088" s="68"/>
      <c r="AE1088" s="72"/>
      <c r="AF1088" s="68"/>
      <c r="AG1088" s="72"/>
      <c r="AH1088" s="68"/>
      <c r="AI1088" s="68"/>
      <c r="AJ1088" s="70"/>
    </row>
    <row r="1089" hidden="1">
      <c r="A1089" s="68"/>
      <c r="B1089" s="68"/>
      <c r="C1089" s="69"/>
      <c r="D1089" s="70"/>
      <c r="E1089" s="71"/>
      <c r="F1089" s="68"/>
      <c r="G1089" s="68"/>
      <c r="H1089" s="68"/>
      <c r="I1089" s="68"/>
      <c r="J1089" s="72"/>
      <c r="K1089" s="68"/>
      <c r="L1089" s="72"/>
      <c r="M1089" s="68"/>
      <c r="N1089" s="68"/>
      <c r="O1089" s="68"/>
      <c r="P1089" s="68"/>
      <c r="Q1089" s="72"/>
      <c r="R1089" s="68"/>
      <c r="S1089" s="72"/>
      <c r="T1089" s="68"/>
      <c r="U1089" s="68"/>
      <c r="V1089" s="68"/>
      <c r="W1089" s="68"/>
      <c r="X1089" s="72"/>
      <c r="Y1089" s="68"/>
      <c r="Z1089" s="72"/>
      <c r="AA1089" s="68"/>
      <c r="AB1089" s="68"/>
      <c r="AC1089" s="68"/>
      <c r="AD1089" s="68"/>
      <c r="AE1089" s="72"/>
      <c r="AF1089" s="68"/>
      <c r="AG1089" s="72"/>
      <c r="AH1089" s="68"/>
      <c r="AI1089" s="68"/>
      <c r="AJ1089" s="70"/>
    </row>
    <row r="1090" hidden="1">
      <c r="A1090" s="68"/>
      <c r="B1090" s="68"/>
      <c r="C1090" s="69"/>
      <c r="D1090" s="70"/>
      <c r="E1090" s="71"/>
      <c r="F1090" s="68"/>
      <c r="G1090" s="68"/>
      <c r="H1090" s="68"/>
      <c r="I1090" s="68"/>
      <c r="J1090" s="72"/>
      <c r="K1090" s="68"/>
      <c r="L1090" s="72"/>
      <c r="M1090" s="68"/>
      <c r="N1090" s="68"/>
      <c r="O1090" s="68"/>
      <c r="P1090" s="68"/>
      <c r="Q1090" s="72"/>
      <c r="R1090" s="68"/>
      <c r="S1090" s="72"/>
      <c r="T1090" s="68"/>
      <c r="U1090" s="68"/>
      <c r="V1090" s="68"/>
      <c r="W1090" s="68"/>
      <c r="X1090" s="72"/>
      <c r="Y1090" s="68"/>
      <c r="Z1090" s="72"/>
      <c r="AA1090" s="68"/>
      <c r="AB1090" s="68"/>
      <c r="AC1090" s="68"/>
      <c r="AD1090" s="68"/>
      <c r="AE1090" s="72"/>
      <c r="AF1090" s="68"/>
      <c r="AG1090" s="72"/>
      <c r="AH1090" s="68"/>
      <c r="AI1090" s="68"/>
      <c r="AJ1090" s="70"/>
    </row>
    <row r="1091" hidden="1">
      <c r="A1091" s="68"/>
      <c r="B1091" s="68"/>
      <c r="C1091" s="69"/>
      <c r="D1091" s="70"/>
      <c r="E1091" s="71"/>
      <c r="F1091" s="68"/>
      <c r="G1091" s="68"/>
      <c r="H1091" s="68"/>
      <c r="I1091" s="68"/>
      <c r="J1091" s="72"/>
      <c r="K1091" s="68"/>
      <c r="L1091" s="72"/>
      <c r="M1091" s="68"/>
      <c r="N1091" s="68"/>
      <c r="O1091" s="68"/>
      <c r="P1091" s="68"/>
      <c r="Q1091" s="72"/>
      <c r="R1091" s="68"/>
      <c r="S1091" s="72"/>
      <c r="T1091" s="68"/>
      <c r="U1091" s="68"/>
      <c r="V1091" s="68"/>
      <c r="W1091" s="68"/>
      <c r="X1091" s="72"/>
      <c r="Y1091" s="68"/>
      <c r="Z1091" s="72"/>
      <c r="AA1091" s="68"/>
      <c r="AB1091" s="68"/>
      <c r="AC1091" s="68"/>
      <c r="AD1091" s="68"/>
      <c r="AE1091" s="72"/>
      <c r="AF1091" s="68"/>
      <c r="AG1091" s="72"/>
      <c r="AH1091" s="68"/>
      <c r="AI1091" s="68"/>
      <c r="AJ1091" s="70"/>
    </row>
    <row r="1092" hidden="1">
      <c r="A1092" s="68"/>
      <c r="B1092" s="68"/>
      <c r="C1092" s="69"/>
      <c r="D1092" s="70"/>
      <c r="E1092" s="71"/>
      <c r="F1092" s="68"/>
      <c r="G1092" s="68"/>
      <c r="H1092" s="68"/>
      <c r="I1092" s="68"/>
      <c r="J1092" s="72"/>
      <c r="K1092" s="68"/>
      <c r="L1092" s="72"/>
      <c r="M1092" s="68"/>
      <c r="N1092" s="68"/>
      <c r="O1092" s="68"/>
      <c r="P1092" s="68"/>
      <c r="Q1092" s="72"/>
      <c r="R1092" s="68"/>
      <c r="S1092" s="72"/>
      <c r="T1092" s="68"/>
      <c r="U1092" s="68"/>
      <c r="V1092" s="68"/>
      <c r="W1092" s="68"/>
      <c r="X1092" s="72"/>
      <c r="Y1092" s="68"/>
      <c r="Z1092" s="72"/>
      <c r="AA1092" s="68"/>
      <c r="AB1092" s="68"/>
      <c r="AC1092" s="68"/>
      <c r="AD1092" s="68"/>
      <c r="AE1092" s="72"/>
      <c r="AF1092" s="68"/>
      <c r="AG1092" s="72"/>
      <c r="AH1092" s="68"/>
      <c r="AI1092" s="68"/>
      <c r="AJ1092" s="70"/>
    </row>
    <row r="1093" hidden="1">
      <c r="A1093" s="68"/>
      <c r="B1093" s="68"/>
      <c r="C1093" s="69"/>
      <c r="D1093" s="70"/>
      <c r="E1093" s="71"/>
      <c r="F1093" s="68"/>
      <c r="G1093" s="68"/>
      <c r="H1093" s="68"/>
      <c r="I1093" s="68"/>
      <c r="J1093" s="72"/>
      <c r="K1093" s="68"/>
      <c r="L1093" s="72"/>
      <c r="M1093" s="68"/>
      <c r="N1093" s="68"/>
      <c r="O1093" s="68"/>
      <c r="P1093" s="68"/>
      <c r="Q1093" s="72"/>
      <c r="R1093" s="68"/>
      <c r="S1093" s="72"/>
      <c r="T1093" s="68"/>
      <c r="U1093" s="68"/>
      <c r="V1093" s="68"/>
      <c r="W1093" s="68"/>
      <c r="X1093" s="72"/>
      <c r="Y1093" s="68"/>
      <c r="Z1093" s="72"/>
      <c r="AA1093" s="68"/>
      <c r="AB1093" s="68"/>
      <c r="AC1093" s="68"/>
      <c r="AD1093" s="68"/>
      <c r="AE1093" s="72"/>
      <c r="AF1093" s="68"/>
      <c r="AG1093" s="72"/>
      <c r="AH1093" s="68"/>
      <c r="AI1093" s="68"/>
      <c r="AJ1093" s="70"/>
    </row>
    <row r="1094" hidden="1">
      <c r="A1094" s="68"/>
      <c r="B1094" s="68"/>
      <c r="C1094" s="69"/>
      <c r="D1094" s="70"/>
      <c r="E1094" s="71"/>
      <c r="F1094" s="68"/>
      <c r="G1094" s="68"/>
      <c r="H1094" s="68"/>
      <c r="I1094" s="68"/>
      <c r="J1094" s="72"/>
      <c r="K1094" s="68"/>
      <c r="L1094" s="72"/>
      <c r="M1094" s="68"/>
      <c r="N1094" s="68"/>
      <c r="O1094" s="68"/>
      <c r="P1094" s="68"/>
      <c r="Q1094" s="72"/>
      <c r="R1094" s="68"/>
      <c r="S1094" s="72"/>
      <c r="T1094" s="68"/>
      <c r="U1094" s="68"/>
      <c r="V1094" s="68"/>
      <c r="W1094" s="68"/>
      <c r="X1094" s="72"/>
      <c r="Y1094" s="68"/>
      <c r="Z1094" s="72"/>
      <c r="AA1094" s="68"/>
      <c r="AB1094" s="68"/>
      <c r="AC1094" s="68"/>
      <c r="AD1094" s="68"/>
      <c r="AE1094" s="72"/>
      <c r="AF1094" s="68"/>
      <c r="AG1094" s="72"/>
      <c r="AH1094" s="68"/>
      <c r="AI1094" s="68"/>
      <c r="AJ1094" s="70"/>
    </row>
    <row r="1095" hidden="1">
      <c r="A1095" s="68"/>
      <c r="B1095" s="68"/>
      <c r="C1095" s="69"/>
      <c r="D1095" s="70"/>
      <c r="E1095" s="71"/>
      <c r="F1095" s="68"/>
      <c r="G1095" s="68"/>
      <c r="H1095" s="68"/>
      <c r="I1095" s="68"/>
      <c r="J1095" s="72"/>
      <c r="K1095" s="68"/>
      <c r="L1095" s="72"/>
      <c r="M1095" s="68"/>
      <c r="N1095" s="68"/>
      <c r="O1095" s="68"/>
      <c r="P1095" s="68"/>
      <c r="Q1095" s="72"/>
      <c r="R1095" s="68"/>
      <c r="S1095" s="72"/>
      <c r="T1095" s="68"/>
      <c r="U1095" s="68"/>
      <c r="V1095" s="68"/>
      <c r="W1095" s="68"/>
      <c r="X1095" s="72"/>
      <c r="Y1095" s="68"/>
      <c r="Z1095" s="72"/>
      <c r="AA1095" s="68"/>
      <c r="AB1095" s="68"/>
      <c r="AC1095" s="68"/>
      <c r="AD1095" s="68"/>
      <c r="AE1095" s="72"/>
      <c r="AF1095" s="68"/>
      <c r="AG1095" s="72"/>
      <c r="AH1095" s="68"/>
      <c r="AI1095" s="68"/>
      <c r="AJ1095" s="70"/>
    </row>
    <row r="1096" hidden="1">
      <c r="A1096" s="68"/>
      <c r="B1096" s="68"/>
      <c r="C1096" s="69"/>
      <c r="D1096" s="70"/>
      <c r="E1096" s="71"/>
      <c r="F1096" s="68"/>
      <c r="G1096" s="68"/>
      <c r="H1096" s="68"/>
      <c r="I1096" s="68"/>
      <c r="J1096" s="72"/>
      <c r="K1096" s="68"/>
      <c r="L1096" s="72"/>
      <c r="M1096" s="68"/>
      <c r="N1096" s="68"/>
      <c r="O1096" s="68"/>
      <c r="P1096" s="68"/>
      <c r="Q1096" s="72"/>
      <c r="R1096" s="68"/>
      <c r="S1096" s="72"/>
      <c r="T1096" s="68"/>
      <c r="U1096" s="68"/>
      <c r="V1096" s="68"/>
      <c r="W1096" s="68"/>
      <c r="X1096" s="72"/>
      <c r="Y1096" s="68"/>
      <c r="Z1096" s="72"/>
      <c r="AA1096" s="68"/>
      <c r="AB1096" s="68"/>
      <c r="AC1096" s="68"/>
      <c r="AD1096" s="68"/>
      <c r="AE1096" s="72"/>
      <c r="AF1096" s="68"/>
      <c r="AG1096" s="72"/>
      <c r="AH1096" s="68"/>
      <c r="AI1096" s="68"/>
      <c r="AJ1096" s="70"/>
    </row>
    <row r="1097" hidden="1">
      <c r="A1097" s="68"/>
      <c r="B1097" s="68"/>
      <c r="C1097" s="69"/>
      <c r="D1097" s="70"/>
      <c r="E1097" s="71"/>
      <c r="F1097" s="68"/>
      <c r="G1097" s="68"/>
      <c r="H1097" s="68"/>
      <c r="I1097" s="68"/>
      <c r="J1097" s="72"/>
      <c r="K1097" s="68"/>
      <c r="L1097" s="72"/>
      <c r="M1097" s="68"/>
      <c r="N1097" s="68"/>
      <c r="O1097" s="68"/>
      <c r="P1097" s="68"/>
      <c r="Q1097" s="72"/>
      <c r="R1097" s="68"/>
      <c r="S1097" s="72"/>
      <c r="T1097" s="68"/>
      <c r="U1097" s="68"/>
      <c r="V1097" s="68"/>
      <c r="W1097" s="68"/>
      <c r="X1097" s="72"/>
      <c r="Y1097" s="68"/>
      <c r="Z1097" s="72"/>
      <c r="AA1097" s="68"/>
      <c r="AB1097" s="68"/>
      <c r="AC1097" s="68"/>
      <c r="AD1097" s="68"/>
      <c r="AE1097" s="72"/>
      <c r="AF1097" s="68"/>
      <c r="AG1097" s="72"/>
      <c r="AH1097" s="68"/>
      <c r="AI1097" s="68"/>
      <c r="AJ1097" s="70"/>
    </row>
    <row r="1098" hidden="1">
      <c r="A1098" s="68"/>
      <c r="B1098" s="68"/>
      <c r="C1098" s="69"/>
      <c r="D1098" s="70"/>
      <c r="E1098" s="71"/>
      <c r="F1098" s="68"/>
      <c r="G1098" s="68"/>
      <c r="H1098" s="68"/>
      <c r="I1098" s="68"/>
      <c r="J1098" s="72"/>
      <c r="K1098" s="68"/>
      <c r="L1098" s="72"/>
      <c r="M1098" s="68"/>
      <c r="N1098" s="68"/>
      <c r="O1098" s="68"/>
      <c r="P1098" s="68"/>
      <c r="Q1098" s="72"/>
      <c r="R1098" s="68"/>
      <c r="S1098" s="72"/>
      <c r="T1098" s="68"/>
      <c r="U1098" s="68"/>
      <c r="V1098" s="68"/>
      <c r="W1098" s="68"/>
      <c r="X1098" s="72"/>
      <c r="Y1098" s="68"/>
      <c r="Z1098" s="72"/>
      <c r="AA1098" s="68"/>
      <c r="AB1098" s="68"/>
      <c r="AC1098" s="68"/>
      <c r="AD1098" s="68"/>
      <c r="AE1098" s="72"/>
      <c r="AF1098" s="68"/>
      <c r="AG1098" s="72"/>
      <c r="AH1098" s="68"/>
      <c r="AI1098" s="68"/>
      <c r="AJ1098" s="70"/>
    </row>
    <row r="1099" hidden="1">
      <c r="A1099" s="68"/>
      <c r="B1099" s="68"/>
      <c r="C1099" s="69"/>
      <c r="D1099" s="70"/>
      <c r="E1099" s="71"/>
      <c r="F1099" s="68"/>
      <c r="G1099" s="68"/>
      <c r="H1099" s="68"/>
      <c r="I1099" s="68"/>
      <c r="J1099" s="72"/>
      <c r="K1099" s="68"/>
      <c r="L1099" s="72"/>
      <c r="M1099" s="68"/>
      <c r="N1099" s="68"/>
      <c r="O1099" s="68"/>
      <c r="P1099" s="68"/>
      <c r="Q1099" s="72"/>
      <c r="R1099" s="68"/>
      <c r="S1099" s="72"/>
      <c r="T1099" s="68"/>
      <c r="U1099" s="68"/>
      <c r="V1099" s="68"/>
      <c r="W1099" s="68"/>
      <c r="X1099" s="72"/>
      <c r="Y1099" s="68"/>
      <c r="Z1099" s="72"/>
      <c r="AA1099" s="68"/>
      <c r="AB1099" s="68"/>
      <c r="AC1099" s="68"/>
      <c r="AD1099" s="68"/>
      <c r="AE1099" s="72"/>
      <c r="AF1099" s="68"/>
      <c r="AG1099" s="72"/>
      <c r="AH1099" s="68"/>
      <c r="AI1099" s="68"/>
      <c r="AJ1099" s="70"/>
    </row>
    <row r="1100" hidden="1">
      <c r="A1100" s="68"/>
      <c r="B1100" s="68"/>
      <c r="C1100" s="69"/>
      <c r="D1100" s="70"/>
      <c r="E1100" s="71"/>
      <c r="F1100" s="68"/>
      <c r="G1100" s="68"/>
      <c r="H1100" s="68"/>
      <c r="I1100" s="68"/>
      <c r="J1100" s="72"/>
      <c r="K1100" s="68"/>
      <c r="L1100" s="72"/>
      <c r="M1100" s="68"/>
      <c r="N1100" s="68"/>
      <c r="O1100" s="68"/>
      <c r="P1100" s="68"/>
      <c r="Q1100" s="72"/>
      <c r="R1100" s="68"/>
      <c r="S1100" s="72"/>
      <c r="T1100" s="68"/>
      <c r="U1100" s="68"/>
      <c r="V1100" s="68"/>
      <c r="W1100" s="68"/>
      <c r="X1100" s="72"/>
      <c r="Y1100" s="68"/>
      <c r="Z1100" s="72"/>
      <c r="AA1100" s="68"/>
      <c r="AB1100" s="68"/>
      <c r="AC1100" s="68"/>
      <c r="AD1100" s="68"/>
      <c r="AE1100" s="72"/>
      <c r="AF1100" s="68"/>
      <c r="AG1100" s="72"/>
      <c r="AH1100" s="68"/>
      <c r="AI1100" s="68"/>
      <c r="AJ1100" s="70"/>
    </row>
    <row r="1101" hidden="1">
      <c r="A1101" s="68"/>
      <c r="B1101" s="68"/>
      <c r="C1101" s="69"/>
      <c r="D1101" s="70"/>
      <c r="E1101" s="71"/>
      <c r="F1101" s="68"/>
      <c r="G1101" s="68"/>
      <c r="H1101" s="68"/>
      <c r="I1101" s="68"/>
      <c r="J1101" s="72"/>
      <c r="K1101" s="68"/>
      <c r="L1101" s="72"/>
      <c r="M1101" s="68"/>
      <c r="N1101" s="68"/>
      <c r="O1101" s="68"/>
      <c r="P1101" s="68"/>
      <c r="Q1101" s="72"/>
      <c r="R1101" s="68"/>
      <c r="S1101" s="72"/>
      <c r="T1101" s="68"/>
      <c r="U1101" s="68"/>
      <c r="V1101" s="68"/>
      <c r="W1101" s="68"/>
      <c r="X1101" s="72"/>
      <c r="Y1101" s="68"/>
      <c r="Z1101" s="72"/>
      <c r="AA1101" s="68"/>
      <c r="AB1101" s="68"/>
      <c r="AC1101" s="68"/>
      <c r="AD1101" s="68"/>
      <c r="AE1101" s="72"/>
      <c r="AF1101" s="68"/>
      <c r="AG1101" s="72"/>
      <c r="AH1101" s="68"/>
      <c r="AI1101" s="68"/>
      <c r="AJ1101" s="70"/>
    </row>
    <row r="1102" hidden="1">
      <c r="A1102" s="68"/>
      <c r="B1102" s="68"/>
      <c r="C1102" s="69"/>
      <c r="D1102" s="70"/>
      <c r="E1102" s="71"/>
      <c r="F1102" s="68"/>
      <c r="G1102" s="68"/>
      <c r="H1102" s="68"/>
      <c r="I1102" s="68"/>
      <c r="J1102" s="72"/>
      <c r="K1102" s="68"/>
      <c r="L1102" s="72"/>
      <c r="M1102" s="68"/>
      <c r="N1102" s="68"/>
      <c r="O1102" s="68"/>
      <c r="P1102" s="68"/>
      <c r="Q1102" s="72"/>
      <c r="R1102" s="68"/>
      <c r="S1102" s="72"/>
      <c r="T1102" s="68"/>
      <c r="U1102" s="68"/>
      <c r="V1102" s="68"/>
      <c r="W1102" s="68"/>
      <c r="X1102" s="72"/>
      <c r="Y1102" s="68"/>
      <c r="Z1102" s="72"/>
      <c r="AA1102" s="68"/>
      <c r="AB1102" s="68"/>
      <c r="AC1102" s="68"/>
      <c r="AD1102" s="68"/>
      <c r="AE1102" s="72"/>
      <c r="AF1102" s="68"/>
      <c r="AG1102" s="72"/>
      <c r="AH1102" s="68"/>
      <c r="AI1102" s="68"/>
      <c r="AJ1102" s="70"/>
    </row>
    <row r="1103" hidden="1">
      <c r="A1103" s="68"/>
      <c r="B1103" s="68"/>
      <c r="C1103" s="69"/>
      <c r="D1103" s="70"/>
      <c r="E1103" s="71"/>
      <c r="F1103" s="68"/>
      <c r="G1103" s="68"/>
      <c r="H1103" s="68"/>
      <c r="I1103" s="68"/>
      <c r="J1103" s="72"/>
      <c r="K1103" s="68"/>
      <c r="L1103" s="72"/>
      <c r="M1103" s="68"/>
      <c r="N1103" s="68"/>
      <c r="O1103" s="68"/>
      <c r="P1103" s="68"/>
      <c r="Q1103" s="72"/>
      <c r="R1103" s="68"/>
      <c r="S1103" s="72"/>
      <c r="T1103" s="68"/>
      <c r="U1103" s="68"/>
      <c r="V1103" s="68"/>
      <c r="W1103" s="68"/>
      <c r="X1103" s="72"/>
      <c r="Y1103" s="68"/>
      <c r="Z1103" s="72"/>
      <c r="AA1103" s="68"/>
      <c r="AB1103" s="68"/>
      <c r="AC1103" s="68"/>
      <c r="AD1103" s="68"/>
      <c r="AE1103" s="72"/>
      <c r="AF1103" s="68"/>
      <c r="AG1103" s="72"/>
      <c r="AH1103" s="68"/>
      <c r="AI1103" s="68"/>
      <c r="AJ1103" s="70"/>
    </row>
    <row r="1104" hidden="1">
      <c r="A1104" s="68"/>
      <c r="B1104" s="68"/>
      <c r="C1104" s="69"/>
      <c r="D1104" s="70"/>
      <c r="E1104" s="71"/>
      <c r="F1104" s="68"/>
      <c r="G1104" s="68"/>
      <c r="H1104" s="68"/>
      <c r="I1104" s="68"/>
      <c r="J1104" s="72"/>
      <c r="K1104" s="68"/>
      <c r="L1104" s="72"/>
      <c r="M1104" s="68"/>
      <c r="N1104" s="68"/>
      <c r="O1104" s="68"/>
      <c r="P1104" s="68"/>
      <c r="Q1104" s="72"/>
      <c r="R1104" s="68"/>
      <c r="S1104" s="72"/>
      <c r="T1104" s="68"/>
      <c r="U1104" s="68"/>
      <c r="V1104" s="68"/>
      <c r="W1104" s="68"/>
      <c r="X1104" s="72"/>
      <c r="Y1104" s="68"/>
      <c r="Z1104" s="72"/>
      <c r="AA1104" s="68"/>
      <c r="AB1104" s="68"/>
      <c r="AC1104" s="68"/>
      <c r="AD1104" s="68"/>
      <c r="AE1104" s="72"/>
      <c r="AF1104" s="68"/>
      <c r="AG1104" s="72"/>
      <c r="AH1104" s="68"/>
      <c r="AI1104" s="68"/>
      <c r="AJ1104" s="70"/>
    </row>
    <row r="1105" hidden="1">
      <c r="A1105" s="68"/>
      <c r="B1105" s="68"/>
      <c r="C1105" s="69"/>
      <c r="D1105" s="70"/>
      <c r="E1105" s="71"/>
      <c r="F1105" s="68"/>
      <c r="G1105" s="68"/>
      <c r="H1105" s="68"/>
      <c r="I1105" s="68"/>
      <c r="J1105" s="72"/>
      <c r="K1105" s="68"/>
      <c r="L1105" s="72"/>
      <c r="M1105" s="68"/>
      <c r="N1105" s="68"/>
      <c r="O1105" s="68"/>
      <c r="P1105" s="68"/>
      <c r="Q1105" s="72"/>
      <c r="R1105" s="68"/>
      <c r="S1105" s="72"/>
      <c r="T1105" s="68"/>
      <c r="U1105" s="68"/>
      <c r="V1105" s="68"/>
      <c r="W1105" s="68"/>
      <c r="X1105" s="72"/>
      <c r="Y1105" s="68"/>
      <c r="Z1105" s="72"/>
      <c r="AA1105" s="68"/>
      <c r="AB1105" s="68"/>
      <c r="AC1105" s="68"/>
      <c r="AD1105" s="68"/>
      <c r="AE1105" s="72"/>
      <c r="AF1105" s="68"/>
      <c r="AG1105" s="72"/>
      <c r="AH1105" s="68"/>
      <c r="AI1105" s="68"/>
      <c r="AJ1105" s="70"/>
    </row>
    <row r="1106" hidden="1">
      <c r="A1106" s="68"/>
      <c r="B1106" s="68"/>
      <c r="C1106" s="69"/>
      <c r="D1106" s="70"/>
      <c r="E1106" s="71"/>
      <c r="F1106" s="68"/>
      <c r="G1106" s="68"/>
      <c r="H1106" s="68"/>
      <c r="I1106" s="68"/>
      <c r="J1106" s="72"/>
      <c r="K1106" s="68"/>
      <c r="L1106" s="72"/>
      <c r="M1106" s="68"/>
      <c r="N1106" s="68"/>
      <c r="O1106" s="68"/>
      <c r="P1106" s="68"/>
      <c r="Q1106" s="72"/>
      <c r="R1106" s="68"/>
      <c r="S1106" s="72"/>
      <c r="T1106" s="68"/>
      <c r="U1106" s="68"/>
      <c r="V1106" s="68"/>
      <c r="W1106" s="68"/>
      <c r="X1106" s="72"/>
      <c r="Y1106" s="68"/>
      <c r="Z1106" s="72"/>
      <c r="AA1106" s="68"/>
      <c r="AB1106" s="68"/>
      <c r="AC1106" s="68"/>
      <c r="AD1106" s="68"/>
      <c r="AE1106" s="72"/>
      <c r="AF1106" s="68"/>
      <c r="AG1106" s="72"/>
      <c r="AH1106" s="68"/>
      <c r="AI1106" s="68"/>
      <c r="AJ1106" s="70"/>
    </row>
    <row r="1107" hidden="1">
      <c r="A1107" s="68"/>
      <c r="B1107" s="68"/>
      <c r="C1107" s="69"/>
      <c r="D1107" s="70"/>
      <c r="E1107" s="71"/>
      <c r="F1107" s="68"/>
      <c r="G1107" s="68"/>
      <c r="H1107" s="68"/>
      <c r="I1107" s="68"/>
      <c r="J1107" s="72"/>
      <c r="K1107" s="68"/>
      <c r="L1107" s="72"/>
      <c r="M1107" s="68"/>
      <c r="N1107" s="68"/>
      <c r="O1107" s="68"/>
      <c r="P1107" s="68"/>
      <c r="Q1107" s="72"/>
      <c r="R1107" s="68"/>
      <c r="S1107" s="72"/>
      <c r="T1107" s="68"/>
      <c r="U1107" s="68"/>
      <c r="V1107" s="68"/>
      <c r="W1107" s="68"/>
      <c r="X1107" s="72"/>
      <c r="Y1107" s="68"/>
      <c r="Z1107" s="72"/>
      <c r="AA1107" s="68"/>
      <c r="AB1107" s="68"/>
      <c r="AC1107" s="68"/>
      <c r="AD1107" s="68"/>
      <c r="AE1107" s="72"/>
      <c r="AF1107" s="68"/>
      <c r="AG1107" s="72"/>
      <c r="AH1107" s="68"/>
      <c r="AI1107" s="68"/>
      <c r="AJ1107" s="70"/>
    </row>
    <row r="1108" hidden="1">
      <c r="A1108" s="68"/>
      <c r="B1108" s="68"/>
      <c r="C1108" s="69"/>
      <c r="D1108" s="70"/>
      <c r="E1108" s="71"/>
      <c r="F1108" s="68"/>
      <c r="G1108" s="68"/>
      <c r="H1108" s="68"/>
      <c r="I1108" s="68"/>
      <c r="J1108" s="72"/>
      <c r="K1108" s="68"/>
      <c r="L1108" s="72"/>
      <c r="M1108" s="68"/>
      <c r="N1108" s="68"/>
      <c r="O1108" s="68"/>
      <c r="P1108" s="68"/>
      <c r="Q1108" s="72"/>
      <c r="R1108" s="68"/>
      <c r="S1108" s="72"/>
      <c r="T1108" s="68"/>
      <c r="U1108" s="68"/>
      <c r="V1108" s="68"/>
      <c r="W1108" s="68"/>
      <c r="X1108" s="72"/>
      <c r="Y1108" s="68"/>
      <c r="Z1108" s="72"/>
      <c r="AA1108" s="68"/>
      <c r="AB1108" s="68"/>
      <c r="AC1108" s="68"/>
      <c r="AD1108" s="68"/>
      <c r="AE1108" s="72"/>
      <c r="AF1108" s="68"/>
      <c r="AG1108" s="72"/>
      <c r="AH1108" s="68"/>
      <c r="AI1108" s="68"/>
      <c r="AJ1108" s="70"/>
    </row>
    <row r="1109" hidden="1">
      <c r="A1109" s="68"/>
      <c r="B1109" s="68"/>
      <c r="C1109" s="69"/>
      <c r="D1109" s="70"/>
      <c r="E1109" s="71"/>
      <c r="F1109" s="68"/>
      <c r="G1109" s="68"/>
      <c r="H1109" s="68"/>
      <c r="I1109" s="68"/>
      <c r="J1109" s="72"/>
      <c r="K1109" s="68"/>
      <c r="L1109" s="72"/>
      <c r="M1109" s="68"/>
      <c r="N1109" s="68"/>
      <c r="O1109" s="68"/>
      <c r="P1109" s="68"/>
      <c r="Q1109" s="72"/>
      <c r="R1109" s="68"/>
      <c r="S1109" s="72"/>
      <c r="T1109" s="68"/>
      <c r="U1109" s="68"/>
      <c r="V1109" s="68"/>
      <c r="W1109" s="68"/>
      <c r="X1109" s="72"/>
      <c r="Y1109" s="68"/>
      <c r="Z1109" s="72"/>
      <c r="AA1109" s="68"/>
      <c r="AB1109" s="68"/>
      <c r="AC1109" s="68"/>
      <c r="AD1109" s="68"/>
      <c r="AE1109" s="72"/>
      <c r="AF1109" s="68"/>
      <c r="AG1109" s="72"/>
      <c r="AH1109" s="68"/>
      <c r="AI1109" s="68"/>
      <c r="AJ1109" s="70"/>
    </row>
    <row r="1110" hidden="1">
      <c r="A1110" s="68"/>
      <c r="B1110" s="68"/>
      <c r="C1110" s="69"/>
      <c r="D1110" s="70"/>
      <c r="E1110" s="71"/>
      <c r="F1110" s="68"/>
      <c r="G1110" s="68"/>
      <c r="H1110" s="68"/>
      <c r="I1110" s="68"/>
      <c r="J1110" s="72"/>
      <c r="K1110" s="68"/>
      <c r="L1110" s="72"/>
      <c r="M1110" s="68"/>
      <c r="N1110" s="68"/>
      <c r="O1110" s="68"/>
      <c r="P1110" s="68"/>
      <c r="Q1110" s="72"/>
      <c r="R1110" s="68"/>
      <c r="S1110" s="72"/>
      <c r="T1110" s="68"/>
      <c r="U1110" s="68"/>
      <c r="V1110" s="68"/>
      <c r="W1110" s="68"/>
      <c r="X1110" s="72"/>
      <c r="Y1110" s="68"/>
      <c r="Z1110" s="72"/>
      <c r="AA1110" s="68"/>
      <c r="AB1110" s="68"/>
      <c r="AC1110" s="68"/>
      <c r="AD1110" s="68"/>
      <c r="AE1110" s="72"/>
      <c r="AF1110" s="68"/>
      <c r="AG1110" s="72"/>
      <c r="AH1110" s="68"/>
      <c r="AI1110" s="68"/>
      <c r="AJ1110" s="70"/>
    </row>
    <row r="1111" hidden="1">
      <c r="A1111" s="68"/>
      <c r="B1111" s="68"/>
      <c r="C1111" s="69"/>
      <c r="D1111" s="70"/>
      <c r="E1111" s="71"/>
      <c r="F1111" s="68"/>
      <c r="G1111" s="68"/>
      <c r="H1111" s="68"/>
      <c r="I1111" s="68"/>
      <c r="J1111" s="72"/>
      <c r="K1111" s="68"/>
      <c r="L1111" s="72"/>
      <c r="M1111" s="68"/>
      <c r="N1111" s="68"/>
      <c r="O1111" s="68"/>
      <c r="P1111" s="68"/>
      <c r="Q1111" s="72"/>
      <c r="R1111" s="68"/>
      <c r="S1111" s="72"/>
      <c r="T1111" s="68"/>
      <c r="U1111" s="68"/>
      <c r="V1111" s="68"/>
      <c r="W1111" s="68"/>
      <c r="X1111" s="72"/>
      <c r="Y1111" s="68"/>
      <c r="Z1111" s="72"/>
      <c r="AA1111" s="68"/>
      <c r="AB1111" s="68"/>
      <c r="AC1111" s="68"/>
      <c r="AD1111" s="68"/>
      <c r="AE1111" s="72"/>
      <c r="AF1111" s="68"/>
      <c r="AG1111" s="72"/>
      <c r="AH1111" s="68"/>
      <c r="AI1111" s="68"/>
      <c r="AJ1111" s="70"/>
    </row>
    <row r="1112" hidden="1">
      <c r="A1112" s="68"/>
      <c r="B1112" s="68"/>
      <c r="C1112" s="69"/>
      <c r="D1112" s="70"/>
      <c r="E1112" s="71"/>
      <c r="F1112" s="68"/>
      <c r="G1112" s="68"/>
      <c r="H1112" s="68"/>
      <c r="I1112" s="68"/>
      <c r="J1112" s="72"/>
      <c r="K1112" s="68"/>
      <c r="L1112" s="72"/>
      <c r="M1112" s="68"/>
      <c r="N1112" s="68"/>
      <c r="O1112" s="68"/>
      <c r="P1112" s="68"/>
      <c r="Q1112" s="72"/>
      <c r="R1112" s="68"/>
      <c r="S1112" s="72"/>
      <c r="T1112" s="68"/>
      <c r="U1112" s="68"/>
      <c r="V1112" s="68"/>
      <c r="W1112" s="68"/>
      <c r="X1112" s="72"/>
      <c r="Y1112" s="68"/>
      <c r="Z1112" s="72"/>
      <c r="AA1112" s="68"/>
      <c r="AB1112" s="68"/>
      <c r="AC1112" s="68"/>
      <c r="AD1112" s="68"/>
      <c r="AE1112" s="72"/>
      <c r="AF1112" s="68"/>
      <c r="AG1112" s="72"/>
      <c r="AH1112" s="68"/>
      <c r="AI1112" s="68"/>
      <c r="AJ1112" s="70"/>
    </row>
    <row r="1113" hidden="1">
      <c r="A1113" s="68"/>
      <c r="B1113" s="68"/>
      <c r="C1113" s="69"/>
      <c r="D1113" s="70"/>
      <c r="E1113" s="71"/>
      <c r="F1113" s="68"/>
      <c r="G1113" s="68"/>
      <c r="H1113" s="68"/>
      <c r="I1113" s="68"/>
      <c r="J1113" s="72"/>
      <c r="K1113" s="68"/>
      <c r="L1113" s="72"/>
      <c r="M1113" s="68"/>
      <c r="N1113" s="68"/>
      <c r="O1113" s="68"/>
      <c r="P1113" s="68"/>
      <c r="Q1113" s="72"/>
      <c r="R1113" s="68"/>
      <c r="S1113" s="72"/>
      <c r="T1113" s="68"/>
      <c r="U1113" s="68"/>
      <c r="V1113" s="68"/>
      <c r="W1113" s="68"/>
      <c r="X1113" s="72"/>
      <c r="Y1113" s="68"/>
      <c r="Z1113" s="72"/>
      <c r="AA1113" s="68"/>
      <c r="AB1113" s="68"/>
      <c r="AC1113" s="68"/>
      <c r="AD1113" s="68"/>
      <c r="AE1113" s="72"/>
      <c r="AF1113" s="68"/>
      <c r="AG1113" s="72"/>
      <c r="AH1113" s="68"/>
      <c r="AI1113" s="68"/>
      <c r="AJ1113" s="70"/>
    </row>
    <row r="1114" hidden="1">
      <c r="A1114" s="68"/>
      <c r="B1114" s="68"/>
      <c r="C1114" s="69"/>
      <c r="D1114" s="70"/>
      <c r="E1114" s="71"/>
      <c r="F1114" s="68"/>
      <c r="G1114" s="68"/>
      <c r="H1114" s="68"/>
      <c r="I1114" s="68"/>
      <c r="J1114" s="72"/>
      <c r="K1114" s="68"/>
      <c r="L1114" s="72"/>
      <c r="M1114" s="68"/>
      <c r="N1114" s="68"/>
      <c r="O1114" s="68"/>
      <c r="P1114" s="68"/>
      <c r="Q1114" s="72"/>
      <c r="R1114" s="68"/>
      <c r="S1114" s="72"/>
      <c r="T1114" s="68"/>
      <c r="U1114" s="68"/>
      <c r="V1114" s="68"/>
      <c r="W1114" s="68"/>
      <c r="X1114" s="72"/>
      <c r="Y1114" s="68"/>
      <c r="Z1114" s="72"/>
      <c r="AA1114" s="68"/>
      <c r="AB1114" s="68"/>
      <c r="AC1114" s="68"/>
      <c r="AD1114" s="68"/>
      <c r="AE1114" s="72"/>
      <c r="AF1114" s="68"/>
      <c r="AG1114" s="72"/>
      <c r="AH1114" s="68"/>
      <c r="AI1114" s="68"/>
      <c r="AJ1114" s="70"/>
    </row>
    <row r="1115" hidden="1">
      <c r="A1115" s="68"/>
      <c r="B1115" s="68"/>
      <c r="C1115" s="69"/>
      <c r="D1115" s="70"/>
      <c r="E1115" s="71"/>
      <c r="F1115" s="68"/>
      <c r="G1115" s="68"/>
      <c r="H1115" s="68"/>
      <c r="I1115" s="68"/>
      <c r="J1115" s="72"/>
      <c r="K1115" s="68"/>
      <c r="L1115" s="72"/>
      <c r="M1115" s="68"/>
      <c r="N1115" s="68"/>
      <c r="O1115" s="68"/>
      <c r="P1115" s="68"/>
      <c r="Q1115" s="72"/>
      <c r="R1115" s="68"/>
      <c r="S1115" s="72"/>
      <c r="T1115" s="68"/>
      <c r="U1115" s="68"/>
      <c r="V1115" s="68"/>
      <c r="W1115" s="68"/>
      <c r="X1115" s="72"/>
      <c r="Y1115" s="68"/>
      <c r="Z1115" s="72"/>
      <c r="AA1115" s="68"/>
      <c r="AB1115" s="68"/>
      <c r="AC1115" s="68"/>
      <c r="AD1115" s="68"/>
      <c r="AE1115" s="72"/>
      <c r="AF1115" s="68"/>
      <c r="AG1115" s="72"/>
      <c r="AH1115" s="68"/>
      <c r="AI1115" s="68"/>
      <c r="AJ1115" s="70"/>
    </row>
    <row r="1116" hidden="1">
      <c r="A1116" s="68"/>
      <c r="B1116" s="68"/>
      <c r="C1116" s="69"/>
      <c r="D1116" s="70"/>
      <c r="E1116" s="71"/>
      <c r="F1116" s="68"/>
      <c r="G1116" s="68"/>
      <c r="H1116" s="68"/>
      <c r="I1116" s="68"/>
      <c r="J1116" s="72"/>
      <c r="K1116" s="68"/>
      <c r="L1116" s="72"/>
      <c r="M1116" s="68"/>
      <c r="N1116" s="68"/>
      <c r="O1116" s="68"/>
      <c r="P1116" s="68"/>
      <c r="Q1116" s="72"/>
      <c r="R1116" s="68"/>
      <c r="S1116" s="72"/>
      <c r="T1116" s="68"/>
      <c r="U1116" s="68"/>
      <c r="V1116" s="68"/>
      <c r="W1116" s="68"/>
      <c r="X1116" s="72"/>
      <c r="Y1116" s="68"/>
      <c r="Z1116" s="72"/>
      <c r="AA1116" s="68"/>
      <c r="AB1116" s="68"/>
      <c r="AC1116" s="68"/>
      <c r="AD1116" s="68"/>
      <c r="AE1116" s="72"/>
      <c r="AF1116" s="68"/>
      <c r="AG1116" s="72"/>
      <c r="AH1116" s="68"/>
      <c r="AI1116" s="68"/>
      <c r="AJ1116" s="70"/>
    </row>
    <row r="1117" hidden="1">
      <c r="A1117" s="68"/>
      <c r="B1117" s="68"/>
      <c r="C1117" s="69"/>
      <c r="D1117" s="70"/>
      <c r="E1117" s="71"/>
      <c r="F1117" s="68"/>
      <c r="G1117" s="68"/>
      <c r="H1117" s="68"/>
      <c r="I1117" s="68"/>
      <c r="J1117" s="72"/>
      <c r="K1117" s="68"/>
      <c r="L1117" s="72"/>
      <c r="M1117" s="68"/>
      <c r="N1117" s="68"/>
      <c r="O1117" s="68"/>
      <c r="P1117" s="68"/>
      <c r="Q1117" s="72"/>
      <c r="R1117" s="68"/>
      <c r="S1117" s="72"/>
      <c r="T1117" s="68"/>
      <c r="U1117" s="68"/>
      <c r="V1117" s="68"/>
      <c r="W1117" s="68"/>
      <c r="X1117" s="72"/>
      <c r="Y1117" s="68"/>
      <c r="Z1117" s="72"/>
      <c r="AA1117" s="68"/>
      <c r="AB1117" s="68"/>
      <c r="AC1117" s="68"/>
      <c r="AD1117" s="68"/>
      <c r="AE1117" s="72"/>
      <c r="AF1117" s="68"/>
      <c r="AG1117" s="72"/>
      <c r="AH1117" s="68"/>
      <c r="AI1117" s="68"/>
      <c r="AJ1117" s="70"/>
    </row>
    <row r="1118" hidden="1">
      <c r="A1118" s="68"/>
      <c r="B1118" s="68"/>
      <c r="C1118" s="69"/>
      <c r="D1118" s="70"/>
      <c r="E1118" s="71"/>
      <c r="F1118" s="68"/>
      <c r="G1118" s="68"/>
      <c r="H1118" s="68"/>
      <c r="I1118" s="68"/>
      <c r="J1118" s="72"/>
      <c r="K1118" s="68"/>
      <c r="L1118" s="72"/>
      <c r="M1118" s="68"/>
      <c r="N1118" s="68"/>
      <c r="O1118" s="68"/>
      <c r="P1118" s="68"/>
      <c r="Q1118" s="72"/>
      <c r="R1118" s="68"/>
      <c r="S1118" s="72"/>
      <c r="T1118" s="68"/>
      <c r="U1118" s="68"/>
      <c r="V1118" s="68"/>
      <c r="W1118" s="68"/>
      <c r="X1118" s="72"/>
      <c r="Y1118" s="68"/>
      <c r="Z1118" s="72"/>
      <c r="AA1118" s="68"/>
      <c r="AB1118" s="68"/>
      <c r="AC1118" s="68"/>
      <c r="AD1118" s="68"/>
      <c r="AE1118" s="72"/>
      <c r="AF1118" s="68"/>
      <c r="AG1118" s="72"/>
      <c r="AH1118" s="68"/>
      <c r="AI1118" s="68"/>
      <c r="AJ1118" s="70"/>
    </row>
    <row r="1119" hidden="1">
      <c r="A1119" s="68"/>
      <c r="B1119" s="68"/>
      <c r="C1119" s="69"/>
      <c r="D1119" s="70"/>
      <c r="E1119" s="71"/>
      <c r="F1119" s="68"/>
      <c r="G1119" s="68"/>
      <c r="H1119" s="68"/>
      <c r="I1119" s="68"/>
      <c r="J1119" s="72"/>
      <c r="K1119" s="68"/>
      <c r="L1119" s="72"/>
      <c r="M1119" s="68"/>
      <c r="N1119" s="68"/>
      <c r="O1119" s="68"/>
      <c r="P1119" s="68"/>
      <c r="Q1119" s="72"/>
      <c r="R1119" s="68"/>
      <c r="S1119" s="72"/>
      <c r="T1119" s="68"/>
      <c r="U1119" s="68"/>
      <c r="V1119" s="68"/>
      <c r="W1119" s="68"/>
      <c r="X1119" s="72"/>
      <c r="Y1119" s="68"/>
      <c r="Z1119" s="72"/>
      <c r="AA1119" s="68"/>
      <c r="AB1119" s="68"/>
      <c r="AC1119" s="68"/>
      <c r="AD1119" s="68"/>
      <c r="AE1119" s="72"/>
      <c r="AF1119" s="68"/>
      <c r="AG1119" s="72"/>
      <c r="AH1119" s="68"/>
      <c r="AI1119" s="68"/>
      <c r="AJ1119" s="70"/>
    </row>
    <row r="1120" hidden="1">
      <c r="A1120" s="68"/>
      <c r="B1120" s="68"/>
      <c r="C1120" s="69"/>
      <c r="D1120" s="70"/>
      <c r="E1120" s="71"/>
      <c r="F1120" s="68"/>
      <c r="G1120" s="68"/>
      <c r="H1120" s="68"/>
      <c r="I1120" s="68"/>
      <c r="J1120" s="72"/>
      <c r="K1120" s="68"/>
      <c r="L1120" s="72"/>
      <c r="M1120" s="68"/>
      <c r="N1120" s="68"/>
      <c r="O1120" s="68"/>
      <c r="P1120" s="68"/>
      <c r="Q1120" s="72"/>
      <c r="R1120" s="68"/>
      <c r="S1120" s="72"/>
      <c r="T1120" s="68"/>
      <c r="U1120" s="68"/>
      <c r="V1120" s="68"/>
      <c r="W1120" s="68"/>
      <c r="X1120" s="72"/>
      <c r="Y1120" s="68"/>
      <c r="Z1120" s="72"/>
      <c r="AA1120" s="68"/>
      <c r="AB1120" s="68"/>
      <c r="AC1120" s="68"/>
      <c r="AD1120" s="68"/>
      <c r="AE1120" s="72"/>
      <c r="AF1120" s="68"/>
      <c r="AG1120" s="72"/>
      <c r="AH1120" s="68"/>
      <c r="AI1120" s="68"/>
      <c r="AJ1120" s="70"/>
    </row>
    <row r="1121" hidden="1">
      <c r="A1121" s="68"/>
      <c r="B1121" s="68"/>
      <c r="C1121" s="69"/>
      <c r="D1121" s="70"/>
      <c r="E1121" s="71"/>
      <c r="F1121" s="68"/>
      <c r="G1121" s="68"/>
      <c r="H1121" s="68"/>
      <c r="I1121" s="68"/>
      <c r="J1121" s="72"/>
      <c r="K1121" s="68"/>
      <c r="L1121" s="72"/>
      <c r="M1121" s="68"/>
      <c r="N1121" s="68"/>
      <c r="O1121" s="68"/>
      <c r="P1121" s="68"/>
      <c r="Q1121" s="72"/>
      <c r="R1121" s="68"/>
      <c r="S1121" s="72"/>
      <c r="T1121" s="68"/>
      <c r="U1121" s="68"/>
      <c r="V1121" s="68"/>
      <c r="W1121" s="68"/>
      <c r="X1121" s="72"/>
      <c r="Y1121" s="68"/>
      <c r="Z1121" s="72"/>
      <c r="AA1121" s="68"/>
      <c r="AB1121" s="68"/>
      <c r="AC1121" s="68"/>
      <c r="AD1121" s="68"/>
      <c r="AE1121" s="72"/>
      <c r="AF1121" s="68"/>
      <c r="AG1121" s="72"/>
      <c r="AH1121" s="68"/>
      <c r="AI1121" s="68"/>
      <c r="AJ1121" s="70"/>
    </row>
    <row r="1122" hidden="1">
      <c r="A1122" s="68"/>
      <c r="B1122" s="68"/>
      <c r="C1122" s="69"/>
      <c r="D1122" s="70"/>
      <c r="E1122" s="71"/>
      <c r="F1122" s="68"/>
      <c r="G1122" s="68"/>
      <c r="H1122" s="68"/>
      <c r="I1122" s="68"/>
      <c r="J1122" s="72"/>
      <c r="K1122" s="68"/>
      <c r="L1122" s="72"/>
      <c r="M1122" s="68"/>
      <c r="N1122" s="68"/>
      <c r="O1122" s="68"/>
      <c r="P1122" s="68"/>
      <c r="Q1122" s="72"/>
      <c r="R1122" s="68"/>
      <c r="S1122" s="72"/>
      <c r="T1122" s="68"/>
      <c r="U1122" s="68"/>
      <c r="V1122" s="68"/>
      <c r="W1122" s="68"/>
      <c r="X1122" s="72"/>
      <c r="Y1122" s="68"/>
      <c r="Z1122" s="72"/>
      <c r="AA1122" s="68"/>
      <c r="AB1122" s="68"/>
      <c r="AC1122" s="68"/>
      <c r="AD1122" s="68"/>
      <c r="AE1122" s="72"/>
      <c r="AF1122" s="68"/>
      <c r="AG1122" s="72"/>
      <c r="AH1122" s="68"/>
      <c r="AI1122" s="68"/>
      <c r="AJ1122" s="70"/>
    </row>
    <row r="1123" hidden="1">
      <c r="A1123" s="68"/>
      <c r="B1123" s="68"/>
      <c r="C1123" s="69"/>
      <c r="D1123" s="70"/>
      <c r="E1123" s="71"/>
      <c r="F1123" s="68"/>
      <c r="G1123" s="68"/>
      <c r="H1123" s="68"/>
      <c r="I1123" s="68"/>
      <c r="J1123" s="72"/>
      <c r="K1123" s="68"/>
      <c r="L1123" s="72"/>
      <c r="M1123" s="68"/>
      <c r="N1123" s="68"/>
      <c r="O1123" s="68"/>
      <c r="P1123" s="68"/>
      <c r="Q1123" s="72"/>
      <c r="R1123" s="68"/>
      <c r="S1123" s="72"/>
      <c r="T1123" s="68"/>
      <c r="U1123" s="68"/>
      <c r="V1123" s="68"/>
      <c r="W1123" s="68"/>
      <c r="X1123" s="72"/>
      <c r="Y1123" s="68"/>
      <c r="Z1123" s="72"/>
      <c r="AA1123" s="68"/>
      <c r="AB1123" s="68"/>
      <c r="AC1123" s="68"/>
      <c r="AD1123" s="68"/>
      <c r="AE1123" s="72"/>
      <c r="AF1123" s="68"/>
      <c r="AG1123" s="72"/>
      <c r="AH1123" s="68"/>
      <c r="AI1123" s="68"/>
      <c r="AJ1123" s="70"/>
    </row>
    <row r="1124" hidden="1">
      <c r="A1124" s="68"/>
      <c r="B1124" s="68"/>
      <c r="C1124" s="69"/>
      <c r="D1124" s="70"/>
      <c r="E1124" s="71"/>
      <c r="F1124" s="68"/>
      <c r="G1124" s="68"/>
      <c r="H1124" s="68"/>
      <c r="I1124" s="68"/>
      <c r="J1124" s="72"/>
      <c r="K1124" s="68"/>
      <c r="L1124" s="72"/>
      <c r="M1124" s="68"/>
      <c r="N1124" s="68"/>
      <c r="O1124" s="68"/>
      <c r="P1124" s="68"/>
      <c r="Q1124" s="72"/>
      <c r="R1124" s="68"/>
      <c r="S1124" s="72"/>
      <c r="T1124" s="68"/>
      <c r="U1124" s="68"/>
      <c r="V1124" s="68"/>
      <c r="W1124" s="68"/>
      <c r="X1124" s="72"/>
      <c r="Y1124" s="68"/>
      <c r="Z1124" s="72"/>
      <c r="AA1124" s="68"/>
      <c r="AB1124" s="68"/>
      <c r="AC1124" s="68"/>
      <c r="AD1124" s="68"/>
      <c r="AE1124" s="72"/>
      <c r="AF1124" s="68"/>
      <c r="AG1124" s="72"/>
      <c r="AH1124" s="68"/>
      <c r="AI1124" s="68"/>
      <c r="AJ1124" s="70"/>
    </row>
    <row r="1125" hidden="1">
      <c r="A1125" s="68"/>
      <c r="B1125" s="68"/>
      <c r="C1125" s="69"/>
      <c r="D1125" s="70"/>
      <c r="E1125" s="71"/>
      <c r="F1125" s="68"/>
      <c r="G1125" s="68"/>
      <c r="H1125" s="68"/>
      <c r="I1125" s="68"/>
      <c r="J1125" s="72"/>
      <c r="K1125" s="68"/>
      <c r="L1125" s="72"/>
      <c r="M1125" s="68"/>
      <c r="N1125" s="68"/>
      <c r="O1125" s="68"/>
      <c r="P1125" s="68"/>
      <c r="Q1125" s="72"/>
      <c r="R1125" s="68"/>
      <c r="S1125" s="72"/>
      <c r="T1125" s="68"/>
      <c r="U1125" s="68"/>
      <c r="V1125" s="68"/>
      <c r="W1125" s="68"/>
      <c r="X1125" s="72"/>
      <c r="Y1125" s="68"/>
      <c r="Z1125" s="72"/>
      <c r="AA1125" s="68"/>
      <c r="AB1125" s="68"/>
      <c r="AC1125" s="68"/>
      <c r="AD1125" s="68"/>
      <c r="AE1125" s="72"/>
      <c r="AF1125" s="68"/>
      <c r="AG1125" s="72"/>
      <c r="AH1125" s="68"/>
      <c r="AI1125" s="68"/>
      <c r="AJ1125" s="70"/>
    </row>
    <row r="1126" hidden="1">
      <c r="A1126" s="68"/>
      <c r="B1126" s="68"/>
      <c r="C1126" s="69"/>
      <c r="D1126" s="70"/>
      <c r="E1126" s="71"/>
      <c r="F1126" s="68"/>
      <c r="G1126" s="68"/>
      <c r="H1126" s="68"/>
      <c r="I1126" s="68"/>
      <c r="J1126" s="72"/>
      <c r="K1126" s="68"/>
      <c r="L1126" s="72"/>
      <c r="M1126" s="68"/>
      <c r="N1126" s="68"/>
      <c r="O1126" s="68"/>
      <c r="P1126" s="68"/>
      <c r="Q1126" s="72"/>
      <c r="R1126" s="68"/>
      <c r="S1126" s="72"/>
      <c r="T1126" s="68"/>
      <c r="U1126" s="68"/>
      <c r="V1126" s="68"/>
      <c r="W1126" s="68"/>
      <c r="X1126" s="72"/>
      <c r="Y1126" s="68"/>
      <c r="Z1126" s="72"/>
      <c r="AA1126" s="68"/>
      <c r="AB1126" s="68"/>
      <c r="AC1126" s="68"/>
      <c r="AD1126" s="68"/>
      <c r="AE1126" s="72"/>
      <c r="AF1126" s="68"/>
      <c r="AG1126" s="72"/>
      <c r="AH1126" s="68"/>
      <c r="AI1126" s="68"/>
      <c r="AJ1126" s="70"/>
    </row>
    <row r="1127" hidden="1">
      <c r="A1127" s="68"/>
      <c r="B1127" s="68"/>
      <c r="C1127" s="69"/>
      <c r="D1127" s="70"/>
      <c r="E1127" s="71"/>
      <c r="F1127" s="68"/>
      <c r="G1127" s="68"/>
      <c r="H1127" s="68"/>
      <c r="I1127" s="68"/>
      <c r="J1127" s="72"/>
      <c r="K1127" s="68"/>
      <c r="L1127" s="72"/>
      <c r="M1127" s="68"/>
      <c r="N1127" s="68"/>
      <c r="O1127" s="68"/>
      <c r="P1127" s="68"/>
      <c r="Q1127" s="72"/>
      <c r="R1127" s="68"/>
      <c r="S1127" s="72"/>
      <c r="T1127" s="68"/>
      <c r="U1127" s="68"/>
      <c r="V1127" s="68"/>
      <c r="W1127" s="68"/>
      <c r="X1127" s="72"/>
      <c r="Y1127" s="68"/>
      <c r="Z1127" s="72"/>
      <c r="AA1127" s="68"/>
      <c r="AB1127" s="68"/>
      <c r="AC1127" s="68"/>
      <c r="AD1127" s="68"/>
      <c r="AE1127" s="72"/>
      <c r="AF1127" s="68"/>
      <c r="AG1127" s="72"/>
      <c r="AH1127" s="68"/>
      <c r="AI1127" s="68"/>
      <c r="AJ1127" s="70"/>
    </row>
    <row r="1128" hidden="1">
      <c r="A1128" s="68"/>
      <c r="B1128" s="68"/>
      <c r="C1128" s="69"/>
      <c r="D1128" s="70"/>
      <c r="E1128" s="71"/>
      <c r="F1128" s="68"/>
      <c r="G1128" s="68"/>
      <c r="H1128" s="68"/>
      <c r="I1128" s="68"/>
      <c r="J1128" s="72"/>
      <c r="K1128" s="68"/>
      <c r="L1128" s="72"/>
      <c r="M1128" s="68"/>
      <c r="N1128" s="68"/>
      <c r="O1128" s="68"/>
      <c r="P1128" s="68"/>
      <c r="Q1128" s="72"/>
      <c r="R1128" s="68"/>
      <c r="S1128" s="72"/>
      <c r="T1128" s="68"/>
      <c r="U1128" s="68"/>
      <c r="V1128" s="68"/>
      <c r="W1128" s="68"/>
      <c r="X1128" s="72"/>
      <c r="Y1128" s="68"/>
      <c r="Z1128" s="72"/>
      <c r="AA1128" s="68"/>
      <c r="AB1128" s="68"/>
      <c r="AC1128" s="68"/>
      <c r="AD1128" s="68"/>
      <c r="AE1128" s="72"/>
      <c r="AF1128" s="68"/>
      <c r="AG1128" s="72"/>
      <c r="AH1128" s="68"/>
      <c r="AI1128" s="68"/>
      <c r="AJ1128" s="70"/>
    </row>
    <row r="1129" hidden="1">
      <c r="A1129" s="68"/>
      <c r="B1129" s="68"/>
      <c r="C1129" s="69"/>
      <c r="D1129" s="70"/>
      <c r="E1129" s="71"/>
      <c r="F1129" s="68"/>
      <c r="G1129" s="68"/>
      <c r="H1129" s="68"/>
      <c r="I1129" s="68"/>
      <c r="J1129" s="72"/>
      <c r="K1129" s="68"/>
      <c r="L1129" s="72"/>
      <c r="M1129" s="68"/>
      <c r="N1129" s="68"/>
      <c r="O1129" s="68"/>
      <c r="P1129" s="68"/>
      <c r="Q1129" s="72"/>
      <c r="R1129" s="68"/>
      <c r="S1129" s="72"/>
      <c r="T1129" s="68"/>
      <c r="U1129" s="68"/>
      <c r="V1129" s="68"/>
      <c r="W1129" s="68"/>
      <c r="X1129" s="72"/>
      <c r="Y1129" s="68"/>
      <c r="Z1129" s="72"/>
      <c r="AA1129" s="68"/>
      <c r="AB1129" s="68"/>
      <c r="AC1129" s="68"/>
      <c r="AD1129" s="68"/>
      <c r="AE1129" s="72"/>
      <c r="AF1129" s="68"/>
      <c r="AG1129" s="72"/>
      <c r="AH1129" s="68"/>
      <c r="AI1129" s="68"/>
      <c r="AJ1129" s="70"/>
    </row>
    <row r="1130" hidden="1">
      <c r="A1130" s="68"/>
      <c r="B1130" s="68"/>
      <c r="C1130" s="69"/>
      <c r="D1130" s="70"/>
      <c r="E1130" s="71"/>
      <c r="F1130" s="68"/>
      <c r="G1130" s="68"/>
      <c r="H1130" s="68"/>
      <c r="I1130" s="68"/>
      <c r="J1130" s="72"/>
      <c r="K1130" s="68"/>
      <c r="L1130" s="72"/>
      <c r="M1130" s="68"/>
      <c r="N1130" s="68"/>
      <c r="O1130" s="68"/>
      <c r="P1130" s="68"/>
      <c r="Q1130" s="72"/>
      <c r="R1130" s="68"/>
      <c r="S1130" s="72"/>
      <c r="T1130" s="68"/>
      <c r="U1130" s="68"/>
      <c r="V1130" s="68"/>
      <c r="W1130" s="68"/>
      <c r="X1130" s="72"/>
      <c r="Y1130" s="68"/>
      <c r="Z1130" s="72"/>
      <c r="AA1130" s="68"/>
      <c r="AB1130" s="68"/>
      <c r="AC1130" s="68"/>
      <c r="AD1130" s="68"/>
      <c r="AE1130" s="72"/>
      <c r="AF1130" s="68"/>
      <c r="AG1130" s="72"/>
      <c r="AH1130" s="68"/>
      <c r="AI1130" s="68"/>
      <c r="AJ1130" s="70"/>
    </row>
    <row r="1131" hidden="1">
      <c r="A1131" s="68"/>
      <c r="B1131" s="68"/>
      <c r="C1131" s="69"/>
      <c r="D1131" s="70"/>
      <c r="E1131" s="71"/>
      <c r="F1131" s="68"/>
      <c r="G1131" s="68"/>
      <c r="H1131" s="68"/>
      <c r="I1131" s="68"/>
      <c r="J1131" s="72"/>
      <c r="K1131" s="68"/>
      <c r="L1131" s="72"/>
      <c r="M1131" s="68"/>
      <c r="N1131" s="68"/>
      <c r="O1131" s="68"/>
      <c r="P1131" s="68"/>
      <c r="Q1131" s="72"/>
      <c r="R1131" s="68"/>
      <c r="S1131" s="72"/>
      <c r="T1131" s="68"/>
      <c r="U1131" s="68"/>
      <c r="V1131" s="68"/>
      <c r="W1131" s="68"/>
      <c r="X1131" s="72"/>
      <c r="Y1131" s="68"/>
      <c r="Z1131" s="72"/>
      <c r="AA1131" s="68"/>
      <c r="AB1131" s="68"/>
      <c r="AC1131" s="68"/>
      <c r="AD1131" s="68"/>
      <c r="AE1131" s="72"/>
      <c r="AF1131" s="68"/>
      <c r="AG1131" s="72"/>
      <c r="AH1131" s="68"/>
      <c r="AI1131" s="68"/>
      <c r="AJ1131" s="70"/>
    </row>
    <row r="1132" hidden="1">
      <c r="A1132" s="68"/>
      <c r="B1132" s="68"/>
      <c r="C1132" s="69"/>
      <c r="D1132" s="70"/>
      <c r="E1132" s="71"/>
      <c r="F1132" s="68"/>
      <c r="G1132" s="68"/>
      <c r="H1132" s="68"/>
      <c r="I1132" s="68"/>
      <c r="J1132" s="72"/>
      <c r="K1132" s="68"/>
      <c r="L1132" s="72"/>
      <c r="M1132" s="68"/>
      <c r="N1132" s="68"/>
      <c r="O1132" s="68"/>
      <c r="P1132" s="68"/>
      <c r="Q1132" s="72"/>
      <c r="R1132" s="68"/>
      <c r="S1132" s="72"/>
      <c r="T1132" s="68"/>
      <c r="U1132" s="68"/>
      <c r="V1132" s="68"/>
      <c r="W1132" s="68"/>
      <c r="X1132" s="72"/>
      <c r="Y1132" s="68"/>
      <c r="Z1132" s="72"/>
      <c r="AA1132" s="68"/>
      <c r="AB1132" s="68"/>
      <c r="AC1132" s="68"/>
      <c r="AD1132" s="68"/>
      <c r="AE1132" s="72"/>
      <c r="AF1132" s="68"/>
      <c r="AG1132" s="72"/>
      <c r="AH1132" s="68"/>
      <c r="AI1132" s="68"/>
      <c r="AJ1132" s="70"/>
    </row>
    <row r="1133" hidden="1">
      <c r="A1133" s="68"/>
      <c r="B1133" s="68"/>
      <c r="C1133" s="69"/>
      <c r="D1133" s="70"/>
      <c r="E1133" s="71"/>
      <c r="F1133" s="68"/>
      <c r="G1133" s="68"/>
      <c r="H1133" s="68"/>
      <c r="I1133" s="68"/>
      <c r="J1133" s="72"/>
      <c r="K1133" s="68"/>
      <c r="L1133" s="72"/>
      <c r="M1133" s="68"/>
      <c r="N1133" s="68"/>
      <c r="O1133" s="68"/>
      <c r="P1133" s="68"/>
      <c r="Q1133" s="72"/>
      <c r="R1133" s="68"/>
      <c r="S1133" s="72"/>
      <c r="T1133" s="68"/>
      <c r="U1133" s="68"/>
      <c r="V1133" s="68"/>
      <c r="W1133" s="68"/>
      <c r="X1133" s="72"/>
      <c r="Y1133" s="68"/>
      <c r="Z1133" s="72"/>
      <c r="AA1133" s="68"/>
      <c r="AB1133" s="68"/>
      <c r="AC1133" s="68"/>
      <c r="AD1133" s="68"/>
      <c r="AE1133" s="72"/>
      <c r="AF1133" s="68"/>
      <c r="AG1133" s="72"/>
      <c r="AH1133" s="68"/>
      <c r="AI1133" s="68"/>
      <c r="AJ1133" s="70"/>
    </row>
    <row r="1134" hidden="1">
      <c r="A1134" s="68"/>
      <c r="B1134" s="68"/>
      <c r="C1134" s="69"/>
      <c r="D1134" s="70"/>
      <c r="E1134" s="71"/>
      <c r="F1134" s="68"/>
      <c r="G1134" s="68"/>
      <c r="H1134" s="68"/>
      <c r="I1134" s="68"/>
      <c r="J1134" s="72"/>
      <c r="K1134" s="68"/>
      <c r="L1134" s="72"/>
      <c r="M1134" s="68"/>
      <c r="N1134" s="68"/>
      <c r="O1134" s="68"/>
      <c r="P1134" s="68"/>
      <c r="Q1134" s="72"/>
      <c r="R1134" s="68"/>
      <c r="S1134" s="72"/>
      <c r="T1134" s="68"/>
      <c r="U1134" s="68"/>
      <c r="V1134" s="68"/>
      <c r="W1134" s="68"/>
      <c r="X1134" s="72"/>
      <c r="Y1134" s="68"/>
      <c r="Z1134" s="72"/>
      <c r="AA1134" s="68"/>
      <c r="AB1134" s="68"/>
      <c r="AC1134" s="68"/>
      <c r="AD1134" s="68"/>
      <c r="AE1134" s="72"/>
      <c r="AF1134" s="68"/>
      <c r="AG1134" s="72"/>
      <c r="AH1134" s="68"/>
      <c r="AI1134" s="68"/>
      <c r="AJ1134" s="70"/>
    </row>
    <row r="1135" hidden="1">
      <c r="A1135" s="68"/>
      <c r="B1135" s="68"/>
      <c r="C1135" s="69"/>
      <c r="D1135" s="70"/>
      <c r="E1135" s="71"/>
      <c r="F1135" s="68"/>
      <c r="G1135" s="68"/>
      <c r="H1135" s="68"/>
      <c r="I1135" s="68"/>
      <c r="J1135" s="72"/>
      <c r="K1135" s="68"/>
      <c r="L1135" s="72"/>
      <c r="M1135" s="68"/>
      <c r="N1135" s="68"/>
      <c r="O1135" s="68"/>
      <c r="P1135" s="68"/>
      <c r="Q1135" s="72"/>
      <c r="R1135" s="68"/>
      <c r="S1135" s="72"/>
      <c r="T1135" s="68"/>
      <c r="U1135" s="68"/>
      <c r="V1135" s="68"/>
      <c r="W1135" s="68"/>
      <c r="X1135" s="72"/>
      <c r="Y1135" s="68"/>
      <c r="Z1135" s="72"/>
      <c r="AA1135" s="68"/>
      <c r="AB1135" s="68"/>
      <c r="AC1135" s="68"/>
      <c r="AD1135" s="68"/>
      <c r="AE1135" s="72"/>
      <c r="AF1135" s="68"/>
      <c r="AG1135" s="72"/>
      <c r="AH1135" s="68"/>
      <c r="AI1135" s="68"/>
      <c r="AJ1135" s="70"/>
    </row>
    <row r="1136" hidden="1">
      <c r="A1136" s="68"/>
      <c r="B1136" s="68"/>
      <c r="C1136" s="69"/>
      <c r="D1136" s="70"/>
      <c r="E1136" s="71"/>
      <c r="F1136" s="68"/>
      <c r="G1136" s="68"/>
      <c r="H1136" s="68"/>
      <c r="I1136" s="68"/>
      <c r="J1136" s="72"/>
      <c r="K1136" s="68"/>
      <c r="L1136" s="72"/>
      <c r="M1136" s="68"/>
      <c r="N1136" s="68"/>
      <c r="O1136" s="68"/>
      <c r="P1136" s="68"/>
      <c r="Q1136" s="72"/>
      <c r="R1136" s="68"/>
      <c r="S1136" s="72"/>
      <c r="T1136" s="68"/>
      <c r="U1136" s="68"/>
      <c r="V1136" s="68"/>
      <c r="W1136" s="68"/>
      <c r="X1136" s="72"/>
      <c r="Y1136" s="68"/>
      <c r="Z1136" s="72"/>
      <c r="AA1136" s="68"/>
      <c r="AB1136" s="68"/>
      <c r="AC1136" s="68"/>
      <c r="AD1136" s="68"/>
      <c r="AE1136" s="72"/>
      <c r="AF1136" s="68"/>
      <c r="AG1136" s="72"/>
      <c r="AH1136" s="68"/>
      <c r="AI1136" s="68"/>
      <c r="AJ1136" s="70"/>
    </row>
    <row r="1137" hidden="1">
      <c r="A1137" s="68"/>
      <c r="B1137" s="68"/>
      <c r="C1137" s="69"/>
      <c r="D1137" s="70"/>
      <c r="E1137" s="71"/>
      <c r="F1137" s="68"/>
      <c r="G1137" s="68"/>
      <c r="H1137" s="68"/>
      <c r="I1137" s="68"/>
      <c r="J1137" s="72"/>
      <c r="K1137" s="68"/>
      <c r="L1137" s="72"/>
      <c r="M1137" s="68"/>
      <c r="N1137" s="68"/>
      <c r="O1137" s="68"/>
      <c r="P1137" s="68"/>
      <c r="Q1137" s="72"/>
      <c r="R1137" s="68"/>
      <c r="S1137" s="72"/>
      <c r="T1137" s="68"/>
      <c r="U1137" s="68"/>
      <c r="V1137" s="68"/>
      <c r="W1137" s="68"/>
      <c r="X1137" s="72"/>
      <c r="Y1137" s="68"/>
      <c r="Z1137" s="72"/>
      <c r="AA1137" s="68"/>
      <c r="AB1137" s="68"/>
      <c r="AC1137" s="68"/>
      <c r="AD1137" s="68"/>
      <c r="AE1137" s="72"/>
      <c r="AF1137" s="68"/>
      <c r="AG1137" s="72"/>
      <c r="AH1137" s="68"/>
      <c r="AI1137" s="68"/>
      <c r="AJ1137" s="70"/>
    </row>
    <row r="1138" hidden="1">
      <c r="A1138" s="68"/>
      <c r="B1138" s="68"/>
      <c r="C1138" s="69"/>
      <c r="D1138" s="70"/>
      <c r="E1138" s="71"/>
      <c r="F1138" s="68"/>
      <c r="G1138" s="68"/>
      <c r="H1138" s="68"/>
      <c r="I1138" s="68"/>
      <c r="J1138" s="72"/>
      <c r="K1138" s="68"/>
      <c r="L1138" s="72"/>
      <c r="M1138" s="68"/>
      <c r="N1138" s="68"/>
      <c r="O1138" s="68"/>
      <c r="P1138" s="68"/>
      <c r="Q1138" s="72"/>
      <c r="R1138" s="68"/>
      <c r="S1138" s="72"/>
      <c r="T1138" s="68"/>
      <c r="U1138" s="68"/>
      <c r="V1138" s="68"/>
      <c r="W1138" s="68"/>
      <c r="X1138" s="72"/>
      <c r="Y1138" s="68"/>
      <c r="Z1138" s="72"/>
      <c r="AA1138" s="68"/>
      <c r="AB1138" s="68"/>
      <c r="AC1138" s="68"/>
      <c r="AD1138" s="68"/>
      <c r="AE1138" s="72"/>
      <c r="AF1138" s="68"/>
      <c r="AG1138" s="72"/>
      <c r="AH1138" s="68"/>
      <c r="AI1138" s="68"/>
      <c r="AJ1138" s="70"/>
    </row>
    <row r="1139" hidden="1">
      <c r="A1139" s="68"/>
      <c r="B1139" s="68"/>
      <c r="C1139" s="69"/>
      <c r="D1139" s="70"/>
      <c r="E1139" s="71"/>
      <c r="F1139" s="68"/>
      <c r="G1139" s="68"/>
      <c r="H1139" s="68"/>
      <c r="I1139" s="68"/>
      <c r="J1139" s="72"/>
      <c r="K1139" s="68"/>
      <c r="L1139" s="72"/>
      <c r="M1139" s="68"/>
      <c r="N1139" s="68"/>
      <c r="O1139" s="68"/>
      <c r="P1139" s="68"/>
      <c r="Q1139" s="72"/>
      <c r="R1139" s="68"/>
      <c r="S1139" s="72"/>
      <c r="T1139" s="68"/>
      <c r="U1139" s="68"/>
      <c r="V1139" s="68"/>
      <c r="W1139" s="68"/>
      <c r="X1139" s="72"/>
      <c r="Y1139" s="68"/>
      <c r="Z1139" s="72"/>
      <c r="AA1139" s="68"/>
      <c r="AB1139" s="68"/>
      <c r="AC1139" s="68"/>
      <c r="AD1139" s="68"/>
      <c r="AE1139" s="72"/>
      <c r="AF1139" s="68"/>
      <c r="AG1139" s="72"/>
      <c r="AH1139" s="68"/>
      <c r="AI1139" s="68"/>
      <c r="AJ1139" s="70"/>
    </row>
    <row r="1140" hidden="1">
      <c r="A1140" s="68"/>
      <c r="B1140" s="68"/>
      <c r="C1140" s="69"/>
      <c r="D1140" s="70"/>
      <c r="E1140" s="71"/>
      <c r="F1140" s="68"/>
      <c r="G1140" s="68"/>
      <c r="H1140" s="68"/>
      <c r="I1140" s="68"/>
      <c r="J1140" s="72"/>
      <c r="K1140" s="68"/>
      <c r="L1140" s="72"/>
      <c r="M1140" s="68"/>
      <c r="N1140" s="68"/>
      <c r="O1140" s="68"/>
      <c r="P1140" s="68"/>
      <c r="Q1140" s="72"/>
      <c r="R1140" s="68"/>
      <c r="S1140" s="72"/>
      <c r="T1140" s="68"/>
      <c r="U1140" s="68"/>
      <c r="V1140" s="68"/>
      <c r="W1140" s="68"/>
      <c r="X1140" s="72"/>
      <c r="Y1140" s="68"/>
      <c r="Z1140" s="72"/>
      <c r="AA1140" s="68"/>
      <c r="AB1140" s="68"/>
      <c r="AC1140" s="68"/>
      <c r="AD1140" s="68"/>
      <c r="AE1140" s="72"/>
      <c r="AF1140" s="68"/>
      <c r="AG1140" s="72"/>
      <c r="AH1140" s="68"/>
      <c r="AI1140" s="68"/>
      <c r="AJ1140" s="70"/>
    </row>
    <row r="1141" hidden="1">
      <c r="A1141" s="68"/>
      <c r="B1141" s="68"/>
      <c r="C1141" s="69"/>
      <c r="D1141" s="70"/>
      <c r="E1141" s="71"/>
      <c r="F1141" s="68"/>
      <c r="G1141" s="68"/>
      <c r="H1141" s="68"/>
      <c r="I1141" s="68"/>
      <c r="J1141" s="72"/>
      <c r="K1141" s="68"/>
      <c r="L1141" s="72"/>
      <c r="M1141" s="68"/>
      <c r="N1141" s="68"/>
      <c r="O1141" s="68"/>
      <c r="P1141" s="68"/>
      <c r="Q1141" s="72"/>
      <c r="R1141" s="68"/>
      <c r="S1141" s="72"/>
      <c r="T1141" s="68"/>
      <c r="U1141" s="68"/>
      <c r="V1141" s="68"/>
      <c r="W1141" s="68"/>
      <c r="X1141" s="72"/>
      <c r="Y1141" s="68"/>
      <c r="Z1141" s="72"/>
      <c r="AA1141" s="68"/>
      <c r="AB1141" s="68"/>
      <c r="AC1141" s="68"/>
      <c r="AD1141" s="68"/>
      <c r="AE1141" s="72"/>
      <c r="AF1141" s="68"/>
      <c r="AG1141" s="72"/>
      <c r="AH1141" s="68"/>
      <c r="AI1141" s="68"/>
      <c r="AJ1141" s="70"/>
    </row>
    <row r="1142" hidden="1">
      <c r="A1142" s="68"/>
      <c r="B1142" s="68"/>
      <c r="C1142" s="69"/>
      <c r="D1142" s="70"/>
      <c r="E1142" s="71"/>
      <c r="F1142" s="68"/>
      <c r="G1142" s="68"/>
      <c r="H1142" s="68"/>
      <c r="I1142" s="68"/>
      <c r="J1142" s="72"/>
      <c r="K1142" s="68"/>
      <c r="L1142" s="72"/>
      <c r="M1142" s="68"/>
      <c r="N1142" s="68"/>
      <c r="O1142" s="68"/>
      <c r="P1142" s="68"/>
      <c r="Q1142" s="72"/>
      <c r="R1142" s="68"/>
      <c r="S1142" s="72"/>
      <c r="T1142" s="68"/>
      <c r="U1142" s="68"/>
      <c r="V1142" s="68"/>
      <c r="W1142" s="68"/>
      <c r="X1142" s="72"/>
      <c r="Y1142" s="68"/>
      <c r="Z1142" s="72"/>
      <c r="AA1142" s="68"/>
      <c r="AB1142" s="68"/>
      <c r="AC1142" s="68"/>
      <c r="AD1142" s="68"/>
      <c r="AE1142" s="72"/>
      <c r="AF1142" s="68"/>
      <c r="AG1142" s="72"/>
      <c r="AH1142" s="68"/>
      <c r="AI1142" s="68"/>
      <c r="AJ1142" s="70"/>
    </row>
    <row r="1143" hidden="1">
      <c r="A1143" s="68"/>
      <c r="B1143" s="68"/>
      <c r="C1143" s="69"/>
      <c r="D1143" s="70"/>
      <c r="E1143" s="71"/>
      <c r="F1143" s="68"/>
      <c r="G1143" s="68"/>
      <c r="H1143" s="68"/>
      <c r="I1143" s="68"/>
      <c r="J1143" s="72"/>
      <c r="K1143" s="68"/>
      <c r="L1143" s="72"/>
      <c r="M1143" s="68"/>
      <c r="N1143" s="68"/>
      <c r="O1143" s="68"/>
      <c r="P1143" s="68"/>
      <c r="Q1143" s="72"/>
      <c r="R1143" s="68"/>
      <c r="S1143" s="72"/>
      <c r="T1143" s="68"/>
      <c r="U1143" s="68"/>
      <c r="V1143" s="68"/>
      <c r="W1143" s="68"/>
      <c r="X1143" s="72"/>
      <c r="Y1143" s="68"/>
      <c r="Z1143" s="72"/>
      <c r="AA1143" s="68"/>
      <c r="AB1143" s="68"/>
      <c r="AC1143" s="68"/>
      <c r="AD1143" s="68"/>
      <c r="AE1143" s="72"/>
      <c r="AF1143" s="68"/>
      <c r="AG1143" s="72"/>
      <c r="AH1143" s="68"/>
      <c r="AI1143" s="68"/>
      <c r="AJ1143" s="70"/>
    </row>
    <row r="1144" hidden="1">
      <c r="A1144" s="68"/>
      <c r="B1144" s="68"/>
      <c r="C1144" s="69"/>
      <c r="D1144" s="70"/>
      <c r="E1144" s="71"/>
      <c r="F1144" s="68"/>
      <c r="G1144" s="68"/>
      <c r="H1144" s="68"/>
      <c r="I1144" s="68"/>
      <c r="J1144" s="72"/>
      <c r="K1144" s="68"/>
      <c r="L1144" s="72"/>
      <c r="M1144" s="68"/>
      <c r="N1144" s="68"/>
      <c r="O1144" s="68"/>
      <c r="P1144" s="68"/>
      <c r="Q1144" s="72"/>
      <c r="R1144" s="68"/>
      <c r="S1144" s="72"/>
      <c r="T1144" s="68"/>
      <c r="U1144" s="68"/>
      <c r="V1144" s="68"/>
      <c r="W1144" s="68"/>
      <c r="X1144" s="72"/>
      <c r="Y1144" s="68"/>
      <c r="Z1144" s="72"/>
      <c r="AA1144" s="68"/>
      <c r="AB1144" s="68"/>
      <c r="AC1144" s="68"/>
      <c r="AD1144" s="68"/>
      <c r="AE1144" s="72"/>
      <c r="AF1144" s="68"/>
      <c r="AG1144" s="72"/>
      <c r="AH1144" s="68"/>
      <c r="AI1144" s="68"/>
      <c r="AJ1144" s="70"/>
    </row>
    <row r="1145" hidden="1">
      <c r="A1145" s="68"/>
      <c r="B1145" s="68"/>
      <c r="C1145" s="69"/>
      <c r="D1145" s="70"/>
      <c r="E1145" s="71"/>
      <c r="F1145" s="68"/>
      <c r="G1145" s="68"/>
      <c r="H1145" s="68"/>
      <c r="I1145" s="68"/>
      <c r="J1145" s="72"/>
      <c r="K1145" s="68"/>
      <c r="L1145" s="72"/>
      <c r="M1145" s="68"/>
      <c r="N1145" s="68"/>
      <c r="O1145" s="68"/>
      <c r="P1145" s="68"/>
      <c r="Q1145" s="72"/>
      <c r="R1145" s="68"/>
      <c r="S1145" s="72"/>
      <c r="T1145" s="68"/>
      <c r="U1145" s="68"/>
      <c r="V1145" s="68"/>
      <c r="W1145" s="68"/>
      <c r="X1145" s="72"/>
      <c r="Y1145" s="68"/>
      <c r="Z1145" s="72"/>
      <c r="AA1145" s="68"/>
      <c r="AB1145" s="68"/>
      <c r="AC1145" s="68"/>
      <c r="AD1145" s="68"/>
      <c r="AE1145" s="72"/>
      <c r="AF1145" s="68"/>
      <c r="AG1145" s="72"/>
      <c r="AH1145" s="68"/>
      <c r="AI1145" s="68"/>
      <c r="AJ1145" s="70"/>
    </row>
    <row r="1146" hidden="1">
      <c r="A1146" s="68"/>
      <c r="B1146" s="68"/>
      <c r="C1146" s="69"/>
      <c r="D1146" s="70"/>
      <c r="E1146" s="71"/>
      <c r="F1146" s="68"/>
      <c r="G1146" s="68"/>
      <c r="H1146" s="68"/>
      <c r="I1146" s="68"/>
      <c r="J1146" s="72"/>
      <c r="K1146" s="68"/>
      <c r="L1146" s="72"/>
      <c r="M1146" s="68"/>
      <c r="N1146" s="68"/>
      <c r="O1146" s="68"/>
      <c r="P1146" s="68"/>
      <c r="Q1146" s="72"/>
      <c r="R1146" s="68"/>
      <c r="S1146" s="72"/>
      <c r="T1146" s="68"/>
      <c r="U1146" s="68"/>
      <c r="V1146" s="68"/>
      <c r="W1146" s="68"/>
      <c r="X1146" s="72"/>
      <c r="Y1146" s="68"/>
      <c r="Z1146" s="72"/>
      <c r="AA1146" s="68"/>
      <c r="AB1146" s="68"/>
      <c r="AC1146" s="68"/>
      <c r="AD1146" s="68"/>
      <c r="AE1146" s="72"/>
      <c r="AF1146" s="68"/>
      <c r="AG1146" s="72"/>
      <c r="AH1146" s="68"/>
      <c r="AI1146" s="68"/>
      <c r="AJ1146" s="70"/>
    </row>
    <row r="1147" hidden="1">
      <c r="A1147" s="68"/>
      <c r="B1147" s="68"/>
      <c r="C1147" s="69"/>
      <c r="D1147" s="70"/>
      <c r="E1147" s="71"/>
      <c r="F1147" s="68"/>
      <c r="G1147" s="68"/>
      <c r="H1147" s="68"/>
      <c r="I1147" s="68"/>
      <c r="J1147" s="72"/>
      <c r="K1147" s="68"/>
      <c r="L1147" s="72"/>
      <c r="M1147" s="68"/>
      <c r="N1147" s="68"/>
      <c r="O1147" s="68"/>
      <c r="P1147" s="68"/>
      <c r="Q1147" s="72"/>
      <c r="R1147" s="68"/>
      <c r="S1147" s="72"/>
      <c r="T1147" s="68"/>
      <c r="U1147" s="68"/>
      <c r="V1147" s="68"/>
      <c r="W1147" s="68"/>
      <c r="X1147" s="72"/>
      <c r="Y1147" s="68"/>
      <c r="Z1147" s="72"/>
      <c r="AA1147" s="68"/>
      <c r="AB1147" s="68"/>
      <c r="AC1147" s="68"/>
      <c r="AD1147" s="68"/>
      <c r="AE1147" s="72"/>
      <c r="AF1147" s="68"/>
      <c r="AG1147" s="72"/>
      <c r="AH1147" s="68"/>
      <c r="AI1147" s="68"/>
      <c r="AJ1147" s="70"/>
    </row>
    <row r="1148" hidden="1">
      <c r="A1148" s="68"/>
      <c r="B1148" s="68"/>
      <c r="C1148" s="69"/>
      <c r="D1148" s="70"/>
      <c r="E1148" s="71"/>
      <c r="F1148" s="68"/>
      <c r="G1148" s="68"/>
      <c r="H1148" s="68"/>
      <c r="I1148" s="68"/>
      <c r="J1148" s="72"/>
      <c r="K1148" s="68"/>
      <c r="L1148" s="72"/>
      <c r="M1148" s="68"/>
      <c r="N1148" s="68"/>
      <c r="O1148" s="68"/>
      <c r="P1148" s="68"/>
      <c r="Q1148" s="72"/>
      <c r="R1148" s="68"/>
      <c r="S1148" s="72"/>
      <c r="T1148" s="68"/>
      <c r="U1148" s="68"/>
      <c r="V1148" s="68"/>
      <c r="W1148" s="68"/>
      <c r="X1148" s="72"/>
      <c r="Y1148" s="68"/>
      <c r="Z1148" s="72"/>
      <c r="AA1148" s="68"/>
      <c r="AB1148" s="68"/>
      <c r="AC1148" s="68"/>
      <c r="AD1148" s="68"/>
      <c r="AE1148" s="72"/>
      <c r="AF1148" s="68"/>
      <c r="AG1148" s="72"/>
      <c r="AH1148" s="68"/>
      <c r="AI1148" s="68"/>
      <c r="AJ1148" s="70"/>
    </row>
    <row r="1149" hidden="1">
      <c r="A1149" s="68"/>
      <c r="B1149" s="68"/>
      <c r="C1149" s="69"/>
      <c r="D1149" s="70"/>
      <c r="E1149" s="71"/>
      <c r="F1149" s="68"/>
      <c r="G1149" s="68"/>
      <c r="H1149" s="68"/>
      <c r="I1149" s="68"/>
      <c r="J1149" s="72"/>
      <c r="K1149" s="68"/>
      <c r="L1149" s="72"/>
      <c r="M1149" s="68"/>
      <c r="N1149" s="68"/>
      <c r="O1149" s="68"/>
      <c r="P1149" s="68"/>
      <c r="Q1149" s="72"/>
      <c r="R1149" s="68"/>
      <c r="S1149" s="72"/>
      <c r="T1149" s="68"/>
      <c r="U1149" s="68"/>
      <c r="V1149" s="68"/>
      <c r="W1149" s="68"/>
      <c r="X1149" s="72"/>
      <c r="Y1149" s="68"/>
      <c r="Z1149" s="72"/>
      <c r="AA1149" s="68"/>
      <c r="AB1149" s="68"/>
      <c r="AC1149" s="68"/>
      <c r="AD1149" s="68"/>
      <c r="AE1149" s="72"/>
      <c r="AF1149" s="68"/>
      <c r="AG1149" s="72"/>
      <c r="AH1149" s="68"/>
      <c r="AI1149" s="68"/>
      <c r="AJ1149" s="70"/>
    </row>
    <row r="1150" hidden="1">
      <c r="A1150" s="68"/>
      <c r="B1150" s="68"/>
      <c r="C1150" s="69"/>
      <c r="D1150" s="70"/>
      <c r="E1150" s="71"/>
      <c r="F1150" s="68"/>
      <c r="G1150" s="68"/>
      <c r="H1150" s="68"/>
      <c r="I1150" s="68"/>
      <c r="J1150" s="72"/>
      <c r="K1150" s="68"/>
      <c r="L1150" s="72"/>
      <c r="M1150" s="68"/>
      <c r="N1150" s="68"/>
      <c r="O1150" s="68"/>
      <c r="P1150" s="68"/>
      <c r="Q1150" s="72"/>
      <c r="R1150" s="68"/>
      <c r="S1150" s="72"/>
      <c r="T1150" s="68"/>
      <c r="U1150" s="68"/>
      <c r="V1150" s="68"/>
      <c r="W1150" s="68"/>
      <c r="X1150" s="72"/>
      <c r="Y1150" s="68"/>
      <c r="Z1150" s="72"/>
      <c r="AA1150" s="68"/>
      <c r="AB1150" s="68"/>
      <c r="AC1150" s="68"/>
      <c r="AD1150" s="68"/>
      <c r="AE1150" s="72"/>
      <c r="AF1150" s="68"/>
      <c r="AG1150" s="72"/>
      <c r="AH1150" s="68"/>
      <c r="AI1150" s="68"/>
      <c r="AJ1150" s="70"/>
    </row>
    <row r="1151" hidden="1">
      <c r="A1151" s="68"/>
      <c r="B1151" s="68"/>
      <c r="C1151" s="69"/>
      <c r="D1151" s="70"/>
      <c r="E1151" s="71"/>
      <c r="F1151" s="68"/>
      <c r="G1151" s="68"/>
      <c r="H1151" s="68"/>
      <c r="I1151" s="68"/>
      <c r="J1151" s="72"/>
      <c r="K1151" s="68"/>
      <c r="L1151" s="72"/>
      <c r="M1151" s="68"/>
      <c r="N1151" s="68"/>
      <c r="O1151" s="68"/>
      <c r="P1151" s="68"/>
      <c r="Q1151" s="72"/>
      <c r="R1151" s="68"/>
      <c r="S1151" s="72"/>
      <c r="T1151" s="68"/>
      <c r="U1151" s="68"/>
      <c r="V1151" s="68"/>
      <c r="W1151" s="68"/>
      <c r="X1151" s="72"/>
      <c r="Y1151" s="68"/>
      <c r="Z1151" s="72"/>
      <c r="AA1151" s="68"/>
      <c r="AB1151" s="68"/>
      <c r="AC1151" s="68"/>
      <c r="AD1151" s="68"/>
      <c r="AE1151" s="72"/>
      <c r="AF1151" s="68"/>
      <c r="AG1151" s="72"/>
      <c r="AH1151" s="68"/>
      <c r="AI1151" s="68"/>
      <c r="AJ1151" s="70"/>
    </row>
    <row r="1152" hidden="1">
      <c r="A1152" s="68"/>
      <c r="B1152" s="68"/>
      <c r="C1152" s="69"/>
      <c r="D1152" s="70"/>
      <c r="E1152" s="71"/>
      <c r="F1152" s="68"/>
      <c r="G1152" s="68"/>
      <c r="H1152" s="68"/>
      <c r="I1152" s="68"/>
      <c r="J1152" s="72"/>
      <c r="K1152" s="68"/>
      <c r="L1152" s="72"/>
      <c r="M1152" s="68"/>
      <c r="N1152" s="68"/>
      <c r="O1152" s="68"/>
      <c r="P1152" s="68"/>
      <c r="Q1152" s="72"/>
      <c r="R1152" s="68"/>
      <c r="S1152" s="72"/>
      <c r="T1152" s="68"/>
      <c r="U1152" s="68"/>
      <c r="V1152" s="68"/>
      <c r="W1152" s="68"/>
      <c r="X1152" s="72"/>
      <c r="Y1152" s="68"/>
      <c r="Z1152" s="72"/>
      <c r="AA1152" s="68"/>
      <c r="AB1152" s="68"/>
      <c r="AC1152" s="68"/>
      <c r="AD1152" s="68"/>
      <c r="AE1152" s="72"/>
      <c r="AF1152" s="68"/>
      <c r="AG1152" s="72"/>
      <c r="AH1152" s="68"/>
      <c r="AI1152" s="68"/>
      <c r="AJ1152" s="70"/>
    </row>
    <row r="1153" hidden="1">
      <c r="A1153" s="68"/>
      <c r="B1153" s="68"/>
      <c r="C1153" s="69"/>
      <c r="D1153" s="70"/>
      <c r="E1153" s="71"/>
      <c r="F1153" s="68"/>
      <c r="G1153" s="68"/>
      <c r="H1153" s="68"/>
      <c r="I1153" s="68"/>
      <c r="J1153" s="72"/>
      <c r="K1153" s="68"/>
      <c r="L1153" s="72"/>
      <c r="M1153" s="68"/>
      <c r="N1153" s="68"/>
      <c r="O1153" s="68"/>
      <c r="P1153" s="68"/>
      <c r="Q1153" s="72"/>
      <c r="R1153" s="68"/>
      <c r="S1153" s="72"/>
      <c r="T1153" s="68"/>
      <c r="U1153" s="68"/>
      <c r="V1153" s="68"/>
      <c r="W1153" s="68"/>
      <c r="X1153" s="72"/>
      <c r="Y1153" s="68"/>
      <c r="Z1153" s="72"/>
      <c r="AA1153" s="68"/>
      <c r="AB1153" s="68"/>
      <c r="AC1153" s="68"/>
      <c r="AD1153" s="68"/>
      <c r="AE1153" s="72"/>
      <c r="AF1153" s="68"/>
      <c r="AG1153" s="72"/>
      <c r="AH1153" s="68"/>
      <c r="AI1153" s="68"/>
      <c r="AJ1153" s="70"/>
    </row>
    <row r="1154" hidden="1">
      <c r="A1154" s="68"/>
      <c r="B1154" s="68"/>
      <c r="C1154" s="69"/>
      <c r="D1154" s="70"/>
      <c r="E1154" s="71"/>
      <c r="F1154" s="68"/>
      <c r="G1154" s="68"/>
      <c r="H1154" s="68"/>
      <c r="I1154" s="68"/>
      <c r="J1154" s="72"/>
      <c r="K1154" s="68"/>
      <c r="L1154" s="72"/>
      <c r="M1154" s="68"/>
      <c r="N1154" s="68"/>
      <c r="O1154" s="68"/>
      <c r="P1154" s="68"/>
      <c r="Q1154" s="72"/>
      <c r="R1154" s="68"/>
      <c r="S1154" s="72"/>
      <c r="T1154" s="68"/>
      <c r="U1154" s="68"/>
      <c r="V1154" s="68"/>
      <c r="W1154" s="68"/>
      <c r="X1154" s="72"/>
      <c r="Y1154" s="68"/>
      <c r="Z1154" s="72"/>
      <c r="AA1154" s="68"/>
      <c r="AB1154" s="68"/>
      <c r="AC1154" s="68"/>
      <c r="AD1154" s="68"/>
      <c r="AE1154" s="72"/>
      <c r="AF1154" s="68"/>
      <c r="AG1154" s="72"/>
      <c r="AH1154" s="68"/>
      <c r="AI1154" s="68"/>
      <c r="AJ1154" s="70"/>
    </row>
    <row r="1155" hidden="1">
      <c r="A1155" s="68"/>
      <c r="B1155" s="68"/>
      <c r="C1155" s="69"/>
      <c r="D1155" s="70"/>
      <c r="E1155" s="71"/>
      <c r="F1155" s="68"/>
      <c r="G1155" s="68"/>
      <c r="H1155" s="68"/>
      <c r="I1155" s="68"/>
      <c r="J1155" s="72"/>
      <c r="K1155" s="68"/>
      <c r="L1155" s="72"/>
      <c r="M1155" s="68"/>
      <c r="N1155" s="68"/>
      <c r="O1155" s="68"/>
      <c r="P1155" s="68"/>
      <c r="Q1155" s="72"/>
      <c r="R1155" s="68"/>
      <c r="S1155" s="72"/>
      <c r="T1155" s="68"/>
      <c r="U1155" s="68"/>
      <c r="V1155" s="68"/>
      <c r="W1155" s="68"/>
      <c r="X1155" s="72"/>
      <c r="Y1155" s="68"/>
      <c r="Z1155" s="72"/>
      <c r="AA1155" s="68"/>
      <c r="AB1155" s="68"/>
      <c r="AC1155" s="68"/>
      <c r="AD1155" s="68"/>
      <c r="AE1155" s="72"/>
      <c r="AF1155" s="68"/>
      <c r="AG1155" s="72"/>
      <c r="AH1155" s="68"/>
      <c r="AI1155" s="68"/>
      <c r="AJ1155" s="70"/>
    </row>
    <row r="1156" hidden="1">
      <c r="A1156" s="68"/>
      <c r="B1156" s="68"/>
      <c r="C1156" s="69"/>
      <c r="D1156" s="70"/>
      <c r="E1156" s="71"/>
      <c r="F1156" s="68"/>
      <c r="G1156" s="68"/>
      <c r="H1156" s="68"/>
      <c r="I1156" s="68"/>
      <c r="J1156" s="72"/>
      <c r="K1156" s="68"/>
      <c r="L1156" s="72"/>
      <c r="M1156" s="68"/>
      <c r="N1156" s="68"/>
      <c r="O1156" s="68"/>
      <c r="P1156" s="68"/>
      <c r="Q1156" s="72"/>
      <c r="R1156" s="68"/>
      <c r="S1156" s="72"/>
      <c r="T1156" s="68"/>
      <c r="U1156" s="68"/>
      <c r="V1156" s="68"/>
      <c r="W1156" s="68"/>
      <c r="X1156" s="72"/>
      <c r="Y1156" s="68"/>
      <c r="Z1156" s="72"/>
      <c r="AA1156" s="68"/>
      <c r="AB1156" s="68"/>
      <c r="AC1156" s="68"/>
      <c r="AD1156" s="68"/>
      <c r="AE1156" s="72"/>
      <c r="AF1156" s="68"/>
      <c r="AG1156" s="72"/>
      <c r="AH1156" s="68"/>
      <c r="AI1156" s="68"/>
      <c r="AJ1156" s="70"/>
    </row>
    <row r="1157" hidden="1">
      <c r="A1157" s="68"/>
      <c r="B1157" s="68"/>
      <c r="C1157" s="69"/>
      <c r="D1157" s="70"/>
      <c r="E1157" s="71"/>
      <c r="F1157" s="68"/>
      <c r="G1157" s="68"/>
      <c r="H1157" s="68"/>
      <c r="I1157" s="68"/>
      <c r="J1157" s="72"/>
      <c r="K1157" s="68"/>
      <c r="L1157" s="72"/>
      <c r="M1157" s="68"/>
      <c r="N1157" s="68"/>
      <c r="O1157" s="68"/>
      <c r="P1157" s="68"/>
      <c r="Q1157" s="72"/>
      <c r="R1157" s="68"/>
      <c r="S1157" s="72"/>
      <c r="T1157" s="68"/>
      <c r="U1157" s="68"/>
      <c r="V1157" s="68"/>
      <c r="W1157" s="68"/>
      <c r="X1157" s="72"/>
      <c r="Y1157" s="68"/>
      <c r="Z1157" s="72"/>
      <c r="AA1157" s="68"/>
      <c r="AB1157" s="68"/>
      <c r="AC1157" s="68"/>
      <c r="AD1157" s="68"/>
      <c r="AE1157" s="72"/>
      <c r="AF1157" s="68"/>
      <c r="AG1157" s="72"/>
      <c r="AH1157" s="68"/>
      <c r="AI1157" s="68"/>
      <c r="AJ1157" s="70"/>
    </row>
    <row r="1158" hidden="1">
      <c r="A1158" s="68"/>
      <c r="B1158" s="68"/>
      <c r="C1158" s="69"/>
      <c r="D1158" s="70"/>
      <c r="E1158" s="71"/>
      <c r="F1158" s="68"/>
      <c r="G1158" s="68"/>
      <c r="H1158" s="68"/>
      <c r="I1158" s="68"/>
      <c r="J1158" s="72"/>
      <c r="K1158" s="68"/>
      <c r="L1158" s="72"/>
      <c r="M1158" s="68"/>
      <c r="N1158" s="68"/>
      <c r="O1158" s="68"/>
      <c r="P1158" s="68"/>
      <c r="Q1158" s="72"/>
      <c r="R1158" s="68"/>
      <c r="S1158" s="72"/>
      <c r="T1158" s="68"/>
      <c r="U1158" s="68"/>
      <c r="V1158" s="68"/>
      <c r="W1158" s="68"/>
      <c r="X1158" s="72"/>
      <c r="Y1158" s="68"/>
      <c r="Z1158" s="72"/>
      <c r="AA1158" s="68"/>
      <c r="AB1158" s="68"/>
      <c r="AC1158" s="68"/>
      <c r="AD1158" s="68"/>
      <c r="AE1158" s="72"/>
      <c r="AF1158" s="68"/>
      <c r="AG1158" s="72"/>
      <c r="AH1158" s="68"/>
      <c r="AI1158" s="68"/>
      <c r="AJ1158" s="70"/>
    </row>
    <row r="1159" hidden="1">
      <c r="A1159" s="68"/>
      <c r="B1159" s="68"/>
      <c r="C1159" s="69"/>
      <c r="D1159" s="70"/>
      <c r="E1159" s="71"/>
      <c r="F1159" s="68"/>
      <c r="G1159" s="68"/>
      <c r="H1159" s="68"/>
      <c r="I1159" s="68"/>
      <c r="J1159" s="72"/>
      <c r="K1159" s="68"/>
      <c r="L1159" s="72"/>
      <c r="M1159" s="68"/>
      <c r="N1159" s="68"/>
      <c r="O1159" s="68"/>
      <c r="P1159" s="68"/>
      <c r="Q1159" s="72"/>
      <c r="R1159" s="68"/>
      <c r="S1159" s="72"/>
      <c r="T1159" s="68"/>
      <c r="U1159" s="68"/>
      <c r="V1159" s="68"/>
      <c r="W1159" s="68"/>
      <c r="X1159" s="72"/>
      <c r="Y1159" s="68"/>
      <c r="Z1159" s="72"/>
      <c r="AA1159" s="68"/>
      <c r="AB1159" s="68"/>
      <c r="AC1159" s="68"/>
      <c r="AD1159" s="68"/>
      <c r="AE1159" s="72"/>
      <c r="AF1159" s="68"/>
      <c r="AG1159" s="72"/>
      <c r="AH1159" s="68"/>
      <c r="AI1159" s="68"/>
      <c r="AJ1159" s="70"/>
    </row>
    <row r="1160" hidden="1">
      <c r="A1160" s="68"/>
      <c r="B1160" s="68"/>
      <c r="C1160" s="69"/>
      <c r="D1160" s="70"/>
      <c r="E1160" s="71"/>
      <c r="F1160" s="68"/>
      <c r="G1160" s="68"/>
      <c r="H1160" s="68"/>
      <c r="I1160" s="68"/>
      <c r="J1160" s="72"/>
      <c r="K1160" s="68"/>
      <c r="L1160" s="72"/>
      <c r="M1160" s="68"/>
      <c r="N1160" s="68"/>
      <c r="O1160" s="68"/>
      <c r="P1160" s="68"/>
      <c r="Q1160" s="72"/>
      <c r="R1160" s="68"/>
      <c r="S1160" s="72"/>
      <c r="T1160" s="68"/>
      <c r="U1160" s="68"/>
      <c r="V1160" s="68"/>
      <c r="W1160" s="68"/>
      <c r="X1160" s="72"/>
      <c r="Y1160" s="68"/>
      <c r="Z1160" s="72"/>
      <c r="AA1160" s="68"/>
      <c r="AB1160" s="68"/>
      <c r="AC1160" s="68"/>
      <c r="AD1160" s="68"/>
      <c r="AE1160" s="72"/>
      <c r="AF1160" s="68"/>
      <c r="AG1160" s="72"/>
      <c r="AH1160" s="68"/>
      <c r="AI1160" s="68"/>
      <c r="AJ1160" s="70"/>
    </row>
    <row r="1161" hidden="1">
      <c r="A1161" s="68"/>
      <c r="B1161" s="68"/>
      <c r="C1161" s="69"/>
      <c r="D1161" s="70"/>
      <c r="E1161" s="71"/>
      <c r="F1161" s="68"/>
      <c r="G1161" s="68"/>
      <c r="H1161" s="68"/>
      <c r="I1161" s="68"/>
      <c r="J1161" s="72"/>
      <c r="K1161" s="68"/>
      <c r="L1161" s="72"/>
      <c r="M1161" s="68"/>
      <c r="N1161" s="68"/>
      <c r="O1161" s="68"/>
      <c r="P1161" s="68"/>
      <c r="Q1161" s="72"/>
      <c r="R1161" s="68"/>
      <c r="S1161" s="72"/>
      <c r="T1161" s="68"/>
      <c r="U1161" s="68"/>
      <c r="V1161" s="68"/>
      <c r="W1161" s="68"/>
      <c r="X1161" s="72"/>
      <c r="Y1161" s="68"/>
      <c r="Z1161" s="72"/>
      <c r="AA1161" s="68"/>
      <c r="AB1161" s="68"/>
      <c r="AC1161" s="68"/>
      <c r="AD1161" s="68"/>
      <c r="AE1161" s="72"/>
      <c r="AF1161" s="68"/>
      <c r="AG1161" s="72"/>
      <c r="AH1161" s="68"/>
      <c r="AI1161" s="68"/>
      <c r="AJ1161" s="70"/>
    </row>
    <row r="1162" hidden="1">
      <c r="A1162" s="68"/>
      <c r="B1162" s="68"/>
      <c r="C1162" s="69"/>
      <c r="D1162" s="70"/>
      <c r="E1162" s="71"/>
      <c r="F1162" s="68"/>
      <c r="G1162" s="68"/>
      <c r="H1162" s="68"/>
      <c r="I1162" s="68"/>
      <c r="J1162" s="72"/>
      <c r="K1162" s="68"/>
      <c r="L1162" s="72"/>
      <c r="M1162" s="68"/>
      <c r="N1162" s="68"/>
      <c r="O1162" s="68"/>
      <c r="P1162" s="68"/>
      <c r="Q1162" s="72"/>
      <c r="R1162" s="68"/>
      <c r="S1162" s="72"/>
      <c r="T1162" s="68"/>
      <c r="U1162" s="68"/>
      <c r="V1162" s="68"/>
      <c r="W1162" s="68"/>
      <c r="X1162" s="72"/>
      <c r="Y1162" s="68"/>
      <c r="Z1162" s="72"/>
      <c r="AA1162" s="68"/>
      <c r="AB1162" s="68"/>
      <c r="AC1162" s="68"/>
      <c r="AD1162" s="68"/>
      <c r="AE1162" s="72"/>
      <c r="AF1162" s="68"/>
      <c r="AG1162" s="72"/>
      <c r="AH1162" s="68"/>
      <c r="AI1162" s="68"/>
      <c r="AJ1162" s="70"/>
    </row>
    <row r="1163" hidden="1">
      <c r="A1163" s="68"/>
      <c r="B1163" s="68"/>
      <c r="C1163" s="69"/>
      <c r="D1163" s="70"/>
      <c r="E1163" s="71"/>
      <c r="F1163" s="68"/>
      <c r="G1163" s="68"/>
      <c r="H1163" s="68"/>
      <c r="I1163" s="68"/>
      <c r="J1163" s="72"/>
      <c r="K1163" s="68"/>
      <c r="L1163" s="72"/>
      <c r="M1163" s="68"/>
      <c r="N1163" s="68"/>
      <c r="O1163" s="68"/>
      <c r="P1163" s="68"/>
      <c r="Q1163" s="72"/>
      <c r="R1163" s="68"/>
      <c r="S1163" s="72"/>
      <c r="T1163" s="68"/>
      <c r="U1163" s="68"/>
      <c r="V1163" s="68"/>
      <c r="W1163" s="68"/>
      <c r="X1163" s="72"/>
      <c r="Y1163" s="68"/>
      <c r="Z1163" s="72"/>
      <c r="AA1163" s="68"/>
      <c r="AB1163" s="68"/>
      <c r="AC1163" s="68"/>
      <c r="AD1163" s="68"/>
      <c r="AE1163" s="72"/>
      <c r="AF1163" s="68"/>
      <c r="AG1163" s="72"/>
      <c r="AH1163" s="68"/>
      <c r="AI1163" s="68"/>
      <c r="AJ1163" s="70"/>
    </row>
    <row r="1164" hidden="1">
      <c r="A1164" s="68"/>
      <c r="B1164" s="68"/>
      <c r="C1164" s="69"/>
      <c r="D1164" s="70"/>
      <c r="E1164" s="71"/>
      <c r="F1164" s="68"/>
      <c r="G1164" s="68"/>
      <c r="H1164" s="68"/>
      <c r="I1164" s="68"/>
      <c r="J1164" s="72"/>
      <c r="K1164" s="68"/>
      <c r="L1164" s="72"/>
      <c r="M1164" s="68"/>
      <c r="N1164" s="68"/>
      <c r="O1164" s="68"/>
      <c r="P1164" s="68"/>
      <c r="Q1164" s="72"/>
      <c r="R1164" s="68"/>
      <c r="S1164" s="72"/>
      <c r="T1164" s="68"/>
      <c r="U1164" s="68"/>
      <c r="V1164" s="68"/>
      <c r="W1164" s="68"/>
      <c r="X1164" s="72"/>
      <c r="Y1164" s="68"/>
      <c r="Z1164" s="72"/>
      <c r="AA1164" s="68"/>
      <c r="AB1164" s="68"/>
      <c r="AC1164" s="68"/>
      <c r="AD1164" s="68"/>
      <c r="AE1164" s="72"/>
      <c r="AF1164" s="68"/>
      <c r="AG1164" s="72"/>
      <c r="AH1164" s="68"/>
      <c r="AI1164" s="68"/>
      <c r="AJ1164" s="70"/>
    </row>
    <row r="1165" hidden="1">
      <c r="A1165" s="68"/>
      <c r="B1165" s="68"/>
      <c r="C1165" s="69"/>
      <c r="D1165" s="70"/>
      <c r="E1165" s="71"/>
      <c r="F1165" s="68"/>
      <c r="G1165" s="68"/>
      <c r="H1165" s="68"/>
      <c r="I1165" s="68"/>
      <c r="J1165" s="72"/>
      <c r="K1165" s="68"/>
      <c r="L1165" s="72"/>
      <c r="M1165" s="68"/>
      <c r="N1165" s="68"/>
      <c r="O1165" s="68"/>
      <c r="P1165" s="68"/>
      <c r="Q1165" s="72"/>
      <c r="R1165" s="68"/>
      <c r="S1165" s="72"/>
      <c r="T1165" s="68"/>
      <c r="U1165" s="68"/>
      <c r="V1165" s="68"/>
      <c r="W1165" s="68"/>
      <c r="X1165" s="72"/>
      <c r="Y1165" s="68"/>
      <c r="Z1165" s="72"/>
      <c r="AA1165" s="68"/>
      <c r="AB1165" s="68"/>
      <c r="AC1165" s="68"/>
      <c r="AD1165" s="68"/>
      <c r="AE1165" s="72"/>
      <c r="AF1165" s="68"/>
      <c r="AG1165" s="72"/>
      <c r="AH1165" s="68"/>
      <c r="AI1165" s="68"/>
      <c r="AJ1165" s="70"/>
    </row>
    <row r="1166" hidden="1">
      <c r="A1166" s="68"/>
      <c r="B1166" s="68"/>
      <c r="C1166" s="69"/>
      <c r="D1166" s="70"/>
      <c r="E1166" s="71"/>
      <c r="F1166" s="68"/>
      <c r="G1166" s="68"/>
      <c r="H1166" s="68"/>
      <c r="I1166" s="68"/>
      <c r="J1166" s="72"/>
      <c r="K1166" s="68"/>
      <c r="L1166" s="72"/>
      <c r="M1166" s="68"/>
      <c r="N1166" s="68"/>
      <c r="O1166" s="68"/>
      <c r="P1166" s="68"/>
      <c r="Q1166" s="72"/>
      <c r="R1166" s="68"/>
      <c r="S1166" s="72"/>
      <c r="T1166" s="68"/>
      <c r="U1166" s="68"/>
      <c r="V1166" s="68"/>
      <c r="W1166" s="68"/>
      <c r="X1166" s="72"/>
      <c r="Y1166" s="68"/>
      <c r="Z1166" s="72"/>
      <c r="AA1166" s="68"/>
      <c r="AB1166" s="68"/>
      <c r="AC1166" s="68"/>
      <c r="AD1166" s="68"/>
      <c r="AE1166" s="72"/>
      <c r="AF1166" s="68"/>
      <c r="AG1166" s="72"/>
      <c r="AH1166" s="68"/>
      <c r="AI1166" s="68"/>
      <c r="AJ1166" s="70"/>
    </row>
    <row r="1167" hidden="1">
      <c r="A1167" s="68"/>
      <c r="B1167" s="68"/>
      <c r="C1167" s="69"/>
      <c r="D1167" s="70"/>
      <c r="E1167" s="71"/>
      <c r="F1167" s="68"/>
      <c r="G1167" s="68"/>
      <c r="H1167" s="68"/>
      <c r="I1167" s="68"/>
      <c r="J1167" s="72"/>
      <c r="K1167" s="68"/>
      <c r="L1167" s="72"/>
      <c r="M1167" s="68"/>
      <c r="N1167" s="68"/>
      <c r="O1167" s="68"/>
      <c r="P1167" s="68"/>
      <c r="Q1167" s="72"/>
      <c r="R1167" s="68"/>
      <c r="S1167" s="72"/>
      <c r="T1167" s="68"/>
      <c r="U1167" s="68"/>
      <c r="V1167" s="68"/>
      <c r="W1167" s="68"/>
      <c r="X1167" s="72"/>
      <c r="Y1167" s="68"/>
      <c r="Z1167" s="72"/>
      <c r="AA1167" s="68"/>
      <c r="AB1167" s="68"/>
      <c r="AC1167" s="68"/>
      <c r="AD1167" s="68"/>
      <c r="AE1167" s="72"/>
      <c r="AF1167" s="68"/>
      <c r="AG1167" s="72"/>
      <c r="AH1167" s="68"/>
      <c r="AI1167" s="68"/>
      <c r="AJ1167" s="70"/>
    </row>
    <row r="1168" hidden="1">
      <c r="A1168" s="68"/>
      <c r="B1168" s="68"/>
      <c r="C1168" s="69"/>
      <c r="D1168" s="70"/>
      <c r="E1168" s="71"/>
      <c r="F1168" s="68"/>
      <c r="G1168" s="68"/>
      <c r="H1168" s="68"/>
      <c r="I1168" s="68"/>
      <c r="J1168" s="72"/>
      <c r="K1168" s="68"/>
      <c r="L1168" s="72"/>
      <c r="M1168" s="68"/>
      <c r="N1168" s="68"/>
      <c r="O1168" s="68"/>
      <c r="P1168" s="68"/>
      <c r="Q1168" s="72"/>
      <c r="R1168" s="68"/>
      <c r="S1168" s="72"/>
      <c r="T1168" s="68"/>
      <c r="U1168" s="68"/>
      <c r="V1168" s="68"/>
      <c r="W1168" s="68"/>
      <c r="X1168" s="72"/>
      <c r="Y1168" s="68"/>
      <c r="Z1168" s="72"/>
      <c r="AA1168" s="68"/>
      <c r="AB1168" s="68"/>
      <c r="AC1168" s="68"/>
      <c r="AD1168" s="68"/>
      <c r="AE1168" s="72"/>
      <c r="AF1168" s="68"/>
      <c r="AG1168" s="72"/>
      <c r="AH1168" s="68"/>
      <c r="AI1168" s="68"/>
      <c r="AJ1168" s="70"/>
    </row>
    <row r="1169" hidden="1">
      <c r="A1169" s="68"/>
      <c r="B1169" s="68"/>
      <c r="C1169" s="69"/>
      <c r="D1169" s="70"/>
      <c r="E1169" s="71"/>
      <c r="F1169" s="68"/>
      <c r="G1169" s="68"/>
      <c r="H1169" s="68"/>
      <c r="I1169" s="68"/>
      <c r="J1169" s="72"/>
      <c r="K1169" s="68"/>
      <c r="L1169" s="72"/>
      <c r="M1169" s="68"/>
      <c r="N1169" s="68"/>
      <c r="O1169" s="68"/>
      <c r="P1169" s="68"/>
      <c r="Q1169" s="72"/>
      <c r="R1169" s="68"/>
      <c r="S1169" s="72"/>
      <c r="T1169" s="68"/>
      <c r="U1169" s="68"/>
      <c r="V1169" s="68"/>
      <c r="W1169" s="68"/>
      <c r="X1169" s="72"/>
      <c r="Y1169" s="68"/>
      <c r="Z1169" s="72"/>
      <c r="AA1169" s="68"/>
      <c r="AB1169" s="68"/>
      <c r="AC1169" s="68"/>
      <c r="AD1169" s="68"/>
      <c r="AE1169" s="72"/>
      <c r="AF1169" s="68"/>
      <c r="AG1169" s="72"/>
      <c r="AH1169" s="68"/>
      <c r="AI1169" s="68"/>
      <c r="AJ1169" s="70"/>
    </row>
    <row r="1170" hidden="1">
      <c r="A1170" s="68"/>
      <c r="B1170" s="68"/>
      <c r="C1170" s="69"/>
      <c r="D1170" s="70"/>
      <c r="E1170" s="71"/>
      <c r="F1170" s="68"/>
      <c r="G1170" s="68"/>
      <c r="H1170" s="68"/>
      <c r="I1170" s="68"/>
      <c r="J1170" s="72"/>
      <c r="K1170" s="68"/>
      <c r="L1170" s="72"/>
      <c r="M1170" s="68"/>
      <c r="N1170" s="68"/>
      <c r="O1170" s="68"/>
      <c r="P1170" s="68"/>
      <c r="Q1170" s="72"/>
      <c r="R1170" s="68"/>
      <c r="S1170" s="72"/>
      <c r="T1170" s="68"/>
      <c r="U1170" s="68"/>
      <c r="V1170" s="68"/>
      <c r="W1170" s="68"/>
      <c r="X1170" s="72"/>
      <c r="Y1170" s="68"/>
      <c r="Z1170" s="72"/>
      <c r="AA1170" s="68"/>
      <c r="AB1170" s="68"/>
      <c r="AC1170" s="68"/>
      <c r="AD1170" s="68"/>
      <c r="AE1170" s="72"/>
      <c r="AF1170" s="68"/>
      <c r="AG1170" s="72"/>
      <c r="AH1170" s="68"/>
      <c r="AI1170" s="68"/>
      <c r="AJ1170" s="70"/>
    </row>
    <row r="1171" hidden="1">
      <c r="A1171" s="68"/>
      <c r="B1171" s="68"/>
      <c r="C1171" s="69"/>
      <c r="D1171" s="70"/>
      <c r="E1171" s="71"/>
      <c r="F1171" s="68"/>
      <c r="G1171" s="68"/>
      <c r="H1171" s="68"/>
      <c r="I1171" s="68"/>
      <c r="J1171" s="72"/>
      <c r="K1171" s="68"/>
      <c r="L1171" s="72"/>
      <c r="M1171" s="68"/>
      <c r="N1171" s="68"/>
      <c r="O1171" s="68"/>
      <c r="P1171" s="68"/>
      <c r="Q1171" s="72"/>
      <c r="R1171" s="68"/>
      <c r="S1171" s="72"/>
      <c r="T1171" s="68"/>
      <c r="U1171" s="68"/>
      <c r="V1171" s="68"/>
      <c r="W1171" s="68"/>
      <c r="X1171" s="72"/>
      <c r="Y1171" s="68"/>
      <c r="Z1171" s="72"/>
      <c r="AA1171" s="68"/>
      <c r="AB1171" s="68"/>
      <c r="AC1171" s="68"/>
      <c r="AD1171" s="68"/>
      <c r="AE1171" s="72"/>
      <c r="AF1171" s="68"/>
      <c r="AG1171" s="72"/>
      <c r="AH1171" s="68"/>
      <c r="AI1171" s="68"/>
      <c r="AJ1171" s="70"/>
    </row>
    <row r="1172" hidden="1">
      <c r="A1172" s="68"/>
      <c r="B1172" s="68"/>
      <c r="C1172" s="69"/>
      <c r="D1172" s="70"/>
      <c r="E1172" s="71"/>
      <c r="F1172" s="68"/>
      <c r="G1172" s="68"/>
      <c r="H1172" s="68"/>
      <c r="I1172" s="68"/>
      <c r="J1172" s="72"/>
      <c r="K1172" s="68"/>
      <c r="L1172" s="72"/>
      <c r="M1172" s="68"/>
      <c r="N1172" s="68"/>
      <c r="O1172" s="68"/>
      <c r="P1172" s="68"/>
      <c r="Q1172" s="72"/>
      <c r="R1172" s="68"/>
      <c r="S1172" s="72"/>
      <c r="T1172" s="68"/>
      <c r="U1172" s="68"/>
      <c r="V1172" s="68"/>
      <c r="W1172" s="68"/>
      <c r="X1172" s="72"/>
      <c r="Y1172" s="68"/>
      <c r="Z1172" s="72"/>
      <c r="AA1172" s="68"/>
      <c r="AB1172" s="68"/>
      <c r="AC1172" s="68"/>
      <c r="AD1172" s="68"/>
      <c r="AE1172" s="72"/>
      <c r="AF1172" s="68"/>
      <c r="AG1172" s="72"/>
      <c r="AH1172" s="68"/>
      <c r="AI1172" s="68"/>
      <c r="AJ1172" s="70"/>
    </row>
    <row r="1173" hidden="1">
      <c r="A1173" s="68"/>
      <c r="B1173" s="68"/>
      <c r="C1173" s="69"/>
      <c r="D1173" s="70"/>
      <c r="E1173" s="71"/>
      <c r="F1173" s="68"/>
      <c r="G1173" s="68"/>
      <c r="H1173" s="68"/>
      <c r="I1173" s="68"/>
      <c r="J1173" s="72"/>
      <c r="K1173" s="68"/>
      <c r="L1173" s="72"/>
      <c r="M1173" s="68"/>
      <c r="N1173" s="68"/>
      <c r="O1173" s="68"/>
      <c r="P1173" s="68"/>
      <c r="Q1173" s="72"/>
      <c r="R1173" s="68"/>
      <c r="S1173" s="72"/>
      <c r="T1173" s="68"/>
      <c r="U1173" s="68"/>
      <c r="V1173" s="68"/>
      <c r="W1173" s="68"/>
      <c r="X1173" s="72"/>
      <c r="Y1173" s="68"/>
      <c r="Z1173" s="72"/>
      <c r="AA1173" s="68"/>
      <c r="AB1173" s="68"/>
      <c r="AC1173" s="68"/>
      <c r="AD1173" s="68"/>
      <c r="AE1173" s="72"/>
      <c r="AF1173" s="68"/>
      <c r="AG1173" s="72"/>
      <c r="AH1173" s="68"/>
      <c r="AI1173" s="68"/>
      <c r="AJ1173" s="70"/>
    </row>
    <row r="1174" hidden="1">
      <c r="A1174" s="68"/>
      <c r="B1174" s="68"/>
      <c r="C1174" s="69"/>
      <c r="D1174" s="70"/>
      <c r="E1174" s="71"/>
      <c r="F1174" s="68"/>
      <c r="G1174" s="68"/>
      <c r="H1174" s="68"/>
      <c r="I1174" s="68"/>
      <c r="J1174" s="72"/>
      <c r="K1174" s="68"/>
      <c r="L1174" s="72"/>
      <c r="M1174" s="68"/>
      <c r="N1174" s="68"/>
      <c r="O1174" s="68"/>
      <c r="P1174" s="68"/>
      <c r="Q1174" s="72"/>
      <c r="R1174" s="68"/>
      <c r="S1174" s="72"/>
      <c r="T1174" s="68"/>
      <c r="U1174" s="68"/>
      <c r="V1174" s="68"/>
      <c r="W1174" s="68"/>
      <c r="X1174" s="72"/>
      <c r="Y1174" s="68"/>
      <c r="Z1174" s="72"/>
      <c r="AA1174" s="68"/>
      <c r="AB1174" s="68"/>
      <c r="AC1174" s="68"/>
      <c r="AD1174" s="68"/>
      <c r="AE1174" s="72"/>
      <c r="AF1174" s="68"/>
      <c r="AG1174" s="72"/>
      <c r="AH1174" s="68"/>
      <c r="AI1174" s="68"/>
      <c r="AJ1174" s="70"/>
    </row>
    <row r="1175" hidden="1">
      <c r="A1175" s="68"/>
      <c r="B1175" s="68"/>
      <c r="C1175" s="69"/>
      <c r="D1175" s="70"/>
      <c r="E1175" s="71"/>
      <c r="F1175" s="68"/>
      <c r="G1175" s="68"/>
      <c r="H1175" s="68"/>
      <c r="I1175" s="68"/>
      <c r="J1175" s="72"/>
      <c r="K1175" s="68"/>
      <c r="L1175" s="72"/>
      <c r="M1175" s="68"/>
      <c r="N1175" s="68"/>
      <c r="O1175" s="68"/>
      <c r="P1175" s="68"/>
      <c r="Q1175" s="72"/>
      <c r="R1175" s="68"/>
      <c r="S1175" s="72"/>
      <c r="T1175" s="68"/>
      <c r="U1175" s="68"/>
      <c r="V1175" s="68"/>
      <c r="W1175" s="68"/>
      <c r="X1175" s="72"/>
      <c r="Y1175" s="68"/>
      <c r="Z1175" s="72"/>
      <c r="AA1175" s="68"/>
      <c r="AB1175" s="68"/>
      <c r="AC1175" s="68"/>
      <c r="AD1175" s="68"/>
      <c r="AE1175" s="72"/>
      <c r="AF1175" s="68"/>
      <c r="AG1175" s="72"/>
      <c r="AH1175" s="68"/>
      <c r="AI1175" s="68"/>
      <c r="AJ1175" s="70"/>
    </row>
    <row r="1176" hidden="1">
      <c r="A1176" s="68"/>
      <c r="B1176" s="68"/>
      <c r="C1176" s="69"/>
      <c r="D1176" s="70"/>
      <c r="E1176" s="71"/>
      <c r="F1176" s="68"/>
      <c r="G1176" s="68"/>
      <c r="H1176" s="68"/>
      <c r="I1176" s="68"/>
      <c r="J1176" s="72"/>
      <c r="K1176" s="68"/>
      <c r="L1176" s="72"/>
      <c r="M1176" s="68"/>
      <c r="N1176" s="68"/>
      <c r="O1176" s="68"/>
      <c r="P1176" s="68"/>
      <c r="Q1176" s="72"/>
      <c r="R1176" s="68"/>
      <c r="S1176" s="72"/>
      <c r="T1176" s="68"/>
      <c r="U1176" s="68"/>
      <c r="V1176" s="68"/>
      <c r="W1176" s="68"/>
      <c r="X1176" s="72"/>
      <c r="Y1176" s="68"/>
      <c r="Z1176" s="72"/>
      <c r="AA1176" s="68"/>
      <c r="AB1176" s="68"/>
      <c r="AC1176" s="68"/>
      <c r="AD1176" s="68"/>
      <c r="AE1176" s="72"/>
      <c r="AF1176" s="68"/>
      <c r="AG1176" s="72"/>
      <c r="AH1176" s="68"/>
      <c r="AI1176" s="68"/>
      <c r="AJ1176" s="70"/>
    </row>
    <row r="1177" hidden="1">
      <c r="A1177" s="68"/>
      <c r="B1177" s="68"/>
      <c r="C1177" s="69"/>
      <c r="D1177" s="70"/>
      <c r="E1177" s="71"/>
      <c r="F1177" s="68"/>
      <c r="G1177" s="68"/>
      <c r="H1177" s="68"/>
      <c r="I1177" s="68"/>
      <c r="J1177" s="72"/>
      <c r="K1177" s="68"/>
      <c r="L1177" s="72"/>
      <c r="M1177" s="68"/>
      <c r="N1177" s="68"/>
      <c r="O1177" s="68"/>
      <c r="P1177" s="68"/>
      <c r="Q1177" s="72"/>
      <c r="R1177" s="68"/>
      <c r="S1177" s="72"/>
      <c r="T1177" s="68"/>
      <c r="U1177" s="68"/>
      <c r="V1177" s="68"/>
      <c r="W1177" s="68"/>
      <c r="X1177" s="72"/>
      <c r="Y1177" s="68"/>
      <c r="Z1177" s="72"/>
      <c r="AA1177" s="68"/>
      <c r="AB1177" s="68"/>
      <c r="AC1177" s="68"/>
      <c r="AD1177" s="68"/>
      <c r="AE1177" s="72"/>
      <c r="AF1177" s="68"/>
      <c r="AG1177" s="72"/>
      <c r="AH1177" s="68"/>
      <c r="AI1177" s="68"/>
      <c r="AJ1177" s="70"/>
    </row>
    <row r="1178" hidden="1">
      <c r="A1178" s="68"/>
      <c r="B1178" s="68"/>
      <c r="C1178" s="69"/>
      <c r="D1178" s="70"/>
      <c r="E1178" s="71"/>
      <c r="F1178" s="68"/>
      <c r="G1178" s="68"/>
      <c r="H1178" s="68"/>
      <c r="I1178" s="68"/>
      <c r="J1178" s="72"/>
      <c r="K1178" s="68"/>
      <c r="L1178" s="72"/>
      <c r="M1178" s="68"/>
      <c r="N1178" s="68"/>
      <c r="O1178" s="68"/>
      <c r="P1178" s="68"/>
      <c r="Q1178" s="72"/>
      <c r="R1178" s="68"/>
      <c r="S1178" s="72"/>
      <c r="T1178" s="68"/>
      <c r="U1178" s="68"/>
      <c r="V1178" s="68"/>
      <c r="W1178" s="68"/>
      <c r="X1178" s="72"/>
      <c r="Y1178" s="68"/>
      <c r="Z1178" s="72"/>
      <c r="AA1178" s="68"/>
      <c r="AB1178" s="68"/>
      <c r="AC1178" s="68"/>
      <c r="AD1178" s="68"/>
      <c r="AE1178" s="72"/>
      <c r="AF1178" s="68"/>
      <c r="AG1178" s="72"/>
      <c r="AH1178" s="68"/>
      <c r="AI1178" s="68"/>
      <c r="AJ1178" s="70"/>
    </row>
    <row r="1179" hidden="1">
      <c r="A1179" s="68"/>
      <c r="B1179" s="68"/>
      <c r="C1179" s="69"/>
      <c r="D1179" s="70"/>
      <c r="E1179" s="71"/>
      <c r="F1179" s="68"/>
      <c r="G1179" s="68"/>
      <c r="H1179" s="68"/>
      <c r="I1179" s="68"/>
      <c r="J1179" s="72"/>
      <c r="K1179" s="68"/>
      <c r="L1179" s="72"/>
      <c r="M1179" s="68"/>
      <c r="N1179" s="68"/>
      <c r="O1179" s="68"/>
      <c r="P1179" s="68"/>
      <c r="Q1179" s="72"/>
      <c r="R1179" s="68"/>
      <c r="S1179" s="72"/>
      <c r="T1179" s="68"/>
      <c r="U1179" s="68"/>
      <c r="V1179" s="68"/>
      <c r="W1179" s="68"/>
      <c r="X1179" s="72"/>
      <c r="Y1179" s="68"/>
      <c r="Z1179" s="72"/>
      <c r="AA1179" s="68"/>
      <c r="AB1179" s="68"/>
      <c r="AC1179" s="68"/>
      <c r="AD1179" s="68"/>
      <c r="AE1179" s="72"/>
      <c r="AF1179" s="68"/>
      <c r="AG1179" s="72"/>
      <c r="AH1179" s="68"/>
      <c r="AI1179" s="68"/>
      <c r="AJ1179" s="70"/>
    </row>
    <row r="1180" hidden="1">
      <c r="A1180" s="68"/>
      <c r="B1180" s="68"/>
      <c r="C1180" s="69"/>
      <c r="D1180" s="70"/>
      <c r="E1180" s="71"/>
      <c r="F1180" s="68"/>
      <c r="G1180" s="68"/>
      <c r="H1180" s="68"/>
      <c r="I1180" s="68"/>
      <c r="J1180" s="72"/>
      <c r="K1180" s="68"/>
      <c r="L1180" s="72"/>
      <c r="M1180" s="68"/>
      <c r="N1180" s="68"/>
      <c r="O1180" s="68"/>
      <c r="P1180" s="68"/>
      <c r="Q1180" s="72"/>
      <c r="R1180" s="68"/>
      <c r="S1180" s="72"/>
      <c r="T1180" s="68"/>
      <c r="U1180" s="68"/>
      <c r="V1180" s="68"/>
      <c r="W1180" s="68"/>
      <c r="X1180" s="72"/>
      <c r="Y1180" s="68"/>
      <c r="Z1180" s="72"/>
      <c r="AA1180" s="68"/>
      <c r="AB1180" s="68"/>
      <c r="AC1180" s="68"/>
      <c r="AD1180" s="68"/>
      <c r="AE1180" s="72"/>
      <c r="AF1180" s="68"/>
      <c r="AG1180" s="72"/>
      <c r="AH1180" s="68"/>
      <c r="AI1180" s="68"/>
      <c r="AJ1180" s="70"/>
    </row>
    <row r="1181" hidden="1">
      <c r="A1181" s="68"/>
      <c r="B1181" s="68"/>
      <c r="C1181" s="69"/>
      <c r="D1181" s="70"/>
      <c r="E1181" s="71"/>
      <c r="F1181" s="68"/>
      <c r="G1181" s="68"/>
      <c r="H1181" s="68"/>
      <c r="I1181" s="68"/>
      <c r="J1181" s="72"/>
      <c r="K1181" s="68"/>
      <c r="L1181" s="72"/>
      <c r="M1181" s="68"/>
      <c r="N1181" s="68"/>
      <c r="O1181" s="68"/>
      <c r="P1181" s="68"/>
      <c r="Q1181" s="72"/>
      <c r="R1181" s="68"/>
      <c r="S1181" s="72"/>
      <c r="T1181" s="68"/>
      <c r="U1181" s="68"/>
      <c r="V1181" s="68"/>
      <c r="W1181" s="68"/>
      <c r="X1181" s="72"/>
      <c r="Y1181" s="68"/>
      <c r="Z1181" s="72"/>
      <c r="AA1181" s="68"/>
      <c r="AB1181" s="68"/>
      <c r="AC1181" s="68"/>
      <c r="AD1181" s="68"/>
      <c r="AE1181" s="72"/>
      <c r="AF1181" s="68"/>
      <c r="AG1181" s="72"/>
      <c r="AH1181" s="68"/>
      <c r="AI1181" s="68"/>
      <c r="AJ1181" s="70"/>
    </row>
    <row r="1182" hidden="1">
      <c r="A1182" s="68"/>
      <c r="B1182" s="68"/>
      <c r="C1182" s="69"/>
      <c r="D1182" s="70"/>
      <c r="E1182" s="71"/>
      <c r="F1182" s="68"/>
      <c r="G1182" s="68"/>
      <c r="H1182" s="68"/>
      <c r="I1182" s="68"/>
      <c r="J1182" s="72"/>
      <c r="K1182" s="68"/>
      <c r="L1182" s="72"/>
      <c r="M1182" s="68"/>
      <c r="N1182" s="68"/>
      <c r="O1182" s="68"/>
      <c r="P1182" s="68"/>
      <c r="Q1182" s="72"/>
      <c r="R1182" s="68"/>
      <c r="S1182" s="72"/>
      <c r="T1182" s="68"/>
      <c r="U1182" s="68"/>
      <c r="V1182" s="68"/>
      <c r="W1182" s="68"/>
      <c r="X1182" s="72"/>
      <c r="Y1182" s="68"/>
      <c r="Z1182" s="72"/>
      <c r="AA1182" s="68"/>
      <c r="AB1182" s="68"/>
      <c r="AC1182" s="68"/>
      <c r="AD1182" s="68"/>
      <c r="AE1182" s="72"/>
      <c r="AF1182" s="68"/>
      <c r="AG1182" s="72"/>
      <c r="AH1182" s="68"/>
      <c r="AI1182" s="68"/>
      <c r="AJ1182" s="70"/>
    </row>
    <row r="1183" hidden="1">
      <c r="A1183" s="68"/>
      <c r="B1183" s="68"/>
      <c r="C1183" s="69"/>
      <c r="D1183" s="70"/>
      <c r="E1183" s="71"/>
      <c r="F1183" s="68"/>
      <c r="G1183" s="68"/>
      <c r="H1183" s="68"/>
      <c r="I1183" s="68"/>
      <c r="J1183" s="72"/>
      <c r="K1183" s="68"/>
      <c r="L1183" s="72"/>
      <c r="M1183" s="68"/>
      <c r="N1183" s="68"/>
      <c r="O1183" s="68"/>
      <c r="P1183" s="68"/>
      <c r="Q1183" s="72"/>
      <c r="R1183" s="68"/>
      <c r="S1183" s="72"/>
      <c r="T1183" s="68"/>
      <c r="U1183" s="68"/>
      <c r="V1183" s="68"/>
      <c r="W1183" s="68"/>
      <c r="X1183" s="72"/>
      <c r="Y1183" s="68"/>
      <c r="Z1183" s="72"/>
      <c r="AA1183" s="68"/>
      <c r="AB1183" s="68"/>
      <c r="AC1183" s="68"/>
      <c r="AD1183" s="68"/>
      <c r="AE1183" s="72"/>
      <c r="AF1183" s="68"/>
      <c r="AG1183" s="72"/>
      <c r="AH1183" s="68"/>
      <c r="AI1183" s="68"/>
      <c r="AJ1183" s="70"/>
    </row>
    <row r="1184" hidden="1">
      <c r="A1184" s="68"/>
      <c r="B1184" s="68"/>
      <c r="C1184" s="69"/>
      <c r="D1184" s="70"/>
      <c r="E1184" s="71"/>
      <c r="F1184" s="68"/>
      <c r="G1184" s="68"/>
      <c r="H1184" s="68"/>
      <c r="I1184" s="68"/>
      <c r="J1184" s="72"/>
      <c r="K1184" s="68"/>
      <c r="L1184" s="72"/>
      <c r="M1184" s="68"/>
      <c r="N1184" s="68"/>
      <c r="O1184" s="68"/>
      <c r="P1184" s="68"/>
      <c r="Q1184" s="72"/>
      <c r="R1184" s="68"/>
      <c r="S1184" s="72"/>
      <c r="T1184" s="68"/>
      <c r="U1184" s="68"/>
      <c r="V1184" s="68"/>
      <c r="W1184" s="68"/>
      <c r="X1184" s="72"/>
      <c r="Y1184" s="68"/>
      <c r="Z1184" s="72"/>
      <c r="AA1184" s="68"/>
      <c r="AB1184" s="68"/>
      <c r="AC1184" s="68"/>
      <c r="AD1184" s="68"/>
      <c r="AE1184" s="72"/>
      <c r="AF1184" s="68"/>
      <c r="AG1184" s="72"/>
      <c r="AH1184" s="68"/>
      <c r="AI1184" s="68"/>
      <c r="AJ1184" s="70"/>
    </row>
    <row r="1185" hidden="1">
      <c r="A1185" s="68"/>
      <c r="B1185" s="68"/>
      <c r="C1185" s="69"/>
      <c r="D1185" s="70"/>
      <c r="E1185" s="71"/>
      <c r="F1185" s="68"/>
      <c r="G1185" s="68"/>
      <c r="H1185" s="68"/>
      <c r="I1185" s="68"/>
      <c r="J1185" s="72"/>
      <c r="K1185" s="68"/>
      <c r="L1185" s="72"/>
      <c r="M1185" s="68"/>
      <c r="N1185" s="68"/>
      <c r="O1185" s="68"/>
      <c r="P1185" s="68"/>
      <c r="Q1185" s="72"/>
      <c r="R1185" s="68"/>
      <c r="S1185" s="72"/>
      <c r="T1185" s="68"/>
      <c r="U1185" s="68"/>
      <c r="V1185" s="68"/>
      <c r="W1185" s="68"/>
      <c r="X1185" s="72"/>
      <c r="Y1185" s="68"/>
      <c r="Z1185" s="72"/>
      <c r="AA1185" s="68"/>
      <c r="AB1185" s="68"/>
      <c r="AC1185" s="68"/>
      <c r="AD1185" s="68"/>
      <c r="AE1185" s="72"/>
      <c r="AF1185" s="68"/>
      <c r="AG1185" s="72"/>
      <c r="AH1185" s="68"/>
      <c r="AI1185" s="68"/>
      <c r="AJ1185" s="70"/>
    </row>
    <row r="1186" hidden="1">
      <c r="A1186" s="68"/>
      <c r="B1186" s="68"/>
      <c r="C1186" s="69"/>
      <c r="D1186" s="70"/>
      <c r="E1186" s="71"/>
      <c r="F1186" s="68"/>
      <c r="G1186" s="68"/>
      <c r="H1186" s="68"/>
      <c r="I1186" s="68"/>
      <c r="J1186" s="72"/>
      <c r="K1186" s="68"/>
      <c r="L1186" s="72"/>
      <c r="M1186" s="68"/>
      <c r="N1186" s="68"/>
      <c r="O1186" s="68"/>
      <c r="P1186" s="68"/>
      <c r="Q1186" s="72"/>
      <c r="R1186" s="68"/>
      <c r="S1186" s="72"/>
      <c r="T1186" s="68"/>
      <c r="U1186" s="68"/>
      <c r="V1186" s="68"/>
      <c r="W1186" s="68"/>
      <c r="X1186" s="72"/>
      <c r="Y1186" s="68"/>
      <c r="Z1186" s="72"/>
      <c r="AA1186" s="68"/>
      <c r="AB1186" s="68"/>
      <c r="AC1186" s="68"/>
      <c r="AD1186" s="68"/>
      <c r="AE1186" s="72"/>
      <c r="AF1186" s="68"/>
      <c r="AG1186" s="72"/>
      <c r="AH1186" s="68"/>
      <c r="AI1186" s="68"/>
      <c r="AJ1186" s="70"/>
    </row>
    <row r="1187" hidden="1">
      <c r="A1187" s="68"/>
      <c r="B1187" s="68"/>
      <c r="C1187" s="69"/>
      <c r="D1187" s="70"/>
      <c r="E1187" s="71"/>
      <c r="F1187" s="68"/>
      <c r="G1187" s="68"/>
      <c r="H1187" s="68"/>
      <c r="I1187" s="68"/>
      <c r="J1187" s="72"/>
      <c r="K1187" s="68"/>
      <c r="L1187" s="72"/>
      <c r="M1187" s="68"/>
      <c r="N1187" s="68"/>
      <c r="O1187" s="68"/>
      <c r="P1187" s="68"/>
      <c r="Q1187" s="72"/>
      <c r="R1187" s="68"/>
      <c r="S1187" s="72"/>
      <c r="T1187" s="68"/>
      <c r="U1187" s="68"/>
      <c r="V1187" s="68"/>
      <c r="W1187" s="68"/>
      <c r="X1187" s="72"/>
      <c r="Y1187" s="68"/>
      <c r="Z1187" s="72"/>
      <c r="AA1187" s="68"/>
      <c r="AB1187" s="68"/>
      <c r="AC1187" s="68"/>
      <c r="AD1187" s="68"/>
      <c r="AE1187" s="72"/>
      <c r="AF1187" s="68"/>
      <c r="AG1187" s="72"/>
      <c r="AH1187" s="68"/>
      <c r="AI1187" s="68"/>
      <c r="AJ1187" s="70"/>
    </row>
    <row r="1188" hidden="1">
      <c r="A1188" s="68"/>
      <c r="B1188" s="68"/>
      <c r="C1188" s="69"/>
      <c r="D1188" s="70"/>
      <c r="E1188" s="71"/>
      <c r="F1188" s="68"/>
      <c r="G1188" s="68"/>
      <c r="H1188" s="68"/>
      <c r="I1188" s="68"/>
      <c r="J1188" s="72"/>
      <c r="K1188" s="68"/>
      <c r="L1188" s="72"/>
      <c r="M1188" s="68"/>
      <c r="N1188" s="68"/>
      <c r="O1188" s="68"/>
      <c r="P1188" s="68"/>
      <c r="Q1188" s="72"/>
      <c r="R1188" s="68"/>
      <c r="S1188" s="72"/>
      <c r="T1188" s="68"/>
      <c r="U1188" s="68"/>
      <c r="V1188" s="68"/>
      <c r="W1188" s="68"/>
      <c r="X1188" s="72"/>
      <c r="Y1188" s="68"/>
      <c r="Z1188" s="72"/>
      <c r="AA1188" s="68"/>
      <c r="AB1188" s="68"/>
      <c r="AC1188" s="68"/>
      <c r="AD1188" s="68"/>
      <c r="AE1188" s="72"/>
      <c r="AF1188" s="68"/>
      <c r="AG1188" s="72"/>
      <c r="AH1188" s="68"/>
      <c r="AI1188" s="68"/>
      <c r="AJ1188" s="70"/>
    </row>
    <row r="1189" hidden="1">
      <c r="A1189" s="68"/>
      <c r="B1189" s="68"/>
      <c r="C1189" s="69"/>
      <c r="D1189" s="70"/>
      <c r="E1189" s="71"/>
      <c r="F1189" s="68"/>
      <c r="G1189" s="68"/>
      <c r="H1189" s="68"/>
      <c r="I1189" s="68"/>
      <c r="J1189" s="72"/>
      <c r="K1189" s="68"/>
      <c r="L1189" s="72"/>
      <c r="M1189" s="68"/>
      <c r="N1189" s="68"/>
      <c r="O1189" s="68"/>
      <c r="P1189" s="68"/>
      <c r="Q1189" s="72"/>
      <c r="R1189" s="68"/>
      <c r="S1189" s="72"/>
      <c r="T1189" s="68"/>
      <c r="U1189" s="68"/>
      <c r="V1189" s="68"/>
      <c r="W1189" s="68"/>
      <c r="X1189" s="72"/>
      <c r="Y1189" s="68"/>
      <c r="Z1189" s="72"/>
      <c r="AA1189" s="68"/>
      <c r="AB1189" s="68"/>
      <c r="AC1189" s="68"/>
      <c r="AD1189" s="68"/>
      <c r="AE1189" s="72"/>
      <c r="AF1189" s="68"/>
      <c r="AG1189" s="72"/>
      <c r="AH1189" s="68"/>
      <c r="AI1189" s="68"/>
      <c r="AJ1189" s="70"/>
    </row>
    <row r="1190" hidden="1">
      <c r="A1190" s="68"/>
      <c r="B1190" s="68"/>
      <c r="C1190" s="69"/>
      <c r="D1190" s="70"/>
      <c r="E1190" s="71"/>
      <c r="F1190" s="68"/>
      <c r="G1190" s="68"/>
      <c r="H1190" s="68"/>
      <c r="I1190" s="68"/>
      <c r="J1190" s="72"/>
      <c r="K1190" s="68"/>
      <c r="L1190" s="72"/>
      <c r="M1190" s="68"/>
      <c r="N1190" s="68"/>
      <c r="O1190" s="68"/>
      <c r="P1190" s="68"/>
      <c r="Q1190" s="72"/>
      <c r="R1190" s="68"/>
      <c r="S1190" s="72"/>
      <c r="T1190" s="68"/>
      <c r="U1190" s="68"/>
      <c r="V1190" s="68"/>
      <c r="W1190" s="68"/>
      <c r="X1190" s="72"/>
      <c r="Y1190" s="68"/>
      <c r="Z1190" s="72"/>
      <c r="AA1190" s="68"/>
      <c r="AB1190" s="68"/>
      <c r="AC1190" s="68"/>
      <c r="AD1190" s="68"/>
      <c r="AE1190" s="72"/>
      <c r="AF1190" s="68"/>
      <c r="AG1190" s="72"/>
      <c r="AH1190" s="68"/>
      <c r="AI1190" s="68"/>
      <c r="AJ1190" s="70"/>
    </row>
    <row r="1191" hidden="1">
      <c r="A1191" s="68"/>
      <c r="B1191" s="68"/>
      <c r="C1191" s="69"/>
      <c r="D1191" s="70"/>
      <c r="E1191" s="71"/>
      <c r="F1191" s="68"/>
      <c r="G1191" s="68"/>
      <c r="H1191" s="68"/>
      <c r="I1191" s="68"/>
      <c r="J1191" s="72"/>
      <c r="K1191" s="68"/>
      <c r="L1191" s="72"/>
      <c r="M1191" s="68"/>
      <c r="N1191" s="68"/>
      <c r="O1191" s="68"/>
      <c r="P1191" s="68"/>
      <c r="Q1191" s="72"/>
      <c r="R1191" s="68"/>
      <c r="S1191" s="72"/>
      <c r="T1191" s="68"/>
      <c r="U1191" s="68"/>
      <c r="V1191" s="68"/>
      <c r="W1191" s="68"/>
      <c r="X1191" s="72"/>
      <c r="Y1191" s="68"/>
      <c r="Z1191" s="72"/>
      <c r="AA1191" s="68"/>
      <c r="AB1191" s="68"/>
      <c r="AC1191" s="68"/>
      <c r="AD1191" s="68"/>
      <c r="AE1191" s="72"/>
      <c r="AF1191" s="68"/>
      <c r="AG1191" s="72"/>
      <c r="AH1191" s="68"/>
      <c r="AI1191" s="68"/>
      <c r="AJ1191" s="70"/>
    </row>
    <row r="1192" hidden="1">
      <c r="A1192" s="68"/>
      <c r="B1192" s="68"/>
      <c r="C1192" s="69"/>
      <c r="D1192" s="70"/>
      <c r="E1192" s="71"/>
      <c r="F1192" s="68"/>
      <c r="G1192" s="68"/>
      <c r="H1192" s="68"/>
      <c r="I1192" s="68"/>
      <c r="J1192" s="72"/>
      <c r="K1192" s="68"/>
      <c r="L1192" s="72"/>
      <c r="M1192" s="68"/>
      <c r="N1192" s="68"/>
      <c r="O1192" s="68"/>
      <c r="P1192" s="68"/>
      <c r="Q1192" s="72"/>
      <c r="R1192" s="68"/>
      <c r="S1192" s="72"/>
      <c r="T1192" s="68"/>
      <c r="U1192" s="68"/>
      <c r="V1192" s="68"/>
      <c r="W1192" s="68"/>
      <c r="X1192" s="72"/>
      <c r="Y1192" s="68"/>
      <c r="Z1192" s="72"/>
      <c r="AA1192" s="68"/>
      <c r="AB1192" s="68"/>
      <c r="AC1192" s="68"/>
      <c r="AD1192" s="68"/>
      <c r="AE1192" s="72"/>
      <c r="AF1192" s="68"/>
      <c r="AG1192" s="72"/>
      <c r="AH1192" s="68"/>
      <c r="AI1192" s="68"/>
      <c r="AJ1192" s="70"/>
    </row>
    <row r="1193" hidden="1">
      <c r="A1193" s="68"/>
      <c r="B1193" s="68"/>
      <c r="C1193" s="69"/>
      <c r="D1193" s="70"/>
      <c r="E1193" s="71"/>
      <c r="F1193" s="68"/>
      <c r="G1193" s="68"/>
      <c r="H1193" s="68"/>
      <c r="I1193" s="68"/>
      <c r="J1193" s="72"/>
      <c r="K1193" s="68"/>
      <c r="L1193" s="72"/>
      <c r="M1193" s="68"/>
      <c r="N1193" s="68"/>
      <c r="O1193" s="68"/>
      <c r="P1193" s="68"/>
      <c r="Q1193" s="72"/>
      <c r="R1193" s="68"/>
      <c r="S1193" s="72"/>
      <c r="T1193" s="68"/>
      <c r="U1193" s="68"/>
      <c r="V1193" s="68"/>
      <c r="W1193" s="68"/>
      <c r="X1193" s="72"/>
      <c r="Y1193" s="68"/>
      <c r="Z1193" s="72"/>
      <c r="AA1193" s="68"/>
      <c r="AB1193" s="68"/>
      <c r="AC1193" s="68"/>
      <c r="AD1193" s="68"/>
      <c r="AE1193" s="72"/>
      <c r="AF1193" s="68"/>
      <c r="AG1193" s="72"/>
      <c r="AH1193" s="68"/>
      <c r="AI1193" s="68"/>
      <c r="AJ1193" s="70"/>
    </row>
    <row r="1194" hidden="1">
      <c r="A1194" s="68"/>
      <c r="B1194" s="68"/>
      <c r="C1194" s="69"/>
      <c r="D1194" s="70"/>
      <c r="E1194" s="71"/>
      <c r="F1194" s="68"/>
      <c r="G1194" s="68"/>
      <c r="H1194" s="68"/>
      <c r="I1194" s="68"/>
      <c r="J1194" s="72"/>
      <c r="K1194" s="68"/>
      <c r="L1194" s="72"/>
      <c r="M1194" s="68"/>
      <c r="N1194" s="68"/>
      <c r="O1194" s="68"/>
      <c r="P1194" s="68"/>
      <c r="Q1194" s="72"/>
      <c r="R1194" s="68"/>
      <c r="S1194" s="72"/>
      <c r="T1194" s="68"/>
      <c r="U1194" s="68"/>
      <c r="V1194" s="68"/>
      <c r="W1194" s="68"/>
      <c r="X1194" s="72"/>
      <c r="Y1194" s="68"/>
      <c r="Z1194" s="72"/>
      <c r="AA1194" s="68"/>
      <c r="AB1194" s="68"/>
      <c r="AC1194" s="68"/>
      <c r="AD1194" s="68"/>
      <c r="AE1194" s="72"/>
      <c r="AF1194" s="68"/>
      <c r="AG1194" s="72"/>
      <c r="AH1194" s="68"/>
      <c r="AI1194" s="68"/>
      <c r="AJ1194" s="70"/>
    </row>
    <row r="1195" hidden="1">
      <c r="A1195" s="68"/>
      <c r="B1195" s="68"/>
      <c r="C1195" s="69"/>
      <c r="D1195" s="70"/>
      <c r="E1195" s="71"/>
      <c r="F1195" s="68"/>
      <c r="G1195" s="68"/>
      <c r="H1195" s="68"/>
      <c r="I1195" s="68"/>
      <c r="J1195" s="72"/>
      <c r="K1195" s="68"/>
      <c r="L1195" s="72"/>
      <c r="M1195" s="68"/>
      <c r="N1195" s="68"/>
      <c r="O1195" s="68"/>
      <c r="P1195" s="68"/>
      <c r="Q1195" s="72"/>
      <c r="R1195" s="68"/>
      <c r="S1195" s="72"/>
      <c r="T1195" s="68"/>
      <c r="U1195" s="68"/>
      <c r="V1195" s="68"/>
      <c r="W1195" s="68"/>
      <c r="X1195" s="72"/>
      <c r="Y1195" s="68"/>
      <c r="Z1195" s="72"/>
      <c r="AA1195" s="68"/>
      <c r="AB1195" s="68"/>
      <c r="AC1195" s="68"/>
      <c r="AD1195" s="68"/>
      <c r="AE1195" s="72"/>
      <c r="AF1195" s="68"/>
      <c r="AG1195" s="72"/>
      <c r="AH1195" s="68"/>
      <c r="AI1195" s="68"/>
      <c r="AJ1195" s="70"/>
    </row>
    <row r="1196" hidden="1">
      <c r="A1196" s="68"/>
      <c r="B1196" s="68"/>
      <c r="C1196" s="69"/>
      <c r="D1196" s="70"/>
      <c r="E1196" s="71"/>
      <c r="F1196" s="68"/>
      <c r="G1196" s="68"/>
      <c r="H1196" s="68"/>
      <c r="I1196" s="68"/>
      <c r="J1196" s="72"/>
      <c r="K1196" s="68"/>
      <c r="L1196" s="72"/>
      <c r="M1196" s="68"/>
      <c r="N1196" s="68"/>
      <c r="O1196" s="68"/>
      <c r="P1196" s="68"/>
      <c r="Q1196" s="72"/>
      <c r="R1196" s="68"/>
      <c r="S1196" s="72"/>
      <c r="T1196" s="68"/>
      <c r="U1196" s="68"/>
      <c r="V1196" s="68"/>
      <c r="W1196" s="68"/>
      <c r="X1196" s="72"/>
      <c r="Y1196" s="68"/>
      <c r="Z1196" s="72"/>
      <c r="AA1196" s="68"/>
      <c r="AB1196" s="68"/>
      <c r="AC1196" s="68"/>
      <c r="AD1196" s="68"/>
      <c r="AE1196" s="72"/>
      <c r="AF1196" s="68"/>
      <c r="AG1196" s="72"/>
      <c r="AH1196" s="68"/>
      <c r="AI1196" s="68"/>
      <c r="AJ1196" s="70"/>
    </row>
    <row r="1197" hidden="1">
      <c r="A1197" s="68"/>
      <c r="B1197" s="68"/>
      <c r="C1197" s="69"/>
      <c r="D1197" s="70"/>
      <c r="E1197" s="71"/>
      <c r="F1197" s="68"/>
      <c r="G1197" s="68"/>
      <c r="H1197" s="68"/>
      <c r="I1197" s="68"/>
      <c r="J1197" s="72"/>
      <c r="K1197" s="68"/>
      <c r="L1197" s="72"/>
      <c r="M1197" s="68"/>
      <c r="N1197" s="68"/>
      <c r="O1197" s="68"/>
      <c r="P1197" s="68"/>
      <c r="Q1197" s="72"/>
      <c r="R1197" s="68"/>
      <c r="S1197" s="72"/>
      <c r="T1197" s="68"/>
      <c r="U1197" s="68"/>
      <c r="V1197" s="68"/>
      <c r="W1197" s="68"/>
      <c r="X1197" s="72"/>
      <c r="Y1197" s="68"/>
      <c r="Z1197" s="72"/>
      <c r="AA1197" s="68"/>
      <c r="AB1197" s="68"/>
      <c r="AC1197" s="68"/>
      <c r="AD1197" s="68"/>
      <c r="AE1197" s="72"/>
      <c r="AF1197" s="68"/>
      <c r="AG1197" s="72"/>
      <c r="AH1197" s="68"/>
      <c r="AI1197" s="68"/>
      <c r="AJ1197" s="70"/>
    </row>
    <row r="1198" hidden="1">
      <c r="A1198" s="68"/>
      <c r="B1198" s="68"/>
      <c r="C1198" s="69"/>
      <c r="D1198" s="70"/>
      <c r="E1198" s="71"/>
      <c r="F1198" s="68"/>
      <c r="G1198" s="68"/>
      <c r="H1198" s="68"/>
      <c r="I1198" s="68"/>
      <c r="J1198" s="72"/>
      <c r="K1198" s="68"/>
      <c r="L1198" s="72"/>
      <c r="M1198" s="68"/>
      <c r="N1198" s="68"/>
      <c r="O1198" s="68"/>
      <c r="P1198" s="68"/>
      <c r="Q1198" s="72"/>
      <c r="R1198" s="68"/>
      <c r="S1198" s="72"/>
      <c r="T1198" s="68"/>
      <c r="U1198" s="68"/>
      <c r="V1198" s="68"/>
      <c r="W1198" s="68"/>
      <c r="X1198" s="72"/>
      <c r="Y1198" s="68"/>
      <c r="Z1198" s="72"/>
      <c r="AA1198" s="68"/>
      <c r="AB1198" s="68"/>
      <c r="AC1198" s="68"/>
      <c r="AD1198" s="68"/>
      <c r="AE1198" s="72"/>
      <c r="AF1198" s="68"/>
      <c r="AG1198" s="72"/>
      <c r="AH1198" s="68"/>
      <c r="AI1198" s="68"/>
      <c r="AJ1198" s="70"/>
    </row>
    <row r="1199" hidden="1">
      <c r="A1199" s="68"/>
      <c r="B1199" s="68"/>
      <c r="C1199" s="69"/>
      <c r="D1199" s="70"/>
      <c r="E1199" s="71"/>
      <c r="F1199" s="68"/>
      <c r="G1199" s="68"/>
      <c r="H1199" s="68"/>
      <c r="I1199" s="68"/>
      <c r="J1199" s="72"/>
      <c r="K1199" s="68"/>
      <c r="L1199" s="72"/>
      <c r="M1199" s="68"/>
      <c r="N1199" s="68"/>
      <c r="O1199" s="68"/>
      <c r="P1199" s="68"/>
      <c r="Q1199" s="72"/>
      <c r="R1199" s="68"/>
      <c r="S1199" s="72"/>
      <c r="T1199" s="68"/>
      <c r="U1199" s="68"/>
      <c r="V1199" s="68"/>
      <c r="W1199" s="68"/>
      <c r="X1199" s="72"/>
      <c r="Y1199" s="68"/>
      <c r="Z1199" s="72"/>
      <c r="AA1199" s="68"/>
      <c r="AB1199" s="68"/>
      <c r="AC1199" s="68"/>
      <c r="AD1199" s="68"/>
      <c r="AE1199" s="72"/>
      <c r="AF1199" s="68"/>
      <c r="AG1199" s="72"/>
      <c r="AH1199" s="68"/>
      <c r="AI1199" s="68"/>
      <c r="AJ1199" s="70"/>
    </row>
    <row r="1200" hidden="1">
      <c r="A1200" s="68"/>
      <c r="B1200" s="68"/>
      <c r="C1200" s="69"/>
      <c r="D1200" s="70"/>
      <c r="E1200" s="71"/>
      <c r="F1200" s="68"/>
      <c r="G1200" s="68"/>
      <c r="H1200" s="68"/>
      <c r="I1200" s="68"/>
      <c r="J1200" s="72"/>
      <c r="K1200" s="68"/>
      <c r="L1200" s="72"/>
      <c r="M1200" s="68"/>
      <c r="N1200" s="68"/>
      <c r="O1200" s="68"/>
      <c r="P1200" s="68"/>
      <c r="Q1200" s="72"/>
      <c r="R1200" s="68"/>
      <c r="S1200" s="72"/>
      <c r="T1200" s="68"/>
      <c r="U1200" s="68"/>
      <c r="V1200" s="68"/>
      <c r="W1200" s="68"/>
      <c r="X1200" s="72"/>
      <c r="Y1200" s="68"/>
      <c r="Z1200" s="72"/>
      <c r="AA1200" s="68"/>
      <c r="AB1200" s="68"/>
      <c r="AC1200" s="68"/>
      <c r="AD1200" s="68"/>
      <c r="AE1200" s="72"/>
      <c r="AF1200" s="68"/>
      <c r="AG1200" s="72"/>
      <c r="AH1200" s="68"/>
      <c r="AI1200" s="68"/>
      <c r="AJ1200" s="70"/>
    </row>
    <row r="1201" hidden="1">
      <c r="A1201" s="68"/>
      <c r="B1201" s="68"/>
      <c r="C1201" s="69"/>
      <c r="D1201" s="70"/>
      <c r="E1201" s="71"/>
      <c r="F1201" s="68"/>
      <c r="G1201" s="68"/>
      <c r="H1201" s="68"/>
      <c r="I1201" s="68"/>
      <c r="J1201" s="72"/>
      <c r="K1201" s="68"/>
      <c r="L1201" s="72"/>
      <c r="M1201" s="68"/>
      <c r="N1201" s="68"/>
      <c r="O1201" s="68"/>
      <c r="P1201" s="68"/>
      <c r="Q1201" s="72"/>
      <c r="R1201" s="68"/>
      <c r="S1201" s="72"/>
      <c r="T1201" s="68"/>
      <c r="U1201" s="68"/>
      <c r="V1201" s="68"/>
      <c r="W1201" s="68"/>
      <c r="X1201" s="72"/>
      <c r="Y1201" s="68"/>
      <c r="Z1201" s="72"/>
      <c r="AA1201" s="68"/>
      <c r="AB1201" s="68"/>
      <c r="AC1201" s="68"/>
      <c r="AD1201" s="68"/>
      <c r="AE1201" s="72"/>
      <c r="AF1201" s="68"/>
      <c r="AG1201" s="72"/>
      <c r="AH1201" s="68"/>
      <c r="AI1201" s="68"/>
      <c r="AJ1201" s="70"/>
    </row>
    <row r="1202" hidden="1">
      <c r="A1202" s="68"/>
      <c r="B1202" s="68"/>
      <c r="C1202" s="69"/>
      <c r="D1202" s="70"/>
      <c r="E1202" s="71"/>
      <c r="F1202" s="68"/>
      <c r="G1202" s="68"/>
      <c r="H1202" s="68"/>
      <c r="I1202" s="68"/>
      <c r="J1202" s="72"/>
      <c r="K1202" s="68"/>
      <c r="L1202" s="72"/>
      <c r="M1202" s="68"/>
      <c r="N1202" s="68"/>
      <c r="O1202" s="68"/>
      <c r="P1202" s="68"/>
      <c r="Q1202" s="72"/>
      <c r="R1202" s="68"/>
      <c r="S1202" s="72"/>
      <c r="T1202" s="68"/>
      <c r="U1202" s="68"/>
      <c r="V1202" s="68"/>
      <c r="W1202" s="68"/>
      <c r="X1202" s="72"/>
      <c r="Y1202" s="68"/>
      <c r="Z1202" s="72"/>
      <c r="AA1202" s="68"/>
      <c r="AB1202" s="68"/>
      <c r="AC1202" s="68"/>
      <c r="AD1202" s="68"/>
      <c r="AE1202" s="72"/>
      <c r="AF1202" s="68"/>
      <c r="AG1202" s="72"/>
      <c r="AH1202" s="68"/>
      <c r="AI1202" s="68"/>
      <c r="AJ1202" s="70"/>
    </row>
    <row r="1203" hidden="1">
      <c r="A1203" s="68"/>
      <c r="B1203" s="68"/>
      <c r="C1203" s="69"/>
      <c r="D1203" s="70"/>
      <c r="E1203" s="71"/>
      <c r="F1203" s="68"/>
      <c r="G1203" s="68"/>
      <c r="H1203" s="68"/>
      <c r="I1203" s="68"/>
      <c r="J1203" s="72"/>
      <c r="K1203" s="68"/>
      <c r="L1203" s="72"/>
      <c r="M1203" s="68"/>
      <c r="N1203" s="68"/>
      <c r="O1203" s="68"/>
      <c r="P1203" s="68"/>
      <c r="Q1203" s="72"/>
      <c r="R1203" s="68"/>
      <c r="S1203" s="72"/>
      <c r="T1203" s="68"/>
      <c r="U1203" s="68"/>
      <c r="V1203" s="68"/>
      <c r="W1203" s="68"/>
      <c r="X1203" s="72"/>
      <c r="Y1203" s="68"/>
      <c r="Z1203" s="72"/>
      <c r="AA1203" s="68"/>
      <c r="AB1203" s="68"/>
      <c r="AC1203" s="68"/>
      <c r="AD1203" s="68"/>
      <c r="AE1203" s="72"/>
      <c r="AF1203" s="68"/>
      <c r="AG1203" s="72"/>
      <c r="AH1203" s="68"/>
      <c r="AI1203" s="68"/>
      <c r="AJ1203" s="70"/>
    </row>
    <row r="1204" hidden="1">
      <c r="A1204" s="68"/>
      <c r="B1204" s="68"/>
      <c r="C1204" s="69"/>
      <c r="D1204" s="70"/>
      <c r="E1204" s="71"/>
      <c r="F1204" s="68"/>
      <c r="G1204" s="68"/>
      <c r="H1204" s="68"/>
      <c r="I1204" s="68"/>
      <c r="J1204" s="72"/>
      <c r="K1204" s="68"/>
      <c r="L1204" s="72"/>
      <c r="M1204" s="68"/>
      <c r="N1204" s="68"/>
      <c r="O1204" s="68"/>
      <c r="P1204" s="68"/>
      <c r="Q1204" s="72"/>
      <c r="R1204" s="68"/>
      <c r="S1204" s="72"/>
      <c r="T1204" s="68"/>
      <c r="U1204" s="68"/>
      <c r="V1204" s="68"/>
      <c r="W1204" s="68"/>
      <c r="X1204" s="72"/>
      <c r="Y1204" s="68"/>
      <c r="Z1204" s="72"/>
      <c r="AA1204" s="68"/>
      <c r="AB1204" s="68"/>
      <c r="AC1204" s="68"/>
      <c r="AD1204" s="68"/>
      <c r="AE1204" s="72"/>
      <c r="AF1204" s="68"/>
      <c r="AG1204" s="72"/>
      <c r="AH1204" s="68"/>
      <c r="AI1204" s="68"/>
      <c r="AJ1204" s="70"/>
    </row>
    <row r="1205" hidden="1">
      <c r="A1205" s="68"/>
      <c r="B1205" s="68"/>
      <c r="C1205" s="69"/>
      <c r="D1205" s="70"/>
      <c r="E1205" s="71"/>
      <c r="F1205" s="68"/>
      <c r="G1205" s="68"/>
      <c r="H1205" s="68"/>
      <c r="I1205" s="68"/>
      <c r="J1205" s="72"/>
      <c r="K1205" s="68"/>
      <c r="L1205" s="72"/>
      <c r="M1205" s="68"/>
      <c r="N1205" s="68"/>
      <c r="O1205" s="68"/>
      <c r="P1205" s="68"/>
      <c r="Q1205" s="72"/>
      <c r="R1205" s="68"/>
      <c r="S1205" s="72"/>
      <c r="T1205" s="68"/>
      <c r="U1205" s="68"/>
      <c r="V1205" s="68"/>
      <c r="W1205" s="68"/>
      <c r="X1205" s="72"/>
      <c r="Y1205" s="68"/>
      <c r="Z1205" s="72"/>
      <c r="AA1205" s="68"/>
      <c r="AB1205" s="68"/>
      <c r="AC1205" s="68"/>
      <c r="AD1205" s="68"/>
      <c r="AE1205" s="72"/>
      <c r="AF1205" s="68"/>
      <c r="AG1205" s="72"/>
      <c r="AH1205" s="68"/>
      <c r="AI1205" s="68"/>
      <c r="AJ1205" s="70"/>
    </row>
    <row r="1206" hidden="1">
      <c r="A1206" s="68"/>
      <c r="B1206" s="68"/>
      <c r="C1206" s="69"/>
      <c r="D1206" s="70"/>
      <c r="E1206" s="71"/>
      <c r="F1206" s="68"/>
      <c r="G1206" s="68"/>
      <c r="H1206" s="68"/>
      <c r="I1206" s="68"/>
      <c r="J1206" s="72"/>
      <c r="K1206" s="68"/>
      <c r="L1206" s="72"/>
      <c r="M1206" s="68"/>
      <c r="N1206" s="68"/>
      <c r="O1206" s="68"/>
      <c r="P1206" s="68"/>
      <c r="Q1206" s="72"/>
      <c r="R1206" s="68"/>
      <c r="S1206" s="72"/>
      <c r="T1206" s="68"/>
      <c r="U1206" s="68"/>
      <c r="V1206" s="68"/>
      <c r="W1206" s="68"/>
      <c r="X1206" s="72"/>
      <c r="Y1206" s="68"/>
      <c r="Z1206" s="72"/>
      <c r="AA1206" s="68"/>
      <c r="AB1206" s="68"/>
      <c r="AC1206" s="68"/>
      <c r="AD1206" s="68"/>
      <c r="AE1206" s="72"/>
      <c r="AF1206" s="68"/>
      <c r="AG1206" s="72"/>
      <c r="AH1206" s="68"/>
      <c r="AI1206" s="68"/>
      <c r="AJ1206" s="70"/>
    </row>
    <row r="1207" hidden="1">
      <c r="A1207" s="68"/>
      <c r="B1207" s="68"/>
      <c r="C1207" s="69"/>
      <c r="D1207" s="70"/>
      <c r="E1207" s="71"/>
      <c r="F1207" s="68"/>
      <c r="G1207" s="68"/>
      <c r="H1207" s="68"/>
      <c r="I1207" s="68"/>
      <c r="J1207" s="72"/>
      <c r="K1207" s="68"/>
      <c r="L1207" s="72"/>
      <c r="M1207" s="68"/>
      <c r="N1207" s="68"/>
      <c r="O1207" s="68"/>
      <c r="P1207" s="68"/>
      <c r="Q1207" s="72"/>
      <c r="R1207" s="68"/>
      <c r="S1207" s="72"/>
      <c r="T1207" s="68"/>
      <c r="U1207" s="68"/>
      <c r="V1207" s="68"/>
      <c r="W1207" s="68"/>
      <c r="X1207" s="72"/>
      <c r="Y1207" s="68"/>
      <c r="Z1207" s="72"/>
      <c r="AA1207" s="68"/>
      <c r="AB1207" s="68"/>
      <c r="AC1207" s="68"/>
      <c r="AD1207" s="68"/>
      <c r="AE1207" s="72"/>
      <c r="AF1207" s="68"/>
      <c r="AG1207" s="72"/>
      <c r="AH1207" s="68"/>
      <c r="AI1207" s="68"/>
      <c r="AJ1207" s="70"/>
    </row>
    <row r="1208" hidden="1">
      <c r="A1208" s="68"/>
      <c r="B1208" s="68"/>
      <c r="C1208" s="69"/>
      <c r="D1208" s="70"/>
      <c r="E1208" s="71"/>
      <c r="F1208" s="68"/>
      <c r="G1208" s="68"/>
      <c r="H1208" s="68"/>
      <c r="I1208" s="68"/>
      <c r="J1208" s="72"/>
      <c r="K1208" s="68"/>
      <c r="L1208" s="72"/>
      <c r="M1208" s="68"/>
      <c r="N1208" s="68"/>
      <c r="O1208" s="68"/>
      <c r="P1208" s="68"/>
      <c r="Q1208" s="72"/>
      <c r="R1208" s="68"/>
      <c r="S1208" s="72"/>
      <c r="T1208" s="68"/>
      <c r="U1208" s="68"/>
      <c r="V1208" s="68"/>
      <c r="W1208" s="68"/>
      <c r="X1208" s="72"/>
      <c r="Y1208" s="68"/>
      <c r="Z1208" s="72"/>
      <c r="AA1208" s="68"/>
      <c r="AB1208" s="68"/>
      <c r="AC1208" s="68"/>
      <c r="AD1208" s="68"/>
      <c r="AE1208" s="72"/>
      <c r="AF1208" s="68"/>
      <c r="AG1208" s="72"/>
      <c r="AH1208" s="68"/>
      <c r="AI1208" s="68"/>
      <c r="AJ1208" s="70"/>
    </row>
    <row r="1209" hidden="1">
      <c r="A1209" s="68"/>
      <c r="B1209" s="68"/>
      <c r="C1209" s="69"/>
      <c r="D1209" s="70"/>
      <c r="E1209" s="71"/>
      <c r="F1209" s="68"/>
      <c r="G1209" s="68"/>
      <c r="H1209" s="68"/>
      <c r="I1209" s="68"/>
      <c r="J1209" s="72"/>
      <c r="K1209" s="68"/>
      <c r="L1209" s="72"/>
      <c r="M1209" s="68"/>
      <c r="N1209" s="68"/>
      <c r="O1209" s="68"/>
      <c r="P1209" s="68"/>
      <c r="Q1209" s="72"/>
      <c r="R1209" s="68"/>
      <c r="S1209" s="72"/>
      <c r="T1209" s="68"/>
      <c r="U1209" s="68"/>
      <c r="V1209" s="68"/>
      <c r="W1209" s="68"/>
      <c r="X1209" s="72"/>
      <c r="Y1209" s="68"/>
      <c r="Z1209" s="72"/>
      <c r="AA1209" s="68"/>
      <c r="AB1209" s="68"/>
      <c r="AC1209" s="68"/>
      <c r="AD1209" s="68"/>
      <c r="AE1209" s="72"/>
      <c r="AF1209" s="68"/>
      <c r="AG1209" s="72"/>
      <c r="AH1209" s="68"/>
      <c r="AI1209" s="68"/>
      <c r="AJ1209" s="70"/>
    </row>
    <row r="1210" hidden="1">
      <c r="A1210" s="68"/>
      <c r="B1210" s="68"/>
      <c r="C1210" s="69"/>
      <c r="D1210" s="70"/>
      <c r="E1210" s="71"/>
      <c r="F1210" s="68"/>
      <c r="G1210" s="68"/>
      <c r="H1210" s="68"/>
      <c r="I1210" s="68"/>
      <c r="J1210" s="72"/>
      <c r="K1210" s="68"/>
      <c r="L1210" s="72"/>
      <c r="M1210" s="68"/>
      <c r="N1210" s="68"/>
      <c r="O1210" s="68"/>
      <c r="P1210" s="68"/>
      <c r="Q1210" s="72"/>
      <c r="R1210" s="68"/>
      <c r="S1210" s="72"/>
      <c r="T1210" s="68"/>
      <c r="U1210" s="68"/>
      <c r="V1210" s="68"/>
      <c r="W1210" s="68"/>
      <c r="X1210" s="72"/>
      <c r="Y1210" s="68"/>
      <c r="Z1210" s="72"/>
      <c r="AA1210" s="68"/>
      <c r="AB1210" s="68"/>
      <c r="AC1210" s="68"/>
      <c r="AD1210" s="68"/>
      <c r="AE1210" s="72"/>
      <c r="AF1210" s="68"/>
      <c r="AG1210" s="72"/>
      <c r="AH1210" s="68"/>
      <c r="AI1210" s="68"/>
      <c r="AJ1210" s="70"/>
    </row>
    <row r="1211" hidden="1">
      <c r="A1211" s="68"/>
      <c r="B1211" s="68"/>
      <c r="C1211" s="69"/>
      <c r="D1211" s="70"/>
      <c r="E1211" s="71"/>
      <c r="F1211" s="68"/>
      <c r="G1211" s="68"/>
      <c r="H1211" s="68"/>
      <c r="I1211" s="68"/>
      <c r="J1211" s="72"/>
      <c r="K1211" s="68"/>
      <c r="L1211" s="72"/>
      <c r="M1211" s="68"/>
      <c r="N1211" s="68"/>
      <c r="O1211" s="68"/>
      <c r="P1211" s="68"/>
      <c r="Q1211" s="72"/>
      <c r="R1211" s="68"/>
      <c r="S1211" s="72"/>
      <c r="T1211" s="68"/>
      <c r="U1211" s="68"/>
      <c r="V1211" s="68"/>
      <c r="W1211" s="68"/>
      <c r="X1211" s="72"/>
      <c r="Y1211" s="68"/>
      <c r="Z1211" s="72"/>
      <c r="AA1211" s="68"/>
      <c r="AB1211" s="68"/>
      <c r="AC1211" s="68"/>
      <c r="AD1211" s="68"/>
      <c r="AE1211" s="72"/>
      <c r="AF1211" s="68"/>
      <c r="AG1211" s="72"/>
      <c r="AH1211" s="68"/>
      <c r="AI1211" s="68"/>
      <c r="AJ1211" s="70"/>
    </row>
    <row r="1212" hidden="1">
      <c r="A1212" s="68"/>
      <c r="B1212" s="68"/>
      <c r="C1212" s="69"/>
      <c r="D1212" s="70"/>
      <c r="E1212" s="71"/>
      <c r="F1212" s="68"/>
      <c r="G1212" s="68"/>
      <c r="H1212" s="68"/>
      <c r="I1212" s="68"/>
      <c r="J1212" s="72"/>
      <c r="K1212" s="68"/>
      <c r="L1212" s="72"/>
      <c r="M1212" s="68"/>
      <c r="N1212" s="68"/>
      <c r="O1212" s="68"/>
      <c r="P1212" s="68"/>
      <c r="Q1212" s="72"/>
      <c r="R1212" s="68"/>
      <c r="S1212" s="72"/>
      <c r="T1212" s="68"/>
      <c r="U1212" s="68"/>
      <c r="V1212" s="68"/>
      <c r="W1212" s="68"/>
      <c r="X1212" s="72"/>
      <c r="Y1212" s="68"/>
      <c r="Z1212" s="72"/>
      <c r="AA1212" s="68"/>
      <c r="AB1212" s="68"/>
      <c r="AC1212" s="68"/>
      <c r="AD1212" s="68"/>
      <c r="AE1212" s="72"/>
      <c r="AF1212" s="68"/>
      <c r="AG1212" s="72"/>
      <c r="AH1212" s="68"/>
      <c r="AI1212" s="68"/>
      <c r="AJ1212" s="70"/>
    </row>
    <row r="1213" hidden="1">
      <c r="A1213" s="68"/>
      <c r="B1213" s="68"/>
      <c r="C1213" s="69"/>
      <c r="D1213" s="70"/>
      <c r="E1213" s="71"/>
      <c r="F1213" s="68"/>
      <c r="G1213" s="68"/>
      <c r="H1213" s="68"/>
      <c r="I1213" s="68"/>
      <c r="J1213" s="72"/>
      <c r="K1213" s="68"/>
      <c r="L1213" s="72"/>
      <c r="M1213" s="68"/>
      <c r="N1213" s="68"/>
      <c r="O1213" s="68"/>
      <c r="P1213" s="68"/>
      <c r="Q1213" s="72"/>
      <c r="R1213" s="68"/>
      <c r="S1213" s="72"/>
      <c r="T1213" s="68"/>
      <c r="U1213" s="68"/>
      <c r="V1213" s="68"/>
      <c r="W1213" s="68"/>
      <c r="X1213" s="72"/>
      <c r="Y1213" s="68"/>
      <c r="Z1213" s="72"/>
      <c r="AA1213" s="68"/>
      <c r="AB1213" s="68"/>
      <c r="AC1213" s="68"/>
      <c r="AD1213" s="68"/>
      <c r="AE1213" s="72"/>
      <c r="AF1213" s="68"/>
      <c r="AG1213" s="72"/>
      <c r="AH1213" s="68"/>
      <c r="AI1213" s="68"/>
      <c r="AJ1213" s="70"/>
    </row>
    <row r="1214" hidden="1">
      <c r="A1214" s="68"/>
      <c r="B1214" s="68"/>
      <c r="C1214" s="69"/>
      <c r="D1214" s="70"/>
      <c r="E1214" s="71"/>
      <c r="F1214" s="68"/>
      <c r="G1214" s="68"/>
      <c r="H1214" s="68"/>
      <c r="I1214" s="68"/>
      <c r="J1214" s="72"/>
      <c r="K1214" s="68"/>
      <c r="L1214" s="72"/>
      <c r="M1214" s="68"/>
      <c r="N1214" s="68"/>
      <c r="O1214" s="68"/>
      <c r="P1214" s="68"/>
      <c r="Q1214" s="72"/>
      <c r="R1214" s="68"/>
      <c r="S1214" s="72"/>
      <c r="T1214" s="68"/>
      <c r="U1214" s="68"/>
      <c r="V1214" s="68"/>
      <c r="W1214" s="68"/>
      <c r="X1214" s="72"/>
      <c r="Y1214" s="68"/>
      <c r="Z1214" s="72"/>
      <c r="AA1214" s="68"/>
      <c r="AB1214" s="68"/>
      <c r="AC1214" s="68"/>
      <c r="AD1214" s="68"/>
      <c r="AE1214" s="72"/>
      <c r="AF1214" s="68"/>
      <c r="AG1214" s="72"/>
      <c r="AH1214" s="68"/>
      <c r="AI1214" s="68"/>
      <c r="AJ1214" s="70"/>
    </row>
    <row r="1215" hidden="1">
      <c r="A1215" s="68"/>
      <c r="B1215" s="68"/>
      <c r="C1215" s="69"/>
      <c r="D1215" s="70"/>
      <c r="E1215" s="71"/>
      <c r="F1215" s="68"/>
      <c r="G1215" s="68"/>
      <c r="H1215" s="68"/>
      <c r="I1215" s="68"/>
      <c r="J1215" s="72"/>
      <c r="K1215" s="68"/>
      <c r="L1215" s="72"/>
      <c r="M1215" s="68"/>
      <c r="N1215" s="68"/>
      <c r="O1215" s="68"/>
      <c r="P1215" s="68"/>
      <c r="Q1215" s="72"/>
      <c r="R1215" s="68"/>
      <c r="S1215" s="72"/>
      <c r="T1215" s="68"/>
      <c r="U1215" s="68"/>
      <c r="V1215" s="68"/>
      <c r="W1215" s="68"/>
      <c r="X1215" s="72"/>
      <c r="Y1215" s="68"/>
      <c r="Z1215" s="72"/>
      <c r="AA1215" s="68"/>
      <c r="AB1215" s="68"/>
      <c r="AC1215" s="68"/>
      <c r="AD1215" s="68"/>
      <c r="AE1215" s="72"/>
      <c r="AF1215" s="68"/>
      <c r="AG1215" s="72"/>
      <c r="AH1215" s="68"/>
      <c r="AI1215" s="68"/>
      <c r="AJ1215" s="70"/>
    </row>
    <row r="1216" hidden="1">
      <c r="A1216" s="68"/>
      <c r="B1216" s="68"/>
      <c r="C1216" s="69"/>
      <c r="D1216" s="70"/>
      <c r="E1216" s="71"/>
      <c r="F1216" s="68"/>
      <c r="G1216" s="68"/>
      <c r="H1216" s="68"/>
      <c r="I1216" s="68"/>
      <c r="J1216" s="72"/>
      <c r="K1216" s="68"/>
      <c r="L1216" s="72"/>
      <c r="M1216" s="68"/>
      <c r="N1216" s="68"/>
      <c r="O1216" s="68"/>
      <c r="P1216" s="68"/>
      <c r="Q1216" s="72"/>
      <c r="R1216" s="68"/>
      <c r="S1216" s="72"/>
      <c r="T1216" s="68"/>
      <c r="U1216" s="68"/>
      <c r="V1216" s="68"/>
      <c r="W1216" s="68"/>
      <c r="X1216" s="72"/>
      <c r="Y1216" s="68"/>
      <c r="Z1216" s="72"/>
      <c r="AA1216" s="68"/>
      <c r="AB1216" s="68"/>
      <c r="AC1216" s="68"/>
      <c r="AD1216" s="68"/>
      <c r="AE1216" s="72"/>
      <c r="AF1216" s="68"/>
      <c r="AG1216" s="72"/>
      <c r="AH1216" s="68"/>
      <c r="AI1216" s="68"/>
      <c r="AJ1216" s="70"/>
    </row>
    <row r="1217" hidden="1">
      <c r="A1217" s="68"/>
      <c r="B1217" s="68"/>
      <c r="C1217" s="69"/>
      <c r="D1217" s="70"/>
      <c r="E1217" s="71"/>
      <c r="F1217" s="68"/>
      <c r="G1217" s="68"/>
      <c r="H1217" s="68"/>
      <c r="I1217" s="68"/>
      <c r="J1217" s="72"/>
      <c r="K1217" s="68"/>
      <c r="L1217" s="72"/>
      <c r="M1217" s="68"/>
      <c r="N1217" s="68"/>
      <c r="O1217" s="68"/>
      <c r="P1217" s="68"/>
      <c r="Q1217" s="72"/>
      <c r="R1217" s="68"/>
      <c r="S1217" s="72"/>
      <c r="T1217" s="68"/>
      <c r="U1217" s="68"/>
      <c r="V1217" s="68"/>
      <c r="W1217" s="68"/>
      <c r="X1217" s="72"/>
      <c r="Y1217" s="68"/>
      <c r="Z1217" s="72"/>
      <c r="AA1217" s="68"/>
      <c r="AB1217" s="68"/>
      <c r="AC1217" s="68"/>
      <c r="AD1217" s="68"/>
      <c r="AE1217" s="72"/>
      <c r="AF1217" s="68"/>
      <c r="AG1217" s="72"/>
      <c r="AH1217" s="68"/>
      <c r="AI1217" s="68"/>
      <c r="AJ1217" s="70"/>
    </row>
    <row r="1218" hidden="1">
      <c r="A1218" s="68"/>
      <c r="B1218" s="68"/>
      <c r="C1218" s="69"/>
      <c r="D1218" s="70"/>
      <c r="E1218" s="71"/>
      <c r="F1218" s="68"/>
      <c r="G1218" s="68"/>
      <c r="H1218" s="68"/>
      <c r="I1218" s="68"/>
      <c r="J1218" s="72"/>
      <c r="K1218" s="68"/>
      <c r="L1218" s="72"/>
      <c r="M1218" s="68"/>
      <c r="N1218" s="68"/>
      <c r="O1218" s="68"/>
      <c r="P1218" s="68"/>
      <c r="Q1218" s="72"/>
      <c r="R1218" s="68"/>
      <c r="S1218" s="72"/>
      <c r="T1218" s="68"/>
      <c r="U1218" s="68"/>
      <c r="V1218" s="68"/>
      <c r="W1218" s="68"/>
      <c r="X1218" s="72"/>
      <c r="Y1218" s="68"/>
      <c r="Z1218" s="72"/>
      <c r="AA1218" s="68"/>
      <c r="AB1218" s="68"/>
      <c r="AC1218" s="68"/>
      <c r="AD1218" s="68"/>
      <c r="AE1218" s="72"/>
      <c r="AF1218" s="68"/>
      <c r="AG1218" s="72"/>
      <c r="AH1218" s="68"/>
      <c r="AI1218" s="68"/>
      <c r="AJ1218" s="70"/>
    </row>
    <row r="1219" hidden="1">
      <c r="A1219" s="68"/>
      <c r="B1219" s="68"/>
      <c r="C1219" s="69"/>
      <c r="D1219" s="70"/>
      <c r="E1219" s="71"/>
      <c r="F1219" s="68"/>
      <c r="G1219" s="68"/>
      <c r="H1219" s="68"/>
      <c r="I1219" s="68"/>
      <c r="J1219" s="72"/>
      <c r="K1219" s="68"/>
      <c r="L1219" s="72"/>
      <c r="M1219" s="68"/>
      <c r="N1219" s="68"/>
      <c r="O1219" s="68"/>
      <c r="P1219" s="68"/>
      <c r="Q1219" s="72"/>
      <c r="R1219" s="68"/>
      <c r="S1219" s="72"/>
      <c r="T1219" s="68"/>
      <c r="U1219" s="68"/>
      <c r="V1219" s="68"/>
      <c r="W1219" s="68"/>
      <c r="X1219" s="72"/>
      <c r="Y1219" s="68"/>
      <c r="Z1219" s="72"/>
      <c r="AA1219" s="68"/>
      <c r="AB1219" s="68"/>
      <c r="AC1219" s="68"/>
      <c r="AD1219" s="68"/>
      <c r="AE1219" s="72"/>
      <c r="AF1219" s="68"/>
      <c r="AG1219" s="72"/>
      <c r="AH1219" s="68"/>
      <c r="AI1219" s="68"/>
      <c r="AJ1219" s="70"/>
    </row>
    <row r="1220" hidden="1">
      <c r="A1220" s="68"/>
      <c r="B1220" s="68"/>
      <c r="C1220" s="69"/>
      <c r="D1220" s="70"/>
      <c r="E1220" s="71"/>
      <c r="F1220" s="68"/>
      <c r="G1220" s="68"/>
      <c r="H1220" s="68"/>
      <c r="I1220" s="68"/>
      <c r="J1220" s="72"/>
      <c r="K1220" s="68"/>
      <c r="L1220" s="72"/>
      <c r="M1220" s="68"/>
      <c r="N1220" s="68"/>
      <c r="O1220" s="68"/>
      <c r="P1220" s="68"/>
      <c r="Q1220" s="72"/>
      <c r="R1220" s="68"/>
      <c r="S1220" s="72"/>
      <c r="T1220" s="68"/>
      <c r="U1220" s="68"/>
      <c r="V1220" s="68"/>
      <c r="W1220" s="68"/>
      <c r="X1220" s="72"/>
      <c r="Y1220" s="68"/>
      <c r="Z1220" s="72"/>
      <c r="AA1220" s="68"/>
      <c r="AB1220" s="68"/>
      <c r="AC1220" s="68"/>
      <c r="AD1220" s="68"/>
      <c r="AE1220" s="72"/>
      <c r="AF1220" s="68"/>
      <c r="AG1220" s="72"/>
      <c r="AH1220" s="68"/>
      <c r="AI1220" s="68"/>
      <c r="AJ1220" s="70"/>
    </row>
    <row r="1221" hidden="1">
      <c r="A1221" s="68"/>
      <c r="B1221" s="68"/>
      <c r="C1221" s="69"/>
      <c r="D1221" s="70"/>
      <c r="E1221" s="71"/>
      <c r="F1221" s="68"/>
      <c r="G1221" s="68"/>
      <c r="H1221" s="68"/>
      <c r="I1221" s="68"/>
      <c r="J1221" s="72"/>
      <c r="K1221" s="68"/>
      <c r="L1221" s="72"/>
      <c r="M1221" s="68"/>
      <c r="N1221" s="68"/>
      <c r="O1221" s="68"/>
      <c r="P1221" s="68"/>
      <c r="Q1221" s="72"/>
      <c r="R1221" s="68"/>
      <c r="S1221" s="72"/>
      <c r="T1221" s="68"/>
      <c r="U1221" s="68"/>
      <c r="V1221" s="68"/>
      <c r="W1221" s="68"/>
      <c r="X1221" s="72"/>
      <c r="Y1221" s="68"/>
      <c r="Z1221" s="72"/>
      <c r="AA1221" s="68"/>
      <c r="AB1221" s="68"/>
      <c r="AC1221" s="68"/>
      <c r="AD1221" s="68"/>
      <c r="AE1221" s="72"/>
      <c r="AF1221" s="68"/>
      <c r="AG1221" s="72"/>
      <c r="AH1221" s="68"/>
      <c r="AI1221" s="68"/>
      <c r="AJ1221" s="70"/>
    </row>
    <row r="1222" hidden="1">
      <c r="A1222" s="68"/>
      <c r="B1222" s="68"/>
      <c r="C1222" s="69"/>
      <c r="D1222" s="70"/>
      <c r="E1222" s="71"/>
      <c r="F1222" s="68"/>
      <c r="G1222" s="68"/>
      <c r="H1222" s="68"/>
      <c r="I1222" s="68"/>
      <c r="J1222" s="72"/>
      <c r="K1222" s="68"/>
      <c r="L1222" s="72"/>
      <c r="M1222" s="68"/>
      <c r="N1222" s="68"/>
      <c r="O1222" s="68"/>
      <c r="P1222" s="68"/>
      <c r="Q1222" s="72"/>
      <c r="R1222" s="68"/>
      <c r="S1222" s="72"/>
      <c r="T1222" s="68"/>
      <c r="U1222" s="68"/>
      <c r="V1222" s="68"/>
      <c r="W1222" s="68"/>
      <c r="X1222" s="72"/>
      <c r="Y1222" s="68"/>
      <c r="Z1222" s="72"/>
      <c r="AA1222" s="68"/>
      <c r="AB1222" s="68"/>
      <c r="AC1222" s="68"/>
      <c r="AD1222" s="68"/>
      <c r="AE1222" s="72"/>
      <c r="AF1222" s="68"/>
      <c r="AG1222" s="72"/>
      <c r="AH1222" s="68"/>
      <c r="AI1222" s="68"/>
      <c r="AJ1222" s="70"/>
    </row>
    <row r="1223" hidden="1">
      <c r="A1223" s="68"/>
      <c r="B1223" s="68"/>
      <c r="C1223" s="69"/>
      <c r="D1223" s="70"/>
      <c r="E1223" s="71"/>
      <c r="F1223" s="68"/>
      <c r="G1223" s="68"/>
      <c r="H1223" s="68"/>
      <c r="I1223" s="68"/>
      <c r="J1223" s="72"/>
      <c r="K1223" s="68"/>
      <c r="L1223" s="72"/>
      <c r="M1223" s="68"/>
      <c r="N1223" s="68"/>
      <c r="O1223" s="68"/>
      <c r="P1223" s="68"/>
      <c r="Q1223" s="72"/>
      <c r="R1223" s="68"/>
      <c r="S1223" s="72"/>
      <c r="T1223" s="68"/>
      <c r="U1223" s="68"/>
      <c r="V1223" s="68"/>
      <c r="W1223" s="68"/>
      <c r="X1223" s="72"/>
      <c r="Y1223" s="68"/>
      <c r="Z1223" s="72"/>
      <c r="AA1223" s="68"/>
      <c r="AB1223" s="68"/>
      <c r="AC1223" s="68"/>
      <c r="AD1223" s="68"/>
      <c r="AE1223" s="72"/>
      <c r="AF1223" s="68"/>
      <c r="AG1223" s="72"/>
      <c r="AH1223" s="68"/>
      <c r="AI1223" s="68"/>
      <c r="AJ1223" s="70"/>
    </row>
    <row r="1224" hidden="1">
      <c r="A1224" s="68"/>
      <c r="B1224" s="68"/>
      <c r="C1224" s="69"/>
      <c r="D1224" s="70"/>
      <c r="E1224" s="71"/>
      <c r="F1224" s="68"/>
      <c r="G1224" s="68"/>
      <c r="H1224" s="68"/>
      <c r="I1224" s="68"/>
      <c r="J1224" s="72"/>
      <c r="K1224" s="68"/>
      <c r="L1224" s="72"/>
      <c r="M1224" s="68"/>
      <c r="N1224" s="68"/>
      <c r="O1224" s="68"/>
      <c r="P1224" s="68"/>
      <c r="Q1224" s="72"/>
      <c r="R1224" s="68"/>
      <c r="S1224" s="72"/>
      <c r="T1224" s="68"/>
      <c r="U1224" s="68"/>
      <c r="V1224" s="68"/>
      <c r="W1224" s="68"/>
      <c r="X1224" s="72"/>
      <c r="Y1224" s="68"/>
      <c r="Z1224" s="72"/>
      <c r="AA1224" s="68"/>
      <c r="AB1224" s="68"/>
      <c r="AC1224" s="68"/>
      <c r="AD1224" s="68"/>
      <c r="AE1224" s="72"/>
      <c r="AF1224" s="68"/>
      <c r="AG1224" s="72"/>
      <c r="AH1224" s="68"/>
      <c r="AI1224" s="68"/>
      <c r="AJ1224" s="70"/>
    </row>
    <row r="1225" hidden="1">
      <c r="A1225" s="68"/>
      <c r="B1225" s="68"/>
      <c r="C1225" s="69"/>
      <c r="D1225" s="70"/>
      <c r="E1225" s="71"/>
      <c r="F1225" s="68"/>
      <c r="G1225" s="68"/>
      <c r="H1225" s="68"/>
      <c r="I1225" s="68"/>
      <c r="J1225" s="72"/>
      <c r="K1225" s="68"/>
      <c r="L1225" s="72"/>
      <c r="M1225" s="68"/>
      <c r="N1225" s="68"/>
      <c r="O1225" s="68"/>
      <c r="P1225" s="68"/>
      <c r="Q1225" s="72"/>
      <c r="R1225" s="68"/>
      <c r="S1225" s="72"/>
      <c r="T1225" s="68"/>
      <c r="U1225" s="68"/>
      <c r="V1225" s="68"/>
      <c r="W1225" s="68"/>
      <c r="X1225" s="72"/>
      <c r="Y1225" s="68"/>
      <c r="Z1225" s="72"/>
      <c r="AA1225" s="68"/>
      <c r="AB1225" s="68"/>
      <c r="AC1225" s="68"/>
      <c r="AD1225" s="68"/>
      <c r="AE1225" s="72"/>
      <c r="AF1225" s="68"/>
      <c r="AG1225" s="72"/>
      <c r="AH1225" s="68"/>
      <c r="AI1225" s="68"/>
      <c r="AJ1225" s="70"/>
    </row>
    <row r="1226" hidden="1">
      <c r="A1226" s="68"/>
      <c r="B1226" s="68"/>
      <c r="C1226" s="69"/>
      <c r="D1226" s="70"/>
      <c r="E1226" s="71"/>
      <c r="F1226" s="68"/>
      <c r="G1226" s="68"/>
      <c r="H1226" s="68"/>
      <c r="I1226" s="68"/>
      <c r="J1226" s="72"/>
      <c r="K1226" s="68"/>
      <c r="L1226" s="72"/>
      <c r="M1226" s="68"/>
      <c r="N1226" s="68"/>
      <c r="O1226" s="68"/>
      <c r="P1226" s="68"/>
      <c r="Q1226" s="72"/>
      <c r="R1226" s="68"/>
      <c r="S1226" s="72"/>
      <c r="T1226" s="68"/>
      <c r="U1226" s="68"/>
      <c r="V1226" s="68"/>
      <c r="W1226" s="68"/>
      <c r="X1226" s="72"/>
      <c r="Y1226" s="68"/>
      <c r="Z1226" s="72"/>
      <c r="AA1226" s="68"/>
      <c r="AB1226" s="68"/>
      <c r="AC1226" s="68"/>
      <c r="AD1226" s="68"/>
      <c r="AE1226" s="72"/>
      <c r="AF1226" s="68"/>
      <c r="AG1226" s="72"/>
      <c r="AH1226" s="68"/>
      <c r="AI1226" s="68"/>
      <c r="AJ1226" s="70"/>
    </row>
    <row r="1227" hidden="1">
      <c r="A1227" s="68"/>
      <c r="B1227" s="68"/>
      <c r="C1227" s="69"/>
      <c r="D1227" s="70"/>
      <c r="E1227" s="71"/>
      <c r="F1227" s="68"/>
      <c r="G1227" s="68"/>
      <c r="H1227" s="68"/>
      <c r="I1227" s="68"/>
      <c r="J1227" s="72"/>
      <c r="K1227" s="68"/>
      <c r="L1227" s="72"/>
      <c r="M1227" s="68"/>
      <c r="N1227" s="68"/>
      <c r="O1227" s="68"/>
      <c r="P1227" s="68"/>
      <c r="Q1227" s="72"/>
      <c r="R1227" s="68"/>
      <c r="S1227" s="72"/>
      <c r="T1227" s="68"/>
      <c r="U1227" s="68"/>
      <c r="V1227" s="68"/>
      <c r="W1227" s="68"/>
      <c r="X1227" s="72"/>
      <c r="Y1227" s="68"/>
      <c r="Z1227" s="72"/>
      <c r="AA1227" s="68"/>
      <c r="AB1227" s="68"/>
      <c r="AC1227" s="68"/>
      <c r="AD1227" s="68"/>
      <c r="AE1227" s="72"/>
      <c r="AF1227" s="68"/>
      <c r="AG1227" s="72"/>
      <c r="AH1227" s="68"/>
      <c r="AI1227" s="68"/>
      <c r="AJ1227" s="70"/>
    </row>
    <row r="1228" hidden="1">
      <c r="A1228" s="68"/>
      <c r="B1228" s="68"/>
      <c r="C1228" s="69"/>
      <c r="D1228" s="70"/>
      <c r="E1228" s="71"/>
      <c r="F1228" s="68"/>
      <c r="G1228" s="68"/>
      <c r="H1228" s="68"/>
      <c r="I1228" s="68"/>
      <c r="J1228" s="72"/>
      <c r="K1228" s="68"/>
      <c r="L1228" s="72"/>
      <c r="M1228" s="68"/>
      <c r="N1228" s="68"/>
      <c r="O1228" s="68"/>
      <c r="P1228" s="68"/>
      <c r="Q1228" s="72"/>
      <c r="R1228" s="68"/>
      <c r="S1228" s="72"/>
      <c r="T1228" s="68"/>
      <c r="U1228" s="68"/>
      <c r="V1228" s="68"/>
      <c r="W1228" s="68"/>
      <c r="X1228" s="72"/>
      <c r="Y1228" s="68"/>
      <c r="Z1228" s="72"/>
      <c r="AA1228" s="68"/>
      <c r="AB1228" s="68"/>
      <c r="AC1228" s="68"/>
      <c r="AD1228" s="68"/>
      <c r="AE1228" s="72"/>
      <c r="AF1228" s="68"/>
      <c r="AG1228" s="72"/>
      <c r="AH1228" s="68"/>
      <c r="AI1228" s="68"/>
      <c r="AJ1228" s="70"/>
    </row>
    <row r="1229" hidden="1">
      <c r="A1229" s="68"/>
      <c r="B1229" s="68"/>
      <c r="C1229" s="69"/>
      <c r="D1229" s="70"/>
      <c r="E1229" s="71"/>
      <c r="F1229" s="68"/>
      <c r="G1229" s="68"/>
      <c r="H1229" s="68"/>
      <c r="I1229" s="68"/>
      <c r="J1229" s="72"/>
      <c r="K1229" s="68"/>
      <c r="L1229" s="72"/>
      <c r="M1229" s="68"/>
      <c r="N1229" s="68"/>
      <c r="O1229" s="68"/>
      <c r="P1229" s="68"/>
      <c r="Q1229" s="72"/>
      <c r="R1229" s="68"/>
      <c r="S1229" s="72"/>
      <c r="T1229" s="68"/>
      <c r="U1229" s="68"/>
      <c r="V1229" s="68"/>
      <c r="W1229" s="68"/>
      <c r="X1229" s="72"/>
      <c r="Y1229" s="68"/>
      <c r="Z1229" s="72"/>
      <c r="AA1229" s="68"/>
      <c r="AB1229" s="68"/>
      <c r="AC1229" s="68"/>
      <c r="AD1229" s="68"/>
      <c r="AE1229" s="72"/>
      <c r="AF1229" s="68"/>
      <c r="AG1229" s="72"/>
      <c r="AH1229" s="68"/>
      <c r="AI1229" s="68"/>
      <c r="AJ1229" s="70"/>
    </row>
    <row r="1230" hidden="1">
      <c r="A1230" s="68"/>
      <c r="B1230" s="68"/>
      <c r="C1230" s="69"/>
      <c r="D1230" s="70"/>
      <c r="E1230" s="71"/>
      <c r="F1230" s="68"/>
      <c r="G1230" s="68"/>
      <c r="H1230" s="68"/>
      <c r="I1230" s="68"/>
      <c r="J1230" s="72"/>
      <c r="K1230" s="68"/>
      <c r="L1230" s="72"/>
      <c r="M1230" s="68"/>
      <c r="N1230" s="68"/>
      <c r="O1230" s="68"/>
      <c r="P1230" s="68"/>
      <c r="Q1230" s="72"/>
      <c r="R1230" s="68"/>
      <c r="S1230" s="72"/>
      <c r="T1230" s="68"/>
      <c r="U1230" s="68"/>
      <c r="V1230" s="68"/>
      <c r="W1230" s="68"/>
      <c r="X1230" s="72"/>
      <c r="Y1230" s="68"/>
      <c r="Z1230" s="72"/>
      <c r="AA1230" s="68"/>
      <c r="AB1230" s="68"/>
      <c r="AC1230" s="68"/>
      <c r="AD1230" s="68"/>
      <c r="AE1230" s="72"/>
      <c r="AF1230" s="68"/>
      <c r="AG1230" s="72"/>
      <c r="AH1230" s="68"/>
      <c r="AI1230" s="68"/>
      <c r="AJ1230" s="70"/>
    </row>
    <row r="1231" hidden="1">
      <c r="A1231" s="68"/>
      <c r="B1231" s="68"/>
      <c r="C1231" s="69"/>
      <c r="D1231" s="70"/>
      <c r="E1231" s="71"/>
      <c r="F1231" s="68"/>
      <c r="G1231" s="68"/>
      <c r="H1231" s="68"/>
      <c r="I1231" s="68"/>
      <c r="J1231" s="72"/>
      <c r="K1231" s="68"/>
      <c r="L1231" s="72"/>
      <c r="M1231" s="68"/>
      <c r="N1231" s="68"/>
      <c r="O1231" s="68"/>
      <c r="P1231" s="68"/>
      <c r="Q1231" s="72"/>
      <c r="R1231" s="68"/>
      <c r="S1231" s="72"/>
      <c r="T1231" s="68"/>
      <c r="U1231" s="68"/>
      <c r="V1231" s="68"/>
      <c r="W1231" s="68"/>
      <c r="X1231" s="72"/>
      <c r="Y1231" s="68"/>
      <c r="Z1231" s="72"/>
      <c r="AA1231" s="68"/>
      <c r="AB1231" s="68"/>
      <c r="AC1231" s="68"/>
      <c r="AD1231" s="68"/>
      <c r="AE1231" s="72"/>
      <c r="AF1231" s="68"/>
      <c r="AG1231" s="72"/>
      <c r="AH1231" s="68"/>
      <c r="AI1231" s="68"/>
      <c r="AJ1231" s="70"/>
    </row>
    <row r="1232" hidden="1">
      <c r="A1232" s="68"/>
      <c r="B1232" s="68"/>
      <c r="C1232" s="69"/>
      <c r="D1232" s="70"/>
      <c r="E1232" s="71"/>
      <c r="F1232" s="68"/>
      <c r="G1232" s="68"/>
      <c r="H1232" s="68"/>
      <c r="I1232" s="68"/>
      <c r="J1232" s="72"/>
      <c r="K1232" s="68"/>
      <c r="L1232" s="72"/>
      <c r="M1232" s="68"/>
      <c r="N1232" s="68"/>
      <c r="O1232" s="68"/>
      <c r="P1232" s="68"/>
      <c r="Q1232" s="72"/>
      <c r="R1232" s="68"/>
      <c r="S1232" s="72"/>
      <c r="T1232" s="68"/>
      <c r="U1232" s="68"/>
      <c r="V1232" s="68"/>
      <c r="W1232" s="68"/>
      <c r="X1232" s="72"/>
      <c r="Y1232" s="68"/>
      <c r="Z1232" s="72"/>
      <c r="AA1232" s="68"/>
      <c r="AB1232" s="68"/>
      <c r="AC1232" s="68"/>
      <c r="AD1232" s="68"/>
      <c r="AE1232" s="72"/>
      <c r="AF1232" s="68"/>
      <c r="AG1232" s="72"/>
      <c r="AH1232" s="68"/>
      <c r="AI1232" s="68"/>
      <c r="AJ1232" s="70"/>
    </row>
    <row r="1233" hidden="1">
      <c r="A1233" s="68"/>
      <c r="B1233" s="68"/>
      <c r="C1233" s="69"/>
      <c r="D1233" s="70"/>
      <c r="E1233" s="71"/>
      <c r="F1233" s="68"/>
      <c r="G1233" s="68"/>
      <c r="H1233" s="68"/>
      <c r="I1233" s="68"/>
      <c r="J1233" s="72"/>
      <c r="K1233" s="68"/>
      <c r="L1233" s="72"/>
      <c r="M1233" s="68"/>
      <c r="N1233" s="68"/>
      <c r="O1233" s="68"/>
      <c r="P1233" s="68"/>
      <c r="Q1233" s="72"/>
      <c r="R1233" s="68"/>
      <c r="S1233" s="72"/>
      <c r="T1233" s="68"/>
      <c r="U1233" s="68"/>
      <c r="V1233" s="68"/>
      <c r="W1233" s="68"/>
      <c r="X1233" s="72"/>
      <c r="Y1233" s="68"/>
      <c r="Z1233" s="72"/>
      <c r="AA1233" s="68"/>
      <c r="AB1233" s="68"/>
      <c r="AC1233" s="68"/>
      <c r="AD1233" s="68"/>
      <c r="AE1233" s="72"/>
      <c r="AF1233" s="68"/>
      <c r="AG1233" s="72"/>
      <c r="AH1233" s="68"/>
      <c r="AI1233" s="68"/>
      <c r="AJ1233" s="70"/>
    </row>
    <row r="1234" hidden="1">
      <c r="A1234" s="68"/>
      <c r="B1234" s="68"/>
      <c r="C1234" s="69"/>
      <c r="D1234" s="70"/>
      <c r="E1234" s="71"/>
      <c r="F1234" s="68"/>
      <c r="G1234" s="68"/>
      <c r="H1234" s="68"/>
      <c r="I1234" s="68"/>
      <c r="J1234" s="72"/>
      <c r="K1234" s="68"/>
      <c r="L1234" s="72"/>
      <c r="M1234" s="68"/>
      <c r="N1234" s="68"/>
      <c r="O1234" s="68"/>
      <c r="P1234" s="68"/>
      <c r="Q1234" s="72"/>
      <c r="R1234" s="68"/>
      <c r="S1234" s="72"/>
      <c r="T1234" s="68"/>
      <c r="U1234" s="68"/>
      <c r="V1234" s="68"/>
      <c r="W1234" s="68"/>
      <c r="X1234" s="72"/>
      <c r="Y1234" s="68"/>
      <c r="Z1234" s="72"/>
      <c r="AA1234" s="68"/>
      <c r="AB1234" s="68"/>
      <c r="AC1234" s="68"/>
      <c r="AD1234" s="68"/>
      <c r="AE1234" s="72"/>
      <c r="AF1234" s="68"/>
      <c r="AG1234" s="72"/>
      <c r="AH1234" s="68"/>
      <c r="AI1234" s="68"/>
      <c r="AJ1234" s="70"/>
    </row>
    <row r="1235" hidden="1">
      <c r="A1235" s="68"/>
      <c r="B1235" s="68"/>
      <c r="C1235" s="69"/>
      <c r="D1235" s="70"/>
      <c r="E1235" s="71"/>
      <c r="F1235" s="68"/>
      <c r="G1235" s="68"/>
      <c r="H1235" s="68"/>
      <c r="I1235" s="68"/>
      <c r="J1235" s="72"/>
      <c r="K1235" s="68"/>
      <c r="L1235" s="72"/>
      <c r="M1235" s="68"/>
      <c r="N1235" s="68"/>
      <c r="O1235" s="68"/>
      <c r="P1235" s="68"/>
      <c r="Q1235" s="72"/>
      <c r="R1235" s="68"/>
      <c r="S1235" s="72"/>
      <c r="T1235" s="68"/>
      <c r="U1235" s="68"/>
      <c r="V1235" s="68"/>
      <c r="W1235" s="68"/>
      <c r="X1235" s="72"/>
      <c r="Y1235" s="68"/>
      <c r="Z1235" s="72"/>
      <c r="AA1235" s="68"/>
      <c r="AB1235" s="68"/>
      <c r="AC1235" s="68"/>
      <c r="AD1235" s="68"/>
      <c r="AE1235" s="72"/>
      <c r="AF1235" s="68"/>
      <c r="AG1235" s="72"/>
      <c r="AH1235" s="68"/>
      <c r="AI1235" s="68"/>
      <c r="AJ1235" s="70"/>
    </row>
    <row r="1236" hidden="1">
      <c r="A1236" s="68"/>
      <c r="B1236" s="68"/>
      <c r="C1236" s="69"/>
      <c r="D1236" s="70"/>
      <c r="E1236" s="71"/>
      <c r="F1236" s="68"/>
      <c r="G1236" s="68"/>
      <c r="H1236" s="68"/>
      <c r="I1236" s="68"/>
      <c r="J1236" s="72"/>
      <c r="K1236" s="68"/>
      <c r="L1236" s="72"/>
      <c r="M1236" s="68"/>
      <c r="N1236" s="68"/>
      <c r="O1236" s="68"/>
      <c r="P1236" s="68"/>
      <c r="Q1236" s="72"/>
      <c r="R1236" s="68"/>
      <c r="S1236" s="72"/>
      <c r="T1236" s="68"/>
      <c r="U1236" s="68"/>
      <c r="V1236" s="68"/>
      <c r="W1236" s="68"/>
      <c r="X1236" s="72"/>
      <c r="Y1236" s="68"/>
      <c r="Z1236" s="72"/>
      <c r="AA1236" s="68"/>
      <c r="AB1236" s="68"/>
      <c r="AC1236" s="68"/>
      <c r="AD1236" s="68"/>
      <c r="AE1236" s="72"/>
      <c r="AF1236" s="68"/>
      <c r="AG1236" s="72"/>
      <c r="AH1236" s="68"/>
      <c r="AI1236" s="68"/>
      <c r="AJ1236" s="70"/>
    </row>
    <row r="1237" hidden="1">
      <c r="A1237" s="68"/>
      <c r="B1237" s="68"/>
      <c r="C1237" s="69"/>
      <c r="D1237" s="70"/>
      <c r="E1237" s="71"/>
      <c r="F1237" s="68"/>
      <c r="G1237" s="68"/>
      <c r="H1237" s="68"/>
      <c r="I1237" s="68"/>
      <c r="J1237" s="72"/>
      <c r="K1237" s="68"/>
      <c r="L1237" s="72"/>
      <c r="M1237" s="68"/>
      <c r="N1237" s="68"/>
      <c r="O1237" s="68"/>
      <c r="P1237" s="68"/>
      <c r="Q1237" s="72"/>
      <c r="R1237" s="68"/>
      <c r="S1237" s="72"/>
      <c r="T1237" s="68"/>
      <c r="U1237" s="68"/>
      <c r="V1237" s="68"/>
      <c r="W1237" s="68"/>
      <c r="X1237" s="72"/>
      <c r="Y1237" s="68"/>
      <c r="Z1237" s="72"/>
      <c r="AA1237" s="68"/>
      <c r="AB1237" s="68"/>
      <c r="AC1237" s="68"/>
      <c r="AD1237" s="68"/>
      <c r="AE1237" s="72"/>
      <c r="AF1237" s="68"/>
      <c r="AG1237" s="72"/>
      <c r="AH1237" s="68"/>
      <c r="AI1237" s="68"/>
      <c r="AJ1237" s="70"/>
    </row>
    <row r="1238" hidden="1">
      <c r="A1238" s="68"/>
      <c r="B1238" s="68"/>
      <c r="C1238" s="69"/>
      <c r="D1238" s="70"/>
      <c r="E1238" s="71"/>
      <c r="F1238" s="68"/>
      <c r="G1238" s="68"/>
      <c r="H1238" s="68"/>
      <c r="I1238" s="68"/>
      <c r="J1238" s="72"/>
      <c r="K1238" s="68"/>
      <c r="L1238" s="72"/>
      <c r="M1238" s="68"/>
      <c r="N1238" s="68"/>
      <c r="O1238" s="68"/>
      <c r="P1238" s="68"/>
      <c r="Q1238" s="72"/>
      <c r="R1238" s="68"/>
      <c r="S1238" s="72"/>
      <c r="T1238" s="68"/>
      <c r="U1238" s="68"/>
      <c r="V1238" s="68"/>
      <c r="W1238" s="68"/>
      <c r="X1238" s="72"/>
      <c r="Y1238" s="68"/>
      <c r="Z1238" s="72"/>
      <c r="AA1238" s="68"/>
      <c r="AB1238" s="68"/>
      <c r="AC1238" s="68"/>
      <c r="AD1238" s="68"/>
      <c r="AE1238" s="72"/>
      <c r="AF1238" s="68"/>
      <c r="AG1238" s="72"/>
      <c r="AH1238" s="68"/>
      <c r="AI1238" s="68"/>
      <c r="AJ1238" s="70"/>
    </row>
    <row r="1239" hidden="1">
      <c r="A1239" s="68"/>
      <c r="B1239" s="68"/>
      <c r="C1239" s="69"/>
      <c r="D1239" s="70"/>
      <c r="E1239" s="71"/>
      <c r="F1239" s="68"/>
      <c r="G1239" s="68"/>
      <c r="H1239" s="68"/>
      <c r="I1239" s="68"/>
      <c r="J1239" s="72"/>
      <c r="K1239" s="68"/>
      <c r="L1239" s="72"/>
      <c r="M1239" s="68"/>
      <c r="N1239" s="68"/>
      <c r="O1239" s="68"/>
      <c r="P1239" s="68"/>
      <c r="Q1239" s="72"/>
      <c r="R1239" s="68"/>
      <c r="S1239" s="72"/>
      <c r="T1239" s="68"/>
      <c r="U1239" s="68"/>
      <c r="V1239" s="68"/>
      <c r="W1239" s="68"/>
      <c r="X1239" s="72"/>
      <c r="Y1239" s="68"/>
      <c r="Z1239" s="72"/>
      <c r="AA1239" s="68"/>
      <c r="AB1239" s="68"/>
      <c r="AC1239" s="68"/>
      <c r="AD1239" s="68"/>
      <c r="AE1239" s="72"/>
      <c r="AF1239" s="68"/>
      <c r="AG1239" s="72"/>
      <c r="AH1239" s="68"/>
      <c r="AI1239" s="68"/>
      <c r="AJ1239" s="70"/>
    </row>
    <row r="1240" hidden="1">
      <c r="A1240" s="68"/>
      <c r="B1240" s="68"/>
      <c r="C1240" s="69"/>
      <c r="D1240" s="70"/>
      <c r="E1240" s="71"/>
      <c r="F1240" s="68"/>
      <c r="G1240" s="68"/>
      <c r="H1240" s="68"/>
      <c r="I1240" s="68"/>
      <c r="J1240" s="72"/>
      <c r="K1240" s="68"/>
      <c r="L1240" s="72"/>
      <c r="M1240" s="68"/>
      <c r="N1240" s="68"/>
      <c r="O1240" s="68"/>
      <c r="P1240" s="68"/>
      <c r="Q1240" s="72"/>
      <c r="R1240" s="68"/>
      <c r="S1240" s="72"/>
      <c r="T1240" s="68"/>
      <c r="U1240" s="68"/>
      <c r="V1240" s="68"/>
      <c r="W1240" s="68"/>
      <c r="X1240" s="72"/>
      <c r="Y1240" s="68"/>
      <c r="Z1240" s="72"/>
      <c r="AA1240" s="68"/>
      <c r="AB1240" s="68"/>
      <c r="AC1240" s="68"/>
      <c r="AD1240" s="68"/>
      <c r="AE1240" s="72"/>
      <c r="AF1240" s="68"/>
      <c r="AG1240" s="72"/>
      <c r="AH1240" s="68"/>
      <c r="AI1240" s="68"/>
      <c r="AJ1240" s="70"/>
    </row>
    <row r="1241" hidden="1">
      <c r="A1241" s="68"/>
      <c r="B1241" s="68"/>
      <c r="C1241" s="69"/>
      <c r="D1241" s="70"/>
      <c r="E1241" s="71"/>
      <c r="F1241" s="68"/>
      <c r="G1241" s="68"/>
      <c r="H1241" s="68"/>
      <c r="I1241" s="68"/>
      <c r="J1241" s="72"/>
      <c r="K1241" s="68"/>
      <c r="L1241" s="72"/>
      <c r="M1241" s="68"/>
      <c r="N1241" s="68"/>
      <c r="O1241" s="68"/>
      <c r="P1241" s="68"/>
      <c r="Q1241" s="72"/>
      <c r="R1241" s="68"/>
      <c r="S1241" s="72"/>
      <c r="T1241" s="68"/>
      <c r="U1241" s="68"/>
      <c r="V1241" s="68"/>
      <c r="W1241" s="68"/>
      <c r="X1241" s="72"/>
      <c r="Y1241" s="68"/>
      <c r="Z1241" s="72"/>
      <c r="AA1241" s="68"/>
      <c r="AB1241" s="68"/>
      <c r="AC1241" s="68"/>
      <c r="AD1241" s="68"/>
      <c r="AE1241" s="72"/>
      <c r="AF1241" s="68"/>
      <c r="AG1241" s="72"/>
      <c r="AH1241" s="68"/>
      <c r="AI1241" s="68"/>
      <c r="AJ1241" s="70"/>
    </row>
    <row r="1242" hidden="1">
      <c r="A1242" s="68"/>
      <c r="B1242" s="68"/>
      <c r="C1242" s="69"/>
      <c r="D1242" s="70"/>
      <c r="E1242" s="71"/>
      <c r="F1242" s="68"/>
      <c r="G1242" s="68"/>
      <c r="H1242" s="68"/>
      <c r="I1242" s="68"/>
      <c r="J1242" s="72"/>
      <c r="K1242" s="68"/>
      <c r="L1242" s="72"/>
      <c r="M1242" s="68"/>
      <c r="N1242" s="68"/>
      <c r="O1242" s="68"/>
      <c r="P1242" s="68"/>
      <c r="Q1242" s="72"/>
      <c r="R1242" s="68"/>
      <c r="S1242" s="72"/>
      <c r="T1242" s="68"/>
      <c r="U1242" s="68"/>
      <c r="V1242" s="68"/>
      <c r="W1242" s="68"/>
      <c r="X1242" s="72"/>
      <c r="Y1242" s="68"/>
      <c r="Z1242" s="72"/>
      <c r="AA1242" s="68"/>
      <c r="AB1242" s="68"/>
      <c r="AC1242" s="68"/>
      <c r="AD1242" s="68"/>
      <c r="AE1242" s="72"/>
      <c r="AF1242" s="68"/>
      <c r="AG1242" s="72"/>
      <c r="AH1242" s="68"/>
      <c r="AI1242" s="68"/>
      <c r="AJ1242" s="70"/>
    </row>
    <row r="1243" hidden="1">
      <c r="A1243" s="68"/>
      <c r="B1243" s="68"/>
      <c r="C1243" s="69"/>
      <c r="D1243" s="70"/>
      <c r="E1243" s="71"/>
      <c r="F1243" s="68"/>
      <c r="G1243" s="68"/>
      <c r="H1243" s="68"/>
      <c r="I1243" s="68"/>
      <c r="J1243" s="72"/>
      <c r="K1243" s="68"/>
      <c r="L1243" s="72"/>
      <c r="M1243" s="68"/>
      <c r="N1243" s="68"/>
      <c r="O1243" s="68"/>
      <c r="P1243" s="68"/>
      <c r="Q1243" s="72"/>
      <c r="R1243" s="68"/>
      <c r="S1243" s="72"/>
      <c r="T1243" s="68"/>
      <c r="U1243" s="68"/>
      <c r="V1243" s="68"/>
      <c r="W1243" s="68"/>
      <c r="X1243" s="72"/>
      <c r="Y1243" s="68"/>
      <c r="Z1243" s="72"/>
      <c r="AA1243" s="68"/>
      <c r="AB1243" s="68"/>
      <c r="AC1243" s="68"/>
      <c r="AD1243" s="68"/>
      <c r="AE1243" s="72"/>
      <c r="AF1243" s="68"/>
      <c r="AG1243" s="72"/>
      <c r="AH1243" s="68"/>
      <c r="AI1243" s="68"/>
      <c r="AJ1243" s="70"/>
    </row>
    <row r="1244" hidden="1">
      <c r="A1244" s="68"/>
      <c r="B1244" s="68"/>
      <c r="C1244" s="69"/>
      <c r="D1244" s="70"/>
      <c r="E1244" s="71"/>
      <c r="F1244" s="68"/>
      <c r="G1244" s="68"/>
      <c r="H1244" s="68"/>
      <c r="I1244" s="68"/>
      <c r="J1244" s="72"/>
      <c r="K1244" s="68"/>
      <c r="L1244" s="72"/>
      <c r="M1244" s="68"/>
      <c r="N1244" s="68"/>
      <c r="O1244" s="68"/>
      <c r="P1244" s="68"/>
      <c r="Q1244" s="72"/>
      <c r="R1244" s="68"/>
      <c r="S1244" s="72"/>
      <c r="T1244" s="68"/>
      <c r="U1244" s="68"/>
      <c r="V1244" s="68"/>
      <c r="W1244" s="68"/>
      <c r="X1244" s="72"/>
      <c r="Y1244" s="68"/>
      <c r="Z1244" s="72"/>
      <c r="AA1244" s="68"/>
      <c r="AB1244" s="68"/>
      <c r="AC1244" s="68"/>
      <c r="AD1244" s="68"/>
      <c r="AE1244" s="72"/>
      <c r="AF1244" s="68"/>
      <c r="AG1244" s="72"/>
      <c r="AH1244" s="68"/>
      <c r="AI1244" s="68"/>
      <c r="AJ1244" s="70"/>
    </row>
    <row r="1245" hidden="1">
      <c r="A1245" s="68"/>
      <c r="B1245" s="68"/>
      <c r="C1245" s="69"/>
      <c r="D1245" s="70"/>
      <c r="E1245" s="71"/>
      <c r="F1245" s="68"/>
      <c r="G1245" s="68"/>
      <c r="H1245" s="68"/>
      <c r="I1245" s="68"/>
      <c r="J1245" s="72"/>
      <c r="K1245" s="68"/>
      <c r="L1245" s="72"/>
      <c r="M1245" s="68"/>
      <c r="N1245" s="68"/>
      <c r="O1245" s="68"/>
      <c r="P1245" s="68"/>
      <c r="Q1245" s="72"/>
      <c r="R1245" s="68"/>
      <c r="S1245" s="72"/>
      <c r="T1245" s="68"/>
      <c r="U1245" s="68"/>
      <c r="V1245" s="68"/>
      <c r="W1245" s="68"/>
      <c r="X1245" s="72"/>
      <c r="Y1245" s="68"/>
      <c r="Z1245" s="72"/>
      <c r="AA1245" s="68"/>
      <c r="AB1245" s="68"/>
      <c r="AC1245" s="68"/>
      <c r="AD1245" s="68"/>
      <c r="AE1245" s="72"/>
      <c r="AF1245" s="68"/>
      <c r="AG1245" s="72"/>
      <c r="AH1245" s="68"/>
      <c r="AI1245" s="68"/>
      <c r="AJ1245" s="70"/>
    </row>
    <row r="1246" hidden="1">
      <c r="A1246" s="68"/>
      <c r="B1246" s="68"/>
      <c r="C1246" s="69"/>
      <c r="D1246" s="70"/>
      <c r="E1246" s="71"/>
      <c r="F1246" s="68"/>
      <c r="G1246" s="68"/>
      <c r="H1246" s="68"/>
      <c r="I1246" s="68"/>
      <c r="J1246" s="72"/>
      <c r="K1246" s="68"/>
      <c r="L1246" s="72"/>
      <c r="M1246" s="68"/>
      <c r="N1246" s="68"/>
      <c r="O1246" s="68"/>
      <c r="P1246" s="68"/>
      <c r="Q1246" s="72"/>
      <c r="R1246" s="68"/>
      <c r="S1246" s="72"/>
      <c r="T1246" s="68"/>
      <c r="U1246" s="68"/>
      <c r="V1246" s="68"/>
      <c r="W1246" s="68"/>
      <c r="X1246" s="72"/>
      <c r="Y1246" s="68"/>
      <c r="Z1246" s="72"/>
      <c r="AA1246" s="68"/>
      <c r="AB1246" s="68"/>
      <c r="AC1246" s="68"/>
      <c r="AD1246" s="68"/>
      <c r="AE1246" s="72"/>
      <c r="AF1246" s="68"/>
      <c r="AG1246" s="72"/>
      <c r="AH1246" s="68"/>
      <c r="AI1246" s="68"/>
      <c r="AJ1246" s="70"/>
    </row>
    <row r="1247" hidden="1">
      <c r="A1247" s="68"/>
      <c r="B1247" s="68"/>
      <c r="C1247" s="69"/>
      <c r="D1247" s="70"/>
      <c r="E1247" s="71"/>
      <c r="F1247" s="68"/>
      <c r="G1247" s="68"/>
      <c r="H1247" s="68"/>
      <c r="I1247" s="68"/>
      <c r="J1247" s="72"/>
      <c r="K1247" s="68"/>
      <c r="L1247" s="72"/>
      <c r="M1247" s="68"/>
      <c r="N1247" s="68"/>
      <c r="O1247" s="68"/>
      <c r="P1247" s="68"/>
      <c r="Q1247" s="72"/>
      <c r="R1247" s="68"/>
      <c r="S1247" s="72"/>
      <c r="T1247" s="68"/>
      <c r="U1247" s="68"/>
      <c r="V1247" s="68"/>
      <c r="W1247" s="68"/>
      <c r="X1247" s="72"/>
      <c r="Y1247" s="68"/>
      <c r="Z1247" s="72"/>
      <c r="AA1247" s="68"/>
      <c r="AB1247" s="68"/>
      <c r="AC1247" s="68"/>
      <c r="AD1247" s="68"/>
      <c r="AE1247" s="72"/>
      <c r="AF1247" s="68"/>
      <c r="AG1247" s="72"/>
      <c r="AH1247" s="68"/>
      <c r="AI1247" s="68"/>
      <c r="AJ1247" s="70"/>
    </row>
    <row r="1248" hidden="1">
      <c r="A1248" s="68"/>
      <c r="B1248" s="68"/>
      <c r="C1248" s="69"/>
      <c r="D1248" s="70"/>
      <c r="E1248" s="71"/>
      <c r="F1248" s="68"/>
      <c r="G1248" s="68"/>
      <c r="H1248" s="68"/>
      <c r="I1248" s="68"/>
      <c r="J1248" s="72"/>
      <c r="K1248" s="68"/>
      <c r="L1248" s="72"/>
      <c r="M1248" s="68"/>
      <c r="N1248" s="68"/>
      <c r="O1248" s="68"/>
      <c r="P1248" s="68"/>
      <c r="Q1248" s="72"/>
      <c r="R1248" s="68"/>
      <c r="S1248" s="72"/>
      <c r="T1248" s="68"/>
      <c r="U1248" s="68"/>
      <c r="V1248" s="68"/>
      <c r="W1248" s="68"/>
      <c r="X1248" s="72"/>
      <c r="Y1248" s="68"/>
      <c r="Z1248" s="72"/>
      <c r="AA1248" s="68"/>
      <c r="AB1248" s="68"/>
      <c r="AC1248" s="68"/>
      <c r="AD1248" s="68"/>
      <c r="AE1248" s="72"/>
      <c r="AF1248" s="68"/>
      <c r="AG1248" s="72"/>
      <c r="AH1248" s="68"/>
      <c r="AI1248" s="68"/>
      <c r="AJ1248" s="70"/>
    </row>
    <row r="1249" hidden="1">
      <c r="A1249" s="68"/>
      <c r="B1249" s="68"/>
      <c r="C1249" s="69"/>
      <c r="D1249" s="70"/>
      <c r="E1249" s="71"/>
      <c r="F1249" s="68"/>
      <c r="G1249" s="68"/>
      <c r="H1249" s="68"/>
      <c r="I1249" s="68"/>
      <c r="J1249" s="72"/>
      <c r="K1249" s="68"/>
      <c r="L1249" s="72"/>
      <c r="M1249" s="68"/>
      <c r="N1249" s="68"/>
      <c r="O1249" s="68"/>
      <c r="P1249" s="68"/>
      <c r="Q1249" s="72"/>
      <c r="R1249" s="68"/>
      <c r="S1249" s="72"/>
      <c r="T1249" s="68"/>
      <c r="U1249" s="68"/>
      <c r="V1249" s="68"/>
      <c r="W1249" s="68"/>
      <c r="X1249" s="72"/>
      <c r="Y1249" s="68"/>
      <c r="Z1249" s="72"/>
      <c r="AA1249" s="68"/>
      <c r="AB1249" s="68"/>
      <c r="AC1249" s="68"/>
      <c r="AD1249" s="68"/>
      <c r="AE1249" s="72"/>
      <c r="AF1249" s="68"/>
      <c r="AG1249" s="72"/>
      <c r="AH1249" s="68"/>
      <c r="AI1249" s="68"/>
      <c r="AJ1249" s="70"/>
    </row>
    <row r="1250" hidden="1">
      <c r="A1250" s="68"/>
      <c r="B1250" s="68"/>
      <c r="C1250" s="69"/>
      <c r="D1250" s="70"/>
      <c r="E1250" s="71"/>
      <c r="F1250" s="68"/>
      <c r="G1250" s="68"/>
      <c r="H1250" s="68"/>
      <c r="I1250" s="68"/>
      <c r="J1250" s="72"/>
      <c r="K1250" s="68"/>
      <c r="L1250" s="72"/>
      <c r="M1250" s="68"/>
      <c r="N1250" s="68"/>
      <c r="O1250" s="68"/>
      <c r="P1250" s="68"/>
      <c r="Q1250" s="72"/>
      <c r="R1250" s="68"/>
      <c r="S1250" s="72"/>
      <c r="T1250" s="68"/>
      <c r="U1250" s="68"/>
      <c r="V1250" s="68"/>
      <c r="W1250" s="68"/>
      <c r="X1250" s="72"/>
      <c r="Y1250" s="68"/>
      <c r="Z1250" s="72"/>
      <c r="AA1250" s="68"/>
      <c r="AB1250" s="68"/>
      <c r="AC1250" s="68"/>
      <c r="AD1250" s="68"/>
      <c r="AE1250" s="72"/>
      <c r="AF1250" s="68"/>
      <c r="AG1250" s="72"/>
      <c r="AH1250" s="68"/>
      <c r="AI1250" s="68"/>
      <c r="AJ1250" s="70"/>
    </row>
    <row r="1251" hidden="1">
      <c r="A1251" s="68"/>
      <c r="B1251" s="68"/>
      <c r="C1251" s="69"/>
      <c r="D1251" s="70"/>
      <c r="E1251" s="71"/>
      <c r="F1251" s="68"/>
      <c r="G1251" s="68"/>
      <c r="H1251" s="68"/>
      <c r="I1251" s="68"/>
      <c r="J1251" s="72"/>
      <c r="K1251" s="68"/>
      <c r="L1251" s="72"/>
      <c r="M1251" s="68"/>
      <c r="N1251" s="68"/>
      <c r="O1251" s="68"/>
      <c r="P1251" s="68"/>
      <c r="Q1251" s="72"/>
      <c r="R1251" s="68"/>
      <c r="S1251" s="72"/>
      <c r="T1251" s="68"/>
      <c r="U1251" s="68"/>
      <c r="V1251" s="68"/>
      <c r="W1251" s="68"/>
      <c r="X1251" s="72"/>
      <c r="Y1251" s="68"/>
      <c r="Z1251" s="72"/>
      <c r="AA1251" s="68"/>
      <c r="AB1251" s="68"/>
      <c r="AC1251" s="68"/>
      <c r="AD1251" s="68"/>
      <c r="AE1251" s="72"/>
      <c r="AF1251" s="68"/>
      <c r="AG1251" s="72"/>
      <c r="AH1251" s="68"/>
      <c r="AI1251" s="68"/>
      <c r="AJ1251" s="70"/>
    </row>
    <row r="1252" hidden="1">
      <c r="A1252" s="68"/>
      <c r="B1252" s="68"/>
      <c r="C1252" s="69"/>
      <c r="D1252" s="70"/>
      <c r="E1252" s="71"/>
      <c r="F1252" s="68"/>
      <c r="G1252" s="68"/>
      <c r="H1252" s="68"/>
      <c r="I1252" s="68"/>
      <c r="J1252" s="72"/>
      <c r="K1252" s="68"/>
      <c r="L1252" s="72"/>
      <c r="M1252" s="68"/>
      <c r="N1252" s="68"/>
      <c r="O1252" s="68"/>
      <c r="P1252" s="68"/>
      <c r="Q1252" s="72"/>
      <c r="R1252" s="68"/>
      <c r="S1252" s="72"/>
      <c r="T1252" s="68"/>
      <c r="U1252" s="68"/>
      <c r="V1252" s="68"/>
      <c r="W1252" s="68"/>
      <c r="X1252" s="72"/>
      <c r="Y1252" s="68"/>
      <c r="Z1252" s="72"/>
      <c r="AA1252" s="68"/>
      <c r="AB1252" s="68"/>
      <c r="AC1252" s="68"/>
      <c r="AD1252" s="68"/>
      <c r="AE1252" s="72"/>
      <c r="AF1252" s="68"/>
      <c r="AG1252" s="72"/>
      <c r="AH1252" s="68"/>
      <c r="AI1252" s="68"/>
      <c r="AJ1252" s="70"/>
    </row>
    <row r="1253" hidden="1">
      <c r="A1253" s="68"/>
      <c r="B1253" s="68"/>
      <c r="C1253" s="69"/>
      <c r="D1253" s="70"/>
      <c r="E1253" s="71"/>
      <c r="F1253" s="68"/>
      <c r="G1253" s="68"/>
      <c r="H1253" s="68"/>
      <c r="I1253" s="68"/>
      <c r="J1253" s="72"/>
      <c r="K1253" s="68"/>
      <c r="L1253" s="72"/>
      <c r="M1253" s="68"/>
      <c r="N1253" s="68"/>
      <c r="O1253" s="68"/>
      <c r="P1253" s="68"/>
      <c r="Q1253" s="72"/>
      <c r="R1253" s="68"/>
      <c r="S1253" s="72"/>
      <c r="T1253" s="68"/>
      <c r="U1253" s="68"/>
      <c r="V1253" s="68"/>
      <c r="W1253" s="68"/>
      <c r="X1253" s="72"/>
      <c r="Y1253" s="68"/>
      <c r="Z1253" s="72"/>
      <c r="AA1253" s="68"/>
      <c r="AB1253" s="68"/>
      <c r="AC1253" s="68"/>
      <c r="AD1253" s="68"/>
      <c r="AE1253" s="72"/>
      <c r="AF1253" s="68"/>
      <c r="AG1253" s="72"/>
      <c r="AH1253" s="68"/>
      <c r="AI1253" s="68"/>
      <c r="AJ1253" s="70"/>
    </row>
    <row r="1254" hidden="1">
      <c r="A1254" s="68"/>
      <c r="B1254" s="68"/>
      <c r="C1254" s="69"/>
      <c r="D1254" s="70"/>
      <c r="E1254" s="71"/>
      <c r="F1254" s="68"/>
      <c r="G1254" s="68"/>
      <c r="H1254" s="68"/>
      <c r="I1254" s="68"/>
      <c r="J1254" s="72"/>
      <c r="K1254" s="68"/>
      <c r="L1254" s="72"/>
      <c r="M1254" s="68"/>
      <c r="N1254" s="68"/>
      <c r="O1254" s="68"/>
      <c r="P1254" s="68"/>
      <c r="Q1254" s="72"/>
      <c r="R1254" s="68"/>
      <c r="S1254" s="72"/>
      <c r="T1254" s="68"/>
      <c r="U1254" s="68"/>
      <c r="V1254" s="68"/>
      <c r="W1254" s="68"/>
      <c r="X1254" s="72"/>
      <c r="Y1254" s="68"/>
      <c r="Z1254" s="72"/>
      <c r="AA1254" s="68"/>
      <c r="AB1254" s="68"/>
      <c r="AC1254" s="68"/>
      <c r="AD1254" s="68"/>
      <c r="AE1254" s="72"/>
      <c r="AF1254" s="68"/>
      <c r="AG1254" s="72"/>
      <c r="AH1254" s="68"/>
      <c r="AI1254" s="68"/>
      <c r="AJ1254" s="70"/>
    </row>
    <row r="1255" hidden="1">
      <c r="A1255" s="68"/>
      <c r="B1255" s="68"/>
      <c r="C1255" s="69"/>
      <c r="D1255" s="70"/>
      <c r="E1255" s="71"/>
      <c r="F1255" s="68"/>
      <c r="G1255" s="68"/>
      <c r="H1255" s="68"/>
      <c r="I1255" s="68"/>
      <c r="J1255" s="72"/>
      <c r="K1255" s="68"/>
      <c r="L1255" s="72"/>
      <c r="M1255" s="68"/>
      <c r="N1255" s="68"/>
      <c r="O1255" s="68"/>
      <c r="P1255" s="68"/>
      <c r="Q1255" s="72"/>
      <c r="R1255" s="68"/>
      <c r="S1255" s="72"/>
      <c r="T1255" s="68"/>
      <c r="U1255" s="68"/>
      <c r="V1255" s="68"/>
      <c r="W1255" s="68"/>
      <c r="X1255" s="72"/>
      <c r="Y1255" s="68"/>
      <c r="Z1255" s="72"/>
      <c r="AA1255" s="68"/>
      <c r="AB1255" s="68"/>
      <c r="AC1255" s="68"/>
      <c r="AD1255" s="68"/>
      <c r="AE1255" s="72"/>
      <c r="AF1255" s="68"/>
      <c r="AG1255" s="72"/>
      <c r="AH1255" s="68"/>
      <c r="AI1255" s="68"/>
      <c r="AJ1255" s="70"/>
    </row>
    <row r="1256" hidden="1">
      <c r="A1256" s="68"/>
      <c r="B1256" s="68"/>
      <c r="C1256" s="69"/>
      <c r="D1256" s="70"/>
      <c r="E1256" s="71"/>
      <c r="F1256" s="68"/>
      <c r="G1256" s="68"/>
      <c r="H1256" s="68"/>
      <c r="I1256" s="68"/>
      <c r="J1256" s="72"/>
      <c r="K1256" s="68"/>
      <c r="L1256" s="72"/>
      <c r="M1256" s="68"/>
      <c r="N1256" s="68"/>
      <c r="O1256" s="68"/>
      <c r="P1256" s="68"/>
      <c r="Q1256" s="72"/>
      <c r="R1256" s="68"/>
      <c r="S1256" s="72"/>
      <c r="T1256" s="68"/>
      <c r="U1256" s="68"/>
      <c r="V1256" s="68"/>
      <c r="W1256" s="68"/>
      <c r="X1256" s="72"/>
      <c r="Y1256" s="68"/>
      <c r="Z1256" s="72"/>
      <c r="AA1256" s="68"/>
      <c r="AB1256" s="68"/>
      <c r="AC1256" s="68"/>
      <c r="AD1256" s="68"/>
      <c r="AE1256" s="72"/>
      <c r="AF1256" s="68"/>
      <c r="AG1256" s="72"/>
      <c r="AH1256" s="68"/>
      <c r="AI1256" s="68"/>
      <c r="AJ1256" s="70"/>
    </row>
    <row r="1257" hidden="1">
      <c r="A1257" s="68"/>
      <c r="B1257" s="68"/>
      <c r="C1257" s="69"/>
      <c r="D1257" s="70"/>
      <c r="E1257" s="71"/>
      <c r="F1257" s="68"/>
      <c r="G1257" s="68"/>
      <c r="H1257" s="68"/>
      <c r="I1257" s="68"/>
      <c r="J1257" s="72"/>
      <c r="K1257" s="68"/>
      <c r="L1257" s="72"/>
      <c r="M1257" s="68"/>
      <c r="N1257" s="68"/>
      <c r="O1257" s="68"/>
      <c r="P1257" s="68"/>
      <c r="Q1257" s="72"/>
      <c r="R1257" s="68"/>
      <c r="S1257" s="72"/>
      <c r="T1257" s="68"/>
      <c r="U1257" s="68"/>
      <c r="V1257" s="68"/>
      <c r="W1257" s="68"/>
      <c r="X1257" s="72"/>
      <c r="Y1257" s="68"/>
      <c r="Z1257" s="72"/>
      <c r="AA1257" s="68"/>
      <c r="AB1257" s="68"/>
      <c r="AC1257" s="68"/>
      <c r="AD1257" s="68"/>
      <c r="AE1257" s="72"/>
      <c r="AF1257" s="68"/>
      <c r="AG1257" s="72"/>
      <c r="AH1257" s="68"/>
      <c r="AI1257" s="68"/>
      <c r="AJ1257" s="70"/>
    </row>
    <row r="1258" hidden="1">
      <c r="A1258" s="68"/>
      <c r="B1258" s="68"/>
      <c r="C1258" s="69"/>
      <c r="D1258" s="70"/>
      <c r="E1258" s="71"/>
      <c r="F1258" s="68"/>
      <c r="G1258" s="68"/>
      <c r="H1258" s="68"/>
      <c r="I1258" s="68"/>
      <c r="J1258" s="72"/>
      <c r="K1258" s="68"/>
      <c r="L1258" s="72"/>
      <c r="M1258" s="68"/>
      <c r="N1258" s="68"/>
      <c r="O1258" s="68"/>
      <c r="P1258" s="68"/>
      <c r="Q1258" s="72"/>
      <c r="R1258" s="68"/>
      <c r="S1258" s="72"/>
      <c r="T1258" s="68"/>
      <c r="U1258" s="68"/>
      <c r="V1258" s="68"/>
      <c r="W1258" s="68"/>
      <c r="X1258" s="72"/>
      <c r="Y1258" s="68"/>
      <c r="Z1258" s="72"/>
      <c r="AA1258" s="68"/>
      <c r="AB1258" s="68"/>
      <c r="AC1258" s="68"/>
      <c r="AD1258" s="68"/>
      <c r="AE1258" s="72"/>
      <c r="AF1258" s="68"/>
      <c r="AG1258" s="72"/>
      <c r="AH1258" s="68"/>
      <c r="AI1258" s="68"/>
      <c r="AJ1258" s="70"/>
    </row>
    <row r="1259" hidden="1">
      <c r="A1259" s="68"/>
      <c r="B1259" s="68"/>
      <c r="C1259" s="69"/>
      <c r="D1259" s="70"/>
      <c r="E1259" s="71"/>
      <c r="F1259" s="68"/>
      <c r="G1259" s="68"/>
      <c r="H1259" s="68"/>
      <c r="I1259" s="68"/>
      <c r="J1259" s="72"/>
      <c r="K1259" s="68"/>
      <c r="L1259" s="72"/>
      <c r="M1259" s="68"/>
      <c r="N1259" s="68"/>
      <c r="O1259" s="68"/>
      <c r="P1259" s="68"/>
      <c r="Q1259" s="72"/>
      <c r="R1259" s="68"/>
      <c r="S1259" s="72"/>
      <c r="T1259" s="68"/>
      <c r="U1259" s="68"/>
      <c r="V1259" s="68"/>
      <c r="W1259" s="68"/>
      <c r="X1259" s="72"/>
      <c r="Y1259" s="68"/>
      <c r="Z1259" s="72"/>
      <c r="AA1259" s="68"/>
      <c r="AB1259" s="68"/>
      <c r="AC1259" s="68"/>
      <c r="AD1259" s="68"/>
      <c r="AE1259" s="72"/>
      <c r="AF1259" s="68"/>
      <c r="AG1259" s="72"/>
      <c r="AH1259" s="68"/>
      <c r="AI1259" s="68"/>
      <c r="AJ1259" s="70"/>
    </row>
    <row r="1260" hidden="1">
      <c r="A1260" s="68"/>
      <c r="B1260" s="68"/>
      <c r="C1260" s="69"/>
      <c r="D1260" s="70"/>
      <c r="E1260" s="71"/>
      <c r="F1260" s="68"/>
      <c r="G1260" s="68"/>
      <c r="H1260" s="68"/>
      <c r="I1260" s="68"/>
      <c r="J1260" s="72"/>
      <c r="K1260" s="68"/>
      <c r="L1260" s="72"/>
      <c r="M1260" s="68"/>
      <c r="N1260" s="68"/>
      <c r="O1260" s="68"/>
      <c r="P1260" s="68"/>
      <c r="Q1260" s="72"/>
      <c r="R1260" s="68"/>
      <c r="S1260" s="72"/>
      <c r="T1260" s="68"/>
      <c r="U1260" s="68"/>
      <c r="V1260" s="68"/>
      <c r="W1260" s="68"/>
      <c r="X1260" s="72"/>
      <c r="Y1260" s="68"/>
      <c r="Z1260" s="72"/>
      <c r="AA1260" s="68"/>
      <c r="AB1260" s="68"/>
      <c r="AC1260" s="68"/>
      <c r="AD1260" s="68"/>
      <c r="AE1260" s="72"/>
      <c r="AF1260" s="68"/>
      <c r="AG1260" s="72"/>
      <c r="AH1260" s="68"/>
      <c r="AI1260" s="68"/>
      <c r="AJ1260" s="70"/>
    </row>
    <row r="1261" hidden="1">
      <c r="A1261" s="68"/>
      <c r="B1261" s="68"/>
      <c r="C1261" s="69"/>
      <c r="D1261" s="70"/>
      <c r="E1261" s="71"/>
      <c r="F1261" s="68"/>
      <c r="G1261" s="68"/>
      <c r="H1261" s="68"/>
      <c r="I1261" s="68"/>
      <c r="J1261" s="72"/>
      <c r="K1261" s="68"/>
      <c r="L1261" s="72"/>
      <c r="M1261" s="68"/>
      <c r="N1261" s="68"/>
      <c r="O1261" s="68"/>
      <c r="P1261" s="68"/>
      <c r="Q1261" s="72"/>
      <c r="R1261" s="68"/>
      <c r="S1261" s="72"/>
      <c r="T1261" s="68"/>
      <c r="U1261" s="68"/>
      <c r="V1261" s="68"/>
      <c r="W1261" s="68"/>
      <c r="X1261" s="72"/>
      <c r="Y1261" s="68"/>
      <c r="Z1261" s="72"/>
      <c r="AA1261" s="68"/>
      <c r="AB1261" s="68"/>
      <c r="AC1261" s="68"/>
      <c r="AD1261" s="68"/>
      <c r="AE1261" s="72"/>
      <c r="AF1261" s="68"/>
      <c r="AG1261" s="72"/>
      <c r="AH1261" s="68"/>
      <c r="AI1261" s="68"/>
      <c r="AJ1261" s="70"/>
    </row>
    <row r="1262" hidden="1">
      <c r="A1262" s="68"/>
      <c r="B1262" s="68"/>
      <c r="C1262" s="69"/>
      <c r="D1262" s="70"/>
      <c r="E1262" s="71"/>
      <c r="F1262" s="68"/>
      <c r="G1262" s="68"/>
      <c r="H1262" s="68"/>
      <c r="I1262" s="68"/>
      <c r="J1262" s="72"/>
      <c r="K1262" s="68"/>
      <c r="L1262" s="72"/>
      <c r="M1262" s="68"/>
      <c r="N1262" s="68"/>
      <c r="O1262" s="68"/>
      <c r="P1262" s="68"/>
      <c r="Q1262" s="72"/>
      <c r="R1262" s="68"/>
      <c r="S1262" s="72"/>
      <c r="T1262" s="68"/>
      <c r="U1262" s="68"/>
      <c r="V1262" s="68"/>
      <c r="W1262" s="68"/>
      <c r="X1262" s="72"/>
      <c r="Y1262" s="68"/>
      <c r="Z1262" s="72"/>
      <c r="AA1262" s="68"/>
      <c r="AB1262" s="68"/>
      <c r="AC1262" s="68"/>
      <c r="AD1262" s="68"/>
      <c r="AE1262" s="72"/>
      <c r="AF1262" s="68"/>
      <c r="AG1262" s="72"/>
      <c r="AH1262" s="68"/>
      <c r="AI1262" s="68"/>
      <c r="AJ1262" s="70"/>
    </row>
    <row r="1263" hidden="1">
      <c r="A1263" s="68"/>
      <c r="B1263" s="68"/>
      <c r="C1263" s="69"/>
      <c r="D1263" s="70"/>
      <c r="E1263" s="71"/>
      <c r="F1263" s="68"/>
      <c r="G1263" s="68"/>
      <c r="H1263" s="68"/>
      <c r="I1263" s="68"/>
      <c r="J1263" s="72"/>
      <c r="K1263" s="68"/>
      <c r="L1263" s="72"/>
      <c r="M1263" s="68"/>
      <c r="N1263" s="68"/>
      <c r="O1263" s="68"/>
      <c r="P1263" s="68"/>
      <c r="Q1263" s="72"/>
      <c r="R1263" s="68"/>
      <c r="S1263" s="72"/>
      <c r="T1263" s="68"/>
      <c r="U1263" s="68"/>
      <c r="V1263" s="68"/>
      <c r="W1263" s="68"/>
      <c r="X1263" s="72"/>
      <c r="Y1263" s="68"/>
      <c r="Z1263" s="72"/>
      <c r="AA1263" s="68"/>
      <c r="AB1263" s="68"/>
      <c r="AC1263" s="68"/>
      <c r="AD1263" s="68"/>
      <c r="AE1263" s="72"/>
      <c r="AF1263" s="68"/>
      <c r="AG1263" s="72"/>
      <c r="AH1263" s="68"/>
      <c r="AI1263" s="68"/>
      <c r="AJ1263" s="70"/>
    </row>
    <row r="1264" hidden="1">
      <c r="A1264" s="68"/>
      <c r="B1264" s="68"/>
      <c r="C1264" s="69"/>
      <c r="D1264" s="70"/>
      <c r="E1264" s="71"/>
      <c r="F1264" s="68"/>
      <c r="G1264" s="68"/>
      <c r="H1264" s="68"/>
      <c r="I1264" s="68"/>
      <c r="J1264" s="72"/>
      <c r="K1264" s="68"/>
      <c r="L1264" s="72"/>
      <c r="M1264" s="68"/>
      <c r="N1264" s="68"/>
      <c r="O1264" s="68"/>
      <c r="P1264" s="68"/>
      <c r="Q1264" s="72"/>
      <c r="R1264" s="68"/>
      <c r="S1264" s="72"/>
      <c r="T1264" s="68"/>
      <c r="U1264" s="68"/>
      <c r="V1264" s="68"/>
      <c r="W1264" s="68"/>
      <c r="X1264" s="72"/>
      <c r="Y1264" s="68"/>
      <c r="Z1264" s="72"/>
      <c r="AA1264" s="68"/>
      <c r="AB1264" s="68"/>
      <c r="AC1264" s="68"/>
      <c r="AD1264" s="68"/>
      <c r="AE1264" s="72"/>
      <c r="AF1264" s="68"/>
      <c r="AG1264" s="72"/>
      <c r="AH1264" s="68"/>
      <c r="AI1264" s="68"/>
      <c r="AJ1264" s="70"/>
    </row>
    <row r="1265" hidden="1">
      <c r="A1265" s="68"/>
      <c r="B1265" s="68"/>
      <c r="C1265" s="69"/>
      <c r="D1265" s="70"/>
      <c r="E1265" s="71"/>
      <c r="F1265" s="68"/>
      <c r="G1265" s="68"/>
      <c r="H1265" s="68"/>
      <c r="I1265" s="68"/>
      <c r="J1265" s="72"/>
      <c r="K1265" s="68"/>
      <c r="L1265" s="72"/>
      <c r="M1265" s="68"/>
      <c r="N1265" s="68"/>
      <c r="O1265" s="68"/>
      <c r="P1265" s="68"/>
      <c r="Q1265" s="72"/>
      <c r="R1265" s="68"/>
      <c r="S1265" s="72"/>
      <c r="T1265" s="68"/>
      <c r="U1265" s="68"/>
      <c r="V1265" s="68"/>
      <c r="W1265" s="68"/>
      <c r="X1265" s="72"/>
      <c r="Y1265" s="68"/>
      <c r="Z1265" s="72"/>
      <c r="AA1265" s="68"/>
      <c r="AB1265" s="68"/>
      <c r="AC1265" s="68"/>
      <c r="AD1265" s="68"/>
      <c r="AE1265" s="72"/>
      <c r="AF1265" s="68"/>
      <c r="AG1265" s="72"/>
      <c r="AH1265" s="68"/>
      <c r="AI1265" s="68"/>
      <c r="AJ1265" s="70"/>
    </row>
    <row r="1266" hidden="1">
      <c r="A1266" s="68"/>
      <c r="B1266" s="68"/>
      <c r="C1266" s="69"/>
      <c r="D1266" s="70"/>
      <c r="E1266" s="71"/>
      <c r="F1266" s="68"/>
      <c r="G1266" s="68"/>
      <c r="H1266" s="68"/>
      <c r="I1266" s="68"/>
      <c r="J1266" s="72"/>
      <c r="K1266" s="68"/>
      <c r="L1266" s="72"/>
      <c r="M1266" s="68"/>
      <c r="N1266" s="68"/>
      <c r="O1266" s="68"/>
      <c r="P1266" s="68"/>
      <c r="Q1266" s="72"/>
      <c r="R1266" s="68"/>
      <c r="S1266" s="72"/>
      <c r="T1266" s="68"/>
      <c r="U1266" s="68"/>
      <c r="V1266" s="68"/>
      <c r="W1266" s="68"/>
      <c r="X1266" s="72"/>
      <c r="Y1266" s="68"/>
      <c r="Z1266" s="72"/>
      <c r="AA1266" s="68"/>
      <c r="AB1266" s="68"/>
      <c r="AC1266" s="68"/>
      <c r="AD1266" s="68"/>
      <c r="AE1266" s="72"/>
      <c r="AF1266" s="68"/>
      <c r="AG1266" s="72"/>
      <c r="AH1266" s="68"/>
      <c r="AI1266" s="68"/>
      <c r="AJ1266" s="70"/>
    </row>
    <row r="1267" hidden="1">
      <c r="A1267" s="68"/>
      <c r="B1267" s="68"/>
      <c r="C1267" s="69"/>
      <c r="D1267" s="70"/>
      <c r="E1267" s="71"/>
      <c r="F1267" s="68"/>
      <c r="G1267" s="68"/>
      <c r="H1267" s="68"/>
      <c r="I1267" s="68"/>
      <c r="J1267" s="72"/>
      <c r="K1267" s="68"/>
      <c r="L1267" s="72"/>
      <c r="M1267" s="68"/>
      <c r="N1267" s="68"/>
      <c r="O1267" s="68"/>
      <c r="P1267" s="68"/>
      <c r="Q1267" s="72"/>
      <c r="R1267" s="68"/>
      <c r="S1267" s="72"/>
      <c r="T1267" s="68"/>
      <c r="U1267" s="68"/>
      <c r="V1267" s="68"/>
      <c r="W1267" s="68"/>
      <c r="X1267" s="72"/>
      <c r="Y1267" s="68"/>
      <c r="Z1267" s="72"/>
      <c r="AA1267" s="68"/>
      <c r="AB1267" s="68"/>
      <c r="AC1267" s="68"/>
      <c r="AD1267" s="68"/>
      <c r="AE1267" s="72"/>
      <c r="AF1267" s="68"/>
      <c r="AG1267" s="72"/>
      <c r="AH1267" s="68"/>
      <c r="AI1267" s="68"/>
      <c r="AJ1267" s="70"/>
    </row>
    <row r="1268" hidden="1">
      <c r="A1268" s="68"/>
      <c r="B1268" s="68"/>
      <c r="C1268" s="69"/>
      <c r="D1268" s="70"/>
      <c r="E1268" s="71"/>
      <c r="F1268" s="68"/>
      <c r="G1268" s="68"/>
      <c r="H1268" s="68"/>
      <c r="I1268" s="68"/>
      <c r="J1268" s="72"/>
      <c r="K1268" s="68"/>
      <c r="L1268" s="72"/>
      <c r="M1268" s="68"/>
      <c r="N1268" s="68"/>
      <c r="O1268" s="68"/>
      <c r="P1268" s="68"/>
      <c r="Q1268" s="72"/>
      <c r="R1268" s="68"/>
      <c r="S1268" s="72"/>
      <c r="T1268" s="68"/>
      <c r="U1268" s="68"/>
      <c r="V1268" s="68"/>
      <c r="W1268" s="68"/>
      <c r="X1268" s="72"/>
      <c r="Y1268" s="68"/>
      <c r="Z1268" s="72"/>
      <c r="AA1268" s="68"/>
      <c r="AB1268" s="68"/>
      <c r="AC1268" s="68"/>
      <c r="AD1268" s="68"/>
      <c r="AE1268" s="72"/>
      <c r="AF1268" s="68"/>
      <c r="AG1268" s="72"/>
      <c r="AH1268" s="68"/>
      <c r="AI1268" s="68"/>
      <c r="AJ1268" s="70"/>
    </row>
    <row r="1269" hidden="1">
      <c r="A1269" s="68"/>
      <c r="B1269" s="68"/>
      <c r="C1269" s="69"/>
      <c r="D1269" s="70"/>
      <c r="E1269" s="71"/>
      <c r="F1269" s="68"/>
      <c r="G1269" s="68"/>
      <c r="H1269" s="68"/>
      <c r="I1269" s="68"/>
      <c r="J1269" s="72"/>
      <c r="K1269" s="68"/>
      <c r="L1269" s="72"/>
      <c r="M1269" s="68"/>
      <c r="N1269" s="68"/>
      <c r="O1269" s="68"/>
      <c r="P1269" s="68"/>
      <c r="Q1269" s="72"/>
      <c r="R1269" s="68"/>
      <c r="S1269" s="72"/>
      <c r="T1269" s="68"/>
      <c r="U1269" s="68"/>
      <c r="V1269" s="68"/>
      <c r="W1269" s="68"/>
      <c r="X1269" s="72"/>
      <c r="Y1269" s="68"/>
      <c r="Z1269" s="72"/>
      <c r="AA1269" s="68"/>
      <c r="AB1269" s="68"/>
      <c r="AC1269" s="68"/>
      <c r="AD1269" s="68"/>
      <c r="AE1269" s="72"/>
      <c r="AF1269" s="68"/>
      <c r="AG1269" s="72"/>
      <c r="AH1269" s="68"/>
      <c r="AI1269" s="68"/>
      <c r="AJ1269" s="70"/>
    </row>
    <row r="1270" hidden="1">
      <c r="A1270" s="68"/>
      <c r="B1270" s="68"/>
      <c r="C1270" s="69"/>
      <c r="D1270" s="70"/>
      <c r="E1270" s="71"/>
      <c r="F1270" s="68"/>
      <c r="G1270" s="68"/>
      <c r="H1270" s="68"/>
      <c r="I1270" s="68"/>
      <c r="J1270" s="72"/>
      <c r="K1270" s="68"/>
      <c r="L1270" s="72"/>
      <c r="M1270" s="68"/>
      <c r="N1270" s="68"/>
      <c r="O1270" s="68"/>
      <c r="P1270" s="68"/>
      <c r="Q1270" s="72"/>
      <c r="R1270" s="68"/>
      <c r="S1270" s="72"/>
      <c r="T1270" s="68"/>
      <c r="U1270" s="68"/>
      <c r="V1270" s="68"/>
      <c r="W1270" s="68"/>
      <c r="X1270" s="72"/>
      <c r="Y1270" s="68"/>
      <c r="Z1270" s="72"/>
      <c r="AA1270" s="68"/>
      <c r="AB1270" s="68"/>
      <c r="AC1270" s="68"/>
      <c r="AD1270" s="68"/>
      <c r="AE1270" s="72"/>
      <c r="AF1270" s="68"/>
      <c r="AG1270" s="72"/>
      <c r="AH1270" s="68"/>
      <c r="AI1270" s="68"/>
      <c r="AJ1270" s="70"/>
    </row>
    <row r="1271" hidden="1">
      <c r="A1271" s="68"/>
      <c r="B1271" s="68"/>
      <c r="C1271" s="69"/>
      <c r="D1271" s="70"/>
      <c r="E1271" s="71"/>
      <c r="F1271" s="68"/>
      <c r="G1271" s="68"/>
      <c r="H1271" s="68"/>
      <c r="I1271" s="68"/>
      <c r="J1271" s="72"/>
      <c r="K1271" s="68"/>
      <c r="L1271" s="72"/>
      <c r="M1271" s="68"/>
      <c r="N1271" s="68"/>
      <c r="O1271" s="68"/>
      <c r="P1271" s="68"/>
      <c r="Q1271" s="72"/>
      <c r="R1271" s="68"/>
      <c r="S1271" s="72"/>
      <c r="T1271" s="68"/>
      <c r="U1271" s="68"/>
      <c r="V1271" s="68"/>
      <c r="W1271" s="68"/>
      <c r="X1271" s="72"/>
      <c r="Y1271" s="68"/>
      <c r="Z1271" s="72"/>
      <c r="AA1271" s="68"/>
      <c r="AB1271" s="68"/>
      <c r="AC1271" s="68"/>
      <c r="AD1271" s="68"/>
      <c r="AE1271" s="72"/>
      <c r="AF1271" s="68"/>
      <c r="AG1271" s="72"/>
      <c r="AH1271" s="68"/>
      <c r="AI1271" s="68"/>
      <c r="AJ1271" s="70"/>
    </row>
    <row r="1272" hidden="1">
      <c r="A1272" s="68"/>
      <c r="B1272" s="68"/>
      <c r="C1272" s="69"/>
      <c r="D1272" s="70"/>
      <c r="E1272" s="71"/>
      <c r="F1272" s="68"/>
      <c r="G1272" s="68"/>
      <c r="H1272" s="68"/>
      <c r="I1272" s="68"/>
      <c r="J1272" s="72"/>
      <c r="K1272" s="68"/>
      <c r="L1272" s="72"/>
      <c r="M1272" s="68"/>
      <c r="N1272" s="68"/>
      <c r="O1272" s="68"/>
      <c r="P1272" s="68"/>
      <c r="Q1272" s="72"/>
      <c r="R1272" s="68"/>
      <c r="S1272" s="72"/>
      <c r="T1272" s="68"/>
      <c r="U1272" s="68"/>
      <c r="V1272" s="68"/>
      <c r="W1272" s="68"/>
      <c r="X1272" s="72"/>
      <c r="Y1272" s="68"/>
      <c r="Z1272" s="72"/>
      <c r="AA1272" s="68"/>
      <c r="AB1272" s="68"/>
      <c r="AC1272" s="68"/>
      <c r="AD1272" s="68"/>
      <c r="AE1272" s="72"/>
      <c r="AF1272" s="68"/>
      <c r="AG1272" s="72"/>
      <c r="AH1272" s="68"/>
      <c r="AI1272" s="68"/>
      <c r="AJ1272" s="70"/>
    </row>
    <row r="1273" hidden="1">
      <c r="A1273" s="68"/>
      <c r="B1273" s="68"/>
      <c r="C1273" s="69"/>
      <c r="D1273" s="70"/>
      <c r="E1273" s="71"/>
      <c r="F1273" s="68"/>
      <c r="G1273" s="68"/>
      <c r="H1273" s="68"/>
      <c r="I1273" s="68"/>
      <c r="J1273" s="72"/>
      <c r="K1273" s="68"/>
      <c r="L1273" s="72"/>
      <c r="M1273" s="68"/>
      <c r="N1273" s="68"/>
      <c r="O1273" s="68"/>
      <c r="P1273" s="68"/>
      <c r="Q1273" s="72"/>
      <c r="R1273" s="68"/>
      <c r="S1273" s="72"/>
      <c r="T1273" s="68"/>
      <c r="U1273" s="68"/>
      <c r="V1273" s="68"/>
      <c r="W1273" s="68"/>
      <c r="X1273" s="72"/>
      <c r="Y1273" s="68"/>
      <c r="Z1273" s="72"/>
      <c r="AA1273" s="68"/>
      <c r="AB1273" s="68"/>
      <c r="AC1273" s="68"/>
      <c r="AD1273" s="68"/>
      <c r="AE1273" s="72"/>
      <c r="AF1273" s="68"/>
      <c r="AG1273" s="72"/>
      <c r="AH1273" s="68"/>
      <c r="AI1273" s="68"/>
      <c r="AJ1273" s="70"/>
    </row>
    <row r="1274" hidden="1">
      <c r="A1274" s="68"/>
      <c r="B1274" s="68"/>
      <c r="C1274" s="69"/>
      <c r="D1274" s="70"/>
      <c r="E1274" s="71"/>
      <c r="F1274" s="68"/>
      <c r="G1274" s="68"/>
      <c r="H1274" s="68"/>
      <c r="I1274" s="68"/>
      <c r="J1274" s="72"/>
      <c r="K1274" s="68"/>
      <c r="L1274" s="72"/>
      <c r="M1274" s="68"/>
      <c r="N1274" s="68"/>
      <c r="O1274" s="68"/>
      <c r="P1274" s="68"/>
      <c r="Q1274" s="72"/>
      <c r="R1274" s="68"/>
      <c r="S1274" s="72"/>
      <c r="T1274" s="68"/>
      <c r="U1274" s="68"/>
      <c r="V1274" s="68"/>
      <c r="W1274" s="68"/>
      <c r="X1274" s="72"/>
      <c r="Y1274" s="68"/>
      <c r="Z1274" s="72"/>
      <c r="AA1274" s="68"/>
      <c r="AB1274" s="68"/>
      <c r="AC1274" s="68"/>
      <c r="AD1274" s="68"/>
      <c r="AE1274" s="72"/>
      <c r="AF1274" s="68"/>
      <c r="AG1274" s="72"/>
      <c r="AH1274" s="68"/>
      <c r="AI1274" s="68"/>
      <c r="AJ1274" s="70"/>
    </row>
    <row r="1275" hidden="1">
      <c r="A1275" s="68"/>
      <c r="B1275" s="68"/>
      <c r="C1275" s="69"/>
      <c r="D1275" s="70"/>
      <c r="E1275" s="71"/>
      <c r="F1275" s="68"/>
      <c r="G1275" s="68"/>
      <c r="H1275" s="68"/>
      <c r="I1275" s="68"/>
      <c r="J1275" s="72"/>
      <c r="K1275" s="68"/>
      <c r="L1275" s="72"/>
      <c r="M1275" s="68"/>
      <c r="N1275" s="68"/>
      <c r="O1275" s="68"/>
      <c r="P1275" s="68"/>
      <c r="Q1275" s="72"/>
      <c r="R1275" s="68"/>
      <c r="S1275" s="72"/>
      <c r="T1275" s="68"/>
      <c r="U1275" s="68"/>
      <c r="V1275" s="68"/>
      <c r="W1275" s="68"/>
      <c r="X1275" s="72"/>
      <c r="Y1275" s="68"/>
      <c r="Z1275" s="72"/>
      <c r="AA1275" s="68"/>
      <c r="AB1275" s="68"/>
      <c r="AC1275" s="68"/>
      <c r="AD1275" s="68"/>
      <c r="AE1275" s="72"/>
      <c r="AF1275" s="68"/>
      <c r="AG1275" s="72"/>
      <c r="AH1275" s="68"/>
      <c r="AI1275" s="68"/>
      <c r="AJ1275" s="70"/>
    </row>
    <row r="1276" hidden="1">
      <c r="A1276" s="68"/>
      <c r="B1276" s="68"/>
      <c r="C1276" s="69"/>
      <c r="D1276" s="70"/>
      <c r="E1276" s="71"/>
      <c r="F1276" s="68"/>
      <c r="G1276" s="68"/>
      <c r="H1276" s="68"/>
      <c r="I1276" s="68"/>
      <c r="J1276" s="72"/>
      <c r="K1276" s="68"/>
      <c r="L1276" s="72"/>
      <c r="M1276" s="68"/>
      <c r="N1276" s="68"/>
      <c r="O1276" s="68"/>
      <c r="P1276" s="68"/>
      <c r="Q1276" s="72"/>
      <c r="R1276" s="68"/>
      <c r="S1276" s="72"/>
      <c r="T1276" s="68"/>
      <c r="U1276" s="68"/>
      <c r="V1276" s="68"/>
      <c r="W1276" s="68"/>
      <c r="X1276" s="72"/>
      <c r="Y1276" s="68"/>
      <c r="Z1276" s="72"/>
      <c r="AA1276" s="68"/>
      <c r="AB1276" s="68"/>
      <c r="AC1276" s="68"/>
      <c r="AD1276" s="68"/>
      <c r="AE1276" s="72"/>
      <c r="AF1276" s="68"/>
      <c r="AG1276" s="72"/>
      <c r="AH1276" s="68"/>
      <c r="AI1276" s="68"/>
      <c r="AJ1276" s="70"/>
    </row>
    <row r="1277" hidden="1">
      <c r="A1277" s="68"/>
      <c r="B1277" s="68"/>
      <c r="C1277" s="69"/>
      <c r="D1277" s="70"/>
      <c r="E1277" s="71"/>
      <c r="F1277" s="68"/>
      <c r="G1277" s="68"/>
      <c r="H1277" s="68"/>
      <c r="I1277" s="68"/>
      <c r="J1277" s="72"/>
      <c r="K1277" s="68"/>
      <c r="L1277" s="72"/>
      <c r="M1277" s="68"/>
      <c r="N1277" s="68"/>
      <c r="O1277" s="68"/>
      <c r="P1277" s="68"/>
      <c r="Q1277" s="72"/>
      <c r="R1277" s="68"/>
      <c r="S1277" s="72"/>
      <c r="T1277" s="68"/>
      <c r="U1277" s="68"/>
      <c r="V1277" s="68"/>
      <c r="W1277" s="68"/>
      <c r="X1277" s="72"/>
      <c r="Y1277" s="68"/>
      <c r="Z1277" s="72"/>
      <c r="AA1277" s="68"/>
      <c r="AB1277" s="68"/>
      <c r="AC1277" s="68"/>
      <c r="AD1277" s="68"/>
      <c r="AE1277" s="72"/>
      <c r="AF1277" s="68"/>
      <c r="AG1277" s="72"/>
      <c r="AH1277" s="68"/>
      <c r="AI1277" s="68"/>
      <c r="AJ1277" s="70"/>
    </row>
    <row r="1278" hidden="1">
      <c r="A1278" s="68"/>
      <c r="B1278" s="68"/>
      <c r="C1278" s="69"/>
      <c r="D1278" s="70"/>
      <c r="E1278" s="71"/>
      <c r="F1278" s="68"/>
      <c r="G1278" s="68"/>
      <c r="H1278" s="68"/>
      <c r="I1278" s="68"/>
      <c r="J1278" s="72"/>
      <c r="K1278" s="68"/>
      <c r="L1278" s="72"/>
      <c r="M1278" s="68"/>
      <c r="N1278" s="68"/>
      <c r="O1278" s="68"/>
      <c r="P1278" s="68"/>
      <c r="Q1278" s="72"/>
      <c r="R1278" s="68"/>
      <c r="S1278" s="72"/>
      <c r="T1278" s="68"/>
      <c r="U1278" s="68"/>
      <c r="V1278" s="68"/>
      <c r="W1278" s="68"/>
      <c r="X1278" s="72"/>
      <c r="Y1278" s="68"/>
      <c r="Z1278" s="72"/>
      <c r="AA1278" s="68"/>
      <c r="AB1278" s="68"/>
      <c r="AC1278" s="68"/>
      <c r="AD1278" s="68"/>
      <c r="AE1278" s="72"/>
      <c r="AF1278" s="68"/>
      <c r="AG1278" s="72"/>
      <c r="AH1278" s="68"/>
      <c r="AI1278" s="68"/>
      <c r="AJ1278" s="70"/>
    </row>
    <row r="1279" hidden="1">
      <c r="A1279" s="68"/>
      <c r="B1279" s="68"/>
      <c r="C1279" s="69"/>
      <c r="D1279" s="70"/>
      <c r="E1279" s="71"/>
      <c r="F1279" s="68"/>
      <c r="G1279" s="68"/>
      <c r="H1279" s="68"/>
      <c r="I1279" s="68"/>
      <c r="J1279" s="72"/>
      <c r="K1279" s="68"/>
      <c r="L1279" s="72"/>
      <c r="M1279" s="68"/>
      <c r="N1279" s="68"/>
      <c r="O1279" s="68"/>
      <c r="P1279" s="68"/>
      <c r="Q1279" s="72"/>
      <c r="R1279" s="68"/>
      <c r="S1279" s="72"/>
      <c r="T1279" s="68"/>
      <c r="U1279" s="68"/>
      <c r="V1279" s="68"/>
      <c r="W1279" s="68"/>
      <c r="X1279" s="72"/>
      <c r="Y1279" s="68"/>
      <c r="Z1279" s="72"/>
      <c r="AA1279" s="68"/>
      <c r="AB1279" s="68"/>
      <c r="AC1279" s="68"/>
      <c r="AD1279" s="68"/>
      <c r="AE1279" s="72"/>
      <c r="AF1279" s="68"/>
      <c r="AG1279" s="72"/>
      <c r="AH1279" s="68"/>
      <c r="AI1279" s="68"/>
      <c r="AJ1279" s="70"/>
    </row>
    <row r="1280" hidden="1">
      <c r="A1280" s="68"/>
      <c r="B1280" s="68"/>
      <c r="C1280" s="69"/>
      <c r="D1280" s="70"/>
      <c r="E1280" s="71"/>
      <c r="F1280" s="68"/>
      <c r="G1280" s="68"/>
      <c r="H1280" s="68"/>
      <c r="I1280" s="68"/>
      <c r="J1280" s="72"/>
      <c r="K1280" s="68"/>
      <c r="L1280" s="72"/>
      <c r="M1280" s="68"/>
      <c r="N1280" s="68"/>
      <c r="O1280" s="68"/>
      <c r="P1280" s="68"/>
      <c r="Q1280" s="72"/>
      <c r="R1280" s="68"/>
      <c r="S1280" s="72"/>
      <c r="T1280" s="68"/>
      <c r="U1280" s="68"/>
      <c r="V1280" s="68"/>
      <c r="W1280" s="68"/>
      <c r="X1280" s="72"/>
      <c r="Y1280" s="68"/>
      <c r="Z1280" s="72"/>
      <c r="AA1280" s="68"/>
      <c r="AB1280" s="68"/>
      <c r="AC1280" s="68"/>
      <c r="AD1280" s="68"/>
      <c r="AE1280" s="72"/>
      <c r="AF1280" s="68"/>
      <c r="AG1280" s="72"/>
      <c r="AH1280" s="68"/>
      <c r="AI1280" s="68"/>
      <c r="AJ1280" s="70"/>
    </row>
    <row r="1281" hidden="1">
      <c r="A1281" s="68"/>
      <c r="B1281" s="68"/>
      <c r="C1281" s="69"/>
      <c r="D1281" s="70"/>
      <c r="E1281" s="71"/>
      <c r="F1281" s="68"/>
      <c r="G1281" s="68"/>
      <c r="H1281" s="68"/>
      <c r="I1281" s="68"/>
      <c r="J1281" s="72"/>
      <c r="K1281" s="68"/>
      <c r="L1281" s="72"/>
      <c r="M1281" s="68"/>
      <c r="N1281" s="68"/>
      <c r="O1281" s="68"/>
      <c r="P1281" s="68"/>
      <c r="Q1281" s="72"/>
      <c r="R1281" s="68"/>
      <c r="S1281" s="72"/>
      <c r="T1281" s="68"/>
      <c r="U1281" s="68"/>
      <c r="V1281" s="68"/>
      <c r="W1281" s="68"/>
      <c r="X1281" s="72"/>
      <c r="Y1281" s="68"/>
      <c r="Z1281" s="72"/>
      <c r="AA1281" s="68"/>
      <c r="AB1281" s="68"/>
      <c r="AC1281" s="68"/>
      <c r="AD1281" s="68"/>
      <c r="AE1281" s="72"/>
      <c r="AF1281" s="68"/>
      <c r="AG1281" s="72"/>
      <c r="AH1281" s="68"/>
      <c r="AI1281" s="68"/>
      <c r="AJ1281" s="70"/>
    </row>
    <row r="1282" hidden="1">
      <c r="A1282" s="68"/>
      <c r="B1282" s="68"/>
      <c r="C1282" s="69"/>
      <c r="D1282" s="70"/>
      <c r="E1282" s="71"/>
      <c r="F1282" s="68"/>
      <c r="G1282" s="68"/>
      <c r="H1282" s="68"/>
      <c r="I1282" s="68"/>
      <c r="J1282" s="72"/>
      <c r="K1282" s="68"/>
      <c r="L1282" s="72"/>
      <c r="M1282" s="68"/>
      <c r="N1282" s="68"/>
      <c r="O1282" s="68"/>
      <c r="P1282" s="68"/>
      <c r="Q1282" s="72"/>
      <c r="R1282" s="68"/>
      <c r="S1282" s="72"/>
      <c r="T1282" s="68"/>
      <c r="U1282" s="68"/>
      <c r="V1282" s="68"/>
      <c r="W1282" s="68"/>
      <c r="X1282" s="72"/>
      <c r="Y1282" s="68"/>
      <c r="Z1282" s="72"/>
      <c r="AA1282" s="68"/>
      <c r="AB1282" s="68"/>
      <c r="AC1282" s="68"/>
      <c r="AD1282" s="68"/>
      <c r="AE1282" s="72"/>
      <c r="AF1282" s="68"/>
      <c r="AG1282" s="72"/>
      <c r="AH1282" s="68"/>
      <c r="AI1282" s="68"/>
      <c r="AJ1282" s="70"/>
    </row>
    <row r="1283" hidden="1">
      <c r="A1283" s="68"/>
      <c r="B1283" s="68"/>
      <c r="C1283" s="69"/>
      <c r="D1283" s="70"/>
      <c r="E1283" s="71"/>
      <c r="F1283" s="68"/>
      <c r="G1283" s="68"/>
      <c r="H1283" s="68"/>
      <c r="I1283" s="68"/>
      <c r="J1283" s="72"/>
      <c r="K1283" s="68"/>
      <c r="L1283" s="72"/>
      <c r="M1283" s="68"/>
      <c r="N1283" s="68"/>
      <c r="O1283" s="68"/>
      <c r="P1283" s="68"/>
      <c r="Q1283" s="72"/>
      <c r="R1283" s="68"/>
      <c r="S1283" s="72"/>
      <c r="T1283" s="68"/>
      <c r="U1283" s="68"/>
      <c r="V1283" s="68"/>
      <c r="W1283" s="68"/>
      <c r="X1283" s="72"/>
      <c r="Y1283" s="68"/>
      <c r="Z1283" s="72"/>
      <c r="AA1283" s="68"/>
      <c r="AB1283" s="68"/>
      <c r="AC1283" s="68"/>
      <c r="AD1283" s="68"/>
      <c r="AE1283" s="72"/>
      <c r="AF1283" s="68"/>
      <c r="AG1283" s="72"/>
      <c r="AH1283" s="68"/>
      <c r="AI1283" s="68"/>
      <c r="AJ1283" s="70"/>
    </row>
    <row r="1284" hidden="1">
      <c r="A1284" s="68"/>
      <c r="B1284" s="68"/>
      <c r="C1284" s="69"/>
      <c r="D1284" s="70"/>
      <c r="E1284" s="71"/>
      <c r="F1284" s="68"/>
      <c r="G1284" s="68"/>
      <c r="H1284" s="68"/>
      <c r="I1284" s="68"/>
      <c r="J1284" s="72"/>
      <c r="K1284" s="68"/>
      <c r="L1284" s="72"/>
      <c r="M1284" s="68"/>
      <c r="N1284" s="68"/>
      <c r="O1284" s="68"/>
      <c r="P1284" s="68"/>
      <c r="Q1284" s="72"/>
      <c r="R1284" s="68"/>
      <c r="S1284" s="72"/>
      <c r="T1284" s="68"/>
      <c r="U1284" s="68"/>
      <c r="V1284" s="68"/>
      <c r="W1284" s="68"/>
      <c r="X1284" s="72"/>
      <c r="Y1284" s="68"/>
      <c r="Z1284" s="72"/>
      <c r="AA1284" s="68"/>
      <c r="AB1284" s="68"/>
      <c r="AC1284" s="68"/>
      <c r="AD1284" s="68"/>
      <c r="AE1284" s="72"/>
      <c r="AF1284" s="68"/>
      <c r="AG1284" s="72"/>
      <c r="AH1284" s="68"/>
      <c r="AI1284" s="68"/>
      <c r="AJ1284" s="70"/>
    </row>
    <row r="1285" hidden="1">
      <c r="A1285" s="68"/>
      <c r="B1285" s="68"/>
      <c r="C1285" s="69"/>
      <c r="D1285" s="70"/>
      <c r="E1285" s="71"/>
      <c r="F1285" s="68"/>
      <c r="G1285" s="68"/>
      <c r="H1285" s="68"/>
      <c r="I1285" s="68"/>
      <c r="J1285" s="72"/>
      <c r="K1285" s="68"/>
      <c r="L1285" s="72"/>
      <c r="M1285" s="68"/>
      <c r="N1285" s="68"/>
      <c r="O1285" s="68"/>
      <c r="P1285" s="68"/>
      <c r="Q1285" s="72"/>
      <c r="R1285" s="68"/>
      <c r="S1285" s="72"/>
      <c r="T1285" s="68"/>
      <c r="U1285" s="68"/>
      <c r="V1285" s="68"/>
      <c r="W1285" s="68"/>
      <c r="X1285" s="72"/>
      <c r="Y1285" s="68"/>
      <c r="Z1285" s="72"/>
      <c r="AA1285" s="68"/>
      <c r="AB1285" s="68"/>
      <c r="AC1285" s="68"/>
      <c r="AD1285" s="68"/>
      <c r="AE1285" s="72"/>
      <c r="AF1285" s="68"/>
      <c r="AG1285" s="72"/>
      <c r="AH1285" s="68"/>
      <c r="AI1285" s="68"/>
      <c r="AJ1285" s="70"/>
    </row>
    <row r="1286" hidden="1">
      <c r="A1286" s="68"/>
      <c r="B1286" s="68"/>
      <c r="C1286" s="69"/>
      <c r="D1286" s="70"/>
      <c r="E1286" s="71"/>
      <c r="F1286" s="68"/>
      <c r="G1286" s="68"/>
      <c r="H1286" s="68"/>
      <c r="I1286" s="68"/>
      <c r="J1286" s="72"/>
      <c r="K1286" s="68"/>
      <c r="L1286" s="72"/>
      <c r="M1286" s="68"/>
      <c r="N1286" s="68"/>
      <c r="O1286" s="68"/>
      <c r="P1286" s="68"/>
      <c r="Q1286" s="72"/>
      <c r="R1286" s="68"/>
      <c r="S1286" s="72"/>
      <c r="T1286" s="68"/>
      <c r="U1286" s="68"/>
      <c r="V1286" s="68"/>
      <c r="W1286" s="68"/>
      <c r="X1286" s="72"/>
      <c r="Y1286" s="68"/>
      <c r="Z1286" s="72"/>
      <c r="AA1286" s="68"/>
      <c r="AB1286" s="68"/>
      <c r="AC1286" s="68"/>
      <c r="AD1286" s="68"/>
      <c r="AE1286" s="72"/>
      <c r="AF1286" s="68"/>
      <c r="AG1286" s="72"/>
      <c r="AH1286" s="68"/>
      <c r="AI1286" s="68"/>
      <c r="AJ1286" s="70"/>
    </row>
    <row r="1287" hidden="1">
      <c r="A1287" s="68"/>
      <c r="B1287" s="68"/>
      <c r="C1287" s="69"/>
      <c r="D1287" s="70"/>
      <c r="E1287" s="71"/>
      <c r="F1287" s="68"/>
      <c r="G1287" s="68"/>
      <c r="H1287" s="68"/>
      <c r="I1287" s="68"/>
      <c r="J1287" s="72"/>
      <c r="K1287" s="68"/>
      <c r="L1287" s="72"/>
      <c r="M1287" s="68"/>
      <c r="N1287" s="68"/>
      <c r="O1287" s="68"/>
      <c r="P1287" s="68"/>
      <c r="Q1287" s="72"/>
      <c r="R1287" s="68"/>
      <c r="S1287" s="72"/>
      <c r="T1287" s="68"/>
      <c r="U1287" s="68"/>
      <c r="V1287" s="68"/>
      <c r="W1287" s="68"/>
      <c r="X1287" s="72"/>
      <c r="Y1287" s="68"/>
      <c r="Z1287" s="72"/>
      <c r="AA1287" s="68"/>
      <c r="AB1287" s="68"/>
      <c r="AC1287" s="68"/>
      <c r="AD1287" s="68"/>
      <c r="AE1287" s="72"/>
      <c r="AF1287" s="68"/>
      <c r="AG1287" s="72"/>
      <c r="AH1287" s="68"/>
      <c r="AI1287" s="68"/>
      <c r="AJ1287" s="70"/>
    </row>
    <row r="1288" hidden="1">
      <c r="A1288" s="68"/>
      <c r="B1288" s="68"/>
      <c r="C1288" s="69"/>
      <c r="D1288" s="70"/>
      <c r="E1288" s="71"/>
      <c r="F1288" s="68"/>
      <c r="G1288" s="68"/>
      <c r="H1288" s="68"/>
      <c r="I1288" s="68"/>
      <c r="J1288" s="72"/>
      <c r="K1288" s="68"/>
      <c r="L1288" s="72"/>
      <c r="M1288" s="68"/>
      <c r="N1288" s="68"/>
      <c r="O1288" s="68"/>
      <c r="P1288" s="68"/>
      <c r="Q1288" s="72"/>
      <c r="R1288" s="68"/>
      <c r="S1288" s="72"/>
      <c r="T1288" s="68"/>
      <c r="U1288" s="68"/>
      <c r="V1288" s="68"/>
      <c r="W1288" s="68"/>
      <c r="X1288" s="72"/>
      <c r="Y1288" s="68"/>
      <c r="Z1288" s="72"/>
      <c r="AA1288" s="68"/>
      <c r="AB1288" s="68"/>
      <c r="AC1288" s="68"/>
      <c r="AD1288" s="68"/>
      <c r="AE1288" s="72"/>
      <c r="AF1288" s="68"/>
      <c r="AG1288" s="72"/>
      <c r="AH1288" s="68"/>
      <c r="AI1288" s="68"/>
      <c r="AJ1288" s="70"/>
    </row>
    <row r="1289" hidden="1">
      <c r="A1289" s="68"/>
      <c r="B1289" s="68"/>
      <c r="C1289" s="69"/>
      <c r="D1289" s="70"/>
      <c r="E1289" s="71"/>
      <c r="F1289" s="68"/>
      <c r="G1289" s="68"/>
      <c r="H1289" s="68"/>
      <c r="I1289" s="68"/>
      <c r="J1289" s="72"/>
      <c r="K1289" s="68"/>
      <c r="L1289" s="72"/>
      <c r="M1289" s="68"/>
      <c r="N1289" s="68"/>
      <c r="O1289" s="68"/>
      <c r="P1289" s="68"/>
      <c r="Q1289" s="72"/>
      <c r="R1289" s="68"/>
      <c r="S1289" s="72"/>
      <c r="T1289" s="68"/>
      <c r="U1289" s="68"/>
      <c r="V1289" s="68"/>
      <c r="W1289" s="68"/>
      <c r="X1289" s="72"/>
      <c r="Y1289" s="68"/>
      <c r="Z1289" s="72"/>
      <c r="AA1289" s="68"/>
      <c r="AB1289" s="68"/>
      <c r="AC1289" s="68"/>
      <c r="AD1289" s="68"/>
      <c r="AE1289" s="72"/>
      <c r="AF1289" s="68"/>
      <c r="AG1289" s="72"/>
      <c r="AH1289" s="68"/>
      <c r="AI1289" s="68"/>
      <c r="AJ1289" s="70"/>
    </row>
    <row r="1290" hidden="1">
      <c r="A1290" s="68"/>
      <c r="B1290" s="68"/>
      <c r="C1290" s="69"/>
      <c r="D1290" s="70"/>
      <c r="E1290" s="71"/>
      <c r="F1290" s="68"/>
      <c r="G1290" s="68"/>
      <c r="H1290" s="68"/>
      <c r="I1290" s="68"/>
      <c r="J1290" s="72"/>
      <c r="K1290" s="68"/>
      <c r="L1290" s="72"/>
      <c r="M1290" s="68"/>
      <c r="N1290" s="68"/>
      <c r="O1290" s="68"/>
      <c r="P1290" s="68"/>
      <c r="Q1290" s="72"/>
      <c r="R1290" s="68"/>
      <c r="S1290" s="72"/>
      <c r="T1290" s="68"/>
      <c r="U1290" s="68"/>
      <c r="V1290" s="68"/>
      <c r="W1290" s="68"/>
      <c r="X1290" s="72"/>
      <c r="Y1290" s="68"/>
      <c r="Z1290" s="72"/>
      <c r="AA1290" s="68"/>
      <c r="AB1290" s="68"/>
      <c r="AC1290" s="68"/>
      <c r="AD1290" s="68"/>
      <c r="AE1290" s="72"/>
      <c r="AF1290" s="68"/>
      <c r="AG1290" s="72"/>
      <c r="AH1290" s="68"/>
      <c r="AI1290" s="68"/>
      <c r="AJ1290" s="70"/>
    </row>
    <row r="1291" hidden="1">
      <c r="A1291" s="68"/>
      <c r="B1291" s="68"/>
      <c r="C1291" s="69"/>
      <c r="D1291" s="70"/>
      <c r="E1291" s="71"/>
      <c r="F1291" s="68"/>
      <c r="G1291" s="68"/>
      <c r="H1291" s="68"/>
      <c r="I1291" s="68"/>
      <c r="J1291" s="72"/>
      <c r="K1291" s="68"/>
      <c r="L1291" s="72"/>
      <c r="M1291" s="68"/>
      <c r="N1291" s="68"/>
      <c r="O1291" s="68"/>
      <c r="P1291" s="68"/>
      <c r="Q1291" s="72"/>
      <c r="R1291" s="68"/>
      <c r="S1291" s="72"/>
      <c r="T1291" s="68"/>
      <c r="U1291" s="68"/>
      <c r="V1291" s="68"/>
      <c r="W1291" s="68"/>
      <c r="X1291" s="72"/>
      <c r="Y1291" s="68"/>
      <c r="Z1291" s="72"/>
      <c r="AA1291" s="68"/>
      <c r="AB1291" s="68"/>
      <c r="AC1291" s="68"/>
      <c r="AD1291" s="68"/>
      <c r="AE1291" s="72"/>
      <c r="AF1291" s="68"/>
      <c r="AG1291" s="72"/>
      <c r="AH1291" s="68"/>
      <c r="AI1291" s="68"/>
      <c r="AJ1291" s="70"/>
    </row>
    <row r="1292" hidden="1">
      <c r="A1292" s="68"/>
      <c r="B1292" s="68"/>
      <c r="C1292" s="69"/>
      <c r="D1292" s="70"/>
      <c r="E1292" s="71"/>
      <c r="F1292" s="68"/>
      <c r="G1292" s="68"/>
      <c r="H1292" s="68"/>
      <c r="I1292" s="68"/>
      <c r="J1292" s="72"/>
      <c r="K1292" s="68"/>
      <c r="L1292" s="72"/>
      <c r="M1292" s="68"/>
      <c r="N1292" s="68"/>
      <c r="O1292" s="68"/>
      <c r="P1292" s="68"/>
      <c r="Q1292" s="72"/>
      <c r="R1292" s="68"/>
      <c r="S1292" s="72"/>
      <c r="T1292" s="68"/>
      <c r="U1292" s="68"/>
      <c r="V1292" s="68"/>
      <c r="W1292" s="68"/>
      <c r="X1292" s="72"/>
      <c r="Y1292" s="68"/>
      <c r="Z1292" s="72"/>
      <c r="AA1292" s="68"/>
      <c r="AB1292" s="68"/>
      <c r="AC1292" s="68"/>
      <c r="AD1292" s="68"/>
      <c r="AE1292" s="72"/>
      <c r="AF1292" s="68"/>
      <c r="AG1292" s="72"/>
      <c r="AH1292" s="68"/>
      <c r="AI1292" s="68"/>
      <c r="AJ1292" s="70"/>
    </row>
    <row r="1293" hidden="1">
      <c r="A1293" s="68"/>
      <c r="B1293" s="68"/>
      <c r="C1293" s="69"/>
      <c r="D1293" s="70"/>
      <c r="E1293" s="71"/>
      <c r="F1293" s="68"/>
      <c r="G1293" s="68"/>
      <c r="H1293" s="68"/>
      <c r="I1293" s="68"/>
      <c r="J1293" s="72"/>
      <c r="K1293" s="68"/>
      <c r="L1293" s="72"/>
      <c r="M1293" s="68"/>
      <c r="N1293" s="68"/>
      <c r="O1293" s="68"/>
      <c r="P1293" s="68"/>
      <c r="Q1293" s="72"/>
      <c r="R1293" s="68"/>
      <c r="S1293" s="72"/>
      <c r="T1293" s="68"/>
      <c r="U1293" s="68"/>
      <c r="V1293" s="68"/>
      <c r="W1293" s="68"/>
      <c r="X1293" s="72"/>
      <c r="Y1293" s="68"/>
      <c r="Z1293" s="72"/>
      <c r="AA1293" s="68"/>
      <c r="AB1293" s="68"/>
      <c r="AC1293" s="68"/>
      <c r="AD1293" s="68"/>
      <c r="AE1293" s="72"/>
      <c r="AF1293" s="68"/>
      <c r="AG1293" s="72"/>
      <c r="AH1293" s="68"/>
      <c r="AI1293" s="68"/>
      <c r="AJ1293" s="70"/>
    </row>
    <row r="1294" hidden="1">
      <c r="A1294" s="68"/>
      <c r="B1294" s="68"/>
      <c r="C1294" s="69"/>
      <c r="D1294" s="70"/>
      <c r="E1294" s="71"/>
      <c r="F1294" s="68"/>
      <c r="G1294" s="68"/>
      <c r="H1294" s="68"/>
      <c r="I1294" s="68"/>
      <c r="J1294" s="72"/>
      <c r="K1294" s="68"/>
      <c r="L1294" s="72"/>
      <c r="M1294" s="68"/>
      <c r="N1294" s="68"/>
      <c r="O1294" s="68"/>
      <c r="P1294" s="68"/>
      <c r="Q1294" s="72"/>
      <c r="R1294" s="68"/>
      <c r="S1294" s="72"/>
      <c r="T1294" s="68"/>
      <c r="U1294" s="68"/>
      <c r="V1294" s="68"/>
      <c r="W1294" s="68"/>
      <c r="X1294" s="72"/>
      <c r="Y1294" s="68"/>
      <c r="Z1294" s="72"/>
      <c r="AA1294" s="68"/>
      <c r="AB1294" s="68"/>
      <c r="AC1294" s="68"/>
      <c r="AD1294" s="68"/>
      <c r="AE1294" s="72"/>
      <c r="AF1294" s="68"/>
      <c r="AG1294" s="72"/>
      <c r="AH1294" s="68"/>
      <c r="AI1294" s="68"/>
      <c r="AJ1294" s="70"/>
    </row>
    <row r="1295" hidden="1">
      <c r="A1295" s="68"/>
      <c r="B1295" s="68"/>
      <c r="C1295" s="69"/>
      <c r="D1295" s="70"/>
      <c r="E1295" s="71"/>
      <c r="F1295" s="68"/>
      <c r="G1295" s="68"/>
      <c r="H1295" s="68"/>
      <c r="I1295" s="68"/>
      <c r="J1295" s="72"/>
      <c r="K1295" s="68"/>
      <c r="L1295" s="72"/>
      <c r="M1295" s="68"/>
      <c r="N1295" s="68"/>
      <c r="O1295" s="68"/>
      <c r="P1295" s="68"/>
      <c r="Q1295" s="72"/>
      <c r="R1295" s="68"/>
      <c r="S1295" s="72"/>
      <c r="T1295" s="68"/>
      <c r="U1295" s="68"/>
      <c r="V1295" s="68"/>
      <c r="W1295" s="68"/>
      <c r="X1295" s="72"/>
      <c r="Y1295" s="68"/>
      <c r="Z1295" s="72"/>
      <c r="AA1295" s="68"/>
      <c r="AB1295" s="68"/>
      <c r="AC1295" s="68"/>
      <c r="AD1295" s="68"/>
      <c r="AE1295" s="72"/>
      <c r="AF1295" s="68"/>
      <c r="AG1295" s="72"/>
      <c r="AH1295" s="68"/>
      <c r="AI1295" s="68"/>
      <c r="AJ1295" s="70"/>
    </row>
    <row r="1296" hidden="1">
      <c r="A1296" s="68"/>
      <c r="B1296" s="68"/>
      <c r="C1296" s="69"/>
      <c r="D1296" s="70"/>
      <c r="E1296" s="71"/>
      <c r="F1296" s="68"/>
      <c r="G1296" s="68"/>
      <c r="H1296" s="68"/>
      <c r="I1296" s="68"/>
      <c r="J1296" s="72"/>
      <c r="K1296" s="68"/>
      <c r="L1296" s="72"/>
      <c r="M1296" s="68"/>
      <c r="N1296" s="68"/>
      <c r="O1296" s="68"/>
      <c r="P1296" s="68"/>
      <c r="Q1296" s="72"/>
      <c r="R1296" s="68"/>
      <c r="S1296" s="72"/>
      <c r="T1296" s="68"/>
      <c r="U1296" s="68"/>
      <c r="V1296" s="68"/>
      <c r="W1296" s="68"/>
      <c r="X1296" s="72"/>
      <c r="Y1296" s="68"/>
      <c r="Z1296" s="72"/>
      <c r="AA1296" s="68"/>
      <c r="AB1296" s="68"/>
      <c r="AC1296" s="68"/>
      <c r="AD1296" s="68"/>
      <c r="AE1296" s="72"/>
      <c r="AF1296" s="68"/>
      <c r="AG1296" s="72"/>
      <c r="AH1296" s="68"/>
      <c r="AI1296" s="68"/>
      <c r="AJ1296" s="70"/>
    </row>
    <row r="1297" hidden="1">
      <c r="A1297" s="68"/>
      <c r="B1297" s="68"/>
      <c r="C1297" s="69"/>
      <c r="D1297" s="70"/>
      <c r="E1297" s="71"/>
      <c r="F1297" s="68"/>
      <c r="G1297" s="68"/>
      <c r="H1297" s="68"/>
      <c r="I1297" s="68"/>
      <c r="J1297" s="72"/>
      <c r="K1297" s="68"/>
      <c r="L1297" s="72"/>
      <c r="M1297" s="68"/>
      <c r="N1297" s="68"/>
      <c r="O1297" s="68"/>
      <c r="P1297" s="68"/>
      <c r="Q1297" s="72"/>
      <c r="R1297" s="68"/>
      <c r="S1297" s="72"/>
      <c r="T1297" s="68"/>
      <c r="U1297" s="68"/>
      <c r="V1297" s="68"/>
      <c r="W1297" s="68"/>
      <c r="X1297" s="72"/>
      <c r="Y1297" s="68"/>
      <c r="Z1297" s="72"/>
      <c r="AA1297" s="68"/>
      <c r="AB1297" s="68"/>
      <c r="AC1297" s="68"/>
      <c r="AD1297" s="68"/>
      <c r="AE1297" s="72"/>
      <c r="AF1297" s="68"/>
      <c r="AG1297" s="72"/>
      <c r="AH1297" s="68"/>
      <c r="AI1297" s="68"/>
      <c r="AJ1297" s="70"/>
    </row>
    <row r="1298" hidden="1">
      <c r="A1298" s="68"/>
      <c r="B1298" s="68"/>
      <c r="C1298" s="69"/>
      <c r="D1298" s="70"/>
      <c r="E1298" s="71"/>
      <c r="F1298" s="68"/>
      <c r="G1298" s="68"/>
      <c r="H1298" s="68"/>
      <c r="I1298" s="68"/>
      <c r="J1298" s="72"/>
      <c r="K1298" s="68"/>
      <c r="L1298" s="72"/>
      <c r="M1298" s="68"/>
      <c r="N1298" s="68"/>
      <c r="O1298" s="68"/>
      <c r="P1298" s="68"/>
      <c r="Q1298" s="72"/>
      <c r="R1298" s="68"/>
      <c r="S1298" s="72"/>
      <c r="T1298" s="68"/>
      <c r="U1298" s="68"/>
      <c r="V1298" s="68"/>
      <c r="W1298" s="68"/>
      <c r="X1298" s="72"/>
      <c r="Y1298" s="68"/>
      <c r="Z1298" s="72"/>
      <c r="AA1298" s="68"/>
      <c r="AB1298" s="68"/>
      <c r="AC1298" s="68"/>
      <c r="AD1298" s="68"/>
      <c r="AE1298" s="72"/>
      <c r="AF1298" s="68"/>
      <c r="AG1298" s="72"/>
      <c r="AH1298" s="68"/>
      <c r="AI1298" s="68"/>
      <c r="AJ1298" s="70"/>
    </row>
    <row r="1299" hidden="1">
      <c r="A1299" s="68"/>
      <c r="B1299" s="68"/>
      <c r="C1299" s="69"/>
      <c r="D1299" s="70"/>
      <c r="E1299" s="71"/>
      <c r="F1299" s="68"/>
      <c r="G1299" s="68"/>
      <c r="H1299" s="68"/>
      <c r="I1299" s="68"/>
      <c r="J1299" s="72"/>
      <c r="K1299" s="68"/>
      <c r="L1299" s="72"/>
      <c r="M1299" s="68"/>
      <c r="N1299" s="68"/>
      <c r="O1299" s="68"/>
      <c r="P1299" s="68"/>
      <c r="Q1299" s="72"/>
      <c r="R1299" s="68"/>
      <c r="S1299" s="72"/>
      <c r="T1299" s="68"/>
      <c r="U1299" s="68"/>
      <c r="V1299" s="68"/>
      <c r="W1299" s="68"/>
      <c r="X1299" s="72"/>
      <c r="Y1299" s="68"/>
      <c r="Z1299" s="72"/>
      <c r="AA1299" s="68"/>
      <c r="AB1299" s="68"/>
      <c r="AC1299" s="68"/>
      <c r="AD1299" s="68"/>
      <c r="AE1299" s="72"/>
      <c r="AF1299" s="68"/>
      <c r="AG1299" s="72"/>
      <c r="AH1299" s="68"/>
      <c r="AI1299" s="68"/>
      <c r="AJ1299" s="70"/>
    </row>
    <row r="1300" hidden="1">
      <c r="A1300" s="68"/>
      <c r="B1300" s="68"/>
      <c r="C1300" s="69"/>
      <c r="D1300" s="70"/>
      <c r="E1300" s="71"/>
      <c r="F1300" s="68"/>
      <c r="G1300" s="68"/>
      <c r="H1300" s="68"/>
      <c r="I1300" s="68"/>
      <c r="J1300" s="72"/>
      <c r="K1300" s="68"/>
      <c r="L1300" s="72"/>
      <c r="M1300" s="68"/>
      <c r="N1300" s="68"/>
      <c r="O1300" s="68"/>
      <c r="P1300" s="68"/>
      <c r="Q1300" s="72"/>
      <c r="R1300" s="68"/>
      <c r="S1300" s="72"/>
      <c r="T1300" s="68"/>
      <c r="U1300" s="68"/>
      <c r="V1300" s="68"/>
      <c r="W1300" s="68"/>
      <c r="X1300" s="72"/>
      <c r="Y1300" s="68"/>
      <c r="Z1300" s="72"/>
      <c r="AA1300" s="68"/>
      <c r="AB1300" s="68"/>
      <c r="AC1300" s="68"/>
      <c r="AD1300" s="68"/>
      <c r="AE1300" s="72"/>
      <c r="AF1300" s="68"/>
      <c r="AG1300" s="72"/>
      <c r="AH1300" s="68"/>
      <c r="AI1300" s="68"/>
      <c r="AJ1300" s="70"/>
    </row>
    <row r="1301" hidden="1">
      <c r="A1301" s="68"/>
      <c r="B1301" s="68"/>
      <c r="C1301" s="69"/>
      <c r="D1301" s="70"/>
      <c r="E1301" s="71"/>
      <c r="F1301" s="68"/>
      <c r="G1301" s="68"/>
      <c r="H1301" s="68"/>
      <c r="I1301" s="68"/>
      <c r="J1301" s="72"/>
      <c r="K1301" s="68"/>
      <c r="L1301" s="72"/>
      <c r="M1301" s="68"/>
      <c r="N1301" s="68"/>
      <c r="O1301" s="68"/>
      <c r="P1301" s="68"/>
      <c r="Q1301" s="72"/>
      <c r="R1301" s="68"/>
      <c r="S1301" s="72"/>
      <c r="T1301" s="68"/>
      <c r="U1301" s="68"/>
      <c r="V1301" s="68"/>
      <c r="W1301" s="68"/>
      <c r="X1301" s="72"/>
      <c r="Y1301" s="68"/>
      <c r="Z1301" s="72"/>
      <c r="AA1301" s="68"/>
      <c r="AB1301" s="68"/>
      <c r="AC1301" s="68"/>
      <c r="AD1301" s="68"/>
      <c r="AE1301" s="72"/>
      <c r="AF1301" s="68"/>
      <c r="AG1301" s="72"/>
      <c r="AH1301" s="68"/>
      <c r="AI1301" s="68"/>
      <c r="AJ1301" s="70"/>
    </row>
    <row r="1302" hidden="1">
      <c r="A1302" s="68"/>
      <c r="B1302" s="68"/>
      <c r="C1302" s="69"/>
      <c r="D1302" s="70"/>
      <c r="E1302" s="71"/>
      <c r="F1302" s="68"/>
      <c r="G1302" s="68"/>
      <c r="H1302" s="68"/>
      <c r="I1302" s="68"/>
      <c r="J1302" s="72"/>
      <c r="K1302" s="68"/>
      <c r="L1302" s="72"/>
      <c r="M1302" s="68"/>
      <c r="N1302" s="68"/>
      <c r="O1302" s="68"/>
      <c r="P1302" s="68"/>
      <c r="Q1302" s="72"/>
      <c r="R1302" s="68"/>
      <c r="S1302" s="72"/>
      <c r="T1302" s="68"/>
      <c r="U1302" s="68"/>
      <c r="V1302" s="68"/>
      <c r="W1302" s="68"/>
      <c r="X1302" s="72"/>
      <c r="Y1302" s="68"/>
      <c r="Z1302" s="72"/>
      <c r="AA1302" s="68"/>
      <c r="AB1302" s="68"/>
      <c r="AC1302" s="68"/>
      <c r="AD1302" s="68"/>
      <c r="AE1302" s="72"/>
      <c r="AF1302" s="68"/>
      <c r="AG1302" s="72"/>
      <c r="AH1302" s="68"/>
      <c r="AI1302" s="68"/>
      <c r="AJ1302" s="70"/>
    </row>
    <row r="1303" hidden="1">
      <c r="A1303" s="68"/>
      <c r="B1303" s="68"/>
      <c r="C1303" s="69"/>
      <c r="D1303" s="70"/>
      <c r="E1303" s="71"/>
      <c r="F1303" s="68"/>
      <c r="G1303" s="68"/>
      <c r="H1303" s="68"/>
      <c r="I1303" s="68"/>
      <c r="J1303" s="72"/>
      <c r="K1303" s="68"/>
      <c r="L1303" s="72"/>
      <c r="M1303" s="68"/>
      <c r="N1303" s="68"/>
      <c r="O1303" s="68"/>
      <c r="P1303" s="68"/>
      <c r="Q1303" s="72"/>
      <c r="R1303" s="68"/>
      <c r="S1303" s="72"/>
      <c r="T1303" s="68"/>
      <c r="U1303" s="68"/>
      <c r="V1303" s="68"/>
      <c r="W1303" s="68"/>
      <c r="X1303" s="72"/>
      <c r="Y1303" s="68"/>
      <c r="Z1303" s="72"/>
      <c r="AA1303" s="68"/>
      <c r="AB1303" s="68"/>
      <c r="AC1303" s="68"/>
      <c r="AD1303" s="68"/>
      <c r="AE1303" s="72"/>
      <c r="AF1303" s="68"/>
      <c r="AG1303" s="72"/>
      <c r="AH1303" s="68"/>
      <c r="AI1303" s="68"/>
      <c r="AJ1303" s="70"/>
    </row>
    <row r="1304" hidden="1">
      <c r="A1304" s="68"/>
      <c r="B1304" s="68"/>
      <c r="C1304" s="69"/>
      <c r="D1304" s="70"/>
      <c r="E1304" s="71"/>
      <c r="F1304" s="68"/>
      <c r="G1304" s="68"/>
      <c r="H1304" s="68"/>
      <c r="I1304" s="68"/>
      <c r="J1304" s="72"/>
      <c r="K1304" s="68"/>
      <c r="L1304" s="72"/>
      <c r="M1304" s="68"/>
      <c r="N1304" s="68"/>
      <c r="O1304" s="68"/>
      <c r="P1304" s="68"/>
      <c r="Q1304" s="72"/>
      <c r="R1304" s="68"/>
      <c r="S1304" s="72"/>
      <c r="T1304" s="68"/>
      <c r="U1304" s="68"/>
      <c r="V1304" s="68"/>
      <c r="W1304" s="68"/>
      <c r="X1304" s="72"/>
      <c r="Y1304" s="68"/>
      <c r="Z1304" s="72"/>
      <c r="AA1304" s="68"/>
      <c r="AB1304" s="68"/>
      <c r="AC1304" s="68"/>
      <c r="AD1304" s="68"/>
      <c r="AE1304" s="72"/>
      <c r="AF1304" s="68"/>
      <c r="AG1304" s="72"/>
      <c r="AH1304" s="68"/>
      <c r="AI1304" s="68"/>
      <c r="AJ1304" s="70"/>
    </row>
    <row r="1305" hidden="1">
      <c r="A1305" s="68"/>
      <c r="B1305" s="68"/>
      <c r="C1305" s="69"/>
      <c r="D1305" s="70"/>
      <c r="E1305" s="71"/>
      <c r="F1305" s="68"/>
      <c r="G1305" s="68"/>
      <c r="H1305" s="68"/>
      <c r="I1305" s="68"/>
      <c r="J1305" s="72"/>
      <c r="K1305" s="68"/>
      <c r="L1305" s="72"/>
      <c r="M1305" s="68"/>
      <c r="N1305" s="68"/>
      <c r="O1305" s="68"/>
      <c r="P1305" s="68"/>
      <c r="Q1305" s="72"/>
      <c r="R1305" s="68"/>
      <c r="S1305" s="72"/>
      <c r="T1305" s="68"/>
      <c r="U1305" s="68"/>
      <c r="V1305" s="68"/>
      <c r="W1305" s="68"/>
      <c r="X1305" s="72"/>
      <c r="Y1305" s="68"/>
      <c r="Z1305" s="72"/>
      <c r="AA1305" s="68"/>
      <c r="AB1305" s="68"/>
      <c r="AC1305" s="68"/>
      <c r="AD1305" s="68"/>
      <c r="AE1305" s="72"/>
      <c r="AF1305" s="68"/>
      <c r="AG1305" s="72"/>
      <c r="AH1305" s="68"/>
      <c r="AI1305" s="68"/>
      <c r="AJ1305" s="70"/>
    </row>
    <row r="1306" hidden="1">
      <c r="A1306" s="68"/>
      <c r="B1306" s="68"/>
      <c r="C1306" s="69"/>
      <c r="D1306" s="70"/>
      <c r="E1306" s="71"/>
      <c r="F1306" s="68"/>
      <c r="G1306" s="68"/>
      <c r="H1306" s="68"/>
      <c r="I1306" s="68"/>
      <c r="J1306" s="72"/>
      <c r="K1306" s="68"/>
      <c r="L1306" s="72"/>
      <c r="M1306" s="68"/>
      <c r="N1306" s="68"/>
      <c r="O1306" s="68"/>
      <c r="P1306" s="68"/>
      <c r="Q1306" s="72"/>
      <c r="R1306" s="68"/>
      <c r="S1306" s="72"/>
      <c r="T1306" s="68"/>
      <c r="U1306" s="68"/>
      <c r="V1306" s="68"/>
      <c r="W1306" s="68"/>
      <c r="X1306" s="72"/>
      <c r="Y1306" s="68"/>
      <c r="Z1306" s="72"/>
      <c r="AA1306" s="68"/>
      <c r="AB1306" s="68"/>
      <c r="AC1306" s="68"/>
      <c r="AD1306" s="68"/>
      <c r="AE1306" s="72"/>
      <c r="AF1306" s="68"/>
      <c r="AG1306" s="72"/>
      <c r="AH1306" s="68"/>
      <c r="AI1306" s="68"/>
      <c r="AJ1306" s="70"/>
    </row>
    <row r="1307" hidden="1">
      <c r="A1307" s="68"/>
      <c r="B1307" s="68"/>
      <c r="C1307" s="69"/>
      <c r="D1307" s="70"/>
      <c r="E1307" s="71"/>
      <c r="F1307" s="68"/>
      <c r="G1307" s="68"/>
      <c r="H1307" s="68"/>
      <c r="I1307" s="68"/>
      <c r="J1307" s="72"/>
      <c r="K1307" s="68"/>
      <c r="L1307" s="72"/>
      <c r="M1307" s="68"/>
      <c r="N1307" s="68"/>
      <c r="O1307" s="68"/>
      <c r="P1307" s="68"/>
      <c r="Q1307" s="72"/>
      <c r="R1307" s="68"/>
      <c r="S1307" s="72"/>
      <c r="T1307" s="68"/>
      <c r="U1307" s="68"/>
      <c r="V1307" s="68"/>
      <c r="W1307" s="68"/>
      <c r="X1307" s="72"/>
      <c r="Y1307" s="68"/>
      <c r="Z1307" s="72"/>
      <c r="AA1307" s="68"/>
      <c r="AB1307" s="68"/>
      <c r="AC1307" s="68"/>
      <c r="AD1307" s="68"/>
      <c r="AE1307" s="72"/>
      <c r="AF1307" s="68"/>
      <c r="AG1307" s="72"/>
      <c r="AH1307" s="68"/>
      <c r="AI1307" s="68"/>
      <c r="AJ1307" s="70"/>
    </row>
    <row r="1308" hidden="1">
      <c r="A1308" s="68"/>
      <c r="B1308" s="68"/>
      <c r="C1308" s="69"/>
      <c r="D1308" s="70"/>
      <c r="E1308" s="71"/>
      <c r="F1308" s="68"/>
      <c r="G1308" s="68"/>
      <c r="H1308" s="68"/>
      <c r="I1308" s="68"/>
      <c r="J1308" s="72"/>
      <c r="K1308" s="68"/>
      <c r="L1308" s="72"/>
      <c r="M1308" s="68"/>
      <c r="N1308" s="68"/>
      <c r="O1308" s="68"/>
      <c r="P1308" s="68"/>
      <c r="Q1308" s="72"/>
      <c r="R1308" s="68"/>
      <c r="S1308" s="72"/>
      <c r="T1308" s="68"/>
      <c r="U1308" s="68"/>
      <c r="V1308" s="68"/>
      <c r="W1308" s="68"/>
      <c r="X1308" s="72"/>
      <c r="Y1308" s="68"/>
      <c r="Z1308" s="72"/>
      <c r="AA1308" s="68"/>
      <c r="AB1308" s="68"/>
      <c r="AC1308" s="68"/>
      <c r="AD1308" s="68"/>
      <c r="AE1308" s="72"/>
      <c r="AF1308" s="68"/>
      <c r="AG1308" s="72"/>
      <c r="AH1308" s="68"/>
      <c r="AI1308" s="68"/>
      <c r="AJ1308" s="70"/>
    </row>
    <row r="1309" hidden="1">
      <c r="A1309" s="68"/>
      <c r="B1309" s="68"/>
      <c r="C1309" s="69"/>
      <c r="D1309" s="70"/>
      <c r="E1309" s="71"/>
      <c r="F1309" s="68"/>
      <c r="G1309" s="68"/>
      <c r="H1309" s="68"/>
      <c r="I1309" s="68"/>
      <c r="J1309" s="72"/>
      <c r="K1309" s="68"/>
      <c r="L1309" s="72"/>
      <c r="M1309" s="68"/>
      <c r="N1309" s="68"/>
      <c r="O1309" s="68"/>
      <c r="P1309" s="68"/>
      <c r="Q1309" s="72"/>
      <c r="R1309" s="68"/>
      <c r="S1309" s="72"/>
      <c r="T1309" s="68"/>
      <c r="U1309" s="68"/>
      <c r="V1309" s="68"/>
      <c r="W1309" s="68"/>
      <c r="X1309" s="72"/>
      <c r="Y1309" s="68"/>
      <c r="Z1309" s="72"/>
      <c r="AA1309" s="68"/>
      <c r="AB1309" s="68"/>
      <c r="AC1309" s="68"/>
      <c r="AD1309" s="68"/>
      <c r="AE1309" s="72"/>
      <c r="AF1309" s="68"/>
      <c r="AG1309" s="72"/>
      <c r="AH1309" s="68"/>
      <c r="AI1309" s="68"/>
      <c r="AJ1309" s="70"/>
    </row>
    <row r="1310" hidden="1">
      <c r="A1310" s="68"/>
      <c r="B1310" s="68"/>
      <c r="C1310" s="69"/>
      <c r="D1310" s="70"/>
      <c r="E1310" s="71"/>
      <c r="F1310" s="68"/>
      <c r="G1310" s="68"/>
      <c r="H1310" s="68"/>
      <c r="I1310" s="68"/>
      <c r="J1310" s="72"/>
      <c r="K1310" s="68"/>
      <c r="L1310" s="72"/>
      <c r="M1310" s="68"/>
      <c r="N1310" s="68"/>
      <c r="O1310" s="68"/>
      <c r="P1310" s="68"/>
      <c r="Q1310" s="72"/>
      <c r="R1310" s="68"/>
      <c r="S1310" s="72"/>
      <c r="T1310" s="68"/>
      <c r="U1310" s="68"/>
      <c r="V1310" s="68"/>
      <c r="W1310" s="68"/>
      <c r="X1310" s="72"/>
      <c r="Y1310" s="68"/>
      <c r="Z1310" s="72"/>
      <c r="AA1310" s="68"/>
      <c r="AB1310" s="68"/>
      <c r="AC1310" s="68"/>
      <c r="AD1310" s="68"/>
      <c r="AE1310" s="72"/>
      <c r="AF1310" s="68"/>
      <c r="AG1310" s="72"/>
      <c r="AH1310" s="68"/>
      <c r="AI1310" s="68"/>
      <c r="AJ1310" s="70"/>
    </row>
    <row r="1311" hidden="1">
      <c r="A1311" s="68"/>
      <c r="B1311" s="68"/>
      <c r="C1311" s="69"/>
      <c r="D1311" s="70"/>
      <c r="E1311" s="71"/>
      <c r="F1311" s="68"/>
      <c r="G1311" s="68"/>
      <c r="H1311" s="68"/>
      <c r="I1311" s="68"/>
      <c r="J1311" s="72"/>
      <c r="K1311" s="68"/>
      <c r="L1311" s="72"/>
      <c r="M1311" s="68"/>
      <c r="N1311" s="68"/>
      <c r="O1311" s="68"/>
      <c r="P1311" s="68"/>
      <c r="Q1311" s="72"/>
      <c r="R1311" s="68"/>
      <c r="S1311" s="72"/>
      <c r="T1311" s="68"/>
      <c r="U1311" s="68"/>
      <c r="V1311" s="68"/>
      <c r="W1311" s="68"/>
      <c r="X1311" s="72"/>
      <c r="Y1311" s="68"/>
      <c r="Z1311" s="72"/>
      <c r="AA1311" s="68"/>
      <c r="AB1311" s="68"/>
      <c r="AC1311" s="68"/>
      <c r="AD1311" s="68"/>
      <c r="AE1311" s="72"/>
      <c r="AF1311" s="68"/>
      <c r="AG1311" s="72"/>
      <c r="AH1311" s="68"/>
      <c r="AI1311" s="68"/>
      <c r="AJ1311" s="70"/>
    </row>
    <row r="1312" hidden="1">
      <c r="A1312" s="68"/>
      <c r="B1312" s="68"/>
      <c r="C1312" s="69"/>
      <c r="D1312" s="70"/>
      <c r="E1312" s="71"/>
      <c r="F1312" s="68"/>
      <c r="G1312" s="68"/>
      <c r="H1312" s="68"/>
      <c r="I1312" s="68"/>
      <c r="J1312" s="72"/>
      <c r="K1312" s="68"/>
      <c r="L1312" s="72"/>
      <c r="M1312" s="68"/>
      <c r="N1312" s="68"/>
      <c r="O1312" s="68"/>
      <c r="P1312" s="68"/>
      <c r="Q1312" s="72"/>
      <c r="R1312" s="68"/>
      <c r="S1312" s="72"/>
      <c r="T1312" s="68"/>
      <c r="U1312" s="68"/>
      <c r="V1312" s="68"/>
      <c r="W1312" s="68"/>
      <c r="X1312" s="72"/>
      <c r="Y1312" s="68"/>
      <c r="Z1312" s="72"/>
      <c r="AA1312" s="68"/>
      <c r="AB1312" s="68"/>
      <c r="AC1312" s="68"/>
      <c r="AD1312" s="68"/>
      <c r="AE1312" s="72"/>
      <c r="AF1312" s="68"/>
      <c r="AG1312" s="72"/>
      <c r="AH1312" s="68"/>
      <c r="AI1312" s="68"/>
      <c r="AJ1312" s="70"/>
    </row>
    <row r="1313" hidden="1">
      <c r="A1313" s="68"/>
      <c r="B1313" s="68"/>
      <c r="C1313" s="69"/>
      <c r="D1313" s="70"/>
      <c r="E1313" s="71"/>
      <c r="F1313" s="68"/>
      <c r="G1313" s="68"/>
      <c r="H1313" s="68"/>
      <c r="I1313" s="68"/>
      <c r="J1313" s="72"/>
      <c r="K1313" s="68"/>
      <c r="L1313" s="72"/>
      <c r="M1313" s="68"/>
      <c r="N1313" s="68"/>
      <c r="O1313" s="68"/>
      <c r="P1313" s="68"/>
      <c r="Q1313" s="72"/>
      <c r="R1313" s="68"/>
      <c r="S1313" s="72"/>
      <c r="T1313" s="68"/>
      <c r="U1313" s="68"/>
      <c r="V1313" s="68"/>
      <c r="W1313" s="68"/>
      <c r="X1313" s="72"/>
      <c r="Y1313" s="68"/>
      <c r="Z1313" s="72"/>
      <c r="AA1313" s="68"/>
      <c r="AB1313" s="68"/>
      <c r="AC1313" s="68"/>
      <c r="AD1313" s="68"/>
      <c r="AE1313" s="72"/>
      <c r="AF1313" s="68"/>
      <c r="AG1313" s="72"/>
      <c r="AH1313" s="68"/>
      <c r="AI1313" s="68"/>
      <c r="AJ1313" s="70"/>
    </row>
    <row r="1314" hidden="1">
      <c r="A1314" s="68"/>
      <c r="B1314" s="68"/>
      <c r="C1314" s="69"/>
      <c r="D1314" s="70"/>
      <c r="E1314" s="71"/>
      <c r="F1314" s="68"/>
      <c r="G1314" s="68"/>
      <c r="H1314" s="68"/>
      <c r="I1314" s="68"/>
      <c r="J1314" s="72"/>
      <c r="K1314" s="68"/>
      <c r="L1314" s="72"/>
      <c r="M1314" s="68"/>
      <c r="N1314" s="68"/>
      <c r="O1314" s="68"/>
      <c r="P1314" s="68"/>
      <c r="Q1314" s="72"/>
      <c r="R1314" s="68"/>
      <c r="S1314" s="72"/>
      <c r="T1314" s="68"/>
      <c r="U1314" s="68"/>
      <c r="V1314" s="68"/>
      <c r="W1314" s="68"/>
      <c r="X1314" s="72"/>
      <c r="Y1314" s="68"/>
      <c r="Z1314" s="72"/>
      <c r="AA1314" s="68"/>
      <c r="AB1314" s="68"/>
      <c r="AC1314" s="68"/>
      <c r="AD1314" s="68"/>
      <c r="AE1314" s="72"/>
      <c r="AF1314" s="68"/>
      <c r="AG1314" s="72"/>
      <c r="AH1314" s="68"/>
      <c r="AI1314" s="68"/>
      <c r="AJ1314" s="70"/>
    </row>
    <row r="1315" hidden="1">
      <c r="A1315" s="68"/>
      <c r="B1315" s="68"/>
      <c r="C1315" s="69"/>
      <c r="D1315" s="70"/>
      <c r="E1315" s="71"/>
      <c r="F1315" s="68"/>
      <c r="G1315" s="68"/>
      <c r="H1315" s="68"/>
      <c r="I1315" s="68"/>
      <c r="J1315" s="72"/>
      <c r="K1315" s="68"/>
      <c r="L1315" s="72"/>
      <c r="M1315" s="68"/>
      <c r="N1315" s="68"/>
      <c r="O1315" s="68"/>
      <c r="P1315" s="68"/>
      <c r="Q1315" s="72"/>
      <c r="R1315" s="68"/>
      <c r="S1315" s="72"/>
      <c r="T1315" s="68"/>
      <c r="U1315" s="68"/>
      <c r="V1315" s="68"/>
      <c r="W1315" s="68"/>
      <c r="X1315" s="72"/>
      <c r="Y1315" s="68"/>
      <c r="Z1315" s="72"/>
      <c r="AA1315" s="68"/>
      <c r="AB1315" s="68"/>
      <c r="AC1315" s="68"/>
      <c r="AD1315" s="68"/>
      <c r="AE1315" s="72"/>
      <c r="AF1315" s="68"/>
      <c r="AG1315" s="72"/>
      <c r="AH1315" s="68"/>
      <c r="AI1315" s="68"/>
      <c r="AJ1315" s="70"/>
    </row>
    <row r="1316" hidden="1">
      <c r="A1316" s="68"/>
      <c r="B1316" s="68"/>
      <c r="C1316" s="69"/>
      <c r="D1316" s="70"/>
      <c r="E1316" s="71"/>
      <c r="F1316" s="68"/>
      <c r="G1316" s="68"/>
      <c r="H1316" s="68"/>
      <c r="I1316" s="68"/>
      <c r="J1316" s="72"/>
      <c r="K1316" s="68"/>
      <c r="L1316" s="72"/>
      <c r="M1316" s="68"/>
      <c r="N1316" s="68"/>
      <c r="O1316" s="68"/>
      <c r="P1316" s="68"/>
      <c r="Q1316" s="72"/>
      <c r="R1316" s="68"/>
      <c r="S1316" s="72"/>
      <c r="T1316" s="68"/>
      <c r="U1316" s="68"/>
      <c r="V1316" s="68"/>
      <c r="W1316" s="68"/>
      <c r="X1316" s="72"/>
      <c r="Y1316" s="68"/>
      <c r="Z1316" s="72"/>
      <c r="AA1316" s="68"/>
      <c r="AB1316" s="68"/>
      <c r="AC1316" s="68"/>
      <c r="AD1316" s="68"/>
      <c r="AE1316" s="72"/>
      <c r="AF1316" s="68"/>
      <c r="AG1316" s="72"/>
      <c r="AH1316" s="68"/>
      <c r="AI1316" s="68"/>
      <c r="AJ1316" s="70"/>
    </row>
    <row r="1317" hidden="1">
      <c r="A1317" s="68"/>
      <c r="B1317" s="68"/>
      <c r="C1317" s="69"/>
      <c r="D1317" s="70"/>
      <c r="E1317" s="71"/>
      <c r="F1317" s="68"/>
      <c r="G1317" s="68"/>
      <c r="H1317" s="68"/>
      <c r="I1317" s="68"/>
      <c r="J1317" s="72"/>
      <c r="K1317" s="68"/>
      <c r="L1317" s="72"/>
      <c r="M1317" s="68"/>
      <c r="N1317" s="68"/>
      <c r="O1317" s="68"/>
      <c r="P1317" s="68"/>
      <c r="Q1317" s="72"/>
      <c r="R1317" s="68"/>
      <c r="S1317" s="72"/>
      <c r="T1317" s="68"/>
      <c r="U1317" s="68"/>
      <c r="V1317" s="68"/>
      <c r="W1317" s="68"/>
      <c r="X1317" s="72"/>
      <c r="Y1317" s="68"/>
      <c r="Z1317" s="72"/>
      <c r="AA1317" s="68"/>
      <c r="AB1317" s="68"/>
      <c r="AC1317" s="68"/>
      <c r="AD1317" s="68"/>
      <c r="AE1317" s="72"/>
      <c r="AF1317" s="68"/>
      <c r="AG1317" s="72"/>
      <c r="AH1317" s="68"/>
      <c r="AI1317" s="68"/>
      <c r="AJ1317" s="70"/>
    </row>
    <row r="1318" hidden="1">
      <c r="A1318" s="68"/>
      <c r="B1318" s="68"/>
      <c r="C1318" s="69"/>
      <c r="D1318" s="70"/>
      <c r="E1318" s="71"/>
      <c r="F1318" s="68"/>
      <c r="G1318" s="68"/>
      <c r="H1318" s="68"/>
      <c r="I1318" s="68"/>
      <c r="J1318" s="72"/>
      <c r="K1318" s="68"/>
      <c r="L1318" s="72"/>
      <c r="M1318" s="68"/>
      <c r="N1318" s="68"/>
      <c r="O1318" s="68"/>
      <c r="P1318" s="68"/>
      <c r="Q1318" s="72"/>
      <c r="R1318" s="68"/>
      <c r="S1318" s="72"/>
      <c r="T1318" s="68"/>
      <c r="U1318" s="68"/>
      <c r="V1318" s="68"/>
      <c r="W1318" s="68"/>
      <c r="X1318" s="72"/>
      <c r="Y1318" s="68"/>
      <c r="Z1318" s="72"/>
      <c r="AA1318" s="68"/>
      <c r="AB1318" s="68"/>
      <c r="AC1318" s="68"/>
      <c r="AD1318" s="68"/>
      <c r="AE1318" s="72"/>
      <c r="AF1318" s="68"/>
      <c r="AG1318" s="72"/>
      <c r="AH1318" s="68"/>
      <c r="AI1318" s="68"/>
      <c r="AJ1318" s="70"/>
    </row>
    <row r="1319" hidden="1">
      <c r="A1319" s="68"/>
      <c r="B1319" s="68"/>
      <c r="C1319" s="69"/>
      <c r="D1319" s="70"/>
      <c r="E1319" s="71"/>
      <c r="F1319" s="68"/>
      <c r="G1319" s="68"/>
      <c r="H1319" s="68"/>
      <c r="I1319" s="68"/>
      <c r="J1319" s="72"/>
      <c r="K1319" s="68"/>
      <c r="L1319" s="72"/>
      <c r="M1319" s="68"/>
      <c r="N1319" s="68"/>
      <c r="O1319" s="68"/>
      <c r="P1319" s="68"/>
      <c r="Q1319" s="72"/>
      <c r="R1319" s="68"/>
      <c r="S1319" s="72"/>
      <c r="T1319" s="68"/>
      <c r="U1319" s="68"/>
      <c r="V1319" s="68"/>
      <c r="W1319" s="68"/>
      <c r="X1319" s="72"/>
      <c r="Y1319" s="68"/>
      <c r="Z1319" s="72"/>
      <c r="AA1319" s="68"/>
      <c r="AB1319" s="68"/>
      <c r="AC1319" s="68"/>
      <c r="AD1319" s="68"/>
      <c r="AE1319" s="72"/>
      <c r="AF1319" s="68"/>
      <c r="AG1319" s="72"/>
      <c r="AH1319" s="68"/>
      <c r="AI1319" s="68"/>
      <c r="AJ1319" s="70"/>
    </row>
    <row r="1320" hidden="1">
      <c r="A1320" s="68"/>
      <c r="B1320" s="68"/>
      <c r="C1320" s="69"/>
      <c r="D1320" s="70"/>
      <c r="E1320" s="71"/>
      <c r="F1320" s="68"/>
      <c r="G1320" s="68"/>
      <c r="H1320" s="68"/>
      <c r="I1320" s="68"/>
      <c r="J1320" s="72"/>
      <c r="K1320" s="68"/>
      <c r="L1320" s="72"/>
      <c r="M1320" s="68"/>
      <c r="N1320" s="68"/>
      <c r="O1320" s="68"/>
      <c r="P1320" s="68"/>
      <c r="Q1320" s="72"/>
      <c r="R1320" s="68"/>
      <c r="S1320" s="72"/>
      <c r="T1320" s="68"/>
      <c r="U1320" s="68"/>
      <c r="V1320" s="68"/>
      <c r="W1320" s="68"/>
      <c r="X1320" s="72"/>
      <c r="Y1320" s="68"/>
      <c r="Z1320" s="72"/>
      <c r="AA1320" s="68"/>
      <c r="AB1320" s="68"/>
      <c r="AC1320" s="68"/>
      <c r="AD1320" s="68"/>
      <c r="AE1320" s="72"/>
      <c r="AF1320" s="68"/>
      <c r="AG1320" s="72"/>
      <c r="AH1320" s="68"/>
      <c r="AI1320" s="68"/>
      <c r="AJ1320" s="70"/>
    </row>
    <row r="1321" hidden="1">
      <c r="A1321" s="68"/>
      <c r="B1321" s="68"/>
      <c r="C1321" s="69"/>
      <c r="D1321" s="70"/>
      <c r="E1321" s="71"/>
      <c r="F1321" s="68"/>
      <c r="G1321" s="68"/>
      <c r="H1321" s="68"/>
      <c r="I1321" s="68"/>
      <c r="J1321" s="72"/>
      <c r="K1321" s="68"/>
      <c r="L1321" s="72"/>
      <c r="M1321" s="68"/>
      <c r="N1321" s="68"/>
      <c r="O1321" s="68"/>
      <c r="P1321" s="68"/>
      <c r="Q1321" s="72"/>
      <c r="R1321" s="68"/>
      <c r="S1321" s="72"/>
      <c r="T1321" s="68"/>
      <c r="U1321" s="68"/>
      <c r="V1321" s="68"/>
      <c r="W1321" s="68"/>
      <c r="X1321" s="72"/>
      <c r="Y1321" s="68"/>
      <c r="Z1321" s="72"/>
      <c r="AA1321" s="68"/>
      <c r="AB1321" s="68"/>
      <c r="AC1321" s="68"/>
      <c r="AD1321" s="68"/>
      <c r="AE1321" s="72"/>
      <c r="AF1321" s="68"/>
      <c r="AG1321" s="72"/>
      <c r="AH1321" s="68"/>
      <c r="AI1321" s="68"/>
      <c r="AJ1321" s="70"/>
    </row>
    <row r="1322" hidden="1">
      <c r="A1322" s="68"/>
      <c r="B1322" s="68"/>
      <c r="C1322" s="69"/>
      <c r="D1322" s="70"/>
      <c r="E1322" s="71"/>
      <c r="F1322" s="68"/>
      <c r="G1322" s="68"/>
      <c r="H1322" s="68"/>
      <c r="I1322" s="68"/>
      <c r="J1322" s="72"/>
      <c r="K1322" s="68"/>
      <c r="L1322" s="72"/>
      <c r="M1322" s="68"/>
      <c r="N1322" s="68"/>
      <c r="O1322" s="68"/>
      <c r="P1322" s="68"/>
      <c r="Q1322" s="72"/>
      <c r="R1322" s="68"/>
      <c r="S1322" s="72"/>
      <c r="T1322" s="68"/>
      <c r="U1322" s="68"/>
      <c r="V1322" s="68"/>
      <c r="W1322" s="68"/>
      <c r="X1322" s="72"/>
      <c r="Y1322" s="68"/>
      <c r="Z1322" s="72"/>
      <c r="AA1322" s="68"/>
      <c r="AB1322" s="68"/>
      <c r="AC1322" s="68"/>
      <c r="AD1322" s="68"/>
      <c r="AE1322" s="72"/>
      <c r="AF1322" s="68"/>
      <c r="AG1322" s="72"/>
      <c r="AH1322" s="68"/>
      <c r="AI1322" s="68"/>
      <c r="AJ1322" s="70"/>
    </row>
  </sheetData>
  <mergeCells count="6">
    <mergeCell ref="I1:J1"/>
    <mergeCell ref="K1:L1"/>
    <mergeCell ref="P1:Q1"/>
    <mergeCell ref="R1:S1"/>
    <mergeCell ref="W1:X1"/>
    <mergeCell ref="Y1:Z1"/>
  </mergeCells>
  <hyperlinks>
    <hyperlink r:id="rId1" location="Pirate_Ship" ref="E3"/>
    <hyperlink r:id="rId2" location="Pirate_Island" ref="E4"/>
    <hyperlink r:id="rId3" location="Marseille" ref="E5"/>
    <hyperlink r:id="rId4" location="Dallas" ref="E6"/>
    <hyperlink r:id="rId5" location="Mediolanum" ref="E7"/>
    <hyperlink r:id="rId6" location="Appia_Road" ref="E8"/>
    <hyperlink r:id="rId7" location="Montgomery" ref="E9"/>
    <hyperlink r:id="rId8" location="Florence" ref="E10"/>
    <hyperlink r:id="rId9" location="Kearney" ref="E11"/>
    <hyperlink r:id="rId10" location="Lubbock" ref="E12"/>
    <hyperlink r:id="rId11" location="Alexandria" ref="E13"/>
    <hyperlink r:id="rId12" location="Domr.C3.A9my" ref="E14"/>
    <hyperlink r:id="rId13" location="Alcatraz" ref="E15"/>
    <hyperlink r:id="rId14" location="Lyon" ref="E16"/>
    <hyperlink r:id="rId15" location="Washington" ref="E17"/>
    <hyperlink r:id="rId16" location="Rome" ref="E18"/>
    <hyperlink r:id="rId17" location="Riverton" ref="E19"/>
    <hyperlink r:id="rId18" location="Charlotte" ref="E20"/>
    <hyperlink r:id="rId19" location="Round_Table_Fortress" ref="E21"/>
    <hyperlink r:id="rId20" location="King.27s_Abode_Island" ref="E22"/>
    <hyperlink r:id="rId21" location="Unknown_Coordinates_X-C" ref="E26"/>
    <hyperlink r:id="rId22" location="Unknown_Coordinates_X-G" ref="E27"/>
    <hyperlink r:id="rId23" location="Unknown_Coordinates_X-D" ref="E28"/>
    <hyperlink r:id="rId24" location="Unknown_Coordinates_X-B" ref="E29"/>
    <hyperlink r:id="rId25" location="Desert_Sandstorm" ref="E30"/>
    <hyperlink r:id="rId26" location="Unknown_Coordinates_X-E" ref="E31"/>
    <hyperlink r:id="rId27" location="Germania" ref="E32"/>
    <hyperlink r:id="rId28" location="Unknown_Coordinates_X-F" ref="E33"/>
    <hyperlink r:id="rId29" location="Spear_Training_Field" ref="E34"/>
    <hyperlink r:id="rId30" location="Unknown_Coordinates_X-A" ref="E35"/>
    <hyperlink r:id="rId31" location="Archery_Training_Field" ref="E36"/>
    <hyperlink r:id="rId32" location="Sword_Training_Field" ref="E37"/>
    <hyperlink r:id="rId33" location="Sunken_Rock_Seas" ref="E38"/>
    <hyperlink r:id="rId34" location="Shaped_Isle" ref="E39"/>
    <hyperlink r:id="rId35" location="Clerkenwell" ref="E40"/>
    <hyperlink r:id="rId36" location="Mount_.C5.8Ce" ref="E41"/>
    <hyperlink r:id="rId37" location="Battlefield" ref="E42"/>
    <hyperlink r:id="rId38" location="Hyde_Park" ref="E43"/>
    <hyperlink r:id="rId39" location="Orleans" ref="E44"/>
    <hyperlink r:id="rId40" location="Archery_Training_Field" ref="E45"/>
    <hyperlink r:id="rId41" location="Deming" ref="E49"/>
    <hyperlink r:id="rId42" location="Island_of_Wyverns" ref="E50"/>
    <hyperlink r:id="rId43" location="Eridu" ref="E51"/>
    <hyperlink r:id="rId44" location="Mapped_Island" ref="E52"/>
    <hyperlink r:id="rId45" location="Foothills_Jungle" ref="E53"/>
    <hyperlink r:id="rId46" location="Eastern_Village" ref="E54"/>
    <hyperlink r:id="rId47" location="Thiers" ref="E55"/>
    <hyperlink r:id="rId48" location="Underground_Plains" ref="E56"/>
    <hyperlink r:id="rId49" location="Raik.C5.8D.27s_Residence" ref="E57"/>
    <hyperlink r:id="rId50" location="Jail" ref="E58"/>
    <hyperlink r:id="rId51" location="La_Charit.C3.A9" ref="E59"/>
    <hyperlink r:id="rId52" location="Cavalry_Training_Field" ref="E60"/>
    <hyperlink r:id="rId53" location="Cavalry_Training_Field" ref="E61"/>
    <hyperlink r:id="rId54" location="Mobile_Coordinates.2C_Point_0" ref="E62"/>
    <hyperlink r:id="rId55" location="Orleans" ref="E63"/>
    <hyperlink r:id="rId56" location="Killing_Training_Field" ref="E64"/>
    <hyperlink r:id="rId57" location="Cavalry_Training_Field" ref="E65"/>
    <hyperlink r:id="rId58" location="Vaucouleurs" ref="E66"/>
    <hyperlink r:id="rId59" location="Cavalry_Training_Field" ref="E67"/>
    <hyperlink r:id="rId60" location="Killing_Training_Field" ref="E68"/>
    <hyperlink r:id="rId61" location="Charlotte" ref="E72"/>
    <hyperlink r:id="rId62" location="Remnants_of_Western_Village" ref="E73"/>
    <hyperlink r:id="rId63" location="Riverton" ref="E74"/>
    <hyperlink r:id="rId64" location="Massilia" ref="E75"/>
    <hyperlink r:id="rId65" location="Archipelago" ref="E76"/>
    <hyperlink r:id="rId66" location="Landing_Point" ref="E77"/>
    <hyperlink r:id="rId67" location="Jing_Yangyuan" ref="E78"/>
    <hyperlink r:id="rId68" location="Bich" ref="E79"/>
    <hyperlink r:id="rId69" location="Japan_National_Route_20" ref="E80"/>
    <hyperlink r:id="rId70" location="Grand_Altar" ref="E81"/>
    <hyperlink r:id="rId71" location="Ys" ref="E82"/>
    <hyperlink r:id="rId72" location="El_Dorado" ref="E83"/>
    <hyperlink r:id="rId73" location="Battlefield" ref="E84"/>
    <hyperlink r:id="rId74" location="Kabukich.C5.8D" ref="E85"/>
    <hyperlink r:id="rId75" location="Village" ref="E86"/>
    <hyperlink r:id="rId76" location="Northern_Boundary" ref="E87"/>
    <hyperlink r:id="rId77" location="Eris_Island" ref="E88"/>
    <hyperlink r:id="rId78" location="Astraea_Island" ref="E89"/>
    <hyperlink r:id="rId79" location="Imperial_Palace_Main_Street" ref="E90"/>
    <hyperlink r:id="rId80" location="Foundation_of_a_Giant_Tree" ref="E91"/>
    <hyperlink r:id="rId81" location="Wilderness_of_Death" ref="E95"/>
    <hyperlink r:id="rId82" location="Suburb_Mansion" ref="E96"/>
    <hyperlink r:id="rId83" location="Great_Temple" ref="E97"/>
    <hyperlink r:id="rId84" location="Quay" ref="E98"/>
    <hyperlink r:id="rId85" location="Northern_Cliffs" ref="E99"/>
    <hyperlink r:id="rId86" location="Nightless_City" ref="E100"/>
    <hyperlink r:id="rId87" location="Concealed_Village" ref="E101"/>
    <hyperlink r:id="rId88" location="Northern_Sacred_Mountain" ref="E102"/>
    <hyperlink r:id="rId89" location="Southern_Street" ref="E103"/>
    <hyperlink r:id="rId90" location="Phragmites_Prairie_.2F_Field_of_Reeds" ref="E118"/>
    <hyperlink r:id="rId91" location="Plateau" ref="E119"/>
    <hyperlink r:id="rId92" location="Anchor_Point" ref="E120"/>
    <hyperlink r:id="rId93" location="Neighbouring_Village" ref="E121"/>
    <hyperlink r:id="rId94" location="Icicles_Grotto" ref="E122"/>
    <hyperlink r:id="rId95" location="Seeding_Point" ref="E123"/>
    <hyperlink r:id="rId96" location="Northern_Wall" ref="E124"/>
    <hyperlink r:id="rId97" location="Yaga_Vyazma" ref="E125"/>
    <hyperlink r:id="rId98" location="Marshland.2FBog" ref="E126"/>
    <hyperlink r:id="rId99" location="Shanyang_Knoll" ref="E127"/>
    <hyperlink r:id="rId100" location="Nippur" ref="E128"/>
    <hyperlink r:id="rId101" location="Foundation_of_a_Giant_Tree" ref="E129"/>
    <hyperlink r:id="rId102" location="Shinjuku_Station" ref="E141"/>
    <hyperlink r:id="rId103" location="Yoyogi_2-chome" ref="E142"/>
    <hyperlink r:id="rId104" location="Japan_National_Route_20" ref="E143"/>
    <hyperlink r:id="rId105" location="Shinjuku_4-chome" ref="E144"/>
    <hyperlink r:id="rId106" location="Shinjuku_Imperial_Garden" ref="E145"/>
    <hyperlink r:id="rId107" location="Party_Hall" ref="E146"/>
    <hyperlink r:id="rId108" location="Gallow_Hill" ref="E164"/>
    <hyperlink r:id="rId109" location="Carter_House" ref="E165"/>
    <hyperlink r:id="rId110" location="Suburb_Mansion" ref="E166"/>
    <hyperlink r:id="rId111" location="Vacant_House" ref="E167"/>
    <hyperlink r:id="rId112" location="Meadows" ref="E168"/>
    <hyperlink r:id="rId113" location="Yaga_Smolensk" ref="E187"/>
    <hyperlink r:id="rId114" location="Rebellion_Army.27s_Stronghold" ref="E188"/>
    <hyperlink r:id="rId115" location="Yaga_Sychyovka" ref="E189"/>
    <hyperlink r:id="rId116" location="Devastated_Village" ref="E190"/>
    <hyperlink r:id="rId117" location="Yaga_Vyazma" ref="E191"/>
    <hyperlink r:id="rId118" location="Yaga_Tula" ref="E192"/>
    <hyperlink r:id="rId119" location="Great_Valley_Stronghold" ref="E193"/>
    <hyperlink r:id="rId120" location="Abolished_Metropolis_Babylon" ref="E210"/>
    <hyperlink r:id="rId121" location="Quiet_Forest" ref="E211"/>
    <hyperlink r:id="rId122" location="Refuge" ref="E212"/>
    <hyperlink r:id="rId123" location="Rice_Field" ref="E213"/>
    <hyperlink r:id="rId124" location="Riverside_Town" ref="E214"/>
    <hyperlink r:id="rId125" location="Black_Cedar_Forest" ref="E215"/>
    <hyperlink r:id="rId126" location="Village" ref="E216"/>
    <hyperlink r:id="rId127" location="Meadows" ref="E217"/>
    <hyperlink r:id="rId128" location="Bountiful_Sea" ref="E218"/>
    <hyperlink r:id="rId129" location="Icy_Cold_Grotto" ref="E219"/>
    <hyperlink r:id="rId130" location="El_Dorado" ref="E220"/>
    <hyperlink r:id="rId131" location="Landing_Point" ref="E221"/>
    <hyperlink r:id="rId132" location="Plateau" ref="E222"/>
    <hyperlink r:id="rId133" location="Knoll_of_Thin_Ice" ref="E223"/>
    <hyperlink r:id="rId134" location="Northern_Hill" ref="E224"/>
    <hyperlink r:id="rId135" location="Mount_Ahv.C4.81z" ref="E225"/>
    <hyperlink r:id="rId136" location="23rd_Settlement" ref="E226"/>
    <hyperlink r:id="rId137" location="Great_Underground_River" ref="E227"/>
    <hyperlink r:id="rId138" location="Yaga_Sychyovka" ref="E228"/>
    <hyperlink r:id="rId139" location="Britannia" ref="E229"/>
    <hyperlink r:id="rId140" location="Cuthah" ref="E233"/>
    <hyperlink r:id="rId141" location="Evening_Bell_Mausoleum" ref="E234"/>
    <hyperlink r:id="rId142" location="Stormy_Seas" ref="E235"/>
    <hyperlink r:id="rId143" location="Rice_Field" ref="E236"/>
    <hyperlink r:id="rId144" location="Suzaku_Main_Street" ref="E237"/>
    <hyperlink r:id="rId145" location="Rear_Mountain" ref="E238"/>
    <hyperlink r:id="rId146" location="Monastery" ref="E239"/>
    <hyperlink r:id="rId147" location="Mt._Etna" ref="E240"/>
    <hyperlink r:id="rId148" location="Killing_Training_Field" ref="E241"/>
    <hyperlink r:id="rId149" location="Killing_Training_Field" ref="E242"/>
    <hyperlink r:id="rId150" location="Killing_Training_Field" ref="E243"/>
    <hyperlink r:id="rId151" location="Killing_Training_Field" ref="E244"/>
    <hyperlink r:id="rId152" location="Peach_Blossom_Shangri-La" ref="E256"/>
    <hyperlink r:id="rId153" location="Holy_City_Districts" ref="E257"/>
    <hyperlink r:id="rId154" location="Interstellar_City:_East" ref="E258"/>
    <hyperlink r:id="rId155" location="Heroes.27_Cellar" ref="E259"/>
    <hyperlink r:id="rId156" location="Rear_Mountain" ref="E260"/>
    <hyperlink r:id="rId157" location="Two-Current_Sea" ref="E261"/>
    <hyperlink r:id="rId158" location="Gaul" ref="E262"/>
    <hyperlink r:id="rId159" location="Mad_Training_Field" ref="E263"/>
    <hyperlink r:id="rId160" location="Mad_Training_Field" ref="E264"/>
    <hyperlink r:id="rId161" location="Mad_Training_Field" ref="E265"/>
    <hyperlink r:id="rId162" location="Mad_Training_Field" ref="E266"/>
    <hyperlink r:id="rId163" location="Alliance_Capital" ref="E267"/>
    <hyperlink r:id="rId164" location="Chasm_in_the_Earth" ref="E279"/>
    <hyperlink r:id="rId165" location="Machine_God.27s_Cloister" ref="E280"/>
    <hyperlink r:id="rId166" location="Gliding_Point" ref="E281"/>
    <hyperlink r:id="rId167" location="Altar_District" ref="E282"/>
    <hyperlink r:id="rId168" location="Marshland.2FBog" ref="E283"/>
    <hyperlink r:id="rId169" location="Tethys_Island" ref="E284"/>
    <hyperlink r:id="rId170" location="Grand_Altar" ref="E285"/>
    <hyperlink r:id="rId171" location="Sunken_Rock_Seas" ref="E286"/>
    <hyperlink r:id="rId172" location="Magic_Training_Field" ref="E287"/>
    <hyperlink r:id="rId173" location="Magic_Training_Field" ref="E288"/>
    <hyperlink r:id="rId174" location="Magic_Training_Field" ref="E289"/>
    <hyperlink r:id="rId175" location="Dunes_of_Daybreak" ref="E290"/>
    <hyperlink r:id="rId176" location="Magic_Training_Field" ref="E291"/>
    <hyperlink r:id="rId177" location="Town_Hall" ref="E302"/>
    <hyperlink r:id="rId178" location="Great_Underground_River" ref="E303"/>
    <hyperlink r:id="rId179" location="Riverside_Town" ref="E304"/>
    <hyperlink r:id="rId180" location="Vacant_House" ref="E305"/>
    <hyperlink r:id="rId181" location="Quay" ref="E306"/>
    <hyperlink r:id="rId182" location="Eastern_Puspavatika" ref="E307"/>
    <hyperlink r:id="rId183" location="Bich" ref="E308"/>
    <hyperlink r:id="rId184" location="Camping_Ground" ref="E309"/>
    <hyperlink r:id="rId185" location="Infinitude_Territory" ref="E310"/>
    <hyperlink r:id="rId186" location="Refuge" ref="E311"/>
    <hyperlink r:id="rId187" location="Foothills_Jungle" ref="E312"/>
    <hyperlink r:id="rId188" location="Sword_Training_Field" ref="E313"/>
    <hyperlink r:id="rId189" location="Bountiful_Sea" ref="E314"/>
    <hyperlink r:id="rId190" location="Archery_Training_Field" ref="E315"/>
    <hyperlink r:id="rId191" location="Archery_Training_Field" ref="E316"/>
    <hyperlink r:id="rId192" location="Spear_Training_Field" ref="E317"/>
    <hyperlink r:id="rId193" location="Spear_Training_Field" ref="E318"/>
    <hyperlink r:id="rId194" location="Sword_Training_Field" ref="E319"/>
    <hyperlink r:id="rId195" location="Archery_Training_Field" ref="E320"/>
    <hyperlink r:id="rId196" location="Barrel_Tower" ref="E325"/>
    <hyperlink r:id="rId197" location="Chicago" ref="E326"/>
    <hyperlink r:id="rId198" location="Seeding_Point" ref="E327"/>
    <hyperlink r:id="rId199" location="Kabukich.C5.8D" ref="E328"/>
    <hyperlink r:id="rId200" location="Shiquan_Gorge" ref="E329"/>
    <hyperlink r:id="rId201" location="Clerkenwell" ref="E330"/>
    <hyperlink r:id="rId202" location="Dapingyu" ref="E331"/>
    <hyperlink r:id="rId203" location="Inari_Shrine" ref="E332"/>
    <hyperlink r:id="rId204" location="Atlas_Academy" ref="E333"/>
    <hyperlink r:id="rId205" location="Denver" ref="E334"/>
    <hyperlink r:id="rId206" location="Tower.27s_Top_Floor" ref="E335"/>
    <hyperlink r:id="rId207" location="Akuta.27s_Encampment" ref="E336"/>
    <hyperlink r:id="rId208" location="Black_Hills" ref="E337"/>
    <hyperlink r:id="rId209" location="Party_Hall" ref="E338"/>
    <hyperlink r:id="rId210" location="Killing_Training_Field" ref="E339"/>
    <hyperlink r:id="rId211" location="Old_Street" ref="E340"/>
    <hyperlink r:id="rId212" location="Whitechapel" ref="E341"/>
    <hyperlink r:id="rId213" location="Regent_Park" ref="E342"/>
    <hyperlink r:id="rId214" location="Killing_Training_Field" ref="E343"/>
    <hyperlink r:id="rId215" location="Sword_Training_Field" ref="E344"/>
    <hyperlink r:id="rId216" location="Shinjuku_2-chome" ref="E348"/>
    <hyperlink r:id="rId217" location="Hyde_Park" ref="E349"/>
    <hyperlink r:id="rId218" location="Aristocrat.27s_Residence" ref="E350"/>
    <hyperlink r:id="rId219" location="Magic_Training_Field" ref="E351"/>
    <hyperlink r:id="rId220" location="Magic_Training_Field" ref="E352"/>
    <hyperlink r:id="rId221" location="Magic_Training_Field" ref="E353"/>
    <hyperlink r:id="rId222" location="Magic_Training_Field" ref="E354"/>
    <hyperlink r:id="rId223" location="Atlas_Academy" ref="E355"/>
    <hyperlink r:id="rId224" location="Regent_Park" ref="E356"/>
    <hyperlink r:id="rId225" location="Whateley_House" ref="E371"/>
    <hyperlink r:id="rId226" location="Southwark_.2F_Borough_of_Southwark" ref="E372"/>
    <hyperlink r:id="rId227" location="City_Of_London" ref="E373"/>
    <hyperlink r:id="rId228" location="Westminster_.2F_City_of_Westminster" ref="E374"/>
    <hyperlink r:id="rId229" location="Spear_Training_Field" ref="E375"/>
    <hyperlink r:id="rId230" location="SOHO" ref="E376"/>
    <hyperlink r:id="rId231" location="Spear_Training_Field" ref="E377"/>
    <hyperlink r:id="rId232" location="Spear_Training_Field" ref="E378"/>
    <hyperlink r:id="rId233" location="Spear_Training_Field" ref="E379"/>
    <hyperlink r:id="rId234" location="Vast_Land_of_Nothingness" ref="E394"/>
    <hyperlink r:id="rId235" location="Caldera_Island" ref="E395"/>
    <hyperlink r:id="rId236" location="Cavalry_Training_Field" ref="E396"/>
    <hyperlink r:id="rId237" location="Archery_Training_Field" ref="E397"/>
    <hyperlink r:id="rId238" location="Archery_Training_Field" ref="E398"/>
    <hyperlink r:id="rId239" location="Cavalry_Training_Field" ref="E399"/>
    <hyperlink r:id="rId240" location="Cavalry_Training_Field" ref="E400"/>
    <hyperlink r:id="rId241" location="Cavalry_Training_Field" ref="E401"/>
    <hyperlink r:id="rId242" location="Archery_Training_Field" ref="E402"/>
    <hyperlink r:id="rId243" location="Archery_Training_Field" ref="E403"/>
    <hyperlink r:id="rId244" location="Sovereign_Castle" ref="E417"/>
    <hyperlink r:id="rId245" location="Holy_City_Main_Entrance" ref="E418"/>
    <hyperlink r:id="rId246" location="Round_Table_Fortress" ref="E419"/>
    <hyperlink r:id="rId247" location="Observatory" ref="E440"/>
    <hyperlink r:id="rId248" location="Archipelago" ref="E441"/>
    <hyperlink r:id="rId249" location="Icicles_Grotto" ref="E442"/>
    <hyperlink r:id="rId250" location="Sailing_Point" ref="E443"/>
    <hyperlink r:id="rId251" location="Devastated_Village" ref="E444"/>
    <hyperlink r:id="rId252" location="Trampled_Village" ref="E445"/>
    <hyperlink r:id="rId253" location="Sword_Training_Field" ref="E446"/>
    <hyperlink r:id="rId254" location="Sword_Training_Field" ref="E447"/>
    <hyperlink r:id="rId255" location="Sword_Training_Field" ref="E448"/>
    <hyperlink r:id="rId256" location="Sword_Training_Field" ref="E449"/>
    <hyperlink r:id="rId257" location="Castle_Town" ref="E463"/>
    <hyperlink r:id="rId258" location="J.C5.8D_Six.2C_Main_Street" ref="E464"/>
    <hyperlink r:id="rId259" location="Toke_Castle" ref="E465"/>
    <hyperlink r:id="rId260" location="Suzakumon" ref="E466"/>
    <hyperlink r:id="rId261" location="Village" ref="E467"/>
    <hyperlink r:id="rId262" location="Battlefield" ref="E468"/>
    <hyperlink r:id="rId263" location="Monastery" ref="E469"/>
    <hyperlink r:id="rId264" location="Heian_Imperial_Palace" ref="E470"/>
    <hyperlink r:id="rId265" location="Rear_Mountain" ref="E471"/>
    <hyperlink r:id="rId266" location="Arakawa_Prairie" ref="E472"/>
    <hyperlink r:id="rId267" location="Yaga_Moscow" ref="E486"/>
    <hyperlink r:id="rId268" location="Yaga_Demensk" ref="E487"/>
    <hyperlink r:id="rId269" location="Trampled_Village" ref="E488"/>
    <hyperlink r:id="rId270" location="Yaga_Ryazan" ref="E489"/>
    <hyperlink r:id="rId271" location="Yaga_Tula" ref="E490"/>
    <hyperlink r:id="rId272" location="Foundation_of_a_Giant_Tree" ref="E491"/>
    <hyperlink r:id="rId273" location="Giants.27_Flower_Patio" ref="E509"/>
    <hyperlink r:id="rId274" location="Neighbouring_Village" ref="E510"/>
    <hyperlink r:id="rId275" location="Knoll_of_Thin_Ice" ref="E511"/>
    <hyperlink r:id="rId276" location="Ablazed_Mansion" ref="E512"/>
    <hyperlink r:id="rId277" location="Heroes.27_Cellar" ref="E513"/>
    <hyperlink r:id="rId278" location="Northern_Boundary" ref="E514"/>
    <hyperlink r:id="rId279" location="Pathway_Towards_The_Peak" ref="E515"/>
    <hyperlink r:id="rId280" location="Jing_Yangyuan" ref="E516"/>
    <hyperlink r:id="rId281" location="Akuta.27s_Encampment" ref="E517"/>
    <hyperlink r:id="rId282" location="Castle_of_Ice_and_Snow" ref="E532"/>
    <hyperlink r:id="rId283" location="67th_Settlement" ref="E533"/>
    <hyperlink r:id="rId284" location="23rd_Settlement" ref="E534"/>
    <hyperlink r:id="rId285" location="Ablazed_Mansion" ref="E535"/>
    <hyperlink r:id="rId286" location="Forgotten_Temple" ref="E536"/>
    <hyperlink r:id="rId287" location="Eight_Gates_Cave" ref="E555"/>
    <hyperlink r:id="rId288" location="Dapingyu" ref="E556"/>
    <hyperlink r:id="rId289" location="Detention_Centre" ref="E557"/>
    <hyperlink r:id="rId290" location="Xianyang" ref="E558"/>
    <hyperlink r:id="rId291" location="Remains_of_the_Divine_Floating_Rock" ref="E578"/>
    <hyperlink r:id="rId292" location="Initiate_Point" ref="E579"/>
    <hyperlink r:id="rId293" location="Dewar" ref="E580"/>
    <hyperlink r:id="rId294" location="Secluded_Grotto" ref="E581"/>
    <hyperlink r:id="rId295" location="Western_Fault" ref="E582"/>
    <hyperlink r:id="rId296" location="Bich" ref="E583"/>
    <hyperlink r:id="rId297" location="Southern_Street" ref="E584"/>
    <hyperlink r:id="rId298" location="Thanatos_Island" ref="E601"/>
    <hyperlink r:id="rId299" location="Deimos_Island" ref="E602"/>
    <hyperlink r:id="rId300" location="Nemesis_Island" ref="E603"/>
    <hyperlink r:id="rId301" location="Hestia_Island" ref="E604"/>
    <hyperlink r:id="rId302" location="Hecate_Island" ref="E605"/>
    <hyperlink r:id="rId303" location="Astraea_Island" ref="E606"/>
    <hyperlink r:id="rId304" location="Eris_Island" ref="E607"/>
    <hyperlink r:id="rId305" location="Underground_Organization_Region:_Outer_Circumference" ref="E624"/>
    <hyperlink r:id="rId306" location="Interstellar_City:_South" ref="E625"/>
    <hyperlink r:id="rId307" location="Aerial_Garden" ref="E626"/>
    <hyperlink r:id="rId308" location="God_Slayers_League_Base" ref="E627"/>
    <hyperlink r:id="rId309" location="Grand_Altar" ref="E628"/>
    <hyperlink r:id="rId310" location="Grand_Workshop" ref="E629"/>
    <hyperlink r:id="rId311" location="Goj.C5.8D_Bridge" ref="E647"/>
    <hyperlink r:id="rId312" location="Suzaku_Main_Street" ref="E648"/>
    <hyperlink r:id="rId313" location="J.C5.8D_Six.2C_Main_Street" ref="E649"/>
    <hyperlink r:id="rId314" location="J.C5.8D_Three.2C_B.C5.8D_Three" ref="E650"/>
    <hyperlink r:id="rId315" location="J.C5.8D_Seven.2C_B.C5.8D_Four" ref="E651"/>
    <hyperlink r:id="rId316" location="J.C5.8D_Seven.2C_B.C5.8D_Two" ref="E652"/>
    <hyperlink r:id="rId317" location="Des_Moines" ref="E670"/>
    <hyperlink r:id="rId318" location="Underground_Plains" ref="E671"/>
    <hyperlink r:id="rId319" location="Yaga_Ryazan" ref="E672"/>
    <hyperlink r:id="rId320" location="Gliding_Point" ref="E673"/>
    <hyperlink r:id="rId321" location="Hecate_Island" ref="E674"/>
    <hyperlink r:id="rId322" location="Western_Fault" ref="E675"/>
    <hyperlink r:id="rId323" location="Shinjuku_4-chome" ref="E676"/>
    <hyperlink r:id="rId324" location="Ur" ref="E677"/>
    <hyperlink r:id="rId325" location="Mad_Training_Field" ref="E678"/>
    <hyperlink r:id="rId326" location="Mad_Training_Field" ref="E679"/>
    <hyperlink r:id="rId327" location="Germania" ref="E680"/>
    <hyperlink r:id="rId328" location="Mad_Training_Field" ref="E681"/>
    <hyperlink r:id="rId329" location="Carter_House" ref="E693"/>
    <hyperlink r:id="rId330" location="Shinjuku_Imperial_Garden" ref="E694"/>
    <hyperlink r:id="rId331" location="Magic_Training_Field" ref="E695"/>
    <hyperlink r:id="rId332" location="Magic_Training_Field" ref="E696"/>
    <hyperlink r:id="rId333" location="Nippur" ref="E716"/>
    <hyperlink r:id="rId334" location="Cavalry_Training_Field" ref="E717"/>
    <hyperlink r:id="rId335" location="Cavalry_Training_Field" ref="E718"/>
    <hyperlink r:id="rId336" location="Holy_City_Districts" ref="E739"/>
    <hyperlink r:id="rId337" location="Tower.27s_Top_Floor" ref="E740"/>
    <hyperlink r:id="rId338" location="Forgotten_Temple" ref="E741"/>
    <hyperlink r:id="rId339" location="Astraea_Island" ref="E742"/>
    <hyperlink r:id="rId340" location="Washington" ref="E743"/>
    <hyperlink r:id="rId341" location="Sword_Training_Field" ref="E744"/>
    <hyperlink r:id="rId342" location="Sword_Training_Field" ref="E745"/>
    <hyperlink r:id="rId343" location="Camping_Ground" ref="E762"/>
    <hyperlink r:id="rId344" location="Initiate_Point" ref="E763"/>
    <hyperlink r:id="rId345" location="Rebellion_Army.27s_Stronghold" ref="E764"/>
    <hyperlink r:id="rId346" location="Anchor_Point" ref="E765"/>
    <hyperlink r:id="rId347" location="Yaga_Demensk" ref="E766"/>
    <hyperlink r:id="rId348" location="Eastern_Village" ref="E767"/>
    <hyperlink r:id="rId349" location="Kearney" ref="E768"/>
    <hyperlink r:id="rId350" location="Spear_Training_Field" ref="E769"/>
    <hyperlink r:id="rId351" location="Spear_Training_Field" ref="E770"/>
    <hyperlink r:id="rId352" location="Shinjuku_2-chome" ref="E785"/>
    <hyperlink r:id="rId353" location="Alexandria" ref="E786"/>
    <hyperlink r:id="rId354" location="Archery_Training_Field" ref="E787"/>
    <hyperlink r:id="rId355" location="Archery_Training_Field" ref="E788"/>
    <hyperlink r:id="rId356" location="Northern_Cliffs" ref="E808"/>
    <hyperlink r:id="rId357" location="Secluded_Grotto" ref="E809"/>
    <hyperlink r:id="rId358" location="Northern_Hill" ref="E810"/>
    <hyperlink r:id="rId359" location="Lubbock" ref="E811"/>
    <hyperlink r:id="rId360" location="J.C5.8D_Seven.2C_B.C5.8D_Two" ref="E812"/>
    <hyperlink r:id="rId361" location="Killing_Training_Field" ref="E813"/>
    <hyperlink r:id="rId362" location="Killing_Training_Field" ref="E814"/>
    <hyperlink r:id="rId363" location="Jail" ref="E831"/>
    <hyperlink r:id="rId364" location="Eastern_Puspavatika" ref="E832"/>
    <hyperlink r:id="rId365" location="Concealed_Village" ref="E833"/>
    <hyperlink r:id="rId366" location="Dunes_of_Daybreak" ref="E834"/>
    <hyperlink r:id="rId367" location="Deimos_Island" ref="E854"/>
    <hyperlink r:id="rId368" location="Great_Temple" ref="E855"/>
    <hyperlink r:id="rId369" location="Desert_Sandstorm" ref="E856"/>
    <hyperlink r:id="rId370" location="Blood_Fort_Andromeda" ref="E877"/>
    <hyperlink r:id="rId371" location="67th_Settlement" ref="E878"/>
    <hyperlink r:id="rId372" location="Pathway_Towards_The_Peak" ref="E879"/>
    <hyperlink r:id="rId373" location="Black_Cedar_Forest" ref="E880"/>
    <hyperlink r:id="rId374" location="Landing_Point" ref="E881"/>
    <hyperlink r:id="rId375" location="Northern_Wall" ref="E882"/>
    <hyperlink r:id="rId376" location="Arakawa_Prairie" ref="E900"/>
    <hyperlink r:id="rId377" location="Mount_Ahv.C4.81z" ref="E901"/>
    <hyperlink r:id="rId378" location="Dragon_Palace" ref="E923"/>
    <hyperlink r:id="rId379" location="Hestia_Island" ref="E924"/>
    <hyperlink r:id="rId380" location="Icy_Cold_Grotto" ref="E925"/>
    <hyperlink r:id="rId381" location="Great_Valley_Stronghold" ref="E926"/>
    <hyperlink r:id="rId382" location="Grand_Workshop" ref="E927"/>
    <hyperlink r:id="rId383" location="Toke_Castle" ref="E928"/>
    <hyperlink r:id="rId384" location="Detention_Centre" ref="E946"/>
    <hyperlink r:id="rId385" location="Interstellar_City:_West" ref="E947"/>
    <hyperlink r:id="rId386" location="Shiquan_Gorge" ref="E948"/>
    <hyperlink r:id="rId387" location="God_Slayers_League_Base" ref="E949"/>
    <hyperlink r:id="rId388" location="Tethys_Island" ref="E950"/>
    <hyperlink r:id="rId389" location="Xianyang" ref="E951"/>
    <hyperlink r:id="rId390" location="Jing_Yangyuan" ref="E952"/>
    <hyperlink r:id="rId391" location="Eris_Island" ref="E953"/>
    <hyperlink r:id="rId392" location="Shanyang_Knoll" ref="E954"/>
    <hyperlink r:id="rId393" location="J.C5.8D_Seven.2C_B.C5.8D_Four" ref="E969"/>
    <hyperlink r:id="rId394" location="Raik.C5.8D.27s_Residence" ref="E970"/>
    <hyperlink r:id="rId395" location="Aristocrat.27s_Residence" ref="E971"/>
    <hyperlink r:id="rId396" location="Rear_Mountain" ref="E972"/>
    <hyperlink r:id="rId397" location="Heian_Imperial_Palace" ref="E973"/>
    <hyperlink r:id="rId398" location="Inari_Shrine" ref="E992"/>
    <hyperlink r:id="rId399" location="Dewar" ref="E993"/>
    <hyperlink r:id="rId400" location="Infinitude_Territory" ref="E994"/>
    <hyperlink r:id="rId401" location="Northern_Sacred_Mountain" ref="E995"/>
    <hyperlink r:id="rId402" location="Machine_God.27s_Cloister" ref="E1015"/>
    <hyperlink r:id="rId403" location="Aerial_Garden" ref="E1016"/>
    <hyperlink r:id="rId404" location="Nemesis_Island" ref="E1017"/>
    <hyperlink r:id="rId405" location="Sailing_Point" ref="E1018"/>
    <hyperlink r:id="rId406" location="Interstellar_City:_South" ref="E1038"/>
    <hyperlink r:id="rId407" location="Interstellar_City:_West" ref="E1039"/>
    <hyperlink r:id="rId408" location="Interstellar_City:_East" ref="E1040"/>
    <hyperlink r:id="rId409" location="Altar_District" ref="E1041"/>
    <hyperlink r:id="rId410" location="Suzakumon" ref="E1061"/>
    <hyperlink r:id="rId411" location="J.C5.8D_Three.2C_B.C5.8D_Three" ref="E1062"/>
    <hyperlink r:id="rId412" location="Mount_.C5.8Ce" ref="E1063"/>
    <hyperlink r:id="rId413" location="Imperial_Palace_Main_Street" ref="E1064"/>
  </hyperlinks>
  <drawing r:id="rId4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4.43" defaultRowHeight="15.75"/>
  <cols>
    <col customWidth="1" min="1" max="1" width="3.43"/>
    <col customWidth="1" hidden="1" min="2" max="2" width="7.71"/>
    <col customWidth="1" hidden="1" min="3" max="3" width="6.14"/>
    <col customWidth="1" min="4" max="4" width="32.29"/>
    <col customWidth="1" min="5" max="5" width="22.57"/>
    <col customWidth="1" min="6" max="7" width="6.29"/>
    <col customWidth="1" min="8" max="96" width="7.29"/>
    <col customWidth="1" hidden="1" min="97" max="124" width="7.29"/>
  </cols>
  <sheetData>
    <row r="1" hidden="1">
      <c r="A1" t="str">
        <f>IFERROR(__xludf.DUMMYFUNCTION("IMPORTRANGE('Setup Sheet'!C2,'Setup Sheet'!C6&amp;""!""&amp;'Setup Sheet'!F6)"),"")</f>
        <v/>
      </c>
      <c r="B1" t="str">
        <f>IFERROR(__xludf.DUMMYFUNCTION("""COMPUTED_VALUE"""),"ID")</f>
        <v>ID</v>
      </c>
      <c r="H1" s="73" t="str">
        <f>IFERROR(__xludf.DUMMYFUNCTION("""COMPUTED_VALUE"""),"A101")</f>
        <v>A101</v>
      </c>
      <c r="I1" s="74" t="str">
        <f>IFERROR(__xludf.DUMMYFUNCTION("""COMPUTED_VALUE"""),"A102")</f>
        <v>A102</v>
      </c>
      <c r="J1" s="74" t="str">
        <f>IFERROR(__xludf.DUMMYFUNCTION("""COMPUTED_VALUE"""),"A103")</f>
        <v>A103</v>
      </c>
      <c r="K1" s="73" t="str">
        <f>IFERROR(__xludf.DUMMYFUNCTION("""COMPUTED_VALUE"""),"A104")</f>
        <v>A104</v>
      </c>
      <c r="L1" s="74" t="str">
        <f>IFERROR(__xludf.DUMMYFUNCTION("""COMPUTED_VALUE"""),"A105")</f>
        <v>A105</v>
      </c>
      <c r="M1" s="74" t="str">
        <f>IFERROR(__xludf.DUMMYFUNCTION("""COMPUTED_VALUE"""),"A106")</f>
        <v>A106</v>
      </c>
      <c r="N1" s="73" t="str">
        <f>IFERROR(__xludf.DUMMYFUNCTION("""COMPUTED_VALUE"""),"A107")</f>
        <v>A107</v>
      </c>
      <c r="O1" s="74" t="str">
        <f>IFERROR(__xludf.DUMMYFUNCTION("""COMPUTED_VALUE"""),"A108")</f>
        <v>A108</v>
      </c>
      <c r="P1" s="74" t="str">
        <f>IFERROR(__xludf.DUMMYFUNCTION("""COMPUTED_VALUE"""),"A109")</f>
        <v>A109</v>
      </c>
      <c r="Q1" s="73" t="str">
        <f>IFERROR(__xludf.DUMMYFUNCTION("""COMPUTED_VALUE"""),"A110")</f>
        <v>A110</v>
      </c>
      <c r="R1" s="74" t="str">
        <f>IFERROR(__xludf.DUMMYFUNCTION("""COMPUTED_VALUE"""),"A111")</f>
        <v>A111</v>
      </c>
      <c r="S1" s="74" t="str">
        <f>IFERROR(__xludf.DUMMYFUNCTION("""COMPUTED_VALUE"""),"A112")</f>
        <v>A112</v>
      </c>
      <c r="T1" s="73" t="str">
        <f>IFERROR(__xludf.DUMMYFUNCTION("""COMPUTED_VALUE"""),"A113")</f>
        <v>A113</v>
      </c>
      <c r="U1" s="74" t="str">
        <f>IFERROR(__xludf.DUMMYFUNCTION("""COMPUTED_VALUE"""),"A114")</f>
        <v>A114</v>
      </c>
      <c r="V1" s="74" t="str">
        <f>IFERROR(__xludf.DUMMYFUNCTION("""COMPUTED_VALUE"""),"A115")</f>
        <v>A115</v>
      </c>
      <c r="W1" s="73" t="str">
        <f>IFERROR(__xludf.DUMMYFUNCTION("""COMPUTED_VALUE"""),"A116")</f>
        <v>A116</v>
      </c>
      <c r="X1" s="74" t="str">
        <f>IFERROR(__xludf.DUMMYFUNCTION("""COMPUTED_VALUE"""),"A117")</f>
        <v>A117</v>
      </c>
      <c r="Y1" s="74" t="str">
        <f>IFERROR(__xludf.DUMMYFUNCTION("""COMPUTED_VALUE"""),"A118")</f>
        <v>A118</v>
      </c>
      <c r="Z1" s="73" t="str">
        <f>IFERROR(__xludf.DUMMYFUNCTION("""COMPUTED_VALUE"""),"A201")</f>
        <v>A201</v>
      </c>
      <c r="AA1" s="74" t="str">
        <f>IFERROR(__xludf.DUMMYFUNCTION("""COMPUTED_VALUE"""),"A202")</f>
        <v>A202</v>
      </c>
      <c r="AB1" s="74" t="str">
        <f>IFERROR(__xludf.DUMMYFUNCTION("""COMPUTED_VALUE"""),"A203")</f>
        <v>A203</v>
      </c>
      <c r="AC1" s="73" t="str">
        <f>IFERROR(__xludf.DUMMYFUNCTION("""COMPUTED_VALUE"""),"A204")</f>
        <v>A204</v>
      </c>
      <c r="AD1" s="74" t="str">
        <f>IFERROR(__xludf.DUMMYFUNCTION("""COMPUTED_VALUE"""),"A205")</f>
        <v>A205</v>
      </c>
      <c r="AE1" s="74" t="str">
        <f>IFERROR(__xludf.DUMMYFUNCTION("""COMPUTED_VALUE"""),"A206")</f>
        <v>A206</v>
      </c>
      <c r="AF1" s="73" t="str">
        <f>IFERROR(__xludf.DUMMYFUNCTION("""COMPUTED_VALUE"""),"A207")</f>
        <v>A207</v>
      </c>
      <c r="AG1" s="74" t="str">
        <f>IFERROR(__xludf.DUMMYFUNCTION("""COMPUTED_VALUE"""),"A208")</f>
        <v>A208</v>
      </c>
      <c r="AH1" s="74" t="str">
        <f>IFERROR(__xludf.DUMMYFUNCTION("""COMPUTED_VALUE"""),"A209")</f>
        <v>A209</v>
      </c>
      <c r="AI1" s="75" t="str">
        <f>IFERROR(__xludf.DUMMYFUNCTION("""COMPUTED_VALUE"""),"A210")</f>
        <v>A210</v>
      </c>
      <c r="AJ1" s="76" t="str">
        <f>IFERROR(__xludf.DUMMYFUNCTION("""COMPUTED_VALUE"""),"A211")</f>
        <v>A211</v>
      </c>
      <c r="AK1" s="76" t="str">
        <f>IFERROR(__xludf.DUMMYFUNCTION("""COMPUTED_VALUE"""),"A212")</f>
        <v>A212</v>
      </c>
      <c r="AL1" s="75" t="str">
        <f>IFERROR(__xludf.DUMMYFUNCTION("""COMPUTED_VALUE"""),"A213")</f>
        <v>A213</v>
      </c>
      <c r="AM1" s="77" t="str">
        <f>IFERROR(__xludf.DUMMYFUNCTION("""COMPUTED_VALUE"""),"A214")</f>
        <v>A214</v>
      </c>
      <c r="AN1" s="77" t="str">
        <f>IFERROR(__xludf.DUMMYFUNCTION("""COMPUTED_VALUE"""),"A215")</f>
        <v>A215</v>
      </c>
      <c r="AO1" s="75" t="str">
        <f>IFERROR(__xludf.DUMMYFUNCTION("""COMPUTED_VALUE"""),"A216")</f>
        <v>A216</v>
      </c>
      <c r="AP1" s="77" t="str">
        <f>IFERROR(__xludf.DUMMYFUNCTION("""COMPUTED_VALUE"""),"A217")</f>
        <v>A217</v>
      </c>
      <c r="AQ1" s="77" t="str">
        <f>IFERROR(__xludf.DUMMYFUNCTION("""COMPUTED_VALUE"""),"A218")</f>
        <v>A218</v>
      </c>
      <c r="AR1" s="78" t="str">
        <f>IFERROR(__xludf.DUMMYFUNCTION("""COMPUTED_VALUE"""),"A219")</f>
        <v>A219</v>
      </c>
      <c r="AS1" s="79" t="str">
        <f>IFERROR(__xludf.DUMMYFUNCTION("""COMPUTED_VALUE"""),"A220")</f>
        <v>A220</v>
      </c>
      <c r="AT1" s="79" t="str">
        <f>IFERROR(__xludf.DUMMYFUNCTION("""COMPUTED_VALUE"""),"A301")</f>
        <v>A301</v>
      </c>
      <c r="AU1" s="78" t="str">
        <f>IFERROR(__xludf.DUMMYFUNCTION("""COMPUTED_VALUE"""),"A302")</f>
        <v>A302</v>
      </c>
      <c r="AV1" s="79" t="str">
        <f>IFERROR(__xludf.DUMMYFUNCTION("""COMPUTED_VALUE"""),"A303")</f>
        <v>A303</v>
      </c>
      <c r="AW1" s="79" t="str">
        <f>IFERROR(__xludf.DUMMYFUNCTION("""COMPUTED_VALUE"""),"A304")</f>
        <v>A304</v>
      </c>
      <c r="AX1" s="78" t="str">
        <f>IFERROR(__xludf.DUMMYFUNCTION("""COMPUTED_VALUE"""),"A305")</f>
        <v>A305</v>
      </c>
      <c r="AY1" s="79" t="str">
        <f>IFERROR(__xludf.DUMMYFUNCTION("""COMPUTED_VALUE"""),"A306")</f>
        <v>A306</v>
      </c>
      <c r="AZ1" s="79" t="str">
        <f>IFERROR(__xludf.DUMMYFUNCTION("""COMPUTED_VALUE"""),"A307")</f>
        <v>A307</v>
      </c>
      <c r="BA1" s="78" t="str">
        <f>IFERROR(__xludf.DUMMYFUNCTION("""COMPUTED_VALUE"""),"A308")</f>
        <v>A308</v>
      </c>
      <c r="BB1" s="79" t="str">
        <f>IFERROR(__xludf.DUMMYFUNCTION("""COMPUTED_VALUE"""),"A309")</f>
        <v>A309</v>
      </c>
      <c r="BC1" s="79" t="str">
        <f>IFERROR(__xludf.DUMMYFUNCTION("""COMPUTED_VALUE"""),"B101")</f>
        <v>B101</v>
      </c>
      <c r="BD1" s="78" t="str">
        <f>IFERROR(__xludf.DUMMYFUNCTION("""COMPUTED_VALUE"""),"B102")</f>
        <v>B102</v>
      </c>
      <c r="BE1" s="79" t="str">
        <f>IFERROR(__xludf.DUMMYFUNCTION("""COMPUTED_VALUE"""),"B103")</f>
        <v>B103</v>
      </c>
      <c r="BF1" s="79" t="str">
        <f>IFERROR(__xludf.DUMMYFUNCTION("""COMPUTED_VALUE"""),"B104")</f>
        <v>B104</v>
      </c>
      <c r="BG1" s="80" t="str">
        <f>IFERROR(__xludf.DUMMYFUNCTION("""COMPUTED_VALUE"""),"B105")</f>
        <v>B105</v>
      </c>
      <c r="BH1" s="81" t="str">
        <f>IFERROR(__xludf.DUMMYFUNCTION("""COMPUTED_VALUE"""),"B106")</f>
        <v>B106</v>
      </c>
      <c r="BI1" s="81" t="str">
        <f>IFERROR(__xludf.DUMMYFUNCTION("""COMPUTED_VALUE"""),"B107")</f>
        <v>B107</v>
      </c>
      <c r="BJ1" s="80" t="str">
        <f>IFERROR(__xludf.DUMMYFUNCTION("""COMPUTED_VALUE"""),"B111")</f>
        <v>B111</v>
      </c>
      <c r="BK1" s="81" t="str">
        <f>IFERROR(__xludf.DUMMYFUNCTION("""COMPUTED_VALUE"""),"B112")</f>
        <v>B112</v>
      </c>
      <c r="BL1" s="81" t="str">
        <f>IFERROR(__xludf.DUMMYFUNCTION("""COMPUTED_VALUE"""),"B113")</f>
        <v>B113</v>
      </c>
      <c r="BM1" s="80" t="str">
        <f>IFERROR(__xludf.DUMMYFUNCTION("""COMPUTED_VALUE"""),"B114")</f>
        <v>B114</v>
      </c>
      <c r="BN1" s="81" t="str">
        <f>IFERROR(__xludf.DUMMYFUNCTION("""COMPUTED_VALUE"""),"B115")</f>
        <v>B115</v>
      </c>
      <c r="BO1" s="81" t="str">
        <f>IFERROR(__xludf.DUMMYFUNCTION("""COMPUTED_VALUE"""),"B116")</f>
        <v>B116</v>
      </c>
      <c r="BP1" s="80" t="str">
        <f>IFERROR(__xludf.DUMMYFUNCTION("""COMPUTED_VALUE"""),"B117")</f>
        <v>B117</v>
      </c>
      <c r="BQ1" s="81" t="str">
        <f>IFERROR(__xludf.DUMMYFUNCTION("""COMPUTED_VALUE"""),"B121")</f>
        <v>B121</v>
      </c>
      <c r="BR1" s="81" t="str">
        <f>IFERROR(__xludf.DUMMYFUNCTION("""COMPUTED_VALUE"""),"B122")</f>
        <v>B122</v>
      </c>
      <c r="BS1" s="80" t="str">
        <f>IFERROR(__xludf.DUMMYFUNCTION("""COMPUTED_VALUE"""),"B123")</f>
        <v>B123</v>
      </c>
      <c r="BT1" s="81" t="str">
        <f>IFERROR(__xludf.DUMMYFUNCTION("""COMPUTED_VALUE"""),"B124")</f>
        <v>B124</v>
      </c>
      <c r="BU1" s="81" t="str">
        <f>IFERROR(__xludf.DUMMYFUNCTION("""COMPUTED_VALUE"""),"B125")</f>
        <v>B125</v>
      </c>
      <c r="BV1" s="80" t="str">
        <f>IFERROR(__xludf.DUMMYFUNCTION("""COMPUTED_VALUE"""),"B126")</f>
        <v>B126</v>
      </c>
      <c r="BW1" s="81" t="str">
        <f>IFERROR(__xludf.DUMMYFUNCTION("""COMPUTED_VALUE"""),"B127")</f>
        <v>B127</v>
      </c>
      <c r="BX1" s="81" t="str">
        <f>IFERROR(__xludf.DUMMYFUNCTION("""COMPUTED_VALUE"""),"B201")</f>
        <v>B201</v>
      </c>
      <c r="BY1" s="80" t="str">
        <f>IFERROR(__xludf.DUMMYFUNCTION("""COMPUTED_VALUE"""),"B202")</f>
        <v>B202</v>
      </c>
      <c r="BZ1" s="81" t="str">
        <f>IFERROR(__xludf.DUMMYFUNCTION("""COMPUTED_VALUE"""),"B203")</f>
        <v>B203</v>
      </c>
      <c r="CA1" s="81" t="str">
        <f>IFERROR(__xludf.DUMMYFUNCTION("""COMPUTED_VALUE"""),"B204")</f>
        <v>B204</v>
      </c>
      <c r="CB1" s="80" t="str">
        <f>IFERROR(__xludf.DUMMYFUNCTION("""COMPUTED_VALUE"""),"B205")</f>
        <v>B205</v>
      </c>
      <c r="CC1" s="81" t="str">
        <f>IFERROR(__xludf.DUMMYFUNCTION("""COMPUTED_VALUE"""),"B206")</f>
        <v>B206</v>
      </c>
      <c r="CD1" s="81" t="str">
        <f>IFERROR(__xludf.DUMMYFUNCTION("""COMPUTED_VALUE"""),"B207")</f>
        <v>B207</v>
      </c>
      <c r="CE1" s="80" t="str">
        <f>IFERROR(__xludf.DUMMYFUNCTION("""COMPUTED_VALUE"""),"B211")</f>
        <v>B211</v>
      </c>
      <c r="CF1" s="81" t="str">
        <f>IFERROR(__xludf.DUMMYFUNCTION("""COMPUTED_VALUE"""),"B212")</f>
        <v>B212</v>
      </c>
      <c r="CG1" s="81" t="str">
        <f>IFERROR(__xludf.DUMMYFUNCTION("""COMPUTED_VALUE"""),"B213")</f>
        <v>B213</v>
      </c>
      <c r="CH1" s="80" t="str">
        <f>IFERROR(__xludf.DUMMYFUNCTION("""COMPUTED_VALUE"""),"B214")</f>
        <v>B214</v>
      </c>
      <c r="CI1" s="81" t="str">
        <f>IFERROR(__xludf.DUMMYFUNCTION("""COMPUTED_VALUE"""),"B215")</f>
        <v>B215</v>
      </c>
      <c r="CJ1" s="81" t="str">
        <f>IFERROR(__xludf.DUMMYFUNCTION("""COMPUTED_VALUE"""),"B216")</f>
        <v>B216</v>
      </c>
      <c r="CK1" s="80" t="str">
        <f>IFERROR(__xludf.DUMMYFUNCTION("""COMPUTED_VALUE"""),"B217")</f>
        <v>B217</v>
      </c>
      <c r="CL1" s="81" t="str">
        <f>IFERROR(__xludf.DUMMYFUNCTION("""COMPUTED_VALUE"""),"B321")</f>
        <v>B321</v>
      </c>
      <c r="CM1" s="81" t="str">
        <f>IFERROR(__xludf.DUMMYFUNCTION("""COMPUTED_VALUE"""),"B322")</f>
        <v>B322</v>
      </c>
      <c r="CN1" s="80" t="str">
        <f>IFERROR(__xludf.DUMMYFUNCTION("""COMPUTED_VALUE"""),"B323")</f>
        <v>B323</v>
      </c>
      <c r="CO1" s="81" t="str">
        <f>IFERROR(__xludf.DUMMYFUNCTION("""COMPUTED_VALUE"""),"B324")</f>
        <v>B324</v>
      </c>
      <c r="CP1" s="81" t="str">
        <f>IFERROR(__xludf.DUMMYFUNCTION("""COMPUTED_VALUE"""),"B325")</f>
        <v>B325</v>
      </c>
      <c r="CQ1" s="80" t="str">
        <f>IFERROR(__xludf.DUMMYFUNCTION("""COMPUTED_VALUE"""),"B326")</f>
        <v>B326</v>
      </c>
      <c r="CR1" s="81" t="str">
        <f>IFERROR(__xludf.DUMMYFUNCTION("""COMPUTED_VALUE"""),"B327")</f>
        <v>B327</v>
      </c>
      <c r="CS1" s="81" t="str">
        <f>IFERROR(__xludf.DUMMYFUNCTION("""COMPUTED_VALUE"""),"B328")</f>
        <v>B328</v>
      </c>
      <c r="CT1" s="80" t="str">
        <f>IFERROR(__xludf.DUMMYFUNCTION("""COMPUTED_VALUE"""),"B331")</f>
        <v>B331</v>
      </c>
      <c r="CU1" s="81" t="str">
        <f>IFERROR(__xludf.DUMMYFUNCTION("""COMPUTED_VALUE"""),"B332")</f>
        <v>B332</v>
      </c>
      <c r="CV1" s="81" t="str">
        <f>IFERROR(__xludf.DUMMYFUNCTION("""COMPUTED_VALUE"""),"B333")</f>
        <v>B333</v>
      </c>
      <c r="CW1" s="80" t="str">
        <f>IFERROR(__xludf.DUMMYFUNCTION("""COMPUTED_VALUE"""),"B334")</f>
        <v>B334</v>
      </c>
      <c r="CX1" s="81" t="str">
        <f>IFERROR(__xludf.DUMMYFUNCTION("""COMPUTED_VALUE"""),"B335")</f>
        <v>B335</v>
      </c>
      <c r="CY1" s="81" t="str">
        <f>IFERROR(__xludf.DUMMYFUNCTION("""COMPUTED_VALUE"""),"B336")</f>
        <v>B336</v>
      </c>
      <c r="CZ1" s="80" t="str">
        <f>IFERROR(__xludf.DUMMYFUNCTION("""COMPUTED_VALUE"""),"B337")</f>
        <v>B337</v>
      </c>
      <c r="DA1" s="81" t="str">
        <f>IFERROR(__xludf.DUMMYFUNCTION("""COMPUTED_VALUE"""),"B338")</f>
        <v>B338</v>
      </c>
      <c r="DB1" s="81" t="str">
        <f>IFERROR(__xludf.DUMMYFUNCTION("""COMPUTED_VALUE"""),"B341")</f>
        <v>B341</v>
      </c>
      <c r="DC1" s="80" t="str">
        <f>IFERROR(__xludf.DUMMYFUNCTION("""COMPUTED_VALUE"""),"B342")</f>
        <v>B342</v>
      </c>
      <c r="DD1" s="81" t="str">
        <f>IFERROR(__xludf.DUMMYFUNCTION("""COMPUTED_VALUE"""),"B343")</f>
        <v>B343</v>
      </c>
      <c r="DE1" s="81" t="str">
        <f>IFERROR(__xludf.DUMMYFUNCTION("""COMPUTED_VALUE"""),"B344")</f>
        <v>B344</v>
      </c>
      <c r="DF1" s="80" t="str">
        <f>IFERROR(__xludf.DUMMYFUNCTION("""COMPUTED_VALUE"""),"B345")</f>
        <v>B345</v>
      </c>
      <c r="DG1" s="81" t="str">
        <f>IFERROR(__xludf.DUMMYFUNCTION("""COMPUTED_VALUE"""),"B346")</f>
        <v>B346</v>
      </c>
      <c r="DH1" s="81" t="str">
        <f>IFERROR(__xludf.DUMMYFUNCTION("""COMPUTED_VALUE"""),"B347")</f>
        <v>B347</v>
      </c>
      <c r="DI1" s="80" t="str">
        <f>IFERROR(__xludf.DUMMYFUNCTION("""COMPUTED_VALUE"""),"B348")</f>
        <v>B348</v>
      </c>
      <c r="DJ1" s="81" t="str">
        <f>IFERROR(__xludf.DUMMYFUNCTION("""COMPUTED_VALUE"""),"B351")</f>
        <v>B351</v>
      </c>
      <c r="DK1" s="81" t="str">
        <f>IFERROR(__xludf.DUMMYFUNCTION("""COMPUTED_VALUE"""),"B352")</f>
        <v>B352</v>
      </c>
      <c r="DL1" s="80" t="str">
        <f>IFERROR(__xludf.DUMMYFUNCTION("""COMPUTED_VALUE"""),"B353")</f>
        <v>B353</v>
      </c>
      <c r="DM1" s="81" t="str">
        <f>IFERROR(__xludf.DUMMYFUNCTION("""COMPUTED_VALUE"""),"B354")</f>
        <v>B354</v>
      </c>
      <c r="DN1" s="81" t="str">
        <f>IFERROR(__xludf.DUMMYFUNCTION("""COMPUTED_VALUE"""),"B355")</f>
        <v>B355</v>
      </c>
      <c r="DO1" s="80" t="str">
        <f>IFERROR(__xludf.DUMMYFUNCTION("""COMPUTED_VALUE"""),"B356")</f>
        <v>B356</v>
      </c>
      <c r="DP1" s="81" t="str">
        <f>IFERROR(__xludf.DUMMYFUNCTION("""COMPUTED_VALUE"""),"B357")</f>
        <v>B357</v>
      </c>
      <c r="DQ1" s="81" t="str">
        <f>IFERROR(__xludf.DUMMYFUNCTION("""COMPUTED_VALUE"""),"B358")</f>
        <v>B358</v>
      </c>
      <c r="DR1" s="80"/>
      <c r="DS1" s="81"/>
      <c r="DT1" s="81"/>
    </row>
    <row r="2" hidden="1">
      <c r="B2" t="str">
        <f>IFERROR(__xludf.DUMMYFUNCTION("""COMPUTED_VALUE"""),"Material")</f>
        <v>Material</v>
      </c>
      <c r="H2" s="73" t="str">
        <f>IFERROR(__xludf.DUMMYFUNCTION("""COMPUTED_VALUE"""),"爪")</f>
        <v>爪</v>
      </c>
      <c r="I2" s="74" t="str">
        <f>IFERROR(__xludf.DUMMYFUNCTION("""COMPUTED_VALUE"""),"心臓")</f>
        <v>心臓</v>
      </c>
      <c r="J2" s="74" t="str">
        <f>IFERROR(__xludf.DUMMYFUNCTION("""COMPUTED_VALUE"""),"逆鱗")</f>
        <v>逆鱗</v>
      </c>
      <c r="K2" s="73" t="str">
        <f>IFERROR(__xludf.DUMMYFUNCTION("""COMPUTED_VALUE"""),"根")</f>
        <v>根</v>
      </c>
      <c r="L2" s="74" t="str">
        <f>IFERROR(__xludf.DUMMYFUNCTION("""COMPUTED_VALUE"""),"幼角")</f>
        <v>幼角</v>
      </c>
      <c r="M2" s="74" t="str">
        <f>IFERROR(__xludf.DUMMYFUNCTION("""COMPUTED_VALUE"""),"涙石")</f>
        <v>涙石</v>
      </c>
      <c r="N2" s="73" t="str">
        <f>IFERROR(__xludf.DUMMYFUNCTION("""COMPUTED_VALUE"""),"脂")</f>
        <v>脂</v>
      </c>
      <c r="O2" s="74" t="str">
        <f>IFERROR(__xludf.DUMMYFUNCTION("""COMPUTED_VALUE"""),"ﾗﾝﾌﾟ")</f>
        <v>ﾗﾝﾌﾟ</v>
      </c>
      <c r="P2" s="74" t="str">
        <f>IFERROR(__xludf.DUMMYFUNCTION("""COMPUTED_VALUE"""),"ｽｶﾗﾍﾞ")</f>
        <v>ｽｶﾗﾍﾞ</v>
      </c>
      <c r="Q2" s="73" t="str">
        <f>IFERROR(__xludf.DUMMYFUNCTION("""COMPUTED_VALUE"""),"産毛")</f>
        <v>産毛</v>
      </c>
      <c r="R2" s="74" t="str">
        <f>IFERROR(__xludf.DUMMYFUNCTION("""COMPUTED_VALUE"""),"胆石")</f>
        <v>胆石</v>
      </c>
      <c r="S2" s="74" t="str">
        <f>IFERROR(__xludf.DUMMYFUNCTION("""COMPUTED_VALUE"""),"神酒")</f>
        <v>神酒</v>
      </c>
      <c r="T2" s="73" t="str">
        <f>IFERROR(__xludf.DUMMYFUNCTION("""COMPUTED_VALUE"""),"炉心")</f>
        <v>炉心</v>
      </c>
      <c r="U2" s="74" t="str">
        <f>IFERROR(__xludf.DUMMYFUNCTION("""COMPUTED_VALUE"""),"鏡")</f>
        <v>鏡</v>
      </c>
      <c r="V2" s="74" t="str">
        <f>IFERROR(__xludf.DUMMYFUNCTION("""COMPUTED_VALUE"""),"卵")</f>
        <v>卵</v>
      </c>
      <c r="W2" s="73" t="str">
        <f>IFERROR(__xludf.DUMMYFUNCTION("""COMPUTED_VALUE"""),"カケラ")</f>
        <v>カケラ</v>
      </c>
      <c r="X2" s="74" t="str">
        <f>IFERROR(__xludf.DUMMYFUNCTION("""COMPUTED_VALUE"""),"実")</f>
        <v>実</v>
      </c>
      <c r="Y2" s="74" t="str">
        <f>IFERROR(__xludf.DUMMYFUNCTION("""COMPUTED_VALUE"""),"鬼灯")</f>
        <v>鬼灯</v>
      </c>
      <c r="Z2" s="73" t="str">
        <f>IFERROR(__xludf.DUMMYFUNCTION("""COMPUTED_VALUE"""),"種")</f>
        <v>種</v>
      </c>
      <c r="AA2" s="74" t="str">
        <f>IFERROR(__xludf.DUMMYFUNCTION("""COMPUTED_VALUE"""),"ﾗﾝﾀﾝ")</f>
        <v>ﾗﾝﾀﾝ</v>
      </c>
      <c r="AB2" s="74" t="str">
        <f>IFERROR(__xludf.DUMMYFUNCTION("""COMPUTED_VALUE"""),"八連")</f>
        <v>八連</v>
      </c>
      <c r="AC2" s="73" t="str">
        <f>IFERROR(__xludf.DUMMYFUNCTION("""COMPUTED_VALUE"""),"蛇玉")</f>
        <v>蛇玉</v>
      </c>
      <c r="AD2" s="74" t="str">
        <f>IFERROR(__xludf.DUMMYFUNCTION("""COMPUTED_VALUE"""),"羽根")</f>
        <v>羽根</v>
      </c>
      <c r="AE2" s="74" t="str">
        <f>IFERROR(__xludf.DUMMYFUNCTION("""COMPUTED_VALUE"""),"歯車")</f>
        <v>歯車</v>
      </c>
      <c r="AF2" s="73" t="str">
        <f>IFERROR(__xludf.DUMMYFUNCTION("""COMPUTED_VALUE"""),"頁")</f>
        <v>頁</v>
      </c>
      <c r="AG2" s="74" t="str">
        <f>IFERROR(__xludf.DUMMYFUNCTION("""COMPUTED_VALUE"""),"ホム")</f>
        <v>ホム</v>
      </c>
      <c r="AH2" s="74" t="str">
        <f>IFERROR(__xludf.DUMMYFUNCTION("""COMPUTED_VALUE"""),"蹄鉄")</f>
        <v>蹄鉄</v>
      </c>
      <c r="AI2" s="75" t="str">
        <f>IFERROR(__xludf.DUMMYFUNCTION("""COMPUTED_VALUE"""),"勲章")</f>
        <v>勲章</v>
      </c>
      <c r="AJ2" s="76" t="str">
        <f>IFERROR(__xludf.DUMMYFUNCTION("""COMPUTED_VALUE"""),"貝殻")</f>
        <v>貝殻</v>
      </c>
      <c r="AK2" s="76" t="str">
        <f>IFERROR(__xludf.DUMMYFUNCTION("""COMPUTED_VALUE"""),"勾玉")</f>
        <v>勾玉</v>
      </c>
      <c r="AL2" s="78" t="str">
        <f>IFERROR(__xludf.DUMMYFUNCTION("""COMPUTED_VALUE"""),"結氷")</f>
        <v>結氷</v>
      </c>
      <c r="AM2" s="79" t="str">
        <f>IFERROR(__xludf.DUMMYFUNCTION("""COMPUTED_VALUE"""),"指輪")</f>
        <v>指輪</v>
      </c>
      <c r="AN2" s="79" t="str">
        <f>IFERROR(__xludf.DUMMYFUNCTION("""COMPUTED_VALUE"""),"ｵｰﾛﾗ")</f>
        <v>ｵｰﾛﾗ</v>
      </c>
      <c r="AO2" s="78" t="str">
        <f>IFERROR(__xludf.DUMMYFUNCTION("""COMPUTED_VALUE"""),"鈴")</f>
        <v>鈴</v>
      </c>
      <c r="AP2" s="79" t="str">
        <f>IFERROR(__xludf.DUMMYFUNCTION("""COMPUTED_VALUE"""),"矢尻")</f>
        <v>矢尻</v>
      </c>
      <c r="AQ2" s="79" t="str">
        <f>IFERROR(__xludf.DUMMYFUNCTION("""COMPUTED_VALUE"""),"冠")</f>
        <v>冠</v>
      </c>
      <c r="AR2" s="78" t="str">
        <f>IFERROR(__xludf.DUMMYFUNCTION("""COMPUTED_VALUE"""),"霊子")</f>
        <v>霊子</v>
      </c>
      <c r="AS2" s="79" t="str">
        <f>IFERROR(__xludf.DUMMYFUNCTION("""COMPUTED_VALUE"""),"糸玉")</f>
        <v>糸玉</v>
      </c>
      <c r="AT2" s="79" t="str">
        <f>IFERROR(__xludf.DUMMYFUNCTION("""COMPUTED_VALUE"""),"証")</f>
        <v>証</v>
      </c>
      <c r="AU2" s="78" t="str">
        <f>IFERROR(__xludf.DUMMYFUNCTION("""COMPUTED_VALUE"""),"骨")</f>
        <v>骨</v>
      </c>
      <c r="AV2" s="79" t="str">
        <f>IFERROR(__xludf.DUMMYFUNCTION("""COMPUTED_VALUE"""),"牙")</f>
        <v>牙</v>
      </c>
      <c r="AW2" s="79" t="str">
        <f>IFERROR(__xludf.DUMMYFUNCTION("""COMPUTED_VALUE"""),"塵")</f>
        <v>塵</v>
      </c>
      <c r="AX2" s="78" t="str">
        <f>IFERROR(__xludf.DUMMYFUNCTION("""COMPUTED_VALUE"""),"鎖")</f>
        <v>鎖</v>
      </c>
      <c r="AY2" s="79" t="str">
        <f>IFERROR(__xludf.DUMMYFUNCTION("""COMPUTED_VALUE"""),"毒針")</f>
        <v>毒針</v>
      </c>
      <c r="AZ2" s="79" t="str">
        <f>IFERROR(__xludf.DUMMYFUNCTION("""COMPUTED_VALUE"""),"髄液")</f>
        <v>髄液</v>
      </c>
      <c r="BA2" s="78" t="str">
        <f>IFERROR(__xludf.DUMMYFUNCTION("""COMPUTED_VALUE"""),"鉄杭")</f>
        <v>鉄杭</v>
      </c>
      <c r="BB2" s="79" t="str">
        <f>IFERROR(__xludf.DUMMYFUNCTION("""COMPUTED_VALUE"""),"火薬")</f>
        <v>火薬</v>
      </c>
      <c r="BC2" s="79" t="str">
        <f>IFERROR(__xludf.DUMMYFUNCTION("""COMPUTED_VALUE"""),"剣秘")</f>
        <v>剣秘</v>
      </c>
      <c r="BD2" s="78" t="str">
        <f>IFERROR(__xludf.DUMMYFUNCTION("""COMPUTED_VALUE"""),"弓秘")</f>
        <v>弓秘</v>
      </c>
      <c r="BE2" s="79" t="str">
        <f>IFERROR(__xludf.DUMMYFUNCTION("""COMPUTED_VALUE"""),"槍秘")</f>
        <v>槍秘</v>
      </c>
      <c r="BF2" s="79" t="str">
        <f>IFERROR(__xludf.DUMMYFUNCTION("""COMPUTED_VALUE"""),"騎秘")</f>
        <v>騎秘</v>
      </c>
      <c r="BG2" s="78" t="str">
        <f>IFERROR(__xludf.DUMMYFUNCTION("""COMPUTED_VALUE"""),"術秘")</f>
        <v>術秘</v>
      </c>
      <c r="BH2" s="79" t="str">
        <f>IFERROR(__xludf.DUMMYFUNCTION("""COMPUTED_VALUE"""),"殺秘")</f>
        <v>殺秘</v>
      </c>
      <c r="BI2" s="79" t="str">
        <f>IFERROR(__xludf.DUMMYFUNCTION("""COMPUTED_VALUE"""),"狂秘")</f>
        <v>狂秘</v>
      </c>
      <c r="BJ2" s="78" t="str">
        <f>IFERROR(__xludf.DUMMYFUNCTION("""COMPUTED_VALUE"""),"剣魔")</f>
        <v>剣魔</v>
      </c>
      <c r="BK2" s="79" t="str">
        <f>IFERROR(__xludf.DUMMYFUNCTION("""COMPUTED_VALUE"""),"弓魔")</f>
        <v>弓魔</v>
      </c>
      <c r="BL2" s="79" t="str">
        <f>IFERROR(__xludf.DUMMYFUNCTION("""COMPUTED_VALUE"""),"槍魔")</f>
        <v>槍魔</v>
      </c>
      <c r="BM2" s="78" t="str">
        <f>IFERROR(__xludf.DUMMYFUNCTION("""COMPUTED_VALUE"""),"騎魔")</f>
        <v>騎魔</v>
      </c>
      <c r="BN2" s="79" t="str">
        <f>IFERROR(__xludf.DUMMYFUNCTION("""COMPUTED_VALUE"""),"術魔")</f>
        <v>術魔</v>
      </c>
      <c r="BO2" s="79" t="str">
        <f>IFERROR(__xludf.DUMMYFUNCTION("""COMPUTED_VALUE"""),"殺魔")</f>
        <v>殺魔</v>
      </c>
      <c r="BP2" s="78" t="str">
        <f>IFERROR(__xludf.DUMMYFUNCTION("""COMPUTED_VALUE"""),"狂魔")</f>
        <v>狂魔</v>
      </c>
      <c r="BQ2" s="79" t="str">
        <f>IFERROR(__xludf.DUMMYFUNCTION("""COMPUTED_VALUE"""),"剣輝")</f>
        <v>剣輝</v>
      </c>
      <c r="BR2" s="79" t="str">
        <f>IFERROR(__xludf.DUMMYFUNCTION("""COMPUTED_VALUE"""),"弓輝")</f>
        <v>弓輝</v>
      </c>
      <c r="BS2" s="78" t="str">
        <f>IFERROR(__xludf.DUMMYFUNCTION("""COMPUTED_VALUE"""),"槍輝")</f>
        <v>槍輝</v>
      </c>
      <c r="BT2" s="79" t="str">
        <f>IFERROR(__xludf.DUMMYFUNCTION("""COMPUTED_VALUE"""),"騎輝")</f>
        <v>騎輝</v>
      </c>
      <c r="BU2" s="79" t="str">
        <f>IFERROR(__xludf.DUMMYFUNCTION("""COMPUTED_VALUE"""),"術輝")</f>
        <v>術輝</v>
      </c>
      <c r="BV2" s="78" t="str">
        <f>IFERROR(__xludf.DUMMYFUNCTION("""COMPUTED_VALUE"""),"殺輝")</f>
        <v>殺輝</v>
      </c>
      <c r="BW2" s="79" t="str">
        <f>IFERROR(__xludf.DUMMYFUNCTION("""COMPUTED_VALUE"""),"狂輝")</f>
        <v>狂輝</v>
      </c>
      <c r="BX2" s="79" t="str">
        <f>IFERROR(__xludf.DUMMYFUNCTION("""COMPUTED_VALUE"""),"剣モ")</f>
        <v>剣モ</v>
      </c>
      <c r="BY2" s="78" t="str">
        <f>IFERROR(__xludf.DUMMYFUNCTION("""COMPUTED_VALUE"""),"弓モ")</f>
        <v>弓モ</v>
      </c>
      <c r="BZ2" s="79" t="str">
        <f>IFERROR(__xludf.DUMMYFUNCTION("""COMPUTED_VALUE"""),"槍モ")</f>
        <v>槍モ</v>
      </c>
      <c r="CA2" s="79" t="str">
        <f>IFERROR(__xludf.DUMMYFUNCTION("""COMPUTED_VALUE"""),"騎モ")</f>
        <v>騎モ</v>
      </c>
      <c r="CB2" s="78" t="str">
        <f>IFERROR(__xludf.DUMMYFUNCTION("""COMPUTED_VALUE"""),"術モ")</f>
        <v>術モ</v>
      </c>
      <c r="CC2" s="79" t="str">
        <f>IFERROR(__xludf.DUMMYFUNCTION("""COMPUTED_VALUE"""),"殺モ")</f>
        <v>殺モ</v>
      </c>
      <c r="CD2" s="79" t="str">
        <f>IFERROR(__xludf.DUMMYFUNCTION("""COMPUTED_VALUE"""),"狂モ")</f>
        <v>狂モ</v>
      </c>
      <c r="CE2" s="78" t="str">
        <f>IFERROR(__xludf.DUMMYFUNCTION("""COMPUTED_VALUE"""),"剣ピ")</f>
        <v>剣ピ</v>
      </c>
      <c r="CF2" s="79" t="str">
        <f>IFERROR(__xludf.DUMMYFUNCTION("""COMPUTED_VALUE"""),"弓ピ")</f>
        <v>弓ピ</v>
      </c>
      <c r="CG2" s="79" t="str">
        <f>IFERROR(__xludf.DUMMYFUNCTION("""COMPUTED_VALUE"""),"槍ピ")</f>
        <v>槍ピ</v>
      </c>
      <c r="CH2" s="78" t="str">
        <f>IFERROR(__xludf.DUMMYFUNCTION("""COMPUTED_VALUE"""),"騎ピ")</f>
        <v>騎ピ</v>
      </c>
      <c r="CI2" s="79" t="str">
        <f>IFERROR(__xludf.DUMMYFUNCTION("""COMPUTED_VALUE"""),"術ピ")</f>
        <v>術ピ</v>
      </c>
      <c r="CJ2" s="79" t="str">
        <f>IFERROR(__xludf.DUMMYFUNCTION("""COMPUTED_VALUE"""),"殺ピ")</f>
        <v>殺ピ</v>
      </c>
      <c r="CK2" s="78" t="str">
        <f>IFERROR(__xludf.DUMMYFUNCTION("""COMPUTED_VALUE"""),"狂ピ")</f>
        <v>狂ピ</v>
      </c>
      <c r="CL2" s="79" t="str">
        <f>IFERROR(__xludf.DUMMYFUNCTION("""COMPUTED_VALUE"""),"猛剣")</f>
        <v>猛剣</v>
      </c>
      <c r="CM2" s="79" t="str">
        <f>IFERROR(__xludf.DUMMYFUNCTION("""COMPUTED_VALUE"""),"猛弓")</f>
        <v>猛弓</v>
      </c>
      <c r="CN2" s="78" t="str">
        <f>IFERROR(__xludf.DUMMYFUNCTION("""COMPUTED_VALUE"""),"猛槍")</f>
        <v>猛槍</v>
      </c>
      <c r="CO2" s="79" t="str">
        <f>IFERROR(__xludf.DUMMYFUNCTION("""COMPUTED_VALUE"""),"猛騎")</f>
        <v>猛騎</v>
      </c>
      <c r="CP2" s="79" t="str">
        <f>IFERROR(__xludf.DUMMYFUNCTION("""COMPUTED_VALUE"""),"猛術")</f>
        <v>猛術</v>
      </c>
      <c r="CQ2" s="78" t="str">
        <f>IFERROR(__xludf.DUMMYFUNCTION("""COMPUTED_VALUE"""),"猛殺")</f>
        <v>猛殺</v>
      </c>
      <c r="CR2" s="79" t="str">
        <f>IFERROR(__xludf.DUMMYFUNCTION("""COMPUTED_VALUE"""),"猛狂")</f>
        <v>猛狂</v>
      </c>
      <c r="CS2" s="79"/>
      <c r="CT2" s="78" t="str">
        <f>IFERROR(__xludf.DUMMYFUNCTION("""COMPUTED_VALUE"""),"大剣")</f>
        <v>大剣</v>
      </c>
      <c r="CU2" s="79" t="str">
        <f>IFERROR(__xludf.DUMMYFUNCTION("""COMPUTED_VALUE"""),"大弓")</f>
        <v>大弓</v>
      </c>
      <c r="CV2" s="79" t="str">
        <f>IFERROR(__xludf.DUMMYFUNCTION("""COMPUTED_VALUE"""),"大槍")</f>
        <v>大槍</v>
      </c>
      <c r="CW2" s="78" t="str">
        <f>IFERROR(__xludf.DUMMYFUNCTION("""COMPUTED_VALUE"""),"大騎")</f>
        <v>大騎</v>
      </c>
      <c r="CX2" s="79" t="str">
        <f>IFERROR(__xludf.DUMMYFUNCTION("""COMPUTED_VALUE"""),"大術")</f>
        <v>大術</v>
      </c>
      <c r="CY2" s="79" t="str">
        <f>IFERROR(__xludf.DUMMYFUNCTION("""COMPUTED_VALUE"""),"大殺")</f>
        <v>大殺</v>
      </c>
      <c r="CZ2" s="78" t="str">
        <f>IFERROR(__xludf.DUMMYFUNCTION("""COMPUTED_VALUE"""),"大狂")</f>
        <v>大狂</v>
      </c>
      <c r="DA2" s="79"/>
      <c r="DB2" s="79" t="str">
        <f>IFERROR(__xludf.DUMMYFUNCTION("""COMPUTED_VALUE"""),"灯剣")</f>
        <v>灯剣</v>
      </c>
      <c r="DC2" s="78" t="str">
        <f>IFERROR(__xludf.DUMMYFUNCTION("""COMPUTED_VALUE"""),"灯弓")</f>
        <v>灯弓</v>
      </c>
      <c r="DD2" s="79" t="str">
        <f>IFERROR(__xludf.DUMMYFUNCTION("""COMPUTED_VALUE"""),"灯槍")</f>
        <v>灯槍</v>
      </c>
      <c r="DE2" s="79" t="str">
        <f>IFERROR(__xludf.DUMMYFUNCTION("""COMPUTED_VALUE"""),"灯騎")</f>
        <v>灯騎</v>
      </c>
      <c r="DF2" s="78" t="str">
        <f>IFERROR(__xludf.DUMMYFUNCTION("""COMPUTED_VALUE"""),"灯術")</f>
        <v>灯術</v>
      </c>
      <c r="DG2" s="79" t="str">
        <f>IFERROR(__xludf.DUMMYFUNCTION("""COMPUTED_VALUE"""),"灯殺")</f>
        <v>灯殺</v>
      </c>
      <c r="DH2" s="79" t="str">
        <f>IFERROR(__xludf.DUMMYFUNCTION("""COMPUTED_VALUE"""),"灯狂")</f>
        <v>灯狂</v>
      </c>
      <c r="DI2" s="78"/>
      <c r="DJ2" s="79" t="str">
        <f>IFERROR(__xludf.DUMMYFUNCTION("""COMPUTED_VALUE"""),"種剣")</f>
        <v>種剣</v>
      </c>
      <c r="DK2" s="79" t="str">
        <f>IFERROR(__xludf.DUMMYFUNCTION("""COMPUTED_VALUE"""),"種弓")</f>
        <v>種弓</v>
      </c>
      <c r="DL2" s="78" t="str">
        <f>IFERROR(__xludf.DUMMYFUNCTION("""COMPUTED_VALUE"""),"種槍")</f>
        <v>種槍</v>
      </c>
      <c r="DM2" s="79" t="str">
        <f>IFERROR(__xludf.DUMMYFUNCTION("""COMPUTED_VALUE"""),"種騎")</f>
        <v>種騎</v>
      </c>
      <c r="DN2" s="79" t="str">
        <f>IFERROR(__xludf.DUMMYFUNCTION("""COMPUTED_VALUE"""),"種術")</f>
        <v>種術</v>
      </c>
      <c r="DO2" s="78" t="str">
        <f>IFERROR(__xludf.DUMMYFUNCTION("""COMPUTED_VALUE"""),"種殺")</f>
        <v>種殺</v>
      </c>
      <c r="DP2" s="79" t="str">
        <f>IFERROR(__xludf.DUMMYFUNCTION("""COMPUTED_VALUE"""),"種狂")</f>
        <v>種狂</v>
      </c>
      <c r="DQ2" s="79"/>
      <c r="DR2" s="78"/>
      <c r="DS2" s="79"/>
      <c r="DT2" s="79"/>
    </row>
    <row r="3" hidden="1">
      <c r="H3" s="73">
        <f>IFERROR(__xludf.DUMMYFUNCTION("""COMPUTED_VALUE"""),36.0)</f>
        <v>36</v>
      </c>
      <c r="I3" s="73">
        <f>IFERROR(__xludf.DUMMYFUNCTION("""COMPUTED_VALUE"""),37.0)</f>
        <v>37</v>
      </c>
      <c r="J3" s="73">
        <f>IFERROR(__xludf.DUMMYFUNCTION("""COMPUTED_VALUE"""),38.0)</f>
        <v>38</v>
      </c>
      <c r="K3" s="73">
        <f>IFERROR(__xludf.DUMMYFUNCTION("""COMPUTED_VALUE"""),39.0)</f>
        <v>39</v>
      </c>
      <c r="L3" s="73">
        <f>IFERROR(__xludf.DUMMYFUNCTION("""COMPUTED_VALUE"""),40.0)</f>
        <v>40</v>
      </c>
      <c r="M3" s="73">
        <f>IFERROR(__xludf.DUMMYFUNCTION("""COMPUTED_VALUE"""),41.0)</f>
        <v>41</v>
      </c>
      <c r="N3" s="73">
        <f>IFERROR(__xludf.DUMMYFUNCTION("""COMPUTED_VALUE"""),42.0)</f>
        <v>42</v>
      </c>
      <c r="O3" s="73">
        <f>IFERROR(__xludf.DUMMYFUNCTION("""COMPUTED_VALUE"""),43.0)</f>
        <v>43</v>
      </c>
      <c r="P3" s="73">
        <f>IFERROR(__xludf.DUMMYFUNCTION("""COMPUTED_VALUE"""),44.0)</f>
        <v>44</v>
      </c>
      <c r="Q3" s="73">
        <f>IFERROR(__xludf.DUMMYFUNCTION("""COMPUTED_VALUE"""),45.0)</f>
        <v>45</v>
      </c>
      <c r="R3" s="73">
        <f>IFERROR(__xludf.DUMMYFUNCTION("""COMPUTED_VALUE"""),46.0)</f>
        <v>46</v>
      </c>
      <c r="S3" s="73">
        <f>IFERROR(__xludf.DUMMYFUNCTION("""COMPUTED_VALUE"""),47.0)</f>
        <v>47</v>
      </c>
      <c r="T3" s="73">
        <f>IFERROR(__xludf.DUMMYFUNCTION("""COMPUTED_VALUE"""),48.0)</f>
        <v>48</v>
      </c>
      <c r="U3" s="73">
        <f>IFERROR(__xludf.DUMMYFUNCTION("""COMPUTED_VALUE"""),49.0)</f>
        <v>49</v>
      </c>
      <c r="V3" s="73">
        <f>IFERROR(__xludf.DUMMYFUNCTION("""COMPUTED_VALUE"""),50.0)</f>
        <v>50</v>
      </c>
      <c r="W3" s="73">
        <f>IFERROR(__xludf.DUMMYFUNCTION("""COMPUTED_VALUE"""),51.0)</f>
        <v>51</v>
      </c>
      <c r="X3" s="73">
        <f>IFERROR(__xludf.DUMMYFUNCTION("""COMPUTED_VALUE"""),52.0)</f>
        <v>52</v>
      </c>
      <c r="Y3" s="73">
        <f>IFERROR(__xludf.DUMMYFUNCTION("""COMPUTED_VALUE"""),53.0)</f>
        <v>53</v>
      </c>
      <c r="Z3" s="73">
        <f>IFERROR(__xludf.DUMMYFUNCTION("""COMPUTED_VALUE"""),15.0)</f>
        <v>15</v>
      </c>
      <c r="AA3" s="73">
        <f>IFERROR(__xludf.DUMMYFUNCTION("""COMPUTED_VALUE"""),16.0)</f>
        <v>16</v>
      </c>
      <c r="AB3" s="73">
        <f>IFERROR(__xludf.DUMMYFUNCTION("""COMPUTED_VALUE"""),17.0)</f>
        <v>17</v>
      </c>
      <c r="AC3" s="73">
        <f>IFERROR(__xludf.DUMMYFUNCTION("""COMPUTED_VALUE"""),18.0)</f>
        <v>18</v>
      </c>
      <c r="AD3" s="73">
        <f>IFERROR(__xludf.DUMMYFUNCTION("""COMPUTED_VALUE"""),19.0)</f>
        <v>19</v>
      </c>
      <c r="AE3" s="73">
        <f>IFERROR(__xludf.DUMMYFUNCTION("""COMPUTED_VALUE"""),20.0)</f>
        <v>20</v>
      </c>
      <c r="AF3" s="73">
        <f>IFERROR(__xludf.DUMMYFUNCTION("""COMPUTED_VALUE"""),21.0)</f>
        <v>21</v>
      </c>
      <c r="AG3" s="73">
        <f>IFERROR(__xludf.DUMMYFUNCTION("""COMPUTED_VALUE"""),22.0)</f>
        <v>22</v>
      </c>
      <c r="AH3" s="73">
        <f>IFERROR(__xludf.DUMMYFUNCTION("""COMPUTED_VALUE"""),23.0)</f>
        <v>23</v>
      </c>
      <c r="AI3" s="75">
        <f>IFERROR(__xludf.DUMMYFUNCTION("""COMPUTED_VALUE"""),24.0)</f>
        <v>24</v>
      </c>
      <c r="AJ3" s="75">
        <f>IFERROR(__xludf.DUMMYFUNCTION("""COMPUTED_VALUE"""),25.0)</f>
        <v>25</v>
      </c>
      <c r="AK3" s="75">
        <f>IFERROR(__xludf.DUMMYFUNCTION("""COMPUTED_VALUE"""),26.0)</f>
        <v>26</v>
      </c>
      <c r="AL3" s="78">
        <f>IFERROR(__xludf.DUMMYFUNCTION("""COMPUTED_VALUE"""),27.0)</f>
        <v>27</v>
      </c>
      <c r="AM3" s="78">
        <f>IFERROR(__xludf.DUMMYFUNCTION("""COMPUTED_VALUE"""),28.0)</f>
        <v>28</v>
      </c>
      <c r="AN3" s="78">
        <f>IFERROR(__xludf.DUMMYFUNCTION("""COMPUTED_VALUE"""),29.0)</f>
        <v>29</v>
      </c>
      <c r="AO3" s="78">
        <f>IFERROR(__xludf.DUMMYFUNCTION("""COMPUTED_VALUE"""),30.0)</f>
        <v>30</v>
      </c>
      <c r="AP3" s="78">
        <f>IFERROR(__xludf.DUMMYFUNCTION("""COMPUTED_VALUE"""),31.0)</f>
        <v>31</v>
      </c>
      <c r="AQ3" s="78">
        <f>IFERROR(__xludf.DUMMYFUNCTION("""COMPUTED_VALUE"""),32.0)</f>
        <v>32</v>
      </c>
      <c r="AR3" s="78">
        <f>IFERROR(__xludf.DUMMYFUNCTION("""COMPUTED_VALUE"""),33.0)</f>
        <v>33</v>
      </c>
      <c r="AS3" s="78">
        <f>IFERROR(__xludf.DUMMYFUNCTION("""COMPUTED_VALUE"""),34.0)</f>
        <v>34</v>
      </c>
      <c r="AT3" s="78">
        <f>IFERROR(__xludf.DUMMYFUNCTION("""COMPUTED_VALUE"""),5.0)</f>
        <v>5</v>
      </c>
      <c r="AU3" s="78">
        <f>IFERROR(__xludf.DUMMYFUNCTION("""COMPUTED_VALUE"""),6.0)</f>
        <v>6</v>
      </c>
      <c r="AV3" s="78">
        <f>IFERROR(__xludf.DUMMYFUNCTION("""COMPUTED_VALUE"""),7.0)</f>
        <v>7</v>
      </c>
      <c r="AW3" s="78">
        <f>IFERROR(__xludf.DUMMYFUNCTION("""COMPUTED_VALUE"""),8.0)</f>
        <v>8</v>
      </c>
      <c r="AX3" s="78">
        <f>IFERROR(__xludf.DUMMYFUNCTION("""COMPUTED_VALUE"""),9.0)</f>
        <v>9</v>
      </c>
      <c r="AY3" s="78">
        <f>IFERROR(__xludf.DUMMYFUNCTION("""COMPUTED_VALUE"""),10.0)</f>
        <v>10</v>
      </c>
      <c r="AZ3" s="78">
        <f>IFERROR(__xludf.DUMMYFUNCTION("""COMPUTED_VALUE"""),11.0)</f>
        <v>11</v>
      </c>
      <c r="BA3" s="78">
        <f>IFERROR(__xludf.DUMMYFUNCTION("""COMPUTED_VALUE"""),12.0)</f>
        <v>12</v>
      </c>
      <c r="BB3" s="78">
        <f>IFERROR(__xludf.DUMMYFUNCTION("""COMPUTED_VALUE"""),13.0)</f>
        <v>13</v>
      </c>
      <c r="BC3" s="78">
        <f>IFERROR(__xludf.DUMMYFUNCTION("""COMPUTED_VALUE"""),71.0)</f>
        <v>71</v>
      </c>
      <c r="BD3" s="78">
        <f>IFERROR(__xludf.DUMMYFUNCTION("""COMPUTED_VALUE"""),72.0)</f>
        <v>72</v>
      </c>
      <c r="BE3" s="78">
        <f>IFERROR(__xludf.DUMMYFUNCTION("""COMPUTED_VALUE"""),73.0)</f>
        <v>73</v>
      </c>
      <c r="BF3" s="78">
        <f>IFERROR(__xludf.DUMMYFUNCTION("""COMPUTED_VALUE"""),74.0)</f>
        <v>74</v>
      </c>
      <c r="BG3" s="78">
        <f>IFERROR(__xludf.DUMMYFUNCTION("""COMPUTED_VALUE"""),75.0)</f>
        <v>75</v>
      </c>
      <c r="BH3" s="78">
        <f>IFERROR(__xludf.DUMMYFUNCTION("""COMPUTED_VALUE"""),76.0)</f>
        <v>76</v>
      </c>
      <c r="BI3" s="78">
        <f>IFERROR(__xludf.DUMMYFUNCTION("""COMPUTED_VALUE"""),77.0)</f>
        <v>77</v>
      </c>
      <c r="BJ3" s="78">
        <f>IFERROR(__xludf.DUMMYFUNCTION("""COMPUTED_VALUE"""),63.0)</f>
        <v>63</v>
      </c>
      <c r="BK3" s="78">
        <f>IFERROR(__xludf.DUMMYFUNCTION("""COMPUTED_VALUE"""),64.0)</f>
        <v>64</v>
      </c>
      <c r="BL3" s="78">
        <f>IFERROR(__xludf.DUMMYFUNCTION("""COMPUTED_VALUE"""),65.0)</f>
        <v>65</v>
      </c>
      <c r="BM3" s="78">
        <f>IFERROR(__xludf.DUMMYFUNCTION("""COMPUTED_VALUE"""),66.0)</f>
        <v>66</v>
      </c>
      <c r="BN3" s="78">
        <f>IFERROR(__xludf.DUMMYFUNCTION("""COMPUTED_VALUE"""),67.0)</f>
        <v>67</v>
      </c>
      <c r="BO3" s="78">
        <f>IFERROR(__xludf.DUMMYFUNCTION("""COMPUTED_VALUE"""),68.0)</f>
        <v>68</v>
      </c>
      <c r="BP3" s="78">
        <f>IFERROR(__xludf.DUMMYFUNCTION("""COMPUTED_VALUE"""),69.0)</f>
        <v>69</v>
      </c>
      <c r="BQ3" s="78">
        <f>IFERROR(__xludf.DUMMYFUNCTION("""COMPUTED_VALUE"""),55.0)</f>
        <v>55</v>
      </c>
      <c r="BR3" s="78">
        <f>IFERROR(__xludf.DUMMYFUNCTION("""COMPUTED_VALUE"""),56.0)</f>
        <v>56</v>
      </c>
      <c r="BS3" s="78">
        <f>IFERROR(__xludf.DUMMYFUNCTION("""COMPUTED_VALUE"""),57.0)</f>
        <v>57</v>
      </c>
      <c r="BT3" s="78">
        <f>IFERROR(__xludf.DUMMYFUNCTION("""COMPUTED_VALUE"""),58.0)</f>
        <v>58</v>
      </c>
      <c r="BU3" s="78">
        <f>IFERROR(__xludf.DUMMYFUNCTION("""COMPUTED_VALUE"""),59.0)</f>
        <v>59</v>
      </c>
      <c r="BV3" s="78">
        <f>IFERROR(__xludf.DUMMYFUNCTION("""COMPUTED_VALUE"""),60.0)</f>
        <v>60</v>
      </c>
      <c r="BW3" s="78">
        <f>IFERROR(__xludf.DUMMYFUNCTION("""COMPUTED_VALUE"""),61.0)</f>
        <v>61</v>
      </c>
      <c r="BX3" s="78">
        <f>IFERROR(__xludf.DUMMYFUNCTION("""COMPUTED_VALUE"""),87.0)</f>
        <v>87</v>
      </c>
      <c r="BY3" s="78">
        <f>IFERROR(__xludf.DUMMYFUNCTION("""COMPUTED_VALUE"""),88.0)</f>
        <v>88</v>
      </c>
      <c r="BZ3" s="78">
        <f>IFERROR(__xludf.DUMMYFUNCTION("""COMPUTED_VALUE"""),89.0)</f>
        <v>89</v>
      </c>
      <c r="CA3" s="78">
        <f>IFERROR(__xludf.DUMMYFUNCTION("""COMPUTED_VALUE"""),90.0)</f>
        <v>90</v>
      </c>
      <c r="CB3" s="78">
        <f>IFERROR(__xludf.DUMMYFUNCTION("""COMPUTED_VALUE"""),91.0)</f>
        <v>91</v>
      </c>
      <c r="CC3" s="78">
        <f>IFERROR(__xludf.DUMMYFUNCTION("""COMPUTED_VALUE"""),92.0)</f>
        <v>92</v>
      </c>
      <c r="CD3" s="78">
        <f>IFERROR(__xludf.DUMMYFUNCTION("""COMPUTED_VALUE"""),93.0)</f>
        <v>93</v>
      </c>
      <c r="CE3" s="78">
        <f>IFERROR(__xludf.DUMMYFUNCTION("""COMPUTED_VALUE"""),79.0)</f>
        <v>79</v>
      </c>
      <c r="CF3" s="78">
        <f>IFERROR(__xludf.DUMMYFUNCTION("""COMPUTED_VALUE"""),80.0)</f>
        <v>80</v>
      </c>
      <c r="CG3" s="78">
        <f>IFERROR(__xludf.DUMMYFUNCTION("""COMPUTED_VALUE"""),81.0)</f>
        <v>81</v>
      </c>
      <c r="CH3" s="78">
        <f>IFERROR(__xludf.DUMMYFUNCTION("""COMPUTED_VALUE"""),82.0)</f>
        <v>82</v>
      </c>
      <c r="CI3" s="78">
        <f>IFERROR(__xludf.DUMMYFUNCTION("""COMPUTED_VALUE"""),83.0)</f>
        <v>83</v>
      </c>
      <c r="CJ3" s="78">
        <f>IFERROR(__xludf.DUMMYFUNCTION("""COMPUTED_VALUE"""),84.0)</f>
        <v>84</v>
      </c>
      <c r="CK3" s="78">
        <f>IFERROR(__xludf.DUMMYFUNCTION("""COMPUTED_VALUE"""),85.0)</f>
        <v>85</v>
      </c>
      <c r="CL3" s="78">
        <f>IFERROR(__xludf.DUMMYFUNCTION("""COMPUTED_VALUE"""),95.0)</f>
        <v>95</v>
      </c>
      <c r="CM3" s="78">
        <f>IFERROR(__xludf.DUMMYFUNCTION("""COMPUTED_VALUE"""),96.0)</f>
        <v>96</v>
      </c>
      <c r="CN3" s="78">
        <f>IFERROR(__xludf.DUMMYFUNCTION("""COMPUTED_VALUE"""),97.0)</f>
        <v>97</v>
      </c>
      <c r="CO3" s="78">
        <f>IFERROR(__xludf.DUMMYFUNCTION("""COMPUTED_VALUE"""),98.0)</f>
        <v>98</v>
      </c>
      <c r="CP3" s="78">
        <f>IFERROR(__xludf.DUMMYFUNCTION("""COMPUTED_VALUE"""),99.0)</f>
        <v>99</v>
      </c>
      <c r="CQ3" s="78">
        <f>IFERROR(__xludf.DUMMYFUNCTION("""COMPUTED_VALUE"""),100.0)</f>
        <v>100</v>
      </c>
      <c r="CR3" s="78">
        <f>IFERROR(__xludf.DUMMYFUNCTION("""COMPUTED_VALUE"""),101.0)</f>
        <v>101</v>
      </c>
      <c r="CS3" s="78"/>
      <c r="CT3" s="78" t="str">
        <f>IFERROR(__xludf.DUMMYFUNCTION("""COMPUTED_VALUE"""),"#REF!")</f>
        <v>#REF!</v>
      </c>
      <c r="CU3" s="78" t="str">
        <f>IFERROR(__xludf.DUMMYFUNCTION("""COMPUTED_VALUE"""),"#REF!")</f>
        <v>#REF!</v>
      </c>
      <c r="CV3" s="78" t="str">
        <f>IFERROR(__xludf.DUMMYFUNCTION("""COMPUTED_VALUE"""),"#REF!")</f>
        <v>#REF!</v>
      </c>
      <c r="CW3" s="78" t="str">
        <f>IFERROR(__xludf.DUMMYFUNCTION("""COMPUTED_VALUE"""),"#REF!")</f>
        <v>#REF!</v>
      </c>
      <c r="CX3" s="78" t="str">
        <f>IFERROR(__xludf.DUMMYFUNCTION("""COMPUTED_VALUE"""),"#REF!")</f>
        <v>#REF!</v>
      </c>
      <c r="CY3" s="78" t="str">
        <f>IFERROR(__xludf.DUMMYFUNCTION("""COMPUTED_VALUE"""),"#REF!")</f>
        <v>#REF!</v>
      </c>
      <c r="CZ3" s="78" t="str">
        <f>IFERROR(__xludf.DUMMYFUNCTION("""COMPUTED_VALUE"""),"#REF!")</f>
        <v>#REF!</v>
      </c>
      <c r="DA3" s="78" t="str">
        <f>IFERROR(__xludf.DUMMYFUNCTION("""COMPUTED_VALUE"""),"#REF!")</f>
        <v>#REF!</v>
      </c>
      <c r="DB3" s="78" t="str">
        <f>IFERROR(__xludf.DUMMYFUNCTION("""COMPUTED_VALUE"""),"#REF!")</f>
        <v>#REF!</v>
      </c>
      <c r="DC3" s="78" t="str">
        <f>IFERROR(__xludf.DUMMYFUNCTION("""COMPUTED_VALUE"""),"#REF!")</f>
        <v>#REF!</v>
      </c>
      <c r="DD3" s="78" t="str">
        <f>IFERROR(__xludf.DUMMYFUNCTION("""COMPUTED_VALUE"""),"#REF!")</f>
        <v>#REF!</v>
      </c>
      <c r="DE3" s="78" t="str">
        <f>IFERROR(__xludf.DUMMYFUNCTION("""COMPUTED_VALUE"""),"#REF!")</f>
        <v>#REF!</v>
      </c>
      <c r="DF3" s="78" t="str">
        <f>IFERROR(__xludf.DUMMYFUNCTION("""COMPUTED_VALUE"""),"#REF!")</f>
        <v>#REF!</v>
      </c>
      <c r="DG3" s="78" t="str">
        <f>IFERROR(__xludf.DUMMYFUNCTION("""COMPUTED_VALUE"""),"#REF!")</f>
        <v>#REF!</v>
      </c>
      <c r="DH3" s="78" t="str">
        <f>IFERROR(__xludf.DUMMYFUNCTION("""COMPUTED_VALUE"""),"#REF!")</f>
        <v>#REF!</v>
      </c>
      <c r="DI3" s="78" t="str">
        <f>IFERROR(__xludf.DUMMYFUNCTION("""COMPUTED_VALUE"""),"#REF!")</f>
        <v>#REF!</v>
      </c>
      <c r="DJ3" s="78" t="str">
        <f>IFERROR(__xludf.DUMMYFUNCTION("""COMPUTED_VALUE"""),"#REF!")</f>
        <v>#REF!</v>
      </c>
      <c r="DK3" s="78" t="str">
        <f>IFERROR(__xludf.DUMMYFUNCTION("""COMPUTED_VALUE"""),"#REF!")</f>
        <v>#REF!</v>
      </c>
      <c r="DL3" s="78" t="str">
        <f>IFERROR(__xludf.DUMMYFUNCTION("""COMPUTED_VALUE"""),"#REF!")</f>
        <v>#REF!</v>
      </c>
      <c r="DM3" s="78" t="str">
        <f>IFERROR(__xludf.DUMMYFUNCTION("""COMPUTED_VALUE"""),"#REF!")</f>
        <v>#REF!</v>
      </c>
      <c r="DN3" s="78" t="str">
        <f>IFERROR(__xludf.DUMMYFUNCTION("""COMPUTED_VALUE"""),"#REF!")</f>
        <v>#REF!</v>
      </c>
      <c r="DO3" s="78" t="str">
        <f>IFERROR(__xludf.DUMMYFUNCTION("""COMPUTED_VALUE"""),"#REF!")</f>
        <v>#REF!</v>
      </c>
      <c r="DP3" s="78" t="str">
        <f>IFERROR(__xludf.DUMMYFUNCTION("""COMPUTED_VALUE"""),"#REF!")</f>
        <v>#REF!</v>
      </c>
      <c r="DQ3" s="78" t="str">
        <f>IFERROR(__xludf.DUMMYFUNCTION("""COMPUTED_VALUE"""),"#REF!")</f>
        <v>#REF!</v>
      </c>
      <c r="DR3" s="78"/>
      <c r="DS3" s="78"/>
      <c r="DT3" s="78"/>
    </row>
    <row r="4" ht="41.25" customHeight="1">
      <c r="A4" s="82"/>
      <c r="B4" s="83" t="str">
        <f>IFERROR(__xludf.DUMMYFUNCTION("""COMPUTED_VALUE"""),"String")</f>
        <v>String</v>
      </c>
      <c r="C4" s="83" t="str">
        <f>IFERROR(__xludf.DUMMYFUNCTION("""COMPUTED_VALUE"""),"Match")</f>
        <v>Match</v>
      </c>
      <c r="D4" s="83" t="str">
        <f>IFERROR(__xludf.DUMMYFUNCTION("""COMPUTED_VALUE"""),"Name")</f>
        <v>Name</v>
      </c>
      <c r="E4" s="83" t="str">
        <f>IFERROR(__xludf.DUMMYFUNCTION("""COMPUTED_VALUE"""),"JP Name")</f>
        <v>JP Name</v>
      </c>
      <c r="F4" s="83" t="str">
        <f>IFERROR(__xludf.DUMMYFUNCTION("""COMPUTED_VALUE"""),"AP")</f>
        <v>AP</v>
      </c>
      <c r="G4" s="83" t="str">
        <f>IFERROR(__xludf.DUMMYFUNCTION("""COMPUTED_VALUE"""),"Runs")</f>
        <v>Runs</v>
      </c>
      <c r="H4" s="84" t="str">
        <f>IFERROR(__xludf.DUMMYFUNCTION("""COMPUTED_VALUE"""),"")</f>
        <v/>
      </c>
      <c r="I4" s="84" t="str">
        <f>IFERROR(__xludf.DUMMYFUNCTION("""COMPUTED_VALUE"""),"")</f>
        <v/>
      </c>
      <c r="J4" s="84" t="str">
        <f>IFERROR(__xludf.DUMMYFUNCTION("""COMPUTED_VALUE"""),"")</f>
        <v/>
      </c>
      <c r="K4" s="84" t="str">
        <f>IFERROR(__xludf.DUMMYFUNCTION("""COMPUTED_VALUE"""),"")</f>
        <v/>
      </c>
      <c r="L4" s="84" t="str">
        <f>IFERROR(__xludf.DUMMYFUNCTION("""COMPUTED_VALUE"""),"")</f>
        <v/>
      </c>
      <c r="M4" s="84" t="str">
        <f>IFERROR(__xludf.DUMMYFUNCTION("""COMPUTED_VALUE"""),"")</f>
        <v/>
      </c>
      <c r="N4" s="84" t="str">
        <f>IFERROR(__xludf.DUMMYFUNCTION("""COMPUTED_VALUE"""),"")</f>
        <v/>
      </c>
      <c r="O4" s="84" t="str">
        <f>IFERROR(__xludf.DUMMYFUNCTION("""COMPUTED_VALUE"""),"")</f>
        <v/>
      </c>
      <c r="P4" s="84" t="str">
        <f>IFERROR(__xludf.DUMMYFUNCTION("""COMPUTED_VALUE"""),"")</f>
        <v/>
      </c>
      <c r="Q4" s="84" t="str">
        <f>IFERROR(__xludf.DUMMYFUNCTION("""COMPUTED_VALUE"""),"")</f>
        <v/>
      </c>
      <c r="R4" s="84" t="str">
        <f>IFERROR(__xludf.DUMMYFUNCTION("""COMPUTED_VALUE"""),"")</f>
        <v/>
      </c>
      <c r="S4" s="84" t="str">
        <f>IFERROR(__xludf.DUMMYFUNCTION("""COMPUTED_VALUE"""),"")</f>
        <v/>
      </c>
      <c r="T4" s="84" t="str">
        <f>IFERROR(__xludf.DUMMYFUNCTION("""COMPUTED_VALUE"""),"")</f>
        <v/>
      </c>
      <c r="U4" s="84" t="str">
        <f>IFERROR(__xludf.DUMMYFUNCTION("""COMPUTED_VALUE"""),"")</f>
        <v/>
      </c>
      <c r="V4" s="84" t="str">
        <f>IFERROR(__xludf.DUMMYFUNCTION("""COMPUTED_VALUE"""),"")</f>
        <v/>
      </c>
      <c r="W4" s="84" t="str">
        <f>IFERROR(__xludf.DUMMYFUNCTION("""COMPUTED_VALUE"""),"")</f>
        <v/>
      </c>
      <c r="X4" s="84" t="str">
        <f>IFERROR(__xludf.DUMMYFUNCTION("""COMPUTED_VALUE"""),"")</f>
        <v/>
      </c>
      <c r="Y4" s="84" t="str">
        <f>IFERROR(__xludf.DUMMYFUNCTION("""COMPUTED_VALUE"""),"")</f>
        <v/>
      </c>
      <c r="Z4" s="84" t="str">
        <f>IFERROR(__xludf.DUMMYFUNCTION("""COMPUTED_VALUE"""),"")</f>
        <v/>
      </c>
      <c r="AA4" s="84" t="str">
        <f>IFERROR(__xludf.DUMMYFUNCTION("""COMPUTED_VALUE"""),"")</f>
        <v/>
      </c>
      <c r="AB4" s="84" t="str">
        <f>IFERROR(__xludf.DUMMYFUNCTION("""COMPUTED_VALUE"""),"")</f>
        <v/>
      </c>
      <c r="AC4" s="84" t="str">
        <f>IFERROR(__xludf.DUMMYFUNCTION("""COMPUTED_VALUE"""),"")</f>
        <v/>
      </c>
      <c r="AD4" s="84" t="str">
        <f>IFERROR(__xludf.DUMMYFUNCTION("""COMPUTED_VALUE"""),"")</f>
        <v/>
      </c>
      <c r="AE4" s="84" t="str">
        <f>IFERROR(__xludf.DUMMYFUNCTION("""COMPUTED_VALUE"""),"")</f>
        <v/>
      </c>
      <c r="AF4" s="84" t="str">
        <f>IFERROR(__xludf.DUMMYFUNCTION("""COMPUTED_VALUE"""),"")</f>
        <v/>
      </c>
      <c r="AG4" s="84" t="str">
        <f>IFERROR(__xludf.DUMMYFUNCTION("""COMPUTED_VALUE"""),"")</f>
        <v/>
      </c>
      <c r="AH4" s="84" t="str">
        <f>IFERROR(__xludf.DUMMYFUNCTION("""COMPUTED_VALUE"""),"")</f>
        <v/>
      </c>
      <c r="AI4" s="85" t="str">
        <f>IFERROR(__xludf.DUMMYFUNCTION("""COMPUTED_VALUE"""),"")</f>
        <v/>
      </c>
      <c r="AJ4" s="85" t="str">
        <f>IFERROR(__xludf.DUMMYFUNCTION("""COMPUTED_VALUE"""),"")</f>
        <v/>
      </c>
      <c r="AK4" s="85" t="str">
        <f>IFERROR(__xludf.DUMMYFUNCTION("""COMPUTED_VALUE"""),"")</f>
        <v/>
      </c>
      <c r="AL4" s="86" t="str">
        <f>IFERROR(__xludf.DUMMYFUNCTION("""COMPUTED_VALUE"""),"")</f>
        <v/>
      </c>
      <c r="AM4" s="86" t="str">
        <f>IFERROR(__xludf.DUMMYFUNCTION("""COMPUTED_VALUE"""),"")</f>
        <v/>
      </c>
      <c r="AN4" s="86" t="str">
        <f>IFERROR(__xludf.DUMMYFUNCTION("""COMPUTED_VALUE"""),"")</f>
        <v/>
      </c>
      <c r="AO4" s="86" t="str">
        <f>IFERROR(__xludf.DUMMYFUNCTION("""COMPUTED_VALUE"""),"")</f>
        <v/>
      </c>
      <c r="AP4" s="86" t="str">
        <f>IFERROR(__xludf.DUMMYFUNCTION("""COMPUTED_VALUE"""),"")</f>
        <v/>
      </c>
      <c r="AQ4" s="86" t="str">
        <f>IFERROR(__xludf.DUMMYFUNCTION("""COMPUTED_VALUE"""),"")</f>
        <v/>
      </c>
      <c r="AR4" s="86" t="str">
        <f>IFERROR(__xludf.DUMMYFUNCTION("""COMPUTED_VALUE"""),"")</f>
        <v/>
      </c>
      <c r="AS4" s="86" t="str">
        <f>IFERROR(__xludf.DUMMYFUNCTION("""COMPUTED_VALUE"""),"")</f>
        <v/>
      </c>
      <c r="AT4" s="86" t="str">
        <f>IFERROR(__xludf.DUMMYFUNCTION("""COMPUTED_VALUE"""),"")</f>
        <v/>
      </c>
      <c r="AU4" s="86" t="str">
        <f>IFERROR(__xludf.DUMMYFUNCTION("""COMPUTED_VALUE"""),"")</f>
        <v/>
      </c>
      <c r="AV4" s="86" t="str">
        <f>IFERROR(__xludf.DUMMYFUNCTION("""COMPUTED_VALUE"""),"")</f>
        <v/>
      </c>
      <c r="AW4" s="86" t="str">
        <f>IFERROR(__xludf.DUMMYFUNCTION("""COMPUTED_VALUE"""),"")</f>
        <v/>
      </c>
      <c r="AX4" s="86" t="str">
        <f>IFERROR(__xludf.DUMMYFUNCTION("""COMPUTED_VALUE"""),"")</f>
        <v/>
      </c>
      <c r="AY4" s="86" t="str">
        <f>IFERROR(__xludf.DUMMYFUNCTION("""COMPUTED_VALUE"""),"")</f>
        <v/>
      </c>
      <c r="AZ4" s="86" t="str">
        <f>IFERROR(__xludf.DUMMYFUNCTION("""COMPUTED_VALUE"""),"")</f>
        <v/>
      </c>
      <c r="BA4" s="86" t="str">
        <f>IFERROR(__xludf.DUMMYFUNCTION("""COMPUTED_VALUE"""),"")</f>
        <v/>
      </c>
      <c r="BB4" s="86" t="str">
        <f>IFERROR(__xludf.DUMMYFUNCTION("""COMPUTED_VALUE"""),"")</f>
        <v/>
      </c>
      <c r="BC4" s="86" t="str">
        <f>IFERROR(__xludf.DUMMYFUNCTION("""COMPUTED_VALUE"""),"")</f>
        <v/>
      </c>
      <c r="BD4" s="86" t="str">
        <f>IFERROR(__xludf.DUMMYFUNCTION("""COMPUTED_VALUE"""),"")</f>
        <v/>
      </c>
      <c r="BE4" s="86" t="str">
        <f>IFERROR(__xludf.DUMMYFUNCTION("""COMPUTED_VALUE"""),"")</f>
        <v/>
      </c>
      <c r="BF4" s="86" t="str">
        <f>IFERROR(__xludf.DUMMYFUNCTION("""COMPUTED_VALUE"""),"")</f>
        <v/>
      </c>
      <c r="BG4" s="86" t="str">
        <f>IFERROR(__xludf.DUMMYFUNCTION("""COMPUTED_VALUE"""),"")</f>
        <v/>
      </c>
      <c r="BH4" s="86" t="str">
        <f>IFERROR(__xludf.DUMMYFUNCTION("""COMPUTED_VALUE"""),"")</f>
        <v/>
      </c>
      <c r="BI4" s="86" t="str">
        <f>IFERROR(__xludf.DUMMYFUNCTION("""COMPUTED_VALUE"""),"")</f>
        <v/>
      </c>
      <c r="BJ4" s="86" t="str">
        <f>IFERROR(__xludf.DUMMYFUNCTION("""COMPUTED_VALUE"""),"")</f>
        <v/>
      </c>
      <c r="BK4" s="86" t="str">
        <f>IFERROR(__xludf.DUMMYFUNCTION("""COMPUTED_VALUE"""),"")</f>
        <v/>
      </c>
      <c r="BL4" s="86" t="str">
        <f>IFERROR(__xludf.DUMMYFUNCTION("""COMPUTED_VALUE"""),"")</f>
        <v/>
      </c>
      <c r="BM4" s="86" t="str">
        <f>IFERROR(__xludf.DUMMYFUNCTION("""COMPUTED_VALUE"""),"")</f>
        <v/>
      </c>
      <c r="BN4" s="86" t="str">
        <f>IFERROR(__xludf.DUMMYFUNCTION("""COMPUTED_VALUE"""),"")</f>
        <v/>
      </c>
      <c r="BO4" s="86" t="str">
        <f>IFERROR(__xludf.DUMMYFUNCTION("""COMPUTED_VALUE"""),"")</f>
        <v/>
      </c>
      <c r="BP4" s="86" t="str">
        <f>IFERROR(__xludf.DUMMYFUNCTION("""COMPUTED_VALUE"""),"")</f>
        <v/>
      </c>
      <c r="BQ4" s="86" t="str">
        <f>IFERROR(__xludf.DUMMYFUNCTION("""COMPUTED_VALUE"""),"")</f>
        <v/>
      </c>
      <c r="BR4" s="86" t="str">
        <f>IFERROR(__xludf.DUMMYFUNCTION("""COMPUTED_VALUE"""),"")</f>
        <v/>
      </c>
      <c r="BS4" s="86" t="str">
        <f>IFERROR(__xludf.DUMMYFUNCTION("""COMPUTED_VALUE"""),"")</f>
        <v/>
      </c>
      <c r="BT4" s="86" t="str">
        <f>IFERROR(__xludf.DUMMYFUNCTION("""COMPUTED_VALUE"""),"")</f>
        <v/>
      </c>
      <c r="BU4" s="86" t="str">
        <f>IFERROR(__xludf.DUMMYFUNCTION("""COMPUTED_VALUE"""),"")</f>
        <v/>
      </c>
      <c r="BV4" s="86" t="str">
        <f>IFERROR(__xludf.DUMMYFUNCTION("""COMPUTED_VALUE"""),"")</f>
        <v/>
      </c>
      <c r="BW4" s="86" t="str">
        <f>IFERROR(__xludf.DUMMYFUNCTION("""COMPUTED_VALUE"""),"")</f>
        <v/>
      </c>
      <c r="BX4" s="86" t="str">
        <f>IFERROR(__xludf.DUMMYFUNCTION("""COMPUTED_VALUE"""),"")</f>
        <v/>
      </c>
      <c r="BY4" s="86" t="str">
        <f>IFERROR(__xludf.DUMMYFUNCTION("""COMPUTED_VALUE"""),"")</f>
        <v/>
      </c>
      <c r="BZ4" s="86" t="str">
        <f>IFERROR(__xludf.DUMMYFUNCTION("""COMPUTED_VALUE"""),"")</f>
        <v/>
      </c>
      <c r="CA4" s="86" t="str">
        <f>IFERROR(__xludf.DUMMYFUNCTION("""COMPUTED_VALUE"""),"")</f>
        <v/>
      </c>
      <c r="CB4" s="86" t="str">
        <f>IFERROR(__xludf.DUMMYFUNCTION("""COMPUTED_VALUE"""),"")</f>
        <v/>
      </c>
      <c r="CC4" s="86" t="str">
        <f>IFERROR(__xludf.DUMMYFUNCTION("""COMPUTED_VALUE"""),"")</f>
        <v/>
      </c>
      <c r="CD4" s="86" t="str">
        <f>IFERROR(__xludf.DUMMYFUNCTION("""COMPUTED_VALUE"""),"")</f>
        <v/>
      </c>
      <c r="CE4" s="86" t="str">
        <f>IFERROR(__xludf.DUMMYFUNCTION("""COMPUTED_VALUE"""),"")</f>
        <v/>
      </c>
      <c r="CF4" s="86" t="str">
        <f>IFERROR(__xludf.DUMMYFUNCTION("""COMPUTED_VALUE"""),"")</f>
        <v/>
      </c>
      <c r="CG4" s="86" t="str">
        <f>IFERROR(__xludf.DUMMYFUNCTION("""COMPUTED_VALUE"""),"")</f>
        <v/>
      </c>
      <c r="CH4" s="86" t="str">
        <f>IFERROR(__xludf.DUMMYFUNCTION("""COMPUTED_VALUE"""),"")</f>
        <v/>
      </c>
      <c r="CI4" s="86" t="str">
        <f>IFERROR(__xludf.DUMMYFUNCTION("""COMPUTED_VALUE"""),"")</f>
        <v/>
      </c>
      <c r="CJ4" s="86" t="str">
        <f>IFERROR(__xludf.DUMMYFUNCTION("""COMPUTED_VALUE"""),"")</f>
        <v/>
      </c>
      <c r="CK4" s="86" t="str">
        <f>IFERROR(__xludf.DUMMYFUNCTION("""COMPUTED_VALUE"""),"")</f>
        <v/>
      </c>
      <c r="CL4" s="86" t="str">
        <f>IFERROR(__xludf.DUMMYFUNCTION("""COMPUTED_VALUE"""),"")</f>
        <v/>
      </c>
      <c r="CM4" s="86" t="str">
        <f>IFERROR(__xludf.DUMMYFUNCTION("""COMPUTED_VALUE"""),"")</f>
        <v/>
      </c>
      <c r="CN4" s="86" t="str">
        <f>IFERROR(__xludf.DUMMYFUNCTION("""COMPUTED_VALUE"""),"")</f>
        <v/>
      </c>
      <c r="CO4" s="86" t="str">
        <f>IFERROR(__xludf.DUMMYFUNCTION("""COMPUTED_VALUE"""),"")</f>
        <v/>
      </c>
      <c r="CP4" s="86" t="str">
        <f>IFERROR(__xludf.DUMMYFUNCTION("""COMPUTED_VALUE"""),"")</f>
        <v/>
      </c>
      <c r="CQ4" s="86" t="str">
        <f>IFERROR(__xludf.DUMMYFUNCTION("""COMPUTED_VALUE"""),"")</f>
        <v/>
      </c>
      <c r="CR4" s="86" t="str">
        <f>IFERROR(__xludf.DUMMYFUNCTION("""COMPUTED_VALUE"""),"")</f>
        <v/>
      </c>
      <c r="CS4" s="86" t="str">
        <f>IFERROR(__xludf.DUMMYFUNCTION("""COMPUTED_VALUE"""),"")</f>
        <v/>
      </c>
      <c r="CT4" s="86" t="str">
        <f>IFERROR(__xludf.DUMMYFUNCTION("""COMPUTED_VALUE"""),"")</f>
        <v/>
      </c>
      <c r="CU4" s="86" t="str">
        <f>IFERROR(__xludf.DUMMYFUNCTION("""COMPUTED_VALUE"""),"")</f>
        <v/>
      </c>
      <c r="CV4" s="86" t="str">
        <f>IFERROR(__xludf.DUMMYFUNCTION("""COMPUTED_VALUE"""),"")</f>
        <v/>
      </c>
      <c r="CW4" s="86" t="str">
        <f>IFERROR(__xludf.DUMMYFUNCTION("""COMPUTED_VALUE"""),"")</f>
        <v/>
      </c>
      <c r="CX4" s="86" t="str">
        <f>IFERROR(__xludf.DUMMYFUNCTION("""COMPUTED_VALUE"""),"")</f>
        <v/>
      </c>
      <c r="CY4" s="86" t="str">
        <f>IFERROR(__xludf.DUMMYFUNCTION("""COMPUTED_VALUE"""),"")</f>
        <v/>
      </c>
      <c r="CZ4" s="86" t="str">
        <f>IFERROR(__xludf.DUMMYFUNCTION("""COMPUTED_VALUE"""),"")</f>
        <v/>
      </c>
      <c r="DA4" s="86" t="str">
        <f>IFERROR(__xludf.DUMMYFUNCTION("""COMPUTED_VALUE"""),"")</f>
        <v/>
      </c>
      <c r="DB4" s="86" t="str">
        <f>IFERROR(__xludf.DUMMYFUNCTION("""COMPUTED_VALUE"""),"")</f>
        <v/>
      </c>
      <c r="DC4" s="86" t="str">
        <f>IFERROR(__xludf.DUMMYFUNCTION("""COMPUTED_VALUE"""),"")</f>
        <v/>
      </c>
      <c r="DD4" s="86" t="str">
        <f>IFERROR(__xludf.DUMMYFUNCTION("""COMPUTED_VALUE"""),"")</f>
        <v/>
      </c>
      <c r="DE4" s="86" t="str">
        <f>IFERROR(__xludf.DUMMYFUNCTION("""COMPUTED_VALUE"""),"")</f>
        <v/>
      </c>
      <c r="DF4" s="86" t="str">
        <f>IFERROR(__xludf.DUMMYFUNCTION("""COMPUTED_VALUE"""),"")</f>
        <v/>
      </c>
      <c r="DG4" s="86" t="str">
        <f>IFERROR(__xludf.DUMMYFUNCTION("""COMPUTED_VALUE"""),"")</f>
        <v/>
      </c>
      <c r="DH4" s="86" t="str">
        <f>IFERROR(__xludf.DUMMYFUNCTION("""COMPUTED_VALUE"""),"")</f>
        <v/>
      </c>
      <c r="DI4" s="86" t="str">
        <f>IFERROR(__xludf.DUMMYFUNCTION("""COMPUTED_VALUE"""),"")</f>
        <v/>
      </c>
      <c r="DJ4" s="86" t="str">
        <f>IFERROR(__xludf.DUMMYFUNCTION("""COMPUTED_VALUE"""),"")</f>
        <v/>
      </c>
      <c r="DK4" s="86" t="str">
        <f>IFERROR(__xludf.DUMMYFUNCTION("""COMPUTED_VALUE"""),"")</f>
        <v/>
      </c>
      <c r="DL4" s="86" t="str">
        <f>IFERROR(__xludf.DUMMYFUNCTION("""COMPUTED_VALUE"""),"")</f>
        <v/>
      </c>
      <c r="DM4" s="86" t="str">
        <f>IFERROR(__xludf.DUMMYFUNCTION("""COMPUTED_VALUE"""),"")</f>
        <v/>
      </c>
      <c r="DN4" s="86" t="str">
        <f>IFERROR(__xludf.DUMMYFUNCTION("""COMPUTED_VALUE"""),"")</f>
        <v/>
      </c>
      <c r="DO4" s="86" t="str">
        <f>IFERROR(__xludf.DUMMYFUNCTION("""COMPUTED_VALUE"""),"")</f>
        <v/>
      </c>
      <c r="DP4" s="86" t="str">
        <f>IFERROR(__xludf.DUMMYFUNCTION("""COMPUTED_VALUE"""),"")</f>
        <v/>
      </c>
      <c r="DQ4" s="86" t="str">
        <f>IFERROR(__xludf.DUMMYFUNCTION("""COMPUTED_VALUE"""),"")</f>
        <v/>
      </c>
      <c r="DR4" s="86"/>
      <c r="DS4" s="86"/>
      <c r="DT4" s="86"/>
    </row>
    <row r="5" hidden="1">
      <c r="A5" s="87" t="str">
        <f>IFERROR(__xludf.DUMMYFUNCTION("""COMPUTED_VALUE"""),"EMBER GATHERING")</f>
        <v>EMBER GATHERING</v>
      </c>
      <c r="B5" s="83" t="str">
        <f>IFERROR(__xludf.DUMMYFUNCTION("""COMPUTED_VALUE"""),"EMB1")</f>
        <v>EMB1</v>
      </c>
      <c r="C5" s="82"/>
      <c r="D5" s="88" t="str">
        <f>IFERROR(__xludf.DUMMYFUNCTION("""COMPUTED_VALUE"""),"Monday/Thursday- Novice")</f>
        <v>Monday/Thursday- Novice</v>
      </c>
      <c r="E5" s="82"/>
      <c r="F5" s="82"/>
      <c r="G5" s="82"/>
      <c r="H5" s="89"/>
      <c r="I5" s="90"/>
      <c r="J5" s="91"/>
      <c r="K5" s="89"/>
      <c r="L5" s="90"/>
      <c r="M5" s="91"/>
      <c r="N5" s="89"/>
      <c r="O5" s="90"/>
      <c r="P5" s="91"/>
      <c r="Q5" s="89"/>
      <c r="R5" s="90"/>
      <c r="S5" s="91"/>
      <c r="T5" s="89"/>
      <c r="U5" s="90"/>
      <c r="V5" s="91"/>
      <c r="W5" s="89"/>
      <c r="X5" s="90"/>
      <c r="Y5" s="91"/>
      <c r="Z5" s="89"/>
      <c r="AA5" s="90"/>
      <c r="AB5" s="91"/>
      <c r="AC5" s="89"/>
      <c r="AD5" s="90"/>
      <c r="AE5" s="91"/>
      <c r="AF5" s="89"/>
      <c r="AG5" s="90"/>
      <c r="AH5" s="91"/>
      <c r="AI5" s="92"/>
      <c r="AJ5" s="93"/>
      <c r="AK5" s="94"/>
      <c r="AL5" s="93"/>
      <c r="AM5" s="93"/>
      <c r="AN5" s="94"/>
      <c r="AO5" s="93"/>
      <c r="AP5" s="93"/>
      <c r="AQ5" s="94"/>
      <c r="AR5" s="93"/>
      <c r="AS5" s="93"/>
      <c r="AT5" s="94"/>
      <c r="AU5" s="93"/>
      <c r="AV5" s="93"/>
      <c r="AW5" s="94"/>
      <c r="AX5" s="93"/>
      <c r="AY5" s="93"/>
      <c r="AZ5" s="94"/>
      <c r="BA5" s="93"/>
      <c r="BB5" s="93"/>
      <c r="BC5" s="94"/>
      <c r="BD5" s="93"/>
      <c r="BE5" s="93"/>
      <c r="BF5" s="94"/>
      <c r="BG5" s="92"/>
      <c r="BH5" s="93"/>
      <c r="BI5" s="94"/>
      <c r="BJ5" s="93"/>
      <c r="BK5" s="93"/>
      <c r="BL5" s="94"/>
      <c r="BM5" s="93"/>
      <c r="BN5" s="93"/>
      <c r="BO5" s="94"/>
      <c r="BP5" s="93"/>
      <c r="BQ5" s="93"/>
      <c r="BR5" s="94"/>
      <c r="BS5" s="93"/>
      <c r="BT5" s="93"/>
      <c r="BU5" s="94"/>
      <c r="BV5" s="93"/>
      <c r="BW5" s="93"/>
      <c r="BX5" s="94"/>
      <c r="BY5" s="93"/>
      <c r="BZ5" s="93"/>
      <c r="CA5" s="94"/>
      <c r="CB5" s="92"/>
      <c r="CC5" s="93"/>
      <c r="CD5" s="94"/>
      <c r="CE5" s="93"/>
      <c r="CF5" s="93"/>
      <c r="CG5" s="94"/>
      <c r="CH5" s="93"/>
      <c r="CI5" s="93"/>
      <c r="CJ5" s="94"/>
      <c r="CK5" s="93"/>
      <c r="CL5" s="93"/>
      <c r="CM5" s="94"/>
      <c r="CN5" s="93"/>
      <c r="CO5" s="93"/>
      <c r="CP5" s="94"/>
      <c r="CQ5" s="93"/>
      <c r="CR5" s="93"/>
      <c r="CS5" s="94"/>
      <c r="CT5" s="93"/>
      <c r="CU5" s="93"/>
      <c r="CV5" s="94"/>
      <c r="CW5" s="93"/>
      <c r="CX5" s="93"/>
      <c r="CY5" s="94"/>
      <c r="CZ5" s="93"/>
      <c r="DA5" s="93"/>
      <c r="DB5" s="94"/>
      <c r="DC5" s="93"/>
      <c r="DD5" s="93"/>
      <c r="DE5" s="94"/>
      <c r="DF5" s="93"/>
      <c r="DG5" s="93"/>
      <c r="DH5" s="94"/>
      <c r="DI5" s="93"/>
      <c r="DJ5" s="93"/>
      <c r="DK5" s="94"/>
      <c r="DL5" s="93"/>
      <c r="DM5" s="93"/>
      <c r="DN5" s="94"/>
      <c r="DO5" s="93"/>
      <c r="DP5" s="93"/>
      <c r="DQ5" s="94"/>
      <c r="DR5" s="93"/>
      <c r="DS5" s="93"/>
      <c r="DT5" s="94"/>
    </row>
    <row r="6" hidden="1">
      <c r="B6" s="83" t="str">
        <f>IFERROR(__xludf.DUMMYFUNCTION("""COMPUTED_VALUE"""),"EMB2")</f>
        <v>EMB2</v>
      </c>
      <c r="C6" s="82"/>
      <c r="D6" s="88" t="str">
        <f>IFERROR(__xludf.DUMMYFUNCTION("""COMPUTED_VALUE"""),"Monday/Thursday- Intermediate")</f>
        <v>Monday/Thursday- Intermediate</v>
      </c>
      <c r="E6" s="82"/>
      <c r="F6" s="82"/>
      <c r="G6" s="82"/>
      <c r="H6" s="95"/>
      <c r="I6" s="96"/>
      <c r="J6" s="97"/>
      <c r="K6" s="95"/>
      <c r="L6" s="96"/>
      <c r="M6" s="97"/>
      <c r="N6" s="95"/>
      <c r="O6" s="96"/>
      <c r="P6" s="97"/>
      <c r="Q6" s="95"/>
      <c r="R6" s="96"/>
      <c r="S6" s="97"/>
      <c r="T6" s="95"/>
      <c r="U6" s="96"/>
      <c r="V6" s="97"/>
      <c r="W6" s="95"/>
      <c r="X6" s="96"/>
      <c r="Y6" s="97"/>
      <c r="Z6" s="95"/>
      <c r="AA6" s="96"/>
      <c r="AB6" s="97"/>
      <c r="AC6" s="95"/>
      <c r="AD6" s="96"/>
      <c r="AE6" s="97"/>
      <c r="AF6" s="95"/>
      <c r="AG6" s="96"/>
      <c r="AH6" s="97"/>
      <c r="AI6" s="98"/>
      <c r="AJ6" s="99"/>
      <c r="AK6" s="100"/>
      <c r="AL6" s="99"/>
      <c r="AM6" s="99"/>
      <c r="AN6" s="100"/>
      <c r="AO6" s="99"/>
      <c r="AP6" s="99"/>
      <c r="AQ6" s="100"/>
      <c r="AR6" s="99"/>
      <c r="AS6" s="99"/>
      <c r="AT6" s="100"/>
      <c r="AU6" s="99"/>
      <c r="AV6" s="99"/>
      <c r="AW6" s="100"/>
      <c r="AX6" s="99"/>
      <c r="AY6" s="99"/>
      <c r="AZ6" s="100"/>
      <c r="BA6" s="99"/>
      <c r="BB6" s="99"/>
      <c r="BC6" s="100"/>
      <c r="BD6" s="99"/>
      <c r="BE6" s="99"/>
      <c r="BF6" s="100"/>
      <c r="BG6" s="98"/>
      <c r="BH6" s="99"/>
      <c r="BI6" s="100"/>
      <c r="BJ6" s="99"/>
      <c r="BK6" s="99"/>
      <c r="BL6" s="100"/>
      <c r="BM6" s="99"/>
      <c r="BN6" s="99"/>
      <c r="BO6" s="100"/>
      <c r="BP6" s="99"/>
      <c r="BQ6" s="99"/>
      <c r="BR6" s="100"/>
      <c r="BS6" s="99"/>
      <c r="BT6" s="99"/>
      <c r="BU6" s="100"/>
      <c r="BV6" s="99"/>
      <c r="BW6" s="99"/>
      <c r="BX6" s="100"/>
      <c r="BY6" s="99"/>
      <c r="BZ6" s="99"/>
      <c r="CA6" s="100"/>
      <c r="CB6" s="98"/>
      <c r="CC6" s="99"/>
      <c r="CD6" s="100"/>
      <c r="CE6" s="99"/>
      <c r="CF6" s="99"/>
      <c r="CG6" s="100"/>
      <c r="CH6" s="99"/>
      <c r="CI6" s="99"/>
      <c r="CJ6" s="100"/>
      <c r="CK6" s="99"/>
      <c r="CL6" s="99"/>
      <c r="CM6" s="100"/>
      <c r="CN6" s="99"/>
      <c r="CO6" s="99"/>
      <c r="CP6" s="100"/>
      <c r="CQ6" s="99"/>
      <c r="CR6" s="99"/>
      <c r="CS6" s="100"/>
      <c r="CT6" s="99"/>
      <c r="CU6" s="99"/>
      <c r="CV6" s="100"/>
      <c r="CW6" s="99"/>
      <c r="CX6" s="99"/>
      <c r="CY6" s="100"/>
      <c r="CZ6" s="99"/>
      <c r="DA6" s="99"/>
      <c r="DB6" s="100"/>
      <c r="DC6" s="99"/>
      <c r="DD6" s="99"/>
      <c r="DE6" s="100"/>
      <c r="DF6" s="99"/>
      <c r="DG6" s="99"/>
      <c r="DH6" s="100"/>
      <c r="DI6" s="99"/>
      <c r="DJ6" s="99"/>
      <c r="DK6" s="100"/>
      <c r="DL6" s="99"/>
      <c r="DM6" s="99"/>
      <c r="DN6" s="100"/>
      <c r="DO6" s="99"/>
      <c r="DP6" s="99"/>
      <c r="DQ6" s="100"/>
      <c r="DR6" s="99"/>
      <c r="DS6" s="99"/>
      <c r="DT6" s="100"/>
    </row>
    <row r="7" hidden="1">
      <c r="B7" s="83" t="str">
        <f>IFERROR(__xludf.DUMMYFUNCTION("""COMPUTED_VALUE"""),"EMB3")</f>
        <v>EMB3</v>
      </c>
      <c r="C7" s="82"/>
      <c r="D7" s="88" t="str">
        <f>IFERROR(__xludf.DUMMYFUNCTION("""COMPUTED_VALUE"""),"Monday/Thursday- Advanced")</f>
        <v>Monday/Thursday- Advanced</v>
      </c>
      <c r="E7" s="82"/>
      <c r="F7" s="82"/>
      <c r="G7" s="82"/>
      <c r="H7" s="95"/>
      <c r="I7" s="96"/>
      <c r="J7" s="97"/>
      <c r="K7" s="95"/>
      <c r="L7" s="96"/>
      <c r="M7" s="97"/>
      <c r="N7" s="95"/>
      <c r="O7" s="96"/>
      <c r="P7" s="97"/>
      <c r="Q7" s="95"/>
      <c r="R7" s="96"/>
      <c r="S7" s="97"/>
      <c r="T7" s="95"/>
      <c r="U7" s="96"/>
      <c r="V7" s="97"/>
      <c r="W7" s="95"/>
      <c r="X7" s="96"/>
      <c r="Y7" s="97"/>
      <c r="Z7" s="95"/>
      <c r="AA7" s="96"/>
      <c r="AB7" s="97"/>
      <c r="AC7" s="95"/>
      <c r="AD7" s="96"/>
      <c r="AE7" s="97"/>
      <c r="AF7" s="95"/>
      <c r="AG7" s="96"/>
      <c r="AH7" s="97"/>
      <c r="AI7" s="92"/>
      <c r="AJ7" s="93"/>
      <c r="AK7" s="94"/>
      <c r="AL7" s="93"/>
      <c r="AM7" s="93"/>
      <c r="AN7" s="94"/>
      <c r="AO7" s="93"/>
      <c r="AP7" s="93"/>
      <c r="AQ7" s="94"/>
      <c r="AR7" s="93"/>
      <c r="AS7" s="93"/>
      <c r="AT7" s="94"/>
      <c r="AU7" s="93"/>
      <c r="AV7" s="93"/>
      <c r="AW7" s="94"/>
      <c r="AX7" s="93"/>
      <c r="AY7" s="93"/>
      <c r="AZ7" s="94"/>
      <c r="BA7" s="93"/>
      <c r="BB7" s="93"/>
      <c r="BC7" s="94"/>
      <c r="BD7" s="93"/>
      <c r="BE7" s="93"/>
      <c r="BF7" s="94"/>
      <c r="BG7" s="92"/>
      <c r="BH7" s="93"/>
      <c r="BI7" s="94"/>
      <c r="BJ7" s="93"/>
      <c r="BK7" s="93"/>
      <c r="BL7" s="94"/>
      <c r="BM7" s="93"/>
      <c r="BN7" s="93"/>
      <c r="BO7" s="94"/>
      <c r="BP7" s="93"/>
      <c r="BQ7" s="93"/>
      <c r="BR7" s="94"/>
      <c r="BS7" s="93"/>
      <c r="BT7" s="93"/>
      <c r="BU7" s="94"/>
      <c r="BV7" s="93"/>
      <c r="BW7" s="93"/>
      <c r="BX7" s="94"/>
      <c r="BY7" s="93"/>
      <c r="BZ7" s="93"/>
      <c r="CA7" s="94"/>
      <c r="CB7" s="92"/>
      <c r="CC7" s="93"/>
      <c r="CD7" s="94"/>
      <c r="CE7" s="93"/>
      <c r="CF7" s="93"/>
      <c r="CG7" s="94"/>
      <c r="CH7" s="93"/>
      <c r="CI7" s="93"/>
      <c r="CJ7" s="94"/>
      <c r="CK7" s="93"/>
      <c r="CL7" s="93"/>
      <c r="CM7" s="94"/>
      <c r="CN7" s="93"/>
      <c r="CO7" s="93"/>
      <c r="CP7" s="94"/>
      <c r="CQ7" s="93"/>
      <c r="CR7" s="93"/>
      <c r="CS7" s="94"/>
      <c r="CT7" s="93"/>
      <c r="CU7" s="93"/>
      <c r="CV7" s="94"/>
      <c r="CW7" s="93"/>
      <c r="CX7" s="93"/>
      <c r="CY7" s="94"/>
      <c r="CZ7" s="93"/>
      <c r="DA7" s="93"/>
      <c r="DB7" s="94"/>
      <c r="DC7" s="93"/>
      <c r="DD7" s="93"/>
      <c r="DE7" s="94"/>
      <c r="DF7" s="93"/>
      <c r="DG7" s="93"/>
      <c r="DH7" s="94"/>
      <c r="DI7" s="93"/>
      <c r="DJ7" s="93"/>
      <c r="DK7" s="94"/>
      <c r="DL7" s="93"/>
      <c r="DM7" s="93"/>
      <c r="DN7" s="94"/>
      <c r="DO7" s="93"/>
      <c r="DP7" s="93"/>
      <c r="DQ7" s="94"/>
      <c r="DR7" s="93"/>
      <c r="DS7" s="93"/>
      <c r="DT7" s="94"/>
    </row>
    <row r="8" hidden="1">
      <c r="B8" s="83" t="str">
        <f>IFERROR(__xludf.DUMMYFUNCTION("""COMPUTED_VALUE"""),"EMB4")</f>
        <v>EMB4</v>
      </c>
      <c r="C8" s="82"/>
      <c r="D8" s="88" t="str">
        <f>IFERROR(__xludf.DUMMYFUNCTION("""COMPUTED_VALUE"""),"Monday/Thursday- Expert")</f>
        <v>Monday/Thursday- Expert</v>
      </c>
      <c r="E8" s="82"/>
      <c r="F8" s="82"/>
      <c r="G8" s="82"/>
      <c r="H8" s="95"/>
      <c r="I8" s="96"/>
      <c r="J8" s="97"/>
      <c r="K8" s="95"/>
      <c r="L8" s="96"/>
      <c r="M8" s="97"/>
      <c r="N8" s="95"/>
      <c r="O8" s="96"/>
      <c r="P8" s="97"/>
      <c r="Q8" s="95"/>
      <c r="R8" s="96"/>
      <c r="S8" s="97"/>
      <c r="T8" s="95"/>
      <c r="U8" s="96"/>
      <c r="V8" s="97"/>
      <c r="W8" s="95"/>
      <c r="X8" s="96"/>
      <c r="Y8" s="97"/>
      <c r="Z8" s="95"/>
      <c r="AA8" s="96"/>
      <c r="AB8" s="97"/>
      <c r="AC8" s="95"/>
      <c r="AD8" s="96"/>
      <c r="AE8" s="97"/>
      <c r="AF8" s="95"/>
      <c r="AG8" s="96"/>
      <c r="AH8" s="97"/>
      <c r="AI8" s="98"/>
      <c r="AJ8" s="99"/>
      <c r="AK8" s="100"/>
      <c r="AL8" s="99"/>
      <c r="AM8" s="99"/>
      <c r="AN8" s="100"/>
      <c r="AO8" s="99"/>
      <c r="AP8" s="99"/>
      <c r="AQ8" s="100"/>
      <c r="AR8" s="99"/>
      <c r="AS8" s="99"/>
      <c r="AT8" s="100"/>
      <c r="AU8" s="99"/>
      <c r="AV8" s="99"/>
      <c r="AW8" s="100"/>
      <c r="AX8" s="99"/>
      <c r="AY8" s="99"/>
      <c r="AZ8" s="100"/>
      <c r="BA8" s="99"/>
      <c r="BB8" s="99"/>
      <c r="BC8" s="100"/>
      <c r="BD8" s="99"/>
      <c r="BE8" s="99"/>
      <c r="BF8" s="100"/>
      <c r="BG8" s="98"/>
      <c r="BH8" s="99"/>
      <c r="BI8" s="100"/>
      <c r="BJ8" s="99"/>
      <c r="BK8" s="99"/>
      <c r="BL8" s="100"/>
      <c r="BM8" s="99"/>
      <c r="BN8" s="99"/>
      <c r="BO8" s="100"/>
      <c r="BP8" s="99"/>
      <c r="BQ8" s="99"/>
      <c r="BR8" s="100"/>
      <c r="BS8" s="99"/>
      <c r="BT8" s="99"/>
      <c r="BU8" s="100"/>
      <c r="BV8" s="99"/>
      <c r="BW8" s="99"/>
      <c r="BX8" s="100"/>
      <c r="BY8" s="99"/>
      <c r="BZ8" s="99"/>
      <c r="CA8" s="100"/>
      <c r="CB8" s="98"/>
      <c r="CC8" s="99"/>
      <c r="CD8" s="100"/>
      <c r="CE8" s="99"/>
      <c r="CF8" s="99"/>
      <c r="CG8" s="100"/>
      <c r="CH8" s="99"/>
      <c r="CI8" s="99"/>
      <c r="CJ8" s="100"/>
      <c r="CK8" s="99"/>
      <c r="CL8" s="99"/>
      <c r="CM8" s="100"/>
      <c r="CN8" s="99"/>
      <c r="CO8" s="99"/>
      <c r="CP8" s="100"/>
      <c r="CQ8" s="99"/>
      <c r="CR8" s="99"/>
      <c r="CS8" s="100"/>
      <c r="CT8" s="99"/>
      <c r="CU8" s="99"/>
      <c r="CV8" s="100"/>
      <c r="CW8" s="99"/>
      <c r="CX8" s="99"/>
      <c r="CY8" s="100"/>
      <c r="CZ8" s="99"/>
      <c r="DA8" s="99"/>
      <c r="DB8" s="100"/>
      <c r="DC8" s="99"/>
      <c r="DD8" s="99"/>
      <c r="DE8" s="100"/>
      <c r="DF8" s="99"/>
      <c r="DG8" s="99"/>
      <c r="DH8" s="100"/>
      <c r="DI8" s="99"/>
      <c r="DJ8" s="99"/>
      <c r="DK8" s="100"/>
      <c r="DL8" s="99"/>
      <c r="DM8" s="99"/>
      <c r="DN8" s="100"/>
      <c r="DO8" s="99"/>
      <c r="DP8" s="99"/>
      <c r="DQ8" s="100"/>
      <c r="DR8" s="99"/>
      <c r="DS8" s="99"/>
      <c r="DT8" s="100"/>
    </row>
    <row r="9" hidden="1">
      <c r="B9" s="83" t="str">
        <f>IFERROR(__xludf.DUMMYFUNCTION("""COMPUTED_VALUE"""),"EMB5")</f>
        <v>EMB5</v>
      </c>
      <c r="C9" s="82"/>
      <c r="D9" s="88" t="str">
        <f>IFERROR(__xludf.DUMMYFUNCTION("""COMPUTED_VALUE"""),"Tuesday/Friday- Novice")</f>
        <v>Tuesday/Friday- Novice</v>
      </c>
      <c r="E9" s="82"/>
      <c r="F9" s="82"/>
      <c r="G9" s="82"/>
      <c r="H9" s="95"/>
      <c r="I9" s="96"/>
      <c r="J9" s="97"/>
      <c r="K9" s="95"/>
      <c r="L9" s="96"/>
      <c r="M9" s="97"/>
      <c r="N9" s="95"/>
      <c r="O9" s="96"/>
      <c r="P9" s="97"/>
      <c r="Q9" s="95"/>
      <c r="R9" s="96"/>
      <c r="S9" s="97"/>
      <c r="T9" s="95"/>
      <c r="U9" s="96"/>
      <c r="V9" s="97"/>
      <c r="W9" s="95"/>
      <c r="X9" s="96"/>
      <c r="Y9" s="97"/>
      <c r="Z9" s="95"/>
      <c r="AA9" s="96"/>
      <c r="AB9" s="97"/>
      <c r="AC9" s="95"/>
      <c r="AD9" s="96"/>
      <c r="AE9" s="97"/>
      <c r="AF9" s="95"/>
      <c r="AG9" s="96"/>
      <c r="AH9" s="97"/>
      <c r="AI9" s="92"/>
      <c r="AJ9" s="93"/>
      <c r="AK9" s="94"/>
      <c r="AL9" s="93"/>
      <c r="AM9" s="93"/>
      <c r="AN9" s="94"/>
      <c r="AO9" s="93"/>
      <c r="AP9" s="93"/>
      <c r="AQ9" s="94"/>
      <c r="AR9" s="93"/>
      <c r="AS9" s="93"/>
      <c r="AT9" s="94"/>
      <c r="AU9" s="93"/>
      <c r="AV9" s="93"/>
      <c r="AW9" s="94"/>
      <c r="AX9" s="93"/>
      <c r="AY9" s="93"/>
      <c r="AZ9" s="94"/>
      <c r="BA9" s="93"/>
      <c r="BB9" s="93"/>
      <c r="BC9" s="94"/>
      <c r="BD9" s="93"/>
      <c r="BE9" s="93"/>
      <c r="BF9" s="94"/>
      <c r="BG9" s="92"/>
      <c r="BH9" s="93"/>
      <c r="BI9" s="94"/>
      <c r="BJ9" s="93"/>
      <c r="BK9" s="93"/>
      <c r="BL9" s="94"/>
      <c r="BM9" s="93"/>
      <c r="BN9" s="93"/>
      <c r="BO9" s="94"/>
      <c r="BP9" s="93"/>
      <c r="BQ9" s="93"/>
      <c r="BR9" s="94"/>
      <c r="BS9" s="93"/>
      <c r="BT9" s="93"/>
      <c r="BU9" s="94"/>
      <c r="BV9" s="93"/>
      <c r="BW9" s="93"/>
      <c r="BX9" s="94"/>
      <c r="BY9" s="93"/>
      <c r="BZ9" s="93"/>
      <c r="CA9" s="94"/>
      <c r="CB9" s="92"/>
      <c r="CC9" s="93"/>
      <c r="CD9" s="94"/>
      <c r="CE9" s="93"/>
      <c r="CF9" s="93"/>
      <c r="CG9" s="94"/>
      <c r="CH9" s="93"/>
      <c r="CI9" s="93"/>
      <c r="CJ9" s="94"/>
      <c r="CK9" s="93"/>
      <c r="CL9" s="93"/>
      <c r="CM9" s="94"/>
      <c r="CN9" s="93"/>
      <c r="CO9" s="93"/>
      <c r="CP9" s="94"/>
      <c r="CQ9" s="93"/>
      <c r="CR9" s="93"/>
      <c r="CS9" s="94"/>
      <c r="CT9" s="93"/>
      <c r="CU9" s="93"/>
      <c r="CV9" s="94"/>
      <c r="CW9" s="93"/>
      <c r="CX9" s="93"/>
      <c r="CY9" s="94"/>
      <c r="CZ9" s="93"/>
      <c r="DA9" s="93"/>
      <c r="DB9" s="94"/>
      <c r="DC9" s="93"/>
      <c r="DD9" s="93"/>
      <c r="DE9" s="94"/>
      <c r="DF9" s="93"/>
      <c r="DG9" s="93"/>
      <c r="DH9" s="94"/>
      <c r="DI9" s="93"/>
      <c r="DJ9" s="93"/>
      <c r="DK9" s="94"/>
      <c r="DL9" s="93"/>
      <c r="DM9" s="93"/>
      <c r="DN9" s="94"/>
      <c r="DO9" s="93"/>
      <c r="DP9" s="93"/>
      <c r="DQ9" s="94"/>
      <c r="DR9" s="93"/>
      <c r="DS9" s="93"/>
      <c r="DT9" s="94"/>
    </row>
    <row r="10" hidden="1">
      <c r="B10" s="83" t="str">
        <f>IFERROR(__xludf.DUMMYFUNCTION("""COMPUTED_VALUE"""),"EMB6")</f>
        <v>EMB6</v>
      </c>
      <c r="C10" s="82"/>
      <c r="D10" s="88" t="str">
        <f>IFERROR(__xludf.DUMMYFUNCTION("""COMPUTED_VALUE"""),"Tuesday/Friday- Intermediate")</f>
        <v>Tuesday/Friday- Intermediate</v>
      </c>
      <c r="E10" s="82"/>
      <c r="F10" s="82"/>
      <c r="G10" s="82"/>
      <c r="H10" s="95"/>
      <c r="I10" s="96"/>
      <c r="J10" s="97"/>
      <c r="K10" s="95"/>
      <c r="L10" s="96"/>
      <c r="M10" s="97"/>
      <c r="N10" s="95"/>
      <c r="O10" s="96"/>
      <c r="P10" s="97"/>
      <c r="Q10" s="95"/>
      <c r="R10" s="96"/>
      <c r="S10" s="97"/>
      <c r="T10" s="95"/>
      <c r="U10" s="96"/>
      <c r="V10" s="97"/>
      <c r="W10" s="95"/>
      <c r="X10" s="96"/>
      <c r="Y10" s="97"/>
      <c r="Z10" s="95"/>
      <c r="AA10" s="96"/>
      <c r="AB10" s="97"/>
      <c r="AC10" s="95"/>
      <c r="AD10" s="96"/>
      <c r="AE10" s="97"/>
      <c r="AF10" s="95"/>
      <c r="AG10" s="96"/>
      <c r="AH10" s="97"/>
      <c r="AI10" s="98"/>
      <c r="AJ10" s="99"/>
      <c r="AK10" s="100"/>
      <c r="AL10" s="99"/>
      <c r="AM10" s="99"/>
      <c r="AN10" s="100"/>
      <c r="AO10" s="99"/>
      <c r="AP10" s="99"/>
      <c r="AQ10" s="100"/>
      <c r="AR10" s="99"/>
      <c r="AS10" s="99"/>
      <c r="AT10" s="100"/>
      <c r="AU10" s="99"/>
      <c r="AV10" s="99"/>
      <c r="AW10" s="100"/>
      <c r="AX10" s="99"/>
      <c r="AY10" s="99"/>
      <c r="AZ10" s="100"/>
      <c r="BA10" s="99"/>
      <c r="BB10" s="99"/>
      <c r="BC10" s="100"/>
      <c r="BD10" s="99"/>
      <c r="BE10" s="99"/>
      <c r="BF10" s="100"/>
      <c r="BG10" s="98"/>
      <c r="BH10" s="99"/>
      <c r="BI10" s="100"/>
      <c r="BJ10" s="99"/>
      <c r="BK10" s="99"/>
      <c r="BL10" s="100"/>
      <c r="BM10" s="99"/>
      <c r="BN10" s="99"/>
      <c r="BO10" s="100"/>
      <c r="BP10" s="99"/>
      <c r="BQ10" s="99"/>
      <c r="BR10" s="100"/>
      <c r="BS10" s="99"/>
      <c r="BT10" s="99"/>
      <c r="BU10" s="100"/>
      <c r="BV10" s="99"/>
      <c r="BW10" s="99"/>
      <c r="BX10" s="100"/>
      <c r="BY10" s="99"/>
      <c r="BZ10" s="99"/>
      <c r="CA10" s="100"/>
      <c r="CB10" s="98"/>
      <c r="CC10" s="99"/>
      <c r="CD10" s="100"/>
      <c r="CE10" s="99"/>
      <c r="CF10" s="99"/>
      <c r="CG10" s="100"/>
      <c r="CH10" s="99"/>
      <c r="CI10" s="99"/>
      <c r="CJ10" s="100"/>
      <c r="CK10" s="99"/>
      <c r="CL10" s="99"/>
      <c r="CM10" s="100"/>
      <c r="CN10" s="99"/>
      <c r="CO10" s="99"/>
      <c r="CP10" s="100"/>
      <c r="CQ10" s="99"/>
      <c r="CR10" s="99"/>
      <c r="CS10" s="100"/>
      <c r="CT10" s="99"/>
      <c r="CU10" s="99"/>
      <c r="CV10" s="100"/>
      <c r="CW10" s="99"/>
      <c r="CX10" s="99"/>
      <c r="CY10" s="100"/>
      <c r="CZ10" s="99"/>
      <c r="DA10" s="99"/>
      <c r="DB10" s="100"/>
      <c r="DC10" s="99"/>
      <c r="DD10" s="99"/>
      <c r="DE10" s="100"/>
      <c r="DF10" s="99"/>
      <c r="DG10" s="99"/>
      <c r="DH10" s="100"/>
      <c r="DI10" s="99"/>
      <c r="DJ10" s="99"/>
      <c r="DK10" s="100"/>
      <c r="DL10" s="99"/>
      <c r="DM10" s="99"/>
      <c r="DN10" s="100"/>
      <c r="DO10" s="99"/>
      <c r="DP10" s="99"/>
      <c r="DQ10" s="100"/>
      <c r="DR10" s="99"/>
      <c r="DS10" s="99"/>
      <c r="DT10" s="100"/>
    </row>
    <row r="11" hidden="1">
      <c r="B11" s="83" t="str">
        <f>IFERROR(__xludf.DUMMYFUNCTION("""COMPUTED_VALUE"""),"EMB7")</f>
        <v>EMB7</v>
      </c>
      <c r="C11" s="82"/>
      <c r="D11" s="88" t="str">
        <f>IFERROR(__xludf.DUMMYFUNCTION("""COMPUTED_VALUE"""),"Tuesday/Friday- Advanced")</f>
        <v>Tuesday/Friday- Advanced</v>
      </c>
      <c r="E11" s="82"/>
      <c r="F11" s="82"/>
      <c r="G11" s="82"/>
      <c r="H11" s="95"/>
      <c r="I11" s="96"/>
      <c r="J11" s="97"/>
      <c r="K11" s="95"/>
      <c r="L11" s="96"/>
      <c r="M11" s="97"/>
      <c r="N11" s="95"/>
      <c r="O11" s="96"/>
      <c r="P11" s="97"/>
      <c r="Q11" s="95"/>
      <c r="R11" s="96"/>
      <c r="S11" s="97"/>
      <c r="T11" s="95"/>
      <c r="U11" s="96"/>
      <c r="V11" s="97"/>
      <c r="W11" s="95"/>
      <c r="X11" s="96"/>
      <c r="Y11" s="97"/>
      <c r="Z11" s="95"/>
      <c r="AA11" s="96"/>
      <c r="AB11" s="97"/>
      <c r="AC11" s="95"/>
      <c r="AD11" s="96"/>
      <c r="AE11" s="97"/>
      <c r="AF11" s="95"/>
      <c r="AG11" s="96"/>
      <c r="AH11" s="97"/>
      <c r="AI11" s="92"/>
      <c r="AJ11" s="93"/>
      <c r="AK11" s="94"/>
      <c r="AL11" s="93"/>
      <c r="AM11" s="93"/>
      <c r="AN11" s="94"/>
      <c r="AO11" s="93"/>
      <c r="AP11" s="93"/>
      <c r="AQ11" s="94"/>
      <c r="AR11" s="93"/>
      <c r="AS11" s="93"/>
      <c r="AT11" s="94"/>
      <c r="AU11" s="93"/>
      <c r="AV11" s="93"/>
      <c r="AW11" s="94"/>
      <c r="AX11" s="93"/>
      <c r="AY11" s="93"/>
      <c r="AZ11" s="94"/>
      <c r="BA11" s="93"/>
      <c r="BB11" s="93"/>
      <c r="BC11" s="94"/>
      <c r="BD11" s="93"/>
      <c r="BE11" s="93"/>
      <c r="BF11" s="94"/>
      <c r="BG11" s="92"/>
      <c r="BH11" s="93"/>
      <c r="BI11" s="94"/>
      <c r="BJ11" s="93"/>
      <c r="BK11" s="93"/>
      <c r="BL11" s="94"/>
      <c r="BM11" s="93"/>
      <c r="BN11" s="93"/>
      <c r="BO11" s="94"/>
      <c r="BP11" s="93"/>
      <c r="BQ11" s="93"/>
      <c r="BR11" s="94"/>
      <c r="BS11" s="93"/>
      <c r="BT11" s="93"/>
      <c r="BU11" s="94"/>
      <c r="BV11" s="93"/>
      <c r="BW11" s="93"/>
      <c r="BX11" s="94"/>
      <c r="BY11" s="93"/>
      <c r="BZ11" s="93"/>
      <c r="CA11" s="94"/>
      <c r="CB11" s="92"/>
      <c r="CC11" s="93"/>
      <c r="CD11" s="94"/>
      <c r="CE11" s="93"/>
      <c r="CF11" s="93"/>
      <c r="CG11" s="94"/>
      <c r="CH11" s="93"/>
      <c r="CI11" s="93"/>
      <c r="CJ11" s="94"/>
      <c r="CK11" s="93"/>
      <c r="CL11" s="93"/>
      <c r="CM11" s="94"/>
      <c r="CN11" s="93"/>
      <c r="CO11" s="93"/>
      <c r="CP11" s="94"/>
      <c r="CQ11" s="93"/>
      <c r="CR11" s="93"/>
      <c r="CS11" s="94"/>
      <c r="CT11" s="93"/>
      <c r="CU11" s="93"/>
      <c r="CV11" s="94"/>
      <c r="CW11" s="93"/>
      <c r="CX11" s="93"/>
      <c r="CY11" s="94"/>
      <c r="CZ11" s="93"/>
      <c r="DA11" s="93"/>
      <c r="DB11" s="94"/>
      <c r="DC11" s="93"/>
      <c r="DD11" s="93"/>
      <c r="DE11" s="94"/>
      <c r="DF11" s="93"/>
      <c r="DG11" s="93"/>
      <c r="DH11" s="94"/>
      <c r="DI11" s="93"/>
      <c r="DJ11" s="93"/>
      <c r="DK11" s="94"/>
      <c r="DL11" s="93"/>
      <c r="DM11" s="93"/>
      <c r="DN11" s="94"/>
      <c r="DO11" s="93"/>
      <c r="DP11" s="93"/>
      <c r="DQ11" s="94"/>
      <c r="DR11" s="93"/>
      <c r="DS11" s="93"/>
      <c r="DT11" s="94"/>
    </row>
    <row r="12" hidden="1">
      <c r="B12" s="83" t="str">
        <f>IFERROR(__xludf.DUMMYFUNCTION("""COMPUTED_VALUE"""),"EMB8")</f>
        <v>EMB8</v>
      </c>
      <c r="C12" s="82"/>
      <c r="D12" s="88" t="str">
        <f>IFERROR(__xludf.DUMMYFUNCTION("""COMPUTED_VALUE"""),"Tuesday/Friday- Expert")</f>
        <v>Tuesday/Friday- Expert</v>
      </c>
      <c r="E12" s="82"/>
      <c r="F12" s="82"/>
      <c r="G12" s="82"/>
      <c r="H12" s="95"/>
      <c r="I12" s="96"/>
      <c r="J12" s="97"/>
      <c r="K12" s="95"/>
      <c r="L12" s="96"/>
      <c r="M12" s="97"/>
      <c r="N12" s="95"/>
      <c r="O12" s="96"/>
      <c r="P12" s="97"/>
      <c r="Q12" s="95"/>
      <c r="R12" s="96"/>
      <c r="S12" s="97"/>
      <c r="T12" s="95"/>
      <c r="U12" s="96"/>
      <c r="V12" s="97"/>
      <c r="W12" s="95"/>
      <c r="X12" s="96"/>
      <c r="Y12" s="97"/>
      <c r="Z12" s="95"/>
      <c r="AA12" s="96"/>
      <c r="AB12" s="97"/>
      <c r="AC12" s="95"/>
      <c r="AD12" s="96"/>
      <c r="AE12" s="97"/>
      <c r="AF12" s="95"/>
      <c r="AG12" s="96"/>
      <c r="AH12" s="97"/>
      <c r="AI12" s="98"/>
      <c r="AJ12" s="99"/>
      <c r="AK12" s="100"/>
      <c r="AL12" s="99"/>
      <c r="AM12" s="99"/>
      <c r="AN12" s="100"/>
      <c r="AO12" s="99"/>
      <c r="AP12" s="99"/>
      <c r="AQ12" s="100"/>
      <c r="AR12" s="99"/>
      <c r="AS12" s="99"/>
      <c r="AT12" s="100"/>
      <c r="AU12" s="99"/>
      <c r="AV12" s="99"/>
      <c r="AW12" s="100"/>
      <c r="AX12" s="99"/>
      <c r="AY12" s="99"/>
      <c r="AZ12" s="100"/>
      <c r="BA12" s="99"/>
      <c r="BB12" s="99"/>
      <c r="BC12" s="100"/>
      <c r="BD12" s="99"/>
      <c r="BE12" s="99"/>
      <c r="BF12" s="100"/>
      <c r="BG12" s="98"/>
      <c r="BH12" s="99"/>
      <c r="BI12" s="100"/>
      <c r="BJ12" s="99"/>
      <c r="BK12" s="99"/>
      <c r="BL12" s="100"/>
      <c r="BM12" s="99"/>
      <c r="BN12" s="99"/>
      <c r="BO12" s="100"/>
      <c r="BP12" s="99"/>
      <c r="BQ12" s="99"/>
      <c r="BR12" s="100"/>
      <c r="BS12" s="99"/>
      <c r="BT12" s="99"/>
      <c r="BU12" s="100"/>
      <c r="BV12" s="99"/>
      <c r="BW12" s="99"/>
      <c r="BX12" s="100"/>
      <c r="BY12" s="99"/>
      <c r="BZ12" s="99"/>
      <c r="CA12" s="100"/>
      <c r="CB12" s="98"/>
      <c r="CC12" s="99"/>
      <c r="CD12" s="100"/>
      <c r="CE12" s="99"/>
      <c r="CF12" s="99"/>
      <c r="CG12" s="100"/>
      <c r="CH12" s="99"/>
      <c r="CI12" s="99"/>
      <c r="CJ12" s="100"/>
      <c r="CK12" s="99"/>
      <c r="CL12" s="99"/>
      <c r="CM12" s="100"/>
      <c r="CN12" s="99"/>
      <c r="CO12" s="99"/>
      <c r="CP12" s="100"/>
      <c r="CQ12" s="99"/>
      <c r="CR12" s="99"/>
      <c r="CS12" s="100"/>
      <c r="CT12" s="99"/>
      <c r="CU12" s="99"/>
      <c r="CV12" s="100"/>
      <c r="CW12" s="99"/>
      <c r="CX12" s="99"/>
      <c r="CY12" s="100"/>
      <c r="CZ12" s="99"/>
      <c r="DA12" s="99"/>
      <c r="DB12" s="100"/>
      <c r="DC12" s="99"/>
      <c r="DD12" s="99"/>
      <c r="DE12" s="100"/>
      <c r="DF12" s="99"/>
      <c r="DG12" s="99"/>
      <c r="DH12" s="100"/>
      <c r="DI12" s="99"/>
      <c r="DJ12" s="99"/>
      <c r="DK12" s="100"/>
      <c r="DL12" s="99"/>
      <c r="DM12" s="99"/>
      <c r="DN12" s="100"/>
      <c r="DO12" s="99"/>
      <c r="DP12" s="99"/>
      <c r="DQ12" s="100"/>
      <c r="DR12" s="99"/>
      <c r="DS12" s="99"/>
      <c r="DT12" s="100"/>
    </row>
    <row r="13" hidden="1">
      <c r="B13" s="83" t="str">
        <f>IFERROR(__xludf.DUMMYFUNCTION("""COMPUTED_VALUE"""),"EMB9")</f>
        <v>EMB9</v>
      </c>
      <c r="C13" s="82"/>
      <c r="D13" s="88" t="str">
        <f>IFERROR(__xludf.DUMMYFUNCTION("""COMPUTED_VALUE"""),"Wednesday/Saturday- Novice")</f>
        <v>Wednesday/Saturday- Novice</v>
      </c>
      <c r="E13" s="82"/>
      <c r="F13" s="82"/>
      <c r="G13" s="82"/>
      <c r="H13" s="95"/>
      <c r="I13" s="96"/>
      <c r="J13" s="97"/>
      <c r="K13" s="95"/>
      <c r="L13" s="96"/>
      <c r="M13" s="97"/>
      <c r="N13" s="95"/>
      <c r="O13" s="96"/>
      <c r="P13" s="97"/>
      <c r="Q13" s="95"/>
      <c r="R13" s="96"/>
      <c r="S13" s="97"/>
      <c r="T13" s="95"/>
      <c r="U13" s="96"/>
      <c r="V13" s="97"/>
      <c r="W13" s="95"/>
      <c r="X13" s="96"/>
      <c r="Y13" s="97"/>
      <c r="Z13" s="95"/>
      <c r="AA13" s="96"/>
      <c r="AB13" s="97"/>
      <c r="AC13" s="95"/>
      <c r="AD13" s="96"/>
      <c r="AE13" s="97"/>
      <c r="AF13" s="95"/>
      <c r="AG13" s="96"/>
      <c r="AH13" s="97"/>
      <c r="AI13" s="92"/>
      <c r="AJ13" s="93"/>
      <c r="AK13" s="94"/>
      <c r="AL13" s="93"/>
      <c r="AM13" s="93"/>
      <c r="AN13" s="94"/>
      <c r="AO13" s="93"/>
      <c r="AP13" s="93"/>
      <c r="AQ13" s="94"/>
      <c r="AR13" s="93"/>
      <c r="AS13" s="93"/>
      <c r="AT13" s="94"/>
      <c r="AU13" s="93"/>
      <c r="AV13" s="93"/>
      <c r="AW13" s="94"/>
      <c r="AX13" s="93"/>
      <c r="AY13" s="93"/>
      <c r="AZ13" s="94"/>
      <c r="BA13" s="93"/>
      <c r="BB13" s="93"/>
      <c r="BC13" s="94"/>
      <c r="BD13" s="93"/>
      <c r="BE13" s="93"/>
      <c r="BF13" s="94"/>
      <c r="BG13" s="92"/>
      <c r="BH13" s="93"/>
      <c r="BI13" s="94"/>
      <c r="BJ13" s="93"/>
      <c r="BK13" s="93"/>
      <c r="BL13" s="94"/>
      <c r="BM13" s="93"/>
      <c r="BN13" s="93"/>
      <c r="BO13" s="94"/>
      <c r="BP13" s="93"/>
      <c r="BQ13" s="93"/>
      <c r="BR13" s="94"/>
      <c r="BS13" s="93"/>
      <c r="BT13" s="93"/>
      <c r="BU13" s="94"/>
      <c r="BV13" s="93"/>
      <c r="BW13" s="93"/>
      <c r="BX13" s="94"/>
      <c r="BY13" s="93"/>
      <c r="BZ13" s="93"/>
      <c r="CA13" s="94"/>
      <c r="CB13" s="92"/>
      <c r="CC13" s="93"/>
      <c r="CD13" s="94"/>
      <c r="CE13" s="93"/>
      <c r="CF13" s="93"/>
      <c r="CG13" s="94"/>
      <c r="CH13" s="93"/>
      <c r="CI13" s="93"/>
      <c r="CJ13" s="94"/>
      <c r="CK13" s="93"/>
      <c r="CL13" s="93"/>
      <c r="CM13" s="94"/>
      <c r="CN13" s="93"/>
      <c r="CO13" s="93"/>
      <c r="CP13" s="94"/>
      <c r="CQ13" s="93"/>
      <c r="CR13" s="93"/>
      <c r="CS13" s="94"/>
      <c r="CT13" s="93"/>
      <c r="CU13" s="93"/>
      <c r="CV13" s="94"/>
      <c r="CW13" s="93"/>
      <c r="CX13" s="93"/>
      <c r="CY13" s="94"/>
      <c r="CZ13" s="93"/>
      <c r="DA13" s="93"/>
      <c r="DB13" s="94"/>
      <c r="DC13" s="93"/>
      <c r="DD13" s="93"/>
      <c r="DE13" s="94"/>
      <c r="DF13" s="93"/>
      <c r="DG13" s="93"/>
      <c r="DH13" s="94"/>
      <c r="DI13" s="93"/>
      <c r="DJ13" s="93"/>
      <c r="DK13" s="94"/>
      <c r="DL13" s="93"/>
      <c r="DM13" s="93"/>
      <c r="DN13" s="94"/>
      <c r="DO13" s="93"/>
      <c r="DP13" s="93"/>
      <c r="DQ13" s="94"/>
      <c r="DR13" s="93"/>
      <c r="DS13" s="93"/>
      <c r="DT13" s="94"/>
    </row>
    <row r="14" hidden="1">
      <c r="B14" s="83" t="str">
        <f>IFERROR(__xludf.DUMMYFUNCTION("""COMPUTED_VALUE"""),"EMB10")</f>
        <v>EMB10</v>
      </c>
      <c r="C14" s="82"/>
      <c r="D14" s="88" t="str">
        <f>IFERROR(__xludf.DUMMYFUNCTION("""COMPUTED_VALUE"""),"Wednesday/Saturday- Intermediate")</f>
        <v>Wednesday/Saturday- Intermediate</v>
      </c>
      <c r="E14" s="82"/>
      <c r="F14" s="82"/>
      <c r="G14" s="82"/>
      <c r="H14" s="95"/>
      <c r="I14" s="96"/>
      <c r="J14" s="97"/>
      <c r="K14" s="95"/>
      <c r="L14" s="96"/>
      <c r="M14" s="97"/>
      <c r="N14" s="95"/>
      <c r="O14" s="96"/>
      <c r="P14" s="97"/>
      <c r="Q14" s="95"/>
      <c r="R14" s="96"/>
      <c r="S14" s="97"/>
      <c r="T14" s="95"/>
      <c r="U14" s="96"/>
      <c r="V14" s="97"/>
      <c r="W14" s="95"/>
      <c r="X14" s="96"/>
      <c r="Y14" s="97"/>
      <c r="Z14" s="95"/>
      <c r="AA14" s="96"/>
      <c r="AB14" s="97"/>
      <c r="AC14" s="95"/>
      <c r="AD14" s="96"/>
      <c r="AE14" s="97"/>
      <c r="AF14" s="95"/>
      <c r="AG14" s="96"/>
      <c r="AH14" s="97"/>
      <c r="AI14" s="98"/>
      <c r="AJ14" s="99"/>
      <c r="AK14" s="100"/>
      <c r="AL14" s="99"/>
      <c r="AM14" s="99"/>
      <c r="AN14" s="100"/>
      <c r="AO14" s="99"/>
      <c r="AP14" s="99"/>
      <c r="AQ14" s="100"/>
      <c r="AR14" s="99"/>
      <c r="AS14" s="99"/>
      <c r="AT14" s="100"/>
      <c r="AU14" s="99"/>
      <c r="AV14" s="99"/>
      <c r="AW14" s="100"/>
      <c r="AX14" s="99"/>
      <c r="AY14" s="99"/>
      <c r="AZ14" s="100"/>
      <c r="BA14" s="99"/>
      <c r="BB14" s="99"/>
      <c r="BC14" s="100"/>
      <c r="BD14" s="99"/>
      <c r="BE14" s="99"/>
      <c r="BF14" s="100"/>
      <c r="BG14" s="98"/>
      <c r="BH14" s="99"/>
      <c r="BI14" s="100"/>
      <c r="BJ14" s="99"/>
      <c r="BK14" s="99"/>
      <c r="BL14" s="100"/>
      <c r="BM14" s="99"/>
      <c r="BN14" s="99"/>
      <c r="BO14" s="100"/>
      <c r="BP14" s="99"/>
      <c r="BQ14" s="99"/>
      <c r="BR14" s="100"/>
      <c r="BS14" s="99"/>
      <c r="BT14" s="99"/>
      <c r="BU14" s="100"/>
      <c r="BV14" s="99"/>
      <c r="BW14" s="99"/>
      <c r="BX14" s="100"/>
      <c r="BY14" s="99"/>
      <c r="BZ14" s="99"/>
      <c r="CA14" s="100"/>
      <c r="CB14" s="98"/>
      <c r="CC14" s="99"/>
      <c r="CD14" s="100"/>
      <c r="CE14" s="99"/>
      <c r="CF14" s="99"/>
      <c r="CG14" s="100"/>
      <c r="CH14" s="99"/>
      <c r="CI14" s="99"/>
      <c r="CJ14" s="100"/>
      <c r="CK14" s="99"/>
      <c r="CL14" s="99"/>
      <c r="CM14" s="100"/>
      <c r="CN14" s="99"/>
      <c r="CO14" s="99"/>
      <c r="CP14" s="100"/>
      <c r="CQ14" s="99"/>
      <c r="CR14" s="99"/>
      <c r="CS14" s="100"/>
      <c r="CT14" s="99"/>
      <c r="CU14" s="99"/>
      <c r="CV14" s="100"/>
      <c r="CW14" s="99"/>
      <c r="CX14" s="99"/>
      <c r="CY14" s="100"/>
      <c r="CZ14" s="99"/>
      <c r="DA14" s="99"/>
      <c r="DB14" s="100"/>
      <c r="DC14" s="99"/>
      <c r="DD14" s="99"/>
      <c r="DE14" s="100"/>
      <c r="DF14" s="99"/>
      <c r="DG14" s="99"/>
      <c r="DH14" s="100"/>
      <c r="DI14" s="99"/>
      <c r="DJ14" s="99"/>
      <c r="DK14" s="100"/>
      <c r="DL14" s="99"/>
      <c r="DM14" s="99"/>
      <c r="DN14" s="100"/>
      <c r="DO14" s="99"/>
      <c r="DP14" s="99"/>
      <c r="DQ14" s="100"/>
      <c r="DR14" s="99"/>
      <c r="DS14" s="99"/>
      <c r="DT14" s="100"/>
    </row>
    <row r="15" hidden="1">
      <c r="B15" s="83" t="str">
        <f>IFERROR(__xludf.DUMMYFUNCTION("""COMPUTED_VALUE"""),"EMB11")</f>
        <v>EMB11</v>
      </c>
      <c r="C15" s="82"/>
      <c r="D15" s="88" t="str">
        <f>IFERROR(__xludf.DUMMYFUNCTION("""COMPUTED_VALUE"""),"Wednesday/Saturday- Advanced")</f>
        <v>Wednesday/Saturday- Advanced</v>
      </c>
      <c r="E15" s="82"/>
      <c r="F15" s="82"/>
      <c r="G15" s="82"/>
      <c r="H15" s="95"/>
      <c r="I15" s="96"/>
      <c r="J15" s="97"/>
      <c r="K15" s="95"/>
      <c r="L15" s="96"/>
      <c r="M15" s="97"/>
      <c r="N15" s="95"/>
      <c r="O15" s="96"/>
      <c r="P15" s="97"/>
      <c r="Q15" s="95"/>
      <c r="R15" s="96"/>
      <c r="S15" s="97"/>
      <c r="T15" s="95"/>
      <c r="U15" s="96"/>
      <c r="V15" s="97"/>
      <c r="W15" s="95"/>
      <c r="X15" s="96"/>
      <c r="Y15" s="97"/>
      <c r="Z15" s="95"/>
      <c r="AA15" s="96"/>
      <c r="AB15" s="97"/>
      <c r="AC15" s="95"/>
      <c r="AD15" s="96"/>
      <c r="AE15" s="97"/>
      <c r="AF15" s="95"/>
      <c r="AG15" s="96"/>
      <c r="AH15" s="97"/>
      <c r="AI15" s="92"/>
      <c r="AJ15" s="93"/>
      <c r="AK15" s="94"/>
      <c r="AL15" s="93"/>
      <c r="AM15" s="93"/>
      <c r="AN15" s="94"/>
      <c r="AO15" s="93"/>
      <c r="AP15" s="93"/>
      <c r="AQ15" s="94"/>
      <c r="AR15" s="93"/>
      <c r="AS15" s="93"/>
      <c r="AT15" s="94"/>
      <c r="AU15" s="93"/>
      <c r="AV15" s="93"/>
      <c r="AW15" s="94"/>
      <c r="AX15" s="93"/>
      <c r="AY15" s="93"/>
      <c r="AZ15" s="94"/>
      <c r="BA15" s="93"/>
      <c r="BB15" s="93"/>
      <c r="BC15" s="94"/>
      <c r="BD15" s="93"/>
      <c r="BE15" s="93"/>
      <c r="BF15" s="94"/>
      <c r="BG15" s="92"/>
      <c r="BH15" s="93"/>
      <c r="BI15" s="94"/>
      <c r="BJ15" s="93"/>
      <c r="BK15" s="93"/>
      <c r="BL15" s="94"/>
      <c r="BM15" s="93"/>
      <c r="BN15" s="93"/>
      <c r="BO15" s="94"/>
      <c r="BP15" s="93"/>
      <c r="BQ15" s="93"/>
      <c r="BR15" s="94"/>
      <c r="BS15" s="93"/>
      <c r="BT15" s="93"/>
      <c r="BU15" s="94"/>
      <c r="BV15" s="93"/>
      <c r="BW15" s="93"/>
      <c r="BX15" s="94"/>
      <c r="BY15" s="93"/>
      <c r="BZ15" s="93"/>
      <c r="CA15" s="94"/>
      <c r="CB15" s="92"/>
      <c r="CC15" s="93"/>
      <c r="CD15" s="94"/>
      <c r="CE15" s="93"/>
      <c r="CF15" s="93"/>
      <c r="CG15" s="94"/>
      <c r="CH15" s="93"/>
      <c r="CI15" s="93"/>
      <c r="CJ15" s="94"/>
      <c r="CK15" s="93"/>
      <c r="CL15" s="93"/>
      <c r="CM15" s="94"/>
      <c r="CN15" s="93"/>
      <c r="CO15" s="93"/>
      <c r="CP15" s="94"/>
      <c r="CQ15" s="93"/>
      <c r="CR15" s="93"/>
      <c r="CS15" s="94"/>
      <c r="CT15" s="93"/>
      <c r="CU15" s="93"/>
      <c r="CV15" s="94"/>
      <c r="CW15" s="93"/>
      <c r="CX15" s="93"/>
      <c r="CY15" s="94"/>
      <c r="CZ15" s="93"/>
      <c r="DA15" s="93"/>
      <c r="DB15" s="94"/>
      <c r="DC15" s="93"/>
      <c r="DD15" s="93"/>
      <c r="DE15" s="94"/>
      <c r="DF15" s="93"/>
      <c r="DG15" s="93"/>
      <c r="DH15" s="94"/>
      <c r="DI15" s="93"/>
      <c r="DJ15" s="93"/>
      <c r="DK15" s="94"/>
      <c r="DL15" s="93"/>
      <c r="DM15" s="93"/>
      <c r="DN15" s="94"/>
      <c r="DO15" s="93"/>
      <c r="DP15" s="93"/>
      <c r="DQ15" s="94"/>
      <c r="DR15" s="93"/>
      <c r="DS15" s="93"/>
      <c r="DT15" s="94"/>
    </row>
    <row r="16" hidden="1">
      <c r="B16" s="83" t="str">
        <f>IFERROR(__xludf.DUMMYFUNCTION("""COMPUTED_VALUE"""),"EMB12")</f>
        <v>EMB12</v>
      </c>
      <c r="C16" s="82"/>
      <c r="D16" s="88" t="str">
        <f>IFERROR(__xludf.DUMMYFUNCTION("""COMPUTED_VALUE"""),"Wednesday/Saturday- Expert")</f>
        <v>Wednesday/Saturday- Expert</v>
      </c>
      <c r="E16" s="82"/>
      <c r="F16" s="82"/>
      <c r="G16" s="82"/>
      <c r="H16" s="95"/>
      <c r="I16" s="96"/>
      <c r="J16" s="97"/>
      <c r="K16" s="95"/>
      <c r="L16" s="96"/>
      <c r="M16" s="97"/>
      <c r="N16" s="95"/>
      <c r="O16" s="96"/>
      <c r="P16" s="97"/>
      <c r="Q16" s="95"/>
      <c r="R16" s="96"/>
      <c r="S16" s="97"/>
      <c r="T16" s="95"/>
      <c r="U16" s="96"/>
      <c r="V16" s="97"/>
      <c r="W16" s="95"/>
      <c r="X16" s="96"/>
      <c r="Y16" s="97"/>
      <c r="Z16" s="95"/>
      <c r="AA16" s="96"/>
      <c r="AB16" s="97"/>
      <c r="AC16" s="95"/>
      <c r="AD16" s="96"/>
      <c r="AE16" s="97"/>
      <c r="AF16" s="95"/>
      <c r="AG16" s="96"/>
      <c r="AH16" s="97"/>
      <c r="AI16" s="98"/>
      <c r="AJ16" s="99"/>
      <c r="AK16" s="100"/>
      <c r="AL16" s="99"/>
      <c r="AM16" s="99"/>
      <c r="AN16" s="100"/>
      <c r="AO16" s="99"/>
      <c r="AP16" s="99"/>
      <c r="AQ16" s="100"/>
      <c r="AR16" s="99"/>
      <c r="AS16" s="99"/>
      <c r="AT16" s="100"/>
      <c r="AU16" s="99"/>
      <c r="AV16" s="99"/>
      <c r="AW16" s="100"/>
      <c r="AX16" s="99"/>
      <c r="AY16" s="99"/>
      <c r="AZ16" s="100"/>
      <c r="BA16" s="99"/>
      <c r="BB16" s="99"/>
      <c r="BC16" s="100"/>
      <c r="BD16" s="99"/>
      <c r="BE16" s="99"/>
      <c r="BF16" s="100"/>
      <c r="BG16" s="98"/>
      <c r="BH16" s="99"/>
      <c r="BI16" s="100"/>
      <c r="BJ16" s="99"/>
      <c r="BK16" s="99"/>
      <c r="BL16" s="100"/>
      <c r="BM16" s="99"/>
      <c r="BN16" s="99"/>
      <c r="BO16" s="100"/>
      <c r="BP16" s="99"/>
      <c r="BQ16" s="99"/>
      <c r="BR16" s="100"/>
      <c r="BS16" s="99"/>
      <c r="BT16" s="99"/>
      <c r="BU16" s="100"/>
      <c r="BV16" s="99"/>
      <c r="BW16" s="99"/>
      <c r="BX16" s="100"/>
      <c r="BY16" s="99"/>
      <c r="BZ16" s="99"/>
      <c r="CA16" s="100"/>
      <c r="CB16" s="98"/>
      <c r="CC16" s="99"/>
      <c r="CD16" s="100"/>
      <c r="CE16" s="99"/>
      <c r="CF16" s="99"/>
      <c r="CG16" s="100"/>
      <c r="CH16" s="99"/>
      <c r="CI16" s="99"/>
      <c r="CJ16" s="100"/>
      <c r="CK16" s="99"/>
      <c r="CL16" s="99"/>
      <c r="CM16" s="100"/>
      <c r="CN16" s="99"/>
      <c r="CO16" s="99"/>
      <c r="CP16" s="100"/>
      <c r="CQ16" s="99"/>
      <c r="CR16" s="99"/>
      <c r="CS16" s="100"/>
      <c r="CT16" s="99"/>
      <c r="CU16" s="99"/>
      <c r="CV16" s="100"/>
      <c r="CW16" s="99"/>
      <c r="CX16" s="99"/>
      <c r="CY16" s="100"/>
      <c r="CZ16" s="99"/>
      <c r="DA16" s="99"/>
      <c r="DB16" s="100"/>
      <c r="DC16" s="99"/>
      <c r="DD16" s="99"/>
      <c r="DE16" s="100"/>
      <c r="DF16" s="99"/>
      <c r="DG16" s="99"/>
      <c r="DH16" s="100"/>
      <c r="DI16" s="99"/>
      <c r="DJ16" s="99"/>
      <c r="DK16" s="100"/>
      <c r="DL16" s="99"/>
      <c r="DM16" s="99"/>
      <c r="DN16" s="100"/>
      <c r="DO16" s="99"/>
      <c r="DP16" s="99"/>
      <c r="DQ16" s="100"/>
      <c r="DR16" s="99"/>
      <c r="DS16" s="99"/>
      <c r="DT16" s="100"/>
    </row>
    <row r="17" hidden="1">
      <c r="B17" s="83" t="str">
        <f>IFERROR(__xludf.DUMMYFUNCTION("""COMPUTED_VALUE"""),"EMB13")</f>
        <v>EMB13</v>
      </c>
      <c r="C17" s="82"/>
      <c r="D17" s="88" t="str">
        <f>IFERROR(__xludf.DUMMYFUNCTION("""COMPUTED_VALUE"""),"Sunday- Novice")</f>
        <v>Sunday- Novice</v>
      </c>
      <c r="E17" s="82"/>
      <c r="F17" s="82"/>
      <c r="G17" s="82"/>
      <c r="H17" s="95"/>
      <c r="I17" s="96"/>
      <c r="J17" s="97"/>
      <c r="K17" s="95"/>
      <c r="L17" s="96"/>
      <c r="M17" s="97"/>
      <c r="N17" s="95"/>
      <c r="O17" s="96"/>
      <c r="P17" s="97"/>
      <c r="Q17" s="95"/>
      <c r="R17" s="96"/>
      <c r="S17" s="97"/>
      <c r="T17" s="95"/>
      <c r="U17" s="96"/>
      <c r="V17" s="97"/>
      <c r="W17" s="95"/>
      <c r="X17" s="96"/>
      <c r="Y17" s="97"/>
      <c r="Z17" s="95"/>
      <c r="AA17" s="96"/>
      <c r="AB17" s="97"/>
      <c r="AC17" s="95"/>
      <c r="AD17" s="96"/>
      <c r="AE17" s="97"/>
      <c r="AF17" s="95"/>
      <c r="AG17" s="96"/>
      <c r="AH17" s="97"/>
      <c r="AI17" s="92"/>
      <c r="AJ17" s="93"/>
      <c r="AK17" s="94"/>
      <c r="AL17" s="93"/>
      <c r="AM17" s="93"/>
      <c r="AN17" s="94"/>
      <c r="AO17" s="93"/>
      <c r="AP17" s="93"/>
      <c r="AQ17" s="94"/>
      <c r="AR17" s="93"/>
      <c r="AS17" s="93"/>
      <c r="AT17" s="94"/>
      <c r="AU17" s="93"/>
      <c r="AV17" s="93"/>
      <c r="AW17" s="94"/>
      <c r="AX17" s="93"/>
      <c r="AY17" s="93"/>
      <c r="AZ17" s="94"/>
      <c r="BA17" s="93"/>
      <c r="BB17" s="93"/>
      <c r="BC17" s="94"/>
      <c r="BD17" s="93"/>
      <c r="BE17" s="93"/>
      <c r="BF17" s="94"/>
      <c r="BG17" s="92"/>
      <c r="BH17" s="93"/>
      <c r="BI17" s="94"/>
      <c r="BJ17" s="93"/>
      <c r="BK17" s="93"/>
      <c r="BL17" s="94"/>
      <c r="BM17" s="93"/>
      <c r="BN17" s="93"/>
      <c r="BO17" s="94"/>
      <c r="BP17" s="93"/>
      <c r="BQ17" s="93"/>
      <c r="BR17" s="94"/>
      <c r="BS17" s="93"/>
      <c r="BT17" s="93"/>
      <c r="BU17" s="94"/>
      <c r="BV17" s="93"/>
      <c r="BW17" s="93"/>
      <c r="BX17" s="94"/>
      <c r="BY17" s="93"/>
      <c r="BZ17" s="93"/>
      <c r="CA17" s="94"/>
      <c r="CB17" s="92"/>
      <c r="CC17" s="93"/>
      <c r="CD17" s="94"/>
      <c r="CE17" s="93"/>
      <c r="CF17" s="93"/>
      <c r="CG17" s="94"/>
      <c r="CH17" s="93"/>
      <c r="CI17" s="93"/>
      <c r="CJ17" s="94"/>
      <c r="CK17" s="93"/>
      <c r="CL17" s="93"/>
      <c r="CM17" s="94"/>
      <c r="CN17" s="93"/>
      <c r="CO17" s="93"/>
      <c r="CP17" s="94"/>
      <c r="CQ17" s="93"/>
      <c r="CR17" s="93"/>
      <c r="CS17" s="94"/>
      <c r="CT17" s="93"/>
      <c r="CU17" s="93"/>
      <c r="CV17" s="94"/>
      <c r="CW17" s="93"/>
      <c r="CX17" s="93"/>
      <c r="CY17" s="94"/>
      <c r="CZ17" s="93"/>
      <c r="DA17" s="93"/>
      <c r="DB17" s="94"/>
      <c r="DC17" s="93"/>
      <c r="DD17" s="93"/>
      <c r="DE17" s="94"/>
      <c r="DF17" s="93"/>
      <c r="DG17" s="93"/>
      <c r="DH17" s="94"/>
      <c r="DI17" s="93"/>
      <c r="DJ17" s="93"/>
      <c r="DK17" s="94"/>
      <c r="DL17" s="93"/>
      <c r="DM17" s="93"/>
      <c r="DN17" s="94"/>
      <c r="DO17" s="93"/>
      <c r="DP17" s="93"/>
      <c r="DQ17" s="94"/>
      <c r="DR17" s="93"/>
      <c r="DS17" s="93"/>
      <c r="DT17" s="94"/>
    </row>
    <row r="18" hidden="1">
      <c r="B18" s="83" t="str">
        <f>IFERROR(__xludf.DUMMYFUNCTION("""COMPUTED_VALUE"""),"EMB14")</f>
        <v>EMB14</v>
      </c>
      <c r="C18" s="82"/>
      <c r="D18" s="88" t="str">
        <f>IFERROR(__xludf.DUMMYFUNCTION("""COMPUTED_VALUE"""),"Sunday- Intermediate")</f>
        <v>Sunday- Intermediate</v>
      </c>
      <c r="E18" s="82"/>
      <c r="F18" s="82"/>
      <c r="G18" s="82"/>
      <c r="H18" s="95"/>
      <c r="I18" s="96"/>
      <c r="J18" s="97"/>
      <c r="K18" s="95"/>
      <c r="L18" s="96"/>
      <c r="M18" s="97"/>
      <c r="N18" s="95"/>
      <c r="O18" s="96"/>
      <c r="P18" s="97"/>
      <c r="Q18" s="95"/>
      <c r="R18" s="96"/>
      <c r="S18" s="97"/>
      <c r="T18" s="95"/>
      <c r="U18" s="96"/>
      <c r="V18" s="97"/>
      <c r="W18" s="95"/>
      <c r="X18" s="96"/>
      <c r="Y18" s="97"/>
      <c r="Z18" s="95"/>
      <c r="AA18" s="96"/>
      <c r="AB18" s="97"/>
      <c r="AC18" s="95"/>
      <c r="AD18" s="96"/>
      <c r="AE18" s="97"/>
      <c r="AF18" s="95"/>
      <c r="AG18" s="96"/>
      <c r="AH18" s="97"/>
      <c r="AI18" s="98"/>
      <c r="AJ18" s="99"/>
      <c r="AK18" s="100"/>
      <c r="AL18" s="99"/>
      <c r="AM18" s="99"/>
      <c r="AN18" s="100"/>
      <c r="AO18" s="99"/>
      <c r="AP18" s="99"/>
      <c r="AQ18" s="100"/>
      <c r="AR18" s="99"/>
      <c r="AS18" s="99"/>
      <c r="AT18" s="100"/>
      <c r="AU18" s="99"/>
      <c r="AV18" s="99"/>
      <c r="AW18" s="100"/>
      <c r="AX18" s="99"/>
      <c r="AY18" s="99"/>
      <c r="AZ18" s="100"/>
      <c r="BA18" s="99"/>
      <c r="BB18" s="99"/>
      <c r="BC18" s="100"/>
      <c r="BD18" s="99"/>
      <c r="BE18" s="99"/>
      <c r="BF18" s="100"/>
      <c r="BG18" s="98"/>
      <c r="BH18" s="99"/>
      <c r="BI18" s="100"/>
      <c r="BJ18" s="99"/>
      <c r="BK18" s="99"/>
      <c r="BL18" s="100"/>
      <c r="BM18" s="99"/>
      <c r="BN18" s="99"/>
      <c r="BO18" s="100"/>
      <c r="BP18" s="99"/>
      <c r="BQ18" s="99"/>
      <c r="BR18" s="100"/>
      <c r="BS18" s="99"/>
      <c r="BT18" s="99"/>
      <c r="BU18" s="100"/>
      <c r="BV18" s="99"/>
      <c r="BW18" s="99"/>
      <c r="BX18" s="100"/>
      <c r="BY18" s="99"/>
      <c r="BZ18" s="99"/>
      <c r="CA18" s="100"/>
      <c r="CB18" s="98"/>
      <c r="CC18" s="99"/>
      <c r="CD18" s="100"/>
      <c r="CE18" s="99"/>
      <c r="CF18" s="99"/>
      <c r="CG18" s="100"/>
      <c r="CH18" s="99"/>
      <c r="CI18" s="99"/>
      <c r="CJ18" s="100"/>
      <c r="CK18" s="99"/>
      <c r="CL18" s="99"/>
      <c r="CM18" s="100"/>
      <c r="CN18" s="99"/>
      <c r="CO18" s="99"/>
      <c r="CP18" s="100"/>
      <c r="CQ18" s="99"/>
      <c r="CR18" s="99"/>
      <c r="CS18" s="100"/>
      <c r="CT18" s="99"/>
      <c r="CU18" s="99"/>
      <c r="CV18" s="100"/>
      <c r="CW18" s="99"/>
      <c r="CX18" s="99"/>
      <c r="CY18" s="100"/>
      <c r="CZ18" s="99"/>
      <c r="DA18" s="99"/>
      <c r="DB18" s="100"/>
      <c r="DC18" s="99"/>
      <c r="DD18" s="99"/>
      <c r="DE18" s="100"/>
      <c r="DF18" s="99"/>
      <c r="DG18" s="99"/>
      <c r="DH18" s="100"/>
      <c r="DI18" s="99"/>
      <c r="DJ18" s="99"/>
      <c r="DK18" s="100"/>
      <c r="DL18" s="99"/>
      <c r="DM18" s="99"/>
      <c r="DN18" s="100"/>
      <c r="DO18" s="99"/>
      <c r="DP18" s="99"/>
      <c r="DQ18" s="100"/>
      <c r="DR18" s="99"/>
      <c r="DS18" s="99"/>
      <c r="DT18" s="100"/>
    </row>
    <row r="19" hidden="1">
      <c r="B19" s="83" t="str">
        <f>IFERROR(__xludf.DUMMYFUNCTION("""COMPUTED_VALUE"""),"EMB15")</f>
        <v>EMB15</v>
      </c>
      <c r="C19" s="82"/>
      <c r="D19" s="88" t="str">
        <f>IFERROR(__xludf.DUMMYFUNCTION("""COMPUTED_VALUE"""),"Sunday- Advanced")</f>
        <v>Sunday- Advanced</v>
      </c>
      <c r="E19" s="82"/>
      <c r="F19" s="82"/>
      <c r="G19" s="82"/>
      <c r="H19" s="95"/>
      <c r="I19" s="96"/>
      <c r="J19" s="97"/>
      <c r="K19" s="95"/>
      <c r="L19" s="96"/>
      <c r="M19" s="97"/>
      <c r="N19" s="95"/>
      <c r="O19" s="96"/>
      <c r="P19" s="97"/>
      <c r="Q19" s="95"/>
      <c r="R19" s="96"/>
      <c r="S19" s="97"/>
      <c r="T19" s="95"/>
      <c r="U19" s="96"/>
      <c r="V19" s="97"/>
      <c r="W19" s="95"/>
      <c r="X19" s="96"/>
      <c r="Y19" s="97"/>
      <c r="Z19" s="95"/>
      <c r="AA19" s="96"/>
      <c r="AB19" s="97"/>
      <c r="AC19" s="95"/>
      <c r="AD19" s="96"/>
      <c r="AE19" s="97"/>
      <c r="AF19" s="95"/>
      <c r="AG19" s="96"/>
      <c r="AH19" s="97"/>
      <c r="AI19" s="92"/>
      <c r="AJ19" s="93"/>
      <c r="AK19" s="94"/>
      <c r="AL19" s="93"/>
      <c r="AM19" s="93"/>
      <c r="AN19" s="94"/>
      <c r="AO19" s="93"/>
      <c r="AP19" s="93"/>
      <c r="AQ19" s="94"/>
      <c r="AR19" s="93"/>
      <c r="AS19" s="93"/>
      <c r="AT19" s="94"/>
      <c r="AU19" s="93"/>
      <c r="AV19" s="93"/>
      <c r="AW19" s="94"/>
      <c r="AX19" s="93"/>
      <c r="AY19" s="93"/>
      <c r="AZ19" s="94"/>
      <c r="BA19" s="93"/>
      <c r="BB19" s="93"/>
      <c r="BC19" s="94"/>
      <c r="BD19" s="93"/>
      <c r="BE19" s="93"/>
      <c r="BF19" s="94"/>
      <c r="BG19" s="92"/>
      <c r="BH19" s="93"/>
      <c r="BI19" s="94"/>
      <c r="BJ19" s="93"/>
      <c r="BK19" s="93"/>
      <c r="BL19" s="94"/>
      <c r="BM19" s="93"/>
      <c r="BN19" s="93"/>
      <c r="BO19" s="94"/>
      <c r="BP19" s="93"/>
      <c r="BQ19" s="93"/>
      <c r="BR19" s="94"/>
      <c r="BS19" s="93"/>
      <c r="BT19" s="93"/>
      <c r="BU19" s="94"/>
      <c r="BV19" s="93"/>
      <c r="BW19" s="93"/>
      <c r="BX19" s="94"/>
      <c r="BY19" s="93"/>
      <c r="BZ19" s="93"/>
      <c r="CA19" s="94"/>
      <c r="CB19" s="92"/>
      <c r="CC19" s="93"/>
      <c r="CD19" s="94"/>
      <c r="CE19" s="93"/>
      <c r="CF19" s="93"/>
      <c r="CG19" s="94"/>
      <c r="CH19" s="93"/>
      <c r="CI19" s="93"/>
      <c r="CJ19" s="94"/>
      <c r="CK19" s="93"/>
      <c r="CL19" s="93"/>
      <c r="CM19" s="94"/>
      <c r="CN19" s="93"/>
      <c r="CO19" s="93"/>
      <c r="CP19" s="94"/>
      <c r="CQ19" s="93"/>
      <c r="CR19" s="93"/>
      <c r="CS19" s="94"/>
      <c r="CT19" s="93"/>
      <c r="CU19" s="93"/>
      <c r="CV19" s="94"/>
      <c r="CW19" s="93"/>
      <c r="CX19" s="93"/>
      <c r="CY19" s="94"/>
      <c r="CZ19" s="93"/>
      <c r="DA19" s="93"/>
      <c r="DB19" s="94"/>
      <c r="DC19" s="93"/>
      <c r="DD19" s="93"/>
      <c r="DE19" s="94"/>
      <c r="DF19" s="93"/>
      <c r="DG19" s="93"/>
      <c r="DH19" s="94"/>
      <c r="DI19" s="93"/>
      <c r="DJ19" s="93"/>
      <c r="DK19" s="94"/>
      <c r="DL19" s="93"/>
      <c r="DM19" s="93"/>
      <c r="DN19" s="94"/>
      <c r="DO19" s="93"/>
      <c r="DP19" s="93"/>
      <c r="DQ19" s="94"/>
      <c r="DR19" s="93"/>
      <c r="DS19" s="93"/>
      <c r="DT19" s="94"/>
    </row>
    <row r="20" hidden="1">
      <c r="B20" s="83" t="str">
        <f>IFERROR(__xludf.DUMMYFUNCTION("""COMPUTED_VALUE"""),"EMB16")</f>
        <v>EMB16</v>
      </c>
      <c r="C20" s="82"/>
      <c r="D20" s="88" t="str">
        <f>IFERROR(__xludf.DUMMYFUNCTION("""COMPUTED_VALUE"""),"Sunday- Expert")</f>
        <v>Sunday- Expert</v>
      </c>
      <c r="E20" s="82"/>
      <c r="F20" s="82"/>
      <c r="G20" s="82"/>
      <c r="H20" s="95"/>
      <c r="I20" s="96"/>
      <c r="J20" s="97"/>
      <c r="K20" s="95"/>
      <c r="L20" s="96"/>
      <c r="M20" s="97"/>
      <c r="N20" s="95"/>
      <c r="O20" s="96"/>
      <c r="P20" s="97"/>
      <c r="Q20" s="95"/>
      <c r="R20" s="96"/>
      <c r="S20" s="97"/>
      <c r="T20" s="95"/>
      <c r="U20" s="96"/>
      <c r="V20" s="97"/>
      <c r="W20" s="95"/>
      <c r="X20" s="96"/>
      <c r="Y20" s="97"/>
      <c r="Z20" s="95"/>
      <c r="AA20" s="96"/>
      <c r="AB20" s="97"/>
      <c r="AC20" s="95"/>
      <c r="AD20" s="96"/>
      <c r="AE20" s="97"/>
      <c r="AF20" s="95"/>
      <c r="AG20" s="96"/>
      <c r="AH20" s="97"/>
      <c r="AI20" s="98"/>
      <c r="AJ20" s="99"/>
      <c r="AK20" s="100"/>
      <c r="AL20" s="99"/>
      <c r="AM20" s="99"/>
      <c r="AN20" s="100"/>
      <c r="AO20" s="99"/>
      <c r="AP20" s="99"/>
      <c r="AQ20" s="100"/>
      <c r="AR20" s="99"/>
      <c r="AS20" s="99"/>
      <c r="AT20" s="100"/>
      <c r="AU20" s="99"/>
      <c r="AV20" s="99"/>
      <c r="AW20" s="100"/>
      <c r="AX20" s="99"/>
      <c r="AY20" s="99"/>
      <c r="AZ20" s="100"/>
      <c r="BA20" s="99"/>
      <c r="BB20" s="99"/>
      <c r="BC20" s="100"/>
      <c r="BD20" s="99"/>
      <c r="BE20" s="99"/>
      <c r="BF20" s="100"/>
      <c r="BG20" s="98"/>
      <c r="BH20" s="99"/>
      <c r="BI20" s="100"/>
      <c r="BJ20" s="99"/>
      <c r="BK20" s="99"/>
      <c r="BL20" s="100"/>
      <c r="BM20" s="99"/>
      <c r="BN20" s="99"/>
      <c r="BO20" s="100"/>
      <c r="BP20" s="99"/>
      <c r="BQ20" s="99"/>
      <c r="BR20" s="100"/>
      <c r="BS20" s="99"/>
      <c r="BT20" s="99"/>
      <c r="BU20" s="100"/>
      <c r="BV20" s="99"/>
      <c r="BW20" s="99"/>
      <c r="BX20" s="100"/>
      <c r="BY20" s="99"/>
      <c r="BZ20" s="99"/>
      <c r="CA20" s="100"/>
      <c r="CB20" s="98"/>
      <c r="CC20" s="99"/>
      <c r="CD20" s="100"/>
      <c r="CE20" s="99"/>
      <c r="CF20" s="99"/>
      <c r="CG20" s="100"/>
      <c r="CH20" s="99"/>
      <c r="CI20" s="99"/>
      <c r="CJ20" s="100"/>
      <c r="CK20" s="99"/>
      <c r="CL20" s="99"/>
      <c r="CM20" s="100"/>
      <c r="CN20" s="99"/>
      <c r="CO20" s="99"/>
      <c r="CP20" s="100"/>
      <c r="CQ20" s="99"/>
      <c r="CR20" s="99"/>
      <c r="CS20" s="100"/>
      <c r="CT20" s="99"/>
      <c r="CU20" s="99"/>
      <c r="CV20" s="100"/>
      <c r="CW20" s="99"/>
      <c r="CX20" s="99"/>
      <c r="CY20" s="100"/>
      <c r="CZ20" s="99"/>
      <c r="DA20" s="99"/>
      <c r="DB20" s="100"/>
      <c r="DC20" s="99"/>
      <c r="DD20" s="99"/>
      <c r="DE20" s="100"/>
      <c r="DF20" s="99"/>
      <c r="DG20" s="99"/>
      <c r="DH20" s="100"/>
      <c r="DI20" s="99"/>
      <c r="DJ20" s="99"/>
      <c r="DK20" s="100"/>
      <c r="DL20" s="99"/>
      <c r="DM20" s="99"/>
      <c r="DN20" s="100"/>
      <c r="DO20" s="99"/>
      <c r="DP20" s="99"/>
      <c r="DQ20" s="100"/>
      <c r="DR20" s="99"/>
      <c r="DS20" s="99"/>
      <c r="DT20" s="100"/>
    </row>
    <row r="21">
      <c r="A21" s="101" t="str">
        <f>IFERROR(__xludf.DUMMYFUNCTION("""COMPUTED_VALUE"""),"TRAINING FIELD")</f>
        <v>TRAINING FIELD</v>
      </c>
      <c r="B21" s="83" t="str">
        <f>IFERROR(__xludf.DUMMYFUNCTION("""COMPUTED_VALUE"""),"TRF1")</f>
        <v>TRF1</v>
      </c>
      <c r="C21" s="82">
        <f>IFERROR(__xludf.DUMMYFUNCTION("""COMPUTED_VALUE"""),7.0)</f>
        <v>7</v>
      </c>
      <c r="D21" s="88" t="str">
        <f>IFERROR(__xludf.DUMMYFUNCTION("""COMPUTED_VALUE"""),"MON Archer Training Ground- Nov")</f>
        <v>MON Archer Training Ground- Nov</v>
      </c>
      <c r="E21" s="82" t="str">
        <f>IFERROR(__xludf.DUMMYFUNCTION("""COMPUTED_VALUE"""),"弓初級")</f>
        <v>弓初級</v>
      </c>
      <c r="F21" s="102">
        <f>IFERROR(__xludf.DUMMYFUNCTION("""COMPUTED_VALUE"""),10.0)</f>
        <v>10</v>
      </c>
      <c r="G21" s="82">
        <f>IFERROR(__xludf.DUMMYFUNCTION("""COMPUTED_VALUE"""),1610.0)</f>
        <v>1610</v>
      </c>
      <c r="H21" s="95" t="str">
        <f>IFERROR(__xludf.DUMMYFUNCTION("""COMPUTED_VALUE"""),"")</f>
        <v/>
      </c>
      <c r="I21" s="96" t="str">
        <f>IFERROR(__xludf.DUMMYFUNCTION("""COMPUTED_VALUE"""),"")</f>
        <v/>
      </c>
      <c r="J21" s="97" t="str">
        <f>IFERROR(__xludf.DUMMYFUNCTION("""COMPUTED_VALUE"""),"")</f>
        <v/>
      </c>
      <c r="K21" s="95" t="str">
        <f>IFERROR(__xludf.DUMMYFUNCTION("""COMPUTED_VALUE"""),"")</f>
        <v/>
      </c>
      <c r="L21" s="96" t="str">
        <f>IFERROR(__xludf.DUMMYFUNCTION("""COMPUTED_VALUE"""),"")</f>
        <v/>
      </c>
      <c r="M21" s="97" t="str">
        <f>IFERROR(__xludf.DUMMYFUNCTION("""COMPUTED_VALUE"""),"")</f>
        <v/>
      </c>
      <c r="N21" s="95" t="str">
        <f>IFERROR(__xludf.DUMMYFUNCTION("""COMPUTED_VALUE"""),"")</f>
        <v/>
      </c>
      <c r="O21" s="96" t="str">
        <f>IFERROR(__xludf.DUMMYFUNCTION("""COMPUTED_VALUE"""),"")</f>
        <v/>
      </c>
      <c r="P21" s="97" t="str">
        <f>IFERROR(__xludf.DUMMYFUNCTION("""COMPUTED_VALUE"""),"")</f>
        <v/>
      </c>
      <c r="Q21" s="95" t="str">
        <f>IFERROR(__xludf.DUMMYFUNCTION("""COMPUTED_VALUE"""),"")</f>
        <v/>
      </c>
      <c r="R21" s="96" t="str">
        <f>IFERROR(__xludf.DUMMYFUNCTION("""COMPUTED_VALUE"""),"")</f>
        <v/>
      </c>
      <c r="S21" s="97" t="str">
        <f>IFERROR(__xludf.DUMMYFUNCTION("""COMPUTED_VALUE"""),"")</f>
        <v/>
      </c>
      <c r="T21" s="95" t="str">
        <f>IFERROR(__xludf.DUMMYFUNCTION("""COMPUTED_VALUE"""),"")</f>
        <v/>
      </c>
      <c r="U21" s="96" t="str">
        <f>IFERROR(__xludf.DUMMYFUNCTION("""COMPUTED_VALUE"""),"")</f>
        <v/>
      </c>
      <c r="V21" s="97" t="str">
        <f>IFERROR(__xludf.DUMMYFUNCTION("""COMPUTED_VALUE"""),"")</f>
        <v/>
      </c>
      <c r="W21" s="95" t="str">
        <f>IFERROR(__xludf.DUMMYFUNCTION("""COMPUTED_VALUE"""),"")</f>
        <v/>
      </c>
      <c r="X21" s="96" t="str">
        <f>IFERROR(__xludf.DUMMYFUNCTION("""COMPUTED_VALUE"""),"")</f>
        <v/>
      </c>
      <c r="Y21" s="97" t="str">
        <f>IFERROR(__xludf.DUMMYFUNCTION("""COMPUTED_VALUE"""),"")</f>
        <v/>
      </c>
      <c r="Z21" s="95" t="str">
        <f>IFERROR(__xludf.DUMMYFUNCTION("""COMPUTED_VALUE"""),"")</f>
        <v/>
      </c>
      <c r="AA21" s="96" t="str">
        <f>IFERROR(__xludf.DUMMYFUNCTION("""COMPUTED_VALUE"""),"")</f>
        <v/>
      </c>
      <c r="AB21" s="97" t="str">
        <f>IFERROR(__xludf.DUMMYFUNCTION("""COMPUTED_VALUE"""),"")</f>
        <v/>
      </c>
      <c r="AC21" s="95" t="str">
        <f>IFERROR(__xludf.DUMMYFUNCTION("""COMPUTED_VALUE"""),"")</f>
        <v/>
      </c>
      <c r="AD21" s="96" t="str">
        <f>IFERROR(__xludf.DUMMYFUNCTION("""COMPUTED_VALUE"""),"")</f>
        <v/>
      </c>
      <c r="AE21" s="97" t="str">
        <f>IFERROR(__xludf.DUMMYFUNCTION("""COMPUTED_VALUE"""),"")</f>
        <v/>
      </c>
      <c r="AF21" s="95" t="str">
        <f>IFERROR(__xludf.DUMMYFUNCTION("""COMPUTED_VALUE"""),"")</f>
        <v/>
      </c>
      <c r="AG21" s="96" t="str">
        <f>IFERROR(__xludf.DUMMYFUNCTION("""COMPUTED_VALUE"""),"")</f>
        <v/>
      </c>
      <c r="AH21" s="97">
        <f>IFERROR(__xludf.DUMMYFUNCTION("""COMPUTED_VALUE"""),197.2)</f>
        <v>197.2</v>
      </c>
      <c r="AI21" s="103" t="str">
        <f>IFERROR(__xludf.DUMMYFUNCTION("""COMPUTED_VALUE"""),"")</f>
        <v/>
      </c>
      <c r="AJ21" s="104" t="str">
        <f>IFERROR(__xludf.DUMMYFUNCTION("""COMPUTED_VALUE"""),"")</f>
        <v/>
      </c>
      <c r="AK21" s="105" t="str">
        <f>IFERROR(__xludf.DUMMYFUNCTION("""COMPUTED_VALUE"""),"")</f>
        <v/>
      </c>
      <c r="AL21" s="104" t="str">
        <f>IFERROR(__xludf.DUMMYFUNCTION("""COMPUTED_VALUE"""),"")</f>
        <v/>
      </c>
      <c r="AM21" s="104" t="str">
        <f>IFERROR(__xludf.DUMMYFUNCTION("""COMPUTED_VALUE"""),"")</f>
        <v/>
      </c>
      <c r="AN21" s="105" t="str">
        <f>IFERROR(__xludf.DUMMYFUNCTION("""COMPUTED_VALUE"""),"")</f>
        <v/>
      </c>
      <c r="AO21" s="104" t="str">
        <f>IFERROR(__xludf.DUMMYFUNCTION("""COMPUTED_VALUE"""),"")</f>
        <v/>
      </c>
      <c r="AP21" s="104" t="str">
        <f>IFERROR(__xludf.DUMMYFUNCTION("""COMPUTED_VALUE"""),"")</f>
        <v/>
      </c>
      <c r="AQ21" s="105" t="str">
        <f>IFERROR(__xludf.DUMMYFUNCTION("""COMPUTED_VALUE"""),"")</f>
        <v/>
      </c>
      <c r="AR21" s="104" t="str">
        <f>IFERROR(__xludf.DUMMYFUNCTION("""COMPUTED_VALUE"""),"")</f>
        <v/>
      </c>
      <c r="AS21" s="104" t="str">
        <f>IFERROR(__xludf.DUMMYFUNCTION("""COMPUTED_VALUE"""),"")</f>
        <v/>
      </c>
      <c r="AT21" s="105">
        <f>IFERROR(__xludf.DUMMYFUNCTION("""COMPUTED_VALUE"""),92.5)</f>
        <v>92.5</v>
      </c>
      <c r="AU21" s="104">
        <f>IFERROR(__xludf.DUMMYFUNCTION("""COMPUTED_VALUE"""),41.1)</f>
        <v>41.1</v>
      </c>
      <c r="AV21" s="104">
        <f>IFERROR(__xludf.DUMMYFUNCTION("""COMPUTED_VALUE"""),272.4)</f>
        <v>272.4</v>
      </c>
      <c r="AW21" s="105">
        <f>IFERROR(__xludf.DUMMYFUNCTION("""COMPUTED_VALUE"""),190.1)</f>
        <v>190.1</v>
      </c>
      <c r="AX21" s="104" t="str">
        <f>IFERROR(__xludf.DUMMYFUNCTION("""COMPUTED_VALUE"""),"")</f>
        <v/>
      </c>
      <c r="AY21" s="104" t="str">
        <f>IFERROR(__xludf.DUMMYFUNCTION("""COMPUTED_VALUE"""),"")</f>
        <v/>
      </c>
      <c r="AZ21" s="105" t="str">
        <f>IFERROR(__xludf.DUMMYFUNCTION("""COMPUTED_VALUE"""),"")</f>
        <v/>
      </c>
      <c r="BA21" s="104" t="str">
        <f>IFERROR(__xludf.DUMMYFUNCTION("""COMPUTED_VALUE"""),"")</f>
        <v/>
      </c>
      <c r="BB21" s="104" t="str">
        <f>IFERROR(__xludf.DUMMYFUNCTION("""COMPUTED_VALUE"""),"")</f>
        <v/>
      </c>
      <c r="BC21" s="105" t="str">
        <f>IFERROR(__xludf.DUMMYFUNCTION("""COMPUTED_VALUE"""),"")</f>
        <v/>
      </c>
      <c r="BD21" s="104" t="str">
        <f>IFERROR(__xludf.DUMMYFUNCTION("""COMPUTED_VALUE"""),"")</f>
        <v/>
      </c>
      <c r="BE21" s="104" t="str">
        <f>IFERROR(__xludf.DUMMYFUNCTION("""COMPUTED_VALUE"""),"")</f>
        <v/>
      </c>
      <c r="BF21" s="105" t="str">
        <f>IFERROR(__xludf.DUMMYFUNCTION("""COMPUTED_VALUE"""),"")</f>
        <v/>
      </c>
      <c r="BG21" s="103" t="str">
        <f>IFERROR(__xludf.DUMMYFUNCTION("""COMPUTED_VALUE"""),"")</f>
        <v/>
      </c>
      <c r="BH21" s="104" t="str">
        <f>IFERROR(__xludf.DUMMYFUNCTION("""COMPUTED_VALUE"""),"")</f>
        <v/>
      </c>
      <c r="BI21" s="105" t="str">
        <f>IFERROR(__xludf.DUMMYFUNCTION("""COMPUTED_VALUE"""),"")</f>
        <v/>
      </c>
      <c r="BJ21" s="104" t="str">
        <f>IFERROR(__xludf.DUMMYFUNCTION("""COMPUTED_VALUE"""),"")</f>
        <v/>
      </c>
      <c r="BK21" s="104" t="str">
        <f>IFERROR(__xludf.DUMMYFUNCTION("""COMPUTED_VALUE"""),"")</f>
        <v/>
      </c>
      <c r="BL21" s="105" t="str">
        <f>IFERROR(__xludf.DUMMYFUNCTION("""COMPUTED_VALUE"""),"")</f>
        <v/>
      </c>
      <c r="BM21" s="104" t="str">
        <f>IFERROR(__xludf.DUMMYFUNCTION("""COMPUTED_VALUE"""),"")</f>
        <v/>
      </c>
      <c r="BN21" s="104" t="str">
        <f>IFERROR(__xludf.DUMMYFUNCTION("""COMPUTED_VALUE"""),"")</f>
        <v/>
      </c>
      <c r="BO21" s="105" t="str">
        <f>IFERROR(__xludf.DUMMYFUNCTION("""COMPUTED_VALUE"""),"")</f>
        <v/>
      </c>
      <c r="BP21" s="104" t="str">
        <f>IFERROR(__xludf.DUMMYFUNCTION("""COMPUTED_VALUE"""),"")</f>
        <v/>
      </c>
      <c r="BQ21" s="104" t="str">
        <f>IFERROR(__xludf.DUMMYFUNCTION("""COMPUTED_VALUE"""),"")</f>
        <v/>
      </c>
      <c r="BR21" s="105">
        <f>IFERROR(__xludf.DUMMYFUNCTION("""COMPUTED_VALUE"""),7.4)</f>
        <v>7.4</v>
      </c>
      <c r="BS21" s="104" t="str">
        <f>IFERROR(__xludf.DUMMYFUNCTION("""COMPUTED_VALUE"""),"")</f>
        <v/>
      </c>
      <c r="BT21" s="104" t="str">
        <f>IFERROR(__xludf.DUMMYFUNCTION("""COMPUTED_VALUE"""),"")</f>
        <v/>
      </c>
      <c r="BU21" s="105" t="str">
        <f>IFERROR(__xludf.DUMMYFUNCTION("""COMPUTED_VALUE"""),"")</f>
        <v/>
      </c>
      <c r="BV21" s="104" t="str">
        <f>IFERROR(__xludf.DUMMYFUNCTION("""COMPUTED_VALUE"""),"")</f>
        <v/>
      </c>
      <c r="BW21" s="104" t="str">
        <f>IFERROR(__xludf.DUMMYFUNCTION("""COMPUTED_VALUE"""),"")</f>
        <v/>
      </c>
      <c r="BX21" s="105" t="str">
        <f>IFERROR(__xludf.DUMMYFUNCTION("""COMPUTED_VALUE"""),"")</f>
        <v/>
      </c>
      <c r="BY21" s="104">
        <f>IFERROR(__xludf.DUMMYFUNCTION("""COMPUTED_VALUE"""),536.7)</f>
        <v>536.7</v>
      </c>
      <c r="BZ21" s="104" t="str">
        <f>IFERROR(__xludf.DUMMYFUNCTION("""COMPUTED_VALUE"""),"")</f>
        <v/>
      </c>
      <c r="CA21" s="105" t="str">
        <f>IFERROR(__xludf.DUMMYFUNCTION("""COMPUTED_VALUE"""),"")</f>
        <v/>
      </c>
      <c r="CB21" s="103" t="str">
        <f>IFERROR(__xludf.DUMMYFUNCTION("""COMPUTED_VALUE"""),"")</f>
        <v/>
      </c>
      <c r="CC21" s="104" t="str">
        <f>IFERROR(__xludf.DUMMYFUNCTION("""COMPUTED_VALUE"""),"")</f>
        <v/>
      </c>
      <c r="CD21" s="105" t="str">
        <f>IFERROR(__xludf.DUMMYFUNCTION("""COMPUTED_VALUE"""),"")</f>
        <v/>
      </c>
      <c r="CE21" s="104" t="str">
        <f>IFERROR(__xludf.DUMMYFUNCTION("""COMPUTED_VALUE"""),"")</f>
        <v/>
      </c>
      <c r="CF21" s="104">
        <f>IFERROR(__xludf.DUMMYFUNCTION("""COMPUTED_VALUE"""),44.0)</f>
        <v>44</v>
      </c>
      <c r="CG21" s="105" t="str">
        <f>IFERROR(__xludf.DUMMYFUNCTION("""COMPUTED_VALUE"""),"")</f>
        <v/>
      </c>
      <c r="CH21" s="104" t="str">
        <f>IFERROR(__xludf.DUMMYFUNCTION("""COMPUTED_VALUE"""),"")</f>
        <v/>
      </c>
      <c r="CI21" s="104" t="str">
        <f>IFERROR(__xludf.DUMMYFUNCTION("""COMPUTED_VALUE"""),"")</f>
        <v/>
      </c>
      <c r="CJ21" s="105" t="str">
        <f>IFERROR(__xludf.DUMMYFUNCTION("""COMPUTED_VALUE"""),"")</f>
        <v/>
      </c>
      <c r="CK21" s="104" t="str">
        <f>IFERROR(__xludf.DUMMYFUNCTION("""COMPUTED_VALUE"""),"")</f>
        <v/>
      </c>
      <c r="CL21" s="104" t="str">
        <f>IFERROR(__xludf.DUMMYFUNCTION("""COMPUTED_VALUE"""),"")</f>
        <v/>
      </c>
      <c r="CM21" s="105" t="str">
        <f>IFERROR(__xludf.DUMMYFUNCTION("""COMPUTED_VALUE"""),"")</f>
        <v/>
      </c>
      <c r="CN21" s="104" t="str">
        <f>IFERROR(__xludf.DUMMYFUNCTION("""COMPUTED_VALUE"""),"")</f>
        <v/>
      </c>
      <c r="CO21" s="104" t="str">
        <f>IFERROR(__xludf.DUMMYFUNCTION("""COMPUTED_VALUE"""),"")</f>
        <v/>
      </c>
      <c r="CP21" s="105" t="str">
        <f>IFERROR(__xludf.DUMMYFUNCTION("""COMPUTED_VALUE"""),"")</f>
        <v/>
      </c>
      <c r="CQ21" s="104" t="str">
        <f>IFERROR(__xludf.DUMMYFUNCTION("""COMPUTED_VALUE"""),"")</f>
        <v/>
      </c>
      <c r="CR21" s="104" t="str">
        <f>IFERROR(__xludf.DUMMYFUNCTION("""COMPUTED_VALUE"""),"")</f>
        <v/>
      </c>
      <c r="CS21" s="105"/>
      <c r="CT21" s="104"/>
      <c r="CU21" s="104"/>
      <c r="CV21" s="105"/>
      <c r="CW21" s="104"/>
      <c r="CX21" s="104"/>
      <c r="CY21" s="105"/>
      <c r="CZ21" s="104"/>
      <c r="DA21" s="104"/>
      <c r="DB21" s="105"/>
      <c r="DC21" s="104"/>
      <c r="DD21" s="104"/>
      <c r="DE21" s="105"/>
      <c r="DF21" s="104"/>
      <c r="DG21" s="104"/>
      <c r="DH21" s="105"/>
      <c r="DI21" s="104"/>
      <c r="DJ21" s="104"/>
      <c r="DK21" s="105"/>
      <c r="DL21" s="104"/>
      <c r="DM21" s="104"/>
      <c r="DN21" s="105"/>
      <c r="DO21" s="104"/>
      <c r="DP21" s="104"/>
      <c r="DQ21" s="105"/>
      <c r="DR21" s="104"/>
      <c r="DS21" s="104"/>
      <c r="DT21" s="105"/>
    </row>
    <row r="22">
      <c r="B22" s="83" t="str">
        <f>IFERROR(__xludf.DUMMYFUNCTION("""COMPUTED_VALUE"""),"TRF2")</f>
        <v>TRF2</v>
      </c>
      <c r="C22" s="82">
        <f>IFERROR(__xludf.DUMMYFUNCTION("""COMPUTED_VALUE"""),6.0)</f>
        <v>6</v>
      </c>
      <c r="D22" s="88" t="str">
        <f>IFERROR(__xludf.DUMMYFUNCTION("""COMPUTED_VALUE"""),"MON Archer Training Ground- Int")</f>
        <v>MON Archer Training Ground- Int</v>
      </c>
      <c r="E22" s="82" t="str">
        <f>IFERROR(__xludf.DUMMYFUNCTION("""COMPUTED_VALUE"""),"弓中級")</f>
        <v>弓中級</v>
      </c>
      <c r="F22" s="102">
        <f>IFERROR(__xludf.DUMMYFUNCTION("""COMPUTED_VALUE"""),20.0)</f>
        <v>20</v>
      </c>
      <c r="G22" s="82">
        <f>IFERROR(__xludf.DUMMYFUNCTION("""COMPUTED_VALUE"""),1126.0)</f>
        <v>1126</v>
      </c>
      <c r="H22" s="95" t="str">
        <f>IFERROR(__xludf.DUMMYFUNCTION("""COMPUTED_VALUE"""),"")</f>
        <v/>
      </c>
      <c r="I22" s="96" t="str">
        <f>IFERROR(__xludf.DUMMYFUNCTION("""COMPUTED_VALUE"""),"")</f>
        <v/>
      </c>
      <c r="J22" s="97" t="str">
        <f>IFERROR(__xludf.DUMMYFUNCTION("""COMPUTED_VALUE"""),"")</f>
        <v/>
      </c>
      <c r="K22" s="95" t="str">
        <f>IFERROR(__xludf.DUMMYFUNCTION("""COMPUTED_VALUE"""),"")</f>
        <v/>
      </c>
      <c r="L22" s="96" t="str">
        <f>IFERROR(__xludf.DUMMYFUNCTION("""COMPUTED_VALUE"""),"")</f>
        <v/>
      </c>
      <c r="M22" s="97" t="str">
        <f>IFERROR(__xludf.DUMMYFUNCTION("""COMPUTED_VALUE"""),"")</f>
        <v/>
      </c>
      <c r="N22" s="95" t="str">
        <f>IFERROR(__xludf.DUMMYFUNCTION("""COMPUTED_VALUE"""),"")</f>
        <v/>
      </c>
      <c r="O22" s="96" t="str">
        <f>IFERROR(__xludf.DUMMYFUNCTION("""COMPUTED_VALUE"""),"")</f>
        <v/>
      </c>
      <c r="P22" s="97" t="str">
        <f>IFERROR(__xludf.DUMMYFUNCTION("""COMPUTED_VALUE"""),"")</f>
        <v/>
      </c>
      <c r="Q22" s="95" t="str">
        <f>IFERROR(__xludf.DUMMYFUNCTION("""COMPUTED_VALUE"""),"")</f>
        <v/>
      </c>
      <c r="R22" s="96" t="str">
        <f>IFERROR(__xludf.DUMMYFUNCTION("""COMPUTED_VALUE"""),"")</f>
        <v/>
      </c>
      <c r="S22" s="97" t="str">
        <f>IFERROR(__xludf.DUMMYFUNCTION("""COMPUTED_VALUE"""),"")</f>
        <v/>
      </c>
      <c r="T22" s="95" t="str">
        <f>IFERROR(__xludf.DUMMYFUNCTION("""COMPUTED_VALUE"""),"")</f>
        <v/>
      </c>
      <c r="U22" s="96" t="str">
        <f>IFERROR(__xludf.DUMMYFUNCTION("""COMPUTED_VALUE"""),"")</f>
        <v/>
      </c>
      <c r="V22" s="97" t="str">
        <f>IFERROR(__xludf.DUMMYFUNCTION("""COMPUTED_VALUE"""),"")</f>
        <v/>
      </c>
      <c r="W22" s="95" t="str">
        <f>IFERROR(__xludf.DUMMYFUNCTION("""COMPUTED_VALUE"""),"")</f>
        <v/>
      </c>
      <c r="X22" s="96" t="str">
        <f>IFERROR(__xludf.DUMMYFUNCTION("""COMPUTED_VALUE"""),"")</f>
        <v/>
      </c>
      <c r="Y22" s="97" t="str">
        <f>IFERROR(__xludf.DUMMYFUNCTION("""COMPUTED_VALUE"""),"")</f>
        <v/>
      </c>
      <c r="Z22" s="95">
        <f>IFERROR(__xludf.DUMMYFUNCTION("""COMPUTED_VALUE"""),132.1)</f>
        <v>132.1</v>
      </c>
      <c r="AA22" s="96" t="str">
        <f>IFERROR(__xludf.DUMMYFUNCTION("""COMPUTED_VALUE"""),"")</f>
        <v/>
      </c>
      <c r="AB22" s="97" t="str">
        <f>IFERROR(__xludf.DUMMYFUNCTION("""COMPUTED_VALUE"""),"")</f>
        <v/>
      </c>
      <c r="AC22" s="95" t="str">
        <f>IFERROR(__xludf.DUMMYFUNCTION("""COMPUTED_VALUE"""),"")</f>
        <v/>
      </c>
      <c r="AD22" s="96">
        <f>IFERROR(__xludf.DUMMYFUNCTION("""COMPUTED_VALUE"""),2790.0)</f>
        <v>2790</v>
      </c>
      <c r="AE22" s="97" t="str">
        <f>IFERROR(__xludf.DUMMYFUNCTION("""COMPUTED_VALUE"""),"")</f>
        <v/>
      </c>
      <c r="AF22" s="95" t="str">
        <f>IFERROR(__xludf.DUMMYFUNCTION("""COMPUTED_VALUE"""),"")</f>
        <v/>
      </c>
      <c r="AG22" s="96" t="str">
        <f>IFERROR(__xludf.DUMMYFUNCTION("""COMPUTED_VALUE"""),"")</f>
        <v/>
      </c>
      <c r="AH22" s="97">
        <f>IFERROR(__xludf.DUMMYFUNCTION("""COMPUTED_VALUE"""),192.5)</f>
        <v>192.5</v>
      </c>
      <c r="AI22" s="92" t="str">
        <f>IFERROR(__xludf.DUMMYFUNCTION("""COMPUTED_VALUE"""),"")</f>
        <v/>
      </c>
      <c r="AJ22" s="93" t="str">
        <f>IFERROR(__xludf.DUMMYFUNCTION("""COMPUTED_VALUE"""),"")</f>
        <v/>
      </c>
      <c r="AK22" s="94" t="str">
        <f>IFERROR(__xludf.DUMMYFUNCTION("""COMPUTED_VALUE"""),"")</f>
        <v/>
      </c>
      <c r="AL22" s="93" t="str">
        <f>IFERROR(__xludf.DUMMYFUNCTION("""COMPUTED_VALUE"""),"")</f>
        <v/>
      </c>
      <c r="AM22" s="93" t="str">
        <f>IFERROR(__xludf.DUMMYFUNCTION("""COMPUTED_VALUE"""),"")</f>
        <v/>
      </c>
      <c r="AN22" s="94" t="str">
        <f>IFERROR(__xludf.DUMMYFUNCTION("""COMPUTED_VALUE"""),"")</f>
        <v/>
      </c>
      <c r="AO22" s="93" t="str">
        <f>IFERROR(__xludf.DUMMYFUNCTION("""COMPUTED_VALUE"""),"")</f>
        <v/>
      </c>
      <c r="AP22" s="93" t="str">
        <f>IFERROR(__xludf.DUMMYFUNCTION("""COMPUTED_VALUE"""),"")</f>
        <v/>
      </c>
      <c r="AQ22" s="94" t="str">
        <f>IFERROR(__xludf.DUMMYFUNCTION("""COMPUTED_VALUE"""),"")</f>
        <v/>
      </c>
      <c r="AR22" s="93" t="str">
        <f>IFERROR(__xludf.DUMMYFUNCTION("""COMPUTED_VALUE"""),"")</f>
        <v/>
      </c>
      <c r="AS22" s="93" t="str">
        <f>IFERROR(__xludf.DUMMYFUNCTION("""COMPUTED_VALUE"""),"")</f>
        <v/>
      </c>
      <c r="AT22" s="94">
        <f>IFERROR(__xludf.DUMMYFUNCTION("""COMPUTED_VALUE"""),250.8)</f>
        <v>250.8</v>
      </c>
      <c r="AU22" s="93">
        <f>IFERROR(__xludf.DUMMYFUNCTION("""COMPUTED_VALUE"""),65.7)</f>
        <v>65.7</v>
      </c>
      <c r="AV22" s="93">
        <f>IFERROR(__xludf.DUMMYFUNCTION("""COMPUTED_VALUE"""),1577.1)</f>
        <v>1577.1</v>
      </c>
      <c r="AW22" s="94">
        <f>IFERROR(__xludf.DUMMYFUNCTION("""COMPUTED_VALUE"""),135.3)</f>
        <v>135.3</v>
      </c>
      <c r="AX22" s="93" t="str">
        <f>IFERROR(__xludf.DUMMYFUNCTION("""COMPUTED_VALUE"""),"")</f>
        <v/>
      </c>
      <c r="AY22" s="93" t="str">
        <f>IFERROR(__xludf.DUMMYFUNCTION("""COMPUTED_VALUE"""),"")</f>
        <v/>
      </c>
      <c r="AZ22" s="94" t="str">
        <f>IFERROR(__xludf.DUMMYFUNCTION("""COMPUTED_VALUE"""),"")</f>
        <v/>
      </c>
      <c r="BA22" s="93" t="str">
        <f>IFERROR(__xludf.DUMMYFUNCTION("""COMPUTED_VALUE"""),"")</f>
        <v/>
      </c>
      <c r="BB22" s="93" t="str">
        <f>IFERROR(__xludf.DUMMYFUNCTION("""COMPUTED_VALUE"""),"")</f>
        <v/>
      </c>
      <c r="BC22" s="94" t="str">
        <f>IFERROR(__xludf.DUMMYFUNCTION("""COMPUTED_VALUE"""),"")</f>
        <v/>
      </c>
      <c r="BD22" s="93" t="str">
        <f>IFERROR(__xludf.DUMMYFUNCTION("""COMPUTED_VALUE"""),"")</f>
        <v/>
      </c>
      <c r="BE22" s="93" t="str">
        <f>IFERROR(__xludf.DUMMYFUNCTION("""COMPUTED_VALUE"""),"")</f>
        <v/>
      </c>
      <c r="BF22" s="94" t="str">
        <f>IFERROR(__xludf.DUMMYFUNCTION("""COMPUTED_VALUE"""),"")</f>
        <v/>
      </c>
      <c r="BG22" s="92" t="str">
        <f>IFERROR(__xludf.DUMMYFUNCTION("""COMPUTED_VALUE"""),"")</f>
        <v/>
      </c>
      <c r="BH22" s="93" t="str">
        <f>IFERROR(__xludf.DUMMYFUNCTION("""COMPUTED_VALUE"""),"")</f>
        <v/>
      </c>
      <c r="BI22" s="94" t="str">
        <f>IFERROR(__xludf.DUMMYFUNCTION("""COMPUTED_VALUE"""),"")</f>
        <v/>
      </c>
      <c r="BJ22" s="93" t="str">
        <f>IFERROR(__xludf.DUMMYFUNCTION("""COMPUTED_VALUE"""),"")</f>
        <v/>
      </c>
      <c r="BK22" s="93">
        <f>IFERROR(__xludf.DUMMYFUNCTION("""COMPUTED_VALUE"""),53.0)</f>
        <v>53</v>
      </c>
      <c r="BL22" s="94" t="str">
        <f>IFERROR(__xludf.DUMMYFUNCTION("""COMPUTED_VALUE"""),"")</f>
        <v/>
      </c>
      <c r="BM22" s="93" t="str">
        <f>IFERROR(__xludf.DUMMYFUNCTION("""COMPUTED_VALUE"""),"")</f>
        <v/>
      </c>
      <c r="BN22" s="93" t="str">
        <f>IFERROR(__xludf.DUMMYFUNCTION("""COMPUTED_VALUE"""),"")</f>
        <v/>
      </c>
      <c r="BO22" s="94" t="str">
        <f>IFERROR(__xludf.DUMMYFUNCTION("""COMPUTED_VALUE"""),"")</f>
        <v/>
      </c>
      <c r="BP22" s="93" t="str">
        <f>IFERROR(__xludf.DUMMYFUNCTION("""COMPUTED_VALUE"""),"")</f>
        <v/>
      </c>
      <c r="BQ22" s="93" t="str">
        <f>IFERROR(__xludf.DUMMYFUNCTION("""COMPUTED_VALUE"""),"")</f>
        <v/>
      </c>
      <c r="BR22" s="94">
        <f>IFERROR(__xludf.DUMMYFUNCTION("""COMPUTED_VALUE"""),14.7)</f>
        <v>14.7</v>
      </c>
      <c r="BS22" s="93" t="str">
        <f>IFERROR(__xludf.DUMMYFUNCTION("""COMPUTED_VALUE"""),"")</f>
        <v/>
      </c>
      <c r="BT22" s="93" t="str">
        <f>IFERROR(__xludf.DUMMYFUNCTION("""COMPUTED_VALUE"""),"")</f>
        <v/>
      </c>
      <c r="BU22" s="94" t="str">
        <f>IFERROR(__xludf.DUMMYFUNCTION("""COMPUTED_VALUE"""),"")</f>
        <v/>
      </c>
      <c r="BV22" s="93" t="str">
        <f>IFERROR(__xludf.DUMMYFUNCTION("""COMPUTED_VALUE"""),"")</f>
        <v/>
      </c>
      <c r="BW22" s="93" t="str">
        <f>IFERROR(__xludf.DUMMYFUNCTION("""COMPUTED_VALUE"""),"")</f>
        <v/>
      </c>
      <c r="BX22" s="94" t="str">
        <f>IFERROR(__xludf.DUMMYFUNCTION("""COMPUTED_VALUE"""),"")</f>
        <v/>
      </c>
      <c r="BY22" s="93">
        <f>IFERROR(__xludf.DUMMYFUNCTION("""COMPUTED_VALUE"""),304.3)</f>
        <v>304.3</v>
      </c>
      <c r="BZ22" s="93" t="str">
        <f>IFERROR(__xludf.DUMMYFUNCTION("""COMPUTED_VALUE"""),"")</f>
        <v/>
      </c>
      <c r="CA22" s="94" t="str">
        <f>IFERROR(__xludf.DUMMYFUNCTION("""COMPUTED_VALUE"""),"")</f>
        <v/>
      </c>
      <c r="CB22" s="92" t="str">
        <f>IFERROR(__xludf.DUMMYFUNCTION("""COMPUTED_VALUE"""),"")</f>
        <v/>
      </c>
      <c r="CC22" s="93" t="str">
        <f>IFERROR(__xludf.DUMMYFUNCTION("""COMPUTED_VALUE"""),"")</f>
        <v/>
      </c>
      <c r="CD22" s="94" t="str">
        <f>IFERROR(__xludf.DUMMYFUNCTION("""COMPUTED_VALUE"""),"")</f>
        <v/>
      </c>
      <c r="CE22" s="93" t="str">
        <f>IFERROR(__xludf.DUMMYFUNCTION("""COMPUTED_VALUE"""),"")</f>
        <v/>
      </c>
      <c r="CF22" s="93">
        <f>IFERROR(__xludf.DUMMYFUNCTION("""COMPUTED_VALUE"""),29.5)</f>
        <v>29.5</v>
      </c>
      <c r="CG22" s="94" t="str">
        <f>IFERROR(__xludf.DUMMYFUNCTION("""COMPUTED_VALUE"""),"")</f>
        <v/>
      </c>
      <c r="CH22" s="93" t="str">
        <f>IFERROR(__xludf.DUMMYFUNCTION("""COMPUTED_VALUE"""),"")</f>
        <v/>
      </c>
      <c r="CI22" s="93" t="str">
        <f>IFERROR(__xludf.DUMMYFUNCTION("""COMPUTED_VALUE"""),"")</f>
        <v/>
      </c>
      <c r="CJ22" s="94" t="str">
        <f>IFERROR(__xludf.DUMMYFUNCTION("""COMPUTED_VALUE"""),"")</f>
        <v/>
      </c>
      <c r="CK22" s="93" t="str">
        <f>IFERROR(__xludf.DUMMYFUNCTION("""COMPUTED_VALUE"""),"")</f>
        <v/>
      </c>
      <c r="CL22" s="93" t="str">
        <f>IFERROR(__xludf.DUMMYFUNCTION("""COMPUTED_VALUE"""),"")</f>
        <v/>
      </c>
      <c r="CM22" s="94" t="str">
        <f>IFERROR(__xludf.DUMMYFUNCTION("""COMPUTED_VALUE"""),"")</f>
        <v/>
      </c>
      <c r="CN22" s="93" t="str">
        <f>IFERROR(__xludf.DUMMYFUNCTION("""COMPUTED_VALUE"""),"")</f>
        <v/>
      </c>
      <c r="CO22" s="93" t="str">
        <f>IFERROR(__xludf.DUMMYFUNCTION("""COMPUTED_VALUE"""),"")</f>
        <v/>
      </c>
      <c r="CP22" s="94" t="str">
        <f>IFERROR(__xludf.DUMMYFUNCTION("""COMPUTED_VALUE"""),"")</f>
        <v/>
      </c>
      <c r="CQ22" s="93" t="str">
        <f>IFERROR(__xludf.DUMMYFUNCTION("""COMPUTED_VALUE"""),"")</f>
        <v/>
      </c>
      <c r="CR22" s="93" t="str">
        <f>IFERROR(__xludf.DUMMYFUNCTION("""COMPUTED_VALUE"""),"")</f>
        <v/>
      </c>
      <c r="CS22" s="94"/>
      <c r="CT22" s="93"/>
      <c r="CU22" s="93"/>
      <c r="CV22" s="94"/>
      <c r="CW22" s="93"/>
      <c r="CX22" s="93"/>
      <c r="CY22" s="94"/>
      <c r="CZ22" s="93"/>
      <c r="DA22" s="93"/>
      <c r="DB22" s="94"/>
      <c r="DC22" s="93"/>
      <c r="DD22" s="93"/>
      <c r="DE22" s="94"/>
      <c r="DF22" s="93"/>
      <c r="DG22" s="93"/>
      <c r="DH22" s="94"/>
      <c r="DI22" s="93"/>
      <c r="DJ22" s="93"/>
      <c r="DK22" s="94"/>
      <c r="DL22" s="93"/>
      <c r="DM22" s="93"/>
      <c r="DN22" s="94"/>
      <c r="DO22" s="93"/>
      <c r="DP22" s="93"/>
      <c r="DQ22" s="94"/>
      <c r="DR22" s="93"/>
      <c r="DS22" s="93"/>
      <c r="DT22" s="94"/>
    </row>
    <row r="23">
      <c r="B23" s="83" t="str">
        <f>IFERROR(__xludf.DUMMYFUNCTION("""COMPUTED_VALUE"""),"TRF3")</f>
        <v>TRF3</v>
      </c>
      <c r="C23" s="82">
        <f>IFERROR(__xludf.DUMMYFUNCTION("""COMPUTED_VALUE"""),5.0)</f>
        <v>5</v>
      </c>
      <c r="D23" s="88" t="str">
        <f>IFERROR(__xludf.DUMMYFUNCTION("""COMPUTED_VALUE"""),"MON Archer Training Ground- Adv")</f>
        <v>MON Archer Training Ground- Adv</v>
      </c>
      <c r="E23" s="82" t="str">
        <f>IFERROR(__xludf.DUMMYFUNCTION("""COMPUTED_VALUE"""),"弓上級")</f>
        <v>弓上級</v>
      </c>
      <c r="F23" s="102">
        <f>IFERROR(__xludf.DUMMYFUNCTION("""COMPUTED_VALUE"""),30.0)</f>
        <v>30</v>
      </c>
      <c r="G23" s="82">
        <f>IFERROR(__xludf.DUMMYFUNCTION("""COMPUTED_VALUE"""),1260.0)</f>
        <v>1260</v>
      </c>
      <c r="H23" s="95" t="str">
        <f>IFERROR(__xludf.DUMMYFUNCTION("""COMPUTED_VALUE"""),"")</f>
        <v/>
      </c>
      <c r="I23" s="96" t="str">
        <f>IFERROR(__xludf.DUMMYFUNCTION("""COMPUTED_VALUE"""),"")</f>
        <v/>
      </c>
      <c r="J23" s="97" t="str">
        <f>IFERROR(__xludf.DUMMYFUNCTION("""COMPUTED_VALUE"""),"")</f>
        <v/>
      </c>
      <c r="K23" s="95" t="str">
        <f>IFERROR(__xludf.DUMMYFUNCTION("""COMPUTED_VALUE"""),"")</f>
        <v/>
      </c>
      <c r="L23" s="96" t="str">
        <f>IFERROR(__xludf.DUMMYFUNCTION("""COMPUTED_VALUE"""),"")</f>
        <v/>
      </c>
      <c r="M23" s="97">
        <f>IFERROR(__xludf.DUMMYFUNCTION("""COMPUTED_VALUE"""),546.1)</f>
        <v>546.1</v>
      </c>
      <c r="N23" s="95" t="str">
        <f>IFERROR(__xludf.DUMMYFUNCTION("""COMPUTED_VALUE"""),"")</f>
        <v/>
      </c>
      <c r="O23" s="96" t="str">
        <f>IFERROR(__xludf.DUMMYFUNCTION("""COMPUTED_VALUE"""),"")</f>
        <v/>
      </c>
      <c r="P23" s="97" t="str">
        <f>IFERROR(__xludf.DUMMYFUNCTION("""COMPUTED_VALUE"""),"")</f>
        <v/>
      </c>
      <c r="Q23" s="95" t="str">
        <f>IFERROR(__xludf.DUMMYFUNCTION("""COMPUTED_VALUE"""),"")</f>
        <v/>
      </c>
      <c r="R23" s="96" t="str">
        <f>IFERROR(__xludf.DUMMYFUNCTION("""COMPUTED_VALUE"""),"")</f>
        <v/>
      </c>
      <c r="S23" s="97" t="str">
        <f>IFERROR(__xludf.DUMMYFUNCTION("""COMPUTED_VALUE"""),"")</f>
        <v/>
      </c>
      <c r="T23" s="95" t="str">
        <f>IFERROR(__xludf.DUMMYFUNCTION("""COMPUTED_VALUE"""),"")</f>
        <v/>
      </c>
      <c r="U23" s="96" t="str">
        <f>IFERROR(__xludf.DUMMYFUNCTION("""COMPUTED_VALUE"""),"")</f>
        <v/>
      </c>
      <c r="V23" s="97" t="str">
        <f>IFERROR(__xludf.DUMMYFUNCTION("""COMPUTED_VALUE"""),"")</f>
        <v/>
      </c>
      <c r="W23" s="95" t="str">
        <f>IFERROR(__xludf.DUMMYFUNCTION("""COMPUTED_VALUE"""),"")</f>
        <v/>
      </c>
      <c r="X23" s="96" t="str">
        <f>IFERROR(__xludf.DUMMYFUNCTION("""COMPUTED_VALUE"""),"")</f>
        <v/>
      </c>
      <c r="Y23" s="97" t="str">
        <f>IFERROR(__xludf.DUMMYFUNCTION("""COMPUTED_VALUE"""),"")</f>
        <v/>
      </c>
      <c r="Z23" s="95">
        <f>IFERROR(__xludf.DUMMYFUNCTION("""COMPUTED_VALUE"""),201.8)</f>
        <v>201.8</v>
      </c>
      <c r="AA23" s="96" t="str">
        <f>IFERROR(__xludf.DUMMYFUNCTION("""COMPUTED_VALUE"""),"")</f>
        <v/>
      </c>
      <c r="AB23" s="97" t="str">
        <f>IFERROR(__xludf.DUMMYFUNCTION("""COMPUTED_VALUE"""),"")</f>
        <v/>
      </c>
      <c r="AC23" s="95" t="str">
        <f>IFERROR(__xludf.DUMMYFUNCTION("""COMPUTED_VALUE"""),"")</f>
        <v/>
      </c>
      <c r="AD23" s="96">
        <f>IFERROR(__xludf.DUMMYFUNCTION("""COMPUTED_VALUE"""),328.2)</f>
        <v>328.2</v>
      </c>
      <c r="AE23" s="97" t="str">
        <f>IFERROR(__xludf.DUMMYFUNCTION("""COMPUTED_VALUE"""),"")</f>
        <v/>
      </c>
      <c r="AF23" s="95" t="str">
        <f>IFERROR(__xludf.DUMMYFUNCTION("""COMPUTED_VALUE"""),"")</f>
        <v/>
      </c>
      <c r="AG23" s="96" t="str">
        <f>IFERROR(__xludf.DUMMYFUNCTION("""COMPUTED_VALUE"""),"")</f>
        <v/>
      </c>
      <c r="AH23" s="97">
        <f>IFERROR(__xludf.DUMMYFUNCTION("""COMPUTED_VALUE"""),223.7)</f>
        <v>223.7</v>
      </c>
      <c r="AI23" s="103" t="str">
        <f>IFERROR(__xludf.DUMMYFUNCTION("""COMPUTED_VALUE"""),"")</f>
        <v/>
      </c>
      <c r="AJ23" s="104" t="str">
        <f>IFERROR(__xludf.DUMMYFUNCTION("""COMPUTED_VALUE"""),"")</f>
        <v/>
      </c>
      <c r="AK23" s="105" t="str">
        <f>IFERROR(__xludf.DUMMYFUNCTION("""COMPUTED_VALUE"""),"")</f>
        <v/>
      </c>
      <c r="AL23" s="104" t="str">
        <f>IFERROR(__xludf.DUMMYFUNCTION("""COMPUTED_VALUE"""),"")</f>
        <v/>
      </c>
      <c r="AM23" s="104" t="str">
        <f>IFERROR(__xludf.DUMMYFUNCTION("""COMPUTED_VALUE"""),"")</f>
        <v/>
      </c>
      <c r="AN23" s="105" t="str">
        <f>IFERROR(__xludf.DUMMYFUNCTION("""COMPUTED_VALUE"""),"")</f>
        <v/>
      </c>
      <c r="AO23" s="104" t="str">
        <f>IFERROR(__xludf.DUMMYFUNCTION("""COMPUTED_VALUE"""),"")</f>
        <v/>
      </c>
      <c r="AP23" s="104" t="str">
        <f>IFERROR(__xludf.DUMMYFUNCTION("""COMPUTED_VALUE"""),"")</f>
        <v/>
      </c>
      <c r="AQ23" s="105" t="str">
        <f>IFERROR(__xludf.DUMMYFUNCTION("""COMPUTED_VALUE"""),"")</f>
        <v/>
      </c>
      <c r="AR23" s="104" t="str">
        <f>IFERROR(__xludf.DUMMYFUNCTION("""COMPUTED_VALUE"""),"")</f>
        <v/>
      </c>
      <c r="AS23" s="104" t="str">
        <f>IFERROR(__xludf.DUMMYFUNCTION("""COMPUTED_VALUE"""),"")</f>
        <v/>
      </c>
      <c r="AT23" s="105">
        <f>IFERROR(__xludf.DUMMYFUNCTION("""COMPUTED_VALUE"""),258.9)</f>
        <v>258.9</v>
      </c>
      <c r="AU23" s="104" t="str">
        <f>IFERROR(__xludf.DUMMYFUNCTION("""COMPUTED_VALUE"""),"")</f>
        <v/>
      </c>
      <c r="AV23" s="104" t="str">
        <f>IFERROR(__xludf.DUMMYFUNCTION("""COMPUTED_VALUE"""),"")</f>
        <v/>
      </c>
      <c r="AW23" s="105">
        <f>IFERROR(__xludf.DUMMYFUNCTION("""COMPUTED_VALUE"""),146.5)</f>
        <v>146.5</v>
      </c>
      <c r="AX23" s="104" t="str">
        <f>IFERROR(__xludf.DUMMYFUNCTION("""COMPUTED_VALUE"""),"")</f>
        <v/>
      </c>
      <c r="AY23" s="104" t="str">
        <f>IFERROR(__xludf.DUMMYFUNCTION("""COMPUTED_VALUE"""),"")</f>
        <v/>
      </c>
      <c r="AZ23" s="105" t="str">
        <f>IFERROR(__xludf.DUMMYFUNCTION("""COMPUTED_VALUE"""),"")</f>
        <v/>
      </c>
      <c r="BA23" s="104" t="str">
        <f>IFERROR(__xludf.DUMMYFUNCTION("""COMPUTED_VALUE"""),"")</f>
        <v/>
      </c>
      <c r="BB23" s="104" t="str">
        <f>IFERROR(__xludf.DUMMYFUNCTION("""COMPUTED_VALUE"""),"")</f>
        <v/>
      </c>
      <c r="BC23" s="105" t="str">
        <f>IFERROR(__xludf.DUMMYFUNCTION("""COMPUTED_VALUE"""),"")</f>
        <v/>
      </c>
      <c r="BD23" s="104">
        <f>IFERROR(__xludf.DUMMYFUNCTION("""COMPUTED_VALUE"""),199.7)</f>
        <v>199.7</v>
      </c>
      <c r="BE23" s="104" t="str">
        <f>IFERROR(__xludf.DUMMYFUNCTION("""COMPUTED_VALUE"""),"")</f>
        <v/>
      </c>
      <c r="BF23" s="105" t="str">
        <f>IFERROR(__xludf.DUMMYFUNCTION("""COMPUTED_VALUE"""),"")</f>
        <v/>
      </c>
      <c r="BG23" s="103" t="str">
        <f>IFERROR(__xludf.DUMMYFUNCTION("""COMPUTED_VALUE"""),"")</f>
        <v/>
      </c>
      <c r="BH23" s="104" t="str">
        <f>IFERROR(__xludf.DUMMYFUNCTION("""COMPUTED_VALUE"""),"")</f>
        <v/>
      </c>
      <c r="BI23" s="105" t="str">
        <f>IFERROR(__xludf.DUMMYFUNCTION("""COMPUTED_VALUE"""),"")</f>
        <v/>
      </c>
      <c r="BJ23" s="104" t="str">
        <f>IFERROR(__xludf.DUMMYFUNCTION("""COMPUTED_VALUE"""),"")</f>
        <v/>
      </c>
      <c r="BK23" s="104">
        <f>IFERROR(__xludf.DUMMYFUNCTION("""COMPUTED_VALUE"""),19.6)</f>
        <v>19.6</v>
      </c>
      <c r="BL23" s="105" t="str">
        <f>IFERROR(__xludf.DUMMYFUNCTION("""COMPUTED_VALUE"""),"")</f>
        <v/>
      </c>
      <c r="BM23" s="104" t="str">
        <f>IFERROR(__xludf.DUMMYFUNCTION("""COMPUTED_VALUE"""),"")</f>
        <v/>
      </c>
      <c r="BN23" s="104" t="str">
        <f>IFERROR(__xludf.DUMMYFUNCTION("""COMPUTED_VALUE"""),"")</f>
        <v/>
      </c>
      <c r="BO23" s="105" t="str">
        <f>IFERROR(__xludf.DUMMYFUNCTION("""COMPUTED_VALUE"""),"")</f>
        <v/>
      </c>
      <c r="BP23" s="104" t="str">
        <f>IFERROR(__xludf.DUMMYFUNCTION("""COMPUTED_VALUE"""),"")</f>
        <v/>
      </c>
      <c r="BQ23" s="104" t="str">
        <f>IFERROR(__xludf.DUMMYFUNCTION("""COMPUTED_VALUE"""),"")</f>
        <v/>
      </c>
      <c r="BR23" s="105">
        <f>IFERROR(__xludf.DUMMYFUNCTION("""COMPUTED_VALUE"""),154.0)</f>
        <v>154</v>
      </c>
      <c r="BS23" s="104" t="str">
        <f>IFERROR(__xludf.DUMMYFUNCTION("""COMPUTED_VALUE"""),"")</f>
        <v/>
      </c>
      <c r="BT23" s="104" t="str">
        <f>IFERROR(__xludf.DUMMYFUNCTION("""COMPUTED_VALUE"""),"")</f>
        <v/>
      </c>
      <c r="BU23" s="105" t="str">
        <f>IFERROR(__xludf.DUMMYFUNCTION("""COMPUTED_VALUE"""),"")</f>
        <v/>
      </c>
      <c r="BV23" s="104" t="str">
        <f>IFERROR(__xludf.DUMMYFUNCTION("""COMPUTED_VALUE"""),"")</f>
        <v/>
      </c>
      <c r="BW23" s="104" t="str">
        <f>IFERROR(__xludf.DUMMYFUNCTION("""COMPUTED_VALUE"""),"")</f>
        <v/>
      </c>
      <c r="BX23" s="105" t="str">
        <f>IFERROR(__xludf.DUMMYFUNCTION("""COMPUTED_VALUE"""),"")</f>
        <v/>
      </c>
      <c r="BY23" s="104">
        <f>IFERROR(__xludf.DUMMYFUNCTION("""COMPUTED_VALUE"""),87.8)</f>
        <v>87.8</v>
      </c>
      <c r="BZ23" s="106" t="str">
        <f>IFERROR(__xludf.DUMMYFUNCTION("""COMPUTED_VALUE"""),"")</f>
        <v/>
      </c>
      <c r="CA23" s="105" t="str">
        <f>IFERROR(__xludf.DUMMYFUNCTION("""COMPUTED_VALUE"""),"")</f>
        <v/>
      </c>
      <c r="CB23" s="103" t="str">
        <f>IFERROR(__xludf.DUMMYFUNCTION("""COMPUTED_VALUE"""),"")</f>
        <v/>
      </c>
      <c r="CC23" s="104" t="str">
        <f>IFERROR(__xludf.DUMMYFUNCTION("""COMPUTED_VALUE"""),"")</f>
        <v/>
      </c>
      <c r="CD23" s="105" t="str">
        <f>IFERROR(__xludf.DUMMYFUNCTION("""COMPUTED_VALUE"""),"")</f>
        <v/>
      </c>
      <c r="CE23" s="104" t="str">
        <f>IFERROR(__xludf.DUMMYFUNCTION("""COMPUTED_VALUE"""),"")</f>
        <v/>
      </c>
      <c r="CF23" s="104">
        <f>IFERROR(__xludf.DUMMYFUNCTION("""COMPUTED_VALUE"""),28.1)</f>
        <v>28.1</v>
      </c>
      <c r="CG23" s="105" t="str">
        <f>IFERROR(__xludf.DUMMYFUNCTION("""COMPUTED_VALUE"""),"")</f>
        <v/>
      </c>
      <c r="CH23" s="104" t="str">
        <f>IFERROR(__xludf.DUMMYFUNCTION("""COMPUTED_VALUE"""),"")</f>
        <v/>
      </c>
      <c r="CI23" s="104" t="str">
        <f>IFERROR(__xludf.DUMMYFUNCTION("""COMPUTED_VALUE"""),"")</f>
        <v/>
      </c>
      <c r="CJ23" s="105" t="str">
        <f>IFERROR(__xludf.DUMMYFUNCTION("""COMPUTED_VALUE"""),"")</f>
        <v/>
      </c>
      <c r="CK23" s="104" t="str">
        <f>IFERROR(__xludf.DUMMYFUNCTION("""COMPUTED_VALUE"""),"")</f>
        <v/>
      </c>
      <c r="CL23" s="104" t="str">
        <f>IFERROR(__xludf.DUMMYFUNCTION("""COMPUTED_VALUE"""),"")</f>
        <v/>
      </c>
      <c r="CM23" s="105" t="str">
        <f>IFERROR(__xludf.DUMMYFUNCTION("""COMPUTED_VALUE"""),"")</f>
        <v/>
      </c>
      <c r="CN23" s="104" t="str">
        <f>IFERROR(__xludf.DUMMYFUNCTION("""COMPUTED_VALUE"""),"")</f>
        <v/>
      </c>
      <c r="CO23" s="104" t="str">
        <f>IFERROR(__xludf.DUMMYFUNCTION("""COMPUTED_VALUE"""),"")</f>
        <v/>
      </c>
      <c r="CP23" s="105" t="str">
        <f>IFERROR(__xludf.DUMMYFUNCTION("""COMPUTED_VALUE"""),"")</f>
        <v/>
      </c>
      <c r="CQ23" s="104" t="str">
        <f>IFERROR(__xludf.DUMMYFUNCTION("""COMPUTED_VALUE"""),"")</f>
        <v/>
      </c>
      <c r="CR23" s="104" t="str">
        <f>IFERROR(__xludf.DUMMYFUNCTION("""COMPUTED_VALUE"""),"")</f>
        <v/>
      </c>
      <c r="CS23" s="105"/>
      <c r="CT23" s="104"/>
      <c r="CU23" s="106"/>
      <c r="CV23" s="105"/>
      <c r="CW23" s="104"/>
      <c r="CX23" s="104"/>
      <c r="CY23" s="105"/>
      <c r="CZ23" s="104"/>
      <c r="DA23" s="104"/>
      <c r="DB23" s="105"/>
      <c r="DC23" s="104"/>
      <c r="DD23" s="104"/>
      <c r="DE23" s="105"/>
      <c r="DF23" s="104"/>
      <c r="DG23" s="104"/>
      <c r="DH23" s="105"/>
      <c r="DI23" s="104"/>
      <c r="DJ23" s="104"/>
      <c r="DK23" s="105"/>
      <c r="DL23" s="104"/>
      <c r="DM23" s="104"/>
      <c r="DN23" s="105"/>
      <c r="DO23" s="104"/>
      <c r="DP23" s="104"/>
      <c r="DQ23" s="105"/>
      <c r="DR23" s="104"/>
      <c r="DS23" s="104"/>
      <c r="DT23" s="105"/>
    </row>
    <row r="24">
      <c r="B24" s="83" t="str">
        <f>IFERROR(__xludf.DUMMYFUNCTION("""COMPUTED_VALUE"""),"TRF4")</f>
        <v>TRF4</v>
      </c>
      <c r="C24" s="82">
        <f>IFERROR(__xludf.DUMMYFUNCTION("""COMPUTED_VALUE"""),4.0)</f>
        <v>4</v>
      </c>
      <c r="D24" s="88" t="str">
        <f>IFERROR(__xludf.DUMMYFUNCTION("""COMPUTED_VALUE"""),"MON Archer Training Ground- Exp")</f>
        <v>MON Archer Training Ground- Exp</v>
      </c>
      <c r="E24" s="82" t="str">
        <f>IFERROR(__xludf.DUMMYFUNCTION("""COMPUTED_VALUE"""),"弓超級")</f>
        <v>弓超級</v>
      </c>
      <c r="F24" s="102">
        <f>IFERROR(__xludf.DUMMYFUNCTION("""COMPUTED_VALUE"""),40.0)</f>
        <v>40</v>
      </c>
      <c r="G24" s="82">
        <f>IFERROR(__xludf.DUMMYFUNCTION("""COMPUTED_VALUE"""),10115.0)</f>
        <v>10115</v>
      </c>
      <c r="H24" s="95" t="str">
        <f>IFERROR(__xludf.DUMMYFUNCTION("""COMPUTED_VALUE"""),"")</f>
        <v/>
      </c>
      <c r="I24" s="96" t="str">
        <f>IFERROR(__xludf.DUMMYFUNCTION("""COMPUTED_VALUE"""),"")</f>
        <v/>
      </c>
      <c r="J24" s="97" t="str">
        <f>IFERROR(__xludf.DUMMYFUNCTION("""COMPUTED_VALUE"""),"")</f>
        <v/>
      </c>
      <c r="K24" s="95" t="str">
        <f>IFERROR(__xludf.DUMMYFUNCTION("""COMPUTED_VALUE"""),"")</f>
        <v/>
      </c>
      <c r="L24" s="96" t="str">
        <f>IFERROR(__xludf.DUMMYFUNCTION("""COMPUTED_VALUE"""),"")</f>
        <v/>
      </c>
      <c r="M24" s="97">
        <f>IFERROR(__xludf.DUMMYFUNCTION("""COMPUTED_VALUE"""),315.5)</f>
        <v>315.5</v>
      </c>
      <c r="N24" s="95" t="str">
        <f>IFERROR(__xludf.DUMMYFUNCTION("""COMPUTED_VALUE"""),"")</f>
        <v/>
      </c>
      <c r="O24" s="96" t="str">
        <f>IFERROR(__xludf.DUMMYFUNCTION("""COMPUTED_VALUE"""),"")</f>
        <v/>
      </c>
      <c r="P24" s="97" t="str">
        <f>IFERROR(__xludf.DUMMYFUNCTION("""COMPUTED_VALUE"""),"")</f>
        <v/>
      </c>
      <c r="Q24" s="95" t="str">
        <f>IFERROR(__xludf.DUMMYFUNCTION("""COMPUTED_VALUE"""),"")</f>
        <v/>
      </c>
      <c r="R24" s="96" t="str">
        <f>IFERROR(__xludf.DUMMYFUNCTION("""COMPUTED_VALUE"""),"")</f>
        <v/>
      </c>
      <c r="S24" s="97" t="str">
        <f>IFERROR(__xludf.DUMMYFUNCTION("""COMPUTED_VALUE"""),"")</f>
        <v/>
      </c>
      <c r="T24" s="95" t="str">
        <f>IFERROR(__xludf.DUMMYFUNCTION("""COMPUTED_VALUE"""),"")</f>
        <v/>
      </c>
      <c r="U24" s="96" t="str">
        <f>IFERROR(__xludf.DUMMYFUNCTION("""COMPUTED_VALUE"""),"")</f>
        <v/>
      </c>
      <c r="V24" s="97" t="str">
        <f>IFERROR(__xludf.DUMMYFUNCTION("""COMPUTED_VALUE"""),"")</f>
        <v/>
      </c>
      <c r="W24" s="95" t="str">
        <f>IFERROR(__xludf.DUMMYFUNCTION("""COMPUTED_VALUE"""),"")</f>
        <v/>
      </c>
      <c r="X24" s="96" t="str">
        <f>IFERROR(__xludf.DUMMYFUNCTION("""COMPUTED_VALUE"""),"")</f>
        <v/>
      </c>
      <c r="Y24" s="97" t="str">
        <f>IFERROR(__xludf.DUMMYFUNCTION("""COMPUTED_VALUE"""),"")</f>
        <v/>
      </c>
      <c r="Z24" s="95">
        <f>IFERROR(__xludf.DUMMYFUNCTION("""COMPUTED_VALUE"""),211.7)</f>
        <v>211.7</v>
      </c>
      <c r="AA24" s="96" t="str">
        <f>IFERROR(__xludf.DUMMYFUNCTION("""COMPUTED_VALUE"""),"")</f>
        <v/>
      </c>
      <c r="AB24" s="97" t="str">
        <f>IFERROR(__xludf.DUMMYFUNCTION("""COMPUTED_VALUE"""),"")</f>
        <v/>
      </c>
      <c r="AC24" s="95" t="str">
        <f>IFERROR(__xludf.DUMMYFUNCTION("""COMPUTED_VALUE"""),"")</f>
        <v/>
      </c>
      <c r="AD24" s="96">
        <f>IFERROR(__xludf.DUMMYFUNCTION("""COMPUTED_VALUE"""),198.8)</f>
        <v>198.8</v>
      </c>
      <c r="AE24" s="97" t="str">
        <f>IFERROR(__xludf.DUMMYFUNCTION("""COMPUTED_VALUE"""),"")</f>
        <v/>
      </c>
      <c r="AF24" s="95" t="str">
        <f>IFERROR(__xludf.DUMMYFUNCTION("""COMPUTED_VALUE"""),"")</f>
        <v/>
      </c>
      <c r="AG24" s="96" t="str">
        <f>IFERROR(__xludf.DUMMYFUNCTION("""COMPUTED_VALUE"""),"")</f>
        <v/>
      </c>
      <c r="AH24" s="97">
        <f>IFERROR(__xludf.DUMMYFUNCTION("""COMPUTED_VALUE"""),208.0)</f>
        <v>208</v>
      </c>
      <c r="AI24" s="92" t="str">
        <f>IFERROR(__xludf.DUMMYFUNCTION("""COMPUTED_VALUE"""),"")</f>
        <v/>
      </c>
      <c r="AJ24" s="93" t="str">
        <f>IFERROR(__xludf.DUMMYFUNCTION("""COMPUTED_VALUE"""),"")</f>
        <v/>
      </c>
      <c r="AK24" s="94" t="str">
        <f>IFERROR(__xludf.DUMMYFUNCTION("""COMPUTED_VALUE"""),"")</f>
        <v/>
      </c>
      <c r="AL24" s="93" t="str">
        <f>IFERROR(__xludf.DUMMYFUNCTION("""COMPUTED_VALUE"""),"")</f>
        <v/>
      </c>
      <c r="AM24" s="93" t="str">
        <f>IFERROR(__xludf.DUMMYFUNCTION("""COMPUTED_VALUE"""),"")</f>
        <v/>
      </c>
      <c r="AN24" s="94" t="str">
        <f>IFERROR(__xludf.DUMMYFUNCTION("""COMPUTED_VALUE"""),"")</f>
        <v/>
      </c>
      <c r="AO24" s="93" t="str">
        <f>IFERROR(__xludf.DUMMYFUNCTION("""COMPUTED_VALUE"""),"")</f>
        <v/>
      </c>
      <c r="AP24" s="93" t="str">
        <f>IFERROR(__xludf.DUMMYFUNCTION("""COMPUTED_VALUE"""),"")</f>
        <v/>
      </c>
      <c r="AQ24" s="94" t="str">
        <f>IFERROR(__xludf.DUMMYFUNCTION("""COMPUTED_VALUE"""),"")</f>
        <v/>
      </c>
      <c r="AR24" s="93" t="str">
        <f>IFERROR(__xludf.DUMMYFUNCTION("""COMPUTED_VALUE"""),"")</f>
        <v/>
      </c>
      <c r="AS24" s="93" t="str">
        <f>IFERROR(__xludf.DUMMYFUNCTION("""COMPUTED_VALUE"""),"")</f>
        <v/>
      </c>
      <c r="AT24" s="94">
        <f>IFERROR(__xludf.DUMMYFUNCTION("""COMPUTED_VALUE"""),222.4)</f>
        <v>222.4</v>
      </c>
      <c r="AU24" s="93" t="str">
        <f>IFERROR(__xludf.DUMMYFUNCTION("""COMPUTED_VALUE"""),"")</f>
        <v/>
      </c>
      <c r="AV24" s="93" t="str">
        <f>IFERROR(__xludf.DUMMYFUNCTION("""COMPUTED_VALUE"""),"")</f>
        <v/>
      </c>
      <c r="AW24" s="94">
        <f>IFERROR(__xludf.DUMMYFUNCTION("""COMPUTED_VALUE"""),165.7)</f>
        <v>165.7</v>
      </c>
      <c r="AX24" s="93" t="str">
        <f>IFERROR(__xludf.DUMMYFUNCTION("""COMPUTED_VALUE"""),"")</f>
        <v/>
      </c>
      <c r="AY24" s="93" t="str">
        <f>IFERROR(__xludf.DUMMYFUNCTION("""COMPUTED_VALUE"""),"")</f>
        <v/>
      </c>
      <c r="AZ24" s="94" t="str">
        <f>IFERROR(__xludf.DUMMYFUNCTION("""COMPUTED_VALUE"""),"")</f>
        <v/>
      </c>
      <c r="BA24" s="93" t="str">
        <f>IFERROR(__xludf.DUMMYFUNCTION("""COMPUTED_VALUE"""),"")</f>
        <v/>
      </c>
      <c r="BB24" s="93" t="str">
        <f>IFERROR(__xludf.DUMMYFUNCTION("""COMPUTED_VALUE"""),"")</f>
        <v/>
      </c>
      <c r="BC24" s="94" t="str">
        <f>IFERROR(__xludf.DUMMYFUNCTION("""COMPUTED_VALUE"""),"")</f>
        <v/>
      </c>
      <c r="BD24" s="93">
        <f>IFERROR(__xludf.DUMMYFUNCTION("""COMPUTED_VALUE"""),134.6)</f>
        <v>134.6</v>
      </c>
      <c r="BE24" s="93" t="str">
        <f>IFERROR(__xludf.DUMMYFUNCTION("""COMPUTED_VALUE"""),"")</f>
        <v/>
      </c>
      <c r="BF24" s="94" t="str">
        <f>IFERROR(__xludf.DUMMYFUNCTION("""COMPUTED_VALUE"""),"")</f>
        <v/>
      </c>
      <c r="BG24" s="92" t="str">
        <f>IFERROR(__xludf.DUMMYFUNCTION("""COMPUTED_VALUE"""),"")</f>
        <v/>
      </c>
      <c r="BH24" s="93" t="str">
        <f>IFERROR(__xludf.DUMMYFUNCTION("""COMPUTED_VALUE"""),"")</f>
        <v/>
      </c>
      <c r="BI24" s="94" t="str">
        <f>IFERROR(__xludf.DUMMYFUNCTION("""COMPUTED_VALUE"""),"")</f>
        <v/>
      </c>
      <c r="BJ24" s="93" t="str">
        <f>IFERROR(__xludf.DUMMYFUNCTION("""COMPUTED_VALUE"""),"")</f>
        <v/>
      </c>
      <c r="BK24" s="93">
        <f>IFERROR(__xludf.DUMMYFUNCTION("""COMPUTED_VALUE"""),33.4)</f>
        <v>33.4</v>
      </c>
      <c r="BL24" s="94" t="str">
        <f>IFERROR(__xludf.DUMMYFUNCTION("""COMPUTED_VALUE"""),"")</f>
        <v/>
      </c>
      <c r="BM24" s="93" t="str">
        <f>IFERROR(__xludf.DUMMYFUNCTION("""COMPUTED_VALUE"""),"")</f>
        <v/>
      </c>
      <c r="BN24" s="93" t="str">
        <f>IFERROR(__xludf.DUMMYFUNCTION("""COMPUTED_VALUE"""),"")</f>
        <v/>
      </c>
      <c r="BO24" s="94" t="str">
        <f>IFERROR(__xludf.DUMMYFUNCTION("""COMPUTED_VALUE"""),"")</f>
        <v/>
      </c>
      <c r="BP24" s="93" t="str">
        <f>IFERROR(__xludf.DUMMYFUNCTION("""COMPUTED_VALUE"""),"")</f>
        <v/>
      </c>
      <c r="BQ24" s="93" t="str">
        <f>IFERROR(__xludf.DUMMYFUNCTION("""COMPUTED_VALUE"""),"")</f>
        <v/>
      </c>
      <c r="BR24" s="94">
        <f>IFERROR(__xludf.DUMMYFUNCTION("""COMPUTED_VALUE"""),209.0)</f>
        <v>209</v>
      </c>
      <c r="BS24" s="93" t="str">
        <f>IFERROR(__xludf.DUMMYFUNCTION("""COMPUTED_VALUE"""),"")</f>
        <v/>
      </c>
      <c r="BT24" s="93" t="str">
        <f>IFERROR(__xludf.DUMMYFUNCTION("""COMPUTED_VALUE"""),"")</f>
        <v/>
      </c>
      <c r="BU24" s="94" t="str">
        <f>IFERROR(__xludf.DUMMYFUNCTION("""COMPUTED_VALUE"""),"")</f>
        <v/>
      </c>
      <c r="BV24" s="93" t="str">
        <f>IFERROR(__xludf.DUMMYFUNCTION("""COMPUTED_VALUE"""),"")</f>
        <v/>
      </c>
      <c r="BW24" s="93" t="str">
        <f>IFERROR(__xludf.DUMMYFUNCTION("""COMPUTED_VALUE"""),"")</f>
        <v/>
      </c>
      <c r="BX24" s="94" t="str">
        <f>IFERROR(__xludf.DUMMYFUNCTION("""COMPUTED_VALUE"""),"")</f>
        <v/>
      </c>
      <c r="BY24" s="93">
        <f>IFERROR(__xludf.DUMMYFUNCTION("""COMPUTED_VALUE"""),69.2)</f>
        <v>69.2</v>
      </c>
      <c r="BZ24" s="107" t="str">
        <f>IFERROR(__xludf.DUMMYFUNCTION("""COMPUTED_VALUE"""),"")</f>
        <v/>
      </c>
      <c r="CA24" s="94" t="str">
        <f>IFERROR(__xludf.DUMMYFUNCTION("""COMPUTED_VALUE"""),"")</f>
        <v/>
      </c>
      <c r="CB24" s="92" t="str">
        <f>IFERROR(__xludf.DUMMYFUNCTION("""COMPUTED_VALUE"""),"")</f>
        <v/>
      </c>
      <c r="CC24" s="93" t="str">
        <f>IFERROR(__xludf.DUMMYFUNCTION("""COMPUTED_VALUE"""),"")</f>
        <v/>
      </c>
      <c r="CD24" s="94" t="str">
        <f>IFERROR(__xludf.DUMMYFUNCTION("""COMPUTED_VALUE"""),"")</f>
        <v/>
      </c>
      <c r="CE24" s="93" t="str">
        <f>IFERROR(__xludf.DUMMYFUNCTION("""COMPUTED_VALUE"""),"")</f>
        <v/>
      </c>
      <c r="CF24" s="93">
        <f>IFERROR(__xludf.DUMMYFUNCTION("""COMPUTED_VALUE"""),49.3)</f>
        <v>49.3</v>
      </c>
      <c r="CG24" s="94" t="str">
        <f>IFERROR(__xludf.DUMMYFUNCTION("""COMPUTED_VALUE"""),"")</f>
        <v/>
      </c>
      <c r="CH24" s="93" t="str">
        <f>IFERROR(__xludf.DUMMYFUNCTION("""COMPUTED_VALUE"""),"")</f>
        <v/>
      </c>
      <c r="CI24" s="93" t="str">
        <f>IFERROR(__xludf.DUMMYFUNCTION("""COMPUTED_VALUE"""),"")</f>
        <v/>
      </c>
      <c r="CJ24" s="94" t="str">
        <f>IFERROR(__xludf.DUMMYFUNCTION("""COMPUTED_VALUE"""),"")</f>
        <v/>
      </c>
      <c r="CK24" s="93" t="str">
        <f>IFERROR(__xludf.DUMMYFUNCTION("""COMPUTED_VALUE"""),"")</f>
        <v/>
      </c>
      <c r="CL24" s="93" t="str">
        <f>IFERROR(__xludf.DUMMYFUNCTION("""COMPUTED_VALUE"""),"")</f>
        <v/>
      </c>
      <c r="CM24" s="94" t="str">
        <f>IFERROR(__xludf.DUMMYFUNCTION("""COMPUTED_VALUE"""),"")</f>
        <v/>
      </c>
      <c r="CN24" s="93" t="str">
        <f>IFERROR(__xludf.DUMMYFUNCTION("""COMPUTED_VALUE"""),"")</f>
        <v/>
      </c>
      <c r="CO24" s="93" t="str">
        <f>IFERROR(__xludf.DUMMYFUNCTION("""COMPUTED_VALUE"""),"")</f>
        <v/>
      </c>
      <c r="CP24" s="94" t="str">
        <f>IFERROR(__xludf.DUMMYFUNCTION("""COMPUTED_VALUE"""),"")</f>
        <v/>
      </c>
      <c r="CQ24" s="93" t="str">
        <f>IFERROR(__xludf.DUMMYFUNCTION("""COMPUTED_VALUE"""),"")</f>
        <v/>
      </c>
      <c r="CR24" s="93" t="str">
        <f>IFERROR(__xludf.DUMMYFUNCTION("""COMPUTED_VALUE"""),"")</f>
        <v/>
      </c>
      <c r="CS24" s="94"/>
      <c r="CT24" s="93"/>
      <c r="CU24" s="107"/>
      <c r="CV24" s="94"/>
      <c r="CW24" s="93"/>
      <c r="CX24" s="93"/>
      <c r="CY24" s="94"/>
      <c r="CZ24" s="93"/>
      <c r="DA24" s="93"/>
      <c r="DB24" s="94"/>
      <c r="DC24" s="93"/>
      <c r="DD24" s="93"/>
      <c r="DE24" s="94"/>
      <c r="DF24" s="93"/>
      <c r="DG24" s="93"/>
      <c r="DH24" s="94"/>
      <c r="DI24" s="93"/>
      <c r="DJ24" s="93"/>
      <c r="DK24" s="94"/>
      <c r="DL24" s="93"/>
      <c r="DM24" s="93"/>
      <c r="DN24" s="94"/>
      <c r="DO24" s="93"/>
      <c r="DP24" s="93"/>
      <c r="DQ24" s="94"/>
      <c r="DR24" s="93"/>
      <c r="DS24" s="93"/>
      <c r="DT24" s="94"/>
    </row>
    <row r="25">
      <c r="B25" s="83" t="str">
        <f>IFERROR(__xludf.DUMMYFUNCTION("""COMPUTED_VALUE"""),"TRF5")</f>
        <v>TRF5</v>
      </c>
      <c r="C25" s="82">
        <f>IFERROR(__xludf.DUMMYFUNCTION("""COMPUTED_VALUE"""),11.0)</f>
        <v>11</v>
      </c>
      <c r="D25" s="88" t="str">
        <f>IFERROR(__xludf.DUMMYFUNCTION("""COMPUTED_VALUE"""),"TUE Lancer Training Ground- Nov")</f>
        <v>TUE Lancer Training Ground- Nov</v>
      </c>
      <c r="E25" s="82" t="str">
        <f>IFERROR(__xludf.DUMMYFUNCTION("""COMPUTED_VALUE"""),"槍初級")</f>
        <v>槍初級</v>
      </c>
      <c r="F25" s="102">
        <f>IFERROR(__xludf.DUMMYFUNCTION("""COMPUTED_VALUE"""),10.0)</f>
        <v>10</v>
      </c>
      <c r="G25" s="82">
        <f>IFERROR(__xludf.DUMMYFUNCTION("""COMPUTED_VALUE"""),1961.0)</f>
        <v>1961</v>
      </c>
      <c r="H25" s="95" t="str">
        <f>IFERROR(__xludf.DUMMYFUNCTION("""COMPUTED_VALUE"""),"")</f>
        <v/>
      </c>
      <c r="I25" s="96" t="str">
        <f>IFERROR(__xludf.DUMMYFUNCTION("""COMPUTED_VALUE"""),"")</f>
        <v/>
      </c>
      <c r="J25" s="97" t="str">
        <f>IFERROR(__xludf.DUMMYFUNCTION("""COMPUTED_VALUE"""),"")</f>
        <v/>
      </c>
      <c r="K25" s="95" t="str">
        <f>IFERROR(__xludf.DUMMYFUNCTION("""COMPUTED_VALUE"""),"")</f>
        <v/>
      </c>
      <c r="L25" s="96" t="str">
        <f>IFERROR(__xludf.DUMMYFUNCTION("""COMPUTED_VALUE"""),"")</f>
        <v/>
      </c>
      <c r="M25" s="97" t="str">
        <f>IFERROR(__xludf.DUMMYFUNCTION("""COMPUTED_VALUE"""),"")</f>
        <v/>
      </c>
      <c r="N25" s="95" t="str">
        <f>IFERROR(__xludf.DUMMYFUNCTION("""COMPUTED_VALUE"""),"")</f>
        <v/>
      </c>
      <c r="O25" s="96" t="str">
        <f>IFERROR(__xludf.DUMMYFUNCTION("""COMPUTED_VALUE"""),"")</f>
        <v/>
      </c>
      <c r="P25" s="97" t="str">
        <f>IFERROR(__xludf.DUMMYFUNCTION("""COMPUTED_VALUE"""),"")</f>
        <v/>
      </c>
      <c r="Q25" s="95" t="str">
        <f>IFERROR(__xludf.DUMMYFUNCTION("""COMPUTED_VALUE"""),"")</f>
        <v/>
      </c>
      <c r="R25" s="96" t="str">
        <f>IFERROR(__xludf.DUMMYFUNCTION("""COMPUTED_VALUE"""),"")</f>
        <v/>
      </c>
      <c r="S25" s="97" t="str">
        <f>IFERROR(__xludf.DUMMYFUNCTION("""COMPUTED_VALUE"""),"")</f>
        <v/>
      </c>
      <c r="T25" s="95" t="str">
        <f>IFERROR(__xludf.DUMMYFUNCTION("""COMPUTED_VALUE"""),"")</f>
        <v/>
      </c>
      <c r="U25" s="96" t="str">
        <f>IFERROR(__xludf.DUMMYFUNCTION("""COMPUTED_VALUE"""),"")</f>
        <v/>
      </c>
      <c r="V25" s="97" t="str">
        <f>IFERROR(__xludf.DUMMYFUNCTION("""COMPUTED_VALUE"""),"")</f>
        <v/>
      </c>
      <c r="W25" s="95" t="str">
        <f>IFERROR(__xludf.DUMMYFUNCTION("""COMPUTED_VALUE"""),"")</f>
        <v/>
      </c>
      <c r="X25" s="96" t="str">
        <f>IFERROR(__xludf.DUMMYFUNCTION("""COMPUTED_VALUE"""),"")</f>
        <v/>
      </c>
      <c r="Y25" s="97" t="str">
        <f>IFERROR(__xludf.DUMMYFUNCTION("""COMPUTED_VALUE"""),"")</f>
        <v/>
      </c>
      <c r="Z25" s="95" t="str">
        <f>IFERROR(__xludf.DUMMYFUNCTION("""COMPUTED_VALUE"""),"")</f>
        <v/>
      </c>
      <c r="AA25" s="96" t="str">
        <f>IFERROR(__xludf.DUMMYFUNCTION("""COMPUTED_VALUE"""),"")</f>
        <v/>
      </c>
      <c r="AB25" s="97" t="str">
        <f>IFERROR(__xludf.DUMMYFUNCTION("""COMPUTED_VALUE"""),"")</f>
        <v/>
      </c>
      <c r="AC25" s="95" t="str">
        <f>IFERROR(__xludf.DUMMYFUNCTION("""COMPUTED_VALUE"""),"")</f>
        <v/>
      </c>
      <c r="AD25" s="96" t="str">
        <f>IFERROR(__xludf.DUMMYFUNCTION("""COMPUTED_VALUE"""),"")</f>
        <v/>
      </c>
      <c r="AE25" s="97" t="str">
        <f>IFERROR(__xludf.DUMMYFUNCTION("""COMPUTED_VALUE"""),"")</f>
        <v/>
      </c>
      <c r="AF25" s="95" t="str">
        <f>IFERROR(__xludf.DUMMYFUNCTION("""COMPUTED_VALUE"""),"")</f>
        <v/>
      </c>
      <c r="AG25" s="96">
        <f>IFERROR(__xludf.DUMMYFUNCTION("""COMPUTED_VALUE"""),205.7)</f>
        <v>205.7</v>
      </c>
      <c r="AH25" s="97" t="str">
        <f>IFERROR(__xludf.DUMMYFUNCTION("""COMPUTED_VALUE"""),"")</f>
        <v/>
      </c>
      <c r="AI25" s="103" t="str">
        <f>IFERROR(__xludf.DUMMYFUNCTION("""COMPUTED_VALUE"""),"")</f>
        <v/>
      </c>
      <c r="AJ25" s="104" t="str">
        <f>IFERROR(__xludf.DUMMYFUNCTION("""COMPUTED_VALUE"""),"")</f>
        <v/>
      </c>
      <c r="AK25" s="105" t="str">
        <f>IFERROR(__xludf.DUMMYFUNCTION("""COMPUTED_VALUE"""),"")</f>
        <v/>
      </c>
      <c r="AL25" s="104" t="str">
        <f>IFERROR(__xludf.DUMMYFUNCTION("""COMPUTED_VALUE"""),"")</f>
        <v/>
      </c>
      <c r="AM25" s="104" t="str">
        <f>IFERROR(__xludf.DUMMYFUNCTION("""COMPUTED_VALUE"""),"")</f>
        <v/>
      </c>
      <c r="AN25" s="105" t="str">
        <f>IFERROR(__xludf.DUMMYFUNCTION("""COMPUTED_VALUE"""),"")</f>
        <v/>
      </c>
      <c r="AO25" s="104" t="str">
        <f>IFERROR(__xludf.DUMMYFUNCTION("""COMPUTED_VALUE"""),"")</f>
        <v/>
      </c>
      <c r="AP25" s="104" t="str">
        <f>IFERROR(__xludf.DUMMYFUNCTION("""COMPUTED_VALUE"""),"")</f>
        <v/>
      </c>
      <c r="AQ25" s="105" t="str">
        <f>IFERROR(__xludf.DUMMYFUNCTION("""COMPUTED_VALUE"""),"")</f>
        <v/>
      </c>
      <c r="AR25" s="104" t="str">
        <f>IFERROR(__xludf.DUMMYFUNCTION("""COMPUTED_VALUE"""),"")</f>
        <v/>
      </c>
      <c r="AS25" s="104" t="str">
        <f>IFERROR(__xludf.DUMMYFUNCTION("""COMPUTED_VALUE"""),"")</f>
        <v/>
      </c>
      <c r="AT25" s="105">
        <f>IFERROR(__xludf.DUMMYFUNCTION("""COMPUTED_VALUE"""),83.8)</f>
        <v>83.8</v>
      </c>
      <c r="AU25" s="104">
        <f>IFERROR(__xludf.DUMMYFUNCTION("""COMPUTED_VALUE"""),37.8)</f>
        <v>37.8</v>
      </c>
      <c r="AV25" s="104" t="str">
        <f>IFERROR(__xludf.DUMMYFUNCTION("""COMPUTED_VALUE"""),"")</f>
        <v/>
      </c>
      <c r="AW25" s="105">
        <f>IFERROR(__xludf.DUMMYFUNCTION("""COMPUTED_VALUE"""),186.7)</f>
        <v>186.7</v>
      </c>
      <c r="AX25" s="104" t="str">
        <f>IFERROR(__xludf.DUMMYFUNCTION("""COMPUTED_VALUE"""),"")</f>
        <v/>
      </c>
      <c r="AY25" s="104" t="str">
        <f>IFERROR(__xludf.DUMMYFUNCTION("""COMPUTED_VALUE"""),"")</f>
        <v/>
      </c>
      <c r="AZ25" s="105" t="str">
        <f>IFERROR(__xludf.DUMMYFUNCTION("""COMPUTED_VALUE"""),"")</f>
        <v/>
      </c>
      <c r="BA25" s="104" t="str">
        <f>IFERROR(__xludf.DUMMYFUNCTION("""COMPUTED_VALUE"""),"")</f>
        <v/>
      </c>
      <c r="BB25" s="104" t="str">
        <f>IFERROR(__xludf.DUMMYFUNCTION("""COMPUTED_VALUE"""),"")</f>
        <v/>
      </c>
      <c r="BC25" s="105" t="str">
        <f>IFERROR(__xludf.DUMMYFUNCTION("""COMPUTED_VALUE"""),"")</f>
        <v/>
      </c>
      <c r="BD25" s="104" t="str">
        <f>IFERROR(__xludf.DUMMYFUNCTION("""COMPUTED_VALUE"""),"")</f>
        <v/>
      </c>
      <c r="BE25" s="104" t="str">
        <f>IFERROR(__xludf.DUMMYFUNCTION("""COMPUTED_VALUE"""),"")</f>
        <v/>
      </c>
      <c r="BF25" s="105" t="str">
        <f>IFERROR(__xludf.DUMMYFUNCTION("""COMPUTED_VALUE"""),"")</f>
        <v/>
      </c>
      <c r="BG25" s="103" t="str">
        <f>IFERROR(__xludf.DUMMYFUNCTION("""COMPUTED_VALUE"""),"")</f>
        <v/>
      </c>
      <c r="BH25" s="104" t="str">
        <f>IFERROR(__xludf.DUMMYFUNCTION("""COMPUTED_VALUE"""),"")</f>
        <v/>
      </c>
      <c r="BI25" s="105" t="str">
        <f>IFERROR(__xludf.DUMMYFUNCTION("""COMPUTED_VALUE"""),"")</f>
        <v/>
      </c>
      <c r="BJ25" s="104" t="str">
        <f>IFERROR(__xludf.DUMMYFUNCTION("""COMPUTED_VALUE"""),"")</f>
        <v/>
      </c>
      <c r="BK25" s="104" t="str">
        <f>IFERROR(__xludf.DUMMYFUNCTION("""COMPUTED_VALUE"""),"")</f>
        <v/>
      </c>
      <c r="BL25" s="105" t="str">
        <f>IFERROR(__xludf.DUMMYFUNCTION("""COMPUTED_VALUE"""),"")</f>
        <v/>
      </c>
      <c r="BM25" s="104" t="str">
        <f>IFERROR(__xludf.DUMMYFUNCTION("""COMPUTED_VALUE"""),"")</f>
        <v/>
      </c>
      <c r="BN25" s="104" t="str">
        <f>IFERROR(__xludf.DUMMYFUNCTION("""COMPUTED_VALUE"""),"")</f>
        <v/>
      </c>
      <c r="BO25" s="105" t="str">
        <f>IFERROR(__xludf.DUMMYFUNCTION("""COMPUTED_VALUE"""),"")</f>
        <v/>
      </c>
      <c r="BP25" s="104" t="str">
        <f>IFERROR(__xludf.DUMMYFUNCTION("""COMPUTED_VALUE"""),"")</f>
        <v/>
      </c>
      <c r="BQ25" s="104" t="str">
        <f>IFERROR(__xludf.DUMMYFUNCTION("""COMPUTED_VALUE"""),"")</f>
        <v/>
      </c>
      <c r="BR25" s="105" t="str">
        <f>IFERROR(__xludf.DUMMYFUNCTION("""COMPUTED_VALUE"""),"")</f>
        <v/>
      </c>
      <c r="BS25" s="104">
        <f>IFERROR(__xludf.DUMMYFUNCTION("""COMPUTED_VALUE"""),8.5)</f>
        <v>8.5</v>
      </c>
      <c r="BT25" s="104" t="str">
        <f>IFERROR(__xludf.DUMMYFUNCTION("""COMPUTED_VALUE"""),"")</f>
        <v/>
      </c>
      <c r="BU25" s="105" t="str">
        <f>IFERROR(__xludf.DUMMYFUNCTION("""COMPUTED_VALUE"""),"")</f>
        <v/>
      </c>
      <c r="BV25" s="104" t="str">
        <f>IFERROR(__xludf.DUMMYFUNCTION("""COMPUTED_VALUE"""),"")</f>
        <v/>
      </c>
      <c r="BW25" s="104" t="str">
        <f>IFERROR(__xludf.DUMMYFUNCTION("""COMPUTED_VALUE"""),"")</f>
        <v/>
      </c>
      <c r="BX25" s="105" t="str">
        <f>IFERROR(__xludf.DUMMYFUNCTION("""COMPUTED_VALUE"""),"")</f>
        <v/>
      </c>
      <c r="BY25" s="104" t="str">
        <f>IFERROR(__xludf.DUMMYFUNCTION("""COMPUTED_VALUE"""),"")</f>
        <v/>
      </c>
      <c r="BZ25" s="104">
        <f>IFERROR(__xludf.DUMMYFUNCTION("""COMPUTED_VALUE"""),417.7)</f>
        <v>417.7</v>
      </c>
      <c r="CA25" s="105" t="str">
        <f>IFERROR(__xludf.DUMMYFUNCTION("""COMPUTED_VALUE"""),"")</f>
        <v/>
      </c>
      <c r="CB25" s="103" t="str">
        <f>IFERROR(__xludf.DUMMYFUNCTION("""COMPUTED_VALUE"""),"")</f>
        <v/>
      </c>
      <c r="CC25" s="104" t="str">
        <f>IFERROR(__xludf.DUMMYFUNCTION("""COMPUTED_VALUE"""),"")</f>
        <v/>
      </c>
      <c r="CD25" s="105" t="str">
        <f>IFERROR(__xludf.DUMMYFUNCTION("""COMPUTED_VALUE"""),"")</f>
        <v/>
      </c>
      <c r="CE25" s="104" t="str">
        <f>IFERROR(__xludf.DUMMYFUNCTION("""COMPUTED_VALUE"""),"")</f>
        <v/>
      </c>
      <c r="CF25" s="104" t="str">
        <f>IFERROR(__xludf.DUMMYFUNCTION("""COMPUTED_VALUE"""),"")</f>
        <v/>
      </c>
      <c r="CG25" s="105">
        <f>IFERROR(__xludf.DUMMYFUNCTION("""COMPUTED_VALUE"""),42.6)</f>
        <v>42.6</v>
      </c>
      <c r="CH25" s="104" t="str">
        <f>IFERROR(__xludf.DUMMYFUNCTION("""COMPUTED_VALUE"""),"")</f>
        <v/>
      </c>
      <c r="CI25" s="104" t="str">
        <f>IFERROR(__xludf.DUMMYFUNCTION("""COMPUTED_VALUE"""),"")</f>
        <v/>
      </c>
      <c r="CJ25" s="105" t="str">
        <f>IFERROR(__xludf.DUMMYFUNCTION("""COMPUTED_VALUE"""),"")</f>
        <v/>
      </c>
      <c r="CK25" s="104" t="str">
        <f>IFERROR(__xludf.DUMMYFUNCTION("""COMPUTED_VALUE"""),"")</f>
        <v/>
      </c>
      <c r="CL25" s="104" t="str">
        <f>IFERROR(__xludf.DUMMYFUNCTION("""COMPUTED_VALUE"""),"")</f>
        <v/>
      </c>
      <c r="CM25" s="105" t="str">
        <f>IFERROR(__xludf.DUMMYFUNCTION("""COMPUTED_VALUE"""),"")</f>
        <v/>
      </c>
      <c r="CN25" s="104" t="str">
        <f>IFERROR(__xludf.DUMMYFUNCTION("""COMPUTED_VALUE"""),"")</f>
        <v/>
      </c>
      <c r="CO25" s="104" t="str">
        <f>IFERROR(__xludf.DUMMYFUNCTION("""COMPUTED_VALUE"""),"")</f>
        <v/>
      </c>
      <c r="CP25" s="105" t="str">
        <f>IFERROR(__xludf.DUMMYFUNCTION("""COMPUTED_VALUE"""),"")</f>
        <v/>
      </c>
      <c r="CQ25" s="104" t="str">
        <f>IFERROR(__xludf.DUMMYFUNCTION("""COMPUTED_VALUE"""),"")</f>
        <v/>
      </c>
      <c r="CR25" s="104" t="str">
        <f>IFERROR(__xludf.DUMMYFUNCTION("""COMPUTED_VALUE"""),"")</f>
        <v/>
      </c>
      <c r="CS25" s="105"/>
      <c r="CT25" s="104"/>
      <c r="CU25" s="104"/>
      <c r="CV25" s="105"/>
      <c r="CW25" s="104"/>
      <c r="CX25" s="104"/>
      <c r="CY25" s="105"/>
      <c r="CZ25" s="104"/>
      <c r="DA25" s="104"/>
      <c r="DB25" s="105"/>
      <c r="DC25" s="104"/>
      <c r="DD25" s="104"/>
      <c r="DE25" s="105"/>
      <c r="DF25" s="104"/>
      <c r="DG25" s="104"/>
      <c r="DH25" s="105"/>
      <c r="DI25" s="104"/>
      <c r="DJ25" s="104"/>
      <c r="DK25" s="105"/>
      <c r="DL25" s="104"/>
      <c r="DM25" s="104"/>
      <c r="DN25" s="105"/>
      <c r="DO25" s="104"/>
      <c r="DP25" s="104"/>
      <c r="DQ25" s="105"/>
      <c r="DR25" s="104"/>
      <c r="DS25" s="104"/>
      <c r="DT25" s="105"/>
    </row>
    <row r="26">
      <c r="B26" s="83" t="str">
        <f>IFERROR(__xludf.DUMMYFUNCTION("""COMPUTED_VALUE"""),"TRF6")</f>
        <v>TRF6</v>
      </c>
      <c r="C26" s="82">
        <f>IFERROR(__xludf.DUMMYFUNCTION("""COMPUTED_VALUE"""),10.0)</f>
        <v>10</v>
      </c>
      <c r="D26" s="88" t="str">
        <f>IFERROR(__xludf.DUMMYFUNCTION("""COMPUTED_VALUE"""),"TUE Lancer Training Ground- Int")</f>
        <v>TUE Lancer Training Ground- Int</v>
      </c>
      <c r="E26" s="82" t="str">
        <f>IFERROR(__xludf.DUMMYFUNCTION("""COMPUTED_VALUE"""),"槍中級")</f>
        <v>槍中級</v>
      </c>
      <c r="F26" s="102">
        <f>IFERROR(__xludf.DUMMYFUNCTION("""COMPUTED_VALUE"""),20.0)</f>
        <v>20</v>
      </c>
      <c r="G26" s="82">
        <f>IFERROR(__xludf.DUMMYFUNCTION("""COMPUTED_VALUE"""),1051.0)</f>
        <v>1051</v>
      </c>
      <c r="H26" s="95" t="str">
        <f>IFERROR(__xludf.DUMMYFUNCTION("""COMPUTED_VALUE"""),"")</f>
        <v/>
      </c>
      <c r="I26" s="96" t="str">
        <f>IFERROR(__xludf.DUMMYFUNCTION("""COMPUTED_VALUE"""),"")</f>
        <v/>
      </c>
      <c r="J26" s="97" t="str">
        <f>IFERROR(__xludf.DUMMYFUNCTION("""COMPUTED_VALUE"""),"")</f>
        <v/>
      </c>
      <c r="K26" s="95" t="str">
        <f>IFERROR(__xludf.DUMMYFUNCTION("""COMPUTED_VALUE"""),"")</f>
        <v/>
      </c>
      <c r="L26" s="96" t="str">
        <f>IFERROR(__xludf.DUMMYFUNCTION("""COMPUTED_VALUE"""),"")</f>
        <v/>
      </c>
      <c r="M26" s="97" t="str">
        <f>IFERROR(__xludf.DUMMYFUNCTION("""COMPUTED_VALUE"""),"")</f>
        <v/>
      </c>
      <c r="N26" s="95" t="str">
        <f>IFERROR(__xludf.DUMMYFUNCTION("""COMPUTED_VALUE"""),"")</f>
        <v/>
      </c>
      <c r="O26" s="96" t="str">
        <f>IFERROR(__xludf.DUMMYFUNCTION("""COMPUTED_VALUE"""),"")</f>
        <v/>
      </c>
      <c r="P26" s="97" t="str">
        <f>IFERROR(__xludf.DUMMYFUNCTION("""COMPUTED_VALUE"""),"")</f>
        <v/>
      </c>
      <c r="Q26" s="95" t="str">
        <f>IFERROR(__xludf.DUMMYFUNCTION("""COMPUTED_VALUE"""),"")</f>
        <v/>
      </c>
      <c r="R26" s="96" t="str">
        <f>IFERROR(__xludf.DUMMYFUNCTION("""COMPUTED_VALUE"""),"")</f>
        <v/>
      </c>
      <c r="S26" s="97" t="str">
        <f>IFERROR(__xludf.DUMMYFUNCTION("""COMPUTED_VALUE"""),"")</f>
        <v/>
      </c>
      <c r="T26" s="95" t="str">
        <f>IFERROR(__xludf.DUMMYFUNCTION("""COMPUTED_VALUE"""),"")</f>
        <v/>
      </c>
      <c r="U26" s="96" t="str">
        <f>IFERROR(__xludf.DUMMYFUNCTION("""COMPUTED_VALUE"""),"")</f>
        <v/>
      </c>
      <c r="V26" s="97" t="str">
        <f>IFERROR(__xludf.DUMMYFUNCTION("""COMPUTED_VALUE"""),"")</f>
        <v/>
      </c>
      <c r="W26" s="95" t="str">
        <f>IFERROR(__xludf.DUMMYFUNCTION("""COMPUTED_VALUE"""),"")</f>
        <v/>
      </c>
      <c r="X26" s="96" t="str">
        <f>IFERROR(__xludf.DUMMYFUNCTION("""COMPUTED_VALUE"""),"")</f>
        <v/>
      </c>
      <c r="Y26" s="97" t="str">
        <f>IFERROR(__xludf.DUMMYFUNCTION("""COMPUTED_VALUE"""),"")</f>
        <v/>
      </c>
      <c r="Z26" s="95">
        <f>IFERROR(__xludf.DUMMYFUNCTION("""COMPUTED_VALUE"""),165.5)</f>
        <v>165.5</v>
      </c>
      <c r="AA26" s="96" t="str">
        <f>IFERROR(__xludf.DUMMYFUNCTION("""COMPUTED_VALUE"""),"")</f>
        <v/>
      </c>
      <c r="AB26" s="97" t="str">
        <f>IFERROR(__xludf.DUMMYFUNCTION("""COMPUTED_VALUE"""),"")</f>
        <v/>
      </c>
      <c r="AC26" s="95" t="str">
        <f>IFERROR(__xludf.DUMMYFUNCTION("""COMPUTED_VALUE"""),"")</f>
        <v/>
      </c>
      <c r="AD26" s="96" t="str">
        <f>IFERROR(__xludf.DUMMYFUNCTION("""COMPUTED_VALUE"""),"")</f>
        <v/>
      </c>
      <c r="AE26" s="97" t="str">
        <f>IFERROR(__xludf.DUMMYFUNCTION("""COMPUTED_VALUE"""),"")</f>
        <v/>
      </c>
      <c r="AF26" s="95" t="str">
        <f>IFERROR(__xludf.DUMMYFUNCTION("""COMPUTED_VALUE"""),"")</f>
        <v/>
      </c>
      <c r="AG26" s="96">
        <f>IFERROR(__xludf.DUMMYFUNCTION("""COMPUTED_VALUE"""),198.3)</f>
        <v>198.3</v>
      </c>
      <c r="AH26" s="97" t="str">
        <f>IFERROR(__xludf.DUMMYFUNCTION("""COMPUTED_VALUE"""),"")</f>
        <v/>
      </c>
      <c r="AI26" s="92" t="str">
        <f>IFERROR(__xludf.DUMMYFUNCTION("""COMPUTED_VALUE"""),"")</f>
        <v/>
      </c>
      <c r="AJ26" s="93" t="str">
        <f>IFERROR(__xludf.DUMMYFUNCTION("""COMPUTED_VALUE"""),"")</f>
        <v/>
      </c>
      <c r="AK26" s="94" t="str">
        <f>IFERROR(__xludf.DUMMYFUNCTION("""COMPUTED_VALUE"""),"")</f>
        <v/>
      </c>
      <c r="AL26" s="93" t="str">
        <f>IFERROR(__xludf.DUMMYFUNCTION("""COMPUTED_VALUE"""),"")</f>
        <v/>
      </c>
      <c r="AM26" s="93" t="str">
        <f>IFERROR(__xludf.DUMMYFUNCTION("""COMPUTED_VALUE"""),"")</f>
        <v/>
      </c>
      <c r="AN26" s="94" t="str">
        <f>IFERROR(__xludf.DUMMYFUNCTION("""COMPUTED_VALUE"""),"")</f>
        <v/>
      </c>
      <c r="AO26" s="93" t="str">
        <f>IFERROR(__xludf.DUMMYFUNCTION("""COMPUTED_VALUE"""),"")</f>
        <v/>
      </c>
      <c r="AP26" s="93" t="str">
        <f>IFERROR(__xludf.DUMMYFUNCTION("""COMPUTED_VALUE"""),"")</f>
        <v/>
      </c>
      <c r="AQ26" s="94" t="str">
        <f>IFERROR(__xludf.DUMMYFUNCTION("""COMPUTED_VALUE"""),"")</f>
        <v/>
      </c>
      <c r="AR26" s="93" t="str">
        <f>IFERROR(__xludf.DUMMYFUNCTION("""COMPUTED_VALUE"""),"")</f>
        <v/>
      </c>
      <c r="AS26" s="93" t="str">
        <f>IFERROR(__xludf.DUMMYFUNCTION("""COMPUTED_VALUE"""),"")</f>
        <v/>
      </c>
      <c r="AT26" s="94">
        <f>IFERROR(__xludf.DUMMYFUNCTION("""COMPUTED_VALUE"""),253.3)</f>
        <v>253.3</v>
      </c>
      <c r="AU26" s="93">
        <f>IFERROR(__xludf.DUMMYFUNCTION("""COMPUTED_VALUE"""),107.8)</f>
        <v>107.8</v>
      </c>
      <c r="AV26" s="93" t="str">
        <f>IFERROR(__xludf.DUMMYFUNCTION("""COMPUTED_VALUE"""),"")</f>
        <v/>
      </c>
      <c r="AW26" s="94">
        <f>IFERROR(__xludf.DUMMYFUNCTION("""COMPUTED_VALUE"""),132.2)</f>
        <v>132.2</v>
      </c>
      <c r="AX26" s="93" t="str">
        <f>IFERROR(__xludf.DUMMYFUNCTION("""COMPUTED_VALUE"""),"")</f>
        <v/>
      </c>
      <c r="AY26" s="93" t="str">
        <f>IFERROR(__xludf.DUMMYFUNCTION("""COMPUTED_VALUE"""),"")</f>
        <v/>
      </c>
      <c r="AZ26" s="94" t="str">
        <f>IFERROR(__xludf.DUMMYFUNCTION("""COMPUTED_VALUE"""),"")</f>
        <v/>
      </c>
      <c r="BA26" s="93" t="str">
        <f>IFERROR(__xludf.DUMMYFUNCTION("""COMPUTED_VALUE"""),"")</f>
        <v/>
      </c>
      <c r="BB26" s="93" t="str">
        <f>IFERROR(__xludf.DUMMYFUNCTION("""COMPUTED_VALUE"""),"")</f>
        <v/>
      </c>
      <c r="BC26" s="94" t="str">
        <f>IFERROR(__xludf.DUMMYFUNCTION("""COMPUTED_VALUE"""),"")</f>
        <v/>
      </c>
      <c r="BD26" s="93" t="str">
        <f>IFERROR(__xludf.DUMMYFUNCTION("""COMPUTED_VALUE"""),"")</f>
        <v/>
      </c>
      <c r="BE26" s="93" t="str">
        <f>IFERROR(__xludf.DUMMYFUNCTION("""COMPUTED_VALUE"""),"")</f>
        <v/>
      </c>
      <c r="BF26" s="94" t="str">
        <f>IFERROR(__xludf.DUMMYFUNCTION("""COMPUTED_VALUE"""),"")</f>
        <v/>
      </c>
      <c r="BG26" s="92" t="str">
        <f>IFERROR(__xludf.DUMMYFUNCTION("""COMPUTED_VALUE"""),"")</f>
        <v/>
      </c>
      <c r="BH26" s="93" t="str">
        <f>IFERROR(__xludf.DUMMYFUNCTION("""COMPUTED_VALUE"""),"")</f>
        <v/>
      </c>
      <c r="BI26" s="94" t="str">
        <f>IFERROR(__xludf.DUMMYFUNCTION("""COMPUTED_VALUE"""),"")</f>
        <v/>
      </c>
      <c r="BJ26" s="93" t="str">
        <f>IFERROR(__xludf.DUMMYFUNCTION("""COMPUTED_VALUE"""),"")</f>
        <v/>
      </c>
      <c r="BK26" s="93" t="str">
        <f>IFERROR(__xludf.DUMMYFUNCTION("""COMPUTED_VALUE"""),"")</f>
        <v/>
      </c>
      <c r="BL26" s="94">
        <f>IFERROR(__xludf.DUMMYFUNCTION("""COMPUTED_VALUE"""),33.5)</f>
        <v>33.5</v>
      </c>
      <c r="BM26" s="93" t="str">
        <f>IFERROR(__xludf.DUMMYFUNCTION("""COMPUTED_VALUE"""),"")</f>
        <v/>
      </c>
      <c r="BN26" s="93" t="str">
        <f>IFERROR(__xludf.DUMMYFUNCTION("""COMPUTED_VALUE"""),"")</f>
        <v/>
      </c>
      <c r="BO26" s="94" t="str">
        <f>IFERROR(__xludf.DUMMYFUNCTION("""COMPUTED_VALUE"""),"")</f>
        <v/>
      </c>
      <c r="BP26" s="93" t="str">
        <f>IFERROR(__xludf.DUMMYFUNCTION("""COMPUTED_VALUE"""),"")</f>
        <v/>
      </c>
      <c r="BQ26" s="93" t="str">
        <f>IFERROR(__xludf.DUMMYFUNCTION("""COMPUTED_VALUE"""),"")</f>
        <v/>
      </c>
      <c r="BR26" s="94" t="str">
        <f>IFERROR(__xludf.DUMMYFUNCTION("""COMPUTED_VALUE"""),"")</f>
        <v/>
      </c>
      <c r="BS26" s="93">
        <f>IFERROR(__xludf.DUMMYFUNCTION("""COMPUTED_VALUE"""),17.2)</f>
        <v>17.2</v>
      </c>
      <c r="BT26" s="93" t="str">
        <f>IFERROR(__xludf.DUMMYFUNCTION("""COMPUTED_VALUE"""),"")</f>
        <v/>
      </c>
      <c r="BU26" s="94" t="str">
        <f>IFERROR(__xludf.DUMMYFUNCTION("""COMPUTED_VALUE"""),"")</f>
        <v/>
      </c>
      <c r="BV26" s="93" t="str">
        <f>IFERROR(__xludf.DUMMYFUNCTION("""COMPUTED_VALUE"""),"")</f>
        <v/>
      </c>
      <c r="BW26" s="93" t="str">
        <f>IFERROR(__xludf.DUMMYFUNCTION("""COMPUTED_VALUE"""),"")</f>
        <v/>
      </c>
      <c r="BX26" s="94" t="str">
        <f>IFERROR(__xludf.DUMMYFUNCTION("""COMPUTED_VALUE"""),"")</f>
        <v/>
      </c>
      <c r="BY26" s="93" t="str">
        <f>IFERROR(__xludf.DUMMYFUNCTION("""COMPUTED_VALUE"""),"")</f>
        <v/>
      </c>
      <c r="BZ26" s="93">
        <f>IFERROR(__xludf.DUMMYFUNCTION("""COMPUTED_VALUE"""),241.6)</f>
        <v>241.6</v>
      </c>
      <c r="CA26" s="94" t="str">
        <f>IFERROR(__xludf.DUMMYFUNCTION("""COMPUTED_VALUE"""),"")</f>
        <v/>
      </c>
      <c r="CB26" s="92" t="str">
        <f>IFERROR(__xludf.DUMMYFUNCTION("""COMPUTED_VALUE"""),"")</f>
        <v/>
      </c>
      <c r="CC26" s="93" t="str">
        <f>IFERROR(__xludf.DUMMYFUNCTION("""COMPUTED_VALUE"""),"")</f>
        <v/>
      </c>
      <c r="CD26" s="94" t="str">
        <f>IFERROR(__xludf.DUMMYFUNCTION("""COMPUTED_VALUE"""),"")</f>
        <v/>
      </c>
      <c r="CE26" s="93" t="str">
        <f>IFERROR(__xludf.DUMMYFUNCTION("""COMPUTED_VALUE"""),"")</f>
        <v/>
      </c>
      <c r="CF26" s="93" t="str">
        <f>IFERROR(__xludf.DUMMYFUNCTION("""COMPUTED_VALUE"""),"")</f>
        <v/>
      </c>
      <c r="CG26" s="94">
        <f>IFERROR(__xludf.DUMMYFUNCTION("""COMPUTED_VALUE"""),28.2)</f>
        <v>28.2</v>
      </c>
      <c r="CH26" s="93" t="str">
        <f>IFERROR(__xludf.DUMMYFUNCTION("""COMPUTED_VALUE"""),"")</f>
        <v/>
      </c>
      <c r="CI26" s="93" t="str">
        <f>IFERROR(__xludf.DUMMYFUNCTION("""COMPUTED_VALUE"""),"")</f>
        <v/>
      </c>
      <c r="CJ26" s="94" t="str">
        <f>IFERROR(__xludf.DUMMYFUNCTION("""COMPUTED_VALUE"""),"")</f>
        <v/>
      </c>
      <c r="CK26" s="93" t="str">
        <f>IFERROR(__xludf.DUMMYFUNCTION("""COMPUTED_VALUE"""),"")</f>
        <v/>
      </c>
      <c r="CL26" s="93" t="str">
        <f>IFERROR(__xludf.DUMMYFUNCTION("""COMPUTED_VALUE"""),"")</f>
        <v/>
      </c>
      <c r="CM26" s="94" t="str">
        <f>IFERROR(__xludf.DUMMYFUNCTION("""COMPUTED_VALUE"""),"")</f>
        <v/>
      </c>
      <c r="CN26" s="93" t="str">
        <f>IFERROR(__xludf.DUMMYFUNCTION("""COMPUTED_VALUE"""),"")</f>
        <v/>
      </c>
      <c r="CO26" s="93" t="str">
        <f>IFERROR(__xludf.DUMMYFUNCTION("""COMPUTED_VALUE"""),"")</f>
        <v/>
      </c>
      <c r="CP26" s="94" t="str">
        <f>IFERROR(__xludf.DUMMYFUNCTION("""COMPUTED_VALUE"""),"")</f>
        <v/>
      </c>
      <c r="CQ26" s="93" t="str">
        <f>IFERROR(__xludf.DUMMYFUNCTION("""COMPUTED_VALUE"""),"")</f>
        <v/>
      </c>
      <c r="CR26" s="93" t="str">
        <f>IFERROR(__xludf.DUMMYFUNCTION("""COMPUTED_VALUE"""),"")</f>
        <v/>
      </c>
      <c r="CS26" s="94"/>
      <c r="CT26" s="93"/>
      <c r="CU26" s="93"/>
      <c r="CV26" s="94"/>
      <c r="CW26" s="93"/>
      <c r="CX26" s="93"/>
      <c r="CY26" s="94"/>
      <c r="CZ26" s="93"/>
      <c r="DA26" s="93"/>
      <c r="DB26" s="94"/>
      <c r="DC26" s="93"/>
      <c r="DD26" s="93"/>
      <c r="DE26" s="94"/>
      <c r="DF26" s="93"/>
      <c r="DG26" s="93"/>
      <c r="DH26" s="94"/>
      <c r="DI26" s="93"/>
      <c r="DJ26" s="93"/>
      <c r="DK26" s="94"/>
      <c r="DL26" s="93"/>
      <c r="DM26" s="93"/>
      <c r="DN26" s="94"/>
      <c r="DO26" s="93"/>
      <c r="DP26" s="93"/>
      <c r="DQ26" s="94"/>
      <c r="DR26" s="93"/>
      <c r="DS26" s="93"/>
      <c r="DT26" s="94"/>
    </row>
    <row r="27">
      <c r="B27" s="83" t="str">
        <f>IFERROR(__xludf.DUMMYFUNCTION("""COMPUTED_VALUE"""),"TRF7")</f>
        <v>TRF7</v>
      </c>
      <c r="C27" s="82">
        <f>IFERROR(__xludf.DUMMYFUNCTION("""COMPUTED_VALUE"""),9.0)</f>
        <v>9</v>
      </c>
      <c r="D27" s="88" t="str">
        <f>IFERROR(__xludf.DUMMYFUNCTION("""COMPUTED_VALUE"""),"TUE Lancer Training Ground- Adv")</f>
        <v>TUE Lancer Training Ground- Adv</v>
      </c>
      <c r="E27" s="82" t="str">
        <f>IFERROR(__xludf.DUMMYFUNCTION("""COMPUTED_VALUE"""),"槍上級")</f>
        <v>槍上級</v>
      </c>
      <c r="F27" s="102">
        <f>IFERROR(__xludf.DUMMYFUNCTION("""COMPUTED_VALUE"""),30.0)</f>
        <v>30</v>
      </c>
      <c r="G27" s="82">
        <f>IFERROR(__xludf.DUMMYFUNCTION("""COMPUTED_VALUE"""),1073.0)</f>
        <v>1073</v>
      </c>
      <c r="H27" s="95" t="str">
        <f>IFERROR(__xludf.DUMMYFUNCTION("""COMPUTED_VALUE"""),"")</f>
        <v/>
      </c>
      <c r="I27" s="96" t="str">
        <f>IFERROR(__xludf.DUMMYFUNCTION("""COMPUTED_VALUE"""),"")</f>
        <v/>
      </c>
      <c r="J27" s="97" t="str">
        <f>IFERROR(__xludf.DUMMYFUNCTION("""COMPUTED_VALUE"""),"")</f>
        <v/>
      </c>
      <c r="K27" s="95" t="str">
        <f>IFERROR(__xludf.DUMMYFUNCTION("""COMPUTED_VALUE"""),"")</f>
        <v/>
      </c>
      <c r="L27" s="96">
        <f>IFERROR(__xludf.DUMMYFUNCTION("""COMPUTED_VALUE"""),511.0)</f>
        <v>511</v>
      </c>
      <c r="M27" s="97" t="str">
        <f>IFERROR(__xludf.DUMMYFUNCTION("""COMPUTED_VALUE"""),"")</f>
        <v/>
      </c>
      <c r="N27" s="95" t="str">
        <f>IFERROR(__xludf.DUMMYFUNCTION("""COMPUTED_VALUE"""),"")</f>
        <v/>
      </c>
      <c r="O27" s="96" t="str">
        <f>IFERROR(__xludf.DUMMYFUNCTION("""COMPUTED_VALUE"""),"")</f>
        <v/>
      </c>
      <c r="P27" s="97" t="str">
        <f>IFERROR(__xludf.DUMMYFUNCTION("""COMPUTED_VALUE"""),"")</f>
        <v/>
      </c>
      <c r="Q27" s="95" t="str">
        <f>IFERROR(__xludf.DUMMYFUNCTION("""COMPUTED_VALUE"""),"")</f>
        <v/>
      </c>
      <c r="R27" s="96" t="str">
        <f>IFERROR(__xludf.DUMMYFUNCTION("""COMPUTED_VALUE"""),"")</f>
        <v/>
      </c>
      <c r="S27" s="97" t="str">
        <f>IFERROR(__xludf.DUMMYFUNCTION("""COMPUTED_VALUE"""),"")</f>
        <v/>
      </c>
      <c r="T27" s="95" t="str">
        <f>IFERROR(__xludf.DUMMYFUNCTION("""COMPUTED_VALUE"""),"")</f>
        <v/>
      </c>
      <c r="U27" s="96" t="str">
        <f>IFERROR(__xludf.DUMMYFUNCTION("""COMPUTED_VALUE"""),"")</f>
        <v/>
      </c>
      <c r="V27" s="97" t="str">
        <f>IFERROR(__xludf.DUMMYFUNCTION("""COMPUTED_VALUE"""),"")</f>
        <v/>
      </c>
      <c r="W27" s="95" t="str">
        <f>IFERROR(__xludf.DUMMYFUNCTION("""COMPUTED_VALUE"""),"")</f>
        <v/>
      </c>
      <c r="X27" s="96" t="str">
        <f>IFERROR(__xludf.DUMMYFUNCTION("""COMPUTED_VALUE"""),"")</f>
        <v/>
      </c>
      <c r="Y27" s="97" t="str">
        <f>IFERROR(__xludf.DUMMYFUNCTION("""COMPUTED_VALUE"""),"")</f>
        <v/>
      </c>
      <c r="Z27" s="95">
        <f>IFERROR(__xludf.DUMMYFUNCTION("""COMPUTED_VALUE"""),157.0)</f>
        <v>157</v>
      </c>
      <c r="AA27" s="96" t="str">
        <f>IFERROR(__xludf.DUMMYFUNCTION("""COMPUTED_VALUE"""),"")</f>
        <v/>
      </c>
      <c r="AB27" s="97" t="str">
        <f>IFERROR(__xludf.DUMMYFUNCTION("""COMPUTED_VALUE"""),"")</f>
        <v/>
      </c>
      <c r="AC27" s="95" t="str">
        <f>IFERROR(__xludf.DUMMYFUNCTION("""COMPUTED_VALUE"""),"")</f>
        <v/>
      </c>
      <c r="AD27" s="96">
        <f>IFERROR(__xludf.DUMMYFUNCTION("""COMPUTED_VALUE"""),349.9)</f>
        <v>349.9</v>
      </c>
      <c r="AE27" s="97" t="str">
        <f>IFERROR(__xludf.DUMMYFUNCTION("""COMPUTED_VALUE"""),"")</f>
        <v/>
      </c>
      <c r="AF27" s="95" t="str">
        <f>IFERROR(__xludf.DUMMYFUNCTION("""COMPUTED_VALUE"""),"")</f>
        <v/>
      </c>
      <c r="AG27" s="96">
        <f>IFERROR(__xludf.DUMMYFUNCTION("""COMPUTED_VALUE"""),166.8)</f>
        <v>166.8</v>
      </c>
      <c r="AH27" s="97" t="str">
        <f>IFERROR(__xludf.DUMMYFUNCTION("""COMPUTED_VALUE"""),"")</f>
        <v/>
      </c>
      <c r="AI27" s="103" t="str">
        <f>IFERROR(__xludf.DUMMYFUNCTION("""COMPUTED_VALUE"""),"")</f>
        <v/>
      </c>
      <c r="AJ27" s="104" t="str">
        <f>IFERROR(__xludf.DUMMYFUNCTION("""COMPUTED_VALUE"""),"")</f>
        <v/>
      </c>
      <c r="AK27" s="105" t="str">
        <f>IFERROR(__xludf.DUMMYFUNCTION("""COMPUTED_VALUE"""),"")</f>
        <v/>
      </c>
      <c r="AL27" s="104" t="str">
        <f>IFERROR(__xludf.DUMMYFUNCTION("""COMPUTED_VALUE"""),"")</f>
        <v/>
      </c>
      <c r="AM27" s="104" t="str">
        <f>IFERROR(__xludf.DUMMYFUNCTION("""COMPUTED_VALUE"""),"")</f>
        <v/>
      </c>
      <c r="AN27" s="105" t="str">
        <f>IFERROR(__xludf.DUMMYFUNCTION("""COMPUTED_VALUE"""),"")</f>
        <v/>
      </c>
      <c r="AO27" s="104" t="str">
        <f>IFERROR(__xludf.DUMMYFUNCTION("""COMPUTED_VALUE"""),"")</f>
        <v/>
      </c>
      <c r="AP27" s="104" t="str">
        <f>IFERROR(__xludf.DUMMYFUNCTION("""COMPUTED_VALUE"""),"")</f>
        <v/>
      </c>
      <c r="AQ27" s="105" t="str">
        <f>IFERROR(__xludf.DUMMYFUNCTION("""COMPUTED_VALUE"""),"")</f>
        <v/>
      </c>
      <c r="AR27" s="104" t="str">
        <f>IFERROR(__xludf.DUMMYFUNCTION("""COMPUTED_VALUE"""),"")</f>
        <v/>
      </c>
      <c r="AS27" s="104" t="str">
        <f>IFERROR(__xludf.DUMMYFUNCTION("""COMPUTED_VALUE"""),"")</f>
        <v/>
      </c>
      <c r="AT27" s="105">
        <f>IFERROR(__xludf.DUMMYFUNCTION("""COMPUTED_VALUE"""),189.2)</f>
        <v>189.2</v>
      </c>
      <c r="AU27" s="104" t="str">
        <f>IFERROR(__xludf.DUMMYFUNCTION("""COMPUTED_VALUE"""),"")</f>
        <v/>
      </c>
      <c r="AV27" s="104" t="str">
        <f>IFERROR(__xludf.DUMMYFUNCTION("""COMPUTED_VALUE"""),"")</f>
        <v/>
      </c>
      <c r="AW27" s="105">
        <f>IFERROR(__xludf.DUMMYFUNCTION("""COMPUTED_VALUE"""),143.7)</f>
        <v>143.7</v>
      </c>
      <c r="AX27" s="104" t="str">
        <f>IFERROR(__xludf.DUMMYFUNCTION("""COMPUTED_VALUE"""),"")</f>
        <v/>
      </c>
      <c r="AY27" s="104" t="str">
        <f>IFERROR(__xludf.DUMMYFUNCTION("""COMPUTED_VALUE"""),"")</f>
        <v/>
      </c>
      <c r="AZ27" s="105" t="str">
        <f>IFERROR(__xludf.DUMMYFUNCTION("""COMPUTED_VALUE"""),"")</f>
        <v/>
      </c>
      <c r="BA27" s="104" t="str">
        <f>IFERROR(__xludf.DUMMYFUNCTION("""COMPUTED_VALUE"""),"")</f>
        <v/>
      </c>
      <c r="BB27" s="104" t="str">
        <f>IFERROR(__xludf.DUMMYFUNCTION("""COMPUTED_VALUE"""),"")</f>
        <v/>
      </c>
      <c r="BC27" s="105" t="str">
        <f>IFERROR(__xludf.DUMMYFUNCTION("""COMPUTED_VALUE"""),"")</f>
        <v/>
      </c>
      <c r="BD27" s="104" t="str">
        <f>IFERROR(__xludf.DUMMYFUNCTION("""COMPUTED_VALUE"""),"")</f>
        <v/>
      </c>
      <c r="BE27" s="104">
        <f>IFERROR(__xludf.DUMMYFUNCTION("""COMPUTED_VALUE"""),180.8)</f>
        <v>180.8</v>
      </c>
      <c r="BF27" s="105" t="str">
        <f>IFERROR(__xludf.DUMMYFUNCTION("""COMPUTED_VALUE"""),"")</f>
        <v/>
      </c>
      <c r="BG27" s="103" t="str">
        <f>IFERROR(__xludf.DUMMYFUNCTION("""COMPUTED_VALUE"""),"")</f>
        <v/>
      </c>
      <c r="BH27" s="104" t="str">
        <f>IFERROR(__xludf.DUMMYFUNCTION("""COMPUTED_VALUE"""),"")</f>
        <v/>
      </c>
      <c r="BI27" s="105" t="str">
        <f>IFERROR(__xludf.DUMMYFUNCTION("""COMPUTED_VALUE"""),"")</f>
        <v/>
      </c>
      <c r="BJ27" s="104" t="str">
        <f>IFERROR(__xludf.DUMMYFUNCTION("""COMPUTED_VALUE"""),"")</f>
        <v/>
      </c>
      <c r="BK27" s="104" t="str">
        <f>IFERROR(__xludf.DUMMYFUNCTION("""COMPUTED_VALUE"""),"")</f>
        <v/>
      </c>
      <c r="BL27" s="105">
        <f>IFERROR(__xludf.DUMMYFUNCTION("""COMPUTED_VALUE"""),20.1)</f>
        <v>20.1</v>
      </c>
      <c r="BM27" s="104" t="str">
        <f>IFERROR(__xludf.DUMMYFUNCTION("""COMPUTED_VALUE"""),"")</f>
        <v/>
      </c>
      <c r="BN27" s="104" t="str">
        <f>IFERROR(__xludf.DUMMYFUNCTION("""COMPUTED_VALUE"""),"")</f>
        <v/>
      </c>
      <c r="BO27" s="105" t="str">
        <f>IFERROR(__xludf.DUMMYFUNCTION("""COMPUTED_VALUE"""),"")</f>
        <v/>
      </c>
      <c r="BP27" s="104" t="str">
        <f>IFERROR(__xludf.DUMMYFUNCTION("""COMPUTED_VALUE"""),"")</f>
        <v/>
      </c>
      <c r="BQ27" s="104" t="str">
        <f>IFERROR(__xludf.DUMMYFUNCTION("""COMPUTED_VALUE"""),"")</f>
        <v/>
      </c>
      <c r="BR27" s="105" t="str">
        <f>IFERROR(__xludf.DUMMYFUNCTION("""COMPUTED_VALUE"""),"")</f>
        <v/>
      </c>
      <c r="BS27" s="104">
        <f>IFERROR(__xludf.DUMMYFUNCTION("""COMPUTED_VALUE"""),172.1)</f>
        <v>172.1</v>
      </c>
      <c r="BT27" s="104" t="str">
        <f>IFERROR(__xludf.DUMMYFUNCTION("""COMPUTED_VALUE"""),"")</f>
        <v/>
      </c>
      <c r="BU27" s="105" t="str">
        <f>IFERROR(__xludf.DUMMYFUNCTION("""COMPUTED_VALUE"""),"")</f>
        <v/>
      </c>
      <c r="BV27" s="104" t="str">
        <f>IFERROR(__xludf.DUMMYFUNCTION("""COMPUTED_VALUE"""),"")</f>
        <v/>
      </c>
      <c r="BW27" s="104" t="str">
        <f>IFERROR(__xludf.DUMMYFUNCTION("""COMPUTED_VALUE"""),"")</f>
        <v/>
      </c>
      <c r="BX27" s="105" t="str">
        <f>IFERROR(__xludf.DUMMYFUNCTION("""COMPUTED_VALUE"""),"")</f>
        <v/>
      </c>
      <c r="BY27" s="104" t="str">
        <f>IFERROR(__xludf.DUMMYFUNCTION("""COMPUTED_VALUE"""),"")</f>
        <v/>
      </c>
      <c r="BZ27" s="104">
        <f>IFERROR(__xludf.DUMMYFUNCTION("""COMPUTED_VALUE"""),87.0)</f>
        <v>87</v>
      </c>
      <c r="CA27" s="108" t="str">
        <f>IFERROR(__xludf.DUMMYFUNCTION("""COMPUTED_VALUE"""),"")</f>
        <v/>
      </c>
      <c r="CB27" s="103" t="str">
        <f>IFERROR(__xludf.DUMMYFUNCTION("""COMPUTED_VALUE"""),"")</f>
        <v/>
      </c>
      <c r="CC27" s="104" t="str">
        <f>IFERROR(__xludf.DUMMYFUNCTION("""COMPUTED_VALUE"""),"")</f>
        <v/>
      </c>
      <c r="CD27" s="105" t="str">
        <f>IFERROR(__xludf.DUMMYFUNCTION("""COMPUTED_VALUE"""),"")</f>
        <v/>
      </c>
      <c r="CE27" s="104" t="str">
        <f>IFERROR(__xludf.DUMMYFUNCTION("""COMPUTED_VALUE"""),"")</f>
        <v/>
      </c>
      <c r="CF27" s="104" t="str">
        <f>IFERROR(__xludf.DUMMYFUNCTION("""COMPUTED_VALUE"""),"")</f>
        <v/>
      </c>
      <c r="CG27" s="105">
        <f>IFERROR(__xludf.DUMMYFUNCTION("""COMPUTED_VALUE"""),30.3)</f>
        <v>30.3</v>
      </c>
      <c r="CH27" s="104" t="str">
        <f>IFERROR(__xludf.DUMMYFUNCTION("""COMPUTED_VALUE"""),"")</f>
        <v/>
      </c>
      <c r="CI27" s="104" t="str">
        <f>IFERROR(__xludf.DUMMYFUNCTION("""COMPUTED_VALUE"""),"")</f>
        <v/>
      </c>
      <c r="CJ27" s="105" t="str">
        <f>IFERROR(__xludf.DUMMYFUNCTION("""COMPUTED_VALUE"""),"")</f>
        <v/>
      </c>
      <c r="CK27" s="104" t="str">
        <f>IFERROR(__xludf.DUMMYFUNCTION("""COMPUTED_VALUE"""),"")</f>
        <v/>
      </c>
      <c r="CL27" s="104" t="str">
        <f>IFERROR(__xludf.DUMMYFUNCTION("""COMPUTED_VALUE"""),"")</f>
        <v/>
      </c>
      <c r="CM27" s="105" t="str">
        <f>IFERROR(__xludf.DUMMYFUNCTION("""COMPUTED_VALUE"""),"")</f>
        <v/>
      </c>
      <c r="CN27" s="104" t="str">
        <f>IFERROR(__xludf.DUMMYFUNCTION("""COMPUTED_VALUE"""),"")</f>
        <v/>
      </c>
      <c r="CO27" s="104" t="str">
        <f>IFERROR(__xludf.DUMMYFUNCTION("""COMPUTED_VALUE"""),"")</f>
        <v/>
      </c>
      <c r="CP27" s="105" t="str">
        <f>IFERROR(__xludf.DUMMYFUNCTION("""COMPUTED_VALUE"""),"")</f>
        <v/>
      </c>
      <c r="CQ27" s="104" t="str">
        <f>IFERROR(__xludf.DUMMYFUNCTION("""COMPUTED_VALUE"""),"")</f>
        <v/>
      </c>
      <c r="CR27" s="104" t="str">
        <f>IFERROR(__xludf.DUMMYFUNCTION("""COMPUTED_VALUE"""),"")</f>
        <v/>
      </c>
      <c r="CS27" s="105"/>
      <c r="CT27" s="104"/>
      <c r="CU27" s="104"/>
      <c r="CV27" s="108"/>
      <c r="CW27" s="104"/>
      <c r="CX27" s="104"/>
      <c r="CY27" s="105"/>
      <c r="CZ27" s="104"/>
      <c r="DA27" s="104"/>
      <c r="DB27" s="105"/>
      <c r="DC27" s="104"/>
      <c r="DD27" s="104"/>
      <c r="DE27" s="105"/>
      <c r="DF27" s="104"/>
      <c r="DG27" s="104"/>
      <c r="DH27" s="105"/>
      <c r="DI27" s="104"/>
      <c r="DJ27" s="104"/>
      <c r="DK27" s="105"/>
      <c r="DL27" s="104"/>
      <c r="DM27" s="104"/>
      <c r="DN27" s="105"/>
      <c r="DO27" s="104"/>
      <c r="DP27" s="104"/>
      <c r="DQ27" s="105"/>
      <c r="DR27" s="104"/>
      <c r="DS27" s="104"/>
      <c r="DT27" s="105"/>
    </row>
    <row r="28">
      <c r="B28" s="83" t="str">
        <f>IFERROR(__xludf.DUMMYFUNCTION("""COMPUTED_VALUE"""),"TRF8")</f>
        <v>TRF8</v>
      </c>
      <c r="C28" s="82">
        <f>IFERROR(__xludf.DUMMYFUNCTION("""COMPUTED_VALUE"""),8.0)</f>
        <v>8</v>
      </c>
      <c r="D28" s="88" t="str">
        <f>IFERROR(__xludf.DUMMYFUNCTION("""COMPUTED_VALUE"""),"TUE Lancer Training Ground- Exp")</f>
        <v>TUE Lancer Training Ground- Exp</v>
      </c>
      <c r="E28" s="82" t="str">
        <f>IFERROR(__xludf.DUMMYFUNCTION("""COMPUTED_VALUE"""),"槍超級")</f>
        <v>槍超級</v>
      </c>
      <c r="F28" s="102">
        <f>IFERROR(__xludf.DUMMYFUNCTION("""COMPUTED_VALUE"""),40.0)</f>
        <v>40</v>
      </c>
      <c r="G28" s="82">
        <f>IFERROR(__xludf.DUMMYFUNCTION("""COMPUTED_VALUE"""),6290.0)</f>
        <v>6290</v>
      </c>
      <c r="H28" s="95" t="str">
        <f>IFERROR(__xludf.DUMMYFUNCTION("""COMPUTED_VALUE"""),"")</f>
        <v/>
      </c>
      <c r="I28" s="96" t="str">
        <f>IFERROR(__xludf.DUMMYFUNCTION("""COMPUTED_VALUE"""),"")</f>
        <v/>
      </c>
      <c r="J28" s="97" t="str">
        <f>IFERROR(__xludf.DUMMYFUNCTION("""COMPUTED_VALUE"""),"")</f>
        <v/>
      </c>
      <c r="K28" s="95" t="str">
        <f>IFERROR(__xludf.DUMMYFUNCTION("""COMPUTED_VALUE"""),"")</f>
        <v/>
      </c>
      <c r="L28" s="96">
        <f>IFERROR(__xludf.DUMMYFUNCTION("""COMPUTED_VALUE"""),311.9)</f>
        <v>311.9</v>
      </c>
      <c r="M28" s="97" t="str">
        <f>IFERROR(__xludf.DUMMYFUNCTION("""COMPUTED_VALUE"""),"")</f>
        <v/>
      </c>
      <c r="N28" s="95" t="str">
        <f>IFERROR(__xludf.DUMMYFUNCTION("""COMPUTED_VALUE"""),"")</f>
        <v/>
      </c>
      <c r="O28" s="96" t="str">
        <f>IFERROR(__xludf.DUMMYFUNCTION("""COMPUTED_VALUE"""),"")</f>
        <v/>
      </c>
      <c r="P28" s="97" t="str">
        <f>IFERROR(__xludf.DUMMYFUNCTION("""COMPUTED_VALUE"""),"")</f>
        <v/>
      </c>
      <c r="Q28" s="95" t="str">
        <f>IFERROR(__xludf.DUMMYFUNCTION("""COMPUTED_VALUE"""),"")</f>
        <v/>
      </c>
      <c r="R28" s="96" t="str">
        <f>IFERROR(__xludf.DUMMYFUNCTION("""COMPUTED_VALUE"""),"")</f>
        <v/>
      </c>
      <c r="S28" s="97" t="str">
        <f>IFERROR(__xludf.DUMMYFUNCTION("""COMPUTED_VALUE"""),"")</f>
        <v/>
      </c>
      <c r="T28" s="95" t="str">
        <f>IFERROR(__xludf.DUMMYFUNCTION("""COMPUTED_VALUE"""),"")</f>
        <v/>
      </c>
      <c r="U28" s="96" t="str">
        <f>IFERROR(__xludf.DUMMYFUNCTION("""COMPUTED_VALUE"""),"")</f>
        <v/>
      </c>
      <c r="V28" s="97" t="str">
        <f>IFERROR(__xludf.DUMMYFUNCTION("""COMPUTED_VALUE"""),"")</f>
        <v/>
      </c>
      <c r="W28" s="95" t="str">
        <f>IFERROR(__xludf.DUMMYFUNCTION("""COMPUTED_VALUE"""),"")</f>
        <v/>
      </c>
      <c r="X28" s="96" t="str">
        <f>IFERROR(__xludf.DUMMYFUNCTION("""COMPUTED_VALUE"""),"")</f>
        <v/>
      </c>
      <c r="Y28" s="97" t="str">
        <f>IFERROR(__xludf.DUMMYFUNCTION("""COMPUTED_VALUE"""),"")</f>
        <v/>
      </c>
      <c r="Z28" s="95">
        <f>IFERROR(__xludf.DUMMYFUNCTION("""COMPUTED_VALUE"""),155.4)</f>
        <v>155.4</v>
      </c>
      <c r="AA28" s="96" t="str">
        <f>IFERROR(__xludf.DUMMYFUNCTION("""COMPUTED_VALUE"""),"")</f>
        <v/>
      </c>
      <c r="AB28" s="97" t="str">
        <f>IFERROR(__xludf.DUMMYFUNCTION("""COMPUTED_VALUE"""),"")</f>
        <v/>
      </c>
      <c r="AC28" s="95" t="str">
        <f>IFERROR(__xludf.DUMMYFUNCTION("""COMPUTED_VALUE"""),"")</f>
        <v/>
      </c>
      <c r="AD28" s="96">
        <f>IFERROR(__xludf.DUMMYFUNCTION("""COMPUTED_VALUE"""),362.7)</f>
        <v>362.7</v>
      </c>
      <c r="AE28" s="97" t="str">
        <f>IFERROR(__xludf.DUMMYFUNCTION("""COMPUTED_VALUE"""),"")</f>
        <v/>
      </c>
      <c r="AF28" s="95" t="str">
        <f>IFERROR(__xludf.DUMMYFUNCTION("""COMPUTED_VALUE"""),"")</f>
        <v/>
      </c>
      <c r="AG28" s="96">
        <f>IFERROR(__xludf.DUMMYFUNCTION("""COMPUTED_VALUE"""),189.8)</f>
        <v>189.8</v>
      </c>
      <c r="AH28" s="97" t="str">
        <f>IFERROR(__xludf.DUMMYFUNCTION("""COMPUTED_VALUE"""),"")</f>
        <v/>
      </c>
      <c r="AI28" s="92" t="str">
        <f>IFERROR(__xludf.DUMMYFUNCTION("""COMPUTED_VALUE"""),"")</f>
        <v/>
      </c>
      <c r="AJ28" s="93" t="str">
        <f>IFERROR(__xludf.DUMMYFUNCTION("""COMPUTED_VALUE"""),"")</f>
        <v/>
      </c>
      <c r="AK28" s="94" t="str">
        <f>IFERROR(__xludf.DUMMYFUNCTION("""COMPUTED_VALUE"""),"")</f>
        <v/>
      </c>
      <c r="AL28" s="93" t="str">
        <f>IFERROR(__xludf.DUMMYFUNCTION("""COMPUTED_VALUE"""),"")</f>
        <v/>
      </c>
      <c r="AM28" s="93" t="str">
        <f>IFERROR(__xludf.DUMMYFUNCTION("""COMPUTED_VALUE"""),"")</f>
        <v/>
      </c>
      <c r="AN28" s="94" t="str">
        <f>IFERROR(__xludf.DUMMYFUNCTION("""COMPUTED_VALUE"""),"")</f>
        <v/>
      </c>
      <c r="AO28" s="93" t="str">
        <f>IFERROR(__xludf.DUMMYFUNCTION("""COMPUTED_VALUE"""),"")</f>
        <v/>
      </c>
      <c r="AP28" s="93" t="str">
        <f>IFERROR(__xludf.DUMMYFUNCTION("""COMPUTED_VALUE"""),"")</f>
        <v/>
      </c>
      <c r="AQ28" s="94" t="str">
        <f>IFERROR(__xludf.DUMMYFUNCTION("""COMPUTED_VALUE"""),"")</f>
        <v/>
      </c>
      <c r="AR28" s="93" t="str">
        <f>IFERROR(__xludf.DUMMYFUNCTION("""COMPUTED_VALUE"""),"")</f>
        <v/>
      </c>
      <c r="AS28" s="93" t="str">
        <f>IFERROR(__xludf.DUMMYFUNCTION("""COMPUTED_VALUE"""),"")</f>
        <v/>
      </c>
      <c r="AT28" s="94">
        <f>IFERROR(__xludf.DUMMYFUNCTION("""COMPUTED_VALUE"""),205.9)</f>
        <v>205.9</v>
      </c>
      <c r="AU28" s="93" t="str">
        <f>IFERROR(__xludf.DUMMYFUNCTION("""COMPUTED_VALUE"""),"")</f>
        <v/>
      </c>
      <c r="AV28" s="93" t="str">
        <f>IFERROR(__xludf.DUMMYFUNCTION("""COMPUTED_VALUE"""),"")</f>
        <v/>
      </c>
      <c r="AW28" s="94">
        <f>IFERROR(__xludf.DUMMYFUNCTION("""COMPUTED_VALUE"""),171.2)</f>
        <v>171.2</v>
      </c>
      <c r="AX28" s="93" t="str">
        <f>IFERROR(__xludf.DUMMYFUNCTION("""COMPUTED_VALUE"""),"")</f>
        <v/>
      </c>
      <c r="AY28" s="93" t="str">
        <f>IFERROR(__xludf.DUMMYFUNCTION("""COMPUTED_VALUE"""),"")</f>
        <v/>
      </c>
      <c r="AZ28" s="94" t="str">
        <f>IFERROR(__xludf.DUMMYFUNCTION("""COMPUTED_VALUE"""),"")</f>
        <v/>
      </c>
      <c r="BA28" s="93" t="str">
        <f>IFERROR(__xludf.DUMMYFUNCTION("""COMPUTED_VALUE"""),"")</f>
        <v/>
      </c>
      <c r="BB28" s="93" t="str">
        <f>IFERROR(__xludf.DUMMYFUNCTION("""COMPUTED_VALUE"""),"")</f>
        <v/>
      </c>
      <c r="BC28" s="94" t="str">
        <f>IFERROR(__xludf.DUMMYFUNCTION("""COMPUTED_VALUE"""),"")</f>
        <v/>
      </c>
      <c r="BD28" s="93" t="str">
        <f>IFERROR(__xludf.DUMMYFUNCTION("""COMPUTED_VALUE"""),"")</f>
        <v/>
      </c>
      <c r="BE28" s="93">
        <f>IFERROR(__xludf.DUMMYFUNCTION("""COMPUTED_VALUE"""),146.6)</f>
        <v>146.6</v>
      </c>
      <c r="BF28" s="94" t="str">
        <f>IFERROR(__xludf.DUMMYFUNCTION("""COMPUTED_VALUE"""),"")</f>
        <v/>
      </c>
      <c r="BG28" s="92" t="str">
        <f>IFERROR(__xludf.DUMMYFUNCTION("""COMPUTED_VALUE"""),"")</f>
        <v/>
      </c>
      <c r="BH28" s="93" t="str">
        <f>IFERROR(__xludf.DUMMYFUNCTION("""COMPUTED_VALUE"""),"")</f>
        <v/>
      </c>
      <c r="BI28" s="94" t="str">
        <f>IFERROR(__xludf.DUMMYFUNCTION("""COMPUTED_VALUE"""),"")</f>
        <v/>
      </c>
      <c r="BJ28" s="93" t="str">
        <f>IFERROR(__xludf.DUMMYFUNCTION("""COMPUTED_VALUE"""),"")</f>
        <v/>
      </c>
      <c r="BK28" s="93" t="str">
        <f>IFERROR(__xludf.DUMMYFUNCTION("""COMPUTED_VALUE"""),"")</f>
        <v/>
      </c>
      <c r="BL28" s="94">
        <f>IFERROR(__xludf.DUMMYFUNCTION("""COMPUTED_VALUE"""),33.7)</f>
        <v>33.7</v>
      </c>
      <c r="BM28" s="93" t="str">
        <f>IFERROR(__xludf.DUMMYFUNCTION("""COMPUTED_VALUE"""),"")</f>
        <v/>
      </c>
      <c r="BN28" s="93" t="str">
        <f>IFERROR(__xludf.DUMMYFUNCTION("""COMPUTED_VALUE"""),"")</f>
        <v/>
      </c>
      <c r="BO28" s="94" t="str">
        <f>IFERROR(__xludf.DUMMYFUNCTION("""COMPUTED_VALUE"""),"")</f>
        <v/>
      </c>
      <c r="BP28" s="93" t="str">
        <f>IFERROR(__xludf.DUMMYFUNCTION("""COMPUTED_VALUE"""),"")</f>
        <v/>
      </c>
      <c r="BQ28" s="93" t="str">
        <f>IFERROR(__xludf.DUMMYFUNCTION("""COMPUTED_VALUE"""),"")</f>
        <v/>
      </c>
      <c r="BR28" s="94" t="str">
        <f>IFERROR(__xludf.DUMMYFUNCTION("""COMPUTED_VALUE"""),"")</f>
        <v/>
      </c>
      <c r="BS28" s="93">
        <f>IFERROR(__xludf.DUMMYFUNCTION("""COMPUTED_VALUE"""),215.7)</f>
        <v>215.7</v>
      </c>
      <c r="BT28" s="93" t="str">
        <f>IFERROR(__xludf.DUMMYFUNCTION("""COMPUTED_VALUE"""),"")</f>
        <v/>
      </c>
      <c r="BU28" s="94" t="str">
        <f>IFERROR(__xludf.DUMMYFUNCTION("""COMPUTED_VALUE"""),"")</f>
        <v/>
      </c>
      <c r="BV28" s="93" t="str">
        <f>IFERROR(__xludf.DUMMYFUNCTION("""COMPUTED_VALUE"""),"")</f>
        <v/>
      </c>
      <c r="BW28" s="93" t="str">
        <f>IFERROR(__xludf.DUMMYFUNCTION("""COMPUTED_VALUE"""),"")</f>
        <v/>
      </c>
      <c r="BX28" s="94" t="str">
        <f>IFERROR(__xludf.DUMMYFUNCTION("""COMPUTED_VALUE"""),"")</f>
        <v/>
      </c>
      <c r="BY28" s="93" t="str">
        <f>IFERROR(__xludf.DUMMYFUNCTION("""COMPUTED_VALUE"""),"")</f>
        <v/>
      </c>
      <c r="BZ28" s="93">
        <f>IFERROR(__xludf.DUMMYFUNCTION("""COMPUTED_VALUE"""),72.7)</f>
        <v>72.7</v>
      </c>
      <c r="CA28" s="109" t="str">
        <f>IFERROR(__xludf.DUMMYFUNCTION("""COMPUTED_VALUE"""),"")</f>
        <v/>
      </c>
      <c r="CB28" s="92" t="str">
        <f>IFERROR(__xludf.DUMMYFUNCTION("""COMPUTED_VALUE"""),"")</f>
        <v/>
      </c>
      <c r="CC28" s="93" t="str">
        <f>IFERROR(__xludf.DUMMYFUNCTION("""COMPUTED_VALUE"""),"")</f>
        <v/>
      </c>
      <c r="CD28" s="94" t="str">
        <f>IFERROR(__xludf.DUMMYFUNCTION("""COMPUTED_VALUE"""),"")</f>
        <v/>
      </c>
      <c r="CE28" s="93" t="str">
        <f>IFERROR(__xludf.DUMMYFUNCTION("""COMPUTED_VALUE"""),"")</f>
        <v/>
      </c>
      <c r="CF28" s="93" t="str">
        <f>IFERROR(__xludf.DUMMYFUNCTION("""COMPUTED_VALUE"""),"")</f>
        <v/>
      </c>
      <c r="CG28" s="94">
        <f>IFERROR(__xludf.DUMMYFUNCTION("""COMPUTED_VALUE"""),51.5)</f>
        <v>51.5</v>
      </c>
      <c r="CH28" s="93" t="str">
        <f>IFERROR(__xludf.DUMMYFUNCTION("""COMPUTED_VALUE"""),"")</f>
        <v/>
      </c>
      <c r="CI28" s="93" t="str">
        <f>IFERROR(__xludf.DUMMYFUNCTION("""COMPUTED_VALUE"""),"")</f>
        <v/>
      </c>
      <c r="CJ28" s="94" t="str">
        <f>IFERROR(__xludf.DUMMYFUNCTION("""COMPUTED_VALUE"""),"")</f>
        <v/>
      </c>
      <c r="CK28" s="93" t="str">
        <f>IFERROR(__xludf.DUMMYFUNCTION("""COMPUTED_VALUE"""),"")</f>
        <v/>
      </c>
      <c r="CL28" s="93" t="str">
        <f>IFERROR(__xludf.DUMMYFUNCTION("""COMPUTED_VALUE"""),"")</f>
        <v/>
      </c>
      <c r="CM28" s="94" t="str">
        <f>IFERROR(__xludf.DUMMYFUNCTION("""COMPUTED_VALUE"""),"")</f>
        <v/>
      </c>
      <c r="CN28" s="93" t="str">
        <f>IFERROR(__xludf.DUMMYFUNCTION("""COMPUTED_VALUE"""),"")</f>
        <v/>
      </c>
      <c r="CO28" s="93" t="str">
        <f>IFERROR(__xludf.DUMMYFUNCTION("""COMPUTED_VALUE"""),"")</f>
        <v/>
      </c>
      <c r="CP28" s="94" t="str">
        <f>IFERROR(__xludf.DUMMYFUNCTION("""COMPUTED_VALUE"""),"")</f>
        <v/>
      </c>
      <c r="CQ28" s="93" t="str">
        <f>IFERROR(__xludf.DUMMYFUNCTION("""COMPUTED_VALUE"""),"")</f>
        <v/>
      </c>
      <c r="CR28" s="93" t="str">
        <f>IFERROR(__xludf.DUMMYFUNCTION("""COMPUTED_VALUE"""),"")</f>
        <v/>
      </c>
      <c r="CS28" s="94"/>
      <c r="CT28" s="93"/>
      <c r="CU28" s="93"/>
      <c r="CV28" s="109"/>
      <c r="CW28" s="93"/>
      <c r="CX28" s="93"/>
      <c r="CY28" s="94"/>
      <c r="CZ28" s="93"/>
      <c r="DA28" s="93"/>
      <c r="DB28" s="94"/>
      <c r="DC28" s="93"/>
      <c r="DD28" s="93"/>
      <c r="DE28" s="94"/>
      <c r="DF28" s="93"/>
      <c r="DG28" s="93"/>
      <c r="DH28" s="94"/>
      <c r="DI28" s="93"/>
      <c r="DJ28" s="93"/>
      <c r="DK28" s="94"/>
      <c r="DL28" s="93"/>
      <c r="DM28" s="93"/>
      <c r="DN28" s="94"/>
      <c r="DO28" s="93"/>
      <c r="DP28" s="93"/>
      <c r="DQ28" s="94"/>
      <c r="DR28" s="93"/>
      <c r="DS28" s="93"/>
      <c r="DT28" s="94"/>
    </row>
    <row r="29">
      <c r="B29" s="83" t="str">
        <f>IFERROR(__xludf.DUMMYFUNCTION("""COMPUTED_VALUE"""),"TRF9")</f>
        <v>TRF9</v>
      </c>
      <c r="C29" s="82">
        <f>IFERROR(__xludf.DUMMYFUNCTION("""COMPUTED_VALUE"""),15.0)</f>
        <v>15</v>
      </c>
      <c r="D29" s="88" t="str">
        <f>IFERROR(__xludf.DUMMYFUNCTION("""COMPUTED_VALUE"""),"WED Berserker Training Ground- Nov")</f>
        <v>WED Berserker Training Ground- Nov</v>
      </c>
      <c r="E29" s="82" t="str">
        <f>IFERROR(__xludf.DUMMYFUNCTION("""COMPUTED_VALUE"""),"狂初級")</f>
        <v>狂初級</v>
      </c>
      <c r="F29" s="102">
        <f>IFERROR(__xludf.DUMMYFUNCTION("""COMPUTED_VALUE"""),10.0)</f>
        <v>10</v>
      </c>
      <c r="G29" s="82">
        <f>IFERROR(__xludf.DUMMYFUNCTION("""COMPUTED_VALUE"""),1000.0)</f>
        <v>1000</v>
      </c>
      <c r="H29" s="95" t="str">
        <f>IFERROR(__xludf.DUMMYFUNCTION("""COMPUTED_VALUE"""),"")</f>
        <v/>
      </c>
      <c r="I29" s="96" t="str">
        <f>IFERROR(__xludf.DUMMYFUNCTION("""COMPUTED_VALUE"""),"")</f>
        <v/>
      </c>
      <c r="J29" s="97" t="str">
        <f>IFERROR(__xludf.DUMMYFUNCTION("""COMPUTED_VALUE"""),"")</f>
        <v/>
      </c>
      <c r="K29" s="95" t="str">
        <f>IFERROR(__xludf.DUMMYFUNCTION("""COMPUTED_VALUE"""),"")</f>
        <v/>
      </c>
      <c r="L29" s="96" t="str">
        <f>IFERROR(__xludf.DUMMYFUNCTION("""COMPUTED_VALUE"""),"")</f>
        <v/>
      </c>
      <c r="M29" s="97" t="str">
        <f>IFERROR(__xludf.DUMMYFUNCTION("""COMPUTED_VALUE"""),"")</f>
        <v/>
      </c>
      <c r="N29" s="95" t="str">
        <f>IFERROR(__xludf.DUMMYFUNCTION("""COMPUTED_VALUE"""),"")</f>
        <v/>
      </c>
      <c r="O29" s="96" t="str">
        <f>IFERROR(__xludf.DUMMYFUNCTION("""COMPUTED_VALUE"""),"")</f>
        <v/>
      </c>
      <c r="P29" s="97" t="str">
        <f>IFERROR(__xludf.DUMMYFUNCTION("""COMPUTED_VALUE"""),"")</f>
        <v/>
      </c>
      <c r="Q29" s="95" t="str">
        <f>IFERROR(__xludf.DUMMYFUNCTION("""COMPUTED_VALUE"""),"")</f>
        <v/>
      </c>
      <c r="R29" s="96" t="str">
        <f>IFERROR(__xludf.DUMMYFUNCTION("""COMPUTED_VALUE"""),"")</f>
        <v/>
      </c>
      <c r="S29" s="97" t="str">
        <f>IFERROR(__xludf.DUMMYFUNCTION("""COMPUTED_VALUE"""),"")</f>
        <v/>
      </c>
      <c r="T29" s="95" t="str">
        <f>IFERROR(__xludf.DUMMYFUNCTION("""COMPUTED_VALUE"""),"")</f>
        <v/>
      </c>
      <c r="U29" s="96" t="str">
        <f>IFERROR(__xludf.DUMMYFUNCTION("""COMPUTED_VALUE"""),"")</f>
        <v/>
      </c>
      <c r="V29" s="97" t="str">
        <f>IFERROR(__xludf.DUMMYFUNCTION("""COMPUTED_VALUE"""),"")</f>
        <v/>
      </c>
      <c r="W29" s="95" t="str">
        <f>IFERROR(__xludf.DUMMYFUNCTION("""COMPUTED_VALUE"""),"")</f>
        <v/>
      </c>
      <c r="X29" s="96" t="str">
        <f>IFERROR(__xludf.DUMMYFUNCTION("""COMPUTED_VALUE"""),"")</f>
        <v/>
      </c>
      <c r="Y29" s="97" t="str">
        <f>IFERROR(__xludf.DUMMYFUNCTION("""COMPUTED_VALUE"""),"")</f>
        <v/>
      </c>
      <c r="Z29" s="95" t="str">
        <f>IFERROR(__xludf.DUMMYFUNCTION("""COMPUTED_VALUE"""),"")</f>
        <v/>
      </c>
      <c r="AA29" s="96" t="str">
        <f>IFERROR(__xludf.DUMMYFUNCTION("""COMPUTED_VALUE"""),"")</f>
        <v/>
      </c>
      <c r="AB29" s="97">
        <f>IFERROR(__xludf.DUMMYFUNCTION("""COMPUTED_VALUE"""),190.2)</f>
        <v>190.2</v>
      </c>
      <c r="AC29" s="95" t="str">
        <f>IFERROR(__xludf.DUMMYFUNCTION("""COMPUTED_VALUE"""),"")</f>
        <v/>
      </c>
      <c r="AD29" s="96" t="str">
        <f>IFERROR(__xludf.DUMMYFUNCTION("""COMPUTED_VALUE"""),"")</f>
        <v/>
      </c>
      <c r="AE29" s="97" t="str">
        <f>IFERROR(__xludf.DUMMYFUNCTION("""COMPUTED_VALUE"""),"")</f>
        <v/>
      </c>
      <c r="AF29" s="95" t="str">
        <f>IFERROR(__xludf.DUMMYFUNCTION("""COMPUTED_VALUE"""),"")</f>
        <v/>
      </c>
      <c r="AG29" s="96" t="str">
        <f>IFERROR(__xludf.DUMMYFUNCTION("""COMPUTED_VALUE"""),"")</f>
        <v/>
      </c>
      <c r="AH29" s="97" t="str">
        <f>IFERROR(__xludf.DUMMYFUNCTION("""COMPUTED_VALUE"""),"")</f>
        <v/>
      </c>
      <c r="AI29" s="103" t="str">
        <f>IFERROR(__xludf.DUMMYFUNCTION("""COMPUTED_VALUE"""),"")</f>
        <v/>
      </c>
      <c r="AJ29" s="104" t="str">
        <f>IFERROR(__xludf.DUMMYFUNCTION("""COMPUTED_VALUE"""),"")</f>
        <v/>
      </c>
      <c r="AK29" s="105" t="str">
        <f>IFERROR(__xludf.DUMMYFUNCTION("""COMPUTED_VALUE"""),"")</f>
        <v/>
      </c>
      <c r="AL29" s="104" t="str">
        <f>IFERROR(__xludf.DUMMYFUNCTION("""COMPUTED_VALUE"""),"")</f>
        <v/>
      </c>
      <c r="AM29" s="104" t="str">
        <f>IFERROR(__xludf.DUMMYFUNCTION("""COMPUTED_VALUE"""),"")</f>
        <v/>
      </c>
      <c r="AN29" s="105" t="str">
        <f>IFERROR(__xludf.DUMMYFUNCTION("""COMPUTED_VALUE"""),"")</f>
        <v/>
      </c>
      <c r="AO29" s="104" t="str">
        <f>IFERROR(__xludf.DUMMYFUNCTION("""COMPUTED_VALUE"""),"")</f>
        <v/>
      </c>
      <c r="AP29" s="104" t="str">
        <f>IFERROR(__xludf.DUMMYFUNCTION("""COMPUTED_VALUE"""),"")</f>
        <v/>
      </c>
      <c r="AQ29" s="105" t="str">
        <f>IFERROR(__xludf.DUMMYFUNCTION("""COMPUTED_VALUE"""),"")</f>
        <v/>
      </c>
      <c r="AR29" s="104" t="str">
        <f>IFERROR(__xludf.DUMMYFUNCTION("""COMPUTED_VALUE"""),"")</f>
        <v/>
      </c>
      <c r="AS29" s="104" t="str">
        <f>IFERROR(__xludf.DUMMYFUNCTION("""COMPUTED_VALUE"""),"")</f>
        <v/>
      </c>
      <c r="AT29" s="105">
        <f>IFERROR(__xludf.DUMMYFUNCTION("""COMPUTED_VALUE"""),90.5)</f>
        <v>90.5</v>
      </c>
      <c r="AU29" s="104" t="str">
        <f>IFERROR(__xludf.DUMMYFUNCTION("""COMPUTED_VALUE"""),"")</f>
        <v/>
      </c>
      <c r="AV29" s="104" t="str">
        <f>IFERROR(__xludf.DUMMYFUNCTION("""COMPUTED_VALUE"""),"")</f>
        <v/>
      </c>
      <c r="AW29" s="105">
        <f>IFERROR(__xludf.DUMMYFUNCTION("""COMPUTED_VALUE"""),263.3)</f>
        <v>263.3</v>
      </c>
      <c r="AX29" s="104" t="str">
        <f>IFERROR(__xludf.DUMMYFUNCTION("""COMPUTED_VALUE"""),"")</f>
        <v/>
      </c>
      <c r="AY29" s="104" t="str">
        <f>IFERROR(__xludf.DUMMYFUNCTION("""COMPUTED_VALUE"""),"")</f>
        <v/>
      </c>
      <c r="AZ29" s="105" t="str">
        <f>IFERROR(__xludf.DUMMYFUNCTION("""COMPUTED_VALUE"""),"")</f>
        <v/>
      </c>
      <c r="BA29" s="104" t="str">
        <f>IFERROR(__xludf.DUMMYFUNCTION("""COMPUTED_VALUE"""),"")</f>
        <v/>
      </c>
      <c r="BB29" s="104" t="str">
        <f>IFERROR(__xludf.DUMMYFUNCTION("""COMPUTED_VALUE"""),"")</f>
        <v/>
      </c>
      <c r="BC29" s="105" t="str">
        <f>IFERROR(__xludf.DUMMYFUNCTION("""COMPUTED_VALUE"""),"")</f>
        <v/>
      </c>
      <c r="BD29" s="104" t="str">
        <f>IFERROR(__xludf.DUMMYFUNCTION("""COMPUTED_VALUE"""),"")</f>
        <v/>
      </c>
      <c r="BE29" s="104" t="str">
        <f>IFERROR(__xludf.DUMMYFUNCTION("""COMPUTED_VALUE"""),"")</f>
        <v/>
      </c>
      <c r="BF29" s="105" t="str">
        <f>IFERROR(__xludf.DUMMYFUNCTION("""COMPUTED_VALUE"""),"")</f>
        <v/>
      </c>
      <c r="BG29" s="103" t="str">
        <f>IFERROR(__xludf.DUMMYFUNCTION("""COMPUTED_VALUE"""),"")</f>
        <v/>
      </c>
      <c r="BH29" s="104" t="str">
        <f>IFERROR(__xludf.DUMMYFUNCTION("""COMPUTED_VALUE"""),"")</f>
        <v/>
      </c>
      <c r="BI29" s="105" t="str">
        <f>IFERROR(__xludf.DUMMYFUNCTION("""COMPUTED_VALUE"""),"")</f>
        <v/>
      </c>
      <c r="BJ29" s="104" t="str">
        <f>IFERROR(__xludf.DUMMYFUNCTION("""COMPUTED_VALUE"""),"")</f>
        <v/>
      </c>
      <c r="BK29" s="104" t="str">
        <f>IFERROR(__xludf.DUMMYFUNCTION("""COMPUTED_VALUE"""),"")</f>
        <v/>
      </c>
      <c r="BL29" s="105" t="str">
        <f>IFERROR(__xludf.DUMMYFUNCTION("""COMPUTED_VALUE"""),"")</f>
        <v/>
      </c>
      <c r="BM29" s="104" t="str">
        <f>IFERROR(__xludf.DUMMYFUNCTION("""COMPUTED_VALUE"""),"")</f>
        <v/>
      </c>
      <c r="BN29" s="104" t="str">
        <f>IFERROR(__xludf.DUMMYFUNCTION("""COMPUTED_VALUE"""),"")</f>
        <v/>
      </c>
      <c r="BO29" s="105" t="str">
        <f>IFERROR(__xludf.DUMMYFUNCTION("""COMPUTED_VALUE"""),"")</f>
        <v/>
      </c>
      <c r="BP29" s="104" t="str">
        <f>IFERROR(__xludf.DUMMYFUNCTION("""COMPUTED_VALUE"""),"")</f>
        <v/>
      </c>
      <c r="BQ29" s="104" t="str">
        <f>IFERROR(__xludf.DUMMYFUNCTION("""COMPUTED_VALUE"""),"")</f>
        <v/>
      </c>
      <c r="BR29" s="105" t="str">
        <f>IFERROR(__xludf.DUMMYFUNCTION("""COMPUTED_VALUE"""),"")</f>
        <v/>
      </c>
      <c r="BS29" s="104" t="str">
        <f>IFERROR(__xludf.DUMMYFUNCTION("""COMPUTED_VALUE"""),"")</f>
        <v/>
      </c>
      <c r="BT29" s="104" t="str">
        <f>IFERROR(__xludf.DUMMYFUNCTION("""COMPUTED_VALUE"""),"")</f>
        <v/>
      </c>
      <c r="BU29" s="105" t="str">
        <f>IFERROR(__xludf.DUMMYFUNCTION("""COMPUTED_VALUE"""),"")</f>
        <v/>
      </c>
      <c r="BV29" s="104" t="str">
        <f>IFERROR(__xludf.DUMMYFUNCTION("""COMPUTED_VALUE"""),"")</f>
        <v/>
      </c>
      <c r="BW29" s="104">
        <f>IFERROR(__xludf.DUMMYFUNCTION("""COMPUTED_VALUE"""),7.5)</f>
        <v>7.5</v>
      </c>
      <c r="BX29" s="105" t="str">
        <f>IFERROR(__xludf.DUMMYFUNCTION("""COMPUTED_VALUE"""),"")</f>
        <v/>
      </c>
      <c r="BY29" s="104" t="str">
        <f>IFERROR(__xludf.DUMMYFUNCTION("""COMPUTED_VALUE"""),"")</f>
        <v/>
      </c>
      <c r="BZ29" s="104" t="str">
        <f>IFERROR(__xludf.DUMMYFUNCTION("""COMPUTED_VALUE"""),"")</f>
        <v/>
      </c>
      <c r="CA29" s="105" t="str">
        <f>IFERROR(__xludf.DUMMYFUNCTION("""COMPUTED_VALUE"""),"")</f>
        <v/>
      </c>
      <c r="CB29" s="103" t="str">
        <f>IFERROR(__xludf.DUMMYFUNCTION("""COMPUTED_VALUE"""),"")</f>
        <v/>
      </c>
      <c r="CC29" s="104" t="str">
        <f>IFERROR(__xludf.DUMMYFUNCTION("""COMPUTED_VALUE"""),"")</f>
        <v/>
      </c>
      <c r="CD29" s="105">
        <f>IFERROR(__xludf.DUMMYFUNCTION("""COMPUTED_VALUE"""),632.0)</f>
        <v>632</v>
      </c>
      <c r="CE29" s="104" t="str">
        <f>IFERROR(__xludf.DUMMYFUNCTION("""COMPUTED_VALUE"""),"")</f>
        <v/>
      </c>
      <c r="CF29" s="104" t="str">
        <f>IFERROR(__xludf.DUMMYFUNCTION("""COMPUTED_VALUE"""),"")</f>
        <v/>
      </c>
      <c r="CG29" s="105" t="str">
        <f>IFERROR(__xludf.DUMMYFUNCTION("""COMPUTED_VALUE"""),"")</f>
        <v/>
      </c>
      <c r="CH29" s="104" t="str">
        <f>IFERROR(__xludf.DUMMYFUNCTION("""COMPUTED_VALUE"""),"")</f>
        <v/>
      </c>
      <c r="CI29" s="104" t="str">
        <f>IFERROR(__xludf.DUMMYFUNCTION("""COMPUTED_VALUE"""),"")</f>
        <v/>
      </c>
      <c r="CJ29" s="105" t="str">
        <f>IFERROR(__xludf.DUMMYFUNCTION("""COMPUTED_VALUE"""),"")</f>
        <v/>
      </c>
      <c r="CK29" s="104">
        <f>IFERROR(__xludf.DUMMYFUNCTION("""COMPUTED_VALUE"""),53.3)</f>
        <v>53.3</v>
      </c>
      <c r="CL29" s="104" t="str">
        <f>IFERROR(__xludf.DUMMYFUNCTION("""COMPUTED_VALUE"""),"")</f>
        <v/>
      </c>
      <c r="CM29" s="105" t="str">
        <f>IFERROR(__xludf.DUMMYFUNCTION("""COMPUTED_VALUE"""),"")</f>
        <v/>
      </c>
      <c r="CN29" s="104" t="str">
        <f>IFERROR(__xludf.DUMMYFUNCTION("""COMPUTED_VALUE"""),"")</f>
        <v/>
      </c>
      <c r="CO29" s="104" t="str">
        <f>IFERROR(__xludf.DUMMYFUNCTION("""COMPUTED_VALUE"""),"")</f>
        <v/>
      </c>
      <c r="CP29" s="105" t="str">
        <f>IFERROR(__xludf.DUMMYFUNCTION("""COMPUTED_VALUE"""),"")</f>
        <v/>
      </c>
      <c r="CQ29" s="104" t="str">
        <f>IFERROR(__xludf.DUMMYFUNCTION("""COMPUTED_VALUE"""),"")</f>
        <v/>
      </c>
      <c r="CR29" s="104" t="str">
        <f>IFERROR(__xludf.DUMMYFUNCTION("""COMPUTED_VALUE"""),"")</f>
        <v/>
      </c>
      <c r="CS29" s="105"/>
      <c r="CT29" s="104"/>
      <c r="CU29" s="104"/>
      <c r="CV29" s="105"/>
      <c r="CW29" s="104"/>
      <c r="CX29" s="104"/>
      <c r="CY29" s="105"/>
      <c r="CZ29" s="104"/>
      <c r="DA29" s="104"/>
      <c r="DB29" s="105"/>
      <c r="DC29" s="104"/>
      <c r="DD29" s="104"/>
      <c r="DE29" s="105"/>
      <c r="DF29" s="104"/>
      <c r="DG29" s="104"/>
      <c r="DH29" s="105"/>
      <c r="DI29" s="104"/>
      <c r="DJ29" s="104"/>
      <c r="DK29" s="105"/>
      <c r="DL29" s="104"/>
      <c r="DM29" s="104"/>
      <c r="DN29" s="105"/>
      <c r="DO29" s="104"/>
      <c r="DP29" s="104"/>
      <c r="DQ29" s="105"/>
      <c r="DR29" s="104"/>
      <c r="DS29" s="104"/>
      <c r="DT29" s="105"/>
    </row>
    <row r="30">
      <c r="B30" s="83" t="str">
        <f>IFERROR(__xludf.DUMMYFUNCTION("""COMPUTED_VALUE"""),"TRF10")</f>
        <v>TRF10</v>
      </c>
      <c r="C30" s="82">
        <f>IFERROR(__xludf.DUMMYFUNCTION("""COMPUTED_VALUE"""),14.0)</f>
        <v>14</v>
      </c>
      <c r="D30" s="88" t="str">
        <f>IFERROR(__xludf.DUMMYFUNCTION("""COMPUTED_VALUE"""),"WED Berserker Training Ground- Int")</f>
        <v>WED Berserker Training Ground- Int</v>
      </c>
      <c r="E30" s="82" t="str">
        <f>IFERROR(__xludf.DUMMYFUNCTION("""COMPUTED_VALUE"""),"狂中級")</f>
        <v>狂中級</v>
      </c>
      <c r="F30" s="102">
        <f>IFERROR(__xludf.DUMMYFUNCTION("""COMPUTED_VALUE"""),20.0)</f>
        <v>20</v>
      </c>
      <c r="G30" s="82">
        <f>IFERROR(__xludf.DUMMYFUNCTION("""COMPUTED_VALUE"""),1018.0)</f>
        <v>1018</v>
      </c>
      <c r="H30" s="95">
        <f>IFERROR(__xludf.DUMMYFUNCTION("""COMPUTED_VALUE"""),598.8)</f>
        <v>598.8</v>
      </c>
      <c r="I30" s="96" t="str">
        <f>IFERROR(__xludf.DUMMYFUNCTION("""COMPUTED_VALUE"""),"")</f>
        <v/>
      </c>
      <c r="J30" s="97" t="str">
        <f>IFERROR(__xludf.DUMMYFUNCTION("""COMPUTED_VALUE"""),"")</f>
        <v/>
      </c>
      <c r="K30" s="95" t="str">
        <f>IFERROR(__xludf.DUMMYFUNCTION("""COMPUTED_VALUE"""),"")</f>
        <v/>
      </c>
      <c r="L30" s="96" t="str">
        <f>IFERROR(__xludf.DUMMYFUNCTION("""COMPUTED_VALUE"""),"")</f>
        <v/>
      </c>
      <c r="M30" s="97" t="str">
        <f>IFERROR(__xludf.DUMMYFUNCTION("""COMPUTED_VALUE"""),"")</f>
        <v/>
      </c>
      <c r="N30" s="95" t="str">
        <f>IFERROR(__xludf.DUMMYFUNCTION("""COMPUTED_VALUE"""),"")</f>
        <v/>
      </c>
      <c r="O30" s="96" t="str">
        <f>IFERROR(__xludf.DUMMYFUNCTION("""COMPUTED_VALUE"""),"")</f>
        <v/>
      </c>
      <c r="P30" s="97" t="str">
        <f>IFERROR(__xludf.DUMMYFUNCTION("""COMPUTED_VALUE"""),"")</f>
        <v/>
      </c>
      <c r="Q30" s="95" t="str">
        <f>IFERROR(__xludf.DUMMYFUNCTION("""COMPUTED_VALUE"""),"")</f>
        <v/>
      </c>
      <c r="R30" s="96" t="str">
        <f>IFERROR(__xludf.DUMMYFUNCTION("""COMPUTED_VALUE"""),"")</f>
        <v/>
      </c>
      <c r="S30" s="97" t="str">
        <f>IFERROR(__xludf.DUMMYFUNCTION("""COMPUTED_VALUE"""),"")</f>
        <v/>
      </c>
      <c r="T30" s="95" t="str">
        <f>IFERROR(__xludf.DUMMYFUNCTION("""COMPUTED_VALUE"""),"")</f>
        <v/>
      </c>
      <c r="U30" s="96" t="str">
        <f>IFERROR(__xludf.DUMMYFUNCTION("""COMPUTED_VALUE"""),"")</f>
        <v/>
      </c>
      <c r="V30" s="97" t="str">
        <f>IFERROR(__xludf.DUMMYFUNCTION("""COMPUTED_VALUE"""),"")</f>
        <v/>
      </c>
      <c r="W30" s="95" t="str">
        <f>IFERROR(__xludf.DUMMYFUNCTION("""COMPUTED_VALUE"""),"")</f>
        <v/>
      </c>
      <c r="X30" s="96" t="str">
        <f>IFERROR(__xludf.DUMMYFUNCTION("""COMPUTED_VALUE"""),"")</f>
        <v/>
      </c>
      <c r="Y30" s="97" t="str">
        <f>IFERROR(__xludf.DUMMYFUNCTION("""COMPUTED_VALUE"""),"")</f>
        <v/>
      </c>
      <c r="Z30" s="95" t="str">
        <f>IFERROR(__xludf.DUMMYFUNCTION("""COMPUTED_VALUE"""),"")</f>
        <v/>
      </c>
      <c r="AA30" s="96" t="str">
        <f>IFERROR(__xludf.DUMMYFUNCTION("""COMPUTED_VALUE"""),"")</f>
        <v/>
      </c>
      <c r="AB30" s="97">
        <f>IFERROR(__xludf.DUMMYFUNCTION("""COMPUTED_VALUE"""),172.5)</f>
        <v>172.5</v>
      </c>
      <c r="AC30" s="95" t="str">
        <f>IFERROR(__xludf.DUMMYFUNCTION("""COMPUTED_VALUE"""),"")</f>
        <v/>
      </c>
      <c r="AD30" s="96" t="str">
        <f>IFERROR(__xludf.DUMMYFUNCTION("""COMPUTED_VALUE"""),"")</f>
        <v/>
      </c>
      <c r="AE30" s="97" t="str">
        <f>IFERROR(__xludf.DUMMYFUNCTION("""COMPUTED_VALUE"""),"")</f>
        <v/>
      </c>
      <c r="AF30" s="95" t="str">
        <f>IFERROR(__xludf.DUMMYFUNCTION("""COMPUTED_VALUE"""),"")</f>
        <v/>
      </c>
      <c r="AG30" s="96" t="str">
        <f>IFERROR(__xludf.DUMMYFUNCTION("""COMPUTED_VALUE"""),"")</f>
        <v/>
      </c>
      <c r="AH30" s="97" t="str">
        <f>IFERROR(__xludf.DUMMYFUNCTION("""COMPUTED_VALUE"""),"")</f>
        <v/>
      </c>
      <c r="AI30" s="92" t="str">
        <f>IFERROR(__xludf.DUMMYFUNCTION("""COMPUTED_VALUE"""),"")</f>
        <v/>
      </c>
      <c r="AJ30" s="93" t="str">
        <f>IFERROR(__xludf.DUMMYFUNCTION("""COMPUTED_VALUE"""),"")</f>
        <v/>
      </c>
      <c r="AK30" s="94" t="str">
        <f>IFERROR(__xludf.DUMMYFUNCTION("""COMPUTED_VALUE"""),"")</f>
        <v/>
      </c>
      <c r="AL30" s="93" t="str">
        <f>IFERROR(__xludf.DUMMYFUNCTION("""COMPUTED_VALUE"""),"")</f>
        <v/>
      </c>
      <c r="AM30" s="93" t="str">
        <f>IFERROR(__xludf.DUMMYFUNCTION("""COMPUTED_VALUE"""),"")</f>
        <v/>
      </c>
      <c r="AN30" s="94" t="str">
        <f>IFERROR(__xludf.DUMMYFUNCTION("""COMPUTED_VALUE"""),"")</f>
        <v/>
      </c>
      <c r="AO30" s="93" t="str">
        <f>IFERROR(__xludf.DUMMYFUNCTION("""COMPUTED_VALUE"""),"")</f>
        <v/>
      </c>
      <c r="AP30" s="93" t="str">
        <f>IFERROR(__xludf.DUMMYFUNCTION("""COMPUTED_VALUE"""),"")</f>
        <v/>
      </c>
      <c r="AQ30" s="94" t="str">
        <f>IFERROR(__xludf.DUMMYFUNCTION("""COMPUTED_VALUE"""),"")</f>
        <v/>
      </c>
      <c r="AR30" s="93" t="str">
        <f>IFERROR(__xludf.DUMMYFUNCTION("""COMPUTED_VALUE"""),"")</f>
        <v/>
      </c>
      <c r="AS30" s="93" t="str">
        <f>IFERROR(__xludf.DUMMYFUNCTION("""COMPUTED_VALUE"""),"")</f>
        <v/>
      </c>
      <c r="AT30" s="94">
        <f>IFERROR(__xludf.DUMMYFUNCTION("""COMPUTED_VALUE"""),333.8)</f>
        <v>333.8</v>
      </c>
      <c r="AU30" s="93" t="str">
        <f>IFERROR(__xludf.DUMMYFUNCTION("""COMPUTED_VALUE"""),"")</f>
        <v/>
      </c>
      <c r="AV30" s="93" t="str">
        <f>IFERROR(__xludf.DUMMYFUNCTION("""COMPUTED_VALUE"""),"")</f>
        <v/>
      </c>
      <c r="AW30" s="94">
        <f>IFERROR(__xludf.DUMMYFUNCTION("""COMPUTED_VALUE"""),105.5)</f>
        <v>105.5</v>
      </c>
      <c r="AX30" s="93" t="str">
        <f>IFERROR(__xludf.DUMMYFUNCTION("""COMPUTED_VALUE"""),"")</f>
        <v/>
      </c>
      <c r="AY30" s="93" t="str">
        <f>IFERROR(__xludf.DUMMYFUNCTION("""COMPUTED_VALUE"""),"")</f>
        <v/>
      </c>
      <c r="AZ30" s="94" t="str">
        <f>IFERROR(__xludf.DUMMYFUNCTION("""COMPUTED_VALUE"""),"")</f>
        <v/>
      </c>
      <c r="BA30" s="93" t="str">
        <f>IFERROR(__xludf.DUMMYFUNCTION("""COMPUTED_VALUE"""),"")</f>
        <v/>
      </c>
      <c r="BB30" s="93" t="str">
        <f>IFERROR(__xludf.DUMMYFUNCTION("""COMPUTED_VALUE"""),"")</f>
        <v/>
      </c>
      <c r="BC30" s="94" t="str">
        <f>IFERROR(__xludf.DUMMYFUNCTION("""COMPUTED_VALUE"""),"")</f>
        <v/>
      </c>
      <c r="BD30" s="93" t="str">
        <f>IFERROR(__xludf.DUMMYFUNCTION("""COMPUTED_VALUE"""),"")</f>
        <v/>
      </c>
      <c r="BE30" s="93" t="str">
        <f>IFERROR(__xludf.DUMMYFUNCTION("""COMPUTED_VALUE"""),"")</f>
        <v/>
      </c>
      <c r="BF30" s="94" t="str">
        <f>IFERROR(__xludf.DUMMYFUNCTION("""COMPUTED_VALUE"""),"")</f>
        <v/>
      </c>
      <c r="BG30" s="92" t="str">
        <f>IFERROR(__xludf.DUMMYFUNCTION("""COMPUTED_VALUE"""),"")</f>
        <v/>
      </c>
      <c r="BH30" s="93" t="str">
        <f>IFERROR(__xludf.DUMMYFUNCTION("""COMPUTED_VALUE"""),"")</f>
        <v/>
      </c>
      <c r="BI30" s="94" t="str">
        <f>IFERROR(__xludf.DUMMYFUNCTION("""COMPUTED_VALUE"""),"")</f>
        <v/>
      </c>
      <c r="BJ30" s="93" t="str">
        <f>IFERROR(__xludf.DUMMYFUNCTION("""COMPUTED_VALUE"""),"")</f>
        <v/>
      </c>
      <c r="BK30" s="93" t="str">
        <f>IFERROR(__xludf.DUMMYFUNCTION("""COMPUTED_VALUE"""),"")</f>
        <v/>
      </c>
      <c r="BL30" s="94" t="str">
        <f>IFERROR(__xludf.DUMMYFUNCTION("""COMPUTED_VALUE"""),"")</f>
        <v/>
      </c>
      <c r="BM30" s="93" t="str">
        <f>IFERROR(__xludf.DUMMYFUNCTION("""COMPUTED_VALUE"""),"")</f>
        <v/>
      </c>
      <c r="BN30" s="93" t="str">
        <f>IFERROR(__xludf.DUMMYFUNCTION("""COMPUTED_VALUE"""),"")</f>
        <v/>
      </c>
      <c r="BO30" s="94" t="str">
        <f>IFERROR(__xludf.DUMMYFUNCTION("""COMPUTED_VALUE"""),"")</f>
        <v/>
      </c>
      <c r="BP30" s="93">
        <f>IFERROR(__xludf.DUMMYFUNCTION("""COMPUTED_VALUE"""),31.7)</f>
        <v>31.7</v>
      </c>
      <c r="BQ30" s="93" t="str">
        <f>IFERROR(__xludf.DUMMYFUNCTION("""COMPUTED_VALUE"""),"")</f>
        <v/>
      </c>
      <c r="BR30" s="94" t="str">
        <f>IFERROR(__xludf.DUMMYFUNCTION("""COMPUTED_VALUE"""),"")</f>
        <v/>
      </c>
      <c r="BS30" s="93" t="str">
        <f>IFERROR(__xludf.DUMMYFUNCTION("""COMPUTED_VALUE"""),"")</f>
        <v/>
      </c>
      <c r="BT30" s="93" t="str">
        <f>IFERROR(__xludf.DUMMYFUNCTION("""COMPUTED_VALUE"""),"")</f>
        <v/>
      </c>
      <c r="BU30" s="94" t="str">
        <f>IFERROR(__xludf.DUMMYFUNCTION("""COMPUTED_VALUE"""),"")</f>
        <v/>
      </c>
      <c r="BV30" s="93" t="str">
        <f>IFERROR(__xludf.DUMMYFUNCTION("""COMPUTED_VALUE"""),"")</f>
        <v/>
      </c>
      <c r="BW30" s="93">
        <f>IFERROR(__xludf.DUMMYFUNCTION("""COMPUTED_VALUE"""),15.7)</f>
        <v>15.7</v>
      </c>
      <c r="BX30" s="94" t="str">
        <f>IFERROR(__xludf.DUMMYFUNCTION("""COMPUTED_VALUE"""),"")</f>
        <v/>
      </c>
      <c r="BY30" s="93" t="str">
        <f>IFERROR(__xludf.DUMMYFUNCTION("""COMPUTED_VALUE"""),"")</f>
        <v/>
      </c>
      <c r="BZ30" s="93" t="str">
        <f>IFERROR(__xludf.DUMMYFUNCTION("""COMPUTED_VALUE"""),"")</f>
        <v/>
      </c>
      <c r="CA30" s="94" t="str">
        <f>IFERROR(__xludf.DUMMYFUNCTION("""COMPUTED_VALUE"""),"")</f>
        <v/>
      </c>
      <c r="CB30" s="92" t="str">
        <f>IFERROR(__xludf.DUMMYFUNCTION("""COMPUTED_VALUE"""),"")</f>
        <v/>
      </c>
      <c r="CC30" s="93" t="str">
        <f>IFERROR(__xludf.DUMMYFUNCTION("""COMPUTED_VALUE"""),"")</f>
        <v/>
      </c>
      <c r="CD30" s="94">
        <f>IFERROR(__xludf.DUMMYFUNCTION("""COMPUTED_VALUE"""),251.4)</f>
        <v>251.4</v>
      </c>
      <c r="CE30" s="93" t="str">
        <f>IFERROR(__xludf.DUMMYFUNCTION("""COMPUTED_VALUE"""),"")</f>
        <v/>
      </c>
      <c r="CF30" s="93" t="str">
        <f>IFERROR(__xludf.DUMMYFUNCTION("""COMPUTED_VALUE"""),"")</f>
        <v/>
      </c>
      <c r="CG30" s="94" t="str">
        <f>IFERROR(__xludf.DUMMYFUNCTION("""COMPUTED_VALUE"""),"")</f>
        <v/>
      </c>
      <c r="CH30" s="93" t="str">
        <f>IFERROR(__xludf.DUMMYFUNCTION("""COMPUTED_VALUE"""),"")</f>
        <v/>
      </c>
      <c r="CI30" s="93" t="str">
        <f>IFERROR(__xludf.DUMMYFUNCTION("""COMPUTED_VALUE"""),"")</f>
        <v/>
      </c>
      <c r="CJ30" s="94" t="str">
        <f>IFERROR(__xludf.DUMMYFUNCTION("""COMPUTED_VALUE"""),"")</f>
        <v/>
      </c>
      <c r="CK30" s="93">
        <f>IFERROR(__xludf.DUMMYFUNCTION("""COMPUTED_VALUE"""),28.8)</f>
        <v>28.8</v>
      </c>
      <c r="CL30" s="93" t="str">
        <f>IFERROR(__xludf.DUMMYFUNCTION("""COMPUTED_VALUE"""),"")</f>
        <v/>
      </c>
      <c r="CM30" s="94" t="str">
        <f>IFERROR(__xludf.DUMMYFUNCTION("""COMPUTED_VALUE"""),"")</f>
        <v/>
      </c>
      <c r="CN30" s="93" t="str">
        <f>IFERROR(__xludf.DUMMYFUNCTION("""COMPUTED_VALUE"""),"")</f>
        <v/>
      </c>
      <c r="CO30" s="93" t="str">
        <f>IFERROR(__xludf.DUMMYFUNCTION("""COMPUTED_VALUE"""),"")</f>
        <v/>
      </c>
      <c r="CP30" s="94" t="str">
        <f>IFERROR(__xludf.DUMMYFUNCTION("""COMPUTED_VALUE"""),"")</f>
        <v/>
      </c>
      <c r="CQ30" s="93" t="str">
        <f>IFERROR(__xludf.DUMMYFUNCTION("""COMPUTED_VALUE"""),"")</f>
        <v/>
      </c>
      <c r="CR30" s="93" t="str">
        <f>IFERROR(__xludf.DUMMYFUNCTION("""COMPUTED_VALUE"""),"")</f>
        <v/>
      </c>
      <c r="CS30" s="94"/>
      <c r="CT30" s="93"/>
      <c r="CU30" s="93"/>
      <c r="CV30" s="94"/>
      <c r="CW30" s="93"/>
      <c r="CX30" s="93"/>
      <c r="CY30" s="94"/>
      <c r="CZ30" s="93"/>
      <c r="DA30" s="93"/>
      <c r="DB30" s="94"/>
      <c r="DC30" s="93"/>
      <c r="DD30" s="93"/>
      <c r="DE30" s="94"/>
      <c r="DF30" s="93"/>
      <c r="DG30" s="93"/>
      <c r="DH30" s="94"/>
      <c r="DI30" s="93"/>
      <c r="DJ30" s="93"/>
      <c r="DK30" s="94"/>
      <c r="DL30" s="93"/>
      <c r="DM30" s="93"/>
      <c r="DN30" s="94"/>
      <c r="DO30" s="93"/>
      <c r="DP30" s="93"/>
      <c r="DQ30" s="94"/>
      <c r="DR30" s="93"/>
      <c r="DS30" s="93"/>
      <c r="DT30" s="94"/>
    </row>
    <row r="31">
      <c r="B31" s="83" t="str">
        <f>IFERROR(__xludf.DUMMYFUNCTION("""COMPUTED_VALUE"""),"TRF11")</f>
        <v>TRF11</v>
      </c>
      <c r="C31" s="82">
        <f>IFERROR(__xludf.DUMMYFUNCTION("""COMPUTED_VALUE"""),13.0)</f>
        <v>13</v>
      </c>
      <c r="D31" s="88" t="str">
        <f>IFERROR(__xludf.DUMMYFUNCTION("""COMPUTED_VALUE"""),"WED Berserker Training Ground- Adv")</f>
        <v>WED Berserker Training Ground- Adv</v>
      </c>
      <c r="E31" s="82" t="str">
        <f>IFERROR(__xludf.DUMMYFUNCTION("""COMPUTED_VALUE"""),"狂上級")</f>
        <v>狂上級</v>
      </c>
      <c r="F31" s="102">
        <f>IFERROR(__xludf.DUMMYFUNCTION("""COMPUTED_VALUE"""),30.0)</f>
        <v>30</v>
      </c>
      <c r="G31" s="82">
        <f>IFERROR(__xludf.DUMMYFUNCTION("""COMPUTED_VALUE"""),1000.0)</f>
        <v>1000</v>
      </c>
      <c r="H31" s="95">
        <f>IFERROR(__xludf.DUMMYFUNCTION("""COMPUTED_VALUE"""),389.6)</f>
        <v>389.6</v>
      </c>
      <c r="I31" s="96" t="str">
        <f>IFERROR(__xludf.DUMMYFUNCTION("""COMPUTED_VALUE"""),"")</f>
        <v/>
      </c>
      <c r="J31" s="97" t="str">
        <f>IFERROR(__xludf.DUMMYFUNCTION("""COMPUTED_VALUE"""),"")</f>
        <v/>
      </c>
      <c r="K31" s="95" t="str">
        <f>IFERROR(__xludf.DUMMYFUNCTION("""COMPUTED_VALUE"""),"")</f>
        <v/>
      </c>
      <c r="L31" s="96" t="str">
        <f>IFERROR(__xludf.DUMMYFUNCTION("""COMPUTED_VALUE"""),"")</f>
        <v/>
      </c>
      <c r="M31" s="97" t="str">
        <f>IFERROR(__xludf.DUMMYFUNCTION("""COMPUTED_VALUE"""),"")</f>
        <v/>
      </c>
      <c r="N31" s="95" t="str">
        <f>IFERROR(__xludf.DUMMYFUNCTION("""COMPUTED_VALUE"""),"")</f>
        <v/>
      </c>
      <c r="O31" s="96" t="str">
        <f>IFERROR(__xludf.DUMMYFUNCTION("""COMPUTED_VALUE"""),"")</f>
        <v/>
      </c>
      <c r="P31" s="97" t="str">
        <f>IFERROR(__xludf.DUMMYFUNCTION("""COMPUTED_VALUE"""),"")</f>
        <v/>
      </c>
      <c r="Q31" s="95" t="str">
        <f>IFERROR(__xludf.DUMMYFUNCTION("""COMPUTED_VALUE"""),"")</f>
        <v/>
      </c>
      <c r="R31" s="96" t="str">
        <f>IFERROR(__xludf.DUMMYFUNCTION("""COMPUTED_VALUE"""),"")</f>
        <v/>
      </c>
      <c r="S31" s="97" t="str">
        <f>IFERROR(__xludf.DUMMYFUNCTION("""COMPUTED_VALUE"""),"")</f>
        <v/>
      </c>
      <c r="T31" s="95" t="str">
        <f>IFERROR(__xludf.DUMMYFUNCTION("""COMPUTED_VALUE"""),"")</f>
        <v/>
      </c>
      <c r="U31" s="96" t="str">
        <f>IFERROR(__xludf.DUMMYFUNCTION("""COMPUTED_VALUE"""),"")</f>
        <v/>
      </c>
      <c r="V31" s="97" t="str">
        <f>IFERROR(__xludf.DUMMYFUNCTION("""COMPUTED_VALUE"""),"")</f>
        <v/>
      </c>
      <c r="W31" s="95" t="str">
        <f>IFERROR(__xludf.DUMMYFUNCTION("""COMPUTED_VALUE"""),"")</f>
        <v/>
      </c>
      <c r="X31" s="96" t="str">
        <f>IFERROR(__xludf.DUMMYFUNCTION("""COMPUTED_VALUE"""),"")</f>
        <v/>
      </c>
      <c r="Y31" s="97" t="str">
        <f>IFERROR(__xludf.DUMMYFUNCTION("""COMPUTED_VALUE"""),"")</f>
        <v/>
      </c>
      <c r="Z31" s="95" t="str">
        <f>IFERROR(__xludf.DUMMYFUNCTION("""COMPUTED_VALUE"""),"")</f>
        <v/>
      </c>
      <c r="AA31" s="96" t="str">
        <f>IFERROR(__xludf.DUMMYFUNCTION("""COMPUTED_VALUE"""),"")</f>
        <v/>
      </c>
      <c r="AB31" s="97">
        <f>IFERROR(__xludf.DUMMYFUNCTION("""COMPUTED_VALUE"""),241.9)</f>
        <v>241.9</v>
      </c>
      <c r="AC31" s="95" t="str">
        <f>IFERROR(__xludf.DUMMYFUNCTION("""COMPUTED_VALUE"""),"")</f>
        <v/>
      </c>
      <c r="AD31" s="96" t="str">
        <f>IFERROR(__xludf.DUMMYFUNCTION("""COMPUTED_VALUE"""),"")</f>
        <v/>
      </c>
      <c r="AE31" s="97" t="str">
        <f>IFERROR(__xludf.DUMMYFUNCTION("""COMPUTED_VALUE"""),"")</f>
        <v/>
      </c>
      <c r="AF31" s="95" t="str">
        <f>IFERROR(__xludf.DUMMYFUNCTION("""COMPUTED_VALUE"""),"")</f>
        <v/>
      </c>
      <c r="AG31" s="96" t="str">
        <f>IFERROR(__xludf.DUMMYFUNCTION("""COMPUTED_VALUE"""),"")</f>
        <v/>
      </c>
      <c r="AH31" s="97" t="str">
        <f>IFERROR(__xludf.DUMMYFUNCTION("""COMPUTED_VALUE"""),"")</f>
        <v/>
      </c>
      <c r="AI31" s="103" t="str">
        <f>IFERROR(__xludf.DUMMYFUNCTION("""COMPUTED_VALUE"""),"")</f>
        <v/>
      </c>
      <c r="AJ31" s="104" t="str">
        <f>IFERROR(__xludf.DUMMYFUNCTION("""COMPUTED_VALUE"""),"")</f>
        <v/>
      </c>
      <c r="AK31" s="105" t="str">
        <f>IFERROR(__xludf.DUMMYFUNCTION("""COMPUTED_VALUE"""),"")</f>
        <v/>
      </c>
      <c r="AL31" s="104" t="str">
        <f>IFERROR(__xludf.DUMMYFUNCTION("""COMPUTED_VALUE"""),"")</f>
        <v/>
      </c>
      <c r="AM31" s="104" t="str">
        <f>IFERROR(__xludf.DUMMYFUNCTION("""COMPUTED_VALUE"""),"")</f>
        <v/>
      </c>
      <c r="AN31" s="105" t="str">
        <f>IFERROR(__xludf.DUMMYFUNCTION("""COMPUTED_VALUE"""),"")</f>
        <v/>
      </c>
      <c r="AO31" s="104" t="str">
        <f>IFERROR(__xludf.DUMMYFUNCTION("""COMPUTED_VALUE"""),"")</f>
        <v/>
      </c>
      <c r="AP31" s="104" t="str">
        <f>IFERROR(__xludf.DUMMYFUNCTION("""COMPUTED_VALUE"""),"")</f>
        <v/>
      </c>
      <c r="AQ31" s="105" t="str">
        <f>IFERROR(__xludf.DUMMYFUNCTION("""COMPUTED_VALUE"""),"")</f>
        <v/>
      </c>
      <c r="AR31" s="104" t="str">
        <f>IFERROR(__xludf.DUMMYFUNCTION("""COMPUTED_VALUE"""),"")</f>
        <v/>
      </c>
      <c r="AS31" s="104" t="str">
        <f>IFERROR(__xludf.DUMMYFUNCTION("""COMPUTED_VALUE"""),"")</f>
        <v/>
      </c>
      <c r="AT31" s="105">
        <f>IFERROR(__xludf.DUMMYFUNCTION("""COMPUTED_VALUE"""),223.9)</f>
        <v>223.9</v>
      </c>
      <c r="AU31" s="104" t="str">
        <f>IFERROR(__xludf.DUMMYFUNCTION("""COMPUTED_VALUE"""),"")</f>
        <v/>
      </c>
      <c r="AV31" s="104" t="str">
        <f>IFERROR(__xludf.DUMMYFUNCTION("""COMPUTED_VALUE"""),"")</f>
        <v/>
      </c>
      <c r="AW31" s="105">
        <f>IFERROR(__xludf.DUMMYFUNCTION("""COMPUTED_VALUE"""),153.8)</f>
        <v>153.8</v>
      </c>
      <c r="AX31" s="104" t="str">
        <f>IFERROR(__xludf.DUMMYFUNCTION("""COMPUTED_VALUE"""),"")</f>
        <v/>
      </c>
      <c r="AY31" s="104" t="str">
        <f>IFERROR(__xludf.DUMMYFUNCTION("""COMPUTED_VALUE"""),"")</f>
        <v/>
      </c>
      <c r="AZ31" s="105" t="str">
        <f>IFERROR(__xludf.DUMMYFUNCTION("""COMPUTED_VALUE"""),"")</f>
        <v/>
      </c>
      <c r="BA31" s="104" t="str">
        <f>IFERROR(__xludf.DUMMYFUNCTION("""COMPUTED_VALUE"""),"")</f>
        <v/>
      </c>
      <c r="BB31" s="104" t="str">
        <f>IFERROR(__xludf.DUMMYFUNCTION("""COMPUTED_VALUE"""),"")</f>
        <v/>
      </c>
      <c r="BC31" s="105" t="str">
        <f>IFERROR(__xludf.DUMMYFUNCTION("""COMPUTED_VALUE"""),"")</f>
        <v/>
      </c>
      <c r="BD31" s="104" t="str">
        <f>IFERROR(__xludf.DUMMYFUNCTION("""COMPUTED_VALUE"""),"")</f>
        <v/>
      </c>
      <c r="BE31" s="104" t="str">
        <f>IFERROR(__xludf.DUMMYFUNCTION("""COMPUTED_VALUE"""),"")</f>
        <v/>
      </c>
      <c r="BF31" s="105" t="str">
        <f>IFERROR(__xludf.DUMMYFUNCTION("""COMPUTED_VALUE"""),"")</f>
        <v/>
      </c>
      <c r="BG31" s="103" t="str">
        <f>IFERROR(__xludf.DUMMYFUNCTION("""COMPUTED_VALUE"""),"")</f>
        <v/>
      </c>
      <c r="BH31" s="104" t="str">
        <f>IFERROR(__xludf.DUMMYFUNCTION("""COMPUTED_VALUE"""),"")</f>
        <v/>
      </c>
      <c r="BI31" s="105">
        <f>IFERROR(__xludf.DUMMYFUNCTION("""COMPUTED_VALUE"""),238.1)</f>
        <v>238.1</v>
      </c>
      <c r="BJ31" s="104" t="str">
        <f>IFERROR(__xludf.DUMMYFUNCTION("""COMPUTED_VALUE"""),"")</f>
        <v/>
      </c>
      <c r="BK31" s="104" t="str">
        <f>IFERROR(__xludf.DUMMYFUNCTION("""COMPUTED_VALUE"""),"")</f>
        <v/>
      </c>
      <c r="BL31" s="105" t="str">
        <f>IFERROR(__xludf.DUMMYFUNCTION("""COMPUTED_VALUE"""),"")</f>
        <v/>
      </c>
      <c r="BM31" s="104" t="str">
        <f>IFERROR(__xludf.DUMMYFUNCTION("""COMPUTED_VALUE"""),"")</f>
        <v/>
      </c>
      <c r="BN31" s="104" t="str">
        <f>IFERROR(__xludf.DUMMYFUNCTION("""COMPUTED_VALUE"""),"")</f>
        <v/>
      </c>
      <c r="BO31" s="105" t="str">
        <f>IFERROR(__xludf.DUMMYFUNCTION("""COMPUTED_VALUE"""),"")</f>
        <v/>
      </c>
      <c r="BP31" s="104">
        <f>IFERROR(__xludf.DUMMYFUNCTION("""COMPUTED_VALUE"""),22.0)</f>
        <v>22</v>
      </c>
      <c r="BQ31" s="104" t="str">
        <f>IFERROR(__xludf.DUMMYFUNCTION("""COMPUTED_VALUE"""),"")</f>
        <v/>
      </c>
      <c r="BR31" s="105" t="str">
        <f>IFERROR(__xludf.DUMMYFUNCTION("""COMPUTED_VALUE"""),"")</f>
        <v/>
      </c>
      <c r="BS31" s="104" t="str">
        <f>IFERROR(__xludf.DUMMYFUNCTION("""COMPUTED_VALUE"""),"")</f>
        <v/>
      </c>
      <c r="BT31" s="104" t="str">
        <f>IFERROR(__xludf.DUMMYFUNCTION("""COMPUTED_VALUE"""),"")</f>
        <v/>
      </c>
      <c r="BU31" s="105" t="str">
        <f>IFERROR(__xludf.DUMMYFUNCTION("""COMPUTED_VALUE"""),"")</f>
        <v/>
      </c>
      <c r="BV31" s="104" t="str">
        <f>IFERROR(__xludf.DUMMYFUNCTION("""COMPUTED_VALUE"""),"")</f>
        <v/>
      </c>
      <c r="BW31" s="104">
        <f>IFERROR(__xludf.DUMMYFUNCTION("""COMPUTED_VALUE"""),182.9)</f>
        <v>182.9</v>
      </c>
      <c r="BX31" s="105" t="str">
        <f>IFERROR(__xludf.DUMMYFUNCTION("""COMPUTED_VALUE"""),"")</f>
        <v/>
      </c>
      <c r="BY31" s="104" t="str">
        <f>IFERROR(__xludf.DUMMYFUNCTION("""COMPUTED_VALUE"""),"")</f>
        <v/>
      </c>
      <c r="BZ31" s="104" t="str">
        <f>IFERROR(__xludf.DUMMYFUNCTION("""COMPUTED_VALUE"""),"")</f>
        <v/>
      </c>
      <c r="CA31" s="105" t="str">
        <f>IFERROR(__xludf.DUMMYFUNCTION("""COMPUTED_VALUE"""),"")</f>
        <v/>
      </c>
      <c r="CB31" s="103" t="str">
        <f>IFERROR(__xludf.DUMMYFUNCTION("""COMPUTED_VALUE"""),"")</f>
        <v/>
      </c>
      <c r="CC31" s="104" t="str">
        <f>IFERROR(__xludf.DUMMYFUNCTION("""COMPUTED_VALUE"""),"")</f>
        <v/>
      </c>
      <c r="CD31" s="105">
        <f>IFERROR(__xludf.DUMMYFUNCTION("""COMPUTED_VALUE"""),76.1)</f>
        <v>76.1</v>
      </c>
      <c r="CE31" s="104" t="str">
        <f>IFERROR(__xludf.DUMMYFUNCTION("""COMPUTED_VALUE"""),"")</f>
        <v/>
      </c>
      <c r="CF31" s="104" t="str">
        <f>IFERROR(__xludf.DUMMYFUNCTION("""COMPUTED_VALUE"""),"")</f>
        <v/>
      </c>
      <c r="CG31" s="105" t="str">
        <f>IFERROR(__xludf.DUMMYFUNCTION("""COMPUTED_VALUE"""),"")</f>
        <v/>
      </c>
      <c r="CH31" s="104" t="str">
        <f>IFERROR(__xludf.DUMMYFUNCTION("""COMPUTED_VALUE"""),"")</f>
        <v/>
      </c>
      <c r="CI31" s="104" t="str">
        <f>IFERROR(__xludf.DUMMYFUNCTION("""COMPUTED_VALUE"""),"")</f>
        <v/>
      </c>
      <c r="CJ31" s="105" t="str">
        <f>IFERROR(__xludf.DUMMYFUNCTION("""COMPUTED_VALUE"""),"")</f>
        <v/>
      </c>
      <c r="CK31" s="104">
        <f>IFERROR(__xludf.DUMMYFUNCTION("""COMPUTED_VALUE"""),29.0)</f>
        <v>29</v>
      </c>
      <c r="CL31" s="104" t="str">
        <f>IFERROR(__xludf.DUMMYFUNCTION("""COMPUTED_VALUE"""),"")</f>
        <v/>
      </c>
      <c r="CM31" s="105" t="str">
        <f>IFERROR(__xludf.DUMMYFUNCTION("""COMPUTED_VALUE"""),"")</f>
        <v/>
      </c>
      <c r="CN31" s="104" t="str">
        <f>IFERROR(__xludf.DUMMYFUNCTION("""COMPUTED_VALUE"""),"")</f>
        <v/>
      </c>
      <c r="CO31" s="104" t="str">
        <f>IFERROR(__xludf.DUMMYFUNCTION("""COMPUTED_VALUE"""),"")</f>
        <v/>
      </c>
      <c r="CP31" s="105" t="str">
        <f>IFERROR(__xludf.DUMMYFUNCTION("""COMPUTED_VALUE"""),"")</f>
        <v/>
      </c>
      <c r="CQ31" s="104" t="str">
        <f>IFERROR(__xludf.DUMMYFUNCTION("""COMPUTED_VALUE"""),"")</f>
        <v/>
      </c>
      <c r="CR31" s="104" t="str">
        <f>IFERROR(__xludf.DUMMYFUNCTION("""COMPUTED_VALUE"""),"")</f>
        <v/>
      </c>
      <c r="CS31" s="105"/>
      <c r="CT31" s="104"/>
      <c r="CU31" s="104"/>
      <c r="CV31" s="105"/>
      <c r="CW31" s="104"/>
      <c r="CX31" s="104"/>
      <c r="CY31" s="105"/>
      <c r="CZ31" s="104"/>
      <c r="DA31" s="104"/>
      <c r="DB31" s="105"/>
      <c r="DC31" s="104"/>
      <c r="DD31" s="104"/>
      <c r="DE31" s="105"/>
      <c r="DF31" s="104"/>
      <c r="DG31" s="104"/>
      <c r="DH31" s="105"/>
      <c r="DI31" s="104"/>
      <c r="DJ31" s="104"/>
      <c r="DK31" s="105"/>
      <c r="DL31" s="104"/>
      <c r="DM31" s="104"/>
      <c r="DN31" s="105"/>
      <c r="DO31" s="104"/>
      <c r="DP31" s="104"/>
      <c r="DQ31" s="105"/>
      <c r="DR31" s="104"/>
      <c r="DS31" s="104"/>
      <c r="DT31" s="105"/>
    </row>
    <row r="32">
      <c r="B32" s="83" t="str">
        <f>IFERROR(__xludf.DUMMYFUNCTION("""COMPUTED_VALUE"""),"TRF12")</f>
        <v>TRF12</v>
      </c>
      <c r="C32" s="82">
        <f>IFERROR(__xludf.DUMMYFUNCTION("""COMPUTED_VALUE"""),12.0)</f>
        <v>12</v>
      </c>
      <c r="D32" s="88" t="str">
        <f>IFERROR(__xludf.DUMMYFUNCTION("""COMPUTED_VALUE"""),"WED Berserker Training Ground- Exp")</f>
        <v>WED Berserker Training Ground- Exp</v>
      </c>
      <c r="E32" s="82" t="str">
        <f>IFERROR(__xludf.DUMMYFUNCTION("""COMPUTED_VALUE"""),"狂超級")</f>
        <v>狂超級</v>
      </c>
      <c r="F32" s="102">
        <f>IFERROR(__xludf.DUMMYFUNCTION("""COMPUTED_VALUE"""),40.0)</f>
        <v>40</v>
      </c>
      <c r="G32" s="82">
        <f>IFERROR(__xludf.DUMMYFUNCTION("""COMPUTED_VALUE"""),3145.0)</f>
        <v>3145</v>
      </c>
      <c r="H32" s="95">
        <f>IFERROR(__xludf.DUMMYFUNCTION("""COMPUTED_VALUE"""),487.0)</f>
        <v>487</v>
      </c>
      <c r="I32" s="96" t="str">
        <f>IFERROR(__xludf.DUMMYFUNCTION("""COMPUTED_VALUE"""),"")</f>
        <v/>
      </c>
      <c r="J32" s="97" t="str">
        <f>IFERROR(__xludf.DUMMYFUNCTION("""COMPUTED_VALUE"""),"")</f>
        <v/>
      </c>
      <c r="K32" s="95" t="str">
        <f>IFERROR(__xludf.DUMMYFUNCTION("""COMPUTED_VALUE"""),"")</f>
        <v/>
      </c>
      <c r="L32" s="96" t="str">
        <f>IFERROR(__xludf.DUMMYFUNCTION("""COMPUTED_VALUE"""),"")</f>
        <v/>
      </c>
      <c r="M32" s="97" t="str">
        <f>IFERROR(__xludf.DUMMYFUNCTION("""COMPUTED_VALUE"""),"")</f>
        <v/>
      </c>
      <c r="N32" s="95" t="str">
        <f>IFERROR(__xludf.DUMMYFUNCTION("""COMPUTED_VALUE"""),"")</f>
        <v/>
      </c>
      <c r="O32" s="96" t="str">
        <f>IFERROR(__xludf.DUMMYFUNCTION("""COMPUTED_VALUE"""),"")</f>
        <v/>
      </c>
      <c r="P32" s="97" t="str">
        <f>IFERROR(__xludf.DUMMYFUNCTION("""COMPUTED_VALUE"""),"")</f>
        <v/>
      </c>
      <c r="Q32" s="95" t="str">
        <f>IFERROR(__xludf.DUMMYFUNCTION("""COMPUTED_VALUE"""),"")</f>
        <v/>
      </c>
      <c r="R32" s="96" t="str">
        <f>IFERROR(__xludf.DUMMYFUNCTION("""COMPUTED_VALUE"""),"")</f>
        <v/>
      </c>
      <c r="S32" s="97" t="str">
        <f>IFERROR(__xludf.DUMMYFUNCTION("""COMPUTED_VALUE"""),"")</f>
        <v/>
      </c>
      <c r="T32" s="95" t="str">
        <f>IFERROR(__xludf.DUMMYFUNCTION("""COMPUTED_VALUE"""),"")</f>
        <v/>
      </c>
      <c r="U32" s="96" t="str">
        <f>IFERROR(__xludf.DUMMYFUNCTION("""COMPUTED_VALUE"""),"")</f>
        <v/>
      </c>
      <c r="V32" s="97" t="str">
        <f>IFERROR(__xludf.DUMMYFUNCTION("""COMPUTED_VALUE"""),"")</f>
        <v/>
      </c>
      <c r="W32" s="95" t="str">
        <f>IFERROR(__xludf.DUMMYFUNCTION("""COMPUTED_VALUE"""),"")</f>
        <v/>
      </c>
      <c r="X32" s="96" t="str">
        <f>IFERROR(__xludf.DUMMYFUNCTION("""COMPUTED_VALUE"""),"")</f>
        <v/>
      </c>
      <c r="Y32" s="97" t="str">
        <f>IFERROR(__xludf.DUMMYFUNCTION("""COMPUTED_VALUE"""),"")</f>
        <v/>
      </c>
      <c r="Z32" s="95" t="str">
        <f>IFERROR(__xludf.DUMMYFUNCTION("""COMPUTED_VALUE"""),"")</f>
        <v/>
      </c>
      <c r="AA32" s="96" t="str">
        <f>IFERROR(__xludf.DUMMYFUNCTION("""COMPUTED_VALUE"""),"")</f>
        <v/>
      </c>
      <c r="AB32" s="97">
        <f>IFERROR(__xludf.DUMMYFUNCTION("""COMPUTED_VALUE"""),255.0)</f>
        <v>255</v>
      </c>
      <c r="AC32" s="95" t="str">
        <f>IFERROR(__xludf.DUMMYFUNCTION("""COMPUTED_VALUE"""),"")</f>
        <v/>
      </c>
      <c r="AD32" s="96" t="str">
        <f>IFERROR(__xludf.DUMMYFUNCTION("""COMPUTED_VALUE"""),"")</f>
        <v/>
      </c>
      <c r="AE32" s="97" t="str">
        <f>IFERROR(__xludf.DUMMYFUNCTION("""COMPUTED_VALUE"""),"")</f>
        <v/>
      </c>
      <c r="AF32" s="95" t="str">
        <f>IFERROR(__xludf.DUMMYFUNCTION("""COMPUTED_VALUE"""),"")</f>
        <v/>
      </c>
      <c r="AG32" s="96" t="str">
        <f>IFERROR(__xludf.DUMMYFUNCTION("""COMPUTED_VALUE"""),"")</f>
        <v/>
      </c>
      <c r="AH32" s="97" t="str">
        <f>IFERROR(__xludf.DUMMYFUNCTION("""COMPUTED_VALUE"""),"")</f>
        <v/>
      </c>
      <c r="AI32" s="92" t="str">
        <f>IFERROR(__xludf.DUMMYFUNCTION("""COMPUTED_VALUE"""),"")</f>
        <v/>
      </c>
      <c r="AJ32" s="93" t="str">
        <f>IFERROR(__xludf.DUMMYFUNCTION("""COMPUTED_VALUE"""),"")</f>
        <v/>
      </c>
      <c r="AK32" s="94" t="str">
        <f>IFERROR(__xludf.DUMMYFUNCTION("""COMPUTED_VALUE"""),"")</f>
        <v/>
      </c>
      <c r="AL32" s="93" t="str">
        <f>IFERROR(__xludf.DUMMYFUNCTION("""COMPUTED_VALUE"""),"")</f>
        <v/>
      </c>
      <c r="AM32" s="93" t="str">
        <f>IFERROR(__xludf.DUMMYFUNCTION("""COMPUTED_VALUE"""),"")</f>
        <v/>
      </c>
      <c r="AN32" s="94" t="str">
        <f>IFERROR(__xludf.DUMMYFUNCTION("""COMPUTED_VALUE"""),"")</f>
        <v/>
      </c>
      <c r="AO32" s="93" t="str">
        <f>IFERROR(__xludf.DUMMYFUNCTION("""COMPUTED_VALUE"""),"")</f>
        <v/>
      </c>
      <c r="AP32" s="93" t="str">
        <f>IFERROR(__xludf.DUMMYFUNCTION("""COMPUTED_VALUE"""),"")</f>
        <v/>
      </c>
      <c r="AQ32" s="94" t="str">
        <f>IFERROR(__xludf.DUMMYFUNCTION("""COMPUTED_VALUE"""),"")</f>
        <v/>
      </c>
      <c r="AR32" s="93" t="str">
        <f>IFERROR(__xludf.DUMMYFUNCTION("""COMPUTED_VALUE"""),"")</f>
        <v/>
      </c>
      <c r="AS32" s="93" t="str">
        <f>IFERROR(__xludf.DUMMYFUNCTION("""COMPUTED_VALUE"""),"")</f>
        <v/>
      </c>
      <c r="AT32" s="94">
        <f>IFERROR(__xludf.DUMMYFUNCTION("""COMPUTED_VALUE"""),169.6)</f>
        <v>169.6</v>
      </c>
      <c r="AU32" s="93" t="str">
        <f>IFERROR(__xludf.DUMMYFUNCTION("""COMPUTED_VALUE"""),"")</f>
        <v/>
      </c>
      <c r="AV32" s="93" t="str">
        <f>IFERROR(__xludf.DUMMYFUNCTION("""COMPUTED_VALUE"""),"")</f>
        <v/>
      </c>
      <c r="AW32" s="94">
        <f>IFERROR(__xludf.DUMMYFUNCTION("""COMPUTED_VALUE"""),173.2)</f>
        <v>173.2</v>
      </c>
      <c r="AX32" s="93" t="str">
        <f>IFERROR(__xludf.DUMMYFUNCTION("""COMPUTED_VALUE"""),"")</f>
        <v/>
      </c>
      <c r="AY32" s="93" t="str">
        <f>IFERROR(__xludf.DUMMYFUNCTION("""COMPUTED_VALUE"""),"")</f>
        <v/>
      </c>
      <c r="AZ32" s="94" t="str">
        <f>IFERROR(__xludf.DUMMYFUNCTION("""COMPUTED_VALUE"""),"")</f>
        <v/>
      </c>
      <c r="BA32" s="93" t="str">
        <f>IFERROR(__xludf.DUMMYFUNCTION("""COMPUTED_VALUE"""),"")</f>
        <v/>
      </c>
      <c r="BB32" s="93" t="str">
        <f>IFERROR(__xludf.DUMMYFUNCTION("""COMPUTED_VALUE"""),"")</f>
        <v/>
      </c>
      <c r="BC32" s="94" t="str">
        <f>IFERROR(__xludf.DUMMYFUNCTION("""COMPUTED_VALUE"""),"")</f>
        <v/>
      </c>
      <c r="BD32" s="93" t="str">
        <f>IFERROR(__xludf.DUMMYFUNCTION("""COMPUTED_VALUE"""),"")</f>
        <v/>
      </c>
      <c r="BE32" s="93" t="str">
        <f>IFERROR(__xludf.DUMMYFUNCTION("""COMPUTED_VALUE"""),"")</f>
        <v/>
      </c>
      <c r="BF32" s="94" t="str">
        <f>IFERROR(__xludf.DUMMYFUNCTION("""COMPUTED_VALUE"""),"")</f>
        <v/>
      </c>
      <c r="BG32" s="92" t="str">
        <f>IFERROR(__xludf.DUMMYFUNCTION("""COMPUTED_VALUE"""),"")</f>
        <v/>
      </c>
      <c r="BH32" s="93" t="str">
        <f>IFERROR(__xludf.DUMMYFUNCTION("""COMPUTED_VALUE"""),"")</f>
        <v/>
      </c>
      <c r="BI32" s="94">
        <f>IFERROR(__xludf.DUMMYFUNCTION("""COMPUTED_VALUE"""),166.5)</f>
        <v>166.5</v>
      </c>
      <c r="BJ32" s="93" t="str">
        <f>IFERROR(__xludf.DUMMYFUNCTION("""COMPUTED_VALUE"""),"")</f>
        <v/>
      </c>
      <c r="BK32" s="93" t="str">
        <f>IFERROR(__xludf.DUMMYFUNCTION("""COMPUTED_VALUE"""),"")</f>
        <v/>
      </c>
      <c r="BL32" s="94" t="str">
        <f>IFERROR(__xludf.DUMMYFUNCTION("""COMPUTED_VALUE"""),"")</f>
        <v/>
      </c>
      <c r="BM32" s="93" t="str">
        <f>IFERROR(__xludf.DUMMYFUNCTION("""COMPUTED_VALUE"""),"")</f>
        <v/>
      </c>
      <c r="BN32" s="93" t="str">
        <f>IFERROR(__xludf.DUMMYFUNCTION("""COMPUTED_VALUE"""),"")</f>
        <v/>
      </c>
      <c r="BO32" s="94" t="str">
        <f>IFERROR(__xludf.DUMMYFUNCTION("""COMPUTED_VALUE"""),"")</f>
        <v/>
      </c>
      <c r="BP32" s="93">
        <f>IFERROR(__xludf.DUMMYFUNCTION("""COMPUTED_VALUE"""),35.5)</f>
        <v>35.5</v>
      </c>
      <c r="BQ32" s="93" t="str">
        <f>IFERROR(__xludf.DUMMYFUNCTION("""COMPUTED_VALUE"""),"")</f>
        <v/>
      </c>
      <c r="BR32" s="94" t="str">
        <f>IFERROR(__xludf.DUMMYFUNCTION("""COMPUTED_VALUE"""),"")</f>
        <v/>
      </c>
      <c r="BS32" s="93" t="str">
        <f>IFERROR(__xludf.DUMMYFUNCTION("""COMPUTED_VALUE"""),"")</f>
        <v/>
      </c>
      <c r="BT32" s="93" t="str">
        <f>IFERROR(__xludf.DUMMYFUNCTION("""COMPUTED_VALUE"""),"")</f>
        <v/>
      </c>
      <c r="BU32" s="94" t="str">
        <f>IFERROR(__xludf.DUMMYFUNCTION("""COMPUTED_VALUE"""),"")</f>
        <v/>
      </c>
      <c r="BV32" s="93" t="str">
        <f>IFERROR(__xludf.DUMMYFUNCTION("""COMPUTED_VALUE"""),"")</f>
        <v/>
      </c>
      <c r="BW32" s="93">
        <f>IFERROR(__xludf.DUMMYFUNCTION("""COMPUTED_VALUE"""),240.5)</f>
        <v>240.5</v>
      </c>
      <c r="BX32" s="94" t="str">
        <f>IFERROR(__xludf.DUMMYFUNCTION("""COMPUTED_VALUE"""),"")</f>
        <v/>
      </c>
      <c r="BY32" s="93" t="str">
        <f>IFERROR(__xludf.DUMMYFUNCTION("""COMPUTED_VALUE"""),"")</f>
        <v/>
      </c>
      <c r="BZ32" s="93" t="str">
        <f>IFERROR(__xludf.DUMMYFUNCTION("""COMPUTED_VALUE"""),"")</f>
        <v/>
      </c>
      <c r="CA32" s="94" t="str">
        <f>IFERROR(__xludf.DUMMYFUNCTION("""COMPUTED_VALUE"""),"")</f>
        <v/>
      </c>
      <c r="CB32" s="92" t="str">
        <f>IFERROR(__xludf.DUMMYFUNCTION("""COMPUTED_VALUE"""),"")</f>
        <v/>
      </c>
      <c r="CC32" s="93" t="str">
        <f>IFERROR(__xludf.DUMMYFUNCTION("""COMPUTED_VALUE"""),"")</f>
        <v/>
      </c>
      <c r="CD32" s="94">
        <f>IFERROR(__xludf.DUMMYFUNCTION("""COMPUTED_VALUE"""),72.4)</f>
        <v>72.4</v>
      </c>
      <c r="CE32" s="93" t="str">
        <f>IFERROR(__xludf.DUMMYFUNCTION("""COMPUTED_VALUE"""),"")</f>
        <v/>
      </c>
      <c r="CF32" s="93" t="str">
        <f>IFERROR(__xludf.DUMMYFUNCTION("""COMPUTED_VALUE"""),"")</f>
        <v/>
      </c>
      <c r="CG32" s="94" t="str">
        <f>IFERROR(__xludf.DUMMYFUNCTION("""COMPUTED_VALUE"""),"")</f>
        <v/>
      </c>
      <c r="CH32" s="93" t="str">
        <f>IFERROR(__xludf.DUMMYFUNCTION("""COMPUTED_VALUE"""),"")</f>
        <v/>
      </c>
      <c r="CI32" s="93" t="str">
        <f>IFERROR(__xludf.DUMMYFUNCTION("""COMPUTED_VALUE"""),"")</f>
        <v/>
      </c>
      <c r="CJ32" s="94" t="str">
        <f>IFERROR(__xludf.DUMMYFUNCTION("""COMPUTED_VALUE"""),"")</f>
        <v/>
      </c>
      <c r="CK32" s="93">
        <f>IFERROR(__xludf.DUMMYFUNCTION("""COMPUTED_VALUE"""),46.4)</f>
        <v>46.4</v>
      </c>
      <c r="CL32" s="93" t="str">
        <f>IFERROR(__xludf.DUMMYFUNCTION("""COMPUTED_VALUE"""),"")</f>
        <v/>
      </c>
      <c r="CM32" s="94" t="str">
        <f>IFERROR(__xludf.DUMMYFUNCTION("""COMPUTED_VALUE"""),"")</f>
        <v/>
      </c>
      <c r="CN32" s="93" t="str">
        <f>IFERROR(__xludf.DUMMYFUNCTION("""COMPUTED_VALUE"""),"")</f>
        <v/>
      </c>
      <c r="CO32" s="93" t="str">
        <f>IFERROR(__xludf.DUMMYFUNCTION("""COMPUTED_VALUE"""),"")</f>
        <v/>
      </c>
      <c r="CP32" s="94" t="str">
        <f>IFERROR(__xludf.DUMMYFUNCTION("""COMPUTED_VALUE"""),"")</f>
        <v/>
      </c>
      <c r="CQ32" s="93" t="str">
        <f>IFERROR(__xludf.DUMMYFUNCTION("""COMPUTED_VALUE"""),"")</f>
        <v/>
      </c>
      <c r="CR32" s="93" t="str">
        <f>IFERROR(__xludf.DUMMYFUNCTION("""COMPUTED_VALUE"""),"")</f>
        <v/>
      </c>
      <c r="CS32" s="94"/>
      <c r="CT32" s="93"/>
      <c r="CU32" s="93"/>
      <c r="CV32" s="94"/>
      <c r="CW32" s="93"/>
      <c r="CX32" s="93"/>
      <c r="CY32" s="94"/>
      <c r="CZ32" s="93"/>
      <c r="DA32" s="93"/>
      <c r="DB32" s="94"/>
      <c r="DC32" s="93"/>
      <c r="DD32" s="93"/>
      <c r="DE32" s="94"/>
      <c r="DF32" s="93"/>
      <c r="DG32" s="93"/>
      <c r="DH32" s="94"/>
      <c r="DI32" s="93"/>
      <c r="DJ32" s="93"/>
      <c r="DK32" s="94"/>
      <c r="DL32" s="93"/>
      <c r="DM32" s="93"/>
      <c r="DN32" s="94"/>
      <c r="DO32" s="93"/>
      <c r="DP32" s="93"/>
      <c r="DQ32" s="94"/>
      <c r="DR32" s="93"/>
      <c r="DS32" s="93"/>
      <c r="DT32" s="94"/>
    </row>
    <row r="33">
      <c r="B33" s="83" t="str">
        <f>IFERROR(__xludf.DUMMYFUNCTION("""COMPUTED_VALUE"""),"TRF13")</f>
        <v>TRF13</v>
      </c>
      <c r="C33" s="82">
        <f>IFERROR(__xludf.DUMMYFUNCTION("""COMPUTED_VALUE"""),19.0)</f>
        <v>19</v>
      </c>
      <c r="D33" s="88" t="str">
        <f>IFERROR(__xludf.DUMMYFUNCTION("""COMPUTED_VALUE"""),"THU Rider Training Ground- Nov")</f>
        <v>THU Rider Training Ground- Nov</v>
      </c>
      <c r="E33" s="82" t="str">
        <f>IFERROR(__xludf.DUMMYFUNCTION("""COMPUTED_VALUE"""),"騎初級")</f>
        <v>騎初級</v>
      </c>
      <c r="F33" s="102">
        <f>IFERROR(__xludf.DUMMYFUNCTION("""COMPUTED_VALUE"""),10.0)</f>
        <v>10</v>
      </c>
      <c r="G33" s="82">
        <f>IFERROR(__xludf.DUMMYFUNCTION("""COMPUTED_VALUE"""),1000.0)</f>
        <v>1000</v>
      </c>
      <c r="H33" s="95" t="str">
        <f>IFERROR(__xludf.DUMMYFUNCTION("""COMPUTED_VALUE"""),"")</f>
        <v/>
      </c>
      <c r="I33" s="96" t="str">
        <f>IFERROR(__xludf.DUMMYFUNCTION("""COMPUTED_VALUE"""),"")</f>
        <v/>
      </c>
      <c r="J33" s="97" t="str">
        <f>IFERROR(__xludf.DUMMYFUNCTION("""COMPUTED_VALUE"""),"")</f>
        <v/>
      </c>
      <c r="K33" s="95" t="str">
        <f>IFERROR(__xludf.DUMMYFUNCTION("""COMPUTED_VALUE"""),"")</f>
        <v/>
      </c>
      <c r="L33" s="96" t="str">
        <f>IFERROR(__xludf.DUMMYFUNCTION("""COMPUTED_VALUE"""),"")</f>
        <v/>
      </c>
      <c r="M33" s="97" t="str">
        <f>IFERROR(__xludf.DUMMYFUNCTION("""COMPUTED_VALUE"""),"")</f>
        <v/>
      </c>
      <c r="N33" s="95" t="str">
        <f>IFERROR(__xludf.DUMMYFUNCTION("""COMPUTED_VALUE"""),"")</f>
        <v/>
      </c>
      <c r="O33" s="96" t="str">
        <f>IFERROR(__xludf.DUMMYFUNCTION("""COMPUTED_VALUE"""),"")</f>
        <v/>
      </c>
      <c r="P33" s="97" t="str">
        <f>IFERROR(__xludf.DUMMYFUNCTION("""COMPUTED_VALUE"""),"")</f>
        <v/>
      </c>
      <c r="Q33" s="95" t="str">
        <f>IFERROR(__xludf.DUMMYFUNCTION("""COMPUTED_VALUE"""),"")</f>
        <v/>
      </c>
      <c r="R33" s="96" t="str">
        <f>IFERROR(__xludf.DUMMYFUNCTION("""COMPUTED_VALUE"""),"")</f>
        <v/>
      </c>
      <c r="S33" s="97" t="str">
        <f>IFERROR(__xludf.DUMMYFUNCTION("""COMPUTED_VALUE"""),"")</f>
        <v/>
      </c>
      <c r="T33" s="95" t="str">
        <f>IFERROR(__xludf.DUMMYFUNCTION("""COMPUTED_VALUE"""),"")</f>
        <v/>
      </c>
      <c r="U33" s="96" t="str">
        <f>IFERROR(__xludf.DUMMYFUNCTION("""COMPUTED_VALUE"""),"")</f>
        <v/>
      </c>
      <c r="V33" s="97" t="str">
        <f>IFERROR(__xludf.DUMMYFUNCTION("""COMPUTED_VALUE"""),"")</f>
        <v/>
      </c>
      <c r="W33" s="95" t="str">
        <f>IFERROR(__xludf.DUMMYFUNCTION("""COMPUTED_VALUE"""),"")</f>
        <v/>
      </c>
      <c r="X33" s="96" t="str">
        <f>IFERROR(__xludf.DUMMYFUNCTION("""COMPUTED_VALUE"""),"")</f>
        <v/>
      </c>
      <c r="Y33" s="97" t="str">
        <f>IFERROR(__xludf.DUMMYFUNCTION("""COMPUTED_VALUE"""),"")</f>
        <v/>
      </c>
      <c r="Z33" s="95" t="str">
        <f>IFERROR(__xludf.DUMMYFUNCTION("""COMPUTED_VALUE"""),"")</f>
        <v/>
      </c>
      <c r="AA33" s="96" t="str">
        <f>IFERROR(__xludf.DUMMYFUNCTION("""COMPUTED_VALUE"""),"")</f>
        <v/>
      </c>
      <c r="AB33" s="97" t="str">
        <f>IFERROR(__xludf.DUMMYFUNCTION("""COMPUTED_VALUE"""),"")</f>
        <v/>
      </c>
      <c r="AC33" s="95" t="str">
        <f>IFERROR(__xludf.DUMMYFUNCTION("""COMPUTED_VALUE"""),"")</f>
        <v/>
      </c>
      <c r="AD33" s="96" t="str">
        <f>IFERROR(__xludf.DUMMYFUNCTION("""COMPUTED_VALUE"""),"")</f>
        <v/>
      </c>
      <c r="AE33" s="97" t="str">
        <f>IFERROR(__xludf.DUMMYFUNCTION("""COMPUTED_VALUE"""),"")</f>
        <v/>
      </c>
      <c r="AF33" s="95" t="str">
        <f>IFERROR(__xludf.DUMMYFUNCTION("""COMPUTED_VALUE"""),"")</f>
        <v/>
      </c>
      <c r="AG33" s="96" t="str">
        <f>IFERROR(__xludf.DUMMYFUNCTION("""COMPUTED_VALUE"""),"")</f>
        <v/>
      </c>
      <c r="AH33" s="97">
        <f>IFERROR(__xludf.DUMMYFUNCTION("""COMPUTED_VALUE"""),199.6)</f>
        <v>199.6</v>
      </c>
      <c r="AI33" s="103" t="str">
        <f>IFERROR(__xludf.DUMMYFUNCTION("""COMPUTED_VALUE"""),"")</f>
        <v/>
      </c>
      <c r="AJ33" s="104" t="str">
        <f>IFERROR(__xludf.DUMMYFUNCTION("""COMPUTED_VALUE"""),"")</f>
        <v/>
      </c>
      <c r="AK33" s="105" t="str">
        <f>IFERROR(__xludf.DUMMYFUNCTION("""COMPUTED_VALUE"""),"")</f>
        <v/>
      </c>
      <c r="AL33" s="104" t="str">
        <f>IFERROR(__xludf.DUMMYFUNCTION("""COMPUTED_VALUE"""),"")</f>
        <v/>
      </c>
      <c r="AM33" s="104" t="str">
        <f>IFERROR(__xludf.DUMMYFUNCTION("""COMPUTED_VALUE"""),"")</f>
        <v/>
      </c>
      <c r="AN33" s="105" t="str">
        <f>IFERROR(__xludf.DUMMYFUNCTION("""COMPUTED_VALUE"""),"")</f>
        <v/>
      </c>
      <c r="AO33" s="104" t="str">
        <f>IFERROR(__xludf.DUMMYFUNCTION("""COMPUTED_VALUE"""),"")</f>
        <v/>
      </c>
      <c r="AP33" s="104" t="str">
        <f>IFERROR(__xludf.DUMMYFUNCTION("""COMPUTED_VALUE"""),"")</f>
        <v/>
      </c>
      <c r="AQ33" s="105" t="str">
        <f>IFERROR(__xludf.DUMMYFUNCTION("""COMPUTED_VALUE"""),"")</f>
        <v/>
      </c>
      <c r="AR33" s="104" t="str">
        <f>IFERROR(__xludf.DUMMYFUNCTION("""COMPUTED_VALUE"""),"")</f>
        <v/>
      </c>
      <c r="AS33" s="104" t="str">
        <f>IFERROR(__xludf.DUMMYFUNCTION("""COMPUTED_VALUE"""),"")</f>
        <v/>
      </c>
      <c r="AT33" s="105" t="str">
        <f>IFERROR(__xludf.DUMMYFUNCTION("""COMPUTED_VALUE"""),"")</f>
        <v/>
      </c>
      <c r="AU33" s="104" t="str">
        <f>IFERROR(__xludf.DUMMYFUNCTION("""COMPUTED_VALUE"""),"")</f>
        <v/>
      </c>
      <c r="AV33" s="104">
        <f>IFERROR(__xludf.DUMMYFUNCTION("""COMPUTED_VALUE"""),61.6)</f>
        <v>61.6</v>
      </c>
      <c r="AW33" s="105">
        <f>IFERROR(__xludf.DUMMYFUNCTION("""COMPUTED_VALUE"""),293.5)</f>
        <v>293.5</v>
      </c>
      <c r="AX33" s="104" t="str">
        <f>IFERROR(__xludf.DUMMYFUNCTION("""COMPUTED_VALUE"""),"")</f>
        <v/>
      </c>
      <c r="AY33" s="104" t="str">
        <f>IFERROR(__xludf.DUMMYFUNCTION("""COMPUTED_VALUE"""),"")</f>
        <v/>
      </c>
      <c r="AZ33" s="105" t="str">
        <f>IFERROR(__xludf.DUMMYFUNCTION("""COMPUTED_VALUE"""),"")</f>
        <v/>
      </c>
      <c r="BA33" s="104" t="str">
        <f>IFERROR(__xludf.DUMMYFUNCTION("""COMPUTED_VALUE"""),"")</f>
        <v/>
      </c>
      <c r="BB33" s="104" t="str">
        <f>IFERROR(__xludf.DUMMYFUNCTION("""COMPUTED_VALUE"""),"")</f>
        <v/>
      </c>
      <c r="BC33" s="105" t="str">
        <f>IFERROR(__xludf.DUMMYFUNCTION("""COMPUTED_VALUE"""),"")</f>
        <v/>
      </c>
      <c r="BD33" s="104" t="str">
        <f>IFERROR(__xludf.DUMMYFUNCTION("""COMPUTED_VALUE"""),"")</f>
        <v/>
      </c>
      <c r="BE33" s="104" t="str">
        <f>IFERROR(__xludf.DUMMYFUNCTION("""COMPUTED_VALUE"""),"")</f>
        <v/>
      </c>
      <c r="BF33" s="105" t="str">
        <f>IFERROR(__xludf.DUMMYFUNCTION("""COMPUTED_VALUE"""),"")</f>
        <v/>
      </c>
      <c r="BG33" s="103" t="str">
        <f>IFERROR(__xludf.DUMMYFUNCTION("""COMPUTED_VALUE"""),"")</f>
        <v/>
      </c>
      <c r="BH33" s="104" t="str">
        <f>IFERROR(__xludf.DUMMYFUNCTION("""COMPUTED_VALUE"""),"")</f>
        <v/>
      </c>
      <c r="BI33" s="105" t="str">
        <f>IFERROR(__xludf.DUMMYFUNCTION("""COMPUTED_VALUE"""),"")</f>
        <v/>
      </c>
      <c r="BJ33" s="104" t="str">
        <f>IFERROR(__xludf.DUMMYFUNCTION("""COMPUTED_VALUE"""),"")</f>
        <v/>
      </c>
      <c r="BK33" s="104" t="str">
        <f>IFERROR(__xludf.DUMMYFUNCTION("""COMPUTED_VALUE"""),"")</f>
        <v/>
      </c>
      <c r="BL33" s="105" t="str">
        <f>IFERROR(__xludf.DUMMYFUNCTION("""COMPUTED_VALUE"""),"")</f>
        <v/>
      </c>
      <c r="BM33" s="104" t="str">
        <f>IFERROR(__xludf.DUMMYFUNCTION("""COMPUTED_VALUE"""),"")</f>
        <v/>
      </c>
      <c r="BN33" s="104" t="str">
        <f>IFERROR(__xludf.DUMMYFUNCTION("""COMPUTED_VALUE"""),"")</f>
        <v/>
      </c>
      <c r="BO33" s="105" t="str">
        <f>IFERROR(__xludf.DUMMYFUNCTION("""COMPUTED_VALUE"""),"")</f>
        <v/>
      </c>
      <c r="BP33" s="104" t="str">
        <f>IFERROR(__xludf.DUMMYFUNCTION("""COMPUTED_VALUE"""),"")</f>
        <v/>
      </c>
      <c r="BQ33" s="104" t="str">
        <f>IFERROR(__xludf.DUMMYFUNCTION("""COMPUTED_VALUE"""),"")</f>
        <v/>
      </c>
      <c r="BR33" s="105" t="str">
        <f>IFERROR(__xludf.DUMMYFUNCTION("""COMPUTED_VALUE"""),"")</f>
        <v/>
      </c>
      <c r="BS33" s="104" t="str">
        <f>IFERROR(__xludf.DUMMYFUNCTION("""COMPUTED_VALUE"""),"")</f>
        <v/>
      </c>
      <c r="BT33" s="104">
        <f>IFERROR(__xludf.DUMMYFUNCTION("""COMPUTED_VALUE"""),8.4)</f>
        <v>8.4</v>
      </c>
      <c r="BU33" s="105" t="str">
        <f>IFERROR(__xludf.DUMMYFUNCTION("""COMPUTED_VALUE"""),"")</f>
        <v/>
      </c>
      <c r="BV33" s="104" t="str">
        <f>IFERROR(__xludf.DUMMYFUNCTION("""COMPUTED_VALUE"""),"")</f>
        <v/>
      </c>
      <c r="BW33" s="104" t="str">
        <f>IFERROR(__xludf.DUMMYFUNCTION("""COMPUTED_VALUE"""),"")</f>
        <v/>
      </c>
      <c r="BX33" s="105" t="str">
        <f>IFERROR(__xludf.DUMMYFUNCTION("""COMPUTED_VALUE"""),"")</f>
        <v/>
      </c>
      <c r="BY33" s="104" t="str">
        <f>IFERROR(__xludf.DUMMYFUNCTION("""COMPUTED_VALUE"""),"")</f>
        <v/>
      </c>
      <c r="BZ33" s="104" t="str">
        <f>IFERROR(__xludf.DUMMYFUNCTION("""COMPUTED_VALUE"""),"")</f>
        <v/>
      </c>
      <c r="CA33" s="105">
        <f>IFERROR(__xludf.DUMMYFUNCTION("""COMPUTED_VALUE"""),575.3)</f>
        <v>575.3</v>
      </c>
      <c r="CB33" s="103" t="str">
        <f>IFERROR(__xludf.DUMMYFUNCTION("""COMPUTED_VALUE"""),"")</f>
        <v/>
      </c>
      <c r="CC33" s="104" t="str">
        <f>IFERROR(__xludf.DUMMYFUNCTION("""COMPUTED_VALUE"""),"")</f>
        <v/>
      </c>
      <c r="CD33" s="105" t="str">
        <f>IFERROR(__xludf.DUMMYFUNCTION("""COMPUTED_VALUE"""),"")</f>
        <v/>
      </c>
      <c r="CE33" s="104" t="str">
        <f>IFERROR(__xludf.DUMMYFUNCTION("""COMPUTED_VALUE"""),"")</f>
        <v/>
      </c>
      <c r="CF33" s="104" t="str">
        <f>IFERROR(__xludf.DUMMYFUNCTION("""COMPUTED_VALUE"""),"")</f>
        <v/>
      </c>
      <c r="CG33" s="105" t="str">
        <f>IFERROR(__xludf.DUMMYFUNCTION("""COMPUTED_VALUE"""),"")</f>
        <v/>
      </c>
      <c r="CH33" s="104">
        <f>IFERROR(__xludf.DUMMYFUNCTION("""COMPUTED_VALUE"""),44.5)</f>
        <v>44.5</v>
      </c>
      <c r="CI33" s="104" t="str">
        <f>IFERROR(__xludf.DUMMYFUNCTION("""COMPUTED_VALUE"""),"")</f>
        <v/>
      </c>
      <c r="CJ33" s="105" t="str">
        <f>IFERROR(__xludf.DUMMYFUNCTION("""COMPUTED_VALUE"""),"")</f>
        <v/>
      </c>
      <c r="CK33" s="104" t="str">
        <f>IFERROR(__xludf.DUMMYFUNCTION("""COMPUTED_VALUE"""),"")</f>
        <v/>
      </c>
      <c r="CL33" s="104" t="str">
        <f>IFERROR(__xludf.DUMMYFUNCTION("""COMPUTED_VALUE"""),"")</f>
        <v/>
      </c>
      <c r="CM33" s="105" t="str">
        <f>IFERROR(__xludf.DUMMYFUNCTION("""COMPUTED_VALUE"""),"")</f>
        <v/>
      </c>
      <c r="CN33" s="104" t="str">
        <f>IFERROR(__xludf.DUMMYFUNCTION("""COMPUTED_VALUE"""),"")</f>
        <v/>
      </c>
      <c r="CO33" s="104" t="str">
        <f>IFERROR(__xludf.DUMMYFUNCTION("""COMPUTED_VALUE"""),"")</f>
        <v/>
      </c>
      <c r="CP33" s="105" t="str">
        <f>IFERROR(__xludf.DUMMYFUNCTION("""COMPUTED_VALUE"""),"")</f>
        <v/>
      </c>
      <c r="CQ33" s="104" t="str">
        <f>IFERROR(__xludf.DUMMYFUNCTION("""COMPUTED_VALUE"""),"")</f>
        <v/>
      </c>
      <c r="CR33" s="104" t="str">
        <f>IFERROR(__xludf.DUMMYFUNCTION("""COMPUTED_VALUE"""),"")</f>
        <v/>
      </c>
      <c r="CS33" s="105"/>
      <c r="CT33" s="104"/>
      <c r="CU33" s="104"/>
      <c r="CV33" s="105"/>
      <c r="CW33" s="104"/>
      <c r="CX33" s="104"/>
      <c r="CY33" s="105"/>
      <c r="CZ33" s="104"/>
      <c r="DA33" s="104"/>
      <c r="DB33" s="105"/>
      <c r="DC33" s="104"/>
      <c r="DD33" s="104"/>
      <c r="DE33" s="105"/>
      <c r="DF33" s="104"/>
      <c r="DG33" s="104"/>
      <c r="DH33" s="105"/>
      <c r="DI33" s="104"/>
      <c r="DJ33" s="104"/>
      <c r="DK33" s="105"/>
      <c r="DL33" s="104"/>
      <c r="DM33" s="104"/>
      <c r="DN33" s="105"/>
      <c r="DO33" s="104"/>
      <c r="DP33" s="104"/>
      <c r="DQ33" s="105"/>
      <c r="DR33" s="104"/>
      <c r="DS33" s="104"/>
      <c r="DT33" s="105"/>
    </row>
    <row r="34">
      <c r="B34" s="83" t="str">
        <f>IFERROR(__xludf.DUMMYFUNCTION("""COMPUTED_VALUE"""),"TRF14")</f>
        <v>TRF14</v>
      </c>
      <c r="C34" s="82">
        <f>IFERROR(__xludf.DUMMYFUNCTION("""COMPUTED_VALUE"""),18.0)</f>
        <v>18</v>
      </c>
      <c r="D34" s="88" t="str">
        <f>IFERROR(__xludf.DUMMYFUNCTION("""COMPUTED_VALUE"""),"THU Rider Training Ground- Int")</f>
        <v>THU Rider Training Ground- Int</v>
      </c>
      <c r="E34" s="82" t="str">
        <f>IFERROR(__xludf.DUMMYFUNCTION("""COMPUTED_VALUE"""),"騎中級")</f>
        <v>騎中級</v>
      </c>
      <c r="F34" s="102">
        <f>IFERROR(__xludf.DUMMYFUNCTION("""COMPUTED_VALUE"""),20.0)</f>
        <v>20</v>
      </c>
      <c r="G34" s="82">
        <f>IFERROR(__xludf.DUMMYFUNCTION("""COMPUTED_VALUE"""),1106.0)</f>
        <v>1106</v>
      </c>
      <c r="H34" s="95" t="str">
        <f>IFERROR(__xludf.DUMMYFUNCTION("""COMPUTED_VALUE"""),"")</f>
        <v/>
      </c>
      <c r="I34" s="96" t="str">
        <f>IFERROR(__xludf.DUMMYFUNCTION("""COMPUTED_VALUE"""),"")</f>
        <v/>
      </c>
      <c r="J34" s="97" t="str">
        <f>IFERROR(__xludf.DUMMYFUNCTION("""COMPUTED_VALUE"""),"")</f>
        <v/>
      </c>
      <c r="K34" s="95" t="str">
        <f>IFERROR(__xludf.DUMMYFUNCTION("""COMPUTED_VALUE"""),"")</f>
        <v/>
      </c>
      <c r="L34" s="96" t="str">
        <f>IFERROR(__xludf.DUMMYFUNCTION("""COMPUTED_VALUE"""),"")</f>
        <v/>
      </c>
      <c r="M34" s="97" t="str">
        <f>IFERROR(__xludf.DUMMYFUNCTION("""COMPUTED_VALUE"""),"")</f>
        <v/>
      </c>
      <c r="N34" s="95" t="str">
        <f>IFERROR(__xludf.DUMMYFUNCTION("""COMPUTED_VALUE"""),"")</f>
        <v/>
      </c>
      <c r="O34" s="96" t="str">
        <f>IFERROR(__xludf.DUMMYFUNCTION("""COMPUTED_VALUE"""),"")</f>
        <v/>
      </c>
      <c r="P34" s="97" t="str">
        <f>IFERROR(__xludf.DUMMYFUNCTION("""COMPUTED_VALUE"""),"")</f>
        <v/>
      </c>
      <c r="Q34" s="95" t="str">
        <f>IFERROR(__xludf.DUMMYFUNCTION("""COMPUTED_VALUE"""),"")</f>
        <v/>
      </c>
      <c r="R34" s="96" t="str">
        <f>IFERROR(__xludf.DUMMYFUNCTION("""COMPUTED_VALUE"""),"")</f>
        <v/>
      </c>
      <c r="S34" s="97" t="str">
        <f>IFERROR(__xludf.DUMMYFUNCTION("""COMPUTED_VALUE"""),"")</f>
        <v/>
      </c>
      <c r="T34" s="95" t="str">
        <f>IFERROR(__xludf.DUMMYFUNCTION("""COMPUTED_VALUE"""),"")</f>
        <v/>
      </c>
      <c r="U34" s="96" t="str">
        <f>IFERROR(__xludf.DUMMYFUNCTION("""COMPUTED_VALUE"""),"")</f>
        <v/>
      </c>
      <c r="V34" s="97" t="str">
        <f>IFERROR(__xludf.DUMMYFUNCTION("""COMPUTED_VALUE"""),"")</f>
        <v/>
      </c>
      <c r="W34" s="95" t="str">
        <f>IFERROR(__xludf.DUMMYFUNCTION("""COMPUTED_VALUE"""),"")</f>
        <v/>
      </c>
      <c r="X34" s="96" t="str">
        <f>IFERROR(__xludf.DUMMYFUNCTION("""COMPUTED_VALUE"""),"")</f>
        <v/>
      </c>
      <c r="Y34" s="97" t="str">
        <f>IFERROR(__xludf.DUMMYFUNCTION("""COMPUTED_VALUE"""),"")</f>
        <v/>
      </c>
      <c r="Z34" s="95" t="str">
        <f>IFERROR(__xludf.DUMMYFUNCTION("""COMPUTED_VALUE"""),"")</f>
        <v/>
      </c>
      <c r="AA34" s="96" t="str">
        <f>IFERROR(__xludf.DUMMYFUNCTION("""COMPUTED_VALUE"""),"")</f>
        <v/>
      </c>
      <c r="AB34" s="97" t="str">
        <f>IFERROR(__xludf.DUMMYFUNCTION("""COMPUTED_VALUE"""),"")</f>
        <v/>
      </c>
      <c r="AC34" s="95" t="str">
        <f>IFERROR(__xludf.DUMMYFUNCTION("""COMPUTED_VALUE"""),"")</f>
        <v/>
      </c>
      <c r="AD34" s="96" t="str">
        <f>IFERROR(__xludf.DUMMYFUNCTION("""COMPUTED_VALUE"""),"")</f>
        <v/>
      </c>
      <c r="AE34" s="97" t="str">
        <f>IFERROR(__xludf.DUMMYFUNCTION("""COMPUTED_VALUE"""),"")</f>
        <v/>
      </c>
      <c r="AF34" s="95" t="str">
        <f>IFERROR(__xludf.DUMMYFUNCTION("""COMPUTED_VALUE"""),"")</f>
        <v/>
      </c>
      <c r="AG34" s="96" t="str">
        <f>IFERROR(__xludf.DUMMYFUNCTION("""COMPUTED_VALUE"""),"")</f>
        <v/>
      </c>
      <c r="AH34" s="97">
        <f>IFERROR(__xludf.DUMMYFUNCTION("""COMPUTED_VALUE"""),189.1)</f>
        <v>189.1</v>
      </c>
      <c r="AI34" s="92" t="str">
        <f>IFERROR(__xludf.DUMMYFUNCTION("""COMPUTED_VALUE"""),"")</f>
        <v/>
      </c>
      <c r="AJ34" s="93" t="str">
        <f>IFERROR(__xludf.DUMMYFUNCTION("""COMPUTED_VALUE"""),"")</f>
        <v/>
      </c>
      <c r="AK34" s="94" t="str">
        <f>IFERROR(__xludf.DUMMYFUNCTION("""COMPUTED_VALUE"""),"")</f>
        <v/>
      </c>
      <c r="AL34" s="93" t="str">
        <f>IFERROR(__xludf.DUMMYFUNCTION("""COMPUTED_VALUE"""),"")</f>
        <v/>
      </c>
      <c r="AM34" s="93" t="str">
        <f>IFERROR(__xludf.DUMMYFUNCTION("""COMPUTED_VALUE"""),"")</f>
        <v/>
      </c>
      <c r="AN34" s="94" t="str">
        <f>IFERROR(__xludf.DUMMYFUNCTION("""COMPUTED_VALUE"""),"")</f>
        <v/>
      </c>
      <c r="AO34" s="93" t="str">
        <f>IFERROR(__xludf.DUMMYFUNCTION("""COMPUTED_VALUE"""),"")</f>
        <v/>
      </c>
      <c r="AP34" s="93" t="str">
        <f>IFERROR(__xludf.DUMMYFUNCTION("""COMPUTED_VALUE"""),"")</f>
        <v/>
      </c>
      <c r="AQ34" s="94" t="str">
        <f>IFERROR(__xludf.DUMMYFUNCTION("""COMPUTED_VALUE"""),"")</f>
        <v/>
      </c>
      <c r="AR34" s="93" t="str">
        <f>IFERROR(__xludf.DUMMYFUNCTION("""COMPUTED_VALUE"""),"")</f>
        <v/>
      </c>
      <c r="AS34" s="93" t="str">
        <f>IFERROR(__xludf.DUMMYFUNCTION("""COMPUTED_VALUE"""),"")</f>
        <v/>
      </c>
      <c r="AT34" s="94" t="str">
        <f>IFERROR(__xludf.DUMMYFUNCTION("""COMPUTED_VALUE"""),"")</f>
        <v/>
      </c>
      <c r="AU34" s="93" t="str">
        <f>IFERROR(__xludf.DUMMYFUNCTION("""COMPUTED_VALUE"""),"")</f>
        <v/>
      </c>
      <c r="AV34" s="93">
        <f>IFERROR(__xludf.DUMMYFUNCTION("""COMPUTED_VALUE"""),78.2)</f>
        <v>78.2</v>
      </c>
      <c r="AW34" s="94">
        <f>IFERROR(__xludf.DUMMYFUNCTION("""COMPUTED_VALUE"""),130.5)</f>
        <v>130.5</v>
      </c>
      <c r="AX34" s="93" t="str">
        <f>IFERROR(__xludf.DUMMYFUNCTION("""COMPUTED_VALUE"""),"")</f>
        <v/>
      </c>
      <c r="AY34" s="93" t="str">
        <f>IFERROR(__xludf.DUMMYFUNCTION("""COMPUTED_VALUE"""),"")</f>
        <v/>
      </c>
      <c r="AZ34" s="94" t="str">
        <f>IFERROR(__xludf.DUMMYFUNCTION("""COMPUTED_VALUE"""),"")</f>
        <v/>
      </c>
      <c r="BA34" s="93" t="str">
        <f>IFERROR(__xludf.DUMMYFUNCTION("""COMPUTED_VALUE"""),"")</f>
        <v/>
      </c>
      <c r="BB34" s="93" t="str">
        <f>IFERROR(__xludf.DUMMYFUNCTION("""COMPUTED_VALUE"""),"")</f>
        <v/>
      </c>
      <c r="BC34" s="94" t="str">
        <f>IFERROR(__xludf.DUMMYFUNCTION("""COMPUTED_VALUE"""),"")</f>
        <v/>
      </c>
      <c r="BD34" s="93" t="str">
        <f>IFERROR(__xludf.DUMMYFUNCTION("""COMPUTED_VALUE"""),"")</f>
        <v/>
      </c>
      <c r="BE34" s="93" t="str">
        <f>IFERROR(__xludf.DUMMYFUNCTION("""COMPUTED_VALUE"""),"")</f>
        <v/>
      </c>
      <c r="BF34" s="94" t="str">
        <f>IFERROR(__xludf.DUMMYFUNCTION("""COMPUTED_VALUE"""),"")</f>
        <v/>
      </c>
      <c r="BG34" s="92" t="str">
        <f>IFERROR(__xludf.DUMMYFUNCTION("""COMPUTED_VALUE"""),"")</f>
        <v/>
      </c>
      <c r="BH34" s="93" t="str">
        <f>IFERROR(__xludf.DUMMYFUNCTION("""COMPUTED_VALUE"""),"")</f>
        <v/>
      </c>
      <c r="BI34" s="94" t="str">
        <f>IFERROR(__xludf.DUMMYFUNCTION("""COMPUTED_VALUE"""),"")</f>
        <v/>
      </c>
      <c r="BJ34" s="93" t="str">
        <f>IFERROR(__xludf.DUMMYFUNCTION("""COMPUTED_VALUE"""),"")</f>
        <v/>
      </c>
      <c r="BK34" s="93" t="str">
        <f>IFERROR(__xludf.DUMMYFUNCTION("""COMPUTED_VALUE"""),"")</f>
        <v/>
      </c>
      <c r="BL34" s="94" t="str">
        <f>IFERROR(__xludf.DUMMYFUNCTION("""COMPUTED_VALUE"""),"")</f>
        <v/>
      </c>
      <c r="BM34" s="93">
        <f>IFERROR(__xludf.DUMMYFUNCTION("""COMPUTED_VALUE"""),21.6)</f>
        <v>21.6</v>
      </c>
      <c r="BN34" s="93" t="str">
        <f>IFERROR(__xludf.DUMMYFUNCTION("""COMPUTED_VALUE"""),"")</f>
        <v/>
      </c>
      <c r="BO34" s="94" t="str">
        <f>IFERROR(__xludf.DUMMYFUNCTION("""COMPUTED_VALUE"""),"")</f>
        <v/>
      </c>
      <c r="BP34" s="93" t="str">
        <f>IFERROR(__xludf.DUMMYFUNCTION("""COMPUTED_VALUE"""),"")</f>
        <v/>
      </c>
      <c r="BQ34" s="93" t="str">
        <f>IFERROR(__xludf.DUMMYFUNCTION("""COMPUTED_VALUE"""),"")</f>
        <v/>
      </c>
      <c r="BR34" s="94" t="str">
        <f>IFERROR(__xludf.DUMMYFUNCTION("""COMPUTED_VALUE"""),"")</f>
        <v/>
      </c>
      <c r="BS34" s="93" t="str">
        <f>IFERROR(__xludf.DUMMYFUNCTION("""COMPUTED_VALUE"""),"")</f>
        <v/>
      </c>
      <c r="BT34" s="93">
        <f>IFERROR(__xludf.DUMMYFUNCTION("""COMPUTED_VALUE"""),22.1)</f>
        <v>22.1</v>
      </c>
      <c r="BU34" s="94" t="str">
        <f>IFERROR(__xludf.DUMMYFUNCTION("""COMPUTED_VALUE"""),"")</f>
        <v/>
      </c>
      <c r="BV34" s="93" t="str">
        <f>IFERROR(__xludf.DUMMYFUNCTION("""COMPUTED_VALUE"""),"")</f>
        <v/>
      </c>
      <c r="BW34" s="93" t="str">
        <f>IFERROR(__xludf.DUMMYFUNCTION("""COMPUTED_VALUE"""),"")</f>
        <v/>
      </c>
      <c r="BX34" s="94" t="str">
        <f>IFERROR(__xludf.DUMMYFUNCTION("""COMPUTED_VALUE"""),"")</f>
        <v/>
      </c>
      <c r="BY34" s="93" t="str">
        <f>IFERROR(__xludf.DUMMYFUNCTION("""COMPUTED_VALUE"""),"")</f>
        <v/>
      </c>
      <c r="BZ34" s="93" t="str">
        <f>IFERROR(__xludf.DUMMYFUNCTION("""COMPUTED_VALUE"""),"")</f>
        <v/>
      </c>
      <c r="CA34" s="94">
        <f>IFERROR(__xludf.DUMMYFUNCTION("""COMPUTED_VALUE"""),282.1)</f>
        <v>282.1</v>
      </c>
      <c r="CB34" s="92" t="str">
        <f>IFERROR(__xludf.DUMMYFUNCTION("""COMPUTED_VALUE"""),"")</f>
        <v/>
      </c>
      <c r="CC34" s="93" t="str">
        <f>IFERROR(__xludf.DUMMYFUNCTION("""COMPUTED_VALUE"""),"")</f>
        <v/>
      </c>
      <c r="CD34" s="94" t="str">
        <f>IFERROR(__xludf.DUMMYFUNCTION("""COMPUTED_VALUE"""),"")</f>
        <v/>
      </c>
      <c r="CE34" s="93" t="str">
        <f>IFERROR(__xludf.DUMMYFUNCTION("""COMPUTED_VALUE"""),"")</f>
        <v/>
      </c>
      <c r="CF34" s="93" t="str">
        <f>IFERROR(__xludf.DUMMYFUNCTION("""COMPUTED_VALUE"""),"")</f>
        <v/>
      </c>
      <c r="CG34" s="94" t="str">
        <f>IFERROR(__xludf.DUMMYFUNCTION("""COMPUTED_VALUE"""),"")</f>
        <v/>
      </c>
      <c r="CH34" s="93">
        <f>IFERROR(__xludf.DUMMYFUNCTION("""COMPUTED_VALUE"""),28.3)</f>
        <v>28.3</v>
      </c>
      <c r="CI34" s="93" t="str">
        <f>IFERROR(__xludf.DUMMYFUNCTION("""COMPUTED_VALUE"""),"")</f>
        <v/>
      </c>
      <c r="CJ34" s="94" t="str">
        <f>IFERROR(__xludf.DUMMYFUNCTION("""COMPUTED_VALUE"""),"")</f>
        <v/>
      </c>
      <c r="CK34" s="93" t="str">
        <f>IFERROR(__xludf.DUMMYFUNCTION("""COMPUTED_VALUE"""),"")</f>
        <v/>
      </c>
      <c r="CL34" s="93" t="str">
        <f>IFERROR(__xludf.DUMMYFUNCTION("""COMPUTED_VALUE"""),"")</f>
        <v/>
      </c>
      <c r="CM34" s="94" t="str">
        <f>IFERROR(__xludf.DUMMYFUNCTION("""COMPUTED_VALUE"""),"")</f>
        <v/>
      </c>
      <c r="CN34" s="93" t="str">
        <f>IFERROR(__xludf.DUMMYFUNCTION("""COMPUTED_VALUE"""),"")</f>
        <v/>
      </c>
      <c r="CO34" s="93" t="str">
        <f>IFERROR(__xludf.DUMMYFUNCTION("""COMPUTED_VALUE"""),"")</f>
        <v/>
      </c>
      <c r="CP34" s="94" t="str">
        <f>IFERROR(__xludf.DUMMYFUNCTION("""COMPUTED_VALUE"""),"")</f>
        <v/>
      </c>
      <c r="CQ34" s="93" t="str">
        <f>IFERROR(__xludf.DUMMYFUNCTION("""COMPUTED_VALUE"""),"")</f>
        <v/>
      </c>
      <c r="CR34" s="93" t="str">
        <f>IFERROR(__xludf.DUMMYFUNCTION("""COMPUTED_VALUE"""),"")</f>
        <v/>
      </c>
      <c r="CS34" s="94"/>
      <c r="CT34" s="93"/>
      <c r="CU34" s="93"/>
      <c r="CV34" s="94"/>
      <c r="CW34" s="93"/>
      <c r="CX34" s="93"/>
      <c r="CY34" s="94"/>
      <c r="CZ34" s="93"/>
      <c r="DA34" s="93"/>
      <c r="DB34" s="94"/>
      <c r="DC34" s="93"/>
      <c r="DD34" s="93"/>
      <c r="DE34" s="94"/>
      <c r="DF34" s="93"/>
      <c r="DG34" s="93"/>
      <c r="DH34" s="94"/>
      <c r="DI34" s="93"/>
      <c r="DJ34" s="93"/>
      <c r="DK34" s="94"/>
      <c r="DL34" s="93"/>
      <c r="DM34" s="93"/>
      <c r="DN34" s="94"/>
      <c r="DO34" s="93"/>
      <c r="DP34" s="93"/>
      <c r="DQ34" s="94"/>
      <c r="DR34" s="93"/>
      <c r="DS34" s="93"/>
      <c r="DT34" s="94"/>
    </row>
    <row r="35">
      <c r="B35" s="83" t="str">
        <f>IFERROR(__xludf.DUMMYFUNCTION("""COMPUTED_VALUE"""),"TRF15")</f>
        <v>TRF15</v>
      </c>
      <c r="C35" s="82">
        <f>IFERROR(__xludf.DUMMYFUNCTION("""COMPUTED_VALUE"""),17.0)</f>
        <v>17</v>
      </c>
      <c r="D35" s="88" t="str">
        <f>IFERROR(__xludf.DUMMYFUNCTION("""COMPUTED_VALUE"""),"THU Rider Training Ground- Adv")</f>
        <v>THU Rider Training Ground- Adv</v>
      </c>
      <c r="E35" s="82" t="str">
        <f>IFERROR(__xludf.DUMMYFUNCTION("""COMPUTED_VALUE"""),"騎上級")</f>
        <v>騎上級</v>
      </c>
      <c r="F35" s="102">
        <f>IFERROR(__xludf.DUMMYFUNCTION("""COMPUTED_VALUE"""),30.0)</f>
        <v>30</v>
      </c>
      <c r="G35" s="82">
        <f>IFERROR(__xludf.DUMMYFUNCTION("""COMPUTED_VALUE"""),2151.0)</f>
        <v>2151</v>
      </c>
      <c r="H35" s="95" t="str">
        <f>IFERROR(__xludf.DUMMYFUNCTION("""COMPUTED_VALUE"""),"")</f>
        <v/>
      </c>
      <c r="I35" s="96" t="str">
        <f>IFERROR(__xludf.DUMMYFUNCTION("""COMPUTED_VALUE"""),"")</f>
        <v/>
      </c>
      <c r="J35" s="97">
        <f>IFERROR(__xludf.DUMMYFUNCTION("""COMPUTED_VALUE"""),1019.5)</f>
        <v>1019.5</v>
      </c>
      <c r="K35" s="95" t="str">
        <f>IFERROR(__xludf.DUMMYFUNCTION("""COMPUTED_VALUE"""),"")</f>
        <v/>
      </c>
      <c r="L35" s="96" t="str">
        <f>IFERROR(__xludf.DUMMYFUNCTION("""COMPUTED_VALUE"""),"")</f>
        <v/>
      </c>
      <c r="M35" s="97" t="str">
        <f>IFERROR(__xludf.DUMMYFUNCTION("""COMPUTED_VALUE"""),"")</f>
        <v/>
      </c>
      <c r="N35" s="95" t="str">
        <f>IFERROR(__xludf.DUMMYFUNCTION("""COMPUTED_VALUE"""),"")</f>
        <v/>
      </c>
      <c r="O35" s="96" t="str">
        <f>IFERROR(__xludf.DUMMYFUNCTION("""COMPUTED_VALUE"""),"")</f>
        <v/>
      </c>
      <c r="P35" s="97" t="str">
        <f>IFERROR(__xludf.DUMMYFUNCTION("""COMPUTED_VALUE"""),"")</f>
        <v/>
      </c>
      <c r="Q35" s="95" t="str">
        <f>IFERROR(__xludf.DUMMYFUNCTION("""COMPUTED_VALUE"""),"")</f>
        <v/>
      </c>
      <c r="R35" s="96" t="str">
        <f>IFERROR(__xludf.DUMMYFUNCTION("""COMPUTED_VALUE"""),"")</f>
        <v/>
      </c>
      <c r="S35" s="97" t="str">
        <f>IFERROR(__xludf.DUMMYFUNCTION("""COMPUTED_VALUE"""),"")</f>
        <v/>
      </c>
      <c r="T35" s="95" t="str">
        <f>IFERROR(__xludf.DUMMYFUNCTION("""COMPUTED_VALUE"""),"")</f>
        <v/>
      </c>
      <c r="U35" s="96" t="str">
        <f>IFERROR(__xludf.DUMMYFUNCTION("""COMPUTED_VALUE"""),"")</f>
        <v/>
      </c>
      <c r="V35" s="97" t="str">
        <f>IFERROR(__xludf.DUMMYFUNCTION("""COMPUTED_VALUE"""),"")</f>
        <v/>
      </c>
      <c r="W35" s="95" t="str">
        <f>IFERROR(__xludf.DUMMYFUNCTION("""COMPUTED_VALUE"""),"")</f>
        <v/>
      </c>
      <c r="X35" s="96" t="str">
        <f>IFERROR(__xludf.DUMMYFUNCTION("""COMPUTED_VALUE"""),"")</f>
        <v/>
      </c>
      <c r="Y35" s="97" t="str">
        <f>IFERROR(__xludf.DUMMYFUNCTION("""COMPUTED_VALUE"""),"")</f>
        <v/>
      </c>
      <c r="Z35" s="95" t="str">
        <f>IFERROR(__xludf.DUMMYFUNCTION("""COMPUTED_VALUE"""),"")</f>
        <v/>
      </c>
      <c r="AA35" s="96" t="str">
        <f>IFERROR(__xludf.DUMMYFUNCTION("""COMPUTED_VALUE"""),"")</f>
        <v/>
      </c>
      <c r="AB35" s="97" t="str">
        <f>IFERROR(__xludf.DUMMYFUNCTION("""COMPUTED_VALUE"""),"")</f>
        <v/>
      </c>
      <c r="AC35" s="95" t="str">
        <f>IFERROR(__xludf.DUMMYFUNCTION("""COMPUTED_VALUE"""),"")</f>
        <v/>
      </c>
      <c r="AD35" s="96" t="str">
        <f>IFERROR(__xludf.DUMMYFUNCTION("""COMPUTED_VALUE"""),"")</f>
        <v/>
      </c>
      <c r="AE35" s="97" t="str">
        <f>IFERROR(__xludf.DUMMYFUNCTION("""COMPUTED_VALUE"""),"")</f>
        <v/>
      </c>
      <c r="AF35" s="95" t="str">
        <f>IFERROR(__xludf.DUMMYFUNCTION("""COMPUTED_VALUE"""),"")</f>
        <v/>
      </c>
      <c r="AG35" s="96" t="str">
        <f>IFERROR(__xludf.DUMMYFUNCTION("""COMPUTED_VALUE"""),"")</f>
        <v/>
      </c>
      <c r="AH35" s="97">
        <f>IFERROR(__xludf.DUMMYFUNCTION("""COMPUTED_VALUE"""),198.9)</f>
        <v>198.9</v>
      </c>
      <c r="AI35" s="103" t="str">
        <f>IFERROR(__xludf.DUMMYFUNCTION("""COMPUTED_VALUE"""),"")</f>
        <v/>
      </c>
      <c r="AJ35" s="104" t="str">
        <f>IFERROR(__xludf.DUMMYFUNCTION("""COMPUTED_VALUE"""),"")</f>
        <v/>
      </c>
      <c r="AK35" s="105" t="str">
        <f>IFERROR(__xludf.DUMMYFUNCTION("""COMPUTED_VALUE"""),"")</f>
        <v/>
      </c>
      <c r="AL35" s="104" t="str">
        <f>IFERROR(__xludf.DUMMYFUNCTION("""COMPUTED_VALUE"""),"")</f>
        <v/>
      </c>
      <c r="AM35" s="104" t="str">
        <f>IFERROR(__xludf.DUMMYFUNCTION("""COMPUTED_VALUE"""),"")</f>
        <v/>
      </c>
      <c r="AN35" s="105" t="str">
        <f>IFERROR(__xludf.DUMMYFUNCTION("""COMPUTED_VALUE"""),"")</f>
        <v/>
      </c>
      <c r="AO35" s="104" t="str">
        <f>IFERROR(__xludf.DUMMYFUNCTION("""COMPUTED_VALUE"""),"")</f>
        <v/>
      </c>
      <c r="AP35" s="104" t="str">
        <f>IFERROR(__xludf.DUMMYFUNCTION("""COMPUTED_VALUE"""),"")</f>
        <v/>
      </c>
      <c r="AQ35" s="105" t="str">
        <f>IFERROR(__xludf.DUMMYFUNCTION("""COMPUTED_VALUE"""),"")</f>
        <v/>
      </c>
      <c r="AR35" s="104" t="str">
        <f>IFERROR(__xludf.DUMMYFUNCTION("""COMPUTED_VALUE"""),"")</f>
        <v/>
      </c>
      <c r="AS35" s="104" t="str">
        <f>IFERROR(__xludf.DUMMYFUNCTION("""COMPUTED_VALUE"""),"")</f>
        <v/>
      </c>
      <c r="AT35" s="105" t="str">
        <f>IFERROR(__xludf.DUMMYFUNCTION("""COMPUTED_VALUE"""),"")</f>
        <v/>
      </c>
      <c r="AU35" s="104" t="str">
        <f>IFERROR(__xludf.DUMMYFUNCTION("""COMPUTED_VALUE"""),"")</f>
        <v/>
      </c>
      <c r="AV35" s="104">
        <f>IFERROR(__xludf.DUMMYFUNCTION("""COMPUTED_VALUE"""),65.6)</f>
        <v>65.6</v>
      </c>
      <c r="AW35" s="105">
        <f>IFERROR(__xludf.DUMMYFUNCTION("""COMPUTED_VALUE"""),233.0)</f>
        <v>233</v>
      </c>
      <c r="AX35" s="104" t="str">
        <f>IFERROR(__xludf.DUMMYFUNCTION("""COMPUTED_VALUE"""),"")</f>
        <v/>
      </c>
      <c r="AY35" s="104" t="str">
        <f>IFERROR(__xludf.DUMMYFUNCTION("""COMPUTED_VALUE"""),"")</f>
        <v/>
      </c>
      <c r="AZ35" s="105" t="str">
        <f>IFERROR(__xludf.DUMMYFUNCTION("""COMPUTED_VALUE"""),"")</f>
        <v/>
      </c>
      <c r="BA35" s="104" t="str">
        <f>IFERROR(__xludf.DUMMYFUNCTION("""COMPUTED_VALUE"""),"")</f>
        <v/>
      </c>
      <c r="BB35" s="104" t="str">
        <f>IFERROR(__xludf.DUMMYFUNCTION("""COMPUTED_VALUE"""),"")</f>
        <v/>
      </c>
      <c r="BC35" s="105" t="str">
        <f>IFERROR(__xludf.DUMMYFUNCTION("""COMPUTED_VALUE"""),"")</f>
        <v/>
      </c>
      <c r="BD35" s="104" t="str">
        <f>IFERROR(__xludf.DUMMYFUNCTION("""COMPUTED_VALUE"""),"")</f>
        <v/>
      </c>
      <c r="BE35" s="104" t="str">
        <f>IFERROR(__xludf.DUMMYFUNCTION("""COMPUTED_VALUE"""),"")</f>
        <v/>
      </c>
      <c r="BF35" s="105">
        <f>IFERROR(__xludf.DUMMYFUNCTION("""COMPUTED_VALUE"""),125.1)</f>
        <v>125.1</v>
      </c>
      <c r="BG35" s="103" t="str">
        <f>IFERROR(__xludf.DUMMYFUNCTION("""COMPUTED_VALUE"""),"")</f>
        <v/>
      </c>
      <c r="BH35" s="104" t="str">
        <f>IFERROR(__xludf.DUMMYFUNCTION("""COMPUTED_VALUE"""),"")</f>
        <v/>
      </c>
      <c r="BI35" s="105" t="str">
        <f>IFERROR(__xludf.DUMMYFUNCTION("""COMPUTED_VALUE"""),"")</f>
        <v/>
      </c>
      <c r="BJ35" s="104" t="str">
        <f>IFERROR(__xludf.DUMMYFUNCTION("""COMPUTED_VALUE"""),"")</f>
        <v/>
      </c>
      <c r="BK35" s="104" t="str">
        <f>IFERROR(__xludf.DUMMYFUNCTION("""COMPUTED_VALUE"""),"")</f>
        <v/>
      </c>
      <c r="BL35" s="105" t="str">
        <f>IFERROR(__xludf.DUMMYFUNCTION("""COMPUTED_VALUE"""),"")</f>
        <v/>
      </c>
      <c r="BM35" s="104">
        <f>IFERROR(__xludf.DUMMYFUNCTION("""COMPUTED_VALUE"""),24.8)</f>
        <v>24.8</v>
      </c>
      <c r="BN35" s="104" t="str">
        <f>IFERROR(__xludf.DUMMYFUNCTION("""COMPUTED_VALUE"""),"")</f>
        <v/>
      </c>
      <c r="BO35" s="105" t="str">
        <f>IFERROR(__xludf.DUMMYFUNCTION("""COMPUTED_VALUE"""),"")</f>
        <v/>
      </c>
      <c r="BP35" s="104" t="str">
        <f>IFERROR(__xludf.DUMMYFUNCTION("""COMPUTED_VALUE"""),"")</f>
        <v/>
      </c>
      <c r="BQ35" s="104" t="str">
        <f>IFERROR(__xludf.DUMMYFUNCTION("""COMPUTED_VALUE"""),"")</f>
        <v/>
      </c>
      <c r="BR35" s="105" t="str">
        <f>IFERROR(__xludf.DUMMYFUNCTION("""COMPUTED_VALUE"""),"")</f>
        <v/>
      </c>
      <c r="BS35" s="104" t="str">
        <f>IFERROR(__xludf.DUMMYFUNCTION("""COMPUTED_VALUE"""),"")</f>
        <v/>
      </c>
      <c r="BT35" s="104">
        <f>IFERROR(__xludf.DUMMYFUNCTION("""COMPUTED_VALUE"""),127.5)</f>
        <v>127.5</v>
      </c>
      <c r="BU35" s="105" t="str">
        <f>IFERROR(__xludf.DUMMYFUNCTION("""COMPUTED_VALUE"""),"")</f>
        <v/>
      </c>
      <c r="BV35" s="104" t="str">
        <f>IFERROR(__xludf.DUMMYFUNCTION("""COMPUTED_VALUE"""),"")</f>
        <v/>
      </c>
      <c r="BW35" s="104" t="str">
        <f>IFERROR(__xludf.DUMMYFUNCTION("""COMPUTED_VALUE"""),"")</f>
        <v/>
      </c>
      <c r="BX35" s="105" t="str">
        <f>IFERROR(__xludf.DUMMYFUNCTION("""COMPUTED_VALUE"""),"")</f>
        <v/>
      </c>
      <c r="BY35" s="104" t="str">
        <f>IFERROR(__xludf.DUMMYFUNCTION("""COMPUTED_VALUE"""),"")</f>
        <v/>
      </c>
      <c r="BZ35" s="104" t="str">
        <f>IFERROR(__xludf.DUMMYFUNCTION("""COMPUTED_VALUE"""),"")</f>
        <v/>
      </c>
      <c r="CA35" s="105">
        <f>IFERROR(__xludf.DUMMYFUNCTION("""COMPUTED_VALUE"""),81.3)</f>
        <v>81.3</v>
      </c>
      <c r="CB35" s="103" t="str">
        <f>IFERROR(__xludf.DUMMYFUNCTION("""COMPUTED_VALUE"""),"")</f>
        <v/>
      </c>
      <c r="CC35" s="104" t="str">
        <f>IFERROR(__xludf.DUMMYFUNCTION("""COMPUTED_VALUE"""),"")</f>
        <v/>
      </c>
      <c r="CD35" s="105" t="str">
        <f>IFERROR(__xludf.DUMMYFUNCTION("""COMPUTED_VALUE"""),"")</f>
        <v/>
      </c>
      <c r="CE35" s="104" t="str">
        <f>IFERROR(__xludf.DUMMYFUNCTION("""COMPUTED_VALUE"""),"")</f>
        <v/>
      </c>
      <c r="CF35" s="104" t="str">
        <f>IFERROR(__xludf.DUMMYFUNCTION("""COMPUTED_VALUE"""),"")</f>
        <v/>
      </c>
      <c r="CG35" s="105" t="str">
        <f>IFERROR(__xludf.DUMMYFUNCTION("""COMPUTED_VALUE"""),"")</f>
        <v/>
      </c>
      <c r="CH35" s="104">
        <f>IFERROR(__xludf.DUMMYFUNCTION("""COMPUTED_VALUE"""),28.8)</f>
        <v>28.8</v>
      </c>
      <c r="CI35" s="104" t="str">
        <f>IFERROR(__xludf.DUMMYFUNCTION("""COMPUTED_VALUE"""),"")</f>
        <v/>
      </c>
      <c r="CJ35" s="105" t="str">
        <f>IFERROR(__xludf.DUMMYFUNCTION("""COMPUTED_VALUE"""),"")</f>
        <v/>
      </c>
      <c r="CK35" s="104" t="str">
        <f>IFERROR(__xludf.DUMMYFUNCTION("""COMPUTED_VALUE"""),"")</f>
        <v/>
      </c>
      <c r="CL35" s="104" t="str">
        <f>IFERROR(__xludf.DUMMYFUNCTION("""COMPUTED_VALUE"""),"")</f>
        <v/>
      </c>
      <c r="CM35" s="105" t="str">
        <f>IFERROR(__xludf.DUMMYFUNCTION("""COMPUTED_VALUE"""),"")</f>
        <v/>
      </c>
      <c r="CN35" s="104" t="str">
        <f>IFERROR(__xludf.DUMMYFUNCTION("""COMPUTED_VALUE"""),"")</f>
        <v/>
      </c>
      <c r="CO35" s="104" t="str">
        <f>IFERROR(__xludf.DUMMYFUNCTION("""COMPUTED_VALUE"""),"")</f>
        <v/>
      </c>
      <c r="CP35" s="105" t="str">
        <f>IFERROR(__xludf.DUMMYFUNCTION("""COMPUTED_VALUE"""),"")</f>
        <v/>
      </c>
      <c r="CQ35" s="104" t="str">
        <f>IFERROR(__xludf.DUMMYFUNCTION("""COMPUTED_VALUE"""),"")</f>
        <v/>
      </c>
      <c r="CR35" s="104" t="str">
        <f>IFERROR(__xludf.DUMMYFUNCTION("""COMPUTED_VALUE"""),"")</f>
        <v/>
      </c>
      <c r="CS35" s="105"/>
      <c r="CT35" s="104"/>
      <c r="CU35" s="104"/>
      <c r="CV35" s="105"/>
      <c r="CW35" s="104"/>
      <c r="CX35" s="104"/>
      <c r="CY35" s="105"/>
      <c r="CZ35" s="104"/>
      <c r="DA35" s="104"/>
      <c r="DB35" s="105"/>
      <c r="DC35" s="104"/>
      <c r="DD35" s="104"/>
      <c r="DE35" s="105"/>
      <c r="DF35" s="104"/>
      <c r="DG35" s="104"/>
      <c r="DH35" s="105"/>
      <c r="DI35" s="104"/>
      <c r="DJ35" s="104"/>
      <c r="DK35" s="105"/>
      <c r="DL35" s="104"/>
      <c r="DM35" s="104"/>
      <c r="DN35" s="105"/>
      <c r="DO35" s="104"/>
      <c r="DP35" s="104"/>
      <c r="DQ35" s="105"/>
      <c r="DR35" s="104"/>
      <c r="DS35" s="104"/>
      <c r="DT35" s="105"/>
    </row>
    <row r="36">
      <c r="B36" s="83" t="str">
        <f>IFERROR(__xludf.DUMMYFUNCTION("""COMPUTED_VALUE"""),"TRF16")</f>
        <v>TRF16</v>
      </c>
      <c r="C36" s="82">
        <f>IFERROR(__xludf.DUMMYFUNCTION("""COMPUTED_VALUE"""),16.0)</f>
        <v>16</v>
      </c>
      <c r="D36" s="88" t="str">
        <f>IFERROR(__xludf.DUMMYFUNCTION("""COMPUTED_VALUE"""),"THU Rider Training Ground- Exp")</f>
        <v>THU Rider Training Ground- Exp</v>
      </c>
      <c r="E36" s="82" t="str">
        <f>IFERROR(__xludf.DUMMYFUNCTION("""COMPUTED_VALUE"""),"騎超級")</f>
        <v>騎超級</v>
      </c>
      <c r="F36" s="102">
        <f>IFERROR(__xludf.DUMMYFUNCTION("""COMPUTED_VALUE"""),40.0)</f>
        <v>40</v>
      </c>
      <c r="G36" s="82">
        <f>IFERROR(__xludf.DUMMYFUNCTION("""COMPUTED_VALUE"""),4052.0)</f>
        <v>4052</v>
      </c>
      <c r="H36" s="95" t="str">
        <f>IFERROR(__xludf.DUMMYFUNCTION("""COMPUTED_VALUE"""),"")</f>
        <v/>
      </c>
      <c r="I36" s="96" t="str">
        <f>IFERROR(__xludf.DUMMYFUNCTION("""COMPUTED_VALUE"""),"")</f>
        <v/>
      </c>
      <c r="J36" s="97">
        <f>IFERROR(__xludf.DUMMYFUNCTION("""COMPUTED_VALUE"""),542.1)</f>
        <v>542.1</v>
      </c>
      <c r="K36" s="95" t="str">
        <f>IFERROR(__xludf.DUMMYFUNCTION("""COMPUTED_VALUE"""),"")</f>
        <v/>
      </c>
      <c r="L36" s="96" t="str">
        <f>IFERROR(__xludf.DUMMYFUNCTION("""COMPUTED_VALUE"""),"")</f>
        <v/>
      </c>
      <c r="M36" s="97" t="str">
        <f>IFERROR(__xludf.DUMMYFUNCTION("""COMPUTED_VALUE"""),"")</f>
        <v/>
      </c>
      <c r="N36" s="95" t="str">
        <f>IFERROR(__xludf.DUMMYFUNCTION("""COMPUTED_VALUE"""),"")</f>
        <v/>
      </c>
      <c r="O36" s="96" t="str">
        <f>IFERROR(__xludf.DUMMYFUNCTION("""COMPUTED_VALUE"""),"")</f>
        <v/>
      </c>
      <c r="P36" s="97" t="str">
        <f>IFERROR(__xludf.DUMMYFUNCTION("""COMPUTED_VALUE"""),"")</f>
        <v/>
      </c>
      <c r="Q36" s="95" t="str">
        <f>IFERROR(__xludf.DUMMYFUNCTION("""COMPUTED_VALUE"""),"")</f>
        <v/>
      </c>
      <c r="R36" s="96" t="str">
        <f>IFERROR(__xludf.DUMMYFUNCTION("""COMPUTED_VALUE"""),"")</f>
        <v/>
      </c>
      <c r="S36" s="97" t="str">
        <f>IFERROR(__xludf.DUMMYFUNCTION("""COMPUTED_VALUE"""),"")</f>
        <v/>
      </c>
      <c r="T36" s="95" t="str">
        <f>IFERROR(__xludf.DUMMYFUNCTION("""COMPUTED_VALUE"""),"")</f>
        <v/>
      </c>
      <c r="U36" s="96" t="str">
        <f>IFERROR(__xludf.DUMMYFUNCTION("""COMPUTED_VALUE"""),"")</f>
        <v/>
      </c>
      <c r="V36" s="97" t="str">
        <f>IFERROR(__xludf.DUMMYFUNCTION("""COMPUTED_VALUE"""),"")</f>
        <v/>
      </c>
      <c r="W36" s="95" t="str">
        <f>IFERROR(__xludf.DUMMYFUNCTION("""COMPUTED_VALUE"""),"")</f>
        <v/>
      </c>
      <c r="X36" s="96" t="str">
        <f>IFERROR(__xludf.DUMMYFUNCTION("""COMPUTED_VALUE"""),"")</f>
        <v/>
      </c>
      <c r="Y36" s="97" t="str">
        <f>IFERROR(__xludf.DUMMYFUNCTION("""COMPUTED_VALUE"""),"")</f>
        <v/>
      </c>
      <c r="Z36" s="95" t="str">
        <f>IFERROR(__xludf.DUMMYFUNCTION("""COMPUTED_VALUE"""),"")</f>
        <v/>
      </c>
      <c r="AA36" s="96" t="str">
        <f>IFERROR(__xludf.DUMMYFUNCTION("""COMPUTED_VALUE"""),"")</f>
        <v/>
      </c>
      <c r="AB36" s="97" t="str">
        <f>IFERROR(__xludf.DUMMYFUNCTION("""COMPUTED_VALUE"""),"")</f>
        <v/>
      </c>
      <c r="AC36" s="95" t="str">
        <f>IFERROR(__xludf.DUMMYFUNCTION("""COMPUTED_VALUE"""),"")</f>
        <v/>
      </c>
      <c r="AD36" s="96" t="str">
        <f>IFERROR(__xludf.DUMMYFUNCTION("""COMPUTED_VALUE"""),"")</f>
        <v/>
      </c>
      <c r="AE36" s="97" t="str">
        <f>IFERROR(__xludf.DUMMYFUNCTION("""COMPUTED_VALUE"""),"")</f>
        <v/>
      </c>
      <c r="AF36" s="95" t="str">
        <f>IFERROR(__xludf.DUMMYFUNCTION("""COMPUTED_VALUE"""),"")</f>
        <v/>
      </c>
      <c r="AG36" s="96" t="str">
        <f>IFERROR(__xludf.DUMMYFUNCTION("""COMPUTED_VALUE"""),"")</f>
        <v/>
      </c>
      <c r="AH36" s="97">
        <f>IFERROR(__xludf.DUMMYFUNCTION("""COMPUTED_VALUE"""),206.5)</f>
        <v>206.5</v>
      </c>
      <c r="AI36" s="92" t="str">
        <f>IFERROR(__xludf.DUMMYFUNCTION("""COMPUTED_VALUE"""),"")</f>
        <v/>
      </c>
      <c r="AJ36" s="93" t="str">
        <f>IFERROR(__xludf.DUMMYFUNCTION("""COMPUTED_VALUE"""),"")</f>
        <v/>
      </c>
      <c r="AK36" s="94" t="str">
        <f>IFERROR(__xludf.DUMMYFUNCTION("""COMPUTED_VALUE"""),"")</f>
        <v/>
      </c>
      <c r="AL36" s="93" t="str">
        <f>IFERROR(__xludf.DUMMYFUNCTION("""COMPUTED_VALUE"""),"")</f>
        <v/>
      </c>
      <c r="AM36" s="93" t="str">
        <f>IFERROR(__xludf.DUMMYFUNCTION("""COMPUTED_VALUE"""),"")</f>
        <v/>
      </c>
      <c r="AN36" s="94" t="str">
        <f>IFERROR(__xludf.DUMMYFUNCTION("""COMPUTED_VALUE"""),"")</f>
        <v/>
      </c>
      <c r="AO36" s="93" t="str">
        <f>IFERROR(__xludf.DUMMYFUNCTION("""COMPUTED_VALUE"""),"")</f>
        <v/>
      </c>
      <c r="AP36" s="93" t="str">
        <f>IFERROR(__xludf.DUMMYFUNCTION("""COMPUTED_VALUE"""),"")</f>
        <v/>
      </c>
      <c r="AQ36" s="94" t="str">
        <f>IFERROR(__xludf.DUMMYFUNCTION("""COMPUTED_VALUE"""),"")</f>
        <v/>
      </c>
      <c r="AR36" s="93" t="str">
        <f>IFERROR(__xludf.DUMMYFUNCTION("""COMPUTED_VALUE"""),"")</f>
        <v/>
      </c>
      <c r="AS36" s="93" t="str">
        <f>IFERROR(__xludf.DUMMYFUNCTION("""COMPUTED_VALUE"""),"")</f>
        <v/>
      </c>
      <c r="AT36" s="94" t="str">
        <f>IFERROR(__xludf.DUMMYFUNCTION("""COMPUTED_VALUE"""),"")</f>
        <v/>
      </c>
      <c r="AU36" s="93" t="str">
        <f>IFERROR(__xludf.DUMMYFUNCTION("""COMPUTED_VALUE"""),"")</f>
        <v/>
      </c>
      <c r="AV36" s="93">
        <f>IFERROR(__xludf.DUMMYFUNCTION("""COMPUTED_VALUE"""),85.7)</f>
        <v>85.7</v>
      </c>
      <c r="AW36" s="94">
        <f>IFERROR(__xludf.DUMMYFUNCTION("""COMPUTED_VALUE"""),241.5)</f>
        <v>241.5</v>
      </c>
      <c r="AX36" s="93" t="str">
        <f>IFERROR(__xludf.DUMMYFUNCTION("""COMPUTED_VALUE"""),"")</f>
        <v/>
      </c>
      <c r="AY36" s="93" t="str">
        <f>IFERROR(__xludf.DUMMYFUNCTION("""COMPUTED_VALUE"""),"")</f>
        <v/>
      </c>
      <c r="AZ36" s="94" t="str">
        <f>IFERROR(__xludf.DUMMYFUNCTION("""COMPUTED_VALUE"""),"")</f>
        <v/>
      </c>
      <c r="BA36" s="93" t="str">
        <f>IFERROR(__xludf.DUMMYFUNCTION("""COMPUTED_VALUE"""),"")</f>
        <v/>
      </c>
      <c r="BB36" s="93" t="str">
        <f>IFERROR(__xludf.DUMMYFUNCTION("""COMPUTED_VALUE"""),"")</f>
        <v/>
      </c>
      <c r="BC36" s="94" t="str">
        <f>IFERROR(__xludf.DUMMYFUNCTION("""COMPUTED_VALUE"""),"")</f>
        <v/>
      </c>
      <c r="BD36" s="93" t="str">
        <f>IFERROR(__xludf.DUMMYFUNCTION("""COMPUTED_VALUE"""),"")</f>
        <v/>
      </c>
      <c r="BE36" s="93" t="str">
        <f>IFERROR(__xludf.DUMMYFUNCTION("""COMPUTED_VALUE"""),"")</f>
        <v/>
      </c>
      <c r="BF36" s="94">
        <f>IFERROR(__xludf.DUMMYFUNCTION("""COMPUTED_VALUE"""),101.2)</f>
        <v>101.2</v>
      </c>
      <c r="BG36" s="92" t="str">
        <f>IFERROR(__xludf.DUMMYFUNCTION("""COMPUTED_VALUE"""),"")</f>
        <v/>
      </c>
      <c r="BH36" s="93" t="str">
        <f>IFERROR(__xludf.DUMMYFUNCTION("""COMPUTED_VALUE"""),"")</f>
        <v/>
      </c>
      <c r="BI36" s="94" t="str">
        <f>IFERROR(__xludf.DUMMYFUNCTION("""COMPUTED_VALUE"""),"")</f>
        <v/>
      </c>
      <c r="BJ36" s="93" t="str">
        <f>IFERROR(__xludf.DUMMYFUNCTION("""COMPUTED_VALUE"""),"")</f>
        <v/>
      </c>
      <c r="BK36" s="93" t="str">
        <f>IFERROR(__xludf.DUMMYFUNCTION("""COMPUTED_VALUE"""),"")</f>
        <v/>
      </c>
      <c r="BL36" s="94" t="str">
        <f>IFERROR(__xludf.DUMMYFUNCTION("""COMPUTED_VALUE"""),"")</f>
        <v/>
      </c>
      <c r="BM36" s="93">
        <f>IFERROR(__xludf.DUMMYFUNCTION("""COMPUTED_VALUE"""),42.1)</f>
        <v>42.1</v>
      </c>
      <c r="BN36" s="93" t="str">
        <f>IFERROR(__xludf.DUMMYFUNCTION("""COMPUTED_VALUE"""),"")</f>
        <v/>
      </c>
      <c r="BO36" s="94" t="str">
        <f>IFERROR(__xludf.DUMMYFUNCTION("""COMPUTED_VALUE"""),"")</f>
        <v/>
      </c>
      <c r="BP36" s="93" t="str">
        <f>IFERROR(__xludf.DUMMYFUNCTION("""COMPUTED_VALUE"""),"")</f>
        <v/>
      </c>
      <c r="BQ36" s="93" t="str">
        <f>IFERROR(__xludf.DUMMYFUNCTION("""COMPUTED_VALUE"""),"")</f>
        <v/>
      </c>
      <c r="BR36" s="94" t="str">
        <f>IFERROR(__xludf.DUMMYFUNCTION("""COMPUTED_VALUE"""),"")</f>
        <v/>
      </c>
      <c r="BS36" s="93" t="str">
        <f>IFERROR(__xludf.DUMMYFUNCTION("""COMPUTED_VALUE"""),"")</f>
        <v/>
      </c>
      <c r="BT36" s="93">
        <f>IFERROR(__xludf.DUMMYFUNCTION("""COMPUTED_VALUE"""),180.7)</f>
        <v>180.7</v>
      </c>
      <c r="BU36" s="94" t="str">
        <f>IFERROR(__xludf.DUMMYFUNCTION("""COMPUTED_VALUE"""),"")</f>
        <v/>
      </c>
      <c r="BV36" s="93" t="str">
        <f>IFERROR(__xludf.DUMMYFUNCTION("""COMPUTED_VALUE"""),"")</f>
        <v/>
      </c>
      <c r="BW36" s="93" t="str">
        <f>IFERROR(__xludf.DUMMYFUNCTION("""COMPUTED_VALUE"""),"")</f>
        <v/>
      </c>
      <c r="BX36" s="94" t="str">
        <f>IFERROR(__xludf.DUMMYFUNCTION("""COMPUTED_VALUE"""),"")</f>
        <v/>
      </c>
      <c r="BY36" s="93" t="str">
        <f>IFERROR(__xludf.DUMMYFUNCTION("""COMPUTED_VALUE"""),"")</f>
        <v/>
      </c>
      <c r="BZ36" s="93" t="str">
        <f>IFERROR(__xludf.DUMMYFUNCTION("""COMPUTED_VALUE"""),"")</f>
        <v/>
      </c>
      <c r="CA36" s="94">
        <f>IFERROR(__xludf.DUMMYFUNCTION("""COMPUTED_VALUE"""),68.6)</f>
        <v>68.6</v>
      </c>
      <c r="CB36" s="92" t="str">
        <f>IFERROR(__xludf.DUMMYFUNCTION("""COMPUTED_VALUE"""),"")</f>
        <v/>
      </c>
      <c r="CC36" s="93" t="str">
        <f>IFERROR(__xludf.DUMMYFUNCTION("""COMPUTED_VALUE"""),"")</f>
        <v/>
      </c>
      <c r="CD36" s="94" t="str">
        <f>IFERROR(__xludf.DUMMYFUNCTION("""COMPUTED_VALUE"""),"")</f>
        <v/>
      </c>
      <c r="CE36" s="93" t="str">
        <f>IFERROR(__xludf.DUMMYFUNCTION("""COMPUTED_VALUE"""),"")</f>
        <v/>
      </c>
      <c r="CF36" s="93" t="str">
        <f>IFERROR(__xludf.DUMMYFUNCTION("""COMPUTED_VALUE"""),"")</f>
        <v/>
      </c>
      <c r="CG36" s="94" t="str">
        <f>IFERROR(__xludf.DUMMYFUNCTION("""COMPUTED_VALUE"""),"")</f>
        <v/>
      </c>
      <c r="CH36" s="93">
        <f>IFERROR(__xludf.DUMMYFUNCTION("""COMPUTED_VALUE"""),51.6)</f>
        <v>51.6</v>
      </c>
      <c r="CI36" s="93" t="str">
        <f>IFERROR(__xludf.DUMMYFUNCTION("""COMPUTED_VALUE"""),"")</f>
        <v/>
      </c>
      <c r="CJ36" s="94" t="str">
        <f>IFERROR(__xludf.DUMMYFUNCTION("""COMPUTED_VALUE"""),"")</f>
        <v/>
      </c>
      <c r="CK36" s="93" t="str">
        <f>IFERROR(__xludf.DUMMYFUNCTION("""COMPUTED_VALUE"""),"")</f>
        <v/>
      </c>
      <c r="CL36" s="93" t="str">
        <f>IFERROR(__xludf.DUMMYFUNCTION("""COMPUTED_VALUE"""),"")</f>
        <v/>
      </c>
      <c r="CM36" s="94" t="str">
        <f>IFERROR(__xludf.DUMMYFUNCTION("""COMPUTED_VALUE"""),"")</f>
        <v/>
      </c>
      <c r="CN36" s="93" t="str">
        <f>IFERROR(__xludf.DUMMYFUNCTION("""COMPUTED_VALUE"""),"")</f>
        <v/>
      </c>
      <c r="CO36" s="93" t="str">
        <f>IFERROR(__xludf.DUMMYFUNCTION("""COMPUTED_VALUE"""),"")</f>
        <v/>
      </c>
      <c r="CP36" s="94" t="str">
        <f>IFERROR(__xludf.DUMMYFUNCTION("""COMPUTED_VALUE"""),"")</f>
        <v/>
      </c>
      <c r="CQ36" s="93" t="str">
        <f>IFERROR(__xludf.DUMMYFUNCTION("""COMPUTED_VALUE"""),"")</f>
        <v/>
      </c>
      <c r="CR36" s="93" t="str">
        <f>IFERROR(__xludf.DUMMYFUNCTION("""COMPUTED_VALUE"""),"")</f>
        <v/>
      </c>
      <c r="CS36" s="94"/>
      <c r="CT36" s="93"/>
      <c r="CU36" s="93"/>
      <c r="CV36" s="94"/>
      <c r="CW36" s="93"/>
      <c r="CX36" s="93"/>
      <c r="CY36" s="94"/>
      <c r="CZ36" s="93"/>
      <c r="DA36" s="93"/>
      <c r="DB36" s="94"/>
      <c r="DC36" s="93"/>
      <c r="DD36" s="93"/>
      <c r="DE36" s="94"/>
      <c r="DF36" s="93"/>
      <c r="DG36" s="93"/>
      <c r="DH36" s="94"/>
      <c r="DI36" s="93"/>
      <c r="DJ36" s="93"/>
      <c r="DK36" s="94"/>
      <c r="DL36" s="93"/>
      <c r="DM36" s="93"/>
      <c r="DN36" s="94"/>
      <c r="DO36" s="93"/>
      <c r="DP36" s="93"/>
      <c r="DQ36" s="94"/>
      <c r="DR36" s="93"/>
      <c r="DS36" s="93"/>
      <c r="DT36" s="94"/>
    </row>
    <row r="37">
      <c r="B37" s="83" t="str">
        <f>IFERROR(__xludf.DUMMYFUNCTION("""COMPUTED_VALUE"""),"TRF17")</f>
        <v>TRF17</v>
      </c>
      <c r="C37" s="82">
        <f>IFERROR(__xludf.DUMMYFUNCTION("""COMPUTED_VALUE"""),23.0)</f>
        <v>23</v>
      </c>
      <c r="D37" s="88" t="str">
        <f>IFERROR(__xludf.DUMMYFUNCTION("""COMPUTED_VALUE"""),"FRI Caster Training Ground- Nov")</f>
        <v>FRI Caster Training Ground- Nov</v>
      </c>
      <c r="E37" s="82" t="str">
        <f>IFERROR(__xludf.DUMMYFUNCTION("""COMPUTED_VALUE"""),"術初級")</f>
        <v>術初級</v>
      </c>
      <c r="F37" s="102">
        <f>IFERROR(__xludf.DUMMYFUNCTION("""COMPUTED_VALUE"""),10.0)</f>
        <v>10</v>
      </c>
      <c r="G37" s="82">
        <f>IFERROR(__xludf.DUMMYFUNCTION("""COMPUTED_VALUE"""),2983.0)</f>
        <v>2983</v>
      </c>
      <c r="H37" s="95" t="str">
        <f>IFERROR(__xludf.DUMMYFUNCTION("""COMPUTED_VALUE"""),"")</f>
        <v/>
      </c>
      <c r="I37" s="96" t="str">
        <f>IFERROR(__xludf.DUMMYFUNCTION("""COMPUTED_VALUE"""),"")</f>
        <v/>
      </c>
      <c r="J37" s="97" t="str">
        <f>IFERROR(__xludf.DUMMYFUNCTION("""COMPUTED_VALUE"""),"")</f>
        <v/>
      </c>
      <c r="K37" s="95" t="str">
        <f>IFERROR(__xludf.DUMMYFUNCTION("""COMPUTED_VALUE"""),"")</f>
        <v/>
      </c>
      <c r="L37" s="96" t="str">
        <f>IFERROR(__xludf.DUMMYFUNCTION("""COMPUTED_VALUE"""),"")</f>
        <v/>
      </c>
      <c r="M37" s="97" t="str">
        <f>IFERROR(__xludf.DUMMYFUNCTION("""COMPUTED_VALUE"""),"")</f>
        <v/>
      </c>
      <c r="N37" s="95" t="str">
        <f>IFERROR(__xludf.DUMMYFUNCTION("""COMPUTED_VALUE"""),"")</f>
        <v/>
      </c>
      <c r="O37" s="96" t="str">
        <f>IFERROR(__xludf.DUMMYFUNCTION("""COMPUTED_VALUE"""),"")</f>
        <v/>
      </c>
      <c r="P37" s="97" t="str">
        <f>IFERROR(__xludf.DUMMYFUNCTION("""COMPUTED_VALUE"""),"")</f>
        <v/>
      </c>
      <c r="Q37" s="95" t="str">
        <f>IFERROR(__xludf.DUMMYFUNCTION("""COMPUTED_VALUE"""),"")</f>
        <v/>
      </c>
      <c r="R37" s="96" t="str">
        <f>IFERROR(__xludf.DUMMYFUNCTION("""COMPUTED_VALUE"""),"")</f>
        <v/>
      </c>
      <c r="S37" s="97" t="str">
        <f>IFERROR(__xludf.DUMMYFUNCTION("""COMPUTED_VALUE"""),"")</f>
        <v/>
      </c>
      <c r="T37" s="95" t="str">
        <f>IFERROR(__xludf.DUMMYFUNCTION("""COMPUTED_VALUE"""),"")</f>
        <v/>
      </c>
      <c r="U37" s="96" t="str">
        <f>IFERROR(__xludf.DUMMYFUNCTION("""COMPUTED_VALUE"""),"")</f>
        <v/>
      </c>
      <c r="V37" s="97" t="str">
        <f>IFERROR(__xludf.DUMMYFUNCTION("""COMPUTED_VALUE"""),"")</f>
        <v/>
      </c>
      <c r="W37" s="95" t="str">
        <f>IFERROR(__xludf.DUMMYFUNCTION("""COMPUTED_VALUE"""),"")</f>
        <v/>
      </c>
      <c r="X37" s="96" t="str">
        <f>IFERROR(__xludf.DUMMYFUNCTION("""COMPUTED_VALUE"""),"")</f>
        <v/>
      </c>
      <c r="Y37" s="97" t="str">
        <f>IFERROR(__xludf.DUMMYFUNCTION("""COMPUTED_VALUE"""),"")</f>
        <v/>
      </c>
      <c r="Z37" s="95" t="str">
        <f>IFERROR(__xludf.DUMMYFUNCTION("""COMPUTED_VALUE"""),"")</f>
        <v/>
      </c>
      <c r="AA37" s="96" t="str">
        <f>IFERROR(__xludf.DUMMYFUNCTION("""COMPUTED_VALUE"""),"")</f>
        <v/>
      </c>
      <c r="AB37" s="97" t="str">
        <f>IFERROR(__xludf.DUMMYFUNCTION("""COMPUTED_VALUE"""),"")</f>
        <v/>
      </c>
      <c r="AC37" s="95">
        <f>IFERROR(__xludf.DUMMYFUNCTION("""COMPUTED_VALUE"""),125.8)</f>
        <v>125.8</v>
      </c>
      <c r="AD37" s="96" t="str">
        <f>IFERROR(__xludf.DUMMYFUNCTION("""COMPUTED_VALUE"""),"")</f>
        <v/>
      </c>
      <c r="AE37" s="97" t="str">
        <f>IFERROR(__xludf.DUMMYFUNCTION("""COMPUTED_VALUE"""),"")</f>
        <v/>
      </c>
      <c r="AF37" s="95">
        <f>IFERROR(__xludf.DUMMYFUNCTION("""COMPUTED_VALUE"""),210.2)</f>
        <v>210.2</v>
      </c>
      <c r="AG37" s="96" t="str">
        <f>IFERROR(__xludf.DUMMYFUNCTION("""COMPUTED_VALUE"""),"")</f>
        <v/>
      </c>
      <c r="AH37" s="97" t="str">
        <f>IFERROR(__xludf.DUMMYFUNCTION("""COMPUTED_VALUE"""),"")</f>
        <v/>
      </c>
      <c r="AI37" s="103" t="str">
        <f>IFERROR(__xludf.DUMMYFUNCTION("""COMPUTED_VALUE"""),"")</f>
        <v/>
      </c>
      <c r="AJ37" s="104" t="str">
        <f>IFERROR(__xludf.DUMMYFUNCTION("""COMPUTED_VALUE"""),"")</f>
        <v/>
      </c>
      <c r="AK37" s="105" t="str">
        <f>IFERROR(__xludf.DUMMYFUNCTION("""COMPUTED_VALUE"""),"")</f>
        <v/>
      </c>
      <c r="AL37" s="104" t="str">
        <f>IFERROR(__xludf.DUMMYFUNCTION("""COMPUTED_VALUE"""),"")</f>
        <v/>
      </c>
      <c r="AM37" s="104" t="str">
        <f>IFERROR(__xludf.DUMMYFUNCTION("""COMPUTED_VALUE"""),"")</f>
        <v/>
      </c>
      <c r="AN37" s="105" t="str">
        <f>IFERROR(__xludf.DUMMYFUNCTION("""COMPUTED_VALUE"""),"")</f>
        <v/>
      </c>
      <c r="AO37" s="104" t="str">
        <f>IFERROR(__xludf.DUMMYFUNCTION("""COMPUTED_VALUE"""),"")</f>
        <v/>
      </c>
      <c r="AP37" s="104" t="str">
        <f>IFERROR(__xludf.DUMMYFUNCTION("""COMPUTED_VALUE"""),"")</f>
        <v/>
      </c>
      <c r="AQ37" s="105" t="str">
        <f>IFERROR(__xludf.DUMMYFUNCTION("""COMPUTED_VALUE"""),"")</f>
        <v/>
      </c>
      <c r="AR37" s="104" t="str">
        <f>IFERROR(__xludf.DUMMYFUNCTION("""COMPUTED_VALUE"""),"")</f>
        <v/>
      </c>
      <c r="AS37" s="104" t="str">
        <f>IFERROR(__xludf.DUMMYFUNCTION("""COMPUTED_VALUE"""),"")</f>
        <v/>
      </c>
      <c r="AT37" s="105" t="str">
        <f>IFERROR(__xludf.DUMMYFUNCTION("""COMPUTED_VALUE"""),"")</f>
        <v/>
      </c>
      <c r="AU37" s="104" t="str">
        <f>IFERROR(__xludf.DUMMYFUNCTION("""COMPUTED_VALUE"""),"")</f>
        <v/>
      </c>
      <c r="AV37" s="104" t="str">
        <f>IFERROR(__xludf.DUMMYFUNCTION("""COMPUTED_VALUE"""),"")</f>
        <v/>
      </c>
      <c r="AW37" s="105">
        <f>IFERROR(__xludf.DUMMYFUNCTION("""COMPUTED_VALUE"""),74.7)</f>
        <v>74.7</v>
      </c>
      <c r="AX37" s="104" t="str">
        <f>IFERROR(__xludf.DUMMYFUNCTION("""COMPUTED_VALUE"""),"")</f>
        <v/>
      </c>
      <c r="AY37" s="104" t="str">
        <f>IFERROR(__xludf.DUMMYFUNCTION("""COMPUTED_VALUE"""),"")</f>
        <v/>
      </c>
      <c r="AZ37" s="105" t="str">
        <f>IFERROR(__xludf.DUMMYFUNCTION("""COMPUTED_VALUE"""),"")</f>
        <v/>
      </c>
      <c r="BA37" s="104" t="str">
        <f>IFERROR(__xludf.DUMMYFUNCTION("""COMPUTED_VALUE"""),"")</f>
        <v/>
      </c>
      <c r="BB37" s="104" t="str">
        <f>IFERROR(__xludf.DUMMYFUNCTION("""COMPUTED_VALUE"""),"")</f>
        <v/>
      </c>
      <c r="BC37" s="105" t="str">
        <f>IFERROR(__xludf.DUMMYFUNCTION("""COMPUTED_VALUE"""),"")</f>
        <v/>
      </c>
      <c r="BD37" s="104" t="str">
        <f>IFERROR(__xludf.DUMMYFUNCTION("""COMPUTED_VALUE"""),"")</f>
        <v/>
      </c>
      <c r="BE37" s="104" t="str">
        <f>IFERROR(__xludf.DUMMYFUNCTION("""COMPUTED_VALUE"""),"")</f>
        <v/>
      </c>
      <c r="BF37" s="105" t="str">
        <f>IFERROR(__xludf.DUMMYFUNCTION("""COMPUTED_VALUE"""),"")</f>
        <v/>
      </c>
      <c r="BG37" s="103" t="str">
        <f>IFERROR(__xludf.DUMMYFUNCTION("""COMPUTED_VALUE"""),"")</f>
        <v/>
      </c>
      <c r="BH37" s="104" t="str">
        <f>IFERROR(__xludf.DUMMYFUNCTION("""COMPUTED_VALUE"""),"")</f>
        <v/>
      </c>
      <c r="BI37" s="105" t="str">
        <f>IFERROR(__xludf.DUMMYFUNCTION("""COMPUTED_VALUE"""),"")</f>
        <v/>
      </c>
      <c r="BJ37" s="104" t="str">
        <f>IFERROR(__xludf.DUMMYFUNCTION("""COMPUTED_VALUE"""),"")</f>
        <v/>
      </c>
      <c r="BK37" s="104" t="str">
        <f>IFERROR(__xludf.DUMMYFUNCTION("""COMPUTED_VALUE"""),"")</f>
        <v/>
      </c>
      <c r="BL37" s="105" t="str">
        <f>IFERROR(__xludf.DUMMYFUNCTION("""COMPUTED_VALUE"""),"")</f>
        <v/>
      </c>
      <c r="BM37" s="104" t="str">
        <f>IFERROR(__xludf.DUMMYFUNCTION("""COMPUTED_VALUE"""),"")</f>
        <v/>
      </c>
      <c r="BN37" s="104">
        <f>IFERROR(__xludf.DUMMYFUNCTION("""COMPUTED_VALUE"""),87.5)</f>
        <v>87.5</v>
      </c>
      <c r="BO37" s="105" t="str">
        <f>IFERROR(__xludf.DUMMYFUNCTION("""COMPUTED_VALUE"""),"")</f>
        <v/>
      </c>
      <c r="BP37" s="104" t="str">
        <f>IFERROR(__xludf.DUMMYFUNCTION("""COMPUTED_VALUE"""),"")</f>
        <v/>
      </c>
      <c r="BQ37" s="104" t="str">
        <f>IFERROR(__xludf.DUMMYFUNCTION("""COMPUTED_VALUE"""),"")</f>
        <v/>
      </c>
      <c r="BR37" s="105" t="str">
        <f>IFERROR(__xludf.DUMMYFUNCTION("""COMPUTED_VALUE"""),"")</f>
        <v/>
      </c>
      <c r="BS37" s="104" t="str">
        <f>IFERROR(__xludf.DUMMYFUNCTION("""COMPUTED_VALUE"""),"")</f>
        <v/>
      </c>
      <c r="BT37" s="104" t="str">
        <f>IFERROR(__xludf.DUMMYFUNCTION("""COMPUTED_VALUE"""),"")</f>
        <v/>
      </c>
      <c r="BU37" s="105">
        <f>IFERROR(__xludf.DUMMYFUNCTION("""COMPUTED_VALUE"""),8.1)</f>
        <v>8.1</v>
      </c>
      <c r="BV37" s="104" t="str">
        <f>IFERROR(__xludf.DUMMYFUNCTION("""COMPUTED_VALUE"""),"")</f>
        <v/>
      </c>
      <c r="BW37" s="104" t="str">
        <f>IFERROR(__xludf.DUMMYFUNCTION("""COMPUTED_VALUE"""),"")</f>
        <v/>
      </c>
      <c r="BX37" s="105" t="str">
        <f>IFERROR(__xludf.DUMMYFUNCTION("""COMPUTED_VALUE"""),"")</f>
        <v/>
      </c>
      <c r="BY37" s="104" t="str">
        <f>IFERROR(__xludf.DUMMYFUNCTION("""COMPUTED_VALUE"""),"")</f>
        <v/>
      </c>
      <c r="BZ37" s="104" t="str">
        <f>IFERROR(__xludf.DUMMYFUNCTION("""COMPUTED_VALUE"""),"")</f>
        <v/>
      </c>
      <c r="CA37" s="105" t="str">
        <f>IFERROR(__xludf.DUMMYFUNCTION("""COMPUTED_VALUE"""),"")</f>
        <v/>
      </c>
      <c r="CB37" s="103">
        <f>IFERROR(__xludf.DUMMYFUNCTION("""COMPUTED_VALUE"""),530.4)</f>
        <v>530.4</v>
      </c>
      <c r="CC37" s="104" t="str">
        <f>IFERROR(__xludf.DUMMYFUNCTION("""COMPUTED_VALUE"""),"")</f>
        <v/>
      </c>
      <c r="CD37" s="105" t="str">
        <f>IFERROR(__xludf.DUMMYFUNCTION("""COMPUTED_VALUE"""),"")</f>
        <v/>
      </c>
      <c r="CE37" s="104" t="str">
        <f>IFERROR(__xludf.DUMMYFUNCTION("""COMPUTED_VALUE"""),"")</f>
        <v/>
      </c>
      <c r="CF37" s="104" t="str">
        <f>IFERROR(__xludf.DUMMYFUNCTION("""COMPUTED_VALUE"""),"")</f>
        <v/>
      </c>
      <c r="CG37" s="105" t="str">
        <f>IFERROR(__xludf.DUMMYFUNCTION("""COMPUTED_VALUE"""),"")</f>
        <v/>
      </c>
      <c r="CH37" s="104" t="str">
        <f>IFERROR(__xludf.DUMMYFUNCTION("""COMPUTED_VALUE"""),"")</f>
        <v/>
      </c>
      <c r="CI37" s="104">
        <f>IFERROR(__xludf.DUMMYFUNCTION("""COMPUTED_VALUE"""),30.8)</f>
        <v>30.8</v>
      </c>
      <c r="CJ37" s="105" t="str">
        <f>IFERROR(__xludf.DUMMYFUNCTION("""COMPUTED_VALUE"""),"")</f>
        <v/>
      </c>
      <c r="CK37" s="104" t="str">
        <f>IFERROR(__xludf.DUMMYFUNCTION("""COMPUTED_VALUE"""),"")</f>
        <v/>
      </c>
      <c r="CL37" s="104" t="str">
        <f>IFERROR(__xludf.DUMMYFUNCTION("""COMPUTED_VALUE"""),"")</f>
        <v/>
      </c>
      <c r="CM37" s="105" t="str">
        <f>IFERROR(__xludf.DUMMYFUNCTION("""COMPUTED_VALUE"""),"")</f>
        <v/>
      </c>
      <c r="CN37" s="104" t="str">
        <f>IFERROR(__xludf.DUMMYFUNCTION("""COMPUTED_VALUE"""),"")</f>
        <v/>
      </c>
      <c r="CO37" s="104" t="str">
        <f>IFERROR(__xludf.DUMMYFUNCTION("""COMPUTED_VALUE"""),"")</f>
        <v/>
      </c>
      <c r="CP37" s="105" t="str">
        <f>IFERROR(__xludf.DUMMYFUNCTION("""COMPUTED_VALUE"""),"")</f>
        <v/>
      </c>
      <c r="CQ37" s="104" t="str">
        <f>IFERROR(__xludf.DUMMYFUNCTION("""COMPUTED_VALUE"""),"")</f>
        <v/>
      </c>
      <c r="CR37" s="104" t="str">
        <f>IFERROR(__xludf.DUMMYFUNCTION("""COMPUTED_VALUE"""),"")</f>
        <v/>
      </c>
      <c r="CS37" s="105"/>
      <c r="CT37" s="104"/>
      <c r="CU37" s="104"/>
      <c r="CV37" s="105"/>
      <c r="CW37" s="104"/>
      <c r="CX37" s="104"/>
      <c r="CY37" s="105"/>
      <c r="CZ37" s="104"/>
      <c r="DA37" s="104"/>
      <c r="DB37" s="105"/>
      <c r="DC37" s="104"/>
      <c r="DD37" s="104"/>
      <c r="DE37" s="105"/>
      <c r="DF37" s="104"/>
      <c r="DG37" s="104"/>
      <c r="DH37" s="105"/>
      <c r="DI37" s="104"/>
      <c r="DJ37" s="104"/>
      <c r="DK37" s="105"/>
      <c r="DL37" s="104"/>
      <c r="DM37" s="104"/>
      <c r="DN37" s="105"/>
      <c r="DO37" s="104"/>
      <c r="DP37" s="104"/>
      <c r="DQ37" s="105"/>
      <c r="DR37" s="104"/>
      <c r="DS37" s="104"/>
      <c r="DT37" s="105"/>
    </row>
    <row r="38">
      <c r="B38" s="83" t="str">
        <f>IFERROR(__xludf.DUMMYFUNCTION("""COMPUTED_VALUE"""),"TRF18")</f>
        <v>TRF18</v>
      </c>
      <c r="C38" s="82">
        <f>IFERROR(__xludf.DUMMYFUNCTION("""COMPUTED_VALUE"""),22.0)</f>
        <v>22</v>
      </c>
      <c r="D38" s="88" t="str">
        <f>IFERROR(__xludf.DUMMYFUNCTION("""COMPUTED_VALUE"""),"FRI Caster Training Ground- Int")</f>
        <v>FRI Caster Training Ground- Int</v>
      </c>
      <c r="E38" s="82" t="str">
        <f>IFERROR(__xludf.DUMMYFUNCTION("""COMPUTED_VALUE"""),"術中級")</f>
        <v>術中級</v>
      </c>
      <c r="F38" s="102">
        <f>IFERROR(__xludf.DUMMYFUNCTION("""COMPUTED_VALUE"""),20.0)</f>
        <v>20</v>
      </c>
      <c r="G38" s="82">
        <f>IFERROR(__xludf.DUMMYFUNCTION("""COMPUTED_VALUE"""),1056.0)</f>
        <v>1056</v>
      </c>
      <c r="H38" s="95" t="str">
        <f>IFERROR(__xludf.DUMMYFUNCTION("""COMPUTED_VALUE"""),"")</f>
        <v/>
      </c>
      <c r="I38" s="96" t="str">
        <f>IFERROR(__xludf.DUMMYFUNCTION("""COMPUTED_VALUE"""),"")</f>
        <v/>
      </c>
      <c r="J38" s="97" t="str">
        <f>IFERROR(__xludf.DUMMYFUNCTION("""COMPUTED_VALUE"""),"")</f>
        <v/>
      </c>
      <c r="K38" s="95" t="str">
        <f>IFERROR(__xludf.DUMMYFUNCTION("""COMPUTED_VALUE"""),"")</f>
        <v/>
      </c>
      <c r="L38" s="96" t="str">
        <f>IFERROR(__xludf.DUMMYFUNCTION("""COMPUTED_VALUE"""),"")</f>
        <v/>
      </c>
      <c r="M38" s="97" t="str">
        <f>IFERROR(__xludf.DUMMYFUNCTION("""COMPUTED_VALUE"""),"")</f>
        <v/>
      </c>
      <c r="N38" s="95" t="str">
        <f>IFERROR(__xludf.DUMMYFUNCTION("""COMPUTED_VALUE"""),"")</f>
        <v/>
      </c>
      <c r="O38" s="96" t="str">
        <f>IFERROR(__xludf.DUMMYFUNCTION("""COMPUTED_VALUE"""),"")</f>
        <v/>
      </c>
      <c r="P38" s="97" t="str">
        <f>IFERROR(__xludf.DUMMYFUNCTION("""COMPUTED_VALUE"""),"")</f>
        <v/>
      </c>
      <c r="Q38" s="95" t="str">
        <f>IFERROR(__xludf.DUMMYFUNCTION("""COMPUTED_VALUE"""),"")</f>
        <v/>
      </c>
      <c r="R38" s="96" t="str">
        <f>IFERROR(__xludf.DUMMYFUNCTION("""COMPUTED_VALUE"""),"")</f>
        <v/>
      </c>
      <c r="S38" s="97" t="str">
        <f>IFERROR(__xludf.DUMMYFUNCTION("""COMPUTED_VALUE"""),"")</f>
        <v/>
      </c>
      <c r="T38" s="95" t="str">
        <f>IFERROR(__xludf.DUMMYFUNCTION("""COMPUTED_VALUE"""),"")</f>
        <v/>
      </c>
      <c r="U38" s="96" t="str">
        <f>IFERROR(__xludf.DUMMYFUNCTION("""COMPUTED_VALUE"""),"")</f>
        <v/>
      </c>
      <c r="V38" s="97" t="str">
        <f>IFERROR(__xludf.DUMMYFUNCTION("""COMPUTED_VALUE"""),"")</f>
        <v/>
      </c>
      <c r="W38" s="95" t="str">
        <f>IFERROR(__xludf.DUMMYFUNCTION("""COMPUTED_VALUE"""),"")</f>
        <v/>
      </c>
      <c r="X38" s="96" t="str">
        <f>IFERROR(__xludf.DUMMYFUNCTION("""COMPUTED_VALUE"""),"")</f>
        <v/>
      </c>
      <c r="Y38" s="97" t="str">
        <f>IFERROR(__xludf.DUMMYFUNCTION("""COMPUTED_VALUE"""),"")</f>
        <v/>
      </c>
      <c r="Z38" s="95" t="str">
        <f>IFERROR(__xludf.DUMMYFUNCTION("""COMPUTED_VALUE"""),"")</f>
        <v/>
      </c>
      <c r="AA38" s="96" t="str">
        <f>IFERROR(__xludf.DUMMYFUNCTION("""COMPUTED_VALUE"""),"")</f>
        <v/>
      </c>
      <c r="AB38" s="97" t="str">
        <f>IFERROR(__xludf.DUMMYFUNCTION("""COMPUTED_VALUE"""),"")</f>
        <v/>
      </c>
      <c r="AC38" s="95">
        <f>IFERROR(__xludf.DUMMYFUNCTION("""COMPUTED_VALUE"""),135.5)</f>
        <v>135.5</v>
      </c>
      <c r="AD38" s="96" t="str">
        <f>IFERROR(__xludf.DUMMYFUNCTION("""COMPUTED_VALUE"""),"")</f>
        <v/>
      </c>
      <c r="AE38" s="97" t="str">
        <f>IFERROR(__xludf.DUMMYFUNCTION("""COMPUTED_VALUE"""),"")</f>
        <v/>
      </c>
      <c r="AF38" s="95">
        <f>IFERROR(__xludf.DUMMYFUNCTION("""COMPUTED_VALUE"""),207.6)</f>
        <v>207.6</v>
      </c>
      <c r="AG38" s="96" t="str">
        <f>IFERROR(__xludf.DUMMYFUNCTION("""COMPUTED_VALUE"""),"")</f>
        <v/>
      </c>
      <c r="AH38" s="97" t="str">
        <f>IFERROR(__xludf.DUMMYFUNCTION("""COMPUTED_VALUE"""),"")</f>
        <v/>
      </c>
      <c r="AI38" s="92" t="str">
        <f>IFERROR(__xludf.DUMMYFUNCTION("""COMPUTED_VALUE"""),"")</f>
        <v/>
      </c>
      <c r="AJ38" s="93" t="str">
        <f>IFERROR(__xludf.DUMMYFUNCTION("""COMPUTED_VALUE"""),"")</f>
        <v/>
      </c>
      <c r="AK38" s="94" t="str">
        <f>IFERROR(__xludf.DUMMYFUNCTION("""COMPUTED_VALUE"""),"")</f>
        <v/>
      </c>
      <c r="AL38" s="93" t="str">
        <f>IFERROR(__xludf.DUMMYFUNCTION("""COMPUTED_VALUE"""),"")</f>
        <v/>
      </c>
      <c r="AM38" s="93" t="str">
        <f>IFERROR(__xludf.DUMMYFUNCTION("""COMPUTED_VALUE"""),"")</f>
        <v/>
      </c>
      <c r="AN38" s="94" t="str">
        <f>IFERROR(__xludf.DUMMYFUNCTION("""COMPUTED_VALUE"""),"")</f>
        <v/>
      </c>
      <c r="AO38" s="93" t="str">
        <f>IFERROR(__xludf.DUMMYFUNCTION("""COMPUTED_VALUE"""),"")</f>
        <v/>
      </c>
      <c r="AP38" s="93" t="str">
        <f>IFERROR(__xludf.DUMMYFUNCTION("""COMPUTED_VALUE"""),"")</f>
        <v/>
      </c>
      <c r="AQ38" s="94" t="str">
        <f>IFERROR(__xludf.DUMMYFUNCTION("""COMPUTED_VALUE"""),"")</f>
        <v/>
      </c>
      <c r="AR38" s="93" t="str">
        <f>IFERROR(__xludf.DUMMYFUNCTION("""COMPUTED_VALUE"""),"")</f>
        <v/>
      </c>
      <c r="AS38" s="93" t="str">
        <f>IFERROR(__xludf.DUMMYFUNCTION("""COMPUTED_VALUE"""),"")</f>
        <v/>
      </c>
      <c r="AT38" s="94" t="str">
        <f>IFERROR(__xludf.DUMMYFUNCTION("""COMPUTED_VALUE"""),"")</f>
        <v/>
      </c>
      <c r="AU38" s="93" t="str">
        <f>IFERROR(__xludf.DUMMYFUNCTION("""COMPUTED_VALUE"""),"")</f>
        <v/>
      </c>
      <c r="AV38" s="93" t="str">
        <f>IFERROR(__xludf.DUMMYFUNCTION("""COMPUTED_VALUE"""),"")</f>
        <v/>
      </c>
      <c r="AW38" s="94">
        <f>IFERROR(__xludf.DUMMYFUNCTION("""COMPUTED_VALUE"""),95.3)</f>
        <v>95.3</v>
      </c>
      <c r="AX38" s="93" t="str">
        <f>IFERROR(__xludf.DUMMYFUNCTION("""COMPUTED_VALUE"""),"")</f>
        <v/>
      </c>
      <c r="AY38" s="93" t="str">
        <f>IFERROR(__xludf.DUMMYFUNCTION("""COMPUTED_VALUE"""),"")</f>
        <v/>
      </c>
      <c r="AZ38" s="94" t="str">
        <f>IFERROR(__xludf.DUMMYFUNCTION("""COMPUTED_VALUE"""),"")</f>
        <v/>
      </c>
      <c r="BA38" s="93" t="str">
        <f>IFERROR(__xludf.DUMMYFUNCTION("""COMPUTED_VALUE"""),"")</f>
        <v/>
      </c>
      <c r="BB38" s="93" t="str">
        <f>IFERROR(__xludf.DUMMYFUNCTION("""COMPUTED_VALUE"""),"")</f>
        <v/>
      </c>
      <c r="BC38" s="94" t="str">
        <f>IFERROR(__xludf.DUMMYFUNCTION("""COMPUTED_VALUE"""),"")</f>
        <v/>
      </c>
      <c r="BD38" s="93" t="str">
        <f>IFERROR(__xludf.DUMMYFUNCTION("""COMPUTED_VALUE"""),"")</f>
        <v/>
      </c>
      <c r="BE38" s="93" t="str">
        <f>IFERROR(__xludf.DUMMYFUNCTION("""COMPUTED_VALUE"""),"")</f>
        <v/>
      </c>
      <c r="BF38" s="94" t="str">
        <f>IFERROR(__xludf.DUMMYFUNCTION("""COMPUTED_VALUE"""),"")</f>
        <v/>
      </c>
      <c r="BG38" s="92" t="str">
        <f>IFERROR(__xludf.DUMMYFUNCTION("""COMPUTED_VALUE"""),"")</f>
        <v/>
      </c>
      <c r="BH38" s="93" t="str">
        <f>IFERROR(__xludf.DUMMYFUNCTION("""COMPUTED_VALUE"""),"")</f>
        <v/>
      </c>
      <c r="BI38" s="94" t="str">
        <f>IFERROR(__xludf.DUMMYFUNCTION("""COMPUTED_VALUE"""),"")</f>
        <v/>
      </c>
      <c r="BJ38" s="93" t="str">
        <f>IFERROR(__xludf.DUMMYFUNCTION("""COMPUTED_VALUE"""),"")</f>
        <v/>
      </c>
      <c r="BK38" s="93" t="str">
        <f>IFERROR(__xludf.DUMMYFUNCTION("""COMPUTED_VALUE"""),"")</f>
        <v/>
      </c>
      <c r="BL38" s="94" t="str">
        <f>IFERROR(__xludf.DUMMYFUNCTION("""COMPUTED_VALUE"""),"")</f>
        <v/>
      </c>
      <c r="BM38" s="93" t="str">
        <f>IFERROR(__xludf.DUMMYFUNCTION("""COMPUTED_VALUE"""),"")</f>
        <v/>
      </c>
      <c r="BN38" s="93">
        <f>IFERROR(__xludf.DUMMYFUNCTION("""COMPUTED_VALUE"""),25.5)</f>
        <v>25.5</v>
      </c>
      <c r="BO38" s="94" t="str">
        <f>IFERROR(__xludf.DUMMYFUNCTION("""COMPUTED_VALUE"""),"")</f>
        <v/>
      </c>
      <c r="BP38" s="93" t="str">
        <f>IFERROR(__xludf.DUMMYFUNCTION("""COMPUTED_VALUE"""),"")</f>
        <v/>
      </c>
      <c r="BQ38" s="93" t="str">
        <f>IFERROR(__xludf.DUMMYFUNCTION("""COMPUTED_VALUE"""),"")</f>
        <v/>
      </c>
      <c r="BR38" s="94" t="str">
        <f>IFERROR(__xludf.DUMMYFUNCTION("""COMPUTED_VALUE"""),"")</f>
        <v/>
      </c>
      <c r="BS38" s="93" t="str">
        <f>IFERROR(__xludf.DUMMYFUNCTION("""COMPUTED_VALUE"""),"")</f>
        <v/>
      </c>
      <c r="BT38" s="93" t="str">
        <f>IFERROR(__xludf.DUMMYFUNCTION("""COMPUTED_VALUE"""),"")</f>
        <v/>
      </c>
      <c r="BU38" s="94">
        <f>IFERROR(__xludf.DUMMYFUNCTION("""COMPUTED_VALUE"""),20.6)</f>
        <v>20.6</v>
      </c>
      <c r="BV38" s="93" t="str">
        <f>IFERROR(__xludf.DUMMYFUNCTION("""COMPUTED_VALUE"""),"")</f>
        <v/>
      </c>
      <c r="BW38" s="93" t="str">
        <f>IFERROR(__xludf.DUMMYFUNCTION("""COMPUTED_VALUE"""),"")</f>
        <v/>
      </c>
      <c r="BX38" s="94" t="str">
        <f>IFERROR(__xludf.DUMMYFUNCTION("""COMPUTED_VALUE"""),"")</f>
        <v/>
      </c>
      <c r="BY38" s="93" t="str">
        <f>IFERROR(__xludf.DUMMYFUNCTION("""COMPUTED_VALUE"""),"")</f>
        <v/>
      </c>
      <c r="BZ38" s="93" t="str">
        <f>IFERROR(__xludf.DUMMYFUNCTION("""COMPUTED_VALUE"""),"")</f>
        <v/>
      </c>
      <c r="CA38" s="94" t="str">
        <f>IFERROR(__xludf.DUMMYFUNCTION("""COMPUTED_VALUE"""),"")</f>
        <v/>
      </c>
      <c r="CB38" s="92">
        <f>IFERROR(__xludf.DUMMYFUNCTION("""COMPUTED_VALUE"""),294.1)</f>
        <v>294.1</v>
      </c>
      <c r="CC38" s="93" t="str">
        <f>IFERROR(__xludf.DUMMYFUNCTION("""COMPUTED_VALUE"""),"")</f>
        <v/>
      </c>
      <c r="CD38" s="94" t="str">
        <f>IFERROR(__xludf.DUMMYFUNCTION("""COMPUTED_VALUE"""),"")</f>
        <v/>
      </c>
      <c r="CE38" s="93" t="str">
        <f>IFERROR(__xludf.DUMMYFUNCTION("""COMPUTED_VALUE"""),"")</f>
        <v/>
      </c>
      <c r="CF38" s="93" t="str">
        <f>IFERROR(__xludf.DUMMYFUNCTION("""COMPUTED_VALUE"""),"")</f>
        <v/>
      </c>
      <c r="CG38" s="94" t="str">
        <f>IFERROR(__xludf.DUMMYFUNCTION("""COMPUTED_VALUE"""),"")</f>
        <v/>
      </c>
      <c r="CH38" s="93" t="str">
        <f>IFERROR(__xludf.DUMMYFUNCTION("""COMPUTED_VALUE"""),"")</f>
        <v/>
      </c>
      <c r="CI38" s="93">
        <f>IFERROR(__xludf.DUMMYFUNCTION("""COMPUTED_VALUE"""),24.1)</f>
        <v>24.1</v>
      </c>
      <c r="CJ38" s="94" t="str">
        <f>IFERROR(__xludf.DUMMYFUNCTION("""COMPUTED_VALUE"""),"")</f>
        <v/>
      </c>
      <c r="CK38" s="93" t="str">
        <f>IFERROR(__xludf.DUMMYFUNCTION("""COMPUTED_VALUE"""),"")</f>
        <v/>
      </c>
      <c r="CL38" s="93" t="str">
        <f>IFERROR(__xludf.DUMMYFUNCTION("""COMPUTED_VALUE"""),"")</f>
        <v/>
      </c>
      <c r="CM38" s="94" t="str">
        <f>IFERROR(__xludf.DUMMYFUNCTION("""COMPUTED_VALUE"""),"")</f>
        <v/>
      </c>
      <c r="CN38" s="93" t="str">
        <f>IFERROR(__xludf.DUMMYFUNCTION("""COMPUTED_VALUE"""),"")</f>
        <v/>
      </c>
      <c r="CO38" s="93" t="str">
        <f>IFERROR(__xludf.DUMMYFUNCTION("""COMPUTED_VALUE"""),"")</f>
        <v/>
      </c>
      <c r="CP38" s="94" t="str">
        <f>IFERROR(__xludf.DUMMYFUNCTION("""COMPUTED_VALUE"""),"")</f>
        <v/>
      </c>
      <c r="CQ38" s="93" t="str">
        <f>IFERROR(__xludf.DUMMYFUNCTION("""COMPUTED_VALUE"""),"")</f>
        <v/>
      </c>
      <c r="CR38" s="93" t="str">
        <f>IFERROR(__xludf.DUMMYFUNCTION("""COMPUTED_VALUE"""),"")</f>
        <v/>
      </c>
      <c r="CS38" s="94"/>
      <c r="CT38" s="93"/>
      <c r="CU38" s="93"/>
      <c r="CV38" s="94"/>
      <c r="CW38" s="93"/>
      <c r="CX38" s="93"/>
      <c r="CY38" s="94"/>
      <c r="CZ38" s="93"/>
      <c r="DA38" s="93"/>
      <c r="DB38" s="94"/>
      <c r="DC38" s="93"/>
      <c r="DD38" s="93"/>
      <c r="DE38" s="94"/>
      <c r="DF38" s="93"/>
      <c r="DG38" s="93"/>
      <c r="DH38" s="94"/>
      <c r="DI38" s="93"/>
      <c r="DJ38" s="93"/>
      <c r="DK38" s="94"/>
      <c r="DL38" s="93"/>
      <c r="DM38" s="93"/>
      <c r="DN38" s="94"/>
      <c r="DO38" s="93"/>
      <c r="DP38" s="93"/>
      <c r="DQ38" s="94"/>
      <c r="DR38" s="93"/>
      <c r="DS38" s="93"/>
      <c r="DT38" s="94"/>
    </row>
    <row r="39">
      <c r="B39" s="83" t="str">
        <f>IFERROR(__xludf.DUMMYFUNCTION("""COMPUTED_VALUE"""),"TRF19")</f>
        <v>TRF19</v>
      </c>
      <c r="C39" s="82">
        <f>IFERROR(__xludf.DUMMYFUNCTION("""COMPUTED_VALUE"""),21.0)</f>
        <v>21</v>
      </c>
      <c r="D39" s="88" t="str">
        <f>IFERROR(__xludf.DUMMYFUNCTION("""COMPUTED_VALUE"""),"FRI Caster Training Ground- Adv")</f>
        <v>FRI Caster Training Ground- Adv</v>
      </c>
      <c r="E39" s="82" t="str">
        <f>IFERROR(__xludf.DUMMYFUNCTION("""COMPUTED_VALUE"""),"術上級")</f>
        <v>術上級</v>
      </c>
      <c r="F39" s="102">
        <f>IFERROR(__xludf.DUMMYFUNCTION("""COMPUTED_VALUE"""),30.0)</f>
        <v>30</v>
      </c>
      <c r="G39" s="82">
        <f>IFERROR(__xludf.DUMMYFUNCTION("""COMPUTED_VALUE"""),1394.0)</f>
        <v>1394</v>
      </c>
      <c r="H39" s="95" t="str">
        <f>IFERROR(__xludf.DUMMYFUNCTION("""COMPUTED_VALUE"""),"")</f>
        <v/>
      </c>
      <c r="I39" s="96">
        <f>IFERROR(__xludf.DUMMYFUNCTION("""COMPUTED_VALUE"""),783.4)</f>
        <v>783.4</v>
      </c>
      <c r="J39" s="97" t="str">
        <f>IFERROR(__xludf.DUMMYFUNCTION("""COMPUTED_VALUE"""),"")</f>
        <v/>
      </c>
      <c r="K39" s="95" t="str">
        <f>IFERROR(__xludf.DUMMYFUNCTION("""COMPUTED_VALUE"""),"")</f>
        <v/>
      </c>
      <c r="L39" s="96" t="str">
        <f>IFERROR(__xludf.DUMMYFUNCTION("""COMPUTED_VALUE"""),"")</f>
        <v/>
      </c>
      <c r="M39" s="97" t="str">
        <f>IFERROR(__xludf.DUMMYFUNCTION("""COMPUTED_VALUE"""),"")</f>
        <v/>
      </c>
      <c r="N39" s="95" t="str">
        <f>IFERROR(__xludf.DUMMYFUNCTION("""COMPUTED_VALUE"""),"")</f>
        <v/>
      </c>
      <c r="O39" s="96" t="str">
        <f>IFERROR(__xludf.DUMMYFUNCTION("""COMPUTED_VALUE"""),"")</f>
        <v/>
      </c>
      <c r="P39" s="97" t="str">
        <f>IFERROR(__xludf.DUMMYFUNCTION("""COMPUTED_VALUE"""),"")</f>
        <v/>
      </c>
      <c r="Q39" s="95" t="str">
        <f>IFERROR(__xludf.DUMMYFUNCTION("""COMPUTED_VALUE"""),"")</f>
        <v/>
      </c>
      <c r="R39" s="96" t="str">
        <f>IFERROR(__xludf.DUMMYFUNCTION("""COMPUTED_VALUE"""),"")</f>
        <v/>
      </c>
      <c r="S39" s="97" t="str">
        <f>IFERROR(__xludf.DUMMYFUNCTION("""COMPUTED_VALUE"""),"")</f>
        <v/>
      </c>
      <c r="T39" s="95" t="str">
        <f>IFERROR(__xludf.DUMMYFUNCTION("""COMPUTED_VALUE"""),"")</f>
        <v/>
      </c>
      <c r="U39" s="96" t="str">
        <f>IFERROR(__xludf.DUMMYFUNCTION("""COMPUTED_VALUE"""),"")</f>
        <v/>
      </c>
      <c r="V39" s="97" t="str">
        <f>IFERROR(__xludf.DUMMYFUNCTION("""COMPUTED_VALUE"""),"")</f>
        <v/>
      </c>
      <c r="W39" s="95" t="str">
        <f>IFERROR(__xludf.DUMMYFUNCTION("""COMPUTED_VALUE"""),"")</f>
        <v/>
      </c>
      <c r="X39" s="96" t="str">
        <f>IFERROR(__xludf.DUMMYFUNCTION("""COMPUTED_VALUE"""),"")</f>
        <v/>
      </c>
      <c r="Y39" s="97" t="str">
        <f>IFERROR(__xludf.DUMMYFUNCTION("""COMPUTED_VALUE"""),"")</f>
        <v/>
      </c>
      <c r="Z39" s="95" t="str">
        <f>IFERROR(__xludf.DUMMYFUNCTION("""COMPUTED_VALUE"""),"")</f>
        <v/>
      </c>
      <c r="AA39" s="96" t="str">
        <f>IFERROR(__xludf.DUMMYFUNCTION("""COMPUTED_VALUE"""),"")</f>
        <v/>
      </c>
      <c r="AB39" s="97" t="str">
        <f>IFERROR(__xludf.DUMMYFUNCTION("""COMPUTED_VALUE"""),"")</f>
        <v/>
      </c>
      <c r="AC39" s="95">
        <f>IFERROR(__xludf.DUMMYFUNCTION("""COMPUTED_VALUE"""),133.4)</f>
        <v>133.4</v>
      </c>
      <c r="AD39" s="96" t="str">
        <f>IFERROR(__xludf.DUMMYFUNCTION("""COMPUTED_VALUE"""),"")</f>
        <v/>
      </c>
      <c r="AE39" s="97" t="str">
        <f>IFERROR(__xludf.DUMMYFUNCTION("""COMPUTED_VALUE"""),"")</f>
        <v/>
      </c>
      <c r="AF39" s="95">
        <f>IFERROR(__xludf.DUMMYFUNCTION("""COMPUTED_VALUE"""),192.1)</f>
        <v>192.1</v>
      </c>
      <c r="AG39" s="96" t="str">
        <f>IFERROR(__xludf.DUMMYFUNCTION("""COMPUTED_VALUE"""),"")</f>
        <v/>
      </c>
      <c r="AH39" s="97" t="str">
        <f>IFERROR(__xludf.DUMMYFUNCTION("""COMPUTED_VALUE"""),"")</f>
        <v/>
      </c>
      <c r="AI39" s="103" t="str">
        <f>IFERROR(__xludf.DUMMYFUNCTION("""COMPUTED_VALUE"""),"")</f>
        <v/>
      </c>
      <c r="AJ39" s="104" t="str">
        <f>IFERROR(__xludf.DUMMYFUNCTION("""COMPUTED_VALUE"""),"")</f>
        <v/>
      </c>
      <c r="AK39" s="105" t="str">
        <f>IFERROR(__xludf.DUMMYFUNCTION("""COMPUTED_VALUE"""),"")</f>
        <v/>
      </c>
      <c r="AL39" s="104" t="str">
        <f>IFERROR(__xludf.DUMMYFUNCTION("""COMPUTED_VALUE"""),"")</f>
        <v/>
      </c>
      <c r="AM39" s="104" t="str">
        <f>IFERROR(__xludf.DUMMYFUNCTION("""COMPUTED_VALUE"""),"")</f>
        <v/>
      </c>
      <c r="AN39" s="105" t="str">
        <f>IFERROR(__xludf.DUMMYFUNCTION("""COMPUTED_VALUE"""),"")</f>
        <v/>
      </c>
      <c r="AO39" s="104" t="str">
        <f>IFERROR(__xludf.DUMMYFUNCTION("""COMPUTED_VALUE"""),"")</f>
        <v/>
      </c>
      <c r="AP39" s="104" t="str">
        <f>IFERROR(__xludf.DUMMYFUNCTION("""COMPUTED_VALUE"""),"")</f>
        <v/>
      </c>
      <c r="AQ39" s="105" t="str">
        <f>IFERROR(__xludf.DUMMYFUNCTION("""COMPUTED_VALUE"""),"")</f>
        <v/>
      </c>
      <c r="AR39" s="104" t="str">
        <f>IFERROR(__xludf.DUMMYFUNCTION("""COMPUTED_VALUE"""),"")</f>
        <v/>
      </c>
      <c r="AS39" s="104" t="str">
        <f>IFERROR(__xludf.DUMMYFUNCTION("""COMPUTED_VALUE"""),"")</f>
        <v/>
      </c>
      <c r="AT39" s="105" t="str">
        <f>IFERROR(__xludf.DUMMYFUNCTION("""COMPUTED_VALUE"""),"")</f>
        <v/>
      </c>
      <c r="AU39" s="104" t="str">
        <f>IFERROR(__xludf.DUMMYFUNCTION("""COMPUTED_VALUE"""),"")</f>
        <v/>
      </c>
      <c r="AV39" s="104" t="str">
        <f>IFERROR(__xludf.DUMMYFUNCTION("""COMPUTED_VALUE"""),"")</f>
        <v/>
      </c>
      <c r="AW39" s="105">
        <f>IFERROR(__xludf.DUMMYFUNCTION("""COMPUTED_VALUE"""),141.1)</f>
        <v>141.1</v>
      </c>
      <c r="AX39" s="104" t="str">
        <f>IFERROR(__xludf.DUMMYFUNCTION("""COMPUTED_VALUE"""),"")</f>
        <v/>
      </c>
      <c r="AY39" s="104" t="str">
        <f>IFERROR(__xludf.DUMMYFUNCTION("""COMPUTED_VALUE"""),"")</f>
        <v/>
      </c>
      <c r="AZ39" s="105" t="str">
        <f>IFERROR(__xludf.DUMMYFUNCTION("""COMPUTED_VALUE"""),"")</f>
        <v/>
      </c>
      <c r="BA39" s="104" t="str">
        <f>IFERROR(__xludf.DUMMYFUNCTION("""COMPUTED_VALUE"""),"")</f>
        <v/>
      </c>
      <c r="BB39" s="104" t="str">
        <f>IFERROR(__xludf.DUMMYFUNCTION("""COMPUTED_VALUE"""),"")</f>
        <v/>
      </c>
      <c r="BC39" s="105" t="str">
        <f>IFERROR(__xludf.DUMMYFUNCTION("""COMPUTED_VALUE"""),"")</f>
        <v/>
      </c>
      <c r="BD39" s="104" t="str">
        <f>IFERROR(__xludf.DUMMYFUNCTION("""COMPUTED_VALUE"""),"")</f>
        <v/>
      </c>
      <c r="BE39" s="104" t="str">
        <f>IFERROR(__xludf.DUMMYFUNCTION("""COMPUTED_VALUE"""),"")</f>
        <v/>
      </c>
      <c r="BF39" s="105" t="str">
        <f>IFERROR(__xludf.DUMMYFUNCTION("""COMPUTED_VALUE"""),"")</f>
        <v/>
      </c>
      <c r="BG39" s="103">
        <f>IFERROR(__xludf.DUMMYFUNCTION("""COMPUTED_VALUE"""),131.2)</f>
        <v>131.2</v>
      </c>
      <c r="BH39" s="104" t="str">
        <f>IFERROR(__xludf.DUMMYFUNCTION("""COMPUTED_VALUE"""),"")</f>
        <v/>
      </c>
      <c r="BI39" s="105" t="str">
        <f>IFERROR(__xludf.DUMMYFUNCTION("""COMPUTED_VALUE"""),"")</f>
        <v/>
      </c>
      <c r="BJ39" s="104" t="str">
        <f>IFERROR(__xludf.DUMMYFUNCTION("""COMPUTED_VALUE"""),"")</f>
        <v/>
      </c>
      <c r="BK39" s="104" t="str">
        <f>IFERROR(__xludf.DUMMYFUNCTION("""COMPUTED_VALUE"""),"")</f>
        <v/>
      </c>
      <c r="BL39" s="105" t="str">
        <f>IFERROR(__xludf.DUMMYFUNCTION("""COMPUTED_VALUE"""),"")</f>
        <v/>
      </c>
      <c r="BM39" s="104" t="str">
        <f>IFERROR(__xludf.DUMMYFUNCTION("""COMPUTED_VALUE"""),"")</f>
        <v/>
      </c>
      <c r="BN39" s="104">
        <f>IFERROR(__xludf.DUMMYFUNCTION("""COMPUTED_VALUE"""),17.5)</f>
        <v>17.5</v>
      </c>
      <c r="BO39" s="105" t="str">
        <f>IFERROR(__xludf.DUMMYFUNCTION("""COMPUTED_VALUE"""),"")</f>
        <v/>
      </c>
      <c r="BP39" s="104" t="str">
        <f>IFERROR(__xludf.DUMMYFUNCTION("""COMPUTED_VALUE"""),"")</f>
        <v/>
      </c>
      <c r="BQ39" s="104" t="str">
        <f>IFERROR(__xludf.DUMMYFUNCTION("""COMPUTED_VALUE"""),"")</f>
        <v/>
      </c>
      <c r="BR39" s="105" t="str">
        <f>IFERROR(__xludf.DUMMYFUNCTION("""COMPUTED_VALUE"""),"")</f>
        <v/>
      </c>
      <c r="BS39" s="104" t="str">
        <f>IFERROR(__xludf.DUMMYFUNCTION("""COMPUTED_VALUE"""),"")</f>
        <v/>
      </c>
      <c r="BT39" s="104" t="str">
        <f>IFERROR(__xludf.DUMMYFUNCTION("""COMPUTED_VALUE"""),"")</f>
        <v/>
      </c>
      <c r="BU39" s="105">
        <f>IFERROR(__xludf.DUMMYFUNCTION("""COMPUTED_VALUE"""),670.8)</f>
        <v>670.8</v>
      </c>
      <c r="BV39" s="104" t="str">
        <f>IFERROR(__xludf.DUMMYFUNCTION("""COMPUTED_VALUE"""),"")</f>
        <v/>
      </c>
      <c r="BW39" s="104" t="str">
        <f>IFERROR(__xludf.DUMMYFUNCTION("""COMPUTED_VALUE"""),"")</f>
        <v/>
      </c>
      <c r="BX39" s="105" t="str">
        <f>IFERROR(__xludf.DUMMYFUNCTION("""COMPUTED_VALUE"""),"")</f>
        <v/>
      </c>
      <c r="BY39" s="104" t="str">
        <f>IFERROR(__xludf.DUMMYFUNCTION("""COMPUTED_VALUE"""),"")</f>
        <v/>
      </c>
      <c r="BZ39" s="104" t="str">
        <f>IFERROR(__xludf.DUMMYFUNCTION("""COMPUTED_VALUE"""),"")</f>
        <v/>
      </c>
      <c r="CA39" s="105" t="str">
        <f>IFERROR(__xludf.DUMMYFUNCTION("""COMPUTED_VALUE"""),"")</f>
        <v/>
      </c>
      <c r="CB39" s="103">
        <f>IFERROR(__xludf.DUMMYFUNCTION("""COMPUTED_VALUE"""),92.6)</f>
        <v>92.6</v>
      </c>
      <c r="CC39" s="104" t="str">
        <f>IFERROR(__xludf.DUMMYFUNCTION("""COMPUTED_VALUE"""),"")</f>
        <v/>
      </c>
      <c r="CD39" s="105" t="str">
        <f>IFERROR(__xludf.DUMMYFUNCTION("""COMPUTED_VALUE"""),"")</f>
        <v/>
      </c>
      <c r="CE39" s="104" t="str">
        <f>IFERROR(__xludf.DUMMYFUNCTION("""COMPUTED_VALUE"""),"")</f>
        <v/>
      </c>
      <c r="CF39" s="104" t="str">
        <f>IFERROR(__xludf.DUMMYFUNCTION("""COMPUTED_VALUE"""),"")</f>
        <v/>
      </c>
      <c r="CG39" s="105" t="str">
        <f>IFERROR(__xludf.DUMMYFUNCTION("""COMPUTED_VALUE"""),"")</f>
        <v/>
      </c>
      <c r="CH39" s="104" t="str">
        <f>IFERROR(__xludf.DUMMYFUNCTION("""COMPUTED_VALUE"""),"")</f>
        <v/>
      </c>
      <c r="CI39" s="104">
        <f>IFERROR(__xludf.DUMMYFUNCTION("""COMPUTED_VALUE"""),31.1)</f>
        <v>31.1</v>
      </c>
      <c r="CJ39" s="105" t="str">
        <f>IFERROR(__xludf.DUMMYFUNCTION("""COMPUTED_VALUE"""),"")</f>
        <v/>
      </c>
      <c r="CK39" s="104" t="str">
        <f>IFERROR(__xludf.DUMMYFUNCTION("""COMPUTED_VALUE"""),"")</f>
        <v/>
      </c>
      <c r="CL39" s="104" t="str">
        <f>IFERROR(__xludf.DUMMYFUNCTION("""COMPUTED_VALUE"""),"")</f>
        <v/>
      </c>
      <c r="CM39" s="105" t="str">
        <f>IFERROR(__xludf.DUMMYFUNCTION("""COMPUTED_VALUE"""),"")</f>
        <v/>
      </c>
      <c r="CN39" s="104" t="str">
        <f>IFERROR(__xludf.DUMMYFUNCTION("""COMPUTED_VALUE"""),"")</f>
        <v/>
      </c>
      <c r="CO39" s="104" t="str">
        <f>IFERROR(__xludf.DUMMYFUNCTION("""COMPUTED_VALUE"""),"")</f>
        <v/>
      </c>
      <c r="CP39" s="105" t="str">
        <f>IFERROR(__xludf.DUMMYFUNCTION("""COMPUTED_VALUE"""),"")</f>
        <v/>
      </c>
      <c r="CQ39" s="104" t="str">
        <f>IFERROR(__xludf.DUMMYFUNCTION("""COMPUTED_VALUE"""),"")</f>
        <v/>
      </c>
      <c r="CR39" s="104" t="str">
        <f>IFERROR(__xludf.DUMMYFUNCTION("""COMPUTED_VALUE"""),"")</f>
        <v/>
      </c>
      <c r="CS39" s="105"/>
      <c r="CT39" s="104"/>
      <c r="CU39" s="104"/>
      <c r="CV39" s="105"/>
      <c r="CW39" s="104"/>
      <c r="CX39" s="104"/>
      <c r="CY39" s="105"/>
      <c r="CZ39" s="104"/>
      <c r="DA39" s="104"/>
      <c r="DB39" s="105"/>
      <c r="DC39" s="104"/>
      <c r="DD39" s="104"/>
      <c r="DE39" s="105"/>
      <c r="DF39" s="104"/>
      <c r="DG39" s="104"/>
      <c r="DH39" s="105"/>
      <c r="DI39" s="104"/>
      <c r="DJ39" s="104"/>
      <c r="DK39" s="105"/>
      <c r="DL39" s="104"/>
      <c r="DM39" s="104"/>
      <c r="DN39" s="105"/>
      <c r="DO39" s="104"/>
      <c r="DP39" s="104"/>
      <c r="DQ39" s="105"/>
      <c r="DR39" s="104"/>
      <c r="DS39" s="104"/>
      <c r="DT39" s="105"/>
    </row>
    <row r="40">
      <c r="B40" s="83" t="str">
        <f>IFERROR(__xludf.DUMMYFUNCTION("""COMPUTED_VALUE"""),"TRF20")</f>
        <v>TRF20</v>
      </c>
      <c r="C40" s="82">
        <f>IFERROR(__xludf.DUMMYFUNCTION("""COMPUTED_VALUE"""),20.0)</f>
        <v>20</v>
      </c>
      <c r="D40" s="88" t="str">
        <f>IFERROR(__xludf.DUMMYFUNCTION("""COMPUTED_VALUE"""),"FRI Caster Training Ground- Exp")</f>
        <v>FRI Caster Training Ground- Exp</v>
      </c>
      <c r="E40" s="82" t="str">
        <f>IFERROR(__xludf.DUMMYFUNCTION("""COMPUTED_VALUE"""),"術超級")</f>
        <v>術超級</v>
      </c>
      <c r="F40" s="102">
        <f>IFERROR(__xludf.DUMMYFUNCTION("""COMPUTED_VALUE"""),40.0)</f>
        <v>40</v>
      </c>
      <c r="G40" s="82">
        <f>IFERROR(__xludf.DUMMYFUNCTION("""COMPUTED_VALUE"""),12077.0)</f>
        <v>12077</v>
      </c>
      <c r="H40" s="95" t="str">
        <f>IFERROR(__xludf.DUMMYFUNCTION("""COMPUTED_VALUE"""),"")</f>
        <v/>
      </c>
      <c r="I40" s="96">
        <f>IFERROR(__xludf.DUMMYFUNCTION("""COMPUTED_VALUE"""),634.8)</f>
        <v>634.8</v>
      </c>
      <c r="J40" s="97" t="str">
        <f>IFERROR(__xludf.DUMMYFUNCTION("""COMPUTED_VALUE"""),"")</f>
        <v/>
      </c>
      <c r="K40" s="95" t="str">
        <f>IFERROR(__xludf.DUMMYFUNCTION("""COMPUTED_VALUE"""),"")</f>
        <v/>
      </c>
      <c r="L40" s="96" t="str">
        <f>IFERROR(__xludf.DUMMYFUNCTION("""COMPUTED_VALUE"""),"")</f>
        <v/>
      </c>
      <c r="M40" s="97" t="str">
        <f>IFERROR(__xludf.DUMMYFUNCTION("""COMPUTED_VALUE"""),"")</f>
        <v/>
      </c>
      <c r="N40" s="95" t="str">
        <f>IFERROR(__xludf.DUMMYFUNCTION("""COMPUTED_VALUE"""),"")</f>
        <v/>
      </c>
      <c r="O40" s="96" t="str">
        <f>IFERROR(__xludf.DUMMYFUNCTION("""COMPUTED_VALUE"""),"")</f>
        <v/>
      </c>
      <c r="P40" s="97" t="str">
        <f>IFERROR(__xludf.DUMMYFUNCTION("""COMPUTED_VALUE"""),"")</f>
        <v/>
      </c>
      <c r="Q40" s="95" t="str">
        <f>IFERROR(__xludf.DUMMYFUNCTION("""COMPUTED_VALUE"""),"")</f>
        <v/>
      </c>
      <c r="R40" s="96" t="str">
        <f>IFERROR(__xludf.DUMMYFUNCTION("""COMPUTED_VALUE"""),"")</f>
        <v/>
      </c>
      <c r="S40" s="97" t="str">
        <f>IFERROR(__xludf.DUMMYFUNCTION("""COMPUTED_VALUE"""),"")</f>
        <v/>
      </c>
      <c r="T40" s="95" t="str">
        <f>IFERROR(__xludf.DUMMYFUNCTION("""COMPUTED_VALUE"""),"")</f>
        <v/>
      </c>
      <c r="U40" s="96" t="str">
        <f>IFERROR(__xludf.DUMMYFUNCTION("""COMPUTED_VALUE"""),"")</f>
        <v/>
      </c>
      <c r="V40" s="97" t="str">
        <f>IFERROR(__xludf.DUMMYFUNCTION("""COMPUTED_VALUE"""),"")</f>
        <v/>
      </c>
      <c r="W40" s="95" t="str">
        <f>IFERROR(__xludf.DUMMYFUNCTION("""COMPUTED_VALUE"""),"")</f>
        <v/>
      </c>
      <c r="X40" s="96" t="str">
        <f>IFERROR(__xludf.DUMMYFUNCTION("""COMPUTED_VALUE"""),"")</f>
        <v/>
      </c>
      <c r="Y40" s="97" t="str">
        <f>IFERROR(__xludf.DUMMYFUNCTION("""COMPUTED_VALUE"""),"")</f>
        <v/>
      </c>
      <c r="Z40" s="95" t="str">
        <f>IFERROR(__xludf.DUMMYFUNCTION("""COMPUTED_VALUE"""),"")</f>
        <v/>
      </c>
      <c r="AA40" s="96" t="str">
        <f>IFERROR(__xludf.DUMMYFUNCTION("""COMPUTED_VALUE"""),"")</f>
        <v/>
      </c>
      <c r="AB40" s="97" t="str">
        <f>IFERROR(__xludf.DUMMYFUNCTION("""COMPUTED_VALUE"""),"")</f>
        <v/>
      </c>
      <c r="AC40" s="95">
        <f>IFERROR(__xludf.DUMMYFUNCTION("""COMPUTED_VALUE"""),161.4)</f>
        <v>161.4</v>
      </c>
      <c r="AD40" s="96" t="str">
        <f>IFERROR(__xludf.DUMMYFUNCTION("""COMPUTED_VALUE"""),"")</f>
        <v/>
      </c>
      <c r="AE40" s="97" t="str">
        <f>IFERROR(__xludf.DUMMYFUNCTION("""COMPUTED_VALUE"""),"")</f>
        <v/>
      </c>
      <c r="AF40" s="95">
        <f>IFERROR(__xludf.DUMMYFUNCTION("""COMPUTED_VALUE"""),194.2)</f>
        <v>194.2</v>
      </c>
      <c r="AG40" s="96" t="str">
        <f>IFERROR(__xludf.DUMMYFUNCTION("""COMPUTED_VALUE"""),"")</f>
        <v/>
      </c>
      <c r="AH40" s="97" t="str">
        <f>IFERROR(__xludf.DUMMYFUNCTION("""COMPUTED_VALUE"""),"")</f>
        <v/>
      </c>
      <c r="AI40" s="92" t="str">
        <f>IFERROR(__xludf.DUMMYFUNCTION("""COMPUTED_VALUE"""),"")</f>
        <v/>
      </c>
      <c r="AJ40" s="93" t="str">
        <f>IFERROR(__xludf.DUMMYFUNCTION("""COMPUTED_VALUE"""),"")</f>
        <v/>
      </c>
      <c r="AK40" s="94" t="str">
        <f>IFERROR(__xludf.DUMMYFUNCTION("""COMPUTED_VALUE"""),"")</f>
        <v/>
      </c>
      <c r="AL40" s="93" t="str">
        <f>IFERROR(__xludf.DUMMYFUNCTION("""COMPUTED_VALUE"""),"")</f>
        <v/>
      </c>
      <c r="AM40" s="93" t="str">
        <f>IFERROR(__xludf.DUMMYFUNCTION("""COMPUTED_VALUE"""),"")</f>
        <v/>
      </c>
      <c r="AN40" s="94" t="str">
        <f>IFERROR(__xludf.DUMMYFUNCTION("""COMPUTED_VALUE"""),"")</f>
        <v/>
      </c>
      <c r="AO40" s="93" t="str">
        <f>IFERROR(__xludf.DUMMYFUNCTION("""COMPUTED_VALUE"""),"")</f>
        <v/>
      </c>
      <c r="AP40" s="93" t="str">
        <f>IFERROR(__xludf.DUMMYFUNCTION("""COMPUTED_VALUE"""),"")</f>
        <v/>
      </c>
      <c r="AQ40" s="94" t="str">
        <f>IFERROR(__xludf.DUMMYFUNCTION("""COMPUTED_VALUE"""),"")</f>
        <v/>
      </c>
      <c r="AR40" s="93" t="str">
        <f>IFERROR(__xludf.DUMMYFUNCTION("""COMPUTED_VALUE"""),"")</f>
        <v/>
      </c>
      <c r="AS40" s="93" t="str">
        <f>IFERROR(__xludf.DUMMYFUNCTION("""COMPUTED_VALUE"""),"")</f>
        <v/>
      </c>
      <c r="AT40" s="94" t="str">
        <f>IFERROR(__xludf.DUMMYFUNCTION("""COMPUTED_VALUE"""),"")</f>
        <v/>
      </c>
      <c r="AU40" s="93" t="str">
        <f>IFERROR(__xludf.DUMMYFUNCTION("""COMPUTED_VALUE"""),"")</f>
        <v/>
      </c>
      <c r="AV40" s="93" t="str">
        <f>IFERROR(__xludf.DUMMYFUNCTION("""COMPUTED_VALUE"""),"")</f>
        <v/>
      </c>
      <c r="AW40" s="94">
        <f>IFERROR(__xludf.DUMMYFUNCTION("""COMPUTED_VALUE"""),162.5)</f>
        <v>162.5</v>
      </c>
      <c r="AX40" s="93" t="str">
        <f>IFERROR(__xludf.DUMMYFUNCTION("""COMPUTED_VALUE"""),"")</f>
        <v/>
      </c>
      <c r="AY40" s="93" t="str">
        <f>IFERROR(__xludf.DUMMYFUNCTION("""COMPUTED_VALUE"""),"")</f>
        <v/>
      </c>
      <c r="AZ40" s="94" t="str">
        <f>IFERROR(__xludf.DUMMYFUNCTION("""COMPUTED_VALUE"""),"")</f>
        <v/>
      </c>
      <c r="BA40" s="93" t="str">
        <f>IFERROR(__xludf.DUMMYFUNCTION("""COMPUTED_VALUE"""),"")</f>
        <v/>
      </c>
      <c r="BB40" s="93" t="str">
        <f>IFERROR(__xludf.DUMMYFUNCTION("""COMPUTED_VALUE"""),"")</f>
        <v/>
      </c>
      <c r="BC40" s="94" t="str">
        <f>IFERROR(__xludf.DUMMYFUNCTION("""COMPUTED_VALUE"""),"")</f>
        <v/>
      </c>
      <c r="BD40" s="93" t="str">
        <f>IFERROR(__xludf.DUMMYFUNCTION("""COMPUTED_VALUE"""),"")</f>
        <v/>
      </c>
      <c r="BE40" s="93" t="str">
        <f>IFERROR(__xludf.DUMMYFUNCTION("""COMPUTED_VALUE"""),"")</f>
        <v/>
      </c>
      <c r="BF40" s="94" t="str">
        <f>IFERROR(__xludf.DUMMYFUNCTION("""COMPUTED_VALUE"""),"")</f>
        <v/>
      </c>
      <c r="BG40" s="92">
        <f>IFERROR(__xludf.DUMMYFUNCTION("""COMPUTED_VALUE"""),52.6)</f>
        <v>52.6</v>
      </c>
      <c r="BH40" s="93" t="str">
        <f>IFERROR(__xludf.DUMMYFUNCTION("""COMPUTED_VALUE"""),"")</f>
        <v/>
      </c>
      <c r="BI40" s="94" t="str">
        <f>IFERROR(__xludf.DUMMYFUNCTION("""COMPUTED_VALUE"""),"")</f>
        <v/>
      </c>
      <c r="BJ40" s="93" t="str">
        <f>IFERROR(__xludf.DUMMYFUNCTION("""COMPUTED_VALUE"""),"")</f>
        <v/>
      </c>
      <c r="BK40" s="93" t="str">
        <f>IFERROR(__xludf.DUMMYFUNCTION("""COMPUTED_VALUE"""),"")</f>
        <v/>
      </c>
      <c r="BL40" s="94" t="str">
        <f>IFERROR(__xludf.DUMMYFUNCTION("""COMPUTED_VALUE"""),"")</f>
        <v/>
      </c>
      <c r="BM40" s="93" t="str">
        <f>IFERROR(__xludf.DUMMYFUNCTION("""COMPUTED_VALUE"""),"")</f>
        <v/>
      </c>
      <c r="BN40" s="93">
        <f>IFERROR(__xludf.DUMMYFUNCTION("""COMPUTED_VALUE"""),44.0)</f>
        <v>44</v>
      </c>
      <c r="BO40" s="94" t="str">
        <f>IFERROR(__xludf.DUMMYFUNCTION("""COMPUTED_VALUE"""),"")</f>
        <v/>
      </c>
      <c r="BP40" s="93" t="str">
        <f>IFERROR(__xludf.DUMMYFUNCTION("""COMPUTED_VALUE"""),"")</f>
        <v/>
      </c>
      <c r="BQ40" s="93" t="str">
        <f>IFERROR(__xludf.DUMMYFUNCTION("""COMPUTED_VALUE"""),"")</f>
        <v/>
      </c>
      <c r="BR40" s="94" t="str">
        <f>IFERROR(__xludf.DUMMYFUNCTION("""COMPUTED_VALUE"""),"")</f>
        <v/>
      </c>
      <c r="BS40" s="93" t="str">
        <f>IFERROR(__xludf.DUMMYFUNCTION("""COMPUTED_VALUE"""),"")</f>
        <v/>
      </c>
      <c r="BT40" s="93" t="str">
        <f>IFERROR(__xludf.DUMMYFUNCTION("""COMPUTED_VALUE"""),"")</f>
        <v/>
      </c>
      <c r="BU40" s="94">
        <f>IFERROR(__xludf.DUMMYFUNCTION("""COMPUTED_VALUE"""),371.6)</f>
        <v>371.6</v>
      </c>
      <c r="BV40" s="93" t="str">
        <f>IFERROR(__xludf.DUMMYFUNCTION("""COMPUTED_VALUE"""),"")</f>
        <v/>
      </c>
      <c r="BW40" s="93" t="str">
        <f>IFERROR(__xludf.DUMMYFUNCTION("""COMPUTED_VALUE"""),"")</f>
        <v/>
      </c>
      <c r="BX40" s="94" t="str">
        <f>IFERROR(__xludf.DUMMYFUNCTION("""COMPUTED_VALUE"""),"")</f>
        <v/>
      </c>
      <c r="BY40" s="93" t="str">
        <f>IFERROR(__xludf.DUMMYFUNCTION("""COMPUTED_VALUE"""),"")</f>
        <v/>
      </c>
      <c r="BZ40" s="93" t="str">
        <f>IFERROR(__xludf.DUMMYFUNCTION("""COMPUTED_VALUE"""),"")</f>
        <v/>
      </c>
      <c r="CA40" s="94" t="str">
        <f>IFERROR(__xludf.DUMMYFUNCTION("""COMPUTED_VALUE"""),"")</f>
        <v/>
      </c>
      <c r="CB40" s="92">
        <f>IFERROR(__xludf.DUMMYFUNCTION("""COMPUTED_VALUE"""),70.1)</f>
        <v>70.1</v>
      </c>
      <c r="CC40" s="93" t="str">
        <f>IFERROR(__xludf.DUMMYFUNCTION("""COMPUTED_VALUE"""),"")</f>
        <v/>
      </c>
      <c r="CD40" s="94" t="str">
        <f>IFERROR(__xludf.DUMMYFUNCTION("""COMPUTED_VALUE"""),"")</f>
        <v/>
      </c>
      <c r="CE40" s="93" t="str">
        <f>IFERROR(__xludf.DUMMYFUNCTION("""COMPUTED_VALUE"""),"")</f>
        <v/>
      </c>
      <c r="CF40" s="93" t="str">
        <f>IFERROR(__xludf.DUMMYFUNCTION("""COMPUTED_VALUE"""),"")</f>
        <v/>
      </c>
      <c r="CG40" s="94" t="str">
        <f>IFERROR(__xludf.DUMMYFUNCTION("""COMPUTED_VALUE"""),"")</f>
        <v/>
      </c>
      <c r="CH40" s="93" t="str">
        <f>IFERROR(__xludf.DUMMYFUNCTION("""COMPUTED_VALUE"""),"")</f>
        <v/>
      </c>
      <c r="CI40" s="93">
        <f>IFERROR(__xludf.DUMMYFUNCTION("""COMPUTED_VALUE"""),49.3)</f>
        <v>49.3</v>
      </c>
      <c r="CJ40" s="94" t="str">
        <f>IFERROR(__xludf.DUMMYFUNCTION("""COMPUTED_VALUE"""),"")</f>
        <v/>
      </c>
      <c r="CK40" s="93" t="str">
        <f>IFERROR(__xludf.DUMMYFUNCTION("""COMPUTED_VALUE"""),"")</f>
        <v/>
      </c>
      <c r="CL40" s="93" t="str">
        <f>IFERROR(__xludf.DUMMYFUNCTION("""COMPUTED_VALUE"""),"")</f>
        <v/>
      </c>
      <c r="CM40" s="94" t="str">
        <f>IFERROR(__xludf.DUMMYFUNCTION("""COMPUTED_VALUE"""),"")</f>
        <v/>
      </c>
      <c r="CN40" s="93" t="str">
        <f>IFERROR(__xludf.DUMMYFUNCTION("""COMPUTED_VALUE"""),"")</f>
        <v/>
      </c>
      <c r="CO40" s="93" t="str">
        <f>IFERROR(__xludf.DUMMYFUNCTION("""COMPUTED_VALUE"""),"")</f>
        <v/>
      </c>
      <c r="CP40" s="94" t="str">
        <f>IFERROR(__xludf.DUMMYFUNCTION("""COMPUTED_VALUE"""),"")</f>
        <v/>
      </c>
      <c r="CQ40" s="93" t="str">
        <f>IFERROR(__xludf.DUMMYFUNCTION("""COMPUTED_VALUE"""),"")</f>
        <v/>
      </c>
      <c r="CR40" s="93" t="str">
        <f>IFERROR(__xludf.DUMMYFUNCTION("""COMPUTED_VALUE"""),"")</f>
        <v/>
      </c>
      <c r="CS40" s="94"/>
      <c r="CT40" s="93"/>
      <c r="CU40" s="93"/>
      <c r="CV40" s="94"/>
      <c r="CW40" s="93"/>
      <c r="CX40" s="93"/>
      <c r="CY40" s="94"/>
      <c r="CZ40" s="93"/>
      <c r="DA40" s="93"/>
      <c r="DB40" s="94"/>
      <c r="DC40" s="93"/>
      <c r="DD40" s="93"/>
      <c r="DE40" s="94"/>
      <c r="DF40" s="93"/>
      <c r="DG40" s="93"/>
      <c r="DH40" s="94"/>
      <c r="DI40" s="93"/>
      <c r="DJ40" s="93"/>
      <c r="DK40" s="94"/>
      <c r="DL40" s="93"/>
      <c r="DM40" s="93"/>
      <c r="DN40" s="94"/>
      <c r="DO40" s="93"/>
      <c r="DP40" s="93"/>
      <c r="DQ40" s="94"/>
      <c r="DR40" s="93"/>
      <c r="DS40" s="93"/>
      <c r="DT40" s="94"/>
    </row>
    <row r="41">
      <c r="B41" s="83" t="str">
        <f>IFERROR(__xludf.DUMMYFUNCTION("""COMPUTED_VALUE"""),"TRF21")</f>
        <v>TRF21</v>
      </c>
      <c r="C41" s="82">
        <f>IFERROR(__xludf.DUMMYFUNCTION("""COMPUTED_VALUE"""),27.0)</f>
        <v>27</v>
      </c>
      <c r="D41" s="88" t="str">
        <f>IFERROR(__xludf.DUMMYFUNCTION("""COMPUTED_VALUE"""),"SAT Assassin Training Ground- Nov")</f>
        <v>SAT Assassin Training Ground- Nov</v>
      </c>
      <c r="E41" s="82" t="str">
        <f>IFERROR(__xludf.DUMMYFUNCTION("""COMPUTED_VALUE"""),"殺初級")</f>
        <v>殺初級</v>
      </c>
      <c r="F41" s="102">
        <f>IFERROR(__xludf.DUMMYFUNCTION("""COMPUTED_VALUE"""),10.0)</f>
        <v>10</v>
      </c>
      <c r="G41" s="82">
        <f>IFERROR(__xludf.DUMMYFUNCTION("""COMPUTED_VALUE"""),1128.0)</f>
        <v>1128</v>
      </c>
      <c r="H41" s="95" t="str">
        <f>IFERROR(__xludf.DUMMYFUNCTION("""COMPUTED_VALUE"""),"")</f>
        <v/>
      </c>
      <c r="I41" s="96" t="str">
        <f>IFERROR(__xludf.DUMMYFUNCTION("""COMPUTED_VALUE"""),"")</f>
        <v/>
      </c>
      <c r="J41" s="97" t="str">
        <f>IFERROR(__xludf.DUMMYFUNCTION("""COMPUTED_VALUE"""),"")</f>
        <v/>
      </c>
      <c r="K41" s="95" t="str">
        <f>IFERROR(__xludf.DUMMYFUNCTION("""COMPUTED_VALUE"""),"")</f>
        <v/>
      </c>
      <c r="L41" s="96" t="str">
        <f>IFERROR(__xludf.DUMMYFUNCTION("""COMPUTED_VALUE"""),"")</f>
        <v/>
      </c>
      <c r="M41" s="97" t="str">
        <f>IFERROR(__xludf.DUMMYFUNCTION("""COMPUTED_VALUE"""),"")</f>
        <v/>
      </c>
      <c r="N41" s="95" t="str">
        <f>IFERROR(__xludf.DUMMYFUNCTION("""COMPUTED_VALUE"""),"")</f>
        <v/>
      </c>
      <c r="O41" s="96" t="str">
        <f>IFERROR(__xludf.DUMMYFUNCTION("""COMPUTED_VALUE"""),"")</f>
        <v/>
      </c>
      <c r="P41" s="97" t="str">
        <f>IFERROR(__xludf.DUMMYFUNCTION("""COMPUTED_VALUE"""),"")</f>
        <v/>
      </c>
      <c r="Q41" s="95" t="str">
        <f>IFERROR(__xludf.DUMMYFUNCTION("""COMPUTED_VALUE"""),"")</f>
        <v/>
      </c>
      <c r="R41" s="96" t="str">
        <f>IFERROR(__xludf.DUMMYFUNCTION("""COMPUTED_VALUE"""),"")</f>
        <v/>
      </c>
      <c r="S41" s="97" t="str">
        <f>IFERROR(__xludf.DUMMYFUNCTION("""COMPUTED_VALUE"""),"")</f>
        <v/>
      </c>
      <c r="T41" s="95" t="str">
        <f>IFERROR(__xludf.DUMMYFUNCTION("""COMPUTED_VALUE"""),"")</f>
        <v/>
      </c>
      <c r="U41" s="96" t="str">
        <f>IFERROR(__xludf.DUMMYFUNCTION("""COMPUTED_VALUE"""),"")</f>
        <v/>
      </c>
      <c r="V41" s="97" t="str">
        <f>IFERROR(__xludf.DUMMYFUNCTION("""COMPUTED_VALUE"""),"")</f>
        <v/>
      </c>
      <c r="W41" s="95" t="str">
        <f>IFERROR(__xludf.DUMMYFUNCTION("""COMPUTED_VALUE"""),"")</f>
        <v/>
      </c>
      <c r="X41" s="96" t="str">
        <f>IFERROR(__xludf.DUMMYFUNCTION("""COMPUTED_VALUE"""),"")</f>
        <v/>
      </c>
      <c r="Y41" s="97" t="str">
        <f>IFERROR(__xludf.DUMMYFUNCTION("""COMPUTED_VALUE"""),"")</f>
        <v/>
      </c>
      <c r="Z41" s="95" t="str">
        <f>IFERROR(__xludf.DUMMYFUNCTION("""COMPUTED_VALUE"""),"")</f>
        <v/>
      </c>
      <c r="AA41" s="96">
        <f>IFERROR(__xludf.DUMMYFUNCTION("""COMPUTED_VALUE"""),372.5)</f>
        <v>372.5</v>
      </c>
      <c r="AB41" s="97" t="str">
        <f>IFERROR(__xludf.DUMMYFUNCTION("""COMPUTED_VALUE"""),"")</f>
        <v/>
      </c>
      <c r="AC41" s="95" t="str">
        <f>IFERROR(__xludf.DUMMYFUNCTION("""COMPUTED_VALUE"""),"")</f>
        <v/>
      </c>
      <c r="AD41" s="96" t="str">
        <f>IFERROR(__xludf.DUMMYFUNCTION("""COMPUTED_VALUE"""),"")</f>
        <v/>
      </c>
      <c r="AE41" s="97">
        <f>IFERROR(__xludf.DUMMYFUNCTION("""COMPUTED_VALUE"""),107.9)</f>
        <v>107.9</v>
      </c>
      <c r="AF41" s="95" t="str">
        <f>IFERROR(__xludf.DUMMYFUNCTION("""COMPUTED_VALUE"""),"")</f>
        <v/>
      </c>
      <c r="AG41" s="96" t="str">
        <f>IFERROR(__xludf.DUMMYFUNCTION("""COMPUTED_VALUE"""),"")</f>
        <v/>
      </c>
      <c r="AH41" s="97" t="str">
        <f>IFERROR(__xludf.DUMMYFUNCTION("""COMPUTED_VALUE"""),"")</f>
        <v/>
      </c>
      <c r="AI41" s="103" t="str">
        <f>IFERROR(__xludf.DUMMYFUNCTION("""COMPUTED_VALUE"""),"")</f>
        <v/>
      </c>
      <c r="AJ41" s="104" t="str">
        <f>IFERROR(__xludf.DUMMYFUNCTION("""COMPUTED_VALUE"""),"")</f>
        <v/>
      </c>
      <c r="AK41" s="105" t="str">
        <f>IFERROR(__xludf.DUMMYFUNCTION("""COMPUTED_VALUE"""),"")</f>
        <v/>
      </c>
      <c r="AL41" s="104" t="str">
        <f>IFERROR(__xludf.DUMMYFUNCTION("""COMPUTED_VALUE"""),"")</f>
        <v/>
      </c>
      <c r="AM41" s="104" t="str">
        <f>IFERROR(__xludf.DUMMYFUNCTION("""COMPUTED_VALUE"""),"")</f>
        <v/>
      </c>
      <c r="AN41" s="105" t="str">
        <f>IFERROR(__xludf.DUMMYFUNCTION("""COMPUTED_VALUE"""),"")</f>
        <v/>
      </c>
      <c r="AO41" s="104" t="str">
        <f>IFERROR(__xludf.DUMMYFUNCTION("""COMPUTED_VALUE"""),"")</f>
        <v/>
      </c>
      <c r="AP41" s="104" t="str">
        <f>IFERROR(__xludf.DUMMYFUNCTION("""COMPUTED_VALUE"""),"")</f>
        <v/>
      </c>
      <c r="AQ41" s="105" t="str">
        <f>IFERROR(__xludf.DUMMYFUNCTION("""COMPUTED_VALUE"""),"")</f>
        <v/>
      </c>
      <c r="AR41" s="104" t="str">
        <f>IFERROR(__xludf.DUMMYFUNCTION("""COMPUTED_VALUE"""),"")</f>
        <v/>
      </c>
      <c r="AS41" s="104" t="str">
        <f>IFERROR(__xludf.DUMMYFUNCTION("""COMPUTED_VALUE"""),"")</f>
        <v/>
      </c>
      <c r="AT41" s="105" t="str">
        <f>IFERROR(__xludf.DUMMYFUNCTION("""COMPUTED_VALUE"""),"")</f>
        <v/>
      </c>
      <c r="AU41" s="104" t="str">
        <f>IFERROR(__xludf.DUMMYFUNCTION("""COMPUTED_VALUE"""),"")</f>
        <v/>
      </c>
      <c r="AV41" s="104">
        <f>IFERROR(__xludf.DUMMYFUNCTION("""COMPUTED_VALUE"""),77.3)</f>
        <v>77.3</v>
      </c>
      <c r="AW41" s="105">
        <f>IFERROR(__xludf.DUMMYFUNCTION("""COMPUTED_VALUE"""),87.4)</f>
        <v>87.4</v>
      </c>
      <c r="AX41" s="104" t="str">
        <f>IFERROR(__xludf.DUMMYFUNCTION("""COMPUTED_VALUE"""),"")</f>
        <v/>
      </c>
      <c r="AY41" s="104" t="str">
        <f>IFERROR(__xludf.DUMMYFUNCTION("""COMPUTED_VALUE"""),"")</f>
        <v/>
      </c>
      <c r="AZ41" s="105" t="str">
        <f>IFERROR(__xludf.DUMMYFUNCTION("""COMPUTED_VALUE"""),"")</f>
        <v/>
      </c>
      <c r="BA41" s="104" t="str">
        <f>IFERROR(__xludf.DUMMYFUNCTION("""COMPUTED_VALUE"""),"")</f>
        <v/>
      </c>
      <c r="BB41" s="104" t="str">
        <f>IFERROR(__xludf.DUMMYFUNCTION("""COMPUTED_VALUE"""),"")</f>
        <v/>
      </c>
      <c r="BC41" s="105" t="str">
        <f>IFERROR(__xludf.DUMMYFUNCTION("""COMPUTED_VALUE"""),"")</f>
        <v/>
      </c>
      <c r="BD41" s="104" t="str">
        <f>IFERROR(__xludf.DUMMYFUNCTION("""COMPUTED_VALUE"""),"")</f>
        <v/>
      </c>
      <c r="BE41" s="104" t="str">
        <f>IFERROR(__xludf.DUMMYFUNCTION("""COMPUTED_VALUE"""),"")</f>
        <v/>
      </c>
      <c r="BF41" s="105" t="str">
        <f>IFERROR(__xludf.DUMMYFUNCTION("""COMPUTED_VALUE"""),"")</f>
        <v/>
      </c>
      <c r="BG41" s="103" t="str">
        <f>IFERROR(__xludf.DUMMYFUNCTION("""COMPUTED_VALUE"""),"")</f>
        <v/>
      </c>
      <c r="BH41" s="104" t="str">
        <f>IFERROR(__xludf.DUMMYFUNCTION("""COMPUTED_VALUE"""),"")</f>
        <v/>
      </c>
      <c r="BI41" s="105" t="str">
        <f>IFERROR(__xludf.DUMMYFUNCTION("""COMPUTED_VALUE"""),"")</f>
        <v/>
      </c>
      <c r="BJ41" s="104" t="str">
        <f>IFERROR(__xludf.DUMMYFUNCTION("""COMPUTED_VALUE"""),"")</f>
        <v/>
      </c>
      <c r="BK41" s="104" t="str">
        <f>IFERROR(__xludf.DUMMYFUNCTION("""COMPUTED_VALUE"""),"")</f>
        <v/>
      </c>
      <c r="BL41" s="105" t="str">
        <f>IFERROR(__xludf.DUMMYFUNCTION("""COMPUTED_VALUE"""),"")</f>
        <v/>
      </c>
      <c r="BM41" s="104" t="str">
        <f>IFERROR(__xludf.DUMMYFUNCTION("""COMPUTED_VALUE"""),"")</f>
        <v/>
      </c>
      <c r="BN41" s="104" t="str">
        <f>IFERROR(__xludf.DUMMYFUNCTION("""COMPUTED_VALUE"""),"")</f>
        <v/>
      </c>
      <c r="BO41" s="105" t="str">
        <f>IFERROR(__xludf.DUMMYFUNCTION("""COMPUTED_VALUE"""),"")</f>
        <v/>
      </c>
      <c r="BP41" s="104" t="str">
        <f>IFERROR(__xludf.DUMMYFUNCTION("""COMPUTED_VALUE"""),"")</f>
        <v/>
      </c>
      <c r="BQ41" s="104" t="str">
        <f>IFERROR(__xludf.DUMMYFUNCTION("""COMPUTED_VALUE"""),"")</f>
        <v/>
      </c>
      <c r="BR41" s="105" t="str">
        <f>IFERROR(__xludf.DUMMYFUNCTION("""COMPUTED_VALUE"""),"")</f>
        <v/>
      </c>
      <c r="BS41" s="104" t="str">
        <f>IFERROR(__xludf.DUMMYFUNCTION("""COMPUTED_VALUE"""),"")</f>
        <v/>
      </c>
      <c r="BT41" s="104" t="str">
        <f>IFERROR(__xludf.DUMMYFUNCTION("""COMPUTED_VALUE"""),"")</f>
        <v/>
      </c>
      <c r="BU41" s="105" t="str">
        <f>IFERROR(__xludf.DUMMYFUNCTION("""COMPUTED_VALUE"""),"")</f>
        <v/>
      </c>
      <c r="BV41" s="104">
        <f>IFERROR(__xludf.DUMMYFUNCTION("""COMPUTED_VALUE"""),7.6)</f>
        <v>7.6</v>
      </c>
      <c r="BW41" s="104" t="str">
        <f>IFERROR(__xludf.DUMMYFUNCTION("""COMPUTED_VALUE"""),"")</f>
        <v/>
      </c>
      <c r="BX41" s="105" t="str">
        <f>IFERROR(__xludf.DUMMYFUNCTION("""COMPUTED_VALUE"""),"")</f>
        <v/>
      </c>
      <c r="BY41" s="104" t="str">
        <f>IFERROR(__xludf.DUMMYFUNCTION("""COMPUTED_VALUE"""),"")</f>
        <v/>
      </c>
      <c r="BZ41" s="104" t="str">
        <f>IFERROR(__xludf.DUMMYFUNCTION("""COMPUTED_VALUE"""),"")</f>
        <v/>
      </c>
      <c r="CA41" s="105" t="str">
        <f>IFERROR(__xludf.DUMMYFUNCTION("""COMPUTED_VALUE"""),"")</f>
        <v/>
      </c>
      <c r="CB41" s="103" t="str">
        <f>IFERROR(__xludf.DUMMYFUNCTION("""COMPUTED_VALUE"""),"")</f>
        <v/>
      </c>
      <c r="CC41" s="104">
        <f>IFERROR(__xludf.DUMMYFUNCTION("""COMPUTED_VALUE"""),401.2)</f>
        <v>401.2</v>
      </c>
      <c r="CD41" s="105" t="str">
        <f>IFERROR(__xludf.DUMMYFUNCTION("""COMPUTED_VALUE"""),"")</f>
        <v/>
      </c>
      <c r="CE41" s="104" t="str">
        <f>IFERROR(__xludf.DUMMYFUNCTION("""COMPUTED_VALUE"""),"")</f>
        <v/>
      </c>
      <c r="CF41" s="104" t="str">
        <f>IFERROR(__xludf.DUMMYFUNCTION("""COMPUTED_VALUE"""),"")</f>
        <v/>
      </c>
      <c r="CG41" s="105" t="str">
        <f>IFERROR(__xludf.DUMMYFUNCTION("""COMPUTED_VALUE"""),"")</f>
        <v/>
      </c>
      <c r="CH41" s="104" t="str">
        <f>IFERROR(__xludf.DUMMYFUNCTION("""COMPUTED_VALUE"""),"")</f>
        <v/>
      </c>
      <c r="CI41" s="104" t="str">
        <f>IFERROR(__xludf.DUMMYFUNCTION("""COMPUTED_VALUE"""),"")</f>
        <v/>
      </c>
      <c r="CJ41" s="105">
        <f>IFERROR(__xludf.DUMMYFUNCTION("""COMPUTED_VALUE"""),35.3)</f>
        <v>35.3</v>
      </c>
      <c r="CK41" s="104" t="str">
        <f>IFERROR(__xludf.DUMMYFUNCTION("""COMPUTED_VALUE"""),"")</f>
        <v/>
      </c>
      <c r="CL41" s="104" t="str">
        <f>IFERROR(__xludf.DUMMYFUNCTION("""COMPUTED_VALUE"""),"")</f>
        <v/>
      </c>
      <c r="CM41" s="105" t="str">
        <f>IFERROR(__xludf.DUMMYFUNCTION("""COMPUTED_VALUE"""),"")</f>
        <v/>
      </c>
      <c r="CN41" s="104" t="str">
        <f>IFERROR(__xludf.DUMMYFUNCTION("""COMPUTED_VALUE"""),"")</f>
        <v/>
      </c>
      <c r="CO41" s="104" t="str">
        <f>IFERROR(__xludf.DUMMYFUNCTION("""COMPUTED_VALUE"""),"")</f>
        <v/>
      </c>
      <c r="CP41" s="105" t="str">
        <f>IFERROR(__xludf.DUMMYFUNCTION("""COMPUTED_VALUE"""),"")</f>
        <v/>
      </c>
      <c r="CQ41" s="104" t="str">
        <f>IFERROR(__xludf.DUMMYFUNCTION("""COMPUTED_VALUE"""),"")</f>
        <v/>
      </c>
      <c r="CR41" s="104" t="str">
        <f>IFERROR(__xludf.DUMMYFUNCTION("""COMPUTED_VALUE"""),"")</f>
        <v/>
      </c>
      <c r="CS41" s="105"/>
      <c r="CT41" s="104"/>
      <c r="CU41" s="104"/>
      <c r="CV41" s="105"/>
      <c r="CW41" s="104"/>
      <c r="CX41" s="104"/>
      <c r="CY41" s="105"/>
      <c r="CZ41" s="104"/>
      <c r="DA41" s="104"/>
      <c r="DB41" s="105"/>
      <c r="DC41" s="104"/>
      <c r="DD41" s="104"/>
      <c r="DE41" s="105"/>
      <c r="DF41" s="104"/>
      <c r="DG41" s="104"/>
      <c r="DH41" s="105"/>
      <c r="DI41" s="104"/>
      <c r="DJ41" s="104"/>
      <c r="DK41" s="105"/>
      <c r="DL41" s="104"/>
      <c r="DM41" s="104"/>
      <c r="DN41" s="105"/>
      <c r="DO41" s="104"/>
      <c r="DP41" s="104"/>
      <c r="DQ41" s="105"/>
      <c r="DR41" s="104"/>
      <c r="DS41" s="104"/>
      <c r="DT41" s="105"/>
    </row>
    <row r="42">
      <c r="B42" s="83" t="str">
        <f>IFERROR(__xludf.DUMMYFUNCTION("""COMPUTED_VALUE"""),"TRF22")</f>
        <v>TRF22</v>
      </c>
      <c r="C42" s="82">
        <f>IFERROR(__xludf.DUMMYFUNCTION("""COMPUTED_VALUE"""),26.0)</f>
        <v>26</v>
      </c>
      <c r="D42" s="88" t="str">
        <f>IFERROR(__xludf.DUMMYFUNCTION("""COMPUTED_VALUE"""),"SAT Assassin Training Ground- Int")</f>
        <v>SAT Assassin Training Ground- Int</v>
      </c>
      <c r="E42" s="82" t="str">
        <f>IFERROR(__xludf.DUMMYFUNCTION("""COMPUTED_VALUE"""),"殺中級")</f>
        <v>殺中級</v>
      </c>
      <c r="F42" s="102">
        <f>IFERROR(__xludf.DUMMYFUNCTION("""COMPUTED_VALUE"""),20.0)</f>
        <v>20</v>
      </c>
      <c r="G42" s="82">
        <f>IFERROR(__xludf.DUMMYFUNCTION("""COMPUTED_VALUE"""),1000.0)</f>
        <v>1000</v>
      </c>
      <c r="H42" s="95" t="str">
        <f>IFERROR(__xludf.DUMMYFUNCTION("""COMPUTED_VALUE"""),"")</f>
        <v/>
      </c>
      <c r="I42" s="96" t="str">
        <f>IFERROR(__xludf.DUMMYFUNCTION("""COMPUTED_VALUE"""),"")</f>
        <v/>
      </c>
      <c r="J42" s="97" t="str">
        <f>IFERROR(__xludf.DUMMYFUNCTION("""COMPUTED_VALUE"""),"")</f>
        <v/>
      </c>
      <c r="K42" s="95" t="str">
        <f>IFERROR(__xludf.DUMMYFUNCTION("""COMPUTED_VALUE"""),"")</f>
        <v/>
      </c>
      <c r="L42" s="96" t="str">
        <f>IFERROR(__xludf.DUMMYFUNCTION("""COMPUTED_VALUE"""),"")</f>
        <v/>
      </c>
      <c r="M42" s="97" t="str">
        <f>IFERROR(__xludf.DUMMYFUNCTION("""COMPUTED_VALUE"""),"")</f>
        <v/>
      </c>
      <c r="N42" s="95" t="str">
        <f>IFERROR(__xludf.DUMMYFUNCTION("""COMPUTED_VALUE"""),"")</f>
        <v/>
      </c>
      <c r="O42" s="96" t="str">
        <f>IFERROR(__xludf.DUMMYFUNCTION("""COMPUTED_VALUE"""),"")</f>
        <v/>
      </c>
      <c r="P42" s="97" t="str">
        <f>IFERROR(__xludf.DUMMYFUNCTION("""COMPUTED_VALUE"""),"")</f>
        <v/>
      </c>
      <c r="Q42" s="95" t="str">
        <f>IFERROR(__xludf.DUMMYFUNCTION("""COMPUTED_VALUE"""),"")</f>
        <v/>
      </c>
      <c r="R42" s="96" t="str">
        <f>IFERROR(__xludf.DUMMYFUNCTION("""COMPUTED_VALUE"""),"")</f>
        <v/>
      </c>
      <c r="S42" s="97" t="str">
        <f>IFERROR(__xludf.DUMMYFUNCTION("""COMPUTED_VALUE"""),"")</f>
        <v/>
      </c>
      <c r="T42" s="95" t="str">
        <f>IFERROR(__xludf.DUMMYFUNCTION("""COMPUTED_VALUE"""),"")</f>
        <v/>
      </c>
      <c r="U42" s="96" t="str">
        <f>IFERROR(__xludf.DUMMYFUNCTION("""COMPUTED_VALUE"""),"")</f>
        <v/>
      </c>
      <c r="V42" s="97" t="str">
        <f>IFERROR(__xludf.DUMMYFUNCTION("""COMPUTED_VALUE"""),"")</f>
        <v/>
      </c>
      <c r="W42" s="95" t="str">
        <f>IFERROR(__xludf.DUMMYFUNCTION("""COMPUTED_VALUE"""),"")</f>
        <v/>
      </c>
      <c r="X42" s="96" t="str">
        <f>IFERROR(__xludf.DUMMYFUNCTION("""COMPUTED_VALUE"""),"")</f>
        <v/>
      </c>
      <c r="Y42" s="97" t="str">
        <f>IFERROR(__xludf.DUMMYFUNCTION("""COMPUTED_VALUE"""),"")</f>
        <v/>
      </c>
      <c r="Z42" s="95">
        <f>IFERROR(__xludf.DUMMYFUNCTION("""COMPUTED_VALUE"""),241.5)</f>
        <v>241.5</v>
      </c>
      <c r="AA42" s="96">
        <f>IFERROR(__xludf.DUMMYFUNCTION("""COMPUTED_VALUE"""),827.8)</f>
        <v>827.8</v>
      </c>
      <c r="AB42" s="97" t="str">
        <f>IFERROR(__xludf.DUMMYFUNCTION("""COMPUTED_VALUE"""),"")</f>
        <v/>
      </c>
      <c r="AC42" s="95" t="str">
        <f>IFERROR(__xludf.DUMMYFUNCTION("""COMPUTED_VALUE"""),"")</f>
        <v/>
      </c>
      <c r="AD42" s="96" t="str">
        <f>IFERROR(__xludf.DUMMYFUNCTION("""COMPUTED_VALUE"""),"")</f>
        <v/>
      </c>
      <c r="AE42" s="97">
        <f>IFERROR(__xludf.DUMMYFUNCTION("""COMPUTED_VALUE"""),210.5)</f>
        <v>210.5</v>
      </c>
      <c r="AF42" s="95" t="str">
        <f>IFERROR(__xludf.DUMMYFUNCTION("""COMPUTED_VALUE"""),"")</f>
        <v/>
      </c>
      <c r="AG42" s="96" t="str">
        <f>IFERROR(__xludf.DUMMYFUNCTION("""COMPUTED_VALUE"""),"")</f>
        <v/>
      </c>
      <c r="AH42" s="97" t="str">
        <f>IFERROR(__xludf.DUMMYFUNCTION("""COMPUTED_VALUE"""),"")</f>
        <v/>
      </c>
      <c r="AI42" s="92" t="str">
        <f>IFERROR(__xludf.DUMMYFUNCTION("""COMPUTED_VALUE"""),"")</f>
        <v/>
      </c>
      <c r="AJ42" s="93" t="str">
        <f>IFERROR(__xludf.DUMMYFUNCTION("""COMPUTED_VALUE"""),"")</f>
        <v/>
      </c>
      <c r="AK42" s="94" t="str">
        <f>IFERROR(__xludf.DUMMYFUNCTION("""COMPUTED_VALUE"""),"")</f>
        <v/>
      </c>
      <c r="AL42" s="93" t="str">
        <f>IFERROR(__xludf.DUMMYFUNCTION("""COMPUTED_VALUE"""),"")</f>
        <v/>
      </c>
      <c r="AM42" s="93" t="str">
        <f>IFERROR(__xludf.DUMMYFUNCTION("""COMPUTED_VALUE"""),"")</f>
        <v/>
      </c>
      <c r="AN42" s="94" t="str">
        <f>IFERROR(__xludf.DUMMYFUNCTION("""COMPUTED_VALUE"""),"")</f>
        <v/>
      </c>
      <c r="AO42" s="93" t="str">
        <f>IFERROR(__xludf.DUMMYFUNCTION("""COMPUTED_VALUE"""),"")</f>
        <v/>
      </c>
      <c r="AP42" s="93" t="str">
        <f>IFERROR(__xludf.DUMMYFUNCTION("""COMPUTED_VALUE"""),"")</f>
        <v/>
      </c>
      <c r="AQ42" s="94" t="str">
        <f>IFERROR(__xludf.DUMMYFUNCTION("""COMPUTED_VALUE"""),"")</f>
        <v/>
      </c>
      <c r="AR42" s="93" t="str">
        <f>IFERROR(__xludf.DUMMYFUNCTION("""COMPUTED_VALUE"""),"")</f>
        <v/>
      </c>
      <c r="AS42" s="93" t="str">
        <f>IFERROR(__xludf.DUMMYFUNCTION("""COMPUTED_VALUE"""),"")</f>
        <v/>
      </c>
      <c r="AT42" s="94" t="str">
        <f>IFERROR(__xludf.DUMMYFUNCTION("""COMPUTED_VALUE"""),"")</f>
        <v/>
      </c>
      <c r="AU42" s="93" t="str">
        <f>IFERROR(__xludf.DUMMYFUNCTION("""COMPUTED_VALUE"""),"")</f>
        <v/>
      </c>
      <c r="AV42" s="93">
        <f>IFERROR(__xludf.DUMMYFUNCTION("""COMPUTED_VALUE"""),113.0)</f>
        <v>113</v>
      </c>
      <c r="AW42" s="94">
        <f>IFERROR(__xludf.DUMMYFUNCTION("""COMPUTED_VALUE"""),118.3)</f>
        <v>118.3</v>
      </c>
      <c r="AX42" s="93" t="str">
        <f>IFERROR(__xludf.DUMMYFUNCTION("""COMPUTED_VALUE"""),"")</f>
        <v/>
      </c>
      <c r="AY42" s="93" t="str">
        <f>IFERROR(__xludf.DUMMYFUNCTION("""COMPUTED_VALUE"""),"")</f>
        <v/>
      </c>
      <c r="AZ42" s="94" t="str">
        <f>IFERROR(__xludf.DUMMYFUNCTION("""COMPUTED_VALUE"""),"")</f>
        <v/>
      </c>
      <c r="BA42" s="93" t="str">
        <f>IFERROR(__xludf.DUMMYFUNCTION("""COMPUTED_VALUE"""),"")</f>
        <v/>
      </c>
      <c r="BB42" s="93" t="str">
        <f>IFERROR(__xludf.DUMMYFUNCTION("""COMPUTED_VALUE"""),"")</f>
        <v/>
      </c>
      <c r="BC42" s="94" t="str">
        <f>IFERROR(__xludf.DUMMYFUNCTION("""COMPUTED_VALUE"""),"")</f>
        <v/>
      </c>
      <c r="BD42" s="93" t="str">
        <f>IFERROR(__xludf.DUMMYFUNCTION("""COMPUTED_VALUE"""),"")</f>
        <v/>
      </c>
      <c r="BE42" s="93" t="str">
        <f>IFERROR(__xludf.DUMMYFUNCTION("""COMPUTED_VALUE"""),"")</f>
        <v/>
      </c>
      <c r="BF42" s="94" t="str">
        <f>IFERROR(__xludf.DUMMYFUNCTION("""COMPUTED_VALUE"""),"")</f>
        <v/>
      </c>
      <c r="BG42" s="92" t="str">
        <f>IFERROR(__xludf.DUMMYFUNCTION("""COMPUTED_VALUE"""),"")</f>
        <v/>
      </c>
      <c r="BH42" s="93" t="str">
        <f>IFERROR(__xludf.DUMMYFUNCTION("""COMPUTED_VALUE"""),"")</f>
        <v/>
      </c>
      <c r="BI42" s="94" t="str">
        <f>IFERROR(__xludf.DUMMYFUNCTION("""COMPUTED_VALUE"""),"")</f>
        <v/>
      </c>
      <c r="BJ42" s="93" t="str">
        <f>IFERROR(__xludf.DUMMYFUNCTION("""COMPUTED_VALUE"""),"")</f>
        <v/>
      </c>
      <c r="BK42" s="93" t="str">
        <f>IFERROR(__xludf.DUMMYFUNCTION("""COMPUTED_VALUE"""),"")</f>
        <v/>
      </c>
      <c r="BL42" s="94" t="str">
        <f>IFERROR(__xludf.DUMMYFUNCTION("""COMPUTED_VALUE"""),"")</f>
        <v/>
      </c>
      <c r="BM42" s="93" t="str">
        <f>IFERROR(__xludf.DUMMYFUNCTION("""COMPUTED_VALUE"""),"")</f>
        <v/>
      </c>
      <c r="BN42" s="93" t="str">
        <f>IFERROR(__xludf.DUMMYFUNCTION("""COMPUTED_VALUE"""),"")</f>
        <v/>
      </c>
      <c r="BO42" s="94">
        <f>IFERROR(__xludf.DUMMYFUNCTION("""COMPUTED_VALUE"""),18.4)</f>
        <v>18.4</v>
      </c>
      <c r="BP42" s="93" t="str">
        <f>IFERROR(__xludf.DUMMYFUNCTION("""COMPUTED_VALUE"""),"")</f>
        <v/>
      </c>
      <c r="BQ42" s="93" t="str">
        <f>IFERROR(__xludf.DUMMYFUNCTION("""COMPUTED_VALUE"""),"")</f>
        <v/>
      </c>
      <c r="BR42" s="94" t="str">
        <f>IFERROR(__xludf.DUMMYFUNCTION("""COMPUTED_VALUE"""),"")</f>
        <v/>
      </c>
      <c r="BS42" s="93" t="str">
        <f>IFERROR(__xludf.DUMMYFUNCTION("""COMPUTED_VALUE"""),"")</f>
        <v/>
      </c>
      <c r="BT42" s="93" t="str">
        <f>IFERROR(__xludf.DUMMYFUNCTION("""COMPUTED_VALUE"""),"")</f>
        <v/>
      </c>
      <c r="BU42" s="94" t="str">
        <f>IFERROR(__xludf.DUMMYFUNCTION("""COMPUTED_VALUE"""),"")</f>
        <v/>
      </c>
      <c r="BV42" s="93">
        <f>IFERROR(__xludf.DUMMYFUNCTION("""COMPUTED_VALUE"""),23.9)</f>
        <v>23.9</v>
      </c>
      <c r="BW42" s="93" t="str">
        <f>IFERROR(__xludf.DUMMYFUNCTION("""COMPUTED_VALUE"""),"")</f>
        <v/>
      </c>
      <c r="BX42" s="94" t="str">
        <f>IFERROR(__xludf.DUMMYFUNCTION("""COMPUTED_VALUE"""),"")</f>
        <v/>
      </c>
      <c r="BY42" s="93" t="str">
        <f>IFERROR(__xludf.DUMMYFUNCTION("""COMPUTED_VALUE"""),"")</f>
        <v/>
      </c>
      <c r="BZ42" s="93" t="str">
        <f>IFERROR(__xludf.DUMMYFUNCTION("""COMPUTED_VALUE"""),"")</f>
        <v/>
      </c>
      <c r="CA42" s="94" t="str">
        <f>IFERROR(__xludf.DUMMYFUNCTION("""COMPUTED_VALUE"""),"")</f>
        <v/>
      </c>
      <c r="CB42" s="92" t="str">
        <f>IFERROR(__xludf.DUMMYFUNCTION("""COMPUTED_VALUE"""),"")</f>
        <v/>
      </c>
      <c r="CC42" s="93">
        <f>IFERROR(__xludf.DUMMYFUNCTION("""COMPUTED_VALUE"""),272.2)</f>
        <v>272.2</v>
      </c>
      <c r="CD42" s="94" t="str">
        <f>IFERROR(__xludf.DUMMYFUNCTION("""COMPUTED_VALUE"""),"")</f>
        <v/>
      </c>
      <c r="CE42" s="93" t="str">
        <f>IFERROR(__xludf.DUMMYFUNCTION("""COMPUTED_VALUE"""),"")</f>
        <v/>
      </c>
      <c r="CF42" s="93" t="str">
        <f>IFERROR(__xludf.DUMMYFUNCTION("""COMPUTED_VALUE"""),"")</f>
        <v/>
      </c>
      <c r="CG42" s="94" t="str">
        <f>IFERROR(__xludf.DUMMYFUNCTION("""COMPUTED_VALUE"""),"")</f>
        <v/>
      </c>
      <c r="CH42" s="93" t="str">
        <f>IFERROR(__xludf.DUMMYFUNCTION("""COMPUTED_VALUE"""),"")</f>
        <v/>
      </c>
      <c r="CI42" s="93" t="str">
        <f>IFERROR(__xludf.DUMMYFUNCTION("""COMPUTED_VALUE"""),"")</f>
        <v/>
      </c>
      <c r="CJ42" s="94">
        <f>IFERROR(__xludf.DUMMYFUNCTION("""COMPUTED_VALUE"""),29.5)</f>
        <v>29.5</v>
      </c>
      <c r="CK42" s="93" t="str">
        <f>IFERROR(__xludf.DUMMYFUNCTION("""COMPUTED_VALUE"""),"")</f>
        <v/>
      </c>
      <c r="CL42" s="93" t="str">
        <f>IFERROR(__xludf.DUMMYFUNCTION("""COMPUTED_VALUE"""),"")</f>
        <v/>
      </c>
      <c r="CM42" s="94" t="str">
        <f>IFERROR(__xludf.DUMMYFUNCTION("""COMPUTED_VALUE"""),"")</f>
        <v/>
      </c>
      <c r="CN42" s="93" t="str">
        <f>IFERROR(__xludf.DUMMYFUNCTION("""COMPUTED_VALUE"""),"")</f>
        <v/>
      </c>
      <c r="CO42" s="93" t="str">
        <f>IFERROR(__xludf.DUMMYFUNCTION("""COMPUTED_VALUE"""),"")</f>
        <v/>
      </c>
      <c r="CP42" s="94" t="str">
        <f>IFERROR(__xludf.DUMMYFUNCTION("""COMPUTED_VALUE"""),"")</f>
        <v/>
      </c>
      <c r="CQ42" s="93" t="str">
        <f>IFERROR(__xludf.DUMMYFUNCTION("""COMPUTED_VALUE"""),"")</f>
        <v/>
      </c>
      <c r="CR42" s="93" t="str">
        <f>IFERROR(__xludf.DUMMYFUNCTION("""COMPUTED_VALUE"""),"")</f>
        <v/>
      </c>
      <c r="CS42" s="94"/>
      <c r="CT42" s="93"/>
      <c r="CU42" s="93"/>
      <c r="CV42" s="94"/>
      <c r="CW42" s="93"/>
      <c r="CX42" s="93"/>
      <c r="CY42" s="94"/>
      <c r="CZ42" s="93"/>
      <c r="DA42" s="93"/>
      <c r="DB42" s="94"/>
      <c r="DC42" s="93"/>
      <c r="DD42" s="93"/>
      <c r="DE42" s="94"/>
      <c r="DF42" s="93"/>
      <c r="DG42" s="93"/>
      <c r="DH42" s="94"/>
      <c r="DI42" s="93"/>
      <c r="DJ42" s="93"/>
      <c r="DK42" s="94"/>
      <c r="DL42" s="93"/>
      <c r="DM42" s="93"/>
      <c r="DN42" s="94"/>
      <c r="DO42" s="93"/>
      <c r="DP42" s="93"/>
      <c r="DQ42" s="94"/>
      <c r="DR42" s="93"/>
      <c r="DS42" s="93"/>
      <c r="DT42" s="94"/>
    </row>
    <row r="43">
      <c r="B43" s="83" t="str">
        <f>IFERROR(__xludf.DUMMYFUNCTION("""COMPUTED_VALUE"""),"TRF23")</f>
        <v>TRF23</v>
      </c>
      <c r="C43" s="82">
        <f>IFERROR(__xludf.DUMMYFUNCTION("""COMPUTED_VALUE"""),25.0)</f>
        <v>25</v>
      </c>
      <c r="D43" s="88" t="str">
        <f>IFERROR(__xludf.DUMMYFUNCTION("""COMPUTED_VALUE"""),"SAT Assassin Training Ground- Adv")</f>
        <v>SAT Assassin Training Ground- Adv</v>
      </c>
      <c r="E43" s="82" t="str">
        <f>IFERROR(__xludf.DUMMYFUNCTION("""COMPUTED_VALUE"""),"殺上級")</f>
        <v>殺上級</v>
      </c>
      <c r="F43" s="102">
        <f>IFERROR(__xludf.DUMMYFUNCTION("""COMPUTED_VALUE"""),30.0)</f>
        <v>30</v>
      </c>
      <c r="G43" s="82">
        <f>IFERROR(__xludf.DUMMYFUNCTION("""COMPUTED_VALUE"""),1209.0)</f>
        <v>1209</v>
      </c>
      <c r="H43" s="95" t="str">
        <f>IFERROR(__xludf.DUMMYFUNCTION("""COMPUTED_VALUE"""),"")</f>
        <v/>
      </c>
      <c r="I43" s="96" t="str">
        <f>IFERROR(__xludf.DUMMYFUNCTION("""COMPUTED_VALUE"""),"")</f>
        <v/>
      </c>
      <c r="J43" s="97" t="str">
        <f>IFERROR(__xludf.DUMMYFUNCTION("""COMPUTED_VALUE"""),"")</f>
        <v/>
      </c>
      <c r="K43" s="95" t="str">
        <f>IFERROR(__xludf.DUMMYFUNCTION("""COMPUTED_VALUE"""),"")</f>
        <v/>
      </c>
      <c r="L43" s="96" t="str">
        <f>IFERROR(__xludf.DUMMYFUNCTION("""COMPUTED_VALUE"""),"")</f>
        <v/>
      </c>
      <c r="M43" s="97" t="str">
        <f>IFERROR(__xludf.DUMMYFUNCTION("""COMPUTED_VALUE"""),"")</f>
        <v/>
      </c>
      <c r="N43" s="95">
        <f>IFERROR(__xludf.DUMMYFUNCTION("""COMPUTED_VALUE"""),510.8)</f>
        <v>510.8</v>
      </c>
      <c r="O43" s="96" t="str">
        <f>IFERROR(__xludf.DUMMYFUNCTION("""COMPUTED_VALUE"""),"")</f>
        <v/>
      </c>
      <c r="P43" s="97" t="str">
        <f>IFERROR(__xludf.DUMMYFUNCTION("""COMPUTED_VALUE"""),"")</f>
        <v/>
      </c>
      <c r="Q43" s="95" t="str">
        <f>IFERROR(__xludf.DUMMYFUNCTION("""COMPUTED_VALUE"""),"")</f>
        <v/>
      </c>
      <c r="R43" s="96" t="str">
        <f>IFERROR(__xludf.DUMMYFUNCTION("""COMPUTED_VALUE"""),"")</f>
        <v/>
      </c>
      <c r="S43" s="97" t="str">
        <f>IFERROR(__xludf.DUMMYFUNCTION("""COMPUTED_VALUE"""),"")</f>
        <v/>
      </c>
      <c r="T43" s="95" t="str">
        <f>IFERROR(__xludf.DUMMYFUNCTION("""COMPUTED_VALUE"""),"")</f>
        <v/>
      </c>
      <c r="U43" s="96" t="str">
        <f>IFERROR(__xludf.DUMMYFUNCTION("""COMPUTED_VALUE"""),"")</f>
        <v/>
      </c>
      <c r="V43" s="97" t="str">
        <f>IFERROR(__xludf.DUMMYFUNCTION("""COMPUTED_VALUE"""),"")</f>
        <v/>
      </c>
      <c r="W43" s="95" t="str">
        <f>IFERROR(__xludf.DUMMYFUNCTION("""COMPUTED_VALUE"""),"")</f>
        <v/>
      </c>
      <c r="X43" s="96" t="str">
        <f>IFERROR(__xludf.DUMMYFUNCTION("""COMPUTED_VALUE"""),"")</f>
        <v/>
      </c>
      <c r="Y43" s="97" t="str">
        <f>IFERROR(__xludf.DUMMYFUNCTION("""COMPUTED_VALUE"""),"")</f>
        <v/>
      </c>
      <c r="Z43" s="95">
        <f>IFERROR(__xludf.DUMMYFUNCTION("""COMPUTED_VALUE"""),191.9)</f>
        <v>191.9</v>
      </c>
      <c r="AA43" s="96">
        <f>IFERROR(__xludf.DUMMYFUNCTION("""COMPUTED_VALUE"""),186.0)</f>
        <v>186</v>
      </c>
      <c r="AB43" s="97" t="str">
        <f>IFERROR(__xludf.DUMMYFUNCTION("""COMPUTED_VALUE"""),"")</f>
        <v/>
      </c>
      <c r="AC43" s="95" t="str">
        <f>IFERROR(__xludf.DUMMYFUNCTION("""COMPUTED_VALUE"""),"")</f>
        <v/>
      </c>
      <c r="AD43" s="96" t="str">
        <f>IFERROR(__xludf.DUMMYFUNCTION("""COMPUTED_VALUE"""),"")</f>
        <v/>
      </c>
      <c r="AE43" s="97">
        <f>IFERROR(__xludf.DUMMYFUNCTION("""COMPUTED_VALUE"""),188.9)</f>
        <v>188.9</v>
      </c>
      <c r="AF43" s="95" t="str">
        <f>IFERROR(__xludf.DUMMYFUNCTION("""COMPUTED_VALUE"""),"")</f>
        <v/>
      </c>
      <c r="AG43" s="96" t="str">
        <f>IFERROR(__xludf.DUMMYFUNCTION("""COMPUTED_VALUE"""),"")</f>
        <v/>
      </c>
      <c r="AH43" s="97" t="str">
        <f>IFERROR(__xludf.DUMMYFUNCTION("""COMPUTED_VALUE"""),"")</f>
        <v/>
      </c>
      <c r="AI43" s="103" t="str">
        <f>IFERROR(__xludf.DUMMYFUNCTION("""COMPUTED_VALUE"""),"")</f>
        <v/>
      </c>
      <c r="AJ43" s="104" t="str">
        <f>IFERROR(__xludf.DUMMYFUNCTION("""COMPUTED_VALUE"""),"")</f>
        <v/>
      </c>
      <c r="AK43" s="105" t="str">
        <f>IFERROR(__xludf.DUMMYFUNCTION("""COMPUTED_VALUE"""),"")</f>
        <v/>
      </c>
      <c r="AL43" s="104" t="str">
        <f>IFERROR(__xludf.DUMMYFUNCTION("""COMPUTED_VALUE"""),"")</f>
        <v/>
      </c>
      <c r="AM43" s="104" t="str">
        <f>IFERROR(__xludf.DUMMYFUNCTION("""COMPUTED_VALUE"""),"")</f>
        <v/>
      </c>
      <c r="AN43" s="105" t="str">
        <f>IFERROR(__xludf.DUMMYFUNCTION("""COMPUTED_VALUE"""),"")</f>
        <v/>
      </c>
      <c r="AO43" s="104" t="str">
        <f>IFERROR(__xludf.DUMMYFUNCTION("""COMPUTED_VALUE"""),"")</f>
        <v/>
      </c>
      <c r="AP43" s="104" t="str">
        <f>IFERROR(__xludf.DUMMYFUNCTION("""COMPUTED_VALUE"""),"")</f>
        <v/>
      </c>
      <c r="AQ43" s="105" t="str">
        <f>IFERROR(__xludf.DUMMYFUNCTION("""COMPUTED_VALUE"""),"")</f>
        <v/>
      </c>
      <c r="AR43" s="104" t="str">
        <f>IFERROR(__xludf.DUMMYFUNCTION("""COMPUTED_VALUE"""),"")</f>
        <v/>
      </c>
      <c r="AS43" s="104" t="str">
        <f>IFERROR(__xludf.DUMMYFUNCTION("""COMPUTED_VALUE"""),"")</f>
        <v/>
      </c>
      <c r="AT43" s="105" t="str">
        <f>IFERROR(__xludf.DUMMYFUNCTION("""COMPUTED_VALUE"""),"")</f>
        <v/>
      </c>
      <c r="AU43" s="104" t="str">
        <f>IFERROR(__xludf.DUMMYFUNCTION("""COMPUTED_VALUE"""),"")</f>
        <v/>
      </c>
      <c r="AV43" s="104">
        <f>IFERROR(__xludf.DUMMYFUNCTION("""COMPUTED_VALUE"""),302.3)</f>
        <v>302.3</v>
      </c>
      <c r="AW43" s="105">
        <f>IFERROR(__xludf.DUMMYFUNCTION("""COMPUTED_VALUE"""),228.1)</f>
        <v>228.1</v>
      </c>
      <c r="AX43" s="104" t="str">
        <f>IFERROR(__xludf.DUMMYFUNCTION("""COMPUTED_VALUE"""),"")</f>
        <v/>
      </c>
      <c r="AY43" s="104" t="str">
        <f>IFERROR(__xludf.DUMMYFUNCTION("""COMPUTED_VALUE"""),"")</f>
        <v/>
      </c>
      <c r="AZ43" s="105" t="str">
        <f>IFERROR(__xludf.DUMMYFUNCTION("""COMPUTED_VALUE"""),"")</f>
        <v/>
      </c>
      <c r="BA43" s="104" t="str">
        <f>IFERROR(__xludf.DUMMYFUNCTION("""COMPUTED_VALUE"""),"")</f>
        <v/>
      </c>
      <c r="BB43" s="104" t="str">
        <f>IFERROR(__xludf.DUMMYFUNCTION("""COMPUTED_VALUE"""),"")</f>
        <v/>
      </c>
      <c r="BC43" s="105" t="str">
        <f>IFERROR(__xludf.DUMMYFUNCTION("""COMPUTED_VALUE"""),"")</f>
        <v/>
      </c>
      <c r="BD43" s="104" t="str">
        <f>IFERROR(__xludf.DUMMYFUNCTION("""COMPUTED_VALUE"""),"")</f>
        <v/>
      </c>
      <c r="BE43" s="104" t="str">
        <f>IFERROR(__xludf.DUMMYFUNCTION("""COMPUTED_VALUE"""),"")</f>
        <v/>
      </c>
      <c r="BF43" s="105" t="str">
        <f>IFERROR(__xludf.DUMMYFUNCTION("""COMPUTED_VALUE"""),"")</f>
        <v/>
      </c>
      <c r="BG43" s="103" t="str">
        <f>IFERROR(__xludf.DUMMYFUNCTION("""COMPUTED_VALUE"""),"")</f>
        <v/>
      </c>
      <c r="BH43" s="104">
        <f>IFERROR(__xludf.DUMMYFUNCTION("""COMPUTED_VALUE"""),196.1)</f>
        <v>196.1</v>
      </c>
      <c r="BI43" s="105" t="str">
        <f>IFERROR(__xludf.DUMMYFUNCTION("""COMPUTED_VALUE"""),"")</f>
        <v/>
      </c>
      <c r="BJ43" s="104" t="str">
        <f>IFERROR(__xludf.DUMMYFUNCTION("""COMPUTED_VALUE"""),"")</f>
        <v/>
      </c>
      <c r="BK43" s="104" t="str">
        <f>IFERROR(__xludf.DUMMYFUNCTION("""COMPUTED_VALUE"""),"")</f>
        <v/>
      </c>
      <c r="BL43" s="105" t="str">
        <f>IFERROR(__xludf.DUMMYFUNCTION("""COMPUTED_VALUE"""),"")</f>
        <v/>
      </c>
      <c r="BM43" s="104" t="str">
        <f>IFERROR(__xludf.DUMMYFUNCTION("""COMPUTED_VALUE"""),"")</f>
        <v/>
      </c>
      <c r="BN43" s="104" t="str">
        <f>IFERROR(__xludf.DUMMYFUNCTION("""COMPUTED_VALUE"""),"")</f>
        <v/>
      </c>
      <c r="BO43" s="105">
        <f>IFERROR(__xludf.DUMMYFUNCTION("""COMPUTED_VALUE"""),20.5)</f>
        <v>20.5</v>
      </c>
      <c r="BP43" s="104" t="str">
        <f>IFERROR(__xludf.DUMMYFUNCTION("""COMPUTED_VALUE"""),"")</f>
        <v/>
      </c>
      <c r="BQ43" s="104" t="str">
        <f>IFERROR(__xludf.DUMMYFUNCTION("""COMPUTED_VALUE"""),"")</f>
        <v/>
      </c>
      <c r="BR43" s="105" t="str">
        <f>IFERROR(__xludf.DUMMYFUNCTION("""COMPUTED_VALUE"""),"")</f>
        <v/>
      </c>
      <c r="BS43" s="104" t="str">
        <f>IFERROR(__xludf.DUMMYFUNCTION("""COMPUTED_VALUE"""),"")</f>
        <v/>
      </c>
      <c r="BT43" s="104" t="str">
        <f>IFERROR(__xludf.DUMMYFUNCTION("""COMPUTED_VALUE"""),"")</f>
        <v/>
      </c>
      <c r="BU43" s="105" t="str">
        <f>IFERROR(__xludf.DUMMYFUNCTION("""COMPUTED_VALUE"""),"")</f>
        <v/>
      </c>
      <c r="BV43" s="104">
        <f>IFERROR(__xludf.DUMMYFUNCTION("""COMPUTED_VALUE"""),189.9)</f>
        <v>189.9</v>
      </c>
      <c r="BW43" s="104" t="str">
        <f>IFERROR(__xludf.DUMMYFUNCTION("""COMPUTED_VALUE"""),"")</f>
        <v/>
      </c>
      <c r="BX43" s="105" t="str">
        <f>IFERROR(__xludf.DUMMYFUNCTION("""COMPUTED_VALUE"""),"")</f>
        <v/>
      </c>
      <c r="BY43" s="104" t="str">
        <f>IFERROR(__xludf.DUMMYFUNCTION("""COMPUTED_VALUE"""),"")</f>
        <v/>
      </c>
      <c r="BZ43" s="104" t="str">
        <f>IFERROR(__xludf.DUMMYFUNCTION("""COMPUTED_VALUE"""),"")</f>
        <v/>
      </c>
      <c r="CA43" s="105" t="str">
        <f>IFERROR(__xludf.DUMMYFUNCTION("""COMPUTED_VALUE"""),"")</f>
        <v/>
      </c>
      <c r="CB43" s="103" t="str">
        <f>IFERROR(__xludf.DUMMYFUNCTION("""COMPUTED_VALUE"""),"")</f>
        <v/>
      </c>
      <c r="CC43" s="104">
        <f>IFERROR(__xludf.DUMMYFUNCTION("""COMPUTED_VALUE"""),80.8)</f>
        <v>80.8</v>
      </c>
      <c r="CD43" s="105" t="str">
        <f>IFERROR(__xludf.DUMMYFUNCTION("""COMPUTED_VALUE"""),"")</f>
        <v/>
      </c>
      <c r="CE43" s="104" t="str">
        <f>IFERROR(__xludf.DUMMYFUNCTION("""COMPUTED_VALUE"""),"")</f>
        <v/>
      </c>
      <c r="CF43" s="104" t="str">
        <f>IFERROR(__xludf.DUMMYFUNCTION("""COMPUTED_VALUE"""),"")</f>
        <v/>
      </c>
      <c r="CG43" s="105" t="str">
        <f>IFERROR(__xludf.DUMMYFUNCTION("""COMPUTED_VALUE"""),"")</f>
        <v/>
      </c>
      <c r="CH43" s="104" t="str">
        <f>IFERROR(__xludf.DUMMYFUNCTION("""COMPUTED_VALUE"""),"")</f>
        <v/>
      </c>
      <c r="CI43" s="104" t="str">
        <f>IFERROR(__xludf.DUMMYFUNCTION("""COMPUTED_VALUE"""),"")</f>
        <v/>
      </c>
      <c r="CJ43" s="105">
        <f>IFERROR(__xludf.DUMMYFUNCTION("""COMPUTED_VALUE"""),29.3)</f>
        <v>29.3</v>
      </c>
      <c r="CK43" s="104" t="str">
        <f>IFERROR(__xludf.DUMMYFUNCTION("""COMPUTED_VALUE"""),"")</f>
        <v/>
      </c>
      <c r="CL43" s="104" t="str">
        <f>IFERROR(__xludf.DUMMYFUNCTION("""COMPUTED_VALUE"""),"")</f>
        <v/>
      </c>
      <c r="CM43" s="105" t="str">
        <f>IFERROR(__xludf.DUMMYFUNCTION("""COMPUTED_VALUE"""),"")</f>
        <v/>
      </c>
      <c r="CN43" s="104" t="str">
        <f>IFERROR(__xludf.DUMMYFUNCTION("""COMPUTED_VALUE"""),"")</f>
        <v/>
      </c>
      <c r="CO43" s="104" t="str">
        <f>IFERROR(__xludf.DUMMYFUNCTION("""COMPUTED_VALUE"""),"")</f>
        <v/>
      </c>
      <c r="CP43" s="105" t="str">
        <f>IFERROR(__xludf.DUMMYFUNCTION("""COMPUTED_VALUE"""),"")</f>
        <v/>
      </c>
      <c r="CQ43" s="104" t="str">
        <f>IFERROR(__xludf.DUMMYFUNCTION("""COMPUTED_VALUE"""),"")</f>
        <v/>
      </c>
      <c r="CR43" s="104" t="str">
        <f>IFERROR(__xludf.DUMMYFUNCTION("""COMPUTED_VALUE"""),"")</f>
        <v/>
      </c>
      <c r="CS43" s="105"/>
      <c r="CT43" s="104"/>
      <c r="CU43" s="104"/>
      <c r="CV43" s="105"/>
      <c r="CW43" s="104"/>
      <c r="CX43" s="104"/>
      <c r="CY43" s="105"/>
      <c r="CZ43" s="104"/>
      <c r="DA43" s="104"/>
      <c r="DB43" s="105"/>
      <c r="DC43" s="104"/>
      <c r="DD43" s="104"/>
      <c r="DE43" s="105"/>
      <c r="DF43" s="104"/>
      <c r="DG43" s="104"/>
      <c r="DH43" s="105"/>
      <c r="DI43" s="104"/>
      <c r="DJ43" s="104"/>
      <c r="DK43" s="105"/>
      <c r="DL43" s="104"/>
      <c r="DM43" s="104"/>
      <c r="DN43" s="105"/>
      <c r="DO43" s="104"/>
      <c r="DP43" s="104"/>
      <c r="DQ43" s="105"/>
      <c r="DR43" s="104"/>
      <c r="DS43" s="104"/>
      <c r="DT43" s="105"/>
    </row>
    <row r="44">
      <c r="B44" s="83" t="str">
        <f>IFERROR(__xludf.DUMMYFUNCTION("""COMPUTED_VALUE"""),"TRF24")</f>
        <v>TRF24</v>
      </c>
      <c r="C44" s="82">
        <f>IFERROR(__xludf.DUMMYFUNCTION("""COMPUTED_VALUE"""),24.0)</f>
        <v>24</v>
      </c>
      <c r="D44" s="88" t="str">
        <f>IFERROR(__xludf.DUMMYFUNCTION("""COMPUTED_VALUE"""),"SAT Assassin Training Ground- Exp")</f>
        <v>SAT Assassin Training Ground- Exp</v>
      </c>
      <c r="E44" s="82" t="str">
        <f>IFERROR(__xludf.DUMMYFUNCTION("""COMPUTED_VALUE"""),"殺超級")</f>
        <v>殺超級</v>
      </c>
      <c r="F44" s="102">
        <f>IFERROR(__xludf.DUMMYFUNCTION("""COMPUTED_VALUE"""),40.0)</f>
        <v>40</v>
      </c>
      <c r="G44" s="82">
        <f>IFERROR(__xludf.DUMMYFUNCTION("""COMPUTED_VALUE"""),6919.0)</f>
        <v>6919</v>
      </c>
      <c r="H44" s="95" t="str">
        <f>IFERROR(__xludf.DUMMYFUNCTION("""COMPUTED_VALUE"""),"")</f>
        <v/>
      </c>
      <c r="I44" s="96" t="str">
        <f>IFERROR(__xludf.DUMMYFUNCTION("""COMPUTED_VALUE"""),"")</f>
        <v/>
      </c>
      <c r="J44" s="97" t="str">
        <f>IFERROR(__xludf.DUMMYFUNCTION("""COMPUTED_VALUE"""),"")</f>
        <v/>
      </c>
      <c r="K44" s="95" t="str">
        <f>IFERROR(__xludf.DUMMYFUNCTION("""COMPUTED_VALUE"""),"")</f>
        <v/>
      </c>
      <c r="L44" s="96" t="str">
        <f>IFERROR(__xludf.DUMMYFUNCTION("""COMPUTED_VALUE"""),"")</f>
        <v/>
      </c>
      <c r="M44" s="97" t="str">
        <f>IFERROR(__xludf.DUMMYFUNCTION("""COMPUTED_VALUE"""),"")</f>
        <v/>
      </c>
      <c r="N44" s="95">
        <f>IFERROR(__xludf.DUMMYFUNCTION("""COMPUTED_VALUE"""),333.0)</f>
        <v>333</v>
      </c>
      <c r="O44" s="96" t="str">
        <f>IFERROR(__xludf.DUMMYFUNCTION("""COMPUTED_VALUE"""),"")</f>
        <v/>
      </c>
      <c r="P44" s="97" t="str">
        <f>IFERROR(__xludf.DUMMYFUNCTION("""COMPUTED_VALUE"""),"")</f>
        <v/>
      </c>
      <c r="Q44" s="95" t="str">
        <f>IFERROR(__xludf.DUMMYFUNCTION("""COMPUTED_VALUE"""),"")</f>
        <v/>
      </c>
      <c r="R44" s="96" t="str">
        <f>IFERROR(__xludf.DUMMYFUNCTION("""COMPUTED_VALUE"""),"")</f>
        <v/>
      </c>
      <c r="S44" s="97" t="str">
        <f>IFERROR(__xludf.DUMMYFUNCTION("""COMPUTED_VALUE"""),"")</f>
        <v/>
      </c>
      <c r="T44" s="95" t="str">
        <f>IFERROR(__xludf.DUMMYFUNCTION("""COMPUTED_VALUE"""),"")</f>
        <v/>
      </c>
      <c r="U44" s="96" t="str">
        <f>IFERROR(__xludf.DUMMYFUNCTION("""COMPUTED_VALUE"""),"")</f>
        <v/>
      </c>
      <c r="V44" s="97" t="str">
        <f>IFERROR(__xludf.DUMMYFUNCTION("""COMPUTED_VALUE"""),"")</f>
        <v/>
      </c>
      <c r="W44" s="95" t="str">
        <f>IFERROR(__xludf.DUMMYFUNCTION("""COMPUTED_VALUE"""),"")</f>
        <v/>
      </c>
      <c r="X44" s="96" t="str">
        <f>IFERROR(__xludf.DUMMYFUNCTION("""COMPUTED_VALUE"""),"")</f>
        <v/>
      </c>
      <c r="Y44" s="97" t="str">
        <f>IFERROR(__xludf.DUMMYFUNCTION("""COMPUTED_VALUE"""),"")</f>
        <v/>
      </c>
      <c r="Z44" s="95">
        <f>IFERROR(__xludf.DUMMYFUNCTION("""COMPUTED_VALUE"""),128.0)</f>
        <v>128</v>
      </c>
      <c r="AA44" s="96">
        <f>IFERROR(__xludf.DUMMYFUNCTION("""COMPUTED_VALUE"""),217.2)</f>
        <v>217.2</v>
      </c>
      <c r="AB44" s="97" t="str">
        <f>IFERROR(__xludf.DUMMYFUNCTION("""COMPUTED_VALUE"""),"")</f>
        <v/>
      </c>
      <c r="AC44" s="95" t="str">
        <f>IFERROR(__xludf.DUMMYFUNCTION("""COMPUTED_VALUE"""),"")</f>
        <v/>
      </c>
      <c r="AD44" s="96" t="str">
        <f>IFERROR(__xludf.DUMMYFUNCTION("""COMPUTED_VALUE"""),"")</f>
        <v/>
      </c>
      <c r="AE44" s="97">
        <f>IFERROR(__xludf.DUMMYFUNCTION("""COMPUTED_VALUE"""),4555.3)</f>
        <v>4555.3</v>
      </c>
      <c r="AF44" s="95" t="str">
        <f>IFERROR(__xludf.DUMMYFUNCTION("""COMPUTED_VALUE"""),"")</f>
        <v/>
      </c>
      <c r="AG44" s="96" t="str">
        <f>IFERROR(__xludf.DUMMYFUNCTION("""COMPUTED_VALUE"""),"")</f>
        <v/>
      </c>
      <c r="AH44" s="97" t="str">
        <f>IFERROR(__xludf.DUMMYFUNCTION("""COMPUTED_VALUE"""),"")</f>
        <v/>
      </c>
      <c r="AI44" s="92" t="str">
        <f>IFERROR(__xludf.DUMMYFUNCTION("""COMPUTED_VALUE"""),"")</f>
        <v/>
      </c>
      <c r="AJ44" s="93" t="str">
        <f>IFERROR(__xludf.DUMMYFUNCTION("""COMPUTED_VALUE"""),"")</f>
        <v/>
      </c>
      <c r="AK44" s="94" t="str">
        <f>IFERROR(__xludf.DUMMYFUNCTION("""COMPUTED_VALUE"""),"")</f>
        <v/>
      </c>
      <c r="AL44" s="93" t="str">
        <f>IFERROR(__xludf.DUMMYFUNCTION("""COMPUTED_VALUE"""),"")</f>
        <v/>
      </c>
      <c r="AM44" s="93" t="str">
        <f>IFERROR(__xludf.DUMMYFUNCTION("""COMPUTED_VALUE"""),"")</f>
        <v/>
      </c>
      <c r="AN44" s="94" t="str">
        <f>IFERROR(__xludf.DUMMYFUNCTION("""COMPUTED_VALUE"""),"")</f>
        <v/>
      </c>
      <c r="AO44" s="93" t="str">
        <f>IFERROR(__xludf.DUMMYFUNCTION("""COMPUTED_VALUE"""),"")</f>
        <v/>
      </c>
      <c r="AP44" s="93" t="str">
        <f>IFERROR(__xludf.DUMMYFUNCTION("""COMPUTED_VALUE"""),"")</f>
        <v/>
      </c>
      <c r="AQ44" s="94" t="str">
        <f>IFERROR(__xludf.DUMMYFUNCTION("""COMPUTED_VALUE"""),"")</f>
        <v/>
      </c>
      <c r="AR44" s="93" t="str">
        <f>IFERROR(__xludf.DUMMYFUNCTION("""COMPUTED_VALUE"""),"")</f>
        <v/>
      </c>
      <c r="AS44" s="93" t="str">
        <f>IFERROR(__xludf.DUMMYFUNCTION("""COMPUTED_VALUE"""),"")</f>
        <v/>
      </c>
      <c r="AT44" s="94" t="str">
        <f>IFERROR(__xludf.DUMMYFUNCTION("""COMPUTED_VALUE"""),"")</f>
        <v/>
      </c>
      <c r="AU44" s="93" t="str">
        <f>IFERROR(__xludf.DUMMYFUNCTION("""COMPUTED_VALUE"""),"")</f>
        <v/>
      </c>
      <c r="AV44" s="93">
        <f>IFERROR(__xludf.DUMMYFUNCTION("""COMPUTED_VALUE"""),280.1)</f>
        <v>280.1</v>
      </c>
      <c r="AW44" s="94">
        <f>IFERROR(__xludf.DUMMYFUNCTION("""COMPUTED_VALUE"""),209.4)</f>
        <v>209.4</v>
      </c>
      <c r="AX44" s="93" t="str">
        <f>IFERROR(__xludf.DUMMYFUNCTION("""COMPUTED_VALUE"""),"")</f>
        <v/>
      </c>
      <c r="AY44" s="93" t="str">
        <f>IFERROR(__xludf.DUMMYFUNCTION("""COMPUTED_VALUE"""),"")</f>
        <v/>
      </c>
      <c r="AZ44" s="94" t="str">
        <f>IFERROR(__xludf.DUMMYFUNCTION("""COMPUTED_VALUE"""),"")</f>
        <v/>
      </c>
      <c r="BA44" s="93" t="str">
        <f>IFERROR(__xludf.DUMMYFUNCTION("""COMPUTED_VALUE"""),"")</f>
        <v/>
      </c>
      <c r="BB44" s="93" t="str">
        <f>IFERROR(__xludf.DUMMYFUNCTION("""COMPUTED_VALUE"""),"")</f>
        <v/>
      </c>
      <c r="BC44" s="94" t="str">
        <f>IFERROR(__xludf.DUMMYFUNCTION("""COMPUTED_VALUE"""),"")</f>
        <v/>
      </c>
      <c r="BD44" s="93" t="str">
        <f>IFERROR(__xludf.DUMMYFUNCTION("""COMPUTED_VALUE"""),"")</f>
        <v/>
      </c>
      <c r="BE44" s="93" t="str">
        <f>IFERROR(__xludf.DUMMYFUNCTION("""COMPUTED_VALUE"""),"")</f>
        <v/>
      </c>
      <c r="BF44" s="94" t="str">
        <f>IFERROR(__xludf.DUMMYFUNCTION("""COMPUTED_VALUE"""),"")</f>
        <v/>
      </c>
      <c r="BG44" s="92" t="str">
        <f>IFERROR(__xludf.DUMMYFUNCTION("""COMPUTED_VALUE"""),"")</f>
        <v/>
      </c>
      <c r="BH44" s="93">
        <f>IFERROR(__xludf.DUMMYFUNCTION("""COMPUTED_VALUE"""),158.1)</f>
        <v>158.1</v>
      </c>
      <c r="BI44" s="94" t="str">
        <f>IFERROR(__xludf.DUMMYFUNCTION("""COMPUTED_VALUE"""),"")</f>
        <v/>
      </c>
      <c r="BJ44" s="93" t="str">
        <f>IFERROR(__xludf.DUMMYFUNCTION("""COMPUTED_VALUE"""),"")</f>
        <v/>
      </c>
      <c r="BK44" s="93" t="str">
        <f>IFERROR(__xludf.DUMMYFUNCTION("""COMPUTED_VALUE"""),"")</f>
        <v/>
      </c>
      <c r="BL44" s="94" t="str">
        <f>IFERROR(__xludf.DUMMYFUNCTION("""COMPUTED_VALUE"""),"")</f>
        <v/>
      </c>
      <c r="BM44" s="93" t="str">
        <f>IFERROR(__xludf.DUMMYFUNCTION("""COMPUTED_VALUE"""),"")</f>
        <v/>
      </c>
      <c r="BN44" s="93" t="str">
        <f>IFERROR(__xludf.DUMMYFUNCTION("""COMPUTED_VALUE"""),"")</f>
        <v/>
      </c>
      <c r="BO44" s="94">
        <f>IFERROR(__xludf.DUMMYFUNCTION("""COMPUTED_VALUE"""),33.9)</f>
        <v>33.9</v>
      </c>
      <c r="BP44" s="93" t="str">
        <f>IFERROR(__xludf.DUMMYFUNCTION("""COMPUTED_VALUE"""),"")</f>
        <v/>
      </c>
      <c r="BQ44" s="93" t="str">
        <f>IFERROR(__xludf.DUMMYFUNCTION("""COMPUTED_VALUE"""),"")</f>
        <v/>
      </c>
      <c r="BR44" s="94" t="str">
        <f>IFERROR(__xludf.DUMMYFUNCTION("""COMPUTED_VALUE"""),"")</f>
        <v/>
      </c>
      <c r="BS44" s="93" t="str">
        <f>IFERROR(__xludf.DUMMYFUNCTION("""COMPUTED_VALUE"""),"")</f>
        <v/>
      </c>
      <c r="BT44" s="93" t="str">
        <f>IFERROR(__xludf.DUMMYFUNCTION("""COMPUTED_VALUE"""),"")</f>
        <v/>
      </c>
      <c r="BU44" s="94" t="str">
        <f>IFERROR(__xludf.DUMMYFUNCTION("""COMPUTED_VALUE"""),"")</f>
        <v/>
      </c>
      <c r="BV44" s="93">
        <f>IFERROR(__xludf.DUMMYFUNCTION("""COMPUTED_VALUE"""),259.9)</f>
        <v>259.9</v>
      </c>
      <c r="BW44" s="93" t="str">
        <f>IFERROR(__xludf.DUMMYFUNCTION("""COMPUTED_VALUE"""),"")</f>
        <v/>
      </c>
      <c r="BX44" s="94" t="str">
        <f>IFERROR(__xludf.DUMMYFUNCTION("""COMPUTED_VALUE"""),"")</f>
        <v/>
      </c>
      <c r="BY44" s="93" t="str">
        <f>IFERROR(__xludf.DUMMYFUNCTION("""COMPUTED_VALUE"""),"")</f>
        <v/>
      </c>
      <c r="BZ44" s="93" t="str">
        <f>IFERROR(__xludf.DUMMYFUNCTION("""COMPUTED_VALUE"""),"")</f>
        <v/>
      </c>
      <c r="CA44" s="94" t="str">
        <f>IFERROR(__xludf.DUMMYFUNCTION("""COMPUTED_VALUE"""),"")</f>
        <v/>
      </c>
      <c r="CB44" s="92" t="str">
        <f>IFERROR(__xludf.DUMMYFUNCTION("""COMPUTED_VALUE"""),"")</f>
        <v/>
      </c>
      <c r="CC44" s="93">
        <f>IFERROR(__xludf.DUMMYFUNCTION("""COMPUTED_VALUE"""),69.7)</f>
        <v>69.7</v>
      </c>
      <c r="CD44" s="94" t="str">
        <f>IFERROR(__xludf.DUMMYFUNCTION("""COMPUTED_VALUE"""),"")</f>
        <v/>
      </c>
      <c r="CE44" s="93" t="str">
        <f>IFERROR(__xludf.DUMMYFUNCTION("""COMPUTED_VALUE"""),"")</f>
        <v/>
      </c>
      <c r="CF44" s="93" t="str">
        <f>IFERROR(__xludf.DUMMYFUNCTION("""COMPUTED_VALUE"""),"")</f>
        <v/>
      </c>
      <c r="CG44" s="94" t="str">
        <f>IFERROR(__xludf.DUMMYFUNCTION("""COMPUTED_VALUE"""),"")</f>
        <v/>
      </c>
      <c r="CH44" s="93" t="str">
        <f>IFERROR(__xludf.DUMMYFUNCTION("""COMPUTED_VALUE"""),"")</f>
        <v/>
      </c>
      <c r="CI44" s="93" t="str">
        <f>IFERROR(__xludf.DUMMYFUNCTION("""COMPUTED_VALUE"""),"")</f>
        <v/>
      </c>
      <c r="CJ44" s="94">
        <f>IFERROR(__xludf.DUMMYFUNCTION("""COMPUTED_VALUE"""),50.1)</f>
        <v>50.1</v>
      </c>
      <c r="CK44" s="93" t="str">
        <f>IFERROR(__xludf.DUMMYFUNCTION("""COMPUTED_VALUE"""),"")</f>
        <v/>
      </c>
      <c r="CL44" s="93" t="str">
        <f>IFERROR(__xludf.DUMMYFUNCTION("""COMPUTED_VALUE"""),"")</f>
        <v/>
      </c>
      <c r="CM44" s="94" t="str">
        <f>IFERROR(__xludf.DUMMYFUNCTION("""COMPUTED_VALUE"""),"")</f>
        <v/>
      </c>
      <c r="CN44" s="93" t="str">
        <f>IFERROR(__xludf.DUMMYFUNCTION("""COMPUTED_VALUE"""),"")</f>
        <v/>
      </c>
      <c r="CO44" s="93" t="str">
        <f>IFERROR(__xludf.DUMMYFUNCTION("""COMPUTED_VALUE"""),"")</f>
        <v/>
      </c>
      <c r="CP44" s="94" t="str">
        <f>IFERROR(__xludf.DUMMYFUNCTION("""COMPUTED_VALUE"""),"")</f>
        <v/>
      </c>
      <c r="CQ44" s="93" t="str">
        <f>IFERROR(__xludf.DUMMYFUNCTION("""COMPUTED_VALUE"""),"")</f>
        <v/>
      </c>
      <c r="CR44" s="93" t="str">
        <f>IFERROR(__xludf.DUMMYFUNCTION("""COMPUTED_VALUE"""),"")</f>
        <v/>
      </c>
      <c r="CS44" s="94"/>
      <c r="CT44" s="93"/>
      <c r="CU44" s="93"/>
      <c r="CV44" s="94"/>
      <c r="CW44" s="93"/>
      <c r="CX44" s="93"/>
      <c r="CY44" s="94"/>
      <c r="CZ44" s="93"/>
      <c r="DA44" s="93"/>
      <c r="DB44" s="94"/>
      <c r="DC44" s="93"/>
      <c r="DD44" s="93"/>
      <c r="DE44" s="94"/>
      <c r="DF44" s="93"/>
      <c r="DG44" s="93"/>
      <c r="DH44" s="94"/>
      <c r="DI44" s="93"/>
      <c r="DJ44" s="93"/>
      <c r="DK44" s="94"/>
      <c r="DL44" s="93"/>
      <c r="DM44" s="93"/>
      <c r="DN44" s="94"/>
      <c r="DO44" s="93"/>
      <c r="DP44" s="93"/>
      <c r="DQ44" s="94"/>
      <c r="DR44" s="93"/>
      <c r="DS44" s="93"/>
      <c r="DT44" s="94"/>
    </row>
    <row r="45">
      <c r="B45" s="83" t="str">
        <f>IFERROR(__xludf.DUMMYFUNCTION("""COMPUTED_VALUE"""),"TRF25")</f>
        <v>TRF25</v>
      </c>
      <c r="C45" s="82">
        <f>IFERROR(__xludf.DUMMYFUNCTION("""COMPUTED_VALUE"""),31.0)</f>
        <v>31</v>
      </c>
      <c r="D45" s="88" t="str">
        <f>IFERROR(__xludf.DUMMYFUNCTION("""COMPUTED_VALUE"""),"SUN Saber Training Ground- Nov")</f>
        <v>SUN Saber Training Ground- Nov</v>
      </c>
      <c r="E45" s="82" t="str">
        <f>IFERROR(__xludf.DUMMYFUNCTION("""COMPUTED_VALUE"""),"剣初級")</f>
        <v>剣初級</v>
      </c>
      <c r="F45" s="102">
        <f>IFERROR(__xludf.DUMMYFUNCTION("""COMPUTED_VALUE"""),10.0)</f>
        <v>10</v>
      </c>
      <c r="G45" s="82">
        <f>IFERROR(__xludf.DUMMYFUNCTION("""COMPUTED_VALUE"""),29049.0)</f>
        <v>29049</v>
      </c>
      <c r="H45" s="95" t="str">
        <f>IFERROR(__xludf.DUMMYFUNCTION("""COMPUTED_VALUE"""),"")</f>
        <v/>
      </c>
      <c r="I45" s="96" t="str">
        <f>IFERROR(__xludf.DUMMYFUNCTION("""COMPUTED_VALUE"""),"")</f>
        <v/>
      </c>
      <c r="J45" s="97" t="str">
        <f>IFERROR(__xludf.DUMMYFUNCTION("""COMPUTED_VALUE"""),"")</f>
        <v/>
      </c>
      <c r="K45" s="95" t="str">
        <f>IFERROR(__xludf.DUMMYFUNCTION("""COMPUTED_VALUE"""),"")</f>
        <v/>
      </c>
      <c r="L45" s="96" t="str">
        <f>IFERROR(__xludf.DUMMYFUNCTION("""COMPUTED_VALUE"""),"")</f>
        <v/>
      </c>
      <c r="M45" s="97" t="str">
        <f>IFERROR(__xludf.DUMMYFUNCTION("""COMPUTED_VALUE"""),"")</f>
        <v/>
      </c>
      <c r="N45" s="95" t="str">
        <f>IFERROR(__xludf.DUMMYFUNCTION("""COMPUTED_VALUE"""),"")</f>
        <v/>
      </c>
      <c r="O45" s="96" t="str">
        <f>IFERROR(__xludf.DUMMYFUNCTION("""COMPUTED_VALUE"""),"")</f>
        <v/>
      </c>
      <c r="P45" s="97" t="str">
        <f>IFERROR(__xludf.DUMMYFUNCTION("""COMPUTED_VALUE"""),"")</f>
        <v/>
      </c>
      <c r="Q45" s="95" t="str">
        <f>IFERROR(__xludf.DUMMYFUNCTION("""COMPUTED_VALUE"""),"")</f>
        <v/>
      </c>
      <c r="R45" s="96" t="str">
        <f>IFERROR(__xludf.DUMMYFUNCTION("""COMPUTED_VALUE"""),"")</f>
        <v/>
      </c>
      <c r="S45" s="97" t="str">
        <f>IFERROR(__xludf.DUMMYFUNCTION("""COMPUTED_VALUE"""),"")</f>
        <v/>
      </c>
      <c r="T45" s="95" t="str">
        <f>IFERROR(__xludf.DUMMYFUNCTION("""COMPUTED_VALUE"""),"")</f>
        <v/>
      </c>
      <c r="U45" s="96" t="str">
        <f>IFERROR(__xludf.DUMMYFUNCTION("""COMPUTED_VALUE"""),"")</f>
        <v/>
      </c>
      <c r="V45" s="97" t="str">
        <f>IFERROR(__xludf.DUMMYFUNCTION("""COMPUTED_VALUE"""),"")</f>
        <v/>
      </c>
      <c r="W45" s="95" t="str">
        <f>IFERROR(__xludf.DUMMYFUNCTION("""COMPUTED_VALUE"""),"")</f>
        <v/>
      </c>
      <c r="X45" s="96" t="str">
        <f>IFERROR(__xludf.DUMMYFUNCTION("""COMPUTED_VALUE"""),"")</f>
        <v/>
      </c>
      <c r="Y45" s="97" t="str">
        <f>IFERROR(__xludf.DUMMYFUNCTION("""COMPUTED_VALUE"""),"")</f>
        <v/>
      </c>
      <c r="Z45" s="95" t="str">
        <f>IFERROR(__xludf.DUMMYFUNCTION("""COMPUTED_VALUE"""),"")</f>
        <v/>
      </c>
      <c r="AA45" s="96" t="str">
        <f>IFERROR(__xludf.DUMMYFUNCTION("""COMPUTED_VALUE"""),"")</f>
        <v/>
      </c>
      <c r="AB45" s="97" t="str">
        <f>IFERROR(__xludf.DUMMYFUNCTION("""COMPUTED_VALUE"""),"")</f>
        <v/>
      </c>
      <c r="AC45" s="95" t="str">
        <f>IFERROR(__xludf.DUMMYFUNCTION("""COMPUTED_VALUE"""),"")</f>
        <v/>
      </c>
      <c r="AD45" s="96" t="str">
        <f>IFERROR(__xludf.DUMMYFUNCTION("""COMPUTED_VALUE"""),"")</f>
        <v/>
      </c>
      <c r="AE45" s="97">
        <f>IFERROR(__xludf.DUMMYFUNCTION("""COMPUTED_VALUE"""),219.9)</f>
        <v>219.9</v>
      </c>
      <c r="AF45" s="95" t="str">
        <f>IFERROR(__xludf.DUMMYFUNCTION("""COMPUTED_VALUE"""),"")</f>
        <v/>
      </c>
      <c r="AG45" s="96" t="str">
        <f>IFERROR(__xludf.DUMMYFUNCTION("""COMPUTED_VALUE"""),"")</f>
        <v/>
      </c>
      <c r="AH45" s="97" t="str">
        <f>IFERROR(__xludf.DUMMYFUNCTION("""COMPUTED_VALUE"""),"")</f>
        <v/>
      </c>
      <c r="AI45" s="103" t="str">
        <f>IFERROR(__xludf.DUMMYFUNCTION("""COMPUTED_VALUE"""),"")</f>
        <v/>
      </c>
      <c r="AJ45" s="104">
        <f>IFERROR(__xludf.DUMMYFUNCTION("""COMPUTED_VALUE"""),213.3)</f>
        <v>213.3</v>
      </c>
      <c r="AK45" s="105" t="str">
        <f>IFERROR(__xludf.DUMMYFUNCTION("""COMPUTED_VALUE"""),"")</f>
        <v/>
      </c>
      <c r="AL45" s="104" t="str">
        <f>IFERROR(__xludf.DUMMYFUNCTION("""COMPUTED_VALUE"""),"")</f>
        <v/>
      </c>
      <c r="AM45" s="104" t="str">
        <f>IFERROR(__xludf.DUMMYFUNCTION("""COMPUTED_VALUE"""),"")</f>
        <v/>
      </c>
      <c r="AN45" s="105" t="str">
        <f>IFERROR(__xludf.DUMMYFUNCTION("""COMPUTED_VALUE"""),"")</f>
        <v/>
      </c>
      <c r="AO45" s="104" t="str">
        <f>IFERROR(__xludf.DUMMYFUNCTION("""COMPUTED_VALUE"""),"")</f>
        <v/>
      </c>
      <c r="AP45" s="104" t="str">
        <f>IFERROR(__xludf.DUMMYFUNCTION("""COMPUTED_VALUE"""),"")</f>
        <v/>
      </c>
      <c r="AQ45" s="105" t="str">
        <f>IFERROR(__xludf.DUMMYFUNCTION("""COMPUTED_VALUE"""),"")</f>
        <v/>
      </c>
      <c r="AR45" s="104" t="str">
        <f>IFERROR(__xludf.DUMMYFUNCTION("""COMPUTED_VALUE"""),"")</f>
        <v/>
      </c>
      <c r="AS45" s="104" t="str">
        <f>IFERROR(__xludf.DUMMYFUNCTION("""COMPUTED_VALUE"""),"")</f>
        <v/>
      </c>
      <c r="AT45" s="105">
        <f>IFERROR(__xludf.DUMMYFUNCTION("""COMPUTED_VALUE"""),110.0)</f>
        <v>110</v>
      </c>
      <c r="AU45" s="104">
        <f>IFERROR(__xludf.DUMMYFUNCTION("""COMPUTED_VALUE"""),42.5)</f>
        <v>42.5</v>
      </c>
      <c r="AV45" s="104">
        <f>IFERROR(__xludf.DUMMYFUNCTION("""COMPUTED_VALUE"""),275.5)</f>
        <v>275.5</v>
      </c>
      <c r="AW45" s="105">
        <f>IFERROR(__xludf.DUMMYFUNCTION("""COMPUTED_VALUE"""),200.8)</f>
        <v>200.8</v>
      </c>
      <c r="AX45" s="104" t="str">
        <f>IFERROR(__xludf.DUMMYFUNCTION("""COMPUTED_VALUE"""),"")</f>
        <v/>
      </c>
      <c r="AY45" s="104" t="str">
        <f>IFERROR(__xludf.DUMMYFUNCTION("""COMPUTED_VALUE"""),"")</f>
        <v/>
      </c>
      <c r="AZ45" s="105" t="str">
        <f>IFERROR(__xludf.DUMMYFUNCTION("""COMPUTED_VALUE"""),"")</f>
        <v/>
      </c>
      <c r="BA45" s="104" t="str">
        <f>IFERROR(__xludf.DUMMYFUNCTION("""COMPUTED_VALUE"""),"")</f>
        <v/>
      </c>
      <c r="BB45" s="104" t="str">
        <f>IFERROR(__xludf.DUMMYFUNCTION("""COMPUTED_VALUE"""),"")</f>
        <v/>
      </c>
      <c r="BC45" s="105" t="str">
        <f>IFERROR(__xludf.DUMMYFUNCTION("""COMPUTED_VALUE"""),"")</f>
        <v/>
      </c>
      <c r="BD45" s="104" t="str">
        <f>IFERROR(__xludf.DUMMYFUNCTION("""COMPUTED_VALUE"""),"")</f>
        <v/>
      </c>
      <c r="BE45" s="104" t="str">
        <f>IFERROR(__xludf.DUMMYFUNCTION("""COMPUTED_VALUE"""),"")</f>
        <v/>
      </c>
      <c r="BF45" s="105" t="str">
        <f>IFERROR(__xludf.DUMMYFUNCTION("""COMPUTED_VALUE"""),"")</f>
        <v/>
      </c>
      <c r="BG45" s="103" t="str">
        <f>IFERROR(__xludf.DUMMYFUNCTION("""COMPUTED_VALUE"""),"")</f>
        <v/>
      </c>
      <c r="BH45" s="104" t="str">
        <f>IFERROR(__xludf.DUMMYFUNCTION("""COMPUTED_VALUE"""),"")</f>
        <v/>
      </c>
      <c r="BI45" s="105" t="str">
        <f>IFERROR(__xludf.DUMMYFUNCTION("""COMPUTED_VALUE"""),"")</f>
        <v/>
      </c>
      <c r="BJ45" s="104" t="str">
        <f>IFERROR(__xludf.DUMMYFUNCTION("""COMPUTED_VALUE"""),"")</f>
        <v/>
      </c>
      <c r="BK45" s="104" t="str">
        <f>IFERROR(__xludf.DUMMYFUNCTION("""COMPUTED_VALUE"""),"")</f>
        <v/>
      </c>
      <c r="BL45" s="105" t="str">
        <f>IFERROR(__xludf.DUMMYFUNCTION("""COMPUTED_VALUE"""),"")</f>
        <v/>
      </c>
      <c r="BM45" s="104" t="str">
        <f>IFERROR(__xludf.DUMMYFUNCTION("""COMPUTED_VALUE"""),"")</f>
        <v/>
      </c>
      <c r="BN45" s="104" t="str">
        <f>IFERROR(__xludf.DUMMYFUNCTION("""COMPUTED_VALUE"""),"")</f>
        <v/>
      </c>
      <c r="BO45" s="105" t="str">
        <f>IFERROR(__xludf.DUMMYFUNCTION("""COMPUTED_VALUE"""),"")</f>
        <v/>
      </c>
      <c r="BP45" s="104" t="str">
        <f>IFERROR(__xludf.DUMMYFUNCTION("""COMPUTED_VALUE"""),"")</f>
        <v/>
      </c>
      <c r="BQ45" s="104">
        <f>IFERROR(__xludf.DUMMYFUNCTION("""COMPUTED_VALUE"""),8.0)</f>
        <v>8</v>
      </c>
      <c r="BR45" s="105" t="str">
        <f>IFERROR(__xludf.DUMMYFUNCTION("""COMPUTED_VALUE"""),"")</f>
        <v/>
      </c>
      <c r="BS45" s="104" t="str">
        <f>IFERROR(__xludf.DUMMYFUNCTION("""COMPUTED_VALUE"""),"")</f>
        <v/>
      </c>
      <c r="BT45" s="104" t="str">
        <f>IFERROR(__xludf.DUMMYFUNCTION("""COMPUTED_VALUE"""),"")</f>
        <v/>
      </c>
      <c r="BU45" s="105" t="str">
        <f>IFERROR(__xludf.DUMMYFUNCTION("""COMPUTED_VALUE"""),"")</f>
        <v/>
      </c>
      <c r="BV45" s="104" t="str">
        <f>IFERROR(__xludf.DUMMYFUNCTION("""COMPUTED_VALUE"""),"")</f>
        <v/>
      </c>
      <c r="BW45" s="104" t="str">
        <f>IFERROR(__xludf.DUMMYFUNCTION("""COMPUTED_VALUE"""),"")</f>
        <v/>
      </c>
      <c r="BX45" s="105">
        <f>IFERROR(__xludf.DUMMYFUNCTION("""COMPUTED_VALUE"""),483.0)</f>
        <v>483</v>
      </c>
      <c r="BY45" s="104" t="str">
        <f>IFERROR(__xludf.DUMMYFUNCTION("""COMPUTED_VALUE"""),"")</f>
        <v/>
      </c>
      <c r="BZ45" s="104" t="str">
        <f>IFERROR(__xludf.DUMMYFUNCTION("""COMPUTED_VALUE"""),"")</f>
        <v/>
      </c>
      <c r="CA45" s="105" t="str">
        <f>IFERROR(__xludf.DUMMYFUNCTION("""COMPUTED_VALUE"""),"")</f>
        <v/>
      </c>
      <c r="CB45" s="103" t="str">
        <f>IFERROR(__xludf.DUMMYFUNCTION("""COMPUTED_VALUE"""),"")</f>
        <v/>
      </c>
      <c r="CC45" s="104" t="str">
        <f>IFERROR(__xludf.DUMMYFUNCTION("""COMPUTED_VALUE"""),"")</f>
        <v/>
      </c>
      <c r="CD45" s="105" t="str">
        <f>IFERROR(__xludf.DUMMYFUNCTION("""COMPUTED_VALUE"""),"")</f>
        <v/>
      </c>
      <c r="CE45" s="104">
        <f>IFERROR(__xludf.DUMMYFUNCTION("""COMPUTED_VALUE"""),45.6)</f>
        <v>45.6</v>
      </c>
      <c r="CF45" s="104" t="str">
        <f>IFERROR(__xludf.DUMMYFUNCTION("""COMPUTED_VALUE"""),"")</f>
        <v/>
      </c>
      <c r="CG45" s="105" t="str">
        <f>IFERROR(__xludf.DUMMYFUNCTION("""COMPUTED_VALUE"""),"")</f>
        <v/>
      </c>
      <c r="CH45" s="104" t="str">
        <f>IFERROR(__xludf.DUMMYFUNCTION("""COMPUTED_VALUE"""),"")</f>
        <v/>
      </c>
      <c r="CI45" s="104" t="str">
        <f>IFERROR(__xludf.DUMMYFUNCTION("""COMPUTED_VALUE"""),"")</f>
        <v/>
      </c>
      <c r="CJ45" s="105" t="str">
        <f>IFERROR(__xludf.DUMMYFUNCTION("""COMPUTED_VALUE"""),"")</f>
        <v/>
      </c>
      <c r="CK45" s="104" t="str">
        <f>IFERROR(__xludf.DUMMYFUNCTION("""COMPUTED_VALUE"""),"")</f>
        <v/>
      </c>
      <c r="CL45" s="104" t="str">
        <f>IFERROR(__xludf.DUMMYFUNCTION("""COMPUTED_VALUE"""),"")</f>
        <v/>
      </c>
      <c r="CM45" s="105" t="str">
        <f>IFERROR(__xludf.DUMMYFUNCTION("""COMPUTED_VALUE"""),"")</f>
        <v/>
      </c>
      <c r="CN45" s="104" t="str">
        <f>IFERROR(__xludf.DUMMYFUNCTION("""COMPUTED_VALUE"""),"")</f>
        <v/>
      </c>
      <c r="CO45" s="104" t="str">
        <f>IFERROR(__xludf.DUMMYFUNCTION("""COMPUTED_VALUE"""),"")</f>
        <v/>
      </c>
      <c r="CP45" s="105" t="str">
        <f>IFERROR(__xludf.DUMMYFUNCTION("""COMPUTED_VALUE"""),"")</f>
        <v/>
      </c>
      <c r="CQ45" s="104" t="str">
        <f>IFERROR(__xludf.DUMMYFUNCTION("""COMPUTED_VALUE"""),"")</f>
        <v/>
      </c>
      <c r="CR45" s="104" t="str">
        <f>IFERROR(__xludf.DUMMYFUNCTION("""COMPUTED_VALUE"""),"")</f>
        <v/>
      </c>
      <c r="CS45" s="105"/>
      <c r="CT45" s="104"/>
      <c r="CU45" s="104"/>
      <c r="CV45" s="105"/>
      <c r="CW45" s="104"/>
      <c r="CX45" s="104"/>
      <c r="CY45" s="105"/>
      <c r="CZ45" s="104"/>
      <c r="DA45" s="104"/>
      <c r="DB45" s="105"/>
      <c r="DC45" s="104"/>
      <c r="DD45" s="104"/>
      <c r="DE45" s="105"/>
      <c r="DF45" s="104"/>
      <c r="DG45" s="104"/>
      <c r="DH45" s="105"/>
      <c r="DI45" s="104"/>
      <c r="DJ45" s="104"/>
      <c r="DK45" s="105"/>
      <c r="DL45" s="104"/>
      <c r="DM45" s="104"/>
      <c r="DN45" s="105"/>
      <c r="DO45" s="104"/>
      <c r="DP45" s="104"/>
      <c r="DQ45" s="105"/>
      <c r="DR45" s="104"/>
      <c r="DS45" s="104"/>
      <c r="DT45" s="105"/>
    </row>
    <row r="46">
      <c r="B46" s="83" t="str">
        <f>IFERROR(__xludf.DUMMYFUNCTION("""COMPUTED_VALUE"""),"TRF26")</f>
        <v>TRF26</v>
      </c>
      <c r="C46" s="82">
        <f>IFERROR(__xludf.DUMMYFUNCTION("""COMPUTED_VALUE"""),30.0)</f>
        <v>30</v>
      </c>
      <c r="D46" s="88" t="str">
        <f>IFERROR(__xludf.DUMMYFUNCTION("""COMPUTED_VALUE"""),"SUN Saber Training Ground- Int")</f>
        <v>SUN Saber Training Ground- Int</v>
      </c>
      <c r="E46" s="82" t="str">
        <f>IFERROR(__xludf.DUMMYFUNCTION("""COMPUTED_VALUE"""),"剣中級")</f>
        <v>剣中級</v>
      </c>
      <c r="F46" s="102">
        <f>IFERROR(__xludf.DUMMYFUNCTION("""COMPUTED_VALUE"""),20.0)</f>
        <v>20</v>
      </c>
      <c r="G46" s="82">
        <f>IFERROR(__xludf.DUMMYFUNCTION("""COMPUTED_VALUE"""),1062.0)</f>
        <v>1062</v>
      </c>
      <c r="H46" s="95" t="str">
        <f>IFERROR(__xludf.DUMMYFUNCTION("""COMPUTED_VALUE"""),"")</f>
        <v/>
      </c>
      <c r="I46" s="96" t="str">
        <f>IFERROR(__xludf.DUMMYFUNCTION("""COMPUTED_VALUE"""),"")</f>
        <v/>
      </c>
      <c r="J46" s="97" t="str">
        <f>IFERROR(__xludf.DUMMYFUNCTION("""COMPUTED_VALUE"""),"")</f>
        <v/>
      </c>
      <c r="K46" s="95" t="str">
        <f>IFERROR(__xludf.DUMMYFUNCTION("""COMPUTED_VALUE"""),"")</f>
        <v/>
      </c>
      <c r="L46" s="96" t="str">
        <f>IFERROR(__xludf.DUMMYFUNCTION("""COMPUTED_VALUE"""),"")</f>
        <v/>
      </c>
      <c r="M46" s="97" t="str">
        <f>IFERROR(__xludf.DUMMYFUNCTION("""COMPUTED_VALUE"""),"")</f>
        <v/>
      </c>
      <c r="N46" s="95" t="str">
        <f>IFERROR(__xludf.DUMMYFUNCTION("""COMPUTED_VALUE"""),"")</f>
        <v/>
      </c>
      <c r="O46" s="96" t="str">
        <f>IFERROR(__xludf.DUMMYFUNCTION("""COMPUTED_VALUE"""),"")</f>
        <v/>
      </c>
      <c r="P46" s="97" t="str">
        <f>IFERROR(__xludf.DUMMYFUNCTION("""COMPUTED_VALUE"""),"")</f>
        <v/>
      </c>
      <c r="Q46" s="95" t="str">
        <f>IFERROR(__xludf.DUMMYFUNCTION("""COMPUTED_VALUE"""),"")</f>
        <v/>
      </c>
      <c r="R46" s="96" t="str">
        <f>IFERROR(__xludf.DUMMYFUNCTION("""COMPUTED_VALUE"""),"")</f>
        <v/>
      </c>
      <c r="S46" s="97" t="str">
        <f>IFERROR(__xludf.DUMMYFUNCTION("""COMPUTED_VALUE"""),"")</f>
        <v/>
      </c>
      <c r="T46" s="95" t="str">
        <f>IFERROR(__xludf.DUMMYFUNCTION("""COMPUTED_VALUE"""),"")</f>
        <v/>
      </c>
      <c r="U46" s="96" t="str">
        <f>IFERROR(__xludf.DUMMYFUNCTION("""COMPUTED_VALUE"""),"")</f>
        <v/>
      </c>
      <c r="V46" s="97" t="str">
        <f>IFERROR(__xludf.DUMMYFUNCTION("""COMPUTED_VALUE"""),"")</f>
        <v/>
      </c>
      <c r="W46" s="95" t="str">
        <f>IFERROR(__xludf.DUMMYFUNCTION("""COMPUTED_VALUE"""),"")</f>
        <v/>
      </c>
      <c r="X46" s="96" t="str">
        <f>IFERROR(__xludf.DUMMYFUNCTION("""COMPUTED_VALUE"""),"")</f>
        <v/>
      </c>
      <c r="Y46" s="97" t="str">
        <f>IFERROR(__xludf.DUMMYFUNCTION("""COMPUTED_VALUE"""),"")</f>
        <v/>
      </c>
      <c r="Z46" s="95">
        <f>IFERROR(__xludf.DUMMYFUNCTION("""COMPUTED_VALUE"""),153.9)</f>
        <v>153.9</v>
      </c>
      <c r="AA46" s="96" t="str">
        <f>IFERROR(__xludf.DUMMYFUNCTION("""COMPUTED_VALUE"""),"")</f>
        <v/>
      </c>
      <c r="AB46" s="97" t="str">
        <f>IFERROR(__xludf.DUMMYFUNCTION("""COMPUTED_VALUE"""),"")</f>
        <v/>
      </c>
      <c r="AC46" s="95" t="str">
        <f>IFERROR(__xludf.DUMMYFUNCTION("""COMPUTED_VALUE"""),"")</f>
        <v/>
      </c>
      <c r="AD46" s="96" t="str">
        <f>IFERROR(__xludf.DUMMYFUNCTION("""COMPUTED_VALUE"""),"")</f>
        <v/>
      </c>
      <c r="AE46" s="97">
        <f>IFERROR(__xludf.DUMMYFUNCTION("""COMPUTED_VALUE"""),230.9)</f>
        <v>230.9</v>
      </c>
      <c r="AF46" s="95" t="str">
        <f>IFERROR(__xludf.DUMMYFUNCTION("""COMPUTED_VALUE"""),"")</f>
        <v/>
      </c>
      <c r="AG46" s="96" t="str">
        <f>IFERROR(__xludf.DUMMYFUNCTION("""COMPUTED_VALUE"""),"")</f>
        <v/>
      </c>
      <c r="AH46" s="97" t="str">
        <f>IFERROR(__xludf.DUMMYFUNCTION("""COMPUTED_VALUE"""),"")</f>
        <v/>
      </c>
      <c r="AI46" s="92" t="str">
        <f>IFERROR(__xludf.DUMMYFUNCTION("""COMPUTED_VALUE"""),"")</f>
        <v/>
      </c>
      <c r="AJ46" s="93">
        <f>IFERROR(__xludf.DUMMYFUNCTION("""COMPUTED_VALUE"""),206.2)</f>
        <v>206.2</v>
      </c>
      <c r="AK46" s="94" t="str">
        <f>IFERROR(__xludf.DUMMYFUNCTION("""COMPUTED_VALUE"""),"")</f>
        <v/>
      </c>
      <c r="AL46" s="93" t="str">
        <f>IFERROR(__xludf.DUMMYFUNCTION("""COMPUTED_VALUE"""),"")</f>
        <v/>
      </c>
      <c r="AM46" s="93" t="str">
        <f>IFERROR(__xludf.DUMMYFUNCTION("""COMPUTED_VALUE"""),"")</f>
        <v/>
      </c>
      <c r="AN46" s="94" t="str">
        <f>IFERROR(__xludf.DUMMYFUNCTION("""COMPUTED_VALUE"""),"")</f>
        <v/>
      </c>
      <c r="AO46" s="93" t="str">
        <f>IFERROR(__xludf.DUMMYFUNCTION("""COMPUTED_VALUE"""),"")</f>
        <v/>
      </c>
      <c r="AP46" s="93" t="str">
        <f>IFERROR(__xludf.DUMMYFUNCTION("""COMPUTED_VALUE"""),"")</f>
        <v/>
      </c>
      <c r="AQ46" s="94" t="str">
        <f>IFERROR(__xludf.DUMMYFUNCTION("""COMPUTED_VALUE"""),"")</f>
        <v/>
      </c>
      <c r="AR46" s="93" t="str">
        <f>IFERROR(__xludf.DUMMYFUNCTION("""COMPUTED_VALUE"""),"")</f>
        <v/>
      </c>
      <c r="AS46" s="93" t="str">
        <f>IFERROR(__xludf.DUMMYFUNCTION("""COMPUTED_VALUE"""),"")</f>
        <v/>
      </c>
      <c r="AT46" s="94">
        <f>IFERROR(__xludf.DUMMYFUNCTION("""COMPUTED_VALUE"""),183.8)</f>
        <v>183.8</v>
      </c>
      <c r="AU46" s="93" t="str">
        <f>IFERROR(__xludf.DUMMYFUNCTION("""COMPUTED_VALUE"""),"")</f>
        <v/>
      </c>
      <c r="AV46" s="93" t="str">
        <f>IFERROR(__xludf.DUMMYFUNCTION("""COMPUTED_VALUE"""),"")</f>
        <v/>
      </c>
      <c r="AW46" s="94">
        <f>IFERROR(__xludf.DUMMYFUNCTION("""COMPUTED_VALUE"""),125.7)</f>
        <v>125.7</v>
      </c>
      <c r="AX46" s="93" t="str">
        <f>IFERROR(__xludf.DUMMYFUNCTION("""COMPUTED_VALUE"""),"")</f>
        <v/>
      </c>
      <c r="AY46" s="93" t="str">
        <f>IFERROR(__xludf.DUMMYFUNCTION("""COMPUTED_VALUE"""),"")</f>
        <v/>
      </c>
      <c r="AZ46" s="94" t="str">
        <f>IFERROR(__xludf.DUMMYFUNCTION("""COMPUTED_VALUE"""),"")</f>
        <v/>
      </c>
      <c r="BA46" s="93" t="str">
        <f>IFERROR(__xludf.DUMMYFUNCTION("""COMPUTED_VALUE"""),"")</f>
        <v/>
      </c>
      <c r="BB46" s="93" t="str">
        <f>IFERROR(__xludf.DUMMYFUNCTION("""COMPUTED_VALUE"""),"")</f>
        <v/>
      </c>
      <c r="BC46" s="94" t="str">
        <f>IFERROR(__xludf.DUMMYFUNCTION("""COMPUTED_VALUE"""),"")</f>
        <v/>
      </c>
      <c r="BD46" s="93" t="str">
        <f>IFERROR(__xludf.DUMMYFUNCTION("""COMPUTED_VALUE"""),"")</f>
        <v/>
      </c>
      <c r="BE46" s="93" t="str">
        <f>IFERROR(__xludf.DUMMYFUNCTION("""COMPUTED_VALUE"""),"")</f>
        <v/>
      </c>
      <c r="BF46" s="94" t="str">
        <f>IFERROR(__xludf.DUMMYFUNCTION("""COMPUTED_VALUE"""),"")</f>
        <v/>
      </c>
      <c r="BG46" s="92" t="str">
        <f>IFERROR(__xludf.DUMMYFUNCTION("""COMPUTED_VALUE"""),"")</f>
        <v/>
      </c>
      <c r="BH46" s="93" t="str">
        <f>IFERROR(__xludf.DUMMYFUNCTION("""COMPUTED_VALUE"""),"")</f>
        <v/>
      </c>
      <c r="BI46" s="94" t="str">
        <f>IFERROR(__xludf.DUMMYFUNCTION("""COMPUTED_VALUE"""),"")</f>
        <v/>
      </c>
      <c r="BJ46" s="93">
        <f>IFERROR(__xludf.DUMMYFUNCTION("""COMPUTED_VALUE"""),25.3)</f>
        <v>25.3</v>
      </c>
      <c r="BK46" s="93" t="str">
        <f>IFERROR(__xludf.DUMMYFUNCTION("""COMPUTED_VALUE"""),"")</f>
        <v/>
      </c>
      <c r="BL46" s="94" t="str">
        <f>IFERROR(__xludf.DUMMYFUNCTION("""COMPUTED_VALUE"""),"")</f>
        <v/>
      </c>
      <c r="BM46" s="93" t="str">
        <f>IFERROR(__xludf.DUMMYFUNCTION("""COMPUTED_VALUE"""),"")</f>
        <v/>
      </c>
      <c r="BN46" s="93" t="str">
        <f>IFERROR(__xludf.DUMMYFUNCTION("""COMPUTED_VALUE"""),"")</f>
        <v/>
      </c>
      <c r="BO46" s="94" t="str">
        <f>IFERROR(__xludf.DUMMYFUNCTION("""COMPUTED_VALUE"""),"")</f>
        <v/>
      </c>
      <c r="BP46" s="93" t="str">
        <f>IFERROR(__xludf.DUMMYFUNCTION("""COMPUTED_VALUE"""),"")</f>
        <v/>
      </c>
      <c r="BQ46" s="93">
        <f>IFERROR(__xludf.DUMMYFUNCTION("""COMPUTED_VALUE"""),17.9)</f>
        <v>17.9</v>
      </c>
      <c r="BR46" s="94" t="str">
        <f>IFERROR(__xludf.DUMMYFUNCTION("""COMPUTED_VALUE"""),"")</f>
        <v/>
      </c>
      <c r="BS46" s="93" t="str">
        <f>IFERROR(__xludf.DUMMYFUNCTION("""COMPUTED_VALUE"""),"")</f>
        <v/>
      </c>
      <c r="BT46" s="93" t="str">
        <f>IFERROR(__xludf.DUMMYFUNCTION("""COMPUTED_VALUE"""),"")</f>
        <v/>
      </c>
      <c r="BU46" s="94" t="str">
        <f>IFERROR(__xludf.DUMMYFUNCTION("""COMPUTED_VALUE"""),"")</f>
        <v/>
      </c>
      <c r="BV46" s="93" t="str">
        <f>IFERROR(__xludf.DUMMYFUNCTION("""COMPUTED_VALUE"""),"")</f>
        <v/>
      </c>
      <c r="BW46" s="93" t="str">
        <f>IFERROR(__xludf.DUMMYFUNCTION("""COMPUTED_VALUE"""),"")</f>
        <v/>
      </c>
      <c r="BX46" s="94">
        <f>IFERROR(__xludf.DUMMYFUNCTION("""COMPUTED_VALUE"""),255.9)</f>
        <v>255.9</v>
      </c>
      <c r="BY46" s="93" t="str">
        <f>IFERROR(__xludf.DUMMYFUNCTION("""COMPUTED_VALUE"""),"")</f>
        <v/>
      </c>
      <c r="BZ46" s="93" t="str">
        <f>IFERROR(__xludf.DUMMYFUNCTION("""COMPUTED_VALUE"""),"")</f>
        <v/>
      </c>
      <c r="CA46" s="94" t="str">
        <f>IFERROR(__xludf.DUMMYFUNCTION("""COMPUTED_VALUE"""),"")</f>
        <v/>
      </c>
      <c r="CB46" s="92" t="str">
        <f>IFERROR(__xludf.DUMMYFUNCTION("""COMPUTED_VALUE"""),"")</f>
        <v/>
      </c>
      <c r="CC46" s="93" t="str">
        <f>IFERROR(__xludf.DUMMYFUNCTION("""COMPUTED_VALUE"""),"")</f>
        <v/>
      </c>
      <c r="CD46" s="94" t="str">
        <f>IFERROR(__xludf.DUMMYFUNCTION("""COMPUTED_VALUE"""),"")</f>
        <v/>
      </c>
      <c r="CE46" s="93">
        <f>IFERROR(__xludf.DUMMYFUNCTION("""COMPUTED_VALUE"""),28.9)</f>
        <v>28.9</v>
      </c>
      <c r="CF46" s="93" t="str">
        <f>IFERROR(__xludf.DUMMYFUNCTION("""COMPUTED_VALUE"""),"")</f>
        <v/>
      </c>
      <c r="CG46" s="94" t="str">
        <f>IFERROR(__xludf.DUMMYFUNCTION("""COMPUTED_VALUE"""),"")</f>
        <v/>
      </c>
      <c r="CH46" s="93" t="str">
        <f>IFERROR(__xludf.DUMMYFUNCTION("""COMPUTED_VALUE"""),"")</f>
        <v/>
      </c>
      <c r="CI46" s="93" t="str">
        <f>IFERROR(__xludf.DUMMYFUNCTION("""COMPUTED_VALUE"""),"")</f>
        <v/>
      </c>
      <c r="CJ46" s="94" t="str">
        <f>IFERROR(__xludf.DUMMYFUNCTION("""COMPUTED_VALUE"""),"")</f>
        <v/>
      </c>
      <c r="CK46" s="93" t="str">
        <f>IFERROR(__xludf.DUMMYFUNCTION("""COMPUTED_VALUE"""),"")</f>
        <v/>
      </c>
      <c r="CL46" s="93" t="str">
        <f>IFERROR(__xludf.DUMMYFUNCTION("""COMPUTED_VALUE"""),"")</f>
        <v/>
      </c>
      <c r="CM46" s="94" t="str">
        <f>IFERROR(__xludf.DUMMYFUNCTION("""COMPUTED_VALUE"""),"")</f>
        <v/>
      </c>
      <c r="CN46" s="93" t="str">
        <f>IFERROR(__xludf.DUMMYFUNCTION("""COMPUTED_VALUE"""),"")</f>
        <v/>
      </c>
      <c r="CO46" s="93" t="str">
        <f>IFERROR(__xludf.DUMMYFUNCTION("""COMPUTED_VALUE"""),"")</f>
        <v/>
      </c>
      <c r="CP46" s="94" t="str">
        <f>IFERROR(__xludf.DUMMYFUNCTION("""COMPUTED_VALUE"""),"")</f>
        <v/>
      </c>
      <c r="CQ46" s="93" t="str">
        <f>IFERROR(__xludf.DUMMYFUNCTION("""COMPUTED_VALUE"""),"")</f>
        <v/>
      </c>
      <c r="CR46" s="93" t="str">
        <f>IFERROR(__xludf.DUMMYFUNCTION("""COMPUTED_VALUE"""),"")</f>
        <v/>
      </c>
      <c r="CS46" s="94"/>
      <c r="CT46" s="93"/>
      <c r="CU46" s="93"/>
      <c r="CV46" s="94"/>
      <c r="CW46" s="93"/>
      <c r="CX46" s="93"/>
      <c r="CY46" s="94"/>
      <c r="CZ46" s="93"/>
      <c r="DA46" s="93"/>
      <c r="DB46" s="94"/>
      <c r="DC46" s="93"/>
      <c r="DD46" s="93"/>
      <c r="DE46" s="94"/>
      <c r="DF46" s="93"/>
      <c r="DG46" s="93"/>
      <c r="DH46" s="94"/>
      <c r="DI46" s="93"/>
      <c r="DJ46" s="93"/>
      <c r="DK46" s="94"/>
      <c r="DL46" s="93"/>
      <c r="DM46" s="93"/>
      <c r="DN46" s="94"/>
      <c r="DO46" s="93"/>
      <c r="DP46" s="93"/>
      <c r="DQ46" s="94"/>
      <c r="DR46" s="93"/>
      <c r="DS46" s="93"/>
      <c r="DT46" s="94"/>
    </row>
    <row r="47">
      <c r="B47" s="83" t="str">
        <f>IFERROR(__xludf.DUMMYFUNCTION("""COMPUTED_VALUE"""),"TRF27")</f>
        <v>TRF27</v>
      </c>
      <c r="C47" s="82">
        <f>IFERROR(__xludf.DUMMYFUNCTION("""COMPUTED_VALUE"""),29.0)</f>
        <v>29</v>
      </c>
      <c r="D47" s="88" t="str">
        <f>IFERROR(__xludf.DUMMYFUNCTION("""COMPUTED_VALUE"""),"SUN Saber Training Ground- Adv")</f>
        <v>SUN Saber Training Ground- Adv</v>
      </c>
      <c r="E47" s="82" t="str">
        <f>IFERROR(__xludf.DUMMYFUNCTION("""COMPUTED_VALUE"""),"剣上級")</f>
        <v>剣上級</v>
      </c>
      <c r="F47" s="102">
        <f>IFERROR(__xludf.DUMMYFUNCTION("""COMPUTED_VALUE"""),30.0)</f>
        <v>30</v>
      </c>
      <c r="G47" s="82">
        <f>IFERROR(__xludf.DUMMYFUNCTION("""COMPUTED_VALUE"""),3856.0)</f>
        <v>3856</v>
      </c>
      <c r="H47" s="95" t="str">
        <f>IFERROR(__xludf.DUMMYFUNCTION("""COMPUTED_VALUE"""),"")</f>
        <v/>
      </c>
      <c r="I47" s="96" t="str">
        <f>IFERROR(__xludf.DUMMYFUNCTION("""COMPUTED_VALUE"""),"")</f>
        <v/>
      </c>
      <c r="J47" s="97" t="str">
        <f>IFERROR(__xludf.DUMMYFUNCTION("""COMPUTED_VALUE"""),"")</f>
        <v/>
      </c>
      <c r="K47" s="95">
        <f>IFERROR(__xludf.DUMMYFUNCTION("""COMPUTED_VALUE"""),776.4)</f>
        <v>776.4</v>
      </c>
      <c r="L47" s="96" t="str">
        <f>IFERROR(__xludf.DUMMYFUNCTION("""COMPUTED_VALUE"""),"")</f>
        <v/>
      </c>
      <c r="M47" s="97" t="str">
        <f>IFERROR(__xludf.DUMMYFUNCTION("""COMPUTED_VALUE"""),"")</f>
        <v/>
      </c>
      <c r="N47" s="95" t="str">
        <f>IFERROR(__xludf.DUMMYFUNCTION("""COMPUTED_VALUE"""),"")</f>
        <v/>
      </c>
      <c r="O47" s="96" t="str">
        <f>IFERROR(__xludf.DUMMYFUNCTION("""COMPUTED_VALUE"""),"")</f>
        <v/>
      </c>
      <c r="P47" s="97" t="str">
        <f>IFERROR(__xludf.DUMMYFUNCTION("""COMPUTED_VALUE"""),"")</f>
        <v/>
      </c>
      <c r="Q47" s="95" t="str">
        <f>IFERROR(__xludf.DUMMYFUNCTION("""COMPUTED_VALUE"""),"")</f>
        <v/>
      </c>
      <c r="R47" s="96" t="str">
        <f>IFERROR(__xludf.DUMMYFUNCTION("""COMPUTED_VALUE"""),"")</f>
        <v/>
      </c>
      <c r="S47" s="97" t="str">
        <f>IFERROR(__xludf.DUMMYFUNCTION("""COMPUTED_VALUE"""),"")</f>
        <v/>
      </c>
      <c r="T47" s="95" t="str">
        <f>IFERROR(__xludf.DUMMYFUNCTION("""COMPUTED_VALUE"""),"")</f>
        <v/>
      </c>
      <c r="U47" s="96" t="str">
        <f>IFERROR(__xludf.DUMMYFUNCTION("""COMPUTED_VALUE"""),"")</f>
        <v/>
      </c>
      <c r="V47" s="97" t="str">
        <f>IFERROR(__xludf.DUMMYFUNCTION("""COMPUTED_VALUE"""),"")</f>
        <v/>
      </c>
      <c r="W47" s="95" t="str">
        <f>IFERROR(__xludf.DUMMYFUNCTION("""COMPUTED_VALUE"""),"")</f>
        <v/>
      </c>
      <c r="X47" s="96" t="str">
        <f>IFERROR(__xludf.DUMMYFUNCTION("""COMPUTED_VALUE"""),"")</f>
        <v/>
      </c>
      <c r="Y47" s="97" t="str">
        <f>IFERROR(__xludf.DUMMYFUNCTION("""COMPUTED_VALUE"""),"")</f>
        <v/>
      </c>
      <c r="Z47" s="95">
        <f>IFERROR(__xludf.DUMMYFUNCTION("""COMPUTED_VALUE"""),124.8)</f>
        <v>124.8</v>
      </c>
      <c r="AA47" s="96" t="str">
        <f>IFERROR(__xludf.DUMMYFUNCTION("""COMPUTED_VALUE"""),"")</f>
        <v/>
      </c>
      <c r="AB47" s="97" t="str">
        <f>IFERROR(__xludf.DUMMYFUNCTION("""COMPUTED_VALUE"""),"")</f>
        <v/>
      </c>
      <c r="AC47" s="95" t="str">
        <f>IFERROR(__xludf.DUMMYFUNCTION("""COMPUTED_VALUE"""),"")</f>
        <v/>
      </c>
      <c r="AD47" s="96">
        <f>IFERROR(__xludf.DUMMYFUNCTION("""COMPUTED_VALUE"""),173.4)</f>
        <v>173.4</v>
      </c>
      <c r="AE47" s="97">
        <f>IFERROR(__xludf.DUMMYFUNCTION("""COMPUTED_VALUE"""),209.9)</f>
        <v>209.9</v>
      </c>
      <c r="AF47" s="95" t="str">
        <f>IFERROR(__xludf.DUMMYFUNCTION("""COMPUTED_VALUE"""),"")</f>
        <v/>
      </c>
      <c r="AG47" s="96" t="str">
        <f>IFERROR(__xludf.DUMMYFUNCTION("""COMPUTED_VALUE"""),"")</f>
        <v/>
      </c>
      <c r="AH47" s="97" t="str">
        <f>IFERROR(__xludf.DUMMYFUNCTION("""COMPUTED_VALUE"""),"")</f>
        <v/>
      </c>
      <c r="AI47" s="103" t="str">
        <f>IFERROR(__xludf.DUMMYFUNCTION("""COMPUTED_VALUE"""),"")</f>
        <v/>
      </c>
      <c r="AJ47" s="104">
        <f>IFERROR(__xludf.DUMMYFUNCTION("""COMPUTED_VALUE"""),192.8)</f>
        <v>192.8</v>
      </c>
      <c r="AK47" s="105" t="str">
        <f>IFERROR(__xludf.DUMMYFUNCTION("""COMPUTED_VALUE"""),"")</f>
        <v/>
      </c>
      <c r="AL47" s="104" t="str">
        <f>IFERROR(__xludf.DUMMYFUNCTION("""COMPUTED_VALUE"""),"")</f>
        <v/>
      </c>
      <c r="AM47" s="104" t="str">
        <f>IFERROR(__xludf.DUMMYFUNCTION("""COMPUTED_VALUE"""),"")</f>
        <v/>
      </c>
      <c r="AN47" s="105" t="str">
        <f>IFERROR(__xludf.DUMMYFUNCTION("""COMPUTED_VALUE"""),"")</f>
        <v/>
      </c>
      <c r="AO47" s="104" t="str">
        <f>IFERROR(__xludf.DUMMYFUNCTION("""COMPUTED_VALUE"""),"")</f>
        <v/>
      </c>
      <c r="AP47" s="104" t="str">
        <f>IFERROR(__xludf.DUMMYFUNCTION("""COMPUTED_VALUE"""),"")</f>
        <v/>
      </c>
      <c r="AQ47" s="105" t="str">
        <f>IFERROR(__xludf.DUMMYFUNCTION("""COMPUTED_VALUE"""),"")</f>
        <v/>
      </c>
      <c r="AR47" s="104" t="str">
        <f>IFERROR(__xludf.DUMMYFUNCTION("""COMPUTED_VALUE"""),"")</f>
        <v/>
      </c>
      <c r="AS47" s="104" t="str">
        <f>IFERROR(__xludf.DUMMYFUNCTION("""COMPUTED_VALUE"""),"")</f>
        <v/>
      </c>
      <c r="AT47" s="105">
        <f>IFERROR(__xludf.DUMMYFUNCTION("""COMPUTED_VALUE"""),215.4)</f>
        <v>215.4</v>
      </c>
      <c r="AU47" s="104" t="str">
        <f>IFERROR(__xludf.DUMMYFUNCTION("""COMPUTED_VALUE"""),"")</f>
        <v/>
      </c>
      <c r="AV47" s="104" t="str">
        <f>IFERROR(__xludf.DUMMYFUNCTION("""COMPUTED_VALUE"""),"")</f>
        <v/>
      </c>
      <c r="AW47" s="105">
        <f>IFERROR(__xludf.DUMMYFUNCTION("""COMPUTED_VALUE"""),149.8)</f>
        <v>149.8</v>
      </c>
      <c r="AX47" s="104" t="str">
        <f>IFERROR(__xludf.DUMMYFUNCTION("""COMPUTED_VALUE"""),"")</f>
        <v/>
      </c>
      <c r="AY47" s="104" t="str">
        <f>IFERROR(__xludf.DUMMYFUNCTION("""COMPUTED_VALUE"""),"")</f>
        <v/>
      </c>
      <c r="AZ47" s="105" t="str">
        <f>IFERROR(__xludf.DUMMYFUNCTION("""COMPUTED_VALUE"""),"")</f>
        <v/>
      </c>
      <c r="BA47" s="104" t="str">
        <f>IFERROR(__xludf.DUMMYFUNCTION("""COMPUTED_VALUE"""),"")</f>
        <v/>
      </c>
      <c r="BB47" s="104" t="str">
        <f>IFERROR(__xludf.DUMMYFUNCTION("""COMPUTED_VALUE"""),"")</f>
        <v/>
      </c>
      <c r="BC47" s="105">
        <f>IFERROR(__xludf.DUMMYFUNCTION("""COMPUTED_VALUE"""),599.4)</f>
        <v>599.4</v>
      </c>
      <c r="BD47" s="104" t="str">
        <f>IFERROR(__xludf.DUMMYFUNCTION("""COMPUTED_VALUE"""),"")</f>
        <v/>
      </c>
      <c r="BE47" s="104" t="str">
        <f>IFERROR(__xludf.DUMMYFUNCTION("""COMPUTED_VALUE"""),"")</f>
        <v/>
      </c>
      <c r="BF47" s="105" t="str">
        <f>IFERROR(__xludf.DUMMYFUNCTION("""COMPUTED_VALUE"""),"")</f>
        <v/>
      </c>
      <c r="BG47" s="103" t="str">
        <f>IFERROR(__xludf.DUMMYFUNCTION("""COMPUTED_VALUE"""),"")</f>
        <v/>
      </c>
      <c r="BH47" s="104" t="str">
        <f>IFERROR(__xludf.DUMMYFUNCTION("""COMPUTED_VALUE"""),"")</f>
        <v/>
      </c>
      <c r="BI47" s="105" t="str">
        <f>IFERROR(__xludf.DUMMYFUNCTION("""COMPUTED_VALUE"""),"")</f>
        <v/>
      </c>
      <c r="BJ47" s="104">
        <f>IFERROR(__xludf.DUMMYFUNCTION("""COMPUTED_VALUE"""),22.4)</f>
        <v>22.4</v>
      </c>
      <c r="BK47" s="104" t="str">
        <f>IFERROR(__xludf.DUMMYFUNCTION("""COMPUTED_VALUE"""),"")</f>
        <v/>
      </c>
      <c r="BL47" s="105" t="str">
        <f>IFERROR(__xludf.DUMMYFUNCTION("""COMPUTED_VALUE"""),"")</f>
        <v/>
      </c>
      <c r="BM47" s="104" t="str">
        <f>IFERROR(__xludf.DUMMYFUNCTION("""COMPUTED_VALUE"""),"")</f>
        <v/>
      </c>
      <c r="BN47" s="104" t="str">
        <f>IFERROR(__xludf.DUMMYFUNCTION("""COMPUTED_VALUE"""),"")</f>
        <v/>
      </c>
      <c r="BO47" s="105" t="str">
        <f>IFERROR(__xludf.DUMMYFUNCTION("""COMPUTED_VALUE"""),"")</f>
        <v/>
      </c>
      <c r="BP47" s="104" t="str">
        <f>IFERROR(__xludf.DUMMYFUNCTION("""COMPUTED_VALUE"""),"")</f>
        <v/>
      </c>
      <c r="BQ47" s="104">
        <f>IFERROR(__xludf.DUMMYFUNCTION("""COMPUTED_VALUE"""),116.5)</f>
        <v>116.5</v>
      </c>
      <c r="BR47" s="105" t="str">
        <f>IFERROR(__xludf.DUMMYFUNCTION("""COMPUTED_VALUE"""),"")</f>
        <v/>
      </c>
      <c r="BS47" s="104" t="str">
        <f>IFERROR(__xludf.DUMMYFUNCTION("""COMPUTED_VALUE"""),"")</f>
        <v/>
      </c>
      <c r="BT47" s="104" t="str">
        <f>IFERROR(__xludf.DUMMYFUNCTION("""COMPUTED_VALUE"""),"")</f>
        <v/>
      </c>
      <c r="BU47" s="105" t="str">
        <f>IFERROR(__xludf.DUMMYFUNCTION("""COMPUTED_VALUE"""),"")</f>
        <v/>
      </c>
      <c r="BV47" s="104" t="str">
        <f>IFERROR(__xludf.DUMMYFUNCTION("""COMPUTED_VALUE"""),"")</f>
        <v/>
      </c>
      <c r="BW47" s="104" t="str">
        <f>IFERROR(__xludf.DUMMYFUNCTION("""COMPUTED_VALUE"""),"")</f>
        <v/>
      </c>
      <c r="BX47" s="105">
        <f>IFERROR(__xludf.DUMMYFUNCTION("""COMPUTED_VALUE"""),86.6)</f>
        <v>86.6</v>
      </c>
      <c r="BY47" s="104" t="str">
        <f>IFERROR(__xludf.DUMMYFUNCTION("""COMPUTED_VALUE"""),"")</f>
        <v/>
      </c>
      <c r="BZ47" s="104" t="str">
        <f>IFERROR(__xludf.DUMMYFUNCTION("""COMPUTED_VALUE"""),"")</f>
        <v/>
      </c>
      <c r="CA47" s="105" t="str">
        <f>IFERROR(__xludf.DUMMYFUNCTION("""COMPUTED_VALUE"""),"")</f>
        <v/>
      </c>
      <c r="CB47" s="103" t="str">
        <f>IFERROR(__xludf.DUMMYFUNCTION("""COMPUTED_VALUE"""),"")</f>
        <v/>
      </c>
      <c r="CC47" s="104" t="str">
        <f>IFERROR(__xludf.DUMMYFUNCTION("""COMPUTED_VALUE"""),"")</f>
        <v/>
      </c>
      <c r="CD47" s="105" t="str">
        <f>IFERROR(__xludf.DUMMYFUNCTION("""COMPUTED_VALUE"""),"")</f>
        <v/>
      </c>
      <c r="CE47" s="104">
        <f>IFERROR(__xludf.DUMMYFUNCTION("""COMPUTED_VALUE"""),30.1)</f>
        <v>30.1</v>
      </c>
      <c r="CF47" s="104" t="str">
        <f>IFERROR(__xludf.DUMMYFUNCTION("""COMPUTED_VALUE"""),"")</f>
        <v/>
      </c>
      <c r="CG47" s="105" t="str">
        <f>IFERROR(__xludf.DUMMYFUNCTION("""COMPUTED_VALUE"""),"")</f>
        <v/>
      </c>
      <c r="CH47" s="104" t="str">
        <f>IFERROR(__xludf.DUMMYFUNCTION("""COMPUTED_VALUE"""),"")</f>
        <v/>
      </c>
      <c r="CI47" s="104" t="str">
        <f>IFERROR(__xludf.DUMMYFUNCTION("""COMPUTED_VALUE"""),"")</f>
        <v/>
      </c>
      <c r="CJ47" s="105" t="str">
        <f>IFERROR(__xludf.DUMMYFUNCTION("""COMPUTED_VALUE"""),"")</f>
        <v/>
      </c>
      <c r="CK47" s="104" t="str">
        <f>IFERROR(__xludf.DUMMYFUNCTION("""COMPUTED_VALUE"""),"")</f>
        <v/>
      </c>
      <c r="CL47" s="104" t="str">
        <f>IFERROR(__xludf.DUMMYFUNCTION("""COMPUTED_VALUE"""),"")</f>
        <v/>
      </c>
      <c r="CM47" s="105" t="str">
        <f>IFERROR(__xludf.DUMMYFUNCTION("""COMPUTED_VALUE"""),"")</f>
        <v/>
      </c>
      <c r="CN47" s="104" t="str">
        <f>IFERROR(__xludf.DUMMYFUNCTION("""COMPUTED_VALUE"""),"")</f>
        <v/>
      </c>
      <c r="CO47" s="104" t="str">
        <f>IFERROR(__xludf.DUMMYFUNCTION("""COMPUTED_VALUE"""),"")</f>
        <v/>
      </c>
      <c r="CP47" s="105" t="str">
        <f>IFERROR(__xludf.DUMMYFUNCTION("""COMPUTED_VALUE"""),"")</f>
        <v/>
      </c>
      <c r="CQ47" s="104" t="str">
        <f>IFERROR(__xludf.DUMMYFUNCTION("""COMPUTED_VALUE"""),"")</f>
        <v/>
      </c>
      <c r="CR47" s="104" t="str">
        <f>IFERROR(__xludf.DUMMYFUNCTION("""COMPUTED_VALUE"""),"")</f>
        <v/>
      </c>
      <c r="CS47" s="105"/>
      <c r="CT47" s="104"/>
      <c r="CU47" s="104"/>
      <c r="CV47" s="105"/>
      <c r="CW47" s="104"/>
      <c r="CX47" s="104"/>
      <c r="CY47" s="105"/>
      <c r="CZ47" s="104"/>
      <c r="DA47" s="104"/>
      <c r="DB47" s="105"/>
      <c r="DC47" s="104"/>
      <c r="DD47" s="104"/>
      <c r="DE47" s="105"/>
      <c r="DF47" s="104"/>
      <c r="DG47" s="104"/>
      <c r="DH47" s="105"/>
      <c r="DI47" s="104"/>
      <c r="DJ47" s="104"/>
      <c r="DK47" s="105"/>
      <c r="DL47" s="104"/>
      <c r="DM47" s="104"/>
      <c r="DN47" s="105"/>
      <c r="DO47" s="104"/>
      <c r="DP47" s="104"/>
      <c r="DQ47" s="105"/>
      <c r="DR47" s="104"/>
      <c r="DS47" s="104"/>
      <c r="DT47" s="105"/>
    </row>
    <row r="48">
      <c r="B48" s="83" t="str">
        <f>IFERROR(__xludf.DUMMYFUNCTION("""COMPUTED_VALUE"""),"TRF28")</f>
        <v>TRF28</v>
      </c>
      <c r="C48" s="82">
        <f>IFERROR(__xludf.DUMMYFUNCTION("""COMPUTED_VALUE"""),28.0)</f>
        <v>28</v>
      </c>
      <c r="D48" s="88" t="str">
        <f>IFERROR(__xludf.DUMMYFUNCTION("""COMPUTED_VALUE"""),"SUN Saber Training Ground- Exp")</f>
        <v>SUN Saber Training Ground- Exp</v>
      </c>
      <c r="E48" s="82" t="str">
        <f>IFERROR(__xludf.DUMMYFUNCTION("""COMPUTED_VALUE"""),"剣超級")</f>
        <v>剣超級</v>
      </c>
      <c r="F48" s="102">
        <f>IFERROR(__xludf.DUMMYFUNCTION("""COMPUTED_VALUE"""),40.0)</f>
        <v>40</v>
      </c>
      <c r="G48" s="82">
        <f>IFERROR(__xludf.DUMMYFUNCTION("""COMPUTED_VALUE"""),27682.0)</f>
        <v>27682</v>
      </c>
      <c r="H48" s="95" t="str">
        <f>IFERROR(__xludf.DUMMYFUNCTION("""COMPUTED_VALUE"""),"")</f>
        <v/>
      </c>
      <c r="I48" s="96" t="str">
        <f>IFERROR(__xludf.DUMMYFUNCTION("""COMPUTED_VALUE"""),"")</f>
        <v/>
      </c>
      <c r="J48" s="97" t="str">
        <f>IFERROR(__xludf.DUMMYFUNCTION("""COMPUTED_VALUE"""),"")</f>
        <v/>
      </c>
      <c r="K48" s="95">
        <f>IFERROR(__xludf.DUMMYFUNCTION("""COMPUTED_VALUE"""),498.8)</f>
        <v>498.8</v>
      </c>
      <c r="L48" s="96" t="str">
        <f>IFERROR(__xludf.DUMMYFUNCTION("""COMPUTED_VALUE"""),"")</f>
        <v/>
      </c>
      <c r="M48" s="97" t="str">
        <f>IFERROR(__xludf.DUMMYFUNCTION("""COMPUTED_VALUE"""),"")</f>
        <v/>
      </c>
      <c r="N48" s="95" t="str">
        <f>IFERROR(__xludf.DUMMYFUNCTION("""COMPUTED_VALUE"""),"")</f>
        <v/>
      </c>
      <c r="O48" s="96" t="str">
        <f>IFERROR(__xludf.DUMMYFUNCTION("""COMPUTED_VALUE"""),"")</f>
        <v/>
      </c>
      <c r="P48" s="97" t="str">
        <f>IFERROR(__xludf.DUMMYFUNCTION("""COMPUTED_VALUE"""),"")</f>
        <v/>
      </c>
      <c r="Q48" s="95" t="str">
        <f>IFERROR(__xludf.DUMMYFUNCTION("""COMPUTED_VALUE"""),"")</f>
        <v/>
      </c>
      <c r="R48" s="96" t="str">
        <f>IFERROR(__xludf.DUMMYFUNCTION("""COMPUTED_VALUE"""),"")</f>
        <v/>
      </c>
      <c r="S48" s="97" t="str">
        <f>IFERROR(__xludf.DUMMYFUNCTION("""COMPUTED_VALUE"""),"")</f>
        <v/>
      </c>
      <c r="T48" s="95" t="str">
        <f>IFERROR(__xludf.DUMMYFUNCTION("""COMPUTED_VALUE"""),"")</f>
        <v/>
      </c>
      <c r="U48" s="96" t="str">
        <f>IFERROR(__xludf.DUMMYFUNCTION("""COMPUTED_VALUE"""),"")</f>
        <v/>
      </c>
      <c r="V48" s="97" t="str">
        <f>IFERROR(__xludf.DUMMYFUNCTION("""COMPUTED_VALUE"""),"")</f>
        <v/>
      </c>
      <c r="W48" s="95" t="str">
        <f>IFERROR(__xludf.DUMMYFUNCTION("""COMPUTED_VALUE"""),"")</f>
        <v/>
      </c>
      <c r="X48" s="96" t="str">
        <f>IFERROR(__xludf.DUMMYFUNCTION("""COMPUTED_VALUE"""),"")</f>
        <v/>
      </c>
      <c r="Y48" s="97" t="str">
        <f>IFERROR(__xludf.DUMMYFUNCTION("""COMPUTED_VALUE"""),"")</f>
        <v/>
      </c>
      <c r="Z48" s="95">
        <f>IFERROR(__xludf.DUMMYFUNCTION("""COMPUTED_VALUE"""),149.7)</f>
        <v>149.7</v>
      </c>
      <c r="AA48" s="96" t="str">
        <f>IFERROR(__xludf.DUMMYFUNCTION("""COMPUTED_VALUE"""),"")</f>
        <v/>
      </c>
      <c r="AB48" s="97" t="str">
        <f>IFERROR(__xludf.DUMMYFUNCTION("""COMPUTED_VALUE"""),"")</f>
        <v/>
      </c>
      <c r="AC48" s="95" t="str">
        <f>IFERROR(__xludf.DUMMYFUNCTION("""COMPUTED_VALUE"""),"")</f>
        <v/>
      </c>
      <c r="AD48" s="96">
        <f>IFERROR(__xludf.DUMMYFUNCTION("""COMPUTED_VALUE"""),377.3)</f>
        <v>377.3</v>
      </c>
      <c r="AE48" s="97">
        <f>IFERROR(__xludf.DUMMYFUNCTION("""COMPUTED_VALUE"""),196.1)</f>
        <v>196.1</v>
      </c>
      <c r="AF48" s="95" t="str">
        <f>IFERROR(__xludf.DUMMYFUNCTION("""COMPUTED_VALUE"""),"")</f>
        <v/>
      </c>
      <c r="AG48" s="96" t="str">
        <f>IFERROR(__xludf.DUMMYFUNCTION("""COMPUTED_VALUE"""),"")</f>
        <v/>
      </c>
      <c r="AH48" s="97" t="str">
        <f>IFERROR(__xludf.DUMMYFUNCTION("""COMPUTED_VALUE"""),"")</f>
        <v/>
      </c>
      <c r="AI48" s="92" t="str">
        <f>IFERROR(__xludf.DUMMYFUNCTION("""COMPUTED_VALUE"""),"")</f>
        <v/>
      </c>
      <c r="AJ48" s="93">
        <f>IFERROR(__xludf.DUMMYFUNCTION("""COMPUTED_VALUE"""),194.8)</f>
        <v>194.8</v>
      </c>
      <c r="AK48" s="94" t="str">
        <f>IFERROR(__xludf.DUMMYFUNCTION("""COMPUTED_VALUE"""),"")</f>
        <v/>
      </c>
      <c r="AL48" s="93" t="str">
        <f>IFERROR(__xludf.DUMMYFUNCTION("""COMPUTED_VALUE"""),"")</f>
        <v/>
      </c>
      <c r="AM48" s="93" t="str">
        <f>IFERROR(__xludf.DUMMYFUNCTION("""COMPUTED_VALUE"""),"")</f>
        <v/>
      </c>
      <c r="AN48" s="94" t="str">
        <f>IFERROR(__xludf.DUMMYFUNCTION("""COMPUTED_VALUE"""),"")</f>
        <v/>
      </c>
      <c r="AO48" s="93" t="str">
        <f>IFERROR(__xludf.DUMMYFUNCTION("""COMPUTED_VALUE"""),"")</f>
        <v/>
      </c>
      <c r="AP48" s="93" t="str">
        <f>IFERROR(__xludf.DUMMYFUNCTION("""COMPUTED_VALUE"""),"")</f>
        <v/>
      </c>
      <c r="AQ48" s="94" t="str">
        <f>IFERROR(__xludf.DUMMYFUNCTION("""COMPUTED_VALUE"""),"")</f>
        <v/>
      </c>
      <c r="AR48" s="93" t="str">
        <f>IFERROR(__xludf.DUMMYFUNCTION("""COMPUTED_VALUE"""),"")</f>
        <v/>
      </c>
      <c r="AS48" s="93" t="str">
        <f>IFERROR(__xludf.DUMMYFUNCTION("""COMPUTED_VALUE"""),"")</f>
        <v/>
      </c>
      <c r="AT48" s="94">
        <f>IFERROR(__xludf.DUMMYFUNCTION("""COMPUTED_VALUE"""),212.0)</f>
        <v>212</v>
      </c>
      <c r="AU48" s="93" t="str">
        <f>IFERROR(__xludf.DUMMYFUNCTION("""COMPUTED_VALUE"""),"")</f>
        <v/>
      </c>
      <c r="AV48" s="93" t="str">
        <f>IFERROR(__xludf.DUMMYFUNCTION("""COMPUTED_VALUE"""),"")</f>
        <v/>
      </c>
      <c r="AW48" s="94">
        <f>IFERROR(__xludf.DUMMYFUNCTION("""COMPUTED_VALUE"""),177.6)</f>
        <v>177.6</v>
      </c>
      <c r="AX48" s="93" t="str">
        <f>IFERROR(__xludf.DUMMYFUNCTION("""COMPUTED_VALUE"""),"")</f>
        <v/>
      </c>
      <c r="AY48" s="93" t="str">
        <f>IFERROR(__xludf.DUMMYFUNCTION("""COMPUTED_VALUE"""),"")</f>
        <v/>
      </c>
      <c r="AZ48" s="94" t="str">
        <f>IFERROR(__xludf.DUMMYFUNCTION("""COMPUTED_VALUE"""),"")</f>
        <v/>
      </c>
      <c r="BA48" s="93" t="str">
        <f>IFERROR(__xludf.DUMMYFUNCTION("""COMPUTED_VALUE"""),"")</f>
        <v/>
      </c>
      <c r="BB48" s="93" t="str">
        <f>IFERROR(__xludf.DUMMYFUNCTION("""COMPUTED_VALUE"""),"")</f>
        <v/>
      </c>
      <c r="BC48" s="94">
        <f>IFERROR(__xludf.DUMMYFUNCTION("""COMPUTED_VALUE"""),144.4)</f>
        <v>144.4</v>
      </c>
      <c r="BD48" s="93" t="str">
        <f>IFERROR(__xludf.DUMMYFUNCTION("""COMPUTED_VALUE"""),"")</f>
        <v/>
      </c>
      <c r="BE48" s="93" t="str">
        <f>IFERROR(__xludf.DUMMYFUNCTION("""COMPUTED_VALUE"""),"")</f>
        <v/>
      </c>
      <c r="BF48" s="94" t="str">
        <f>IFERROR(__xludf.DUMMYFUNCTION("""COMPUTED_VALUE"""),"")</f>
        <v/>
      </c>
      <c r="BG48" s="92" t="str">
        <f>IFERROR(__xludf.DUMMYFUNCTION("""COMPUTED_VALUE"""),"")</f>
        <v/>
      </c>
      <c r="BH48" s="93" t="str">
        <f>IFERROR(__xludf.DUMMYFUNCTION("""COMPUTED_VALUE"""),"")</f>
        <v/>
      </c>
      <c r="BI48" s="94" t="str">
        <f>IFERROR(__xludf.DUMMYFUNCTION("""COMPUTED_VALUE"""),"")</f>
        <v/>
      </c>
      <c r="BJ48" s="93">
        <f>IFERROR(__xludf.DUMMYFUNCTION("""COMPUTED_VALUE"""),34.4)</f>
        <v>34.4</v>
      </c>
      <c r="BK48" s="93" t="str">
        <f>IFERROR(__xludf.DUMMYFUNCTION("""COMPUTED_VALUE"""),"")</f>
        <v/>
      </c>
      <c r="BL48" s="94" t="str">
        <f>IFERROR(__xludf.DUMMYFUNCTION("""COMPUTED_VALUE"""),"")</f>
        <v/>
      </c>
      <c r="BM48" s="93" t="str">
        <f>IFERROR(__xludf.DUMMYFUNCTION("""COMPUTED_VALUE"""),"")</f>
        <v/>
      </c>
      <c r="BN48" s="93" t="str">
        <f>IFERROR(__xludf.DUMMYFUNCTION("""COMPUTED_VALUE"""),"")</f>
        <v/>
      </c>
      <c r="BO48" s="94" t="str">
        <f>IFERROR(__xludf.DUMMYFUNCTION("""COMPUTED_VALUE"""),"")</f>
        <v/>
      </c>
      <c r="BP48" s="93" t="str">
        <f>IFERROR(__xludf.DUMMYFUNCTION("""COMPUTED_VALUE"""),"")</f>
        <v/>
      </c>
      <c r="BQ48" s="93">
        <f>IFERROR(__xludf.DUMMYFUNCTION("""COMPUTED_VALUE"""),169.7)</f>
        <v>169.7</v>
      </c>
      <c r="BR48" s="94" t="str">
        <f>IFERROR(__xludf.DUMMYFUNCTION("""COMPUTED_VALUE"""),"")</f>
        <v/>
      </c>
      <c r="BS48" s="93" t="str">
        <f>IFERROR(__xludf.DUMMYFUNCTION("""COMPUTED_VALUE"""),"")</f>
        <v/>
      </c>
      <c r="BT48" s="93" t="str">
        <f>IFERROR(__xludf.DUMMYFUNCTION("""COMPUTED_VALUE"""),"")</f>
        <v/>
      </c>
      <c r="BU48" s="94" t="str">
        <f>IFERROR(__xludf.DUMMYFUNCTION("""COMPUTED_VALUE"""),"")</f>
        <v/>
      </c>
      <c r="BV48" s="93" t="str">
        <f>IFERROR(__xludf.DUMMYFUNCTION("""COMPUTED_VALUE"""),"")</f>
        <v/>
      </c>
      <c r="BW48" s="93" t="str">
        <f>IFERROR(__xludf.DUMMYFUNCTION("""COMPUTED_VALUE"""),"")</f>
        <v/>
      </c>
      <c r="BX48" s="94">
        <f>IFERROR(__xludf.DUMMYFUNCTION("""COMPUTED_VALUE"""),74.4)</f>
        <v>74.4</v>
      </c>
      <c r="BY48" s="107" t="str">
        <f>IFERROR(__xludf.DUMMYFUNCTION("""COMPUTED_VALUE"""),"")</f>
        <v/>
      </c>
      <c r="BZ48" s="93" t="str">
        <f>IFERROR(__xludf.DUMMYFUNCTION("""COMPUTED_VALUE"""),"")</f>
        <v/>
      </c>
      <c r="CA48" s="94" t="str">
        <f>IFERROR(__xludf.DUMMYFUNCTION("""COMPUTED_VALUE"""),"")</f>
        <v/>
      </c>
      <c r="CB48" s="92" t="str">
        <f>IFERROR(__xludf.DUMMYFUNCTION("""COMPUTED_VALUE"""),"")</f>
        <v/>
      </c>
      <c r="CC48" s="93" t="str">
        <f>IFERROR(__xludf.DUMMYFUNCTION("""COMPUTED_VALUE"""),"")</f>
        <v/>
      </c>
      <c r="CD48" s="94" t="str">
        <f>IFERROR(__xludf.DUMMYFUNCTION("""COMPUTED_VALUE"""),"")</f>
        <v/>
      </c>
      <c r="CE48" s="93">
        <f>IFERROR(__xludf.DUMMYFUNCTION("""COMPUTED_VALUE"""),54.7)</f>
        <v>54.7</v>
      </c>
      <c r="CF48" s="93" t="str">
        <f>IFERROR(__xludf.DUMMYFUNCTION("""COMPUTED_VALUE"""),"")</f>
        <v/>
      </c>
      <c r="CG48" s="94" t="str">
        <f>IFERROR(__xludf.DUMMYFUNCTION("""COMPUTED_VALUE"""),"")</f>
        <v/>
      </c>
      <c r="CH48" s="93" t="str">
        <f>IFERROR(__xludf.DUMMYFUNCTION("""COMPUTED_VALUE"""),"")</f>
        <v/>
      </c>
      <c r="CI48" s="93" t="str">
        <f>IFERROR(__xludf.DUMMYFUNCTION("""COMPUTED_VALUE"""),"")</f>
        <v/>
      </c>
      <c r="CJ48" s="94" t="str">
        <f>IFERROR(__xludf.DUMMYFUNCTION("""COMPUTED_VALUE"""),"")</f>
        <v/>
      </c>
      <c r="CK48" s="93" t="str">
        <f>IFERROR(__xludf.DUMMYFUNCTION("""COMPUTED_VALUE"""),"")</f>
        <v/>
      </c>
      <c r="CL48" s="93" t="str">
        <f>IFERROR(__xludf.DUMMYFUNCTION("""COMPUTED_VALUE"""),"")</f>
        <v/>
      </c>
      <c r="CM48" s="94" t="str">
        <f>IFERROR(__xludf.DUMMYFUNCTION("""COMPUTED_VALUE"""),"")</f>
        <v/>
      </c>
      <c r="CN48" s="93" t="str">
        <f>IFERROR(__xludf.DUMMYFUNCTION("""COMPUTED_VALUE"""),"")</f>
        <v/>
      </c>
      <c r="CO48" s="93" t="str">
        <f>IFERROR(__xludf.DUMMYFUNCTION("""COMPUTED_VALUE"""),"")</f>
        <v/>
      </c>
      <c r="CP48" s="94" t="str">
        <f>IFERROR(__xludf.DUMMYFUNCTION("""COMPUTED_VALUE"""),"")</f>
        <v/>
      </c>
      <c r="CQ48" s="93" t="str">
        <f>IFERROR(__xludf.DUMMYFUNCTION("""COMPUTED_VALUE"""),"")</f>
        <v/>
      </c>
      <c r="CR48" s="93" t="str">
        <f>IFERROR(__xludf.DUMMYFUNCTION("""COMPUTED_VALUE"""),"")</f>
        <v/>
      </c>
      <c r="CS48" s="94"/>
      <c r="CT48" s="107"/>
      <c r="CU48" s="93"/>
      <c r="CV48" s="94"/>
      <c r="CW48" s="93"/>
      <c r="CX48" s="93"/>
      <c r="CY48" s="94"/>
      <c r="CZ48" s="93"/>
      <c r="DA48" s="93"/>
      <c r="DB48" s="94"/>
      <c r="DC48" s="93"/>
      <c r="DD48" s="93"/>
      <c r="DE48" s="94"/>
      <c r="DF48" s="93"/>
      <c r="DG48" s="93"/>
      <c r="DH48" s="94"/>
      <c r="DI48" s="93"/>
      <c r="DJ48" s="93"/>
      <c r="DK48" s="94"/>
      <c r="DL48" s="93"/>
      <c r="DM48" s="93"/>
      <c r="DN48" s="94"/>
      <c r="DO48" s="93"/>
      <c r="DP48" s="93"/>
      <c r="DQ48" s="94"/>
      <c r="DR48" s="93"/>
      <c r="DS48" s="93"/>
      <c r="DT48" s="94"/>
    </row>
    <row r="49">
      <c r="A49" s="110" t="str">
        <f>IFERROR(__xludf.DUMMYFUNCTION("""COMPUTED_VALUE"""),"FUYUKI")</f>
        <v>FUYUKI</v>
      </c>
      <c r="B49" s="83" t="str">
        <f>IFERROR(__xludf.DUMMYFUNCTION("""COMPUTED_VALUE"""),"FUY1")</f>
        <v>FUY1</v>
      </c>
      <c r="C49" s="82">
        <f>IFERROR(__xludf.DUMMYFUNCTION("""COMPUTED_VALUE"""),34.0)</f>
        <v>34</v>
      </c>
      <c r="D49" s="88" t="str">
        <f>IFERROR(__xludf.DUMMYFUNCTION("""COMPUTED_VALUE"""),"Unknown Coordinates X-A")</f>
        <v>Unknown Coordinates X-A</v>
      </c>
      <c r="E49" s="82" t="str">
        <f>IFERROR(__xludf.DUMMYFUNCTION("""COMPUTED_VALUE"""),"X-A（屋敷跡）")</f>
        <v>X-A（屋敷跡）</v>
      </c>
      <c r="F49" s="102">
        <f>IFERROR(__xludf.DUMMYFUNCTION("""COMPUTED_VALUE"""),3.0)</f>
        <v>3</v>
      </c>
      <c r="G49" s="82">
        <f>IFERROR(__xludf.DUMMYFUNCTION("""COMPUTED_VALUE"""),636087.0)</f>
        <v>636087</v>
      </c>
      <c r="H49" s="95" t="str">
        <f>IFERROR(__xludf.DUMMYFUNCTION("""COMPUTED_VALUE"""),"")</f>
        <v/>
      </c>
      <c r="I49" s="96" t="str">
        <f>IFERROR(__xludf.DUMMYFUNCTION("""COMPUTED_VALUE"""),"")</f>
        <v/>
      </c>
      <c r="J49" s="97" t="str">
        <f>IFERROR(__xludf.DUMMYFUNCTION("""COMPUTED_VALUE"""),"")</f>
        <v/>
      </c>
      <c r="K49" s="95" t="str">
        <f>IFERROR(__xludf.DUMMYFUNCTION("""COMPUTED_VALUE"""),"")</f>
        <v/>
      </c>
      <c r="L49" s="96" t="str">
        <f>IFERROR(__xludf.DUMMYFUNCTION("""COMPUTED_VALUE"""),"")</f>
        <v/>
      </c>
      <c r="M49" s="97" t="str">
        <f>IFERROR(__xludf.DUMMYFUNCTION("""COMPUTED_VALUE"""),"")</f>
        <v/>
      </c>
      <c r="N49" s="95" t="str">
        <f>IFERROR(__xludf.DUMMYFUNCTION("""COMPUTED_VALUE"""),"")</f>
        <v/>
      </c>
      <c r="O49" s="96" t="str">
        <f>IFERROR(__xludf.DUMMYFUNCTION("""COMPUTED_VALUE"""),"")</f>
        <v/>
      </c>
      <c r="P49" s="97" t="str">
        <f>IFERROR(__xludf.DUMMYFUNCTION("""COMPUTED_VALUE"""),"")</f>
        <v/>
      </c>
      <c r="Q49" s="95" t="str">
        <f>IFERROR(__xludf.DUMMYFUNCTION("""COMPUTED_VALUE"""),"")</f>
        <v/>
      </c>
      <c r="R49" s="96" t="str">
        <f>IFERROR(__xludf.DUMMYFUNCTION("""COMPUTED_VALUE"""),"")</f>
        <v/>
      </c>
      <c r="S49" s="97" t="str">
        <f>IFERROR(__xludf.DUMMYFUNCTION("""COMPUTED_VALUE"""),"")</f>
        <v/>
      </c>
      <c r="T49" s="95" t="str">
        <f>IFERROR(__xludf.DUMMYFUNCTION("""COMPUTED_VALUE"""),"")</f>
        <v/>
      </c>
      <c r="U49" s="96" t="str">
        <f>IFERROR(__xludf.DUMMYFUNCTION("""COMPUTED_VALUE"""),"")</f>
        <v/>
      </c>
      <c r="V49" s="97" t="str">
        <f>IFERROR(__xludf.DUMMYFUNCTION("""COMPUTED_VALUE"""),"")</f>
        <v/>
      </c>
      <c r="W49" s="95" t="str">
        <f>IFERROR(__xludf.DUMMYFUNCTION("""COMPUTED_VALUE"""),"")</f>
        <v/>
      </c>
      <c r="X49" s="96" t="str">
        <f>IFERROR(__xludf.DUMMYFUNCTION("""COMPUTED_VALUE"""),"")</f>
        <v/>
      </c>
      <c r="Y49" s="97" t="str">
        <f>IFERROR(__xludf.DUMMYFUNCTION("""COMPUTED_VALUE"""),"")</f>
        <v/>
      </c>
      <c r="Z49" s="95" t="str">
        <f>IFERROR(__xludf.DUMMYFUNCTION("""COMPUTED_VALUE"""),"")</f>
        <v/>
      </c>
      <c r="AA49" s="96" t="str">
        <f>IFERROR(__xludf.DUMMYFUNCTION("""COMPUTED_VALUE"""),"")</f>
        <v/>
      </c>
      <c r="AB49" s="97" t="str">
        <f>IFERROR(__xludf.DUMMYFUNCTION("""COMPUTED_VALUE"""),"")</f>
        <v/>
      </c>
      <c r="AC49" s="95" t="str">
        <f>IFERROR(__xludf.DUMMYFUNCTION("""COMPUTED_VALUE"""),"")</f>
        <v/>
      </c>
      <c r="AD49" s="96" t="str">
        <f>IFERROR(__xludf.DUMMYFUNCTION("""COMPUTED_VALUE"""),"")</f>
        <v/>
      </c>
      <c r="AE49" s="97" t="str">
        <f>IFERROR(__xludf.DUMMYFUNCTION("""COMPUTED_VALUE"""),"")</f>
        <v/>
      </c>
      <c r="AF49" s="95" t="str">
        <f>IFERROR(__xludf.DUMMYFUNCTION("""COMPUTED_VALUE"""),"")</f>
        <v/>
      </c>
      <c r="AG49" s="96" t="str">
        <f>IFERROR(__xludf.DUMMYFUNCTION("""COMPUTED_VALUE"""),"")</f>
        <v/>
      </c>
      <c r="AH49" s="97" t="str">
        <f>IFERROR(__xludf.DUMMYFUNCTION("""COMPUTED_VALUE"""),"")</f>
        <v/>
      </c>
      <c r="AI49" s="111" t="str">
        <f>IFERROR(__xludf.DUMMYFUNCTION("""COMPUTED_VALUE"""),"")</f>
        <v/>
      </c>
      <c r="AJ49" s="112" t="str">
        <f>IFERROR(__xludf.DUMMYFUNCTION("""COMPUTED_VALUE"""),"")</f>
        <v/>
      </c>
      <c r="AK49" s="113" t="str">
        <f>IFERROR(__xludf.DUMMYFUNCTION("""COMPUTED_VALUE"""),"")</f>
        <v/>
      </c>
      <c r="AL49" s="112" t="str">
        <f>IFERROR(__xludf.DUMMYFUNCTION("""COMPUTED_VALUE"""),"")</f>
        <v/>
      </c>
      <c r="AM49" s="112" t="str">
        <f>IFERROR(__xludf.DUMMYFUNCTION("""COMPUTED_VALUE"""),"")</f>
        <v/>
      </c>
      <c r="AN49" s="113" t="str">
        <f>IFERROR(__xludf.DUMMYFUNCTION("""COMPUTED_VALUE"""),"")</f>
        <v/>
      </c>
      <c r="AO49" s="112" t="str">
        <f>IFERROR(__xludf.DUMMYFUNCTION("""COMPUTED_VALUE"""),"")</f>
        <v/>
      </c>
      <c r="AP49" s="112" t="str">
        <f>IFERROR(__xludf.DUMMYFUNCTION("""COMPUTED_VALUE"""),"")</f>
        <v/>
      </c>
      <c r="AQ49" s="113" t="str">
        <f>IFERROR(__xludf.DUMMYFUNCTION("""COMPUTED_VALUE"""),"")</f>
        <v/>
      </c>
      <c r="AR49" s="112" t="str">
        <f>IFERROR(__xludf.DUMMYFUNCTION("""COMPUTED_VALUE"""),"")</f>
        <v/>
      </c>
      <c r="AS49" s="112" t="str">
        <f>IFERROR(__xludf.DUMMYFUNCTION("""COMPUTED_VALUE"""),"")</f>
        <v/>
      </c>
      <c r="AT49" s="113" t="str">
        <f>IFERROR(__xludf.DUMMYFUNCTION("""COMPUTED_VALUE"""),"")</f>
        <v/>
      </c>
      <c r="AU49" s="112">
        <f>IFERROR(__xludf.DUMMYFUNCTION("""COMPUTED_VALUE"""),40.3)</f>
        <v>40.3</v>
      </c>
      <c r="AV49" s="112" t="str">
        <f>IFERROR(__xludf.DUMMYFUNCTION("""COMPUTED_VALUE"""),"")</f>
        <v/>
      </c>
      <c r="AW49" s="113" t="str">
        <f>IFERROR(__xludf.DUMMYFUNCTION("""COMPUTED_VALUE"""),"")</f>
        <v/>
      </c>
      <c r="AX49" s="112" t="str">
        <f>IFERROR(__xludf.DUMMYFUNCTION("""COMPUTED_VALUE"""),"")</f>
        <v/>
      </c>
      <c r="AY49" s="112" t="str">
        <f>IFERROR(__xludf.DUMMYFUNCTION("""COMPUTED_VALUE"""),"")</f>
        <v/>
      </c>
      <c r="AZ49" s="113" t="str">
        <f>IFERROR(__xludf.DUMMYFUNCTION("""COMPUTED_VALUE"""),"")</f>
        <v/>
      </c>
      <c r="BA49" s="112" t="str">
        <f>IFERROR(__xludf.DUMMYFUNCTION("""COMPUTED_VALUE"""),"")</f>
        <v/>
      </c>
      <c r="BB49" s="112" t="str">
        <f>IFERROR(__xludf.DUMMYFUNCTION("""COMPUTED_VALUE"""),"")</f>
        <v/>
      </c>
      <c r="BC49" s="113" t="str">
        <f>IFERROR(__xludf.DUMMYFUNCTION("""COMPUTED_VALUE"""),"")</f>
        <v/>
      </c>
      <c r="BD49" s="112" t="str">
        <f>IFERROR(__xludf.DUMMYFUNCTION("""COMPUTED_VALUE"""),"")</f>
        <v/>
      </c>
      <c r="BE49" s="112" t="str">
        <f>IFERROR(__xludf.DUMMYFUNCTION("""COMPUTED_VALUE"""),"")</f>
        <v/>
      </c>
      <c r="BF49" s="113" t="str">
        <f>IFERROR(__xludf.DUMMYFUNCTION("""COMPUTED_VALUE"""),"")</f>
        <v/>
      </c>
      <c r="BG49" s="111" t="str">
        <f>IFERROR(__xludf.DUMMYFUNCTION("""COMPUTED_VALUE"""),"")</f>
        <v/>
      </c>
      <c r="BH49" s="112" t="str">
        <f>IFERROR(__xludf.DUMMYFUNCTION("""COMPUTED_VALUE"""),"")</f>
        <v/>
      </c>
      <c r="BI49" s="113" t="str">
        <f>IFERROR(__xludf.DUMMYFUNCTION("""COMPUTED_VALUE"""),"")</f>
        <v/>
      </c>
      <c r="BJ49" s="112" t="str">
        <f>IFERROR(__xludf.DUMMYFUNCTION("""COMPUTED_VALUE"""),"")</f>
        <v/>
      </c>
      <c r="BK49" s="112" t="str">
        <f>IFERROR(__xludf.DUMMYFUNCTION("""COMPUTED_VALUE"""),"")</f>
        <v/>
      </c>
      <c r="BL49" s="113" t="str">
        <f>IFERROR(__xludf.DUMMYFUNCTION("""COMPUTED_VALUE"""),"")</f>
        <v/>
      </c>
      <c r="BM49" s="112" t="str">
        <f>IFERROR(__xludf.DUMMYFUNCTION("""COMPUTED_VALUE"""),"")</f>
        <v/>
      </c>
      <c r="BN49" s="112" t="str">
        <f>IFERROR(__xludf.DUMMYFUNCTION("""COMPUTED_VALUE"""),"")</f>
        <v/>
      </c>
      <c r="BO49" s="113" t="str">
        <f>IFERROR(__xludf.DUMMYFUNCTION("""COMPUTED_VALUE"""),"")</f>
        <v/>
      </c>
      <c r="BP49" s="112" t="str">
        <f>IFERROR(__xludf.DUMMYFUNCTION("""COMPUTED_VALUE"""),"")</f>
        <v/>
      </c>
      <c r="BQ49" s="112">
        <f>IFERROR(__xludf.DUMMYFUNCTION("""COMPUTED_VALUE"""),20.2)</f>
        <v>20.2</v>
      </c>
      <c r="BR49" s="113" t="str">
        <f>IFERROR(__xludf.DUMMYFUNCTION("""COMPUTED_VALUE"""),"")</f>
        <v/>
      </c>
      <c r="BS49" s="112" t="str">
        <f>IFERROR(__xludf.DUMMYFUNCTION("""COMPUTED_VALUE"""),"")</f>
        <v/>
      </c>
      <c r="BT49" s="112" t="str">
        <f>IFERROR(__xludf.DUMMYFUNCTION("""COMPUTED_VALUE"""),"")</f>
        <v/>
      </c>
      <c r="BU49" s="113" t="str">
        <f>IFERROR(__xludf.DUMMYFUNCTION("""COMPUTED_VALUE"""),"")</f>
        <v/>
      </c>
      <c r="BV49" s="112" t="str">
        <f>IFERROR(__xludf.DUMMYFUNCTION("""COMPUTED_VALUE"""),"")</f>
        <v/>
      </c>
      <c r="BW49" s="112" t="str">
        <f>IFERROR(__xludf.DUMMYFUNCTION("""COMPUTED_VALUE"""),"")</f>
        <v/>
      </c>
      <c r="BX49" s="113" t="str">
        <f>IFERROR(__xludf.DUMMYFUNCTION("""COMPUTED_VALUE"""),"")</f>
        <v/>
      </c>
      <c r="BY49" s="112" t="str">
        <f>IFERROR(__xludf.DUMMYFUNCTION("""COMPUTED_VALUE"""),"")</f>
        <v/>
      </c>
      <c r="BZ49" s="112" t="str">
        <f>IFERROR(__xludf.DUMMYFUNCTION("""COMPUTED_VALUE"""),"")</f>
        <v/>
      </c>
      <c r="CA49" s="113" t="str">
        <f>IFERROR(__xludf.DUMMYFUNCTION("""COMPUTED_VALUE"""),"")</f>
        <v/>
      </c>
      <c r="CB49" s="111" t="str">
        <f>IFERROR(__xludf.DUMMYFUNCTION("""COMPUTED_VALUE"""),"")</f>
        <v/>
      </c>
      <c r="CC49" s="112" t="str">
        <f>IFERROR(__xludf.DUMMYFUNCTION("""COMPUTED_VALUE"""),"")</f>
        <v/>
      </c>
      <c r="CD49" s="113" t="str">
        <f>IFERROR(__xludf.DUMMYFUNCTION("""COMPUTED_VALUE"""),"")</f>
        <v/>
      </c>
      <c r="CE49" s="112" t="str">
        <f>IFERROR(__xludf.DUMMYFUNCTION("""COMPUTED_VALUE"""),"")</f>
        <v/>
      </c>
      <c r="CF49" s="112" t="str">
        <f>IFERROR(__xludf.DUMMYFUNCTION("""COMPUTED_VALUE"""),"")</f>
        <v/>
      </c>
      <c r="CG49" s="113" t="str">
        <f>IFERROR(__xludf.DUMMYFUNCTION("""COMPUTED_VALUE"""),"")</f>
        <v/>
      </c>
      <c r="CH49" s="112" t="str">
        <f>IFERROR(__xludf.DUMMYFUNCTION("""COMPUTED_VALUE"""),"")</f>
        <v/>
      </c>
      <c r="CI49" s="112" t="str">
        <f>IFERROR(__xludf.DUMMYFUNCTION("""COMPUTED_VALUE"""),"")</f>
        <v/>
      </c>
      <c r="CJ49" s="113" t="str">
        <f>IFERROR(__xludf.DUMMYFUNCTION("""COMPUTED_VALUE"""),"")</f>
        <v/>
      </c>
      <c r="CK49" s="112" t="str">
        <f>IFERROR(__xludf.DUMMYFUNCTION("""COMPUTED_VALUE"""),"")</f>
        <v/>
      </c>
      <c r="CL49" s="112" t="str">
        <f>IFERROR(__xludf.DUMMYFUNCTION("""COMPUTED_VALUE"""),"")</f>
        <v/>
      </c>
      <c r="CM49" s="113" t="str">
        <f>IFERROR(__xludf.DUMMYFUNCTION("""COMPUTED_VALUE"""),"")</f>
        <v/>
      </c>
      <c r="CN49" s="112" t="str">
        <f>IFERROR(__xludf.DUMMYFUNCTION("""COMPUTED_VALUE"""),"")</f>
        <v/>
      </c>
      <c r="CO49" s="112" t="str">
        <f>IFERROR(__xludf.DUMMYFUNCTION("""COMPUTED_VALUE"""),"")</f>
        <v/>
      </c>
      <c r="CP49" s="113" t="str">
        <f>IFERROR(__xludf.DUMMYFUNCTION("""COMPUTED_VALUE"""),"")</f>
        <v/>
      </c>
      <c r="CQ49" s="112" t="str">
        <f>IFERROR(__xludf.DUMMYFUNCTION("""COMPUTED_VALUE"""),"")</f>
        <v/>
      </c>
      <c r="CR49" s="112" t="str">
        <f>IFERROR(__xludf.DUMMYFUNCTION("""COMPUTED_VALUE"""),"")</f>
        <v/>
      </c>
      <c r="CS49" s="113"/>
      <c r="CT49" s="112"/>
      <c r="CU49" s="112"/>
      <c r="CV49" s="113"/>
      <c r="CW49" s="112"/>
      <c r="CX49" s="112"/>
      <c r="CY49" s="113"/>
      <c r="CZ49" s="112"/>
      <c r="DA49" s="112"/>
      <c r="DB49" s="113"/>
      <c r="DC49" s="112"/>
      <c r="DD49" s="112"/>
      <c r="DE49" s="113"/>
      <c r="DF49" s="112"/>
      <c r="DG49" s="112"/>
      <c r="DH49" s="113"/>
      <c r="DI49" s="112"/>
      <c r="DJ49" s="112"/>
      <c r="DK49" s="113"/>
      <c r="DL49" s="112"/>
      <c r="DM49" s="112"/>
      <c r="DN49" s="113"/>
      <c r="DO49" s="112"/>
      <c r="DP49" s="112"/>
      <c r="DQ49" s="113"/>
      <c r="DR49" s="112"/>
      <c r="DS49" s="112"/>
      <c r="DT49" s="113"/>
    </row>
    <row r="50">
      <c r="B50" s="83" t="str">
        <f>IFERROR(__xludf.DUMMYFUNCTION("""COMPUTED_VALUE"""),"FUY2")</f>
        <v>FUY2</v>
      </c>
      <c r="C50" s="82">
        <f>IFERROR(__xludf.DUMMYFUNCTION("""COMPUTED_VALUE"""),35.0)</f>
        <v>35</v>
      </c>
      <c r="D50" s="88" t="str">
        <f>IFERROR(__xludf.DUMMYFUNCTION("""COMPUTED_VALUE"""),"Unknown Coordinates X-B")</f>
        <v>Unknown Coordinates X-B</v>
      </c>
      <c r="E50" s="82" t="str">
        <f>IFERROR(__xludf.DUMMYFUNCTION("""COMPUTED_VALUE"""),"X-B（爆心地）")</f>
        <v>X-B（爆心地）</v>
      </c>
      <c r="F50" s="102">
        <f>IFERROR(__xludf.DUMMYFUNCTION("""COMPUTED_VALUE"""),4.0)</f>
        <v>4</v>
      </c>
      <c r="G50" s="82">
        <f>IFERROR(__xludf.DUMMYFUNCTION("""COMPUTED_VALUE"""),2479.0)</f>
        <v>2479</v>
      </c>
      <c r="H50" s="95" t="str">
        <f>IFERROR(__xludf.DUMMYFUNCTION("""COMPUTED_VALUE"""),"")</f>
        <v/>
      </c>
      <c r="I50" s="96" t="str">
        <f>IFERROR(__xludf.DUMMYFUNCTION("""COMPUTED_VALUE"""),"")</f>
        <v/>
      </c>
      <c r="J50" s="97" t="str">
        <f>IFERROR(__xludf.DUMMYFUNCTION("""COMPUTED_VALUE"""),"")</f>
        <v/>
      </c>
      <c r="K50" s="95" t="str">
        <f>IFERROR(__xludf.DUMMYFUNCTION("""COMPUTED_VALUE"""),"")</f>
        <v/>
      </c>
      <c r="L50" s="96" t="str">
        <f>IFERROR(__xludf.DUMMYFUNCTION("""COMPUTED_VALUE"""),"")</f>
        <v/>
      </c>
      <c r="M50" s="97" t="str">
        <f>IFERROR(__xludf.DUMMYFUNCTION("""COMPUTED_VALUE"""),"")</f>
        <v/>
      </c>
      <c r="N50" s="95" t="str">
        <f>IFERROR(__xludf.DUMMYFUNCTION("""COMPUTED_VALUE"""),"")</f>
        <v/>
      </c>
      <c r="O50" s="96" t="str">
        <f>IFERROR(__xludf.DUMMYFUNCTION("""COMPUTED_VALUE"""),"")</f>
        <v/>
      </c>
      <c r="P50" s="97" t="str">
        <f>IFERROR(__xludf.DUMMYFUNCTION("""COMPUTED_VALUE"""),"")</f>
        <v/>
      </c>
      <c r="Q50" s="95" t="str">
        <f>IFERROR(__xludf.DUMMYFUNCTION("""COMPUTED_VALUE"""),"")</f>
        <v/>
      </c>
      <c r="R50" s="96" t="str">
        <f>IFERROR(__xludf.DUMMYFUNCTION("""COMPUTED_VALUE"""),"")</f>
        <v/>
      </c>
      <c r="S50" s="97" t="str">
        <f>IFERROR(__xludf.DUMMYFUNCTION("""COMPUTED_VALUE"""),"")</f>
        <v/>
      </c>
      <c r="T50" s="95" t="str">
        <f>IFERROR(__xludf.DUMMYFUNCTION("""COMPUTED_VALUE"""),"")</f>
        <v/>
      </c>
      <c r="U50" s="96" t="str">
        <f>IFERROR(__xludf.DUMMYFUNCTION("""COMPUTED_VALUE"""),"")</f>
        <v/>
      </c>
      <c r="V50" s="97" t="str">
        <f>IFERROR(__xludf.DUMMYFUNCTION("""COMPUTED_VALUE"""),"")</f>
        <v/>
      </c>
      <c r="W50" s="95" t="str">
        <f>IFERROR(__xludf.DUMMYFUNCTION("""COMPUTED_VALUE"""),"")</f>
        <v/>
      </c>
      <c r="X50" s="96" t="str">
        <f>IFERROR(__xludf.DUMMYFUNCTION("""COMPUTED_VALUE"""),"")</f>
        <v/>
      </c>
      <c r="Y50" s="97" t="str">
        <f>IFERROR(__xludf.DUMMYFUNCTION("""COMPUTED_VALUE"""),"")</f>
        <v/>
      </c>
      <c r="Z50" s="95" t="str">
        <f>IFERROR(__xludf.DUMMYFUNCTION("""COMPUTED_VALUE"""),"")</f>
        <v/>
      </c>
      <c r="AA50" s="96" t="str">
        <f>IFERROR(__xludf.DUMMYFUNCTION("""COMPUTED_VALUE"""),"")</f>
        <v/>
      </c>
      <c r="AB50" s="97" t="str">
        <f>IFERROR(__xludf.DUMMYFUNCTION("""COMPUTED_VALUE"""),"")</f>
        <v/>
      </c>
      <c r="AC50" s="95" t="str">
        <f>IFERROR(__xludf.DUMMYFUNCTION("""COMPUTED_VALUE"""),"")</f>
        <v/>
      </c>
      <c r="AD50" s="96" t="str">
        <f>IFERROR(__xludf.DUMMYFUNCTION("""COMPUTED_VALUE"""),"")</f>
        <v/>
      </c>
      <c r="AE50" s="97" t="str">
        <f>IFERROR(__xludf.DUMMYFUNCTION("""COMPUTED_VALUE"""),"")</f>
        <v/>
      </c>
      <c r="AF50" s="95" t="str">
        <f>IFERROR(__xludf.DUMMYFUNCTION("""COMPUTED_VALUE"""),"")</f>
        <v/>
      </c>
      <c r="AG50" s="96" t="str">
        <f>IFERROR(__xludf.DUMMYFUNCTION("""COMPUTED_VALUE"""),"")</f>
        <v/>
      </c>
      <c r="AH50" s="97" t="str">
        <f>IFERROR(__xludf.DUMMYFUNCTION("""COMPUTED_VALUE"""),"")</f>
        <v/>
      </c>
      <c r="AI50" s="92" t="str">
        <f>IFERROR(__xludf.DUMMYFUNCTION("""COMPUTED_VALUE"""),"")</f>
        <v/>
      </c>
      <c r="AJ50" s="93" t="str">
        <f>IFERROR(__xludf.DUMMYFUNCTION("""COMPUTED_VALUE"""),"")</f>
        <v/>
      </c>
      <c r="AK50" s="94" t="str">
        <f>IFERROR(__xludf.DUMMYFUNCTION("""COMPUTED_VALUE"""),"")</f>
        <v/>
      </c>
      <c r="AL50" s="93" t="str">
        <f>IFERROR(__xludf.DUMMYFUNCTION("""COMPUTED_VALUE"""),"")</f>
        <v/>
      </c>
      <c r="AM50" s="93" t="str">
        <f>IFERROR(__xludf.DUMMYFUNCTION("""COMPUTED_VALUE"""),"")</f>
        <v/>
      </c>
      <c r="AN50" s="94" t="str">
        <f>IFERROR(__xludf.DUMMYFUNCTION("""COMPUTED_VALUE"""),"")</f>
        <v/>
      </c>
      <c r="AO50" s="93" t="str">
        <f>IFERROR(__xludf.DUMMYFUNCTION("""COMPUTED_VALUE"""),"")</f>
        <v/>
      </c>
      <c r="AP50" s="93" t="str">
        <f>IFERROR(__xludf.DUMMYFUNCTION("""COMPUTED_VALUE"""),"")</f>
        <v/>
      </c>
      <c r="AQ50" s="94" t="str">
        <f>IFERROR(__xludf.DUMMYFUNCTION("""COMPUTED_VALUE"""),"")</f>
        <v/>
      </c>
      <c r="AR50" s="93" t="str">
        <f>IFERROR(__xludf.DUMMYFUNCTION("""COMPUTED_VALUE"""),"")</f>
        <v/>
      </c>
      <c r="AS50" s="93" t="str">
        <f>IFERROR(__xludf.DUMMYFUNCTION("""COMPUTED_VALUE"""),"")</f>
        <v/>
      </c>
      <c r="AT50" s="94" t="str">
        <f>IFERROR(__xludf.DUMMYFUNCTION("""COMPUTED_VALUE"""),"")</f>
        <v/>
      </c>
      <c r="AU50" s="93">
        <f>IFERROR(__xludf.DUMMYFUNCTION("""COMPUTED_VALUE"""),29.1)</f>
        <v>29.1</v>
      </c>
      <c r="AV50" s="93" t="str">
        <f>IFERROR(__xludf.DUMMYFUNCTION("""COMPUTED_VALUE"""),"")</f>
        <v/>
      </c>
      <c r="AW50" s="94" t="str">
        <f>IFERROR(__xludf.DUMMYFUNCTION("""COMPUTED_VALUE"""),"")</f>
        <v/>
      </c>
      <c r="AX50" s="93" t="str">
        <f>IFERROR(__xludf.DUMMYFUNCTION("""COMPUTED_VALUE"""),"")</f>
        <v/>
      </c>
      <c r="AY50" s="93" t="str">
        <f>IFERROR(__xludf.DUMMYFUNCTION("""COMPUTED_VALUE"""),"")</f>
        <v/>
      </c>
      <c r="AZ50" s="94" t="str">
        <f>IFERROR(__xludf.DUMMYFUNCTION("""COMPUTED_VALUE"""),"")</f>
        <v/>
      </c>
      <c r="BA50" s="93" t="str">
        <f>IFERROR(__xludf.DUMMYFUNCTION("""COMPUTED_VALUE"""),"")</f>
        <v/>
      </c>
      <c r="BB50" s="93" t="str">
        <f>IFERROR(__xludf.DUMMYFUNCTION("""COMPUTED_VALUE"""),"")</f>
        <v/>
      </c>
      <c r="BC50" s="94" t="str">
        <f>IFERROR(__xludf.DUMMYFUNCTION("""COMPUTED_VALUE"""),"")</f>
        <v/>
      </c>
      <c r="BD50" s="93" t="str">
        <f>IFERROR(__xludf.DUMMYFUNCTION("""COMPUTED_VALUE"""),"")</f>
        <v/>
      </c>
      <c r="BE50" s="93" t="str">
        <f>IFERROR(__xludf.DUMMYFUNCTION("""COMPUTED_VALUE"""),"")</f>
        <v/>
      </c>
      <c r="BF50" s="94" t="str">
        <f>IFERROR(__xludf.DUMMYFUNCTION("""COMPUTED_VALUE"""),"")</f>
        <v/>
      </c>
      <c r="BG50" s="92" t="str">
        <f>IFERROR(__xludf.DUMMYFUNCTION("""COMPUTED_VALUE"""),"")</f>
        <v/>
      </c>
      <c r="BH50" s="93" t="str">
        <f>IFERROR(__xludf.DUMMYFUNCTION("""COMPUTED_VALUE"""),"")</f>
        <v/>
      </c>
      <c r="BI50" s="94" t="str">
        <f>IFERROR(__xludf.DUMMYFUNCTION("""COMPUTED_VALUE"""),"")</f>
        <v/>
      </c>
      <c r="BJ50" s="93" t="str">
        <f>IFERROR(__xludf.DUMMYFUNCTION("""COMPUTED_VALUE"""),"")</f>
        <v/>
      </c>
      <c r="BK50" s="93" t="str">
        <f>IFERROR(__xludf.DUMMYFUNCTION("""COMPUTED_VALUE"""),"")</f>
        <v/>
      </c>
      <c r="BL50" s="94" t="str">
        <f>IFERROR(__xludf.DUMMYFUNCTION("""COMPUTED_VALUE"""),"")</f>
        <v/>
      </c>
      <c r="BM50" s="93" t="str">
        <f>IFERROR(__xludf.DUMMYFUNCTION("""COMPUTED_VALUE"""),"")</f>
        <v/>
      </c>
      <c r="BN50" s="93" t="str">
        <f>IFERROR(__xludf.DUMMYFUNCTION("""COMPUTED_VALUE"""),"")</f>
        <v/>
      </c>
      <c r="BO50" s="94" t="str">
        <f>IFERROR(__xludf.DUMMYFUNCTION("""COMPUTED_VALUE"""),"")</f>
        <v/>
      </c>
      <c r="BP50" s="93" t="str">
        <f>IFERROR(__xludf.DUMMYFUNCTION("""COMPUTED_VALUE"""),"")</f>
        <v/>
      </c>
      <c r="BQ50" s="93">
        <f>IFERROR(__xludf.DUMMYFUNCTION("""COMPUTED_VALUE"""),28.3)</f>
        <v>28.3</v>
      </c>
      <c r="BR50" s="94" t="str">
        <f>IFERROR(__xludf.DUMMYFUNCTION("""COMPUTED_VALUE"""),"")</f>
        <v/>
      </c>
      <c r="BS50" s="93">
        <f>IFERROR(__xludf.DUMMYFUNCTION("""COMPUTED_VALUE"""),38.3)</f>
        <v>38.3</v>
      </c>
      <c r="BT50" s="93" t="str">
        <f>IFERROR(__xludf.DUMMYFUNCTION("""COMPUTED_VALUE"""),"")</f>
        <v/>
      </c>
      <c r="BU50" s="94" t="str">
        <f>IFERROR(__xludf.DUMMYFUNCTION("""COMPUTED_VALUE"""),"")</f>
        <v/>
      </c>
      <c r="BV50" s="93" t="str">
        <f>IFERROR(__xludf.DUMMYFUNCTION("""COMPUTED_VALUE"""),"")</f>
        <v/>
      </c>
      <c r="BW50" s="93" t="str">
        <f>IFERROR(__xludf.DUMMYFUNCTION("""COMPUTED_VALUE"""),"")</f>
        <v/>
      </c>
      <c r="BX50" s="94" t="str">
        <f>IFERROR(__xludf.DUMMYFUNCTION("""COMPUTED_VALUE"""),"")</f>
        <v/>
      </c>
      <c r="BY50" s="93" t="str">
        <f>IFERROR(__xludf.DUMMYFUNCTION("""COMPUTED_VALUE"""),"")</f>
        <v/>
      </c>
      <c r="BZ50" s="93" t="str">
        <f>IFERROR(__xludf.DUMMYFUNCTION("""COMPUTED_VALUE"""),"")</f>
        <v/>
      </c>
      <c r="CA50" s="94" t="str">
        <f>IFERROR(__xludf.DUMMYFUNCTION("""COMPUTED_VALUE"""),"")</f>
        <v/>
      </c>
      <c r="CB50" s="92" t="str">
        <f>IFERROR(__xludf.DUMMYFUNCTION("""COMPUTED_VALUE"""),"")</f>
        <v/>
      </c>
      <c r="CC50" s="93" t="str">
        <f>IFERROR(__xludf.DUMMYFUNCTION("""COMPUTED_VALUE"""),"")</f>
        <v/>
      </c>
      <c r="CD50" s="94" t="str">
        <f>IFERROR(__xludf.DUMMYFUNCTION("""COMPUTED_VALUE"""),"")</f>
        <v/>
      </c>
      <c r="CE50" s="93" t="str">
        <f>IFERROR(__xludf.DUMMYFUNCTION("""COMPUTED_VALUE"""),"")</f>
        <v/>
      </c>
      <c r="CF50" s="93" t="str">
        <f>IFERROR(__xludf.DUMMYFUNCTION("""COMPUTED_VALUE"""),"")</f>
        <v/>
      </c>
      <c r="CG50" s="94" t="str">
        <f>IFERROR(__xludf.DUMMYFUNCTION("""COMPUTED_VALUE"""),"")</f>
        <v/>
      </c>
      <c r="CH50" s="93" t="str">
        <f>IFERROR(__xludf.DUMMYFUNCTION("""COMPUTED_VALUE"""),"")</f>
        <v/>
      </c>
      <c r="CI50" s="93" t="str">
        <f>IFERROR(__xludf.DUMMYFUNCTION("""COMPUTED_VALUE"""),"")</f>
        <v/>
      </c>
      <c r="CJ50" s="94" t="str">
        <f>IFERROR(__xludf.DUMMYFUNCTION("""COMPUTED_VALUE"""),"")</f>
        <v/>
      </c>
      <c r="CK50" s="93" t="str">
        <f>IFERROR(__xludf.DUMMYFUNCTION("""COMPUTED_VALUE"""),"")</f>
        <v/>
      </c>
      <c r="CL50" s="93" t="str">
        <f>IFERROR(__xludf.DUMMYFUNCTION("""COMPUTED_VALUE"""),"")</f>
        <v/>
      </c>
      <c r="CM50" s="94" t="str">
        <f>IFERROR(__xludf.DUMMYFUNCTION("""COMPUTED_VALUE"""),"")</f>
        <v/>
      </c>
      <c r="CN50" s="93" t="str">
        <f>IFERROR(__xludf.DUMMYFUNCTION("""COMPUTED_VALUE"""),"")</f>
        <v/>
      </c>
      <c r="CO50" s="93" t="str">
        <f>IFERROR(__xludf.DUMMYFUNCTION("""COMPUTED_VALUE"""),"")</f>
        <v/>
      </c>
      <c r="CP50" s="94" t="str">
        <f>IFERROR(__xludf.DUMMYFUNCTION("""COMPUTED_VALUE"""),"")</f>
        <v/>
      </c>
      <c r="CQ50" s="93" t="str">
        <f>IFERROR(__xludf.DUMMYFUNCTION("""COMPUTED_VALUE"""),"")</f>
        <v/>
      </c>
      <c r="CR50" s="93" t="str">
        <f>IFERROR(__xludf.DUMMYFUNCTION("""COMPUTED_VALUE"""),"")</f>
        <v/>
      </c>
      <c r="CS50" s="94"/>
      <c r="CT50" s="93"/>
      <c r="CU50" s="93"/>
      <c r="CV50" s="94"/>
      <c r="CW50" s="93"/>
      <c r="CX50" s="93"/>
      <c r="CY50" s="94"/>
      <c r="CZ50" s="93"/>
      <c r="DA50" s="93"/>
      <c r="DB50" s="94"/>
      <c r="DC50" s="93"/>
      <c r="DD50" s="93"/>
      <c r="DE50" s="94"/>
      <c r="DF50" s="93"/>
      <c r="DG50" s="93"/>
      <c r="DH50" s="94"/>
      <c r="DI50" s="93"/>
      <c r="DJ50" s="93"/>
      <c r="DK50" s="94"/>
      <c r="DL50" s="93"/>
      <c r="DM50" s="93"/>
      <c r="DN50" s="94"/>
      <c r="DO50" s="93"/>
      <c r="DP50" s="93"/>
      <c r="DQ50" s="94"/>
      <c r="DR50" s="93"/>
      <c r="DS50" s="93"/>
      <c r="DT50" s="94"/>
    </row>
    <row r="51">
      <c r="B51" s="83" t="str">
        <f>IFERROR(__xludf.DUMMYFUNCTION("""COMPUTED_VALUE"""),"FUY3")</f>
        <v>FUY3</v>
      </c>
      <c r="C51" s="82">
        <f>IFERROR(__xludf.DUMMYFUNCTION("""COMPUTED_VALUE"""),36.0)</f>
        <v>36</v>
      </c>
      <c r="D51" s="88" t="str">
        <f>IFERROR(__xludf.DUMMYFUNCTION("""COMPUTED_VALUE"""),"Unknown Coordinates X-C")</f>
        <v>Unknown Coordinates X-C</v>
      </c>
      <c r="E51" s="82" t="str">
        <f>IFERROR(__xludf.DUMMYFUNCTION("""COMPUTED_VALUE"""),"X-C（大橋）")</f>
        <v>X-C（大橋）</v>
      </c>
      <c r="F51" s="102">
        <f>IFERROR(__xludf.DUMMYFUNCTION("""COMPUTED_VALUE"""),4.0)</f>
        <v>4</v>
      </c>
      <c r="G51" s="82">
        <f>IFERROR(__xludf.DUMMYFUNCTION("""COMPUTED_VALUE"""),58841.0)</f>
        <v>58841</v>
      </c>
      <c r="H51" s="95" t="str">
        <f>IFERROR(__xludf.DUMMYFUNCTION("""COMPUTED_VALUE"""),"")</f>
        <v/>
      </c>
      <c r="I51" s="96" t="str">
        <f>IFERROR(__xludf.DUMMYFUNCTION("""COMPUTED_VALUE"""),"")</f>
        <v/>
      </c>
      <c r="J51" s="97" t="str">
        <f>IFERROR(__xludf.DUMMYFUNCTION("""COMPUTED_VALUE"""),"")</f>
        <v/>
      </c>
      <c r="K51" s="95" t="str">
        <f>IFERROR(__xludf.DUMMYFUNCTION("""COMPUTED_VALUE"""),"")</f>
        <v/>
      </c>
      <c r="L51" s="96" t="str">
        <f>IFERROR(__xludf.DUMMYFUNCTION("""COMPUTED_VALUE"""),"")</f>
        <v/>
      </c>
      <c r="M51" s="97" t="str">
        <f>IFERROR(__xludf.DUMMYFUNCTION("""COMPUTED_VALUE"""),"")</f>
        <v/>
      </c>
      <c r="N51" s="95" t="str">
        <f>IFERROR(__xludf.DUMMYFUNCTION("""COMPUTED_VALUE"""),"")</f>
        <v/>
      </c>
      <c r="O51" s="96" t="str">
        <f>IFERROR(__xludf.DUMMYFUNCTION("""COMPUTED_VALUE"""),"")</f>
        <v/>
      </c>
      <c r="P51" s="97" t="str">
        <f>IFERROR(__xludf.DUMMYFUNCTION("""COMPUTED_VALUE"""),"")</f>
        <v/>
      </c>
      <c r="Q51" s="95" t="str">
        <f>IFERROR(__xludf.DUMMYFUNCTION("""COMPUTED_VALUE"""),"")</f>
        <v/>
      </c>
      <c r="R51" s="96" t="str">
        <f>IFERROR(__xludf.DUMMYFUNCTION("""COMPUTED_VALUE"""),"")</f>
        <v/>
      </c>
      <c r="S51" s="97" t="str">
        <f>IFERROR(__xludf.DUMMYFUNCTION("""COMPUTED_VALUE"""),"")</f>
        <v/>
      </c>
      <c r="T51" s="95" t="str">
        <f>IFERROR(__xludf.DUMMYFUNCTION("""COMPUTED_VALUE"""),"")</f>
        <v/>
      </c>
      <c r="U51" s="96" t="str">
        <f>IFERROR(__xludf.DUMMYFUNCTION("""COMPUTED_VALUE"""),"")</f>
        <v/>
      </c>
      <c r="V51" s="97" t="str">
        <f>IFERROR(__xludf.DUMMYFUNCTION("""COMPUTED_VALUE"""),"")</f>
        <v/>
      </c>
      <c r="W51" s="95" t="str">
        <f>IFERROR(__xludf.DUMMYFUNCTION("""COMPUTED_VALUE"""),"")</f>
        <v/>
      </c>
      <c r="X51" s="96" t="str">
        <f>IFERROR(__xludf.DUMMYFUNCTION("""COMPUTED_VALUE"""),"")</f>
        <v/>
      </c>
      <c r="Y51" s="97" t="str">
        <f>IFERROR(__xludf.DUMMYFUNCTION("""COMPUTED_VALUE"""),"")</f>
        <v/>
      </c>
      <c r="Z51" s="95" t="str">
        <f>IFERROR(__xludf.DUMMYFUNCTION("""COMPUTED_VALUE"""),"")</f>
        <v/>
      </c>
      <c r="AA51" s="96" t="str">
        <f>IFERROR(__xludf.DUMMYFUNCTION("""COMPUTED_VALUE"""),"")</f>
        <v/>
      </c>
      <c r="AB51" s="97" t="str">
        <f>IFERROR(__xludf.DUMMYFUNCTION("""COMPUTED_VALUE"""),"")</f>
        <v/>
      </c>
      <c r="AC51" s="95" t="str">
        <f>IFERROR(__xludf.DUMMYFUNCTION("""COMPUTED_VALUE"""),"")</f>
        <v/>
      </c>
      <c r="AD51" s="96" t="str">
        <f>IFERROR(__xludf.DUMMYFUNCTION("""COMPUTED_VALUE"""),"")</f>
        <v/>
      </c>
      <c r="AE51" s="97" t="str">
        <f>IFERROR(__xludf.DUMMYFUNCTION("""COMPUTED_VALUE"""),"")</f>
        <v/>
      </c>
      <c r="AF51" s="95" t="str">
        <f>IFERROR(__xludf.DUMMYFUNCTION("""COMPUTED_VALUE"""),"")</f>
        <v/>
      </c>
      <c r="AG51" s="96" t="str">
        <f>IFERROR(__xludf.DUMMYFUNCTION("""COMPUTED_VALUE"""),"")</f>
        <v/>
      </c>
      <c r="AH51" s="97" t="str">
        <f>IFERROR(__xludf.DUMMYFUNCTION("""COMPUTED_VALUE"""),"")</f>
        <v/>
      </c>
      <c r="AI51" s="111" t="str">
        <f>IFERROR(__xludf.DUMMYFUNCTION("""COMPUTED_VALUE"""),"")</f>
        <v/>
      </c>
      <c r="AJ51" s="112" t="str">
        <f>IFERROR(__xludf.DUMMYFUNCTION("""COMPUTED_VALUE"""),"")</f>
        <v/>
      </c>
      <c r="AK51" s="113" t="str">
        <f>IFERROR(__xludf.DUMMYFUNCTION("""COMPUTED_VALUE"""),"")</f>
        <v/>
      </c>
      <c r="AL51" s="112" t="str">
        <f>IFERROR(__xludf.DUMMYFUNCTION("""COMPUTED_VALUE"""),"")</f>
        <v/>
      </c>
      <c r="AM51" s="112" t="str">
        <f>IFERROR(__xludf.DUMMYFUNCTION("""COMPUTED_VALUE"""),"")</f>
        <v/>
      </c>
      <c r="AN51" s="113" t="str">
        <f>IFERROR(__xludf.DUMMYFUNCTION("""COMPUTED_VALUE"""),"")</f>
        <v/>
      </c>
      <c r="AO51" s="112" t="str">
        <f>IFERROR(__xludf.DUMMYFUNCTION("""COMPUTED_VALUE"""),"")</f>
        <v/>
      </c>
      <c r="AP51" s="112" t="str">
        <f>IFERROR(__xludf.DUMMYFUNCTION("""COMPUTED_VALUE"""),"")</f>
        <v/>
      </c>
      <c r="AQ51" s="113" t="str">
        <f>IFERROR(__xludf.DUMMYFUNCTION("""COMPUTED_VALUE"""),"")</f>
        <v/>
      </c>
      <c r="AR51" s="112" t="str">
        <f>IFERROR(__xludf.DUMMYFUNCTION("""COMPUTED_VALUE"""),"")</f>
        <v/>
      </c>
      <c r="AS51" s="112" t="str">
        <f>IFERROR(__xludf.DUMMYFUNCTION("""COMPUTED_VALUE"""),"")</f>
        <v/>
      </c>
      <c r="AT51" s="113" t="str">
        <f>IFERROR(__xludf.DUMMYFUNCTION("""COMPUTED_VALUE"""),"")</f>
        <v/>
      </c>
      <c r="AU51" s="112">
        <f>IFERROR(__xludf.DUMMYFUNCTION("""COMPUTED_VALUE"""),22.4)</f>
        <v>22.4</v>
      </c>
      <c r="AV51" s="112" t="str">
        <f>IFERROR(__xludf.DUMMYFUNCTION("""COMPUTED_VALUE"""),"")</f>
        <v/>
      </c>
      <c r="AW51" s="113" t="str">
        <f>IFERROR(__xludf.DUMMYFUNCTION("""COMPUTED_VALUE"""),"")</f>
        <v/>
      </c>
      <c r="AX51" s="112" t="str">
        <f>IFERROR(__xludf.DUMMYFUNCTION("""COMPUTED_VALUE"""),"")</f>
        <v/>
      </c>
      <c r="AY51" s="112" t="str">
        <f>IFERROR(__xludf.DUMMYFUNCTION("""COMPUTED_VALUE"""),"")</f>
        <v/>
      </c>
      <c r="AZ51" s="113" t="str">
        <f>IFERROR(__xludf.DUMMYFUNCTION("""COMPUTED_VALUE"""),"")</f>
        <v/>
      </c>
      <c r="BA51" s="112" t="str">
        <f>IFERROR(__xludf.DUMMYFUNCTION("""COMPUTED_VALUE"""),"")</f>
        <v/>
      </c>
      <c r="BB51" s="112" t="str">
        <f>IFERROR(__xludf.DUMMYFUNCTION("""COMPUTED_VALUE"""),"")</f>
        <v/>
      </c>
      <c r="BC51" s="113" t="str">
        <f>IFERROR(__xludf.DUMMYFUNCTION("""COMPUTED_VALUE"""),"")</f>
        <v/>
      </c>
      <c r="BD51" s="112" t="str">
        <f>IFERROR(__xludf.DUMMYFUNCTION("""COMPUTED_VALUE"""),"")</f>
        <v/>
      </c>
      <c r="BE51" s="112" t="str">
        <f>IFERROR(__xludf.DUMMYFUNCTION("""COMPUTED_VALUE"""),"")</f>
        <v/>
      </c>
      <c r="BF51" s="113" t="str">
        <f>IFERROR(__xludf.DUMMYFUNCTION("""COMPUTED_VALUE"""),"")</f>
        <v/>
      </c>
      <c r="BG51" s="111" t="str">
        <f>IFERROR(__xludf.DUMMYFUNCTION("""COMPUTED_VALUE"""),"")</f>
        <v/>
      </c>
      <c r="BH51" s="112" t="str">
        <f>IFERROR(__xludf.DUMMYFUNCTION("""COMPUTED_VALUE"""),"")</f>
        <v/>
      </c>
      <c r="BI51" s="113" t="str">
        <f>IFERROR(__xludf.DUMMYFUNCTION("""COMPUTED_VALUE"""),"")</f>
        <v/>
      </c>
      <c r="BJ51" s="112" t="str">
        <f>IFERROR(__xludf.DUMMYFUNCTION("""COMPUTED_VALUE"""),"")</f>
        <v/>
      </c>
      <c r="BK51" s="112" t="str">
        <f>IFERROR(__xludf.DUMMYFUNCTION("""COMPUTED_VALUE"""),"")</f>
        <v/>
      </c>
      <c r="BL51" s="113" t="str">
        <f>IFERROR(__xludf.DUMMYFUNCTION("""COMPUTED_VALUE"""),"")</f>
        <v/>
      </c>
      <c r="BM51" s="112" t="str">
        <f>IFERROR(__xludf.DUMMYFUNCTION("""COMPUTED_VALUE"""),"")</f>
        <v/>
      </c>
      <c r="BN51" s="112" t="str">
        <f>IFERROR(__xludf.DUMMYFUNCTION("""COMPUTED_VALUE"""),"")</f>
        <v/>
      </c>
      <c r="BO51" s="113" t="str">
        <f>IFERROR(__xludf.DUMMYFUNCTION("""COMPUTED_VALUE"""),"")</f>
        <v/>
      </c>
      <c r="BP51" s="112" t="str">
        <f>IFERROR(__xludf.DUMMYFUNCTION("""COMPUTED_VALUE"""),"")</f>
        <v/>
      </c>
      <c r="BQ51" s="107">
        <f>IFERROR(__xludf.DUMMYFUNCTION("""COMPUTED_VALUE"""),20.4)</f>
        <v>20.4</v>
      </c>
      <c r="BR51" s="113" t="str">
        <f>IFERROR(__xludf.DUMMYFUNCTION("""COMPUTED_VALUE"""),"")</f>
        <v/>
      </c>
      <c r="BS51" s="112">
        <f>IFERROR(__xludf.DUMMYFUNCTION("""COMPUTED_VALUE"""),26.7)</f>
        <v>26.7</v>
      </c>
      <c r="BT51" s="112" t="str">
        <f>IFERROR(__xludf.DUMMYFUNCTION("""COMPUTED_VALUE"""),"")</f>
        <v/>
      </c>
      <c r="BU51" s="113" t="str">
        <f>IFERROR(__xludf.DUMMYFUNCTION("""COMPUTED_VALUE"""),"")</f>
        <v/>
      </c>
      <c r="BV51" s="112" t="str">
        <f>IFERROR(__xludf.DUMMYFUNCTION("""COMPUTED_VALUE"""),"")</f>
        <v/>
      </c>
      <c r="BW51" s="112" t="str">
        <f>IFERROR(__xludf.DUMMYFUNCTION("""COMPUTED_VALUE"""),"")</f>
        <v/>
      </c>
      <c r="BX51" s="113" t="str">
        <f>IFERROR(__xludf.DUMMYFUNCTION("""COMPUTED_VALUE"""),"")</f>
        <v/>
      </c>
      <c r="BY51" s="112" t="str">
        <f>IFERROR(__xludf.DUMMYFUNCTION("""COMPUTED_VALUE"""),"")</f>
        <v/>
      </c>
      <c r="BZ51" s="112" t="str">
        <f>IFERROR(__xludf.DUMMYFUNCTION("""COMPUTED_VALUE"""),"")</f>
        <v/>
      </c>
      <c r="CA51" s="113" t="str">
        <f>IFERROR(__xludf.DUMMYFUNCTION("""COMPUTED_VALUE"""),"")</f>
        <v/>
      </c>
      <c r="CB51" s="111" t="str">
        <f>IFERROR(__xludf.DUMMYFUNCTION("""COMPUTED_VALUE"""),"")</f>
        <v/>
      </c>
      <c r="CC51" s="112" t="str">
        <f>IFERROR(__xludf.DUMMYFUNCTION("""COMPUTED_VALUE"""),"")</f>
        <v/>
      </c>
      <c r="CD51" s="113" t="str">
        <f>IFERROR(__xludf.DUMMYFUNCTION("""COMPUTED_VALUE"""),"")</f>
        <v/>
      </c>
      <c r="CE51" s="112" t="str">
        <f>IFERROR(__xludf.DUMMYFUNCTION("""COMPUTED_VALUE"""),"")</f>
        <v/>
      </c>
      <c r="CF51" s="112" t="str">
        <f>IFERROR(__xludf.DUMMYFUNCTION("""COMPUTED_VALUE"""),"")</f>
        <v/>
      </c>
      <c r="CG51" s="113" t="str">
        <f>IFERROR(__xludf.DUMMYFUNCTION("""COMPUTED_VALUE"""),"")</f>
        <v/>
      </c>
      <c r="CH51" s="112" t="str">
        <f>IFERROR(__xludf.DUMMYFUNCTION("""COMPUTED_VALUE"""),"")</f>
        <v/>
      </c>
      <c r="CI51" s="112" t="str">
        <f>IFERROR(__xludf.DUMMYFUNCTION("""COMPUTED_VALUE"""),"")</f>
        <v/>
      </c>
      <c r="CJ51" s="113" t="str">
        <f>IFERROR(__xludf.DUMMYFUNCTION("""COMPUTED_VALUE"""),"")</f>
        <v/>
      </c>
      <c r="CK51" s="112" t="str">
        <f>IFERROR(__xludf.DUMMYFUNCTION("""COMPUTED_VALUE"""),"")</f>
        <v/>
      </c>
      <c r="CL51" s="107" t="str">
        <f>IFERROR(__xludf.DUMMYFUNCTION("""COMPUTED_VALUE"""),"")</f>
        <v/>
      </c>
      <c r="CM51" s="113" t="str">
        <f>IFERROR(__xludf.DUMMYFUNCTION("""COMPUTED_VALUE"""),"")</f>
        <v/>
      </c>
      <c r="CN51" s="112" t="str">
        <f>IFERROR(__xludf.DUMMYFUNCTION("""COMPUTED_VALUE"""),"")</f>
        <v/>
      </c>
      <c r="CO51" s="112" t="str">
        <f>IFERROR(__xludf.DUMMYFUNCTION("""COMPUTED_VALUE"""),"")</f>
        <v/>
      </c>
      <c r="CP51" s="113" t="str">
        <f>IFERROR(__xludf.DUMMYFUNCTION("""COMPUTED_VALUE"""),"")</f>
        <v/>
      </c>
      <c r="CQ51" s="112" t="str">
        <f>IFERROR(__xludf.DUMMYFUNCTION("""COMPUTED_VALUE"""),"")</f>
        <v/>
      </c>
      <c r="CR51" s="112" t="str">
        <f>IFERROR(__xludf.DUMMYFUNCTION("""COMPUTED_VALUE"""),"")</f>
        <v/>
      </c>
      <c r="CS51" s="113"/>
      <c r="CT51" s="112"/>
      <c r="CU51" s="112"/>
      <c r="CV51" s="113"/>
      <c r="CW51" s="112"/>
      <c r="CX51" s="107"/>
      <c r="CY51" s="113"/>
      <c r="CZ51" s="112"/>
      <c r="DA51" s="112"/>
      <c r="DB51" s="113"/>
      <c r="DC51" s="112"/>
      <c r="DD51" s="112"/>
      <c r="DE51" s="113"/>
      <c r="DF51" s="112"/>
      <c r="DG51" s="107"/>
      <c r="DH51" s="113"/>
      <c r="DI51" s="112"/>
      <c r="DJ51" s="112"/>
      <c r="DK51" s="113"/>
      <c r="DL51" s="112"/>
      <c r="DM51" s="112"/>
      <c r="DN51" s="113"/>
      <c r="DO51" s="112"/>
      <c r="DP51" s="112"/>
      <c r="DQ51" s="113"/>
      <c r="DR51" s="112"/>
      <c r="DS51" s="112"/>
      <c r="DT51" s="113"/>
    </row>
    <row r="52">
      <c r="B52" s="83" t="str">
        <f>IFERROR(__xludf.DUMMYFUNCTION("""COMPUTED_VALUE"""),"FUY4")</f>
        <v>FUY4</v>
      </c>
      <c r="C52" s="82">
        <f>IFERROR(__xludf.DUMMYFUNCTION("""COMPUTED_VALUE"""),37.0)</f>
        <v>37</v>
      </c>
      <c r="D52" s="88" t="str">
        <f>IFERROR(__xludf.DUMMYFUNCTION("""COMPUTED_VALUE"""),"Unknown Coordinates X-D")</f>
        <v>Unknown Coordinates X-D</v>
      </c>
      <c r="E52" s="82" t="str">
        <f>IFERROR(__xludf.DUMMYFUNCTION("""COMPUTED_VALUE"""),"X-D（港）")</f>
        <v>X-D（港）</v>
      </c>
      <c r="F52" s="102">
        <f>IFERROR(__xludf.DUMMYFUNCTION("""COMPUTED_VALUE"""),5.0)</f>
        <v>5</v>
      </c>
      <c r="G52" s="82">
        <f>IFERROR(__xludf.DUMMYFUNCTION("""COMPUTED_VALUE"""),2305.0)</f>
        <v>2305</v>
      </c>
      <c r="H52" s="95" t="str">
        <f>IFERROR(__xludf.DUMMYFUNCTION("""COMPUTED_VALUE"""),"")</f>
        <v/>
      </c>
      <c r="I52" s="96" t="str">
        <f>IFERROR(__xludf.DUMMYFUNCTION("""COMPUTED_VALUE"""),"")</f>
        <v/>
      </c>
      <c r="J52" s="97" t="str">
        <f>IFERROR(__xludf.DUMMYFUNCTION("""COMPUTED_VALUE"""),"")</f>
        <v/>
      </c>
      <c r="K52" s="95" t="str">
        <f>IFERROR(__xludf.DUMMYFUNCTION("""COMPUTED_VALUE"""),"")</f>
        <v/>
      </c>
      <c r="L52" s="96" t="str">
        <f>IFERROR(__xludf.DUMMYFUNCTION("""COMPUTED_VALUE"""),"")</f>
        <v/>
      </c>
      <c r="M52" s="97" t="str">
        <f>IFERROR(__xludf.DUMMYFUNCTION("""COMPUTED_VALUE"""),"")</f>
        <v/>
      </c>
      <c r="N52" s="95" t="str">
        <f>IFERROR(__xludf.DUMMYFUNCTION("""COMPUTED_VALUE"""),"")</f>
        <v/>
      </c>
      <c r="O52" s="96" t="str">
        <f>IFERROR(__xludf.DUMMYFUNCTION("""COMPUTED_VALUE"""),"")</f>
        <v/>
      </c>
      <c r="P52" s="97" t="str">
        <f>IFERROR(__xludf.DUMMYFUNCTION("""COMPUTED_VALUE"""),"")</f>
        <v/>
      </c>
      <c r="Q52" s="95" t="str">
        <f>IFERROR(__xludf.DUMMYFUNCTION("""COMPUTED_VALUE"""),"")</f>
        <v/>
      </c>
      <c r="R52" s="96" t="str">
        <f>IFERROR(__xludf.DUMMYFUNCTION("""COMPUTED_VALUE"""),"")</f>
        <v/>
      </c>
      <c r="S52" s="97" t="str">
        <f>IFERROR(__xludf.DUMMYFUNCTION("""COMPUTED_VALUE"""),"")</f>
        <v/>
      </c>
      <c r="T52" s="95" t="str">
        <f>IFERROR(__xludf.DUMMYFUNCTION("""COMPUTED_VALUE"""),"")</f>
        <v/>
      </c>
      <c r="U52" s="96" t="str">
        <f>IFERROR(__xludf.DUMMYFUNCTION("""COMPUTED_VALUE"""),"")</f>
        <v/>
      </c>
      <c r="V52" s="97" t="str">
        <f>IFERROR(__xludf.DUMMYFUNCTION("""COMPUTED_VALUE"""),"")</f>
        <v/>
      </c>
      <c r="W52" s="95" t="str">
        <f>IFERROR(__xludf.DUMMYFUNCTION("""COMPUTED_VALUE"""),"")</f>
        <v/>
      </c>
      <c r="X52" s="96" t="str">
        <f>IFERROR(__xludf.DUMMYFUNCTION("""COMPUTED_VALUE"""),"")</f>
        <v/>
      </c>
      <c r="Y52" s="97" t="str">
        <f>IFERROR(__xludf.DUMMYFUNCTION("""COMPUTED_VALUE"""),"")</f>
        <v/>
      </c>
      <c r="Z52" s="95" t="str">
        <f>IFERROR(__xludf.DUMMYFUNCTION("""COMPUTED_VALUE"""),"")</f>
        <v/>
      </c>
      <c r="AA52" s="96" t="str">
        <f>IFERROR(__xludf.DUMMYFUNCTION("""COMPUTED_VALUE"""),"")</f>
        <v/>
      </c>
      <c r="AB52" s="97" t="str">
        <f>IFERROR(__xludf.DUMMYFUNCTION("""COMPUTED_VALUE"""),"")</f>
        <v/>
      </c>
      <c r="AC52" s="95" t="str">
        <f>IFERROR(__xludf.DUMMYFUNCTION("""COMPUTED_VALUE"""),"")</f>
        <v/>
      </c>
      <c r="AD52" s="96" t="str">
        <f>IFERROR(__xludf.DUMMYFUNCTION("""COMPUTED_VALUE"""),"")</f>
        <v/>
      </c>
      <c r="AE52" s="97" t="str">
        <f>IFERROR(__xludf.DUMMYFUNCTION("""COMPUTED_VALUE"""),"")</f>
        <v/>
      </c>
      <c r="AF52" s="95" t="str">
        <f>IFERROR(__xludf.DUMMYFUNCTION("""COMPUTED_VALUE"""),"")</f>
        <v/>
      </c>
      <c r="AG52" s="96" t="str">
        <f>IFERROR(__xludf.DUMMYFUNCTION("""COMPUTED_VALUE"""),"")</f>
        <v/>
      </c>
      <c r="AH52" s="97" t="str">
        <f>IFERROR(__xludf.DUMMYFUNCTION("""COMPUTED_VALUE"""),"")</f>
        <v/>
      </c>
      <c r="AI52" s="92" t="str">
        <f>IFERROR(__xludf.DUMMYFUNCTION("""COMPUTED_VALUE"""),"")</f>
        <v/>
      </c>
      <c r="AJ52" s="93" t="str">
        <f>IFERROR(__xludf.DUMMYFUNCTION("""COMPUTED_VALUE"""),"")</f>
        <v/>
      </c>
      <c r="AK52" s="94" t="str">
        <f>IFERROR(__xludf.DUMMYFUNCTION("""COMPUTED_VALUE"""),"")</f>
        <v/>
      </c>
      <c r="AL52" s="93" t="str">
        <f>IFERROR(__xludf.DUMMYFUNCTION("""COMPUTED_VALUE"""),"")</f>
        <v/>
      </c>
      <c r="AM52" s="93" t="str">
        <f>IFERROR(__xludf.DUMMYFUNCTION("""COMPUTED_VALUE"""),"")</f>
        <v/>
      </c>
      <c r="AN52" s="94" t="str">
        <f>IFERROR(__xludf.DUMMYFUNCTION("""COMPUTED_VALUE"""),"")</f>
        <v/>
      </c>
      <c r="AO52" s="93" t="str">
        <f>IFERROR(__xludf.DUMMYFUNCTION("""COMPUTED_VALUE"""),"")</f>
        <v/>
      </c>
      <c r="AP52" s="93" t="str">
        <f>IFERROR(__xludf.DUMMYFUNCTION("""COMPUTED_VALUE"""),"")</f>
        <v/>
      </c>
      <c r="AQ52" s="94" t="str">
        <f>IFERROR(__xludf.DUMMYFUNCTION("""COMPUTED_VALUE"""),"")</f>
        <v/>
      </c>
      <c r="AR52" s="93" t="str">
        <f>IFERROR(__xludf.DUMMYFUNCTION("""COMPUTED_VALUE"""),"")</f>
        <v/>
      </c>
      <c r="AS52" s="93" t="str">
        <f>IFERROR(__xludf.DUMMYFUNCTION("""COMPUTED_VALUE"""),"")</f>
        <v/>
      </c>
      <c r="AT52" s="94" t="str">
        <f>IFERROR(__xludf.DUMMYFUNCTION("""COMPUTED_VALUE"""),"")</f>
        <v/>
      </c>
      <c r="AU52" s="93">
        <f>IFERROR(__xludf.DUMMYFUNCTION("""COMPUTED_VALUE"""),24.3)</f>
        <v>24.3</v>
      </c>
      <c r="AV52" s="93" t="str">
        <f>IFERROR(__xludf.DUMMYFUNCTION("""COMPUTED_VALUE"""),"")</f>
        <v/>
      </c>
      <c r="AW52" s="94" t="str">
        <f>IFERROR(__xludf.DUMMYFUNCTION("""COMPUTED_VALUE"""),"")</f>
        <v/>
      </c>
      <c r="AX52" s="93" t="str">
        <f>IFERROR(__xludf.DUMMYFUNCTION("""COMPUTED_VALUE"""),"")</f>
        <v/>
      </c>
      <c r="AY52" s="93" t="str">
        <f>IFERROR(__xludf.DUMMYFUNCTION("""COMPUTED_VALUE"""),"")</f>
        <v/>
      </c>
      <c r="AZ52" s="94" t="str">
        <f>IFERROR(__xludf.DUMMYFUNCTION("""COMPUTED_VALUE"""),"")</f>
        <v/>
      </c>
      <c r="BA52" s="93" t="str">
        <f>IFERROR(__xludf.DUMMYFUNCTION("""COMPUTED_VALUE"""),"")</f>
        <v/>
      </c>
      <c r="BB52" s="93" t="str">
        <f>IFERROR(__xludf.DUMMYFUNCTION("""COMPUTED_VALUE"""),"")</f>
        <v/>
      </c>
      <c r="BC52" s="94" t="str">
        <f>IFERROR(__xludf.DUMMYFUNCTION("""COMPUTED_VALUE"""),"")</f>
        <v/>
      </c>
      <c r="BD52" s="93" t="str">
        <f>IFERROR(__xludf.DUMMYFUNCTION("""COMPUTED_VALUE"""),"")</f>
        <v/>
      </c>
      <c r="BE52" s="93" t="str">
        <f>IFERROR(__xludf.DUMMYFUNCTION("""COMPUTED_VALUE"""),"")</f>
        <v/>
      </c>
      <c r="BF52" s="94" t="str">
        <f>IFERROR(__xludf.DUMMYFUNCTION("""COMPUTED_VALUE"""),"")</f>
        <v/>
      </c>
      <c r="BG52" s="92" t="str">
        <f>IFERROR(__xludf.DUMMYFUNCTION("""COMPUTED_VALUE"""),"")</f>
        <v/>
      </c>
      <c r="BH52" s="93" t="str">
        <f>IFERROR(__xludf.DUMMYFUNCTION("""COMPUTED_VALUE"""),"")</f>
        <v/>
      </c>
      <c r="BI52" s="94" t="str">
        <f>IFERROR(__xludf.DUMMYFUNCTION("""COMPUTED_VALUE"""),"")</f>
        <v/>
      </c>
      <c r="BJ52" s="93" t="str">
        <f>IFERROR(__xludf.DUMMYFUNCTION("""COMPUTED_VALUE"""),"")</f>
        <v/>
      </c>
      <c r="BK52" s="93" t="str">
        <f>IFERROR(__xludf.DUMMYFUNCTION("""COMPUTED_VALUE"""),"")</f>
        <v/>
      </c>
      <c r="BL52" s="94" t="str">
        <f>IFERROR(__xludf.DUMMYFUNCTION("""COMPUTED_VALUE"""),"")</f>
        <v/>
      </c>
      <c r="BM52" s="93" t="str">
        <f>IFERROR(__xludf.DUMMYFUNCTION("""COMPUTED_VALUE"""),"")</f>
        <v/>
      </c>
      <c r="BN52" s="93" t="str">
        <f>IFERROR(__xludf.DUMMYFUNCTION("""COMPUTED_VALUE"""),"")</f>
        <v/>
      </c>
      <c r="BO52" s="94" t="str">
        <f>IFERROR(__xludf.DUMMYFUNCTION("""COMPUTED_VALUE"""),"")</f>
        <v/>
      </c>
      <c r="BP52" s="93" t="str">
        <f>IFERROR(__xludf.DUMMYFUNCTION("""COMPUTED_VALUE"""),"")</f>
        <v/>
      </c>
      <c r="BQ52" s="114">
        <f>IFERROR(__xludf.DUMMYFUNCTION("""COMPUTED_VALUE"""),21.5)</f>
        <v>21.5</v>
      </c>
      <c r="BR52" s="94">
        <f>IFERROR(__xludf.DUMMYFUNCTION("""COMPUTED_VALUE"""),25.0)</f>
        <v>25</v>
      </c>
      <c r="BS52" s="93" t="str">
        <f>IFERROR(__xludf.DUMMYFUNCTION("""COMPUTED_VALUE"""),"")</f>
        <v/>
      </c>
      <c r="BT52" s="93" t="str">
        <f>IFERROR(__xludf.DUMMYFUNCTION("""COMPUTED_VALUE"""),"")</f>
        <v/>
      </c>
      <c r="BU52" s="94" t="str">
        <f>IFERROR(__xludf.DUMMYFUNCTION("""COMPUTED_VALUE"""),"")</f>
        <v/>
      </c>
      <c r="BV52" s="93" t="str">
        <f>IFERROR(__xludf.DUMMYFUNCTION("""COMPUTED_VALUE"""),"")</f>
        <v/>
      </c>
      <c r="BW52" s="93" t="str">
        <f>IFERROR(__xludf.DUMMYFUNCTION("""COMPUTED_VALUE"""),"")</f>
        <v/>
      </c>
      <c r="BX52" s="94" t="str">
        <f>IFERROR(__xludf.DUMMYFUNCTION("""COMPUTED_VALUE"""),"")</f>
        <v/>
      </c>
      <c r="BY52" s="93" t="str">
        <f>IFERROR(__xludf.DUMMYFUNCTION("""COMPUTED_VALUE"""),"")</f>
        <v/>
      </c>
      <c r="BZ52" s="93" t="str">
        <f>IFERROR(__xludf.DUMMYFUNCTION("""COMPUTED_VALUE"""),"")</f>
        <v/>
      </c>
      <c r="CA52" s="94" t="str">
        <f>IFERROR(__xludf.DUMMYFUNCTION("""COMPUTED_VALUE"""),"")</f>
        <v/>
      </c>
      <c r="CB52" s="92" t="str">
        <f>IFERROR(__xludf.DUMMYFUNCTION("""COMPUTED_VALUE"""),"")</f>
        <v/>
      </c>
      <c r="CC52" s="93" t="str">
        <f>IFERROR(__xludf.DUMMYFUNCTION("""COMPUTED_VALUE"""),"")</f>
        <v/>
      </c>
      <c r="CD52" s="94" t="str">
        <f>IFERROR(__xludf.DUMMYFUNCTION("""COMPUTED_VALUE"""),"")</f>
        <v/>
      </c>
      <c r="CE52" s="93" t="str">
        <f>IFERROR(__xludf.DUMMYFUNCTION("""COMPUTED_VALUE"""),"")</f>
        <v/>
      </c>
      <c r="CF52" s="93" t="str">
        <f>IFERROR(__xludf.DUMMYFUNCTION("""COMPUTED_VALUE"""),"")</f>
        <v/>
      </c>
      <c r="CG52" s="94" t="str">
        <f>IFERROR(__xludf.DUMMYFUNCTION("""COMPUTED_VALUE"""),"")</f>
        <v/>
      </c>
      <c r="CH52" s="93" t="str">
        <f>IFERROR(__xludf.DUMMYFUNCTION("""COMPUTED_VALUE"""),"")</f>
        <v/>
      </c>
      <c r="CI52" s="93" t="str">
        <f>IFERROR(__xludf.DUMMYFUNCTION("""COMPUTED_VALUE"""),"")</f>
        <v/>
      </c>
      <c r="CJ52" s="94" t="str">
        <f>IFERROR(__xludf.DUMMYFUNCTION("""COMPUTED_VALUE"""),"")</f>
        <v/>
      </c>
      <c r="CK52" s="93" t="str">
        <f>IFERROR(__xludf.DUMMYFUNCTION("""COMPUTED_VALUE"""),"")</f>
        <v/>
      </c>
      <c r="CL52" s="114" t="str">
        <f>IFERROR(__xludf.DUMMYFUNCTION("""COMPUTED_VALUE"""),"")</f>
        <v/>
      </c>
      <c r="CM52" s="94" t="str">
        <f>IFERROR(__xludf.DUMMYFUNCTION("""COMPUTED_VALUE"""),"")</f>
        <v/>
      </c>
      <c r="CN52" s="93" t="str">
        <f>IFERROR(__xludf.DUMMYFUNCTION("""COMPUTED_VALUE"""),"")</f>
        <v/>
      </c>
      <c r="CO52" s="93" t="str">
        <f>IFERROR(__xludf.DUMMYFUNCTION("""COMPUTED_VALUE"""),"")</f>
        <v/>
      </c>
      <c r="CP52" s="94" t="str">
        <f>IFERROR(__xludf.DUMMYFUNCTION("""COMPUTED_VALUE"""),"")</f>
        <v/>
      </c>
      <c r="CQ52" s="93" t="str">
        <f>IFERROR(__xludf.DUMMYFUNCTION("""COMPUTED_VALUE"""),"")</f>
        <v/>
      </c>
      <c r="CR52" s="93" t="str">
        <f>IFERROR(__xludf.DUMMYFUNCTION("""COMPUTED_VALUE"""),"")</f>
        <v/>
      </c>
      <c r="CS52" s="94"/>
      <c r="CT52" s="93"/>
      <c r="CU52" s="93"/>
      <c r="CV52" s="94"/>
      <c r="CW52" s="93"/>
      <c r="CX52" s="114"/>
      <c r="CY52" s="94"/>
      <c r="CZ52" s="93"/>
      <c r="DA52" s="93"/>
      <c r="DB52" s="94"/>
      <c r="DC52" s="93"/>
      <c r="DD52" s="93"/>
      <c r="DE52" s="94"/>
      <c r="DF52" s="93"/>
      <c r="DG52" s="114"/>
      <c r="DH52" s="94"/>
      <c r="DI52" s="93"/>
      <c r="DJ52" s="93"/>
      <c r="DK52" s="94"/>
      <c r="DL52" s="93"/>
      <c r="DM52" s="93"/>
      <c r="DN52" s="94"/>
      <c r="DO52" s="93"/>
      <c r="DP52" s="93"/>
      <c r="DQ52" s="94"/>
      <c r="DR52" s="93"/>
      <c r="DS52" s="93"/>
      <c r="DT52" s="94"/>
    </row>
    <row r="53">
      <c r="B53" s="83" t="str">
        <f>IFERROR(__xludf.DUMMYFUNCTION("""COMPUTED_VALUE"""),"FUY5")</f>
        <v>FUY5</v>
      </c>
      <c r="C53" s="82">
        <f>IFERROR(__xludf.DUMMYFUNCTION("""COMPUTED_VALUE"""),38.0)</f>
        <v>38</v>
      </c>
      <c r="D53" s="88" t="str">
        <f>IFERROR(__xludf.DUMMYFUNCTION("""COMPUTED_VALUE"""),"Unknown Coordinates X-E")</f>
        <v>Unknown Coordinates X-E</v>
      </c>
      <c r="E53" s="82" t="str">
        <f>IFERROR(__xludf.DUMMYFUNCTION("""COMPUTED_VALUE"""),"X-E（教会）")</f>
        <v>X-E（教会）</v>
      </c>
      <c r="F53" s="102">
        <f>IFERROR(__xludf.DUMMYFUNCTION("""COMPUTED_VALUE"""),5.0)</f>
        <v>5</v>
      </c>
      <c r="G53" s="82">
        <f>IFERROR(__xludf.DUMMYFUNCTION("""COMPUTED_VALUE"""),3365.0)</f>
        <v>3365</v>
      </c>
      <c r="H53" s="95" t="str">
        <f>IFERROR(__xludf.DUMMYFUNCTION("""COMPUTED_VALUE"""),"")</f>
        <v/>
      </c>
      <c r="I53" s="96" t="str">
        <f>IFERROR(__xludf.DUMMYFUNCTION("""COMPUTED_VALUE"""),"")</f>
        <v/>
      </c>
      <c r="J53" s="97" t="str">
        <f>IFERROR(__xludf.DUMMYFUNCTION("""COMPUTED_VALUE"""),"")</f>
        <v/>
      </c>
      <c r="K53" s="95" t="str">
        <f>IFERROR(__xludf.DUMMYFUNCTION("""COMPUTED_VALUE"""),"")</f>
        <v/>
      </c>
      <c r="L53" s="96" t="str">
        <f>IFERROR(__xludf.DUMMYFUNCTION("""COMPUTED_VALUE"""),"")</f>
        <v/>
      </c>
      <c r="M53" s="97" t="str">
        <f>IFERROR(__xludf.DUMMYFUNCTION("""COMPUTED_VALUE"""),"")</f>
        <v/>
      </c>
      <c r="N53" s="95" t="str">
        <f>IFERROR(__xludf.DUMMYFUNCTION("""COMPUTED_VALUE"""),"")</f>
        <v/>
      </c>
      <c r="O53" s="96" t="str">
        <f>IFERROR(__xludf.DUMMYFUNCTION("""COMPUTED_VALUE"""),"")</f>
        <v/>
      </c>
      <c r="P53" s="97" t="str">
        <f>IFERROR(__xludf.DUMMYFUNCTION("""COMPUTED_VALUE"""),"")</f>
        <v/>
      </c>
      <c r="Q53" s="95" t="str">
        <f>IFERROR(__xludf.DUMMYFUNCTION("""COMPUTED_VALUE"""),"")</f>
        <v/>
      </c>
      <c r="R53" s="96" t="str">
        <f>IFERROR(__xludf.DUMMYFUNCTION("""COMPUTED_VALUE"""),"")</f>
        <v/>
      </c>
      <c r="S53" s="97" t="str">
        <f>IFERROR(__xludf.DUMMYFUNCTION("""COMPUTED_VALUE"""),"")</f>
        <v/>
      </c>
      <c r="T53" s="95" t="str">
        <f>IFERROR(__xludf.DUMMYFUNCTION("""COMPUTED_VALUE"""),"")</f>
        <v/>
      </c>
      <c r="U53" s="96" t="str">
        <f>IFERROR(__xludf.DUMMYFUNCTION("""COMPUTED_VALUE"""),"")</f>
        <v/>
      </c>
      <c r="V53" s="97" t="str">
        <f>IFERROR(__xludf.DUMMYFUNCTION("""COMPUTED_VALUE"""),"")</f>
        <v/>
      </c>
      <c r="W53" s="95" t="str">
        <f>IFERROR(__xludf.DUMMYFUNCTION("""COMPUTED_VALUE"""),"")</f>
        <v/>
      </c>
      <c r="X53" s="96" t="str">
        <f>IFERROR(__xludf.DUMMYFUNCTION("""COMPUTED_VALUE"""),"")</f>
        <v/>
      </c>
      <c r="Y53" s="97" t="str">
        <f>IFERROR(__xludf.DUMMYFUNCTION("""COMPUTED_VALUE"""),"")</f>
        <v/>
      </c>
      <c r="Z53" s="95" t="str">
        <f>IFERROR(__xludf.DUMMYFUNCTION("""COMPUTED_VALUE"""),"")</f>
        <v/>
      </c>
      <c r="AA53" s="96" t="str">
        <f>IFERROR(__xludf.DUMMYFUNCTION("""COMPUTED_VALUE"""),"")</f>
        <v/>
      </c>
      <c r="AB53" s="97" t="str">
        <f>IFERROR(__xludf.DUMMYFUNCTION("""COMPUTED_VALUE"""),"")</f>
        <v/>
      </c>
      <c r="AC53" s="95" t="str">
        <f>IFERROR(__xludf.DUMMYFUNCTION("""COMPUTED_VALUE"""),"")</f>
        <v/>
      </c>
      <c r="AD53" s="96" t="str">
        <f>IFERROR(__xludf.DUMMYFUNCTION("""COMPUTED_VALUE"""),"")</f>
        <v/>
      </c>
      <c r="AE53" s="97" t="str">
        <f>IFERROR(__xludf.DUMMYFUNCTION("""COMPUTED_VALUE"""),"")</f>
        <v/>
      </c>
      <c r="AF53" s="95" t="str">
        <f>IFERROR(__xludf.DUMMYFUNCTION("""COMPUTED_VALUE"""),"")</f>
        <v/>
      </c>
      <c r="AG53" s="96" t="str">
        <f>IFERROR(__xludf.DUMMYFUNCTION("""COMPUTED_VALUE"""),"")</f>
        <v/>
      </c>
      <c r="AH53" s="97" t="str">
        <f>IFERROR(__xludf.DUMMYFUNCTION("""COMPUTED_VALUE"""),"")</f>
        <v/>
      </c>
      <c r="AI53" s="111" t="str">
        <f>IFERROR(__xludf.DUMMYFUNCTION("""COMPUTED_VALUE"""),"")</f>
        <v/>
      </c>
      <c r="AJ53" s="112" t="str">
        <f>IFERROR(__xludf.DUMMYFUNCTION("""COMPUTED_VALUE"""),"")</f>
        <v/>
      </c>
      <c r="AK53" s="113" t="str">
        <f>IFERROR(__xludf.DUMMYFUNCTION("""COMPUTED_VALUE"""),"")</f>
        <v/>
      </c>
      <c r="AL53" s="112" t="str">
        <f>IFERROR(__xludf.DUMMYFUNCTION("""COMPUTED_VALUE"""),"")</f>
        <v/>
      </c>
      <c r="AM53" s="112" t="str">
        <f>IFERROR(__xludf.DUMMYFUNCTION("""COMPUTED_VALUE"""),"")</f>
        <v/>
      </c>
      <c r="AN53" s="113" t="str">
        <f>IFERROR(__xludf.DUMMYFUNCTION("""COMPUTED_VALUE"""),"")</f>
        <v/>
      </c>
      <c r="AO53" s="112" t="str">
        <f>IFERROR(__xludf.DUMMYFUNCTION("""COMPUTED_VALUE"""),"")</f>
        <v/>
      </c>
      <c r="AP53" s="112" t="str">
        <f>IFERROR(__xludf.DUMMYFUNCTION("""COMPUTED_VALUE"""),"")</f>
        <v/>
      </c>
      <c r="AQ53" s="113" t="str">
        <f>IFERROR(__xludf.DUMMYFUNCTION("""COMPUTED_VALUE"""),"")</f>
        <v/>
      </c>
      <c r="AR53" s="112" t="str">
        <f>IFERROR(__xludf.DUMMYFUNCTION("""COMPUTED_VALUE"""),"")</f>
        <v/>
      </c>
      <c r="AS53" s="112" t="str">
        <f>IFERROR(__xludf.DUMMYFUNCTION("""COMPUTED_VALUE"""),"")</f>
        <v/>
      </c>
      <c r="AT53" s="113" t="str">
        <f>IFERROR(__xludf.DUMMYFUNCTION("""COMPUTED_VALUE"""),"")</f>
        <v/>
      </c>
      <c r="AU53" s="112">
        <f>IFERROR(__xludf.DUMMYFUNCTION("""COMPUTED_VALUE"""),30.2)</f>
        <v>30.2</v>
      </c>
      <c r="AV53" s="112" t="str">
        <f>IFERROR(__xludf.DUMMYFUNCTION("""COMPUTED_VALUE"""),"")</f>
        <v/>
      </c>
      <c r="AW53" s="113">
        <f>IFERROR(__xludf.DUMMYFUNCTION("""COMPUTED_VALUE"""),110.0)</f>
        <v>110</v>
      </c>
      <c r="AX53" s="112" t="str">
        <f>IFERROR(__xludf.DUMMYFUNCTION("""COMPUTED_VALUE"""),"")</f>
        <v/>
      </c>
      <c r="AY53" s="112" t="str">
        <f>IFERROR(__xludf.DUMMYFUNCTION("""COMPUTED_VALUE"""),"")</f>
        <v/>
      </c>
      <c r="AZ53" s="113" t="str">
        <f>IFERROR(__xludf.DUMMYFUNCTION("""COMPUTED_VALUE"""),"")</f>
        <v/>
      </c>
      <c r="BA53" s="112" t="str">
        <f>IFERROR(__xludf.DUMMYFUNCTION("""COMPUTED_VALUE"""),"")</f>
        <v/>
      </c>
      <c r="BB53" s="112" t="str">
        <f>IFERROR(__xludf.DUMMYFUNCTION("""COMPUTED_VALUE"""),"")</f>
        <v/>
      </c>
      <c r="BC53" s="113" t="str">
        <f>IFERROR(__xludf.DUMMYFUNCTION("""COMPUTED_VALUE"""),"")</f>
        <v/>
      </c>
      <c r="BD53" s="112" t="str">
        <f>IFERROR(__xludf.DUMMYFUNCTION("""COMPUTED_VALUE"""),"")</f>
        <v/>
      </c>
      <c r="BE53" s="112" t="str">
        <f>IFERROR(__xludf.DUMMYFUNCTION("""COMPUTED_VALUE"""),"")</f>
        <v/>
      </c>
      <c r="BF53" s="113" t="str">
        <f>IFERROR(__xludf.DUMMYFUNCTION("""COMPUTED_VALUE"""),"")</f>
        <v/>
      </c>
      <c r="BG53" s="111" t="str">
        <f>IFERROR(__xludf.DUMMYFUNCTION("""COMPUTED_VALUE"""),"")</f>
        <v/>
      </c>
      <c r="BH53" s="112" t="str">
        <f>IFERROR(__xludf.DUMMYFUNCTION("""COMPUTED_VALUE"""),"")</f>
        <v/>
      </c>
      <c r="BI53" s="113" t="str">
        <f>IFERROR(__xludf.DUMMYFUNCTION("""COMPUTED_VALUE"""),"")</f>
        <v/>
      </c>
      <c r="BJ53" s="112" t="str">
        <f>IFERROR(__xludf.DUMMYFUNCTION("""COMPUTED_VALUE"""),"")</f>
        <v/>
      </c>
      <c r="BK53" s="112" t="str">
        <f>IFERROR(__xludf.DUMMYFUNCTION("""COMPUTED_VALUE"""),"")</f>
        <v/>
      </c>
      <c r="BL53" s="113" t="str">
        <f>IFERROR(__xludf.DUMMYFUNCTION("""COMPUTED_VALUE"""),"")</f>
        <v/>
      </c>
      <c r="BM53" s="112" t="str">
        <f>IFERROR(__xludf.DUMMYFUNCTION("""COMPUTED_VALUE"""),"")</f>
        <v/>
      </c>
      <c r="BN53" s="112" t="str">
        <f>IFERROR(__xludf.DUMMYFUNCTION("""COMPUTED_VALUE"""),"")</f>
        <v/>
      </c>
      <c r="BO53" s="113" t="str">
        <f>IFERROR(__xludf.DUMMYFUNCTION("""COMPUTED_VALUE"""),"")</f>
        <v/>
      </c>
      <c r="BP53" s="112" t="str">
        <f>IFERROR(__xludf.DUMMYFUNCTION("""COMPUTED_VALUE"""),"")</f>
        <v/>
      </c>
      <c r="BQ53" s="112">
        <f>IFERROR(__xludf.DUMMYFUNCTION("""COMPUTED_VALUE"""),27.0)</f>
        <v>27</v>
      </c>
      <c r="BR53" s="113">
        <f>IFERROR(__xludf.DUMMYFUNCTION("""COMPUTED_VALUE"""),47.1)</f>
        <v>47.1</v>
      </c>
      <c r="BS53" s="112" t="str">
        <f>IFERROR(__xludf.DUMMYFUNCTION("""COMPUTED_VALUE"""),"")</f>
        <v/>
      </c>
      <c r="BT53" s="112" t="str">
        <f>IFERROR(__xludf.DUMMYFUNCTION("""COMPUTED_VALUE"""),"")</f>
        <v/>
      </c>
      <c r="BU53" s="113" t="str">
        <f>IFERROR(__xludf.DUMMYFUNCTION("""COMPUTED_VALUE"""),"")</f>
        <v/>
      </c>
      <c r="BV53" s="112" t="str">
        <f>IFERROR(__xludf.DUMMYFUNCTION("""COMPUTED_VALUE"""),"")</f>
        <v/>
      </c>
      <c r="BW53" s="112" t="str">
        <f>IFERROR(__xludf.DUMMYFUNCTION("""COMPUTED_VALUE"""),"")</f>
        <v/>
      </c>
      <c r="BX53" s="113" t="str">
        <f>IFERROR(__xludf.DUMMYFUNCTION("""COMPUTED_VALUE"""),"")</f>
        <v/>
      </c>
      <c r="BY53" s="112" t="str">
        <f>IFERROR(__xludf.DUMMYFUNCTION("""COMPUTED_VALUE"""),"")</f>
        <v/>
      </c>
      <c r="BZ53" s="112" t="str">
        <f>IFERROR(__xludf.DUMMYFUNCTION("""COMPUTED_VALUE"""),"")</f>
        <v/>
      </c>
      <c r="CA53" s="113" t="str">
        <f>IFERROR(__xludf.DUMMYFUNCTION("""COMPUTED_VALUE"""),"")</f>
        <v/>
      </c>
      <c r="CB53" s="111" t="str">
        <f>IFERROR(__xludf.DUMMYFUNCTION("""COMPUTED_VALUE"""),"")</f>
        <v/>
      </c>
      <c r="CC53" s="112" t="str">
        <f>IFERROR(__xludf.DUMMYFUNCTION("""COMPUTED_VALUE"""),"")</f>
        <v/>
      </c>
      <c r="CD53" s="113" t="str">
        <f>IFERROR(__xludf.DUMMYFUNCTION("""COMPUTED_VALUE"""),"")</f>
        <v/>
      </c>
      <c r="CE53" s="112" t="str">
        <f>IFERROR(__xludf.DUMMYFUNCTION("""COMPUTED_VALUE"""),"")</f>
        <v/>
      </c>
      <c r="CF53" s="112" t="str">
        <f>IFERROR(__xludf.DUMMYFUNCTION("""COMPUTED_VALUE"""),"")</f>
        <v/>
      </c>
      <c r="CG53" s="113" t="str">
        <f>IFERROR(__xludf.DUMMYFUNCTION("""COMPUTED_VALUE"""),"")</f>
        <v/>
      </c>
      <c r="CH53" s="112">
        <f>IFERROR(__xludf.DUMMYFUNCTION("""COMPUTED_VALUE"""),95.1)</f>
        <v>95.1</v>
      </c>
      <c r="CI53" s="112" t="str">
        <f>IFERROR(__xludf.DUMMYFUNCTION("""COMPUTED_VALUE"""),"")</f>
        <v/>
      </c>
      <c r="CJ53" s="113" t="str">
        <f>IFERROR(__xludf.DUMMYFUNCTION("""COMPUTED_VALUE"""),"")</f>
        <v/>
      </c>
      <c r="CK53" s="112" t="str">
        <f>IFERROR(__xludf.DUMMYFUNCTION("""COMPUTED_VALUE"""),"")</f>
        <v/>
      </c>
      <c r="CL53" s="112" t="str">
        <f>IFERROR(__xludf.DUMMYFUNCTION("""COMPUTED_VALUE"""),"")</f>
        <v/>
      </c>
      <c r="CM53" s="113" t="str">
        <f>IFERROR(__xludf.DUMMYFUNCTION("""COMPUTED_VALUE"""),"")</f>
        <v/>
      </c>
      <c r="CN53" s="112" t="str">
        <f>IFERROR(__xludf.DUMMYFUNCTION("""COMPUTED_VALUE"""),"")</f>
        <v/>
      </c>
      <c r="CO53" s="112" t="str">
        <f>IFERROR(__xludf.DUMMYFUNCTION("""COMPUTED_VALUE"""),"")</f>
        <v/>
      </c>
      <c r="CP53" s="113" t="str">
        <f>IFERROR(__xludf.DUMMYFUNCTION("""COMPUTED_VALUE"""),"")</f>
        <v/>
      </c>
      <c r="CQ53" s="112" t="str">
        <f>IFERROR(__xludf.DUMMYFUNCTION("""COMPUTED_VALUE"""),"")</f>
        <v/>
      </c>
      <c r="CR53" s="112" t="str">
        <f>IFERROR(__xludf.DUMMYFUNCTION("""COMPUTED_VALUE"""),"")</f>
        <v/>
      </c>
      <c r="CS53" s="113"/>
      <c r="CT53" s="112"/>
      <c r="CU53" s="112"/>
      <c r="CV53" s="113"/>
      <c r="CW53" s="112"/>
      <c r="CX53" s="112"/>
      <c r="CY53" s="113"/>
      <c r="CZ53" s="112"/>
      <c r="DA53" s="112"/>
      <c r="DB53" s="113"/>
      <c r="DC53" s="112"/>
      <c r="DD53" s="112"/>
      <c r="DE53" s="113"/>
      <c r="DF53" s="112"/>
      <c r="DG53" s="112"/>
      <c r="DH53" s="113"/>
      <c r="DI53" s="112"/>
      <c r="DJ53" s="112"/>
      <c r="DK53" s="113"/>
      <c r="DL53" s="112"/>
      <c r="DM53" s="112"/>
      <c r="DN53" s="113"/>
      <c r="DO53" s="112"/>
      <c r="DP53" s="112"/>
      <c r="DQ53" s="113"/>
      <c r="DR53" s="112"/>
      <c r="DS53" s="112"/>
      <c r="DT53" s="113"/>
    </row>
    <row r="54">
      <c r="B54" s="83" t="str">
        <f>IFERROR(__xludf.DUMMYFUNCTION("""COMPUTED_VALUE"""),"FUY6")</f>
        <v>FUY6</v>
      </c>
      <c r="C54" s="82">
        <f>IFERROR(__xludf.DUMMYFUNCTION("""COMPUTED_VALUE"""),39.0)</f>
        <v>39</v>
      </c>
      <c r="D54" s="88" t="str">
        <f>IFERROR(__xludf.DUMMYFUNCTION("""COMPUTED_VALUE"""),"Unknown Coordinates X-F")</f>
        <v>Unknown Coordinates X-F</v>
      </c>
      <c r="E54" s="82" t="str">
        <f>IFERROR(__xludf.DUMMYFUNCTION("""COMPUTED_VALUE"""),"X-F（校舎）")</f>
        <v>X-F（校舎）</v>
      </c>
      <c r="F54" s="102">
        <f>IFERROR(__xludf.DUMMYFUNCTION("""COMPUTED_VALUE"""),6.0)</f>
        <v>6</v>
      </c>
      <c r="G54" s="82">
        <f>IFERROR(__xludf.DUMMYFUNCTION("""COMPUTED_VALUE"""),7300.0)</f>
        <v>7300</v>
      </c>
      <c r="H54" s="95" t="str">
        <f>IFERROR(__xludf.DUMMYFUNCTION("""COMPUTED_VALUE"""),"")</f>
        <v/>
      </c>
      <c r="I54" s="96" t="str">
        <f>IFERROR(__xludf.DUMMYFUNCTION("""COMPUTED_VALUE"""),"")</f>
        <v/>
      </c>
      <c r="J54" s="97" t="str">
        <f>IFERROR(__xludf.DUMMYFUNCTION("""COMPUTED_VALUE"""),"")</f>
        <v/>
      </c>
      <c r="K54" s="95" t="str">
        <f>IFERROR(__xludf.DUMMYFUNCTION("""COMPUTED_VALUE"""),"")</f>
        <v/>
      </c>
      <c r="L54" s="96" t="str">
        <f>IFERROR(__xludf.DUMMYFUNCTION("""COMPUTED_VALUE"""),"")</f>
        <v/>
      </c>
      <c r="M54" s="97" t="str">
        <f>IFERROR(__xludf.DUMMYFUNCTION("""COMPUTED_VALUE"""),"")</f>
        <v/>
      </c>
      <c r="N54" s="95" t="str">
        <f>IFERROR(__xludf.DUMMYFUNCTION("""COMPUTED_VALUE"""),"")</f>
        <v/>
      </c>
      <c r="O54" s="96" t="str">
        <f>IFERROR(__xludf.DUMMYFUNCTION("""COMPUTED_VALUE"""),"")</f>
        <v/>
      </c>
      <c r="P54" s="97" t="str">
        <f>IFERROR(__xludf.DUMMYFUNCTION("""COMPUTED_VALUE"""),"")</f>
        <v/>
      </c>
      <c r="Q54" s="95" t="str">
        <f>IFERROR(__xludf.DUMMYFUNCTION("""COMPUTED_VALUE"""),"")</f>
        <v/>
      </c>
      <c r="R54" s="96" t="str">
        <f>IFERROR(__xludf.DUMMYFUNCTION("""COMPUTED_VALUE"""),"")</f>
        <v/>
      </c>
      <c r="S54" s="97" t="str">
        <f>IFERROR(__xludf.DUMMYFUNCTION("""COMPUTED_VALUE"""),"")</f>
        <v/>
      </c>
      <c r="T54" s="95" t="str">
        <f>IFERROR(__xludf.DUMMYFUNCTION("""COMPUTED_VALUE"""),"")</f>
        <v/>
      </c>
      <c r="U54" s="96" t="str">
        <f>IFERROR(__xludf.DUMMYFUNCTION("""COMPUTED_VALUE"""),"")</f>
        <v/>
      </c>
      <c r="V54" s="97" t="str">
        <f>IFERROR(__xludf.DUMMYFUNCTION("""COMPUTED_VALUE"""),"")</f>
        <v/>
      </c>
      <c r="W54" s="95" t="str">
        <f>IFERROR(__xludf.DUMMYFUNCTION("""COMPUTED_VALUE"""),"")</f>
        <v/>
      </c>
      <c r="X54" s="96" t="str">
        <f>IFERROR(__xludf.DUMMYFUNCTION("""COMPUTED_VALUE"""),"")</f>
        <v/>
      </c>
      <c r="Y54" s="97" t="str">
        <f>IFERROR(__xludf.DUMMYFUNCTION("""COMPUTED_VALUE"""),"")</f>
        <v/>
      </c>
      <c r="Z54" s="95" t="str">
        <f>IFERROR(__xludf.DUMMYFUNCTION("""COMPUTED_VALUE"""),"")</f>
        <v/>
      </c>
      <c r="AA54" s="96" t="str">
        <f>IFERROR(__xludf.DUMMYFUNCTION("""COMPUTED_VALUE"""),"")</f>
        <v/>
      </c>
      <c r="AB54" s="97" t="str">
        <f>IFERROR(__xludf.DUMMYFUNCTION("""COMPUTED_VALUE"""),"")</f>
        <v/>
      </c>
      <c r="AC54" s="95" t="str">
        <f>IFERROR(__xludf.DUMMYFUNCTION("""COMPUTED_VALUE"""),"")</f>
        <v/>
      </c>
      <c r="AD54" s="96" t="str">
        <f>IFERROR(__xludf.DUMMYFUNCTION("""COMPUTED_VALUE"""),"")</f>
        <v/>
      </c>
      <c r="AE54" s="97" t="str">
        <f>IFERROR(__xludf.DUMMYFUNCTION("""COMPUTED_VALUE"""),"")</f>
        <v/>
      </c>
      <c r="AF54" s="95" t="str">
        <f>IFERROR(__xludf.DUMMYFUNCTION("""COMPUTED_VALUE"""),"")</f>
        <v/>
      </c>
      <c r="AG54" s="96" t="str">
        <f>IFERROR(__xludf.DUMMYFUNCTION("""COMPUTED_VALUE"""),"")</f>
        <v/>
      </c>
      <c r="AH54" s="97" t="str">
        <f>IFERROR(__xludf.DUMMYFUNCTION("""COMPUTED_VALUE"""),"")</f>
        <v/>
      </c>
      <c r="AI54" s="92" t="str">
        <f>IFERROR(__xludf.DUMMYFUNCTION("""COMPUTED_VALUE"""),"")</f>
        <v/>
      </c>
      <c r="AJ54" s="93" t="str">
        <f>IFERROR(__xludf.DUMMYFUNCTION("""COMPUTED_VALUE"""),"")</f>
        <v/>
      </c>
      <c r="AK54" s="94" t="str">
        <f>IFERROR(__xludf.DUMMYFUNCTION("""COMPUTED_VALUE"""),"")</f>
        <v/>
      </c>
      <c r="AL54" s="93" t="str">
        <f>IFERROR(__xludf.DUMMYFUNCTION("""COMPUTED_VALUE"""),"")</f>
        <v/>
      </c>
      <c r="AM54" s="93" t="str">
        <f>IFERROR(__xludf.DUMMYFUNCTION("""COMPUTED_VALUE"""),"")</f>
        <v/>
      </c>
      <c r="AN54" s="94" t="str">
        <f>IFERROR(__xludf.DUMMYFUNCTION("""COMPUTED_VALUE"""),"")</f>
        <v/>
      </c>
      <c r="AO54" s="93" t="str">
        <f>IFERROR(__xludf.DUMMYFUNCTION("""COMPUTED_VALUE"""),"")</f>
        <v/>
      </c>
      <c r="AP54" s="93" t="str">
        <f>IFERROR(__xludf.DUMMYFUNCTION("""COMPUTED_VALUE"""),"")</f>
        <v/>
      </c>
      <c r="AQ54" s="94" t="str">
        <f>IFERROR(__xludf.DUMMYFUNCTION("""COMPUTED_VALUE"""),"")</f>
        <v/>
      </c>
      <c r="AR54" s="93" t="str">
        <f>IFERROR(__xludf.DUMMYFUNCTION("""COMPUTED_VALUE"""),"")</f>
        <v/>
      </c>
      <c r="AS54" s="93" t="str">
        <f>IFERROR(__xludf.DUMMYFUNCTION("""COMPUTED_VALUE"""),"")</f>
        <v/>
      </c>
      <c r="AT54" s="94" t="str">
        <f>IFERROR(__xludf.DUMMYFUNCTION("""COMPUTED_VALUE"""),"")</f>
        <v/>
      </c>
      <c r="AU54" s="93">
        <f>IFERROR(__xludf.DUMMYFUNCTION("""COMPUTED_VALUE"""),35.3)</f>
        <v>35.3</v>
      </c>
      <c r="AV54" s="93" t="str">
        <f>IFERROR(__xludf.DUMMYFUNCTION("""COMPUTED_VALUE"""),"")</f>
        <v/>
      </c>
      <c r="AW54" s="94">
        <f>IFERROR(__xludf.DUMMYFUNCTION("""COMPUTED_VALUE"""),75.5)</f>
        <v>75.5</v>
      </c>
      <c r="AX54" s="93" t="str">
        <f>IFERROR(__xludf.DUMMYFUNCTION("""COMPUTED_VALUE"""),"")</f>
        <v/>
      </c>
      <c r="AY54" s="93" t="str">
        <f>IFERROR(__xludf.DUMMYFUNCTION("""COMPUTED_VALUE"""),"")</f>
        <v/>
      </c>
      <c r="AZ54" s="94" t="str">
        <f>IFERROR(__xludf.DUMMYFUNCTION("""COMPUTED_VALUE"""),"")</f>
        <v/>
      </c>
      <c r="BA54" s="93" t="str">
        <f>IFERROR(__xludf.DUMMYFUNCTION("""COMPUTED_VALUE"""),"")</f>
        <v/>
      </c>
      <c r="BB54" s="93" t="str">
        <f>IFERROR(__xludf.DUMMYFUNCTION("""COMPUTED_VALUE"""),"")</f>
        <v/>
      </c>
      <c r="BC54" s="94" t="str">
        <f>IFERROR(__xludf.DUMMYFUNCTION("""COMPUTED_VALUE"""),"")</f>
        <v/>
      </c>
      <c r="BD54" s="93" t="str">
        <f>IFERROR(__xludf.DUMMYFUNCTION("""COMPUTED_VALUE"""),"")</f>
        <v/>
      </c>
      <c r="BE54" s="93" t="str">
        <f>IFERROR(__xludf.DUMMYFUNCTION("""COMPUTED_VALUE"""),"")</f>
        <v/>
      </c>
      <c r="BF54" s="94" t="str">
        <f>IFERROR(__xludf.DUMMYFUNCTION("""COMPUTED_VALUE"""),"")</f>
        <v/>
      </c>
      <c r="BG54" s="92" t="str">
        <f>IFERROR(__xludf.DUMMYFUNCTION("""COMPUTED_VALUE"""),"")</f>
        <v/>
      </c>
      <c r="BH54" s="93" t="str">
        <f>IFERROR(__xludf.DUMMYFUNCTION("""COMPUTED_VALUE"""),"")</f>
        <v/>
      </c>
      <c r="BI54" s="94" t="str">
        <f>IFERROR(__xludf.DUMMYFUNCTION("""COMPUTED_VALUE"""),"")</f>
        <v/>
      </c>
      <c r="BJ54" s="93" t="str">
        <f>IFERROR(__xludf.DUMMYFUNCTION("""COMPUTED_VALUE"""),"")</f>
        <v/>
      </c>
      <c r="BK54" s="93" t="str">
        <f>IFERROR(__xludf.DUMMYFUNCTION("""COMPUTED_VALUE"""),"")</f>
        <v/>
      </c>
      <c r="BL54" s="94" t="str">
        <f>IFERROR(__xludf.DUMMYFUNCTION("""COMPUTED_VALUE"""),"")</f>
        <v/>
      </c>
      <c r="BM54" s="93" t="str">
        <f>IFERROR(__xludf.DUMMYFUNCTION("""COMPUTED_VALUE"""),"")</f>
        <v/>
      </c>
      <c r="BN54" s="93" t="str">
        <f>IFERROR(__xludf.DUMMYFUNCTION("""COMPUTED_VALUE"""),"")</f>
        <v/>
      </c>
      <c r="BO54" s="94" t="str">
        <f>IFERROR(__xludf.DUMMYFUNCTION("""COMPUTED_VALUE"""),"")</f>
        <v/>
      </c>
      <c r="BP54" s="93" t="str">
        <f>IFERROR(__xludf.DUMMYFUNCTION("""COMPUTED_VALUE"""),"")</f>
        <v/>
      </c>
      <c r="BQ54" s="93">
        <f>IFERROR(__xludf.DUMMYFUNCTION("""COMPUTED_VALUE"""),39.4)</f>
        <v>39.4</v>
      </c>
      <c r="BR54" s="94">
        <f>IFERROR(__xludf.DUMMYFUNCTION("""COMPUTED_VALUE"""),39.8)</f>
        <v>39.8</v>
      </c>
      <c r="BS54" s="93" t="str">
        <f>IFERROR(__xludf.DUMMYFUNCTION("""COMPUTED_VALUE"""),"")</f>
        <v/>
      </c>
      <c r="BT54" s="93" t="str">
        <f>IFERROR(__xludf.DUMMYFUNCTION("""COMPUTED_VALUE"""),"")</f>
        <v/>
      </c>
      <c r="BU54" s="94" t="str">
        <f>IFERROR(__xludf.DUMMYFUNCTION("""COMPUTED_VALUE"""),"")</f>
        <v/>
      </c>
      <c r="BV54" s="93" t="str">
        <f>IFERROR(__xludf.DUMMYFUNCTION("""COMPUTED_VALUE"""),"")</f>
        <v/>
      </c>
      <c r="BW54" s="93" t="str">
        <f>IFERROR(__xludf.DUMMYFUNCTION("""COMPUTED_VALUE"""),"")</f>
        <v/>
      </c>
      <c r="BX54" s="94" t="str">
        <f>IFERROR(__xludf.DUMMYFUNCTION("""COMPUTED_VALUE"""),"")</f>
        <v/>
      </c>
      <c r="BY54" s="93" t="str">
        <f>IFERROR(__xludf.DUMMYFUNCTION("""COMPUTED_VALUE"""),"")</f>
        <v/>
      </c>
      <c r="BZ54" s="93" t="str">
        <f>IFERROR(__xludf.DUMMYFUNCTION("""COMPUTED_VALUE"""),"")</f>
        <v/>
      </c>
      <c r="CA54" s="94" t="str">
        <f>IFERROR(__xludf.DUMMYFUNCTION("""COMPUTED_VALUE"""),"")</f>
        <v/>
      </c>
      <c r="CB54" s="92" t="str">
        <f>IFERROR(__xludf.DUMMYFUNCTION("""COMPUTED_VALUE"""),"")</f>
        <v/>
      </c>
      <c r="CC54" s="93" t="str">
        <f>IFERROR(__xludf.DUMMYFUNCTION("""COMPUTED_VALUE"""),"")</f>
        <v/>
      </c>
      <c r="CD54" s="94" t="str">
        <f>IFERROR(__xludf.DUMMYFUNCTION("""COMPUTED_VALUE"""),"")</f>
        <v/>
      </c>
      <c r="CE54" s="93" t="str">
        <f>IFERROR(__xludf.DUMMYFUNCTION("""COMPUTED_VALUE"""),"")</f>
        <v/>
      </c>
      <c r="CF54" s="93" t="str">
        <f>IFERROR(__xludf.DUMMYFUNCTION("""COMPUTED_VALUE"""),"")</f>
        <v/>
      </c>
      <c r="CG54" s="94">
        <f>IFERROR(__xludf.DUMMYFUNCTION("""COMPUTED_VALUE"""),122.9)</f>
        <v>122.9</v>
      </c>
      <c r="CH54" s="93" t="str">
        <f>IFERROR(__xludf.DUMMYFUNCTION("""COMPUTED_VALUE"""),"")</f>
        <v/>
      </c>
      <c r="CI54" s="93" t="str">
        <f>IFERROR(__xludf.DUMMYFUNCTION("""COMPUTED_VALUE"""),"")</f>
        <v/>
      </c>
      <c r="CJ54" s="94">
        <f>IFERROR(__xludf.DUMMYFUNCTION("""COMPUTED_VALUE"""),134.8)</f>
        <v>134.8</v>
      </c>
      <c r="CK54" s="93" t="str">
        <f>IFERROR(__xludf.DUMMYFUNCTION("""COMPUTED_VALUE"""),"")</f>
        <v/>
      </c>
      <c r="CL54" s="93" t="str">
        <f>IFERROR(__xludf.DUMMYFUNCTION("""COMPUTED_VALUE"""),"")</f>
        <v/>
      </c>
      <c r="CM54" s="94" t="str">
        <f>IFERROR(__xludf.DUMMYFUNCTION("""COMPUTED_VALUE"""),"")</f>
        <v/>
      </c>
      <c r="CN54" s="93" t="str">
        <f>IFERROR(__xludf.DUMMYFUNCTION("""COMPUTED_VALUE"""),"")</f>
        <v/>
      </c>
      <c r="CO54" s="93" t="str">
        <f>IFERROR(__xludf.DUMMYFUNCTION("""COMPUTED_VALUE"""),"")</f>
        <v/>
      </c>
      <c r="CP54" s="94" t="str">
        <f>IFERROR(__xludf.DUMMYFUNCTION("""COMPUTED_VALUE"""),"")</f>
        <v/>
      </c>
      <c r="CQ54" s="93" t="str">
        <f>IFERROR(__xludf.DUMMYFUNCTION("""COMPUTED_VALUE"""),"")</f>
        <v/>
      </c>
      <c r="CR54" s="93" t="str">
        <f>IFERROR(__xludf.DUMMYFUNCTION("""COMPUTED_VALUE"""),"")</f>
        <v/>
      </c>
      <c r="CS54" s="94"/>
      <c r="CT54" s="93"/>
      <c r="CU54" s="93"/>
      <c r="CV54" s="94"/>
      <c r="CW54" s="93"/>
      <c r="CX54" s="93"/>
      <c r="CY54" s="94"/>
      <c r="CZ54" s="93"/>
      <c r="DA54" s="93"/>
      <c r="DB54" s="94"/>
      <c r="DC54" s="93"/>
      <c r="DD54" s="93"/>
      <c r="DE54" s="94"/>
      <c r="DF54" s="93"/>
      <c r="DG54" s="93"/>
      <c r="DH54" s="94"/>
      <c r="DI54" s="93"/>
      <c r="DJ54" s="93"/>
      <c r="DK54" s="94"/>
      <c r="DL54" s="93"/>
      <c r="DM54" s="93"/>
      <c r="DN54" s="94"/>
      <c r="DO54" s="93"/>
      <c r="DP54" s="93"/>
      <c r="DQ54" s="94"/>
      <c r="DR54" s="93"/>
      <c r="DS54" s="93"/>
      <c r="DT54" s="94"/>
    </row>
    <row r="55">
      <c r="B55" s="83" t="str">
        <f>IFERROR(__xludf.DUMMYFUNCTION("""COMPUTED_VALUE"""),"FUY7")</f>
        <v>FUY7</v>
      </c>
      <c r="C55" s="82">
        <f>IFERROR(__xludf.DUMMYFUNCTION("""COMPUTED_VALUE"""),40.0)</f>
        <v>40</v>
      </c>
      <c r="D55" s="88" t="str">
        <f>IFERROR(__xludf.DUMMYFUNCTION("""COMPUTED_VALUE"""),"Unknown Coordinates X-G")</f>
        <v>Unknown Coordinates X-G</v>
      </c>
      <c r="E55" s="82" t="str">
        <f>IFERROR(__xludf.DUMMYFUNCTION("""COMPUTED_VALUE"""),"X-G（燃え盛る森）")</f>
        <v>X-G（燃え盛る森）</v>
      </c>
      <c r="F55" s="102">
        <f>IFERROR(__xludf.DUMMYFUNCTION("""COMPUTED_VALUE"""),15.0)</f>
        <v>15</v>
      </c>
      <c r="G55" s="82">
        <f>IFERROR(__xludf.DUMMYFUNCTION("""COMPUTED_VALUE"""),135227.0)</f>
        <v>135227</v>
      </c>
      <c r="H55" s="95" t="str">
        <f>IFERROR(__xludf.DUMMYFUNCTION("""COMPUTED_VALUE"""),"")</f>
        <v/>
      </c>
      <c r="I55" s="96" t="str">
        <f>IFERROR(__xludf.DUMMYFUNCTION("""COMPUTED_VALUE"""),"")</f>
        <v/>
      </c>
      <c r="J55" s="97" t="str">
        <f>IFERROR(__xludf.DUMMYFUNCTION("""COMPUTED_VALUE"""),"")</f>
        <v/>
      </c>
      <c r="K55" s="95" t="str">
        <f>IFERROR(__xludf.DUMMYFUNCTION("""COMPUTED_VALUE"""),"")</f>
        <v/>
      </c>
      <c r="L55" s="96" t="str">
        <f>IFERROR(__xludf.DUMMYFUNCTION("""COMPUTED_VALUE"""),"")</f>
        <v/>
      </c>
      <c r="M55" s="97" t="str">
        <f>IFERROR(__xludf.DUMMYFUNCTION("""COMPUTED_VALUE"""),"")</f>
        <v/>
      </c>
      <c r="N55" s="95" t="str">
        <f>IFERROR(__xludf.DUMMYFUNCTION("""COMPUTED_VALUE"""),"")</f>
        <v/>
      </c>
      <c r="O55" s="96" t="str">
        <f>IFERROR(__xludf.DUMMYFUNCTION("""COMPUTED_VALUE"""),"")</f>
        <v/>
      </c>
      <c r="P55" s="97" t="str">
        <f>IFERROR(__xludf.DUMMYFUNCTION("""COMPUTED_VALUE"""),"")</f>
        <v/>
      </c>
      <c r="Q55" s="95" t="str">
        <f>IFERROR(__xludf.DUMMYFUNCTION("""COMPUTED_VALUE"""),"")</f>
        <v/>
      </c>
      <c r="R55" s="96" t="str">
        <f>IFERROR(__xludf.DUMMYFUNCTION("""COMPUTED_VALUE"""),"")</f>
        <v/>
      </c>
      <c r="S55" s="97" t="str">
        <f>IFERROR(__xludf.DUMMYFUNCTION("""COMPUTED_VALUE"""),"")</f>
        <v/>
      </c>
      <c r="T55" s="95" t="str">
        <f>IFERROR(__xludf.DUMMYFUNCTION("""COMPUTED_VALUE"""),"")</f>
        <v/>
      </c>
      <c r="U55" s="96" t="str">
        <f>IFERROR(__xludf.DUMMYFUNCTION("""COMPUTED_VALUE"""),"")</f>
        <v/>
      </c>
      <c r="V55" s="97" t="str">
        <f>IFERROR(__xludf.DUMMYFUNCTION("""COMPUTED_VALUE"""),"")</f>
        <v/>
      </c>
      <c r="W55" s="95" t="str">
        <f>IFERROR(__xludf.DUMMYFUNCTION("""COMPUTED_VALUE"""),"")</f>
        <v/>
      </c>
      <c r="X55" s="96" t="str">
        <f>IFERROR(__xludf.DUMMYFUNCTION("""COMPUTED_VALUE"""),"")</f>
        <v/>
      </c>
      <c r="Y55" s="97" t="str">
        <f>IFERROR(__xludf.DUMMYFUNCTION("""COMPUTED_VALUE"""),"")</f>
        <v/>
      </c>
      <c r="Z55" s="95" t="str">
        <f>IFERROR(__xludf.DUMMYFUNCTION("""COMPUTED_VALUE"""),"")</f>
        <v/>
      </c>
      <c r="AA55" s="96" t="str">
        <f>IFERROR(__xludf.DUMMYFUNCTION("""COMPUTED_VALUE"""),"")</f>
        <v/>
      </c>
      <c r="AB55" s="97" t="str">
        <f>IFERROR(__xludf.DUMMYFUNCTION("""COMPUTED_VALUE"""),"")</f>
        <v/>
      </c>
      <c r="AC55" s="95" t="str">
        <f>IFERROR(__xludf.DUMMYFUNCTION("""COMPUTED_VALUE"""),"")</f>
        <v/>
      </c>
      <c r="AD55" s="96" t="str">
        <f>IFERROR(__xludf.DUMMYFUNCTION("""COMPUTED_VALUE"""),"")</f>
        <v/>
      </c>
      <c r="AE55" s="97" t="str">
        <f>IFERROR(__xludf.DUMMYFUNCTION("""COMPUTED_VALUE"""),"")</f>
        <v/>
      </c>
      <c r="AF55" s="95" t="str">
        <f>IFERROR(__xludf.DUMMYFUNCTION("""COMPUTED_VALUE"""),"")</f>
        <v/>
      </c>
      <c r="AG55" s="96" t="str">
        <f>IFERROR(__xludf.DUMMYFUNCTION("""COMPUTED_VALUE"""),"")</f>
        <v/>
      </c>
      <c r="AH55" s="97" t="str">
        <f>IFERROR(__xludf.DUMMYFUNCTION("""COMPUTED_VALUE"""),"")</f>
        <v/>
      </c>
      <c r="AI55" s="111" t="str">
        <f>IFERROR(__xludf.DUMMYFUNCTION("""COMPUTED_VALUE"""),"")</f>
        <v/>
      </c>
      <c r="AJ55" s="112" t="str">
        <f>IFERROR(__xludf.DUMMYFUNCTION("""COMPUTED_VALUE"""),"")</f>
        <v/>
      </c>
      <c r="AK55" s="113" t="str">
        <f>IFERROR(__xludf.DUMMYFUNCTION("""COMPUTED_VALUE"""),"")</f>
        <v/>
      </c>
      <c r="AL55" s="112" t="str">
        <f>IFERROR(__xludf.DUMMYFUNCTION("""COMPUTED_VALUE"""),"")</f>
        <v/>
      </c>
      <c r="AM55" s="112" t="str">
        <f>IFERROR(__xludf.DUMMYFUNCTION("""COMPUTED_VALUE"""),"")</f>
        <v/>
      </c>
      <c r="AN55" s="113" t="str">
        <f>IFERROR(__xludf.DUMMYFUNCTION("""COMPUTED_VALUE"""),"")</f>
        <v/>
      </c>
      <c r="AO55" s="112" t="str">
        <f>IFERROR(__xludf.DUMMYFUNCTION("""COMPUTED_VALUE"""),"")</f>
        <v/>
      </c>
      <c r="AP55" s="112" t="str">
        <f>IFERROR(__xludf.DUMMYFUNCTION("""COMPUTED_VALUE"""),"")</f>
        <v/>
      </c>
      <c r="AQ55" s="113" t="str">
        <f>IFERROR(__xludf.DUMMYFUNCTION("""COMPUTED_VALUE"""),"")</f>
        <v/>
      </c>
      <c r="AR55" s="112" t="str">
        <f>IFERROR(__xludf.DUMMYFUNCTION("""COMPUTED_VALUE"""),"")</f>
        <v/>
      </c>
      <c r="AS55" s="112" t="str">
        <f>IFERROR(__xludf.DUMMYFUNCTION("""COMPUTED_VALUE"""),"")</f>
        <v/>
      </c>
      <c r="AT55" s="113" t="str">
        <f>IFERROR(__xludf.DUMMYFUNCTION("""COMPUTED_VALUE"""),"")</f>
        <v/>
      </c>
      <c r="AU55" s="112">
        <f>IFERROR(__xludf.DUMMYFUNCTION("""COMPUTED_VALUE"""),23.5)</f>
        <v>23.5</v>
      </c>
      <c r="AV55" s="112" t="str">
        <f>IFERROR(__xludf.DUMMYFUNCTION("""COMPUTED_VALUE"""),"")</f>
        <v/>
      </c>
      <c r="AW55" s="113" t="str">
        <f>IFERROR(__xludf.DUMMYFUNCTION("""COMPUTED_VALUE"""),"")</f>
        <v/>
      </c>
      <c r="AX55" s="112" t="str">
        <f>IFERROR(__xludf.DUMMYFUNCTION("""COMPUTED_VALUE"""),"")</f>
        <v/>
      </c>
      <c r="AY55" s="112" t="str">
        <f>IFERROR(__xludf.DUMMYFUNCTION("""COMPUTED_VALUE"""),"")</f>
        <v/>
      </c>
      <c r="AZ55" s="113" t="str">
        <f>IFERROR(__xludf.DUMMYFUNCTION("""COMPUTED_VALUE"""),"")</f>
        <v/>
      </c>
      <c r="BA55" s="112" t="str">
        <f>IFERROR(__xludf.DUMMYFUNCTION("""COMPUTED_VALUE"""),"")</f>
        <v/>
      </c>
      <c r="BB55" s="112" t="str">
        <f>IFERROR(__xludf.DUMMYFUNCTION("""COMPUTED_VALUE"""),"")</f>
        <v/>
      </c>
      <c r="BC55" s="113" t="str">
        <f>IFERROR(__xludf.DUMMYFUNCTION("""COMPUTED_VALUE"""),"")</f>
        <v/>
      </c>
      <c r="BD55" s="112" t="str">
        <f>IFERROR(__xludf.DUMMYFUNCTION("""COMPUTED_VALUE"""),"")</f>
        <v/>
      </c>
      <c r="BE55" s="112" t="str">
        <f>IFERROR(__xludf.DUMMYFUNCTION("""COMPUTED_VALUE"""),"")</f>
        <v/>
      </c>
      <c r="BF55" s="113" t="str">
        <f>IFERROR(__xludf.DUMMYFUNCTION("""COMPUTED_VALUE"""),"")</f>
        <v/>
      </c>
      <c r="BG55" s="111" t="str">
        <f>IFERROR(__xludf.DUMMYFUNCTION("""COMPUTED_VALUE"""),"")</f>
        <v/>
      </c>
      <c r="BH55" s="112" t="str">
        <f>IFERROR(__xludf.DUMMYFUNCTION("""COMPUTED_VALUE"""),"")</f>
        <v/>
      </c>
      <c r="BI55" s="113" t="str">
        <f>IFERROR(__xludf.DUMMYFUNCTION("""COMPUTED_VALUE"""),"")</f>
        <v/>
      </c>
      <c r="BJ55" s="112" t="str">
        <f>IFERROR(__xludf.DUMMYFUNCTION("""COMPUTED_VALUE"""),"")</f>
        <v/>
      </c>
      <c r="BK55" s="112" t="str">
        <f>IFERROR(__xludf.DUMMYFUNCTION("""COMPUTED_VALUE"""),"")</f>
        <v/>
      </c>
      <c r="BL55" s="113" t="str">
        <f>IFERROR(__xludf.DUMMYFUNCTION("""COMPUTED_VALUE"""),"")</f>
        <v/>
      </c>
      <c r="BM55" s="112" t="str">
        <f>IFERROR(__xludf.DUMMYFUNCTION("""COMPUTED_VALUE"""),"")</f>
        <v/>
      </c>
      <c r="BN55" s="112" t="str">
        <f>IFERROR(__xludf.DUMMYFUNCTION("""COMPUTED_VALUE"""),"")</f>
        <v/>
      </c>
      <c r="BO55" s="113" t="str">
        <f>IFERROR(__xludf.DUMMYFUNCTION("""COMPUTED_VALUE"""),"")</f>
        <v/>
      </c>
      <c r="BP55" s="112" t="str">
        <f>IFERROR(__xludf.DUMMYFUNCTION("""COMPUTED_VALUE"""),"")</f>
        <v/>
      </c>
      <c r="BQ55" s="106">
        <f>IFERROR(__xludf.DUMMYFUNCTION("""COMPUTED_VALUE"""),163.6)</f>
        <v>163.6</v>
      </c>
      <c r="BR55" s="113">
        <f>IFERROR(__xludf.DUMMYFUNCTION("""COMPUTED_VALUE"""),334.8)</f>
        <v>334.8</v>
      </c>
      <c r="BS55" s="112">
        <f>IFERROR(__xludf.DUMMYFUNCTION("""COMPUTED_VALUE"""),83.5)</f>
        <v>83.5</v>
      </c>
      <c r="BT55" s="112" t="str">
        <f>IFERROR(__xludf.DUMMYFUNCTION("""COMPUTED_VALUE"""),"")</f>
        <v/>
      </c>
      <c r="BU55" s="113" t="str">
        <f>IFERROR(__xludf.DUMMYFUNCTION("""COMPUTED_VALUE"""),"")</f>
        <v/>
      </c>
      <c r="BV55" s="112" t="str">
        <f>IFERROR(__xludf.DUMMYFUNCTION("""COMPUTED_VALUE"""),"")</f>
        <v/>
      </c>
      <c r="BW55" s="112" t="str">
        <f>IFERROR(__xludf.DUMMYFUNCTION("""COMPUTED_VALUE"""),"")</f>
        <v/>
      </c>
      <c r="BX55" s="113" t="str">
        <f>IFERROR(__xludf.DUMMYFUNCTION("""COMPUTED_VALUE"""),"")</f>
        <v/>
      </c>
      <c r="BY55" s="112" t="str">
        <f>IFERROR(__xludf.DUMMYFUNCTION("""COMPUTED_VALUE"""),"")</f>
        <v/>
      </c>
      <c r="BZ55" s="112" t="str">
        <f>IFERROR(__xludf.DUMMYFUNCTION("""COMPUTED_VALUE"""),"")</f>
        <v/>
      </c>
      <c r="CA55" s="113" t="str">
        <f>IFERROR(__xludf.DUMMYFUNCTION("""COMPUTED_VALUE"""),"")</f>
        <v/>
      </c>
      <c r="CB55" s="111" t="str">
        <f>IFERROR(__xludf.DUMMYFUNCTION("""COMPUTED_VALUE"""),"")</f>
        <v/>
      </c>
      <c r="CC55" s="112" t="str">
        <f>IFERROR(__xludf.DUMMYFUNCTION("""COMPUTED_VALUE"""),"")</f>
        <v/>
      </c>
      <c r="CD55" s="113" t="str">
        <f>IFERROR(__xludf.DUMMYFUNCTION("""COMPUTED_VALUE"""),"")</f>
        <v/>
      </c>
      <c r="CE55" s="112" t="str">
        <f>IFERROR(__xludf.DUMMYFUNCTION("""COMPUTED_VALUE"""),"")</f>
        <v/>
      </c>
      <c r="CF55" s="112" t="str">
        <f>IFERROR(__xludf.DUMMYFUNCTION("""COMPUTED_VALUE"""),"")</f>
        <v/>
      </c>
      <c r="CG55" s="113" t="str">
        <f>IFERROR(__xludf.DUMMYFUNCTION("""COMPUTED_VALUE"""),"")</f>
        <v/>
      </c>
      <c r="CH55" s="112" t="str">
        <f>IFERROR(__xludf.DUMMYFUNCTION("""COMPUTED_VALUE"""),"")</f>
        <v/>
      </c>
      <c r="CI55" s="112" t="str">
        <f>IFERROR(__xludf.DUMMYFUNCTION("""COMPUTED_VALUE"""),"")</f>
        <v/>
      </c>
      <c r="CJ55" s="113" t="str">
        <f>IFERROR(__xludf.DUMMYFUNCTION("""COMPUTED_VALUE"""),"")</f>
        <v/>
      </c>
      <c r="CK55" s="112" t="str">
        <f>IFERROR(__xludf.DUMMYFUNCTION("""COMPUTED_VALUE"""),"")</f>
        <v/>
      </c>
      <c r="CL55" s="106" t="str">
        <f>IFERROR(__xludf.DUMMYFUNCTION("""COMPUTED_VALUE"""),"")</f>
        <v/>
      </c>
      <c r="CM55" s="113" t="str">
        <f>IFERROR(__xludf.DUMMYFUNCTION("""COMPUTED_VALUE"""),"")</f>
        <v/>
      </c>
      <c r="CN55" s="112" t="str">
        <f>IFERROR(__xludf.DUMMYFUNCTION("""COMPUTED_VALUE"""),"")</f>
        <v/>
      </c>
      <c r="CO55" s="112" t="str">
        <f>IFERROR(__xludf.DUMMYFUNCTION("""COMPUTED_VALUE"""),"")</f>
        <v/>
      </c>
      <c r="CP55" s="113" t="str">
        <f>IFERROR(__xludf.DUMMYFUNCTION("""COMPUTED_VALUE"""),"")</f>
        <v/>
      </c>
      <c r="CQ55" s="112" t="str">
        <f>IFERROR(__xludf.DUMMYFUNCTION("""COMPUTED_VALUE"""),"")</f>
        <v/>
      </c>
      <c r="CR55" s="112" t="str">
        <f>IFERROR(__xludf.DUMMYFUNCTION("""COMPUTED_VALUE"""),"")</f>
        <v/>
      </c>
      <c r="CS55" s="113"/>
      <c r="CT55" s="112"/>
      <c r="CU55" s="112"/>
      <c r="CV55" s="113"/>
      <c r="CW55" s="112"/>
      <c r="CX55" s="106"/>
      <c r="CY55" s="113"/>
      <c r="CZ55" s="112"/>
      <c r="DA55" s="112"/>
      <c r="DB55" s="113"/>
      <c r="DC55" s="112"/>
      <c r="DD55" s="112"/>
      <c r="DE55" s="113"/>
      <c r="DF55" s="112"/>
      <c r="DG55" s="106"/>
      <c r="DH55" s="113"/>
      <c r="DI55" s="112"/>
      <c r="DJ55" s="112"/>
      <c r="DK55" s="113"/>
      <c r="DL55" s="112"/>
      <c r="DM55" s="112"/>
      <c r="DN55" s="113"/>
      <c r="DO55" s="112"/>
      <c r="DP55" s="112"/>
      <c r="DQ55" s="113"/>
      <c r="DR55" s="112"/>
      <c r="DS55" s="112"/>
      <c r="DT55" s="113"/>
    </row>
    <row r="56">
      <c r="B56" s="83" t="str">
        <f>IFERROR(__xludf.DUMMYFUNCTION("""COMPUTED_VALUE"""),"FUY8")</f>
        <v>FUY8</v>
      </c>
      <c r="C56" s="82">
        <f>IFERROR(__xludf.DUMMYFUNCTION("""COMPUTED_VALUE"""),41.0)</f>
        <v>41</v>
      </c>
      <c r="D56" s="88" t="str">
        <f>IFERROR(__xludf.DUMMYFUNCTION("""COMPUTED_VALUE"""),"Mobile Coordinate No.0")</f>
        <v>Mobile Coordinate No.0</v>
      </c>
      <c r="E56" s="82" t="str">
        <f>IFERROR(__xludf.DUMMYFUNCTION("""COMPUTED_VALUE"""),"変動座標点0号（大空洞）")</f>
        <v>変動座標点0号（大空洞）</v>
      </c>
      <c r="F56" s="102">
        <f>IFERROR(__xludf.DUMMYFUNCTION("""COMPUTED_VALUE"""),7.0)</f>
        <v>7</v>
      </c>
      <c r="G56" s="82">
        <f>IFERROR(__xludf.DUMMYFUNCTION("""COMPUTED_VALUE"""),1113.0)</f>
        <v>1113</v>
      </c>
      <c r="H56" s="95" t="str">
        <f>IFERROR(__xludf.DUMMYFUNCTION("""COMPUTED_VALUE"""),"")</f>
        <v/>
      </c>
      <c r="I56" s="96" t="str">
        <f>IFERROR(__xludf.DUMMYFUNCTION("""COMPUTED_VALUE"""),"")</f>
        <v/>
      </c>
      <c r="J56" s="97" t="str">
        <f>IFERROR(__xludf.DUMMYFUNCTION("""COMPUTED_VALUE"""),"")</f>
        <v/>
      </c>
      <c r="K56" s="95" t="str">
        <f>IFERROR(__xludf.DUMMYFUNCTION("""COMPUTED_VALUE"""),"")</f>
        <v/>
      </c>
      <c r="L56" s="96" t="str">
        <f>IFERROR(__xludf.DUMMYFUNCTION("""COMPUTED_VALUE"""),"")</f>
        <v/>
      </c>
      <c r="M56" s="97" t="str">
        <f>IFERROR(__xludf.DUMMYFUNCTION("""COMPUTED_VALUE"""),"")</f>
        <v/>
      </c>
      <c r="N56" s="95" t="str">
        <f>IFERROR(__xludf.DUMMYFUNCTION("""COMPUTED_VALUE"""),"")</f>
        <v/>
      </c>
      <c r="O56" s="96" t="str">
        <f>IFERROR(__xludf.DUMMYFUNCTION("""COMPUTED_VALUE"""),"")</f>
        <v/>
      </c>
      <c r="P56" s="97" t="str">
        <f>IFERROR(__xludf.DUMMYFUNCTION("""COMPUTED_VALUE"""),"")</f>
        <v/>
      </c>
      <c r="Q56" s="95" t="str">
        <f>IFERROR(__xludf.DUMMYFUNCTION("""COMPUTED_VALUE"""),"")</f>
        <v/>
      </c>
      <c r="R56" s="96" t="str">
        <f>IFERROR(__xludf.DUMMYFUNCTION("""COMPUTED_VALUE"""),"")</f>
        <v/>
      </c>
      <c r="S56" s="97" t="str">
        <f>IFERROR(__xludf.DUMMYFUNCTION("""COMPUTED_VALUE"""),"")</f>
        <v/>
      </c>
      <c r="T56" s="95" t="str">
        <f>IFERROR(__xludf.DUMMYFUNCTION("""COMPUTED_VALUE"""),"")</f>
        <v/>
      </c>
      <c r="U56" s="96" t="str">
        <f>IFERROR(__xludf.DUMMYFUNCTION("""COMPUTED_VALUE"""),"")</f>
        <v/>
      </c>
      <c r="V56" s="97" t="str">
        <f>IFERROR(__xludf.DUMMYFUNCTION("""COMPUTED_VALUE"""),"")</f>
        <v/>
      </c>
      <c r="W56" s="95" t="str">
        <f>IFERROR(__xludf.DUMMYFUNCTION("""COMPUTED_VALUE"""),"")</f>
        <v/>
      </c>
      <c r="X56" s="96" t="str">
        <f>IFERROR(__xludf.DUMMYFUNCTION("""COMPUTED_VALUE"""),"")</f>
        <v/>
      </c>
      <c r="Y56" s="97" t="str">
        <f>IFERROR(__xludf.DUMMYFUNCTION("""COMPUTED_VALUE"""),"")</f>
        <v/>
      </c>
      <c r="Z56" s="95" t="str">
        <f>IFERROR(__xludf.DUMMYFUNCTION("""COMPUTED_VALUE"""),"")</f>
        <v/>
      </c>
      <c r="AA56" s="96" t="str">
        <f>IFERROR(__xludf.DUMMYFUNCTION("""COMPUTED_VALUE"""),"")</f>
        <v/>
      </c>
      <c r="AB56" s="97" t="str">
        <f>IFERROR(__xludf.DUMMYFUNCTION("""COMPUTED_VALUE"""),"")</f>
        <v/>
      </c>
      <c r="AC56" s="95" t="str">
        <f>IFERROR(__xludf.DUMMYFUNCTION("""COMPUTED_VALUE"""),"")</f>
        <v/>
      </c>
      <c r="AD56" s="96" t="str">
        <f>IFERROR(__xludf.DUMMYFUNCTION("""COMPUTED_VALUE"""),"")</f>
        <v/>
      </c>
      <c r="AE56" s="97" t="str">
        <f>IFERROR(__xludf.DUMMYFUNCTION("""COMPUTED_VALUE"""),"")</f>
        <v/>
      </c>
      <c r="AF56" s="95" t="str">
        <f>IFERROR(__xludf.DUMMYFUNCTION("""COMPUTED_VALUE"""),"")</f>
        <v/>
      </c>
      <c r="AG56" s="96" t="str">
        <f>IFERROR(__xludf.DUMMYFUNCTION("""COMPUTED_VALUE"""),"")</f>
        <v/>
      </c>
      <c r="AH56" s="97" t="str">
        <f>IFERROR(__xludf.DUMMYFUNCTION("""COMPUTED_VALUE"""),"")</f>
        <v/>
      </c>
      <c r="AI56" s="92" t="str">
        <f>IFERROR(__xludf.DUMMYFUNCTION("""COMPUTED_VALUE"""),"")</f>
        <v/>
      </c>
      <c r="AJ56" s="93" t="str">
        <f>IFERROR(__xludf.DUMMYFUNCTION("""COMPUTED_VALUE"""),"")</f>
        <v/>
      </c>
      <c r="AK56" s="94" t="str">
        <f>IFERROR(__xludf.DUMMYFUNCTION("""COMPUTED_VALUE"""),"")</f>
        <v/>
      </c>
      <c r="AL56" s="93" t="str">
        <f>IFERROR(__xludf.DUMMYFUNCTION("""COMPUTED_VALUE"""),"")</f>
        <v/>
      </c>
      <c r="AM56" s="93" t="str">
        <f>IFERROR(__xludf.DUMMYFUNCTION("""COMPUTED_VALUE"""),"")</f>
        <v/>
      </c>
      <c r="AN56" s="94" t="str">
        <f>IFERROR(__xludf.DUMMYFUNCTION("""COMPUTED_VALUE"""),"")</f>
        <v/>
      </c>
      <c r="AO56" s="93" t="str">
        <f>IFERROR(__xludf.DUMMYFUNCTION("""COMPUTED_VALUE"""),"")</f>
        <v/>
      </c>
      <c r="AP56" s="93" t="str">
        <f>IFERROR(__xludf.DUMMYFUNCTION("""COMPUTED_VALUE"""),"")</f>
        <v/>
      </c>
      <c r="AQ56" s="94" t="str">
        <f>IFERROR(__xludf.DUMMYFUNCTION("""COMPUTED_VALUE"""),"")</f>
        <v/>
      </c>
      <c r="AR56" s="93" t="str">
        <f>IFERROR(__xludf.DUMMYFUNCTION("""COMPUTED_VALUE"""),"")</f>
        <v/>
      </c>
      <c r="AS56" s="93" t="str">
        <f>IFERROR(__xludf.DUMMYFUNCTION("""COMPUTED_VALUE"""),"")</f>
        <v/>
      </c>
      <c r="AT56" s="94" t="str">
        <f>IFERROR(__xludf.DUMMYFUNCTION("""COMPUTED_VALUE"""),"")</f>
        <v/>
      </c>
      <c r="AU56" s="93" t="str">
        <f>IFERROR(__xludf.DUMMYFUNCTION("""COMPUTED_VALUE"""),"")</f>
        <v/>
      </c>
      <c r="AV56" s="93">
        <f>IFERROR(__xludf.DUMMYFUNCTION("""COMPUTED_VALUE"""),67.2)</f>
        <v>67.2</v>
      </c>
      <c r="AW56" s="94">
        <f>IFERROR(__xludf.DUMMYFUNCTION("""COMPUTED_VALUE"""),76.4)</f>
        <v>76.4</v>
      </c>
      <c r="AX56" s="93" t="str">
        <f>IFERROR(__xludf.DUMMYFUNCTION("""COMPUTED_VALUE"""),"")</f>
        <v/>
      </c>
      <c r="AY56" s="93" t="str">
        <f>IFERROR(__xludf.DUMMYFUNCTION("""COMPUTED_VALUE"""),"")</f>
        <v/>
      </c>
      <c r="AZ56" s="94" t="str">
        <f>IFERROR(__xludf.DUMMYFUNCTION("""COMPUTED_VALUE"""),"")</f>
        <v/>
      </c>
      <c r="BA56" s="93" t="str">
        <f>IFERROR(__xludf.DUMMYFUNCTION("""COMPUTED_VALUE"""),"")</f>
        <v/>
      </c>
      <c r="BB56" s="93" t="str">
        <f>IFERROR(__xludf.DUMMYFUNCTION("""COMPUTED_VALUE"""),"")</f>
        <v/>
      </c>
      <c r="BC56" s="94" t="str">
        <f>IFERROR(__xludf.DUMMYFUNCTION("""COMPUTED_VALUE"""),"")</f>
        <v/>
      </c>
      <c r="BD56" s="93" t="str">
        <f>IFERROR(__xludf.DUMMYFUNCTION("""COMPUTED_VALUE"""),"")</f>
        <v/>
      </c>
      <c r="BE56" s="93" t="str">
        <f>IFERROR(__xludf.DUMMYFUNCTION("""COMPUTED_VALUE"""),"")</f>
        <v/>
      </c>
      <c r="BF56" s="94" t="str">
        <f>IFERROR(__xludf.DUMMYFUNCTION("""COMPUTED_VALUE"""),"")</f>
        <v/>
      </c>
      <c r="BG56" s="92" t="str">
        <f>IFERROR(__xludf.DUMMYFUNCTION("""COMPUTED_VALUE"""),"")</f>
        <v/>
      </c>
      <c r="BH56" s="93" t="str">
        <f>IFERROR(__xludf.DUMMYFUNCTION("""COMPUTED_VALUE"""),"")</f>
        <v/>
      </c>
      <c r="BI56" s="94" t="str">
        <f>IFERROR(__xludf.DUMMYFUNCTION("""COMPUTED_VALUE"""),"")</f>
        <v/>
      </c>
      <c r="BJ56" s="93" t="str">
        <f>IFERROR(__xludf.DUMMYFUNCTION("""COMPUTED_VALUE"""),"")</f>
        <v/>
      </c>
      <c r="BK56" s="93" t="str">
        <f>IFERROR(__xludf.DUMMYFUNCTION("""COMPUTED_VALUE"""),"")</f>
        <v/>
      </c>
      <c r="BL56" s="94" t="str">
        <f>IFERROR(__xludf.DUMMYFUNCTION("""COMPUTED_VALUE"""),"")</f>
        <v/>
      </c>
      <c r="BM56" s="93" t="str">
        <f>IFERROR(__xludf.DUMMYFUNCTION("""COMPUTED_VALUE"""),"")</f>
        <v/>
      </c>
      <c r="BN56" s="93" t="str">
        <f>IFERROR(__xludf.DUMMYFUNCTION("""COMPUTED_VALUE"""),"")</f>
        <v/>
      </c>
      <c r="BO56" s="94" t="str">
        <f>IFERROR(__xludf.DUMMYFUNCTION("""COMPUTED_VALUE"""),"")</f>
        <v/>
      </c>
      <c r="BP56" s="93" t="str">
        <f>IFERROR(__xludf.DUMMYFUNCTION("""COMPUTED_VALUE"""),"")</f>
        <v/>
      </c>
      <c r="BQ56" s="93">
        <f>IFERROR(__xludf.DUMMYFUNCTION("""COMPUTED_VALUE"""),144.3)</f>
        <v>144.3</v>
      </c>
      <c r="BR56" s="94">
        <f>IFERROR(__xludf.DUMMYFUNCTION("""COMPUTED_VALUE"""),114.6)</f>
        <v>114.6</v>
      </c>
      <c r="BS56" s="93" t="str">
        <f>IFERROR(__xludf.DUMMYFUNCTION("""COMPUTED_VALUE"""),"")</f>
        <v/>
      </c>
      <c r="BT56" s="93" t="str">
        <f>IFERROR(__xludf.DUMMYFUNCTION("""COMPUTED_VALUE"""),"")</f>
        <v/>
      </c>
      <c r="BU56" s="94" t="str">
        <f>IFERROR(__xludf.DUMMYFUNCTION("""COMPUTED_VALUE"""),"")</f>
        <v/>
      </c>
      <c r="BV56" s="93">
        <f>IFERROR(__xludf.DUMMYFUNCTION("""COMPUTED_VALUE"""),38.2)</f>
        <v>38.2</v>
      </c>
      <c r="BW56" s="93" t="str">
        <f>IFERROR(__xludf.DUMMYFUNCTION("""COMPUTED_VALUE"""),"")</f>
        <v/>
      </c>
      <c r="BX56" s="94" t="str">
        <f>IFERROR(__xludf.DUMMYFUNCTION("""COMPUTED_VALUE"""),"")</f>
        <v/>
      </c>
      <c r="BY56" s="93" t="str">
        <f>IFERROR(__xludf.DUMMYFUNCTION("""COMPUTED_VALUE"""),"")</f>
        <v/>
      </c>
      <c r="BZ56" s="93" t="str">
        <f>IFERROR(__xludf.DUMMYFUNCTION("""COMPUTED_VALUE"""),"")</f>
        <v/>
      </c>
      <c r="CA56" s="94" t="str">
        <f>IFERROR(__xludf.DUMMYFUNCTION("""COMPUTED_VALUE"""),"")</f>
        <v/>
      </c>
      <c r="CB56" s="92" t="str">
        <f>IFERROR(__xludf.DUMMYFUNCTION("""COMPUTED_VALUE"""),"")</f>
        <v/>
      </c>
      <c r="CC56" s="93" t="str">
        <f>IFERROR(__xludf.DUMMYFUNCTION("""COMPUTED_VALUE"""),"")</f>
        <v/>
      </c>
      <c r="CD56" s="94" t="str">
        <f>IFERROR(__xludf.DUMMYFUNCTION("""COMPUTED_VALUE"""),"")</f>
        <v/>
      </c>
      <c r="CE56" s="93">
        <f>IFERROR(__xludf.DUMMYFUNCTION("""COMPUTED_VALUE"""),77.9)</f>
        <v>77.9</v>
      </c>
      <c r="CF56" s="93" t="str">
        <f>IFERROR(__xludf.DUMMYFUNCTION("""COMPUTED_VALUE"""),"")</f>
        <v/>
      </c>
      <c r="CG56" s="94" t="str">
        <f>IFERROR(__xludf.DUMMYFUNCTION("""COMPUTED_VALUE"""),"")</f>
        <v/>
      </c>
      <c r="CH56" s="93" t="str">
        <f>IFERROR(__xludf.DUMMYFUNCTION("""COMPUTED_VALUE"""),"")</f>
        <v/>
      </c>
      <c r="CI56" s="93" t="str">
        <f>IFERROR(__xludf.DUMMYFUNCTION("""COMPUTED_VALUE"""),"")</f>
        <v/>
      </c>
      <c r="CJ56" s="94" t="str">
        <f>IFERROR(__xludf.DUMMYFUNCTION("""COMPUTED_VALUE"""),"")</f>
        <v/>
      </c>
      <c r="CK56" s="93" t="str">
        <f>IFERROR(__xludf.DUMMYFUNCTION("""COMPUTED_VALUE"""),"")</f>
        <v/>
      </c>
      <c r="CL56" s="93" t="str">
        <f>IFERROR(__xludf.DUMMYFUNCTION("""COMPUTED_VALUE"""),"")</f>
        <v/>
      </c>
      <c r="CM56" s="94" t="str">
        <f>IFERROR(__xludf.DUMMYFUNCTION("""COMPUTED_VALUE"""),"")</f>
        <v/>
      </c>
      <c r="CN56" s="93" t="str">
        <f>IFERROR(__xludf.DUMMYFUNCTION("""COMPUTED_VALUE"""),"")</f>
        <v/>
      </c>
      <c r="CO56" s="93" t="str">
        <f>IFERROR(__xludf.DUMMYFUNCTION("""COMPUTED_VALUE"""),"")</f>
        <v/>
      </c>
      <c r="CP56" s="94" t="str">
        <f>IFERROR(__xludf.DUMMYFUNCTION("""COMPUTED_VALUE"""),"")</f>
        <v/>
      </c>
      <c r="CQ56" s="93" t="str">
        <f>IFERROR(__xludf.DUMMYFUNCTION("""COMPUTED_VALUE"""),"")</f>
        <v/>
      </c>
      <c r="CR56" s="93" t="str">
        <f>IFERROR(__xludf.DUMMYFUNCTION("""COMPUTED_VALUE"""),"")</f>
        <v/>
      </c>
      <c r="CS56" s="94"/>
      <c r="CT56" s="93"/>
      <c r="CU56" s="93"/>
      <c r="CV56" s="94"/>
      <c r="CW56" s="93"/>
      <c r="CX56" s="93"/>
      <c r="CY56" s="94"/>
      <c r="CZ56" s="93"/>
      <c r="DA56" s="93"/>
      <c r="DB56" s="94"/>
      <c r="DC56" s="93"/>
      <c r="DD56" s="93"/>
      <c r="DE56" s="94"/>
      <c r="DF56" s="93"/>
      <c r="DG56" s="93"/>
      <c r="DH56" s="94"/>
      <c r="DI56" s="93"/>
      <c r="DJ56" s="93"/>
      <c r="DK56" s="94"/>
      <c r="DL56" s="93"/>
      <c r="DM56" s="93"/>
      <c r="DN56" s="94"/>
      <c r="DO56" s="93"/>
      <c r="DP56" s="93"/>
      <c r="DQ56" s="94"/>
      <c r="DR56" s="93"/>
      <c r="DS56" s="93"/>
      <c r="DT56" s="94"/>
    </row>
    <row r="57">
      <c r="A57" s="115" t="str">
        <f>IFERROR(__xludf.DUMMYFUNCTION("""COMPUTED_VALUE"""),"ORLEANS")</f>
        <v>ORLEANS</v>
      </c>
      <c r="B57" s="83" t="str">
        <f>IFERROR(__xludf.DUMMYFUNCTION("""COMPUTED_VALUE"""),"ORL1")</f>
        <v>ORL1</v>
      </c>
      <c r="C57" s="82">
        <f>IFERROR(__xludf.DUMMYFUNCTION("""COMPUTED_VALUE"""),42.0)</f>
        <v>42</v>
      </c>
      <c r="D57" s="88" t="str">
        <f>IFERROR(__xludf.DUMMYFUNCTION("""COMPUTED_VALUE"""),"Domremy")</f>
        <v>Domremy</v>
      </c>
      <c r="E57" s="82" t="str">
        <f>IFERROR(__xludf.DUMMYFUNCTION("""COMPUTED_VALUE"""),"ドンレミ")</f>
        <v>ドンレミ</v>
      </c>
      <c r="F57" s="102">
        <f>IFERROR(__xludf.DUMMYFUNCTION("""COMPUTED_VALUE"""),7.0)</f>
        <v>7</v>
      </c>
      <c r="G57" s="82">
        <f>IFERROR(__xludf.DUMMYFUNCTION("""COMPUTED_VALUE"""),1532.0)</f>
        <v>1532</v>
      </c>
      <c r="H57" s="95" t="str">
        <f>IFERROR(__xludf.DUMMYFUNCTION("""COMPUTED_VALUE"""),"")</f>
        <v/>
      </c>
      <c r="I57" s="96" t="str">
        <f>IFERROR(__xludf.DUMMYFUNCTION("""COMPUTED_VALUE"""),"")</f>
        <v/>
      </c>
      <c r="J57" s="97" t="str">
        <f>IFERROR(__xludf.DUMMYFUNCTION("""COMPUTED_VALUE"""),"")</f>
        <v/>
      </c>
      <c r="K57" s="95" t="str">
        <f>IFERROR(__xludf.DUMMYFUNCTION("""COMPUTED_VALUE"""),"")</f>
        <v/>
      </c>
      <c r="L57" s="96" t="str">
        <f>IFERROR(__xludf.DUMMYFUNCTION("""COMPUTED_VALUE"""),"")</f>
        <v/>
      </c>
      <c r="M57" s="97" t="str">
        <f>IFERROR(__xludf.DUMMYFUNCTION("""COMPUTED_VALUE"""),"")</f>
        <v/>
      </c>
      <c r="N57" s="95" t="str">
        <f>IFERROR(__xludf.DUMMYFUNCTION("""COMPUTED_VALUE"""),"")</f>
        <v/>
      </c>
      <c r="O57" s="96" t="str">
        <f>IFERROR(__xludf.DUMMYFUNCTION("""COMPUTED_VALUE"""),"")</f>
        <v/>
      </c>
      <c r="P57" s="97" t="str">
        <f>IFERROR(__xludf.DUMMYFUNCTION("""COMPUTED_VALUE"""),"")</f>
        <v/>
      </c>
      <c r="Q57" s="95" t="str">
        <f>IFERROR(__xludf.DUMMYFUNCTION("""COMPUTED_VALUE"""),"")</f>
        <v/>
      </c>
      <c r="R57" s="96" t="str">
        <f>IFERROR(__xludf.DUMMYFUNCTION("""COMPUTED_VALUE"""),"")</f>
        <v/>
      </c>
      <c r="S57" s="97" t="str">
        <f>IFERROR(__xludf.DUMMYFUNCTION("""COMPUTED_VALUE"""),"")</f>
        <v/>
      </c>
      <c r="T57" s="95" t="str">
        <f>IFERROR(__xludf.DUMMYFUNCTION("""COMPUTED_VALUE"""),"")</f>
        <v/>
      </c>
      <c r="U57" s="96" t="str">
        <f>IFERROR(__xludf.DUMMYFUNCTION("""COMPUTED_VALUE"""),"")</f>
        <v/>
      </c>
      <c r="V57" s="97" t="str">
        <f>IFERROR(__xludf.DUMMYFUNCTION("""COMPUTED_VALUE"""),"")</f>
        <v/>
      </c>
      <c r="W57" s="95" t="str">
        <f>IFERROR(__xludf.DUMMYFUNCTION("""COMPUTED_VALUE"""),"")</f>
        <v/>
      </c>
      <c r="X57" s="96" t="str">
        <f>IFERROR(__xludf.DUMMYFUNCTION("""COMPUTED_VALUE"""),"")</f>
        <v/>
      </c>
      <c r="Y57" s="97" t="str">
        <f>IFERROR(__xludf.DUMMYFUNCTION("""COMPUTED_VALUE"""),"")</f>
        <v/>
      </c>
      <c r="Z57" s="95" t="str">
        <f>IFERROR(__xludf.DUMMYFUNCTION("""COMPUTED_VALUE"""),"")</f>
        <v/>
      </c>
      <c r="AA57" s="96" t="str">
        <f>IFERROR(__xludf.DUMMYFUNCTION("""COMPUTED_VALUE"""),"")</f>
        <v/>
      </c>
      <c r="AB57" s="97" t="str">
        <f>IFERROR(__xludf.DUMMYFUNCTION("""COMPUTED_VALUE"""),"")</f>
        <v/>
      </c>
      <c r="AC57" s="95" t="str">
        <f>IFERROR(__xludf.DUMMYFUNCTION("""COMPUTED_VALUE"""),"")</f>
        <v/>
      </c>
      <c r="AD57" s="96" t="str">
        <f>IFERROR(__xludf.DUMMYFUNCTION("""COMPUTED_VALUE"""),"")</f>
        <v/>
      </c>
      <c r="AE57" s="97" t="str">
        <f>IFERROR(__xludf.DUMMYFUNCTION("""COMPUTED_VALUE"""),"")</f>
        <v/>
      </c>
      <c r="AF57" s="95" t="str">
        <f>IFERROR(__xludf.DUMMYFUNCTION("""COMPUTED_VALUE"""),"")</f>
        <v/>
      </c>
      <c r="AG57" s="96" t="str">
        <f>IFERROR(__xludf.DUMMYFUNCTION("""COMPUTED_VALUE"""),"")</f>
        <v/>
      </c>
      <c r="AH57" s="97" t="str">
        <f>IFERROR(__xludf.DUMMYFUNCTION("""COMPUTED_VALUE"""),"")</f>
        <v/>
      </c>
      <c r="AI57" s="116" t="str">
        <f>IFERROR(__xludf.DUMMYFUNCTION("""COMPUTED_VALUE"""),"")</f>
        <v/>
      </c>
      <c r="AJ57" s="117" t="str">
        <f>IFERROR(__xludf.DUMMYFUNCTION("""COMPUTED_VALUE"""),"")</f>
        <v/>
      </c>
      <c r="AK57" s="118" t="str">
        <f>IFERROR(__xludf.DUMMYFUNCTION("""COMPUTED_VALUE"""),"")</f>
        <v/>
      </c>
      <c r="AL57" s="117" t="str">
        <f>IFERROR(__xludf.DUMMYFUNCTION("""COMPUTED_VALUE"""),"")</f>
        <v/>
      </c>
      <c r="AM57" s="117" t="str">
        <f>IFERROR(__xludf.DUMMYFUNCTION("""COMPUTED_VALUE"""),"")</f>
        <v/>
      </c>
      <c r="AN57" s="118" t="str">
        <f>IFERROR(__xludf.DUMMYFUNCTION("""COMPUTED_VALUE"""),"")</f>
        <v/>
      </c>
      <c r="AO57" s="117" t="str">
        <f>IFERROR(__xludf.DUMMYFUNCTION("""COMPUTED_VALUE"""),"")</f>
        <v/>
      </c>
      <c r="AP57" s="117" t="str">
        <f>IFERROR(__xludf.DUMMYFUNCTION("""COMPUTED_VALUE"""),"")</f>
        <v/>
      </c>
      <c r="AQ57" s="118" t="str">
        <f>IFERROR(__xludf.DUMMYFUNCTION("""COMPUTED_VALUE"""),"")</f>
        <v/>
      </c>
      <c r="AR57" s="117" t="str">
        <f>IFERROR(__xludf.DUMMYFUNCTION("""COMPUTED_VALUE"""),"")</f>
        <v/>
      </c>
      <c r="AS57" s="117" t="str">
        <f>IFERROR(__xludf.DUMMYFUNCTION("""COMPUTED_VALUE"""),"")</f>
        <v/>
      </c>
      <c r="AT57" s="118">
        <f>IFERROR(__xludf.DUMMYFUNCTION("""COMPUTED_VALUE"""),34.0)</f>
        <v>34</v>
      </c>
      <c r="AU57" s="117" t="str">
        <f>IFERROR(__xludf.DUMMYFUNCTION("""COMPUTED_VALUE"""),"")</f>
        <v/>
      </c>
      <c r="AV57" s="117" t="str">
        <f>IFERROR(__xludf.DUMMYFUNCTION("""COMPUTED_VALUE"""),"")</f>
        <v/>
      </c>
      <c r="AW57" s="118" t="str">
        <f>IFERROR(__xludf.DUMMYFUNCTION("""COMPUTED_VALUE"""),"")</f>
        <v/>
      </c>
      <c r="AX57" s="117" t="str">
        <f>IFERROR(__xludf.DUMMYFUNCTION("""COMPUTED_VALUE"""),"")</f>
        <v/>
      </c>
      <c r="AY57" s="117" t="str">
        <f>IFERROR(__xludf.DUMMYFUNCTION("""COMPUTED_VALUE"""),"")</f>
        <v/>
      </c>
      <c r="AZ57" s="118" t="str">
        <f>IFERROR(__xludf.DUMMYFUNCTION("""COMPUTED_VALUE"""),"")</f>
        <v/>
      </c>
      <c r="BA57" s="117" t="str">
        <f>IFERROR(__xludf.DUMMYFUNCTION("""COMPUTED_VALUE"""),"")</f>
        <v/>
      </c>
      <c r="BB57" s="117" t="str">
        <f>IFERROR(__xludf.DUMMYFUNCTION("""COMPUTED_VALUE"""),"")</f>
        <v/>
      </c>
      <c r="BC57" s="118" t="str">
        <f>IFERROR(__xludf.DUMMYFUNCTION("""COMPUTED_VALUE"""),"")</f>
        <v/>
      </c>
      <c r="BD57" s="117" t="str">
        <f>IFERROR(__xludf.DUMMYFUNCTION("""COMPUTED_VALUE"""),"")</f>
        <v/>
      </c>
      <c r="BE57" s="117" t="str">
        <f>IFERROR(__xludf.DUMMYFUNCTION("""COMPUTED_VALUE"""),"")</f>
        <v/>
      </c>
      <c r="BF57" s="118" t="str">
        <f>IFERROR(__xludf.DUMMYFUNCTION("""COMPUTED_VALUE"""),"")</f>
        <v/>
      </c>
      <c r="BG57" s="116" t="str">
        <f>IFERROR(__xludf.DUMMYFUNCTION("""COMPUTED_VALUE"""),"")</f>
        <v/>
      </c>
      <c r="BH57" s="117" t="str">
        <f>IFERROR(__xludf.DUMMYFUNCTION("""COMPUTED_VALUE"""),"")</f>
        <v/>
      </c>
      <c r="BI57" s="118" t="str">
        <f>IFERROR(__xludf.DUMMYFUNCTION("""COMPUTED_VALUE"""),"")</f>
        <v/>
      </c>
      <c r="BJ57" s="117" t="str">
        <f>IFERROR(__xludf.DUMMYFUNCTION("""COMPUTED_VALUE"""),"")</f>
        <v/>
      </c>
      <c r="BK57" s="117" t="str">
        <f>IFERROR(__xludf.DUMMYFUNCTION("""COMPUTED_VALUE"""),"")</f>
        <v/>
      </c>
      <c r="BL57" s="118" t="str">
        <f>IFERROR(__xludf.DUMMYFUNCTION("""COMPUTED_VALUE"""),"")</f>
        <v/>
      </c>
      <c r="BM57" s="117" t="str">
        <f>IFERROR(__xludf.DUMMYFUNCTION("""COMPUTED_VALUE"""),"")</f>
        <v/>
      </c>
      <c r="BN57" s="117" t="str">
        <f>IFERROR(__xludf.DUMMYFUNCTION("""COMPUTED_VALUE"""),"")</f>
        <v/>
      </c>
      <c r="BO57" s="118" t="str">
        <f>IFERROR(__xludf.DUMMYFUNCTION("""COMPUTED_VALUE"""),"")</f>
        <v/>
      </c>
      <c r="BP57" s="117" t="str">
        <f>IFERROR(__xludf.DUMMYFUNCTION("""COMPUTED_VALUE"""),"")</f>
        <v/>
      </c>
      <c r="BQ57" s="117">
        <f>IFERROR(__xludf.DUMMYFUNCTION("""COMPUTED_VALUE"""),26.3)</f>
        <v>26.3</v>
      </c>
      <c r="BR57" s="118" t="str">
        <f>IFERROR(__xludf.DUMMYFUNCTION("""COMPUTED_VALUE"""),"")</f>
        <v/>
      </c>
      <c r="BS57" s="117">
        <f>IFERROR(__xludf.DUMMYFUNCTION("""COMPUTED_VALUE"""),65.9)</f>
        <v>65.9</v>
      </c>
      <c r="BT57" s="117" t="str">
        <f>IFERROR(__xludf.DUMMYFUNCTION("""COMPUTED_VALUE"""),"")</f>
        <v/>
      </c>
      <c r="BU57" s="118" t="str">
        <f>IFERROR(__xludf.DUMMYFUNCTION("""COMPUTED_VALUE"""),"")</f>
        <v/>
      </c>
      <c r="BV57" s="117" t="str">
        <f>IFERROR(__xludf.DUMMYFUNCTION("""COMPUTED_VALUE"""),"")</f>
        <v/>
      </c>
      <c r="BW57" s="117" t="str">
        <f>IFERROR(__xludf.DUMMYFUNCTION("""COMPUTED_VALUE"""),"")</f>
        <v/>
      </c>
      <c r="BX57" s="118" t="str">
        <f>IFERROR(__xludf.DUMMYFUNCTION("""COMPUTED_VALUE"""),"")</f>
        <v/>
      </c>
      <c r="BY57" s="117" t="str">
        <f>IFERROR(__xludf.DUMMYFUNCTION("""COMPUTED_VALUE"""),"")</f>
        <v/>
      </c>
      <c r="BZ57" s="117" t="str">
        <f>IFERROR(__xludf.DUMMYFUNCTION("""COMPUTED_VALUE"""),"")</f>
        <v/>
      </c>
      <c r="CA57" s="118" t="str">
        <f>IFERROR(__xludf.DUMMYFUNCTION("""COMPUTED_VALUE"""),"")</f>
        <v/>
      </c>
      <c r="CB57" s="116" t="str">
        <f>IFERROR(__xludf.DUMMYFUNCTION("""COMPUTED_VALUE"""),"")</f>
        <v/>
      </c>
      <c r="CC57" s="117" t="str">
        <f>IFERROR(__xludf.DUMMYFUNCTION("""COMPUTED_VALUE"""),"")</f>
        <v/>
      </c>
      <c r="CD57" s="118" t="str">
        <f>IFERROR(__xludf.DUMMYFUNCTION("""COMPUTED_VALUE"""),"")</f>
        <v/>
      </c>
      <c r="CE57" s="117" t="str">
        <f>IFERROR(__xludf.DUMMYFUNCTION("""COMPUTED_VALUE"""),"")</f>
        <v/>
      </c>
      <c r="CF57" s="117" t="str">
        <f>IFERROR(__xludf.DUMMYFUNCTION("""COMPUTED_VALUE"""),"")</f>
        <v/>
      </c>
      <c r="CG57" s="118" t="str">
        <f>IFERROR(__xludf.DUMMYFUNCTION("""COMPUTED_VALUE"""),"")</f>
        <v/>
      </c>
      <c r="CH57" s="117" t="str">
        <f>IFERROR(__xludf.DUMMYFUNCTION("""COMPUTED_VALUE"""),"")</f>
        <v/>
      </c>
      <c r="CI57" s="117" t="str">
        <f>IFERROR(__xludf.DUMMYFUNCTION("""COMPUTED_VALUE"""),"")</f>
        <v/>
      </c>
      <c r="CJ57" s="118" t="str">
        <f>IFERROR(__xludf.DUMMYFUNCTION("""COMPUTED_VALUE"""),"")</f>
        <v/>
      </c>
      <c r="CK57" s="117" t="str">
        <f>IFERROR(__xludf.DUMMYFUNCTION("""COMPUTED_VALUE"""),"")</f>
        <v/>
      </c>
      <c r="CL57" s="117" t="str">
        <f>IFERROR(__xludf.DUMMYFUNCTION("""COMPUTED_VALUE"""),"")</f>
        <v/>
      </c>
      <c r="CM57" s="118" t="str">
        <f>IFERROR(__xludf.DUMMYFUNCTION("""COMPUTED_VALUE"""),"")</f>
        <v/>
      </c>
      <c r="CN57" s="117" t="str">
        <f>IFERROR(__xludf.DUMMYFUNCTION("""COMPUTED_VALUE"""),"")</f>
        <v/>
      </c>
      <c r="CO57" s="117" t="str">
        <f>IFERROR(__xludf.DUMMYFUNCTION("""COMPUTED_VALUE"""),"")</f>
        <v/>
      </c>
      <c r="CP57" s="118" t="str">
        <f>IFERROR(__xludf.DUMMYFUNCTION("""COMPUTED_VALUE"""),"")</f>
        <v/>
      </c>
      <c r="CQ57" s="117" t="str">
        <f>IFERROR(__xludf.DUMMYFUNCTION("""COMPUTED_VALUE"""),"")</f>
        <v/>
      </c>
      <c r="CR57" s="117" t="str">
        <f>IFERROR(__xludf.DUMMYFUNCTION("""COMPUTED_VALUE"""),"")</f>
        <v/>
      </c>
      <c r="CS57" s="118"/>
      <c r="CT57" s="117"/>
      <c r="CU57" s="117"/>
      <c r="CV57" s="118"/>
      <c r="CW57" s="117"/>
      <c r="CX57" s="117"/>
      <c r="CY57" s="118"/>
      <c r="CZ57" s="117"/>
      <c r="DA57" s="117"/>
      <c r="DB57" s="118"/>
      <c r="DC57" s="117"/>
      <c r="DD57" s="117"/>
      <c r="DE57" s="118"/>
      <c r="DF57" s="117"/>
      <c r="DG57" s="117"/>
      <c r="DH57" s="118"/>
      <c r="DI57" s="117"/>
      <c r="DJ57" s="117"/>
      <c r="DK57" s="118"/>
      <c r="DL57" s="117"/>
      <c r="DM57" s="117"/>
      <c r="DN57" s="118"/>
      <c r="DO57" s="117"/>
      <c r="DP57" s="117"/>
      <c r="DQ57" s="118"/>
      <c r="DR57" s="117"/>
      <c r="DS57" s="117"/>
      <c r="DT57" s="118"/>
    </row>
    <row r="58">
      <c r="B58" s="83" t="str">
        <f>IFERROR(__xludf.DUMMYFUNCTION("""COMPUTED_VALUE"""),"ORL2")</f>
        <v>ORL2</v>
      </c>
      <c r="C58" s="82">
        <f>IFERROR(__xludf.DUMMYFUNCTION("""COMPUTED_VALUE"""),43.0)</f>
        <v>43</v>
      </c>
      <c r="D58" s="88" t="str">
        <f>IFERROR(__xludf.DUMMYFUNCTION("""COMPUTED_VALUE"""),"Vaucouleurs")</f>
        <v>Vaucouleurs</v>
      </c>
      <c r="E58" s="82" t="str">
        <f>IFERROR(__xludf.DUMMYFUNCTION("""COMPUTED_VALUE"""),"ヴォークルール")</f>
        <v>ヴォークルール</v>
      </c>
      <c r="F58" s="102">
        <f>IFERROR(__xludf.DUMMYFUNCTION("""COMPUTED_VALUE"""),7.0)</f>
        <v>7</v>
      </c>
      <c r="G58" s="82">
        <f>IFERROR(__xludf.DUMMYFUNCTION("""COMPUTED_VALUE"""),1014.0)</f>
        <v>1014</v>
      </c>
      <c r="H58" s="95" t="str">
        <f>IFERROR(__xludf.DUMMYFUNCTION("""COMPUTED_VALUE"""),"")</f>
        <v/>
      </c>
      <c r="I58" s="96" t="str">
        <f>IFERROR(__xludf.DUMMYFUNCTION("""COMPUTED_VALUE"""),"")</f>
        <v/>
      </c>
      <c r="J58" s="97" t="str">
        <f>IFERROR(__xludf.DUMMYFUNCTION("""COMPUTED_VALUE"""),"")</f>
        <v/>
      </c>
      <c r="K58" s="95" t="str">
        <f>IFERROR(__xludf.DUMMYFUNCTION("""COMPUTED_VALUE"""),"")</f>
        <v/>
      </c>
      <c r="L58" s="96" t="str">
        <f>IFERROR(__xludf.DUMMYFUNCTION("""COMPUTED_VALUE"""),"")</f>
        <v/>
      </c>
      <c r="M58" s="97" t="str">
        <f>IFERROR(__xludf.DUMMYFUNCTION("""COMPUTED_VALUE"""),"")</f>
        <v/>
      </c>
      <c r="N58" s="95" t="str">
        <f>IFERROR(__xludf.DUMMYFUNCTION("""COMPUTED_VALUE"""),"")</f>
        <v/>
      </c>
      <c r="O58" s="96" t="str">
        <f>IFERROR(__xludf.DUMMYFUNCTION("""COMPUTED_VALUE"""),"")</f>
        <v/>
      </c>
      <c r="P58" s="97" t="str">
        <f>IFERROR(__xludf.DUMMYFUNCTION("""COMPUTED_VALUE"""),"")</f>
        <v/>
      </c>
      <c r="Q58" s="95" t="str">
        <f>IFERROR(__xludf.DUMMYFUNCTION("""COMPUTED_VALUE"""),"")</f>
        <v/>
      </c>
      <c r="R58" s="96" t="str">
        <f>IFERROR(__xludf.DUMMYFUNCTION("""COMPUTED_VALUE"""),"")</f>
        <v/>
      </c>
      <c r="S58" s="97" t="str">
        <f>IFERROR(__xludf.DUMMYFUNCTION("""COMPUTED_VALUE"""),"")</f>
        <v/>
      </c>
      <c r="T58" s="95" t="str">
        <f>IFERROR(__xludf.DUMMYFUNCTION("""COMPUTED_VALUE"""),"")</f>
        <v/>
      </c>
      <c r="U58" s="96" t="str">
        <f>IFERROR(__xludf.DUMMYFUNCTION("""COMPUTED_VALUE"""),"")</f>
        <v/>
      </c>
      <c r="V58" s="97" t="str">
        <f>IFERROR(__xludf.DUMMYFUNCTION("""COMPUTED_VALUE"""),"")</f>
        <v/>
      </c>
      <c r="W58" s="95" t="str">
        <f>IFERROR(__xludf.DUMMYFUNCTION("""COMPUTED_VALUE"""),"")</f>
        <v/>
      </c>
      <c r="X58" s="96" t="str">
        <f>IFERROR(__xludf.DUMMYFUNCTION("""COMPUTED_VALUE"""),"")</f>
        <v/>
      </c>
      <c r="Y58" s="97" t="str">
        <f>IFERROR(__xludf.DUMMYFUNCTION("""COMPUTED_VALUE"""),"")</f>
        <v/>
      </c>
      <c r="Z58" s="95" t="str">
        <f>IFERROR(__xludf.DUMMYFUNCTION("""COMPUTED_VALUE"""),"")</f>
        <v/>
      </c>
      <c r="AA58" s="96" t="str">
        <f>IFERROR(__xludf.DUMMYFUNCTION("""COMPUTED_VALUE"""),"")</f>
        <v/>
      </c>
      <c r="AB58" s="97" t="str">
        <f>IFERROR(__xludf.DUMMYFUNCTION("""COMPUTED_VALUE"""),"")</f>
        <v/>
      </c>
      <c r="AC58" s="95" t="str">
        <f>IFERROR(__xludf.DUMMYFUNCTION("""COMPUTED_VALUE"""),"")</f>
        <v/>
      </c>
      <c r="AD58" s="96" t="str">
        <f>IFERROR(__xludf.DUMMYFUNCTION("""COMPUTED_VALUE"""),"")</f>
        <v/>
      </c>
      <c r="AE58" s="97" t="str">
        <f>IFERROR(__xludf.DUMMYFUNCTION("""COMPUTED_VALUE"""),"")</f>
        <v/>
      </c>
      <c r="AF58" s="95" t="str">
        <f>IFERROR(__xludf.DUMMYFUNCTION("""COMPUTED_VALUE"""),"")</f>
        <v/>
      </c>
      <c r="AG58" s="96" t="str">
        <f>IFERROR(__xludf.DUMMYFUNCTION("""COMPUTED_VALUE"""),"")</f>
        <v/>
      </c>
      <c r="AH58" s="97" t="str">
        <f>IFERROR(__xludf.DUMMYFUNCTION("""COMPUTED_VALUE"""),"")</f>
        <v/>
      </c>
      <c r="AI58" s="92" t="str">
        <f>IFERROR(__xludf.DUMMYFUNCTION("""COMPUTED_VALUE"""),"")</f>
        <v/>
      </c>
      <c r="AJ58" s="93" t="str">
        <f>IFERROR(__xludf.DUMMYFUNCTION("""COMPUTED_VALUE"""),"")</f>
        <v/>
      </c>
      <c r="AK58" s="94" t="str">
        <f>IFERROR(__xludf.DUMMYFUNCTION("""COMPUTED_VALUE"""),"")</f>
        <v/>
      </c>
      <c r="AL58" s="93" t="str">
        <f>IFERROR(__xludf.DUMMYFUNCTION("""COMPUTED_VALUE"""),"")</f>
        <v/>
      </c>
      <c r="AM58" s="93" t="str">
        <f>IFERROR(__xludf.DUMMYFUNCTION("""COMPUTED_VALUE"""),"")</f>
        <v/>
      </c>
      <c r="AN58" s="94" t="str">
        <f>IFERROR(__xludf.DUMMYFUNCTION("""COMPUTED_VALUE"""),"")</f>
        <v/>
      </c>
      <c r="AO58" s="93" t="str">
        <f>IFERROR(__xludf.DUMMYFUNCTION("""COMPUTED_VALUE"""),"")</f>
        <v/>
      </c>
      <c r="AP58" s="93" t="str">
        <f>IFERROR(__xludf.DUMMYFUNCTION("""COMPUTED_VALUE"""),"")</f>
        <v/>
      </c>
      <c r="AQ58" s="94" t="str">
        <f>IFERROR(__xludf.DUMMYFUNCTION("""COMPUTED_VALUE"""),"")</f>
        <v/>
      </c>
      <c r="AR58" s="93" t="str">
        <f>IFERROR(__xludf.DUMMYFUNCTION("""COMPUTED_VALUE"""),"")</f>
        <v/>
      </c>
      <c r="AS58" s="93" t="str">
        <f>IFERROR(__xludf.DUMMYFUNCTION("""COMPUTED_VALUE"""),"")</f>
        <v/>
      </c>
      <c r="AT58" s="94" t="str">
        <f>IFERROR(__xludf.DUMMYFUNCTION("""COMPUTED_VALUE"""),"")</f>
        <v/>
      </c>
      <c r="AU58" s="93">
        <f>IFERROR(__xludf.DUMMYFUNCTION("""COMPUTED_VALUE"""),124.5)</f>
        <v>124.5</v>
      </c>
      <c r="AV58" s="93">
        <f>IFERROR(__xludf.DUMMYFUNCTION("""COMPUTED_VALUE"""),79.8)</f>
        <v>79.8</v>
      </c>
      <c r="AW58" s="94" t="str">
        <f>IFERROR(__xludf.DUMMYFUNCTION("""COMPUTED_VALUE"""),"")</f>
        <v/>
      </c>
      <c r="AX58" s="93" t="str">
        <f>IFERROR(__xludf.DUMMYFUNCTION("""COMPUTED_VALUE"""),"")</f>
        <v/>
      </c>
      <c r="AY58" s="93" t="str">
        <f>IFERROR(__xludf.DUMMYFUNCTION("""COMPUTED_VALUE"""),"")</f>
        <v/>
      </c>
      <c r="AZ58" s="94" t="str">
        <f>IFERROR(__xludf.DUMMYFUNCTION("""COMPUTED_VALUE"""),"")</f>
        <v/>
      </c>
      <c r="BA58" s="93" t="str">
        <f>IFERROR(__xludf.DUMMYFUNCTION("""COMPUTED_VALUE"""),"")</f>
        <v/>
      </c>
      <c r="BB58" s="93" t="str">
        <f>IFERROR(__xludf.DUMMYFUNCTION("""COMPUTED_VALUE"""),"")</f>
        <v/>
      </c>
      <c r="BC58" s="94" t="str">
        <f>IFERROR(__xludf.DUMMYFUNCTION("""COMPUTED_VALUE"""),"")</f>
        <v/>
      </c>
      <c r="BD58" s="93" t="str">
        <f>IFERROR(__xludf.DUMMYFUNCTION("""COMPUTED_VALUE"""),"")</f>
        <v/>
      </c>
      <c r="BE58" s="93" t="str">
        <f>IFERROR(__xludf.DUMMYFUNCTION("""COMPUTED_VALUE"""),"")</f>
        <v/>
      </c>
      <c r="BF58" s="94" t="str">
        <f>IFERROR(__xludf.DUMMYFUNCTION("""COMPUTED_VALUE"""),"")</f>
        <v/>
      </c>
      <c r="BG58" s="92" t="str">
        <f>IFERROR(__xludf.DUMMYFUNCTION("""COMPUTED_VALUE"""),"")</f>
        <v/>
      </c>
      <c r="BH58" s="93" t="str">
        <f>IFERROR(__xludf.DUMMYFUNCTION("""COMPUTED_VALUE"""),"")</f>
        <v/>
      </c>
      <c r="BI58" s="94" t="str">
        <f>IFERROR(__xludf.DUMMYFUNCTION("""COMPUTED_VALUE"""),"")</f>
        <v/>
      </c>
      <c r="BJ58" s="93" t="str">
        <f>IFERROR(__xludf.DUMMYFUNCTION("""COMPUTED_VALUE"""),"")</f>
        <v/>
      </c>
      <c r="BK58" s="93" t="str">
        <f>IFERROR(__xludf.DUMMYFUNCTION("""COMPUTED_VALUE"""),"")</f>
        <v/>
      </c>
      <c r="BL58" s="94" t="str">
        <f>IFERROR(__xludf.DUMMYFUNCTION("""COMPUTED_VALUE"""),"")</f>
        <v/>
      </c>
      <c r="BM58" s="93" t="str">
        <f>IFERROR(__xludf.DUMMYFUNCTION("""COMPUTED_VALUE"""),"")</f>
        <v/>
      </c>
      <c r="BN58" s="93" t="str">
        <f>IFERROR(__xludf.DUMMYFUNCTION("""COMPUTED_VALUE"""),"")</f>
        <v/>
      </c>
      <c r="BO58" s="94" t="str">
        <f>IFERROR(__xludf.DUMMYFUNCTION("""COMPUTED_VALUE"""),"")</f>
        <v/>
      </c>
      <c r="BP58" s="93" t="str">
        <f>IFERROR(__xludf.DUMMYFUNCTION("""COMPUTED_VALUE"""),"")</f>
        <v/>
      </c>
      <c r="BQ58" s="93">
        <f>IFERROR(__xludf.DUMMYFUNCTION("""COMPUTED_VALUE"""),71.0)</f>
        <v>71</v>
      </c>
      <c r="BR58" s="94" t="str">
        <f>IFERROR(__xludf.DUMMYFUNCTION("""COMPUTED_VALUE"""),"")</f>
        <v/>
      </c>
      <c r="BS58" s="93" t="str">
        <f>IFERROR(__xludf.DUMMYFUNCTION("""COMPUTED_VALUE"""),"")</f>
        <v/>
      </c>
      <c r="BT58" s="93">
        <f>IFERROR(__xludf.DUMMYFUNCTION("""COMPUTED_VALUE"""),39.2)</f>
        <v>39.2</v>
      </c>
      <c r="BU58" s="94" t="str">
        <f>IFERROR(__xludf.DUMMYFUNCTION("""COMPUTED_VALUE"""),"")</f>
        <v/>
      </c>
      <c r="BV58" s="93" t="str">
        <f>IFERROR(__xludf.DUMMYFUNCTION("""COMPUTED_VALUE"""),"")</f>
        <v/>
      </c>
      <c r="BW58" s="93" t="str">
        <f>IFERROR(__xludf.DUMMYFUNCTION("""COMPUTED_VALUE"""),"")</f>
        <v/>
      </c>
      <c r="BX58" s="94" t="str">
        <f>IFERROR(__xludf.DUMMYFUNCTION("""COMPUTED_VALUE"""),"")</f>
        <v/>
      </c>
      <c r="BY58" s="93" t="str">
        <f>IFERROR(__xludf.DUMMYFUNCTION("""COMPUTED_VALUE"""),"")</f>
        <v/>
      </c>
      <c r="BZ58" s="93" t="str">
        <f>IFERROR(__xludf.DUMMYFUNCTION("""COMPUTED_VALUE"""),"")</f>
        <v/>
      </c>
      <c r="CA58" s="94" t="str">
        <f>IFERROR(__xludf.DUMMYFUNCTION("""COMPUTED_VALUE"""),"")</f>
        <v/>
      </c>
      <c r="CB58" s="92" t="str">
        <f>IFERROR(__xludf.DUMMYFUNCTION("""COMPUTED_VALUE"""),"")</f>
        <v/>
      </c>
      <c r="CC58" s="93" t="str">
        <f>IFERROR(__xludf.DUMMYFUNCTION("""COMPUTED_VALUE"""),"")</f>
        <v/>
      </c>
      <c r="CD58" s="94" t="str">
        <f>IFERROR(__xludf.DUMMYFUNCTION("""COMPUTED_VALUE"""),"")</f>
        <v/>
      </c>
      <c r="CE58" s="93" t="str">
        <f>IFERROR(__xludf.DUMMYFUNCTION("""COMPUTED_VALUE"""),"")</f>
        <v/>
      </c>
      <c r="CF58" s="93" t="str">
        <f>IFERROR(__xludf.DUMMYFUNCTION("""COMPUTED_VALUE"""),"")</f>
        <v/>
      </c>
      <c r="CG58" s="94" t="str">
        <f>IFERROR(__xludf.DUMMYFUNCTION("""COMPUTED_VALUE"""),"")</f>
        <v/>
      </c>
      <c r="CH58" s="93" t="str">
        <f>IFERROR(__xludf.DUMMYFUNCTION("""COMPUTED_VALUE"""),"")</f>
        <v/>
      </c>
      <c r="CI58" s="93" t="str">
        <f>IFERROR(__xludf.DUMMYFUNCTION("""COMPUTED_VALUE"""),"")</f>
        <v/>
      </c>
      <c r="CJ58" s="94" t="str">
        <f>IFERROR(__xludf.DUMMYFUNCTION("""COMPUTED_VALUE"""),"")</f>
        <v/>
      </c>
      <c r="CK58" s="93" t="str">
        <f>IFERROR(__xludf.DUMMYFUNCTION("""COMPUTED_VALUE"""),"")</f>
        <v/>
      </c>
      <c r="CL58" s="93" t="str">
        <f>IFERROR(__xludf.DUMMYFUNCTION("""COMPUTED_VALUE"""),"")</f>
        <v/>
      </c>
      <c r="CM58" s="94" t="str">
        <f>IFERROR(__xludf.DUMMYFUNCTION("""COMPUTED_VALUE"""),"")</f>
        <v/>
      </c>
      <c r="CN58" s="93" t="str">
        <f>IFERROR(__xludf.DUMMYFUNCTION("""COMPUTED_VALUE"""),"")</f>
        <v/>
      </c>
      <c r="CO58" s="93" t="str">
        <f>IFERROR(__xludf.DUMMYFUNCTION("""COMPUTED_VALUE"""),"")</f>
        <v/>
      </c>
      <c r="CP58" s="94" t="str">
        <f>IFERROR(__xludf.DUMMYFUNCTION("""COMPUTED_VALUE"""),"")</f>
        <v/>
      </c>
      <c r="CQ58" s="93" t="str">
        <f>IFERROR(__xludf.DUMMYFUNCTION("""COMPUTED_VALUE"""),"")</f>
        <v/>
      </c>
      <c r="CR58" s="93" t="str">
        <f>IFERROR(__xludf.DUMMYFUNCTION("""COMPUTED_VALUE"""),"")</f>
        <v/>
      </c>
      <c r="CS58" s="94"/>
      <c r="CT58" s="93"/>
      <c r="CU58" s="93"/>
      <c r="CV58" s="94"/>
      <c r="CW58" s="93"/>
      <c r="CX58" s="93"/>
      <c r="CY58" s="94"/>
      <c r="CZ58" s="93"/>
      <c r="DA58" s="93"/>
      <c r="DB58" s="94"/>
      <c r="DC58" s="93"/>
      <c r="DD58" s="93"/>
      <c r="DE58" s="94"/>
      <c r="DF58" s="93"/>
      <c r="DG58" s="93"/>
      <c r="DH58" s="94"/>
      <c r="DI58" s="93"/>
      <c r="DJ58" s="93"/>
      <c r="DK58" s="94"/>
      <c r="DL58" s="93"/>
      <c r="DM58" s="93"/>
      <c r="DN58" s="94"/>
      <c r="DO58" s="93"/>
      <c r="DP58" s="93"/>
      <c r="DQ58" s="94"/>
      <c r="DR58" s="93"/>
      <c r="DS58" s="93"/>
      <c r="DT58" s="94"/>
    </row>
    <row r="59">
      <c r="B59" s="83" t="str">
        <f>IFERROR(__xludf.DUMMYFUNCTION("""COMPUTED_VALUE"""),"ORL3")</f>
        <v>ORL3</v>
      </c>
      <c r="C59" s="82">
        <f>IFERROR(__xludf.DUMMYFUNCTION("""COMPUTED_VALUE"""),44.0)</f>
        <v>44</v>
      </c>
      <c r="D59" s="88" t="str">
        <f>IFERROR(__xludf.DUMMYFUNCTION("""COMPUTED_VALUE"""),"La Charite")</f>
        <v>La Charite</v>
      </c>
      <c r="E59" s="82" t="str">
        <f>IFERROR(__xludf.DUMMYFUNCTION("""COMPUTED_VALUE"""),"ラ・シャリテ")</f>
        <v>ラ・シャリテ</v>
      </c>
      <c r="F59" s="102">
        <f>IFERROR(__xludf.DUMMYFUNCTION("""COMPUTED_VALUE"""),7.0)</f>
        <v>7</v>
      </c>
      <c r="G59" s="82">
        <f>IFERROR(__xludf.DUMMYFUNCTION("""COMPUTED_VALUE"""),1020.0)</f>
        <v>1020</v>
      </c>
      <c r="H59" s="95" t="str">
        <f>IFERROR(__xludf.DUMMYFUNCTION("""COMPUTED_VALUE"""),"")</f>
        <v/>
      </c>
      <c r="I59" s="96" t="str">
        <f>IFERROR(__xludf.DUMMYFUNCTION("""COMPUTED_VALUE"""),"")</f>
        <v/>
      </c>
      <c r="J59" s="97" t="str">
        <f>IFERROR(__xludf.DUMMYFUNCTION("""COMPUTED_VALUE"""),"")</f>
        <v/>
      </c>
      <c r="K59" s="95" t="str">
        <f>IFERROR(__xludf.DUMMYFUNCTION("""COMPUTED_VALUE"""),"")</f>
        <v/>
      </c>
      <c r="L59" s="96" t="str">
        <f>IFERROR(__xludf.DUMMYFUNCTION("""COMPUTED_VALUE"""),"")</f>
        <v/>
      </c>
      <c r="M59" s="97" t="str">
        <f>IFERROR(__xludf.DUMMYFUNCTION("""COMPUTED_VALUE"""),"")</f>
        <v/>
      </c>
      <c r="N59" s="95" t="str">
        <f>IFERROR(__xludf.DUMMYFUNCTION("""COMPUTED_VALUE"""),"")</f>
        <v/>
      </c>
      <c r="O59" s="96" t="str">
        <f>IFERROR(__xludf.DUMMYFUNCTION("""COMPUTED_VALUE"""),"")</f>
        <v/>
      </c>
      <c r="P59" s="97" t="str">
        <f>IFERROR(__xludf.DUMMYFUNCTION("""COMPUTED_VALUE"""),"")</f>
        <v/>
      </c>
      <c r="Q59" s="95" t="str">
        <f>IFERROR(__xludf.DUMMYFUNCTION("""COMPUTED_VALUE"""),"")</f>
        <v/>
      </c>
      <c r="R59" s="96" t="str">
        <f>IFERROR(__xludf.DUMMYFUNCTION("""COMPUTED_VALUE"""),"")</f>
        <v/>
      </c>
      <c r="S59" s="97" t="str">
        <f>IFERROR(__xludf.DUMMYFUNCTION("""COMPUTED_VALUE"""),"")</f>
        <v/>
      </c>
      <c r="T59" s="95" t="str">
        <f>IFERROR(__xludf.DUMMYFUNCTION("""COMPUTED_VALUE"""),"")</f>
        <v/>
      </c>
      <c r="U59" s="96" t="str">
        <f>IFERROR(__xludf.DUMMYFUNCTION("""COMPUTED_VALUE"""),"")</f>
        <v/>
      </c>
      <c r="V59" s="97" t="str">
        <f>IFERROR(__xludf.DUMMYFUNCTION("""COMPUTED_VALUE"""),"")</f>
        <v/>
      </c>
      <c r="W59" s="95" t="str">
        <f>IFERROR(__xludf.DUMMYFUNCTION("""COMPUTED_VALUE"""),"")</f>
        <v/>
      </c>
      <c r="X59" s="96" t="str">
        <f>IFERROR(__xludf.DUMMYFUNCTION("""COMPUTED_VALUE"""),"")</f>
        <v/>
      </c>
      <c r="Y59" s="97" t="str">
        <f>IFERROR(__xludf.DUMMYFUNCTION("""COMPUTED_VALUE"""),"")</f>
        <v/>
      </c>
      <c r="Z59" s="95" t="str">
        <f>IFERROR(__xludf.DUMMYFUNCTION("""COMPUTED_VALUE"""),"")</f>
        <v/>
      </c>
      <c r="AA59" s="96" t="str">
        <f>IFERROR(__xludf.DUMMYFUNCTION("""COMPUTED_VALUE"""),"")</f>
        <v/>
      </c>
      <c r="AB59" s="97" t="str">
        <f>IFERROR(__xludf.DUMMYFUNCTION("""COMPUTED_VALUE"""),"")</f>
        <v/>
      </c>
      <c r="AC59" s="95" t="str">
        <f>IFERROR(__xludf.DUMMYFUNCTION("""COMPUTED_VALUE"""),"")</f>
        <v/>
      </c>
      <c r="AD59" s="96" t="str">
        <f>IFERROR(__xludf.DUMMYFUNCTION("""COMPUTED_VALUE"""),"")</f>
        <v/>
      </c>
      <c r="AE59" s="97" t="str">
        <f>IFERROR(__xludf.DUMMYFUNCTION("""COMPUTED_VALUE"""),"")</f>
        <v/>
      </c>
      <c r="AF59" s="95" t="str">
        <f>IFERROR(__xludf.DUMMYFUNCTION("""COMPUTED_VALUE"""),"")</f>
        <v/>
      </c>
      <c r="AG59" s="96" t="str">
        <f>IFERROR(__xludf.DUMMYFUNCTION("""COMPUTED_VALUE"""),"")</f>
        <v/>
      </c>
      <c r="AH59" s="97" t="str">
        <f>IFERROR(__xludf.DUMMYFUNCTION("""COMPUTED_VALUE"""),"")</f>
        <v/>
      </c>
      <c r="AI59" s="116" t="str">
        <f>IFERROR(__xludf.DUMMYFUNCTION("""COMPUTED_VALUE"""),"")</f>
        <v/>
      </c>
      <c r="AJ59" s="117" t="str">
        <f>IFERROR(__xludf.DUMMYFUNCTION("""COMPUTED_VALUE"""),"")</f>
        <v/>
      </c>
      <c r="AK59" s="118" t="str">
        <f>IFERROR(__xludf.DUMMYFUNCTION("""COMPUTED_VALUE"""),"")</f>
        <v/>
      </c>
      <c r="AL59" s="117" t="str">
        <f>IFERROR(__xludf.DUMMYFUNCTION("""COMPUTED_VALUE"""),"")</f>
        <v/>
      </c>
      <c r="AM59" s="117" t="str">
        <f>IFERROR(__xludf.DUMMYFUNCTION("""COMPUTED_VALUE"""),"")</f>
        <v/>
      </c>
      <c r="AN59" s="118" t="str">
        <f>IFERROR(__xludf.DUMMYFUNCTION("""COMPUTED_VALUE"""),"")</f>
        <v/>
      </c>
      <c r="AO59" s="117" t="str">
        <f>IFERROR(__xludf.DUMMYFUNCTION("""COMPUTED_VALUE"""),"")</f>
        <v/>
      </c>
      <c r="AP59" s="117" t="str">
        <f>IFERROR(__xludf.DUMMYFUNCTION("""COMPUTED_VALUE"""),"")</f>
        <v/>
      </c>
      <c r="AQ59" s="118" t="str">
        <f>IFERROR(__xludf.DUMMYFUNCTION("""COMPUTED_VALUE"""),"")</f>
        <v/>
      </c>
      <c r="AR59" s="117" t="str">
        <f>IFERROR(__xludf.DUMMYFUNCTION("""COMPUTED_VALUE"""),"")</f>
        <v/>
      </c>
      <c r="AS59" s="117" t="str">
        <f>IFERROR(__xludf.DUMMYFUNCTION("""COMPUTED_VALUE"""),"")</f>
        <v/>
      </c>
      <c r="AT59" s="118">
        <f>IFERROR(__xludf.DUMMYFUNCTION("""COMPUTED_VALUE"""),121.0)</f>
        <v>121</v>
      </c>
      <c r="AU59" s="117" t="str">
        <f>IFERROR(__xludf.DUMMYFUNCTION("""COMPUTED_VALUE"""),"")</f>
        <v/>
      </c>
      <c r="AV59" s="117">
        <f>IFERROR(__xludf.DUMMYFUNCTION("""COMPUTED_VALUE"""),60.5)</f>
        <v>60.5</v>
      </c>
      <c r="AW59" s="118" t="str">
        <f>IFERROR(__xludf.DUMMYFUNCTION("""COMPUTED_VALUE"""),"")</f>
        <v/>
      </c>
      <c r="AX59" s="117" t="str">
        <f>IFERROR(__xludf.DUMMYFUNCTION("""COMPUTED_VALUE"""),"")</f>
        <v/>
      </c>
      <c r="AY59" s="117" t="str">
        <f>IFERROR(__xludf.DUMMYFUNCTION("""COMPUTED_VALUE"""),"")</f>
        <v/>
      </c>
      <c r="AZ59" s="118" t="str">
        <f>IFERROR(__xludf.DUMMYFUNCTION("""COMPUTED_VALUE"""),"")</f>
        <v/>
      </c>
      <c r="BA59" s="117" t="str">
        <f>IFERROR(__xludf.DUMMYFUNCTION("""COMPUTED_VALUE"""),"")</f>
        <v/>
      </c>
      <c r="BB59" s="117" t="str">
        <f>IFERROR(__xludf.DUMMYFUNCTION("""COMPUTED_VALUE"""),"")</f>
        <v/>
      </c>
      <c r="BC59" s="118" t="str">
        <f>IFERROR(__xludf.DUMMYFUNCTION("""COMPUTED_VALUE"""),"")</f>
        <v/>
      </c>
      <c r="BD59" s="117" t="str">
        <f>IFERROR(__xludf.DUMMYFUNCTION("""COMPUTED_VALUE"""),"")</f>
        <v/>
      </c>
      <c r="BE59" s="117" t="str">
        <f>IFERROR(__xludf.DUMMYFUNCTION("""COMPUTED_VALUE"""),"")</f>
        <v/>
      </c>
      <c r="BF59" s="118" t="str">
        <f>IFERROR(__xludf.DUMMYFUNCTION("""COMPUTED_VALUE"""),"")</f>
        <v/>
      </c>
      <c r="BG59" s="116" t="str">
        <f>IFERROR(__xludf.DUMMYFUNCTION("""COMPUTED_VALUE"""),"")</f>
        <v/>
      </c>
      <c r="BH59" s="117" t="str">
        <f>IFERROR(__xludf.DUMMYFUNCTION("""COMPUTED_VALUE"""),"")</f>
        <v/>
      </c>
      <c r="BI59" s="118" t="str">
        <f>IFERROR(__xludf.DUMMYFUNCTION("""COMPUTED_VALUE"""),"")</f>
        <v/>
      </c>
      <c r="BJ59" s="117" t="str">
        <f>IFERROR(__xludf.DUMMYFUNCTION("""COMPUTED_VALUE"""),"")</f>
        <v/>
      </c>
      <c r="BK59" s="117" t="str">
        <f>IFERROR(__xludf.DUMMYFUNCTION("""COMPUTED_VALUE"""),"")</f>
        <v/>
      </c>
      <c r="BL59" s="118" t="str">
        <f>IFERROR(__xludf.DUMMYFUNCTION("""COMPUTED_VALUE"""),"")</f>
        <v/>
      </c>
      <c r="BM59" s="117" t="str">
        <f>IFERROR(__xludf.DUMMYFUNCTION("""COMPUTED_VALUE"""),"")</f>
        <v/>
      </c>
      <c r="BN59" s="117" t="str">
        <f>IFERROR(__xludf.DUMMYFUNCTION("""COMPUTED_VALUE"""),"")</f>
        <v/>
      </c>
      <c r="BO59" s="118" t="str">
        <f>IFERROR(__xludf.DUMMYFUNCTION("""COMPUTED_VALUE"""),"")</f>
        <v/>
      </c>
      <c r="BP59" s="117" t="str">
        <f>IFERROR(__xludf.DUMMYFUNCTION("""COMPUTED_VALUE"""),"")</f>
        <v/>
      </c>
      <c r="BQ59" s="117" t="str">
        <f>IFERROR(__xludf.DUMMYFUNCTION("""COMPUTED_VALUE"""),"")</f>
        <v/>
      </c>
      <c r="BR59" s="118" t="str">
        <f>IFERROR(__xludf.DUMMYFUNCTION("""COMPUTED_VALUE"""),"")</f>
        <v/>
      </c>
      <c r="BS59" s="117">
        <f>IFERROR(__xludf.DUMMYFUNCTION("""COMPUTED_VALUE"""),64.9)</f>
        <v>64.9</v>
      </c>
      <c r="BT59" s="117">
        <f>IFERROR(__xludf.DUMMYFUNCTION("""COMPUTED_VALUE"""),21.0)</f>
        <v>21</v>
      </c>
      <c r="BU59" s="118" t="str">
        <f>IFERROR(__xludf.DUMMYFUNCTION("""COMPUTED_VALUE"""),"")</f>
        <v/>
      </c>
      <c r="BV59" s="117" t="str">
        <f>IFERROR(__xludf.DUMMYFUNCTION("""COMPUTED_VALUE"""),"")</f>
        <v/>
      </c>
      <c r="BW59" s="117" t="str">
        <f>IFERROR(__xludf.DUMMYFUNCTION("""COMPUTED_VALUE"""),"")</f>
        <v/>
      </c>
      <c r="BX59" s="118" t="str">
        <f>IFERROR(__xludf.DUMMYFUNCTION("""COMPUTED_VALUE"""),"")</f>
        <v/>
      </c>
      <c r="BY59" s="117" t="str">
        <f>IFERROR(__xludf.DUMMYFUNCTION("""COMPUTED_VALUE"""),"")</f>
        <v/>
      </c>
      <c r="BZ59" s="117" t="str">
        <f>IFERROR(__xludf.DUMMYFUNCTION("""COMPUTED_VALUE"""),"")</f>
        <v/>
      </c>
      <c r="CA59" s="118" t="str">
        <f>IFERROR(__xludf.DUMMYFUNCTION("""COMPUTED_VALUE"""),"")</f>
        <v/>
      </c>
      <c r="CB59" s="116" t="str">
        <f>IFERROR(__xludf.DUMMYFUNCTION("""COMPUTED_VALUE"""),"")</f>
        <v/>
      </c>
      <c r="CC59" s="117" t="str">
        <f>IFERROR(__xludf.DUMMYFUNCTION("""COMPUTED_VALUE"""),"")</f>
        <v/>
      </c>
      <c r="CD59" s="118" t="str">
        <f>IFERROR(__xludf.DUMMYFUNCTION("""COMPUTED_VALUE"""),"")</f>
        <v/>
      </c>
      <c r="CE59" s="117" t="str">
        <f>IFERROR(__xludf.DUMMYFUNCTION("""COMPUTED_VALUE"""),"")</f>
        <v/>
      </c>
      <c r="CF59" s="117" t="str">
        <f>IFERROR(__xludf.DUMMYFUNCTION("""COMPUTED_VALUE"""),"")</f>
        <v/>
      </c>
      <c r="CG59" s="118" t="str">
        <f>IFERROR(__xludf.DUMMYFUNCTION("""COMPUTED_VALUE"""),"")</f>
        <v/>
      </c>
      <c r="CH59" s="117" t="str">
        <f>IFERROR(__xludf.DUMMYFUNCTION("""COMPUTED_VALUE"""),"")</f>
        <v/>
      </c>
      <c r="CI59" s="117" t="str">
        <f>IFERROR(__xludf.DUMMYFUNCTION("""COMPUTED_VALUE"""),"")</f>
        <v/>
      </c>
      <c r="CJ59" s="118" t="str">
        <f>IFERROR(__xludf.DUMMYFUNCTION("""COMPUTED_VALUE"""),"")</f>
        <v/>
      </c>
      <c r="CK59" s="117" t="str">
        <f>IFERROR(__xludf.DUMMYFUNCTION("""COMPUTED_VALUE"""),"")</f>
        <v/>
      </c>
      <c r="CL59" s="117" t="str">
        <f>IFERROR(__xludf.DUMMYFUNCTION("""COMPUTED_VALUE"""),"")</f>
        <v/>
      </c>
      <c r="CM59" s="118" t="str">
        <f>IFERROR(__xludf.DUMMYFUNCTION("""COMPUTED_VALUE"""),"")</f>
        <v/>
      </c>
      <c r="CN59" s="117" t="str">
        <f>IFERROR(__xludf.DUMMYFUNCTION("""COMPUTED_VALUE"""),"")</f>
        <v/>
      </c>
      <c r="CO59" s="117" t="str">
        <f>IFERROR(__xludf.DUMMYFUNCTION("""COMPUTED_VALUE"""),"")</f>
        <v/>
      </c>
      <c r="CP59" s="118" t="str">
        <f>IFERROR(__xludf.DUMMYFUNCTION("""COMPUTED_VALUE"""),"")</f>
        <v/>
      </c>
      <c r="CQ59" s="117" t="str">
        <f>IFERROR(__xludf.DUMMYFUNCTION("""COMPUTED_VALUE"""),"")</f>
        <v/>
      </c>
      <c r="CR59" s="117" t="str">
        <f>IFERROR(__xludf.DUMMYFUNCTION("""COMPUTED_VALUE"""),"")</f>
        <v/>
      </c>
      <c r="CS59" s="118"/>
      <c r="CT59" s="117"/>
      <c r="CU59" s="117"/>
      <c r="CV59" s="118"/>
      <c r="CW59" s="117"/>
      <c r="CX59" s="117"/>
      <c r="CY59" s="118"/>
      <c r="CZ59" s="117"/>
      <c r="DA59" s="117"/>
      <c r="DB59" s="118"/>
      <c r="DC59" s="117"/>
      <c r="DD59" s="117"/>
      <c r="DE59" s="118"/>
      <c r="DF59" s="117"/>
      <c r="DG59" s="117"/>
      <c r="DH59" s="118"/>
      <c r="DI59" s="117"/>
      <c r="DJ59" s="117"/>
      <c r="DK59" s="118"/>
      <c r="DL59" s="117"/>
      <c r="DM59" s="117"/>
      <c r="DN59" s="118"/>
      <c r="DO59" s="117"/>
      <c r="DP59" s="117"/>
      <c r="DQ59" s="118"/>
      <c r="DR59" s="117"/>
      <c r="DS59" s="117"/>
      <c r="DT59" s="118"/>
    </row>
    <row r="60">
      <c r="B60" s="83" t="str">
        <f>IFERROR(__xludf.DUMMYFUNCTION("""COMPUTED_VALUE"""),"ORL4")</f>
        <v>ORL4</v>
      </c>
      <c r="C60" s="82">
        <f>IFERROR(__xludf.DUMMYFUNCTION("""COMPUTED_VALUE"""),45.0)</f>
        <v>45</v>
      </c>
      <c r="D60" s="88" t="str">
        <f>IFERROR(__xludf.DUMMYFUNCTION("""COMPUTED_VALUE"""),"Jura")</f>
        <v>Jura</v>
      </c>
      <c r="E60" s="82" t="str">
        <f>IFERROR(__xludf.DUMMYFUNCTION("""COMPUTED_VALUE"""),"ジュラ")</f>
        <v>ジュラ</v>
      </c>
      <c r="F60" s="102">
        <f>IFERROR(__xludf.DUMMYFUNCTION("""COMPUTED_VALUE"""),7.0)</f>
        <v>7</v>
      </c>
      <c r="G60" s="82">
        <f>IFERROR(__xludf.DUMMYFUNCTION("""COMPUTED_VALUE"""),2132.0)</f>
        <v>2132</v>
      </c>
      <c r="H60" s="95" t="str">
        <f>IFERROR(__xludf.DUMMYFUNCTION("""COMPUTED_VALUE"""),"")</f>
        <v/>
      </c>
      <c r="I60" s="96" t="str">
        <f>IFERROR(__xludf.DUMMYFUNCTION("""COMPUTED_VALUE"""),"")</f>
        <v/>
      </c>
      <c r="J60" s="97" t="str">
        <f>IFERROR(__xludf.DUMMYFUNCTION("""COMPUTED_VALUE"""),"")</f>
        <v/>
      </c>
      <c r="K60" s="95" t="str">
        <f>IFERROR(__xludf.DUMMYFUNCTION("""COMPUTED_VALUE"""),"")</f>
        <v/>
      </c>
      <c r="L60" s="96" t="str">
        <f>IFERROR(__xludf.DUMMYFUNCTION("""COMPUTED_VALUE"""),"")</f>
        <v/>
      </c>
      <c r="M60" s="97" t="str">
        <f>IFERROR(__xludf.DUMMYFUNCTION("""COMPUTED_VALUE"""),"")</f>
        <v/>
      </c>
      <c r="N60" s="95" t="str">
        <f>IFERROR(__xludf.DUMMYFUNCTION("""COMPUTED_VALUE"""),"")</f>
        <v/>
      </c>
      <c r="O60" s="96" t="str">
        <f>IFERROR(__xludf.DUMMYFUNCTION("""COMPUTED_VALUE"""),"")</f>
        <v/>
      </c>
      <c r="P60" s="97" t="str">
        <f>IFERROR(__xludf.DUMMYFUNCTION("""COMPUTED_VALUE"""),"")</f>
        <v/>
      </c>
      <c r="Q60" s="95" t="str">
        <f>IFERROR(__xludf.DUMMYFUNCTION("""COMPUTED_VALUE"""),"")</f>
        <v/>
      </c>
      <c r="R60" s="96" t="str">
        <f>IFERROR(__xludf.DUMMYFUNCTION("""COMPUTED_VALUE"""),"")</f>
        <v/>
      </c>
      <c r="S60" s="97" t="str">
        <f>IFERROR(__xludf.DUMMYFUNCTION("""COMPUTED_VALUE"""),"")</f>
        <v/>
      </c>
      <c r="T60" s="95" t="str">
        <f>IFERROR(__xludf.DUMMYFUNCTION("""COMPUTED_VALUE"""),"")</f>
        <v/>
      </c>
      <c r="U60" s="96" t="str">
        <f>IFERROR(__xludf.DUMMYFUNCTION("""COMPUTED_VALUE"""),"")</f>
        <v/>
      </c>
      <c r="V60" s="97" t="str">
        <f>IFERROR(__xludf.DUMMYFUNCTION("""COMPUTED_VALUE"""),"")</f>
        <v/>
      </c>
      <c r="W60" s="95" t="str">
        <f>IFERROR(__xludf.DUMMYFUNCTION("""COMPUTED_VALUE"""),"")</f>
        <v/>
      </c>
      <c r="X60" s="96" t="str">
        <f>IFERROR(__xludf.DUMMYFUNCTION("""COMPUTED_VALUE"""),"")</f>
        <v/>
      </c>
      <c r="Y60" s="97" t="str">
        <f>IFERROR(__xludf.DUMMYFUNCTION("""COMPUTED_VALUE"""),"")</f>
        <v/>
      </c>
      <c r="Z60" s="95">
        <f>IFERROR(__xludf.DUMMYFUNCTION("""COMPUTED_VALUE"""),138.2)</f>
        <v>138.2</v>
      </c>
      <c r="AA60" s="96" t="str">
        <f>IFERROR(__xludf.DUMMYFUNCTION("""COMPUTED_VALUE"""),"")</f>
        <v/>
      </c>
      <c r="AB60" s="97" t="str">
        <f>IFERROR(__xludf.DUMMYFUNCTION("""COMPUTED_VALUE"""),"")</f>
        <v/>
      </c>
      <c r="AC60" s="95" t="str">
        <f>IFERROR(__xludf.DUMMYFUNCTION("""COMPUTED_VALUE"""),"")</f>
        <v/>
      </c>
      <c r="AD60" s="96" t="str">
        <f>IFERROR(__xludf.DUMMYFUNCTION("""COMPUTED_VALUE"""),"")</f>
        <v/>
      </c>
      <c r="AE60" s="97" t="str">
        <f>IFERROR(__xludf.DUMMYFUNCTION("""COMPUTED_VALUE"""),"")</f>
        <v/>
      </c>
      <c r="AF60" s="95" t="str">
        <f>IFERROR(__xludf.DUMMYFUNCTION("""COMPUTED_VALUE"""),"")</f>
        <v/>
      </c>
      <c r="AG60" s="96" t="str">
        <f>IFERROR(__xludf.DUMMYFUNCTION("""COMPUTED_VALUE"""),"")</f>
        <v/>
      </c>
      <c r="AH60" s="97" t="str">
        <f>IFERROR(__xludf.DUMMYFUNCTION("""COMPUTED_VALUE"""),"")</f>
        <v/>
      </c>
      <c r="AI60" s="92" t="str">
        <f>IFERROR(__xludf.DUMMYFUNCTION("""COMPUTED_VALUE"""),"")</f>
        <v/>
      </c>
      <c r="AJ60" s="93" t="str">
        <f>IFERROR(__xludf.DUMMYFUNCTION("""COMPUTED_VALUE"""),"")</f>
        <v/>
      </c>
      <c r="AK60" s="94" t="str">
        <f>IFERROR(__xludf.DUMMYFUNCTION("""COMPUTED_VALUE"""),"")</f>
        <v/>
      </c>
      <c r="AL60" s="93" t="str">
        <f>IFERROR(__xludf.DUMMYFUNCTION("""COMPUTED_VALUE"""),"")</f>
        <v/>
      </c>
      <c r="AM60" s="93" t="str">
        <f>IFERROR(__xludf.DUMMYFUNCTION("""COMPUTED_VALUE"""),"")</f>
        <v/>
      </c>
      <c r="AN60" s="94" t="str">
        <f>IFERROR(__xludf.DUMMYFUNCTION("""COMPUTED_VALUE"""),"")</f>
        <v/>
      </c>
      <c r="AO60" s="93" t="str">
        <f>IFERROR(__xludf.DUMMYFUNCTION("""COMPUTED_VALUE"""),"")</f>
        <v/>
      </c>
      <c r="AP60" s="93" t="str">
        <f>IFERROR(__xludf.DUMMYFUNCTION("""COMPUTED_VALUE"""),"")</f>
        <v/>
      </c>
      <c r="AQ60" s="94" t="str">
        <f>IFERROR(__xludf.DUMMYFUNCTION("""COMPUTED_VALUE"""),"")</f>
        <v/>
      </c>
      <c r="AR60" s="93" t="str">
        <f>IFERROR(__xludf.DUMMYFUNCTION("""COMPUTED_VALUE"""),"")</f>
        <v/>
      </c>
      <c r="AS60" s="93" t="str">
        <f>IFERROR(__xludf.DUMMYFUNCTION("""COMPUTED_VALUE"""),"")</f>
        <v/>
      </c>
      <c r="AT60" s="94" t="str">
        <f>IFERROR(__xludf.DUMMYFUNCTION("""COMPUTED_VALUE"""),"")</f>
        <v/>
      </c>
      <c r="AU60" s="93" t="str">
        <f>IFERROR(__xludf.DUMMYFUNCTION("""COMPUTED_VALUE"""),"")</f>
        <v/>
      </c>
      <c r="AV60" s="93">
        <f>IFERROR(__xludf.DUMMYFUNCTION("""COMPUTED_VALUE"""),140.8)</f>
        <v>140.8</v>
      </c>
      <c r="AW60" s="94">
        <f>IFERROR(__xludf.DUMMYFUNCTION("""COMPUTED_VALUE"""),91.6)</f>
        <v>91.6</v>
      </c>
      <c r="AX60" s="93" t="str">
        <f>IFERROR(__xludf.DUMMYFUNCTION("""COMPUTED_VALUE"""),"")</f>
        <v/>
      </c>
      <c r="AY60" s="93" t="str">
        <f>IFERROR(__xludf.DUMMYFUNCTION("""COMPUTED_VALUE"""),"")</f>
        <v/>
      </c>
      <c r="AZ60" s="94" t="str">
        <f>IFERROR(__xludf.DUMMYFUNCTION("""COMPUTED_VALUE"""),"")</f>
        <v/>
      </c>
      <c r="BA60" s="93" t="str">
        <f>IFERROR(__xludf.DUMMYFUNCTION("""COMPUTED_VALUE"""),"")</f>
        <v/>
      </c>
      <c r="BB60" s="93" t="str">
        <f>IFERROR(__xludf.DUMMYFUNCTION("""COMPUTED_VALUE"""),"")</f>
        <v/>
      </c>
      <c r="BC60" s="94" t="str">
        <f>IFERROR(__xludf.DUMMYFUNCTION("""COMPUTED_VALUE"""),"")</f>
        <v/>
      </c>
      <c r="BD60" s="93" t="str">
        <f>IFERROR(__xludf.DUMMYFUNCTION("""COMPUTED_VALUE"""),"")</f>
        <v/>
      </c>
      <c r="BE60" s="93" t="str">
        <f>IFERROR(__xludf.DUMMYFUNCTION("""COMPUTED_VALUE"""),"")</f>
        <v/>
      </c>
      <c r="BF60" s="94" t="str">
        <f>IFERROR(__xludf.DUMMYFUNCTION("""COMPUTED_VALUE"""),"")</f>
        <v/>
      </c>
      <c r="BG60" s="92" t="str">
        <f>IFERROR(__xludf.DUMMYFUNCTION("""COMPUTED_VALUE"""),"")</f>
        <v/>
      </c>
      <c r="BH60" s="93" t="str">
        <f>IFERROR(__xludf.DUMMYFUNCTION("""COMPUTED_VALUE"""),"")</f>
        <v/>
      </c>
      <c r="BI60" s="94" t="str">
        <f>IFERROR(__xludf.DUMMYFUNCTION("""COMPUTED_VALUE"""),"")</f>
        <v/>
      </c>
      <c r="BJ60" s="93" t="str">
        <f>IFERROR(__xludf.DUMMYFUNCTION("""COMPUTED_VALUE"""),"")</f>
        <v/>
      </c>
      <c r="BK60" s="93" t="str">
        <f>IFERROR(__xludf.DUMMYFUNCTION("""COMPUTED_VALUE"""),"")</f>
        <v/>
      </c>
      <c r="BL60" s="94" t="str">
        <f>IFERROR(__xludf.DUMMYFUNCTION("""COMPUTED_VALUE"""),"")</f>
        <v/>
      </c>
      <c r="BM60" s="93" t="str">
        <f>IFERROR(__xludf.DUMMYFUNCTION("""COMPUTED_VALUE"""),"")</f>
        <v/>
      </c>
      <c r="BN60" s="93" t="str">
        <f>IFERROR(__xludf.DUMMYFUNCTION("""COMPUTED_VALUE"""),"")</f>
        <v/>
      </c>
      <c r="BO60" s="94" t="str">
        <f>IFERROR(__xludf.DUMMYFUNCTION("""COMPUTED_VALUE"""),"")</f>
        <v/>
      </c>
      <c r="BP60" s="93" t="str">
        <f>IFERROR(__xludf.DUMMYFUNCTION("""COMPUTED_VALUE"""),"")</f>
        <v/>
      </c>
      <c r="BQ60" s="93">
        <f>IFERROR(__xludf.DUMMYFUNCTION("""COMPUTED_VALUE"""),45.6)</f>
        <v>45.6</v>
      </c>
      <c r="BR60" s="94" t="str">
        <f>IFERROR(__xludf.DUMMYFUNCTION("""COMPUTED_VALUE"""),"")</f>
        <v/>
      </c>
      <c r="BS60" s="93">
        <f>IFERROR(__xludf.DUMMYFUNCTION("""COMPUTED_VALUE"""),45.9)</f>
        <v>45.9</v>
      </c>
      <c r="BT60" s="93">
        <f>IFERROR(__xludf.DUMMYFUNCTION("""COMPUTED_VALUE"""),41.9)</f>
        <v>41.9</v>
      </c>
      <c r="BU60" s="94" t="str">
        <f>IFERROR(__xludf.DUMMYFUNCTION("""COMPUTED_VALUE"""),"")</f>
        <v/>
      </c>
      <c r="BV60" s="93">
        <f>IFERROR(__xludf.DUMMYFUNCTION("""COMPUTED_VALUE"""),89.9)</f>
        <v>89.9</v>
      </c>
      <c r="BW60" s="93" t="str">
        <f>IFERROR(__xludf.DUMMYFUNCTION("""COMPUTED_VALUE"""),"")</f>
        <v/>
      </c>
      <c r="BX60" s="94" t="str">
        <f>IFERROR(__xludf.DUMMYFUNCTION("""COMPUTED_VALUE"""),"")</f>
        <v/>
      </c>
      <c r="BY60" s="93" t="str">
        <f>IFERROR(__xludf.DUMMYFUNCTION("""COMPUTED_VALUE"""),"")</f>
        <v/>
      </c>
      <c r="BZ60" s="93" t="str">
        <f>IFERROR(__xludf.DUMMYFUNCTION("""COMPUTED_VALUE"""),"")</f>
        <v/>
      </c>
      <c r="CA60" s="94" t="str">
        <f>IFERROR(__xludf.DUMMYFUNCTION("""COMPUTED_VALUE"""),"")</f>
        <v/>
      </c>
      <c r="CB60" s="92" t="str">
        <f>IFERROR(__xludf.DUMMYFUNCTION("""COMPUTED_VALUE"""),"")</f>
        <v/>
      </c>
      <c r="CC60" s="93" t="str">
        <f>IFERROR(__xludf.DUMMYFUNCTION("""COMPUTED_VALUE"""),"")</f>
        <v/>
      </c>
      <c r="CD60" s="94" t="str">
        <f>IFERROR(__xludf.DUMMYFUNCTION("""COMPUTED_VALUE"""),"")</f>
        <v/>
      </c>
      <c r="CE60" s="93" t="str">
        <f>IFERROR(__xludf.DUMMYFUNCTION("""COMPUTED_VALUE"""),"")</f>
        <v/>
      </c>
      <c r="CF60" s="93" t="str">
        <f>IFERROR(__xludf.DUMMYFUNCTION("""COMPUTED_VALUE"""),"")</f>
        <v/>
      </c>
      <c r="CG60" s="94" t="str">
        <f>IFERROR(__xludf.DUMMYFUNCTION("""COMPUTED_VALUE"""),"")</f>
        <v/>
      </c>
      <c r="CH60" s="93">
        <f>IFERROR(__xludf.DUMMYFUNCTION("""COMPUTED_VALUE"""),67.8)</f>
        <v>67.8</v>
      </c>
      <c r="CI60" s="93" t="str">
        <f>IFERROR(__xludf.DUMMYFUNCTION("""COMPUTED_VALUE"""),"")</f>
        <v/>
      </c>
      <c r="CJ60" s="94" t="str">
        <f>IFERROR(__xludf.DUMMYFUNCTION("""COMPUTED_VALUE"""),"")</f>
        <v/>
      </c>
      <c r="CK60" s="93" t="str">
        <f>IFERROR(__xludf.DUMMYFUNCTION("""COMPUTED_VALUE"""),"")</f>
        <v/>
      </c>
      <c r="CL60" s="93" t="str">
        <f>IFERROR(__xludf.DUMMYFUNCTION("""COMPUTED_VALUE"""),"")</f>
        <v/>
      </c>
      <c r="CM60" s="94" t="str">
        <f>IFERROR(__xludf.DUMMYFUNCTION("""COMPUTED_VALUE"""),"")</f>
        <v/>
      </c>
      <c r="CN60" s="93" t="str">
        <f>IFERROR(__xludf.DUMMYFUNCTION("""COMPUTED_VALUE"""),"")</f>
        <v/>
      </c>
      <c r="CO60" s="93" t="str">
        <f>IFERROR(__xludf.DUMMYFUNCTION("""COMPUTED_VALUE"""),"")</f>
        <v/>
      </c>
      <c r="CP60" s="94" t="str">
        <f>IFERROR(__xludf.DUMMYFUNCTION("""COMPUTED_VALUE"""),"")</f>
        <v/>
      </c>
      <c r="CQ60" s="93" t="str">
        <f>IFERROR(__xludf.DUMMYFUNCTION("""COMPUTED_VALUE"""),"")</f>
        <v/>
      </c>
      <c r="CR60" s="93" t="str">
        <f>IFERROR(__xludf.DUMMYFUNCTION("""COMPUTED_VALUE"""),"")</f>
        <v/>
      </c>
      <c r="CS60" s="94"/>
      <c r="CT60" s="93"/>
      <c r="CU60" s="93"/>
      <c r="CV60" s="94"/>
      <c r="CW60" s="93"/>
      <c r="CX60" s="93"/>
      <c r="CY60" s="94"/>
      <c r="CZ60" s="93"/>
      <c r="DA60" s="93"/>
      <c r="DB60" s="94"/>
      <c r="DC60" s="93"/>
      <c r="DD60" s="93"/>
      <c r="DE60" s="94"/>
      <c r="DF60" s="93"/>
      <c r="DG60" s="93"/>
      <c r="DH60" s="94"/>
      <c r="DI60" s="93"/>
      <c r="DJ60" s="93"/>
      <c r="DK60" s="94"/>
      <c r="DL60" s="93"/>
      <c r="DM60" s="93"/>
      <c r="DN60" s="94"/>
      <c r="DO60" s="93"/>
      <c r="DP60" s="93"/>
      <c r="DQ60" s="94"/>
      <c r="DR60" s="93"/>
      <c r="DS60" s="93"/>
      <c r="DT60" s="94"/>
    </row>
    <row r="61">
      <c r="B61" s="83" t="str">
        <f>IFERROR(__xludf.DUMMYFUNCTION("""COMPUTED_VALUE"""),"ORL5")</f>
        <v>ORL5</v>
      </c>
      <c r="C61" s="82">
        <f>IFERROR(__xludf.DUMMYFUNCTION("""COMPUTED_VALUE"""),46.0)</f>
        <v>46</v>
      </c>
      <c r="D61" s="88" t="str">
        <f>IFERROR(__xludf.DUMMYFUNCTION("""COMPUTED_VALUE"""),"Lyon")</f>
        <v>Lyon</v>
      </c>
      <c r="E61" s="82" t="str">
        <f>IFERROR(__xludf.DUMMYFUNCTION("""COMPUTED_VALUE"""),"リヨン")</f>
        <v>リヨン</v>
      </c>
      <c r="F61" s="102">
        <f>IFERROR(__xludf.DUMMYFUNCTION("""COMPUTED_VALUE"""),7.0)</f>
        <v>7</v>
      </c>
      <c r="G61" s="82">
        <f>IFERROR(__xludf.DUMMYFUNCTION("""COMPUTED_VALUE"""),1113.0)</f>
        <v>1113</v>
      </c>
      <c r="H61" s="95" t="str">
        <f>IFERROR(__xludf.DUMMYFUNCTION("""COMPUTED_VALUE"""),"")</f>
        <v/>
      </c>
      <c r="I61" s="96" t="str">
        <f>IFERROR(__xludf.DUMMYFUNCTION("""COMPUTED_VALUE"""),"")</f>
        <v/>
      </c>
      <c r="J61" s="97" t="str">
        <f>IFERROR(__xludf.DUMMYFUNCTION("""COMPUTED_VALUE"""),"")</f>
        <v/>
      </c>
      <c r="K61" s="95" t="str">
        <f>IFERROR(__xludf.DUMMYFUNCTION("""COMPUTED_VALUE"""),"")</f>
        <v/>
      </c>
      <c r="L61" s="96" t="str">
        <f>IFERROR(__xludf.DUMMYFUNCTION("""COMPUTED_VALUE"""),"")</f>
        <v/>
      </c>
      <c r="M61" s="97" t="str">
        <f>IFERROR(__xludf.DUMMYFUNCTION("""COMPUTED_VALUE"""),"")</f>
        <v/>
      </c>
      <c r="N61" s="95" t="str">
        <f>IFERROR(__xludf.DUMMYFUNCTION("""COMPUTED_VALUE"""),"")</f>
        <v/>
      </c>
      <c r="O61" s="96" t="str">
        <f>IFERROR(__xludf.DUMMYFUNCTION("""COMPUTED_VALUE"""),"")</f>
        <v/>
      </c>
      <c r="P61" s="97" t="str">
        <f>IFERROR(__xludf.DUMMYFUNCTION("""COMPUTED_VALUE"""),"")</f>
        <v/>
      </c>
      <c r="Q61" s="95" t="str">
        <f>IFERROR(__xludf.DUMMYFUNCTION("""COMPUTED_VALUE"""),"")</f>
        <v/>
      </c>
      <c r="R61" s="96" t="str">
        <f>IFERROR(__xludf.DUMMYFUNCTION("""COMPUTED_VALUE"""),"")</f>
        <v/>
      </c>
      <c r="S61" s="97" t="str">
        <f>IFERROR(__xludf.DUMMYFUNCTION("""COMPUTED_VALUE"""),"")</f>
        <v/>
      </c>
      <c r="T61" s="95" t="str">
        <f>IFERROR(__xludf.DUMMYFUNCTION("""COMPUTED_VALUE"""),"")</f>
        <v/>
      </c>
      <c r="U61" s="96" t="str">
        <f>IFERROR(__xludf.DUMMYFUNCTION("""COMPUTED_VALUE"""),"")</f>
        <v/>
      </c>
      <c r="V61" s="97" t="str">
        <f>IFERROR(__xludf.DUMMYFUNCTION("""COMPUTED_VALUE"""),"")</f>
        <v/>
      </c>
      <c r="W61" s="95" t="str">
        <f>IFERROR(__xludf.DUMMYFUNCTION("""COMPUTED_VALUE"""),"")</f>
        <v/>
      </c>
      <c r="X61" s="96" t="str">
        <f>IFERROR(__xludf.DUMMYFUNCTION("""COMPUTED_VALUE"""),"")</f>
        <v/>
      </c>
      <c r="Y61" s="97" t="str">
        <f>IFERROR(__xludf.DUMMYFUNCTION("""COMPUTED_VALUE"""),"")</f>
        <v/>
      </c>
      <c r="Z61" s="95" t="str">
        <f>IFERROR(__xludf.DUMMYFUNCTION("""COMPUTED_VALUE"""),"")</f>
        <v/>
      </c>
      <c r="AA61" s="96" t="str">
        <f>IFERROR(__xludf.DUMMYFUNCTION("""COMPUTED_VALUE"""),"")</f>
        <v/>
      </c>
      <c r="AB61" s="97" t="str">
        <f>IFERROR(__xludf.DUMMYFUNCTION("""COMPUTED_VALUE"""),"")</f>
        <v/>
      </c>
      <c r="AC61" s="95" t="str">
        <f>IFERROR(__xludf.DUMMYFUNCTION("""COMPUTED_VALUE"""),"")</f>
        <v/>
      </c>
      <c r="AD61" s="96" t="str">
        <f>IFERROR(__xludf.DUMMYFUNCTION("""COMPUTED_VALUE"""),"")</f>
        <v/>
      </c>
      <c r="AE61" s="97" t="str">
        <f>IFERROR(__xludf.DUMMYFUNCTION("""COMPUTED_VALUE"""),"")</f>
        <v/>
      </c>
      <c r="AF61" s="95" t="str">
        <f>IFERROR(__xludf.DUMMYFUNCTION("""COMPUTED_VALUE"""),"")</f>
        <v/>
      </c>
      <c r="AG61" s="96" t="str">
        <f>IFERROR(__xludf.DUMMYFUNCTION("""COMPUTED_VALUE"""),"")</f>
        <v/>
      </c>
      <c r="AH61" s="97" t="str">
        <f>IFERROR(__xludf.DUMMYFUNCTION("""COMPUTED_VALUE"""),"")</f>
        <v/>
      </c>
      <c r="AI61" s="116" t="str">
        <f>IFERROR(__xludf.DUMMYFUNCTION("""COMPUTED_VALUE"""),"")</f>
        <v/>
      </c>
      <c r="AJ61" s="117" t="str">
        <f>IFERROR(__xludf.DUMMYFUNCTION("""COMPUTED_VALUE"""),"")</f>
        <v/>
      </c>
      <c r="AK61" s="118" t="str">
        <f>IFERROR(__xludf.DUMMYFUNCTION("""COMPUTED_VALUE"""),"")</f>
        <v/>
      </c>
      <c r="AL61" s="117" t="str">
        <f>IFERROR(__xludf.DUMMYFUNCTION("""COMPUTED_VALUE"""),"")</f>
        <v/>
      </c>
      <c r="AM61" s="117" t="str">
        <f>IFERROR(__xludf.DUMMYFUNCTION("""COMPUTED_VALUE"""),"")</f>
        <v/>
      </c>
      <c r="AN61" s="118" t="str">
        <f>IFERROR(__xludf.DUMMYFUNCTION("""COMPUTED_VALUE"""),"")</f>
        <v/>
      </c>
      <c r="AO61" s="117" t="str">
        <f>IFERROR(__xludf.DUMMYFUNCTION("""COMPUTED_VALUE"""),"")</f>
        <v/>
      </c>
      <c r="AP61" s="117" t="str">
        <f>IFERROR(__xludf.DUMMYFUNCTION("""COMPUTED_VALUE"""),"")</f>
        <v/>
      </c>
      <c r="AQ61" s="118" t="str">
        <f>IFERROR(__xludf.DUMMYFUNCTION("""COMPUTED_VALUE"""),"")</f>
        <v/>
      </c>
      <c r="AR61" s="117" t="str">
        <f>IFERROR(__xludf.DUMMYFUNCTION("""COMPUTED_VALUE"""),"")</f>
        <v/>
      </c>
      <c r="AS61" s="117" t="str">
        <f>IFERROR(__xludf.DUMMYFUNCTION("""COMPUTED_VALUE"""),"")</f>
        <v/>
      </c>
      <c r="AT61" s="118">
        <f>IFERROR(__xludf.DUMMYFUNCTION("""COMPUTED_VALUE"""),37.6)</f>
        <v>37.6</v>
      </c>
      <c r="AU61" s="117" t="str">
        <f>IFERROR(__xludf.DUMMYFUNCTION("""COMPUTED_VALUE"""),"")</f>
        <v/>
      </c>
      <c r="AV61" s="117" t="str">
        <f>IFERROR(__xludf.DUMMYFUNCTION("""COMPUTED_VALUE"""),"")</f>
        <v/>
      </c>
      <c r="AW61" s="118">
        <f>IFERROR(__xludf.DUMMYFUNCTION("""COMPUTED_VALUE"""),100.7)</f>
        <v>100.7</v>
      </c>
      <c r="AX61" s="117" t="str">
        <f>IFERROR(__xludf.DUMMYFUNCTION("""COMPUTED_VALUE"""),"")</f>
        <v/>
      </c>
      <c r="AY61" s="117" t="str">
        <f>IFERROR(__xludf.DUMMYFUNCTION("""COMPUTED_VALUE"""),"")</f>
        <v/>
      </c>
      <c r="AZ61" s="118" t="str">
        <f>IFERROR(__xludf.DUMMYFUNCTION("""COMPUTED_VALUE"""),"")</f>
        <v/>
      </c>
      <c r="BA61" s="117" t="str">
        <f>IFERROR(__xludf.DUMMYFUNCTION("""COMPUTED_VALUE"""),"")</f>
        <v/>
      </c>
      <c r="BB61" s="117" t="str">
        <f>IFERROR(__xludf.DUMMYFUNCTION("""COMPUTED_VALUE"""),"")</f>
        <v/>
      </c>
      <c r="BC61" s="118" t="str">
        <f>IFERROR(__xludf.DUMMYFUNCTION("""COMPUTED_VALUE"""),"")</f>
        <v/>
      </c>
      <c r="BD61" s="117" t="str">
        <f>IFERROR(__xludf.DUMMYFUNCTION("""COMPUTED_VALUE"""),"")</f>
        <v/>
      </c>
      <c r="BE61" s="117" t="str">
        <f>IFERROR(__xludf.DUMMYFUNCTION("""COMPUTED_VALUE"""),"")</f>
        <v/>
      </c>
      <c r="BF61" s="118" t="str">
        <f>IFERROR(__xludf.DUMMYFUNCTION("""COMPUTED_VALUE"""),"")</f>
        <v/>
      </c>
      <c r="BG61" s="116" t="str">
        <f>IFERROR(__xludf.DUMMYFUNCTION("""COMPUTED_VALUE"""),"")</f>
        <v/>
      </c>
      <c r="BH61" s="117" t="str">
        <f>IFERROR(__xludf.DUMMYFUNCTION("""COMPUTED_VALUE"""),"")</f>
        <v/>
      </c>
      <c r="BI61" s="118" t="str">
        <f>IFERROR(__xludf.DUMMYFUNCTION("""COMPUTED_VALUE"""),"")</f>
        <v/>
      </c>
      <c r="BJ61" s="117" t="str">
        <f>IFERROR(__xludf.DUMMYFUNCTION("""COMPUTED_VALUE"""),"")</f>
        <v/>
      </c>
      <c r="BK61" s="117" t="str">
        <f>IFERROR(__xludf.DUMMYFUNCTION("""COMPUTED_VALUE"""),"")</f>
        <v/>
      </c>
      <c r="BL61" s="118" t="str">
        <f>IFERROR(__xludf.DUMMYFUNCTION("""COMPUTED_VALUE"""),"")</f>
        <v/>
      </c>
      <c r="BM61" s="117" t="str">
        <f>IFERROR(__xludf.DUMMYFUNCTION("""COMPUTED_VALUE"""),"")</f>
        <v/>
      </c>
      <c r="BN61" s="117" t="str">
        <f>IFERROR(__xludf.DUMMYFUNCTION("""COMPUTED_VALUE"""),"")</f>
        <v/>
      </c>
      <c r="BO61" s="118" t="str">
        <f>IFERROR(__xludf.DUMMYFUNCTION("""COMPUTED_VALUE"""),"")</f>
        <v/>
      </c>
      <c r="BP61" s="117" t="str">
        <f>IFERROR(__xludf.DUMMYFUNCTION("""COMPUTED_VALUE"""),"")</f>
        <v/>
      </c>
      <c r="BQ61" s="117">
        <f>IFERROR(__xludf.DUMMYFUNCTION("""COMPUTED_VALUE"""),27.0)</f>
        <v>27</v>
      </c>
      <c r="BR61" s="118" t="str">
        <f>IFERROR(__xludf.DUMMYFUNCTION("""COMPUTED_VALUE"""),"")</f>
        <v/>
      </c>
      <c r="BS61" s="117">
        <f>IFERROR(__xludf.DUMMYFUNCTION("""COMPUTED_VALUE"""),71.5)</f>
        <v>71.5</v>
      </c>
      <c r="BT61" s="117" t="str">
        <f>IFERROR(__xludf.DUMMYFUNCTION("""COMPUTED_VALUE"""),"")</f>
        <v/>
      </c>
      <c r="BU61" s="118" t="str">
        <f>IFERROR(__xludf.DUMMYFUNCTION("""COMPUTED_VALUE"""),"")</f>
        <v/>
      </c>
      <c r="BV61" s="117" t="str">
        <f>IFERROR(__xludf.DUMMYFUNCTION("""COMPUTED_VALUE"""),"")</f>
        <v/>
      </c>
      <c r="BW61" s="117" t="str">
        <f>IFERROR(__xludf.DUMMYFUNCTION("""COMPUTED_VALUE"""),"")</f>
        <v/>
      </c>
      <c r="BX61" s="118" t="str">
        <f>IFERROR(__xludf.DUMMYFUNCTION("""COMPUTED_VALUE"""),"")</f>
        <v/>
      </c>
      <c r="BY61" s="117" t="str">
        <f>IFERROR(__xludf.DUMMYFUNCTION("""COMPUTED_VALUE"""),"")</f>
        <v/>
      </c>
      <c r="BZ61" s="117" t="str">
        <f>IFERROR(__xludf.DUMMYFUNCTION("""COMPUTED_VALUE"""),"")</f>
        <v/>
      </c>
      <c r="CA61" s="118" t="str">
        <f>IFERROR(__xludf.DUMMYFUNCTION("""COMPUTED_VALUE"""),"")</f>
        <v/>
      </c>
      <c r="CB61" s="116" t="str">
        <f>IFERROR(__xludf.DUMMYFUNCTION("""COMPUTED_VALUE"""),"")</f>
        <v/>
      </c>
      <c r="CC61" s="117" t="str">
        <f>IFERROR(__xludf.DUMMYFUNCTION("""COMPUTED_VALUE"""),"")</f>
        <v/>
      </c>
      <c r="CD61" s="118" t="str">
        <f>IFERROR(__xludf.DUMMYFUNCTION("""COMPUTED_VALUE"""),"")</f>
        <v/>
      </c>
      <c r="CE61" s="117" t="str">
        <f>IFERROR(__xludf.DUMMYFUNCTION("""COMPUTED_VALUE"""),"")</f>
        <v/>
      </c>
      <c r="CF61" s="117" t="str">
        <f>IFERROR(__xludf.DUMMYFUNCTION("""COMPUTED_VALUE"""),"")</f>
        <v/>
      </c>
      <c r="CG61" s="118" t="str">
        <f>IFERROR(__xludf.DUMMYFUNCTION("""COMPUTED_VALUE"""),"")</f>
        <v/>
      </c>
      <c r="CH61" s="117" t="str">
        <f>IFERROR(__xludf.DUMMYFUNCTION("""COMPUTED_VALUE"""),"")</f>
        <v/>
      </c>
      <c r="CI61" s="117" t="str">
        <f>IFERROR(__xludf.DUMMYFUNCTION("""COMPUTED_VALUE"""),"")</f>
        <v/>
      </c>
      <c r="CJ61" s="118">
        <f>IFERROR(__xludf.DUMMYFUNCTION("""COMPUTED_VALUE"""),62.8)</f>
        <v>62.8</v>
      </c>
      <c r="CK61" s="117" t="str">
        <f>IFERROR(__xludf.DUMMYFUNCTION("""COMPUTED_VALUE"""),"")</f>
        <v/>
      </c>
      <c r="CL61" s="117" t="str">
        <f>IFERROR(__xludf.DUMMYFUNCTION("""COMPUTED_VALUE"""),"")</f>
        <v/>
      </c>
      <c r="CM61" s="118" t="str">
        <f>IFERROR(__xludf.DUMMYFUNCTION("""COMPUTED_VALUE"""),"")</f>
        <v/>
      </c>
      <c r="CN61" s="117" t="str">
        <f>IFERROR(__xludf.DUMMYFUNCTION("""COMPUTED_VALUE"""),"")</f>
        <v/>
      </c>
      <c r="CO61" s="117" t="str">
        <f>IFERROR(__xludf.DUMMYFUNCTION("""COMPUTED_VALUE"""),"")</f>
        <v/>
      </c>
      <c r="CP61" s="118" t="str">
        <f>IFERROR(__xludf.DUMMYFUNCTION("""COMPUTED_VALUE"""),"")</f>
        <v/>
      </c>
      <c r="CQ61" s="117" t="str">
        <f>IFERROR(__xludf.DUMMYFUNCTION("""COMPUTED_VALUE"""),"")</f>
        <v/>
      </c>
      <c r="CR61" s="117" t="str">
        <f>IFERROR(__xludf.DUMMYFUNCTION("""COMPUTED_VALUE"""),"")</f>
        <v/>
      </c>
      <c r="CS61" s="118"/>
      <c r="CT61" s="117"/>
      <c r="CU61" s="117"/>
      <c r="CV61" s="118"/>
      <c r="CW61" s="117"/>
      <c r="CX61" s="117"/>
      <c r="CY61" s="118"/>
      <c r="CZ61" s="117"/>
      <c r="DA61" s="117"/>
      <c r="DB61" s="118"/>
      <c r="DC61" s="117"/>
      <c r="DD61" s="117"/>
      <c r="DE61" s="118"/>
      <c r="DF61" s="117"/>
      <c r="DG61" s="117"/>
      <c r="DH61" s="118"/>
      <c r="DI61" s="117"/>
      <c r="DJ61" s="117"/>
      <c r="DK61" s="118"/>
      <c r="DL61" s="117"/>
      <c r="DM61" s="117"/>
      <c r="DN61" s="118"/>
      <c r="DO61" s="117"/>
      <c r="DP61" s="117"/>
      <c r="DQ61" s="118"/>
      <c r="DR61" s="117"/>
      <c r="DS61" s="117"/>
      <c r="DT61" s="118"/>
    </row>
    <row r="62">
      <c r="B62" s="83" t="str">
        <f>IFERROR(__xludf.DUMMYFUNCTION("""COMPUTED_VALUE"""),"ORL6")</f>
        <v>ORL6</v>
      </c>
      <c r="C62" s="82">
        <f>IFERROR(__xludf.DUMMYFUNCTION("""COMPUTED_VALUE"""),47.0)</f>
        <v>47</v>
      </c>
      <c r="D62" s="88" t="str">
        <f>IFERROR(__xludf.DUMMYFUNCTION("""COMPUTED_VALUE"""),"Marseille")</f>
        <v>Marseille</v>
      </c>
      <c r="E62" s="82" t="str">
        <f>IFERROR(__xludf.DUMMYFUNCTION("""COMPUTED_VALUE"""),"マルセイユ")</f>
        <v>マルセイユ</v>
      </c>
      <c r="F62" s="102">
        <f>IFERROR(__xludf.DUMMYFUNCTION("""COMPUTED_VALUE"""),7.0)</f>
        <v>7</v>
      </c>
      <c r="G62" s="82">
        <f>IFERROR(__xludf.DUMMYFUNCTION("""COMPUTED_VALUE"""),1680.0)</f>
        <v>1680</v>
      </c>
      <c r="H62" s="95" t="str">
        <f>IFERROR(__xludf.DUMMYFUNCTION("""COMPUTED_VALUE"""),"")</f>
        <v/>
      </c>
      <c r="I62" s="96" t="str">
        <f>IFERROR(__xludf.DUMMYFUNCTION("""COMPUTED_VALUE"""),"")</f>
        <v/>
      </c>
      <c r="J62" s="97" t="str">
        <f>IFERROR(__xludf.DUMMYFUNCTION("""COMPUTED_VALUE"""),"")</f>
        <v/>
      </c>
      <c r="K62" s="95" t="str">
        <f>IFERROR(__xludf.DUMMYFUNCTION("""COMPUTED_VALUE"""),"")</f>
        <v/>
      </c>
      <c r="L62" s="96" t="str">
        <f>IFERROR(__xludf.DUMMYFUNCTION("""COMPUTED_VALUE"""),"")</f>
        <v/>
      </c>
      <c r="M62" s="97" t="str">
        <f>IFERROR(__xludf.DUMMYFUNCTION("""COMPUTED_VALUE"""),"")</f>
        <v/>
      </c>
      <c r="N62" s="95" t="str">
        <f>IFERROR(__xludf.DUMMYFUNCTION("""COMPUTED_VALUE"""),"")</f>
        <v/>
      </c>
      <c r="O62" s="96" t="str">
        <f>IFERROR(__xludf.DUMMYFUNCTION("""COMPUTED_VALUE"""),"")</f>
        <v/>
      </c>
      <c r="P62" s="97" t="str">
        <f>IFERROR(__xludf.DUMMYFUNCTION("""COMPUTED_VALUE"""),"")</f>
        <v/>
      </c>
      <c r="Q62" s="95" t="str">
        <f>IFERROR(__xludf.DUMMYFUNCTION("""COMPUTED_VALUE"""),"")</f>
        <v/>
      </c>
      <c r="R62" s="96" t="str">
        <f>IFERROR(__xludf.DUMMYFUNCTION("""COMPUTED_VALUE"""),"")</f>
        <v/>
      </c>
      <c r="S62" s="97" t="str">
        <f>IFERROR(__xludf.DUMMYFUNCTION("""COMPUTED_VALUE"""),"")</f>
        <v/>
      </c>
      <c r="T62" s="95" t="str">
        <f>IFERROR(__xludf.DUMMYFUNCTION("""COMPUTED_VALUE"""),"")</f>
        <v/>
      </c>
      <c r="U62" s="96" t="str">
        <f>IFERROR(__xludf.DUMMYFUNCTION("""COMPUTED_VALUE"""),"")</f>
        <v/>
      </c>
      <c r="V62" s="97" t="str">
        <f>IFERROR(__xludf.DUMMYFUNCTION("""COMPUTED_VALUE"""),"")</f>
        <v/>
      </c>
      <c r="W62" s="95" t="str">
        <f>IFERROR(__xludf.DUMMYFUNCTION("""COMPUTED_VALUE"""),"")</f>
        <v/>
      </c>
      <c r="X62" s="96" t="str">
        <f>IFERROR(__xludf.DUMMYFUNCTION("""COMPUTED_VALUE"""),"")</f>
        <v/>
      </c>
      <c r="Y62" s="97" t="str">
        <f>IFERROR(__xludf.DUMMYFUNCTION("""COMPUTED_VALUE"""),"")</f>
        <v/>
      </c>
      <c r="Z62" s="95" t="str">
        <f>IFERROR(__xludf.DUMMYFUNCTION("""COMPUTED_VALUE"""),"")</f>
        <v/>
      </c>
      <c r="AA62" s="96" t="str">
        <f>IFERROR(__xludf.DUMMYFUNCTION("""COMPUTED_VALUE"""),"")</f>
        <v/>
      </c>
      <c r="AB62" s="97" t="str">
        <f>IFERROR(__xludf.DUMMYFUNCTION("""COMPUTED_VALUE"""),"")</f>
        <v/>
      </c>
      <c r="AC62" s="95" t="str">
        <f>IFERROR(__xludf.DUMMYFUNCTION("""COMPUTED_VALUE"""),"")</f>
        <v/>
      </c>
      <c r="AD62" s="96" t="str">
        <f>IFERROR(__xludf.DUMMYFUNCTION("""COMPUTED_VALUE"""),"")</f>
        <v/>
      </c>
      <c r="AE62" s="97" t="str">
        <f>IFERROR(__xludf.DUMMYFUNCTION("""COMPUTED_VALUE"""),"")</f>
        <v/>
      </c>
      <c r="AF62" s="95" t="str">
        <f>IFERROR(__xludf.DUMMYFUNCTION("""COMPUTED_VALUE"""),"")</f>
        <v/>
      </c>
      <c r="AG62" s="96" t="str">
        <f>IFERROR(__xludf.DUMMYFUNCTION("""COMPUTED_VALUE"""),"")</f>
        <v/>
      </c>
      <c r="AH62" s="97" t="str">
        <f>IFERROR(__xludf.DUMMYFUNCTION("""COMPUTED_VALUE"""),"")</f>
        <v/>
      </c>
      <c r="AI62" s="92" t="str">
        <f>IFERROR(__xludf.DUMMYFUNCTION("""COMPUTED_VALUE"""),"")</f>
        <v/>
      </c>
      <c r="AJ62" s="93" t="str">
        <f>IFERROR(__xludf.DUMMYFUNCTION("""COMPUTED_VALUE"""),"")</f>
        <v/>
      </c>
      <c r="AK62" s="94" t="str">
        <f>IFERROR(__xludf.DUMMYFUNCTION("""COMPUTED_VALUE"""),"")</f>
        <v/>
      </c>
      <c r="AL62" s="93" t="str">
        <f>IFERROR(__xludf.DUMMYFUNCTION("""COMPUTED_VALUE"""),"")</f>
        <v/>
      </c>
      <c r="AM62" s="93" t="str">
        <f>IFERROR(__xludf.DUMMYFUNCTION("""COMPUTED_VALUE"""),"")</f>
        <v/>
      </c>
      <c r="AN62" s="94" t="str">
        <f>IFERROR(__xludf.DUMMYFUNCTION("""COMPUTED_VALUE"""),"")</f>
        <v/>
      </c>
      <c r="AO62" s="93" t="str">
        <f>IFERROR(__xludf.DUMMYFUNCTION("""COMPUTED_VALUE"""),"")</f>
        <v/>
      </c>
      <c r="AP62" s="93" t="str">
        <f>IFERROR(__xludf.DUMMYFUNCTION("""COMPUTED_VALUE"""),"")</f>
        <v/>
      </c>
      <c r="AQ62" s="94" t="str">
        <f>IFERROR(__xludf.DUMMYFUNCTION("""COMPUTED_VALUE"""),"")</f>
        <v/>
      </c>
      <c r="AR62" s="93" t="str">
        <f>IFERROR(__xludf.DUMMYFUNCTION("""COMPUTED_VALUE"""),"")</f>
        <v/>
      </c>
      <c r="AS62" s="93" t="str">
        <f>IFERROR(__xludf.DUMMYFUNCTION("""COMPUTED_VALUE"""),"")</f>
        <v/>
      </c>
      <c r="AT62" s="94">
        <f>IFERROR(__xludf.DUMMYFUNCTION("""COMPUTED_VALUE"""),23.5)</f>
        <v>23.5</v>
      </c>
      <c r="AU62" s="93" t="str">
        <f>IFERROR(__xludf.DUMMYFUNCTION("""COMPUTED_VALUE"""),"")</f>
        <v/>
      </c>
      <c r="AV62" s="93" t="str">
        <f>IFERROR(__xludf.DUMMYFUNCTION("""COMPUTED_VALUE"""),"")</f>
        <v/>
      </c>
      <c r="AW62" s="94" t="str">
        <f>IFERROR(__xludf.DUMMYFUNCTION("""COMPUTED_VALUE"""),"")</f>
        <v/>
      </c>
      <c r="AX62" s="93" t="str">
        <f>IFERROR(__xludf.DUMMYFUNCTION("""COMPUTED_VALUE"""),"")</f>
        <v/>
      </c>
      <c r="AY62" s="93" t="str">
        <f>IFERROR(__xludf.DUMMYFUNCTION("""COMPUTED_VALUE"""),"")</f>
        <v/>
      </c>
      <c r="AZ62" s="94" t="str">
        <f>IFERROR(__xludf.DUMMYFUNCTION("""COMPUTED_VALUE"""),"")</f>
        <v/>
      </c>
      <c r="BA62" s="93" t="str">
        <f>IFERROR(__xludf.DUMMYFUNCTION("""COMPUTED_VALUE"""),"")</f>
        <v/>
      </c>
      <c r="BB62" s="93" t="str">
        <f>IFERROR(__xludf.DUMMYFUNCTION("""COMPUTED_VALUE"""),"")</f>
        <v/>
      </c>
      <c r="BC62" s="94" t="str">
        <f>IFERROR(__xludf.DUMMYFUNCTION("""COMPUTED_VALUE"""),"")</f>
        <v/>
      </c>
      <c r="BD62" s="93" t="str">
        <f>IFERROR(__xludf.DUMMYFUNCTION("""COMPUTED_VALUE"""),"")</f>
        <v/>
      </c>
      <c r="BE62" s="93" t="str">
        <f>IFERROR(__xludf.DUMMYFUNCTION("""COMPUTED_VALUE"""),"")</f>
        <v/>
      </c>
      <c r="BF62" s="94" t="str">
        <f>IFERROR(__xludf.DUMMYFUNCTION("""COMPUTED_VALUE"""),"")</f>
        <v/>
      </c>
      <c r="BG62" s="92" t="str">
        <f>IFERROR(__xludf.DUMMYFUNCTION("""COMPUTED_VALUE"""),"")</f>
        <v/>
      </c>
      <c r="BH62" s="93" t="str">
        <f>IFERROR(__xludf.DUMMYFUNCTION("""COMPUTED_VALUE"""),"")</f>
        <v/>
      </c>
      <c r="BI62" s="94" t="str">
        <f>IFERROR(__xludf.DUMMYFUNCTION("""COMPUTED_VALUE"""),"")</f>
        <v/>
      </c>
      <c r="BJ62" s="93" t="str">
        <f>IFERROR(__xludf.DUMMYFUNCTION("""COMPUTED_VALUE"""),"")</f>
        <v/>
      </c>
      <c r="BK62" s="93" t="str">
        <f>IFERROR(__xludf.DUMMYFUNCTION("""COMPUTED_VALUE"""),"")</f>
        <v/>
      </c>
      <c r="BL62" s="94" t="str">
        <f>IFERROR(__xludf.DUMMYFUNCTION("""COMPUTED_VALUE"""),"")</f>
        <v/>
      </c>
      <c r="BM62" s="93" t="str">
        <f>IFERROR(__xludf.DUMMYFUNCTION("""COMPUTED_VALUE"""),"")</f>
        <v/>
      </c>
      <c r="BN62" s="93" t="str">
        <f>IFERROR(__xludf.DUMMYFUNCTION("""COMPUTED_VALUE"""),"")</f>
        <v/>
      </c>
      <c r="BO62" s="94" t="str">
        <f>IFERROR(__xludf.DUMMYFUNCTION("""COMPUTED_VALUE"""),"")</f>
        <v/>
      </c>
      <c r="BP62" s="106" t="str">
        <f>IFERROR(__xludf.DUMMYFUNCTION("""COMPUTED_VALUE"""),"")</f>
        <v/>
      </c>
      <c r="BQ62" s="93">
        <f>IFERROR(__xludf.DUMMYFUNCTION("""COMPUTED_VALUE"""),32.8)</f>
        <v>32.8</v>
      </c>
      <c r="BR62" s="94" t="str">
        <f>IFERROR(__xludf.DUMMYFUNCTION("""COMPUTED_VALUE"""),"")</f>
        <v/>
      </c>
      <c r="BS62" s="93">
        <f>IFERROR(__xludf.DUMMYFUNCTION("""COMPUTED_VALUE"""),27.3)</f>
        <v>27.3</v>
      </c>
      <c r="BT62" s="93" t="str">
        <f>IFERROR(__xludf.DUMMYFUNCTION("""COMPUTED_VALUE"""),"")</f>
        <v/>
      </c>
      <c r="BU62" s="94" t="str">
        <f>IFERROR(__xludf.DUMMYFUNCTION("""COMPUTED_VALUE"""),"")</f>
        <v/>
      </c>
      <c r="BV62" s="93" t="str">
        <f>IFERROR(__xludf.DUMMYFUNCTION("""COMPUTED_VALUE"""),"")</f>
        <v/>
      </c>
      <c r="BW62" s="93" t="str">
        <f>IFERROR(__xludf.DUMMYFUNCTION("""COMPUTED_VALUE"""),"")</f>
        <v/>
      </c>
      <c r="BX62" s="94" t="str">
        <f>IFERROR(__xludf.DUMMYFUNCTION("""COMPUTED_VALUE"""),"")</f>
        <v/>
      </c>
      <c r="BY62" s="93" t="str">
        <f>IFERROR(__xludf.DUMMYFUNCTION("""COMPUTED_VALUE"""),"")</f>
        <v/>
      </c>
      <c r="BZ62" s="93" t="str">
        <f>IFERROR(__xludf.DUMMYFUNCTION("""COMPUTED_VALUE"""),"")</f>
        <v/>
      </c>
      <c r="CA62" s="94" t="str">
        <f>IFERROR(__xludf.DUMMYFUNCTION("""COMPUTED_VALUE"""),"")</f>
        <v/>
      </c>
      <c r="CB62" s="92" t="str">
        <f>IFERROR(__xludf.DUMMYFUNCTION("""COMPUTED_VALUE"""),"")</f>
        <v/>
      </c>
      <c r="CC62" s="93" t="str">
        <f>IFERROR(__xludf.DUMMYFUNCTION("""COMPUTED_VALUE"""),"")</f>
        <v/>
      </c>
      <c r="CD62" s="94" t="str">
        <f>IFERROR(__xludf.DUMMYFUNCTION("""COMPUTED_VALUE"""),"")</f>
        <v/>
      </c>
      <c r="CE62" s="93" t="str">
        <f>IFERROR(__xludf.DUMMYFUNCTION("""COMPUTED_VALUE"""),"")</f>
        <v/>
      </c>
      <c r="CF62" s="93" t="str">
        <f>IFERROR(__xludf.DUMMYFUNCTION("""COMPUTED_VALUE"""),"")</f>
        <v/>
      </c>
      <c r="CG62" s="94" t="str">
        <f>IFERROR(__xludf.DUMMYFUNCTION("""COMPUTED_VALUE"""),"")</f>
        <v/>
      </c>
      <c r="CH62" s="93" t="str">
        <f>IFERROR(__xludf.DUMMYFUNCTION("""COMPUTED_VALUE"""),"")</f>
        <v/>
      </c>
      <c r="CI62" s="93" t="str">
        <f>IFERROR(__xludf.DUMMYFUNCTION("""COMPUTED_VALUE"""),"")</f>
        <v/>
      </c>
      <c r="CJ62" s="94" t="str">
        <f>IFERROR(__xludf.DUMMYFUNCTION("""COMPUTED_VALUE"""),"")</f>
        <v/>
      </c>
      <c r="CK62" s="106" t="str">
        <f>IFERROR(__xludf.DUMMYFUNCTION("""COMPUTED_VALUE"""),"")</f>
        <v/>
      </c>
      <c r="CL62" s="93" t="str">
        <f>IFERROR(__xludf.DUMMYFUNCTION("""COMPUTED_VALUE"""),"")</f>
        <v/>
      </c>
      <c r="CM62" s="94" t="str">
        <f>IFERROR(__xludf.DUMMYFUNCTION("""COMPUTED_VALUE"""),"")</f>
        <v/>
      </c>
      <c r="CN62" s="93" t="str">
        <f>IFERROR(__xludf.DUMMYFUNCTION("""COMPUTED_VALUE"""),"")</f>
        <v/>
      </c>
      <c r="CO62" s="93" t="str">
        <f>IFERROR(__xludf.DUMMYFUNCTION("""COMPUTED_VALUE"""),"")</f>
        <v/>
      </c>
      <c r="CP62" s="94" t="str">
        <f>IFERROR(__xludf.DUMMYFUNCTION("""COMPUTED_VALUE"""),"")</f>
        <v/>
      </c>
      <c r="CQ62" s="93" t="str">
        <f>IFERROR(__xludf.DUMMYFUNCTION("""COMPUTED_VALUE"""),"")</f>
        <v/>
      </c>
      <c r="CR62" s="93" t="str">
        <f>IFERROR(__xludf.DUMMYFUNCTION("""COMPUTED_VALUE"""),"")</f>
        <v/>
      </c>
      <c r="CS62" s="94"/>
      <c r="CT62" s="93"/>
      <c r="CU62" s="93"/>
      <c r="CV62" s="94"/>
      <c r="CW62" s="106"/>
      <c r="CX62" s="93"/>
      <c r="CY62" s="94"/>
      <c r="CZ62" s="93"/>
      <c r="DA62" s="93"/>
      <c r="DB62" s="94"/>
      <c r="DC62" s="93"/>
      <c r="DD62" s="93"/>
      <c r="DE62" s="94"/>
      <c r="DF62" s="106"/>
      <c r="DG62" s="93"/>
      <c r="DH62" s="94"/>
      <c r="DI62" s="93"/>
      <c r="DJ62" s="93"/>
      <c r="DK62" s="94"/>
      <c r="DL62" s="93"/>
      <c r="DM62" s="93"/>
      <c r="DN62" s="94"/>
      <c r="DO62" s="93"/>
      <c r="DP62" s="93"/>
      <c r="DQ62" s="94"/>
      <c r="DR62" s="93"/>
      <c r="DS62" s="93"/>
      <c r="DT62" s="94"/>
    </row>
    <row r="63">
      <c r="B63" s="83" t="str">
        <f>IFERROR(__xludf.DUMMYFUNCTION("""COMPUTED_VALUE"""),"ORL7")</f>
        <v>ORL7</v>
      </c>
      <c r="C63" s="82">
        <f>IFERROR(__xludf.DUMMYFUNCTION("""COMPUTED_VALUE"""),48.0)</f>
        <v>48</v>
      </c>
      <c r="D63" s="88" t="str">
        <f>IFERROR(__xludf.DUMMYFUNCTION("""COMPUTED_VALUE"""),"Thiers")</f>
        <v>Thiers</v>
      </c>
      <c r="E63" s="82" t="str">
        <f>IFERROR(__xludf.DUMMYFUNCTION("""COMPUTED_VALUE"""),"ティエール")</f>
        <v>ティエール</v>
      </c>
      <c r="F63" s="102">
        <f>IFERROR(__xludf.DUMMYFUNCTION("""COMPUTED_VALUE"""),7.0)</f>
        <v>7</v>
      </c>
      <c r="G63" s="82">
        <f>IFERROR(__xludf.DUMMYFUNCTION("""COMPUTED_VALUE"""),1515.0)</f>
        <v>1515</v>
      </c>
      <c r="H63" s="95" t="str">
        <f>IFERROR(__xludf.DUMMYFUNCTION("""COMPUTED_VALUE"""),"")</f>
        <v/>
      </c>
      <c r="I63" s="96" t="str">
        <f>IFERROR(__xludf.DUMMYFUNCTION("""COMPUTED_VALUE"""),"")</f>
        <v/>
      </c>
      <c r="J63" s="97" t="str">
        <f>IFERROR(__xludf.DUMMYFUNCTION("""COMPUTED_VALUE"""),"")</f>
        <v/>
      </c>
      <c r="K63" s="95" t="str">
        <f>IFERROR(__xludf.DUMMYFUNCTION("""COMPUTED_VALUE"""),"")</f>
        <v/>
      </c>
      <c r="L63" s="96" t="str">
        <f>IFERROR(__xludf.DUMMYFUNCTION("""COMPUTED_VALUE"""),"")</f>
        <v/>
      </c>
      <c r="M63" s="97" t="str">
        <f>IFERROR(__xludf.DUMMYFUNCTION("""COMPUTED_VALUE"""),"")</f>
        <v/>
      </c>
      <c r="N63" s="95" t="str">
        <f>IFERROR(__xludf.DUMMYFUNCTION("""COMPUTED_VALUE"""),"")</f>
        <v/>
      </c>
      <c r="O63" s="96" t="str">
        <f>IFERROR(__xludf.DUMMYFUNCTION("""COMPUTED_VALUE"""),"")</f>
        <v/>
      </c>
      <c r="P63" s="97" t="str">
        <f>IFERROR(__xludf.DUMMYFUNCTION("""COMPUTED_VALUE"""),"")</f>
        <v/>
      </c>
      <c r="Q63" s="95" t="str">
        <f>IFERROR(__xludf.DUMMYFUNCTION("""COMPUTED_VALUE"""),"")</f>
        <v/>
      </c>
      <c r="R63" s="96" t="str">
        <f>IFERROR(__xludf.DUMMYFUNCTION("""COMPUTED_VALUE"""),"")</f>
        <v/>
      </c>
      <c r="S63" s="97" t="str">
        <f>IFERROR(__xludf.DUMMYFUNCTION("""COMPUTED_VALUE"""),"")</f>
        <v/>
      </c>
      <c r="T63" s="95" t="str">
        <f>IFERROR(__xludf.DUMMYFUNCTION("""COMPUTED_VALUE"""),"")</f>
        <v/>
      </c>
      <c r="U63" s="96" t="str">
        <f>IFERROR(__xludf.DUMMYFUNCTION("""COMPUTED_VALUE"""),"")</f>
        <v/>
      </c>
      <c r="V63" s="97" t="str">
        <f>IFERROR(__xludf.DUMMYFUNCTION("""COMPUTED_VALUE"""),"")</f>
        <v/>
      </c>
      <c r="W63" s="95" t="str">
        <f>IFERROR(__xludf.DUMMYFUNCTION("""COMPUTED_VALUE"""),"")</f>
        <v/>
      </c>
      <c r="X63" s="96" t="str">
        <f>IFERROR(__xludf.DUMMYFUNCTION("""COMPUTED_VALUE"""),"")</f>
        <v/>
      </c>
      <c r="Y63" s="97" t="str">
        <f>IFERROR(__xludf.DUMMYFUNCTION("""COMPUTED_VALUE"""),"")</f>
        <v/>
      </c>
      <c r="Z63" s="95" t="str">
        <f>IFERROR(__xludf.DUMMYFUNCTION("""COMPUTED_VALUE"""),"")</f>
        <v/>
      </c>
      <c r="AA63" s="96" t="str">
        <f>IFERROR(__xludf.DUMMYFUNCTION("""COMPUTED_VALUE"""),"")</f>
        <v/>
      </c>
      <c r="AB63" s="97" t="str">
        <f>IFERROR(__xludf.DUMMYFUNCTION("""COMPUTED_VALUE"""),"")</f>
        <v/>
      </c>
      <c r="AC63" s="95" t="str">
        <f>IFERROR(__xludf.DUMMYFUNCTION("""COMPUTED_VALUE"""),"")</f>
        <v/>
      </c>
      <c r="AD63" s="96" t="str">
        <f>IFERROR(__xludf.DUMMYFUNCTION("""COMPUTED_VALUE"""),"")</f>
        <v/>
      </c>
      <c r="AE63" s="97" t="str">
        <f>IFERROR(__xludf.DUMMYFUNCTION("""COMPUTED_VALUE"""),"")</f>
        <v/>
      </c>
      <c r="AF63" s="95" t="str">
        <f>IFERROR(__xludf.DUMMYFUNCTION("""COMPUTED_VALUE"""),"")</f>
        <v/>
      </c>
      <c r="AG63" s="96" t="str">
        <f>IFERROR(__xludf.DUMMYFUNCTION("""COMPUTED_VALUE"""),"")</f>
        <v/>
      </c>
      <c r="AH63" s="97" t="str">
        <f>IFERROR(__xludf.DUMMYFUNCTION("""COMPUTED_VALUE"""),"")</f>
        <v/>
      </c>
      <c r="AI63" s="116" t="str">
        <f>IFERROR(__xludf.DUMMYFUNCTION("""COMPUTED_VALUE"""),"")</f>
        <v/>
      </c>
      <c r="AJ63" s="117" t="str">
        <f>IFERROR(__xludf.DUMMYFUNCTION("""COMPUTED_VALUE"""),"")</f>
        <v/>
      </c>
      <c r="AK63" s="118" t="str">
        <f>IFERROR(__xludf.DUMMYFUNCTION("""COMPUTED_VALUE"""),"")</f>
        <v/>
      </c>
      <c r="AL63" s="117" t="str">
        <f>IFERROR(__xludf.DUMMYFUNCTION("""COMPUTED_VALUE"""),"")</f>
        <v/>
      </c>
      <c r="AM63" s="117" t="str">
        <f>IFERROR(__xludf.DUMMYFUNCTION("""COMPUTED_VALUE"""),"")</f>
        <v/>
      </c>
      <c r="AN63" s="118" t="str">
        <f>IFERROR(__xludf.DUMMYFUNCTION("""COMPUTED_VALUE"""),"")</f>
        <v/>
      </c>
      <c r="AO63" s="117" t="str">
        <f>IFERROR(__xludf.DUMMYFUNCTION("""COMPUTED_VALUE"""),"")</f>
        <v/>
      </c>
      <c r="AP63" s="117" t="str">
        <f>IFERROR(__xludf.DUMMYFUNCTION("""COMPUTED_VALUE"""),"")</f>
        <v/>
      </c>
      <c r="AQ63" s="118" t="str">
        <f>IFERROR(__xludf.DUMMYFUNCTION("""COMPUTED_VALUE"""),"")</f>
        <v/>
      </c>
      <c r="AR63" s="117" t="str">
        <f>IFERROR(__xludf.DUMMYFUNCTION("""COMPUTED_VALUE"""),"")</f>
        <v/>
      </c>
      <c r="AS63" s="117" t="str">
        <f>IFERROR(__xludf.DUMMYFUNCTION("""COMPUTED_VALUE"""),"")</f>
        <v/>
      </c>
      <c r="AT63" s="118" t="str">
        <f>IFERROR(__xludf.DUMMYFUNCTION("""COMPUTED_VALUE"""),"")</f>
        <v/>
      </c>
      <c r="AU63" s="117" t="str">
        <f>IFERROR(__xludf.DUMMYFUNCTION("""COMPUTED_VALUE"""),"")</f>
        <v/>
      </c>
      <c r="AV63" s="117">
        <f>IFERROR(__xludf.DUMMYFUNCTION("""COMPUTED_VALUE"""),49.6)</f>
        <v>49.6</v>
      </c>
      <c r="AW63" s="118">
        <f>IFERROR(__xludf.DUMMYFUNCTION("""COMPUTED_VALUE"""),77.8)</f>
        <v>77.8</v>
      </c>
      <c r="AX63" s="117" t="str">
        <f>IFERROR(__xludf.DUMMYFUNCTION("""COMPUTED_VALUE"""),"")</f>
        <v/>
      </c>
      <c r="AY63" s="117" t="str">
        <f>IFERROR(__xludf.DUMMYFUNCTION("""COMPUTED_VALUE"""),"")</f>
        <v/>
      </c>
      <c r="AZ63" s="118" t="str">
        <f>IFERROR(__xludf.DUMMYFUNCTION("""COMPUTED_VALUE"""),"")</f>
        <v/>
      </c>
      <c r="BA63" s="117" t="str">
        <f>IFERROR(__xludf.DUMMYFUNCTION("""COMPUTED_VALUE"""),"")</f>
        <v/>
      </c>
      <c r="BB63" s="117" t="str">
        <f>IFERROR(__xludf.DUMMYFUNCTION("""COMPUTED_VALUE"""),"")</f>
        <v/>
      </c>
      <c r="BC63" s="118" t="str">
        <f>IFERROR(__xludf.DUMMYFUNCTION("""COMPUTED_VALUE"""),"")</f>
        <v/>
      </c>
      <c r="BD63" s="117" t="str">
        <f>IFERROR(__xludf.DUMMYFUNCTION("""COMPUTED_VALUE"""),"")</f>
        <v/>
      </c>
      <c r="BE63" s="117" t="str">
        <f>IFERROR(__xludf.DUMMYFUNCTION("""COMPUTED_VALUE"""),"")</f>
        <v/>
      </c>
      <c r="BF63" s="118" t="str">
        <f>IFERROR(__xludf.DUMMYFUNCTION("""COMPUTED_VALUE"""),"")</f>
        <v/>
      </c>
      <c r="BG63" s="116" t="str">
        <f>IFERROR(__xludf.DUMMYFUNCTION("""COMPUTED_VALUE"""),"")</f>
        <v/>
      </c>
      <c r="BH63" s="117" t="str">
        <f>IFERROR(__xludf.DUMMYFUNCTION("""COMPUTED_VALUE"""),"")</f>
        <v/>
      </c>
      <c r="BI63" s="118" t="str">
        <f>IFERROR(__xludf.DUMMYFUNCTION("""COMPUTED_VALUE"""),"")</f>
        <v/>
      </c>
      <c r="BJ63" s="117" t="str">
        <f>IFERROR(__xludf.DUMMYFUNCTION("""COMPUTED_VALUE"""),"")</f>
        <v/>
      </c>
      <c r="BK63" s="117" t="str">
        <f>IFERROR(__xludf.DUMMYFUNCTION("""COMPUTED_VALUE"""),"")</f>
        <v/>
      </c>
      <c r="BL63" s="118" t="str">
        <f>IFERROR(__xludf.DUMMYFUNCTION("""COMPUTED_VALUE"""),"")</f>
        <v/>
      </c>
      <c r="BM63" s="117" t="str">
        <f>IFERROR(__xludf.DUMMYFUNCTION("""COMPUTED_VALUE"""),"")</f>
        <v/>
      </c>
      <c r="BN63" s="117" t="str">
        <f>IFERROR(__xludf.DUMMYFUNCTION("""COMPUTED_VALUE"""),"")</f>
        <v/>
      </c>
      <c r="BO63" s="118" t="str">
        <f>IFERROR(__xludf.DUMMYFUNCTION("""COMPUTED_VALUE"""),"")</f>
        <v/>
      </c>
      <c r="BP63" s="117" t="str">
        <f>IFERROR(__xludf.DUMMYFUNCTION("""COMPUTED_VALUE"""),"")</f>
        <v/>
      </c>
      <c r="BQ63" s="117" t="str">
        <f>IFERROR(__xludf.DUMMYFUNCTION("""COMPUTED_VALUE"""),"")</f>
        <v/>
      </c>
      <c r="BR63" s="118" t="str">
        <f>IFERROR(__xludf.DUMMYFUNCTION("""COMPUTED_VALUE"""),"")</f>
        <v/>
      </c>
      <c r="BS63" s="117" t="str">
        <f>IFERROR(__xludf.DUMMYFUNCTION("""COMPUTED_VALUE"""),"")</f>
        <v/>
      </c>
      <c r="BT63" s="117">
        <f>IFERROR(__xludf.DUMMYFUNCTION("""COMPUTED_VALUE"""),20.2)</f>
        <v>20.2</v>
      </c>
      <c r="BU63" s="118" t="str">
        <f>IFERROR(__xludf.DUMMYFUNCTION("""COMPUTED_VALUE"""),"")</f>
        <v/>
      </c>
      <c r="BV63" s="117" t="str">
        <f>IFERROR(__xludf.DUMMYFUNCTION("""COMPUTED_VALUE"""),"")</f>
        <v/>
      </c>
      <c r="BW63" s="117" t="str">
        <f>IFERROR(__xludf.DUMMYFUNCTION("""COMPUTED_VALUE"""),"")</f>
        <v/>
      </c>
      <c r="BX63" s="118" t="str">
        <f>IFERROR(__xludf.DUMMYFUNCTION("""COMPUTED_VALUE"""),"")</f>
        <v/>
      </c>
      <c r="BY63" s="117" t="str">
        <f>IFERROR(__xludf.DUMMYFUNCTION("""COMPUTED_VALUE"""),"")</f>
        <v/>
      </c>
      <c r="BZ63" s="117" t="str">
        <f>IFERROR(__xludf.DUMMYFUNCTION("""COMPUTED_VALUE"""),"")</f>
        <v/>
      </c>
      <c r="CA63" s="118" t="str">
        <f>IFERROR(__xludf.DUMMYFUNCTION("""COMPUTED_VALUE"""),"")</f>
        <v/>
      </c>
      <c r="CB63" s="116" t="str">
        <f>IFERROR(__xludf.DUMMYFUNCTION("""COMPUTED_VALUE"""),"")</f>
        <v/>
      </c>
      <c r="CC63" s="117" t="str">
        <f>IFERROR(__xludf.DUMMYFUNCTION("""COMPUTED_VALUE"""),"")</f>
        <v/>
      </c>
      <c r="CD63" s="118" t="str">
        <f>IFERROR(__xludf.DUMMYFUNCTION("""COMPUTED_VALUE"""),"")</f>
        <v/>
      </c>
      <c r="CE63" s="117" t="str">
        <f>IFERROR(__xludf.DUMMYFUNCTION("""COMPUTED_VALUE"""),"")</f>
        <v/>
      </c>
      <c r="CF63" s="117" t="str">
        <f>IFERROR(__xludf.DUMMYFUNCTION("""COMPUTED_VALUE"""),"")</f>
        <v/>
      </c>
      <c r="CG63" s="118" t="str">
        <f>IFERROR(__xludf.DUMMYFUNCTION("""COMPUTED_VALUE"""),"")</f>
        <v/>
      </c>
      <c r="CH63" s="117" t="str">
        <f>IFERROR(__xludf.DUMMYFUNCTION("""COMPUTED_VALUE"""),"")</f>
        <v/>
      </c>
      <c r="CI63" s="117" t="str">
        <f>IFERROR(__xludf.DUMMYFUNCTION("""COMPUTED_VALUE"""),"")</f>
        <v/>
      </c>
      <c r="CJ63" s="118" t="str">
        <f>IFERROR(__xludf.DUMMYFUNCTION("""COMPUTED_VALUE"""),"")</f>
        <v/>
      </c>
      <c r="CK63" s="117">
        <f>IFERROR(__xludf.DUMMYFUNCTION("""COMPUTED_VALUE"""),79.7)</f>
        <v>79.7</v>
      </c>
      <c r="CL63" s="117" t="str">
        <f>IFERROR(__xludf.DUMMYFUNCTION("""COMPUTED_VALUE"""),"")</f>
        <v/>
      </c>
      <c r="CM63" s="118" t="str">
        <f>IFERROR(__xludf.DUMMYFUNCTION("""COMPUTED_VALUE"""),"")</f>
        <v/>
      </c>
      <c r="CN63" s="117" t="str">
        <f>IFERROR(__xludf.DUMMYFUNCTION("""COMPUTED_VALUE"""),"")</f>
        <v/>
      </c>
      <c r="CO63" s="117" t="str">
        <f>IFERROR(__xludf.DUMMYFUNCTION("""COMPUTED_VALUE"""),"")</f>
        <v/>
      </c>
      <c r="CP63" s="118" t="str">
        <f>IFERROR(__xludf.DUMMYFUNCTION("""COMPUTED_VALUE"""),"")</f>
        <v/>
      </c>
      <c r="CQ63" s="117" t="str">
        <f>IFERROR(__xludf.DUMMYFUNCTION("""COMPUTED_VALUE"""),"")</f>
        <v/>
      </c>
      <c r="CR63" s="117" t="str">
        <f>IFERROR(__xludf.DUMMYFUNCTION("""COMPUTED_VALUE"""),"")</f>
        <v/>
      </c>
      <c r="CS63" s="118"/>
      <c r="CT63" s="117"/>
      <c r="CU63" s="117"/>
      <c r="CV63" s="118"/>
      <c r="CW63" s="117"/>
      <c r="CX63" s="117"/>
      <c r="CY63" s="118"/>
      <c r="CZ63" s="117"/>
      <c r="DA63" s="117"/>
      <c r="DB63" s="118"/>
      <c r="DC63" s="117"/>
      <c r="DD63" s="117"/>
      <c r="DE63" s="118"/>
      <c r="DF63" s="117"/>
      <c r="DG63" s="117"/>
      <c r="DH63" s="118"/>
      <c r="DI63" s="117"/>
      <c r="DJ63" s="117"/>
      <c r="DK63" s="118"/>
      <c r="DL63" s="117"/>
      <c r="DM63" s="117"/>
      <c r="DN63" s="118"/>
      <c r="DO63" s="117"/>
      <c r="DP63" s="117"/>
      <c r="DQ63" s="118"/>
      <c r="DR63" s="117"/>
      <c r="DS63" s="117"/>
      <c r="DT63" s="118"/>
    </row>
    <row r="64">
      <c r="B64" s="83" t="str">
        <f>IFERROR(__xludf.DUMMYFUNCTION("""COMPUTED_VALUE"""),"ORL8")</f>
        <v>ORL8</v>
      </c>
      <c r="C64" s="82">
        <f>IFERROR(__xludf.DUMMYFUNCTION("""COMPUTED_VALUE"""),49.0)</f>
        <v>49</v>
      </c>
      <c r="D64" s="88" t="str">
        <f>IFERROR(__xludf.DUMMYFUNCTION("""COMPUTED_VALUE"""),"Bordeaux")</f>
        <v>Bordeaux</v>
      </c>
      <c r="E64" s="82" t="str">
        <f>IFERROR(__xludf.DUMMYFUNCTION("""COMPUTED_VALUE"""),"ボルドー")</f>
        <v>ボルドー</v>
      </c>
      <c r="F64" s="102">
        <f>IFERROR(__xludf.DUMMYFUNCTION("""COMPUTED_VALUE"""),7.0)</f>
        <v>7</v>
      </c>
      <c r="G64" s="82">
        <f>IFERROR(__xludf.DUMMYFUNCTION("""COMPUTED_VALUE"""),1259.0)</f>
        <v>1259</v>
      </c>
      <c r="H64" s="95" t="str">
        <f>IFERROR(__xludf.DUMMYFUNCTION("""COMPUTED_VALUE"""),"")</f>
        <v/>
      </c>
      <c r="I64" s="96" t="str">
        <f>IFERROR(__xludf.DUMMYFUNCTION("""COMPUTED_VALUE"""),"")</f>
        <v/>
      </c>
      <c r="J64" s="97" t="str">
        <f>IFERROR(__xludf.DUMMYFUNCTION("""COMPUTED_VALUE"""),"")</f>
        <v/>
      </c>
      <c r="K64" s="95" t="str">
        <f>IFERROR(__xludf.DUMMYFUNCTION("""COMPUTED_VALUE"""),"")</f>
        <v/>
      </c>
      <c r="L64" s="96" t="str">
        <f>IFERROR(__xludf.DUMMYFUNCTION("""COMPUTED_VALUE"""),"")</f>
        <v/>
      </c>
      <c r="M64" s="97" t="str">
        <f>IFERROR(__xludf.DUMMYFUNCTION("""COMPUTED_VALUE"""),"")</f>
        <v/>
      </c>
      <c r="N64" s="95" t="str">
        <f>IFERROR(__xludf.DUMMYFUNCTION("""COMPUTED_VALUE"""),"")</f>
        <v/>
      </c>
      <c r="O64" s="96" t="str">
        <f>IFERROR(__xludf.DUMMYFUNCTION("""COMPUTED_VALUE"""),"")</f>
        <v/>
      </c>
      <c r="P64" s="97" t="str">
        <f>IFERROR(__xludf.DUMMYFUNCTION("""COMPUTED_VALUE"""),"")</f>
        <v/>
      </c>
      <c r="Q64" s="95" t="str">
        <f>IFERROR(__xludf.DUMMYFUNCTION("""COMPUTED_VALUE"""),"")</f>
        <v/>
      </c>
      <c r="R64" s="96" t="str">
        <f>IFERROR(__xludf.DUMMYFUNCTION("""COMPUTED_VALUE"""),"")</f>
        <v/>
      </c>
      <c r="S64" s="97" t="str">
        <f>IFERROR(__xludf.DUMMYFUNCTION("""COMPUTED_VALUE"""),"")</f>
        <v/>
      </c>
      <c r="T64" s="95" t="str">
        <f>IFERROR(__xludf.DUMMYFUNCTION("""COMPUTED_VALUE"""),"")</f>
        <v/>
      </c>
      <c r="U64" s="96" t="str">
        <f>IFERROR(__xludf.DUMMYFUNCTION("""COMPUTED_VALUE"""),"")</f>
        <v/>
      </c>
      <c r="V64" s="97" t="str">
        <f>IFERROR(__xludf.DUMMYFUNCTION("""COMPUTED_VALUE"""),"")</f>
        <v/>
      </c>
      <c r="W64" s="95" t="str">
        <f>IFERROR(__xludf.DUMMYFUNCTION("""COMPUTED_VALUE"""),"")</f>
        <v/>
      </c>
      <c r="X64" s="96" t="str">
        <f>IFERROR(__xludf.DUMMYFUNCTION("""COMPUTED_VALUE"""),"")</f>
        <v/>
      </c>
      <c r="Y64" s="97" t="str">
        <f>IFERROR(__xludf.DUMMYFUNCTION("""COMPUTED_VALUE"""),"")</f>
        <v/>
      </c>
      <c r="Z64" s="95">
        <f>IFERROR(__xludf.DUMMYFUNCTION("""COMPUTED_VALUE"""),88.1)</f>
        <v>88.1</v>
      </c>
      <c r="AA64" s="96" t="str">
        <f>IFERROR(__xludf.DUMMYFUNCTION("""COMPUTED_VALUE"""),"")</f>
        <v/>
      </c>
      <c r="AB64" s="97" t="str">
        <f>IFERROR(__xludf.DUMMYFUNCTION("""COMPUTED_VALUE"""),"")</f>
        <v/>
      </c>
      <c r="AC64" s="95" t="str">
        <f>IFERROR(__xludf.DUMMYFUNCTION("""COMPUTED_VALUE"""),"")</f>
        <v/>
      </c>
      <c r="AD64" s="96" t="str">
        <f>IFERROR(__xludf.DUMMYFUNCTION("""COMPUTED_VALUE"""),"")</f>
        <v/>
      </c>
      <c r="AE64" s="97" t="str">
        <f>IFERROR(__xludf.DUMMYFUNCTION("""COMPUTED_VALUE"""),"")</f>
        <v/>
      </c>
      <c r="AF64" s="95" t="str">
        <f>IFERROR(__xludf.DUMMYFUNCTION("""COMPUTED_VALUE"""),"")</f>
        <v/>
      </c>
      <c r="AG64" s="96" t="str">
        <f>IFERROR(__xludf.DUMMYFUNCTION("""COMPUTED_VALUE"""),"")</f>
        <v/>
      </c>
      <c r="AH64" s="97" t="str">
        <f>IFERROR(__xludf.DUMMYFUNCTION("""COMPUTED_VALUE"""),"")</f>
        <v/>
      </c>
      <c r="AI64" s="92" t="str">
        <f>IFERROR(__xludf.DUMMYFUNCTION("""COMPUTED_VALUE"""),"")</f>
        <v/>
      </c>
      <c r="AJ64" s="93" t="str">
        <f>IFERROR(__xludf.DUMMYFUNCTION("""COMPUTED_VALUE"""),"")</f>
        <v/>
      </c>
      <c r="AK64" s="94" t="str">
        <f>IFERROR(__xludf.DUMMYFUNCTION("""COMPUTED_VALUE"""),"")</f>
        <v/>
      </c>
      <c r="AL64" s="93" t="str">
        <f>IFERROR(__xludf.DUMMYFUNCTION("""COMPUTED_VALUE"""),"")</f>
        <v/>
      </c>
      <c r="AM64" s="93" t="str">
        <f>IFERROR(__xludf.DUMMYFUNCTION("""COMPUTED_VALUE"""),"")</f>
        <v/>
      </c>
      <c r="AN64" s="94" t="str">
        <f>IFERROR(__xludf.DUMMYFUNCTION("""COMPUTED_VALUE"""),"")</f>
        <v/>
      </c>
      <c r="AO64" s="93" t="str">
        <f>IFERROR(__xludf.DUMMYFUNCTION("""COMPUTED_VALUE"""),"")</f>
        <v/>
      </c>
      <c r="AP64" s="93" t="str">
        <f>IFERROR(__xludf.DUMMYFUNCTION("""COMPUTED_VALUE"""),"")</f>
        <v/>
      </c>
      <c r="AQ64" s="94" t="str">
        <f>IFERROR(__xludf.DUMMYFUNCTION("""COMPUTED_VALUE"""),"")</f>
        <v/>
      </c>
      <c r="AR64" s="93" t="str">
        <f>IFERROR(__xludf.DUMMYFUNCTION("""COMPUTED_VALUE"""),"")</f>
        <v/>
      </c>
      <c r="AS64" s="93" t="str">
        <f>IFERROR(__xludf.DUMMYFUNCTION("""COMPUTED_VALUE"""),"")</f>
        <v/>
      </c>
      <c r="AT64" s="94" t="str">
        <f>IFERROR(__xludf.DUMMYFUNCTION("""COMPUTED_VALUE"""),"")</f>
        <v/>
      </c>
      <c r="AU64" s="93" t="str">
        <f>IFERROR(__xludf.DUMMYFUNCTION("""COMPUTED_VALUE"""),"")</f>
        <v/>
      </c>
      <c r="AV64" s="93" t="str">
        <f>IFERROR(__xludf.DUMMYFUNCTION("""COMPUTED_VALUE"""),"")</f>
        <v/>
      </c>
      <c r="AW64" s="94" t="str">
        <f>IFERROR(__xludf.DUMMYFUNCTION("""COMPUTED_VALUE"""),"")</f>
        <v/>
      </c>
      <c r="AX64" s="93" t="str">
        <f>IFERROR(__xludf.DUMMYFUNCTION("""COMPUTED_VALUE"""),"")</f>
        <v/>
      </c>
      <c r="AY64" s="93" t="str">
        <f>IFERROR(__xludf.DUMMYFUNCTION("""COMPUTED_VALUE"""),"")</f>
        <v/>
      </c>
      <c r="AZ64" s="94" t="str">
        <f>IFERROR(__xludf.DUMMYFUNCTION("""COMPUTED_VALUE"""),"")</f>
        <v/>
      </c>
      <c r="BA64" s="93" t="str">
        <f>IFERROR(__xludf.DUMMYFUNCTION("""COMPUTED_VALUE"""),"")</f>
        <v/>
      </c>
      <c r="BB64" s="93" t="str">
        <f>IFERROR(__xludf.DUMMYFUNCTION("""COMPUTED_VALUE"""),"")</f>
        <v/>
      </c>
      <c r="BC64" s="94" t="str">
        <f>IFERROR(__xludf.DUMMYFUNCTION("""COMPUTED_VALUE"""),"")</f>
        <v/>
      </c>
      <c r="BD64" s="93" t="str">
        <f>IFERROR(__xludf.DUMMYFUNCTION("""COMPUTED_VALUE"""),"")</f>
        <v/>
      </c>
      <c r="BE64" s="93" t="str">
        <f>IFERROR(__xludf.DUMMYFUNCTION("""COMPUTED_VALUE"""),"")</f>
        <v/>
      </c>
      <c r="BF64" s="94" t="str">
        <f>IFERROR(__xludf.DUMMYFUNCTION("""COMPUTED_VALUE"""),"")</f>
        <v/>
      </c>
      <c r="BG64" s="92" t="str">
        <f>IFERROR(__xludf.DUMMYFUNCTION("""COMPUTED_VALUE"""),"")</f>
        <v/>
      </c>
      <c r="BH64" s="93" t="str">
        <f>IFERROR(__xludf.DUMMYFUNCTION("""COMPUTED_VALUE"""),"")</f>
        <v/>
      </c>
      <c r="BI64" s="94" t="str">
        <f>IFERROR(__xludf.DUMMYFUNCTION("""COMPUTED_VALUE"""),"")</f>
        <v/>
      </c>
      <c r="BJ64" s="93" t="str">
        <f>IFERROR(__xludf.DUMMYFUNCTION("""COMPUTED_VALUE"""),"")</f>
        <v/>
      </c>
      <c r="BK64" s="93" t="str">
        <f>IFERROR(__xludf.DUMMYFUNCTION("""COMPUTED_VALUE"""),"")</f>
        <v/>
      </c>
      <c r="BL64" s="94" t="str">
        <f>IFERROR(__xludf.DUMMYFUNCTION("""COMPUTED_VALUE"""),"")</f>
        <v/>
      </c>
      <c r="BM64" s="93" t="str">
        <f>IFERROR(__xludf.DUMMYFUNCTION("""COMPUTED_VALUE"""),"")</f>
        <v/>
      </c>
      <c r="BN64" s="93" t="str">
        <f>IFERROR(__xludf.DUMMYFUNCTION("""COMPUTED_VALUE"""),"")</f>
        <v/>
      </c>
      <c r="BO64" s="94" t="str">
        <f>IFERROR(__xludf.DUMMYFUNCTION("""COMPUTED_VALUE"""),"")</f>
        <v/>
      </c>
      <c r="BP64" s="93" t="str">
        <f>IFERROR(__xludf.DUMMYFUNCTION("""COMPUTED_VALUE"""),"")</f>
        <v/>
      </c>
      <c r="BQ64" s="93">
        <f>IFERROR(__xludf.DUMMYFUNCTION("""COMPUTED_VALUE"""),84.7)</f>
        <v>84.7</v>
      </c>
      <c r="BR64" s="94" t="str">
        <f>IFERROR(__xludf.DUMMYFUNCTION("""COMPUTED_VALUE"""),"")</f>
        <v/>
      </c>
      <c r="BS64" s="93">
        <f>IFERROR(__xludf.DUMMYFUNCTION("""COMPUTED_VALUE"""),20.8)</f>
        <v>20.8</v>
      </c>
      <c r="BT64" s="93" t="str">
        <f>IFERROR(__xludf.DUMMYFUNCTION("""COMPUTED_VALUE"""),"")</f>
        <v/>
      </c>
      <c r="BU64" s="94" t="str">
        <f>IFERROR(__xludf.DUMMYFUNCTION("""COMPUTED_VALUE"""),"")</f>
        <v/>
      </c>
      <c r="BV64" s="93">
        <f>IFERROR(__xludf.DUMMYFUNCTION("""COMPUTED_VALUE"""),29.9)</f>
        <v>29.9</v>
      </c>
      <c r="BW64" s="93" t="str">
        <f>IFERROR(__xludf.DUMMYFUNCTION("""COMPUTED_VALUE"""),"")</f>
        <v/>
      </c>
      <c r="BX64" s="94" t="str">
        <f>IFERROR(__xludf.DUMMYFUNCTION("""COMPUTED_VALUE"""),"")</f>
        <v/>
      </c>
      <c r="BY64" s="93" t="str">
        <f>IFERROR(__xludf.DUMMYFUNCTION("""COMPUTED_VALUE"""),"")</f>
        <v/>
      </c>
      <c r="BZ64" s="93" t="str">
        <f>IFERROR(__xludf.DUMMYFUNCTION("""COMPUTED_VALUE"""),"")</f>
        <v/>
      </c>
      <c r="CA64" s="94" t="str">
        <f>IFERROR(__xludf.DUMMYFUNCTION("""COMPUTED_VALUE"""),"")</f>
        <v/>
      </c>
      <c r="CB64" s="92" t="str">
        <f>IFERROR(__xludf.DUMMYFUNCTION("""COMPUTED_VALUE"""),"")</f>
        <v/>
      </c>
      <c r="CC64" s="93" t="str">
        <f>IFERROR(__xludf.DUMMYFUNCTION("""COMPUTED_VALUE"""),"")</f>
        <v/>
      </c>
      <c r="CD64" s="94" t="str">
        <f>IFERROR(__xludf.DUMMYFUNCTION("""COMPUTED_VALUE"""),"")</f>
        <v/>
      </c>
      <c r="CE64" s="93" t="str">
        <f>IFERROR(__xludf.DUMMYFUNCTION("""COMPUTED_VALUE"""),"")</f>
        <v/>
      </c>
      <c r="CF64" s="93" t="str">
        <f>IFERROR(__xludf.DUMMYFUNCTION("""COMPUTED_VALUE"""),"")</f>
        <v/>
      </c>
      <c r="CG64" s="94" t="str">
        <f>IFERROR(__xludf.DUMMYFUNCTION("""COMPUTED_VALUE"""),"")</f>
        <v/>
      </c>
      <c r="CH64" s="93" t="str">
        <f>IFERROR(__xludf.DUMMYFUNCTION("""COMPUTED_VALUE"""),"")</f>
        <v/>
      </c>
      <c r="CI64" s="93" t="str">
        <f>IFERROR(__xludf.DUMMYFUNCTION("""COMPUTED_VALUE"""),"")</f>
        <v/>
      </c>
      <c r="CJ64" s="94" t="str">
        <f>IFERROR(__xludf.DUMMYFUNCTION("""COMPUTED_VALUE"""),"")</f>
        <v/>
      </c>
      <c r="CK64" s="93" t="str">
        <f>IFERROR(__xludf.DUMMYFUNCTION("""COMPUTED_VALUE"""),"")</f>
        <v/>
      </c>
      <c r="CL64" s="93" t="str">
        <f>IFERROR(__xludf.DUMMYFUNCTION("""COMPUTED_VALUE"""),"")</f>
        <v/>
      </c>
      <c r="CM64" s="94" t="str">
        <f>IFERROR(__xludf.DUMMYFUNCTION("""COMPUTED_VALUE"""),"")</f>
        <v/>
      </c>
      <c r="CN64" s="93" t="str">
        <f>IFERROR(__xludf.DUMMYFUNCTION("""COMPUTED_VALUE"""),"")</f>
        <v/>
      </c>
      <c r="CO64" s="93" t="str">
        <f>IFERROR(__xludf.DUMMYFUNCTION("""COMPUTED_VALUE"""),"")</f>
        <v/>
      </c>
      <c r="CP64" s="94" t="str">
        <f>IFERROR(__xludf.DUMMYFUNCTION("""COMPUTED_VALUE"""),"")</f>
        <v/>
      </c>
      <c r="CQ64" s="93" t="str">
        <f>IFERROR(__xludf.DUMMYFUNCTION("""COMPUTED_VALUE"""),"")</f>
        <v/>
      </c>
      <c r="CR64" s="93" t="str">
        <f>IFERROR(__xludf.DUMMYFUNCTION("""COMPUTED_VALUE"""),"")</f>
        <v/>
      </c>
      <c r="CS64" s="94"/>
      <c r="CT64" s="93"/>
      <c r="CU64" s="93"/>
      <c r="CV64" s="94"/>
      <c r="CW64" s="93"/>
      <c r="CX64" s="93"/>
      <c r="CY64" s="94"/>
      <c r="CZ64" s="93"/>
      <c r="DA64" s="93"/>
      <c r="DB64" s="94"/>
      <c r="DC64" s="93"/>
      <c r="DD64" s="93"/>
      <c r="DE64" s="94"/>
      <c r="DF64" s="93"/>
      <c r="DG64" s="93"/>
      <c r="DH64" s="94"/>
      <c r="DI64" s="93"/>
      <c r="DJ64" s="93"/>
      <c r="DK64" s="94"/>
      <c r="DL64" s="93"/>
      <c r="DM64" s="93"/>
      <c r="DN64" s="94"/>
      <c r="DO64" s="93"/>
      <c r="DP64" s="93"/>
      <c r="DQ64" s="94"/>
      <c r="DR64" s="93"/>
      <c r="DS64" s="93"/>
      <c r="DT64" s="94"/>
    </row>
    <row r="65">
      <c r="B65" s="83" t="str">
        <f>IFERROR(__xludf.DUMMYFUNCTION("""COMPUTED_VALUE"""),"ORL9")</f>
        <v>ORL9</v>
      </c>
      <c r="C65" s="82">
        <f>IFERROR(__xludf.DUMMYFUNCTION("""COMPUTED_VALUE"""),50.0)</f>
        <v>50</v>
      </c>
      <c r="D65" s="88" t="str">
        <f>IFERROR(__xludf.DUMMYFUNCTION("""COMPUTED_VALUE"""),"Orleans")</f>
        <v>Orleans</v>
      </c>
      <c r="E65" s="82" t="str">
        <f>IFERROR(__xludf.DUMMYFUNCTION("""COMPUTED_VALUE"""),"オルレアン")</f>
        <v>オルレアン</v>
      </c>
      <c r="F65" s="102">
        <f>IFERROR(__xludf.DUMMYFUNCTION("""COMPUTED_VALUE"""),8.0)</f>
        <v>8</v>
      </c>
      <c r="G65" s="82">
        <f>IFERROR(__xludf.DUMMYFUNCTION("""COMPUTED_VALUE"""),1211.0)</f>
        <v>1211</v>
      </c>
      <c r="H65" s="95" t="str">
        <f>IFERROR(__xludf.DUMMYFUNCTION("""COMPUTED_VALUE"""),"")</f>
        <v/>
      </c>
      <c r="I65" s="96" t="str">
        <f>IFERROR(__xludf.DUMMYFUNCTION("""COMPUTED_VALUE"""),"")</f>
        <v/>
      </c>
      <c r="J65" s="97" t="str">
        <f>IFERROR(__xludf.DUMMYFUNCTION("""COMPUTED_VALUE"""),"")</f>
        <v/>
      </c>
      <c r="K65" s="95" t="str">
        <f>IFERROR(__xludf.DUMMYFUNCTION("""COMPUTED_VALUE"""),"")</f>
        <v/>
      </c>
      <c r="L65" s="96" t="str">
        <f>IFERROR(__xludf.DUMMYFUNCTION("""COMPUTED_VALUE"""),"")</f>
        <v/>
      </c>
      <c r="M65" s="97" t="str">
        <f>IFERROR(__xludf.DUMMYFUNCTION("""COMPUTED_VALUE"""),"")</f>
        <v/>
      </c>
      <c r="N65" s="95" t="str">
        <f>IFERROR(__xludf.DUMMYFUNCTION("""COMPUTED_VALUE"""),"")</f>
        <v/>
      </c>
      <c r="O65" s="96" t="str">
        <f>IFERROR(__xludf.DUMMYFUNCTION("""COMPUTED_VALUE"""),"")</f>
        <v/>
      </c>
      <c r="P65" s="97" t="str">
        <f>IFERROR(__xludf.DUMMYFUNCTION("""COMPUTED_VALUE"""),"")</f>
        <v/>
      </c>
      <c r="Q65" s="95" t="str">
        <f>IFERROR(__xludf.DUMMYFUNCTION("""COMPUTED_VALUE"""),"")</f>
        <v/>
      </c>
      <c r="R65" s="96" t="str">
        <f>IFERROR(__xludf.DUMMYFUNCTION("""COMPUTED_VALUE"""),"")</f>
        <v/>
      </c>
      <c r="S65" s="97" t="str">
        <f>IFERROR(__xludf.DUMMYFUNCTION("""COMPUTED_VALUE"""),"")</f>
        <v/>
      </c>
      <c r="T65" s="95" t="str">
        <f>IFERROR(__xludf.DUMMYFUNCTION("""COMPUTED_VALUE"""),"")</f>
        <v/>
      </c>
      <c r="U65" s="96" t="str">
        <f>IFERROR(__xludf.DUMMYFUNCTION("""COMPUTED_VALUE"""),"")</f>
        <v/>
      </c>
      <c r="V65" s="97" t="str">
        <f>IFERROR(__xludf.DUMMYFUNCTION("""COMPUTED_VALUE"""),"")</f>
        <v/>
      </c>
      <c r="W65" s="95" t="str">
        <f>IFERROR(__xludf.DUMMYFUNCTION("""COMPUTED_VALUE"""),"")</f>
        <v/>
      </c>
      <c r="X65" s="96" t="str">
        <f>IFERROR(__xludf.DUMMYFUNCTION("""COMPUTED_VALUE"""),"")</f>
        <v/>
      </c>
      <c r="Y65" s="97" t="str">
        <f>IFERROR(__xludf.DUMMYFUNCTION("""COMPUTED_VALUE"""),"")</f>
        <v/>
      </c>
      <c r="Z65" s="95" t="str">
        <f>IFERROR(__xludf.DUMMYFUNCTION("""COMPUTED_VALUE"""),"")</f>
        <v/>
      </c>
      <c r="AA65" s="96" t="str">
        <f>IFERROR(__xludf.DUMMYFUNCTION("""COMPUTED_VALUE"""),"")</f>
        <v/>
      </c>
      <c r="AB65" s="97" t="str">
        <f>IFERROR(__xludf.DUMMYFUNCTION("""COMPUTED_VALUE"""),"")</f>
        <v/>
      </c>
      <c r="AC65" s="95" t="str">
        <f>IFERROR(__xludf.DUMMYFUNCTION("""COMPUTED_VALUE"""),"")</f>
        <v/>
      </c>
      <c r="AD65" s="96" t="str">
        <f>IFERROR(__xludf.DUMMYFUNCTION("""COMPUTED_VALUE"""),"")</f>
        <v/>
      </c>
      <c r="AE65" s="97" t="str">
        <f>IFERROR(__xludf.DUMMYFUNCTION("""COMPUTED_VALUE"""),"")</f>
        <v/>
      </c>
      <c r="AF65" s="95" t="str">
        <f>IFERROR(__xludf.DUMMYFUNCTION("""COMPUTED_VALUE"""),"")</f>
        <v/>
      </c>
      <c r="AG65" s="96" t="str">
        <f>IFERROR(__xludf.DUMMYFUNCTION("""COMPUTED_VALUE"""),"")</f>
        <v/>
      </c>
      <c r="AH65" s="97" t="str">
        <f>IFERROR(__xludf.DUMMYFUNCTION("""COMPUTED_VALUE"""),"")</f>
        <v/>
      </c>
      <c r="AI65" s="116" t="str">
        <f>IFERROR(__xludf.DUMMYFUNCTION("""COMPUTED_VALUE"""),"")</f>
        <v/>
      </c>
      <c r="AJ65" s="117" t="str">
        <f>IFERROR(__xludf.DUMMYFUNCTION("""COMPUTED_VALUE"""),"")</f>
        <v/>
      </c>
      <c r="AK65" s="118" t="str">
        <f>IFERROR(__xludf.DUMMYFUNCTION("""COMPUTED_VALUE"""),"")</f>
        <v/>
      </c>
      <c r="AL65" s="117" t="str">
        <f>IFERROR(__xludf.DUMMYFUNCTION("""COMPUTED_VALUE"""),"")</f>
        <v/>
      </c>
      <c r="AM65" s="117" t="str">
        <f>IFERROR(__xludf.DUMMYFUNCTION("""COMPUTED_VALUE"""),"")</f>
        <v/>
      </c>
      <c r="AN65" s="118" t="str">
        <f>IFERROR(__xludf.DUMMYFUNCTION("""COMPUTED_VALUE"""),"")</f>
        <v/>
      </c>
      <c r="AO65" s="117" t="str">
        <f>IFERROR(__xludf.DUMMYFUNCTION("""COMPUTED_VALUE"""),"")</f>
        <v/>
      </c>
      <c r="AP65" s="117" t="str">
        <f>IFERROR(__xludf.DUMMYFUNCTION("""COMPUTED_VALUE"""),"")</f>
        <v/>
      </c>
      <c r="AQ65" s="118" t="str">
        <f>IFERROR(__xludf.DUMMYFUNCTION("""COMPUTED_VALUE"""),"")</f>
        <v/>
      </c>
      <c r="AR65" s="117" t="str">
        <f>IFERROR(__xludf.DUMMYFUNCTION("""COMPUTED_VALUE"""),"")</f>
        <v/>
      </c>
      <c r="AS65" s="117" t="str">
        <f>IFERROR(__xludf.DUMMYFUNCTION("""COMPUTED_VALUE"""),"")</f>
        <v/>
      </c>
      <c r="AT65" s="118" t="str">
        <f>IFERROR(__xludf.DUMMYFUNCTION("""COMPUTED_VALUE"""),"")</f>
        <v/>
      </c>
      <c r="AU65" s="117">
        <f>IFERROR(__xludf.DUMMYFUNCTION("""COMPUTED_VALUE"""),61.3)</f>
        <v>61.3</v>
      </c>
      <c r="AV65" s="117">
        <f>IFERROR(__xludf.DUMMYFUNCTION("""COMPUTED_VALUE"""),76.3)</f>
        <v>76.3</v>
      </c>
      <c r="AW65" s="118">
        <f>IFERROR(__xludf.DUMMYFUNCTION("""COMPUTED_VALUE"""),90.5)</f>
        <v>90.5</v>
      </c>
      <c r="AX65" s="117" t="str">
        <f>IFERROR(__xludf.DUMMYFUNCTION("""COMPUTED_VALUE"""),"")</f>
        <v/>
      </c>
      <c r="AY65" s="117" t="str">
        <f>IFERROR(__xludf.DUMMYFUNCTION("""COMPUTED_VALUE"""),"")</f>
        <v/>
      </c>
      <c r="AZ65" s="118" t="str">
        <f>IFERROR(__xludf.DUMMYFUNCTION("""COMPUTED_VALUE"""),"")</f>
        <v/>
      </c>
      <c r="BA65" s="117" t="str">
        <f>IFERROR(__xludf.DUMMYFUNCTION("""COMPUTED_VALUE"""),"")</f>
        <v/>
      </c>
      <c r="BB65" s="117" t="str">
        <f>IFERROR(__xludf.DUMMYFUNCTION("""COMPUTED_VALUE"""),"")</f>
        <v/>
      </c>
      <c r="BC65" s="118" t="str">
        <f>IFERROR(__xludf.DUMMYFUNCTION("""COMPUTED_VALUE"""),"")</f>
        <v/>
      </c>
      <c r="BD65" s="117" t="str">
        <f>IFERROR(__xludf.DUMMYFUNCTION("""COMPUTED_VALUE"""),"")</f>
        <v/>
      </c>
      <c r="BE65" s="117" t="str">
        <f>IFERROR(__xludf.DUMMYFUNCTION("""COMPUTED_VALUE"""),"")</f>
        <v/>
      </c>
      <c r="BF65" s="118" t="str">
        <f>IFERROR(__xludf.DUMMYFUNCTION("""COMPUTED_VALUE"""),"")</f>
        <v/>
      </c>
      <c r="BG65" s="116" t="str">
        <f>IFERROR(__xludf.DUMMYFUNCTION("""COMPUTED_VALUE"""),"")</f>
        <v/>
      </c>
      <c r="BH65" s="117" t="str">
        <f>IFERROR(__xludf.DUMMYFUNCTION("""COMPUTED_VALUE"""),"")</f>
        <v/>
      </c>
      <c r="BI65" s="118" t="str">
        <f>IFERROR(__xludf.DUMMYFUNCTION("""COMPUTED_VALUE"""),"")</f>
        <v/>
      </c>
      <c r="BJ65" s="117" t="str">
        <f>IFERROR(__xludf.DUMMYFUNCTION("""COMPUTED_VALUE"""),"")</f>
        <v/>
      </c>
      <c r="BK65" s="117" t="str">
        <f>IFERROR(__xludf.DUMMYFUNCTION("""COMPUTED_VALUE"""),"")</f>
        <v/>
      </c>
      <c r="BL65" s="118" t="str">
        <f>IFERROR(__xludf.DUMMYFUNCTION("""COMPUTED_VALUE"""),"")</f>
        <v/>
      </c>
      <c r="BM65" s="117">
        <f>IFERROR(__xludf.DUMMYFUNCTION("""COMPUTED_VALUE"""),138.4)</f>
        <v>138.4</v>
      </c>
      <c r="BN65" s="117" t="str">
        <f>IFERROR(__xludf.DUMMYFUNCTION("""COMPUTED_VALUE"""),"")</f>
        <v/>
      </c>
      <c r="BO65" s="118" t="str">
        <f>IFERROR(__xludf.DUMMYFUNCTION("""COMPUTED_VALUE"""),"")</f>
        <v/>
      </c>
      <c r="BP65" s="117" t="str">
        <f>IFERROR(__xludf.DUMMYFUNCTION("""COMPUTED_VALUE"""),"")</f>
        <v/>
      </c>
      <c r="BQ65" s="117" t="str">
        <f>IFERROR(__xludf.DUMMYFUNCTION("""COMPUTED_VALUE"""),"")</f>
        <v/>
      </c>
      <c r="BR65" s="118" t="str">
        <f>IFERROR(__xludf.DUMMYFUNCTION("""COMPUTED_VALUE"""),"")</f>
        <v/>
      </c>
      <c r="BS65" s="117">
        <f>IFERROR(__xludf.DUMMYFUNCTION("""COMPUTED_VALUE"""),81.4)</f>
        <v>81.4</v>
      </c>
      <c r="BT65" s="117">
        <f>IFERROR(__xludf.DUMMYFUNCTION("""COMPUTED_VALUE"""),52.9)</f>
        <v>52.9</v>
      </c>
      <c r="BU65" s="118" t="str">
        <f>IFERROR(__xludf.DUMMYFUNCTION("""COMPUTED_VALUE"""),"")</f>
        <v/>
      </c>
      <c r="BV65" s="117" t="str">
        <f>IFERROR(__xludf.DUMMYFUNCTION("""COMPUTED_VALUE"""),"")</f>
        <v/>
      </c>
      <c r="BW65" s="117" t="str">
        <f>IFERROR(__xludf.DUMMYFUNCTION("""COMPUTED_VALUE"""),"")</f>
        <v/>
      </c>
      <c r="BX65" s="118" t="str">
        <f>IFERROR(__xludf.DUMMYFUNCTION("""COMPUTED_VALUE"""),"")</f>
        <v/>
      </c>
      <c r="BY65" s="117" t="str">
        <f>IFERROR(__xludf.DUMMYFUNCTION("""COMPUTED_VALUE"""),"")</f>
        <v/>
      </c>
      <c r="BZ65" s="117" t="str">
        <f>IFERROR(__xludf.DUMMYFUNCTION("""COMPUTED_VALUE"""),"")</f>
        <v/>
      </c>
      <c r="CA65" s="118" t="str">
        <f>IFERROR(__xludf.DUMMYFUNCTION("""COMPUTED_VALUE"""),"")</f>
        <v/>
      </c>
      <c r="CB65" s="116" t="str">
        <f>IFERROR(__xludf.DUMMYFUNCTION("""COMPUTED_VALUE"""),"")</f>
        <v/>
      </c>
      <c r="CC65" s="117" t="str">
        <f>IFERROR(__xludf.DUMMYFUNCTION("""COMPUTED_VALUE"""),"")</f>
        <v/>
      </c>
      <c r="CD65" s="118" t="str">
        <f>IFERROR(__xludf.DUMMYFUNCTION("""COMPUTED_VALUE"""),"")</f>
        <v/>
      </c>
      <c r="CE65" s="117" t="str">
        <f>IFERROR(__xludf.DUMMYFUNCTION("""COMPUTED_VALUE"""),"")</f>
        <v/>
      </c>
      <c r="CF65" s="117" t="str">
        <f>IFERROR(__xludf.DUMMYFUNCTION("""COMPUTED_VALUE"""),"")</f>
        <v/>
      </c>
      <c r="CG65" s="118" t="str">
        <f>IFERROR(__xludf.DUMMYFUNCTION("""COMPUTED_VALUE"""),"")</f>
        <v/>
      </c>
      <c r="CH65" s="117" t="str">
        <f>IFERROR(__xludf.DUMMYFUNCTION("""COMPUTED_VALUE"""),"")</f>
        <v/>
      </c>
      <c r="CI65" s="117">
        <f>IFERROR(__xludf.DUMMYFUNCTION("""COMPUTED_VALUE"""),83.5)</f>
        <v>83.5</v>
      </c>
      <c r="CJ65" s="118" t="str">
        <f>IFERROR(__xludf.DUMMYFUNCTION("""COMPUTED_VALUE"""),"")</f>
        <v/>
      </c>
      <c r="CK65" s="117" t="str">
        <f>IFERROR(__xludf.DUMMYFUNCTION("""COMPUTED_VALUE"""),"")</f>
        <v/>
      </c>
      <c r="CL65" s="117" t="str">
        <f>IFERROR(__xludf.DUMMYFUNCTION("""COMPUTED_VALUE"""),"")</f>
        <v/>
      </c>
      <c r="CM65" s="118" t="str">
        <f>IFERROR(__xludf.DUMMYFUNCTION("""COMPUTED_VALUE"""),"")</f>
        <v/>
      </c>
      <c r="CN65" s="117" t="str">
        <f>IFERROR(__xludf.DUMMYFUNCTION("""COMPUTED_VALUE"""),"")</f>
        <v/>
      </c>
      <c r="CO65" s="117" t="str">
        <f>IFERROR(__xludf.DUMMYFUNCTION("""COMPUTED_VALUE"""),"")</f>
        <v/>
      </c>
      <c r="CP65" s="118" t="str">
        <f>IFERROR(__xludf.DUMMYFUNCTION("""COMPUTED_VALUE"""),"")</f>
        <v/>
      </c>
      <c r="CQ65" s="117" t="str">
        <f>IFERROR(__xludf.DUMMYFUNCTION("""COMPUTED_VALUE"""),"")</f>
        <v/>
      </c>
      <c r="CR65" s="117" t="str">
        <f>IFERROR(__xludf.DUMMYFUNCTION("""COMPUTED_VALUE"""),"")</f>
        <v/>
      </c>
      <c r="CS65" s="118"/>
      <c r="CT65" s="117"/>
      <c r="CU65" s="117"/>
      <c r="CV65" s="118"/>
      <c r="CW65" s="117"/>
      <c r="CX65" s="117"/>
      <c r="CY65" s="118"/>
      <c r="CZ65" s="117"/>
      <c r="DA65" s="117"/>
      <c r="DB65" s="118"/>
      <c r="DC65" s="117"/>
      <c r="DD65" s="117"/>
      <c r="DE65" s="118"/>
      <c r="DF65" s="117"/>
      <c r="DG65" s="117"/>
      <c r="DH65" s="118"/>
      <c r="DI65" s="117"/>
      <c r="DJ65" s="117"/>
      <c r="DK65" s="118"/>
      <c r="DL65" s="117"/>
      <c r="DM65" s="117"/>
      <c r="DN65" s="118"/>
      <c r="DO65" s="117"/>
      <c r="DP65" s="117"/>
      <c r="DQ65" s="118"/>
      <c r="DR65" s="117"/>
      <c r="DS65" s="117"/>
      <c r="DT65" s="118"/>
    </row>
    <row r="66">
      <c r="B66" s="83" t="str">
        <f>IFERROR(__xludf.DUMMYFUNCTION("""COMPUTED_VALUE"""),"ORL10")</f>
        <v>ORL10</v>
      </c>
      <c r="C66" s="82">
        <f>IFERROR(__xludf.DUMMYFUNCTION("""COMPUTED_VALUE"""),51.0)</f>
        <v>51</v>
      </c>
      <c r="D66" s="88" t="str">
        <f>IFERROR(__xludf.DUMMYFUNCTION("""COMPUTED_VALUE"""),"Paris")</f>
        <v>Paris</v>
      </c>
      <c r="E66" s="82" t="str">
        <f>IFERROR(__xludf.DUMMYFUNCTION("""COMPUTED_VALUE"""),"パリ")</f>
        <v>パリ</v>
      </c>
      <c r="F66" s="102">
        <f>IFERROR(__xludf.DUMMYFUNCTION("""COMPUTED_VALUE"""),13.0)</f>
        <v>13</v>
      </c>
      <c r="G66" s="82">
        <f>IFERROR(__xludf.DUMMYFUNCTION("""COMPUTED_VALUE"""),1143.0)</f>
        <v>1143</v>
      </c>
      <c r="H66" s="95" t="str">
        <f>IFERROR(__xludf.DUMMYFUNCTION("""COMPUTED_VALUE"""),"")</f>
        <v/>
      </c>
      <c r="I66" s="96" t="str">
        <f>IFERROR(__xludf.DUMMYFUNCTION("""COMPUTED_VALUE"""),"")</f>
        <v/>
      </c>
      <c r="J66" s="97" t="str">
        <f>IFERROR(__xludf.DUMMYFUNCTION("""COMPUTED_VALUE"""),"")</f>
        <v/>
      </c>
      <c r="K66" s="95" t="str">
        <f>IFERROR(__xludf.DUMMYFUNCTION("""COMPUTED_VALUE"""),"")</f>
        <v/>
      </c>
      <c r="L66" s="96" t="str">
        <f>IFERROR(__xludf.DUMMYFUNCTION("""COMPUTED_VALUE"""),"")</f>
        <v/>
      </c>
      <c r="M66" s="97" t="str">
        <f>IFERROR(__xludf.DUMMYFUNCTION("""COMPUTED_VALUE"""),"")</f>
        <v/>
      </c>
      <c r="N66" s="95" t="str">
        <f>IFERROR(__xludf.DUMMYFUNCTION("""COMPUTED_VALUE"""),"")</f>
        <v/>
      </c>
      <c r="O66" s="96" t="str">
        <f>IFERROR(__xludf.DUMMYFUNCTION("""COMPUTED_VALUE"""),"")</f>
        <v/>
      </c>
      <c r="P66" s="97" t="str">
        <f>IFERROR(__xludf.DUMMYFUNCTION("""COMPUTED_VALUE"""),"")</f>
        <v/>
      </c>
      <c r="Q66" s="95" t="str">
        <f>IFERROR(__xludf.DUMMYFUNCTION("""COMPUTED_VALUE"""),"")</f>
        <v/>
      </c>
      <c r="R66" s="96" t="str">
        <f>IFERROR(__xludf.DUMMYFUNCTION("""COMPUTED_VALUE"""),"")</f>
        <v/>
      </c>
      <c r="S66" s="97" t="str">
        <f>IFERROR(__xludf.DUMMYFUNCTION("""COMPUTED_VALUE"""),"")</f>
        <v/>
      </c>
      <c r="T66" s="95" t="str">
        <f>IFERROR(__xludf.DUMMYFUNCTION("""COMPUTED_VALUE"""),"")</f>
        <v/>
      </c>
      <c r="U66" s="96" t="str">
        <f>IFERROR(__xludf.DUMMYFUNCTION("""COMPUTED_VALUE"""),"")</f>
        <v/>
      </c>
      <c r="V66" s="97" t="str">
        <f>IFERROR(__xludf.DUMMYFUNCTION("""COMPUTED_VALUE"""),"")</f>
        <v/>
      </c>
      <c r="W66" s="95" t="str">
        <f>IFERROR(__xludf.DUMMYFUNCTION("""COMPUTED_VALUE"""),"")</f>
        <v/>
      </c>
      <c r="X66" s="96" t="str">
        <f>IFERROR(__xludf.DUMMYFUNCTION("""COMPUTED_VALUE"""),"")</f>
        <v/>
      </c>
      <c r="Y66" s="97" t="str">
        <f>IFERROR(__xludf.DUMMYFUNCTION("""COMPUTED_VALUE"""),"")</f>
        <v/>
      </c>
      <c r="Z66" s="95" t="str">
        <f>IFERROR(__xludf.DUMMYFUNCTION("""COMPUTED_VALUE"""),"")</f>
        <v/>
      </c>
      <c r="AA66" s="96" t="str">
        <f>IFERROR(__xludf.DUMMYFUNCTION("""COMPUTED_VALUE"""),"")</f>
        <v/>
      </c>
      <c r="AB66" s="97" t="str">
        <f>IFERROR(__xludf.DUMMYFUNCTION("""COMPUTED_VALUE"""),"")</f>
        <v/>
      </c>
      <c r="AC66" s="95" t="str">
        <f>IFERROR(__xludf.DUMMYFUNCTION("""COMPUTED_VALUE"""),"")</f>
        <v/>
      </c>
      <c r="AD66" s="96" t="str">
        <f>IFERROR(__xludf.DUMMYFUNCTION("""COMPUTED_VALUE"""),"")</f>
        <v/>
      </c>
      <c r="AE66" s="97" t="str">
        <f>IFERROR(__xludf.DUMMYFUNCTION("""COMPUTED_VALUE"""),"")</f>
        <v/>
      </c>
      <c r="AF66" s="95" t="str">
        <f>IFERROR(__xludf.DUMMYFUNCTION("""COMPUTED_VALUE"""),"")</f>
        <v/>
      </c>
      <c r="AG66" s="96" t="str">
        <f>IFERROR(__xludf.DUMMYFUNCTION("""COMPUTED_VALUE"""),"")</f>
        <v/>
      </c>
      <c r="AH66" s="97" t="str">
        <f>IFERROR(__xludf.DUMMYFUNCTION("""COMPUTED_VALUE"""),"")</f>
        <v/>
      </c>
      <c r="AI66" s="92" t="str">
        <f>IFERROR(__xludf.DUMMYFUNCTION("""COMPUTED_VALUE"""),"")</f>
        <v/>
      </c>
      <c r="AJ66" s="93" t="str">
        <f>IFERROR(__xludf.DUMMYFUNCTION("""COMPUTED_VALUE"""),"")</f>
        <v/>
      </c>
      <c r="AK66" s="94" t="str">
        <f>IFERROR(__xludf.DUMMYFUNCTION("""COMPUTED_VALUE"""),"")</f>
        <v/>
      </c>
      <c r="AL66" s="93" t="str">
        <f>IFERROR(__xludf.DUMMYFUNCTION("""COMPUTED_VALUE"""),"")</f>
        <v/>
      </c>
      <c r="AM66" s="93" t="str">
        <f>IFERROR(__xludf.DUMMYFUNCTION("""COMPUTED_VALUE"""),"")</f>
        <v/>
      </c>
      <c r="AN66" s="94" t="str">
        <f>IFERROR(__xludf.DUMMYFUNCTION("""COMPUTED_VALUE"""),"")</f>
        <v/>
      </c>
      <c r="AO66" s="93" t="str">
        <f>IFERROR(__xludf.DUMMYFUNCTION("""COMPUTED_VALUE"""),"")</f>
        <v/>
      </c>
      <c r="AP66" s="93" t="str">
        <f>IFERROR(__xludf.DUMMYFUNCTION("""COMPUTED_VALUE"""),"")</f>
        <v/>
      </c>
      <c r="AQ66" s="94" t="str">
        <f>IFERROR(__xludf.DUMMYFUNCTION("""COMPUTED_VALUE"""),"")</f>
        <v/>
      </c>
      <c r="AR66" s="93" t="str">
        <f>IFERROR(__xludf.DUMMYFUNCTION("""COMPUTED_VALUE"""),"")</f>
        <v/>
      </c>
      <c r="AS66" s="93" t="str">
        <f>IFERROR(__xludf.DUMMYFUNCTION("""COMPUTED_VALUE"""),"")</f>
        <v/>
      </c>
      <c r="AT66" s="94" t="str">
        <f>IFERROR(__xludf.DUMMYFUNCTION("""COMPUTED_VALUE"""),"")</f>
        <v/>
      </c>
      <c r="AU66" s="93">
        <f>IFERROR(__xludf.DUMMYFUNCTION("""COMPUTED_VALUE"""),82.1)</f>
        <v>82.1</v>
      </c>
      <c r="AV66" s="93">
        <f>IFERROR(__xludf.DUMMYFUNCTION("""COMPUTED_VALUE"""),132.7)</f>
        <v>132.7</v>
      </c>
      <c r="AW66" s="94">
        <f>IFERROR(__xludf.DUMMYFUNCTION("""COMPUTED_VALUE"""),158.1)</f>
        <v>158.1</v>
      </c>
      <c r="AX66" s="93" t="str">
        <f>IFERROR(__xludf.DUMMYFUNCTION("""COMPUTED_VALUE"""),"")</f>
        <v/>
      </c>
      <c r="AY66" s="93" t="str">
        <f>IFERROR(__xludf.DUMMYFUNCTION("""COMPUTED_VALUE"""),"")</f>
        <v/>
      </c>
      <c r="AZ66" s="94" t="str">
        <f>IFERROR(__xludf.DUMMYFUNCTION("""COMPUTED_VALUE"""),"")</f>
        <v/>
      </c>
      <c r="BA66" s="93" t="str">
        <f>IFERROR(__xludf.DUMMYFUNCTION("""COMPUTED_VALUE"""),"")</f>
        <v/>
      </c>
      <c r="BB66" s="93" t="str">
        <f>IFERROR(__xludf.DUMMYFUNCTION("""COMPUTED_VALUE"""),"")</f>
        <v/>
      </c>
      <c r="BC66" s="94" t="str">
        <f>IFERROR(__xludf.DUMMYFUNCTION("""COMPUTED_VALUE"""),"")</f>
        <v/>
      </c>
      <c r="BD66" s="93" t="str">
        <f>IFERROR(__xludf.DUMMYFUNCTION("""COMPUTED_VALUE"""),"")</f>
        <v/>
      </c>
      <c r="BE66" s="93" t="str">
        <f>IFERROR(__xludf.DUMMYFUNCTION("""COMPUTED_VALUE"""),"")</f>
        <v/>
      </c>
      <c r="BF66" s="94" t="str">
        <f>IFERROR(__xludf.DUMMYFUNCTION("""COMPUTED_VALUE"""),"")</f>
        <v/>
      </c>
      <c r="BG66" s="92" t="str">
        <f>IFERROR(__xludf.DUMMYFUNCTION("""COMPUTED_VALUE"""),"")</f>
        <v/>
      </c>
      <c r="BH66" s="93" t="str">
        <f>IFERROR(__xludf.DUMMYFUNCTION("""COMPUTED_VALUE"""),"")</f>
        <v/>
      </c>
      <c r="BI66" s="94" t="str">
        <f>IFERROR(__xludf.DUMMYFUNCTION("""COMPUTED_VALUE"""),"")</f>
        <v/>
      </c>
      <c r="BJ66" s="93" t="str">
        <f>IFERROR(__xludf.DUMMYFUNCTION("""COMPUTED_VALUE"""),"")</f>
        <v/>
      </c>
      <c r="BK66" s="93" t="str">
        <f>IFERROR(__xludf.DUMMYFUNCTION("""COMPUTED_VALUE"""),"")</f>
        <v/>
      </c>
      <c r="BL66" s="94" t="str">
        <f>IFERROR(__xludf.DUMMYFUNCTION("""COMPUTED_VALUE"""),"")</f>
        <v/>
      </c>
      <c r="BM66" s="93">
        <f>IFERROR(__xludf.DUMMYFUNCTION("""COMPUTED_VALUE"""),251.8)</f>
        <v>251.8</v>
      </c>
      <c r="BN66" s="93" t="str">
        <f>IFERROR(__xludf.DUMMYFUNCTION("""COMPUTED_VALUE"""),"")</f>
        <v/>
      </c>
      <c r="BO66" s="94" t="str">
        <f>IFERROR(__xludf.DUMMYFUNCTION("""COMPUTED_VALUE"""),"")</f>
        <v/>
      </c>
      <c r="BP66" s="93" t="str">
        <f>IFERROR(__xludf.DUMMYFUNCTION("""COMPUTED_VALUE"""),"")</f>
        <v/>
      </c>
      <c r="BQ66" s="93" t="str">
        <f>IFERROR(__xludf.DUMMYFUNCTION("""COMPUTED_VALUE"""),"")</f>
        <v/>
      </c>
      <c r="BR66" s="94">
        <f>IFERROR(__xludf.DUMMYFUNCTION("""COMPUTED_VALUE"""),95.9)</f>
        <v>95.9</v>
      </c>
      <c r="BS66" s="93" t="str">
        <f>IFERROR(__xludf.DUMMYFUNCTION("""COMPUTED_VALUE"""),"")</f>
        <v/>
      </c>
      <c r="BT66" s="93">
        <f>IFERROR(__xludf.DUMMYFUNCTION("""COMPUTED_VALUE"""),127.0)</f>
        <v>127</v>
      </c>
      <c r="BU66" s="94" t="str">
        <f>IFERROR(__xludf.DUMMYFUNCTION("""COMPUTED_VALUE"""),"")</f>
        <v/>
      </c>
      <c r="BV66" s="93" t="str">
        <f>IFERROR(__xludf.DUMMYFUNCTION("""COMPUTED_VALUE"""),"")</f>
        <v/>
      </c>
      <c r="BW66" s="93" t="str">
        <f>IFERROR(__xludf.DUMMYFUNCTION("""COMPUTED_VALUE"""),"")</f>
        <v/>
      </c>
      <c r="BX66" s="94" t="str">
        <f>IFERROR(__xludf.DUMMYFUNCTION("""COMPUTED_VALUE"""),"")</f>
        <v/>
      </c>
      <c r="BY66" s="93" t="str">
        <f>IFERROR(__xludf.DUMMYFUNCTION("""COMPUTED_VALUE"""),"")</f>
        <v/>
      </c>
      <c r="BZ66" s="93" t="str">
        <f>IFERROR(__xludf.DUMMYFUNCTION("""COMPUTED_VALUE"""),"")</f>
        <v/>
      </c>
      <c r="CA66" s="94" t="str">
        <f>IFERROR(__xludf.DUMMYFUNCTION("""COMPUTED_VALUE"""),"")</f>
        <v/>
      </c>
      <c r="CB66" s="92" t="str">
        <f>IFERROR(__xludf.DUMMYFUNCTION("""COMPUTED_VALUE"""),"")</f>
        <v/>
      </c>
      <c r="CC66" s="93" t="str">
        <f>IFERROR(__xludf.DUMMYFUNCTION("""COMPUTED_VALUE"""),"")</f>
        <v/>
      </c>
      <c r="CD66" s="94" t="str">
        <f>IFERROR(__xludf.DUMMYFUNCTION("""COMPUTED_VALUE"""),"")</f>
        <v/>
      </c>
      <c r="CE66" s="93">
        <f>IFERROR(__xludf.DUMMYFUNCTION("""COMPUTED_VALUE"""),646.0)</f>
        <v>646</v>
      </c>
      <c r="CF66" s="93">
        <f>IFERROR(__xludf.DUMMYFUNCTION("""COMPUTED_VALUE"""),589.5)</f>
        <v>589.5</v>
      </c>
      <c r="CG66" s="94">
        <f>IFERROR(__xludf.DUMMYFUNCTION("""COMPUTED_VALUE"""),1143.0)</f>
        <v>1143</v>
      </c>
      <c r="CH66" s="93" t="str">
        <f>IFERROR(__xludf.DUMMYFUNCTION("""COMPUTED_VALUE"""),"")</f>
        <v/>
      </c>
      <c r="CI66" s="93" t="str">
        <f>IFERROR(__xludf.DUMMYFUNCTION("""COMPUTED_VALUE"""),"")</f>
        <v/>
      </c>
      <c r="CJ66" s="94" t="str">
        <f>IFERROR(__xludf.DUMMYFUNCTION("""COMPUTED_VALUE"""),"")</f>
        <v/>
      </c>
      <c r="CK66" s="93" t="str">
        <f>IFERROR(__xludf.DUMMYFUNCTION("""COMPUTED_VALUE"""),"")</f>
        <v/>
      </c>
      <c r="CL66" s="93" t="str">
        <f>IFERROR(__xludf.DUMMYFUNCTION("""COMPUTED_VALUE"""),"")</f>
        <v/>
      </c>
      <c r="CM66" s="94" t="str">
        <f>IFERROR(__xludf.DUMMYFUNCTION("""COMPUTED_VALUE"""),"")</f>
        <v/>
      </c>
      <c r="CN66" s="93" t="str">
        <f>IFERROR(__xludf.DUMMYFUNCTION("""COMPUTED_VALUE"""),"")</f>
        <v/>
      </c>
      <c r="CO66" s="93" t="str">
        <f>IFERROR(__xludf.DUMMYFUNCTION("""COMPUTED_VALUE"""),"")</f>
        <v/>
      </c>
      <c r="CP66" s="94" t="str">
        <f>IFERROR(__xludf.DUMMYFUNCTION("""COMPUTED_VALUE"""),"")</f>
        <v/>
      </c>
      <c r="CQ66" s="93" t="str">
        <f>IFERROR(__xludf.DUMMYFUNCTION("""COMPUTED_VALUE"""),"")</f>
        <v/>
      </c>
      <c r="CR66" s="93" t="str">
        <f>IFERROR(__xludf.DUMMYFUNCTION("""COMPUTED_VALUE"""),"")</f>
        <v/>
      </c>
      <c r="CS66" s="94"/>
      <c r="CT66" s="93"/>
      <c r="CU66" s="93"/>
      <c r="CV66" s="94"/>
      <c r="CW66" s="93"/>
      <c r="CX66" s="93"/>
      <c r="CY66" s="94"/>
      <c r="CZ66" s="93"/>
      <c r="DA66" s="93"/>
      <c r="DB66" s="94"/>
      <c r="DC66" s="93"/>
      <c r="DD66" s="93"/>
      <c r="DE66" s="94"/>
      <c r="DF66" s="93"/>
      <c r="DG66" s="93"/>
      <c r="DH66" s="94"/>
      <c r="DI66" s="93"/>
      <c r="DJ66" s="93"/>
      <c r="DK66" s="94"/>
      <c r="DL66" s="93"/>
      <c r="DM66" s="93"/>
      <c r="DN66" s="94"/>
      <c r="DO66" s="93"/>
      <c r="DP66" s="93"/>
      <c r="DQ66" s="94"/>
      <c r="DR66" s="93"/>
      <c r="DS66" s="93"/>
      <c r="DT66" s="94"/>
    </row>
    <row r="67">
      <c r="A67" s="119" t="str">
        <f>IFERROR(__xludf.DUMMYFUNCTION("""COMPUTED_VALUE"""),"SEPTEM")</f>
        <v>SEPTEM</v>
      </c>
      <c r="B67" s="120" t="str">
        <f>IFERROR(__xludf.DUMMYFUNCTION("""COMPUTED_VALUE"""),"SEP1")</f>
        <v>SEP1</v>
      </c>
      <c r="C67" s="82">
        <f>IFERROR(__xludf.DUMMYFUNCTION("""COMPUTED_VALUE"""),52.0)</f>
        <v>52</v>
      </c>
      <c r="D67" s="88" t="str">
        <f>IFERROR(__xludf.DUMMYFUNCTION("""COMPUTED_VALUE"""),"Appia Road")</f>
        <v>Appia Road</v>
      </c>
      <c r="E67" s="82" t="str">
        <f>IFERROR(__xludf.DUMMYFUNCTION("""COMPUTED_VALUE"""),"アッピア街道")</f>
        <v>アッピア街道</v>
      </c>
      <c r="F67" s="102">
        <f>IFERROR(__xludf.DUMMYFUNCTION("""COMPUTED_VALUE"""),9.0)</f>
        <v>9</v>
      </c>
      <c r="G67" s="82">
        <f>IFERROR(__xludf.DUMMYFUNCTION("""COMPUTED_VALUE"""),1110.0)</f>
        <v>1110</v>
      </c>
      <c r="H67" s="95" t="str">
        <f>IFERROR(__xludf.DUMMYFUNCTION("""COMPUTED_VALUE"""),"")</f>
        <v/>
      </c>
      <c r="I67" s="96" t="str">
        <f>IFERROR(__xludf.DUMMYFUNCTION("""COMPUTED_VALUE"""),"")</f>
        <v/>
      </c>
      <c r="J67" s="97" t="str">
        <f>IFERROR(__xludf.DUMMYFUNCTION("""COMPUTED_VALUE"""),"")</f>
        <v/>
      </c>
      <c r="K67" s="95" t="str">
        <f>IFERROR(__xludf.DUMMYFUNCTION("""COMPUTED_VALUE"""),"")</f>
        <v/>
      </c>
      <c r="L67" s="96" t="str">
        <f>IFERROR(__xludf.DUMMYFUNCTION("""COMPUTED_VALUE"""),"")</f>
        <v/>
      </c>
      <c r="M67" s="97" t="str">
        <f>IFERROR(__xludf.DUMMYFUNCTION("""COMPUTED_VALUE"""),"")</f>
        <v/>
      </c>
      <c r="N67" s="95" t="str">
        <f>IFERROR(__xludf.DUMMYFUNCTION("""COMPUTED_VALUE"""),"")</f>
        <v/>
      </c>
      <c r="O67" s="96" t="str">
        <f>IFERROR(__xludf.DUMMYFUNCTION("""COMPUTED_VALUE"""),"")</f>
        <v/>
      </c>
      <c r="P67" s="97" t="str">
        <f>IFERROR(__xludf.DUMMYFUNCTION("""COMPUTED_VALUE"""),"")</f>
        <v/>
      </c>
      <c r="Q67" s="95" t="str">
        <f>IFERROR(__xludf.DUMMYFUNCTION("""COMPUTED_VALUE"""),"")</f>
        <v/>
      </c>
      <c r="R67" s="96" t="str">
        <f>IFERROR(__xludf.DUMMYFUNCTION("""COMPUTED_VALUE"""),"")</f>
        <v/>
      </c>
      <c r="S67" s="97" t="str">
        <f>IFERROR(__xludf.DUMMYFUNCTION("""COMPUTED_VALUE"""),"")</f>
        <v/>
      </c>
      <c r="T67" s="95" t="str">
        <f>IFERROR(__xludf.DUMMYFUNCTION("""COMPUTED_VALUE"""),"")</f>
        <v/>
      </c>
      <c r="U67" s="96" t="str">
        <f>IFERROR(__xludf.DUMMYFUNCTION("""COMPUTED_VALUE"""),"")</f>
        <v/>
      </c>
      <c r="V67" s="97" t="str">
        <f>IFERROR(__xludf.DUMMYFUNCTION("""COMPUTED_VALUE"""),"")</f>
        <v/>
      </c>
      <c r="W67" s="95" t="str">
        <f>IFERROR(__xludf.DUMMYFUNCTION("""COMPUTED_VALUE"""),"")</f>
        <v/>
      </c>
      <c r="X67" s="96" t="str">
        <f>IFERROR(__xludf.DUMMYFUNCTION("""COMPUTED_VALUE"""),"")</f>
        <v/>
      </c>
      <c r="Y67" s="97" t="str">
        <f>IFERROR(__xludf.DUMMYFUNCTION("""COMPUTED_VALUE"""),"")</f>
        <v/>
      </c>
      <c r="Z67" s="95" t="str">
        <f>IFERROR(__xludf.DUMMYFUNCTION("""COMPUTED_VALUE"""),"")</f>
        <v/>
      </c>
      <c r="AA67" s="96" t="str">
        <f>IFERROR(__xludf.DUMMYFUNCTION("""COMPUTED_VALUE"""),"")</f>
        <v/>
      </c>
      <c r="AB67" s="97" t="str">
        <f>IFERROR(__xludf.DUMMYFUNCTION("""COMPUTED_VALUE"""),"")</f>
        <v/>
      </c>
      <c r="AC67" s="95" t="str">
        <f>IFERROR(__xludf.DUMMYFUNCTION("""COMPUTED_VALUE"""),"")</f>
        <v/>
      </c>
      <c r="AD67" s="96" t="str">
        <f>IFERROR(__xludf.DUMMYFUNCTION("""COMPUTED_VALUE"""),"")</f>
        <v/>
      </c>
      <c r="AE67" s="97" t="str">
        <f>IFERROR(__xludf.DUMMYFUNCTION("""COMPUTED_VALUE"""),"")</f>
        <v/>
      </c>
      <c r="AF67" s="95" t="str">
        <f>IFERROR(__xludf.DUMMYFUNCTION("""COMPUTED_VALUE"""),"")</f>
        <v/>
      </c>
      <c r="AG67" s="96" t="str">
        <f>IFERROR(__xludf.DUMMYFUNCTION("""COMPUTED_VALUE"""),"")</f>
        <v/>
      </c>
      <c r="AH67" s="97" t="str">
        <f>IFERROR(__xludf.DUMMYFUNCTION("""COMPUTED_VALUE"""),"")</f>
        <v/>
      </c>
      <c r="AI67" s="121" t="str">
        <f>IFERROR(__xludf.DUMMYFUNCTION("""COMPUTED_VALUE"""),"")</f>
        <v/>
      </c>
      <c r="AJ67" s="122" t="str">
        <f>IFERROR(__xludf.DUMMYFUNCTION("""COMPUTED_VALUE"""),"")</f>
        <v/>
      </c>
      <c r="AK67" s="123" t="str">
        <f>IFERROR(__xludf.DUMMYFUNCTION("""COMPUTED_VALUE"""),"")</f>
        <v/>
      </c>
      <c r="AL67" s="122" t="str">
        <f>IFERROR(__xludf.DUMMYFUNCTION("""COMPUTED_VALUE"""),"")</f>
        <v/>
      </c>
      <c r="AM67" s="122" t="str">
        <f>IFERROR(__xludf.DUMMYFUNCTION("""COMPUTED_VALUE"""),"")</f>
        <v/>
      </c>
      <c r="AN67" s="123" t="str">
        <f>IFERROR(__xludf.DUMMYFUNCTION("""COMPUTED_VALUE"""),"")</f>
        <v/>
      </c>
      <c r="AO67" s="122" t="str">
        <f>IFERROR(__xludf.DUMMYFUNCTION("""COMPUTED_VALUE"""),"")</f>
        <v/>
      </c>
      <c r="AP67" s="122" t="str">
        <f>IFERROR(__xludf.DUMMYFUNCTION("""COMPUTED_VALUE"""),"")</f>
        <v/>
      </c>
      <c r="AQ67" s="123" t="str">
        <f>IFERROR(__xludf.DUMMYFUNCTION("""COMPUTED_VALUE"""),"")</f>
        <v/>
      </c>
      <c r="AR67" s="122" t="str">
        <f>IFERROR(__xludf.DUMMYFUNCTION("""COMPUTED_VALUE"""),"")</f>
        <v/>
      </c>
      <c r="AS67" s="122" t="str">
        <f>IFERROR(__xludf.DUMMYFUNCTION("""COMPUTED_VALUE"""),"")</f>
        <v/>
      </c>
      <c r="AT67" s="123">
        <f>IFERROR(__xludf.DUMMYFUNCTION("""COMPUTED_VALUE"""),25.9)</f>
        <v>25.9</v>
      </c>
      <c r="AU67" s="122" t="str">
        <f>IFERROR(__xludf.DUMMYFUNCTION("""COMPUTED_VALUE"""),"")</f>
        <v/>
      </c>
      <c r="AV67" s="122" t="str">
        <f>IFERROR(__xludf.DUMMYFUNCTION("""COMPUTED_VALUE"""),"")</f>
        <v/>
      </c>
      <c r="AW67" s="123">
        <f>IFERROR(__xludf.DUMMYFUNCTION("""COMPUTED_VALUE"""),113.5)</f>
        <v>113.5</v>
      </c>
      <c r="AX67" s="122" t="str">
        <f>IFERROR(__xludf.DUMMYFUNCTION("""COMPUTED_VALUE"""),"")</f>
        <v/>
      </c>
      <c r="AY67" s="122" t="str">
        <f>IFERROR(__xludf.DUMMYFUNCTION("""COMPUTED_VALUE"""),"")</f>
        <v/>
      </c>
      <c r="AZ67" s="123" t="str">
        <f>IFERROR(__xludf.DUMMYFUNCTION("""COMPUTED_VALUE"""),"")</f>
        <v/>
      </c>
      <c r="BA67" s="122" t="str">
        <f>IFERROR(__xludf.DUMMYFUNCTION("""COMPUTED_VALUE"""),"")</f>
        <v/>
      </c>
      <c r="BB67" s="122" t="str">
        <f>IFERROR(__xludf.DUMMYFUNCTION("""COMPUTED_VALUE"""),"")</f>
        <v/>
      </c>
      <c r="BC67" s="123" t="str">
        <f>IFERROR(__xludf.DUMMYFUNCTION("""COMPUTED_VALUE"""),"")</f>
        <v/>
      </c>
      <c r="BD67" s="122" t="str">
        <f>IFERROR(__xludf.DUMMYFUNCTION("""COMPUTED_VALUE"""),"")</f>
        <v/>
      </c>
      <c r="BE67" s="122" t="str">
        <f>IFERROR(__xludf.DUMMYFUNCTION("""COMPUTED_VALUE"""),"")</f>
        <v/>
      </c>
      <c r="BF67" s="123" t="str">
        <f>IFERROR(__xludf.DUMMYFUNCTION("""COMPUTED_VALUE"""),"")</f>
        <v/>
      </c>
      <c r="BG67" s="121" t="str">
        <f>IFERROR(__xludf.DUMMYFUNCTION("""COMPUTED_VALUE"""),"")</f>
        <v/>
      </c>
      <c r="BH67" s="122" t="str">
        <f>IFERROR(__xludf.DUMMYFUNCTION("""COMPUTED_VALUE"""),"")</f>
        <v/>
      </c>
      <c r="BI67" s="123" t="str">
        <f>IFERROR(__xludf.DUMMYFUNCTION("""COMPUTED_VALUE"""),"")</f>
        <v/>
      </c>
      <c r="BJ67" s="122" t="str">
        <f>IFERROR(__xludf.DUMMYFUNCTION("""COMPUTED_VALUE"""),"")</f>
        <v/>
      </c>
      <c r="BK67" s="122" t="str">
        <f>IFERROR(__xludf.DUMMYFUNCTION("""COMPUTED_VALUE"""),"")</f>
        <v/>
      </c>
      <c r="BL67" s="123" t="str">
        <f>IFERROR(__xludf.DUMMYFUNCTION("""COMPUTED_VALUE"""),"")</f>
        <v/>
      </c>
      <c r="BM67" s="122" t="str">
        <f>IFERROR(__xludf.DUMMYFUNCTION("""COMPUTED_VALUE"""),"")</f>
        <v/>
      </c>
      <c r="BN67" s="122" t="str">
        <f>IFERROR(__xludf.DUMMYFUNCTION("""COMPUTED_VALUE"""),"")</f>
        <v/>
      </c>
      <c r="BO67" s="123" t="str">
        <f>IFERROR(__xludf.DUMMYFUNCTION("""COMPUTED_VALUE"""),"")</f>
        <v/>
      </c>
      <c r="BP67" s="122" t="str">
        <f>IFERROR(__xludf.DUMMYFUNCTION("""COMPUTED_VALUE"""),"")</f>
        <v/>
      </c>
      <c r="BQ67" s="122">
        <f>IFERROR(__xludf.DUMMYFUNCTION("""COMPUTED_VALUE"""),64.5)</f>
        <v>64.5</v>
      </c>
      <c r="BR67" s="123">
        <f>IFERROR(__xludf.DUMMYFUNCTION("""COMPUTED_VALUE"""),64.5)</f>
        <v>64.5</v>
      </c>
      <c r="BS67" s="122">
        <f>IFERROR(__xludf.DUMMYFUNCTION("""COMPUTED_VALUE"""),104.1)</f>
        <v>104.1</v>
      </c>
      <c r="BT67" s="122" t="str">
        <f>IFERROR(__xludf.DUMMYFUNCTION("""COMPUTED_VALUE"""),"")</f>
        <v/>
      </c>
      <c r="BU67" s="123" t="str">
        <f>IFERROR(__xludf.DUMMYFUNCTION("""COMPUTED_VALUE"""),"")</f>
        <v/>
      </c>
      <c r="BV67" s="122" t="str">
        <f>IFERROR(__xludf.DUMMYFUNCTION("""COMPUTED_VALUE"""),"")</f>
        <v/>
      </c>
      <c r="BW67" s="122" t="str">
        <f>IFERROR(__xludf.DUMMYFUNCTION("""COMPUTED_VALUE"""),"")</f>
        <v/>
      </c>
      <c r="BX67" s="123" t="str">
        <f>IFERROR(__xludf.DUMMYFUNCTION("""COMPUTED_VALUE"""),"")</f>
        <v/>
      </c>
      <c r="BY67" s="122" t="str">
        <f>IFERROR(__xludf.DUMMYFUNCTION("""COMPUTED_VALUE"""),"")</f>
        <v/>
      </c>
      <c r="BZ67" s="122" t="str">
        <f>IFERROR(__xludf.DUMMYFUNCTION("""COMPUTED_VALUE"""),"")</f>
        <v/>
      </c>
      <c r="CA67" s="123" t="str">
        <f>IFERROR(__xludf.DUMMYFUNCTION("""COMPUTED_VALUE"""),"")</f>
        <v/>
      </c>
      <c r="CB67" s="121" t="str">
        <f>IFERROR(__xludf.DUMMYFUNCTION("""COMPUTED_VALUE"""),"")</f>
        <v/>
      </c>
      <c r="CC67" s="122" t="str">
        <f>IFERROR(__xludf.DUMMYFUNCTION("""COMPUTED_VALUE"""),"")</f>
        <v/>
      </c>
      <c r="CD67" s="123" t="str">
        <f>IFERROR(__xludf.DUMMYFUNCTION("""COMPUTED_VALUE"""),"")</f>
        <v/>
      </c>
      <c r="CE67" s="122" t="str">
        <f>IFERROR(__xludf.DUMMYFUNCTION("""COMPUTED_VALUE"""),"")</f>
        <v/>
      </c>
      <c r="CF67" s="122" t="str">
        <f>IFERROR(__xludf.DUMMYFUNCTION("""COMPUTED_VALUE"""),"")</f>
        <v/>
      </c>
      <c r="CG67" s="123" t="str">
        <f>IFERROR(__xludf.DUMMYFUNCTION("""COMPUTED_VALUE"""),"")</f>
        <v/>
      </c>
      <c r="CH67" s="122" t="str">
        <f>IFERROR(__xludf.DUMMYFUNCTION("""COMPUTED_VALUE"""),"")</f>
        <v/>
      </c>
      <c r="CI67" s="122" t="str">
        <f>IFERROR(__xludf.DUMMYFUNCTION("""COMPUTED_VALUE"""),"")</f>
        <v/>
      </c>
      <c r="CJ67" s="123" t="str">
        <f>IFERROR(__xludf.DUMMYFUNCTION("""COMPUTED_VALUE"""),"")</f>
        <v/>
      </c>
      <c r="CK67" s="122">
        <f>IFERROR(__xludf.DUMMYFUNCTION("""COMPUTED_VALUE"""),92.5)</f>
        <v>92.5</v>
      </c>
      <c r="CL67" s="122" t="str">
        <f>IFERROR(__xludf.DUMMYFUNCTION("""COMPUTED_VALUE"""),"")</f>
        <v/>
      </c>
      <c r="CM67" s="123" t="str">
        <f>IFERROR(__xludf.DUMMYFUNCTION("""COMPUTED_VALUE"""),"")</f>
        <v/>
      </c>
      <c r="CN67" s="122" t="str">
        <f>IFERROR(__xludf.DUMMYFUNCTION("""COMPUTED_VALUE"""),"")</f>
        <v/>
      </c>
      <c r="CO67" s="122" t="str">
        <f>IFERROR(__xludf.DUMMYFUNCTION("""COMPUTED_VALUE"""),"")</f>
        <v/>
      </c>
      <c r="CP67" s="123" t="str">
        <f>IFERROR(__xludf.DUMMYFUNCTION("""COMPUTED_VALUE"""),"")</f>
        <v/>
      </c>
      <c r="CQ67" s="122" t="str">
        <f>IFERROR(__xludf.DUMMYFUNCTION("""COMPUTED_VALUE"""),"")</f>
        <v/>
      </c>
      <c r="CR67" s="122" t="str">
        <f>IFERROR(__xludf.DUMMYFUNCTION("""COMPUTED_VALUE"""),"")</f>
        <v/>
      </c>
      <c r="CS67" s="123"/>
      <c r="CT67" s="122"/>
      <c r="CU67" s="122"/>
      <c r="CV67" s="123"/>
      <c r="CW67" s="122"/>
      <c r="CX67" s="122"/>
      <c r="CY67" s="123"/>
      <c r="CZ67" s="122"/>
      <c r="DA67" s="122"/>
      <c r="DB67" s="123"/>
      <c r="DC67" s="122"/>
      <c r="DD67" s="122"/>
      <c r="DE67" s="123"/>
      <c r="DF67" s="122"/>
      <c r="DG67" s="122"/>
      <c r="DH67" s="123"/>
      <c r="DI67" s="122"/>
      <c r="DJ67" s="122"/>
      <c r="DK67" s="123"/>
      <c r="DL67" s="122"/>
      <c r="DM67" s="122"/>
      <c r="DN67" s="123"/>
      <c r="DO67" s="122"/>
      <c r="DP67" s="122"/>
      <c r="DQ67" s="123"/>
      <c r="DR67" s="122"/>
      <c r="DS67" s="122"/>
      <c r="DT67" s="123"/>
    </row>
    <row r="68">
      <c r="B68" s="120" t="str">
        <f>IFERROR(__xludf.DUMMYFUNCTION("""COMPUTED_VALUE"""),"SEP2")</f>
        <v>SEP2</v>
      </c>
      <c r="C68" s="82">
        <f>IFERROR(__xludf.DUMMYFUNCTION("""COMPUTED_VALUE"""),53.0)</f>
        <v>53</v>
      </c>
      <c r="D68" s="88" t="str">
        <f>IFERROR(__xludf.DUMMYFUNCTION("""COMPUTED_VALUE"""),"Rome")</f>
        <v>Rome</v>
      </c>
      <c r="E68" s="82" t="str">
        <f>IFERROR(__xludf.DUMMYFUNCTION("""COMPUTED_VALUE"""),"ローマ")</f>
        <v>ローマ</v>
      </c>
      <c r="F68" s="102">
        <f>IFERROR(__xludf.DUMMYFUNCTION("""COMPUTED_VALUE"""),9.0)</f>
        <v>9</v>
      </c>
      <c r="G68" s="82">
        <f>IFERROR(__xludf.DUMMYFUNCTION("""COMPUTED_VALUE"""),1797.0)</f>
        <v>1797</v>
      </c>
      <c r="H68" s="95" t="str">
        <f>IFERROR(__xludf.DUMMYFUNCTION("""COMPUTED_VALUE"""),"")</f>
        <v/>
      </c>
      <c r="I68" s="96" t="str">
        <f>IFERROR(__xludf.DUMMYFUNCTION("""COMPUTED_VALUE"""),"")</f>
        <v/>
      </c>
      <c r="J68" s="97" t="str">
        <f>IFERROR(__xludf.DUMMYFUNCTION("""COMPUTED_VALUE"""),"")</f>
        <v/>
      </c>
      <c r="K68" s="95" t="str">
        <f>IFERROR(__xludf.DUMMYFUNCTION("""COMPUTED_VALUE"""),"")</f>
        <v/>
      </c>
      <c r="L68" s="96" t="str">
        <f>IFERROR(__xludf.DUMMYFUNCTION("""COMPUTED_VALUE"""),"")</f>
        <v/>
      </c>
      <c r="M68" s="97" t="str">
        <f>IFERROR(__xludf.DUMMYFUNCTION("""COMPUTED_VALUE"""),"")</f>
        <v/>
      </c>
      <c r="N68" s="95" t="str">
        <f>IFERROR(__xludf.DUMMYFUNCTION("""COMPUTED_VALUE"""),"")</f>
        <v/>
      </c>
      <c r="O68" s="96" t="str">
        <f>IFERROR(__xludf.DUMMYFUNCTION("""COMPUTED_VALUE"""),"")</f>
        <v/>
      </c>
      <c r="P68" s="97" t="str">
        <f>IFERROR(__xludf.DUMMYFUNCTION("""COMPUTED_VALUE"""),"")</f>
        <v/>
      </c>
      <c r="Q68" s="95" t="str">
        <f>IFERROR(__xludf.DUMMYFUNCTION("""COMPUTED_VALUE"""),"")</f>
        <v/>
      </c>
      <c r="R68" s="96" t="str">
        <f>IFERROR(__xludf.DUMMYFUNCTION("""COMPUTED_VALUE"""),"")</f>
        <v/>
      </c>
      <c r="S68" s="97" t="str">
        <f>IFERROR(__xludf.DUMMYFUNCTION("""COMPUTED_VALUE"""),"")</f>
        <v/>
      </c>
      <c r="T68" s="95" t="str">
        <f>IFERROR(__xludf.DUMMYFUNCTION("""COMPUTED_VALUE"""),"")</f>
        <v/>
      </c>
      <c r="U68" s="96" t="str">
        <f>IFERROR(__xludf.DUMMYFUNCTION("""COMPUTED_VALUE"""),"")</f>
        <v/>
      </c>
      <c r="V68" s="97" t="str">
        <f>IFERROR(__xludf.DUMMYFUNCTION("""COMPUTED_VALUE"""),"")</f>
        <v/>
      </c>
      <c r="W68" s="95" t="str">
        <f>IFERROR(__xludf.DUMMYFUNCTION("""COMPUTED_VALUE"""),"")</f>
        <v/>
      </c>
      <c r="X68" s="96" t="str">
        <f>IFERROR(__xludf.DUMMYFUNCTION("""COMPUTED_VALUE"""),"")</f>
        <v/>
      </c>
      <c r="Y68" s="97" t="str">
        <f>IFERROR(__xludf.DUMMYFUNCTION("""COMPUTED_VALUE"""),"")</f>
        <v/>
      </c>
      <c r="Z68" s="95" t="str">
        <f>IFERROR(__xludf.DUMMYFUNCTION("""COMPUTED_VALUE"""),"")</f>
        <v/>
      </c>
      <c r="AA68" s="96" t="str">
        <f>IFERROR(__xludf.DUMMYFUNCTION("""COMPUTED_VALUE"""),"")</f>
        <v/>
      </c>
      <c r="AB68" s="97" t="str">
        <f>IFERROR(__xludf.DUMMYFUNCTION("""COMPUTED_VALUE"""),"")</f>
        <v/>
      </c>
      <c r="AC68" s="95" t="str">
        <f>IFERROR(__xludf.DUMMYFUNCTION("""COMPUTED_VALUE"""),"")</f>
        <v/>
      </c>
      <c r="AD68" s="96" t="str">
        <f>IFERROR(__xludf.DUMMYFUNCTION("""COMPUTED_VALUE"""),"")</f>
        <v/>
      </c>
      <c r="AE68" s="97" t="str">
        <f>IFERROR(__xludf.DUMMYFUNCTION("""COMPUTED_VALUE"""),"")</f>
        <v/>
      </c>
      <c r="AF68" s="95" t="str">
        <f>IFERROR(__xludf.DUMMYFUNCTION("""COMPUTED_VALUE"""),"")</f>
        <v/>
      </c>
      <c r="AG68" s="96" t="str">
        <f>IFERROR(__xludf.DUMMYFUNCTION("""COMPUTED_VALUE"""),"")</f>
        <v/>
      </c>
      <c r="AH68" s="97" t="str">
        <f>IFERROR(__xludf.DUMMYFUNCTION("""COMPUTED_VALUE"""),"")</f>
        <v/>
      </c>
      <c r="AI68" s="92" t="str">
        <f>IFERROR(__xludf.DUMMYFUNCTION("""COMPUTED_VALUE"""),"")</f>
        <v/>
      </c>
      <c r="AJ68" s="93" t="str">
        <f>IFERROR(__xludf.DUMMYFUNCTION("""COMPUTED_VALUE"""),"")</f>
        <v/>
      </c>
      <c r="AK68" s="94" t="str">
        <f>IFERROR(__xludf.DUMMYFUNCTION("""COMPUTED_VALUE"""),"")</f>
        <v/>
      </c>
      <c r="AL68" s="93" t="str">
        <f>IFERROR(__xludf.DUMMYFUNCTION("""COMPUTED_VALUE"""),"")</f>
        <v/>
      </c>
      <c r="AM68" s="93" t="str">
        <f>IFERROR(__xludf.DUMMYFUNCTION("""COMPUTED_VALUE"""),"")</f>
        <v/>
      </c>
      <c r="AN68" s="94" t="str">
        <f>IFERROR(__xludf.DUMMYFUNCTION("""COMPUTED_VALUE"""),"")</f>
        <v/>
      </c>
      <c r="AO68" s="93" t="str">
        <f>IFERROR(__xludf.DUMMYFUNCTION("""COMPUTED_VALUE"""),"")</f>
        <v/>
      </c>
      <c r="AP68" s="93" t="str">
        <f>IFERROR(__xludf.DUMMYFUNCTION("""COMPUTED_VALUE"""),"")</f>
        <v/>
      </c>
      <c r="AQ68" s="94" t="str">
        <f>IFERROR(__xludf.DUMMYFUNCTION("""COMPUTED_VALUE"""),"")</f>
        <v/>
      </c>
      <c r="AR68" s="93" t="str">
        <f>IFERROR(__xludf.DUMMYFUNCTION("""COMPUTED_VALUE"""),"")</f>
        <v/>
      </c>
      <c r="AS68" s="93" t="str">
        <f>IFERROR(__xludf.DUMMYFUNCTION("""COMPUTED_VALUE"""),"")</f>
        <v/>
      </c>
      <c r="AT68" s="94">
        <f>IFERROR(__xludf.DUMMYFUNCTION("""COMPUTED_VALUE"""),39.5)</f>
        <v>39.5</v>
      </c>
      <c r="AU68" s="93" t="str">
        <f>IFERROR(__xludf.DUMMYFUNCTION("""COMPUTED_VALUE"""),"")</f>
        <v/>
      </c>
      <c r="AV68" s="93" t="str">
        <f>IFERROR(__xludf.DUMMYFUNCTION("""COMPUTED_VALUE"""),"")</f>
        <v/>
      </c>
      <c r="AW68" s="94" t="str">
        <f>IFERROR(__xludf.DUMMYFUNCTION("""COMPUTED_VALUE"""),"")</f>
        <v/>
      </c>
      <c r="AX68" s="93" t="str">
        <f>IFERROR(__xludf.DUMMYFUNCTION("""COMPUTED_VALUE"""),"")</f>
        <v/>
      </c>
      <c r="AY68" s="93" t="str">
        <f>IFERROR(__xludf.DUMMYFUNCTION("""COMPUTED_VALUE"""),"")</f>
        <v/>
      </c>
      <c r="AZ68" s="94" t="str">
        <f>IFERROR(__xludf.DUMMYFUNCTION("""COMPUTED_VALUE"""),"")</f>
        <v/>
      </c>
      <c r="BA68" s="93" t="str">
        <f>IFERROR(__xludf.DUMMYFUNCTION("""COMPUTED_VALUE"""),"")</f>
        <v/>
      </c>
      <c r="BB68" s="93" t="str">
        <f>IFERROR(__xludf.DUMMYFUNCTION("""COMPUTED_VALUE"""),"")</f>
        <v/>
      </c>
      <c r="BC68" s="94" t="str">
        <f>IFERROR(__xludf.DUMMYFUNCTION("""COMPUTED_VALUE"""),"")</f>
        <v/>
      </c>
      <c r="BD68" s="93" t="str">
        <f>IFERROR(__xludf.DUMMYFUNCTION("""COMPUTED_VALUE"""),"")</f>
        <v/>
      </c>
      <c r="BE68" s="93" t="str">
        <f>IFERROR(__xludf.DUMMYFUNCTION("""COMPUTED_VALUE"""),"")</f>
        <v/>
      </c>
      <c r="BF68" s="94" t="str">
        <f>IFERROR(__xludf.DUMMYFUNCTION("""COMPUTED_VALUE"""),"")</f>
        <v/>
      </c>
      <c r="BG68" s="92" t="str">
        <f>IFERROR(__xludf.DUMMYFUNCTION("""COMPUTED_VALUE"""),"")</f>
        <v/>
      </c>
      <c r="BH68" s="93" t="str">
        <f>IFERROR(__xludf.DUMMYFUNCTION("""COMPUTED_VALUE"""),"")</f>
        <v/>
      </c>
      <c r="BI68" s="94" t="str">
        <f>IFERROR(__xludf.DUMMYFUNCTION("""COMPUTED_VALUE"""),"")</f>
        <v/>
      </c>
      <c r="BJ68" s="93" t="str">
        <f>IFERROR(__xludf.DUMMYFUNCTION("""COMPUTED_VALUE"""),"")</f>
        <v/>
      </c>
      <c r="BK68" s="93" t="str">
        <f>IFERROR(__xludf.DUMMYFUNCTION("""COMPUTED_VALUE"""),"")</f>
        <v/>
      </c>
      <c r="BL68" s="94" t="str">
        <f>IFERROR(__xludf.DUMMYFUNCTION("""COMPUTED_VALUE"""),"")</f>
        <v/>
      </c>
      <c r="BM68" s="93" t="str">
        <f>IFERROR(__xludf.DUMMYFUNCTION("""COMPUTED_VALUE"""),"")</f>
        <v/>
      </c>
      <c r="BN68" s="93" t="str">
        <f>IFERROR(__xludf.DUMMYFUNCTION("""COMPUTED_VALUE"""),"")</f>
        <v/>
      </c>
      <c r="BO68" s="94" t="str">
        <f>IFERROR(__xludf.DUMMYFUNCTION("""COMPUTED_VALUE"""),"")</f>
        <v/>
      </c>
      <c r="BP68" s="93" t="str">
        <f>IFERROR(__xludf.DUMMYFUNCTION("""COMPUTED_VALUE"""),"")</f>
        <v/>
      </c>
      <c r="BQ68" s="93">
        <f>IFERROR(__xludf.DUMMYFUNCTION("""COMPUTED_VALUE"""),36.6)</f>
        <v>36.6</v>
      </c>
      <c r="BR68" s="94" t="str">
        <f>IFERROR(__xludf.DUMMYFUNCTION("""COMPUTED_VALUE"""),"")</f>
        <v/>
      </c>
      <c r="BS68" s="93">
        <f>IFERROR(__xludf.DUMMYFUNCTION("""COMPUTED_VALUE"""),84.2)</f>
        <v>84.2</v>
      </c>
      <c r="BT68" s="93" t="str">
        <f>IFERROR(__xludf.DUMMYFUNCTION("""COMPUTED_VALUE"""),"")</f>
        <v/>
      </c>
      <c r="BU68" s="94" t="str">
        <f>IFERROR(__xludf.DUMMYFUNCTION("""COMPUTED_VALUE"""),"")</f>
        <v/>
      </c>
      <c r="BV68" s="93" t="str">
        <f>IFERROR(__xludf.DUMMYFUNCTION("""COMPUTED_VALUE"""),"")</f>
        <v/>
      </c>
      <c r="BW68" s="93" t="str">
        <f>IFERROR(__xludf.DUMMYFUNCTION("""COMPUTED_VALUE"""),"")</f>
        <v/>
      </c>
      <c r="BX68" s="94" t="str">
        <f>IFERROR(__xludf.DUMMYFUNCTION("""COMPUTED_VALUE"""),"")</f>
        <v/>
      </c>
      <c r="BY68" s="93" t="str">
        <f>IFERROR(__xludf.DUMMYFUNCTION("""COMPUTED_VALUE"""),"")</f>
        <v/>
      </c>
      <c r="BZ68" s="93" t="str">
        <f>IFERROR(__xludf.DUMMYFUNCTION("""COMPUTED_VALUE"""),"")</f>
        <v/>
      </c>
      <c r="CA68" s="94" t="str">
        <f>IFERROR(__xludf.DUMMYFUNCTION("""COMPUTED_VALUE"""),"")</f>
        <v/>
      </c>
      <c r="CB68" s="92" t="str">
        <f>IFERROR(__xludf.DUMMYFUNCTION("""COMPUTED_VALUE"""),"")</f>
        <v/>
      </c>
      <c r="CC68" s="93" t="str">
        <f>IFERROR(__xludf.DUMMYFUNCTION("""COMPUTED_VALUE"""),"")</f>
        <v/>
      </c>
      <c r="CD68" s="94" t="str">
        <f>IFERROR(__xludf.DUMMYFUNCTION("""COMPUTED_VALUE"""),"")</f>
        <v/>
      </c>
      <c r="CE68" s="93" t="str">
        <f>IFERROR(__xludf.DUMMYFUNCTION("""COMPUTED_VALUE"""),"")</f>
        <v/>
      </c>
      <c r="CF68" s="93" t="str">
        <f>IFERROR(__xludf.DUMMYFUNCTION("""COMPUTED_VALUE"""),"")</f>
        <v/>
      </c>
      <c r="CG68" s="94" t="str">
        <f>IFERROR(__xludf.DUMMYFUNCTION("""COMPUTED_VALUE"""),"")</f>
        <v/>
      </c>
      <c r="CH68" s="93" t="str">
        <f>IFERROR(__xludf.DUMMYFUNCTION("""COMPUTED_VALUE"""),"")</f>
        <v/>
      </c>
      <c r="CI68" s="93" t="str">
        <f>IFERROR(__xludf.DUMMYFUNCTION("""COMPUTED_VALUE"""),"")</f>
        <v/>
      </c>
      <c r="CJ68" s="94" t="str">
        <f>IFERROR(__xludf.DUMMYFUNCTION("""COMPUTED_VALUE"""),"")</f>
        <v/>
      </c>
      <c r="CK68" s="93" t="str">
        <f>IFERROR(__xludf.DUMMYFUNCTION("""COMPUTED_VALUE"""),"")</f>
        <v/>
      </c>
      <c r="CL68" s="93" t="str">
        <f>IFERROR(__xludf.DUMMYFUNCTION("""COMPUTED_VALUE"""),"")</f>
        <v/>
      </c>
      <c r="CM68" s="94" t="str">
        <f>IFERROR(__xludf.DUMMYFUNCTION("""COMPUTED_VALUE"""),"")</f>
        <v/>
      </c>
      <c r="CN68" s="93" t="str">
        <f>IFERROR(__xludf.DUMMYFUNCTION("""COMPUTED_VALUE"""),"")</f>
        <v/>
      </c>
      <c r="CO68" s="93" t="str">
        <f>IFERROR(__xludf.DUMMYFUNCTION("""COMPUTED_VALUE"""),"")</f>
        <v/>
      </c>
      <c r="CP68" s="94" t="str">
        <f>IFERROR(__xludf.DUMMYFUNCTION("""COMPUTED_VALUE"""),"")</f>
        <v/>
      </c>
      <c r="CQ68" s="93" t="str">
        <f>IFERROR(__xludf.DUMMYFUNCTION("""COMPUTED_VALUE"""),"")</f>
        <v/>
      </c>
      <c r="CR68" s="93" t="str">
        <f>IFERROR(__xludf.DUMMYFUNCTION("""COMPUTED_VALUE"""),"")</f>
        <v/>
      </c>
      <c r="CS68" s="94"/>
      <c r="CT68" s="93"/>
      <c r="CU68" s="93"/>
      <c r="CV68" s="94"/>
      <c r="CW68" s="93"/>
      <c r="CX68" s="93"/>
      <c r="CY68" s="94"/>
      <c r="CZ68" s="93"/>
      <c r="DA68" s="93"/>
      <c r="DB68" s="94"/>
      <c r="DC68" s="93"/>
      <c r="DD68" s="93"/>
      <c r="DE68" s="94"/>
      <c r="DF68" s="93"/>
      <c r="DG68" s="93"/>
      <c r="DH68" s="94"/>
      <c r="DI68" s="93"/>
      <c r="DJ68" s="93"/>
      <c r="DK68" s="94"/>
      <c r="DL68" s="93"/>
      <c r="DM68" s="93"/>
      <c r="DN68" s="94"/>
      <c r="DO68" s="93"/>
      <c r="DP68" s="93"/>
      <c r="DQ68" s="94"/>
      <c r="DR68" s="93"/>
      <c r="DS68" s="93"/>
      <c r="DT68" s="94"/>
    </row>
    <row r="69">
      <c r="B69" s="120" t="str">
        <f>IFERROR(__xludf.DUMMYFUNCTION("""COMPUTED_VALUE"""),"SEP3")</f>
        <v>SEP3</v>
      </c>
      <c r="C69" s="82">
        <f>IFERROR(__xludf.DUMMYFUNCTION("""COMPUTED_VALUE"""),54.0)</f>
        <v>54</v>
      </c>
      <c r="D69" s="88" t="str">
        <f>IFERROR(__xludf.DUMMYFUNCTION("""COMPUTED_VALUE"""),"Mt. Etna")</f>
        <v>Mt. Etna</v>
      </c>
      <c r="E69" s="82" t="str">
        <f>IFERROR(__xludf.DUMMYFUNCTION("""COMPUTED_VALUE"""),"エトナ火山")</f>
        <v>エトナ火山</v>
      </c>
      <c r="F69" s="102">
        <f>IFERROR(__xludf.DUMMYFUNCTION("""COMPUTED_VALUE"""),9.0)</f>
        <v>9</v>
      </c>
      <c r="G69" s="82">
        <f>IFERROR(__xludf.DUMMYFUNCTION("""COMPUTED_VALUE"""),1102.0)</f>
        <v>1102</v>
      </c>
      <c r="H69" s="95" t="str">
        <f>IFERROR(__xludf.DUMMYFUNCTION("""COMPUTED_VALUE"""),"")</f>
        <v/>
      </c>
      <c r="I69" s="96" t="str">
        <f>IFERROR(__xludf.DUMMYFUNCTION("""COMPUTED_VALUE"""),"")</f>
        <v/>
      </c>
      <c r="J69" s="97" t="str">
        <f>IFERROR(__xludf.DUMMYFUNCTION("""COMPUTED_VALUE"""),"")</f>
        <v/>
      </c>
      <c r="K69" s="95" t="str">
        <f>IFERROR(__xludf.DUMMYFUNCTION("""COMPUTED_VALUE"""),"")</f>
        <v/>
      </c>
      <c r="L69" s="96" t="str">
        <f>IFERROR(__xludf.DUMMYFUNCTION("""COMPUTED_VALUE"""),"")</f>
        <v/>
      </c>
      <c r="M69" s="97" t="str">
        <f>IFERROR(__xludf.DUMMYFUNCTION("""COMPUTED_VALUE"""),"")</f>
        <v/>
      </c>
      <c r="N69" s="95" t="str">
        <f>IFERROR(__xludf.DUMMYFUNCTION("""COMPUTED_VALUE"""),"")</f>
        <v/>
      </c>
      <c r="O69" s="96" t="str">
        <f>IFERROR(__xludf.DUMMYFUNCTION("""COMPUTED_VALUE"""),"")</f>
        <v/>
      </c>
      <c r="P69" s="97" t="str">
        <f>IFERROR(__xludf.DUMMYFUNCTION("""COMPUTED_VALUE"""),"")</f>
        <v/>
      </c>
      <c r="Q69" s="95" t="str">
        <f>IFERROR(__xludf.DUMMYFUNCTION("""COMPUTED_VALUE"""),"")</f>
        <v/>
      </c>
      <c r="R69" s="96" t="str">
        <f>IFERROR(__xludf.DUMMYFUNCTION("""COMPUTED_VALUE"""),"")</f>
        <v/>
      </c>
      <c r="S69" s="97" t="str">
        <f>IFERROR(__xludf.DUMMYFUNCTION("""COMPUTED_VALUE"""),"")</f>
        <v/>
      </c>
      <c r="T69" s="95" t="str">
        <f>IFERROR(__xludf.DUMMYFUNCTION("""COMPUTED_VALUE"""),"")</f>
        <v/>
      </c>
      <c r="U69" s="96" t="str">
        <f>IFERROR(__xludf.DUMMYFUNCTION("""COMPUTED_VALUE"""),"")</f>
        <v/>
      </c>
      <c r="V69" s="97" t="str">
        <f>IFERROR(__xludf.DUMMYFUNCTION("""COMPUTED_VALUE"""),"")</f>
        <v/>
      </c>
      <c r="W69" s="95" t="str">
        <f>IFERROR(__xludf.DUMMYFUNCTION("""COMPUTED_VALUE"""),"")</f>
        <v/>
      </c>
      <c r="X69" s="96" t="str">
        <f>IFERROR(__xludf.DUMMYFUNCTION("""COMPUTED_VALUE"""),"")</f>
        <v/>
      </c>
      <c r="Y69" s="97" t="str">
        <f>IFERROR(__xludf.DUMMYFUNCTION("""COMPUTED_VALUE"""),"")</f>
        <v/>
      </c>
      <c r="Z69" s="95" t="str">
        <f>IFERROR(__xludf.DUMMYFUNCTION("""COMPUTED_VALUE"""),"")</f>
        <v/>
      </c>
      <c r="AA69" s="96">
        <f>IFERROR(__xludf.DUMMYFUNCTION("""COMPUTED_VALUE"""),110.2)</f>
        <v>110.2</v>
      </c>
      <c r="AB69" s="97" t="str">
        <f>IFERROR(__xludf.DUMMYFUNCTION("""COMPUTED_VALUE"""),"")</f>
        <v/>
      </c>
      <c r="AC69" s="95" t="str">
        <f>IFERROR(__xludf.DUMMYFUNCTION("""COMPUTED_VALUE"""),"")</f>
        <v/>
      </c>
      <c r="AD69" s="96" t="str">
        <f>IFERROR(__xludf.DUMMYFUNCTION("""COMPUTED_VALUE"""),"")</f>
        <v/>
      </c>
      <c r="AE69" s="97" t="str">
        <f>IFERROR(__xludf.DUMMYFUNCTION("""COMPUTED_VALUE"""),"")</f>
        <v/>
      </c>
      <c r="AF69" s="95" t="str">
        <f>IFERROR(__xludf.DUMMYFUNCTION("""COMPUTED_VALUE"""),"")</f>
        <v/>
      </c>
      <c r="AG69" s="96" t="str">
        <f>IFERROR(__xludf.DUMMYFUNCTION("""COMPUTED_VALUE"""),"")</f>
        <v/>
      </c>
      <c r="AH69" s="97" t="str">
        <f>IFERROR(__xludf.DUMMYFUNCTION("""COMPUTED_VALUE"""),"")</f>
        <v/>
      </c>
      <c r="AI69" s="121" t="str">
        <f>IFERROR(__xludf.DUMMYFUNCTION("""COMPUTED_VALUE"""),"")</f>
        <v/>
      </c>
      <c r="AJ69" s="122" t="str">
        <f>IFERROR(__xludf.DUMMYFUNCTION("""COMPUTED_VALUE"""),"")</f>
        <v/>
      </c>
      <c r="AK69" s="123" t="str">
        <f>IFERROR(__xludf.DUMMYFUNCTION("""COMPUTED_VALUE"""),"")</f>
        <v/>
      </c>
      <c r="AL69" s="122" t="str">
        <f>IFERROR(__xludf.DUMMYFUNCTION("""COMPUTED_VALUE"""),"")</f>
        <v/>
      </c>
      <c r="AM69" s="122" t="str">
        <f>IFERROR(__xludf.DUMMYFUNCTION("""COMPUTED_VALUE"""),"")</f>
        <v/>
      </c>
      <c r="AN69" s="123" t="str">
        <f>IFERROR(__xludf.DUMMYFUNCTION("""COMPUTED_VALUE"""),"")</f>
        <v/>
      </c>
      <c r="AO69" s="122" t="str">
        <f>IFERROR(__xludf.DUMMYFUNCTION("""COMPUTED_VALUE"""),"")</f>
        <v/>
      </c>
      <c r="AP69" s="122" t="str">
        <f>IFERROR(__xludf.DUMMYFUNCTION("""COMPUTED_VALUE"""),"")</f>
        <v/>
      </c>
      <c r="AQ69" s="123" t="str">
        <f>IFERROR(__xludf.DUMMYFUNCTION("""COMPUTED_VALUE"""),"")</f>
        <v/>
      </c>
      <c r="AR69" s="122" t="str">
        <f>IFERROR(__xludf.DUMMYFUNCTION("""COMPUTED_VALUE"""),"")</f>
        <v/>
      </c>
      <c r="AS69" s="122" t="str">
        <f>IFERROR(__xludf.DUMMYFUNCTION("""COMPUTED_VALUE"""),"")</f>
        <v/>
      </c>
      <c r="AT69" s="123" t="str">
        <f>IFERROR(__xludf.DUMMYFUNCTION("""COMPUTED_VALUE"""),"")</f>
        <v/>
      </c>
      <c r="AU69" s="122" t="str">
        <f>IFERROR(__xludf.DUMMYFUNCTION("""COMPUTED_VALUE"""),"")</f>
        <v/>
      </c>
      <c r="AV69" s="122" t="str">
        <f>IFERROR(__xludf.DUMMYFUNCTION("""COMPUTED_VALUE"""),"")</f>
        <v/>
      </c>
      <c r="AW69" s="123" t="str">
        <f>IFERROR(__xludf.DUMMYFUNCTION("""COMPUTED_VALUE"""),"")</f>
        <v/>
      </c>
      <c r="AX69" s="122" t="str">
        <f>IFERROR(__xludf.DUMMYFUNCTION("""COMPUTED_VALUE"""),"")</f>
        <v/>
      </c>
      <c r="AY69" s="122" t="str">
        <f>IFERROR(__xludf.DUMMYFUNCTION("""COMPUTED_VALUE"""),"")</f>
        <v/>
      </c>
      <c r="AZ69" s="123" t="str">
        <f>IFERROR(__xludf.DUMMYFUNCTION("""COMPUTED_VALUE"""),"")</f>
        <v/>
      </c>
      <c r="BA69" s="122" t="str">
        <f>IFERROR(__xludf.DUMMYFUNCTION("""COMPUTED_VALUE"""),"")</f>
        <v/>
      </c>
      <c r="BB69" s="122" t="str">
        <f>IFERROR(__xludf.DUMMYFUNCTION("""COMPUTED_VALUE"""),"")</f>
        <v/>
      </c>
      <c r="BC69" s="123" t="str">
        <f>IFERROR(__xludf.DUMMYFUNCTION("""COMPUTED_VALUE"""),"")</f>
        <v/>
      </c>
      <c r="BD69" s="122" t="str">
        <f>IFERROR(__xludf.DUMMYFUNCTION("""COMPUTED_VALUE"""),"")</f>
        <v/>
      </c>
      <c r="BE69" s="122" t="str">
        <f>IFERROR(__xludf.DUMMYFUNCTION("""COMPUTED_VALUE"""),"")</f>
        <v/>
      </c>
      <c r="BF69" s="123" t="str">
        <f>IFERROR(__xludf.DUMMYFUNCTION("""COMPUTED_VALUE"""),"")</f>
        <v/>
      </c>
      <c r="BG69" s="121" t="str">
        <f>IFERROR(__xludf.DUMMYFUNCTION("""COMPUTED_VALUE"""),"")</f>
        <v/>
      </c>
      <c r="BH69" s="122" t="str">
        <f>IFERROR(__xludf.DUMMYFUNCTION("""COMPUTED_VALUE"""),"")</f>
        <v/>
      </c>
      <c r="BI69" s="123" t="str">
        <f>IFERROR(__xludf.DUMMYFUNCTION("""COMPUTED_VALUE"""),"")</f>
        <v/>
      </c>
      <c r="BJ69" s="122" t="str">
        <f>IFERROR(__xludf.DUMMYFUNCTION("""COMPUTED_VALUE"""),"")</f>
        <v/>
      </c>
      <c r="BK69" s="122" t="str">
        <f>IFERROR(__xludf.DUMMYFUNCTION("""COMPUTED_VALUE"""),"")</f>
        <v/>
      </c>
      <c r="BL69" s="123" t="str">
        <f>IFERROR(__xludf.DUMMYFUNCTION("""COMPUTED_VALUE"""),"")</f>
        <v/>
      </c>
      <c r="BM69" s="122" t="str">
        <f>IFERROR(__xludf.DUMMYFUNCTION("""COMPUTED_VALUE"""),"")</f>
        <v/>
      </c>
      <c r="BN69" s="122" t="str">
        <f>IFERROR(__xludf.DUMMYFUNCTION("""COMPUTED_VALUE"""),"")</f>
        <v/>
      </c>
      <c r="BO69" s="123" t="str">
        <f>IFERROR(__xludf.DUMMYFUNCTION("""COMPUTED_VALUE"""),"")</f>
        <v/>
      </c>
      <c r="BP69" s="122" t="str">
        <f>IFERROR(__xludf.DUMMYFUNCTION("""COMPUTED_VALUE"""),"")</f>
        <v/>
      </c>
      <c r="BQ69" s="122" t="str">
        <f>IFERROR(__xludf.DUMMYFUNCTION("""COMPUTED_VALUE"""),"")</f>
        <v/>
      </c>
      <c r="BR69" s="123" t="str">
        <f>IFERROR(__xludf.DUMMYFUNCTION("""COMPUTED_VALUE"""),"")</f>
        <v/>
      </c>
      <c r="BS69" s="122" t="str">
        <f>IFERROR(__xludf.DUMMYFUNCTION("""COMPUTED_VALUE"""),"")</f>
        <v/>
      </c>
      <c r="BT69" s="122" t="str">
        <f>IFERROR(__xludf.DUMMYFUNCTION("""COMPUTED_VALUE"""),"")</f>
        <v/>
      </c>
      <c r="BU69" s="123" t="str">
        <f>IFERROR(__xludf.DUMMYFUNCTION("""COMPUTED_VALUE"""),"")</f>
        <v/>
      </c>
      <c r="BV69" s="122">
        <f>IFERROR(__xludf.DUMMYFUNCTION("""COMPUTED_VALUE"""),26.9)</f>
        <v>26.9</v>
      </c>
      <c r="BW69" s="122" t="str">
        <f>IFERROR(__xludf.DUMMYFUNCTION("""COMPUTED_VALUE"""),"")</f>
        <v/>
      </c>
      <c r="BX69" s="123" t="str">
        <f>IFERROR(__xludf.DUMMYFUNCTION("""COMPUTED_VALUE"""),"")</f>
        <v/>
      </c>
      <c r="BY69" s="122" t="str">
        <f>IFERROR(__xludf.DUMMYFUNCTION("""COMPUTED_VALUE"""),"")</f>
        <v/>
      </c>
      <c r="BZ69" s="122" t="str">
        <f>IFERROR(__xludf.DUMMYFUNCTION("""COMPUTED_VALUE"""),"")</f>
        <v/>
      </c>
      <c r="CA69" s="123" t="str">
        <f>IFERROR(__xludf.DUMMYFUNCTION("""COMPUTED_VALUE"""),"")</f>
        <v/>
      </c>
      <c r="CB69" s="121" t="str">
        <f>IFERROR(__xludf.DUMMYFUNCTION("""COMPUTED_VALUE"""),"")</f>
        <v/>
      </c>
      <c r="CC69" s="122" t="str">
        <f>IFERROR(__xludf.DUMMYFUNCTION("""COMPUTED_VALUE"""),"")</f>
        <v/>
      </c>
      <c r="CD69" s="123" t="str">
        <f>IFERROR(__xludf.DUMMYFUNCTION("""COMPUTED_VALUE"""),"")</f>
        <v/>
      </c>
      <c r="CE69" s="122" t="str">
        <f>IFERROR(__xludf.DUMMYFUNCTION("""COMPUTED_VALUE"""),"")</f>
        <v/>
      </c>
      <c r="CF69" s="122" t="str">
        <f>IFERROR(__xludf.DUMMYFUNCTION("""COMPUTED_VALUE"""),"")</f>
        <v/>
      </c>
      <c r="CG69" s="123" t="str">
        <f>IFERROR(__xludf.DUMMYFUNCTION("""COMPUTED_VALUE"""),"")</f>
        <v/>
      </c>
      <c r="CH69" s="122" t="str">
        <f>IFERROR(__xludf.DUMMYFUNCTION("""COMPUTED_VALUE"""),"")</f>
        <v/>
      </c>
      <c r="CI69" s="122" t="str">
        <f>IFERROR(__xludf.DUMMYFUNCTION("""COMPUTED_VALUE"""),"")</f>
        <v/>
      </c>
      <c r="CJ69" s="123" t="str">
        <f>IFERROR(__xludf.DUMMYFUNCTION("""COMPUTED_VALUE"""),"")</f>
        <v/>
      </c>
      <c r="CK69" s="122" t="str">
        <f>IFERROR(__xludf.DUMMYFUNCTION("""COMPUTED_VALUE"""),"")</f>
        <v/>
      </c>
      <c r="CL69" s="122" t="str">
        <f>IFERROR(__xludf.DUMMYFUNCTION("""COMPUTED_VALUE"""),"")</f>
        <v/>
      </c>
      <c r="CM69" s="123" t="str">
        <f>IFERROR(__xludf.DUMMYFUNCTION("""COMPUTED_VALUE"""),"")</f>
        <v/>
      </c>
      <c r="CN69" s="122" t="str">
        <f>IFERROR(__xludf.DUMMYFUNCTION("""COMPUTED_VALUE"""),"")</f>
        <v/>
      </c>
      <c r="CO69" s="122" t="str">
        <f>IFERROR(__xludf.DUMMYFUNCTION("""COMPUTED_VALUE"""),"")</f>
        <v/>
      </c>
      <c r="CP69" s="123" t="str">
        <f>IFERROR(__xludf.DUMMYFUNCTION("""COMPUTED_VALUE"""),"")</f>
        <v/>
      </c>
      <c r="CQ69" s="122" t="str">
        <f>IFERROR(__xludf.DUMMYFUNCTION("""COMPUTED_VALUE"""),"")</f>
        <v/>
      </c>
      <c r="CR69" s="122" t="str">
        <f>IFERROR(__xludf.DUMMYFUNCTION("""COMPUTED_VALUE"""),"")</f>
        <v/>
      </c>
      <c r="CS69" s="123"/>
      <c r="CT69" s="122"/>
      <c r="CU69" s="122"/>
      <c r="CV69" s="123"/>
      <c r="CW69" s="122"/>
      <c r="CX69" s="122"/>
      <c r="CY69" s="123"/>
      <c r="CZ69" s="122"/>
      <c r="DA69" s="122"/>
      <c r="DB69" s="123"/>
      <c r="DC69" s="122"/>
      <c r="DD69" s="122"/>
      <c r="DE69" s="123"/>
      <c r="DF69" s="122"/>
      <c r="DG69" s="122"/>
      <c r="DH69" s="123"/>
      <c r="DI69" s="122"/>
      <c r="DJ69" s="122"/>
      <c r="DK69" s="123"/>
      <c r="DL69" s="122"/>
      <c r="DM69" s="122"/>
      <c r="DN69" s="123"/>
      <c r="DO69" s="122"/>
      <c r="DP69" s="122"/>
      <c r="DQ69" s="123"/>
      <c r="DR69" s="122"/>
      <c r="DS69" s="122"/>
      <c r="DT69" s="123"/>
    </row>
    <row r="70">
      <c r="B70" s="120" t="str">
        <f>IFERROR(__xludf.DUMMYFUNCTION("""COMPUTED_VALUE"""),"SEP4")</f>
        <v>SEP4</v>
      </c>
      <c r="C70" s="82">
        <f>IFERROR(__xludf.DUMMYFUNCTION("""COMPUTED_VALUE"""),55.0)</f>
        <v>55</v>
      </c>
      <c r="D70" s="88" t="str">
        <f>IFERROR(__xludf.DUMMYFUNCTION("""COMPUTED_VALUE"""),"Florence")</f>
        <v>Florence</v>
      </c>
      <c r="E70" s="82" t="str">
        <f>IFERROR(__xludf.DUMMYFUNCTION("""COMPUTED_VALUE"""),"フロレンティア")</f>
        <v>フロレンティア</v>
      </c>
      <c r="F70" s="102">
        <f>IFERROR(__xludf.DUMMYFUNCTION("""COMPUTED_VALUE"""),9.0)</f>
        <v>9</v>
      </c>
      <c r="G70" s="82">
        <f>IFERROR(__xludf.DUMMYFUNCTION("""COMPUTED_VALUE"""),1121.0)</f>
        <v>1121</v>
      </c>
      <c r="H70" s="95" t="str">
        <f>IFERROR(__xludf.DUMMYFUNCTION("""COMPUTED_VALUE"""),"")</f>
        <v/>
      </c>
      <c r="I70" s="96" t="str">
        <f>IFERROR(__xludf.DUMMYFUNCTION("""COMPUTED_VALUE"""),"")</f>
        <v/>
      </c>
      <c r="J70" s="97" t="str">
        <f>IFERROR(__xludf.DUMMYFUNCTION("""COMPUTED_VALUE"""),"")</f>
        <v/>
      </c>
      <c r="K70" s="95" t="str">
        <f>IFERROR(__xludf.DUMMYFUNCTION("""COMPUTED_VALUE"""),"")</f>
        <v/>
      </c>
      <c r="L70" s="96" t="str">
        <f>IFERROR(__xludf.DUMMYFUNCTION("""COMPUTED_VALUE"""),"")</f>
        <v/>
      </c>
      <c r="M70" s="97" t="str">
        <f>IFERROR(__xludf.DUMMYFUNCTION("""COMPUTED_VALUE"""),"")</f>
        <v/>
      </c>
      <c r="N70" s="95" t="str">
        <f>IFERROR(__xludf.DUMMYFUNCTION("""COMPUTED_VALUE"""),"")</f>
        <v/>
      </c>
      <c r="O70" s="96" t="str">
        <f>IFERROR(__xludf.DUMMYFUNCTION("""COMPUTED_VALUE"""),"")</f>
        <v/>
      </c>
      <c r="P70" s="97" t="str">
        <f>IFERROR(__xludf.DUMMYFUNCTION("""COMPUTED_VALUE"""),"")</f>
        <v/>
      </c>
      <c r="Q70" s="95" t="str">
        <f>IFERROR(__xludf.DUMMYFUNCTION("""COMPUTED_VALUE"""),"")</f>
        <v/>
      </c>
      <c r="R70" s="96" t="str">
        <f>IFERROR(__xludf.DUMMYFUNCTION("""COMPUTED_VALUE"""),"")</f>
        <v/>
      </c>
      <c r="S70" s="97" t="str">
        <f>IFERROR(__xludf.DUMMYFUNCTION("""COMPUTED_VALUE"""),"")</f>
        <v/>
      </c>
      <c r="T70" s="95" t="str">
        <f>IFERROR(__xludf.DUMMYFUNCTION("""COMPUTED_VALUE"""),"")</f>
        <v/>
      </c>
      <c r="U70" s="96" t="str">
        <f>IFERROR(__xludf.DUMMYFUNCTION("""COMPUTED_VALUE"""),"")</f>
        <v/>
      </c>
      <c r="V70" s="97" t="str">
        <f>IFERROR(__xludf.DUMMYFUNCTION("""COMPUTED_VALUE"""),"")</f>
        <v/>
      </c>
      <c r="W70" s="95" t="str">
        <f>IFERROR(__xludf.DUMMYFUNCTION("""COMPUTED_VALUE"""),"")</f>
        <v/>
      </c>
      <c r="X70" s="96" t="str">
        <f>IFERROR(__xludf.DUMMYFUNCTION("""COMPUTED_VALUE"""),"")</f>
        <v/>
      </c>
      <c r="Y70" s="97" t="str">
        <f>IFERROR(__xludf.DUMMYFUNCTION("""COMPUTED_VALUE"""),"")</f>
        <v/>
      </c>
      <c r="Z70" s="95" t="str">
        <f>IFERROR(__xludf.DUMMYFUNCTION("""COMPUTED_VALUE"""),"")</f>
        <v/>
      </c>
      <c r="AA70" s="96" t="str">
        <f>IFERROR(__xludf.DUMMYFUNCTION("""COMPUTED_VALUE"""),"")</f>
        <v/>
      </c>
      <c r="AB70" s="97" t="str">
        <f>IFERROR(__xludf.DUMMYFUNCTION("""COMPUTED_VALUE"""),"")</f>
        <v/>
      </c>
      <c r="AC70" s="95" t="str">
        <f>IFERROR(__xludf.DUMMYFUNCTION("""COMPUTED_VALUE"""),"")</f>
        <v/>
      </c>
      <c r="AD70" s="96" t="str">
        <f>IFERROR(__xludf.DUMMYFUNCTION("""COMPUTED_VALUE"""),"")</f>
        <v/>
      </c>
      <c r="AE70" s="97" t="str">
        <f>IFERROR(__xludf.DUMMYFUNCTION("""COMPUTED_VALUE"""),"")</f>
        <v/>
      </c>
      <c r="AF70" s="95" t="str">
        <f>IFERROR(__xludf.DUMMYFUNCTION("""COMPUTED_VALUE"""),"")</f>
        <v/>
      </c>
      <c r="AG70" s="96" t="str">
        <f>IFERROR(__xludf.DUMMYFUNCTION("""COMPUTED_VALUE"""),"")</f>
        <v/>
      </c>
      <c r="AH70" s="97" t="str">
        <f>IFERROR(__xludf.DUMMYFUNCTION("""COMPUTED_VALUE"""),"")</f>
        <v/>
      </c>
      <c r="AI70" s="92" t="str">
        <f>IFERROR(__xludf.DUMMYFUNCTION("""COMPUTED_VALUE"""),"")</f>
        <v/>
      </c>
      <c r="AJ70" s="93" t="str">
        <f>IFERROR(__xludf.DUMMYFUNCTION("""COMPUTED_VALUE"""),"")</f>
        <v/>
      </c>
      <c r="AK70" s="94" t="str">
        <f>IFERROR(__xludf.DUMMYFUNCTION("""COMPUTED_VALUE"""),"")</f>
        <v/>
      </c>
      <c r="AL70" s="93" t="str">
        <f>IFERROR(__xludf.DUMMYFUNCTION("""COMPUTED_VALUE"""),"")</f>
        <v/>
      </c>
      <c r="AM70" s="93" t="str">
        <f>IFERROR(__xludf.DUMMYFUNCTION("""COMPUTED_VALUE"""),"")</f>
        <v/>
      </c>
      <c r="AN70" s="94" t="str">
        <f>IFERROR(__xludf.DUMMYFUNCTION("""COMPUTED_VALUE"""),"")</f>
        <v/>
      </c>
      <c r="AO70" s="93" t="str">
        <f>IFERROR(__xludf.DUMMYFUNCTION("""COMPUTED_VALUE"""),"")</f>
        <v/>
      </c>
      <c r="AP70" s="93" t="str">
        <f>IFERROR(__xludf.DUMMYFUNCTION("""COMPUTED_VALUE"""),"")</f>
        <v/>
      </c>
      <c r="AQ70" s="94" t="str">
        <f>IFERROR(__xludf.DUMMYFUNCTION("""COMPUTED_VALUE"""),"")</f>
        <v/>
      </c>
      <c r="AR70" s="93" t="str">
        <f>IFERROR(__xludf.DUMMYFUNCTION("""COMPUTED_VALUE"""),"")</f>
        <v/>
      </c>
      <c r="AS70" s="93" t="str">
        <f>IFERROR(__xludf.DUMMYFUNCTION("""COMPUTED_VALUE"""),"")</f>
        <v/>
      </c>
      <c r="AT70" s="94">
        <f>IFERROR(__xludf.DUMMYFUNCTION("""COMPUTED_VALUE"""),29.2)</f>
        <v>29.2</v>
      </c>
      <c r="AU70" s="93" t="str">
        <f>IFERROR(__xludf.DUMMYFUNCTION("""COMPUTED_VALUE"""),"")</f>
        <v/>
      </c>
      <c r="AV70" s="93" t="str">
        <f>IFERROR(__xludf.DUMMYFUNCTION("""COMPUTED_VALUE"""),"")</f>
        <v/>
      </c>
      <c r="AW70" s="94" t="str">
        <f>IFERROR(__xludf.DUMMYFUNCTION("""COMPUTED_VALUE"""),"")</f>
        <v/>
      </c>
      <c r="AX70" s="93" t="str">
        <f>IFERROR(__xludf.DUMMYFUNCTION("""COMPUTED_VALUE"""),"")</f>
        <v/>
      </c>
      <c r="AY70" s="93" t="str">
        <f>IFERROR(__xludf.DUMMYFUNCTION("""COMPUTED_VALUE"""),"")</f>
        <v/>
      </c>
      <c r="AZ70" s="94" t="str">
        <f>IFERROR(__xludf.DUMMYFUNCTION("""COMPUTED_VALUE"""),"")</f>
        <v/>
      </c>
      <c r="BA70" s="93" t="str">
        <f>IFERROR(__xludf.DUMMYFUNCTION("""COMPUTED_VALUE"""),"")</f>
        <v/>
      </c>
      <c r="BB70" s="93" t="str">
        <f>IFERROR(__xludf.DUMMYFUNCTION("""COMPUTED_VALUE"""),"")</f>
        <v/>
      </c>
      <c r="BC70" s="94" t="str">
        <f>IFERROR(__xludf.DUMMYFUNCTION("""COMPUTED_VALUE"""),"")</f>
        <v/>
      </c>
      <c r="BD70" s="93" t="str">
        <f>IFERROR(__xludf.DUMMYFUNCTION("""COMPUTED_VALUE"""),"")</f>
        <v/>
      </c>
      <c r="BE70" s="93" t="str">
        <f>IFERROR(__xludf.DUMMYFUNCTION("""COMPUTED_VALUE"""),"")</f>
        <v/>
      </c>
      <c r="BF70" s="94" t="str">
        <f>IFERROR(__xludf.DUMMYFUNCTION("""COMPUTED_VALUE"""),"")</f>
        <v/>
      </c>
      <c r="BG70" s="92" t="str">
        <f>IFERROR(__xludf.DUMMYFUNCTION("""COMPUTED_VALUE"""),"")</f>
        <v/>
      </c>
      <c r="BH70" s="93" t="str">
        <f>IFERROR(__xludf.DUMMYFUNCTION("""COMPUTED_VALUE"""),"")</f>
        <v/>
      </c>
      <c r="BI70" s="94" t="str">
        <f>IFERROR(__xludf.DUMMYFUNCTION("""COMPUTED_VALUE"""),"")</f>
        <v/>
      </c>
      <c r="BJ70" s="93" t="str">
        <f>IFERROR(__xludf.DUMMYFUNCTION("""COMPUTED_VALUE"""),"")</f>
        <v/>
      </c>
      <c r="BK70" s="93" t="str">
        <f>IFERROR(__xludf.DUMMYFUNCTION("""COMPUTED_VALUE"""),"")</f>
        <v/>
      </c>
      <c r="BL70" s="94" t="str">
        <f>IFERROR(__xludf.DUMMYFUNCTION("""COMPUTED_VALUE"""),"")</f>
        <v/>
      </c>
      <c r="BM70" s="93" t="str">
        <f>IFERROR(__xludf.DUMMYFUNCTION("""COMPUTED_VALUE"""),"")</f>
        <v/>
      </c>
      <c r="BN70" s="93" t="str">
        <f>IFERROR(__xludf.DUMMYFUNCTION("""COMPUTED_VALUE"""),"")</f>
        <v/>
      </c>
      <c r="BO70" s="94" t="str">
        <f>IFERROR(__xludf.DUMMYFUNCTION("""COMPUTED_VALUE"""),"")</f>
        <v/>
      </c>
      <c r="BP70" s="93" t="str">
        <f>IFERROR(__xludf.DUMMYFUNCTION("""COMPUTED_VALUE"""),"")</f>
        <v/>
      </c>
      <c r="BQ70" s="93">
        <f>IFERROR(__xludf.DUMMYFUNCTION("""COMPUTED_VALUE"""),180.2)</f>
        <v>180.2</v>
      </c>
      <c r="BR70" s="94">
        <f>IFERROR(__xludf.DUMMYFUNCTION("""COMPUTED_VALUE"""),35.5)</f>
        <v>35.5</v>
      </c>
      <c r="BS70" s="93">
        <f>IFERROR(__xludf.DUMMYFUNCTION("""COMPUTED_VALUE"""),87.7)</f>
        <v>87.7</v>
      </c>
      <c r="BT70" s="93" t="str">
        <f>IFERROR(__xludf.DUMMYFUNCTION("""COMPUTED_VALUE"""),"")</f>
        <v/>
      </c>
      <c r="BU70" s="94" t="str">
        <f>IFERROR(__xludf.DUMMYFUNCTION("""COMPUTED_VALUE"""),"")</f>
        <v/>
      </c>
      <c r="BV70" s="93" t="str">
        <f>IFERROR(__xludf.DUMMYFUNCTION("""COMPUTED_VALUE"""),"")</f>
        <v/>
      </c>
      <c r="BW70" s="93" t="str">
        <f>IFERROR(__xludf.DUMMYFUNCTION("""COMPUTED_VALUE"""),"")</f>
        <v/>
      </c>
      <c r="BX70" s="94" t="str">
        <f>IFERROR(__xludf.DUMMYFUNCTION("""COMPUTED_VALUE"""),"")</f>
        <v/>
      </c>
      <c r="BY70" s="93" t="str">
        <f>IFERROR(__xludf.DUMMYFUNCTION("""COMPUTED_VALUE"""),"")</f>
        <v/>
      </c>
      <c r="BZ70" s="93" t="str">
        <f>IFERROR(__xludf.DUMMYFUNCTION("""COMPUTED_VALUE"""),"")</f>
        <v/>
      </c>
      <c r="CA70" s="94" t="str">
        <f>IFERROR(__xludf.DUMMYFUNCTION("""COMPUTED_VALUE"""),"")</f>
        <v/>
      </c>
      <c r="CB70" s="92" t="str">
        <f>IFERROR(__xludf.DUMMYFUNCTION("""COMPUTED_VALUE"""),"")</f>
        <v/>
      </c>
      <c r="CC70" s="93" t="str">
        <f>IFERROR(__xludf.DUMMYFUNCTION("""COMPUTED_VALUE"""),"")</f>
        <v/>
      </c>
      <c r="CD70" s="94" t="str">
        <f>IFERROR(__xludf.DUMMYFUNCTION("""COMPUTED_VALUE"""),"")</f>
        <v/>
      </c>
      <c r="CE70" s="93" t="str">
        <f>IFERROR(__xludf.DUMMYFUNCTION("""COMPUTED_VALUE"""),"")</f>
        <v/>
      </c>
      <c r="CF70" s="93" t="str">
        <f>IFERROR(__xludf.DUMMYFUNCTION("""COMPUTED_VALUE"""),"")</f>
        <v/>
      </c>
      <c r="CG70" s="94" t="str">
        <f>IFERROR(__xludf.DUMMYFUNCTION("""COMPUTED_VALUE"""),"")</f>
        <v/>
      </c>
      <c r="CH70" s="93" t="str">
        <f>IFERROR(__xludf.DUMMYFUNCTION("""COMPUTED_VALUE"""),"")</f>
        <v/>
      </c>
      <c r="CI70" s="93" t="str">
        <f>IFERROR(__xludf.DUMMYFUNCTION("""COMPUTED_VALUE"""),"")</f>
        <v/>
      </c>
      <c r="CJ70" s="94" t="str">
        <f>IFERROR(__xludf.DUMMYFUNCTION("""COMPUTED_VALUE"""),"")</f>
        <v/>
      </c>
      <c r="CK70" s="93" t="str">
        <f>IFERROR(__xludf.DUMMYFUNCTION("""COMPUTED_VALUE"""),"")</f>
        <v/>
      </c>
      <c r="CL70" s="93" t="str">
        <f>IFERROR(__xludf.DUMMYFUNCTION("""COMPUTED_VALUE"""),"")</f>
        <v/>
      </c>
      <c r="CM70" s="94" t="str">
        <f>IFERROR(__xludf.DUMMYFUNCTION("""COMPUTED_VALUE"""),"")</f>
        <v/>
      </c>
      <c r="CN70" s="93" t="str">
        <f>IFERROR(__xludf.DUMMYFUNCTION("""COMPUTED_VALUE"""),"")</f>
        <v/>
      </c>
      <c r="CO70" s="93" t="str">
        <f>IFERROR(__xludf.DUMMYFUNCTION("""COMPUTED_VALUE"""),"")</f>
        <v/>
      </c>
      <c r="CP70" s="94" t="str">
        <f>IFERROR(__xludf.DUMMYFUNCTION("""COMPUTED_VALUE"""),"")</f>
        <v/>
      </c>
      <c r="CQ70" s="93" t="str">
        <f>IFERROR(__xludf.DUMMYFUNCTION("""COMPUTED_VALUE"""),"")</f>
        <v/>
      </c>
      <c r="CR70" s="93" t="str">
        <f>IFERROR(__xludf.DUMMYFUNCTION("""COMPUTED_VALUE"""),"")</f>
        <v/>
      </c>
      <c r="CS70" s="94"/>
      <c r="CT70" s="93"/>
      <c r="CU70" s="93"/>
      <c r="CV70" s="94"/>
      <c r="CW70" s="93"/>
      <c r="CX70" s="93"/>
      <c r="CY70" s="94"/>
      <c r="CZ70" s="93"/>
      <c r="DA70" s="93"/>
      <c r="DB70" s="94"/>
      <c r="DC70" s="93"/>
      <c r="DD70" s="93"/>
      <c r="DE70" s="94"/>
      <c r="DF70" s="93"/>
      <c r="DG70" s="93"/>
      <c r="DH70" s="94"/>
      <c r="DI70" s="93"/>
      <c r="DJ70" s="93"/>
      <c r="DK70" s="94"/>
      <c r="DL70" s="93"/>
      <c r="DM70" s="93"/>
      <c r="DN70" s="94"/>
      <c r="DO70" s="93"/>
      <c r="DP70" s="93"/>
      <c r="DQ70" s="94"/>
      <c r="DR70" s="93"/>
      <c r="DS70" s="93"/>
      <c r="DT70" s="94"/>
    </row>
    <row r="71">
      <c r="B71" s="120" t="str">
        <f>IFERROR(__xludf.DUMMYFUNCTION("""COMPUTED_VALUE"""),"SEP5")</f>
        <v>SEP5</v>
      </c>
      <c r="C71" s="82">
        <f>IFERROR(__xludf.DUMMYFUNCTION("""COMPUTED_VALUE"""),56.0)</f>
        <v>56</v>
      </c>
      <c r="D71" s="88" t="str">
        <f>IFERROR(__xludf.DUMMYFUNCTION("""COMPUTED_VALUE"""),"Mediolanum")</f>
        <v>Mediolanum</v>
      </c>
      <c r="E71" s="82" t="str">
        <f>IFERROR(__xludf.DUMMYFUNCTION("""COMPUTED_VALUE"""),"メディオラヌム")</f>
        <v>メディオラヌム</v>
      </c>
      <c r="F71" s="102">
        <f>IFERROR(__xludf.DUMMYFUNCTION("""COMPUTED_VALUE"""),9.0)</f>
        <v>9</v>
      </c>
      <c r="G71" s="82">
        <f>IFERROR(__xludf.DUMMYFUNCTION("""COMPUTED_VALUE"""),1101.0)</f>
        <v>1101</v>
      </c>
      <c r="H71" s="95" t="str">
        <f>IFERROR(__xludf.DUMMYFUNCTION("""COMPUTED_VALUE"""),"")</f>
        <v/>
      </c>
      <c r="I71" s="96" t="str">
        <f>IFERROR(__xludf.DUMMYFUNCTION("""COMPUTED_VALUE"""),"")</f>
        <v/>
      </c>
      <c r="J71" s="97" t="str">
        <f>IFERROR(__xludf.DUMMYFUNCTION("""COMPUTED_VALUE"""),"")</f>
        <v/>
      </c>
      <c r="K71" s="95" t="str">
        <f>IFERROR(__xludf.DUMMYFUNCTION("""COMPUTED_VALUE"""),"")</f>
        <v/>
      </c>
      <c r="L71" s="96" t="str">
        <f>IFERROR(__xludf.DUMMYFUNCTION("""COMPUTED_VALUE"""),"")</f>
        <v/>
      </c>
      <c r="M71" s="97" t="str">
        <f>IFERROR(__xludf.DUMMYFUNCTION("""COMPUTED_VALUE"""),"")</f>
        <v/>
      </c>
      <c r="N71" s="95" t="str">
        <f>IFERROR(__xludf.DUMMYFUNCTION("""COMPUTED_VALUE"""),"")</f>
        <v/>
      </c>
      <c r="O71" s="96" t="str">
        <f>IFERROR(__xludf.DUMMYFUNCTION("""COMPUTED_VALUE"""),"")</f>
        <v/>
      </c>
      <c r="P71" s="97" t="str">
        <f>IFERROR(__xludf.DUMMYFUNCTION("""COMPUTED_VALUE"""),"")</f>
        <v/>
      </c>
      <c r="Q71" s="95" t="str">
        <f>IFERROR(__xludf.DUMMYFUNCTION("""COMPUTED_VALUE"""),"")</f>
        <v/>
      </c>
      <c r="R71" s="96" t="str">
        <f>IFERROR(__xludf.DUMMYFUNCTION("""COMPUTED_VALUE"""),"")</f>
        <v/>
      </c>
      <c r="S71" s="97" t="str">
        <f>IFERROR(__xludf.DUMMYFUNCTION("""COMPUTED_VALUE"""),"")</f>
        <v/>
      </c>
      <c r="T71" s="95" t="str">
        <f>IFERROR(__xludf.DUMMYFUNCTION("""COMPUTED_VALUE"""),"")</f>
        <v/>
      </c>
      <c r="U71" s="96" t="str">
        <f>IFERROR(__xludf.DUMMYFUNCTION("""COMPUTED_VALUE"""),"")</f>
        <v/>
      </c>
      <c r="V71" s="97" t="str">
        <f>IFERROR(__xludf.DUMMYFUNCTION("""COMPUTED_VALUE"""),"")</f>
        <v/>
      </c>
      <c r="W71" s="95" t="str">
        <f>IFERROR(__xludf.DUMMYFUNCTION("""COMPUTED_VALUE"""),"")</f>
        <v/>
      </c>
      <c r="X71" s="96" t="str">
        <f>IFERROR(__xludf.DUMMYFUNCTION("""COMPUTED_VALUE"""),"")</f>
        <v/>
      </c>
      <c r="Y71" s="97" t="str">
        <f>IFERROR(__xludf.DUMMYFUNCTION("""COMPUTED_VALUE"""),"")</f>
        <v/>
      </c>
      <c r="Z71" s="95" t="str">
        <f>IFERROR(__xludf.DUMMYFUNCTION("""COMPUTED_VALUE"""),"")</f>
        <v/>
      </c>
      <c r="AA71" s="96" t="str">
        <f>IFERROR(__xludf.DUMMYFUNCTION("""COMPUTED_VALUE"""),"")</f>
        <v/>
      </c>
      <c r="AB71" s="97" t="str">
        <f>IFERROR(__xludf.DUMMYFUNCTION("""COMPUTED_VALUE"""),"")</f>
        <v/>
      </c>
      <c r="AC71" s="95" t="str">
        <f>IFERROR(__xludf.DUMMYFUNCTION("""COMPUTED_VALUE"""),"")</f>
        <v/>
      </c>
      <c r="AD71" s="96" t="str">
        <f>IFERROR(__xludf.DUMMYFUNCTION("""COMPUTED_VALUE"""),"")</f>
        <v/>
      </c>
      <c r="AE71" s="97" t="str">
        <f>IFERROR(__xludf.DUMMYFUNCTION("""COMPUTED_VALUE"""),"")</f>
        <v/>
      </c>
      <c r="AF71" s="95" t="str">
        <f>IFERROR(__xludf.DUMMYFUNCTION("""COMPUTED_VALUE"""),"")</f>
        <v/>
      </c>
      <c r="AG71" s="96" t="str">
        <f>IFERROR(__xludf.DUMMYFUNCTION("""COMPUTED_VALUE"""),"")</f>
        <v/>
      </c>
      <c r="AH71" s="97" t="str">
        <f>IFERROR(__xludf.DUMMYFUNCTION("""COMPUTED_VALUE"""),"")</f>
        <v/>
      </c>
      <c r="AI71" s="121" t="str">
        <f>IFERROR(__xludf.DUMMYFUNCTION("""COMPUTED_VALUE"""),"")</f>
        <v/>
      </c>
      <c r="AJ71" s="122" t="str">
        <f>IFERROR(__xludf.DUMMYFUNCTION("""COMPUTED_VALUE"""),"")</f>
        <v/>
      </c>
      <c r="AK71" s="123" t="str">
        <f>IFERROR(__xludf.DUMMYFUNCTION("""COMPUTED_VALUE"""),"")</f>
        <v/>
      </c>
      <c r="AL71" s="122" t="str">
        <f>IFERROR(__xludf.DUMMYFUNCTION("""COMPUTED_VALUE"""),"")</f>
        <v/>
      </c>
      <c r="AM71" s="122" t="str">
        <f>IFERROR(__xludf.DUMMYFUNCTION("""COMPUTED_VALUE"""),"")</f>
        <v/>
      </c>
      <c r="AN71" s="123" t="str">
        <f>IFERROR(__xludf.DUMMYFUNCTION("""COMPUTED_VALUE"""),"")</f>
        <v/>
      </c>
      <c r="AO71" s="122" t="str">
        <f>IFERROR(__xludf.DUMMYFUNCTION("""COMPUTED_VALUE"""),"")</f>
        <v/>
      </c>
      <c r="AP71" s="122" t="str">
        <f>IFERROR(__xludf.DUMMYFUNCTION("""COMPUTED_VALUE"""),"")</f>
        <v/>
      </c>
      <c r="AQ71" s="123" t="str">
        <f>IFERROR(__xludf.DUMMYFUNCTION("""COMPUTED_VALUE"""),"")</f>
        <v/>
      </c>
      <c r="AR71" s="122" t="str">
        <f>IFERROR(__xludf.DUMMYFUNCTION("""COMPUTED_VALUE"""),"")</f>
        <v/>
      </c>
      <c r="AS71" s="122" t="str">
        <f>IFERROR(__xludf.DUMMYFUNCTION("""COMPUTED_VALUE"""),"")</f>
        <v/>
      </c>
      <c r="AT71" s="123">
        <f>IFERROR(__xludf.DUMMYFUNCTION("""COMPUTED_VALUE"""),25.8)</f>
        <v>25.8</v>
      </c>
      <c r="AU71" s="122" t="str">
        <f>IFERROR(__xludf.DUMMYFUNCTION("""COMPUTED_VALUE"""),"")</f>
        <v/>
      </c>
      <c r="AV71" s="122" t="str">
        <f>IFERROR(__xludf.DUMMYFUNCTION("""COMPUTED_VALUE"""),"")</f>
        <v/>
      </c>
      <c r="AW71" s="123" t="str">
        <f>IFERROR(__xludf.DUMMYFUNCTION("""COMPUTED_VALUE"""),"")</f>
        <v/>
      </c>
      <c r="AX71" s="122" t="str">
        <f>IFERROR(__xludf.DUMMYFUNCTION("""COMPUTED_VALUE"""),"")</f>
        <v/>
      </c>
      <c r="AY71" s="122" t="str">
        <f>IFERROR(__xludf.DUMMYFUNCTION("""COMPUTED_VALUE"""),"")</f>
        <v/>
      </c>
      <c r="AZ71" s="123" t="str">
        <f>IFERROR(__xludf.DUMMYFUNCTION("""COMPUTED_VALUE"""),"")</f>
        <v/>
      </c>
      <c r="BA71" s="122" t="str">
        <f>IFERROR(__xludf.DUMMYFUNCTION("""COMPUTED_VALUE"""),"")</f>
        <v/>
      </c>
      <c r="BB71" s="122" t="str">
        <f>IFERROR(__xludf.DUMMYFUNCTION("""COMPUTED_VALUE"""),"")</f>
        <v/>
      </c>
      <c r="BC71" s="123" t="str">
        <f>IFERROR(__xludf.DUMMYFUNCTION("""COMPUTED_VALUE"""),"")</f>
        <v/>
      </c>
      <c r="BD71" s="122" t="str">
        <f>IFERROR(__xludf.DUMMYFUNCTION("""COMPUTED_VALUE"""),"")</f>
        <v/>
      </c>
      <c r="BE71" s="122" t="str">
        <f>IFERROR(__xludf.DUMMYFUNCTION("""COMPUTED_VALUE"""),"")</f>
        <v/>
      </c>
      <c r="BF71" s="123" t="str">
        <f>IFERROR(__xludf.DUMMYFUNCTION("""COMPUTED_VALUE"""),"")</f>
        <v/>
      </c>
      <c r="BG71" s="121" t="str">
        <f>IFERROR(__xludf.DUMMYFUNCTION("""COMPUTED_VALUE"""),"")</f>
        <v/>
      </c>
      <c r="BH71" s="122" t="str">
        <f>IFERROR(__xludf.DUMMYFUNCTION("""COMPUTED_VALUE"""),"")</f>
        <v/>
      </c>
      <c r="BI71" s="123" t="str">
        <f>IFERROR(__xludf.DUMMYFUNCTION("""COMPUTED_VALUE"""),"")</f>
        <v/>
      </c>
      <c r="BJ71" s="122" t="str">
        <f>IFERROR(__xludf.DUMMYFUNCTION("""COMPUTED_VALUE"""),"")</f>
        <v/>
      </c>
      <c r="BK71" s="122" t="str">
        <f>IFERROR(__xludf.DUMMYFUNCTION("""COMPUTED_VALUE"""),"")</f>
        <v/>
      </c>
      <c r="BL71" s="123" t="str">
        <f>IFERROR(__xludf.DUMMYFUNCTION("""COMPUTED_VALUE"""),"")</f>
        <v/>
      </c>
      <c r="BM71" s="122" t="str">
        <f>IFERROR(__xludf.DUMMYFUNCTION("""COMPUTED_VALUE"""),"")</f>
        <v/>
      </c>
      <c r="BN71" s="122" t="str">
        <f>IFERROR(__xludf.DUMMYFUNCTION("""COMPUTED_VALUE"""),"")</f>
        <v/>
      </c>
      <c r="BO71" s="123" t="str">
        <f>IFERROR(__xludf.DUMMYFUNCTION("""COMPUTED_VALUE"""),"")</f>
        <v/>
      </c>
      <c r="BP71" s="122" t="str">
        <f>IFERROR(__xludf.DUMMYFUNCTION("""COMPUTED_VALUE"""),"")</f>
        <v/>
      </c>
      <c r="BQ71" s="122">
        <f>IFERROR(__xludf.DUMMYFUNCTION("""COMPUTED_VALUE"""),56.3)</f>
        <v>56.3</v>
      </c>
      <c r="BR71" s="123" t="str">
        <f>IFERROR(__xludf.DUMMYFUNCTION("""COMPUTED_VALUE"""),"")</f>
        <v/>
      </c>
      <c r="BS71" s="122">
        <f>IFERROR(__xludf.DUMMYFUNCTION("""COMPUTED_VALUE"""),44.8)</f>
        <v>44.8</v>
      </c>
      <c r="BT71" s="122" t="str">
        <f>IFERROR(__xludf.DUMMYFUNCTION("""COMPUTED_VALUE"""),"")</f>
        <v/>
      </c>
      <c r="BU71" s="123" t="str">
        <f>IFERROR(__xludf.DUMMYFUNCTION("""COMPUTED_VALUE"""),"")</f>
        <v/>
      </c>
      <c r="BV71" s="122" t="str">
        <f>IFERROR(__xludf.DUMMYFUNCTION("""COMPUTED_VALUE"""),"")</f>
        <v/>
      </c>
      <c r="BW71" s="122" t="str">
        <f>IFERROR(__xludf.DUMMYFUNCTION("""COMPUTED_VALUE"""),"")</f>
        <v/>
      </c>
      <c r="BX71" s="123" t="str">
        <f>IFERROR(__xludf.DUMMYFUNCTION("""COMPUTED_VALUE"""),"")</f>
        <v/>
      </c>
      <c r="BY71" s="122" t="str">
        <f>IFERROR(__xludf.DUMMYFUNCTION("""COMPUTED_VALUE"""),"")</f>
        <v/>
      </c>
      <c r="BZ71" s="122" t="str">
        <f>IFERROR(__xludf.DUMMYFUNCTION("""COMPUTED_VALUE"""),"")</f>
        <v/>
      </c>
      <c r="CA71" s="123" t="str">
        <f>IFERROR(__xludf.DUMMYFUNCTION("""COMPUTED_VALUE"""),"")</f>
        <v/>
      </c>
      <c r="CB71" s="121" t="str">
        <f>IFERROR(__xludf.DUMMYFUNCTION("""COMPUTED_VALUE"""),"")</f>
        <v/>
      </c>
      <c r="CC71" s="122" t="str">
        <f>IFERROR(__xludf.DUMMYFUNCTION("""COMPUTED_VALUE"""),"")</f>
        <v/>
      </c>
      <c r="CD71" s="123" t="str">
        <f>IFERROR(__xludf.DUMMYFUNCTION("""COMPUTED_VALUE"""),"")</f>
        <v/>
      </c>
      <c r="CE71" s="122" t="str">
        <f>IFERROR(__xludf.DUMMYFUNCTION("""COMPUTED_VALUE"""),"")</f>
        <v/>
      </c>
      <c r="CF71" s="122" t="str">
        <f>IFERROR(__xludf.DUMMYFUNCTION("""COMPUTED_VALUE"""),"")</f>
        <v/>
      </c>
      <c r="CG71" s="123" t="str">
        <f>IFERROR(__xludf.DUMMYFUNCTION("""COMPUTED_VALUE"""),"")</f>
        <v/>
      </c>
      <c r="CH71" s="122" t="str">
        <f>IFERROR(__xludf.DUMMYFUNCTION("""COMPUTED_VALUE"""),"")</f>
        <v/>
      </c>
      <c r="CI71" s="122" t="str">
        <f>IFERROR(__xludf.DUMMYFUNCTION("""COMPUTED_VALUE"""),"")</f>
        <v/>
      </c>
      <c r="CJ71" s="123" t="str">
        <f>IFERROR(__xludf.DUMMYFUNCTION("""COMPUTED_VALUE"""),"")</f>
        <v/>
      </c>
      <c r="CK71" s="122" t="str">
        <f>IFERROR(__xludf.DUMMYFUNCTION("""COMPUTED_VALUE"""),"")</f>
        <v/>
      </c>
      <c r="CL71" s="122" t="str">
        <f>IFERROR(__xludf.DUMMYFUNCTION("""COMPUTED_VALUE"""),"")</f>
        <v/>
      </c>
      <c r="CM71" s="123" t="str">
        <f>IFERROR(__xludf.DUMMYFUNCTION("""COMPUTED_VALUE"""),"")</f>
        <v/>
      </c>
      <c r="CN71" s="122" t="str">
        <f>IFERROR(__xludf.DUMMYFUNCTION("""COMPUTED_VALUE"""),"")</f>
        <v/>
      </c>
      <c r="CO71" s="122" t="str">
        <f>IFERROR(__xludf.DUMMYFUNCTION("""COMPUTED_VALUE"""),"")</f>
        <v/>
      </c>
      <c r="CP71" s="123" t="str">
        <f>IFERROR(__xludf.DUMMYFUNCTION("""COMPUTED_VALUE"""),"")</f>
        <v/>
      </c>
      <c r="CQ71" s="122" t="str">
        <f>IFERROR(__xludf.DUMMYFUNCTION("""COMPUTED_VALUE"""),"")</f>
        <v/>
      </c>
      <c r="CR71" s="122" t="str">
        <f>IFERROR(__xludf.DUMMYFUNCTION("""COMPUTED_VALUE"""),"")</f>
        <v/>
      </c>
      <c r="CS71" s="123"/>
      <c r="CT71" s="122"/>
      <c r="CU71" s="122"/>
      <c r="CV71" s="123"/>
      <c r="CW71" s="122"/>
      <c r="CX71" s="122"/>
      <c r="CY71" s="123"/>
      <c r="CZ71" s="122"/>
      <c r="DA71" s="122"/>
      <c r="DB71" s="123"/>
      <c r="DC71" s="122"/>
      <c r="DD71" s="122"/>
      <c r="DE71" s="123"/>
      <c r="DF71" s="122"/>
      <c r="DG71" s="122"/>
      <c r="DH71" s="123"/>
      <c r="DI71" s="122"/>
      <c r="DJ71" s="122"/>
      <c r="DK71" s="123"/>
      <c r="DL71" s="122"/>
      <c r="DM71" s="122"/>
      <c r="DN71" s="123"/>
      <c r="DO71" s="122"/>
      <c r="DP71" s="122"/>
      <c r="DQ71" s="123"/>
      <c r="DR71" s="122"/>
      <c r="DS71" s="122"/>
      <c r="DT71" s="123"/>
    </row>
    <row r="72">
      <c r="B72" s="120" t="str">
        <f>IFERROR(__xludf.DUMMYFUNCTION("""COMPUTED_VALUE"""),"SEP6")</f>
        <v>SEP6</v>
      </c>
      <c r="C72" s="82">
        <f>IFERROR(__xludf.DUMMYFUNCTION("""COMPUTED_VALUE"""),57.0)</f>
        <v>57</v>
      </c>
      <c r="D72" s="88" t="str">
        <f>IFERROR(__xludf.DUMMYFUNCTION("""COMPUTED_VALUE"""),"Germania")</f>
        <v>Germania</v>
      </c>
      <c r="E72" s="82" t="str">
        <f>IFERROR(__xludf.DUMMYFUNCTION("""COMPUTED_VALUE"""),"ゲルマニア")</f>
        <v>ゲルマニア</v>
      </c>
      <c r="F72" s="102">
        <f>IFERROR(__xludf.DUMMYFUNCTION("""COMPUTED_VALUE"""),15.0)</f>
        <v>15</v>
      </c>
      <c r="G72" s="82">
        <f>IFERROR(__xludf.DUMMYFUNCTION("""COMPUTED_VALUE"""),1991.0)</f>
        <v>1991</v>
      </c>
      <c r="H72" s="95">
        <f>IFERROR(__xludf.DUMMYFUNCTION("""COMPUTED_VALUE"""),506.2)</f>
        <v>506.2</v>
      </c>
      <c r="I72" s="96" t="str">
        <f>IFERROR(__xludf.DUMMYFUNCTION("""COMPUTED_VALUE"""),"")</f>
        <v/>
      </c>
      <c r="J72" s="97" t="str">
        <f>IFERROR(__xludf.DUMMYFUNCTION("""COMPUTED_VALUE"""),"")</f>
        <v/>
      </c>
      <c r="K72" s="95" t="str">
        <f>IFERROR(__xludf.DUMMYFUNCTION("""COMPUTED_VALUE"""),"")</f>
        <v/>
      </c>
      <c r="L72" s="96" t="str">
        <f>IFERROR(__xludf.DUMMYFUNCTION("""COMPUTED_VALUE"""),"")</f>
        <v/>
      </c>
      <c r="M72" s="97" t="str">
        <f>IFERROR(__xludf.DUMMYFUNCTION("""COMPUTED_VALUE"""),"")</f>
        <v/>
      </c>
      <c r="N72" s="95" t="str">
        <f>IFERROR(__xludf.DUMMYFUNCTION("""COMPUTED_VALUE"""),"")</f>
        <v/>
      </c>
      <c r="O72" s="96" t="str">
        <f>IFERROR(__xludf.DUMMYFUNCTION("""COMPUTED_VALUE"""),"")</f>
        <v/>
      </c>
      <c r="P72" s="97" t="str">
        <f>IFERROR(__xludf.DUMMYFUNCTION("""COMPUTED_VALUE"""),"")</f>
        <v/>
      </c>
      <c r="Q72" s="95" t="str">
        <f>IFERROR(__xludf.DUMMYFUNCTION("""COMPUTED_VALUE"""),"")</f>
        <v/>
      </c>
      <c r="R72" s="96" t="str">
        <f>IFERROR(__xludf.DUMMYFUNCTION("""COMPUTED_VALUE"""),"")</f>
        <v/>
      </c>
      <c r="S72" s="97" t="str">
        <f>IFERROR(__xludf.DUMMYFUNCTION("""COMPUTED_VALUE"""),"")</f>
        <v/>
      </c>
      <c r="T72" s="95" t="str">
        <f>IFERROR(__xludf.DUMMYFUNCTION("""COMPUTED_VALUE"""),"")</f>
        <v/>
      </c>
      <c r="U72" s="96" t="str">
        <f>IFERROR(__xludf.DUMMYFUNCTION("""COMPUTED_VALUE"""),"")</f>
        <v/>
      </c>
      <c r="V72" s="97" t="str">
        <f>IFERROR(__xludf.DUMMYFUNCTION("""COMPUTED_VALUE"""),"")</f>
        <v/>
      </c>
      <c r="W72" s="95" t="str">
        <f>IFERROR(__xludf.DUMMYFUNCTION("""COMPUTED_VALUE"""),"")</f>
        <v/>
      </c>
      <c r="X72" s="96" t="str">
        <f>IFERROR(__xludf.DUMMYFUNCTION("""COMPUTED_VALUE"""),"")</f>
        <v/>
      </c>
      <c r="Y72" s="97" t="str">
        <f>IFERROR(__xludf.DUMMYFUNCTION("""COMPUTED_VALUE"""),"")</f>
        <v/>
      </c>
      <c r="Z72" s="95" t="str">
        <f>IFERROR(__xludf.DUMMYFUNCTION("""COMPUTED_VALUE"""),"")</f>
        <v/>
      </c>
      <c r="AA72" s="96" t="str">
        <f>IFERROR(__xludf.DUMMYFUNCTION("""COMPUTED_VALUE"""),"")</f>
        <v/>
      </c>
      <c r="AB72" s="97" t="str">
        <f>IFERROR(__xludf.DUMMYFUNCTION("""COMPUTED_VALUE"""),"")</f>
        <v/>
      </c>
      <c r="AC72" s="95" t="str">
        <f>IFERROR(__xludf.DUMMYFUNCTION("""COMPUTED_VALUE"""),"")</f>
        <v/>
      </c>
      <c r="AD72" s="96" t="str">
        <f>IFERROR(__xludf.DUMMYFUNCTION("""COMPUTED_VALUE"""),"")</f>
        <v/>
      </c>
      <c r="AE72" s="97" t="str">
        <f>IFERROR(__xludf.DUMMYFUNCTION("""COMPUTED_VALUE"""),"")</f>
        <v/>
      </c>
      <c r="AF72" s="95" t="str">
        <f>IFERROR(__xludf.DUMMYFUNCTION("""COMPUTED_VALUE"""),"")</f>
        <v/>
      </c>
      <c r="AG72" s="96" t="str">
        <f>IFERROR(__xludf.DUMMYFUNCTION("""COMPUTED_VALUE"""),"")</f>
        <v/>
      </c>
      <c r="AH72" s="97" t="str">
        <f>IFERROR(__xludf.DUMMYFUNCTION("""COMPUTED_VALUE"""),"")</f>
        <v/>
      </c>
      <c r="AI72" s="92" t="str">
        <f>IFERROR(__xludf.DUMMYFUNCTION("""COMPUTED_VALUE"""),"")</f>
        <v/>
      </c>
      <c r="AJ72" s="93" t="str">
        <f>IFERROR(__xludf.DUMMYFUNCTION("""COMPUTED_VALUE"""),"")</f>
        <v/>
      </c>
      <c r="AK72" s="94" t="str">
        <f>IFERROR(__xludf.DUMMYFUNCTION("""COMPUTED_VALUE"""),"")</f>
        <v/>
      </c>
      <c r="AL72" s="93" t="str">
        <f>IFERROR(__xludf.DUMMYFUNCTION("""COMPUTED_VALUE"""),"")</f>
        <v/>
      </c>
      <c r="AM72" s="93" t="str">
        <f>IFERROR(__xludf.DUMMYFUNCTION("""COMPUTED_VALUE"""),"")</f>
        <v/>
      </c>
      <c r="AN72" s="94" t="str">
        <f>IFERROR(__xludf.DUMMYFUNCTION("""COMPUTED_VALUE"""),"")</f>
        <v/>
      </c>
      <c r="AO72" s="93" t="str">
        <f>IFERROR(__xludf.DUMMYFUNCTION("""COMPUTED_VALUE"""),"")</f>
        <v/>
      </c>
      <c r="AP72" s="93" t="str">
        <f>IFERROR(__xludf.DUMMYFUNCTION("""COMPUTED_VALUE"""),"")</f>
        <v/>
      </c>
      <c r="AQ72" s="94" t="str">
        <f>IFERROR(__xludf.DUMMYFUNCTION("""COMPUTED_VALUE"""),"")</f>
        <v/>
      </c>
      <c r="AR72" s="93" t="str">
        <f>IFERROR(__xludf.DUMMYFUNCTION("""COMPUTED_VALUE"""),"")</f>
        <v/>
      </c>
      <c r="AS72" s="93" t="str">
        <f>IFERROR(__xludf.DUMMYFUNCTION("""COMPUTED_VALUE"""),"")</f>
        <v/>
      </c>
      <c r="AT72" s="94" t="str">
        <f>IFERROR(__xludf.DUMMYFUNCTION("""COMPUTED_VALUE"""),"")</f>
        <v/>
      </c>
      <c r="AU72" s="93">
        <f>IFERROR(__xludf.DUMMYFUNCTION("""COMPUTED_VALUE"""),30.9)</f>
        <v>30.9</v>
      </c>
      <c r="AV72" s="93" t="str">
        <f>IFERROR(__xludf.DUMMYFUNCTION("""COMPUTED_VALUE"""),"")</f>
        <v/>
      </c>
      <c r="AW72" s="94" t="str">
        <f>IFERROR(__xludf.DUMMYFUNCTION("""COMPUTED_VALUE"""),"")</f>
        <v/>
      </c>
      <c r="AX72" s="93" t="str">
        <f>IFERROR(__xludf.DUMMYFUNCTION("""COMPUTED_VALUE"""),"")</f>
        <v/>
      </c>
      <c r="AY72" s="93" t="str">
        <f>IFERROR(__xludf.DUMMYFUNCTION("""COMPUTED_VALUE"""),"")</f>
        <v/>
      </c>
      <c r="AZ72" s="94" t="str">
        <f>IFERROR(__xludf.DUMMYFUNCTION("""COMPUTED_VALUE"""),"")</f>
        <v/>
      </c>
      <c r="BA72" s="93" t="str">
        <f>IFERROR(__xludf.DUMMYFUNCTION("""COMPUTED_VALUE"""),"")</f>
        <v/>
      </c>
      <c r="BB72" s="93" t="str">
        <f>IFERROR(__xludf.DUMMYFUNCTION("""COMPUTED_VALUE"""),"")</f>
        <v/>
      </c>
      <c r="BC72" s="94" t="str">
        <f>IFERROR(__xludf.DUMMYFUNCTION("""COMPUTED_VALUE"""),"")</f>
        <v/>
      </c>
      <c r="BD72" s="93" t="str">
        <f>IFERROR(__xludf.DUMMYFUNCTION("""COMPUTED_VALUE"""),"")</f>
        <v/>
      </c>
      <c r="BE72" s="93" t="str">
        <f>IFERROR(__xludf.DUMMYFUNCTION("""COMPUTED_VALUE"""),"")</f>
        <v/>
      </c>
      <c r="BF72" s="94" t="str">
        <f>IFERROR(__xludf.DUMMYFUNCTION("""COMPUTED_VALUE"""),"")</f>
        <v/>
      </c>
      <c r="BG72" s="92" t="str">
        <f>IFERROR(__xludf.DUMMYFUNCTION("""COMPUTED_VALUE"""),"")</f>
        <v/>
      </c>
      <c r="BH72" s="93" t="str">
        <f>IFERROR(__xludf.DUMMYFUNCTION("""COMPUTED_VALUE"""),"")</f>
        <v/>
      </c>
      <c r="BI72" s="94" t="str">
        <f>IFERROR(__xludf.DUMMYFUNCTION("""COMPUTED_VALUE"""),"")</f>
        <v/>
      </c>
      <c r="BJ72" s="93" t="str">
        <f>IFERROR(__xludf.DUMMYFUNCTION("""COMPUTED_VALUE"""),"")</f>
        <v/>
      </c>
      <c r="BK72" s="93" t="str">
        <f>IFERROR(__xludf.DUMMYFUNCTION("""COMPUTED_VALUE"""),"")</f>
        <v/>
      </c>
      <c r="BL72" s="94" t="str">
        <f>IFERROR(__xludf.DUMMYFUNCTION("""COMPUTED_VALUE"""),"")</f>
        <v/>
      </c>
      <c r="BM72" s="93" t="str">
        <f>IFERROR(__xludf.DUMMYFUNCTION("""COMPUTED_VALUE"""),"")</f>
        <v/>
      </c>
      <c r="BN72" s="93" t="str">
        <f>IFERROR(__xludf.DUMMYFUNCTION("""COMPUTED_VALUE"""),"")</f>
        <v/>
      </c>
      <c r="BO72" s="94" t="str">
        <f>IFERROR(__xludf.DUMMYFUNCTION("""COMPUTED_VALUE"""),"")</f>
        <v/>
      </c>
      <c r="BP72" s="93">
        <f>IFERROR(__xludf.DUMMYFUNCTION("""COMPUTED_VALUE"""),195.6)</f>
        <v>195.6</v>
      </c>
      <c r="BQ72" s="93">
        <f>IFERROR(__xludf.DUMMYFUNCTION("""COMPUTED_VALUE"""),98.1)</f>
        <v>98.1</v>
      </c>
      <c r="BR72" s="94">
        <f>IFERROR(__xludf.DUMMYFUNCTION("""COMPUTED_VALUE"""),308.3)</f>
        <v>308.3</v>
      </c>
      <c r="BS72" s="93">
        <f>IFERROR(__xludf.DUMMYFUNCTION("""COMPUTED_VALUE"""),150.1)</f>
        <v>150.1</v>
      </c>
      <c r="BT72" s="93" t="str">
        <f>IFERROR(__xludf.DUMMYFUNCTION("""COMPUTED_VALUE"""),"")</f>
        <v/>
      </c>
      <c r="BU72" s="94" t="str">
        <f>IFERROR(__xludf.DUMMYFUNCTION("""COMPUTED_VALUE"""),"")</f>
        <v/>
      </c>
      <c r="BV72" s="93" t="str">
        <f>IFERROR(__xludf.DUMMYFUNCTION("""COMPUTED_VALUE"""),"")</f>
        <v/>
      </c>
      <c r="BW72" s="93" t="str">
        <f>IFERROR(__xludf.DUMMYFUNCTION("""COMPUTED_VALUE"""),"")</f>
        <v/>
      </c>
      <c r="BX72" s="94" t="str">
        <f>IFERROR(__xludf.DUMMYFUNCTION("""COMPUTED_VALUE"""),"")</f>
        <v/>
      </c>
      <c r="BY72" s="93" t="str">
        <f>IFERROR(__xludf.DUMMYFUNCTION("""COMPUTED_VALUE"""),"")</f>
        <v/>
      </c>
      <c r="BZ72" s="93" t="str">
        <f>IFERROR(__xludf.DUMMYFUNCTION("""COMPUTED_VALUE"""),"")</f>
        <v/>
      </c>
      <c r="CA72" s="94" t="str">
        <f>IFERROR(__xludf.DUMMYFUNCTION("""COMPUTED_VALUE"""),"")</f>
        <v/>
      </c>
      <c r="CB72" s="92" t="str">
        <f>IFERROR(__xludf.DUMMYFUNCTION("""COMPUTED_VALUE"""),"")</f>
        <v/>
      </c>
      <c r="CC72" s="93" t="str">
        <f>IFERROR(__xludf.DUMMYFUNCTION("""COMPUTED_VALUE"""),"")</f>
        <v/>
      </c>
      <c r="CD72" s="94" t="str">
        <f>IFERROR(__xludf.DUMMYFUNCTION("""COMPUTED_VALUE"""),"")</f>
        <v/>
      </c>
      <c r="CE72" s="93" t="str">
        <f>IFERROR(__xludf.DUMMYFUNCTION("""COMPUTED_VALUE"""),"")</f>
        <v/>
      </c>
      <c r="CF72" s="93" t="str">
        <f>IFERROR(__xludf.DUMMYFUNCTION("""COMPUTED_VALUE"""),"")</f>
        <v/>
      </c>
      <c r="CG72" s="94" t="str">
        <f>IFERROR(__xludf.DUMMYFUNCTION("""COMPUTED_VALUE"""),"")</f>
        <v/>
      </c>
      <c r="CH72" s="93" t="str">
        <f>IFERROR(__xludf.DUMMYFUNCTION("""COMPUTED_VALUE"""),"")</f>
        <v/>
      </c>
      <c r="CI72" s="93" t="str">
        <f>IFERROR(__xludf.DUMMYFUNCTION("""COMPUTED_VALUE"""),"")</f>
        <v/>
      </c>
      <c r="CJ72" s="94" t="str">
        <f>IFERROR(__xludf.DUMMYFUNCTION("""COMPUTED_VALUE"""),"")</f>
        <v/>
      </c>
      <c r="CK72" s="93" t="str">
        <f>IFERROR(__xludf.DUMMYFUNCTION("""COMPUTED_VALUE"""),"")</f>
        <v/>
      </c>
      <c r="CL72" s="93" t="str">
        <f>IFERROR(__xludf.DUMMYFUNCTION("""COMPUTED_VALUE"""),"")</f>
        <v/>
      </c>
      <c r="CM72" s="94" t="str">
        <f>IFERROR(__xludf.DUMMYFUNCTION("""COMPUTED_VALUE"""),"")</f>
        <v/>
      </c>
      <c r="CN72" s="93" t="str">
        <f>IFERROR(__xludf.DUMMYFUNCTION("""COMPUTED_VALUE"""),"")</f>
        <v/>
      </c>
      <c r="CO72" s="93" t="str">
        <f>IFERROR(__xludf.DUMMYFUNCTION("""COMPUTED_VALUE"""),"")</f>
        <v/>
      </c>
      <c r="CP72" s="94" t="str">
        <f>IFERROR(__xludf.DUMMYFUNCTION("""COMPUTED_VALUE"""),"")</f>
        <v/>
      </c>
      <c r="CQ72" s="93" t="str">
        <f>IFERROR(__xludf.DUMMYFUNCTION("""COMPUTED_VALUE"""),"")</f>
        <v/>
      </c>
      <c r="CR72" s="93" t="str">
        <f>IFERROR(__xludf.DUMMYFUNCTION("""COMPUTED_VALUE"""),"")</f>
        <v/>
      </c>
      <c r="CS72" s="94"/>
      <c r="CT72" s="93"/>
      <c r="CU72" s="93"/>
      <c r="CV72" s="94"/>
      <c r="CW72" s="93"/>
      <c r="CX72" s="93"/>
      <c r="CY72" s="94"/>
      <c r="CZ72" s="93"/>
      <c r="DA72" s="93"/>
      <c r="DB72" s="94"/>
      <c r="DC72" s="93"/>
      <c r="DD72" s="93"/>
      <c r="DE72" s="94"/>
      <c r="DF72" s="93"/>
      <c r="DG72" s="93"/>
      <c r="DH72" s="94"/>
      <c r="DI72" s="93"/>
      <c r="DJ72" s="93"/>
      <c r="DK72" s="94"/>
      <c r="DL72" s="93"/>
      <c r="DM72" s="93"/>
      <c r="DN72" s="94"/>
      <c r="DO72" s="93"/>
      <c r="DP72" s="93"/>
      <c r="DQ72" s="94"/>
      <c r="DR72" s="93"/>
      <c r="DS72" s="93"/>
      <c r="DT72" s="94"/>
    </row>
    <row r="73">
      <c r="B73" s="120" t="str">
        <f>IFERROR(__xludf.DUMMYFUNCTION("""COMPUTED_VALUE"""),"SEP7")</f>
        <v>SEP7</v>
      </c>
      <c r="C73" s="82">
        <f>IFERROR(__xludf.DUMMYFUNCTION("""COMPUTED_VALUE"""),58.0)</f>
        <v>58</v>
      </c>
      <c r="D73" s="88" t="str">
        <f>IFERROR(__xludf.DUMMYFUNCTION("""COMPUTED_VALUE"""),"Massilia")</f>
        <v>Massilia</v>
      </c>
      <c r="E73" s="82" t="str">
        <f>IFERROR(__xludf.DUMMYFUNCTION("""COMPUTED_VALUE"""),"マッシリア")</f>
        <v>マッシリア</v>
      </c>
      <c r="F73" s="102">
        <f>IFERROR(__xludf.DUMMYFUNCTION("""COMPUTED_VALUE"""),9.0)</f>
        <v>9</v>
      </c>
      <c r="G73" s="82">
        <f>IFERROR(__xludf.DUMMYFUNCTION("""COMPUTED_VALUE"""),1103.0)</f>
        <v>1103</v>
      </c>
      <c r="H73" s="95" t="str">
        <f>IFERROR(__xludf.DUMMYFUNCTION("""COMPUTED_VALUE"""),"")</f>
        <v/>
      </c>
      <c r="I73" s="96" t="str">
        <f>IFERROR(__xludf.DUMMYFUNCTION("""COMPUTED_VALUE"""),"")</f>
        <v/>
      </c>
      <c r="J73" s="97" t="str">
        <f>IFERROR(__xludf.DUMMYFUNCTION("""COMPUTED_VALUE"""),"")</f>
        <v/>
      </c>
      <c r="K73" s="95" t="str">
        <f>IFERROR(__xludf.DUMMYFUNCTION("""COMPUTED_VALUE"""),"")</f>
        <v/>
      </c>
      <c r="L73" s="96" t="str">
        <f>IFERROR(__xludf.DUMMYFUNCTION("""COMPUTED_VALUE"""),"")</f>
        <v/>
      </c>
      <c r="M73" s="97" t="str">
        <f>IFERROR(__xludf.DUMMYFUNCTION("""COMPUTED_VALUE"""),"")</f>
        <v/>
      </c>
      <c r="N73" s="95" t="str">
        <f>IFERROR(__xludf.DUMMYFUNCTION("""COMPUTED_VALUE"""),"")</f>
        <v/>
      </c>
      <c r="O73" s="96" t="str">
        <f>IFERROR(__xludf.DUMMYFUNCTION("""COMPUTED_VALUE"""),"")</f>
        <v/>
      </c>
      <c r="P73" s="97" t="str">
        <f>IFERROR(__xludf.DUMMYFUNCTION("""COMPUTED_VALUE"""),"")</f>
        <v/>
      </c>
      <c r="Q73" s="95" t="str">
        <f>IFERROR(__xludf.DUMMYFUNCTION("""COMPUTED_VALUE"""),"")</f>
        <v/>
      </c>
      <c r="R73" s="96" t="str">
        <f>IFERROR(__xludf.DUMMYFUNCTION("""COMPUTED_VALUE"""),"")</f>
        <v/>
      </c>
      <c r="S73" s="97" t="str">
        <f>IFERROR(__xludf.DUMMYFUNCTION("""COMPUTED_VALUE"""),"")</f>
        <v/>
      </c>
      <c r="T73" s="95" t="str">
        <f>IFERROR(__xludf.DUMMYFUNCTION("""COMPUTED_VALUE"""),"")</f>
        <v/>
      </c>
      <c r="U73" s="96" t="str">
        <f>IFERROR(__xludf.DUMMYFUNCTION("""COMPUTED_VALUE"""),"")</f>
        <v/>
      </c>
      <c r="V73" s="97" t="str">
        <f>IFERROR(__xludf.DUMMYFUNCTION("""COMPUTED_VALUE"""),"")</f>
        <v/>
      </c>
      <c r="W73" s="95" t="str">
        <f>IFERROR(__xludf.DUMMYFUNCTION("""COMPUTED_VALUE"""),"")</f>
        <v/>
      </c>
      <c r="X73" s="96" t="str">
        <f>IFERROR(__xludf.DUMMYFUNCTION("""COMPUTED_VALUE"""),"")</f>
        <v/>
      </c>
      <c r="Y73" s="97" t="str">
        <f>IFERROR(__xludf.DUMMYFUNCTION("""COMPUTED_VALUE"""),"")</f>
        <v/>
      </c>
      <c r="Z73" s="95" t="str">
        <f>IFERROR(__xludf.DUMMYFUNCTION("""COMPUTED_VALUE"""),"")</f>
        <v/>
      </c>
      <c r="AA73" s="96" t="str">
        <f>IFERROR(__xludf.DUMMYFUNCTION("""COMPUTED_VALUE"""),"")</f>
        <v/>
      </c>
      <c r="AB73" s="97" t="str">
        <f>IFERROR(__xludf.DUMMYFUNCTION("""COMPUTED_VALUE"""),"")</f>
        <v/>
      </c>
      <c r="AC73" s="95" t="str">
        <f>IFERROR(__xludf.DUMMYFUNCTION("""COMPUTED_VALUE"""),"")</f>
        <v/>
      </c>
      <c r="AD73" s="96" t="str">
        <f>IFERROR(__xludf.DUMMYFUNCTION("""COMPUTED_VALUE"""),"")</f>
        <v/>
      </c>
      <c r="AE73" s="97" t="str">
        <f>IFERROR(__xludf.DUMMYFUNCTION("""COMPUTED_VALUE"""),"")</f>
        <v/>
      </c>
      <c r="AF73" s="95" t="str">
        <f>IFERROR(__xludf.DUMMYFUNCTION("""COMPUTED_VALUE"""),"")</f>
        <v/>
      </c>
      <c r="AG73" s="96" t="str">
        <f>IFERROR(__xludf.DUMMYFUNCTION("""COMPUTED_VALUE"""),"")</f>
        <v/>
      </c>
      <c r="AH73" s="97" t="str">
        <f>IFERROR(__xludf.DUMMYFUNCTION("""COMPUTED_VALUE"""),"")</f>
        <v/>
      </c>
      <c r="AI73" s="121" t="str">
        <f>IFERROR(__xludf.DUMMYFUNCTION("""COMPUTED_VALUE"""),"")</f>
        <v/>
      </c>
      <c r="AJ73" s="122" t="str">
        <f>IFERROR(__xludf.DUMMYFUNCTION("""COMPUTED_VALUE"""),"")</f>
        <v/>
      </c>
      <c r="AK73" s="123" t="str">
        <f>IFERROR(__xludf.DUMMYFUNCTION("""COMPUTED_VALUE"""),"")</f>
        <v/>
      </c>
      <c r="AL73" s="122" t="str">
        <f>IFERROR(__xludf.DUMMYFUNCTION("""COMPUTED_VALUE"""),"")</f>
        <v/>
      </c>
      <c r="AM73" s="122" t="str">
        <f>IFERROR(__xludf.DUMMYFUNCTION("""COMPUTED_VALUE"""),"")</f>
        <v/>
      </c>
      <c r="AN73" s="123" t="str">
        <f>IFERROR(__xludf.DUMMYFUNCTION("""COMPUTED_VALUE"""),"")</f>
        <v/>
      </c>
      <c r="AO73" s="122" t="str">
        <f>IFERROR(__xludf.DUMMYFUNCTION("""COMPUTED_VALUE"""),"")</f>
        <v/>
      </c>
      <c r="AP73" s="122" t="str">
        <f>IFERROR(__xludf.DUMMYFUNCTION("""COMPUTED_VALUE"""),"")</f>
        <v/>
      </c>
      <c r="AQ73" s="123" t="str">
        <f>IFERROR(__xludf.DUMMYFUNCTION("""COMPUTED_VALUE"""),"")</f>
        <v/>
      </c>
      <c r="AR73" s="122" t="str">
        <f>IFERROR(__xludf.DUMMYFUNCTION("""COMPUTED_VALUE"""),"")</f>
        <v/>
      </c>
      <c r="AS73" s="122" t="str">
        <f>IFERROR(__xludf.DUMMYFUNCTION("""COMPUTED_VALUE"""),"")</f>
        <v/>
      </c>
      <c r="AT73" s="123">
        <f>IFERROR(__xludf.DUMMYFUNCTION("""COMPUTED_VALUE"""),64.0)</f>
        <v>64</v>
      </c>
      <c r="AU73" s="122" t="str">
        <f>IFERROR(__xludf.DUMMYFUNCTION("""COMPUTED_VALUE"""),"")</f>
        <v/>
      </c>
      <c r="AV73" s="122" t="str">
        <f>IFERROR(__xludf.DUMMYFUNCTION("""COMPUTED_VALUE"""),"")</f>
        <v/>
      </c>
      <c r="AW73" s="123">
        <f>IFERROR(__xludf.DUMMYFUNCTION("""COMPUTED_VALUE"""),55.2)</f>
        <v>55.2</v>
      </c>
      <c r="AX73" s="122" t="str">
        <f>IFERROR(__xludf.DUMMYFUNCTION("""COMPUTED_VALUE"""),"")</f>
        <v/>
      </c>
      <c r="AY73" s="122" t="str">
        <f>IFERROR(__xludf.DUMMYFUNCTION("""COMPUTED_VALUE"""),"")</f>
        <v/>
      </c>
      <c r="AZ73" s="123" t="str">
        <f>IFERROR(__xludf.DUMMYFUNCTION("""COMPUTED_VALUE"""),"")</f>
        <v/>
      </c>
      <c r="BA73" s="122" t="str">
        <f>IFERROR(__xludf.DUMMYFUNCTION("""COMPUTED_VALUE"""),"")</f>
        <v/>
      </c>
      <c r="BB73" s="122" t="str">
        <f>IFERROR(__xludf.DUMMYFUNCTION("""COMPUTED_VALUE"""),"")</f>
        <v/>
      </c>
      <c r="BC73" s="123" t="str">
        <f>IFERROR(__xludf.DUMMYFUNCTION("""COMPUTED_VALUE"""),"")</f>
        <v/>
      </c>
      <c r="BD73" s="122" t="str">
        <f>IFERROR(__xludf.DUMMYFUNCTION("""COMPUTED_VALUE"""),"")</f>
        <v/>
      </c>
      <c r="BE73" s="122" t="str">
        <f>IFERROR(__xludf.DUMMYFUNCTION("""COMPUTED_VALUE"""),"")</f>
        <v/>
      </c>
      <c r="BF73" s="123" t="str">
        <f>IFERROR(__xludf.DUMMYFUNCTION("""COMPUTED_VALUE"""),"")</f>
        <v/>
      </c>
      <c r="BG73" s="121" t="str">
        <f>IFERROR(__xludf.DUMMYFUNCTION("""COMPUTED_VALUE"""),"")</f>
        <v/>
      </c>
      <c r="BH73" s="122" t="str">
        <f>IFERROR(__xludf.DUMMYFUNCTION("""COMPUTED_VALUE"""),"")</f>
        <v/>
      </c>
      <c r="BI73" s="123" t="str">
        <f>IFERROR(__xludf.DUMMYFUNCTION("""COMPUTED_VALUE"""),"")</f>
        <v/>
      </c>
      <c r="BJ73" s="122" t="str">
        <f>IFERROR(__xludf.DUMMYFUNCTION("""COMPUTED_VALUE"""),"")</f>
        <v/>
      </c>
      <c r="BK73" s="122" t="str">
        <f>IFERROR(__xludf.DUMMYFUNCTION("""COMPUTED_VALUE"""),"")</f>
        <v/>
      </c>
      <c r="BL73" s="123" t="str">
        <f>IFERROR(__xludf.DUMMYFUNCTION("""COMPUTED_VALUE"""),"")</f>
        <v/>
      </c>
      <c r="BM73" s="122" t="str">
        <f>IFERROR(__xludf.DUMMYFUNCTION("""COMPUTED_VALUE"""),"")</f>
        <v/>
      </c>
      <c r="BN73" s="122" t="str">
        <f>IFERROR(__xludf.DUMMYFUNCTION("""COMPUTED_VALUE"""),"")</f>
        <v/>
      </c>
      <c r="BO73" s="123" t="str">
        <f>IFERROR(__xludf.DUMMYFUNCTION("""COMPUTED_VALUE"""),"")</f>
        <v/>
      </c>
      <c r="BP73" s="122" t="str">
        <f>IFERROR(__xludf.DUMMYFUNCTION("""COMPUTED_VALUE"""),"")</f>
        <v/>
      </c>
      <c r="BQ73" s="122">
        <f>IFERROR(__xludf.DUMMYFUNCTION("""COMPUTED_VALUE"""),86.3)</f>
        <v>86.3</v>
      </c>
      <c r="BR73" s="123" t="str">
        <f>IFERROR(__xludf.DUMMYFUNCTION("""COMPUTED_VALUE"""),"")</f>
        <v/>
      </c>
      <c r="BS73" s="122">
        <f>IFERROR(__xludf.DUMMYFUNCTION("""COMPUTED_VALUE"""),107.9)</f>
        <v>107.9</v>
      </c>
      <c r="BT73" s="122" t="str">
        <f>IFERROR(__xludf.DUMMYFUNCTION("""COMPUTED_VALUE"""),"")</f>
        <v/>
      </c>
      <c r="BU73" s="123" t="str">
        <f>IFERROR(__xludf.DUMMYFUNCTION("""COMPUTED_VALUE"""),"")</f>
        <v/>
      </c>
      <c r="BV73" s="122" t="str">
        <f>IFERROR(__xludf.DUMMYFUNCTION("""COMPUTED_VALUE"""),"")</f>
        <v/>
      </c>
      <c r="BW73" s="122" t="str">
        <f>IFERROR(__xludf.DUMMYFUNCTION("""COMPUTED_VALUE"""),"")</f>
        <v/>
      </c>
      <c r="BX73" s="123" t="str">
        <f>IFERROR(__xludf.DUMMYFUNCTION("""COMPUTED_VALUE"""),"")</f>
        <v/>
      </c>
      <c r="BY73" s="122" t="str">
        <f>IFERROR(__xludf.DUMMYFUNCTION("""COMPUTED_VALUE"""),"")</f>
        <v/>
      </c>
      <c r="BZ73" s="122" t="str">
        <f>IFERROR(__xludf.DUMMYFUNCTION("""COMPUTED_VALUE"""),"")</f>
        <v/>
      </c>
      <c r="CA73" s="123" t="str">
        <f>IFERROR(__xludf.DUMMYFUNCTION("""COMPUTED_VALUE"""),"")</f>
        <v/>
      </c>
      <c r="CB73" s="121" t="str">
        <f>IFERROR(__xludf.DUMMYFUNCTION("""COMPUTED_VALUE"""),"")</f>
        <v/>
      </c>
      <c r="CC73" s="122" t="str">
        <f>IFERROR(__xludf.DUMMYFUNCTION("""COMPUTED_VALUE"""),"")</f>
        <v/>
      </c>
      <c r="CD73" s="123" t="str">
        <f>IFERROR(__xludf.DUMMYFUNCTION("""COMPUTED_VALUE"""),"")</f>
        <v/>
      </c>
      <c r="CE73" s="122" t="str">
        <f>IFERROR(__xludf.DUMMYFUNCTION("""COMPUTED_VALUE"""),"")</f>
        <v/>
      </c>
      <c r="CF73" s="122" t="str">
        <f>IFERROR(__xludf.DUMMYFUNCTION("""COMPUTED_VALUE"""),"")</f>
        <v/>
      </c>
      <c r="CG73" s="123" t="str">
        <f>IFERROR(__xludf.DUMMYFUNCTION("""COMPUTED_VALUE"""),"")</f>
        <v/>
      </c>
      <c r="CH73" s="122">
        <f>IFERROR(__xludf.DUMMYFUNCTION("""COMPUTED_VALUE"""),87.8)</f>
        <v>87.8</v>
      </c>
      <c r="CI73" s="122" t="str">
        <f>IFERROR(__xludf.DUMMYFUNCTION("""COMPUTED_VALUE"""),"")</f>
        <v/>
      </c>
      <c r="CJ73" s="123" t="str">
        <f>IFERROR(__xludf.DUMMYFUNCTION("""COMPUTED_VALUE"""),"")</f>
        <v/>
      </c>
      <c r="CK73" s="122">
        <f>IFERROR(__xludf.DUMMYFUNCTION("""COMPUTED_VALUE"""),88.6)</f>
        <v>88.6</v>
      </c>
      <c r="CL73" s="122" t="str">
        <f>IFERROR(__xludf.DUMMYFUNCTION("""COMPUTED_VALUE"""),"")</f>
        <v/>
      </c>
      <c r="CM73" s="123" t="str">
        <f>IFERROR(__xludf.DUMMYFUNCTION("""COMPUTED_VALUE"""),"")</f>
        <v/>
      </c>
      <c r="CN73" s="122" t="str">
        <f>IFERROR(__xludf.DUMMYFUNCTION("""COMPUTED_VALUE"""),"")</f>
        <v/>
      </c>
      <c r="CO73" s="122" t="str">
        <f>IFERROR(__xludf.DUMMYFUNCTION("""COMPUTED_VALUE"""),"")</f>
        <v/>
      </c>
      <c r="CP73" s="123" t="str">
        <f>IFERROR(__xludf.DUMMYFUNCTION("""COMPUTED_VALUE"""),"")</f>
        <v/>
      </c>
      <c r="CQ73" s="122" t="str">
        <f>IFERROR(__xludf.DUMMYFUNCTION("""COMPUTED_VALUE"""),"")</f>
        <v/>
      </c>
      <c r="CR73" s="122" t="str">
        <f>IFERROR(__xludf.DUMMYFUNCTION("""COMPUTED_VALUE"""),"")</f>
        <v/>
      </c>
      <c r="CS73" s="123"/>
      <c r="CT73" s="122"/>
      <c r="CU73" s="122"/>
      <c r="CV73" s="123"/>
      <c r="CW73" s="122"/>
      <c r="CX73" s="122"/>
      <c r="CY73" s="123"/>
      <c r="CZ73" s="122"/>
      <c r="DA73" s="122"/>
      <c r="DB73" s="123"/>
      <c r="DC73" s="122"/>
      <c r="DD73" s="122"/>
      <c r="DE73" s="123"/>
      <c r="DF73" s="122"/>
      <c r="DG73" s="122"/>
      <c r="DH73" s="123"/>
      <c r="DI73" s="122"/>
      <c r="DJ73" s="122"/>
      <c r="DK73" s="123"/>
      <c r="DL73" s="122"/>
      <c r="DM73" s="122"/>
      <c r="DN73" s="123"/>
      <c r="DO73" s="122"/>
      <c r="DP73" s="122"/>
      <c r="DQ73" s="123"/>
      <c r="DR73" s="122"/>
      <c r="DS73" s="122"/>
      <c r="DT73" s="123"/>
    </row>
    <row r="74">
      <c r="B74" s="120" t="str">
        <f>IFERROR(__xludf.DUMMYFUNCTION("""COMPUTED_VALUE"""),"SEP8")</f>
        <v>SEP8</v>
      </c>
      <c r="C74" s="82">
        <f>IFERROR(__xludf.DUMMYFUNCTION("""COMPUTED_VALUE"""),59.0)</f>
        <v>59</v>
      </c>
      <c r="D74" s="88" t="str">
        <f>IFERROR(__xludf.DUMMYFUNCTION("""COMPUTED_VALUE"""),"Gaul")</f>
        <v>Gaul</v>
      </c>
      <c r="E74" s="82" t="str">
        <f>IFERROR(__xludf.DUMMYFUNCTION("""COMPUTED_VALUE"""),"ガリア")</f>
        <v>ガリア</v>
      </c>
      <c r="F74" s="102">
        <f>IFERROR(__xludf.DUMMYFUNCTION("""COMPUTED_VALUE"""),9.0)</f>
        <v>9</v>
      </c>
      <c r="G74" s="82">
        <f>IFERROR(__xludf.DUMMYFUNCTION("""COMPUTED_VALUE"""),1160.0)</f>
        <v>1160</v>
      </c>
      <c r="H74" s="95" t="str">
        <f>IFERROR(__xludf.DUMMYFUNCTION("""COMPUTED_VALUE"""),"")</f>
        <v/>
      </c>
      <c r="I74" s="96" t="str">
        <f>IFERROR(__xludf.DUMMYFUNCTION("""COMPUTED_VALUE"""),"")</f>
        <v/>
      </c>
      <c r="J74" s="97" t="str">
        <f>IFERROR(__xludf.DUMMYFUNCTION("""COMPUTED_VALUE"""),"")</f>
        <v/>
      </c>
      <c r="K74" s="95" t="str">
        <f>IFERROR(__xludf.DUMMYFUNCTION("""COMPUTED_VALUE"""),"")</f>
        <v/>
      </c>
      <c r="L74" s="96" t="str">
        <f>IFERROR(__xludf.DUMMYFUNCTION("""COMPUTED_VALUE"""),"")</f>
        <v/>
      </c>
      <c r="M74" s="97" t="str">
        <f>IFERROR(__xludf.DUMMYFUNCTION("""COMPUTED_VALUE"""),"")</f>
        <v/>
      </c>
      <c r="N74" s="95" t="str">
        <f>IFERROR(__xludf.DUMMYFUNCTION("""COMPUTED_VALUE"""),"")</f>
        <v/>
      </c>
      <c r="O74" s="96" t="str">
        <f>IFERROR(__xludf.DUMMYFUNCTION("""COMPUTED_VALUE"""),"")</f>
        <v/>
      </c>
      <c r="P74" s="97" t="str">
        <f>IFERROR(__xludf.DUMMYFUNCTION("""COMPUTED_VALUE"""),"")</f>
        <v/>
      </c>
      <c r="Q74" s="95" t="str">
        <f>IFERROR(__xludf.DUMMYFUNCTION("""COMPUTED_VALUE"""),"")</f>
        <v/>
      </c>
      <c r="R74" s="96" t="str">
        <f>IFERROR(__xludf.DUMMYFUNCTION("""COMPUTED_VALUE"""),"")</f>
        <v/>
      </c>
      <c r="S74" s="97" t="str">
        <f>IFERROR(__xludf.DUMMYFUNCTION("""COMPUTED_VALUE"""),"")</f>
        <v/>
      </c>
      <c r="T74" s="95" t="str">
        <f>IFERROR(__xludf.DUMMYFUNCTION("""COMPUTED_VALUE"""),"")</f>
        <v/>
      </c>
      <c r="U74" s="96" t="str">
        <f>IFERROR(__xludf.DUMMYFUNCTION("""COMPUTED_VALUE"""),"")</f>
        <v/>
      </c>
      <c r="V74" s="97" t="str">
        <f>IFERROR(__xludf.DUMMYFUNCTION("""COMPUTED_VALUE"""),"")</f>
        <v/>
      </c>
      <c r="W74" s="95" t="str">
        <f>IFERROR(__xludf.DUMMYFUNCTION("""COMPUTED_VALUE"""),"")</f>
        <v/>
      </c>
      <c r="X74" s="96" t="str">
        <f>IFERROR(__xludf.DUMMYFUNCTION("""COMPUTED_VALUE"""),"")</f>
        <v/>
      </c>
      <c r="Y74" s="97" t="str">
        <f>IFERROR(__xludf.DUMMYFUNCTION("""COMPUTED_VALUE"""),"")</f>
        <v/>
      </c>
      <c r="Z74" s="95" t="str">
        <f>IFERROR(__xludf.DUMMYFUNCTION("""COMPUTED_VALUE"""),"")</f>
        <v/>
      </c>
      <c r="AA74" s="96" t="str">
        <f>IFERROR(__xludf.DUMMYFUNCTION("""COMPUTED_VALUE"""),"")</f>
        <v/>
      </c>
      <c r="AB74" s="97">
        <f>IFERROR(__xludf.DUMMYFUNCTION("""COMPUTED_VALUE"""),151.3)</f>
        <v>151.3</v>
      </c>
      <c r="AC74" s="95" t="str">
        <f>IFERROR(__xludf.DUMMYFUNCTION("""COMPUTED_VALUE"""),"")</f>
        <v/>
      </c>
      <c r="AD74" s="96" t="str">
        <f>IFERROR(__xludf.DUMMYFUNCTION("""COMPUTED_VALUE"""),"")</f>
        <v/>
      </c>
      <c r="AE74" s="97" t="str">
        <f>IFERROR(__xludf.DUMMYFUNCTION("""COMPUTED_VALUE"""),"")</f>
        <v/>
      </c>
      <c r="AF74" s="95" t="str">
        <f>IFERROR(__xludf.DUMMYFUNCTION("""COMPUTED_VALUE"""),"")</f>
        <v/>
      </c>
      <c r="AG74" s="96" t="str">
        <f>IFERROR(__xludf.DUMMYFUNCTION("""COMPUTED_VALUE"""),"")</f>
        <v/>
      </c>
      <c r="AH74" s="97" t="str">
        <f>IFERROR(__xludf.DUMMYFUNCTION("""COMPUTED_VALUE"""),"")</f>
        <v/>
      </c>
      <c r="AI74" s="92" t="str">
        <f>IFERROR(__xludf.DUMMYFUNCTION("""COMPUTED_VALUE"""),"")</f>
        <v/>
      </c>
      <c r="AJ74" s="93" t="str">
        <f>IFERROR(__xludf.DUMMYFUNCTION("""COMPUTED_VALUE"""),"")</f>
        <v/>
      </c>
      <c r="AK74" s="94" t="str">
        <f>IFERROR(__xludf.DUMMYFUNCTION("""COMPUTED_VALUE"""),"")</f>
        <v/>
      </c>
      <c r="AL74" s="93" t="str">
        <f>IFERROR(__xludf.DUMMYFUNCTION("""COMPUTED_VALUE"""),"")</f>
        <v/>
      </c>
      <c r="AM74" s="93" t="str">
        <f>IFERROR(__xludf.DUMMYFUNCTION("""COMPUTED_VALUE"""),"")</f>
        <v/>
      </c>
      <c r="AN74" s="94" t="str">
        <f>IFERROR(__xludf.DUMMYFUNCTION("""COMPUTED_VALUE"""),"")</f>
        <v/>
      </c>
      <c r="AO74" s="93" t="str">
        <f>IFERROR(__xludf.DUMMYFUNCTION("""COMPUTED_VALUE"""),"")</f>
        <v/>
      </c>
      <c r="AP74" s="93" t="str">
        <f>IFERROR(__xludf.DUMMYFUNCTION("""COMPUTED_VALUE"""),"")</f>
        <v/>
      </c>
      <c r="AQ74" s="94" t="str">
        <f>IFERROR(__xludf.DUMMYFUNCTION("""COMPUTED_VALUE"""),"")</f>
        <v/>
      </c>
      <c r="AR74" s="93" t="str">
        <f>IFERROR(__xludf.DUMMYFUNCTION("""COMPUTED_VALUE"""),"")</f>
        <v/>
      </c>
      <c r="AS74" s="93" t="str">
        <f>IFERROR(__xludf.DUMMYFUNCTION("""COMPUTED_VALUE"""),"")</f>
        <v/>
      </c>
      <c r="AT74" s="94">
        <f>IFERROR(__xludf.DUMMYFUNCTION("""COMPUTED_VALUE"""),60.3)</f>
        <v>60.3</v>
      </c>
      <c r="AU74" s="93" t="str">
        <f>IFERROR(__xludf.DUMMYFUNCTION("""COMPUTED_VALUE"""),"")</f>
        <v/>
      </c>
      <c r="AV74" s="93" t="str">
        <f>IFERROR(__xludf.DUMMYFUNCTION("""COMPUTED_VALUE"""),"")</f>
        <v/>
      </c>
      <c r="AW74" s="94">
        <f>IFERROR(__xludf.DUMMYFUNCTION("""COMPUTED_VALUE"""),113.5)</f>
        <v>113.5</v>
      </c>
      <c r="AX74" s="93" t="str">
        <f>IFERROR(__xludf.DUMMYFUNCTION("""COMPUTED_VALUE"""),"")</f>
        <v/>
      </c>
      <c r="AY74" s="93" t="str">
        <f>IFERROR(__xludf.DUMMYFUNCTION("""COMPUTED_VALUE"""),"")</f>
        <v/>
      </c>
      <c r="AZ74" s="94" t="str">
        <f>IFERROR(__xludf.DUMMYFUNCTION("""COMPUTED_VALUE"""),"")</f>
        <v/>
      </c>
      <c r="BA74" s="93" t="str">
        <f>IFERROR(__xludf.DUMMYFUNCTION("""COMPUTED_VALUE"""),"")</f>
        <v/>
      </c>
      <c r="BB74" s="93" t="str">
        <f>IFERROR(__xludf.DUMMYFUNCTION("""COMPUTED_VALUE"""),"")</f>
        <v/>
      </c>
      <c r="BC74" s="94" t="str">
        <f>IFERROR(__xludf.DUMMYFUNCTION("""COMPUTED_VALUE"""),"")</f>
        <v/>
      </c>
      <c r="BD74" s="93" t="str">
        <f>IFERROR(__xludf.DUMMYFUNCTION("""COMPUTED_VALUE"""),"")</f>
        <v/>
      </c>
      <c r="BE74" s="93" t="str">
        <f>IFERROR(__xludf.DUMMYFUNCTION("""COMPUTED_VALUE"""),"")</f>
        <v/>
      </c>
      <c r="BF74" s="94" t="str">
        <f>IFERROR(__xludf.DUMMYFUNCTION("""COMPUTED_VALUE"""),"")</f>
        <v/>
      </c>
      <c r="BG74" s="92" t="str">
        <f>IFERROR(__xludf.DUMMYFUNCTION("""COMPUTED_VALUE"""),"")</f>
        <v/>
      </c>
      <c r="BH74" s="93" t="str">
        <f>IFERROR(__xludf.DUMMYFUNCTION("""COMPUTED_VALUE"""),"")</f>
        <v/>
      </c>
      <c r="BI74" s="94" t="str">
        <f>IFERROR(__xludf.DUMMYFUNCTION("""COMPUTED_VALUE"""),"")</f>
        <v/>
      </c>
      <c r="BJ74" s="93" t="str">
        <f>IFERROR(__xludf.DUMMYFUNCTION("""COMPUTED_VALUE"""),"")</f>
        <v/>
      </c>
      <c r="BK74" s="93" t="str">
        <f>IFERROR(__xludf.DUMMYFUNCTION("""COMPUTED_VALUE"""),"")</f>
        <v/>
      </c>
      <c r="BL74" s="94" t="str">
        <f>IFERROR(__xludf.DUMMYFUNCTION("""COMPUTED_VALUE"""),"")</f>
        <v/>
      </c>
      <c r="BM74" s="93" t="str">
        <f>IFERROR(__xludf.DUMMYFUNCTION("""COMPUTED_VALUE"""),"")</f>
        <v/>
      </c>
      <c r="BN74" s="93" t="str">
        <f>IFERROR(__xludf.DUMMYFUNCTION("""COMPUTED_VALUE"""),"")</f>
        <v/>
      </c>
      <c r="BO74" s="94" t="str">
        <f>IFERROR(__xludf.DUMMYFUNCTION("""COMPUTED_VALUE"""),"")</f>
        <v/>
      </c>
      <c r="BP74" s="93" t="str">
        <f>IFERROR(__xludf.DUMMYFUNCTION("""COMPUTED_VALUE"""),"")</f>
        <v/>
      </c>
      <c r="BQ74" s="93" t="str">
        <f>IFERROR(__xludf.DUMMYFUNCTION("""COMPUTED_VALUE"""),"")</f>
        <v/>
      </c>
      <c r="BR74" s="94">
        <f>IFERROR(__xludf.DUMMYFUNCTION("""COMPUTED_VALUE"""),98.5)</f>
        <v>98.5</v>
      </c>
      <c r="BS74" s="93">
        <f>IFERROR(__xludf.DUMMYFUNCTION("""COMPUTED_VALUE"""),73.5)</f>
        <v>73.5</v>
      </c>
      <c r="BT74" s="93" t="str">
        <f>IFERROR(__xludf.DUMMYFUNCTION("""COMPUTED_VALUE"""),"")</f>
        <v/>
      </c>
      <c r="BU74" s="94" t="str">
        <f>IFERROR(__xludf.DUMMYFUNCTION("""COMPUTED_VALUE"""),"")</f>
        <v/>
      </c>
      <c r="BV74" s="93" t="str">
        <f>IFERROR(__xludf.DUMMYFUNCTION("""COMPUTED_VALUE"""),"")</f>
        <v/>
      </c>
      <c r="BW74" s="93">
        <f>IFERROR(__xludf.DUMMYFUNCTION("""COMPUTED_VALUE"""),54.9)</f>
        <v>54.9</v>
      </c>
      <c r="BX74" s="94" t="str">
        <f>IFERROR(__xludf.DUMMYFUNCTION("""COMPUTED_VALUE"""),"")</f>
        <v/>
      </c>
      <c r="BY74" s="93" t="str">
        <f>IFERROR(__xludf.DUMMYFUNCTION("""COMPUTED_VALUE"""),"")</f>
        <v/>
      </c>
      <c r="BZ74" s="93" t="str">
        <f>IFERROR(__xludf.DUMMYFUNCTION("""COMPUTED_VALUE"""),"")</f>
        <v/>
      </c>
      <c r="CA74" s="94" t="str">
        <f>IFERROR(__xludf.DUMMYFUNCTION("""COMPUTED_VALUE"""),"")</f>
        <v/>
      </c>
      <c r="CB74" s="92" t="str">
        <f>IFERROR(__xludf.DUMMYFUNCTION("""COMPUTED_VALUE"""),"")</f>
        <v/>
      </c>
      <c r="CC74" s="93" t="str">
        <f>IFERROR(__xludf.DUMMYFUNCTION("""COMPUTED_VALUE"""),"")</f>
        <v/>
      </c>
      <c r="CD74" s="94" t="str">
        <f>IFERROR(__xludf.DUMMYFUNCTION("""COMPUTED_VALUE"""),"")</f>
        <v/>
      </c>
      <c r="CE74" s="93">
        <f>IFERROR(__xludf.DUMMYFUNCTION("""COMPUTED_VALUE"""),96.7)</f>
        <v>96.7</v>
      </c>
      <c r="CF74" s="93" t="str">
        <f>IFERROR(__xludf.DUMMYFUNCTION("""COMPUTED_VALUE"""),"")</f>
        <v/>
      </c>
      <c r="CG74" s="94" t="str">
        <f>IFERROR(__xludf.DUMMYFUNCTION("""COMPUTED_VALUE"""),"")</f>
        <v/>
      </c>
      <c r="CH74" s="93" t="str">
        <f>IFERROR(__xludf.DUMMYFUNCTION("""COMPUTED_VALUE"""),"")</f>
        <v/>
      </c>
      <c r="CI74" s="93" t="str">
        <f>IFERROR(__xludf.DUMMYFUNCTION("""COMPUTED_VALUE"""),"")</f>
        <v/>
      </c>
      <c r="CJ74" s="94" t="str">
        <f>IFERROR(__xludf.DUMMYFUNCTION("""COMPUTED_VALUE"""),"")</f>
        <v/>
      </c>
      <c r="CK74" s="93" t="str">
        <f>IFERROR(__xludf.DUMMYFUNCTION("""COMPUTED_VALUE"""),"")</f>
        <v/>
      </c>
      <c r="CL74" s="93" t="str">
        <f>IFERROR(__xludf.DUMMYFUNCTION("""COMPUTED_VALUE"""),"")</f>
        <v/>
      </c>
      <c r="CM74" s="94" t="str">
        <f>IFERROR(__xludf.DUMMYFUNCTION("""COMPUTED_VALUE"""),"")</f>
        <v/>
      </c>
      <c r="CN74" s="93" t="str">
        <f>IFERROR(__xludf.DUMMYFUNCTION("""COMPUTED_VALUE"""),"")</f>
        <v/>
      </c>
      <c r="CO74" s="93" t="str">
        <f>IFERROR(__xludf.DUMMYFUNCTION("""COMPUTED_VALUE"""),"")</f>
        <v/>
      </c>
      <c r="CP74" s="94" t="str">
        <f>IFERROR(__xludf.DUMMYFUNCTION("""COMPUTED_VALUE"""),"")</f>
        <v/>
      </c>
      <c r="CQ74" s="93" t="str">
        <f>IFERROR(__xludf.DUMMYFUNCTION("""COMPUTED_VALUE"""),"")</f>
        <v/>
      </c>
      <c r="CR74" s="93" t="str">
        <f>IFERROR(__xludf.DUMMYFUNCTION("""COMPUTED_VALUE"""),"")</f>
        <v/>
      </c>
      <c r="CS74" s="94"/>
      <c r="CT74" s="93"/>
      <c r="CU74" s="93"/>
      <c r="CV74" s="94"/>
      <c r="CW74" s="93"/>
      <c r="CX74" s="93"/>
      <c r="CY74" s="94"/>
      <c r="CZ74" s="93"/>
      <c r="DA74" s="93"/>
      <c r="DB74" s="94"/>
      <c r="DC74" s="93"/>
      <c r="DD74" s="93"/>
      <c r="DE74" s="94"/>
      <c r="DF74" s="93"/>
      <c r="DG74" s="93"/>
      <c r="DH74" s="94"/>
      <c r="DI74" s="93"/>
      <c r="DJ74" s="93"/>
      <c r="DK74" s="94"/>
      <c r="DL74" s="93"/>
      <c r="DM74" s="93"/>
      <c r="DN74" s="94"/>
      <c r="DO74" s="93"/>
      <c r="DP74" s="93"/>
      <c r="DQ74" s="94"/>
      <c r="DR74" s="93"/>
      <c r="DS74" s="93"/>
      <c r="DT74" s="94"/>
    </row>
    <row r="75">
      <c r="B75" s="120" t="str">
        <f>IFERROR(__xludf.DUMMYFUNCTION("""COMPUTED_VALUE"""),"SEP9")</f>
        <v>SEP9</v>
      </c>
      <c r="C75" s="82">
        <f>IFERROR(__xludf.DUMMYFUNCTION("""COMPUTED_VALUE"""),60.0)</f>
        <v>60</v>
      </c>
      <c r="D75" s="88" t="str">
        <f>IFERROR(__xludf.DUMMYFUNCTION("""COMPUTED_VALUE"""),"Britannia")</f>
        <v>Britannia</v>
      </c>
      <c r="E75" s="82" t="str">
        <f>IFERROR(__xludf.DUMMYFUNCTION("""COMPUTED_VALUE"""),"ブリタニア")</f>
        <v>ブリタニア</v>
      </c>
      <c r="F75" s="102">
        <f>IFERROR(__xludf.DUMMYFUNCTION("""COMPUTED_VALUE"""),10.0)</f>
        <v>10</v>
      </c>
      <c r="G75" s="82">
        <f>IFERROR(__xludf.DUMMYFUNCTION("""COMPUTED_VALUE"""),1135.0)</f>
        <v>1135</v>
      </c>
      <c r="H75" s="95" t="str">
        <f>IFERROR(__xludf.DUMMYFUNCTION("""COMPUTED_VALUE"""),"")</f>
        <v/>
      </c>
      <c r="I75" s="96" t="str">
        <f>IFERROR(__xludf.DUMMYFUNCTION("""COMPUTED_VALUE"""),"")</f>
        <v/>
      </c>
      <c r="J75" s="97" t="str">
        <f>IFERROR(__xludf.DUMMYFUNCTION("""COMPUTED_VALUE"""),"")</f>
        <v/>
      </c>
      <c r="K75" s="95" t="str">
        <f>IFERROR(__xludf.DUMMYFUNCTION("""COMPUTED_VALUE"""),"")</f>
        <v/>
      </c>
      <c r="L75" s="96" t="str">
        <f>IFERROR(__xludf.DUMMYFUNCTION("""COMPUTED_VALUE"""),"")</f>
        <v/>
      </c>
      <c r="M75" s="97" t="str">
        <f>IFERROR(__xludf.DUMMYFUNCTION("""COMPUTED_VALUE"""),"")</f>
        <v/>
      </c>
      <c r="N75" s="95" t="str">
        <f>IFERROR(__xludf.DUMMYFUNCTION("""COMPUTED_VALUE"""),"")</f>
        <v/>
      </c>
      <c r="O75" s="96" t="str">
        <f>IFERROR(__xludf.DUMMYFUNCTION("""COMPUTED_VALUE"""),"")</f>
        <v/>
      </c>
      <c r="P75" s="97" t="str">
        <f>IFERROR(__xludf.DUMMYFUNCTION("""COMPUTED_VALUE"""),"")</f>
        <v/>
      </c>
      <c r="Q75" s="95" t="str">
        <f>IFERROR(__xludf.DUMMYFUNCTION("""COMPUTED_VALUE"""),"")</f>
        <v/>
      </c>
      <c r="R75" s="96" t="str">
        <f>IFERROR(__xludf.DUMMYFUNCTION("""COMPUTED_VALUE"""),"")</f>
        <v/>
      </c>
      <c r="S75" s="97" t="str">
        <f>IFERROR(__xludf.DUMMYFUNCTION("""COMPUTED_VALUE"""),"")</f>
        <v/>
      </c>
      <c r="T75" s="95" t="str">
        <f>IFERROR(__xludf.DUMMYFUNCTION("""COMPUTED_VALUE"""),"")</f>
        <v/>
      </c>
      <c r="U75" s="96" t="str">
        <f>IFERROR(__xludf.DUMMYFUNCTION("""COMPUTED_VALUE"""),"")</f>
        <v/>
      </c>
      <c r="V75" s="97" t="str">
        <f>IFERROR(__xludf.DUMMYFUNCTION("""COMPUTED_VALUE"""),"")</f>
        <v/>
      </c>
      <c r="W75" s="95" t="str">
        <f>IFERROR(__xludf.DUMMYFUNCTION("""COMPUTED_VALUE"""),"")</f>
        <v/>
      </c>
      <c r="X75" s="96" t="str">
        <f>IFERROR(__xludf.DUMMYFUNCTION("""COMPUTED_VALUE"""),"")</f>
        <v/>
      </c>
      <c r="Y75" s="97" t="str">
        <f>IFERROR(__xludf.DUMMYFUNCTION("""COMPUTED_VALUE"""),"")</f>
        <v/>
      </c>
      <c r="Z75" s="95">
        <f>IFERROR(__xludf.DUMMYFUNCTION("""COMPUTED_VALUE"""),85.3)</f>
        <v>85.3</v>
      </c>
      <c r="AA75" s="96" t="str">
        <f>IFERROR(__xludf.DUMMYFUNCTION("""COMPUTED_VALUE"""),"")</f>
        <v/>
      </c>
      <c r="AB75" s="97" t="str">
        <f>IFERROR(__xludf.DUMMYFUNCTION("""COMPUTED_VALUE"""),"")</f>
        <v/>
      </c>
      <c r="AC75" s="95" t="str">
        <f>IFERROR(__xludf.DUMMYFUNCTION("""COMPUTED_VALUE"""),"")</f>
        <v/>
      </c>
      <c r="AD75" s="96" t="str">
        <f>IFERROR(__xludf.DUMMYFUNCTION("""COMPUTED_VALUE"""),"")</f>
        <v/>
      </c>
      <c r="AE75" s="97" t="str">
        <f>IFERROR(__xludf.DUMMYFUNCTION("""COMPUTED_VALUE"""),"")</f>
        <v/>
      </c>
      <c r="AF75" s="95" t="str">
        <f>IFERROR(__xludf.DUMMYFUNCTION("""COMPUTED_VALUE"""),"")</f>
        <v/>
      </c>
      <c r="AG75" s="96" t="str">
        <f>IFERROR(__xludf.DUMMYFUNCTION("""COMPUTED_VALUE"""),"")</f>
        <v/>
      </c>
      <c r="AH75" s="97" t="str">
        <f>IFERROR(__xludf.DUMMYFUNCTION("""COMPUTED_VALUE"""),"")</f>
        <v/>
      </c>
      <c r="AI75" s="121" t="str">
        <f>IFERROR(__xludf.DUMMYFUNCTION("""COMPUTED_VALUE"""),"")</f>
        <v/>
      </c>
      <c r="AJ75" s="122" t="str">
        <f>IFERROR(__xludf.DUMMYFUNCTION("""COMPUTED_VALUE"""),"")</f>
        <v/>
      </c>
      <c r="AK75" s="123" t="str">
        <f>IFERROR(__xludf.DUMMYFUNCTION("""COMPUTED_VALUE"""),"")</f>
        <v/>
      </c>
      <c r="AL75" s="122" t="str">
        <f>IFERROR(__xludf.DUMMYFUNCTION("""COMPUTED_VALUE"""),"")</f>
        <v/>
      </c>
      <c r="AM75" s="122" t="str">
        <f>IFERROR(__xludf.DUMMYFUNCTION("""COMPUTED_VALUE"""),"")</f>
        <v/>
      </c>
      <c r="AN75" s="123" t="str">
        <f>IFERROR(__xludf.DUMMYFUNCTION("""COMPUTED_VALUE"""),"")</f>
        <v/>
      </c>
      <c r="AO75" s="122" t="str">
        <f>IFERROR(__xludf.DUMMYFUNCTION("""COMPUTED_VALUE"""),"")</f>
        <v/>
      </c>
      <c r="AP75" s="122" t="str">
        <f>IFERROR(__xludf.DUMMYFUNCTION("""COMPUTED_VALUE"""),"")</f>
        <v/>
      </c>
      <c r="AQ75" s="123" t="str">
        <f>IFERROR(__xludf.DUMMYFUNCTION("""COMPUTED_VALUE"""),"")</f>
        <v/>
      </c>
      <c r="AR75" s="122" t="str">
        <f>IFERROR(__xludf.DUMMYFUNCTION("""COMPUTED_VALUE"""),"")</f>
        <v/>
      </c>
      <c r="AS75" s="122" t="str">
        <f>IFERROR(__xludf.DUMMYFUNCTION("""COMPUTED_VALUE"""),"")</f>
        <v/>
      </c>
      <c r="AT75" s="123" t="str">
        <f>IFERROR(__xludf.DUMMYFUNCTION("""COMPUTED_VALUE"""),"")</f>
        <v/>
      </c>
      <c r="AU75" s="122" t="str">
        <f>IFERROR(__xludf.DUMMYFUNCTION("""COMPUTED_VALUE"""),"")</f>
        <v/>
      </c>
      <c r="AV75" s="122" t="str">
        <f>IFERROR(__xludf.DUMMYFUNCTION("""COMPUTED_VALUE"""),"")</f>
        <v/>
      </c>
      <c r="AW75" s="123" t="str">
        <f>IFERROR(__xludf.DUMMYFUNCTION("""COMPUTED_VALUE"""),"")</f>
        <v/>
      </c>
      <c r="AX75" s="122" t="str">
        <f>IFERROR(__xludf.DUMMYFUNCTION("""COMPUTED_VALUE"""),"")</f>
        <v/>
      </c>
      <c r="AY75" s="122" t="str">
        <f>IFERROR(__xludf.DUMMYFUNCTION("""COMPUTED_VALUE"""),"")</f>
        <v/>
      </c>
      <c r="AZ75" s="123" t="str">
        <f>IFERROR(__xludf.DUMMYFUNCTION("""COMPUTED_VALUE"""),"")</f>
        <v/>
      </c>
      <c r="BA75" s="122" t="str">
        <f>IFERROR(__xludf.DUMMYFUNCTION("""COMPUTED_VALUE"""),"")</f>
        <v/>
      </c>
      <c r="BB75" s="122" t="str">
        <f>IFERROR(__xludf.DUMMYFUNCTION("""COMPUTED_VALUE"""),"")</f>
        <v/>
      </c>
      <c r="BC75" s="123" t="str">
        <f>IFERROR(__xludf.DUMMYFUNCTION("""COMPUTED_VALUE"""),"")</f>
        <v/>
      </c>
      <c r="BD75" s="122" t="str">
        <f>IFERROR(__xludf.DUMMYFUNCTION("""COMPUTED_VALUE"""),"")</f>
        <v/>
      </c>
      <c r="BE75" s="122" t="str">
        <f>IFERROR(__xludf.DUMMYFUNCTION("""COMPUTED_VALUE"""),"")</f>
        <v/>
      </c>
      <c r="BF75" s="123" t="str">
        <f>IFERROR(__xludf.DUMMYFUNCTION("""COMPUTED_VALUE"""),"")</f>
        <v/>
      </c>
      <c r="BG75" s="121" t="str">
        <f>IFERROR(__xludf.DUMMYFUNCTION("""COMPUTED_VALUE"""),"")</f>
        <v/>
      </c>
      <c r="BH75" s="122" t="str">
        <f>IFERROR(__xludf.DUMMYFUNCTION("""COMPUTED_VALUE"""),"")</f>
        <v/>
      </c>
      <c r="BI75" s="123" t="str">
        <f>IFERROR(__xludf.DUMMYFUNCTION("""COMPUTED_VALUE"""),"")</f>
        <v/>
      </c>
      <c r="BJ75" s="122" t="str">
        <f>IFERROR(__xludf.DUMMYFUNCTION("""COMPUTED_VALUE"""),"")</f>
        <v/>
      </c>
      <c r="BK75" s="122" t="str">
        <f>IFERROR(__xludf.DUMMYFUNCTION("""COMPUTED_VALUE"""),"")</f>
        <v/>
      </c>
      <c r="BL75" s="123" t="str">
        <f>IFERROR(__xludf.DUMMYFUNCTION("""COMPUTED_VALUE"""),"")</f>
        <v/>
      </c>
      <c r="BM75" s="122" t="str">
        <f>IFERROR(__xludf.DUMMYFUNCTION("""COMPUTED_VALUE"""),"")</f>
        <v/>
      </c>
      <c r="BN75" s="122" t="str">
        <f>IFERROR(__xludf.DUMMYFUNCTION("""COMPUTED_VALUE"""),"")</f>
        <v/>
      </c>
      <c r="BO75" s="123" t="str">
        <f>IFERROR(__xludf.DUMMYFUNCTION("""COMPUTED_VALUE"""),"")</f>
        <v/>
      </c>
      <c r="BP75" s="122" t="str">
        <f>IFERROR(__xludf.DUMMYFUNCTION("""COMPUTED_VALUE"""),"")</f>
        <v/>
      </c>
      <c r="BQ75" s="122">
        <f>IFERROR(__xludf.DUMMYFUNCTION("""COMPUTED_VALUE"""),39.7)</f>
        <v>39.7</v>
      </c>
      <c r="BR75" s="123" t="str">
        <f>IFERROR(__xludf.DUMMYFUNCTION("""COMPUTED_VALUE"""),"")</f>
        <v/>
      </c>
      <c r="BS75" s="122">
        <f>IFERROR(__xludf.DUMMYFUNCTION("""COMPUTED_VALUE"""),40.7)</f>
        <v>40.7</v>
      </c>
      <c r="BT75" s="122" t="str">
        <f>IFERROR(__xludf.DUMMYFUNCTION("""COMPUTED_VALUE"""),"")</f>
        <v/>
      </c>
      <c r="BU75" s="123" t="str">
        <f>IFERROR(__xludf.DUMMYFUNCTION("""COMPUTED_VALUE"""),"")</f>
        <v/>
      </c>
      <c r="BV75" s="122">
        <f>IFERROR(__xludf.DUMMYFUNCTION("""COMPUTED_VALUE"""),61.4)</f>
        <v>61.4</v>
      </c>
      <c r="BW75" s="122" t="str">
        <f>IFERROR(__xludf.DUMMYFUNCTION("""COMPUTED_VALUE"""),"")</f>
        <v/>
      </c>
      <c r="BX75" s="123" t="str">
        <f>IFERROR(__xludf.DUMMYFUNCTION("""COMPUTED_VALUE"""),"")</f>
        <v/>
      </c>
      <c r="BY75" s="122" t="str">
        <f>IFERROR(__xludf.DUMMYFUNCTION("""COMPUTED_VALUE"""),"")</f>
        <v/>
      </c>
      <c r="BZ75" s="122" t="str">
        <f>IFERROR(__xludf.DUMMYFUNCTION("""COMPUTED_VALUE"""),"")</f>
        <v/>
      </c>
      <c r="CA75" s="123" t="str">
        <f>IFERROR(__xludf.DUMMYFUNCTION("""COMPUTED_VALUE"""),"")</f>
        <v/>
      </c>
      <c r="CB75" s="121" t="str">
        <f>IFERROR(__xludf.DUMMYFUNCTION("""COMPUTED_VALUE"""),"")</f>
        <v/>
      </c>
      <c r="CC75" s="122" t="str">
        <f>IFERROR(__xludf.DUMMYFUNCTION("""COMPUTED_VALUE"""),"")</f>
        <v/>
      </c>
      <c r="CD75" s="123" t="str">
        <f>IFERROR(__xludf.DUMMYFUNCTION("""COMPUTED_VALUE"""),"")</f>
        <v/>
      </c>
      <c r="CE75" s="122" t="str">
        <f>IFERROR(__xludf.DUMMYFUNCTION("""COMPUTED_VALUE"""),"")</f>
        <v/>
      </c>
      <c r="CF75" s="122" t="str">
        <f>IFERROR(__xludf.DUMMYFUNCTION("""COMPUTED_VALUE"""),"")</f>
        <v/>
      </c>
      <c r="CG75" s="123" t="str">
        <f>IFERROR(__xludf.DUMMYFUNCTION("""COMPUTED_VALUE"""),"")</f>
        <v/>
      </c>
      <c r="CH75" s="122" t="str">
        <f>IFERROR(__xludf.DUMMYFUNCTION("""COMPUTED_VALUE"""),"")</f>
        <v/>
      </c>
      <c r="CI75" s="122" t="str">
        <f>IFERROR(__xludf.DUMMYFUNCTION("""COMPUTED_VALUE"""),"")</f>
        <v/>
      </c>
      <c r="CJ75" s="123" t="str">
        <f>IFERROR(__xludf.DUMMYFUNCTION("""COMPUTED_VALUE"""),"")</f>
        <v/>
      </c>
      <c r="CK75" s="122" t="str">
        <f>IFERROR(__xludf.DUMMYFUNCTION("""COMPUTED_VALUE"""),"")</f>
        <v/>
      </c>
      <c r="CL75" s="122" t="str">
        <f>IFERROR(__xludf.DUMMYFUNCTION("""COMPUTED_VALUE"""),"")</f>
        <v/>
      </c>
      <c r="CM75" s="123" t="str">
        <f>IFERROR(__xludf.DUMMYFUNCTION("""COMPUTED_VALUE"""),"")</f>
        <v/>
      </c>
      <c r="CN75" s="122" t="str">
        <f>IFERROR(__xludf.DUMMYFUNCTION("""COMPUTED_VALUE"""),"")</f>
        <v/>
      </c>
      <c r="CO75" s="122" t="str">
        <f>IFERROR(__xludf.DUMMYFUNCTION("""COMPUTED_VALUE"""),"")</f>
        <v/>
      </c>
      <c r="CP75" s="123" t="str">
        <f>IFERROR(__xludf.DUMMYFUNCTION("""COMPUTED_VALUE"""),"")</f>
        <v/>
      </c>
      <c r="CQ75" s="122" t="str">
        <f>IFERROR(__xludf.DUMMYFUNCTION("""COMPUTED_VALUE"""),"")</f>
        <v/>
      </c>
      <c r="CR75" s="122" t="str">
        <f>IFERROR(__xludf.DUMMYFUNCTION("""COMPUTED_VALUE"""),"")</f>
        <v/>
      </c>
      <c r="CS75" s="123"/>
      <c r="CT75" s="122"/>
      <c r="CU75" s="122"/>
      <c r="CV75" s="123"/>
      <c r="CW75" s="122"/>
      <c r="CX75" s="122"/>
      <c r="CY75" s="123"/>
      <c r="CZ75" s="122"/>
      <c r="DA75" s="122"/>
      <c r="DB75" s="123"/>
      <c r="DC75" s="122"/>
      <c r="DD75" s="122"/>
      <c r="DE75" s="123"/>
      <c r="DF75" s="122"/>
      <c r="DG75" s="122"/>
      <c r="DH75" s="123"/>
      <c r="DI75" s="122"/>
      <c r="DJ75" s="122"/>
      <c r="DK75" s="123"/>
      <c r="DL75" s="122"/>
      <c r="DM75" s="122"/>
      <c r="DN75" s="123"/>
      <c r="DO75" s="122"/>
      <c r="DP75" s="122"/>
      <c r="DQ75" s="123"/>
      <c r="DR75" s="122"/>
      <c r="DS75" s="122"/>
      <c r="DT75" s="123"/>
    </row>
    <row r="76">
      <c r="B76" s="120" t="str">
        <f>IFERROR(__xludf.DUMMYFUNCTION("""COMPUTED_VALUE"""),"SEP10")</f>
        <v>SEP10</v>
      </c>
      <c r="C76" s="82">
        <f>IFERROR(__xludf.DUMMYFUNCTION("""COMPUTED_VALUE"""),61.0)</f>
        <v>61</v>
      </c>
      <c r="D76" s="88" t="str">
        <f>IFERROR(__xludf.DUMMYFUNCTION("""COMPUTED_VALUE"""),"Shaped Isle")</f>
        <v>Shaped Isle</v>
      </c>
      <c r="E76" s="82" t="str">
        <f>IFERROR(__xludf.DUMMYFUNCTION("""COMPUTED_VALUE"""),"形ある島")</f>
        <v>形ある島</v>
      </c>
      <c r="F76" s="102">
        <f>IFERROR(__xludf.DUMMYFUNCTION("""COMPUTED_VALUE"""),9.0)</f>
        <v>9</v>
      </c>
      <c r="G76" s="82">
        <f>IFERROR(__xludf.DUMMYFUNCTION("""COMPUTED_VALUE"""),1006.0)</f>
        <v>1006</v>
      </c>
      <c r="H76" s="95" t="str">
        <f>IFERROR(__xludf.DUMMYFUNCTION("""COMPUTED_VALUE"""),"")</f>
        <v/>
      </c>
      <c r="I76" s="96" t="str">
        <f>IFERROR(__xludf.DUMMYFUNCTION("""COMPUTED_VALUE"""),"")</f>
        <v/>
      </c>
      <c r="J76" s="97" t="str">
        <f>IFERROR(__xludf.DUMMYFUNCTION("""COMPUTED_VALUE"""),"")</f>
        <v/>
      </c>
      <c r="K76" s="95" t="str">
        <f>IFERROR(__xludf.DUMMYFUNCTION("""COMPUTED_VALUE"""),"")</f>
        <v/>
      </c>
      <c r="L76" s="96" t="str">
        <f>IFERROR(__xludf.DUMMYFUNCTION("""COMPUTED_VALUE"""),"")</f>
        <v/>
      </c>
      <c r="M76" s="97" t="str">
        <f>IFERROR(__xludf.DUMMYFUNCTION("""COMPUTED_VALUE"""),"")</f>
        <v/>
      </c>
      <c r="N76" s="95" t="str">
        <f>IFERROR(__xludf.DUMMYFUNCTION("""COMPUTED_VALUE"""),"")</f>
        <v/>
      </c>
      <c r="O76" s="96" t="str">
        <f>IFERROR(__xludf.DUMMYFUNCTION("""COMPUTED_VALUE"""),"")</f>
        <v/>
      </c>
      <c r="P76" s="97" t="str">
        <f>IFERROR(__xludf.DUMMYFUNCTION("""COMPUTED_VALUE"""),"")</f>
        <v/>
      </c>
      <c r="Q76" s="95" t="str">
        <f>IFERROR(__xludf.DUMMYFUNCTION("""COMPUTED_VALUE"""),"")</f>
        <v/>
      </c>
      <c r="R76" s="96" t="str">
        <f>IFERROR(__xludf.DUMMYFUNCTION("""COMPUTED_VALUE"""),"")</f>
        <v/>
      </c>
      <c r="S76" s="97" t="str">
        <f>IFERROR(__xludf.DUMMYFUNCTION("""COMPUTED_VALUE"""),"")</f>
        <v/>
      </c>
      <c r="T76" s="95" t="str">
        <f>IFERROR(__xludf.DUMMYFUNCTION("""COMPUTED_VALUE"""),"")</f>
        <v/>
      </c>
      <c r="U76" s="96" t="str">
        <f>IFERROR(__xludf.DUMMYFUNCTION("""COMPUTED_VALUE"""),"")</f>
        <v/>
      </c>
      <c r="V76" s="97" t="str">
        <f>IFERROR(__xludf.DUMMYFUNCTION("""COMPUTED_VALUE"""),"")</f>
        <v/>
      </c>
      <c r="W76" s="95" t="str">
        <f>IFERROR(__xludf.DUMMYFUNCTION("""COMPUTED_VALUE"""),"")</f>
        <v/>
      </c>
      <c r="X76" s="96" t="str">
        <f>IFERROR(__xludf.DUMMYFUNCTION("""COMPUTED_VALUE"""),"")</f>
        <v/>
      </c>
      <c r="Y76" s="97" t="str">
        <f>IFERROR(__xludf.DUMMYFUNCTION("""COMPUTED_VALUE"""),"")</f>
        <v/>
      </c>
      <c r="Z76" s="95" t="str">
        <f>IFERROR(__xludf.DUMMYFUNCTION("""COMPUTED_VALUE"""),"")</f>
        <v/>
      </c>
      <c r="AA76" s="96" t="str">
        <f>IFERROR(__xludf.DUMMYFUNCTION("""COMPUTED_VALUE"""),"")</f>
        <v/>
      </c>
      <c r="AB76" s="97" t="str">
        <f>IFERROR(__xludf.DUMMYFUNCTION("""COMPUTED_VALUE"""),"")</f>
        <v/>
      </c>
      <c r="AC76" s="95" t="str">
        <f>IFERROR(__xludf.DUMMYFUNCTION("""COMPUTED_VALUE"""),"")</f>
        <v/>
      </c>
      <c r="AD76" s="96" t="str">
        <f>IFERROR(__xludf.DUMMYFUNCTION("""COMPUTED_VALUE"""),"")</f>
        <v/>
      </c>
      <c r="AE76" s="97" t="str">
        <f>IFERROR(__xludf.DUMMYFUNCTION("""COMPUTED_VALUE"""),"")</f>
        <v/>
      </c>
      <c r="AF76" s="95" t="str">
        <f>IFERROR(__xludf.DUMMYFUNCTION("""COMPUTED_VALUE"""),"")</f>
        <v/>
      </c>
      <c r="AG76" s="96" t="str">
        <f>IFERROR(__xludf.DUMMYFUNCTION("""COMPUTED_VALUE"""),"")</f>
        <v/>
      </c>
      <c r="AH76" s="97" t="str">
        <f>IFERROR(__xludf.DUMMYFUNCTION("""COMPUTED_VALUE"""),"")</f>
        <v/>
      </c>
      <c r="AI76" s="92" t="str">
        <f>IFERROR(__xludf.DUMMYFUNCTION("""COMPUTED_VALUE"""),"")</f>
        <v/>
      </c>
      <c r="AJ76" s="93" t="str">
        <f>IFERROR(__xludf.DUMMYFUNCTION("""COMPUTED_VALUE"""),"")</f>
        <v/>
      </c>
      <c r="AK76" s="94" t="str">
        <f>IFERROR(__xludf.DUMMYFUNCTION("""COMPUTED_VALUE"""),"")</f>
        <v/>
      </c>
      <c r="AL76" s="93" t="str">
        <f>IFERROR(__xludf.DUMMYFUNCTION("""COMPUTED_VALUE"""),"")</f>
        <v/>
      </c>
      <c r="AM76" s="93" t="str">
        <f>IFERROR(__xludf.DUMMYFUNCTION("""COMPUTED_VALUE"""),"")</f>
        <v/>
      </c>
      <c r="AN76" s="94" t="str">
        <f>IFERROR(__xludf.DUMMYFUNCTION("""COMPUTED_VALUE"""),"")</f>
        <v/>
      </c>
      <c r="AO76" s="93" t="str">
        <f>IFERROR(__xludf.DUMMYFUNCTION("""COMPUTED_VALUE"""),"")</f>
        <v/>
      </c>
      <c r="AP76" s="93" t="str">
        <f>IFERROR(__xludf.DUMMYFUNCTION("""COMPUTED_VALUE"""),"")</f>
        <v/>
      </c>
      <c r="AQ76" s="94" t="str">
        <f>IFERROR(__xludf.DUMMYFUNCTION("""COMPUTED_VALUE"""),"")</f>
        <v/>
      </c>
      <c r="AR76" s="93" t="str">
        <f>IFERROR(__xludf.DUMMYFUNCTION("""COMPUTED_VALUE"""),"")</f>
        <v/>
      </c>
      <c r="AS76" s="93" t="str">
        <f>IFERROR(__xludf.DUMMYFUNCTION("""COMPUTED_VALUE"""),"")</f>
        <v/>
      </c>
      <c r="AT76" s="94" t="str">
        <f>IFERROR(__xludf.DUMMYFUNCTION("""COMPUTED_VALUE"""),"")</f>
        <v/>
      </c>
      <c r="AU76" s="93">
        <f>IFERROR(__xludf.DUMMYFUNCTION("""COMPUTED_VALUE"""),47.7)</f>
        <v>47.7</v>
      </c>
      <c r="AV76" s="93" t="str">
        <f>IFERROR(__xludf.DUMMYFUNCTION("""COMPUTED_VALUE"""),"")</f>
        <v/>
      </c>
      <c r="AW76" s="94">
        <f>IFERROR(__xludf.DUMMYFUNCTION("""COMPUTED_VALUE"""),106.5)</f>
        <v>106.5</v>
      </c>
      <c r="AX76" s="93" t="str">
        <f>IFERROR(__xludf.DUMMYFUNCTION("""COMPUTED_VALUE"""),"")</f>
        <v/>
      </c>
      <c r="AY76" s="93" t="str">
        <f>IFERROR(__xludf.DUMMYFUNCTION("""COMPUTED_VALUE"""),"")</f>
        <v/>
      </c>
      <c r="AZ76" s="94" t="str">
        <f>IFERROR(__xludf.DUMMYFUNCTION("""COMPUTED_VALUE"""),"")</f>
        <v/>
      </c>
      <c r="BA76" s="93" t="str">
        <f>IFERROR(__xludf.DUMMYFUNCTION("""COMPUTED_VALUE"""),"")</f>
        <v/>
      </c>
      <c r="BB76" s="93" t="str">
        <f>IFERROR(__xludf.DUMMYFUNCTION("""COMPUTED_VALUE"""),"")</f>
        <v/>
      </c>
      <c r="BC76" s="94" t="str">
        <f>IFERROR(__xludf.DUMMYFUNCTION("""COMPUTED_VALUE"""),"")</f>
        <v/>
      </c>
      <c r="BD76" s="93" t="str">
        <f>IFERROR(__xludf.DUMMYFUNCTION("""COMPUTED_VALUE"""),"")</f>
        <v/>
      </c>
      <c r="BE76" s="93" t="str">
        <f>IFERROR(__xludf.DUMMYFUNCTION("""COMPUTED_VALUE"""),"")</f>
        <v/>
      </c>
      <c r="BF76" s="94" t="str">
        <f>IFERROR(__xludf.DUMMYFUNCTION("""COMPUTED_VALUE"""),"")</f>
        <v/>
      </c>
      <c r="BG76" s="92" t="str">
        <f>IFERROR(__xludf.DUMMYFUNCTION("""COMPUTED_VALUE"""),"")</f>
        <v/>
      </c>
      <c r="BH76" s="93" t="str">
        <f>IFERROR(__xludf.DUMMYFUNCTION("""COMPUTED_VALUE"""),"")</f>
        <v/>
      </c>
      <c r="BI76" s="94" t="str">
        <f>IFERROR(__xludf.DUMMYFUNCTION("""COMPUTED_VALUE"""),"")</f>
        <v/>
      </c>
      <c r="BJ76" s="93" t="str">
        <f>IFERROR(__xludf.DUMMYFUNCTION("""COMPUTED_VALUE"""),"")</f>
        <v/>
      </c>
      <c r="BK76" s="93" t="str">
        <f>IFERROR(__xludf.DUMMYFUNCTION("""COMPUTED_VALUE"""),"")</f>
        <v/>
      </c>
      <c r="BL76" s="94" t="str">
        <f>IFERROR(__xludf.DUMMYFUNCTION("""COMPUTED_VALUE"""),"")</f>
        <v/>
      </c>
      <c r="BM76" s="93" t="str">
        <f>IFERROR(__xludf.DUMMYFUNCTION("""COMPUTED_VALUE"""),"")</f>
        <v/>
      </c>
      <c r="BN76" s="93" t="str">
        <f>IFERROR(__xludf.DUMMYFUNCTION("""COMPUTED_VALUE"""),"")</f>
        <v/>
      </c>
      <c r="BO76" s="94" t="str">
        <f>IFERROR(__xludf.DUMMYFUNCTION("""COMPUTED_VALUE"""),"")</f>
        <v/>
      </c>
      <c r="BP76" s="93" t="str">
        <f>IFERROR(__xludf.DUMMYFUNCTION("""COMPUTED_VALUE"""),"")</f>
        <v/>
      </c>
      <c r="BQ76" s="93" t="str">
        <f>IFERROR(__xludf.DUMMYFUNCTION("""COMPUTED_VALUE"""),"")</f>
        <v/>
      </c>
      <c r="BR76" s="94">
        <f>IFERROR(__xludf.DUMMYFUNCTION("""COMPUTED_VALUE"""),37.9)</f>
        <v>37.9</v>
      </c>
      <c r="BS76" s="93">
        <f>IFERROR(__xludf.DUMMYFUNCTION("""COMPUTED_VALUE"""),164.6)</f>
        <v>164.6</v>
      </c>
      <c r="BT76" s="93" t="str">
        <f>IFERROR(__xludf.DUMMYFUNCTION("""COMPUTED_VALUE"""),"")</f>
        <v/>
      </c>
      <c r="BU76" s="94" t="str">
        <f>IFERROR(__xludf.DUMMYFUNCTION("""COMPUTED_VALUE"""),"")</f>
        <v/>
      </c>
      <c r="BV76" s="93" t="str">
        <f>IFERROR(__xludf.DUMMYFUNCTION("""COMPUTED_VALUE"""),"")</f>
        <v/>
      </c>
      <c r="BW76" s="93" t="str">
        <f>IFERROR(__xludf.DUMMYFUNCTION("""COMPUTED_VALUE"""),"")</f>
        <v/>
      </c>
      <c r="BX76" s="94" t="str">
        <f>IFERROR(__xludf.DUMMYFUNCTION("""COMPUTED_VALUE"""),"")</f>
        <v/>
      </c>
      <c r="BY76" s="93" t="str">
        <f>IFERROR(__xludf.DUMMYFUNCTION("""COMPUTED_VALUE"""),"")</f>
        <v/>
      </c>
      <c r="BZ76" s="93" t="str">
        <f>IFERROR(__xludf.DUMMYFUNCTION("""COMPUTED_VALUE"""),"")</f>
        <v/>
      </c>
      <c r="CA76" s="94" t="str">
        <f>IFERROR(__xludf.DUMMYFUNCTION("""COMPUTED_VALUE"""),"")</f>
        <v/>
      </c>
      <c r="CB76" s="92" t="str">
        <f>IFERROR(__xludf.DUMMYFUNCTION("""COMPUTED_VALUE"""),"")</f>
        <v/>
      </c>
      <c r="CC76" s="93" t="str">
        <f>IFERROR(__xludf.DUMMYFUNCTION("""COMPUTED_VALUE"""),"")</f>
        <v/>
      </c>
      <c r="CD76" s="94" t="str">
        <f>IFERROR(__xludf.DUMMYFUNCTION("""COMPUTED_VALUE"""),"")</f>
        <v/>
      </c>
      <c r="CE76" s="93" t="str">
        <f>IFERROR(__xludf.DUMMYFUNCTION("""COMPUTED_VALUE"""),"")</f>
        <v/>
      </c>
      <c r="CF76" s="93" t="str">
        <f>IFERROR(__xludf.DUMMYFUNCTION("""COMPUTED_VALUE"""),"")</f>
        <v/>
      </c>
      <c r="CG76" s="94" t="str">
        <f>IFERROR(__xludf.DUMMYFUNCTION("""COMPUTED_VALUE"""),"")</f>
        <v/>
      </c>
      <c r="CH76" s="93" t="str">
        <f>IFERROR(__xludf.DUMMYFUNCTION("""COMPUTED_VALUE"""),"")</f>
        <v/>
      </c>
      <c r="CI76" s="93" t="str">
        <f>IFERROR(__xludf.DUMMYFUNCTION("""COMPUTED_VALUE"""),"")</f>
        <v/>
      </c>
      <c r="CJ76" s="94" t="str">
        <f>IFERROR(__xludf.DUMMYFUNCTION("""COMPUTED_VALUE"""),"")</f>
        <v/>
      </c>
      <c r="CK76" s="93">
        <f>IFERROR(__xludf.DUMMYFUNCTION("""COMPUTED_VALUE"""),93.3)</f>
        <v>93.3</v>
      </c>
      <c r="CL76" s="93" t="str">
        <f>IFERROR(__xludf.DUMMYFUNCTION("""COMPUTED_VALUE"""),"")</f>
        <v/>
      </c>
      <c r="CM76" s="94" t="str">
        <f>IFERROR(__xludf.DUMMYFUNCTION("""COMPUTED_VALUE"""),"")</f>
        <v/>
      </c>
      <c r="CN76" s="93" t="str">
        <f>IFERROR(__xludf.DUMMYFUNCTION("""COMPUTED_VALUE"""),"")</f>
        <v/>
      </c>
      <c r="CO76" s="93" t="str">
        <f>IFERROR(__xludf.DUMMYFUNCTION("""COMPUTED_VALUE"""),"")</f>
        <v/>
      </c>
      <c r="CP76" s="94" t="str">
        <f>IFERROR(__xludf.DUMMYFUNCTION("""COMPUTED_VALUE"""),"")</f>
        <v/>
      </c>
      <c r="CQ76" s="93" t="str">
        <f>IFERROR(__xludf.DUMMYFUNCTION("""COMPUTED_VALUE"""),"")</f>
        <v/>
      </c>
      <c r="CR76" s="93" t="str">
        <f>IFERROR(__xludf.DUMMYFUNCTION("""COMPUTED_VALUE"""),"")</f>
        <v/>
      </c>
      <c r="CS76" s="94"/>
      <c r="CT76" s="93"/>
      <c r="CU76" s="93"/>
      <c r="CV76" s="94"/>
      <c r="CW76" s="93"/>
      <c r="CX76" s="93"/>
      <c r="CY76" s="94"/>
      <c r="CZ76" s="93"/>
      <c r="DA76" s="93"/>
      <c r="DB76" s="94"/>
      <c r="DC76" s="93"/>
      <c r="DD76" s="93"/>
      <c r="DE76" s="94"/>
      <c r="DF76" s="93"/>
      <c r="DG76" s="93"/>
      <c r="DH76" s="94"/>
      <c r="DI76" s="93"/>
      <c r="DJ76" s="93"/>
      <c r="DK76" s="94"/>
      <c r="DL76" s="93"/>
      <c r="DM76" s="93"/>
      <c r="DN76" s="94"/>
      <c r="DO76" s="93"/>
      <c r="DP76" s="93"/>
      <c r="DQ76" s="94"/>
      <c r="DR76" s="93"/>
      <c r="DS76" s="93"/>
      <c r="DT76" s="94"/>
    </row>
    <row r="77">
      <c r="B77" s="120" t="str">
        <f>IFERROR(__xludf.DUMMYFUNCTION("""COMPUTED_VALUE"""),"SEP11")</f>
        <v>SEP11</v>
      </c>
      <c r="C77" s="82">
        <f>IFERROR(__xludf.DUMMYFUNCTION("""COMPUTED_VALUE"""),62.0)</f>
        <v>62</v>
      </c>
      <c r="D77" s="88" t="str">
        <f>IFERROR(__xludf.DUMMYFUNCTION("""COMPUTED_VALUE"""),"Alliance Capital")</f>
        <v>Alliance Capital</v>
      </c>
      <c r="E77" s="82" t="str">
        <f>IFERROR(__xludf.DUMMYFUNCTION("""COMPUTED_VALUE"""),"連合首都")</f>
        <v>連合首都</v>
      </c>
      <c r="F77" s="102">
        <f>IFERROR(__xludf.DUMMYFUNCTION("""COMPUTED_VALUE"""),10.0)</f>
        <v>10</v>
      </c>
      <c r="G77" s="82">
        <f>IFERROR(__xludf.DUMMYFUNCTION("""COMPUTED_VALUE"""),1175.0)</f>
        <v>1175</v>
      </c>
      <c r="H77" s="95" t="str">
        <f>IFERROR(__xludf.DUMMYFUNCTION("""COMPUTED_VALUE"""),"")</f>
        <v/>
      </c>
      <c r="I77" s="96" t="str">
        <f>IFERROR(__xludf.DUMMYFUNCTION("""COMPUTED_VALUE"""),"")</f>
        <v/>
      </c>
      <c r="J77" s="97" t="str">
        <f>IFERROR(__xludf.DUMMYFUNCTION("""COMPUTED_VALUE"""),"")</f>
        <v/>
      </c>
      <c r="K77" s="95" t="str">
        <f>IFERROR(__xludf.DUMMYFUNCTION("""COMPUTED_VALUE"""),"")</f>
        <v/>
      </c>
      <c r="L77" s="96" t="str">
        <f>IFERROR(__xludf.DUMMYFUNCTION("""COMPUTED_VALUE"""),"")</f>
        <v/>
      </c>
      <c r="M77" s="97" t="str">
        <f>IFERROR(__xludf.DUMMYFUNCTION("""COMPUTED_VALUE"""),"")</f>
        <v/>
      </c>
      <c r="N77" s="95" t="str">
        <f>IFERROR(__xludf.DUMMYFUNCTION("""COMPUTED_VALUE"""),"")</f>
        <v/>
      </c>
      <c r="O77" s="96" t="str">
        <f>IFERROR(__xludf.DUMMYFUNCTION("""COMPUTED_VALUE"""),"")</f>
        <v/>
      </c>
      <c r="P77" s="97" t="str">
        <f>IFERROR(__xludf.DUMMYFUNCTION("""COMPUTED_VALUE"""),"")</f>
        <v/>
      </c>
      <c r="Q77" s="95" t="str">
        <f>IFERROR(__xludf.DUMMYFUNCTION("""COMPUTED_VALUE"""),"")</f>
        <v/>
      </c>
      <c r="R77" s="96" t="str">
        <f>IFERROR(__xludf.DUMMYFUNCTION("""COMPUTED_VALUE"""),"")</f>
        <v/>
      </c>
      <c r="S77" s="97" t="str">
        <f>IFERROR(__xludf.DUMMYFUNCTION("""COMPUTED_VALUE"""),"")</f>
        <v/>
      </c>
      <c r="T77" s="95" t="str">
        <f>IFERROR(__xludf.DUMMYFUNCTION("""COMPUTED_VALUE"""),"")</f>
        <v/>
      </c>
      <c r="U77" s="96" t="str">
        <f>IFERROR(__xludf.DUMMYFUNCTION("""COMPUTED_VALUE"""),"")</f>
        <v/>
      </c>
      <c r="V77" s="97" t="str">
        <f>IFERROR(__xludf.DUMMYFUNCTION("""COMPUTED_VALUE"""),"")</f>
        <v/>
      </c>
      <c r="W77" s="95" t="str">
        <f>IFERROR(__xludf.DUMMYFUNCTION("""COMPUTED_VALUE"""),"")</f>
        <v/>
      </c>
      <c r="X77" s="96" t="str">
        <f>IFERROR(__xludf.DUMMYFUNCTION("""COMPUTED_VALUE"""),"")</f>
        <v/>
      </c>
      <c r="Y77" s="97" t="str">
        <f>IFERROR(__xludf.DUMMYFUNCTION("""COMPUTED_VALUE"""),"")</f>
        <v/>
      </c>
      <c r="Z77" s="95" t="str">
        <f>IFERROR(__xludf.DUMMYFUNCTION("""COMPUTED_VALUE"""),"")</f>
        <v/>
      </c>
      <c r="AA77" s="96" t="str">
        <f>IFERROR(__xludf.DUMMYFUNCTION("""COMPUTED_VALUE"""),"")</f>
        <v/>
      </c>
      <c r="AB77" s="97">
        <f>IFERROR(__xludf.DUMMYFUNCTION("""COMPUTED_VALUE"""),405.2)</f>
        <v>405.2</v>
      </c>
      <c r="AC77" s="95" t="str">
        <f>IFERROR(__xludf.DUMMYFUNCTION("""COMPUTED_VALUE"""),"")</f>
        <v/>
      </c>
      <c r="AD77" s="96" t="str">
        <f>IFERROR(__xludf.DUMMYFUNCTION("""COMPUTED_VALUE"""),"")</f>
        <v/>
      </c>
      <c r="AE77" s="97" t="str">
        <f>IFERROR(__xludf.DUMMYFUNCTION("""COMPUTED_VALUE"""),"")</f>
        <v/>
      </c>
      <c r="AF77" s="95" t="str">
        <f>IFERROR(__xludf.DUMMYFUNCTION("""COMPUTED_VALUE"""),"")</f>
        <v/>
      </c>
      <c r="AG77" s="96" t="str">
        <f>IFERROR(__xludf.DUMMYFUNCTION("""COMPUTED_VALUE"""),"")</f>
        <v/>
      </c>
      <c r="AH77" s="97" t="str">
        <f>IFERROR(__xludf.DUMMYFUNCTION("""COMPUTED_VALUE"""),"")</f>
        <v/>
      </c>
      <c r="AI77" s="121" t="str">
        <f>IFERROR(__xludf.DUMMYFUNCTION("""COMPUTED_VALUE"""),"")</f>
        <v/>
      </c>
      <c r="AJ77" s="122" t="str">
        <f>IFERROR(__xludf.DUMMYFUNCTION("""COMPUTED_VALUE"""),"")</f>
        <v/>
      </c>
      <c r="AK77" s="123" t="str">
        <f>IFERROR(__xludf.DUMMYFUNCTION("""COMPUTED_VALUE"""),"")</f>
        <v/>
      </c>
      <c r="AL77" s="122" t="str">
        <f>IFERROR(__xludf.DUMMYFUNCTION("""COMPUTED_VALUE"""),"")</f>
        <v/>
      </c>
      <c r="AM77" s="122" t="str">
        <f>IFERROR(__xludf.DUMMYFUNCTION("""COMPUTED_VALUE"""),"")</f>
        <v/>
      </c>
      <c r="AN77" s="123" t="str">
        <f>IFERROR(__xludf.DUMMYFUNCTION("""COMPUTED_VALUE"""),"")</f>
        <v/>
      </c>
      <c r="AO77" s="122" t="str">
        <f>IFERROR(__xludf.DUMMYFUNCTION("""COMPUTED_VALUE"""),"")</f>
        <v/>
      </c>
      <c r="AP77" s="122" t="str">
        <f>IFERROR(__xludf.DUMMYFUNCTION("""COMPUTED_VALUE"""),"")</f>
        <v/>
      </c>
      <c r="AQ77" s="123" t="str">
        <f>IFERROR(__xludf.DUMMYFUNCTION("""COMPUTED_VALUE"""),"")</f>
        <v/>
      </c>
      <c r="AR77" s="122" t="str">
        <f>IFERROR(__xludf.DUMMYFUNCTION("""COMPUTED_VALUE"""),"")</f>
        <v/>
      </c>
      <c r="AS77" s="122" t="str">
        <f>IFERROR(__xludf.DUMMYFUNCTION("""COMPUTED_VALUE"""),"")</f>
        <v/>
      </c>
      <c r="AT77" s="123">
        <f>IFERROR(__xludf.DUMMYFUNCTION("""COMPUTED_VALUE"""),55.7)</f>
        <v>55.7</v>
      </c>
      <c r="AU77" s="122" t="str">
        <f>IFERROR(__xludf.DUMMYFUNCTION("""COMPUTED_VALUE"""),"")</f>
        <v/>
      </c>
      <c r="AV77" s="122" t="str">
        <f>IFERROR(__xludf.DUMMYFUNCTION("""COMPUTED_VALUE"""),"")</f>
        <v/>
      </c>
      <c r="AW77" s="123">
        <f>IFERROR(__xludf.DUMMYFUNCTION("""COMPUTED_VALUE"""),127.7)</f>
        <v>127.7</v>
      </c>
      <c r="AX77" s="122" t="str">
        <f>IFERROR(__xludf.DUMMYFUNCTION("""COMPUTED_VALUE"""),"")</f>
        <v/>
      </c>
      <c r="AY77" s="122" t="str">
        <f>IFERROR(__xludf.DUMMYFUNCTION("""COMPUTED_VALUE"""),"")</f>
        <v/>
      </c>
      <c r="AZ77" s="123" t="str">
        <f>IFERROR(__xludf.DUMMYFUNCTION("""COMPUTED_VALUE"""),"")</f>
        <v/>
      </c>
      <c r="BA77" s="122" t="str">
        <f>IFERROR(__xludf.DUMMYFUNCTION("""COMPUTED_VALUE"""),"")</f>
        <v/>
      </c>
      <c r="BB77" s="122" t="str">
        <f>IFERROR(__xludf.DUMMYFUNCTION("""COMPUTED_VALUE"""),"")</f>
        <v/>
      </c>
      <c r="BC77" s="123" t="str">
        <f>IFERROR(__xludf.DUMMYFUNCTION("""COMPUTED_VALUE"""),"")</f>
        <v/>
      </c>
      <c r="BD77" s="122" t="str">
        <f>IFERROR(__xludf.DUMMYFUNCTION("""COMPUTED_VALUE"""),"")</f>
        <v/>
      </c>
      <c r="BE77" s="122" t="str">
        <f>IFERROR(__xludf.DUMMYFUNCTION("""COMPUTED_VALUE"""),"")</f>
        <v/>
      </c>
      <c r="BF77" s="123" t="str">
        <f>IFERROR(__xludf.DUMMYFUNCTION("""COMPUTED_VALUE"""),"")</f>
        <v/>
      </c>
      <c r="BG77" s="121" t="str">
        <f>IFERROR(__xludf.DUMMYFUNCTION("""COMPUTED_VALUE"""),"")</f>
        <v/>
      </c>
      <c r="BH77" s="122" t="str">
        <f>IFERROR(__xludf.DUMMYFUNCTION("""COMPUTED_VALUE"""),"")</f>
        <v/>
      </c>
      <c r="BI77" s="123" t="str">
        <f>IFERROR(__xludf.DUMMYFUNCTION("""COMPUTED_VALUE"""),"")</f>
        <v/>
      </c>
      <c r="BJ77" s="122" t="str">
        <f>IFERROR(__xludf.DUMMYFUNCTION("""COMPUTED_VALUE"""),"")</f>
        <v/>
      </c>
      <c r="BK77" s="122" t="str">
        <f>IFERROR(__xludf.DUMMYFUNCTION("""COMPUTED_VALUE"""),"")</f>
        <v/>
      </c>
      <c r="BL77" s="123" t="str">
        <f>IFERROR(__xludf.DUMMYFUNCTION("""COMPUTED_VALUE"""),"")</f>
        <v/>
      </c>
      <c r="BM77" s="122" t="str">
        <f>IFERROR(__xludf.DUMMYFUNCTION("""COMPUTED_VALUE"""),"")</f>
        <v/>
      </c>
      <c r="BN77" s="122" t="str">
        <f>IFERROR(__xludf.DUMMYFUNCTION("""COMPUTED_VALUE"""),"")</f>
        <v/>
      </c>
      <c r="BO77" s="123" t="str">
        <f>IFERROR(__xludf.DUMMYFUNCTION("""COMPUTED_VALUE"""),"")</f>
        <v/>
      </c>
      <c r="BP77" s="122" t="str">
        <f>IFERROR(__xludf.DUMMYFUNCTION("""COMPUTED_VALUE"""),"")</f>
        <v/>
      </c>
      <c r="BQ77" s="122">
        <f>IFERROR(__xludf.DUMMYFUNCTION("""COMPUTED_VALUE"""),221.7)</f>
        <v>221.7</v>
      </c>
      <c r="BR77" s="123">
        <f>IFERROR(__xludf.DUMMYFUNCTION("""COMPUTED_VALUE"""),92.5)</f>
        <v>92.5</v>
      </c>
      <c r="BS77" s="122" t="str">
        <f>IFERROR(__xludf.DUMMYFUNCTION("""COMPUTED_VALUE"""),"")</f>
        <v/>
      </c>
      <c r="BT77" s="122" t="str">
        <f>IFERROR(__xludf.DUMMYFUNCTION("""COMPUTED_VALUE"""),"")</f>
        <v/>
      </c>
      <c r="BU77" s="123" t="str">
        <f>IFERROR(__xludf.DUMMYFUNCTION("""COMPUTED_VALUE"""),"")</f>
        <v/>
      </c>
      <c r="BV77" s="122" t="str">
        <f>IFERROR(__xludf.DUMMYFUNCTION("""COMPUTED_VALUE"""),"")</f>
        <v/>
      </c>
      <c r="BW77" s="122">
        <f>IFERROR(__xludf.DUMMYFUNCTION("""COMPUTED_VALUE"""),80.5)</f>
        <v>80.5</v>
      </c>
      <c r="BX77" s="123" t="str">
        <f>IFERROR(__xludf.DUMMYFUNCTION("""COMPUTED_VALUE"""),"")</f>
        <v/>
      </c>
      <c r="BY77" s="122" t="str">
        <f>IFERROR(__xludf.DUMMYFUNCTION("""COMPUTED_VALUE"""),"")</f>
        <v/>
      </c>
      <c r="BZ77" s="122" t="str">
        <f>IFERROR(__xludf.DUMMYFUNCTION("""COMPUTED_VALUE"""),"")</f>
        <v/>
      </c>
      <c r="CA77" s="123" t="str">
        <f>IFERROR(__xludf.DUMMYFUNCTION("""COMPUTED_VALUE"""),"")</f>
        <v/>
      </c>
      <c r="CB77" s="121" t="str">
        <f>IFERROR(__xludf.DUMMYFUNCTION("""COMPUTED_VALUE"""),"")</f>
        <v/>
      </c>
      <c r="CC77" s="122" t="str">
        <f>IFERROR(__xludf.DUMMYFUNCTION("""COMPUTED_VALUE"""),"")</f>
        <v/>
      </c>
      <c r="CD77" s="123" t="str">
        <f>IFERROR(__xludf.DUMMYFUNCTION("""COMPUTED_VALUE"""),"")</f>
        <v/>
      </c>
      <c r="CE77" s="122" t="str">
        <f>IFERROR(__xludf.DUMMYFUNCTION("""COMPUTED_VALUE"""),"")</f>
        <v/>
      </c>
      <c r="CF77" s="122" t="str">
        <f>IFERROR(__xludf.DUMMYFUNCTION("""COMPUTED_VALUE"""),"")</f>
        <v/>
      </c>
      <c r="CG77" s="123" t="str">
        <f>IFERROR(__xludf.DUMMYFUNCTION("""COMPUTED_VALUE"""),"")</f>
        <v/>
      </c>
      <c r="CH77" s="122" t="str">
        <f>IFERROR(__xludf.DUMMYFUNCTION("""COMPUTED_VALUE"""),"")</f>
        <v/>
      </c>
      <c r="CI77" s="122" t="str">
        <f>IFERROR(__xludf.DUMMYFUNCTION("""COMPUTED_VALUE"""),"")</f>
        <v/>
      </c>
      <c r="CJ77" s="123" t="str">
        <f>IFERROR(__xludf.DUMMYFUNCTION("""COMPUTED_VALUE"""),"")</f>
        <v/>
      </c>
      <c r="CK77" s="122">
        <f>IFERROR(__xludf.DUMMYFUNCTION("""COMPUTED_VALUE"""),90.4)</f>
        <v>90.4</v>
      </c>
      <c r="CL77" s="122" t="str">
        <f>IFERROR(__xludf.DUMMYFUNCTION("""COMPUTED_VALUE"""),"")</f>
        <v/>
      </c>
      <c r="CM77" s="123" t="str">
        <f>IFERROR(__xludf.DUMMYFUNCTION("""COMPUTED_VALUE"""),"")</f>
        <v/>
      </c>
      <c r="CN77" s="122" t="str">
        <f>IFERROR(__xludf.DUMMYFUNCTION("""COMPUTED_VALUE"""),"")</f>
        <v/>
      </c>
      <c r="CO77" s="122" t="str">
        <f>IFERROR(__xludf.DUMMYFUNCTION("""COMPUTED_VALUE"""),"")</f>
        <v/>
      </c>
      <c r="CP77" s="123" t="str">
        <f>IFERROR(__xludf.DUMMYFUNCTION("""COMPUTED_VALUE"""),"")</f>
        <v/>
      </c>
      <c r="CQ77" s="122" t="str">
        <f>IFERROR(__xludf.DUMMYFUNCTION("""COMPUTED_VALUE"""),"")</f>
        <v/>
      </c>
      <c r="CR77" s="122" t="str">
        <f>IFERROR(__xludf.DUMMYFUNCTION("""COMPUTED_VALUE"""),"")</f>
        <v/>
      </c>
      <c r="CS77" s="123"/>
      <c r="CT77" s="122"/>
      <c r="CU77" s="122"/>
      <c r="CV77" s="123"/>
      <c r="CW77" s="122"/>
      <c r="CX77" s="122"/>
      <c r="CY77" s="123"/>
      <c r="CZ77" s="122"/>
      <c r="DA77" s="122"/>
      <c r="DB77" s="123"/>
      <c r="DC77" s="122"/>
      <c r="DD77" s="122"/>
      <c r="DE77" s="123"/>
      <c r="DF77" s="122"/>
      <c r="DG77" s="122"/>
      <c r="DH77" s="123"/>
      <c r="DI77" s="122"/>
      <c r="DJ77" s="122"/>
      <c r="DK77" s="123"/>
      <c r="DL77" s="122"/>
      <c r="DM77" s="122"/>
      <c r="DN77" s="123"/>
      <c r="DO77" s="122"/>
      <c r="DP77" s="122"/>
      <c r="DQ77" s="123"/>
      <c r="DR77" s="122"/>
      <c r="DS77" s="122"/>
      <c r="DT77" s="123"/>
    </row>
    <row r="78">
      <c r="A78" s="124" t="str">
        <f>IFERROR(__xludf.DUMMYFUNCTION("""COMPUTED_VALUE"""),"OKEANOS")</f>
        <v>OKEANOS</v>
      </c>
      <c r="B78" s="120" t="str">
        <f>IFERROR(__xludf.DUMMYFUNCTION("""COMPUTED_VALUE"""),"OKN1")</f>
        <v>OKN1</v>
      </c>
      <c r="C78" s="82">
        <f>IFERROR(__xludf.DUMMYFUNCTION("""COMPUTED_VALUE"""),65.0)</f>
        <v>65</v>
      </c>
      <c r="D78" s="88" t="str">
        <f>IFERROR(__xludf.DUMMYFUNCTION("""COMPUTED_VALUE"""),"Pirate Ship")</f>
        <v>Pirate Ship</v>
      </c>
      <c r="E78" s="82" t="str">
        <f>IFERROR(__xludf.DUMMYFUNCTION("""COMPUTED_VALUE"""),"海賊船")</f>
        <v>海賊船</v>
      </c>
      <c r="F78" s="102">
        <f>IFERROR(__xludf.DUMMYFUNCTION("""COMPUTED_VALUE"""),12.0)</f>
        <v>12</v>
      </c>
      <c r="G78" s="82">
        <f>IFERROR(__xludf.DUMMYFUNCTION("""COMPUTED_VALUE"""),6605.0)</f>
        <v>6605</v>
      </c>
      <c r="H78" s="95" t="str">
        <f>IFERROR(__xludf.DUMMYFUNCTION("""COMPUTED_VALUE"""),"")</f>
        <v/>
      </c>
      <c r="I78" s="96" t="str">
        <f>IFERROR(__xludf.DUMMYFUNCTION("""COMPUTED_VALUE"""),"")</f>
        <v/>
      </c>
      <c r="J78" s="97" t="str">
        <f>IFERROR(__xludf.DUMMYFUNCTION("""COMPUTED_VALUE"""),"")</f>
        <v/>
      </c>
      <c r="K78" s="95" t="str">
        <f>IFERROR(__xludf.DUMMYFUNCTION("""COMPUTED_VALUE"""),"")</f>
        <v/>
      </c>
      <c r="L78" s="96" t="str">
        <f>IFERROR(__xludf.DUMMYFUNCTION("""COMPUTED_VALUE"""),"")</f>
        <v/>
      </c>
      <c r="M78" s="97" t="str">
        <f>IFERROR(__xludf.DUMMYFUNCTION("""COMPUTED_VALUE"""),"")</f>
        <v/>
      </c>
      <c r="N78" s="95" t="str">
        <f>IFERROR(__xludf.DUMMYFUNCTION("""COMPUTED_VALUE"""),"")</f>
        <v/>
      </c>
      <c r="O78" s="96" t="str">
        <f>IFERROR(__xludf.DUMMYFUNCTION("""COMPUTED_VALUE"""),"")</f>
        <v/>
      </c>
      <c r="P78" s="97" t="str">
        <f>IFERROR(__xludf.DUMMYFUNCTION("""COMPUTED_VALUE"""),"")</f>
        <v/>
      </c>
      <c r="Q78" s="95" t="str">
        <f>IFERROR(__xludf.DUMMYFUNCTION("""COMPUTED_VALUE"""),"")</f>
        <v/>
      </c>
      <c r="R78" s="96" t="str">
        <f>IFERROR(__xludf.DUMMYFUNCTION("""COMPUTED_VALUE"""),"")</f>
        <v/>
      </c>
      <c r="S78" s="97" t="str">
        <f>IFERROR(__xludf.DUMMYFUNCTION("""COMPUTED_VALUE"""),"")</f>
        <v/>
      </c>
      <c r="T78" s="95" t="str">
        <f>IFERROR(__xludf.DUMMYFUNCTION("""COMPUTED_VALUE"""),"")</f>
        <v/>
      </c>
      <c r="U78" s="96" t="str">
        <f>IFERROR(__xludf.DUMMYFUNCTION("""COMPUTED_VALUE"""),"")</f>
        <v/>
      </c>
      <c r="V78" s="97" t="str">
        <f>IFERROR(__xludf.DUMMYFUNCTION("""COMPUTED_VALUE"""),"")</f>
        <v/>
      </c>
      <c r="W78" s="95" t="str">
        <f>IFERROR(__xludf.DUMMYFUNCTION("""COMPUTED_VALUE"""),"")</f>
        <v/>
      </c>
      <c r="X78" s="96" t="str">
        <f>IFERROR(__xludf.DUMMYFUNCTION("""COMPUTED_VALUE"""),"")</f>
        <v/>
      </c>
      <c r="Y78" s="97" t="str">
        <f>IFERROR(__xludf.DUMMYFUNCTION("""COMPUTED_VALUE"""),"")</f>
        <v/>
      </c>
      <c r="Z78" s="95" t="str">
        <f>IFERROR(__xludf.DUMMYFUNCTION("""COMPUTED_VALUE"""),"")</f>
        <v/>
      </c>
      <c r="AA78" s="96" t="str">
        <f>IFERROR(__xludf.DUMMYFUNCTION("""COMPUTED_VALUE"""),"")</f>
        <v/>
      </c>
      <c r="AB78" s="97" t="str">
        <f>IFERROR(__xludf.DUMMYFUNCTION("""COMPUTED_VALUE"""),"")</f>
        <v/>
      </c>
      <c r="AC78" s="95" t="str">
        <f>IFERROR(__xludf.DUMMYFUNCTION("""COMPUTED_VALUE"""),"")</f>
        <v/>
      </c>
      <c r="AD78" s="96" t="str">
        <f>IFERROR(__xludf.DUMMYFUNCTION("""COMPUTED_VALUE"""),"")</f>
        <v/>
      </c>
      <c r="AE78" s="97" t="str">
        <f>IFERROR(__xludf.DUMMYFUNCTION("""COMPUTED_VALUE"""),"")</f>
        <v/>
      </c>
      <c r="AF78" s="95" t="str">
        <f>IFERROR(__xludf.DUMMYFUNCTION("""COMPUTED_VALUE"""),"")</f>
        <v/>
      </c>
      <c r="AG78" s="96" t="str">
        <f>IFERROR(__xludf.DUMMYFUNCTION("""COMPUTED_VALUE"""),"")</f>
        <v/>
      </c>
      <c r="AH78" s="97" t="str">
        <f>IFERROR(__xludf.DUMMYFUNCTION("""COMPUTED_VALUE"""),"")</f>
        <v/>
      </c>
      <c r="AI78" s="125" t="str">
        <f>IFERROR(__xludf.DUMMYFUNCTION("""COMPUTED_VALUE"""),"")</f>
        <v/>
      </c>
      <c r="AJ78" s="126" t="str">
        <f>IFERROR(__xludf.DUMMYFUNCTION("""COMPUTED_VALUE"""),"")</f>
        <v/>
      </c>
      <c r="AK78" s="127" t="str">
        <f>IFERROR(__xludf.DUMMYFUNCTION("""COMPUTED_VALUE"""),"")</f>
        <v/>
      </c>
      <c r="AL78" s="126" t="str">
        <f>IFERROR(__xludf.DUMMYFUNCTION("""COMPUTED_VALUE"""),"")</f>
        <v/>
      </c>
      <c r="AM78" s="126" t="str">
        <f>IFERROR(__xludf.DUMMYFUNCTION("""COMPUTED_VALUE"""),"")</f>
        <v/>
      </c>
      <c r="AN78" s="127" t="str">
        <f>IFERROR(__xludf.DUMMYFUNCTION("""COMPUTED_VALUE"""),"")</f>
        <v/>
      </c>
      <c r="AO78" s="126" t="str">
        <f>IFERROR(__xludf.DUMMYFUNCTION("""COMPUTED_VALUE"""),"")</f>
        <v/>
      </c>
      <c r="AP78" s="126" t="str">
        <f>IFERROR(__xludf.DUMMYFUNCTION("""COMPUTED_VALUE"""),"")</f>
        <v/>
      </c>
      <c r="AQ78" s="127" t="str">
        <f>IFERROR(__xludf.DUMMYFUNCTION("""COMPUTED_VALUE"""),"")</f>
        <v/>
      </c>
      <c r="AR78" s="126" t="str">
        <f>IFERROR(__xludf.DUMMYFUNCTION("""COMPUTED_VALUE"""),"")</f>
        <v/>
      </c>
      <c r="AS78" s="126" t="str">
        <f>IFERROR(__xludf.DUMMYFUNCTION("""COMPUTED_VALUE"""),"")</f>
        <v/>
      </c>
      <c r="AT78" s="127">
        <f>IFERROR(__xludf.DUMMYFUNCTION("""COMPUTED_VALUE"""),20.5)</f>
        <v>20.5</v>
      </c>
      <c r="AU78" s="126" t="str">
        <f>IFERROR(__xludf.DUMMYFUNCTION("""COMPUTED_VALUE"""),"")</f>
        <v/>
      </c>
      <c r="AV78" s="126" t="str">
        <f>IFERROR(__xludf.DUMMYFUNCTION("""COMPUTED_VALUE"""),"")</f>
        <v/>
      </c>
      <c r="AW78" s="127" t="str">
        <f>IFERROR(__xludf.DUMMYFUNCTION("""COMPUTED_VALUE"""),"")</f>
        <v/>
      </c>
      <c r="AX78" s="126" t="str">
        <f>IFERROR(__xludf.DUMMYFUNCTION("""COMPUTED_VALUE"""),"")</f>
        <v/>
      </c>
      <c r="AY78" s="126" t="str">
        <f>IFERROR(__xludf.DUMMYFUNCTION("""COMPUTED_VALUE"""),"")</f>
        <v/>
      </c>
      <c r="AZ78" s="127" t="str">
        <f>IFERROR(__xludf.DUMMYFUNCTION("""COMPUTED_VALUE"""),"")</f>
        <v/>
      </c>
      <c r="BA78" s="126" t="str">
        <f>IFERROR(__xludf.DUMMYFUNCTION("""COMPUTED_VALUE"""),"")</f>
        <v/>
      </c>
      <c r="BB78" s="126" t="str">
        <f>IFERROR(__xludf.DUMMYFUNCTION("""COMPUTED_VALUE"""),"")</f>
        <v/>
      </c>
      <c r="BC78" s="127" t="str">
        <f>IFERROR(__xludf.DUMMYFUNCTION("""COMPUTED_VALUE"""),"")</f>
        <v/>
      </c>
      <c r="BD78" s="126" t="str">
        <f>IFERROR(__xludf.DUMMYFUNCTION("""COMPUTED_VALUE"""),"")</f>
        <v/>
      </c>
      <c r="BE78" s="126" t="str">
        <f>IFERROR(__xludf.DUMMYFUNCTION("""COMPUTED_VALUE"""),"")</f>
        <v/>
      </c>
      <c r="BF78" s="127" t="str">
        <f>IFERROR(__xludf.DUMMYFUNCTION("""COMPUTED_VALUE"""),"")</f>
        <v/>
      </c>
      <c r="BG78" s="125" t="str">
        <f>IFERROR(__xludf.DUMMYFUNCTION("""COMPUTED_VALUE"""),"")</f>
        <v/>
      </c>
      <c r="BH78" s="126" t="str">
        <f>IFERROR(__xludf.DUMMYFUNCTION("""COMPUTED_VALUE"""),"")</f>
        <v/>
      </c>
      <c r="BI78" s="127" t="str">
        <f>IFERROR(__xludf.DUMMYFUNCTION("""COMPUTED_VALUE"""),"")</f>
        <v/>
      </c>
      <c r="BJ78" s="126" t="str">
        <f>IFERROR(__xludf.DUMMYFUNCTION("""COMPUTED_VALUE"""),"")</f>
        <v/>
      </c>
      <c r="BK78" s="126" t="str">
        <f>IFERROR(__xludf.DUMMYFUNCTION("""COMPUTED_VALUE"""),"")</f>
        <v/>
      </c>
      <c r="BL78" s="127" t="str">
        <f>IFERROR(__xludf.DUMMYFUNCTION("""COMPUTED_VALUE"""),"")</f>
        <v/>
      </c>
      <c r="BM78" s="126" t="str">
        <f>IFERROR(__xludf.DUMMYFUNCTION("""COMPUTED_VALUE"""),"")</f>
        <v/>
      </c>
      <c r="BN78" s="126" t="str">
        <f>IFERROR(__xludf.DUMMYFUNCTION("""COMPUTED_VALUE"""),"")</f>
        <v/>
      </c>
      <c r="BO78" s="127" t="str">
        <f>IFERROR(__xludf.DUMMYFUNCTION("""COMPUTED_VALUE"""),"")</f>
        <v/>
      </c>
      <c r="BP78" s="107" t="str">
        <f>IFERROR(__xludf.DUMMYFUNCTION("""COMPUTED_VALUE"""),"")</f>
        <v/>
      </c>
      <c r="BQ78" s="126">
        <f>IFERROR(__xludf.DUMMYFUNCTION("""COMPUTED_VALUE"""),59.5)</f>
        <v>59.5</v>
      </c>
      <c r="BR78" s="127">
        <f>IFERROR(__xludf.DUMMYFUNCTION("""COMPUTED_VALUE"""),46.9)</f>
        <v>46.9</v>
      </c>
      <c r="BS78" s="126" t="str">
        <f>IFERROR(__xludf.DUMMYFUNCTION("""COMPUTED_VALUE"""),"")</f>
        <v/>
      </c>
      <c r="BT78" s="126" t="str">
        <f>IFERROR(__xludf.DUMMYFUNCTION("""COMPUTED_VALUE"""),"")</f>
        <v/>
      </c>
      <c r="BU78" s="127" t="str">
        <f>IFERROR(__xludf.DUMMYFUNCTION("""COMPUTED_VALUE"""),"")</f>
        <v/>
      </c>
      <c r="BV78" s="126" t="str">
        <f>IFERROR(__xludf.DUMMYFUNCTION("""COMPUTED_VALUE"""),"")</f>
        <v/>
      </c>
      <c r="BW78" s="126" t="str">
        <f>IFERROR(__xludf.DUMMYFUNCTION("""COMPUTED_VALUE"""),"")</f>
        <v/>
      </c>
      <c r="BX78" s="127" t="str">
        <f>IFERROR(__xludf.DUMMYFUNCTION("""COMPUTED_VALUE"""),"")</f>
        <v/>
      </c>
      <c r="BY78" s="126" t="str">
        <f>IFERROR(__xludf.DUMMYFUNCTION("""COMPUTED_VALUE"""),"")</f>
        <v/>
      </c>
      <c r="BZ78" s="126" t="str">
        <f>IFERROR(__xludf.DUMMYFUNCTION("""COMPUTED_VALUE"""),"")</f>
        <v/>
      </c>
      <c r="CA78" s="127" t="str">
        <f>IFERROR(__xludf.DUMMYFUNCTION("""COMPUTED_VALUE"""),"")</f>
        <v/>
      </c>
      <c r="CB78" s="125" t="str">
        <f>IFERROR(__xludf.DUMMYFUNCTION("""COMPUTED_VALUE"""),"")</f>
        <v/>
      </c>
      <c r="CC78" s="126" t="str">
        <f>IFERROR(__xludf.DUMMYFUNCTION("""COMPUTED_VALUE"""),"")</f>
        <v/>
      </c>
      <c r="CD78" s="127" t="str">
        <f>IFERROR(__xludf.DUMMYFUNCTION("""COMPUTED_VALUE"""),"")</f>
        <v/>
      </c>
      <c r="CE78" s="126" t="str">
        <f>IFERROR(__xludf.DUMMYFUNCTION("""COMPUTED_VALUE"""),"")</f>
        <v/>
      </c>
      <c r="CF78" s="126" t="str">
        <f>IFERROR(__xludf.DUMMYFUNCTION("""COMPUTED_VALUE"""),"")</f>
        <v/>
      </c>
      <c r="CG78" s="127" t="str">
        <f>IFERROR(__xludf.DUMMYFUNCTION("""COMPUTED_VALUE"""),"")</f>
        <v/>
      </c>
      <c r="CH78" s="126" t="str">
        <f>IFERROR(__xludf.DUMMYFUNCTION("""COMPUTED_VALUE"""),"")</f>
        <v/>
      </c>
      <c r="CI78" s="126" t="str">
        <f>IFERROR(__xludf.DUMMYFUNCTION("""COMPUTED_VALUE"""),"")</f>
        <v/>
      </c>
      <c r="CJ78" s="127" t="str">
        <f>IFERROR(__xludf.DUMMYFUNCTION("""COMPUTED_VALUE"""),"")</f>
        <v/>
      </c>
      <c r="CK78" s="107" t="str">
        <f>IFERROR(__xludf.DUMMYFUNCTION("""COMPUTED_VALUE"""),"")</f>
        <v/>
      </c>
      <c r="CL78" s="126" t="str">
        <f>IFERROR(__xludf.DUMMYFUNCTION("""COMPUTED_VALUE"""),"")</f>
        <v/>
      </c>
      <c r="CM78" s="127" t="str">
        <f>IFERROR(__xludf.DUMMYFUNCTION("""COMPUTED_VALUE"""),"")</f>
        <v/>
      </c>
      <c r="CN78" s="126" t="str">
        <f>IFERROR(__xludf.DUMMYFUNCTION("""COMPUTED_VALUE"""),"")</f>
        <v/>
      </c>
      <c r="CO78" s="126" t="str">
        <f>IFERROR(__xludf.DUMMYFUNCTION("""COMPUTED_VALUE"""),"")</f>
        <v/>
      </c>
      <c r="CP78" s="127" t="str">
        <f>IFERROR(__xludf.DUMMYFUNCTION("""COMPUTED_VALUE"""),"")</f>
        <v/>
      </c>
      <c r="CQ78" s="126" t="str">
        <f>IFERROR(__xludf.DUMMYFUNCTION("""COMPUTED_VALUE"""),"")</f>
        <v/>
      </c>
      <c r="CR78" s="126" t="str">
        <f>IFERROR(__xludf.DUMMYFUNCTION("""COMPUTED_VALUE"""),"")</f>
        <v/>
      </c>
      <c r="CS78" s="127"/>
      <c r="CT78" s="126"/>
      <c r="CU78" s="126"/>
      <c r="CV78" s="127"/>
      <c r="CW78" s="107"/>
      <c r="CX78" s="126"/>
      <c r="CY78" s="127"/>
      <c r="CZ78" s="126"/>
      <c r="DA78" s="126"/>
      <c r="DB78" s="127"/>
      <c r="DC78" s="126"/>
      <c r="DD78" s="126"/>
      <c r="DE78" s="127"/>
      <c r="DF78" s="107"/>
      <c r="DG78" s="126"/>
      <c r="DH78" s="127"/>
      <c r="DI78" s="126"/>
      <c r="DJ78" s="126"/>
      <c r="DK78" s="127"/>
      <c r="DL78" s="126"/>
      <c r="DM78" s="126"/>
      <c r="DN78" s="127"/>
      <c r="DO78" s="126"/>
      <c r="DP78" s="126"/>
      <c r="DQ78" s="127"/>
      <c r="DR78" s="126"/>
      <c r="DS78" s="126"/>
      <c r="DT78" s="127"/>
    </row>
    <row r="79">
      <c r="B79" s="120" t="str">
        <f>IFERROR(__xludf.DUMMYFUNCTION("""COMPUTED_VALUE"""),"OKN2")</f>
        <v>OKN2</v>
      </c>
      <c r="C79" s="82">
        <f>IFERROR(__xludf.DUMMYFUNCTION("""COMPUTED_VALUE"""),66.0)</f>
        <v>66</v>
      </c>
      <c r="D79" s="88" t="str">
        <f>IFERROR(__xludf.DUMMYFUNCTION("""COMPUTED_VALUE"""),"Pirate Island")</f>
        <v>Pirate Island</v>
      </c>
      <c r="E79" s="82" t="str">
        <f>IFERROR(__xludf.DUMMYFUNCTION("""COMPUTED_VALUE"""),"海賊島")</f>
        <v>海賊島</v>
      </c>
      <c r="F79" s="102">
        <f>IFERROR(__xludf.DUMMYFUNCTION("""COMPUTED_VALUE"""),13.0)</f>
        <v>13</v>
      </c>
      <c r="G79" s="82">
        <f>IFERROR(__xludf.DUMMYFUNCTION("""COMPUTED_VALUE"""),1260.0)</f>
        <v>1260</v>
      </c>
      <c r="H79" s="95" t="str">
        <f>IFERROR(__xludf.DUMMYFUNCTION("""COMPUTED_VALUE"""),"")</f>
        <v/>
      </c>
      <c r="I79" s="96" t="str">
        <f>IFERROR(__xludf.DUMMYFUNCTION("""COMPUTED_VALUE"""),"")</f>
        <v/>
      </c>
      <c r="J79" s="97" t="str">
        <f>IFERROR(__xludf.DUMMYFUNCTION("""COMPUTED_VALUE"""),"")</f>
        <v/>
      </c>
      <c r="K79" s="95" t="str">
        <f>IFERROR(__xludf.DUMMYFUNCTION("""COMPUTED_VALUE"""),"")</f>
        <v/>
      </c>
      <c r="L79" s="96" t="str">
        <f>IFERROR(__xludf.DUMMYFUNCTION("""COMPUTED_VALUE"""),"")</f>
        <v/>
      </c>
      <c r="M79" s="97" t="str">
        <f>IFERROR(__xludf.DUMMYFUNCTION("""COMPUTED_VALUE"""),"")</f>
        <v/>
      </c>
      <c r="N79" s="95" t="str">
        <f>IFERROR(__xludf.DUMMYFUNCTION("""COMPUTED_VALUE"""),"")</f>
        <v/>
      </c>
      <c r="O79" s="96" t="str">
        <f>IFERROR(__xludf.DUMMYFUNCTION("""COMPUTED_VALUE"""),"")</f>
        <v/>
      </c>
      <c r="P79" s="97" t="str">
        <f>IFERROR(__xludf.DUMMYFUNCTION("""COMPUTED_VALUE"""),"")</f>
        <v/>
      </c>
      <c r="Q79" s="95" t="str">
        <f>IFERROR(__xludf.DUMMYFUNCTION("""COMPUTED_VALUE"""),"")</f>
        <v/>
      </c>
      <c r="R79" s="96" t="str">
        <f>IFERROR(__xludf.DUMMYFUNCTION("""COMPUTED_VALUE"""),"")</f>
        <v/>
      </c>
      <c r="S79" s="97" t="str">
        <f>IFERROR(__xludf.DUMMYFUNCTION("""COMPUTED_VALUE"""),"")</f>
        <v/>
      </c>
      <c r="T79" s="95" t="str">
        <f>IFERROR(__xludf.DUMMYFUNCTION("""COMPUTED_VALUE"""),"")</f>
        <v/>
      </c>
      <c r="U79" s="96" t="str">
        <f>IFERROR(__xludf.DUMMYFUNCTION("""COMPUTED_VALUE"""),"")</f>
        <v/>
      </c>
      <c r="V79" s="97" t="str">
        <f>IFERROR(__xludf.DUMMYFUNCTION("""COMPUTED_VALUE"""),"")</f>
        <v/>
      </c>
      <c r="W79" s="95" t="str">
        <f>IFERROR(__xludf.DUMMYFUNCTION("""COMPUTED_VALUE"""),"")</f>
        <v/>
      </c>
      <c r="X79" s="96" t="str">
        <f>IFERROR(__xludf.DUMMYFUNCTION("""COMPUTED_VALUE"""),"")</f>
        <v/>
      </c>
      <c r="Y79" s="97" t="str">
        <f>IFERROR(__xludf.DUMMYFUNCTION("""COMPUTED_VALUE"""),"")</f>
        <v/>
      </c>
      <c r="Z79" s="95" t="str">
        <f>IFERROR(__xludf.DUMMYFUNCTION("""COMPUTED_VALUE"""),"")</f>
        <v/>
      </c>
      <c r="AA79" s="96" t="str">
        <f>IFERROR(__xludf.DUMMYFUNCTION("""COMPUTED_VALUE"""),"")</f>
        <v/>
      </c>
      <c r="AB79" s="97" t="str">
        <f>IFERROR(__xludf.DUMMYFUNCTION("""COMPUTED_VALUE"""),"")</f>
        <v/>
      </c>
      <c r="AC79" s="95" t="str">
        <f>IFERROR(__xludf.DUMMYFUNCTION("""COMPUTED_VALUE"""),"")</f>
        <v/>
      </c>
      <c r="AD79" s="96" t="str">
        <f>IFERROR(__xludf.DUMMYFUNCTION("""COMPUTED_VALUE"""),"")</f>
        <v/>
      </c>
      <c r="AE79" s="97" t="str">
        <f>IFERROR(__xludf.DUMMYFUNCTION("""COMPUTED_VALUE"""),"")</f>
        <v/>
      </c>
      <c r="AF79" s="95" t="str">
        <f>IFERROR(__xludf.DUMMYFUNCTION("""COMPUTED_VALUE"""),"")</f>
        <v/>
      </c>
      <c r="AG79" s="96" t="str">
        <f>IFERROR(__xludf.DUMMYFUNCTION("""COMPUTED_VALUE"""),"")</f>
        <v/>
      </c>
      <c r="AH79" s="97" t="str">
        <f>IFERROR(__xludf.DUMMYFUNCTION("""COMPUTED_VALUE"""),"")</f>
        <v/>
      </c>
      <c r="AI79" s="92" t="str">
        <f>IFERROR(__xludf.DUMMYFUNCTION("""COMPUTED_VALUE"""),"")</f>
        <v/>
      </c>
      <c r="AJ79" s="93" t="str">
        <f>IFERROR(__xludf.DUMMYFUNCTION("""COMPUTED_VALUE"""),"")</f>
        <v/>
      </c>
      <c r="AK79" s="94" t="str">
        <f>IFERROR(__xludf.DUMMYFUNCTION("""COMPUTED_VALUE"""),"")</f>
        <v/>
      </c>
      <c r="AL79" s="93" t="str">
        <f>IFERROR(__xludf.DUMMYFUNCTION("""COMPUTED_VALUE"""),"")</f>
        <v/>
      </c>
      <c r="AM79" s="93" t="str">
        <f>IFERROR(__xludf.DUMMYFUNCTION("""COMPUTED_VALUE"""),"")</f>
        <v/>
      </c>
      <c r="AN79" s="94" t="str">
        <f>IFERROR(__xludf.DUMMYFUNCTION("""COMPUTED_VALUE"""),"")</f>
        <v/>
      </c>
      <c r="AO79" s="93" t="str">
        <f>IFERROR(__xludf.DUMMYFUNCTION("""COMPUTED_VALUE"""),"")</f>
        <v/>
      </c>
      <c r="AP79" s="93" t="str">
        <f>IFERROR(__xludf.DUMMYFUNCTION("""COMPUTED_VALUE"""),"")</f>
        <v/>
      </c>
      <c r="AQ79" s="94" t="str">
        <f>IFERROR(__xludf.DUMMYFUNCTION("""COMPUTED_VALUE"""),"")</f>
        <v/>
      </c>
      <c r="AR79" s="93" t="str">
        <f>IFERROR(__xludf.DUMMYFUNCTION("""COMPUTED_VALUE"""),"")</f>
        <v/>
      </c>
      <c r="AS79" s="93" t="str">
        <f>IFERROR(__xludf.DUMMYFUNCTION("""COMPUTED_VALUE"""),"")</f>
        <v/>
      </c>
      <c r="AT79" s="94">
        <f>IFERROR(__xludf.DUMMYFUNCTION("""COMPUTED_VALUE"""),23.2)</f>
        <v>23.2</v>
      </c>
      <c r="AU79" s="93" t="str">
        <f>IFERROR(__xludf.DUMMYFUNCTION("""COMPUTED_VALUE"""),"")</f>
        <v/>
      </c>
      <c r="AV79" s="93" t="str">
        <f>IFERROR(__xludf.DUMMYFUNCTION("""COMPUTED_VALUE"""),"")</f>
        <v/>
      </c>
      <c r="AW79" s="94">
        <f>IFERROR(__xludf.DUMMYFUNCTION("""COMPUTED_VALUE"""),113.0)</f>
        <v>113</v>
      </c>
      <c r="AX79" s="93" t="str">
        <f>IFERROR(__xludf.DUMMYFUNCTION("""COMPUTED_VALUE"""),"")</f>
        <v/>
      </c>
      <c r="AY79" s="93" t="str">
        <f>IFERROR(__xludf.DUMMYFUNCTION("""COMPUTED_VALUE"""),"")</f>
        <v/>
      </c>
      <c r="AZ79" s="94" t="str">
        <f>IFERROR(__xludf.DUMMYFUNCTION("""COMPUTED_VALUE"""),"")</f>
        <v/>
      </c>
      <c r="BA79" s="93" t="str">
        <f>IFERROR(__xludf.DUMMYFUNCTION("""COMPUTED_VALUE"""),"")</f>
        <v/>
      </c>
      <c r="BB79" s="93" t="str">
        <f>IFERROR(__xludf.DUMMYFUNCTION("""COMPUTED_VALUE"""),"")</f>
        <v/>
      </c>
      <c r="BC79" s="94" t="str">
        <f>IFERROR(__xludf.DUMMYFUNCTION("""COMPUTED_VALUE"""),"")</f>
        <v/>
      </c>
      <c r="BD79" s="93" t="str">
        <f>IFERROR(__xludf.DUMMYFUNCTION("""COMPUTED_VALUE"""),"")</f>
        <v/>
      </c>
      <c r="BE79" s="93" t="str">
        <f>IFERROR(__xludf.DUMMYFUNCTION("""COMPUTED_VALUE"""),"")</f>
        <v/>
      </c>
      <c r="BF79" s="94" t="str">
        <f>IFERROR(__xludf.DUMMYFUNCTION("""COMPUTED_VALUE"""),"")</f>
        <v/>
      </c>
      <c r="BG79" s="92" t="str">
        <f>IFERROR(__xludf.DUMMYFUNCTION("""COMPUTED_VALUE"""),"")</f>
        <v/>
      </c>
      <c r="BH79" s="93" t="str">
        <f>IFERROR(__xludf.DUMMYFUNCTION("""COMPUTED_VALUE"""),"")</f>
        <v/>
      </c>
      <c r="BI79" s="94" t="str">
        <f>IFERROR(__xludf.DUMMYFUNCTION("""COMPUTED_VALUE"""),"")</f>
        <v/>
      </c>
      <c r="BJ79" s="93" t="str">
        <f>IFERROR(__xludf.DUMMYFUNCTION("""COMPUTED_VALUE"""),"")</f>
        <v/>
      </c>
      <c r="BK79" s="93" t="str">
        <f>IFERROR(__xludf.DUMMYFUNCTION("""COMPUTED_VALUE"""),"")</f>
        <v/>
      </c>
      <c r="BL79" s="94" t="str">
        <f>IFERROR(__xludf.DUMMYFUNCTION("""COMPUTED_VALUE"""),"")</f>
        <v/>
      </c>
      <c r="BM79" s="93" t="str">
        <f>IFERROR(__xludf.DUMMYFUNCTION("""COMPUTED_VALUE"""),"")</f>
        <v/>
      </c>
      <c r="BN79" s="93" t="str">
        <f>IFERROR(__xludf.DUMMYFUNCTION("""COMPUTED_VALUE"""),"")</f>
        <v/>
      </c>
      <c r="BO79" s="94" t="str">
        <f>IFERROR(__xludf.DUMMYFUNCTION("""COMPUTED_VALUE"""),"")</f>
        <v/>
      </c>
      <c r="BP79" s="114" t="str">
        <f>IFERROR(__xludf.DUMMYFUNCTION("""COMPUTED_VALUE"""),"")</f>
        <v/>
      </c>
      <c r="BQ79" s="93" t="str">
        <f>IFERROR(__xludf.DUMMYFUNCTION("""COMPUTED_VALUE"""),"")</f>
        <v/>
      </c>
      <c r="BR79" s="94">
        <f>IFERROR(__xludf.DUMMYFUNCTION("""COMPUTED_VALUE"""),52.7)</f>
        <v>52.7</v>
      </c>
      <c r="BS79" s="93" t="str">
        <f>IFERROR(__xludf.DUMMYFUNCTION("""COMPUTED_VALUE"""),"")</f>
        <v/>
      </c>
      <c r="BT79" s="93" t="str">
        <f>IFERROR(__xludf.DUMMYFUNCTION("""COMPUTED_VALUE"""),"")</f>
        <v/>
      </c>
      <c r="BU79" s="94" t="str">
        <f>IFERROR(__xludf.DUMMYFUNCTION("""COMPUTED_VALUE"""),"")</f>
        <v/>
      </c>
      <c r="BV79" s="93" t="str">
        <f>IFERROR(__xludf.DUMMYFUNCTION("""COMPUTED_VALUE"""),"")</f>
        <v/>
      </c>
      <c r="BW79" s="93">
        <f>IFERROR(__xludf.DUMMYFUNCTION("""COMPUTED_VALUE"""),79.1)</f>
        <v>79.1</v>
      </c>
      <c r="BX79" s="94" t="str">
        <f>IFERROR(__xludf.DUMMYFUNCTION("""COMPUTED_VALUE"""),"")</f>
        <v/>
      </c>
      <c r="BY79" s="93" t="str">
        <f>IFERROR(__xludf.DUMMYFUNCTION("""COMPUTED_VALUE"""),"")</f>
        <v/>
      </c>
      <c r="BZ79" s="93" t="str">
        <f>IFERROR(__xludf.DUMMYFUNCTION("""COMPUTED_VALUE"""),"")</f>
        <v/>
      </c>
      <c r="CA79" s="94">
        <f>IFERROR(__xludf.DUMMYFUNCTION("""COMPUTED_VALUE"""),606.7)</f>
        <v>606.7</v>
      </c>
      <c r="CB79" s="92" t="str">
        <f>IFERROR(__xludf.DUMMYFUNCTION("""COMPUTED_VALUE"""),"")</f>
        <v/>
      </c>
      <c r="CC79" s="93" t="str">
        <f>IFERROR(__xludf.DUMMYFUNCTION("""COMPUTED_VALUE"""),"")</f>
        <v/>
      </c>
      <c r="CD79" s="94" t="str">
        <f>IFERROR(__xludf.DUMMYFUNCTION("""COMPUTED_VALUE"""),"")</f>
        <v/>
      </c>
      <c r="CE79" s="93" t="str">
        <f>IFERROR(__xludf.DUMMYFUNCTION("""COMPUTED_VALUE"""),"")</f>
        <v/>
      </c>
      <c r="CF79" s="93" t="str">
        <f>IFERROR(__xludf.DUMMYFUNCTION("""COMPUTED_VALUE"""),"")</f>
        <v/>
      </c>
      <c r="CG79" s="94" t="str">
        <f>IFERROR(__xludf.DUMMYFUNCTION("""COMPUTED_VALUE"""),"")</f>
        <v/>
      </c>
      <c r="CH79" s="93">
        <f>IFERROR(__xludf.DUMMYFUNCTION("""COMPUTED_VALUE"""),131.0)</f>
        <v>131</v>
      </c>
      <c r="CI79" s="93" t="str">
        <f>IFERROR(__xludf.DUMMYFUNCTION("""COMPUTED_VALUE"""),"")</f>
        <v/>
      </c>
      <c r="CJ79" s="94" t="str">
        <f>IFERROR(__xludf.DUMMYFUNCTION("""COMPUTED_VALUE"""),"")</f>
        <v/>
      </c>
      <c r="CK79" s="114" t="str">
        <f>IFERROR(__xludf.DUMMYFUNCTION("""COMPUTED_VALUE"""),"")</f>
        <v/>
      </c>
      <c r="CL79" s="93" t="str">
        <f>IFERROR(__xludf.DUMMYFUNCTION("""COMPUTED_VALUE"""),"")</f>
        <v/>
      </c>
      <c r="CM79" s="94" t="str">
        <f>IFERROR(__xludf.DUMMYFUNCTION("""COMPUTED_VALUE"""),"")</f>
        <v/>
      </c>
      <c r="CN79" s="93" t="str">
        <f>IFERROR(__xludf.DUMMYFUNCTION("""COMPUTED_VALUE"""),"")</f>
        <v/>
      </c>
      <c r="CO79" s="93" t="str">
        <f>IFERROR(__xludf.DUMMYFUNCTION("""COMPUTED_VALUE"""),"")</f>
        <v/>
      </c>
      <c r="CP79" s="94" t="str">
        <f>IFERROR(__xludf.DUMMYFUNCTION("""COMPUTED_VALUE"""),"")</f>
        <v/>
      </c>
      <c r="CQ79" s="93" t="str">
        <f>IFERROR(__xludf.DUMMYFUNCTION("""COMPUTED_VALUE"""),"")</f>
        <v/>
      </c>
      <c r="CR79" s="93" t="str">
        <f>IFERROR(__xludf.DUMMYFUNCTION("""COMPUTED_VALUE"""),"")</f>
        <v/>
      </c>
      <c r="CS79" s="94"/>
      <c r="CT79" s="93"/>
      <c r="CU79" s="93"/>
      <c r="CV79" s="94"/>
      <c r="CW79" s="114"/>
      <c r="CX79" s="93"/>
      <c r="CY79" s="94"/>
      <c r="CZ79" s="93"/>
      <c r="DA79" s="93"/>
      <c r="DB79" s="94"/>
      <c r="DC79" s="93"/>
      <c r="DD79" s="93"/>
      <c r="DE79" s="94"/>
      <c r="DF79" s="114"/>
      <c r="DG79" s="93"/>
      <c r="DH79" s="94"/>
      <c r="DI79" s="93"/>
      <c r="DJ79" s="93"/>
      <c r="DK79" s="94"/>
      <c r="DL79" s="93"/>
      <c r="DM79" s="93"/>
      <c r="DN79" s="94"/>
      <c r="DO79" s="93"/>
      <c r="DP79" s="93"/>
      <c r="DQ79" s="94"/>
      <c r="DR79" s="93"/>
      <c r="DS79" s="93"/>
      <c r="DT79" s="94"/>
    </row>
    <row r="80">
      <c r="B80" s="120" t="str">
        <f>IFERROR(__xludf.DUMMYFUNCTION("""COMPUTED_VALUE"""),"OKN3")</f>
        <v>OKN3</v>
      </c>
      <c r="C80" s="82">
        <f>IFERROR(__xludf.DUMMYFUNCTION("""COMPUTED_VALUE"""),67.0)</f>
        <v>67</v>
      </c>
      <c r="D80" s="88" t="str">
        <f>IFERROR(__xludf.DUMMYFUNCTION("""COMPUTED_VALUE"""),"King's Abode Island")</f>
        <v>King's Abode Island</v>
      </c>
      <c r="E80" s="82" t="str">
        <f>IFERROR(__xludf.DUMMYFUNCTION("""COMPUTED_VALUE"""),"王の住まう島")</f>
        <v>王の住まう島</v>
      </c>
      <c r="F80" s="102">
        <f>IFERROR(__xludf.DUMMYFUNCTION("""COMPUTED_VALUE"""),13.0)</f>
        <v>13</v>
      </c>
      <c r="G80" s="82">
        <f>IFERROR(__xludf.DUMMYFUNCTION("""COMPUTED_VALUE"""),1159.0)</f>
        <v>1159</v>
      </c>
      <c r="H80" s="95" t="str">
        <f>IFERROR(__xludf.DUMMYFUNCTION("""COMPUTED_VALUE"""),"")</f>
        <v/>
      </c>
      <c r="I80" s="96" t="str">
        <f>IFERROR(__xludf.DUMMYFUNCTION("""COMPUTED_VALUE"""),"")</f>
        <v/>
      </c>
      <c r="J80" s="97" t="str">
        <f>IFERROR(__xludf.DUMMYFUNCTION("""COMPUTED_VALUE"""),"")</f>
        <v/>
      </c>
      <c r="K80" s="95" t="str">
        <f>IFERROR(__xludf.DUMMYFUNCTION("""COMPUTED_VALUE"""),"")</f>
        <v/>
      </c>
      <c r="L80" s="96" t="str">
        <f>IFERROR(__xludf.DUMMYFUNCTION("""COMPUTED_VALUE"""),"")</f>
        <v/>
      </c>
      <c r="M80" s="97" t="str">
        <f>IFERROR(__xludf.DUMMYFUNCTION("""COMPUTED_VALUE"""),"")</f>
        <v/>
      </c>
      <c r="N80" s="95" t="str">
        <f>IFERROR(__xludf.DUMMYFUNCTION("""COMPUTED_VALUE"""),"")</f>
        <v/>
      </c>
      <c r="O80" s="96" t="str">
        <f>IFERROR(__xludf.DUMMYFUNCTION("""COMPUTED_VALUE"""),"")</f>
        <v/>
      </c>
      <c r="P80" s="97" t="str">
        <f>IFERROR(__xludf.DUMMYFUNCTION("""COMPUTED_VALUE"""),"")</f>
        <v/>
      </c>
      <c r="Q80" s="95" t="str">
        <f>IFERROR(__xludf.DUMMYFUNCTION("""COMPUTED_VALUE"""),"")</f>
        <v/>
      </c>
      <c r="R80" s="96" t="str">
        <f>IFERROR(__xludf.DUMMYFUNCTION("""COMPUTED_VALUE"""),"")</f>
        <v/>
      </c>
      <c r="S80" s="97" t="str">
        <f>IFERROR(__xludf.DUMMYFUNCTION("""COMPUTED_VALUE"""),"")</f>
        <v/>
      </c>
      <c r="T80" s="95" t="str">
        <f>IFERROR(__xludf.DUMMYFUNCTION("""COMPUTED_VALUE"""),"")</f>
        <v/>
      </c>
      <c r="U80" s="96" t="str">
        <f>IFERROR(__xludf.DUMMYFUNCTION("""COMPUTED_VALUE"""),"")</f>
        <v/>
      </c>
      <c r="V80" s="97" t="str">
        <f>IFERROR(__xludf.DUMMYFUNCTION("""COMPUTED_VALUE"""),"")</f>
        <v/>
      </c>
      <c r="W80" s="95" t="str">
        <f>IFERROR(__xludf.DUMMYFUNCTION("""COMPUTED_VALUE"""),"")</f>
        <v/>
      </c>
      <c r="X80" s="96" t="str">
        <f>IFERROR(__xludf.DUMMYFUNCTION("""COMPUTED_VALUE"""),"")</f>
        <v/>
      </c>
      <c r="Y80" s="97" t="str">
        <f>IFERROR(__xludf.DUMMYFUNCTION("""COMPUTED_VALUE"""),"")</f>
        <v/>
      </c>
      <c r="Z80" s="95" t="str">
        <f>IFERROR(__xludf.DUMMYFUNCTION("""COMPUTED_VALUE"""),"")</f>
        <v/>
      </c>
      <c r="AA80" s="96" t="str">
        <f>IFERROR(__xludf.DUMMYFUNCTION("""COMPUTED_VALUE"""),"")</f>
        <v/>
      </c>
      <c r="AB80" s="97" t="str">
        <f>IFERROR(__xludf.DUMMYFUNCTION("""COMPUTED_VALUE"""),"")</f>
        <v/>
      </c>
      <c r="AC80" s="95" t="str">
        <f>IFERROR(__xludf.DUMMYFUNCTION("""COMPUTED_VALUE"""),"")</f>
        <v/>
      </c>
      <c r="AD80" s="96" t="str">
        <f>IFERROR(__xludf.DUMMYFUNCTION("""COMPUTED_VALUE"""),"")</f>
        <v/>
      </c>
      <c r="AE80" s="97" t="str">
        <f>IFERROR(__xludf.DUMMYFUNCTION("""COMPUTED_VALUE"""),"")</f>
        <v/>
      </c>
      <c r="AF80" s="95" t="str">
        <f>IFERROR(__xludf.DUMMYFUNCTION("""COMPUTED_VALUE"""),"")</f>
        <v/>
      </c>
      <c r="AG80" s="96" t="str">
        <f>IFERROR(__xludf.DUMMYFUNCTION("""COMPUTED_VALUE"""),"")</f>
        <v/>
      </c>
      <c r="AH80" s="97" t="str">
        <f>IFERROR(__xludf.DUMMYFUNCTION("""COMPUTED_VALUE"""),"")</f>
        <v/>
      </c>
      <c r="AI80" s="125" t="str">
        <f>IFERROR(__xludf.DUMMYFUNCTION("""COMPUTED_VALUE"""),"")</f>
        <v/>
      </c>
      <c r="AJ80" s="126" t="str">
        <f>IFERROR(__xludf.DUMMYFUNCTION("""COMPUTED_VALUE"""),"")</f>
        <v/>
      </c>
      <c r="AK80" s="127" t="str">
        <f>IFERROR(__xludf.DUMMYFUNCTION("""COMPUTED_VALUE"""),"")</f>
        <v/>
      </c>
      <c r="AL80" s="126" t="str">
        <f>IFERROR(__xludf.DUMMYFUNCTION("""COMPUTED_VALUE"""),"")</f>
        <v/>
      </c>
      <c r="AM80" s="126" t="str">
        <f>IFERROR(__xludf.DUMMYFUNCTION("""COMPUTED_VALUE"""),"")</f>
        <v/>
      </c>
      <c r="AN80" s="127" t="str">
        <f>IFERROR(__xludf.DUMMYFUNCTION("""COMPUTED_VALUE"""),"")</f>
        <v/>
      </c>
      <c r="AO80" s="126" t="str">
        <f>IFERROR(__xludf.DUMMYFUNCTION("""COMPUTED_VALUE"""),"")</f>
        <v/>
      </c>
      <c r="AP80" s="126" t="str">
        <f>IFERROR(__xludf.DUMMYFUNCTION("""COMPUTED_VALUE"""),"")</f>
        <v/>
      </c>
      <c r="AQ80" s="127" t="str">
        <f>IFERROR(__xludf.DUMMYFUNCTION("""COMPUTED_VALUE"""),"")</f>
        <v/>
      </c>
      <c r="AR80" s="126" t="str">
        <f>IFERROR(__xludf.DUMMYFUNCTION("""COMPUTED_VALUE"""),"")</f>
        <v/>
      </c>
      <c r="AS80" s="126" t="str">
        <f>IFERROR(__xludf.DUMMYFUNCTION("""COMPUTED_VALUE"""),"")</f>
        <v/>
      </c>
      <c r="AT80" s="127">
        <f>IFERROR(__xludf.DUMMYFUNCTION("""COMPUTED_VALUE"""),48.4)</f>
        <v>48.4</v>
      </c>
      <c r="AU80" s="126" t="str">
        <f>IFERROR(__xludf.DUMMYFUNCTION("""COMPUTED_VALUE"""),"")</f>
        <v/>
      </c>
      <c r="AV80" s="126" t="str">
        <f>IFERROR(__xludf.DUMMYFUNCTION("""COMPUTED_VALUE"""),"")</f>
        <v/>
      </c>
      <c r="AW80" s="127">
        <f>IFERROR(__xludf.DUMMYFUNCTION("""COMPUTED_VALUE"""),101.8)</f>
        <v>101.8</v>
      </c>
      <c r="AX80" s="126" t="str">
        <f>IFERROR(__xludf.DUMMYFUNCTION("""COMPUTED_VALUE"""),"")</f>
        <v/>
      </c>
      <c r="AY80" s="126" t="str">
        <f>IFERROR(__xludf.DUMMYFUNCTION("""COMPUTED_VALUE"""),"")</f>
        <v/>
      </c>
      <c r="AZ80" s="127" t="str">
        <f>IFERROR(__xludf.DUMMYFUNCTION("""COMPUTED_VALUE"""),"")</f>
        <v/>
      </c>
      <c r="BA80" s="126" t="str">
        <f>IFERROR(__xludf.DUMMYFUNCTION("""COMPUTED_VALUE"""),"")</f>
        <v/>
      </c>
      <c r="BB80" s="126" t="str">
        <f>IFERROR(__xludf.DUMMYFUNCTION("""COMPUTED_VALUE"""),"")</f>
        <v/>
      </c>
      <c r="BC80" s="127" t="str">
        <f>IFERROR(__xludf.DUMMYFUNCTION("""COMPUTED_VALUE"""),"")</f>
        <v/>
      </c>
      <c r="BD80" s="126" t="str">
        <f>IFERROR(__xludf.DUMMYFUNCTION("""COMPUTED_VALUE"""),"")</f>
        <v/>
      </c>
      <c r="BE80" s="126" t="str">
        <f>IFERROR(__xludf.DUMMYFUNCTION("""COMPUTED_VALUE"""),"")</f>
        <v/>
      </c>
      <c r="BF80" s="127" t="str">
        <f>IFERROR(__xludf.DUMMYFUNCTION("""COMPUTED_VALUE"""),"")</f>
        <v/>
      </c>
      <c r="BG80" s="125" t="str">
        <f>IFERROR(__xludf.DUMMYFUNCTION("""COMPUTED_VALUE"""),"")</f>
        <v/>
      </c>
      <c r="BH80" s="126" t="str">
        <f>IFERROR(__xludf.DUMMYFUNCTION("""COMPUTED_VALUE"""),"")</f>
        <v/>
      </c>
      <c r="BI80" s="127" t="str">
        <f>IFERROR(__xludf.DUMMYFUNCTION("""COMPUTED_VALUE"""),"")</f>
        <v/>
      </c>
      <c r="BJ80" s="126" t="str">
        <f>IFERROR(__xludf.DUMMYFUNCTION("""COMPUTED_VALUE"""),"")</f>
        <v/>
      </c>
      <c r="BK80" s="126" t="str">
        <f>IFERROR(__xludf.DUMMYFUNCTION("""COMPUTED_VALUE"""),"")</f>
        <v/>
      </c>
      <c r="BL80" s="127" t="str">
        <f>IFERROR(__xludf.DUMMYFUNCTION("""COMPUTED_VALUE"""),"")</f>
        <v/>
      </c>
      <c r="BM80" s="126" t="str">
        <f>IFERROR(__xludf.DUMMYFUNCTION("""COMPUTED_VALUE"""),"")</f>
        <v/>
      </c>
      <c r="BN80" s="126" t="str">
        <f>IFERROR(__xludf.DUMMYFUNCTION("""COMPUTED_VALUE"""),"")</f>
        <v/>
      </c>
      <c r="BO80" s="127" t="str">
        <f>IFERROR(__xludf.DUMMYFUNCTION("""COMPUTED_VALUE"""),"")</f>
        <v/>
      </c>
      <c r="BP80" s="126" t="str">
        <f>IFERROR(__xludf.DUMMYFUNCTION("""COMPUTED_VALUE"""),"")</f>
        <v/>
      </c>
      <c r="BQ80" s="126" t="str">
        <f>IFERROR(__xludf.DUMMYFUNCTION("""COMPUTED_VALUE"""),"")</f>
        <v/>
      </c>
      <c r="BR80" s="127">
        <f>IFERROR(__xludf.DUMMYFUNCTION("""COMPUTED_VALUE"""),88.6)</f>
        <v>88.6</v>
      </c>
      <c r="BS80" s="126" t="str">
        <f>IFERROR(__xludf.DUMMYFUNCTION("""COMPUTED_VALUE"""),"")</f>
        <v/>
      </c>
      <c r="BT80" s="126" t="str">
        <f>IFERROR(__xludf.DUMMYFUNCTION("""COMPUTED_VALUE"""),"")</f>
        <v/>
      </c>
      <c r="BU80" s="127" t="str">
        <f>IFERROR(__xludf.DUMMYFUNCTION("""COMPUTED_VALUE"""),"")</f>
        <v/>
      </c>
      <c r="BV80" s="126" t="str">
        <f>IFERROR(__xludf.DUMMYFUNCTION("""COMPUTED_VALUE"""),"")</f>
        <v/>
      </c>
      <c r="BW80" s="126">
        <f>IFERROR(__xludf.DUMMYFUNCTION("""COMPUTED_VALUE"""),121.5)</f>
        <v>121.5</v>
      </c>
      <c r="BX80" s="127" t="str">
        <f>IFERROR(__xludf.DUMMYFUNCTION("""COMPUTED_VALUE"""),"")</f>
        <v/>
      </c>
      <c r="BY80" s="126" t="str">
        <f>IFERROR(__xludf.DUMMYFUNCTION("""COMPUTED_VALUE"""),"")</f>
        <v/>
      </c>
      <c r="BZ80" s="126" t="str">
        <f>IFERROR(__xludf.DUMMYFUNCTION("""COMPUTED_VALUE"""),"")</f>
        <v/>
      </c>
      <c r="CA80" s="127" t="str">
        <f>IFERROR(__xludf.DUMMYFUNCTION("""COMPUTED_VALUE"""),"")</f>
        <v/>
      </c>
      <c r="CB80" s="125" t="str">
        <f>IFERROR(__xludf.DUMMYFUNCTION("""COMPUTED_VALUE"""),"")</f>
        <v/>
      </c>
      <c r="CC80" s="126" t="str">
        <f>IFERROR(__xludf.DUMMYFUNCTION("""COMPUTED_VALUE"""),"")</f>
        <v/>
      </c>
      <c r="CD80" s="127">
        <f>IFERROR(__xludf.DUMMYFUNCTION("""COMPUTED_VALUE"""),643.8)</f>
        <v>643.8</v>
      </c>
      <c r="CE80" s="126" t="str">
        <f>IFERROR(__xludf.DUMMYFUNCTION("""COMPUTED_VALUE"""),"")</f>
        <v/>
      </c>
      <c r="CF80" s="126" t="str">
        <f>IFERROR(__xludf.DUMMYFUNCTION("""COMPUTED_VALUE"""),"")</f>
        <v/>
      </c>
      <c r="CG80" s="127" t="str">
        <f>IFERROR(__xludf.DUMMYFUNCTION("""COMPUTED_VALUE"""),"")</f>
        <v/>
      </c>
      <c r="CH80" s="126" t="str">
        <f>IFERROR(__xludf.DUMMYFUNCTION("""COMPUTED_VALUE"""),"")</f>
        <v/>
      </c>
      <c r="CI80" s="126" t="str">
        <f>IFERROR(__xludf.DUMMYFUNCTION("""COMPUTED_VALUE"""),"")</f>
        <v/>
      </c>
      <c r="CJ80" s="127" t="str">
        <f>IFERROR(__xludf.DUMMYFUNCTION("""COMPUTED_VALUE"""),"")</f>
        <v/>
      </c>
      <c r="CK80" s="126">
        <f>IFERROR(__xludf.DUMMYFUNCTION("""COMPUTED_VALUE"""),115.7)</f>
        <v>115.7</v>
      </c>
      <c r="CL80" s="126" t="str">
        <f>IFERROR(__xludf.DUMMYFUNCTION("""COMPUTED_VALUE"""),"")</f>
        <v/>
      </c>
      <c r="CM80" s="127" t="str">
        <f>IFERROR(__xludf.DUMMYFUNCTION("""COMPUTED_VALUE"""),"")</f>
        <v/>
      </c>
      <c r="CN80" s="126" t="str">
        <f>IFERROR(__xludf.DUMMYFUNCTION("""COMPUTED_VALUE"""),"")</f>
        <v/>
      </c>
      <c r="CO80" s="126" t="str">
        <f>IFERROR(__xludf.DUMMYFUNCTION("""COMPUTED_VALUE"""),"")</f>
        <v/>
      </c>
      <c r="CP80" s="127" t="str">
        <f>IFERROR(__xludf.DUMMYFUNCTION("""COMPUTED_VALUE"""),"")</f>
        <v/>
      </c>
      <c r="CQ80" s="126" t="str">
        <f>IFERROR(__xludf.DUMMYFUNCTION("""COMPUTED_VALUE"""),"")</f>
        <v/>
      </c>
      <c r="CR80" s="126" t="str">
        <f>IFERROR(__xludf.DUMMYFUNCTION("""COMPUTED_VALUE"""),"")</f>
        <v/>
      </c>
      <c r="CS80" s="127"/>
      <c r="CT80" s="126"/>
      <c r="CU80" s="126"/>
      <c r="CV80" s="127"/>
      <c r="CW80" s="126"/>
      <c r="CX80" s="126"/>
      <c r="CY80" s="127"/>
      <c r="CZ80" s="126"/>
      <c r="DA80" s="126"/>
      <c r="DB80" s="127"/>
      <c r="DC80" s="126"/>
      <c r="DD80" s="126"/>
      <c r="DE80" s="127"/>
      <c r="DF80" s="126"/>
      <c r="DG80" s="126"/>
      <c r="DH80" s="127"/>
      <c r="DI80" s="126"/>
      <c r="DJ80" s="126"/>
      <c r="DK80" s="127"/>
      <c r="DL80" s="126"/>
      <c r="DM80" s="126"/>
      <c r="DN80" s="127"/>
      <c r="DO80" s="126"/>
      <c r="DP80" s="126"/>
      <c r="DQ80" s="127"/>
      <c r="DR80" s="126"/>
      <c r="DS80" s="126"/>
      <c r="DT80" s="127"/>
    </row>
    <row r="81">
      <c r="B81" s="120" t="str">
        <f>IFERROR(__xludf.DUMMYFUNCTION("""COMPUTED_VALUE"""),"OKN4")</f>
        <v>OKN4</v>
      </c>
      <c r="C81" s="82">
        <f>IFERROR(__xludf.DUMMYFUNCTION("""COMPUTED_VALUE"""),68.0)</f>
        <v>68</v>
      </c>
      <c r="D81" s="88" t="str">
        <f>IFERROR(__xludf.DUMMYFUNCTION("""COMPUTED_VALUE"""),"Mapped Island")</f>
        <v>Mapped Island</v>
      </c>
      <c r="E81" s="82" t="str">
        <f>IFERROR(__xludf.DUMMYFUNCTION("""COMPUTED_VALUE"""),"地図に記された島")</f>
        <v>地図に記された島</v>
      </c>
      <c r="F81" s="102">
        <f>IFERROR(__xludf.DUMMYFUNCTION("""COMPUTED_VALUE"""),13.0)</f>
        <v>13</v>
      </c>
      <c r="G81" s="82">
        <f>IFERROR(__xludf.DUMMYFUNCTION("""COMPUTED_VALUE"""),1836.0)</f>
        <v>1836</v>
      </c>
      <c r="H81" s="95" t="str">
        <f>IFERROR(__xludf.DUMMYFUNCTION("""COMPUTED_VALUE"""),"")</f>
        <v/>
      </c>
      <c r="I81" s="96" t="str">
        <f>IFERROR(__xludf.DUMMYFUNCTION("""COMPUTED_VALUE"""),"")</f>
        <v/>
      </c>
      <c r="J81" s="97" t="str">
        <f>IFERROR(__xludf.DUMMYFUNCTION("""COMPUTED_VALUE"""),"")</f>
        <v/>
      </c>
      <c r="K81" s="95" t="str">
        <f>IFERROR(__xludf.DUMMYFUNCTION("""COMPUTED_VALUE"""),"")</f>
        <v/>
      </c>
      <c r="L81" s="96" t="str">
        <f>IFERROR(__xludf.DUMMYFUNCTION("""COMPUTED_VALUE"""),"")</f>
        <v/>
      </c>
      <c r="M81" s="97" t="str">
        <f>IFERROR(__xludf.DUMMYFUNCTION("""COMPUTED_VALUE"""),"")</f>
        <v/>
      </c>
      <c r="N81" s="95" t="str">
        <f>IFERROR(__xludf.DUMMYFUNCTION("""COMPUTED_VALUE"""),"")</f>
        <v/>
      </c>
      <c r="O81" s="96" t="str">
        <f>IFERROR(__xludf.DUMMYFUNCTION("""COMPUTED_VALUE"""),"")</f>
        <v/>
      </c>
      <c r="P81" s="97" t="str">
        <f>IFERROR(__xludf.DUMMYFUNCTION("""COMPUTED_VALUE"""),"")</f>
        <v/>
      </c>
      <c r="Q81" s="95" t="str">
        <f>IFERROR(__xludf.DUMMYFUNCTION("""COMPUTED_VALUE"""),"")</f>
        <v/>
      </c>
      <c r="R81" s="96" t="str">
        <f>IFERROR(__xludf.DUMMYFUNCTION("""COMPUTED_VALUE"""),"")</f>
        <v/>
      </c>
      <c r="S81" s="97" t="str">
        <f>IFERROR(__xludf.DUMMYFUNCTION("""COMPUTED_VALUE"""),"")</f>
        <v/>
      </c>
      <c r="T81" s="95" t="str">
        <f>IFERROR(__xludf.DUMMYFUNCTION("""COMPUTED_VALUE"""),"")</f>
        <v/>
      </c>
      <c r="U81" s="96" t="str">
        <f>IFERROR(__xludf.DUMMYFUNCTION("""COMPUTED_VALUE"""),"")</f>
        <v/>
      </c>
      <c r="V81" s="97" t="str">
        <f>IFERROR(__xludf.DUMMYFUNCTION("""COMPUTED_VALUE"""),"")</f>
        <v/>
      </c>
      <c r="W81" s="95" t="str">
        <f>IFERROR(__xludf.DUMMYFUNCTION("""COMPUTED_VALUE"""),"")</f>
        <v/>
      </c>
      <c r="X81" s="96" t="str">
        <f>IFERROR(__xludf.DUMMYFUNCTION("""COMPUTED_VALUE"""),"")</f>
        <v/>
      </c>
      <c r="Y81" s="97" t="str">
        <f>IFERROR(__xludf.DUMMYFUNCTION("""COMPUTED_VALUE"""),"")</f>
        <v/>
      </c>
      <c r="Z81" s="95" t="str">
        <f>IFERROR(__xludf.DUMMYFUNCTION("""COMPUTED_VALUE"""),"")</f>
        <v/>
      </c>
      <c r="AA81" s="96" t="str">
        <f>IFERROR(__xludf.DUMMYFUNCTION("""COMPUTED_VALUE"""),"")</f>
        <v/>
      </c>
      <c r="AB81" s="97" t="str">
        <f>IFERROR(__xludf.DUMMYFUNCTION("""COMPUTED_VALUE"""),"")</f>
        <v/>
      </c>
      <c r="AC81" s="95" t="str">
        <f>IFERROR(__xludf.DUMMYFUNCTION("""COMPUTED_VALUE"""),"")</f>
        <v/>
      </c>
      <c r="AD81" s="96" t="str">
        <f>IFERROR(__xludf.DUMMYFUNCTION("""COMPUTED_VALUE"""),"")</f>
        <v/>
      </c>
      <c r="AE81" s="97" t="str">
        <f>IFERROR(__xludf.DUMMYFUNCTION("""COMPUTED_VALUE"""),"")</f>
        <v/>
      </c>
      <c r="AF81" s="95" t="str">
        <f>IFERROR(__xludf.DUMMYFUNCTION("""COMPUTED_VALUE"""),"")</f>
        <v/>
      </c>
      <c r="AG81" s="96" t="str">
        <f>IFERROR(__xludf.DUMMYFUNCTION("""COMPUTED_VALUE"""),"")</f>
        <v/>
      </c>
      <c r="AH81" s="97" t="str">
        <f>IFERROR(__xludf.DUMMYFUNCTION("""COMPUTED_VALUE"""),"")</f>
        <v/>
      </c>
      <c r="AI81" s="92" t="str">
        <f>IFERROR(__xludf.DUMMYFUNCTION("""COMPUTED_VALUE"""),"")</f>
        <v/>
      </c>
      <c r="AJ81" s="93" t="str">
        <f>IFERROR(__xludf.DUMMYFUNCTION("""COMPUTED_VALUE"""),"")</f>
        <v/>
      </c>
      <c r="AK81" s="94" t="str">
        <f>IFERROR(__xludf.DUMMYFUNCTION("""COMPUTED_VALUE"""),"")</f>
        <v/>
      </c>
      <c r="AL81" s="93" t="str">
        <f>IFERROR(__xludf.DUMMYFUNCTION("""COMPUTED_VALUE"""),"")</f>
        <v/>
      </c>
      <c r="AM81" s="93" t="str">
        <f>IFERROR(__xludf.DUMMYFUNCTION("""COMPUTED_VALUE"""),"")</f>
        <v/>
      </c>
      <c r="AN81" s="94" t="str">
        <f>IFERROR(__xludf.DUMMYFUNCTION("""COMPUTED_VALUE"""),"")</f>
        <v/>
      </c>
      <c r="AO81" s="93" t="str">
        <f>IFERROR(__xludf.DUMMYFUNCTION("""COMPUTED_VALUE"""),"")</f>
        <v/>
      </c>
      <c r="AP81" s="93" t="str">
        <f>IFERROR(__xludf.DUMMYFUNCTION("""COMPUTED_VALUE"""),"")</f>
        <v/>
      </c>
      <c r="AQ81" s="94" t="str">
        <f>IFERROR(__xludf.DUMMYFUNCTION("""COMPUTED_VALUE"""),"")</f>
        <v/>
      </c>
      <c r="AR81" s="93" t="str">
        <f>IFERROR(__xludf.DUMMYFUNCTION("""COMPUTED_VALUE"""),"")</f>
        <v/>
      </c>
      <c r="AS81" s="93" t="str">
        <f>IFERROR(__xludf.DUMMYFUNCTION("""COMPUTED_VALUE"""),"")</f>
        <v/>
      </c>
      <c r="AT81" s="94" t="str">
        <f>IFERROR(__xludf.DUMMYFUNCTION("""COMPUTED_VALUE"""),"")</f>
        <v/>
      </c>
      <c r="AU81" s="93" t="str">
        <f>IFERROR(__xludf.DUMMYFUNCTION("""COMPUTED_VALUE"""),"")</f>
        <v/>
      </c>
      <c r="AV81" s="93">
        <f>IFERROR(__xludf.DUMMYFUNCTION("""COMPUTED_VALUE"""),35.2)</f>
        <v>35.2</v>
      </c>
      <c r="AW81" s="94">
        <f>IFERROR(__xludf.DUMMYFUNCTION("""COMPUTED_VALUE"""),98.6)</f>
        <v>98.6</v>
      </c>
      <c r="AX81" s="93" t="str">
        <f>IFERROR(__xludf.DUMMYFUNCTION("""COMPUTED_VALUE"""),"")</f>
        <v/>
      </c>
      <c r="AY81" s="93" t="str">
        <f>IFERROR(__xludf.DUMMYFUNCTION("""COMPUTED_VALUE"""),"")</f>
        <v/>
      </c>
      <c r="AZ81" s="94" t="str">
        <f>IFERROR(__xludf.DUMMYFUNCTION("""COMPUTED_VALUE"""),"")</f>
        <v/>
      </c>
      <c r="BA81" s="93" t="str">
        <f>IFERROR(__xludf.DUMMYFUNCTION("""COMPUTED_VALUE"""),"")</f>
        <v/>
      </c>
      <c r="BB81" s="93" t="str">
        <f>IFERROR(__xludf.DUMMYFUNCTION("""COMPUTED_VALUE"""),"")</f>
        <v/>
      </c>
      <c r="BC81" s="94" t="str">
        <f>IFERROR(__xludf.DUMMYFUNCTION("""COMPUTED_VALUE"""),"")</f>
        <v/>
      </c>
      <c r="BD81" s="93" t="str">
        <f>IFERROR(__xludf.DUMMYFUNCTION("""COMPUTED_VALUE"""),"")</f>
        <v/>
      </c>
      <c r="BE81" s="93" t="str">
        <f>IFERROR(__xludf.DUMMYFUNCTION("""COMPUTED_VALUE"""),"")</f>
        <v/>
      </c>
      <c r="BF81" s="94" t="str">
        <f>IFERROR(__xludf.DUMMYFUNCTION("""COMPUTED_VALUE"""),"")</f>
        <v/>
      </c>
      <c r="BG81" s="92" t="str">
        <f>IFERROR(__xludf.DUMMYFUNCTION("""COMPUTED_VALUE"""),"")</f>
        <v/>
      </c>
      <c r="BH81" s="93" t="str">
        <f>IFERROR(__xludf.DUMMYFUNCTION("""COMPUTED_VALUE"""),"")</f>
        <v/>
      </c>
      <c r="BI81" s="94" t="str">
        <f>IFERROR(__xludf.DUMMYFUNCTION("""COMPUTED_VALUE"""),"")</f>
        <v/>
      </c>
      <c r="BJ81" s="93" t="str">
        <f>IFERROR(__xludf.DUMMYFUNCTION("""COMPUTED_VALUE"""),"")</f>
        <v/>
      </c>
      <c r="BK81" s="93" t="str">
        <f>IFERROR(__xludf.DUMMYFUNCTION("""COMPUTED_VALUE"""),"")</f>
        <v/>
      </c>
      <c r="BL81" s="94" t="str">
        <f>IFERROR(__xludf.DUMMYFUNCTION("""COMPUTED_VALUE"""),"")</f>
        <v/>
      </c>
      <c r="BM81" s="93" t="str">
        <f>IFERROR(__xludf.DUMMYFUNCTION("""COMPUTED_VALUE"""),"")</f>
        <v/>
      </c>
      <c r="BN81" s="93" t="str">
        <f>IFERROR(__xludf.DUMMYFUNCTION("""COMPUTED_VALUE"""),"")</f>
        <v/>
      </c>
      <c r="BO81" s="94" t="str">
        <f>IFERROR(__xludf.DUMMYFUNCTION("""COMPUTED_VALUE"""),"")</f>
        <v/>
      </c>
      <c r="BP81" s="93" t="str">
        <f>IFERROR(__xludf.DUMMYFUNCTION("""COMPUTED_VALUE"""),"")</f>
        <v/>
      </c>
      <c r="BQ81" s="93">
        <f>IFERROR(__xludf.DUMMYFUNCTION("""COMPUTED_VALUE"""),49.7)</f>
        <v>49.7</v>
      </c>
      <c r="BR81" s="94">
        <f>IFERROR(__xludf.DUMMYFUNCTION("""COMPUTED_VALUE"""),80.3)</f>
        <v>80.3</v>
      </c>
      <c r="BS81" s="93" t="str">
        <f>IFERROR(__xludf.DUMMYFUNCTION("""COMPUTED_VALUE"""),"")</f>
        <v/>
      </c>
      <c r="BT81" s="93" t="str">
        <f>IFERROR(__xludf.DUMMYFUNCTION("""COMPUTED_VALUE"""),"")</f>
        <v/>
      </c>
      <c r="BU81" s="94" t="str">
        <f>IFERROR(__xludf.DUMMYFUNCTION("""COMPUTED_VALUE"""),"")</f>
        <v/>
      </c>
      <c r="BV81" s="93" t="str">
        <f>IFERROR(__xludf.DUMMYFUNCTION("""COMPUTED_VALUE"""),"")</f>
        <v/>
      </c>
      <c r="BW81" s="93" t="str">
        <f>IFERROR(__xludf.DUMMYFUNCTION("""COMPUTED_VALUE"""),"")</f>
        <v/>
      </c>
      <c r="BX81" s="94" t="str">
        <f>IFERROR(__xludf.DUMMYFUNCTION("""COMPUTED_VALUE"""),"")</f>
        <v/>
      </c>
      <c r="BY81" s="93" t="str">
        <f>IFERROR(__xludf.DUMMYFUNCTION("""COMPUTED_VALUE"""),"")</f>
        <v/>
      </c>
      <c r="BZ81" s="93" t="str">
        <f>IFERROR(__xludf.DUMMYFUNCTION("""COMPUTED_VALUE"""),"")</f>
        <v/>
      </c>
      <c r="CA81" s="94" t="str">
        <f>IFERROR(__xludf.DUMMYFUNCTION("""COMPUTED_VALUE"""),"")</f>
        <v/>
      </c>
      <c r="CB81" s="92" t="str">
        <f>IFERROR(__xludf.DUMMYFUNCTION("""COMPUTED_VALUE"""),"")</f>
        <v/>
      </c>
      <c r="CC81" s="93" t="str">
        <f>IFERROR(__xludf.DUMMYFUNCTION("""COMPUTED_VALUE"""),"")</f>
        <v/>
      </c>
      <c r="CD81" s="94">
        <f>IFERROR(__xludf.DUMMYFUNCTION("""COMPUTED_VALUE"""),800.2)</f>
        <v>800.2</v>
      </c>
      <c r="CE81" s="93" t="str">
        <f>IFERROR(__xludf.DUMMYFUNCTION("""COMPUTED_VALUE"""),"")</f>
        <v/>
      </c>
      <c r="CF81" s="93" t="str">
        <f>IFERROR(__xludf.DUMMYFUNCTION("""COMPUTED_VALUE"""),"")</f>
        <v/>
      </c>
      <c r="CG81" s="94" t="str">
        <f>IFERROR(__xludf.DUMMYFUNCTION("""COMPUTED_VALUE"""),"")</f>
        <v/>
      </c>
      <c r="CH81" s="93" t="str">
        <f>IFERROR(__xludf.DUMMYFUNCTION("""COMPUTED_VALUE"""),"")</f>
        <v/>
      </c>
      <c r="CI81" s="93" t="str">
        <f>IFERROR(__xludf.DUMMYFUNCTION("""COMPUTED_VALUE"""),"")</f>
        <v/>
      </c>
      <c r="CJ81" s="94" t="str">
        <f>IFERROR(__xludf.DUMMYFUNCTION("""COMPUTED_VALUE"""),"")</f>
        <v/>
      </c>
      <c r="CK81" s="93">
        <f>IFERROR(__xludf.DUMMYFUNCTION("""COMPUTED_VALUE"""),136.1)</f>
        <v>136.1</v>
      </c>
      <c r="CL81" s="93" t="str">
        <f>IFERROR(__xludf.DUMMYFUNCTION("""COMPUTED_VALUE"""),"")</f>
        <v/>
      </c>
      <c r="CM81" s="94" t="str">
        <f>IFERROR(__xludf.DUMMYFUNCTION("""COMPUTED_VALUE"""),"")</f>
        <v/>
      </c>
      <c r="CN81" s="93" t="str">
        <f>IFERROR(__xludf.DUMMYFUNCTION("""COMPUTED_VALUE"""),"")</f>
        <v/>
      </c>
      <c r="CO81" s="93" t="str">
        <f>IFERROR(__xludf.DUMMYFUNCTION("""COMPUTED_VALUE"""),"")</f>
        <v/>
      </c>
      <c r="CP81" s="94" t="str">
        <f>IFERROR(__xludf.DUMMYFUNCTION("""COMPUTED_VALUE"""),"")</f>
        <v/>
      </c>
      <c r="CQ81" s="93" t="str">
        <f>IFERROR(__xludf.DUMMYFUNCTION("""COMPUTED_VALUE"""),"")</f>
        <v/>
      </c>
      <c r="CR81" s="93" t="str">
        <f>IFERROR(__xludf.DUMMYFUNCTION("""COMPUTED_VALUE"""),"")</f>
        <v/>
      </c>
      <c r="CS81" s="94"/>
      <c r="CT81" s="93"/>
      <c r="CU81" s="93"/>
      <c r="CV81" s="94"/>
      <c r="CW81" s="93"/>
      <c r="CX81" s="93"/>
      <c r="CY81" s="94"/>
      <c r="CZ81" s="93"/>
      <c r="DA81" s="93"/>
      <c r="DB81" s="94"/>
      <c r="DC81" s="93"/>
      <c r="DD81" s="93"/>
      <c r="DE81" s="94"/>
      <c r="DF81" s="93"/>
      <c r="DG81" s="93"/>
      <c r="DH81" s="94"/>
      <c r="DI81" s="93"/>
      <c r="DJ81" s="93"/>
      <c r="DK81" s="94"/>
      <c r="DL81" s="93"/>
      <c r="DM81" s="93"/>
      <c r="DN81" s="94"/>
      <c r="DO81" s="93"/>
      <c r="DP81" s="93"/>
      <c r="DQ81" s="94"/>
      <c r="DR81" s="93"/>
      <c r="DS81" s="93"/>
      <c r="DT81" s="94"/>
    </row>
    <row r="82">
      <c r="B82" s="120" t="str">
        <f>IFERROR(__xludf.DUMMYFUNCTION("""COMPUTED_VALUE"""),"OKN5")</f>
        <v>OKN5</v>
      </c>
      <c r="C82" s="82">
        <f>IFERROR(__xludf.DUMMYFUNCTION("""COMPUTED_VALUE"""),69.0)</f>
        <v>69</v>
      </c>
      <c r="D82" s="88" t="str">
        <f>IFERROR(__xludf.DUMMYFUNCTION("""COMPUTED_VALUE"""),"Sunken Rock Seas")</f>
        <v>Sunken Rock Seas</v>
      </c>
      <c r="E82" s="82" t="str">
        <f>IFERROR(__xludf.DUMMYFUNCTION("""COMPUTED_VALUE"""),"暗礁海域")</f>
        <v>暗礁海域</v>
      </c>
      <c r="F82" s="102">
        <f>IFERROR(__xludf.DUMMYFUNCTION("""COMPUTED_VALUE"""),17.0)</f>
        <v>17</v>
      </c>
      <c r="G82" s="82">
        <f>IFERROR(__xludf.DUMMYFUNCTION("""COMPUTED_VALUE"""),1278.0)</f>
        <v>1278</v>
      </c>
      <c r="H82" s="95" t="str">
        <f>IFERROR(__xludf.DUMMYFUNCTION("""COMPUTED_VALUE"""),"")</f>
        <v/>
      </c>
      <c r="I82" s="96" t="str">
        <f>IFERROR(__xludf.DUMMYFUNCTION("""COMPUTED_VALUE"""),"")</f>
        <v/>
      </c>
      <c r="J82" s="97" t="str">
        <f>IFERROR(__xludf.DUMMYFUNCTION("""COMPUTED_VALUE"""),"")</f>
        <v/>
      </c>
      <c r="K82" s="95" t="str">
        <f>IFERROR(__xludf.DUMMYFUNCTION("""COMPUTED_VALUE"""),"")</f>
        <v/>
      </c>
      <c r="L82" s="96" t="str">
        <f>IFERROR(__xludf.DUMMYFUNCTION("""COMPUTED_VALUE"""),"")</f>
        <v/>
      </c>
      <c r="M82" s="97" t="str">
        <f>IFERROR(__xludf.DUMMYFUNCTION("""COMPUTED_VALUE"""),"")</f>
        <v/>
      </c>
      <c r="N82" s="95" t="str">
        <f>IFERROR(__xludf.DUMMYFUNCTION("""COMPUTED_VALUE"""),"")</f>
        <v/>
      </c>
      <c r="O82" s="96" t="str">
        <f>IFERROR(__xludf.DUMMYFUNCTION("""COMPUTED_VALUE"""),"")</f>
        <v/>
      </c>
      <c r="P82" s="97" t="str">
        <f>IFERROR(__xludf.DUMMYFUNCTION("""COMPUTED_VALUE"""),"")</f>
        <v/>
      </c>
      <c r="Q82" s="95" t="str">
        <f>IFERROR(__xludf.DUMMYFUNCTION("""COMPUTED_VALUE"""),"")</f>
        <v/>
      </c>
      <c r="R82" s="96" t="str">
        <f>IFERROR(__xludf.DUMMYFUNCTION("""COMPUTED_VALUE"""),"")</f>
        <v/>
      </c>
      <c r="S82" s="97" t="str">
        <f>IFERROR(__xludf.DUMMYFUNCTION("""COMPUTED_VALUE"""),"")</f>
        <v/>
      </c>
      <c r="T82" s="95" t="str">
        <f>IFERROR(__xludf.DUMMYFUNCTION("""COMPUTED_VALUE"""),"")</f>
        <v/>
      </c>
      <c r="U82" s="96" t="str">
        <f>IFERROR(__xludf.DUMMYFUNCTION("""COMPUTED_VALUE"""),"")</f>
        <v/>
      </c>
      <c r="V82" s="97" t="str">
        <f>IFERROR(__xludf.DUMMYFUNCTION("""COMPUTED_VALUE"""),"")</f>
        <v/>
      </c>
      <c r="W82" s="95" t="str">
        <f>IFERROR(__xludf.DUMMYFUNCTION("""COMPUTED_VALUE"""),"")</f>
        <v/>
      </c>
      <c r="X82" s="96" t="str">
        <f>IFERROR(__xludf.DUMMYFUNCTION("""COMPUTED_VALUE"""),"")</f>
        <v/>
      </c>
      <c r="Y82" s="97" t="str">
        <f>IFERROR(__xludf.DUMMYFUNCTION("""COMPUTED_VALUE"""),"")</f>
        <v/>
      </c>
      <c r="Z82" s="95" t="str">
        <f>IFERROR(__xludf.DUMMYFUNCTION("""COMPUTED_VALUE"""),"")</f>
        <v/>
      </c>
      <c r="AA82" s="96" t="str">
        <f>IFERROR(__xludf.DUMMYFUNCTION("""COMPUTED_VALUE"""),"")</f>
        <v/>
      </c>
      <c r="AB82" s="97" t="str">
        <f>IFERROR(__xludf.DUMMYFUNCTION("""COMPUTED_VALUE"""),"")</f>
        <v/>
      </c>
      <c r="AC82" s="95">
        <f>IFERROR(__xludf.DUMMYFUNCTION("""COMPUTED_VALUE"""),109.7)</f>
        <v>109.7</v>
      </c>
      <c r="AD82" s="96" t="str">
        <f>IFERROR(__xludf.DUMMYFUNCTION("""COMPUTED_VALUE"""),"")</f>
        <v/>
      </c>
      <c r="AE82" s="97" t="str">
        <f>IFERROR(__xludf.DUMMYFUNCTION("""COMPUTED_VALUE"""),"")</f>
        <v/>
      </c>
      <c r="AF82" s="95" t="str">
        <f>IFERROR(__xludf.DUMMYFUNCTION("""COMPUTED_VALUE"""),"")</f>
        <v/>
      </c>
      <c r="AG82" s="96" t="str">
        <f>IFERROR(__xludf.DUMMYFUNCTION("""COMPUTED_VALUE"""),"")</f>
        <v/>
      </c>
      <c r="AH82" s="97" t="str">
        <f>IFERROR(__xludf.DUMMYFUNCTION("""COMPUTED_VALUE"""),"")</f>
        <v/>
      </c>
      <c r="AI82" s="125" t="str">
        <f>IFERROR(__xludf.DUMMYFUNCTION("""COMPUTED_VALUE"""),"")</f>
        <v/>
      </c>
      <c r="AJ82" s="126" t="str">
        <f>IFERROR(__xludf.DUMMYFUNCTION("""COMPUTED_VALUE"""),"")</f>
        <v/>
      </c>
      <c r="AK82" s="127" t="str">
        <f>IFERROR(__xludf.DUMMYFUNCTION("""COMPUTED_VALUE"""),"")</f>
        <v/>
      </c>
      <c r="AL82" s="126" t="str">
        <f>IFERROR(__xludf.DUMMYFUNCTION("""COMPUTED_VALUE"""),"")</f>
        <v/>
      </c>
      <c r="AM82" s="126" t="str">
        <f>IFERROR(__xludf.DUMMYFUNCTION("""COMPUTED_VALUE"""),"")</f>
        <v/>
      </c>
      <c r="AN82" s="127" t="str">
        <f>IFERROR(__xludf.DUMMYFUNCTION("""COMPUTED_VALUE"""),"")</f>
        <v/>
      </c>
      <c r="AO82" s="126" t="str">
        <f>IFERROR(__xludf.DUMMYFUNCTION("""COMPUTED_VALUE"""),"")</f>
        <v/>
      </c>
      <c r="AP82" s="126" t="str">
        <f>IFERROR(__xludf.DUMMYFUNCTION("""COMPUTED_VALUE"""),"")</f>
        <v/>
      </c>
      <c r="AQ82" s="127" t="str">
        <f>IFERROR(__xludf.DUMMYFUNCTION("""COMPUTED_VALUE"""),"")</f>
        <v/>
      </c>
      <c r="AR82" s="126" t="str">
        <f>IFERROR(__xludf.DUMMYFUNCTION("""COMPUTED_VALUE"""),"")</f>
        <v/>
      </c>
      <c r="AS82" s="126" t="str">
        <f>IFERROR(__xludf.DUMMYFUNCTION("""COMPUTED_VALUE"""),"")</f>
        <v/>
      </c>
      <c r="AT82" s="127" t="str">
        <f>IFERROR(__xludf.DUMMYFUNCTION("""COMPUTED_VALUE"""),"")</f>
        <v/>
      </c>
      <c r="AU82" s="126">
        <f>IFERROR(__xludf.DUMMYFUNCTION("""COMPUTED_VALUE"""),46.8)</f>
        <v>46.8</v>
      </c>
      <c r="AV82" s="126" t="str">
        <f>IFERROR(__xludf.DUMMYFUNCTION("""COMPUTED_VALUE"""),"")</f>
        <v/>
      </c>
      <c r="AW82" s="127" t="str">
        <f>IFERROR(__xludf.DUMMYFUNCTION("""COMPUTED_VALUE"""),"")</f>
        <v/>
      </c>
      <c r="AX82" s="126" t="str">
        <f>IFERROR(__xludf.DUMMYFUNCTION("""COMPUTED_VALUE"""),"")</f>
        <v/>
      </c>
      <c r="AY82" s="126" t="str">
        <f>IFERROR(__xludf.DUMMYFUNCTION("""COMPUTED_VALUE"""),"")</f>
        <v/>
      </c>
      <c r="AZ82" s="127" t="str">
        <f>IFERROR(__xludf.DUMMYFUNCTION("""COMPUTED_VALUE"""),"")</f>
        <v/>
      </c>
      <c r="BA82" s="126" t="str">
        <f>IFERROR(__xludf.DUMMYFUNCTION("""COMPUTED_VALUE"""),"")</f>
        <v/>
      </c>
      <c r="BB82" s="126" t="str">
        <f>IFERROR(__xludf.DUMMYFUNCTION("""COMPUTED_VALUE"""),"")</f>
        <v/>
      </c>
      <c r="BC82" s="127" t="str">
        <f>IFERROR(__xludf.DUMMYFUNCTION("""COMPUTED_VALUE"""),"")</f>
        <v/>
      </c>
      <c r="BD82" s="126" t="str">
        <f>IFERROR(__xludf.DUMMYFUNCTION("""COMPUTED_VALUE"""),"")</f>
        <v/>
      </c>
      <c r="BE82" s="126" t="str">
        <f>IFERROR(__xludf.DUMMYFUNCTION("""COMPUTED_VALUE"""),"")</f>
        <v/>
      </c>
      <c r="BF82" s="127" t="str">
        <f>IFERROR(__xludf.DUMMYFUNCTION("""COMPUTED_VALUE"""),"")</f>
        <v/>
      </c>
      <c r="BG82" s="125" t="str">
        <f>IFERROR(__xludf.DUMMYFUNCTION("""COMPUTED_VALUE"""),"")</f>
        <v/>
      </c>
      <c r="BH82" s="126" t="str">
        <f>IFERROR(__xludf.DUMMYFUNCTION("""COMPUTED_VALUE"""),"")</f>
        <v/>
      </c>
      <c r="BI82" s="127" t="str">
        <f>IFERROR(__xludf.DUMMYFUNCTION("""COMPUTED_VALUE"""),"")</f>
        <v/>
      </c>
      <c r="BJ82" s="126" t="str">
        <f>IFERROR(__xludf.DUMMYFUNCTION("""COMPUTED_VALUE"""),"")</f>
        <v/>
      </c>
      <c r="BK82" s="126" t="str">
        <f>IFERROR(__xludf.DUMMYFUNCTION("""COMPUTED_VALUE"""),"")</f>
        <v/>
      </c>
      <c r="BL82" s="127" t="str">
        <f>IFERROR(__xludf.DUMMYFUNCTION("""COMPUTED_VALUE"""),"")</f>
        <v/>
      </c>
      <c r="BM82" s="126" t="str">
        <f>IFERROR(__xludf.DUMMYFUNCTION("""COMPUTED_VALUE"""),"")</f>
        <v/>
      </c>
      <c r="BN82" s="126">
        <f>IFERROR(__xludf.DUMMYFUNCTION("""COMPUTED_VALUE"""),74.0)</f>
        <v>74</v>
      </c>
      <c r="BO82" s="127" t="str">
        <f>IFERROR(__xludf.DUMMYFUNCTION("""COMPUTED_VALUE"""),"")</f>
        <v/>
      </c>
      <c r="BP82" s="126" t="str">
        <f>IFERROR(__xludf.DUMMYFUNCTION("""COMPUTED_VALUE"""),"")</f>
        <v/>
      </c>
      <c r="BQ82" s="126" t="str">
        <f>IFERROR(__xludf.DUMMYFUNCTION("""COMPUTED_VALUE"""),"")</f>
        <v/>
      </c>
      <c r="BR82" s="127">
        <f>IFERROR(__xludf.DUMMYFUNCTION("""COMPUTED_VALUE"""),64.9)</f>
        <v>64.9</v>
      </c>
      <c r="BS82" s="126" t="str">
        <f>IFERROR(__xludf.DUMMYFUNCTION("""COMPUTED_VALUE"""),"")</f>
        <v/>
      </c>
      <c r="BT82" s="126" t="str">
        <f>IFERROR(__xludf.DUMMYFUNCTION("""COMPUTED_VALUE"""),"")</f>
        <v/>
      </c>
      <c r="BU82" s="127">
        <f>IFERROR(__xludf.DUMMYFUNCTION("""COMPUTED_VALUE"""),105.7)</f>
        <v>105.7</v>
      </c>
      <c r="BV82" s="126" t="str">
        <f>IFERROR(__xludf.DUMMYFUNCTION("""COMPUTED_VALUE"""),"")</f>
        <v/>
      </c>
      <c r="BW82" s="126" t="str">
        <f>IFERROR(__xludf.DUMMYFUNCTION("""COMPUTED_VALUE"""),"")</f>
        <v/>
      </c>
      <c r="BX82" s="127" t="str">
        <f>IFERROR(__xludf.DUMMYFUNCTION("""COMPUTED_VALUE"""),"")</f>
        <v/>
      </c>
      <c r="BY82" s="126" t="str">
        <f>IFERROR(__xludf.DUMMYFUNCTION("""COMPUTED_VALUE"""),"")</f>
        <v/>
      </c>
      <c r="BZ82" s="126" t="str">
        <f>IFERROR(__xludf.DUMMYFUNCTION("""COMPUTED_VALUE"""),"")</f>
        <v/>
      </c>
      <c r="CA82" s="127" t="str">
        <f>IFERROR(__xludf.DUMMYFUNCTION("""COMPUTED_VALUE"""),"")</f>
        <v/>
      </c>
      <c r="CB82" s="125" t="str">
        <f>IFERROR(__xludf.DUMMYFUNCTION("""COMPUTED_VALUE"""),"")</f>
        <v/>
      </c>
      <c r="CC82" s="126" t="str">
        <f>IFERROR(__xludf.DUMMYFUNCTION("""COMPUTED_VALUE"""),"")</f>
        <v/>
      </c>
      <c r="CD82" s="127" t="str">
        <f>IFERROR(__xludf.DUMMYFUNCTION("""COMPUTED_VALUE"""),"")</f>
        <v/>
      </c>
      <c r="CE82" s="126" t="str">
        <f>IFERROR(__xludf.DUMMYFUNCTION("""COMPUTED_VALUE"""),"")</f>
        <v/>
      </c>
      <c r="CF82" s="126" t="str">
        <f>IFERROR(__xludf.DUMMYFUNCTION("""COMPUTED_VALUE"""),"")</f>
        <v/>
      </c>
      <c r="CG82" s="127" t="str">
        <f>IFERROR(__xludf.DUMMYFUNCTION("""COMPUTED_VALUE"""),"")</f>
        <v/>
      </c>
      <c r="CH82" s="126" t="str">
        <f>IFERROR(__xludf.DUMMYFUNCTION("""COMPUTED_VALUE"""),"")</f>
        <v/>
      </c>
      <c r="CI82" s="126" t="str">
        <f>IFERROR(__xludf.DUMMYFUNCTION("""COMPUTED_VALUE"""),"")</f>
        <v/>
      </c>
      <c r="CJ82" s="127" t="str">
        <f>IFERROR(__xludf.DUMMYFUNCTION("""COMPUTED_VALUE"""),"")</f>
        <v/>
      </c>
      <c r="CK82" s="126" t="str">
        <f>IFERROR(__xludf.DUMMYFUNCTION("""COMPUTED_VALUE"""),"")</f>
        <v/>
      </c>
      <c r="CL82" s="126" t="str">
        <f>IFERROR(__xludf.DUMMYFUNCTION("""COMPUTED_VALUE"""),"")</f>
        <v/>
      </c>
      <c r="CM82" s="127" t="str">
        <f>IFERROR(__xludf.DUMMYFUNCTION("""COMPUTED_VALUE"""),"")</f>
        <v/>
      </c>
      <c r="CN82" s="126" t="str">
        <f>IFERROR(__xludf.DUMMYFUNCTION("""COMPUTED_VALUE"""),"")</f>
        <v/>
      </c>
      <c r="CO82" s="126" t="str">
        <f>IFERROR(__xludf.DUMMYFUNCTION("""COMPUTED_VALUE"""),"")</f>
        <v/>
      </c>
      <c r="CP82" s="127" t="str">
        <f>IFERROR(__xludf.DUMMYFUNCTION("""COMPUTED_VALUE"""),"")</f>
        <v/>
      </c>
      <c r="CQ82" s="126" t="str">
        <f>IFERROR(__xludf.DUMMYFUNCTION("""COMPUTED_VALUE"""),"")</f>
        <v/>
      </c>
      <c r="CR82" s="126" t="str">
        <f>IFERROR(__xludf.DUMMYFUNCTION("""COMPUTED_VALUE"""),"")</f>
        <v/>
      </c>
      <c r="CS82" s="127"/>
      <c r="CT82" s="126"/>
      <c r="CU82" s="126"/>
      <c r="CV82" s="127"/>
      <c r="CW82" s="126"/>
      <c r="CX82" s="126"/>
      <c r="CY82" s="127"/>
      <c r="CZ82" s="126"/>
      <c r="DA82" s="126"/>
      <c r="DB82" s="127"/>
      <c r="DC82" s="126"/>
      <c r="DD82" s="126"/>
      <c r="DE82" s="127"/>
      <c r="DF82" s="126"/>
      <c r="DG82" s="126"/>
      <c r="DH82" s="127"/>
      <c r="DI82" s="126"/>
      <c r="DJ82" s="126"/>
      <c r="DK82" s="127"/>
      <c r="DL82" s="126"/>
      <c r="DM82" s="126"/>
      <c r="DN82" s="127"/>
      <c r="DO82" s="126"/>
      <c r="DP82" s="126"/>
      <c r="DQ82" s="127"/>
      <c r="DR82" s="126"/>
      <c r="DS82" s="126"/>
      <c r="DT82" s="127"/>
    </row>
    <row r="83">
      <c r="B83" s="120" t="str">
        <f>IFERROR(__xludf.DUMMYFUNCTION("""COMPUTED_VALUE"""),"OKN6")</f>
        <v>OKN6</v>
      </c>
      <c r="C83" s="82">
        <f>IFERROR(__xludf.DUMMYFUNCTION("""COMPUTED_VALUE"""),70.0)</f>
        <v>70</v>
      </c>
      <c r="D83" s="88" t="str">
        <f>IFERROR(__xludf.DUMMYFUNCTION("""COMPUTED_VALUE"""),"Two-Current Sea")</f>
        <v>Two-Current Sea</v>
      </c>
      <c r="E83" s="82" t="str">
        <f>IFERROR(__xludf.DUMMYFUNCTION("""COMPUTED_VALUE"""),"潮目の海")</f>
        <v>潮目の海</v>
      </c>
      <c r="F83" s="102">
        <f>IFERROR(__xludf.DUMMYFUNCTION("""COMPUTED_VALUE"""),14.0)</f>
        <v>14</v>
      </c>
      <c r="G83" s="82">
        <f>IFERROR(__xludf.DUMMYFUNCTION("""COMPUTED_VALUE"""),1250.0)</f>
        <v>1250</v>
      </c>
      <c r="H83" s="95" t="str">
        <f>IFERROR(__xludf.DUMMYFUNCTION("""COMPUTED_VALUE"""),"")</f>
        <v/>
      </c>
      <c r="I83" s="96" t="str">
        <f>IFERROR(__xludf.DUMMYFUNCTION("""COMPUTED_VALUE"""),"")</f>
        <v/>
      </c>
      <c r="J83" s="97" t="str">
        <f>IFERROR(__xludf.DUMMYFUNCTION("""COMPUTED_VALUE"""),"")</f>
        <v/>
      </c>
      <c r="K83" s="95" t="str">
        <f>IFERROR(__xludf.DUMMYFUNCTION("""COMPUTED_VALUE"""),"")</f>
        <v/>
      </c>
      <c r="L83" s="96" t="str">
        <f>IFERROR(__xludf.DUMMYFUNCTION("""COMPUTED_VALUE"""),"")</f>
        <v/>
      </c>
      <c r="M83" s="97" t="str">
        <f>IFERROR(__xludf.DUMMYFUNCTION("""COMPUTED_VALUE"""),"")</f>
        <v/>
      </c>
      <c r="N83" s="95" t="str">
        <f>IFERROR(__xludf.DUMMYFUNCTION("""COMPUTED_VALUE"""),"")</f>
        <v/>
      </c>
      <c r="O83" s="96" t="str">
        <f>IFERROR(__xludf.DUMMYFUNCTION("""COMPUTED_VALUE"""),"")</f>
        <v/>
      </c>
      <c r="P83" s="97" t="str">
        <f>IFERROR(__xludf.DUMMYFUNCTION("""COMPUTED_VALUE"""),"")</f>
        <v/>
      </c>
      <c r="Q83" s="95" t="str">
        <f>IFERROR(__xludf.DUMMYFUNCTION("""COMPUTED_VALUE"""),"")</f>
        <v/>
      </c>
      <c r="R83" s="96" t="str">
        <f>IFERROR(__xludf.DUMMYFUNCTION("""COMPUTED_VALUE"""),"")</f>
        <v/>
      </c>
      <c r="S83" s="97" t="str">
        <f>IFERROR(__xludf.DUMMYFUNCTION("""COMPUTED_VALUE"""),"")</f>
        <v/>
      </c>
      <c r="T83" s="95" t="str">
        <f>IFERROR(__xludf.DUMMYFUNCTION("""COMPUTED_VALUE"""),"")</f>
        <v/>
      </c>
      <c r="U83" s="96" t="str">
        <f>IFERROR(__xludf.DUMMYFUNCTION("""COMPUTED_VALUE"""),"")</f>
        <v/>
      </c>
      <c r="V83" s="97" t="str">
        <f>IFERROR(__xludf.DUMMYFUNCTION("""COMPUTED_VALUE"""),"")</f>
        <v/>
      </c>
      <c r="W83" s="95" t="str">
        <f>IFERROR(__xludf.DUMMYFUNCTION("""COMPUTED_VALUE"""),"")</f>
        <v/>
      </c>
      <c r="X83" s="96" t="str">
        <f>IFERROR(__xludf.DUMMYFUNCTION("""COMPUTED_VALUE"""),"")</f>
        <v/>
      </c>
      <c r="Y83" s="97" t="str">
        <f>IFERROR(__xludf.DUMMYFUNCTION("""COMPUTED_VALUE"""),"")</f>
        <v/>
      </c>
      <c r="Z83" s="95" t="str">
        <f>IFERROR(__xludf.DUMMYFUNCTION("""COMPUTED_VALUE"""),"")</f>
        <v/>
      </c>
      <c r="AA83" s="96" t="str">
        <f>IFERROR(__xludf.DUMMYFUNCTION("""COMPUTED_VALUE"""),"")</f>
        <v/>
      </c>
      <c r="AB83" s="97">
        <f>IFERROR(__xludf.DUMMYFUNCTION("""COMPUTED_VALUE"""),125.9)</f>
        <v>125.9</v>
      </c>
      <c r="AC83" s="95" t="str">
        <f>IFERROR(__xludf.DUMMYFUNCTION("""COMPUTED_VALUE"""),"")</f>
        <v/>
      </c>
      <c r="AD83" s="96" t="str">
        <f>IFERROR(__xludf.DUMMYFUNCTION("""COMPUTED_VALUE"""),"")</f>
        <v/>
      </c>
      <c r="AE83" s="97" t="str">
        <f>IFERROR(__xludf.DUMMYFUNCTION("""COMPUTED_VALUE"""),"")</f>
        <v/>
      </c>
      <c r="AF83" s="95" t="str">
        <f>IFERROR(__xludf.DUMMYFUNCTION("""COMPUTED_VALUE"""),"")</f>
        <v/>
      </c>
      <c r="AG83" s="96" t="str">
        <f>IFERROR(__xludf.DUMMYFUNCTION("""COMPUTED_VALUE"""),"")</f>
        <v/>
      </c>
      <c r="AH83" s="97" t="str">
        <f>IFERROR(__xludf.DUMMYFUNCTION("""COMPUTED_VALUE"""),"")</f>
        <v/>
      </c>
      <c r="AI83" s="92" t="str">
        <f>IFERROR(__xludf.DUMMYFUNCTION("""COMPUTED_VALUE"""),"")</f>
        <v/>
      </c>
      <c r="AJ83" s="93" t="str">
        <f>IFERROR(__xludf.DUMMYFUNCTION("""COMPUTED_VALUE"""),"")</f>
        <v/>
      </c>
      <c r="AK83" s="94" t="str">
        <f>IFERROR(__xludf.DUMMYFUNCTION("""COMPUTED_VALUE"""),"")</f>
        <v/>
      </c>
      <c r="AL83" s="93" t="str">
        <f>IFERROR(__xludf.DUMMYFUNCTION("""COMPUTED_VALUE"""),"")</f>
        <v/>
      </c>
      <c r="AM83" s="93" t="str">
        <f>IFERROR(__xludf.DUMMYFUNCTION("""COMPUTED_VALUE"""),"")</f>
        <v/>
      </c>
      <c r="AN83" s="94" t="str">
        <f>IFERROR(__xludf.DUMMYFUNCTION("""COMPUTED_VALUE"""),"")</f>
        <v/>
      </c>
      <c r="AO83" s="93" t="str">
        <f>IFERROR(__xludf.DUMMYFUNCTION("""COMPUTED_VALUE"""),"")</f>
        <v/>
      </c>
      <c r="AP83" s="93" t="str">
        <f>IFERROR(__xludf.DUMMYFUNCTION("""COMPUTED_VALUE"""),"")</f>
        <v/>
      </c>
      <c r="AQ83" s="94" t="str">
        <f>IFERROR(__xludf.DUMMYFUNCTION("""COMPUTED_VALUE"""),"")</f>
        <v/>
      </c>
      <c r="AR83" s="93" t="str">
        <f>IFERROR(__xludf.DUMMYFUNCTION("""COMPUTED_VALUE"""),"")</f>
        <v/>
      </c>
      <c r="AS83" s="93" t="str">
        <f>IFERROR(__xludf.DUMMYFUNCTION("""COMPUTED_VALUE"""),"")</f>
        <v/>
      </c>
      <c r="AT83" s="94">
        <f>IFERROR(__xludf.DUMMYFUNCTION("""COMPUTED_VALUE"""),55.4)</f>
        <v>55.4</v>
      </c>
      <c r="AU83" s="93" t="str">
        <f>IFERROR(__xludf.DUMMYFUNCTION("""COMPUTED_VALUE"""),"")</f>
        <v/>
      </c>
      <c r="AV83" s="93" t="str">
        <f>IFERROR(__xludf.DUMMYFUNCTION("""COMPUTED_VALUE"""),"")</f>
        <v/>
      </c>
      <c r="AW83" s="94" t="str">
        <f>IFERROR(__xludf.DUMMYFUNCTION("""COMPUTED_VALUE"""),"")</f>
        <v/>
      </c>
      <c r="AX83" s="93" t="str">
        <f>IFERROR(__xludf.DUMMYFUNCTION("""COMPUTED_VALUE"""),"")</f>
        <v/>
      </c>
      <c r="AY83" s="93" t="str">
        <f>IFERROR(__xludf.DUMMYFUNCTION("""COMPUTED_VALUE"""),"")</f>
        <v/>
      </c>
      <c r="AZ83" s="94" t="str">
        <f>IFERROR(__xludf.DUMMYFUNCTION("""COMPUTED_VALUE"""),"")</f>
        <v/>
      </c>
      <c r="BA83" s="93" t="str">
        <f>IFERROR(__xludf.DUMMYFUNCTION("""COMPUTED_VALUE"""),"")</f>
        <v/>
      </c>
      <c r="BB83" s="93" t="str">
        <f>IFERROR(__xludf.DUMMYFUNCTION("""COMPUTED_VALUE"""),"")</f>
        <v/>
      </c>
      <c r="BC83" s="94" t="str">
        <f>IFERROR(__xludf.DUMMYFUNCTION("""COMPUTED_VALUE"""),"")</f>
        <v/>
      </c>
      <c r="BD83" s="93" t="str">
        <f>IFERROR(__xludf.DUMMYFUNCTION("""COMPUTED_VALUE"""),"")</f>
        <v/>
      </c>
      <c r="BE83" s="93" t="str">
        <f>IFERROR(__xludf.DUMMYFUNCTION("""COMPUTED_VALUE"""),"")</f>
        <v/>
      </c>
      <c r="BF83" s="94" t="str">
        <f>IFERROR(__xludf.DUMMYFUNCTION("""COMPUTED_VALUE"""),"")</f>
        <v/>
      </c>
      <c r="BG83" s="92" t="str">
        <f>IFERROR(__xludf.DUMMYFUNCTION("""COMPUTED_VALUE"""),"")</f>
        <v/>
      </c>
      <c r="BH83" s="93" t="str">
        <f>IFERROR(__xludf.DUMMYFUNCTION("""COMPUTED_VALUE"""),"")</f>
        <v/>
      </c>
      <c r="BI83" s="94" t="str">
        <f>IFERROR(__xludf.DUMMYFUNCTION("""COMPUTED_VALUE"""),"")</f>
        <v/>
      </c>
      <c r="BJ83" s="93" t="str">
        <f>IFERROR(__xludf.DUMMYFUNCTION("""COMPUTED_VALUE"""),"")</f>
        <v/>
      </c>
      <c r="BK83" s="93" t="str">
        <f>IFERROR(__xludf.DUMMYFUNCTION("""COMPUTED_VALUE"""),"")</f>
        <v/>
      </c>
      <c r="BL83" s="94" t="str">
        <f>IFERROR(__xludf.DUMMYFUNCTION("""COMPUTED_VALUE"""),"")</f>
        <v/>
      </c>
      <c r="BM83" s="93" t="str">
        <f>IFERROR(__xludf.DUMMYFUNCTION("""COMPUTED_VALUE"""),"")</f>
        <v/>
      </c>
      <c r="BN83" s="93" t="str">
        <f>IFERROR(__xludf.DUMMYFUNCTION("""COMPUTED_VALUE"""),"")</f>
        <v/>
      </c>
      <c r="BO83" s="94" t="str">
        <f>IFERROR(__xludf.DUMMYFUNCTION("""COMPUTED_VALUE"""),"")</f>
        <v/>
      </c>
      <c r="BP83" s="93">
        <f>IFERROR(__xludf.DUMMYFUNCTION("""COMPUTED_VALUE"""),309.6)</f>
        <v>309.6</v>
      </c>
      <c r="BQ83" s="93" t="str">
        <f>IFERROR(__xludf.DUMMYFUNCTION("""COMPUTED_VALUE"""),"")</f>
        <v/>
      </c>
      <c r="BR83" s="94">
        <f>IFERROR(__xludf.DUMMYFUNCTION("""COMPUTED_VALUE"""),72.9)</f>
        <v>72.9</v>
      </c>
      <c r="BS83" s="93" t="str">
        <f>IFERROR(__xludf.DUMMYFUNCTION("""COMPUTED_VALUE"""),"")</f>
        <v/>
      </c>
      <c r="BT83" s="93" t="str">
        <f>IFERROR(__xludf.DUMMYFUNCTION("""COMPUTED_VALUE"""),"")</f>
        <v/>
      </c>
      <c r="BU83" s="94" t="str">
        <f>IFERROR(__xludf.DUMMYFUNCTION("""COMPUTED_VALUE"""),"")</f>
        <v/>
      </c>
      <c r="BV83" s="93" t="str">
        <f>IFERROR(__xludf.DUMMYFUNCTION("""COMPUTED_VALUE"""),"")</f>
        <v/>
      </c>
      <c r="BW83" s="93">
        <f>IFERROR(__xludf.DUMMYFUNCTION("""COMPUTED_VALUE"""),74.9)</f>
        <v>74.9</v>
      </c>
      <c r="BX83" s="94" t="str">
        <f>IFERROR(__xludf.DUMMYFUNCTION("""COMPUTED_VALUE"""),"")</f>
        <v/>
      </c>
      <c r="BY83" s="93" t="str">
        <f>IFERROR(__xludf.DUMMYFUNCTION("""COMPUTED_VALUE"""),"")</f>
        <v/>
      </c>
      <c r="BZ83" s="93" t="str">
        <f>IFERROR(__xludf.DUMMYFUNCTION("""COMPUTED_VALUE"""),"")</f>
        <v/>
      </c>
      <c r="CA83" s="94" t="str">
        <f>IFERROR(__xludf.DUMMYFUNCTION("""COMPUTED_VALUE"""),"")</f>
        <v/>
      </c>
      <c r="CB83" s="92" t="str">
        <f>IFERROR(__xludf.DUMMYFUNCTION("""COMPUTED_VALUE"""),"")</f>
        <v/>
      </c>
      <c r="CC83" s="93" t="str">
        <f>IFERROR(__xludf.DUMMYFUNCTION("""COMPUTED_VALUE"""),"")</f>
        <v/>
      </c>
      <c r="CD83" s="94" t="str">
        <f>IFERROR(__xludf.DUMMYFUNCTION("""COMPUTED_VALUE"""),"")</f>
        <v/>
      </c>
      <c r="CE83" s="93" t="str">
        <f>IFERROR(__xludf.DUMMYFUNCTION("""COMPUTED_VALUE"""),"")</f>
        <v/>
      </c>
      <c r="CF83" s="93" t="str">
        <f>IFERROR(__xludf.DUMMYFUNCTION("""COMPUTED_VALUE"""),"")</f>
        <v/>
      </c>
      <c r="CG83" s="94" t="str">
        <f>IFERROR(__xludf.DUMMYFUNCTION("""COMPUTED_VALUE"""),"")</f>
        <v/>
      </c>
      <c r="CH83" s="93" t="str">
        <f>IFERROR(__xludf.DUMMYFUNCTION("""COMPUTED_VALUE"""),"")</f>
        <v/>
      </c>
      <c r="CI83" s="93" t="str">
        <f>IFERROR(__xludf.DUMMYFUNCTION("""COMPUTED_VALUE"""),"")</f>
        <v/>
      </c>
      <c r="CJ83" s="94" t="str">
        <f>IFERROR(__xludf.DUMMYFUNCTION("""COMPUTED_VALUE"""),"")</f>
        <v/>
      </c>
      <c r="CK83" s="93" t="str">
        <f>IFERROR(__xludf.DUMMYFUNCTION("""COMPUTED_VALUE"""),"")</f>
        <v/>
      </c>
      <c r="CL83" s="93" t="str">
        <f>IFERROR(__xludf.DUMMYFUNCTION("""COMPUTED_VALUE"""),"")</f>
        <v/>
      </c>
      <c r="CM83" s="94" t="str">
        <f>IFERROR(__xludf.DUMMYFUNCTION("""COMPUTED_VALUE"""),"")</f>
        <v/>
      </c>
      <c r="CN83" s="93" t="str">
        <f>IFERROR(__xludf.DUMMYFUNCTION("""COMPUTED_VALUE"""),"")</f>
        <v/>
      </c>
      <c r="CO83" s="93" t="str">
        <f>IFERROR(__xludf.DUMMYFUNCTION("""COMPUTED_VALUE"""),"")</f>
        <v/>
      </c>
      <c r="CP83" s="94" t="str">
        <f>IFERROR(__xludf.DUMMYFUNCTION("""COMPUTED_VALUE"""),"")</f>
        <v/>
      </c>
      <c r="CQ83" s="93" t="str">
        <f>IFERROR(__xludf.DUMMYFUNCTION("""COMPUTED_VALUE"""),"")</f>
        <v/>
      </c>
      <c r="CR83" s="93" t="str">
        <f>IFERROR(__xludf.DUMMYFUNCTION("""COMPUTED_VALUE"""),"")</f>
        <v/>
      </c>
      <c r="CS83" s="94"/>
      <c r="CT83" s="93"/>
      <c r="CU83" s="93"/>
      <c r="CV83" s="94"/>
      <c r="CW83" s="93"/>
      <c r="CX83" s="93"/>
      <c r="CY83" s="94"/>
      <c r="CZ83" s="93"/>
      <c r="DA83" s="93"/>
      <c r="DB83" s="94"/>
      <c r="DC83" s="93"/>
      <c r="DD83" s="93"/>
      <c r="DE83" s="94"/>
      <c r="DF83" s="93"/>
      <c r="DG83" s="93"/>
      <c r="DH83" s="94"/>
      <c r="DI83" s="93"/>
      <c r="DJ83" s="93"/>
      <c r="DK83" s="94"/>
      <c r="DL83" s="93"/>
      <c r="DM83" s="93"/>
      <c r="DN83" s="94"/>
      <c r="DO83" s="93"/>
      <c r="DP83" s="93"/>
      <c r="DQ83" s="94"/>
      <c r="DR83" s="93"/>
      <c r="DS83" s="93"/>
      <c r="DT83" s="94"/>
    </row>
    <row r="84">
      <c r="B84" s="120" t="str">
        <f>IFERROR(__xludf.DUMMYFUNCTION("""COMPUTED_VALUE"""),"OKN7")</f>
        <v>OKN7</v>
      </c>
      <c r="C84" s="82">
        <f>IFERROR(__xludf.DUMMYFUNCTION("""COMPUTED_VALUE"""),71.0)</f>
        <v>71</v>
      </c>
      <c r="D84" s="88" t="str">
        <f>IFERROR(__xludf.DUMMYFUNCTION("""COMPUTED_VALUE"""),"Island of Wyverns")</f>
        <v>Island of Wyverns</v>
      </c>
      <c r="E84" s="82" t="str">
        <f>IFERROR(__xludf.DUMMYFUNCTION("""COMPUTED_VALUE"""),"翼竜の島")</f>
        <v>翼竜の島</v>
      </c>
      <c r="F84" s="102">
        <f>IFERROR(__xludf.DUMMYFUNCTION("""COMPUTED_VALUE"""),14.0)</f>
        <v>14</v>
      </c>
      <c r="G84" s="82">
        <f>IFERROR(__xludf.DUMMYFUNCTION("""COMPUTED_VALUE"""),1447.0)</f>
        <v>1447</v>
      </c>
      <c r="H84" s="95" t="str">
        <f>IFERROR(__xludf.DUMMYFUNCTION("""COMPUTED_VALUE"""),"")</f>
        <v/>
      </c>
      <c r="I84" s="96" t="str">
        <f>IFERROR(__xludf.DUMMYFUNCTION("""COMPUTED_VALUE"""),"")</f>
        <v/>
      </c>
      <c r="J84" s="97" t="str">
        <f>IFERROR(__xludf.DUMMYFUNCTION("""COMPUTED_VALUE"""),"")</f>
        <v/>
      </c>
      <c r="K84" s="95" t="str">
        <f>IFERROR(__xludf.DUMMYFUNCTION("""COMPUTED_VALUE"""),"")</f>
        <v/>
      </c>
      <c r="L84" s="96" t="str">
        <f>IFERROR(__xludf.DUMMYFUNCTION("""COMPUTED_VALUE"""),"")</f>
        <v/>
      </c>
      <c r="M84" s="97" t="str">
        <f>IFERROR(__xludf.DUMMYFUNCTION("""COMPUTED_VALUE"""),"")</f>
        <v/>
      </c>
      <c r="N84" s="95" t="str">
        <f>IFERROR(__xludf.DUMMYFUNCTION("""COMPUTED_VALUE"""),"")</f>
        <v/>
      </c>
      <c r="O84" s="96" t="str">
        <f>IFERROR(__xludf.DUMMYFUNCTION("""COMPUTED_VALUE"""),"")</f>
        <v/>
      </c>
      <c r="P84" s="97" t="str">
        <f>IFERROR(__xludf.DUMMYFUNCTION("""COMPUTED_VALUE"""),"")</f>
        <v/>
      </c>
      <c r="Q84" s="95" t="str">
        <f>IFERROR(__xludf.DUMMYFUNCTION("""COMPUTED_VALUE"""),"")</f>
        <v/>
      </c>
      <c r="R84" s="96" t="str">
        <f>IFERROR(__xludf.DUMMYFUNCTION("""COMPUTED_VALUE"""),"")</f>
        <v/>
      </c>
      <c r="S84" s="97" t="str">
        <f>IFERROR(__xludf.DUMMYFUNCTION("""COMPUTED_VALUE"""),"")</f>
        <v/>
      </c>
      <c r="T84" s="95" t="str">
        <f>IFERROR(__xludf.DUMMYFUNCTION("""COMPUTED_VALUE"""),"")</f>
        <v/>
      </c>
      <c r="U84" s="96" t="str">
        <f>IFERROR(__xludf.DUMMYFUNCTION("""COMPUTED_VALUE"""),"")</f>
        <v/>
      </c>
      <c r="V84" s="97" t="str">
        <f>IFERROR(__xludf.DUMMYFUNCTION("""COMPUTED_VALUE"""),"")</f>
        <v/>
      </c>
      <c r="W84" s="95" t="str">
        <f>IFERROR(__xludf.DUMMYFUNCTION("""COMPUTED_VALUE"""),"")</f>
        <v/>
      </c>
      <c r="X84" s="96" t="str">
        <f>IFERROR(__xludf.DUMMYFUNCTION("""COMPUTED_VALUE"""),"")</f>
        <v/>
      </c>
      <c r="Y84" s="97" t="str">
        <f>IFERROR(__xludf.DUMMYFUNCTION("""COMPUTED_VALUE"""),"")</f>
        <v/>
      </c>
      <c r="Z84" s="95" t="str">
        <f>IFERROR(__xludf.DUMMYFUNCTION("""COMPUTED_VALUE"""),"")</f>
        <v/>
      </c>
      <c r="AA84" s="96" t="str">
        <f>IFERROR(__xludf.DUMMYFUNCTION("""COMPUTED_VALUE"""),"")</f>
        <v/>
      </c>
      <c r="AB84" s="97" t="str">
        <f>IFERROR(__xludf.DUMMYFUNCTION("""COMPUTED_VALUE"""),"")</f>
        <v/>
      </c>
      <c r="AC84" s="95" t="str">
        <f>IFERROR(__xludf.DUMMYFUNCTION("""COMPUTED_VALUE"""),"")</f>
        <v/>
      </c>
      <c r="AD84" s="96" t="str">
        <f>IFERROR(__xludf.DUMMYFUNCTION("""COMPUTED_VALUE"""),"")</f>
        <v/>
      </c>
      <c r="AE84" s="97" t="str">
        <f>IFERROR(__xludf.DUMMYFUNCTION("""COMPUTED_VALUE"""),"")</f>
        <v/>
      </c>
      <c r="AF84" s="95" t="str">
        <f>IFERROR(__xludf.DUMMYFUNCTION("""COMPUTED_VALUE"""),"")</f>
        <v/>
      </c>
      <c r="AG84" s="96" t="str">
        <f>IFERROR(__xludf.DUMMYFUNCTION("""COMPUTED_VALUE"""),"")</f>
        <v/>
      </c>
      <c r="AH84" s="97" t="str">
        <f>IFERROR(__xludf.DUMMYFUNCTION("""COMPUTED_VALUE"""),"")</f>
        <v/>
      </c>
      <c r="AI84" s="125" t="str">
        <f>IFERROR(__xludf.DUMMYFUNCTION("""COMPUTED_VALUE"""),"")</f>
        <v/>
      </c>
      <c r="AJ84" s="126" t="str">
        <f>IFERROR(__xludf.DUMMYFUNCTION("""COMPUTED_VALUE"""),"")</f>
        <v/>
      </c>
      <c r="AK84" s="127" t="str">
        <f>IFERROR(__xludf.DUMMYFUNCTION("""COMPUTED_VALUE"""),"")</f>
        <v/>
      </c>
      <c r="AL84" s="126" t="str">
        <f>IFERROR(__xludf.DUMMYFUNCTION("""COMPUTED_VALUE"""),"")</f>
        <v/>
      </c>
      <c r="AM84" s="126" t="str">
        <f>IFERROR(__xludf.DUMMYFUNCTION("""COMPUTED_VALUE"""),"")</f>
        <v/>
      </c>
      <c r="AN84" s="127" t="str">
        <f>IFERROR(__xludf.DUMMYFUNCTION("""COMPUTED_VALUE"""),"")</f>
        <v/>
      </c>
      <c r="AO84" s="126" t="str">
        <f>IFERROR(__xludf.DUMMYFUNCTION("""COMPUTED_VALUE"""),"")</f>
        <v/>
      </c>
      <c r="AP84" s="126" t="str">
        <f>IFERROR(__xludf.DUMMYFUNCTION("""COMPUTED_VALUE"""),"")</f>
        <v/>
      </c>
      <c r="AQ84" s="127" t="str">
        <f>IFERROR(__xludf.DUMMYFUNCTION("""COMPUTED_VALUE"""),"")</f>
        <v/>
      </c>
      <c r="AR84" s="126" t="str">
        <f>IFERROR(__xludf.DUMMYFUNCTION("""COMPUTED_VALUE"""),"")</f>
        <v/>
      </c>
      <c r="AS84" s="126" t="str">
        <f>IFERROR(__xludf.DUMMYFUNCTION("""COMPUTED_VALUE"""),"")</f>
        <v/>
      </c>
      <c r="AT84" s="127" t="str">
        <f>IFERROR(__xludf.DUMMYFUNCTION("""COMPUTED_VALUE"""),"")</f>
        <v/>
      </c>
      <c r="AU84" s="126" t="str">
        <f>IFERROR(__xludf.DUMMYFUNCTION("""COMPUTED_VALUE"""),"")</f>
        <v/>
      </c>
      <c r="AV84" s="126">
        <f>IFERROR(__xludf.DUMMYFUNCTION("""COMPUTED_VALUE"""),28.3)</f>
        <v>28.3</v>
      </c>
      <c r="AW84" s="127" t="str">
        <f>IFERROR(__xludf.DUMMYFUNCTION("""COMPUTED_VALUE"""),"")</f>
        <v/>
      </c>
      <c r="AX84" s="126" t="str">
        <f>IFERROR(__xludf.DUMMYFUNCTION("""COMPUTED_VALUE"""),"")</f>
        <v/>
      </c>
      <c r="AY84" s="126" t="str">
        <f>IFERROR(__xludf.DUMMYFUNCTION("""COMPUTED_VALUE"""),"")</f>
        <v/>
      </c>
      <c r="AZ84" s="127" t="str">
        <f>IFERROR(__xludf.DUMMYFUNCTION("""COMPUTED_VALUE"""),"")</f>
        <v/>
      </c>
      <c r="BA84" s="126" t="str">
        <f>IFERROR(__xludf.DUMMYFUNCTION("""COMPUTED_VALUE"""),"")</f>
        <v/>
      </c>
      <c r="BB84" s="126" t="str">
        <f>IFERROR(__xludf.DUMMYFUNCTION("""COMPUTED_VALUE"""),"")</f>
        <v/>
      </c>
      <c r="BC84" s="127" t="str">
        <f>IFERROR(__xludf.DUMMYFUNCTION("""COMPUTED_VALUE"""),"")</f>
        <v/>
      </c>
      <c r="BD84" s="126" t="str">
        <f>IFERROR(__xludf.DUMMYFUNCTION("""COMPUTED_VALUE"""),"")</f>
        <v/>
      </c>
      <c r="BE84" s="126" t="str">
        <f>IFERROR(__xludf.DUMMYFUNCTION("""COMPUTED_VALUE"""),"")</f>
        <v/>
      </c>
      <c r="BF84" s="127" t="str">
        <f>IFERROR(__xludf.DUMMYFUNCTION("""COMPUTED_VALUE"""),"")</f>
        <v/>
      </c>
      <c r="BG84" s="125" t="str">
        <f>IFERROR(__xludf.DUMMYFUNCTION("""COMPUTED_VALUE"""),"")</f>
        <v/>
      </c>
      <c r="BH84" s="126" t="str">
        <f>IFERROR(__xludf.DUMMYFUNCTION("""COMPUTED_VALUE"""),"")</f>
        <v/>
      </c>
      <c r="BI84" s="127" t="str">
        <f>IFERROR(__xludf.DUMMYFUNCTION("""COMPUTED_VALUE"""),"")</f>
        <v/>
      </c>
      <c r="BJ84" s="126" t="str">
        <f>IFERROR(__xludf.DUMMYFUNCTION("""COMPUTED_VALUE"""),"")</f>
        <v/>
      </c>
      <c r="BK84" s="126" t="str">
        <f>IFERROR(__xludf.DUMMYFUNCTION("""COMPUTED_VALUE"""),"")</f>
        <v/>
      </c>
      <c r="BL84" s="127" t="str">
        <f>IFERROR(__xludf.DUMMYFUNCTION("""COMPUTED_VALUE"""),"")</f>
        <v/>
      </c>
      <c r="BM84" s="126">
        <f>IFERROR(__xludf.DUMMYFUNCTION("""COMPUTED_VALUE"""),279.4)</f>
        <v>279.4</v>
      </c>
      <c r="BN84" s="126" t="str">
        <f>IFERROR(__xludf.DUMMYFUNCTION("""COMPUTED_VALUE"""),"")</f>
        <v/>
      </c>
      <c r="BO84" s="127" t="str">
        <f>IFERROR(__xludf.DUMMYFUNCTION("""COMPUTED_VALUE"""),"")</f>
        <v/>
      </c>
      <c r="BP84" s="126" t="str">
        <f>IFERROR(__xludf.DUMMYFUNCTION("""COMPUTED_VALUE"""),"")</f>
        <v/>
      </c>
      <c r="BQ84" s="126" t="str">
        <f>IFERROR(__xludf.DUMMYFUNCTION("""COMPUTED_VALUE"""),"")</f>
        <v/>
      </c>
      <c r="BR84" s="108" t="str">
        <f>IFERROR(__xludf.DUMMYFUNCTION("""COMPUTED_VALUE"""),"")</f>
        <v/>
      </c>
      <c r="BS84" s="126" t="str">
        <f>IFERROR(__xludf.DUMMYFUNCTION("""COMPUTED_VALUE"""),"")</f>
        <v/>
      </c>
      <c r="BT84" s="126">
        <f>IFERROR(__xludf.DUMMYFUNCTION("""COMPUTED_VALUE"""),33.4)</f>
        <v>33.4</v>
      </c>
      <c r="BU84" s="127" t="str">
        <f>IFERROR(__xludf.DUMMYFUNCTION("""COMPUTED_VALUE"""),"")</f>
        <v/>
      </c>
      <c r="BV84" s="126" t="str">
        <f>IFERROR(__xludf.DUMMYFUNCTION("""COMPUTED_VALUE"""),"")</f>
        <v/>
      </c>
      <c r="BW84" s="126" t="str">
        <f>IFERROR(__xludf.DUMMYFUNCTION("""COMPUTED_VALUE"""),"")</f>
        <v/>
      </c>
      <c r="BX84" s="127" t="str">
        <f>IFERROR(__xludf.DUMMYFUNCTION("""COMPUTED_VALUE"""),"")</f>
        <v/>
      </c>
      <c r="BY84" s="126" t="str">
        <f>IFERROR(__xludf.DUMMYFUNCTION("""COMPUTED_VALUE"""),"")</f>
        <v/>
      </c>
      <c r="BZ84" s="126" t="str">
        <f>IFERROR(__xludf.DUMMYFUNCTION("""COMPUTED_VALUE"""),"")</f>
        <v/>
      </c>
      <c r="CA84" s="127" t="str">
        <f>IFERROR(__xludf.DUMMYFUNCTION("""COMPUTED_VALUE"""),"")</f>
        <v/>
      </c>
      <c r="CB84" s="125" t="str">
        <f>IFERROR(__xludf.DUMMYFUNCTION("""COMPUTED_VALUE"""),"")</f>
        <v/>
      </c>
      <c r="CC84" s="126" t="str">
        <f>IFERROR(__xludf.DUMMYFUNCTION("""COMPUTED_VALUE"""),"")</f>
        <v/>
      </c>
      <c r="CD84" s="127" t="str">
        <f>IFERROR(__xludf.DUMMYFUNCTION("""COMPUTED_VALUE"""),"")</f>
        <v/>
      </c>
      <c r="CE84" s="126" t="str">
        <f>IFERROR(__xludf.DUMMYFUNCTION("""COMPUTED_VALUE"""),"")</f>
        <v/>
      </c>
      <c r="CF84" s="126" t="str">
        <f>IFERROR(__xludf.DUMMYFUNCTION("""COMPUTED_VALUE"""),"")</f>
        <v/>
      </c>
      <c r="CG84" s="127" t="str">
        <f>IFERROR(__xludf.DUMMYFUNCTION("""COMPUTED_VALUE"""),"")</f>
        <v/>
      </c>
      <c r="CH84" s="126" t="str">
        <f>IFERROR(__xludf.DUMMYFUNCTION("""COMPUTED_VALUE"""),"")</f>
        <v/>
      </c>
      <c r="CI84" s="126" t="str">
        <f>IFERROR(__xludf.DUMMYFUNCTION("""COMPUTED_VALUE"""),"")</f>
        <v/>
      </c>
      <c r="CJ84" s="127" t="str">
        <f>IFERROR(__xludf.DUMMYFUNCTION("""COMPUTED_VALUE"""),"")</f>
        <v/>
      </c>
      <c r="CK84" s="126" t="str">
        <f>IFERROR(__xludf.DUMMYFUNCTION("""COMPUTED_VALUE"""),"")</f>
        <v/>
      </c>
      <c r="CL84" s="126" t="str">
        <f>IFERROR(__xludf.DUMMYFUNCTION("""COMPUTED_VALUE"""),"")</f>
        <v/>
      </c>
      <c r="CM84" s="108" t="str">
        <f>IFERROR(__xludf.DUMMYFUNCTION("""COMPUTED_VALUE"""),"")</f>
        <v/>
      </c>
      <c r="CN84" s="126" t="str">
        <f>IFERROR(__xludf.DUMMYFUNCTION("""COMPUTED_VALUE"""),"")</f>
        <v/>
      </c>
      <c r="CO84" s="126" t="str">
        <f>IFERROR(__xludf.DUMMYFUNCTION("""COMPUTED_VALUE"""),"")</f>
        <v/>
      </c>
      <c r="CP84" s="127" t="str">
        <f>IFERROR(__xludf.DUMMYFUNCTION("""COMPUTED_VALUE"""),"")</f>
        <v/>
      </c>
      <c r="CQ84" s="126" t="str">
        <f>IFERROR(__xludf.DUMMYFUNCTION("""COMPUTED_VALUE"""),"")</f>
        <v/>
      </c>
      <c r="CR84" s="126" t="str">
        <f>IFERROR(__xludf.DUMMYFUNCTION("""COMPUTED_VALUE"""),"")</f>
        <v/>
      </c>
      <c r="CS84" s="127"/>
      <c r="CT84" s="126"/>
      <c r="CU84" s="126"/>
      <c r="CV84" s="127"/>
      <c r="CW84" s="126"/>
      <c r="CX84" s="126"/>
      <c r="CY84" s="108"/>
      <c r="CZ84" s="126"/>
      <c r="DA84" s="126"/>
      <c r="DB84" s="127"/>
      <c r="DC84" s="126"/>
      <c r="DD84" s="126"/>
      <c r="DE84" s="127"/>
      <c r="DF84" s="126"/>
      <c r="DG84" s="126"/>
      <c r="DH84" s="108"/>
      <c r="DI84" s="126"/>
      <c r="DJ84" s="126"/>
      <c r="DK84" s="127"/>
      <c r="DL84" s="126"/>
      <c r="DM84" s="126"/>
      <c r="DN84" s="127"/>
      <c r="DO84" s="126"/>
      <c r="DP84" s="126"/>
      <c r="DQ84" s="127"/>
      <c r="DR84" s="126"/>
      <c r="DS84" s="126"/>
      <c r="DT84" s="127"/>
    </row>
    <row r="85">
      <c r="B85" s="120" t="str">
        <f>IFERROR(__xludf.DUMMYFUNCTION("""COMPUTED_VALUE"""),"OKN8")</f>
        <v>OKN8</v>
      </c>
      <c r="C85" s="82">
        <f>IFERROR(__xludf.DUMMYFUNCTION("""COMPUTED_VALUE"""),72.0)</f>
        <v>72</v>
      </c>
      <c r="D85" s="88" t="str">
        <f>IFERROR(__xludf.DUMMYFUNCTION("""COMPUTED_VALUE"""),"Caldera Island")</f>
        <v>Caldera Island</v>
      </c>
      <c r="E85" s="82" t="str">
        <f>IFERROR(__xludf.DUMMYFUNCTION("""COMPUTED_VALUE"""),"カルデラの島")</f>
        <v>カルデラの島</v>
      </c>
      <c r="F85" s="102">
        <f>IFERROR(__xludf.DUMMYFUNCTION("""COMPUTED_VALUE"""),17.0)</f>
        <v>17</v>
      </c>
      <c r="G85" s="82">
        <f>IFERROR(__xludf.DUMMYFUNCTION("""COMPUTED_VALUE"""),1583.0)</f>
        <v>1583</v>
      </c>
      <c r="H85" s="95" t="str">
        <f>IFERROR(__xludf.DUMMYFUNCTION("""COMPUTED_VALUE"""),"")</f>
        <v/>
      </c>
      <c r="I85" s="96" t="str">
        <f>IFERROR(__xludf.DUMMYFUNCTION("""COMPUTED_VALUE"""),"")</f>
        <v/>
      </c>
      <c r="J85" s="97" t="str">
        <f>IFERROR(__xludf.DUMMYFUNCTION("""COMPUTED_VALUE"""),"")</f>
        <v/>
      </c>
      <c r="K85" s="95" t="str">
        <f>IFERROR(__xludf.DUMMYFUNCTION("""COMPUTED_VALUE"""),"")</f>
        <v/>
      </c>
      <c r="L85" s="96" t="str">
        <f>IFERROR(__xludf.DUMMYFUNCTION("""COMPUTED_VALUE"""),"")</f>
        <v/>
      </c>
      <c r="M85" s="97" t="str">
        <f>IFERROR(__xludf.DUMMYFUNCTION("""COMPUTED_VALUE"""),"")</f>
        <v/>
      </c>
      <c r="N85" s="95" t="str">
        <f>IFERROR(__xludf.DUMMYFUNCTION("""COMPUTED_VALUE"""),"")</f>
        <v/>
      </c>
      <c r="O85" s="96" t="str">
        <f>IFERROR(__xludf.DUMMYFUNCTION("""COMPUTED_VALUE"""),"")</f>
        <v/>
      </c>
      <c r="P85" s="97" t="str">
        <f>IFERROR(__xludf.DUMMYFUNCTION("""COMPUTED_VALUE"""),"")</f>
        <v/>
      </c>
      <c r="Q85" s="95" t="str">
        <f>IFERROR(__xludf.DUMMYFUNCTION("""COMPUTED_VALUE"""),"")</f>
        <v/>
      </c>
      <c r="R85" s="96" t="str">
        <f>IFERROR(__xludf.DUMMYFUNCTION("""COMPUTED_VALUE"""),"")</f>
        <v/>
      </c>
      <c r="S85" s="97" t="str">
        <f>IFERROR(__xludf.DUMMYFUNCTION("""COMPUTED_VALUE"""),"")</f>
        <v/>
      </c>
      <c r="T85" s="95" t="str">
        <f>IFERROR(__xludf.DUMMYFUNCTION("""COMPUTED_VALUE"""),"")</f>
        <v/>
      </c>
      <c r="U85" s="96" t="str">
        <f>IFERROR(__xludf.DUMMYFUNCTION("""COMPUTED_VALUE"""),"")</f>
        <v/>
      </c>
      <c r="V85" s="97" t="str">
        <f>IFERROR(__xludf.DUMMYFUNCTION("""COMPUTED_VALUE"""),"")</f>
        <v/>
      </c>
      <c r="W85" s="95" t="str">
        <f>IFERROR(__xludf.DUMMYFUNCTION("""COMPUTED_VALUE"""),"")</f>
        <v/>
      </c>
      <c r="X85" s="96" t="str">
        <f>IFERROR(__xludf.DUMMYFUNCTION("""COMPUTED_VALUE"""),"")</f>
        <v/>
      </c>
      <c r="Y85" s="97" t="str">
        <f>IFERROR(__xludf.DUMMYFUNCTION("""COMPUTED_VALUE"""),"")</f>
        <v/>
      </c>
      <c r="Z85" s="95">
        <f>IFERROR(__xludf.DUMMYFUNCTION("""COMPUTED_VALUE"""),108.2)</f>
        <v>108.2</v>
      </c>
      <c r="AA85" s="96" t="str">
        <f>IFERROR(__xludf.DUMMYFUNCTION("""COMPUTED_VALUE"""),"")</f>
        <v/>
      </c>
      <c r="AB85" s="97" t="str">
        <f>IFERROR(__xludf.DUMMYFUNCTION("""COMPUTED_VALUE"""),"")</f>
        <v/>
      </c>
      <c r="AC85" s="95" t="str">
        <f>IFERROR(__xludf.DUMMYFUNCTION("""COMPUTED_VALUE"""),"")</f>
        <v/>
      </c>
      <c r="AD85" s="96" t="str">
        <f>IFERROR(__xludf.DUMMYFUNCTION("""COMPUTED_VALUE"""),"")</f>
        <v/>
      </c>
      <c r="AE85" s="97" t="str">
        <f>IFERROR(__xludf.DUMMYFUNCTION("""COMPUTED_VALUE"""),"")</f>
        <v/>
      </c>
      <c r="AF85" s="95" t="str">
        <f>IFERROR(__xludf.DUMMYFUNCTION("""COMPUTED_VALUE"""),"")</f>
        <v/>
      </c>
      <c r="AG85" s="96" t="str">
        <f>IFERROR(__xludf.DUMMYFUNCTION("""COMPUTED_VALUE"""),"")</f>
        <v/>
      </c>
      <c r="AH85" s="97">
        <f>IFERROR(__xludf.DUMMYFUNCTION("""COMPUTED_VALUE"""),133.9)</f>
        <v>133.9</v>
      </c>
      <c r="AI85" s="92" t="str">
        <f>IFERROR(__xludf.DUMMYFUNCTION("""COMPUTED_VALUE"""),"")</f>
        <v/>
      </c>
      <c r="AJ85" s="93" t="str">
        <f>IFERROR(__xludf.DUMMYFUNCTION("""COMPUTED_VALUE"""),"")</f>
        <v/>
      </c>
      <c r="AK85" s="94" t="str">
        <f>IFERROR(__xludf.DUMMYFUNCTION("""COMPUTED_VALUE"""),"")</f>
        <v/>
      </c>
      <c r="AL85" s="93" t="str">
        <f>IFERROR(__xludf.DUMMYFUNCTION("""COMPUTED_VALUE"""),"")</f>
        <v/>
      </c>
      <c r="AM85" s="93" t="str">
        <f>IFERROR(__xludf.DUMMYFUNCTION("""COMPUTED_VALUE"""),"")</f>
        <v/>
      </c>
      <c r="AN85" s="94" t="str">
        <f>IFERROR(__xludf.DUMMYFUNCTION("""COMPUTED_VALUE"""),"")</f>
        <v/>
      </c>
      <c r="AO85" s="93" t="str">
        <f>IFERROR(__xludf.DUMMYFUNCTION("""COMPUTED_VALUE"""),"")</f>
        <v/>
      </c>
      <c r="AP85" s="93" t="str">
        <f>IFERROR(__xludf.DUMMYFUNCTION("""COMPUTED_VALUE"""),"")</f>
        <v/>
      </c>
      <c r="AQ85" s="94" t="str">
        <f>IFERROR(__xludf.DUMMYFUNCTION("""COMPUTED_VALUE"""),"")</f>
        <v/>
      </c>
      <c r="AR85" s="93" t="str">
        <f>IFERROR(__xludf.DUMMYFUNCTION("""COMPUTED_VALUE"""),"")</f>
        <v/>
      </c>
      <c r="AS85" s="93" t="str">
        <f>IFERROR(__xludf.DUMMYFUNCTION("""COMPUTED_VALUE"""),"")</f>
        <v/>
      </c>
      <c r="AT85" s="94" t="str">
        <f>IFERROR(__xludf.DUMMYFUNCTION("""COMPUTED_VALUE"""),"")</f>
        <v/>
      </c>
      <c r="AU85" s="93" t="str">
        <f>IFERROR(__xludf.DUMMYFUNCTION("""COMPUTED_VALUE"""),"")</f>
        <v/>
      </c>
      <c r="AV85" s="93" t="str">
        <f>IFERROR(__xludf.DUMMYFUNCTION("""COMPUTED_VALUE"""),"")</f>
        <v/>
      </c>
      <c r="AW85" s="94" t="str">
        <f>IFERROR(__xludf.DUMMYFUNCTION("""COMPUTED_VALUE"""),"")</f>
        <v/>
      </c>
      <c r="AX85" s="93" t="str">
        <f>IFERROR(__xludf.DUMMYFUNCTION("""COMPUTED_VALUE"""),"")</f>
        <v/>
      </c>
      <c r="AY85" s="93" t="str">
        <f>IFERROR(__xludf.DUMMYFUNCTION("""COMPUTED_VALUE"""),"")</f>
        <v/>
      </c>
      <c r="AZ85" s="94" t="str">
        <f>IFERROR(__xludf.DUMMYFUNCTION("""COMPUTED_VALUE"""),"")</f>
        <v/>
      </c>
      <c r="BA85" s="93" t="str">
        <f>IFERROR(__xludf.DUMMYFUNCTION("""COMPUTED_VALUE"""),"")</f>
        <v/>
      </c>
      <c r="BB85" s="93" t="str">
        <f>IFERROR(__xludf.DUMMYFUNCTION("""COMPUTED_VALUE"""),"")</f>
        <v/>
      </c>
      <c r="BC85" s="94" t="str">
        <f>IFERROR(__xludf.DUMMYFUNCTION("""COMPUTED_VALUE"""),"")</f>
        <v/>
      </c>
      <c r="BD85" s="93" t="str">
        <f>IFERROR(__xludf.DUMMYFUNCTION("""COMPUTED_VALUE"""),"")</f>
        <v/>
      </c>
      <c r="BE85" s="93" t="str">
        <f>IFERROR(__xludf.DUMMYFUNCTION("""COMPUTED_VALUE"""),"")</f>
        <v/>
      </c>
      <c r="BF85" s="94" t="str">
        <f>IFERROR(__xludf.DUMMYFUNCTION("""COMPUTED_VALUE"""),"")</f>
        <v/>
      </c>
      <c r="BG85" s="92" t="str">
        <f>IFERROR(__xludf.DUMMYFUNCTION("""COMPUTED_VALUE"""),"")</f>
        <v/>
      </c>
      <c r="BH85" s="93" t="str">
        <f>IFERROR(__xludf.DUMMYFUNCTION("""COMPUTED_VALUE"""),"")</f>
        <v/>
      </c>
      <c r="BI85" s="94" t="str">
        <f>IFERROR(__xludf.DUMMYFUNCTION("""COMPUTED_VALUE"""),"")</f>
        <v/>
      </c>
      <c r="BJ85" s="93" t="str">
        <f>IFERROR(__xludf.DUMMYFUNCTION("""COMPUTED_VALUE"""),"")</f>
        <v/>
      </c>
      <c r="BK85" s="93" t="str">
        <f>IFERROR(__xludf.DUMMYFUNCTION("""COMPUTED_VALUE"""),"")</f>
        <v/>
      </c>
      <c r="BL85" s="94" t="str">
        <f>IFERROR(__xludf.DUMMYFUNCTION("""COMPUTED_VALUE"""),"")</f>
        <v/>
      </c>
      <c r="BM85" s="93" t="str">
        <f>IFERROR(__xludf.DUMMYFUNCTION("""COMPUTED_VALUE"""),"")</f>
        <v/>
      </c>
      <c r="BN85" s="93" t="str">
        <f>IFERROR(__xludf.DUMMYFUNCTION("""COMPUTED_VALUE"""),"")</f>
        <v/>
      </c>
      <c r="BO85" s="94" t="str">
        <f>IFERROR(__xludf.DUMMYFUNCTION("""COMPUTED_VALUE"""),"")</f>
        <v/>
      </c>
      <c r="BP85" s="93" t="str">
        <f>IFERROR(__xludf.DUMMYFUNCTION("""COMPUTED_VALUE"""),"")</f>
        <v/>
      </c>
      <c r="BQ85" s="93">
        <f>IFERROR(__xludf.DUMMYFUNCTION("""COMPUTED_VALUE"""),43.5)</f>
        <v>43.5</v>
      </c>
      <c r="BR85" s="94" t="str">
        <f>IFERROR(__xludf.DUMMYFUNCTION("""COMPUTED_VALUE"""),"")</f>
        <v/>
      </c>
      <c r="BS85" s="93" t="str">
        <f>IFERROR(__xludf.DUMMYFUNCTION("""COMPUTED_VALUE"""),"")</f>
        <v/>
      </c>
      <c r="BT85" s="93">
        <f>IFERROR(__xludf.DUMMYFUNCTION("""COMPUTED_VALUE"""),49.8)</f>
        <v>49.8</v>
      </c>
      <c r="BU85" s="94" t="str">
        <f>IFERROR(__xludf.DUMMYFUNCTION("""COMPUTED_VALUE"""),"")</f>
        <v/>
      </c>
      <c r="BV85" s="93" t="str">
        <f>IFERROR(__xludf.DUMMYFUNCTION("""COMPUTED_VALUE"""),"")</f>
        <v/>
      </c>
      <c r="BW85" s="93" t="str">
        <f>IFERROR(__xludf.DUMMYFUNCTION("""COMPUTED_VALUE"""),"")</f>
        <v/>
      </c>
      <c r="BX85" s="94" t="str">
        <f>IFERROR(__xludf.DUMMYFUNCTION("""COMPUTED_VALUE"""),"")</f>
        <v/>
      </c>
      <c r="BY85" s="93" t="str">
        <f>IFERROR(__xludf.DUMMYFUNCTION("""COMPUTED_VALUE"""),"")</f>
        <v/>
      </c>
      <c r="BZ85" s="93" t="str">
        <f>IFERROR(__xludf.DUMMYFUNCTION("""COMPUTED_VALUE"""),"")</f>
        <v/>
      </c>
      <c r="CA85" s="94" t="str">
        <f>IFERROR(__xludf.DUMMYFUNCTION("""COMPUTED_VALUE"""),"")</f>
        <v/>
      </c>
      <c r="CB85" s="92" t="str">
        <f>IFERROR(__xludf.DUMMYFUNCTION("""COMPUTED_VALUE"""),"")</f>
        <v/>
      </c>
      <c r="CC85" s="93" t="str">
        <f>IFERROR(__xludf.DUMMYFUNCTION("""COMPUTED_VALUE"""),"")</f>
        <v/>
      </c>
      <c r="CD85" s="94" t="str">
        <f>IFERROR(__xludf.DUMMYFUNCTION("""COMPUTED_VALUE"""),"")</f>
        <v/>
      </c>
      <c r="CE85" s="93" t="str">
        <f>IFERROR(__xludf.DUMMYFUNCTION("""COMPUTED_VALUE"""),"")</f>
        <v/>
      </c>
      <c r="CF85" s="93" t="str">
        <f>IFERROR(__xludf.DUMMYFUNCTION("""COMPUTED_VALUE"""),"")</f>
        <v/>
      </c>
      <c r="CG85" s="94" t="str">
        <f>IFERROR(__xludf.DUMMYFUNCTION("""COMPUTED_VALUE"""),"")</f>
        <v/>
      </c>
      <c r="CH85" s="93" t="str">
        <f>IFERROR(__xludf.DUMMYFUNCTION("""COMPUTED_VALUE"""),"")</f>
        <v/>
      </c>
      <c r="CI85" s="93" t="str">
        <f>IFERROR(__xludf.DUMMYFUNCTION("""COMPUTED_VALUE"""),"")</f>
        <v/>
      </c>
      <c r="CJ85" s="94" t="str">
        <f>IFERROR(__xludf.DUMMYFUNCTION("""COMPUTED_VALUE"""),"")</f>
        <v/>
      </c>
      <c r="CK85" s="93" t="str">
        <f>IFERROR(__xludf.DUMMYFUNCTION("""COMPUTED_VALUE"""),"")</f>
        <v/>
      </c>
      <c r="CL85" s="93" t="str">
        <f>IFERROR(__xludf.DUMMYFUNCTION("""COMPUTED_VALUE"""),"")</f>
        <v/>
      </c>
      <c r="CM85" s="94" t="str">
        <f>IFERROR(__xludf.DUMMYFUNCTION("""COMPUTED_VALUE"""),"")</f>
        <v/>
      </c>
      <c r="CN85" s="93" t="str">
        <f>IFERROR(__xludf.DUMMYFUNCTION("""COMPUTED_VALUE"""),"")</f>
        <v/>
      </c>
      <c r="CO85" s="93" t="str">
        <f>IFERROR(__xludf.DUMMYFUNCTION("""COMPUTED_VALUE"""),"")</f>
        <v/>
      </c>
      <c r="CP85" s="94" t="str">
        <f>IFERROR(__xludf.DUMMYFUNCTION("""COMPUTED_VALUE"""),"")</f>
        <v/>
      </c>
      <c r="CQ85" s="93" t="str">
        <f>IFERROR(__xludf.DUMMYFUNCTION("""COMPUTED_VALUE"""),"")</f>
        <v/>
      </c>
      <c r="CR85" s="93" t="str">
        <f>IFERROR(__xludf.DUMMYFUNCTION("""COMPUTED_VALUE"""),"")</f>
        <v/>
      </c>
      <c r="CS85" s="94"/>
      <c r="CT85" s="93"/>
      <c r="CU85" s="93"/>
      <c r="CV85" s="94"/>
      <c r="CW85" s="93"/>
      <c r="CX85" s="93"/>
      <c r="CY85" s="94"/>
      <c r="CZ85" s="93"/>
      <c r="DA85" s="93"/>
      <c r="DB85" s="94"/>
      <c r="DC85" s="93"/>
      <c r="DD85" s="93"/>
      <c r="DE85" s="94"/>
      <c r="DF85" s="93"/>
      <c r="DG85" s="93"/>
      <c r="DH85" s="94"/>
      <c r="DI85" s="93"/>
      <c r="DJ85" s="93"/>
      <c r="DK85" s="94"/>
      <c r="DL85" s="93"/>
      <c r="DM85" s="93"/>
      <c r="DN85" s="94"/>
      <c r="DO85" s="93"/>
      <c r="DP85" s="93"/>
      <c r="DQ85" s="94"/>
      <c r="DR85" s="93"/>
      <c r="DS85" s="93"/>
      <c r="DT85" s="94"/>
    </row>
    <row r="86">
      <c r="B86" s="120" t="str">
        <f>IFERROR(__xludf.DUMMYFUNCTION("""COMPUTED_VALUE"""),"OKN9")</f>
        <v>OKN9</v>
      </c>
      <c r="C86" s="82">
        <f>IFERROR(__xludf.DUMMYFUNCTION("""COMPUTED_VALUE"""),73.0)</f>
        <v>73</v>
      </c>
      <c r="D86" s="88" t="str">
        <f>IFERROR(__xludf.DUMMYFUNCTION("""COMPUTED_VALUE"""),"Stormy Seas")</f>
        <v>Stormy Seas</v>
      </c>
      <c r="E86" s="82" t="str">
        <f>IFERROR(__xludf.DUMMYFUNCTION("""COMPUTED_VALUE"""),"嵐の海域")</f>
        <v>嵐の海域</v>
      </c>
      <c r="F86" s="102">
        <f>IFERROR(__xludf.DUMMYFUNCTION("""COMPUTED_VALUE"""),15.0)</f>
        <v>15</v>
      </c>
      <c r="G86" s="82">
        <f>IFERROR(__xludf.DUMMYFUNCTION("""COMPUTED_VALUE"""),1905.0)</f>
        <v>1905</v>
      </c>
      <c r="H86" s="95" t="str">
        <f>IFERROR(__xludf.DUMMYFUNCTION("""COMPUTED_VALUE"""),"")</f>
        <v/>
      </c>
      <c r="I86" s="96" t="str">
        <f>IFERROR(__xludf.DUMMYFUNCTION("""COMPUTED_VALUE"""),"")</f>
        <v/>
      </c>
      <c r="J86" s="97" t="str">
        <f>IFERROR(__xludf.DUMMYFUNCTION("""COMPUTED_VALUE"""),"")</f>
        <v/>
      </c>
      <c r="K86" s="95" t="str">
        <f>IFERROR(__xludf.DUMMYFUNCTION("""COMPUTED_VALUE"""),"")</f>
        <v/>
      </c>
      <c r="L86" s="96" t="str">
        <f>IFERROR(__xludf.DUMMYFUNCTION("""COMPUTED_VALUE"""),"")</f>
        <v/>
      </c>
      <c r="M86" s="97" t="str">
        <f>IFERROR(__xludf.DUMMYFUNCTION("""COMPUTED_VALUE"""),"")</f>
        <v/>
      </c>
      <c r="N86" s="95" t="str">
        <f>IFERROR(__xludf.DUMMYFUNCTION("""COMPUTED_VALUE"""),"")</f>
        <v/>
      </c>
      <c r="O86" s="96" t="str">
        <f>IFERROR(__xludf.DUMMYFUNCTION("""COMPUTED_VALUE"""),"")</f>
        <v/>
      </c>
      <c r="P86" s="97" t="str">
        <f>IFERROR(__xludf.DUMMYFUNCTION("""COMPUTED_VALUE"""),"")</f>
        <v/>
      </c>
      <c r="Q86" s="95" t="str">
        <f>IFERROR(__xludf.DUMMYFUNCTION("""COMPUTED_VALUE"""),"")</f>
        <v/>
      </c>
      <c r="R86" s="96" t="str">
        <f>IFERROR(__xludf.DUMMYFUNCTION("""COMPUTED_VALUE"""),"")</f>
        <v/>
      </c>
      <c r="S86" s="97" t="str">
        <f>IFERROR(__xludf.DUMMYFUNCTION("""COMPUTED_VALUE"""),"")</f>
        <v/>
      </c>
      <c r="T86" s="95" t="str">
        <f>IFERROR(__xludf.DUMMYFUNCTION("""COMPUTED_VALUE"""),"")</f>
        <v/>
      </c>
      <c r="U86" s="96" t="str">
        <f>IFERROR(__xludf.DUMMYFUNCTION("""COMPUTED_VALUE"""),"")</f>
        <v/>
      </c>
      <c r="V86" s="97" t="str">
        <f>IFERROR(__xludf.DUMMYFUNCTION("""COMPUTED_VALUE"""),"")</f>
        <v/>
      </c>
      <c r="W86" s="95" t="str">
        <f>IFERROR(__xludf.DUMMYFUNCTION("""COMPUTED_VALUE"""),"")</f>
        <v/>
      </c>
      <c r="X86" s="96" t="str">
        <f>IFERROR(__xludf.DUMMYFUNCTION("""COMPUTED_VALUE"""),"")</f>
        <v/>
      </c>
      <c r="Y86" s="97" t="str">
        <f>IFERROR(__xludf.DUMMYFUNCTION("""COMPUTED_VALUE"""),"")</f>
        <v/>
      </c>
      <c r="Z86" s="95" t="str">
        <f>IFERROR(__xludf.DUMMYFUNCTION("""COMPUTED_VALUE"""),"")</f>
        <v/>
      </c>
      <c r="AA86" s="96">
        <f>IFERROR(__xludf.DUMMYFUNCTION("""COMPUTED_VALUE"""),70.0)</f>
        <v>70</v>
      </c>
      <c r="AB86" s="97" t="str">
        <f>IFERROR(__xludf.DUMMYFUNCTION("""COMPUTED_VALUE"""),"")</f>
        <v/>
      </c>
      <c r="AC86" s="95" t="str">
        <f>IFERROR(__xludf.DUMMYFUNCTION("""COMPUTED_VALUE"""),"")</f>
        <v/>
      </c>
      <c r="AD86" s="96" t="str">
        <f>IFERROR(__xludf.DUMMYFUNCTION("""COMPUTED_VALUE"""),"")</f>
        <v/>
      </c>
      <c r="AE86" s="97" t="str">
        <f>IFERROR(__xludf.DUMMYFUNCTION("""COMPUTED_VALUE"""),"")</f>
        <v/>
      </c>
      <c r="AF86" s="95" t="str">
        <f>IFERROR(__xludf.DUMMYFUNCTION("""COMPUTED_VALUE"""),"")</f>
        <v/>
      </c>
      <c r="AG86" s="96" t="str">
        <f>IFERROR(__xludf.DUMMYFUNCTION("""COMPUTED_VALUE"""),"")</f>
        <v/>
      </c>
      <c r="AH86" s="97" t="str">
        <f>IFERROR(__xludf.DUMMYFUNCTION("""COMPUTED_VALUE"""),"")</f>
        <v/>
      </c>
      <c r="AI86" s="125" t="str">
        <f>IFERROR(__xludf.DUMMYFUNCTION("""COMPUTED_VALUE"""),"")</f>
        <v/>
      </c>
      <c r="AJ86" s="126" t="str">
        <f>IFERROR(__xludf.DUMMYFUNCTION("""COMPUTED_VALUE"""),"")</f>
        <v/>
      </c>
      <c r="AK86" s="127" t="str">
        <f>IFERROR(__xludf.DUMMYFUNCTION("""COMPUTED_VALUE"""),"")</f>
        <v/>
      </c>
      <c r="AL86" s="126" t="str">
        <f>IFERROR(__xludf.DUMMYFUNCTION("""COMPUTED_VALUE"""),"")</f>
        <v/>
      </c>
      <c r="AM86" s="126" t="str">
        <f>IFERROR(__xludf.DUMMYFUNCTION("""COMPUTED_VALUE"""),"")</f>
        <v/>
      </c>
      <c r="AN86" s="127" t="str">
        <f>IFERROR(__xludf.DUMMYFUNCTION("""COMPUTED_VALUE"""),"")</f>
        <v/>
      </c>
      <c r="AO86" s="126" t="str">
        <f>IFERROR(__xludf.DUMMYFUNCTION("""COMPUTED_VALUE"""),"")</f>
        <v/>
      </c>
      <c r="AP86" s="126" t="str">
        <f>IFERROR(__xludf.DUMMYFUNCTION("""COMPUTED_VALUE"""),"")</f>
        <v/>
      </c>
      <c r="AQ86" s="127" t="str">
        <f>IFERROR(__xludf.DUMMYFUNCTION("""COMPUTED_VALUE"""),"")</f>
        <v/>
      </c>
      <c r="AR86" s="126" t="str">
        <f>IFERROR(__xludf.DUMMYFUNCTION("""COMPUTED_VALUE"""),"")</f>
        <v/>
      </c>
      <c r="AS86" s="126" t="str">
        <f>IFERROR(__xludf.DUMMYFUNCTION("""COMPUTED_VALUE"""),"")</f>
        <v/>
      </c>
      <c r="AT86" s="127" t="str">
        <f>IFERROR(__xludf.DUMMYFUNCTION("""COMPUTED_VALUE"""),"")</f>
        <v/>
      </c>
      <c r="AU86" s="126" t="str">
        <f>IFERROR(__xludf.DUMMYFUNCTION("""COMPUTED_VALUE"""),"")</f>
        <v/>
      </c>
      <c r="AV86" s="126" t="str">
        <f>IFERROR(__xludf.DUMMYFUNCTION("""COMPUTED_VALUE"""),"")</f>
        <v/>
      </c>
      <c r="AW86" s="127" t="str">
        <f>IFERROR(__xludf.DUMMYFUNCTION("""COMPUTED_VALUE"""),"")</f>
        <v/>
      </c>
      <c r="AX86" s="126" t="str">
        <f>IFERROR(__xludf.DUMMYFUNCTION("""COMPUTED_VALUE"""),"")</f>
        <v/>
      </c>
      <c r="AY86" s="126" t="str">
        <f>IFERROR(__xludf.DUMMYFUNCTION("""COMPUTED_VALUE"""),"")</f>
        <v/>
      </c>
      <c r="AZ86" s="127" t="str">
        <f>IFERROR(__xludf.DUMMYFUNCTION("""COMPUTED_VALUE"""),"")</f>
        <v/>
      </c>
      <c r="BA86" s="128" t="str">
        <f>IFERROR(__xludf.DUMMYFUNCTION("""COMPUTED_VALUE"""),"")</f>
        <v/>
      </c>
      <c r="BB86" s="126" t="str">
        <f>IFERROR(__xludf.DUMMYFUNCTION("""COMPUTED_VALUE"""),"")</f>
        <v/>
      </c>
      <c r="BC86" s="127" t="str">
        <f>IFERROR(__xludf.DUMMYFUNCTION("""COMPUTED_VALUE"""),"")</f>
        <v/>
      </c>
      <c r="BD86" s="126" t="str">
        <f>IFERROR(__xludf.DUMMYFUNCTION("""COMPUTED_VALUE"""),"")</f>
        <v/>
      </c>
      <c r="BE86" s="126" t="str">
        <f>IFERROR(__xludf.DUMMYFUNCTION("""COMPUTED_VALUE"""),"")</f>
        <v/>
      </c>
      <c r="BF86" s="127" t="str">
        <f>IFERROR(__xludf.DUMMYFUNCTION("""COMPUTED_VALUE"""),"")</f>
        <v/>
      </c>
      <c r="BG86" s="125" t="str">
        <f>IFERROR(__xludf.DUMMYFUNCTION("""COMPUTED_VALUE"""),"")</f>
        <v/>
      </c>
      <c r="BH86" s="126" t="str">
        <f>IFERROR(__xludf.DUMMYFUNCTION("""COMPUTED_VALUE"""),"")</f>
        <v/>
      </c>
      <c r="BI86" s="127" t="str">
        <f>IFERROR(__xludf.DUMMYFUNCTION("""COMPUTED_VALUE"""),"")</f>
        <v/>
      </c>
      <c r="BJ86" s="126" t="str">
        <f>IFERROR(__xludf.DUMMYFUNCTION("""COMPUTED_VALUE"""),"")</f>
        <v/>
      </c>
      <c r="BK86" s="126" t="str">
        <f>IFERROR(__xludf.DUMMYFUNCTION("""COMPUTED_VALUE"""),"")</f>
        <v/>
      </c>
      <c r="BL86" s="127" t="str">
        <f>IFERROR(__xludf.DUMMYFUNCTION("""COMPUTED_VALUE"""),"")</f>
        <v/>
      </c>
      <c r="BM86" s="126" t="str">
        <f>IFERROR(__xludf.DUMMYFUNCTION("""COMPUTED_VALUE"""),"")</f>
        <v/>
      </c>
      <c r="BN86" s="126" t="str">
        <f>IFERROR(__xludf.DUMMYFUNCTION("""COMPUTED_VALUE"""),"")</f>
        <v/>
      </c>
      <c r="BO86" s="127" t="str">
        <f>IFERROR(__xludf.DUMMYFUNCTION("""COMPUTED_VALUE"""),"")</f>
        <v/>
      </c>
      <c r="BP86" s="126" t="str">
        <f>IFERROR(__xludf.DUMMYFUNCTION("""COMPUTED_VALUE"""),"")</f>
        <v/>
      </c>
      <c r="BQ86" s="126" t="str">
        <f>IFERROR(__xludf.DUMMYFUNCTION("""COMPUTED_VALUE"""),"")</f>
        <v/>
      </c>
      <c r="BR86" s="127" t="str">
        <f>IFERROR(__xludf.DUMMYFUNCTION("""COMPUTED_VALUE"""),"")</f>
        <v/>
      </c>
      <c r="BS86" s="126" t="str">
        <f>IFERROR(__xludf.DUMMYFUNCTION("""COMPUTED_VALUE"""),"")</f>
        <v/>
      </c>
      <c r="BT86" s="126" t="str">
        <f>IFERROR(__xludf.DUMMYFUNCTION("""COMPUTED_VALUE"""),"")</f>
        <v/>
      </c>
      <c r="BU86" s="127" t="str">
        <f>IFERROR(__xludf.DUMMYFUNCTION("""COMPUTED_VALUE"""),"")</f>
        <v/>
      </c>
      <c r="BV86" s="126">
        <f>IFERROR(__xludf.DUMMYFUNCTION("""COMPUTED_VALUE"""),30.0)</f>
        <v>30</v>
      </c>
      <c r="BW86" s="126" t="str">
        <f>IFERROR(__xludf.DUMMYFUNCTION("""COMPUTED_VALUE"""),"")</f>
        <v/>
      </c>
      <c r="BX86" s="127" t="str">
        <f>IFERROR(__xludf.DUMMYFUNCTION("""COMPUTED_VALUE"""),"")</f>
        <v/>
      </c>
      <c r="BY86" s="126" t="str">
        <f>IFERROR(__xludf.DUMMYFUNCTION("""COMPUTED_VALUE"""),"")</f>
        <v/>
      </c>
      <c r="BZ86" s="126" t="str">
        <f>IFERROR(__xludf.DUMMYFUNCTION("""COMPUTED_VALUE"""),"")</f>
        <v/>
      </c>
      <c r="CA86" s="127" t="str">
        <f>IFERROR(__xludf.DUMMYFUNCTION("""COMPUTED_VALUE"""),"")</f>
        <v/>
      </c>
      <c r="CB86" s="125" t="str">
        <f>IFERROR(__xludf.DUMMYFUNCTION("""COMPUTED_VALUE"""),"")</f>
        <v/>
      </c>
      <c r="CC86" s="126" t="str">
        <f>IFERROR(__xludf.DUMMYFUNCTION("""COMPUTED_VALUE"""),"")</f>
        <v/>
      </c>
      <c r="CD86" s="127" t="str">
        <f>IFERROR(__xludf.DUMMYFUNCTION("""COMPUTED_VALUE"""),"")</f>
        <v/>
      </c>
      <c r="CE86" s="126" t="str">
        <f>IFERROR(__xludf.DUMMYFUNCTION("""COMPUTED_VALUE"""),"")</f>
        <v/>
      </c>
      <c r="CF86" s="126" t="str">
        <f>IFERROR(__xludf.DUMMYFUNCTION("""COMPUTED_VALUE"""),"")</f>
        <v/>
      </c>
      <c r="CG86" s="127" t="str">
        <f>IFERROR(__xludf.DUMMYFUNCTION("""COMPUTED_VALUE"""),"")</f>
        <v/>
      </c>
      <c r="CH86" s="126" t="str">
        <f>IFERROR(__xludf.DUMMYFUNCTION("""COMPUTED_VALUE"""),"")</f>
        <v/>
      </c>
      <c r="CI86" s="126" t="str">
        <f>IFERROR(__xludf.DUMMYFUNCTION("""COMPUTED_VALUE"""),"")</f>
        <v/>
      </c>
      <c r="CJ86" s="127" t="str">
        <f>IFERROR(__xludf.DUMMYFUNCTION("""COMPUTED_VALUE"""),"")</f>
        <v/>
      </c>
      <c r="CK86" s="126" t="str">
        <f>IFERROR(__xludf.DUMMYFUNCTION("""COMPUTED_VALUE"""),"")</f>
        <v/>
      </c>
      <c r="CL86" s="126" t="str">
        <f>IFERROR(__xludf.DUMMYFUNCTION("""COMPUTED_VALUE"""),"")</f>
        <v/>
      </c>
      <c r="CM86" s="127" t="str">
        <f>IFERROR(__xludf.DUMMYFUNCTION("""COMPUTED_VALUE"""),"")</f>
        <v/>
      </c>
      <c r="CN86" s="126" t="str">
        <f>IFERROR(__xludf.DUMMYFUNCTION("""COMPUTED_VALUE"""),"")</f>
        <v/>
      </c>
      <c r="CO86" s="126" t="str">
        <f>IFERROR(__xludf.DUMMYFUNCTION("""COMPUTED_VALUE"""),"")</f>
        <v/>
      </c>
      <c r="CP86" s="127" t="str">
        <f>IFERROR(__xludf.DUMMYFUNCTION("""COMPUTED_VALUE"""),"")</f>
        <v/>
      </c>
      <c r="CQ86" s="126" t="str">
        <f>IFERROR(__xludf.DUMMYFUNCTION("""COMPUTED_VALUE"""),"")</f>
        <v/>
      </c>
      <c r="CR86" s="126" t="str">
        <f>IFERROR(__xludf.DUMMYFUNCTION("""COMPUTED_VALUE"""),"")</f>
        <v/>
      </c>
      <c r="CS86" s="127"/>
      <c r="CT86" s="126"/>
      <c r="CU86" s="126"/>
      <c r="CV86" s="127"/>
      <c r="CW86" s="126"/>
      <c r="CX86" s="126"/>
      <c r="CY86" s="127"/>
      <c r="CZ86" s="126"/>
      <c r="DA86" s="126"/>
      <c r="DB86" s="127"/>
      <c r="DC86" s="126"/>
      <c r="DD86" s="126"/>
      <c r="DE86" s="127"/>
      <c r="DF86" s="126"/>
      <c r="DG86" s="126"/>
      <c r="DH86" s="127"/>
      <c r="DI86" s="126"/>
      <c r="DJ86" s="126"/>
      <c r="DK86" s="127"/>
      <c r="DL86" s="126"/>
      <c r="DM86" s="126"/>
      <c r="DN86" s="127"/>
      <c r="DO86" s="126"/>
      <c r="DP86" s="126"/>
      <c r="DQ86" s="127"/>
      <c r="DR86" s="126"/>
      <c r="DS86" s="126"/>
      <c r="DT86" s="127"/>
    </row>
    <row r="87">
      <c r="B87" s="120" t="str">
        <f>IFERROR(__xludf.DUMMYFUNCTION("""COMPUTED_VALUE"""),"OKN10")</f>
        <v>OKN10</v>
      </c>
      <c r="C87" s="82">
        <f>IFERROR(__xludf.DUMMYFUNCTION("""COMPUTED_VALUE"""),74.0)</f>
        <v>74</v>
      </c>
      <c r="D87" s="88" t="str">
        <f>IFERROR(__xludf.DUMMYFUNCTION("""COMPUTED_VALUE"""),"Archipelago (Quiet Bay)")</f>
        <v>Archipelago (Quiet Bay)</v>
      </c>
      <c r="E87" s="82" t="str">
        <f>IFERROR(__xludf.DUMMYFUNCTION("""COMPUTED_VALUE"""),"群島（静かな入り江）")</f>
        <v>群島（静かな入り江）</v>
      </c>
      <c r="F87" s="102">
        <f>IFERROR(__xludf.DUMMYFUNCTION("""COMPUTED_VALUE"""),15.0)</f>
        <v>15</v>
      </c>
      <c r="G87" s="82">
        <f>IFERROR(__xludf.DUMMYFUNCTION("""COMPUTED_VALUE"""),1130.0)</f>
        <v>1130</v>
      </c>
      <c r="H87" s="95" t="str">
        <f>IFERROR(__xludf.DUMMYFUNCTION("""COMPUTED_VALUE"""),"")</f>
        <v/>
      </c>
      <c r="I87" s="96" t="str">
        <f>IFERROR(__xludf.DUMMYFUNCTION("""COMPUTED_VALUE"""),"")</f>
        <v/>
      </c>
      <c r="J87" s="97" t="str">
        <f>IFERROR(__xludf.DUMMYFUNCTION("""COMPUTED_VALUE"""),"")</f>
        <v/>
      </c>
      <c r="K87" s="95" t="str">
        <f>IFERROR(__xludf.DUMMYFUNCTION("""COMPUTED_VALUE"""),"")</f>
        <v/>
      </c>
      <c r="L87" s="96" t="str">
        <f>IFERROR(__xludf.DUMMYFUNCTION("""COMPUTED_VALUE"""),"")</f>
        <v/>
      </c>
      <c r="M87" s="97" t="str">
        <f>IFERROR(__xludf.DUMMYFUNCTION("""COMPUTED_VALUE"""),"")</f>
        <v/>
      </c>
      <c r="N87" s="95" t="str">
        <f>IFERROR(__xludf.DUMMYFUNCTION("""COMPUTED_VALUE"""),"")</f>
        <v/>
      </c>
      <c r="O87" s="96" t="str">
        <f>IFERROR(__xludf.DUMMYFUNCTION("""COMPUTED_VALUE"""),"")</f>
        <v/>
      </c>
      <c r="P87" s="97" t="str">
        <f>IFERROR(__xludf.DUMMYFUNCTION("""COMPUTED_VALUE"""),"")</f>
        <v/>
      </c>
      <c r="Q87" s="95" t="str">
        <f>IFERROR(__xludf.DUMMYFUNCTION("""COMPUTED_VALUE"""),"")</f>
        <v/>
      </c>
      <c r="R87" s="96" t="str">
        <f>IFERROR(__xludf.DUMMYFUNCTION("""COMPUTED_VALUE"""),"")</f>
        <v/>
      </c>
      <c r="S87" s="97" t="str">
        <f>IFERROR(__xludf.DUMMYFUNCTION("""COMPUTED_VALUE"""),"")</f>
        <v/>
      </c>
      <c r="T87" s="95" t="str">
        <f>IFERROR(__xludf.DUMMYFUNCTION("""COMPUTED_VALUE"""),"")</f>
        <v/>
      </c>
      <c r="U87" s="96" t="str">
        <f>IFERROR(__xludf.DUMMYFUNCTION("""COMPUTED_VALUE"""),"")</f>
        <v/>
      </c>
      <c r="V87" s="97" t="str">
        <f>IFERROR(__xludf.DUMMYFUNCTION("""COMPUTED_VALUE"""),"")</f>
        <v/>
      </c>
      <c r="W87" s="95" t="str">
        <f>IFERROR(__xludf.DUMMYFUNCTION("""COMPUTED_VALUE"""),"")</f>
        <v/>
      </c>
      <c r="X87" s="96" t="str">
        <f>IFERROR(__xludf.DUMMYFUNCTION("""COMPUTED_VALUE"""),"")</f>
        <v/>
      </c>
      <c r="Y87" s="97" t="str">
        <f>IFERROR(__xludf.DUMMYFUNCTION("""COMPUTED_VALUE"""),"")</f>
        <v/>
      </c>
      <c r="Z87" s="95" t="str">
        <f>IFERROR(__xludf.DUMMYFUNCTION("""COMPUTED_VALUE"""),"")</f>
        <v/>
      </c>
      <c r="AA87" s="96" t="str">
        <f>IFERROR(__xludf.DUMMYFUNCTION("""COMPUTED_VALUE"""),"")</f>
        <v/>
      </c>
      <c r="AB87" s="97" t="str">
        <f>IFERROR(__xludf.DUMMYFUNCTION("""COMPUTED_VALUE"""),"")</f>
        <v/>
      </c>
      <c r="AC87" s="95" t="str">
        <f>IFERROR(__xludf.DUMMYFUNCTION("""COMPUTED_VALUE"""),"")</f>
        <v/>
      </c>
      <c r="AD87" s="96" t="str">
        <f>IFERROR(__xludf.DUMMYFUNCTION("""COMPUTED_VALUE"""),"")</f>
        <v/>
      </c>
      <c r="AE87" s="97" t="str">
        <f>IFERROR(__xludf.DUMMYFUNCTION("""COMPUTED_VALUE"""),"")</f>
        <v/>
      </c>
      <c r="AF87" s="95" t="str">
        <f>IFERROR(__xludf.DUMMYFUNCTION("""COMPUTED_VALUE"""),"")</f>
        <v/>
      </c>
      <c r="AG87" s="96" t="str">
        <f>IFERROR(__xludf.DUMMYFUNCTION("""COMPUTED_VALUE"""),"")</f>
        <v/>
      </c>
      <c r="AH87" s="97" t="str">
        <f>IFERROR(__xludf.DUMMYFUNCTION("""COMPUTED_VALUE"""),"")</f>
        <v/>
      </c>
      <c r="AI87" s="92" t="str">
        <f>IFERROR(__xludf.DUMMYFUNCTION("""COMPUTED_VALUE"""),"")</f>
        <v/>
      </c>
      <c r="AJ87" s="93" t="str">
        <f>IFERROR(__xludf.DUMMYFUNCTION("""COMPUTED_VALUE"""),"")</f>
        <v/>
      </c>
      <c r="AK87" s="94" t="str">
        <f>IFERROR(__xludf.DUMMYFUNCTION("""COMPUTED_VALUE"""),"")</f>
        <v/>
      </c>
      <c r="AL87" s="93" t="str">
        <f>IFERROR(__xludf.DUMMYFUNCTION("""COMPUTED_VALUE"""),"")</f>
        <v/>
      </c>
      <c r="AM87" s="93" t="str">
        <f>IFERROR(__xludf.DUMMYFUNCTION("""COMPUTED_VALUE"""),"")</f>
        <v/>
      </c>
      <c r="AN87" s="94" t="str">
        <f>IFERROR(__xludf.DUMMYFUNCTION("""COMPUTED_VALUE"""),"")</f>
        <v/>
      </c>
      <c r="AO87" s="93" t="str">
        <f>IFERROR(__xludf.DUMMYFUNCTION("""COMPUTED_VALUE"""),"")</f>
        <v/>
      </c>
      <c r="AP87" s="93" t="str">
        <f>IFERROR(__xludf.DUMMYFUNCTION("""COMPUTED_VALUE"""),"")</f>
        <v/>
      </c>
      <c r="AQ87" s="94" t="str">
        <f>IFERROR(__xludf.DUMMYFUNCTION("""COMPUTED_VALUE"""),"")</f>
        <v/>
      </c>
      <c r="AR87" s="93" t="str">
        <f>IFERROR(__xludf.DUMMYFUNCTION("""COMPUTED_VALUE"""),"")</f>
        <v/>
      </c>
      <c r="AS87" s="93" t="str">
        <f>IFERROR(__xludf.DUMMYFUNCTION("""COMPUTED_VALUE"""),"")</f>
        <v/>
      </c>
      <c r="AT87" s="94">
        <f>IFERROR(__xludf.DUMMYFUNCTION("""COMPUTED_VALUE"""),80.7)</f>
        <v>80.7</v>
      </c>
      <c r="AU87" s="93" t="str">
        <f>IFERROR(__xludf.DUMMYFUNCTION("""COMPUTED_VALUE"""),"")</f>
        <v/>
      </c>
      <c r="AV87" s="93">
        <f>IFERROR(__xludf.DUMMYFUNCTION("""COMPUTED_VALUE"""),122.8)</f>
        <v>122.8</v>
      </c>
      <c r="AW87" s="94">
        <f>IFERROR(__xludf.DUMMYFUNCTION("""COMPUTED_VALUE"""),59.9)</f>
        <v>59.9</v>
      </c>
      <c r="AX87" s="93" t="str">
        <f>IFERROR(__xludf.DUMMYFUNCTION("""COMPUTED_VALUE"""),"")</f>
        <v/>
      </c>
      <c r="AY87" s="93" t="str">
        <f>IFERROR(__xludf.DUMMYFUNCTION("""COMPUTED_VALUE"""),"")</f>
        <v/>
      </c>
      <c r="AZ87" s="94" t="str">
        <f>IFERROR(__xludf.DUMMYFUNCTION("""COMPUTED_VALUE"""),"")</f>
        <v/>
      </c>
      <c r="BA87" s="93" t="str">
        <f>IFERROR(__xludf.DUMMYFUNCTION("""COMPUTED_VALUE"""),"")</f>
        <v/>
      </c>
      <c r="BB87" s="93" t="str">
        <f>IFERROR(__xludf.DUMMYFUNCTION("""COMPUTED_VALUE"""),"")</f>
        <v/>
      </c>
      <c r="BC87" s="94" t="str">
        <f>IFERROR(__xludf.DUMMYFUNCTION("""COMPUTED_VALUE"""),"")</f>
        <v/>
      </c>
      <c r="BD87" s="93" t="str">
        <f>IFERROR(__xludf.DUMMYFUNCTION("""COMPUTED_VALUE"""),"")</f>
        <v/>
      </c>
      <c r="BE87" s="93" t="str">
        <f>IFERROR(__xludf.DUMMYFUNCTION("""COMPUTED_VALUE"""),"")</f>
        <v/>
      </c>
      <c r="BF87" s="94" t="str">
        <f>IFERROR(__xludf.DUMMYFUNCTION("""COMPUTED_VALUE"""),"")</f>
        <v/>
      </c>
      <c r="BG87" s="92" t="str">
        <f>IFERROR(__xludf.DUMMYFUNCTION("""COMPUTED_VALUE"""),"")</f>
        <v/>
      </c>
      <c r="BH87" s="93" t="str">
        <f>IFERROR(__xludf.DUMMYFUNCTION("""COMPUTED_VALUE"""),"")</f>
        <v/>
      </c>
      <c r="BI87" s="94" t="str">
        <f>IFERROR(__xludf.DUMMYFUNCTION("""COMPUTED_VALUE"""),"")</f>
        <v/>
      </c>
      <c r="BJ87" s="93" t="str">
        <f>IFERROR(__xludf.DUMMYFUNCTION("""COMPUTED_VALUE"""),"")</f>
        <v/>
      </c>
      <c r="BK87" s="93" t="str">
        <f>IFERROR(__xludf.DUMMYFUNCTION("""COMPUTED_VALUE"""),"")</f>
        <v/>
      </c>
      <c r="BL87" s="94" t="str">
        <f>IFERROR(__xludf.DUMMYFUNCTION("""COMPUTED_VALUE"""),"")</f>
        <v/>
      </c>
      <c r="BM87" s="93" t="str">
        <f>IFERROR(__xludf.DUMMYFUNCTION("""COMPUTED_VALUE"""),"")</f>
        <v/>
      </c>
      <c r="BN87" s="93" t="str">
        <f>IFERROR(__xludf.DUMMYFUNCTION("""COMPUTED_VALUE"""),"")</f>
        <v/>
      </c>
      <c r="BO87" s="94" t="str">
        <f>IFERROR(__xludf.DUMMYFUNCTION("""COMPUTED_VALUE"""),"")</f>
        <v/>
      </c>
      <c r="BP87" s="93" t="str">
        <f>IFERROR(__xludf.DUMMYFUNCTION("""COMPUTED_VALUE"""),"")</f>
        <v/>
      </c>
      <c r="BQ87" s="93">
        <f>IFERROR(__xludf.DUMMYFUNCTION("""COMPUTED_VALUE"""),47.9)</f>
        <v>47.9</v>
      </c>
      <c r="BR87" s="94" t="str">
        <f>IFERROR(__xludf.DUMMYFUNCTION("""COMPUTED_VALUE"""),"")</f>
        <v/>
      </c>
      <c r="BS87" s="93" t="str">
        <f>IFERROR(__xludf.DUMMYFUNCTION("""COMPUTED_VALUE"""),"")</f>
        <v/>
      </c>
      <c r="BT87" s="93" t="str">
        <f>IFERROR(__xludf.DUMMYFUNCTION("""COMPUTED_VALUE"""),"")</f>
        <v/>
      </c>
      <c r="BU87" s="94" t="str">
        <f>IFERROR(__xludf.DUMMYFUNCTION("""COMPUTED_VALUE"""),"")</f>
        <v/>
      </c>
      <c r="BV87" s="93" t="str">
        <f>IFERROR(__xludf.DUMMYFUNCTION("""COMPUTED_VALUE"""),"")</f>
        <v/>
      </c>
      <c r="BW87" s="93" t="str">
        <f>IFERROR(__xludf.DUMMYFUNCTION("""COMPUTED_VALUE"""),"")</f>
        <v/>
      </c>
      <c r="BX87" s="94" t="str">
        <f>IFERROR(__xludf.DUMMYFUNCTION("""COMPUTED_VALUE"""),"")</f>
        <v/>
      </c>
      <c r="BY87" s="93" t="str">
        <f>IFERROR(__xludf.DUMMYFUNCTION("""COMPUTED_VALUE"""),"")</f>
        <v/>
      </c>
      <c r="BZ87" s="93" t="str">
        <f>IFERROR(__xludf.DUMMYFUNCTION("""COMPUTED_VALUE"""),"")</f>
        <v/>
      </c>
      <c r="CA87" s="94" t="str">
        <f>IFERROR(__xludf.DUMMYFUNCTION("""COMPUTED_VALUE"""),"")</f>
        <v/>
      </c>
      <c r="CB87" s="92">
        <f>IFERROR(__xludf.DUMMYFUNCTION("""COMPUTED_VALUE"""),506.3)</f>
        <v>506.3</v>
      </c>
      <c r="CC87" s="93" t="str">
        <f>IFERROR(__xludf.DUMMYFUNCTION("""COMPUTED_VALUE"""),"")</f>
        <v/>
      </c>
      <c r="CD87" s="94">
        <f>IFERROR(__xludf.DUMMYFUNCTION("""COMPUTED_VALUE"""),675.0)</f>
        <v>675</v>
      </c>
      <c r="CE87" s="93" t="str">
        <f>IFERROR(__xludf.DUMMYFUNCTION("""COMPUTED_VALUE"""),"")</f>
        <v/>
      </c>
      <c r="CF87" s="93" t="str">
        <f>IFERROR(__xludf.DUMMYFUNCTION("""COMPUTED_VALUE"""),"")</f>
        <v/>
      </c>
      <c r="CG87" s="94" t="str">
        <f>IFERROR(__xludf.DUMMYFUNCTION("""COMPUTED_VALUE"""),"")</f>
        <v/>
      </c>
      <c r="CH87" s="93" t="str">
        <f>IFERROR(__xludf.DUMMYFUNCTION("""COMPUTED_VALUE"""),"")</f>
        <v/>
      </c>
      <c r="CI87" s="93">
        <f>IFERROR(__xludf.DUMMYFUNCTION("""COMPUTED_VALUE"""),160.4)</f>
        <v>160.4</v>
      </c>
      <c r="CJ87" s="94" t="str">
        <f>IFERROR(__xludf.DUMMYFUNCTION("""COMPUTED_VALUE"""),"")</f>
        <v/>
      </c>
      <c r="CK87" s="93">
        <f>IFERROR(__xludf.DUMMYFUNCTION("""COMPUTED_VALUE"""),151.4)</f>
        <v>151.4</v>
      </c>
      <c r="CL87" s="93" t="str">
        <f>IFERROR(__xludf.DUMMYFUNCTION("""COMPUTED_VALUE"""),"")</f>
        <v/>
      </c>
      <c r="CM87" s="94" t="str">
        <f>IFERROR(__xludf.DUMMYFUNCTION("""COMPUTED_VALUE"""),"")</f>
        <v/>
      </c>
      <c r="CN87" s="93" t="str">
        <f>IFERROR(__xludf.DUMMYFUNCTION("""COMPUTED_VALUE"""),"")</f>
        <v/>
      </c>
      <c r="CO87" s="93" t="str">
        <f>IFERROR(__xludf.DUMMYFUNCTION("""COMPUTED_VALUE"""),"")</f>
        <v/>
      </c>
      <c r="CP87" s="94" t="str">
        <f>IFERROR(__xludf.DUMMYFUNCTION("""COMPUTED_VALUE"""),"")</f>
        <v/>
      </c>
      <c r="CQ87" s="93" t="str">
        <f>IFERROR(__xludf.DUMMYFUNCTION("""COMPUTED_VALUE"""),"")</f>
        <v/>
      </c>
      <c r="CR87" s="93" t="str">
        <f>IFERROR(__xludf.DUMMYFUNCTION("""COMPUTED_VALUE"""),"")</f>
        <v/>
      </c>
      <c r="CS87" s="94"/>
      <c r="CT87" s="93"/>
      <c r="CU87" s="93"/>
      <c r="CV87" s="94"/>
      <c r="CW87" s="93"/>
      <c r="CX87" s="93"/>
      <c r="CY87" s="94"/>
      <c r="CZ87" s="93"/>
      <c r="DA87" s="93"/>
      <c r="DB87" s="94"/>
      <c r="DC87" s="93"/>
      <c r="DD87" s="93"/>
      <c r="DE87" s="94"/>
      <c r="DF87" s="93"/>
      <c r="DG87" s="93"/>
      <c r="DH87" s="94"/>
      <c r="DI87" s="93"/>
      <c r="DJ87" s="93"/>
      <c r="DK87" s="94"/>
      <c r="DL87" s="93"/>
      <c r="DM87" s="93"/>
      <c r="DN87" s="94"/>
      <c r="DO87" s="93"/>
      <c r="DP87" s="93"/>
      <c r="DQ87" s="94"/>
      <c r="DR87" s="93"/>
      <c r="DS87" s="93"/>
      <c r="DT87" s="94"/>
    </row>
    <row r="88">
      <c r="B88" s="120" t="str">
        <f>IFERROR(__xludf.DUMMYFUNCTION("""COMPUTED_VALUE"""),"OKN11")</f>
        <v>OKN11</v>
      </c>
      <c r="C88" s="82">
        <f>IFERROR(__xludf.DUMMYFUNCTION("""COMPUTED_VALUE"""),75.0)</f>
        <v>75</v>
      </c>
      <c r="D88" s="88" t="str">
        <f>IFERROR(__xludf.DUMMYFUNCTION("""COMPUTED_VALUE"""),"Archipelago (Hidden island)")</f>
        <v>Archipelago (Hidden island)</v>
      </c>
      <c r="E88" s="82" t="str">
        <f>IFERROR(__xludf.DUMMYFUNCTION("""COMPUTED_VALUE"""),"群島（隠された島）")</f>
        <v>群島（隠された島）</v>
      </c>
      <c r="F88" s="102">
        <f>IFERROR(__xludf.DUMMYFUNCTION("""COMPUTED_VALUE"""),16.0)</f>
        <v>16</v>
      </c>
      <c r="G88" s="82">
        <f>IFERROR(__xludf.DUMMYFUNCTION("""COMPUTED_VALUE"""),1110.0)</f>
        <v>1110</v>
      </c>
      <c r="H88" s="95" t="str">
        <f>IFERROR(__xludf.DUMMYFUNCTION("""COMPUTED_VALUE"""),"")</f>
        <v/>
      </c>
      <c r="I88" s="96" t="str">
        <f>IFERROR(__xludf.DUMMYFUNCTION("""COMPUTED_VALUE"""),"")</f>
        <v/>
      </c>
      <c r="J88" s="97" t="str">
        <f>IFERROR(__xludf.DUMMYFUNCTION("""COMPUTED_VALUE"""),"")</f>
        <v/>
      </c>
      <c r="K88" s="95" t="str">
        <f>IFERROR(__xludf.DUMMYFUNCTION("""COMPUTED_VALUE"""),"")</f>
        <v/>
      </c>
      <c r="L88" s="96" t="str">
        <f>IFERROR(__xludf.DUMMYFUNCTION("""COMPUTED_VALUE"""),"")</f>
        <v/>
      </c>
      <c r="M88" s="97" t="str">
        <f>IFERROR(__xludf.DUMMYFUNCTION("""COMPUTED_VALUE"""),"")</f>
        <v/>
      </c>
      <c r="N88" s="95" t="str">
        <f>IFERROR(__xludf.DUMMYFUNCTION("""COMPUTED_VALUE"""),"")</f>
        <v/>
      </c>
      <c r="O88" s="96" t="str">
        <f>IFERROR(__xludf.DUMMYFUNCTION("""COMPUTED_VALUE"""),"")</f>
        <v/>
      </c>
      <c r="P88" s="97" t="str">
        <f>IFERROR(__xludf.DUMMYFUNCTION("""COMPUTED_VALUE"""),"")</f>
        <v/>
      </c>
      <c r="Q88" s="95" t="str">
        <f>IFERROR(__xludf.DUMMYFUNCTION("""COMPUTED_VALUE"""),"")</f>
        <v/>
      </c>
      <c r="R88" s="96" t="str">
        <f>IFERROR(__xludf.DUMMYFUNCTION("""COMPUTED_VALUE"""),"")</f>
        <v/>
      </c>
      <c r="S88" s="97" t="str">
        <f>IFERROR(__xludf.DUMMYFUNCTION("""COMPUTED_VALUE"""),"")</f>
        <v/>
      </c>
      <c r="T88" s="95" t="str">
        <f>IFERROR(__xludf.DUMMYFUNCTION("""COMPUTED_VALUE"""),"")</f>
        <v/>
      </c>
      <c r="U88" s="96" t="str">
        <f>IFERROR(__xludf.DUMMYFUNCTION("""COMPUTED_VALUE"""),"")</f>
        <v/>
      </c>
      <c r="V88" s="97" t="str">
        <f>IFERROR(__xludf.DUMMYFUNCTION("""COMPUTED_VALUE"""),"")</f>
        <v/>
      </c>
      <c r="W88" s="95" t="str">
        <f>IFERROR(__xludf.DUMMYFUNCTION("""COMPUTED_VALUE"""),"")</f>
        <v/>
      </c>
      <c r="X88" s="96" t="str">
        <f>IFERROR(__xludf.DUMMYFUNCTION("""COMPUTED_VALUE"""),"")</f>
        <v/>
      </c>
      <c r="Y88" s="97" t="str">
        <f>IFERROR(__xludf.DUMMYFUNCTION("""COMPUTED_VALUE"""),"")</f>
        <v/>
      </c>
      <c r="Z88" s="95" t="str">
        <f>IFERROR(__xludf.DUMMYFUNCTION("""COMPUTED_VALUE"""),"")</f>
        <v/>
      </c>
      <c r="AA88" s="96" t="str">
        <f>IFERROR(__xludf.DUMMYFUNCTION("""COMPUTED_VALUE"""),"")</f>
        <v/>
      </c>
      <c r="AB88" s="97" t="str">
        <f>IFERROR(__xludf.DUMMYFUNCTION("""COMPUTED_VALUE"""),"")</f>
        <v/>
      </c>
      <c r="AC88" s="95" t="str">
        <f>IFERROR(__xludf.DUMMYFUNCTION("""COMPUTED_VALUE"""),"")</f>
        <v/>
      </c>
      <c r="AD88" s="96" t="str">
        <f>IFERROR(__xludf.DUMMYFUNCTION("""COMPUTED_VALUE"""),"")</f>
        <v/>
      </c>
      <c r="AE88" s="97" t="str">
        <f>IFERROR(__xludf.DUMMYFUNCTION("""COMPUTED_VALUE"""),"")</f>
        <v/>
      </c>
      <c r="AF88" s="95" t="str">
        <f>IFERROR(__xludf.DUMMYFUNCTION("""COMPUTED_VALUE"""),"")</f>
        <v/>
      </c>
      <c r="AG88" s="96" t="str">
        <f>IFERROR(__xludf.DUMMYFUNCTION("""COMPUTED_VALUE"""),"")</f>
        <v/>
      </c>
      <c r="AH88" s="97" t="str">
        <f>IFERROR(__xludf.DUMMYFUNCTION("""COMPUTED_VALUE"""),"")</f>
        <v/>
      </c>
      <c r="AI88" s="125" t="str">
        <f>IFERROR(__xludf.DUMMYFUNCTION("""COMPUTED_VALUE"""),"")</f>
        <v/>
      </c>
      <c r="AJ88" s="126">
        <f>IFERROR(__xludf.DUMMYFUNCTION("""COMPUTED_VALUE"""),60.4)</f>
        <v>60.4</v>
      </c>
      <c r="AK88" s="127" t="str">
        <f>IFERROR(__xludf.DUMMYFUNCTION("""COMPUTED_VALUE"""),"")</f>
        <v/>
      </c>
      <c r="AL88" s="126" t="str">
        <f>IFERROR(__xludf.DUMMYFUNCTION("""COMPUTED_VALUE"""),"")</f>
        <v/>
      </c>
      <c r="AM88" s="126" t="str">
        <f>IFERROR(__xludf.DUMMYFUNCTION("""COMPUTED_VALUE"""),"")</f>
        <v/>
      </c>
      <c r="AN88" s="127" t="str">
        <f>IFERROR(__xludf.DUMMYFUNCTION("""COMPUTED_VALUE"""),"")</f>
        <v/>
      </c>
      <c r="AO88" s="126" t="str">
        <f>IFERROR(__xludf.DUMMYFUNCTION("""COMPUTED_VALUE"""),"")</f>
        <v/>
      </c>
      <c r="AP88" s="126" t="str">
        <f>IFERROR(__xludf.DUMMYFUNCTION("""COMPUTED_VALUE"""),"")</f>
        <v/>
      </c>
      <c r="AQ88" s="127" t="str">
        <f>IFERROR(__xludf.DUMMYFUNCTION("""COMPUTED_VALUE"""),"")</f>
        <v/>
      </c>
      <c r="AR88" s="126" t="str">
        <f>IFERROR(__xludf.DUMMYFUNCTION("""COMPUTED_VALUE"""),"")</f>
        <v/>
      </c>
      <c r="AS88" s="126" t="str">
        <f>IFERROR(__xludf.DUMMYFUNCTION("""COMPUTED_VALUE"""),"")</f>
        <v/>
      </c>
      <c r="AT88" s="127" t="str">
        <f>IFERROR(__xludf.DUMMYFUNCTION("""COMPUTED_VALUE"""),"")</f>
        <v/>
      </c>
      <c r="AU88" s="126" t="str">
        <f>IFERROR(__xludf.DUMMYFUNCTION("""COMPUTED_VALUE"""),"")</f>
        <v/>
      </c>
      <c r="AV88" s="126" t="str">
        <f>IFERROR(__xludf.DUMMYFUNCTION("""COMPUTED_VALUE"""),"")</f>
        <v/>
      </c>
      <c r="AW88" s="127" t="str">
        <f>IFERROR(__xludf.DUMMYFUNCTION("""COMPUTED_VALUE"""),"")</f>
        <v/>
      </c>
      <c r="AX88" s="126" t="str">
        <f>IFERROR(__xludf.DUMMYFUNCTION("""COMPUTED_VALUE"""),"")</f>
        <v/>
      </c>
      <c r="AY88" s="126" t="str">
        <f>IFERROR(__xludf.DUMMYFUNCTION("""COMPUTED_VALUE"""),"")</f>
        <v/>
      </c>
      <c r="AZ88" s="127" t="str">
        <f>IFERROR(__xludf.DUMMYFUNCTION("""COMPUTED_VALUE"""),"")</f>
        <v/>
      </c>
      <c r="BA88" s="126" t="str">
        <f>IFERROR(__xludf.DUMMYFUNCTION("""COMPUTED_VALUE"""),"")</f>
        <v/>
      </c>
      <c r="BB88" s="126" t="str">
        <f>IFERROR(__xludf.DUMMYFUNCTION("""COMPUTED_VALUE"""),"")</f>
        <v/>
      </c>
      <c r="BC88" s="127" t="str">
        <f>IFERROR(__xludf.DUMMYFUNCTION("""COMPUTED_VALUE"""),"")</f>
        <v/>
      </c>
      <c r="BD88" s="126" t="str">
        <f>IFERROR(__xludf.DUMMYFUNCTION("""COMPUTED_VALUE"""),"")</f>
        <v/>
      </c>
      <c r="BE88" s="126" t="str">
        <f>IFERROR(__xludf.DUMMYFUNCTION("""COMPUTED_VALUE"""),"")</f>
        <v/>
      </c>
      <c r="BF88" s="127" t="str">
        <f>IFERROR(__xludf.DUMMYFUNCTION("""COMPUTED_VALUE"""),"")</f>
        <v/>
      </c>
      <c r="BG88" s="129" t="str">
        <f>IFERROR(__xludf.DUMMYFUNCTION("""COMPUTED_VALUE"""),"")</f>
        <v/>
      </c>
      <c r="BH88" s="126" t="str">
        <f>IFERROR(__xludf.DUMMYFUNCTION("""COMPUTED_VALUE"""),"")</f>
        <v/>
      </c>
      <c r="BI88" s="127" t="str">
        <f>IFERROR(__xludf.DUMMYFUNCTION("""COMPUTED_VALUE"""),"")</f>
        <v/>
      </c>
      <c r="BJ88" s="126">
        <f>IFERROR(__xludf.DUMMYFUNCTION("""COMPUTED_VALUE"""),301.0)</f>
        <v>301</v>
      </c>
      <c r="BK88" s="126" t="str">
        <f>IFERROR(__xludf.DUMMYFUNCTION("""COMPUTED_VALUE"""),"")</f>
        <v/>
      </c>
      <c r="BL88" s="127" t="str">
        <f>IFERROR(__xludf.DUMMYFUNCTION("""COMPUTED_VALUE"""),"")</f>
        <v/>
      </c>
      <c r="BM88" s="126" t="str">
        <f>IFERROR(__xludf.DUMMYFUNCTION("""COMPUTED_VALUE"""),"")</f>
        <v/>
      </c>
      <c r="BN88" s="126" t="str">
        <f>IFERROR(__xludf.DUMMYFUNCTION("""COMPUTED_VALUE"""),"")</f>
        <v/>
      </c>
      <c r="BO88" s="127" t="str">
        <f>IFERROR(__xludf.DUMMYFUNCTION("""COMPUTED_VALUE"""),"")</f>
        <v/>
      </c>
      <c r="BP88" s="126" t="str">
        <f>IFERROR(__xludf.DUMMYFUNCTION("""COMPUTED_VALUE"""),"")</f>
        <v/>
      </c>
      <c r="BQ88" s="126">
        <f>IFERROR(__xludf.DUMMYFUNCTION("""COMPUTED_VALUE"""),34.2)</f>
        <v>34.2</v>
      </c>
      <c r="BR88" s="127" t="str">
        <f>IFERROR(__xludf.DUMMYFUNCTION("""COMPUTED_VALUE"""),"")</f>
        <v/>
      </c>
      <c r="BS88" s="126" t="str">
        <f>IFERROR(__xludf.DUMMYFUNCTION("""COMPUTED_VALUE"""),"")</f>
        <v/>
      </c>
      <c r="BT88" s="126" t="str">
        <f>IFERROR(__xludf.DUMMYFUNCTION("""COMPUTED_VALUE"""),"")</f>
        <v/>
      </c>
      <c r="BU88" s="127" t="str">
        <f>IFERROR(__xludf.DUMMYFUNCTION("""COMPUTED_VALUE"""),"")</f>
        <v/>
      </c>
      <c r="BV88" s="126" t="str">
        <f>IFERROR(__xludf.DUMMYFUNCTION("""COMPUTED_VALUE"""),"")</f>
        <v/>
      </c>
      <c r="BW88" s="126" t="str">
        <f>IFERROR(__xludf.DUMMYFUNCTION("""COMPUTED_VALUE"""),"")</f>
        <v/>
      </c>
      <c r="BX88" s="127" t="str">
        <f>IFERROR(__xludf.DUMMYFUNCTION("""COMPUTED_VALUE"""),"")</f>
        <v/>
      </c>
      <c r="BY88" s="126" t="str">
        <f>IFERROR(__xludf.DUMMYFUNCTION("""COMPUTED_VALUE"""),"")</f>
        <v/>
      </c>
      <c r="BZ88" s="126" t="str">
        <f>IFERROR(__xludf.DUMMYFUNCTION("""COMPUTED_VALUE"""),"")</f>
        <v/>
      </c>
      <c r="CA88" s="127" t="str">
        <f>IFERROR(__xludf.DUMMYFUNCTION("""COMPUTED_VALUE"""),"")</f>
        <v/>
      </c>
      <c r="CB88" s="129" t="str">
        <f>IFERROR(__xludf.DUMMYFUNCTION("""COMPUTED_VALUE"""),"")</f>
        <v/>
      </c>
      <c r="CC88" s="126" t="str">
        <f>IFERROR(__xludf.DUMMYFUNCTION("""COMPUTED_VALUE"""),"")</f>
        <v/>
      </c>
      <c r="CD88" s="127" t="str">
        <f>IFERROR(__xludf.DUMMYFUNCTION("""COMPUTED_VALUE"""),"")</f>
        <v/>
      </c>
      <c r="CE88" s="126" t="str">
        <f>IFERROR(__xludf.DUMMYFUNCTION("""COMPUTED_VALUE"""),"")</f>
        <v/>
      </c>
      <c r="CF88" s="126" t="str">
        <f>IFERROR(__xludf.DUMMYFUNCTION("""COMPUTED_VALUE"""),"")</f>
        <v/>
      </c>
      <c r="CG88" s="127" t="str">
        <f>IFERROR(__xludf.DUMMYFUNCTION("""COMPUTED_VALUE"""),"")</f>
        <v/>
      </c>
      <c r="CH88" s="126" t="str">
        <f>IFERROR(__xludf.DUMMYFUNCTION("""COMPUTED_VALUE"""),"")</f>
        <v/>
      </c>
      <c r="CI88" s="126" t="str">
        <f>IFERROR(__xludf.DUMMYFUNCTION("""COMPUTED_VALUE"""),"")</f>
        <v/>
      </c>
      <c r="CJ88" s="127" t="str">
        <f>IFERROR(__xludf.DUMMYFUNCTION("""COMPUTED_VALUE"""),"")</f>
        <v/>
      </c>
      <c r="CK88" s="126" t="str">
        <f>IFERROR(__xludf.DUMMYFUNCTION("""COMPUTED_VALUE"""),"")</f>
        <v/>
      </c>
      <c r="CL88" s="126">
        <f>IFERROR(__xludf.DUMMYFUNCTION("""COMPUTED_VALUE"""),263.7)</f>
        <v>263.7</v>
      </c>
      <c r="CM88" s="127" t="str">
        <f>IFERROR(__xludf.DUMMYFUNCTION("""COMPUTED_VALUE"""),"")</f>
        <v/>
      </c>
      <c r="CN88" s="126" t="str">
        <f>IFERROR(__xludf.DUMMYFUNCTION("""COMPUTED_VALUE"""),"")</f>
        <v/>
      </c>
      <c r="CO88" s="126" t="str">
        <f>IFERROR(__xludf.DUMMYFUNCTION("""COMPUTED_VALUE"""),"")</f>
        <v/>
      </c>
      <c r="CP88" s="127" t="str">
        <f>IFERROR(__xludf.DUMMYFUNCTION("""COMPUTED_VALUE"""),"")</f>
        <v/>
      </c>
      <c r="CQ88" s="126" t="str">
        <f>IFERROR(__xludf.DUMMYFUNCTION("""COMPUTED_VALUE"""),"")</f>
        <v/>
      </c>
      <c r="CR88" s="126" t="str">
        <f>IFERROR(__xludf.DUMMYFUNCTION("""COMPUTED_VALUE"""),"")</f>
        <v/>
      </c>
      <c r="CS88" s="127"/>
      <c r="CT88" s="126"/>
      <c r="CU88" s="126"/>
      <c r="CV88" s="127"/>
      <c r="CW88" s="126"/>
      <c r="CX88" s="126"/>
      <c r="CY88" s="127"/>
      <c r="CZ88" s="126"/>
      <c r="DA88" s="126"/>
      <c r="DB88" s="127"/>
      <c r="DC88" s="126"/>
      <c r="DD88" s="126"/>
      <c r="DE88" s="127"/>
      <c r="DF88" s="126"/>
      <c r="DG88" s="126"/>
      <c r="DH88" s="127"/>
      <c r="DI88" s="126"/>
      <c r="DJ88" s="126"/>
      <c r="DK88" s="127"/>
      <c r="DL88" s="126"/>
      <c r="DM88" s="126"/>
      <c r="DN88" s="127"/>
      <c r="DO88" s="126"/>
      <c r="DP88" s="126"/>
      <c r="DQ88" s="127"/>
      <c r="DR88" s="126"/>
      <c r="DS88" s="126"/>
      <c r="DT88" s="127"/>
    </row>
    <row r="89">
      <c r="B89" s="120" t="str">
        <f>IFERROR(__xludf.DUMMYFUNCTION("""COMPUTED_VALUE"""),"OKN12")</f>
        <v>OKN12</v>
      </c>
      <c r="C89" s="82">
        <f>IFERROR(__xludf.DUMMYFUNCTION("""COMPUTED_VALUE"""),76.0)</f>
        <v>76</v>
      </c>
      <c r="D89" s="88" t="str">
        <f>IFERROR(__xludf.DUMMYFUNCTION("""COMPUTED_VALUE"""),"Bountiful Sea")</f>
        <v>Bountiful Sea</v>
      </c>
      <c r="E89" s="82" t="str">
        <f>IFERROR(__xludf.DUMMYFUNCTION("""COMPUTED_VALUE"""),"豊かな海")</f>
        <v>豊かな海</v>
      </c>
      <c r="F89" s="102">
        <f>IFERROR(__xludf.DUMMYFUNCTION("""COMPUTED_VALUE"""),18.0)</f>
        <v>18</v>
      </c>
      <c r="G89" s="82">
        <f>IFERROR(__xludf.DUMMYFUNCTION("""COMPUTED_VALUE"""),18199.0)</f>
        <v>18199</v>
      </c>
      <c r="H89" s="95" t="str">
        <f>IFERROR(__xludf.DUMMYFUNCTION("""COMPUTED_VALUE"""),"")</f>
        <v/>
      </c>
      <c r="I89" s="96" t="str">
        <f>IFERROR(__xludf.DUMMYFUNCTION("""COMPUTED_VALUE"""),"")</f>
        <v/>
      </c>
      <c r="J89" s="97" t="str">
        <f>IFERROR(__xludf.DUMMYFUNCTION("""COMPUTED_VALUE"""),"")</f>
        <v/>
      </c>
      <c r="K89" s="95" t="str">
        <f>IFERROR(__xludf.DUMMYFUNCTION("""COMPUTED_VALUE"""),"")</f>
        <v/>
      </c>
      <c r="L89" s="96" t="str">
        <f>IFERROR(__xludf.DUMMYFUNCTION("""COMPUTED_VALUE"""),"")</f>
        <v/>
      </c>
      <c r="M89" s="97" t="str">
        <f>IFERROR(__xludf.DUMMYFUNCTION("""COMPUTED_VALUE"""),"")</f>
        <v/>
      </c>
      <c r="N89" s="95" t="str">
        <f>IFERROR(__xludf.DUMMYFUNCTION("""COMPUTED_VALUE"""),"")</f>
        <v/>
      </c>
      <c r="O89" s="96" t="str">
        <f>IFERROR(__xludf.DUMMYFUNCTION("""COMPUTED_VALUE"""),"")</f>
        <v/>
      </c>
      <c r="P89" s="97" t="str">
        <f>IFERROR(__xludf.DUMMYFUNCTION("""COMPUTED_VALUE"""),"")</f>
        <v/>
      </c>
      <c r="Q89" s="95" t="str">
        <f>IFERROR(__xludf.DUMMYFUNCTION("""COMPUTED_VALUE"""),"")</f>
        <v/>
      </c>
      <c r="R89" s="96" t="str">
        <f>IFERROR(__xludf.DUMMYFUNCTION("""COMPUTED_VALUE"""),"")</f>
        <v/>
      </c>
      <c r="S89" s="97" t="str">
        <f>IFERROR(__xludf.DUMMYFUNCTION("""COMPUTED_VALUE"""),"")</f>
        <v/>
      </c>
      <c r="T89" s="95" t="str">
        <f>IFERROR(__xludf.DUMMYFUNCTION("""COMPUTED_VALUE"""),"")</f>
        <v/>
      </c>
      <c r="U89" s="96" t="str">
        <f>IFERROR(__xludf.DUMMYFUNCTION("""COMPUTED_VALUE"""),"")</f>
        <v/>
      </c>
      <c r="V89" s="97" t="str">
        <f>IFERROR(__xludf.DUMMYFUNCTION("""COMPUTED_VALUE"""),"")</f>
        <v/>
      </c>
      <c r="W89" s="95" t="str">
        <f>IFERROR(__xludf.DUMMYFUNCTION("""COMPUTED_VALUE"""),"")</f>
        <v/>
      </c>
      <c r="X89" s="96" t="str">
        <f>IFERROR(__xludf.DUMMYFUNCTION("""COMPUTED_VALUE"""),"")</f>
        <v/>
      </c>
      <c r="Y89" s="97" t="str">
        <f>IFERROR(__xludf.DUMMYFUNCTION("""COMPUTED_VALUE"""),"")</f>
        <v/>
      </c>
      <c r="Z89" s="95">
        <f>IFERROR(__xludf.DUMMYFUNCTION("""COMPUTED_VALUE"""),60.0)</f>
        <v>60</v>
      </c>
      <c r="AA89" s="96" t="str">
        <f>IFERROR(__xludf.DUMMYFUNCTION("""COMPUTED_VALUE"""),"")</f>
        <v/>
      </c>
      <c r="AB89" s="97" t="str">
        <f>IFERROR(__xludf.DUMMYFUNCTION("""COMPUTED_VALUE"""),"")</f>
        <v/>
      </c>
      <c r="AC89" s="95" t="str">
        <f>IFERROR(__xludf.DUMMYFUNCTION("""COMPUTED_VALUE"""),"")</f>
        <v/>
      </c>
      <c r="AD89" s="96">
        <f>IFERROR(__xludf.DUMMYFUNCTION("""COMPUTED_VALUE"""),191.1)</f>
        <v>191.1</v>
      </c>
      <c r="AE89" s="97" t="str">
        <f>IFERROR(__xludf.DUMMYFUNCTION("""COMPUTED_VALUE"""),"")</f>
        <v/>
      </c>
      <c r="AF89" s="95" t="str">
        <f>IFERROR(__xludf.DUMMYFUNCTION("""COMPUTED_VALUE"""),"")</f>
        <v/>
      </c>
      <c r="AG89" s="96" t="str">
        <f>IFERROR(__xludf.DUMMYFUNCTION("""COMPUTED_VALUE"""),"")</f>
        <v/>
      </c>
      <c r="AH89" s="97" t="str">
        <f>IFERROR(__xludf.DUMMYFUNCTION("""COMPUTED_VALUE"""),"")</f>
        <v/>
      </c>
      <c r="AI89" s="92" t="str">
        <f>IFERROR(__xludf.DUMMYFUNCTION("""COMPUTED_VALUE"""),"")</f>
        <v/>
      </c>
      <c r="AJ89" s="93" t="str">
        <f>IFERROR(__xludf.DUMMYFUNCTION("""COMPUTED_VALUE"""),"")</f>
        <v/>
      </c>
      <c r="AK89" s="94" t="str">
        <f>IFERROR(__xludf.DUMMYFUNCTION("""COMPUTED_VALUE"""),"")</f>
        <v/>
      </c>
      <c r="AL89" s="93" t="str">
        <f>IFERROR(__xludf.DUMMYFUNCTION("""COMPUTED_VALUE"""),"")</f>
        <v/>
      </c>
      <c r="AM89" s="93" t="str">
        <f>IFERROR(__xludf.DUMMYFUNCTION("""COMPUTED_VALUE"""),"")</f>
        <v/>
      </c>
      <c r="AN89" s="94" t="str">
        <f>IFERROR(__xludf.DUMMYFUNCTION("""COMPUTED_VALUE"""),"")</f>
        <v/>
      </c>
      <c r="AO89" s="93" t="str">
        <f>IFERROR(__xludf.DUMMYFUNCTION("""COMPUTED_VALUE"""),"")</f>
        <v/>
      </c>
      <c r="AP89" s="93" t="str">
        <f>IFERROR(__xludf.DUMMYFUNCTION("""COMPUTED_VALUE"""),"")</f>
        <v/>
      </c>
      <c r="AQ89" s="94" t="str">
        <f>IFERROR(__xludf.DUMMYFUNCTION("""COMPUTED_VALUE"""),"")</f>
        <v/>
      </c>
      <c r="AR89" s="93" t="str">
        <f>IFERROR(__xludf.DUMMYFUNCTION("""COMPUTED_VALUE"""),"")</f>
        <v/>
      </c>
      <c r="AS89" s="93" t="str">
        <f>IFERROR(__xludf.DUMMYFUNCTION("""COMPUTED_VALUE"""),"")</f>
        <v/>
      </c>
      <c r="AT89" s="94" t="str">
        <f>IFERROR(__xludf.DUMMYFUNCTION("""COMPUTED_VALUE"""),"")</f>
        <v/>
      </c>
      <c r="AU89" s="93" t="str">
        <f>IFERROR(__xludf.DUMMYFUNCTION("""COMPUTED_VALUE"""),"")</f>
        <v/>
      </c>
      <c r="AV89" s="93" t="str">
        <f>IFERROR(__xludf.DUMMYFUNCTION("""COMPUTED_VALUE"""),"")</f>
        <v/>
      </c>
      <c r="AW89" s="94" t="str">
        <f>IFERROR(__xludf.DUMMYFUNCTION("""COMPUTED_VALUE"""),"")</f>
        <v/>
      </c>
      <c r="AX89" s="93" t="str">
        <f>IFERROR(__xludf.DUMMYFUNCTION("""COMPUTED_VALUE"""),"")</f>
        <v/>
      </c>
      <c r="AY89" s="93" t="str">
        <f>IFERROR(__xludf.DUMMYFUNCTION("""COMPUTED_VALUE"""),"")</f>
        <v/>
      </c>
      <c r="AZ89" s="94" t="str">
        <f>IFERROR(__xludf.DUMMYFUNCTION("""COMPUTED_VALUE"""),"")</f>
        <v/>
      </c>
      <c r="BA89" s="93" t="str">
        <f>IFERROR(__xludf.DUMMYFUNCTION("""COMPUTED_VALUE"""),"")</f>
        <v/>
      </c>
      <c r="BB89" s="93" t="str">
        <f>IFERROR(__xludf.DUMMYFUNCTION("""COMPUTED_VALUE"""),"")</f>
        <v/>
      </c>
      <c r="BC89" s="94" t="str">
        <f>IFERROR(__xludf.DUMMYFUNCTION("""COMPUTED_VALUE"""),"")</f>
        <v/>
      </c>
      <c r="BD89" s="93" t="str">
        <f>IFERROR(__xludf.DUMMYFUNCTION("""COMPUTED_VALUE"""),"")</f>
        <v/>
      </c>
      <c r="BE89" s="93" t="str">
        <f>IFERROR(__xludf.DUMMYFUNCTION("""COMPUTED_VALUE"""),"")</f>
        <v/>
      </c>
      <c r="BF89" s="94" t="str">
        <f>IFERROR(__xludf.DUMMYFUNCTION("""COMPUTED_VALUE"""),"")</f>
        <v/>
      </c>
      <c r="BG89" s="92" t="str">
        <f>IFERROR(__xludf.DUMMYFUNCTION("""COMPUTED_VALUE"""),"")</f>
        <v/>
      </c>
      <c r="BH89" s="93" t="str">
        <f>IFERROR(__xludf.DUMMYFUNCTION("""COMPUTED_VALUE"""),"")</f>
        <v/>
      </c>
      <c r="BI89" s="94" t="str">
        <f>IFERROR(__xludf.DUMMYFUNCTION("""COMPUTED_VALUE"""),"")</f>
        <v/>
      </c>
      <c r="BJ89" s="93" t="str">
        <f>IFERROR(__xludf.DUMMYFUNCTION("""COMPUTED_VALUE"""),"")</f>
        <v/>
      </c>
      <c r="BK89" s="93">
        <f>IFERROR(__xludf.DUMMYFUNCTION("""COMPUTED_VALUE"""),180.5)</f>
        <v>180.5</v>
      </c>
      <c r="BL89" s="94">
        <f>IFERROR(__xludf.DUMMYFUNCTION("""COMPUTED_VALUE"""),352.6)</f>
        <v>352.6</v>
      </c>
      <c r="BM89" s="93" t="str">
        <f>IFERROR(__xludf.DUMMYFUNCTION("""COMPUTED_VALUE"""),"")</f>
        <v/>
      </c>
      <c r="BN89" s="93" t="str">
        <f>IFERROR(__xludf.DUMMYFUNCTION("""COMPUTED_VALUE"""),"")</f>
        <v/>
      </c>
      <c r="BO89" s="94" t="str">
        <f>IFERROR(__xludf.DUMMYFUNCTION("""COMPUTED_VALUE"""),"")</f>
        <v/>
      </c>
      <c r="BP89" s="93" t="str">
        <f>IFERROR(__xludf.DUMMYFUNCTION("""COMPUTED_VALUE"""),"")</f>
        <v/>
      </c>
      <c r="BQ89" s="93">
        <f>IFERROR(__xludf.DUMMYFUNCTION("""COMPUTED_VALUE"""),111.7)</f>
        <v>111.7</v>
      </c>
      <c r="BR89" s="94" t="str">
        <f>IFERROR(__xludf.DUMMYFUNCTION("""COMPUTED_VALUE"""),"")</f>
        <v/>
      </c>
      <c r="BS89" s="93">
        <f>IFERROR(__xludf.DUMMYFUNCTION("""COMPUTED_VALUE"""),77.7)</f>
        <v>77.7</v>
      </c>
      <c r="BT89" s="93" t="str">
        <f>IFERROR(__xludf.DUMMYFUNCTION("""COMPUTED_VALUE"""),"")</f>
        <v/>
      </c>
      <c r="BU89" s="94" t="str">
        <f>IFERROR(__xludf.DUMMYFUNCTION("""COMPUTED_VALUE"""),"")</f>
        <v/>
      </c>
      <c r="BV89" s="93" t="str">
        <f>IFERROR(__xludf.DUMMYFUNCTION("""COMPUTED_VALUE"""),"")</f>
        <v/>
      </c>
      <c r="BW89" s="93" t="str">
        <f>IFERROR(__xludf.DUMMYFUNCTION("""COMPUTED_VALUE"""),"")</f>
        <v/>
      </c>
      <c r="BX89" s="94" t="str">
        <f>IFERROR(__xludf.DUMMYFUNCTION("""COMPUTED_VALUE"""),"")</f>
        <v/>
      </c>
      <c r="BY89" s="93" t="str">
        <f>IFERROR(__xludf.DUMMYFUNCTION("""COMPUTED_VALUE"""),"")</f>
        <v/>
      </c>
      <c r="BZ89" s="93" t="str">
        <f>IFERROR(__xludf.DUMMYFUNCTION("""COMPUTED_VALUE"""),"")</f>
        <v/>
      </c>
      <c r="CA89" s="94" t="str">
        <f>IFERROR(__xludf.DUMMYFUNCTION("""COMPUTED_VALUE"""),"")</f>
        <v/>
      </c>
      <c r="CB89" s="92" t="str">
        <f>IFERROR(__xludf.DUMMYFUNCTION("""COMPUTED_VALUE"""),"")</f>
        <v/>
      </c>
      <c r="CC89" s="93" t="str">
        <f>IFERROR(__xludf.DUMMYFUNCTION("""COMPUTED_VALUE"""),"")</f>
        <v/>
      </c>
      <c r="CD89" s="94" t="str">
        <f>IFERROR(__xludf.DUMMYFUNCTION("""COMPUTED_VALUE"""),"")</f>
        <v/>
      </c>
      <c r="CE89" s="93" t="str">
        <f>IFERROR(__xludf.DUMMYFUNCTION("""COMPUTED_VALUE"""),"")</f>
        <v/>
      </c>
      <c r="CF89" s="93" t="str">
        <f>IFERROR(__xludf.DUMMYFUNCTION("""COMPUTED_VALUE"""),"")</f>
        <v/>
      </c>
      <c r="CG89" s="94" t="str">
        <f>IFERROR(__xludf.DUMMYFUNCTION("""COMPUTED_VALUE"""),"")</f>
        <v/>
      </c>
      <c r="CH89" s="93" t="str">
        <f>IFERROR(__xludf.DUMMYFUNCTION("""COMPUTED_VALUE"""),"")</f>
        <v/>
      </c>
      <c r="CI89" s="93" t="str">
        <f>IFERROR(__xludf.DUMMYFUNCTION("""COMPUTED_VALUE"""),"")</f>
        <v/>
      </c>
      <c r="CJ89" s="94" t="str">
        <f>IFERROR(__xludf.DUMMYFUNCTION("""COMPUTED_VALUE"""),"")</f>
        <v/>
      </c>
      <c r="CK89" s="93" t="str">
        <f>IFERROR(__xludf.DUMMYFUNCTION("""COMPUTED_VALUE"""),"")</f>
        <v/>
      </c>
      <c r="CL89" s="93" t="str">
        <f>IFERROR(__xludf.DUMMYFUNCTION("""COMPUTED_VALUE"""),"")</f>
        <v/>
      </c>
      <c r="CM89" s="94" t="str">
        <f>IFERROR(__xludf.DUMMYFUNCTION("""COMPUTED_VALUE"""),"")</f>
        <v/>
      </c>
      <c r="CN89" s="93" t="str">
        <f>IFERROR(__xludf.DUMMYFUNCTION("""COMPUTED_VALUE"""),"")</f>
        <v/>
      </c>
      <c r="CO89" s="93" t="str">
        <f>IFERROR(__xludf.DUMMYFUNCTION("""COMPUTED_VALUE"""),"")</f>
        <v/>
      </c>
      <c r="CP89" s="94" t="str">
        <f>IFERROR(__xludf.DUMMYFUNCTION("""COMPUTED_VALUE"""),"")</f>
        <v/>
      </c>
      <c r="CQ89" s="93" t="str">
        <f>IFERROR(__xludf.DUMMYFUNCTION("""COMPUTED_VALUE"""),"")</f>
        <v/>
      </c>
      <c r="CR89" s="93" t="str">
        <f>IFERROR(__xludf.DUMMYFUNCTION("""COMPUTED_VALUE"""),"")</f>
        <v/>
      </c>
      <c r="CS89" s="94"/>
      <c r="CT89" s="93"/>
      <c r="CU89" s="93"/>
      <c r="CV89" s="94"/>
      <c r="CW89" s="93"/>
      <c r="CX89" s="93"/>
      <c r="CY89" s="94"/>
      <c r="CZ89" s="93"/>
      <c r="DA89" s="93"/>
      <c r="DB89" s="94"/>
      <c r="DC89" s="93"/>
      <c r="DD89" s="93"/>
      <c r="DE89" s="94"/>
      <c r="DF89" s="93"/>
      <c r="DG89" s="93"/>
      <c r="DH89" s="94"/>
      <c r="DI89" s="93"/>
      <c r="DJ89" s="93"/>
      <c r="DK89" s="94"/>
      <c r="DL89" s="93"/>
      <c r="DM89" s="93"/>
      <c r="DN89" s="94"/>
      <c r="DO89" s="93"/>
      <c r="DP89" s="93"/>
      <c r="DQ89" s="94"/>
      <c r="DR89" s="93"/>
      <c r="DS89" s="93"/>
      <c r="DT89" s="94"/>
    </row>
    <row r="90">
      <c r="A90" s="130" t="str">
        <f>IFERROR(__xludf.DUMMYFUNCTION("""COMPUTED_VALUE"""),"LONDON")</f>
        <v>LONDON</v>
      </c>
      <c r="B90" s="120" t="str">
        <f>IFERROR(__xludf.DUMMYFUNCTION("""COMPUTED_VALUE"""),"LDN1")</f>
        <v>LDN1</v>
      </c>
      <c r="C90" s="82">
        <f>IFERROR(__xludf.DUMMYFUNCTION("""COMPUTED_VALUE"""),77.0)</f>
        <v>77</v>
      </c>
      <c r="D90" s="88" t="str">
        <f>IFERROR(__xludf.DUMMYFUNCTION("""COMPUTED_VALUE"""),"Old Street")</f>
        <v>Old Street</v>
      </c>
      <c r="E90" s="82" t="str">
        <f>IFERROR(__xludf.DUMMYFUNCTION("""COMPUTED_VALUE"""),"オールドストリート")</f>
        <v>オールドストリート</v>
      </c>
      <c r="F90" s="102">
        <f>IFERROR(__xludf.DUMMYFUNCTION("""COMPUTED_VALUE"""),15.0)</f>
        <v>15</v>
      </c>
      <c r="G90" s="82">
        <f>IFERROR(__xludf.DUMMYFUNCTION("""COMPUTED_VALUE"""),1100.0)</f>
        <v>1100</v>
      </c>
      <c r="H90" s="95" t="str">
        <f>IFERROR(__xludf.DUMMYFUNCTION("""COMPUTED_VALUE"""),"")</f>
        <v/>
      </c>
      <c r="I90" s="96" t="str">
        <f>IFERROR(__xludf.DUMMYFUNCTION("""COMPUTED_VALUE"""),"")</f>
        <v/>
      </c>
      <c r="J90" s="97" t="str">
        <f>IFERROR(__xludf.DUMMYFUNCTION("""COMPUTED_VALUE"""),"")</f>
        <v/>
      </c>
      <c r="K90" s="95" t="str">
        <f>IFERROR(__xludf.DUMMYFUNCTION("""COMPUTED_VALUE"""),"")</f>
        <v/>
      </c>
      <c r="L90" s="96" t="str">
        <f>IFERROR(__xludf.DUMMYFUNCTION("""COMPUTED_VALUE"""),"")</f>
        <v/>
      </c>
      <c r="M90" s="97" t="str">
        <f>IFERROR(__xludf.DUMMYFUNCTION("""COMPUTED_VALUE"""),"")</f>
        <v/>
      </c>
      <c r="N90" s="95" t="str">
        <f>IFERROR(__xludf.DUMMYFUNCTION("""COMPUTED_VALUE"""),"")</f>
        <v/>
      </c>
      <c r="O90" s="96" t="str">
        <f>IFERROR(__xludf.DUMMYFUNCTION("""COMPUTED_VALUE"""),"")</f>
        <v/>
      </c>
      <c r="P90" s="97" t="str">
        <f>IFERROR(__xludf.DUMMYFUNCTION("""COMPUTED_VALUE"""),"")</f>
        <v/>
      </c>
      <c r="Q90" s="95" t="str">
        <f>IFERROR(__xludf.DUMMYFUNCTION("""COMPUTED_VALUE"""),"")</f>
        <v/>
      </c>
      <c r="R90" s="96" t="str">
        <f>IFERROR(__xludf.DUMMYFUNCTION("""COMPUTED_VALUE"""),"")</f>
        <v/>
      </c>
      <c r="S90" s="97" t="str">
        <f>IFERROR(__xludf.DUMMYFUNCTION("""COMPUTED_VALUE"""),"")</f>
        <v/>
      </c>
      <c r="T90" s="95" t="str">
        <f>IFERROR(__xludf.DUMMYFUNCTION("""COMPUTED_VALUE"""),"")</f>
        <v/>
      </c>
      <c r="U90" s="96" t="str">
        <f>IFERROR(__xludf.DUMMYFUNCTION("""COMPUTED_VALUE"""),"")</f>
        <v/>
      </c>
      <c r="V90" s="97" t="str">
        <f>IFERROR(__xludf.DUMMYFUNCTION("""COMPUTED_VALUE"""),"")</f>
        <v/>
      </c>
      <c r="W90" s="95" t="str">
        <f>IFERROR(__xludf.DUMMYFUNCTION("""COMPUTED_VALUE"""),"")</f>
        <v/>
      </c>
      <c r="X90" s="96" t="str">
        <f>IFERROR(__xludf.DUMMYFUNCTION("""COMPUTED_VALUE"""),"")</f>
        <v/>
      </c>
      <c r="Y90" s="97" t="str">
        <f>IFERROR(__xludf.DUMMYFUNCTION("""COMPUTED_VALUE"""),"")</f>
        <v/>
      </c>
      <c r="Z90" s="95" t="str">
        <f>IFERROR(__xludf.DUMMYFUNCTION("""COMPUTED_VALUE"""),"")</f>
        <v/>
      </c>
      <c r="AA90" s="96" t="str">
        <f>IFERROR(__xludf.DUMMYFUNCTION("""COMPUTED_VALUE"""),"")</f>
        <v/>
      </c>
      <c r="AB90" s="97" t="str">
        <f>IFERROR(__xludf.DUMMYFUNCTION("""COMPUTED_VALUE"""),"")</f>
        <v/>
      </c>
      <c r="AC90" s="95" t="str">
        <f>IFERROR(__xludf.DUMMYFUNCTION("""COMPUTED_VALUE"""),"")</f>
        <v/>
      </c>
      <c r="AD90" s="96" t="str">
        <f>IFERROR(__xludf.DUMMYFUNCTION("""COMPUTED_VALUE"""),"")</f>
        <v/>
      </c>
      <c r="AE90" s="97">
        <f>IFERROR(__xludf.DUMMYFUNCTION("""COMPUTED_VALUE"""),123.1)</f>
        <v>123.1</v>
      </c>
      <c r="AF90" s="95" t="str">
        <f>IFERROR(__xludf.DUMMYFUNCTION("""COMPUTED_VALUE"""),"")</f>
        <v/>
      </c>
      <c r="AG90" s="96" t="str">
        <f>IFERROR(__xludf.DUMMYFUNCTION("""COMPUTED_VALUE"""),"")</f>
        <v/>
      </c>
      <c r="AH90" s="97" t="str">
        <f>IFERROR(__xludf.DUMMYFUNCTION("""COMPUTED_VALUE"""),"")</f>
        <v/>
      </c>
      <c r="AI90" s="131" t="str">
        <f>IFERROR(__xludf.DUMMYFUNCTION("""COMPUTED_VALUE"""),"")</f>
        <v/>
      </c>
      <c r="AJ90" s="132" t="str">
        <f>IFERROR(__xludf.DUMMYFUNCTION("""COMPUTED_VALUE"""),"")</f>
        <v/>
      </c>
      <c r="AK90" s="133" t="str">
        <f>IFERROR(__xludf.DUMMYFUNCTION("""COMPUTED_VALUE"""),"")</f>
        <v/>
      </c>
      <c r="AL90" s="132" t="str">
        <f>IFERROR(__xludf.DUMMYFUNCTION("""COMPUTED_VALUE"""),"")</f>
        <v/>
      </c>
      <c r="AM90" s="132" t="str">
        <f>IFERROR(__xludf.DUMMYFUNCTION("""COMPUTED_VALUE"""),"")</f>
        <v/>
      </c>
      <c r="AN90" s="133" t="str">
        <f>IFERROR(__xludf.DUMMYFUNCTION("""COMPUTED_VALUE"""),"")</f>
        <v/>
      </c>
      <c r="AO90" s="132" t="str">
        <f>IFERROR(__xludf.DUMMYFUNCTION("""COMPUTED_VALUE"""),"")</f>
        <v/>
      </c>
      <c r="AP90" s="132" t="str">
        <f>IFERROR(__xludf.DUMMYFUNCTION("""COMPUTED_VALUE"""),"")</f>
        <v/>
      </c>
      <c r="AQ90" s="133" t="str">
        <f>IFERROR(__xludf.DUMMYFUNCTION("""COMPUTED_VALUE"""),"")</f>
        <v/>
      </c>
      <c r="AR90" s="132" t="str">
        <f>IFERROR(__xludf.DUMMYFUNCTION("""COMPUTED_VALUE"""),"")</f>
        <v/>
      </c>
      <c r="AS90" s="132" t="str">
        <f>IFERROR(__xludf.DUMMYFUNCTION("""COMPUTED_VALUE"""),"")</f>
        <v/>
      </c>
      <c r="AT90" s="133" t="str">
        <f>IFERROR(__xludf.DUMMYFUNCTION("""COMPUTED_VALUE"""),"")</f>
        <v/>
      </c>
      <c r="AU90" s="132" t="str">
        <f>IFERROR(__xludf.DUMMYFUNCTION("""COMPUTED_VALUE"""),"")</f>
        <v/>
      </c>
      <c r="AV90" s="132" t="str">
        <f>IFERROR(__xludf.DUMMYFUNCTION("""COMPUTED_VALUE"""),"")</f>
        <v/>
      </c>
      <c r="AW90" s="133" t="str">
        <f>IFERROR(__xludf.DUMMYFUNCTION("""COMPUTED_VALUE"""),"")</f>
        <v/>
      </c>
      <c r="AX90" s="132" t="str">
        <f>IFERROR(__xludf.DUMMYFUNCTION("""COMPUTED_VALUE"""),"")</f>
        <v/>
      </c>
      <c r="AY90" s="132" t="str">
        <f>IFERROR(__xludf.DUMMYFUNCTION("""COMPUTED_VALUE"""),"")</f>
        <v/>
      </c>
      <c r="AZ90" s="133" t="str">
        <f>IFERROR(__xludf.DUMMYFUNCTION("""COMPUTED_VALUE"""),"")</f>
        <v/>
      </c>
      <c r="BA90" s="132" t="str">
        <f>IFERROR(__xludf.DUMMYFUNCTION("""COMPUTED_VALUE"""),"")</f>
        <v/>
      </c>
      <c r="BB90" s="132" t="str">
        <f>IFERROR(__xludf.DUMMYFUNCTION("""COMPUTED_VALUE"""),"")</f>
        <v/>
      </c>
      <c r="BC90" s="133" t="str">
        <f>IFERROR(__xludf.DUMMYFUNCTION("""COMPUTED_VALUE"""),"")</f>
        <v/>
      </c>
      <c r="BD90" s="132" t="str">
        <f>IFERROR(__xludf.DUMMYFUNCTION("""COMPUTED_VALUE"""),"")</f>
        <v/>
      </c>
      <c r="BE90" s="132" t="str">
        <f>IFERROR(__xludf.DUMMYFUNCTION("""COMPUTED_VALUE"""),"")</f>
        <v/>
      </c>
      <c r="BF90" s="133" t="str">
        <f>IFERROR(__xludf.DUMMYFUNCTION("""COMPUTED_VALUE"""),"")</f>
        <v/>
      </c>
      <c r="BG90" s="131" t="str">
        <f>IFERROR(__xludf.DUMMYFUNCTION("""COMPUTED_VALUE"""),"")</f>
        <v/>
      </c>
      <c r="BH90" s="132" t="str">
        <f>IFERROR(__xludf.DUMMYFUNCTION("""COMPUTED_VALUE"""),"")</f>
        <v/>
      </c>
      <c r="BI90" s="133" t="str">
        <f>IFERROR(__xludf.DUMMYFUNCTION("""COMPUTED_VALUE"""),"")</f>
        <v/>
      </c>
      <c r="BJ90" s="132" t="str">
        <f>IFERROR(__xludf.DUMMYFUNCTION("""COMPUTED_VALUE"""),"")</f>
        <v/>
      </c>
      <c r="BK90" s="132" t="str">
        <f>IFERROR(__xludf.DUMMYFUNCTION("""COMPUTED_VALUE"""),"")</f>
        <v/>
      </c>
      <c r="BL90" s="133" t="str">
        <f>IFERROR(__xludf.DUMMYFUNCTION("""COMPUTED_VALUE"""),"")</f>
        <v/>
      </c>
      <c r="BM90" s="132" t="str">
        <f>IFERROR(__xludf.DUMMYFUNCTION("""COMPUTED_VALUE"""),"")</f>
        <v/>
      </c>
      <c r="BN90" s="132" t="str">
        <f>IFERROR(__xludf.DUMMYFUNCTION("""COMPUTED_VALUE"""),"")</f>
        <v/>
      </c>
      <c r="BO90" s="133" t="str">
        <f>IFERROR(__xludf.DUMMYFUNCTION("""COMPUTED_VALUE"""),"")</f>
        <v/>
      </c>
      <c r="BP90" s="132" t="str">
        <f>IFERROR(__xludf.DUMMYFUNCTION("""COMPUTED_VALUE"""),"")</f>
        <v/>
      </c>
      <c r="BQ90" s="132" t="str">
        <f>IFERROR(__xludf.DUMMYFUNCTION("""COMPUTED_VALUE"""),"")</f>
        <v/>
      </c>
      <c r="BR90" s="133" t="str">
        <f>IFERROR(__xludf.DUMMYFUNCTION("""COMPUTED_VALUE"""),"")</f>
        <v/>
      </c>
      <c r="BS90" s="132" t="str">
        <f>IFERROR(__xludf.DUMMYFUNCTION("""COMPUTED_VALUE"""),"")</f>
        <v/>
      </c>
      <c r="BT90" s="132" t="str">
        <f>IFERROR(__xludf.DUMMYFUNCTION("""COMPUTED_VALUE"""),"")</f>
        <v/>
      </c>
      <c r="BU90" s="133" t="str">
        <f>IFERROR(__xludf.DUMMYFUNCTION("""COMPUTED_VALUE"""),"")</f>
        <v/>
      </c>
      <c r="BV90" s="132">
        <f>IFERROR(__xludf.DUMMYFUNCTION("""COMPUTED_VALUE"""),26.1)</f>
        <v>26.1</v>
      </c>
      <c r="BW90" s="132" t="str">
        <f>IFERROR(__xludf.DUMMYFUNCTION("""COMPUTED_VALUE"""),"")</f>
        <v/>
      </c>
      <c r="BX90" s="133" t="str">
        <f>IFERROR(__xludf.DUMMYFUNCTION("""COMPUTED_VALUE"""),"")</f>
        <v/>
      </c>
      <c r="BY90" s="132" t="str">
        <f>IFERROR(__xludf.DUMMYFUNCTION("""COMPUTED_VALUE"""),"")</f>
        <v/>
      </c>
      <c r="BZ90" s="132" t="str">
        <f>IFERROR(__xludf.DUMMYFUNCTION("""COMPUTED_VALUE"""),"")</f>
        <v/>
      </c>
      <c r="CA90" s="133" t="str">
        <f>IFERROR(__xludf.DUMMYFUNCTION("""COMPUTED_VALUE"""),"")</f>
        <v/>
      </c>
      <c r="CB90" s="131" t="str">
        <f>IFERROR(__xludf.DUMMYFUNCTION("""COMPUTED_VALUE"""),"")</f>
        <v/>
      </c>
      <c r="CC90" s="132" t="str">
        <f>IFERROR(__xludf.DUMMYFUNCTION("""COMPUTED_VALUE"""),"")</f>
        <v/>
      </c>
      <c r="CD90" s="133" t="str">
        <f>IFERROR(__xludf.DUMMYFUNCTION("""COMPUTED_VALUE"""),"")</f>
        <v/>
      </c>
      <c r="CE90" s="132" t="str">
        <f>IFERROR(__xludf.DUMMYFUNCTION("""COMPUTED_VALUE"""),"")</f>
        <v/>
      </c>
      <c r="CF90" s="132" t="str">
        <f>IFERROR(__xludf.DUMMYFUNCTION("""COMPUTED_VALUE"""),"")</f>
        <v/>
      </c>
      <c r="CG90" s="133" t="str">
        <f>IFERROR(__xludf.DUMMYFUNCTION("""COMPUTED_VALUE"""),"")</f>
        <v/>
      </c>
      <c r="CH90" s="132" t="str">
        <f>IFERROR(__xludf.DUMMYFUNCTION("""COMPUTED_VALUE"""),"")</f>
        <v/>
      </c>
      <c r="CI90" s="132" t="str">
        <f>IFERROR(__xludf.DUMMYFUNCTION("""COMPUTED_VALUE"""),"")</f>
        <v/>
      </c>
      <c r="CJ90" s="133" t="str">
        <f>IFERROR(__xludf.DUMMYFUNCTION("""COMPUTED_VALUE"""),"")</f>
        <v/>
      </c>
      <c r="CK90" s="132" t="str">
        <f>IFERROR(__xludf.DUMMYFUNCTION("""COMPUTED_VALUE"""),"")</f>
        <v/>
      </c>
      <c r="CL90" s="132" t="str">
        <f>IFERROR(__xludf.DUMMYFUNCTION("""COMPUTED_VALUE"""),"")</f>
        <v/>
      </c>
      <c r="CM90" s="133" t="str">
        <f>IFERROR(__xludf.DUMMYFUNCTION("""COMPUTED_VALUE"""),"")</f>
        <v/>
      </c>
      <c r="CN90" s="132" t="str">
        <f>IFERROR(__xludf.DUMMYFUNCTION("""COMPUTED_VALUE"""),"")</f>
        <v/>
      </c>
      <c r="CO90" s="132" t="str">
        <f>IFERROR(__xludf.DUMMYFUNCTION("""COMPUTED_VALUE"""),"")</f>
        <v/>
      </c>
      <c r="CP90" s="133" t="str">
        <f>IFERROR(__xludf.DUMMYFUNCTION("""COMPUTED_VALUE"""),"")</f>
        <v/>
      </c>
      <c r="CQ90" s="132" t="str">
        <f>IFERROR(__xludf.DUMMYFUNCTION("""COMPUTED_VALUE"""),"")</f>
        <v/>
      </c>
      <c r="CR90" s="132" t="str">
        <f>IFERROR(__xludf.DUMMYFUNCTION("""COMPUTED_VALUE"""),"")</f>
        <v/>
      </c>
      <c r="CS90" s="133"/>
      <c r="CT90" s="132"/>
      <c r="CU90" s="132"/>
      <c r="CV90" s="133"/>
      <c r="CW90" s="132"/>
      <c r="CX90" s="132"/>
      <c r="CY90" s="133"/>
      <c r="CZ90" s="132"/>
      <c r="DA90" s="132"/>
      <c r="DB90" s="133"/>
      <c r="DC90" s="132"/>
      <c r="DD90" s="132"/>
      <c r="DE90" s="133"/>
      <c r="DF90" s="132"/>
      <c r="DG90" s="132"/>
      <c r="DH90" s="133"/>
      <c r="DI90" s="132"/>
      <c r="DJ90" s="132"/>
      <c r="DK90" s="133"/>
      <c r="DL90" s="132"/>
      <c r="DM90" s="132"/>
      <c r="DN90" s="133"/>
      <c r="DO90" s="132"/>
      <c r="DP90" s="132"/>
      <c r="DQ90" s="133"/>
      <c r="DR90" s="132"/>
      <c r="DS90" s="132"/>
      <c r="DT90" s="133"/>
    </row>
    <row r="91">
      <c r="B91" s="120" t="str">
        <f>IFERROR(__xludf.DUMMYFUNCTION("""COMPUTED_VALUE"""),"LDN2")</f>
        <v>LDN2</v>
      </c>
      <c r="C91" s="82">
        <f>IFERROR(__xludf.DUMMYFUNCTION("""COMPUTED_VALUE"""),78.0)</f>
        <v>78</v>
      </c>
      <c r="D91" s="88" t="str">
        <f>IFERROR(__xludf.DUMMYFUNCTION("""COMPUTED_VALUE"""),"White Chapel")</f>
        <v>White Chapel</v>
      </c>
      <c r="E91" s="82" t="str">
        <f>IFERROR(__xludf.DUMMYFUNCTION("""COMPUTED_VALUE"""),"ホワイトチャペル")</f>
        <v>ホワイトチャペル</v>
      </c>
      <c r="F91" s="102">
        <f>IFERROR(__xludf.DUMMYFUNCTION("""COMPUTED_VALUE"""),15.0)</f>
        <v>15</v>
      </c>
      <c r="G91" s="82">
        <f>IFERROR(__xludf.DUMMYFUNCTION("""COMPUTED_VALUE"""),1129.0)</f>
        <v>1129</v>
      </c>
      <c r="H91" s="95" t="str">
        <f>IFERROR(__xludf.DUMMYFUNCTION("""COMPUTED_VALUE"""),"")</f>
        <v/>
      </c>
      <c r="I91" s="96" t="str">
        <f>IFERROR(__xludf.DUMMYFUNCTION("""COMPUTED_VALUE"""),"")</f>
        <v/>
      </c>
      <c r="J91" s="97" t="str">
        <f>IFERROR(__xludf.DUMMYFUNCTION("""COMPUTED_VALUE"""),"")</f>
        <v/>
      </c>
      <c r="K91" s="95" t="str">
        <f>IFERROR(__xludf.DUMMYFUNCTION("""COMPUTED_VALUE"""),"")</f>
        <v/>
      </c>
      <c r="L91" s="96" t="str">
        <f>IFERROR(__xludf.DUMMYFUNCTION("""COMPUTED_VALUE"""),"")</f>
        <v/>
      </c>
      <c r="M91" s="97" t="str">
        <f>IFERROR(__xludf.DUMMYFUNCTION("""COMPUTED_VALUE"""),"")</f>
        <v/>
      </c>
      <c r="N91" s="95" t="str">
        <f>IFERROR(__xludf.DUMMYFUNCTION("""COMPUTED_VALUE"""),"")</f>
        <v/>
      </c>
      <c r="O91" s="96" t="str">
        <f>IFERROR(__xludf.DUMMYFUNCTION("""COMPUTED_VALUE"""),"")</f>
        <v/>
      </c>
      <c r="P91" s="97" t="str">
        <f>IFERROR(__xludf.DUMMYFUNCTION("""COMPUTED_VALUE"""),"")</f>
        <v/>
      </c>
      <c r="Q91" s="95" t="str">
        <f>IFERROR(__xludf.DUMMYFUNCTION("""COMPUTED_VALUE"""),"")</f>
        <v/>
      </c>
      <c r="R91" s="96" t="str">
        <f>IFERROR(__xludf.DUMMYFUNCTION("""COMPUTED_VALUE"""),"")</f>
        <v/>
      </c>
      <c r="S91" s="97" t="str">
        <f>IFERROR(__xludf.DUMMYFUNCTION("""COMPUTED_VALUE"""),"")</f>
        <v/>
      </c>
      <c r="T91" s="95" t="str">
        <f>IFERROR(__xludf.DUMMYFUNCTION("""COMPUTED_VALUE"""),"")</f>
        <v/>
      </c>
      <c r="U91" s="96" t="str">
        <f>IFERROR(__xludf.DUMMYFUNCTION("""COMPUTED_VALUE"""),"")</f>
        <v/>
      </c>
      <c r="V91" s="97" t="str">
        <f>IFERROR(__xludf.DUMMYFUNCTION("""COMPUTED_VALUE"""),"")</f>
        <v/>
      </c>
      <c r="W91" s="95" t="str">
        <f>IFERROR(__xludf.DUMMYFUNCTION("""COMPUTED_VALUE"""),"")</f>
        <v/>
      </c>
      <c r="X91" s="96" t="str">
        <f>IFERROR(__xludf.DUMMYFUNCTION("""COMPUTED_VALUE"""),"")</f>
        <v/>
      </c>
      <c r="Y91" s="97" t="str">
        <f>IFERROR(__xludf.DUMMYFUNCTION("""COMPUTED_VALUE"""),"")</f>
        <v/>
      </c>
      <c r="Z91" s="95" t="str">
        <f>IFERROR(__xludf.DUMMYFUNCTION("""COMPUTED_VALUE"""),"")</f>
        <v/>
      </c>
      <c r="AA91" s="96" t="str">
        <f>IFERROR(__xludf.DUMMYFUNCTION("""COMPUTED_VALUE"""),"")</f>
        <v/>
      </c>
      <c r="AB91" s="97" t="str">
        <f>IFERROR(__xludf.DUMMYFUNCTION("""COMPUTED_VALUE"""),"")</f>
        <v/>
      </c>
      <c r="AC91" s="95" t="str">
        <f>IFERROR(__xludf.DUMMYFUNCTION("""COMPUTED_VALUE"""),"")</f>
        <v/>
      </c>
      <c r="AD91" s="96" t="str">
        <f>IFERROR(__xludf.DUMMYFUNCTION("""COMPUTED_VALUE"""),"")</f>
        <v/>
      </c>
      <c r="AE91" s="97">
        <f>IFERROR(__xludf.DUMMYFUNCTION("""COMPUTED_VALUE"""),130.3)</f>
        <v>130.3</v>
      </c>
      <c r="AF91" s="95" t="str">
        <f>IFERROR(__xludf.DUMMYFUNCTION("""COMPUTED_VALUE"""),"")</f>
        <v/>
      </c>
      <c r="AG91" s="96" t="str">
        <f>IFERROR(__xludf.DUMMYFUNCTION("""COMPUTED_VALUE"""),"")</f>
        <v/>
      </c>
      <c r="AH91" s="97" t="str">
        <f>IFERROR(__xludf.DUMMYFUNCTION("""COMPUTED_VALUE"""),"")</f>
        <v/>
      </c>
      <c r="AI91" s="92" t="str">
        <f>IFERROR(__xludf.DUMMYFUNCTION("""COMPUTED_VALUE"""),"")</f>
        <v/>
      </c>
      <c r="AJ91" s="93" t="str">
        <f>IFERROR(__xludf.DUMMYFUNCTION("""COMPUTED_VALUE"""),"")</f>
        <v/>
      </c>
      <c r="AK91" s="94" t="str">
        <f>IFERROR(__xludf.DUMMYFUNCTION("""COMPUTED_VALUE"""),"")</f>
        <v/>
      </c>
      <c r="AL91" s="93" t="str">
        <f>IFERROR(__xludf.DUMMYFUNCTION("""COMPUTED_VALUE"""),"")</f>
        <v/>
      </c>
      <c r="AM91" s="93" t="str">
        <f>IFERROR(__xludf.DUMMYFUNCTION("""COMPUTED_VALUE"""),"")</f>
        <v/>
      </c>
      <c r="AN91" s="94" t="str">
        <f>IFERROR(__xludf.DUMMYFUNCTION("""COMPUTED_VALUE"""),"")</f>
        <v/>
      </c>
      <c r="AO91" s="93" t="str">
        <f>IFERROR(__xludf.DUMMYFUNCTION("""COMPUTED_VALUE"""),"")</f>
        <v/>
      </c>
      <c r="AP91" s="93" t="str">
        <f>IFERROR(__xludf.DUMMYFUNCTION("""COMPUTED_VALUE"""),"")</f>
        <v/>
      </c>
      <c r="AQ91" s="94" t="str">
        <f>IFERROR(__xludf.DUMMYFUNCTION("""COMPUTED_VALUE"""),"")</f>
        <v/>
      </c>
      <c r="AR91" s="93" t="str">
        <f>IFERROR(__xludf.DUMMYFUNCTION("""COMPUTED_VALUE"""),"")</f>
        <v/>
      </c>
      <c r="AS91" s="93" t="str">
        <f>IFERROR(__xludf.DUMMYFUNCTION("""COMPUTED_VALUE"""),"")</f>
        <v/>
      </c>
      <c r="AT91" s="94" t="str">
        <f>IFERROR(__xludf.DUMMYFUNCTION("""COMPUTED_VALUE"""),"")</f>
        <v/>
      </c>
      <c r="AU91" s="93" t="str">
        <f>IFERROR(__xludf.DUMMYFUNCTION("""COMPUTED_VALUE"""),"")</f>
        <v/>
      </c>
      <c r="AV91" s="93" t="str">
        <f>IFERROR(__xludf.DUMMYFUNCTION("""COMPUTED_VALUE"""),"")</f>
        <v/>
      </c>
      <c r="AW91" s="94">
        <f>IFERROR(__xludf.DUMMYFUNCTION("""COMPUTED_VALUE"""),138.8)</f>
        <v>138.8</v>
      </c>
      <c r="AX91" s="93" t="str">
        <f>IFERROR(__xludf.DUMMYFUNCTION("""COMPUTED_VALUE"""),"")</f>
        <v/>
      </c>
      <c r="AY91" s="93" t="str">
        <f>IFERROR(__xludf.DUMMYFUNCTION("""COMPUTED_VALUE"""),"")</f>
        <v/>
      </c>
      <c r="AZ91" s="94" t="str">
        <f>IFERROR(__xludf.DUMMYFUNCTION("""COMPUTED_VALUE"""),"")</f>
        <v/>
      </c>
      <c r="BA91" s="93" t="str">
        <f>IFERROR(__xludf.DUMMYFUNCTION("""COMPUTED_VALUE"""),"")</f>
        <v/>
      </c>
      <c r="BB91" s="93" t="str">
        <f>IFERROR(__xludf.DUMMYFUNCTION("""COMPUTED_VALUE"""),"")</f>
        <v/>
      </c>
      <c r="BC91" s="94" t="str">
        <f>IFERROR(__xludf.DUMMYFUNCTION("""COMPUTED_VALUE"""),"")</f>
        <v/>
      </c>
      <c r="BD91" s="93" t="str">
        <f>IFERROR(__xludf.DUMMYFUNCTION("""COMPUTED_VALUE"""),"")</f>
        <v/>
      </c>
      <c r="BE91" s="93" t="str">
        <f>IFERROR(__xludf.DUMMYFUNCTION("""COMPUTED_VALUE"""),"")</f>
        <v/>
      </c>
      <c r="BF91" s="94" t="str">
        <f>IFERROR(__xludf.DUMMYFUNCTION("""COMPUTED_VALUE"""),"")</f>
        <v/>
      </c>
      <c r="BG91" s="92" t="str">
        <f>IFERROR(__xludf.DUMMYFUNCTION("""COMPUTED_VALUE"""),"")</f>
        <v/>
      </c>
      <c r="BH91" s="93" t="str">
        <f>IFERROR(__xludf.DUMMYFUNCTION("""COMPUTED_VALUE"""),"")</f>
        <v/>
      </c>
      <c r="BI91" s="94" t="str">
        <f>IFERROR(__xludf.DUMMYFUNCTION("""COMPUTED_VALUE"""),"")</f>
        <v/>
      </c>
      <c r="BJ91" s="93" t="str">
        <f>IFERROR(__xludf.DUMMYFUNCTION("""COMPUTED_VALUE"""),"")</f>
        <v/>
      </c>
      <c r="BK91" s="93" t="str">
        <f>IFERROR(__xludf.DUMMYFUNCTION("""COMPUTED_VALUE"""),"")</f>
        <v/>
      </c>
      <c r="BL91" s="94" t="str">
        <f>IFERROR(__xludf.DUMMYFUNCTION("""COMPUTED_VALUE"""),"")</f>
        <v/>
      </c>
      <c r="BM91" s="93" t="str">
        <f>IFERROR(__xludf.DUMMYFUNCTION("""COMPUTED_VALUE"""),"")</f>
        <v/>
      </c>
      <c r="BN91" s="93" t="str">
        <f>IFERROR(__xludf.DUMMYFUNCTION("""COMPUTED_VALUE"""),"")</f>
        <v/>
      </c>
      <c r="BO91" s="94">
        <f>IFERROR(__xludf.DUMMYFUNCTION("""COMPUTED_VALUE"""),333.2)</f>
        <v>333.2</v>
      </c>
      <c r="BP91" s="93" t="str">
        <f>IFERROR(__xludf.DUMMYFUNCTION("""COMPUTED_VALUE"""),"")</f>
        <v/>
      </c>
      <c r="BQ91" s="93" t="str">
        <f>IFERROR(__xludf.DUMMYFUNCTION("""COMPUTED_VALUE"""),"")</f>
        <v/>
      </c>
      <c r="BR91" s="94" t="str">
        <f>IFERROR(__xludf.DUMMYFUNCTION("""COMPUTED_VALUE"""),"")</f>
        <v/>
      </c>
      <c r="BS91" s="93" t="str">
        <f>IFERROR(__xludf.DUMMYFUNCTION("""COMPUTED_VALUE"""),"")</f>
        <v/>
      </c>
      <c r="BT91" s="93" t="str">
        <f>IFERROR(__xludf.DUMMYFUNCTION("""COMPUTED_VALUE"""),"")</f>
        <v/>
      </c>
      <c r="BU91" s="94" t="str">
        <f>IFERROR(__xludf.DUMMYFUNCTION("""COMPUTED_VALUE"""),"")</f>
        <v/>
      </c>
      <c r="BV91" s="93">
        <f>IFERROR(__xludf.DUMMYFUNCTION("""COMPUTED_VALUE"""),36.0)</f>
        <v>36</v>
      </c>
      <c r="BW91" s="93" t="str">
        <f>IFERROR(__xludf.DUMMYFUNCTION("""COMPUTED_VALUE"""),"")</f>
        <v/>
      </c>
      <c r="BX91" s="94" t="str">
        <f>IFERROR(__xludf.DUMMYFUNCTION("""COMPUTED_VALUE"""),"")</f>
        <v/>
      </c>
      <c r="BY91" s="93" t="str">
        <f>IFERROR(__xludf.DUMMYFUNCTION("""COMPUTED_VALUE"""),"")</f>
        <v/>
      </c>
      <c r="BZ91" s="93" t="str">
        <f>IFERROR(__xludf.DUMMYFUNCTION("""COMPUTED_VALUE"""),"")</f>
        <v/>
      </c>
      <c r="CA91" s="94" t="str">
        <f>IFERROR(__xludf.DUMMYFUNCTION("""COMPUTED_VALUE"""),"")</f>
        <v/>
      </c>
      <c r="CB91" s="92" t="str">
        <f>IFERROR(__xludf.DUMMYFUNCTION("""COMPUTED_VALUE"""),"")</f>
        <v/>
      </c>
      <c r="CC91" s="93">
        <f>IFERROR(__xludf.DUMMYFUNCTION("""COMPUTED_VALUE"""),891.3)</f>
        <v>891.3</v>
      </c>
      <c r="CD91" s="94" t="str">
        <f>IFERROR(__xludf.DUMMYFUNCTION("""COMPUTED_VALUE"""),"")</f>
        <v/>
      </c>
      <c r="CE91" s="93" t="str">
        <f>IFERROR(__xludf.DUMMYFUNCTION("""COMPUTED_VALUE"""),"")</f>
        <v/>
      </c>
      <c r="CF91" s="93" t="str">
        <f>IFERROR(__xludf.DUMMYFUNCTION("""COMPUTED_VALUE"""),"")</f>
        <v/>
      </c>
      <c r="CG91" s="94" t="str">
        <f>IFERROR(__xludf.DUMMYFUNCTION("""COMPUTED_VALUE"""),"")</f>
        <v/>
      </c>
      <c r="CH91" s="93" t="str">
        <f>IFERROR(__xludf.DUMMYFUNCTION("""COMPUTED_VALUE"""),"")</f>
        <v/>
      </c>
      <c r="CI91" s="93" t="str">
        <f>IFERROR(__xludf.DUMMYFUNCTION("""COMPUTED_VALUE"""),"")</f>
        <v/>
      </c>
      <c r="CJ91" s="94">
        <f>IFERROR(__xludf.DUMMYFUNCTION("""COMPUTED_VALUE"""),167.7)</f>
        <v>167.7</v>
      </c>
      <c r="CK91" s="93" t="str">
        <f>IFERROR(__xludf.DUMMYFUNCTION("""COMPUTED_VALUE"""),"")</f>
        <v/>
      </c>
      <c r="CL91" s="93" t="str">
        <f>IFERROR(__xludf.DUMMYFUNCTION("""COMPUTED_VALUE"""),"")</f>
        <v/>
      </c>
      <c r="CM91" s="94" t="str">
        <f>IFERROR(__xludf.DUMMYFUNCTION("""COMPUTED_VALUE"""),"")</f>
        <v/>
      </c>
      <c r="CN91" s="93" t="str">
        <f>IFERROR(__xludf.DUMMYFUNCTION("""COMPUTED_VALUE"""),"")</f>
        <v/>
      </c>
      <c r="CO91" s="93" t="str">
        <f>IFERROR(__xludf.DUMMYFUNCTION("""COMPUTED_VALUE"""),"")</f>
        <v/>
      </c>
      <c r="CP91" s="94" t="str">
        <f>IFERROR(__xludf.DUMMYFUNCTION("""COMPUTED_VALUE"""),"")</f>
        <v/>
      </c>
      <c r="CQ91" s="93" t="str">
        <f>IFERROR(__xludf.DUMMYFUNCTION("""COMPUTED_VALUE"""),"")</f>
        <v/>
      </c>
      <c r="CR91" s="93" t="str">
        <f>IFERROR(__xludf.DUMMYFUNCTION("""COMPUTED_VALUE"""),"")</f>
        <v/>
      </c>
      <c r="CS91" s="94"/>
      <c r="CT91" s="93"/>
      <c r="CU91" s="93"/>
      <c r="CV91" s="94"/>
      <c r="CW91" s="93"/>
      <c r="CX91" s="93"/>
      <c r="CY91" s="94"/>
      <c r="CZ91" s="93"/>
      <c r="DA91" s="93"/>
      <c r="DB91" s="94"/>
      <c r="DC91" s="93"/>
      <c r="DD91" s="93"/>
      <c r="DE91" s="94"/>
      <c r="DF91" s="93"/>
      <c r="DG91" s="93"/>
      <c r="DH91" s="94"/>
      <c r="DI91" s="93"/>
      <c r="DJ91" s="93"/>
      <c r="DK91" s="94"/>
      <c r="DL91" s="93"/>
      <c r="DM91" s="93"/>
      <c r="DN91" s="94"/>
      <c r="DO91" s="93"/>
      <c r="DP91" s="93"/>
      <c r="DQ91" s="94"/>
      <c r="DR91" s="93"/>
      <c r="DS91" s="93"/>
      <c r="DT91" s="94"/>
    </row>
    <row r="92">
      <c r="B92" s="120" t="str">
        <f>IFERROR(__xludf.DUMMYFUNCTION("""COMPUTED_VALUE"""),"LDN3")</f>
        <v>LDN3</v>
      </c>
      <c r="C92" s="82">
        <f>IFERROR(__xludf.DUMMYFUNCTION("""COMPUTED_VALUE"""),79.0)</f>
        <v>79</v>
      </c>
      <c r="D92" s="88" t="str">
        <f>IFERROR(__xludf.DUMMYFUNCTION("""COMPUTED_VALUE"""),"City of London")</f>
        <v>City of London</v>
      </c>
      <c r="E92" s="82" t="str">
        <f>IFERROR(__xludf.DUMMYFUNCTION("""COMPUTED_VALUE"""),"シティ・オブ・ロンドン")</f>
        <v>シティ・オブ・ロンドン</v>
      </c>
      <c r="F92" s="102">
        <f>IFERROR(__xludf.DUMMYFUNCTION("""COMPUTED_VALUE"""),15.0)</f>
        <v>15</v>
      </c>
      <c r="G92" s="82">
        <f>IFERROR(__xludf.DUMMYFUNCTION("""COMPUTED_VALUE"""),1102.0)</f>
        <v>1102</v>
      </c>
      <c r="H92" s="95" t="str">
        <f>IFERROR(__xludf.DUMMYFUNCTION("""COMPUTED_VALUE"""),"")</f>
        <v/>
      </c>
      <c r="I92" s="96" t="str">
        <f>IFERROR(__xludf.DUMMYFUNCTION("""COMPUTED_VALUE"""),"")</f>
        <v/>
      </c>
      <c r="J92" s="97" t="str">
        <f>IFERROR(__xludf.DUMMYFUNCTION("""COMPUTED_VALUE"""),"")</f>
        <v/>
      </c>
      <c r="K92" s="95" t="str">
        <f>IFERROR(__xludf.DUMMYFUNCTION("""COMPUTED_VALUE"""),"")</f>
        <v/>
      </c>
      <c r="L92" s="96" t="str">
        <f>IFERROR(__xludf.DUMMYFUNCTION("""COMPUTED_VALUE"""),"")</f>
        <v/>
      </c>
      <c r="M92" s="97" t="str">
        <f>IFERROR(__xludf.DUMMYFUNCTION("""COMPUTED_VALUE"""),"")</f>
        <v/>
      </c>
      <c r="N92" s="95" t="str">
        <f>IFERROR(__xludf.DUMMYFUNCTION("""COMPUTED_VALUE"""),"")</f>
        <v/>
      </c>
      <c r="O92" s="96" t="str">
        <f>IFERROR(__xludf.DUMMYFUNCTION("""COMPUTED_VALUE"""),"")</f>
        <v/>
      </c>
      <c r="P92" s="97" t="str">
        <f>IFERROR(__xludf.DUMMYFUNCTION("""COMPUTED_VALUE"""),"")</f>
        <v/>
      </c>
      <c r="Q92" s="95" t="str">
        <f>IFERROR(__xludf.DUMMYFUNCTION("""COMPUTED_VALUE"""),"")</f>
        <v/>
      </c>
      <c r="R92" s="96" t="str">
        <f>IFERROR(__xludf.DUMMYFUNCTION("""COMPUTED_VALUE"""),"")</f>
        <v/>
      </c>
      <c r="S92" s="97" t="str">
        <f>IFERROR(__xludf.DUMMYFUNCTION("""COMPUTED_VALUE"""),"")</f>
        <v/>
      </c>
      <c r="T92" s="95" t="str">
        <f>IFERROR(__xludf.DUMMYFUNCTION("""COMPUTED_VALUE"""),"")</f>
        <v/>
      </c>
      <c r="U92" s="96" t="str">
        <f>IFERROR(__xludf.DUMMYFUNCTION("""COMPUTED_VALUE"""),"")</f>
        <v/>
      </c>
      <c r="V92" s="97" t="str">
        <f>IFERROR(__xludf.DUMMYFUNCTION("""COMPUTED_VALUE"""),"")</f>
        <v/>
      </c>
      <c r="W92" s="95" t="str">
        <f>IFERROR(__xludf.DUMMYFUNCTION("""COMPUTED_VALUE"""),"")</f>
        <v/>
      </c>
      <c r="X92" s="96" t="str">
        <f>IFERROR(__xludf.DUMMYFUNCTION("""COMPUTED_VALUE"""),"")</f>
        <v/>
      </c>
      <c r="Y92" s="97" t="str">
        <f>IFERROR(__xludf.DUMMYFUNCTION("""COMPUTED_VALUE"""),"")</f>
        <v/>
      </c>
      <c r="Z92" s="95" t="str">
        <f>IFERROR(__xludf.DUMMYFUNCTION("""COMPUTED_VALUE"""),"")</f>
        <v/>
      </c>
      <c r="AA92" s="96" t="str">
        <f>IFERROR(__xludf.DUMMYFUNCTION("""COMPUTED_VALUE"""),"")</f>
        <v/>
      </c>
      <c r="AB92" s="97" t="str">
        <f>IFERROR(__xludf.DUMMYFUNCTION("""COMPUTED_VALUE"""),"")</f>
        <v/>
      </c>
      <c r="AC92" s="95" t="str">
        <f>IFERROR(__xludf.DUMMYFUNCTION("""COMPUTED_VALUE"""),"")</f>
        <v/>
      </c>
      <c r="AD92" s="96" t="str">
        <f>IFERROR(__xludf.DUMMYFUNCTION("""COMPUTED_VALUE"""),"")</f>
        <v/>
      </c>
      <c r="AE92" s="97" t="str">
        <f>IFERROR(__xludf.DUMMYFUNCTION("""COMPUTED_VALUE"""),"")</f>
        <v/>
      </c>
      <c r="AF92" s="95" t="str">
        <f>IFERROR(__xludf.DUMMYFUNCTION("""COMPUTED_VALUE"""),"")</f>
        <v/>
      </c>
      <c r="AG92" s="96">
        <f>IFERROR(__xludf.DUMMYFUNCTION("""COMPUTED_VALUE"""),131.2)</f>
        <v>131.2</v>
      </c>
      <c r="AH92" s="97" t="str">
        <f>IFERROR(__xludf.DUMMYFUNCTION("""COMPUTED_VALUE"""),"")</f>
        <v/>
      </c>
      <c r="AI92" s="131" t="str">
        <f>IFERROR(__xludf.DUMMYFUNCTION("""COMPUTED_VALUE"""),"")</f>
        <v/>
      </c>
      <c r="AJ92" s="132" t="str">
        <f>IFERROR(__xludf.DUMMYFUNCTION("""COMPUTED_VALUE"""),"")</f>
        <v/>
      </c>
      <c r="AK92" s="133" t="str">
        <f>IFERROR(__xludf.DUMMYFUNCTION("""COMPUTED_VALUE"""),"")</f>
        <v/>
      </c>
      <c r="AL92" s="132" t="str">
        <f>IFERROR(__xludf.DUMMYFUNCTION("""COMPUTED_VALUE"""),"")</f>
        <v/>
      </c>
      <c r="AM92" s="132" t="str">
        <f>IFERROR(__xludf.DUMMYFUNCTION("""COMPUTED_VALUE"""),"")</f>
        <v/>
      </c>
      <c r="AN92" s="133" t="str">
        <f>IFERROR(__xludf.DUMMYFUNCTION("""COMPUTED_VALUE"""),"")</f>
        <v/>
      </c>
      <c r="AO92" s="132" t="str">
        <f>IFERROR(__xludf.DUMMYFUNCTION("""COMPUTED_VALUE"""),"")</f>
        <v/>
      </c>
      <c r="AP92" s="132" t="str">
        <f>IFERROR(__xludf.DUMMYFUNCTION("""COMPUTED_VALUE"""),"")</f>
        <v/>
      </c>
      <c r="AQ92" s="133" t="str">
        <f>IFERROR(__xludf.DUMMYFUNCTION("""COMPUTED_VALUE"""),"")</f>
        <v/>
      </c>
      <c r="AR92" s="132" t="str">
        <f>IFERROR(__xludf.DUMMYFUNCTION("""COMPUTED_VALUE"""),"")</f>
        <v/>
      </c>
      <c r="AS92" s="132" t="str">
        <f>IFERROR(__xludf.DUMMYFUNCTION("""COMPUTED_VALUE"""),"")</f>
        <v/>
      </c>
      <c r="AT92" s="133" t="str">
        <f>IFERROR(__xludf.DUMMYFUNCTION("""COMPUTED_VALUE"""),"")</f>
        <v/>
      </c>
      <c r="AU92" s="132" t="str">
        <f>IFERROR(__xludf.DUMMYFUNCTION("""COMPUTED_VALUE"""),"")</f>
        <v/>
      </c>
      <c r="AV92" s="132" t="str">
        <f>IFERROR(__xludf.DUMMYFUNCTION("""COMPUTED_VALUE"""),"")</f>
        <v/>
      </c>
      <c r="AW92" s="133" t="str">
        <f>IFERROR(__xludf.DUMMYFUNCTION("""COMPUTED_VALUE"""),"")</f>
        <v/>
      </c>
      <c r="AX92" s="132" t="str">
        <f>IFERROR(__xludf.DUMMYFUNCTION("""COMPUTED_VALUE"""),"")</f>
        <v/>
      </c>
      <c r="AY92" s="132" t="str">
        <f>IFERROR(__xludf.DUMMYFUNCTION("""COMPUTED_VALUE"""),"")</f>
        <v/>
      </c>
      <c r="AZ92" s="133" t="str">
        <f>IFERROR(__xludf.DUMMYFUNCTION("""COMPUTED_VALUE"""),"")</f>
        <v/>
      </c>
      <c r="BA92" s="132" t="str">
        <f>IFERROR(__xludf.DUMMYFUNCTION("""COMPUTED_VALUE"""),"")</f>
        <v/>
      </c>
      <c r="BB92" s="132" t="str">
        <f>IFERROR(__xludf.DUMMYFUNCTION("""COMPUTED_VALUE"""),"")</f>
        <v/>
      </c>
      <c r="BC92" s="133" t="str">
        <f>IFERROR(__xludf.DUMMYFUNCTION("""COMPUTED_VALUE"""),"")</f>
        <v/>
      </c>
      <c r="BD92" s="132" t="str">
        <f>IFERROR(__xludf.DUMMYFUNCTION("""COMPUTED_VALUE"""),"")</f>
        <v/>
      </c>
      <c r="BE92" s="132" t="str">
        <f>IFERROR(__xludf.DUMMYFUNCTION("""COMPUTED_VALUE"""),"")</f>
        <v/>
      </c>
      <c r="BF92" s="133" t="str">
        <f>IFERROR(__xludf.DUMMYFUNCTION("""COMPUTED_VALUE"""),"")</f>
        <v/>
      </c>
      <c r="BG92" s="131" t="str">
        <f>IFERROR(__xludf.DUMMYFUNCTION("""COMPUTED_VALUE"""),"")</f>
        <v/>
      </c>
      <c r="BH92" s="132" t="str">
        <f>IFERROR(__xludf.DUMMYFUNCTION("""COMPUTED_VALUE"""),"")</f>
        <v/>
      </c>
      <c r="BI92" s="133" t="str">
        <f>IFERROR(__xludf.DUMMYFUNCTION("""COMPUTED_VALUE"""),"")</f>
        <v/>
      </c>
      <c r="BJ92" s="132" t="str">
        <f>IFERROR(__xludf.DUMMYFUNCTION("""COMPUTED_VALUE"""),"")</f>
        <v/>
      </c>
      <c r="BK92" s="132" t="str">
        <f>IFERROR(__xludf.DUMMYFUNCTION("""COMPUTED_VALUE"""),"")</f>
        <v/>
      </c>
      <c r="BL92" s="133" t="str">
        <f>IFERROR(__xludf.DUMMYFUNCTION("""COMPUTED_VALUE"""),"")</f>
        <v/>
      </c>
      <c r="BM92" s="132" t="str">
        <f>IFERROR(__xludf.DUMMYFUNCTION("""COMPUTED_VALUE"""),"")</f>
        <v/>
      </c>
      <c r="BN92" s="132" t="str">
        <f>IFERROR(__xludf.DUMMYFUNCTION("""COMPUTED_VALUE"""),"")</f>
        <v/>
      </c>
      <c r="BO92" s="133" t="str">
        <f>IFERROR(__xludf.DUMMYFUNCTION("""COMPUTED_VALUE"""),"")</f>
        <v/>
      </c>
      <c r="BP92" s="132" t="str">
        <f>IFERROR(__xludf.DUMMYFUNCTION("""COMPUTED_VALUE"""),"")</f>
        <v/>
      </c>
      <c r="BQ92" s="132" t="str">
        <f>IFERROR(__xludf.DUMMYFUNCTION("""COMPUTED_VALUE"""),"")</f>
        <v/>
      </c>
      <c r="BR92" s="133" t="str">
        <f>IFERROR(__xludf.DUMMYFUNCTION("""COMPUTED_VALUE"""),"")</f>
        <v/>
      </c>
      <c r="BS92" s="132">
        <f>IFERROR(__xludf.DUMMYFUNCTION("""COMPUTED_VALUE"""),26.5)</f>
        <v>26.5</v>
      </c>
      <c r="BT92" s="132" t="str">
        <f>IFERROR(__xludf.DUMMYFUNCTION("""COMPUTED_VALUE"""),"")</f>
        <v/>
      </c>
      <c r="BU92" s="133" t="str">
        <f>IFERROR(__xludf.DUMMYFUNCTION("""COMPUTED_VALUE"""),"")</f>
        <v/>
      </c>
      <c r="BV92" s="132" t="str">
        <f>IFERROR(__xludf.DUMMYFUNCTION("""COMPUTED_VALUE"""),"")</f>
        <v/>
      </c>
      <c r="BW92" s="132" t="str">
        <f>IFERROR(__xludf.DUMMYFUNCTION("""COMPUTED_VALUE"""),"")</f>
        <v/>
      </c>
      <c r="BX92" s="133" t="str">
        <f>IFERROR(__xludf.DUMMYFUNCTION("""COMPUTED_VALUE"""),"")</f>
        <v/>
      </c>
      <c r="BY92" s="132" t="str">
        <f>IFERROR(__xludf.DUMMYFUNCTION("""COMPUTED_VALUE"""),"")</f>
        <v/>
      </c>
      <c r="BZ92" s="132" t="str">
        <f>IFERROR(__xludf.DUMMYFUNCTION("""COMPUTED_VALUE"""),"")</f>
        <v/>
      </c>
      <c r="CA92" s="133" t="str">
        <f>IFERROR(__xludf.DUMMYFUNCTION("""COMPUTED_VALUE"""),"")</f>
        <v/>
      </c>
      <c r="CB92" s="131" t="str">
        <f>IFERROR(__xludf.DUMMYFUNCTION("""COMPUTED_VALUE"""),"")</f>
        <v/>
      </c>
      <c r="CC92" s="132" t="str">
        <f>IFERROR(__xludf.DUMMYFUNCTION("""COMPUTED_VALUE"""),"")</f>
        <v/>
      </c>
      <c r="CD92" s="133" t="str">
        <f>IFERROR(__xludf.DUMMYFUNCTION("""COMPUTED_VALUE"""),"")</f>
        <v/>
      </c>
      <c r="CE92" s="132" t="str">
        <f>IFERROR(__xludf.DUMMYFUNCTION("""COMPUTED_VALUE"""),"")</f>
        <v/>
      </c>
      <c r="CF92" s="132" t="str">
        <f>IFERROR(__xludf.DUMMYFUNCTION("""COMPUTED_VALUE"""),"")</f>
        <v/>
      </c>
      <c r="CG92" s="133" t="str">
        <f>IFERROR(__xludf.DUMMYFUNCTION("""COMPUTED_VALUE"""),"")</f>
        <v/>
      </c>
      <c r="CH92" s="132" t="str">
        <f>IFERROR(__xludf.DUMMYFUNCTION("""COMPUTED_VALUE"""),"")</f>
        <v/>
      </c>
      <c r="CI92" s="132" t="str">
        <f>IFERROR(__xludf.DUMMYFUNCTION("""COMPUTED_VALUE"""),"")</f>
        <v/>
      </c>
      <c r="CJ92" s="133" t="str">
        <f>IFERROR(__xludf.DUMMYFUNCTION("""COMPUTED_VALUE"""),"")</f>
        <v/>
      </c>
      <c r="CK92" s="132" t="str">
        <f>IFERROR(__xludf.DUMMYFUNCTION("""COMPUTED_VALUE"""),"")</f>
        <v/>
      </c>
      <c r="CL92" s="132" t="str">
        <f>IFERROR(__xludf.DUMMYFUNCTION("""COMPUTED_VALUE"""),"")</f>
        <v/>
      </c>
      <c r="CM92" s="133" t="str">
        <f>IFERROR(__xludf.DUMMYFUNCTION("""COMPUTED_VALUE"""),"")</f>
        <v/>
      </c>
      <c r="CN92" s="132" t="str">
        <f>IFERROR(__xludf.DUMMYFUNCTION("""COMPUTED_VALUE"""),"")</f>
        <v/>
      </c>
      <c r="CO92" s="132" t="str">
        <f>IFERROR(__xludf.DUMMYFUNCTION("""COMPUTED_VALUE"""),"")</f>
        <v/>
      </c>
      <c r="CP92" s="133" t="str">
        <f>IFERROR(__xludf.DUMMYFUNCTION("""COMPUTED_VALUE"""),"")</f>
        <v/>
      </c>
      <c r="CQ92" s="132" t="str">
        <f>IFERROR(__xludf.DUMMYFUNCTION("""COMPUTED_VALUE"""),"")</f>
        <v/>
      </c>
      <c r="CR92" s="132" t="str">
        <f>IFERROR(__xludf.DUMMYFUNCTION("""COMPUTED_VALUE"""),"")</f>
        <v/>
      </c>
      <c r="CS92" s="133"/>
      <c r="CT92" s="132"/>
      <c r="CU92" s="132"/>
      <c r="CV92" s="133"/>
      <c r="CW92" s="132"/>
      <c r="CX92" s="132"/>
      <c r="CY92" s="133"/>
      <c r="CZ92" s="132"/>
      <c r="DA92" s="132"/>
      <c r="DB92" s="133"/>
      <c r="DC92" s="132"/>
      <c r="DD92" s="132"/>
      <c r="DE92" s="133"/>
      <c r="DF92" s="132"/>
      <c r="DG92" s="132"/>
      <c r="DH92" s="133"/>
      <c r="DI92" s="132"/>
      <c r="DJ92" s="132"/>
      <c r="DK92" s="133"/>
      <c r="DL92" s="132"/>
      <c r="DM92" s="132"/>
      <c r="DN92" s="133"/>
      <c r="DO92" s="132"/>
      <c r="DP92" s="132"/>
      <c r="DQ92" s="133"/>
      <c r="DR92" s="132"/>
      <c r="DS92" s="132"/>
      <c r="DT92" s="133"/>
    </row>
    <row r="93">
      <c r="B93" s="120" t="str">
        <f>IFERROR(__xludf.DUMMYFUNCTION("""COMPUTED_VALUE"""),"LDN4")</f>
        <v>LDN4</v>
      </c>
      <c r="C93" s="82">
        <f>IFERROR(__xludf.DUMMYFUNCTION("""COMPUTED_VALUE"""),80.0)</f>
        <v>80</v>
      </c>
      <c r="D93" s="88" t="str">
        <f>IFERROR(__xludf.DUMMYFUNCTION("""COMPUTED_VALUE"""),"Soho")</f>
        <v>Soho</v>
      </c>
      <c r="E93" s="82" t="str">
        <f>IFERROR(__xludf.DUMMYFUNCTION("""COMPUTED_VALUE"""),"ソーホー")</f>
        <v>ソーホー</v>
      </c>
      <c r="F93" s="102">
        <f>IFERROR(__xludf.DUMMYFUNCTION("""COMPUTED_VALUE"""),16.0)</f>
        <v>16</v>
      </c>
      <c r="G93" s="82">
        <f>IFERROR(__xludf.DUMMYFUNCTION("""COMPUTED_VALUE"""),1106.0)</f>
        <v>1106</v>
      </c>
      <c r="H93" s="95" t="str">
        <f>IFERROR(__xludf.DUMMYFUNCTION("""COMPUTED_VALUE"""),"")</f>
        <v/>
      </c>
      <c r="I93" s="96" t="str">
        <f>IFERROR(__xludf.DUMMYFUNCTION("""COMPUTED_VALUE"""),"")</f>
        <v/>
      </c>
      <c r="J93" s="97" t="str">
        <f>IFERROR(__xludf.DUMMYFUNCTION("""COMPUTED_VALUE"""),"")</f>
        <v/>
      </c>
      <c r="K93" s="95" t="str">
        <f>IFERROR(__xludf.DUMMYFUNCTION("""COMPUTED_VALUE"""),"")</f>
        <v/>
      </c>
      <c r="L93" s="96" t="str">
        <f>IFERROR(__xludf.DUMMYFUNCTION("""COMPUTED_VALUE"""),"")</f>
        <v/>
      </c>
      <c r="M93" s="97" t="str">
        <f>IFERROR(__xludf.DUMMYFUNCTION("""COMPUTED_VALUE"""),"")</f>
        <v/>
      </c>
      <c r="N93" s="95" t="str">
        <f>IFERROR(__xludf.DUMMYFUNCTION("""COMPUTED_VALUE"""),"")</f>
        <v/>
      </c>
      <c r="O93" s="96" t="str">
        <f>IFERROR(__xludf.DUMMYFUNCTION("""COMPUTED_VALUE"""),"")</f>
        <v/>
      </c>
      <c r="P93" s="97" t="str">
        <f>IFERROR(__xludf.DUMMYFUNCTION("""COMPUTED_VALUE"""),"")</f>
        <v/>
      </c>
      <c r="Q93" s="95" t="str">
        <f>IFERROR(__xludf.DUMMYFUNCTION("""COMPUTED_VALUE"""),"")</f>
        <v/>
      </c>
      <c r="R93" s="96" t="str">
        <f>IFERROR(__xludf.DUMMYFUNCTION("""COMPUTED_VALUE"""),"")</f>
        <v/>
      </c>
      <c r="S93" s="97" t="str">
        <f>IFERROR(__xludf.DUMMYFUNCTION("""COMPUTED_VALUE"""),"")</f>
        <v/>
      </c>
      <c r="T93" s="95" t="str">
        <f>IFERROR(__xludf.DUMMYFUNCTION("""COMPUTED_VALUE"""),"")</f>
        <v/>
      </c>
      <c r="U93" s="96" t="str">
        <f>IFERROR(__xludf.DUMMYFUNCTION("""COMPUTED_VALUE"""),"")</f>
        <v/>
      </c>
      <c r="V93" s="97" t="str">
        <f>IFERROR(__xludf.DUMMYFUNCTION("""COMPUTED_VALUE"""),"")</f>
        <v/>
      </c>
      <c r="W93" s="95" t="str">
        <f>IFERROR(__xludf.DUMMYFUNCTION("""COMPUTED_VALUE"""),"")</f>
        <v/>
      </c>
      <c r="X93" s="96" t="str">
        <f>IFERROR(__xludf.DUMMYFUNCTION("""COMPUTED_VALUE"""),"")</f>
        <v/>
      </c>
      <c r="Y93" s="97" t="str">
        <f>IFERROR(__xludf.DUMMYFUNCTION("""COMPUTED_VALUE"""),"")</f>
        <v/>
      </c>
      <c r="Z93" s="95" t="str">
        <f>IFERROR(__xludf.DUMMYFUNCTION("""COMPUTED_VALUE"""),"")</f>
        <v/>
      </c>
      <c r="AA93" s="96" t="str">
        <f>IFERROR(__xludf.DUMMYFUNCTION("""COMPUTED_VALUE"""),"")</f>
        <v/>
      </c>
      <c r="AB93" s="97" t="str">
        <f>IFERROR(__xludf.DUMMYFUNCTION("""COMPUTED_VALUE"""),"")</f>
        <v/>
      </c>
      <c r="AC93" s="95" t="str">
        <f>IFERROR(__xludf.DUMMYFUNCTION("""COMPUTED_VALUE"""),"")</f>
        <v/>
      </c>
      <c r="AD93" s="96" t="str">
        <f>IFERROR(__xludf.DUMMYFUNCTION("""COMPUTED_VALUE"""),"")</f>
        <v/>
      </c>
      <c r="AE93" s="97">
        <f>IFERROR(__xludf.DUMMYFUNCTION("""COMPUTED_VALUE"""),276.5)</f>
        <v>276.5</v>
      </c>
      <c r="AF93" s="95" t="str">
        <f>IFERROR(__xludf.DUMMYFUNCTION("""COMPUTED_VALUE"""),"")</f>
        <v/>
      </c>
      <c r="AG93" s="96">
        <f>IFERROR(__xludf.DUMMYFUNCTION("""COMPUTED_VALUE"""),175.2)</f>
        <v>175.2</v>
      </c>
      <c r="AH93" s="97" t="str">
        <f>IFERROR(__xludf.DUMMYFUNCTION("""COMPUTED_VALUE"""),"")</f>
        <v/>
      </c>
      <c r="AI93" s="92" t="str">
        <f>IFERROR(__xludf.DUMMYFUNCTION("""COMPUTED_VALUE"""),"")</f>
        <v/>
      </c>
      <c r="AJ93" s="93" t="str">
        <f>IFERROR(__xludf.DUMMYFUNCTION("""COMPUTED_VALUE"""),"")</f>
        <v/>
      </c>
      <c r="AK93" s="94" t="str">
        <f>IFERROR(__xludf.DUMMYFUNCTION("""COMPUTED_VALUE"""),"")</f>
        <v/>
      </c>
      <c r="AL93" s="93" t="str">
        <f>IFERROR(__xludf.DUMMYFUNCTION("""COMPUTED_VALUE"""),"")</f>
        <v/>
      </c>
      <c r="AM93" s="93" t="str">
        <f>IFERROR(__xludf.DUMMYFUNCTION("""COMPUTED_VALUE"""),"")</f>
        <v/>
      </c>
      <c r="AN93" s="94" t="str">
        <f>IFERROR(__xludf.DUMMYFUNCTION("""COMPUTED_VALUE"""),"")</f>
        <v/>
      </c>
      <c r="AO93" s="93" t="str">
        <f>IFERROR(__xludf.DUMMYFUNCTION("""COMPUTED_VALUE"""),"")</f>
        <v/>
      </c>
      <c r="AP93" s="93" t="str">
        <f>IFERROR(__xludf.DUMMYFUNCTION("""COMPUTED_VALUE"""),"")</f>
        <v/>
      </c>
      <c r="AQ93" s="94" t="str">
        <f>IFERROR(__xludf.DUMMYFUNCTION("""COMPUTED_VALUE"""),"")</f>
        <v/>
      </c>
      <c r="AR93" s="93" t="str">
        <f>IFERROR(__xludf.DUMMYFUNCTION("""COMPUTED_VALUE"""),"")</f>
        <v/>
      </c>
      <c r="AS93" s="93" t="str">
        <f>IFERROR(__xludf.DUMMYFUNCTION("""COMPUTED_VALUE"""),"")</f>
        <v/>
      </c>
      <c r="AT93" s="94" t="str">
        <f>IFERROR(__xludf.DUMMYFUNCTION("""COMPUTED_VALUE"""),"")</f>
        <v/>
      </c>
      <c r="AU93" s="93" t="str">
        <f>IFERROR(__xludf.DUMMYFUNCTION("""COMPUTED_VALUE"""),"")</f>
        <v/>
      </c>
      <c r="AV93" s="93" t="str">
        <f>IFERROR(__xludf.DUMMYFUNCTION("""COMPUTED_VALUE"""),"")</f>
        <v/>
      </c>
      <c r="AW93" s="94">
        <f>IFERROR(__xludf.DUMMYFUNCTION("""COMPUTED_VALUE"""),97.2)</f>
        <v>97.2</v>
      </c>
      <c r="AX93" s="93" t="str">
        <f>IFERROR(__xludf.DUMMYFUNCTION("""COMPUTED_VALUE"""),"")</f>
        <v/>
      </c>
      <c r="AY93" s="93" t="str">
        <f>IFERROR(__xludf.DUMMYFUNCTION("""COMPUTED_VALUE"""),"")</f>
        <v/>
      </c>
      <c r="AZ93" s="94" t="str">
        <f>IFERROR(__xludf.DUMMYFUNCTION("""COMPUTED_VALUE"""),"")</f>
        <v/>
      </c>
      <c r="BA93" s="93" t="str">
        <f>IFERROR(__xludf.DUMMYFUNCTION("""COMPUTED_VALUE"""),"")</f>
        <v/>
      </c>
      <c r="BB93" s="93" t="str">
        <f>IFERROR(__xludf.DUMMYFUNCTION("""COMPUTED_VALUE"""),"")</f>
        <v/>
      </c>
      <c r="BC93" s="94" t="str">
        <f>IFERROR(__xludf.DUMMYFUNCTION("""COMPUTED_VALUE"""),"")</f>
        <v/>
      </c>
      <c r="BD93" s="93" t="str">
        <f>IFERROR(__xludf.DUMMYFUNCTION("""COMPUTED_VALUE"""),"")</f>
        <v/>
      </c>
      <c r="BE93" s="93" t="str">
        <f>IFERROR(__xludf.DUMMYFUNCTION("""COMPUTED_VALUE"""),"")</f>
        <v/>
      </c>
      <c r="BF93" s="94" t="str">
        <f>IFERROR(__xludf.DUMMYFUNCTION("""COMPUTED_VALUE"""),"")</f>
        <v/>
      </c>
      <c r="BG93" s="92" t="str">
        <f>IFERROR(__xludf.DUMMYFUNCTION("""COMPUTED_VALUE"""),"")</f>
        <v/>
      </c>
      <c r="BH93" s="93" t="str">
        <f>IFERROR(__xludf.DUMMYFUNCTION("""COMPUTED_VALUE"""),"")</f>
        <v/>
      </c>
      <c r="BI93" s="94" t="str">
        <f>IFERROR(__xludf.DUMMYFUNCTION("""COMPUTED_VALUE"""),"")</f>
        <v/>
      </c>
      <c r="BJ93" s="93" t="str">
        <f>IFERROR(__xludf.DUMMYFUNCTION("""COMPUTED_VALUE"""),"")</f>
        <v/>
      </c>
      <c r="BK93" s="93" t="str">
        <f>IFERROR(__xludf.DUMMYFUNCTION("""COMPUTED_VALUE"""),"")</f>
        <v/>
      </c>
      <c r="BL93" s="94">
        <f>IFERROR(__xludf.DUMMYFUNCTION("""COMPUTED_VALUE"""),333.9)</f>
        <v>333.9</v>
      </c>
      <c r="BM93" s="93" t="str">
        <f>IFERROR(__xludf.DUMMYFUNCTION("""COMPUTED_VALUE"""),"")</f>
        <v/>
      </c>
      <c r="BN93" s="93" t="str">
        <f>IFERROR(__xludf.DUMMYFUNCTION("""COMPUTED_VALUE"""),"")</f>
        <v/>
      </c>
      <c r="BO93" s="94">
        <f>IFERROR(__xludf.DUMMYFUNCTION("""COMPUTED_VALUE"""),272.2)</f>
        <v>272.2</v>
      </c>
      <c r="BP93" s="93" t="str">
        <f>IFERROR(__xludf.DUMMYFUNCTION("""COMPUTED_VALUE"""),"")</f>
        <v/>
      </c>
      <c r="BQ93" s="93" t="str">
        <f>IFERROR(__xludf.DUMMYFUNCTION("""COMPUTED_VALUE"""),"")</f>
        <v/>
      </c>
      <c r="BR93" s="94" t="str">
        <f>IFERROR(__xludf.DUMMYFUNCTION("""COMPUTED_VALUE"""),"")</f>
        <v/>
      </c>
      <c r="BS93" s="93">
        <f>IFERROR(__xludf.DUMMYFUNCTION("""COMPUTED_VALUE"""),245.8)</f>
        <v>245.8</v>
      </c>
      <c r="BT93" s="93" t="str">
        <f>IFERROR(__xludf.DUMMYFUNCTION("""COMPUTED_VALUE"""),"")</f>
        <v/>
      </c>
      <c r="BU93" s="94" t="str">
        <f>IFERROR(__xludf.DUMMYFUNCTION("""COMPUTED_VALUE"""),"")</f>
        <v/>
      </c>
      <c r="BV93" s="93">
        <f>IFERROR(__xludf.DUMMYFUNCTION("""COMPUTED_VALUE"""),171.8)</f>
        <v>171.8</v>
      </c>
      <c r="BW93" s="93" t="str">
        <f>IFERROR(__xludf.DUMMYFUNCTION("""COMPUTED_VALUE"""),"")</f>
        <v/>
      </c>
      <c r="BX93" s="94" t="str">
        <f>IFERROR(__xludf.DUMMYFUNCTION("""COMPUTED_VALUE"""),"")</f>
        <v/>
      </c>
      <c r="BY93" s="93" t="str">
        <f>IFERROR(__xludf.DUMMYFUNCTION("""COMPUTED_VALUE"""),"")</f>
        <v/>
      </c>
      <c r="BZ93" s="93" t="str">
        <f>IFERROR(__xludf.DUMMYFUNCTION("""COMPUTED_VALUE"""),"")</f>
        <v/>
      </c>
      <c r="CA93" s="94" t="str">
        <f>IFERROR(__xludf.DUMMYFUNCTION("""COMPUTED_VALUE"""),"")</f>
        <v/>
      </c>
      <c r="CB93" s="92">
        <f>IFERROR(__xludf.DUMMYFUNCTION("""COMPUTED_VALUE"""),340.3)</f>
        <v>340.3</v>
      </c>
      <c r="CC93" s="93" t="str">
        <f>IFERROR(__xludf.DUMMYFUNCTION("""COMPUTED_VALUE"""),"")</f>
        <v/>
      </c>
      <c r="CD93" s="94" t="str">
        <f>IFERROR(__xludf.DUMMYFUNCTION("""COMPUTED_VALUE"""),"")</f>
        <v/>
      </c>
      <c r="CE93" s="93" t="str">
        <f>IFERROR(__xludf.DUMMYFUNCTION("""COMPUTED_VALUE"""),"")</f>
        <v/>
      </c>
      <c r="CF93" s="93" t="str">
        <f>IFERROR(__xludf.DUMMYFUNCTION("""COMPUTED_VALUE"""),"")</f>
        <v/>
      </c>
      <c r="CG93" s="94" t="str">
        <f>IFERROR(__xludf.DUMMYFUNCTION("""COMPUTED_VALUE"""),"")</f>
        <v/>
      </c>
      <c r="CH93" s="93" t="str">
        <f>IFERROR(__xludf.DUMMYFUNCTION("""COMPUTED_VALUE"""),"")</f>
        <v/>
      </c>
      <c r="CI93" s="93">
        <f>IFERROR(__xludf.DUMMYFUNCTION("""COMPUTED_VALUE"""),186.3)</f>
        <v>186.3</v>
      </c>
      <c r="CJ93" s="94" t="str">
        <f>IFERROR(__xludf.DUMMYFUNCTION("""COMPUTED_VALUE"""),"")</f>
        <v/>
      </c>
      <c r="CK93" s="93" t="str">
        <f>IFERROR(__xludf.DUMMYFUNCTION("""COMPUTED_VALUE"""),"")</f>
        <v/>
      </c>
      <c r="CL93" s="93" t="str">
        <f>IFERROR(__xludf.DUMMYFUNCTION("""COMPUTED_VALUE"""),"")</f>
        <v/>
      </c>
      <c r="CM93" s="94" t="str">
        <f>IFERROR(__xludf.DUMMYFUNCTION("""COMPUTED_VALUE"""),"")</f>
        <v/>
      </c>
      <c r="CN93" s="93" t="str">
        <f>IFERROR(__xludf.DUMMYFUNCTION("""COMPUTED_VALUE"""),"")</f>
        <v/>
      </c>
      <c r="CO93" s="93" t="str">
        <f>IFERROR(__xludf.DUMMYFUNCTION("""COMPUTED_VALUE"""),"")</f>
        <v/>
      </c>
      <c r="CP93" s="94" t="str">
        <f>IFERROR(__xludf.DUMMYFUNCTION("""COMPUTED_VALUE"""),"")</f>
        <v/>
      </c>
      <c r="CQ93" s="93" t="str">
        <f>IFERROR(__xludf.DUMMYFUNCTION("""COMPUTED_VALUE"""),"")</f>
        <v/>
      </c>
      <c r="CR93" s="93" t="str">
        <f>IFERROR(__xludf.DUMMYFUNCTION("""COMPUTED_VALUE"""),"")</f>
        <v/>
      </c>
      <c r="CS93" s="94"/>
      <c r="CT93" s="93"/>
      <c r="CU93" s="93"/>
      <c r="CV93" s="94"/>
      <c r="CW93" s="93"/>
      <c r="CX93" s="93"/>
      <c r="CY93" s="94"/>
      <c r="CZ93" s="93"/>
      <c r="DA93" s="93"/>
      <c r="DB93" s="94"/>
      <c r="DC93" s="93"/>
      <c r="DD93" s="93"/>
      <c r="DE93" s="94"/>
      <c r="DF93" s="93"/>
      <c r="DG93" s="93"/>
      <c r="DH93" s="94"/>
      <c r="DI93" s="93"/>
      <c r="DJ93" s="93"/>
      <c r="DK93" s="94"/>
      <c r="DL93" s="93"/>
      <c r="DM93" s="93"/>
      <c r="DN93" s="94"/>
      <c r="DO93" s="93"/>
      <c r="DP93" s="93"/>
      <c r="DQ93" s="94"/>
      <c r="DR93" s="93"/>
      <c r="DS93" s="93"/>
      <c r="DT93" s="94"/>
    </row>
    <row r="94">
      <c r="B94" s="120" t="str">
        <f>IFERROR(__xludf.DUMMYFUNCTION("""COMPUTED_VALUE"""),"LDN5")</f>
        <v>LDN5</v>
      </c>
      <c r="C94" s="82">
        <f>IFERROR(__xludf.DUMMYFUNCTION("""COMPUTED_VALUE"""),81.0)</f>
        <v>81</v>
      </c>
      <c r="D94" s="88" t="str">
        <f>IFERROR(__xludf.DUMMYFUNCTION("""COMPUTED_VALUE"""),"Westminster")</f>
        <v>Westminster</v>
      </c>
      <c r="E94" s="82" t="str">
        <f>IFERROR(__xludf.DUMMYFUNCTION("""COMPUTED_VALUE"""),"ウェストミンスター")</f>
        <v>ウェストミンスター</v>
      </c>
      <c r="F94" s="102">
        <f>IFERROR(__xludf.DUMMYFUNCTION("""COMPUTED_VALUE"""),16.0)</f>
        <v>16</v>
      </c>
      <c r="G94" s="82">
        <f>IFERROR(__xludf.DUMMYFUNCTION("""COMPUTED_VALUE"""),1113.0)</f>
        <v>1113</v>
      </c>
      <c r="H94" s="95" t="str">
        <f>IFERROR(__xludf.DUMMYFUNCTION("""COMPUTED_VALUE"""),"")</f>
        <v/>
      </c>
      <c r="I94" s="96" t="str">
        <f>IFERROR(__xludf.DUMMYFUNCTION("""COMPUTED_VALUE"""),"")</f>
        <v/>
      </c>
      <c r="J94" s="97" t="str">
        <f>IFERROR(__xludf.DUMMYFUNCTION("""COMPUTED_VALUE"""),"")</f>
        <v/>
      </c>
      <c r="K94" s="95" t="str">
        <f>IFERROR(__xludf.DUMMYFUNCTION("""COMPUTED_VALUE"""),"")</f>
        <v/>
      </c>
      <c r="L94" s="96" t="str">
        <f>IFERROR(__xludf.DUMMYFUNCTION("""COMPUTED_VALUE"""),"")</f>
        <v/>
      </c>
      <c r="M94" s="97" t="str">
        <f>IFERROR(__xludf.DUMMYFUNCTION("""COMPUTED_VALUE"""),"")</f>
        <v/>
      </c>
      <c r="N94" s="95" t="str">
        <f>IFERROR(__xludf.DUMMYFUNCTION("""COMPUTED_VALUE"""),"")</f>
        <v/>
      </c>
      <c r="O94" s="96" t="str">
        <f>IFERROR(__xludf.DUMMYFUNCTION("""COMPUTED_VALUE"""),"")</f>
        <v/>
      </c>
      <c r="P94" s="97" t="str">
        <f>IFERROR(__xludf.DUMMYFUNCTION("""COMPUTED_VALUE"""),"")</f>
        <v/>
      </c>
      <c r="Q94" s="95" t="str">
        <f>IFERROR(__xludf.DUMMYFUNCTION("""COMPUTED_VALUE"""),"")</f>
        <v/>
      </c>
      <c r="R94" s="96" t="str">
        <f>IFERROR(__xludf.DUMMYFUNCTION("""COMPUTED_VALUE"""),"")</f>
        <v/>
      </c>
      <c r="S94" s="97" t="str">
        <f>IFERROR(__xludf.DUMMYFUNCTION("""COMPUTED_VALUE"""),"")</f>
        <v/>
      </c>
      <c r="T94" s="95" t="str">
        <f>IFERROR(__xludf.DUMMYFUNCTION("""COMPUTED_VALUE"""),"")</f>
        <v/>
      </c>
      <c r="U94" s="96" t="str">
        <f>IFERROR(__xludf.DUMMYFUNCTION("""COMPUTED_VALUE"""),"")</f>
        <v/>
      </c>
      <c r="V94" s="97" t="str">
        <f>IFERROR(__xludf.DUMMYFUNCTION("""COMPUTED_VALUE"""),"")</f>
        <v/>
      </c>
      <c r="W94" s="95" t="str">
        <f>IFERROR(__xludf.DUMMYFUNCTION("""COMPUTED_VALUE"""),"")</f>
        <v/>
      </c>
      <c r="X94" s="96" t="str">
        <f>IFERROR(__xludf.DUMMYFUNCTION("""COMPUTED_VALUE"""),"")</f>
        <v/>
      </c>
      <c r="Y94" s="97" t="str">
        <f>IFERROR(__xludf.DUMMYFUNCTION("""COMPUTED_VALUE"""),"")</f>
        <v/>
      </c>
      <c r="Z94" s="95" t="str">
        <f>IFERROR(__xludf.DUMMYFUNCTION("""COMPUTED_VALUE"""),"")</f>
        <v/>
      </c>
      <c r="AA94" s="96" t="str">
        <f>IFERROR(__xludf.DUMMYFUNCTION("""COMPUTED_VALUE"""),"")</f>
        <v/>
      </c>
      <c r="AB94" s="97" t="str">
        <f>IFERROR(__xludf.DUMMYFUNCTION("""COMPUTED_VALUE"""),"")</f>
        <v/>
      </c>
      <c r="AC94" s="95" t="str">
        <f>IFERROR(__xludf.DUMMYFUNCTION("""COMPUTED_VALUE"""),"")</f>
        <v/>
      </c>
      <c r="AD94" s="96" t="str">
        <f>IFERROR(__xludf.DUMMYFUNCTION("""COMPUTED_VALUE"""),"")</f>
        <v/>
      </c>
      <c r="AE94" s="97" t="str">
        <f>IFERROR(__xludf.DUMMYFUNCTION("""COMPUTED_VALUE"""),"")</f>
        <v/>
      </c>
      <c r="AF94" s="95" t="str">
        <f>IFERROR(__xludf.DUMMYFUNCTION("""COMPUTED_VALUE"""),"")</f>
        <v/>
      </c>
      <c r="AG94" s="96">
        <f>IFERROR(__xludf.DUMMYFUNCTION("""COMPUTED_VALUE"""),133.9)</f>
        <v>133.9</v>
      </c>
      <c r="AH94" s="97" t="str">
        <f>IFERROR(__xludf.DUMMYFUNCTION("""COMPUTED_VALUE"""),"")</f>
        <v/>
      </c>
      <c r="AI94" s="131" t="str">
        <f>IFERROR(__xludf.DUMMYFUNCTION("""COMPUTED_VALUE"""),"")</f>
        <v/>
      </c>
      <c r="AJ94" s="132" t="str">
        <f>IFERROR(__xludf.DUMMYFUNCTION("""COMPUTED_VALUE"""),"")</f>
        <v/>
      </c>
      <c r="AK94" s="133" t="str">
        <f>IFERROR(__xludf.DUMMYFUNCTION("""COMPUTED_VALUE"""),"")</f>
        <v/>
      </c>
      <c r="AL94" s="132" t="str">
        <f>IFERROR(__xludf.DUMMYFUNCTION("""COMPUTED_VALUE"""),"")</f>
        <v/>
      </c>
      <c r="AM94" s="132" t="str">
        <f>IFERROR(__xludf.DUMMYFUNCTION("""COMPUTED_VALUE"""),"")</f>
        <v/>
      </c>
      <c r="AN94" s="133" t="str">
        <f>IFERROR(__xludf.DUMMYFUNCTION("""COMPUTED_VALUE"""),"")</f>
        <v/>
      </c>
      <c r="AO94" s="132" t="str">
        <f>IFERROR(__xludf.DUMMYFUNCTION("""COMPUTED_VALUE"""),"")</f>
        <v/>
      </c>
      <c r="AP94" s="132" t="str">
        <f>IFERROR(__xludf.DUMMYFUNCTION("""COMPUTED_VALUE"""),"")</f>
        <v/>
      </c>
      <c r="AQ94" s="133" t="str">
        <f>IFERROR(__xludf.DUMMYFUNCTION("""COMPUTED_VALUE"""),"")</f>
        <v/>
      </c>
      <c r="AR94" s="132" t="str">
        <f>IFERROR(__xludf.DUMMYFUNCTION("""COMPUTED_VALUE"""),"")</f>
        <v/>
      </c>
      <c r="AS94" s="132" t="str">
        <f>IFERROR(__xludf.DUMMYFUNCTION("""COMPUTED_VALUE"""),"")</f>
        <v/>
      </c>
      <c r="AT94" s="133" t="str">
        <f>IFERROR(__xludf.DUMMYFUNCTION("""COMPUTED_VALUE"""),"")</f>
        <v/>
      </c>
      <c r="AU94" s="132" t="str">
        <f>IFERROR(__xludf.DUMMYFUNCTION("""COMPUTED_VALUE"""),"")</f>
        <v/>
      </c>
      <c r="AV94" s="132" t="str">
        <f>IFERROR(__xludf.DUMMYFUNCTION("""COMPUTED_VALUE"""),"")</f>
        <v/>
      </c>
      <c r="AW94" s="133">
        <f>IFERROR(__xludf.DUMMYFUNCTION("""COMPUTED_VALUE"""),104.8)</f>
        <v>104.8</v>
      </c>
      <c r="AX94" s="132" t="str">
        <f>IFERROR(__xludf.DUMMYFUNCTION("""COMPUTED_VALUE"""),"")</f>
        <v/>
      </c>
      <c r="AY94" s="132" t="str">
        <f>IFERROR(__xludf.DUMMYFUNCTION("""COMPUTED_VALUE"""),"")</f>
        <v/>
      </c>
      <c r="AZ94" s="133" t="str">
        <f>IFERROR(__xludf.DUMMYFUNCTION("""COMPUTED_VALUE"""),"")</f>
        <v/>
      </c>
      <c r="BA94" s="132" t="str">
        <f>IFERROR(__xludf.DUMMYFUNCTION("""COMPUTED_VALUE"""),"")</f>
        <v/>
      </c>
      <c r="BB94" s="132" t="str">
        <f>IFERROR(__xludf.DUMMYFUNCTION("""COMPUTED_VALUE"""),"")</f>
        <v/>
      </c>
      <c r="BC94" s="133" t="str">
        <f>IFERROR(__xludf.DUMMYFUNCTION("""COMPUTED_VALUE"""),"")</f>
        <v/>
      </c>
      <c r="BD94" s="132" t="str">
        <f>IFERROR(__xludf.DUMMYFUNCTION("""COMPUTED_VALUE"""),"")</f>
        <v/>
      </c>
      <c r="BE94" s="132" t="str">
        <f>IFERROR(__xludf.DUMMYFUNCTION("""COMPUTED_VALUE"""),"")</f>
        <v/>
      </c>
      <c r="BF94" s="133" t="str">
        <f>IFERROR(__xludf.DUMMYFUNCTION("""COMPUTED_VALUE"""),"")</f>
        <v/>
      </c>
      <c r="BG94" s="131" t="str">
        <f>IFERROR(__xludf.DUMMYFUNCTION("""COMPUTED_VALUE"""),"")</f>
        <v/>
      </c>
      <c r="BH94" s="132" t="str">
        <f>IFERROR(__xludf.DUMMYFUNCTION("""COMPUTED_VALUE"""),"")</f>
        <v/>
      </c>
      <c r="BI94" s="133" t="str">
        <f>IFERROR(__xludf.DUMMYFUNCTION("""COMPUTED_VALUE"""),"")</f>
        <v/>
      </c>
      <c r="BJ94" s="132" t="str">
        <f>IFERROR(__xludf.DUMMYFUNCTION("""COMPUTED_VALUE"""),"")</f>
        <v/>
      </c>
      <c r="BK94" s="132" t="str">
        <f>IFERROR(__xludf.DUMMYFUNCTION("""COMPUTED_VALUE"""),"")</f>
        <v/>
      </c>
      <c r="BL94" s="133">
        <f>IFERROR(__xludf.DUMMYFUNCTION("""COMPUTED_VALUE"""),468.6)</f>
        <v>468.6</v>
      </c>
      <c r="BM94" s="132" t="str">
        <f>IFERROR(__xludf.DUMMYFUNCTION("""COMPUTED_VALUE"""),"")</f>
        <v/>
      </c>
      <c r="BN94" s="132" t="str">
        <f>IFERROR(__xludf.DUMMYFUNCTION("""COMPUTED_VALUE"""),"")</f>
        <v/>
      </c>
      <c r="BO94" s="133" t="str">
        <f>IFERROR(__xludf.DUMMYFUNCTION("""COMPUTED_VALUE"""),"")</f>
        <v/>
      </c>
      <c r="BP94" s="132" t="str">
        <f>IFERROR(__xludf.DUMMYFUNCTION("""COMPUTED_VALUE"""),"")</f>
        <v/>
      </c>
      <c r="BQ94" s="132" t="str">
        <f>IFERROR(__xludf.DUMMYFUNCTION("""COMPUTED_VALUE"""),"")</f>
        <v/>
      </c>
      <c r="BR94" s="133" t="str">
        <f>IFERROR(__xludf.DUMMYFUNCTION("""COMPUTED_VALUE"""),"")</f>
        <v/>
      </c>
      <c r="BS94" s="132">
        <f>IFERROR(__xludf.DUMMYFUNCTION("""COMPUTED_VALUE"""),60.2)</f>
        <v>60.2</v>
      </c>
      <c r="BT94" s="132" t="str">
        <f>IFERROR(__xludf.DUMMYFUNCTION("""COMPUTED_VALUE"""),"")</f>
        <v/>
      </c>
      <c r="BU94" s="133" t="str">
        <f>IFERROR(__xludf.DUMMYFUNCTION("""COMPUTED_VALUE"""),"")</f>
        <v/>
      </c>
      <c r="BV94" s="132" t="str">
        <f>IFERROR(__xludf.DUMMYFUNCTION("""COMPUTED_VALUE"""),"")</f>
        <v/>
      </c>
      <c r="BW94" s="132" t="str">
        <f>IFERROR(__xludf.DUMMYFUNCTION("""COMPUTED_VALUE"""),"")</f>
        <v/>
      </c>
      <c r="BX94" s="133" t="str">
        <f>IFERROR(__xludf.DUMMYFUNCTION("""COMPUTED_VALUE"""),"")</f>
        <v/>
      </c>
      <c r="BY94" s="132" t="str">
        <f>IFERROR(__xludf.DUMMYFUNCTION("""COMPUTED_VALUE"""),"")</f>
        <v/>
      </c>
      <c r="BZ94" s="132" t="str">
        <f>IFERROR(__xludf.DUMMYFUNCTION("""COMPUTED_VALUE"""),"")</f>
        <v/>
      </c>
      <c r="CA94" s="133" t="str">
        <f>IFERROR(__xludf.DUMMYFUNCTION("""COMPUTED_VALUE"""),"")</f>
        <v/>
      </c>
      <c r="CB94" s="131">
        <f>IFERROR(__xludf.DUMMYFUNCTION("""COMPUTED_VALUE"""),349.2)</f>
        <v>349.2</v>
      </c>
      <c r="CC94" s="132" t="str">
        <f>IFERROR(__xludf.DUMMYFUNCTION("""COMPUTED_VALUE"""),"")</f>
        <v/>
      </c>
      <c r="CD94" s="133" t="str">
        <f>IFERROR(__xludf.DUMMYFUNCTION("""COMPUTED_VALUE"""),"")</f>
        <v/>
      </c>
      <c r="CE94" s="132" t="str">
        <f>IFERROR(__xludf.DUMMYFUNCTION("""COMPUTED_VALUE"""),"")</f>
        <v/>
      </c>
      <c r="CF94" s="132" t="str">
        <f>IFERROR(__xludf.DUMMYFUNCTION("""COMPUTED_VALUE"""),"")</f>
        <v/>
      </c>
      <c r="CG94" s="133" t="str">
        <f>IFERROR(__xludf.DUMMYFUNCTION("""COMPUTED_VALUE"""),"")</f>
        <v/>
      </c>
      <c r="CH94" s="132" t="str">
        <f>IFERROR(__xludf.DUMMYFUNCTION("""COMPUTED_VALUE"""),"")</f>
        <v/>
      </c>
      <c r="CI94" s="132">
        <f>IFERROR(__xludf.DUMMYFUNCTION("""COMPUTED_VALUE"""),172.9)</f>
        <v>172.9</v>
      </c>
      <c r="CJ94" s="133" t="str">
        <f>IFERROR(__xludf.DUMMYFUNCTION("""COMPUTED_VALUE"""),"")</f>
        <v/>
      </c>
      <c r="CK94" s="132" t="str">
        <f>IFERROR(__xludf.DUMMYFUNCTION("""COMPUTED_VALUE"""),"")</f>
        <v/>
      </c>
      <c r="CL94" s="132" t="str">
        <f>IFERROR(__xludf.DUMMYFUNCTION("""COMPUTED_VALUE"""),"")</f>
        <v/>
      </c>
      <c r="CM94" s="133" t="str">
        <f>IFERROR(__xludf.DUMMYFUNCTION("""COMPUTED_VALUE"""),"")</f>
        <v/>
      </c>
      <c r="CN94" s="132" t="str">
        <f>IFERROR(__xludf.DUMMYFUNCTION("""COMPUTED_VALUE"""),"")</f>
        <v/>
      </c>
      <c r="CO94" s="132" t="str">
        <f>IFERROR(__xludf.DUMMYFUNCTION("""COMPUTED_VALUE"""),"")</f>
        <v/>
      </c>
      <c r="CP94" s="133" t="str">
        <f>IFERROR(__xludf.DUMMYFUNCTION("""COMPUTED_VALUE"""),"")</f>
        <v/>
      </c>
      <c r="CQ94" s="132" t="str">
        <f>IFERROR(__xludf.DUMMYFUNCTION("""COMPUTED_VALUE"""),"")</f>
        <v/>
      </c>
      <c r="CR94" s="132" t="str">
        <f>IFERROR(__xludf.DUMMYFUNCTION("""COMPUTED_VALUE"""),"")</f>
        <v/>
      </c>
      <c r="CS94" s="133"/>
      <c r="CT94" s="132"/>
      <c r="CU94" s="132"/>
      <c r="CV94" s="133"/>
      <c r="CW94" s="132"/>
      <c r="CX94" s="132"/>
      <c r="CY94" s="133"/>
      <c r="CZ94" s="132"/>
      <c r="DA94" s="132"/>
      <c r="DB94" s="133"/>
      <c r="DC94" s="132"/>
      <c r="DD94" s="132"/>
      <c r="DE94" s="133"/>
      <c r="DF94" s="132"/>
      <c r="DG94" s="132"/>
      <c r="DH94" s="133"/>
      <c r="DI94" s="132"/>
      <c r="DJ94" s="132"/>
      <c r="DK94" s="133"/>
      <c r="DL94" s="132"/>
      <c r="DM94" s="132"/>
      <c r="DN94" s="133"/>
      <c r="DO94" s="132"/>
      <c r="DP94" s="132"/>
      <c r="DQ94" s="133"/>
      <c r="DR94" s="132"/>
      <c r="DS94" s="132"/>
      <c r="DT94" s="133"/>
    </row>
    <row r="95">
      <c r="B95" s="120" t="str">
        <f>IFERROR(__xludf.DUMMYFUNCTION("""COMPUTED_VALUE"""),"LDN6")</f>
        <v>LDN6</v>
      </c>
      <c r="C95" s="82">
        <f>IFERROR(__xludf.DUMMYFUNCTION("""COMPUTED_VALUE"""),82.0)</f>
        <v>82</v>
      </c>
      <c r="D95" s="88" t="str">
        <f>IFERROR(__xludf.DUMMYFUNCTION("""COMPUTED_VALUE"""),"Regent Park")</f>
        <v>Regent Park</v>
      </c>
      <c r="E95" s="82" t="str">
        <f>IFERROR(__xludf.DUMMYFUNCTION("""COMPUTED_VALUE"""),"リージェントパーク")</f>
        <v>リージェントパーク</v>
      </c>
      <c r="F95" s="102">
        <f>IFERROR(__xludf.DUMMYFUNCTION("""COMPUTED_VALUE"""),16.0)</f>
        <v>16</v>
      </c>
      <c r="G95" s="82">
        <f>IFERROR(__xludf.DUMMYFUNCTION("""COMPUTED_VALUE"""),1100.0)</f>
        <v>1100</v>
      </c>
      <c r="H95" s="95" t="str">
        <f>IFERROR(__xludf.DUMMYFUNCTION("""COMPUTED_VALUE"""),"")</f>
        <v/>
      </c>
      <c r="I95" s="96" t="str">
        <f>IFERROR(__xludf.DUMMYFUNCTION("""COMPUTED_VALUE"""),"")</f>
        <v/>
      </c>
      <c r="J95" s="97" t="str">
        <f>IFERROR(__xludf.DUMMYFUNCTION("""COMPUTED_VALUE"""),"")</f>
        <v/>
      </c>
      <c r="K95" s="95" t="str">
        <f>IFERROR(__xludf.DUMMYFUNCTION("""COMPUTED_VALUE"""),"")</f>
        <v/>
      </c>
      <c r="L95" s="96" t="str">
        <f>IFERROR(__xludf.DUMMYFUNCTION("""COMPUTED_VALUE"""),"")</f>
        <v/>
      </c>
      <c r="M95" s="97" t="str">
        <f>IFERROR(__xludf.DUMMYFUNCTION("""COMPUTED_VALUE"""),"")</f>
        <v/>
      </c>
      <c r="N95" s="95" t="str">
        <f>IFERROR(__xludf.DUMMYFUNCTION("""COMPUTED_VALUE"""),"")</f>
        <v/>
      </c>
      <c r="O95" s="96" t="str">
        <f>IFERROR(__xludf.DUMMYFUNCTION("""COMPUTED_VALUE"""),"")</f>
        <v/>
      </c>
      <c r="P95" s="97" t="str">
        <f>IFERROR(__xludf.DUMMYFUNCTION("""COMPUTED_VALUE"""),"")</f>
        <v/>
      </c>
      <c r="Q95" s="95" t="str">
        <f>IFERROR(__xludf.DUMMYFUNCTION("""COMPUTED_VALUE"""),"")</f>
        <v/>
      </c>
      <c r="R95" s="96" t="str">
        <f>IFERROR(__xludf.DUMMYFUNCTION("""COMPUTED_VALUE"""),"")</f>
        <v/>
      </c>
      <c r="S95" s="97" t="str">
        <f>IFERROR(__xludf.DUMMYFUNCTION("""COMPUTED_VALUE"""),"")</f>
        <v/>
      </c>
      <c r="T95" s="95" t="str">
        <f>IFERROR(__xludf.DUMMYFUNCTION("""COMPUTED_VALUE"""),"")</f>
        <v/>
      </c>
      <c r="U95" s="96" t="str">
        <f>IFERROR(__xludf.DUMMYFUNCTION("""COMPUTED_VALUE"""),"")</f>
        <v/>
      </c>
      <c r="V95" s="97" t="str">
        <f>IFERROR(__xludf.DUMMYFUNCTION("""COMPUTED_VALUE"""),"")</f>
        <v/>
      </c>
      <c r="W95" s="95" t="str">
        <f>IFERROR(__xludf.DUMMYFUNCTION("""COMPUTED_VALUE"""),"")</f>
        <v/>
      </c>
      <c r="X95" s="96" t="str">
        <f>IFERROR(__xludf.DUMMYFUNCTION("""COMPUTED_VALUE"""),"")</f>
        <v/>
      </c>
      <c r="Y95" s="97" t="str">
        <f>IFERROR(__xludf.DUMMYFUNCTION("""COMPUTED_VALUE"""),"")</f>
        <v/>
      </c>
      <c r="Z95" s="95" t="str">
        <f>IFERROR(__xludf.DUMMYFUNCTION("""COMPUTED_VALUE"""),"")</f>
        <v/>
      </c>
      <c r="AA95" s="96" t="str">
        <f>IFERROR(__xludf.DUMMYFUNCTION("""COMPUTED_VALUE"""),"")</f>
        <v/>
      </c>
      <c r="AB95" s="97" t="str">
        <f>IFERROR(__xludf.DUMMYFUNCTION("""COMPUTED_VALUE"""),"")</f>
        <v/>
      </c>
      <c r="AC95" s="95" t="str">
        <f>IFERROR(__xludf.DUMMYFUNCTION("""COMPUTED_VALUE"""),"")</f>
        <v/>
      </c>
      <c r="AD95" s="96" t="str">
        <f>IFERROR(__xludf.DUMMYFUNCTION("""COMPUTED_VALUE"""),"")</f>
        <v/>
      </c>
      <c r="AE95" s="97">
        <f>IFERROR(__xludf.DUMMYFUNCTION("""COMPUTED_VALUE"""),160.0)</f>
        <v>160</v>
      </c>
      <c r="AF95" s="95">
        <f>IFERROR(__xludf.DUMMYFUNCTION("""COMPUTED_VALUE"""),345.1)</f>
        <v>345.1</v>
      </c>
      <c r="AG95" s="96" t="str">
        <f>IFERROR(__xludf.DUMMYFUNCTION("""COMPUTED_VALUE"""),"")</f>
        <v/>
      </c>
      <c r="AH95" s="97" t="str">
        <f>IFERROR(__xludf.DUMMYFUNCTION("""COMPUTED_VALUE"""),"")</f>
        <v/>
      </c>
      <c r="AI95" s="92" t="str">
        <f>IFERROR(__xludf.DUMMYFUNCTION("""COMPUTED_VALUE"""),"")</f>
        <v/>
      </c>
      <c r="AJ95" s="93" t="str">
        <f>IFERROR(__xludf.DUMMYFUNCTION("""COMPUTED_VALUE"""),"")</f>
        <v/>
      </c>
      <c r="AK95" s="94" t="str">
        <f>IFERROR(__xludf.DUMMYFUNCTION("""COMPUTED_VALUE"""),"")</f>
        <v/>
      </c>
      <c r="AL95" s="93" t="str">
        <f>IFERROR(__xludf.DUMMYFUNCTION("""COMPUTED_VALUE"""),"")</f>
        <v/>
      </c>
      <c r="AM95" s="93" t="str">
        <f>IFERROR(__xludf.DUMMYFUNCTION("""COMPUTED_VALUE"""),"")</f>
        <v/>
      </c>
      <c r="AN95" s="94" t="str">
        <f>IFERROR(__xludf.DUMMYFUNCTION("""COMPUTED_VALUE"""),"")</f>
        <v/>
      </c>
      <c r="AO95" s="93" t="str">
        <f>IFERROR(__xludf.DUMMYFUNCTION("""COMPUTED_VALUE"""),"")</f>
        <v/>
      </c>
      <c r="AP95" s="93" t="str">
        <f>IFERROR(__xludf.DUMMYFUNCTION("""COMPUTED_VALUE"""),"")</f>
        <v/>
      </c>
      <c r="AQ95" s="94" t="str">
        <f>IFERROR(__xludf.DUMMYFUNCTION("""COMPUTED_VALUE"""),"")</f>
        <v/>
      </c>
      <c r="AR95" s="93" t="str">
        <f>IFERROR(__xludf.DUMMYFUNCTION("""COMPUTED_VALUE"""),"")</f>
        <v/>
      </c>
      <c r="AS95" s="93" t="str">
        <f>IFERROR(__xludf.DUMMYFUNCTION("""COMPUTED_VALUE"""),"")</f>
        <v/>
      </c>
      <c r="AT95" s="94" t="str">
        <f>IFERROR(__xludf.DUMMYFUNCTION("""COMPUTED_VALUE"""),"")</f>
        <v/>
      </c>
      <c r="AU95" s="93" t="str">
        <f>IFERROR(__xludf.DUMMYFUNCTION("""COMPUTED_VALUE"""),"")</f>
        <v/>
      </c>
      <c r="AV95" s="93" t="str">
        <f>IFERROR(__xludf.DUMMYFUNCTION("""COMPUTED_VALUE"""),"")</f>
        <v/>
      </c>
      <c r="AW95" s="94" t="str">
        <f>IFERROR(__xludf.DUMMYFUNCTION("""COMPUTED_VALUE"""),"")</f>
        <v/>
      </c>
      <c r="AX95" s="93" t="str">
        <f>IFERROR(__xludf.DUMMYFUNCTION("""COMPUTED_VALUE"""),"")</f>
        <v/>
      </c>
      <c r="AY95" s="93" t="str">
        <f>IFERROR(__xludf.DUMMYFUNCTION("""COMPUTED_VALUE"""),"")</f>
        <v/>
      </c>
      <c r="AZ95" s="94" t="str">
        <f>IFERROR(__xludf.DUMMYFUNCTION("""COMPUTED_VALUE"""),"")</f>
        <v/>
      </c>
      <c r="BA95" s="93" t="str">
        <f>IFERROR(__xludf.DUMMYFUNCTION("""COMPUTED_VALUE"""),"")</f>
        <v/>
      </c>
      <c r="BB95" s="93" t="str">
        <f>IFERROR(__xludf.DUMMYFUNCTION("""COMPUTED_VALUE"""),"")</f>
        <v/>
      </c>
      <c r="BC95" s="94" t="str">
        <f>IFERROR(__xludf.DUMMYFUNCTION("""COMPUTED_VALUE"""),"")</f>
        <v/>
      </c>
      <c r="BD95" s="93" t="str">
        <f>IFERROR(__xludf.DUMMYFUNCTION("""COMPUTED_VALUE"""),"")</f>
        <v/>
      </c>
      <c r="BE95" s="93" t="str">
        <f>IFERROR(__xludf.DUMMYFUNCTION("""COMPUTED_VALUE"""),"")</f>
        <v/>
      </c>
      <c r="BF95" s="94" t="str">
        <f>IFERROR(__xludf.DUMMYFUNCTION("""COMPUTED_VALUE"""),"")</f>
        <v/>
      </c>
      <c r="BG95" s="92" t="str">
        <f>IFERROR(__xludf.DUMMYFUNCTION("""COMPUTED_VALUE"""),"")</f>
        <v/>
      </c>
      <c r="BH95" s="93" t="str">
        <f>IFERROR(__xludf.DUMMYFUNCTION("""COMPUTED_VALUE"""),"")</f>
        <v/>
      </c>
      <c r="BI95" s="94" t="str">
        <f>IFERROR(__xludf.DUMMYFUNCTION("""COMPUTED_VALUE"""),"")</f>
        <v/>
      </c>
      <c r="BJ95" s="93">
        <f>IFERROR(__xludf.DUMMYFUNCTION("""COMPUTED_VALUE"""),270.8)</f>
        <v>270.8</v>
      </c>
      <c r="BK95" s="93" t="str">
        <f>IFERROR(__xludf.DUMMYFUNCTION("""COMPUTED_VALUE"""),"")</f>
        <v/>
      </c>
      <c r="BL95" s="94" t="str">
        <f>IFERROR(__xludf.DUMMYFUNCTION("""COMPUTED_VALUE"""),"")</f>
        <v/>
      </c>
      <c r="BM95" s="93" t="str">
        <f>IFERROR(__xludf.DUMMYFUNCTION("""COMPUTED_VALUE"""),"")</f>
        <v/>
      </c>
      <c r="BN95" s="93" t="str">
        <f>IFERROR(__xludf.DUMMYFUNCTION("""COMPUTED_VALUE"""),"")</f>
        <v/>
      </c>
      <c r="BO95" s="94" t="str">
        <f>IFERROR(__xludf.DUMMYFUNCTION("""COMPUTED_VALUE"""),"")</f>
        <v/>
      </c>
      <c r="BP95" s="93" t="str">
        <f>IFERROR(__xludf.DUMMYFUNCTION("""COMPUTED_VALUE"""),"")</f>
        <v/>
      </c>
      <c r="BQ95" s="93">
        <f>IFERROR(__xludf.DUMMYFUNCTION("""COMPUTED_VALUE"""),69.8)</f>
        <v>69.8</v>
      </c>
      <c r="BR95" s="94" t="str">
        <f>IFERROR(__xludf.DUMMYFUNCTION("""COMPUTED_VALUE"""),"")</f>
        <v/>
      </c>
      <c r="BS95" s="93" t="str">
        <f>IFERROR(__xludf.DUMMYFUNCTION("""COMPUTED_VALUE"""),"")</f>
        <v/>
      </c>
      <c r="BT95" s="93" t="str">
        <f>IFERROR(__xludf.DUMMYFUNCTION("""COMPUTED_VALUE"""),"")</f>
        <v/>
      </c>
      <c r="BU95" s="94">
        <f>IFERROR(__xludf.DUMMYFUNCTION("""COMPUTED_VALUE"""),75.2)</f>
        <v>75.2</v>
      </c>
      <c r="BV95" s="93" t="str">
        <f>IFERROR(__xludf.DUMMYFUNCTION("""COMPUTED_VALUE"""),"")</f>
        <v/>
      </c>
      <c r="BW95" s="93" t="str">
        <f>IFERROR(__xludf.DUMMYFUNCTION("""COMPUTED_VALUE"""),"")</f>
        <v/>
      </c>
      <c r="BX95" s="94" t="str">
        <f>IFERROR(__xludf.DUMMYFUNCTION("""COMPUTED_VALUE"""),"")</f>
        <v/>
      </c>
      <c r="BY95" s="93" t="str">
        <f>IFERROR(__xludf.DUMMYFUNCTION("""COMPUTED_VALUE"""),"")</f>
        <v/>
      </c>
      <c r="BZ95" s="93" t="str">
        <f>IFERROR(__xludf.DUMMYFUNCTION("""COMPUTED_VALUE"""),"")</f>
        <v/>
      </c>
      <c r="CA95" s="94" t="str">
        <f>IFERROR(__xludf.DUMMYFUNCTION("""COMPUTED_VALUE"""),"")</f>
        <v/>
      </c>
      <c r="CB95" s="92" t="str">
        <f>IFERROR(__xludf.DUMMYFUNCTION("""COMPUTED_VALUE"""),"")</f>
        <v/>
      </c>
      <c r="CC95" s="93" t="str">
        <f>IFERROR(__xludf.DUMMYFUNCTION("""COMPUTED_VALUE"""),"")</f>
        <v/>
      </c>
      <c r="CD95" s="94" t="str">
        <f>IFERROR(__xludf.DUMMYFUNCTION("""COMPUTED_VALUE"""),"")</f>
        <v/>
      </c>
      <c r="CE95" s="93" t="str">
        <f>IFERROR(__xludf.DUMMYFUNCTION("""COMPUTED_VALUE"""),"")</f>
        <v/>
      </c>
      <c r="CF95" s="93" t="str">
        <f>IFERROR(__xludf.DUMMYFUNCTION("""COMPUTED_VALUE"""),"")</f>
        <v/>
      </c>
      <c r="CG95" s="94" t="str">
        <f>IFERROR(__xludf.DUMMYFUNCTION("""COMPUTED_VALUE"""),"")</f>
        <v/>
      </c>
      <c r="CH95" s="93" t="str">
        <f>IFERROR(__xludf.DUMMYFUNCTION("""COMPUTED_VALUE"""),"")</f>
        <v/>
      </c>
      <c r="CI95" s="93" t="str">
        <f>IFERROR(__xludf.DUMMYFUNCTION("""COMPUTED_VALUE"""),"")</f>
        <v/>
      </c>
      <c r="CJ95" s="94" t="str">
        <f>IFERROR(__xludf.DUMMYFUNCTION("""COMPUTED_VALUE"""),"")</f>
        <v/>
      </c>
      <c r="CK95" s="93" t="str">
        <f>IFERROR(__xludf.DUMMYFUNCTION("""COMPUTED_VALUE"""),"")</f>
        <v/>
      </c>
      <c r="CL95" s="93" t="str">
        <f>IFERROR(__xludf.DUMMYFUNCTION("""COMPUTED_VALUE"""),"")</f>
        <v/>
      </c>
      <c r="CM95" s="94" t="str">
        <f>IFERROR(__xludf.DUMMYFUNCTION("""COMPUTED_VALUE"""),"")</f>
        <v/>
      </c>
      <c r="CN95" s="93" t="str">
        <f>IFERROR(__xludf.DUMMYFUNCTION("""COMPUTED_VALUE"""),"")</f>
        <v/>
      </c>
      <c r="CO95" s="93" t="str">
        <f>IFERROR(__xludf.DUMMYFUNCTION("""COMPUTED_VALUE"""),"")</f>
        <v/>
      </c>
      <c r="CP95" s="94" t="str">
        <f>IFERROR(__xludf.DUMMYFUNCTION("""COMPUTED_VALUE"""),"")</f>
        <v/>
      </c>
      <c r="CQ95" s="93" t="str">
        <f>IFERROR(__xludf.DUMMYFUNCTION("""COMPUTED_VALUE"""),"")</f>
        <v/>
      </c>
      <c r="CR95" s="93" t="str">
        <f>IFERROR(__xludf.DUMMYFUNCTION("""COMPUTED_VALUE"""),"")</f>
        <v/>
      </c>
      <c r="CS95" s="94"/>
      <c r="CT95" s="93"/>
      <c r="CU95" s="93"/>
      <c r="CV95" s="94"/>
      <c r="CW95" s="93"/>
      <c r="CX95" s="93"/>
      <c r="CY95" s="94"/>
      <c r="CZ95" s="93"/>
      <c r="DA95" s="93"/>
      <c r="DB95" s="94"/>
      <c r="DC95" s="93"/>
      <c r="DD95" s="93"/>
      <c r="DE95" s="94"/>
      <c r="DF95" s="93"/>
      <c r="DG95" s="93"/>
      <c r="DH95" s="94"/>
      <c r="DI95" s="93"/>
      <c r="DJ95" s="93"/>
      <c r="DK95" s="94"/>
      <c r="DL95" s="93"/>
      <c r="DM95" s="93"/>
      <c r="DN95" s="94"/>
      <c r="DO95" s="93"/>
      <c r="DP95" s="93"/>
      <c r="DQ95" s="94"/>
      <c r="DR95" s="93"/>
      <c r="DS95" s="93"/>
      <c r="DT95" s="94"/>
    </row>
    <row r="96">
      <c r="B96" s="120" t="str">
        <f>IFERROR(__xludf.DUMMYFUNCTION("""COMPUTED_VALUE"""),"LDN7")</f>
        <v>LDN7</v>
      </c>
      <c r="C96" s="82">
        <f>IFERROR(__xludf.DUMMYFUNCTION("""COMPUTED_VALUE"""),83.0)</f>
        <v>83</v>
      </c>
      <c r="D96" s="88" t="str">
        <f>IFERROR(__xludf.DUMMYFUNCTION("""COMPUTED_VALUE"""),"Clerkenwell")</f>
        <v>Clerkenwell</v>
      </c>
      <c r="E96" s="82" t="str">
        <f>IFERROR(__xludf.DUMMYFUNCTION("""COMPUTED_VALUE"""),"クラーケンウェル")</f>
        <v>クラーケンウェル</v>
      </c>
      <c r="F96" s="102">
        <f>IFERROR(__xludf.DUMMYFUNCTION("""COMPUTED_VALUE"""),18.0)</f>
        <v>18</v>
      </c>
      <c r="G96" s="82">
        <f>IFERROR(__xludf.DUMMYFUNCTION("""COMPUTED_VALUE"""),4808.0)</f>
        <v>4808</v>
      </c>
      <c r="H96" s="95" t="str">
        <f>IFERROR(__xludf.DUMMYFUNCTION("""COMPUTED_VALUE"""),"")</f>
        <v/>
      </c>
      <c r="I96" s="96" t="str">
        <f>IFERROR(__xludf.DUMMYFUNCTION("""COMPUTED_VALUE"""),"")</f>
        <v/>
      </c>
      <c r="J96" s="97" t="str">
        <f>IFERROR(__xludf.DUMMYFUNCTION("""COMPUTED_VALUE"""),"")</f>
        <v/>
      </c>
      <c r="K96" s="95" t="str">
        <f>IFERROR(__xludf.DUMMYFUNCTION("""COMPUTED_VALUE"""),"")</f>
        <v/>
      </c>
      <c r="L96" s="96" t="str">
        <f>IFERROR(__xludf.DUMMYFUNCTION("""COMPUTED_VALUE"""),"")</f>
        <v/>
      </c>
      <c r="M96" s="97" t="str">
        <f>IFERROR(__xludf.DUMMYFUNCTION("""COMPUTED_VALUE"""),"")</f>
        <v/>
      </c>
      <c r="N96" s="95" t="str">
        <f>IFERROR(__xludf.DUMMYFUNCTION("""COMPUTED_VALUE"""),"")</f>
        <v/>
      </c>
      <c r="O96" s="96" t="str">
        <f>IFERROR(__xludf.DUMMYFUNCTION("""COMPUTED_VALUE"""),"")</f>
        <v/>
      </c>
      <c r="P96" s="97" t="str">
        <f>IFERROR(__xludf.DUMMYFUNCTION("""COMPUTED_VALUE"""),"")</f>
        <v/>
      </c>
      <c r="Q96" s="95" t="str">
        <f>IFERROR(__xludf.DUMMYFUNCTION("""COMPUTED_VALUE"""),"")</f>
        <v/>
      </c>
      <c r="R96" s="96" t="str">
        <f>IFERROR(__xludf.DUMMYFUNCTION("""COMPUTED_VALUE"""),"")</f>
        <v/>
      </c>
      <c r="S96" s="97" t="str">
        <f>IFERROR(__xludf.DUMMYFUNCTION("""COMPUTED_VALUE"""),"")</f>
        <v/>
      </c>
      <c r="T96" s="95" t="str">
        <f>IFERROR(__xludf.DUMMYFUNCTION("""COMPUTED_VALUE"""),"")</f>
        <v/>
      </c>
      <c r="U96" s="96" t="str">
        <f>IFERROR(__xludf.DUMMYFUNCTION("""COMPUTED_VALUE"""),"")</f>
        <v/>
      </c>
      <c r="V96" s="97" t="str">
        <f>IFERROR(__xludf.DUMMYFUNCTION("""COMPUTED_VALUE"""),"")</f>
        <v/>
      </c>
      <c r="W96" s="95" t="str">
        <f>IFERROR(__xludf.DUMMYFUNCTION("""COMPUTED_VALUE"""),"")</f>
        <v/>
      </c>
      <c r="X96" s="96" t="str">
        <f>IFERROR(__xludf.DUMMYFUNCTION("""COMPUTED_VALUE"""),"")</f>
        <v/>
      </c>
      <c r="Y96" s="97" t="str">
        <f>IFERROR(__xludf.DUMMYFUNCTION("""COMPUTED_VALUE"""),"")</f>
        <v/>
      </c>
      <c r="Z96" s="95" t="str">
        <f>IFERROR(__xludf.DUMMYFUNCTION("""COMPUTED_VALUE"""),"")</f>
        <v/>
      </c>
      <c r="AA96" s="96" t="str">
        <f>IFERROR(__xludf.DUMMYFUNCTION("""COMPUTED_VALUE"""),"")</f>
        <v/>
      </c>
      <c r="AB96" s="97" t="str">
        <f>IFERROR(__xludf.DUMMYFUNCTION("""COMPUTED_VALUE"""),"")</f>
        <v/>
      </c>
      <c r="AC96" s="95" t="str">
        <f>IFERROR(__xludf.DUMMYFUNCTION("""COMPUTED_VALUE"""),"")</f>
        <v/>
      </c>
      <c r="AD96" s="96" t="str">
        <f>IFERROR(__xludf.DUMMYFUNCTION("""COMPUTED_VALUE"""),"")</f>
        <v/>
      </c>
      <c r="AE96" s="97">
        <f>IFERROR(__xludf.DUMMYFUNCTION("""COMPUTED_VALUE"""),72.2)</f>
        <v>72.2</v>
      </c>
      <c r="AF96" s="95" t="str">
        <f>IFERROR(__xludf.DUMMYFUNCTION("""COMPUTED_VALUE"""),"")</f>
        <v/>
      </c>
      <c r="AG96" s="96" t="str">
        <f>IFERROR(__xludf.DUMMYFUNCTION("""COMPUTED_VALUE"""),"")</f>
        <v/>
      </c>
      <c r="AH96" s="97" t="str">
        <f>IFERROR(__xludf.DUMMYFUNCTION("""COMPUTED_VALUE"""),"")</f>
        <v/>
      </c>
      <c r="AI96" s="131" t="str">
        <f>IFERROR(__xludf.DUMMYFUNCTION("""COMPUTED_VALUE"""),"")</f>
        <v/>
      </c>
      <c r="AJ96" s="132" t="str">
        <f>IFERROR(__xludf.DUMMYFUNCTION("""COMPUTED_VALUE"""),"")</f>
        <v/>
      </c>
      <c r="AK96" s="133" t="str">
        <f>IFERROR(__xludf.DUMMYFUNCTION("""COMPUTED_VALUE"""),"")</f>
        <v/>
      </c>
      <c r="AL96" s="132" t="str">
        <f>IFERROR(__xludf.DUMMYFUNCTION("""COMPUTED_VALUE"""),"")</f>
        <v/>
      </c>
      <c r="AM96" s="132" t="str">
        <f>IFERROR(__xludf.DUMMYFUNCTION("""COMPUTED_VALUE"""),"")</f>
        <v/>
      </c>
      <c r="AN96" s="133" t="str">
        <f>IFERROR(__xludf.DUMMYFUNCTION("""COMPUTED_VALUE"""),"")</f>
        <v/>
      </c>
      <c r="AO96" s="132" t="str">
        <f>IFERROR(__xludf.DUMMYFUNCTION("""COMPUTED_VALUE"""),"")</f>
        <v/>
      </c>
      <c r="AP96" s="132" t="str">
        <f>IFERROR(__xludf.DUMMYFUNCTION("""COMPUTED_VALUE"""),"")</f>
        <v/>
      </c>
      <c r="AQ96" s="133" t="str">
        <f>IFERROR(__xludf.DUMMYFUNCTION("""COMPUTED_VALUE"""),"")</f>
        <v/>
      </c>
      <c r="AR96" s="132" t="str">
        <f>IFERROR(__xludf.DUMMYFUNCTION("""COMPUTED_VALUE"""),"")</f>
        <v/>
      </c>
      <c r="AS96" s="132" t="str">
        <f>IFERROR(__xludf.DUMMYFUNCTION("""COMPUTED_VALUE"""),"")</f>
        <v/>
      </c>
      <c r="AT96" s="133" t="str">
        <f>IFERROR(__xludf.DUMMYFUNCTION("""COMPUTED_VALUE"""),"")</f>
        <v/>
      </c>
      <c r="AU96" s="132">
        <f>IFERROR(__xludf.DUMMYFUNCTION("""COMPUTED_VALUE"""),51.5)</f>
        <v>51.5</v>
      </c>
      <c r="AV96" s="132" t="str">
        <f>IFERROR(__xludf.DUMMYFUNCTION("""COMPUTED_VALUE"""),"")</f>
        <v/>
      </c>
      <c r="AW96" s="133" t="str">
        <f>IFERROR(__xludf.DUMMYFUNCTION("""COMPUTED_VALUE"""),"")</f>
        <v/>
      </c>
      <c r="AX96" s="132" t="str">
        <f>IFERROR(__xludf.DUMMYFUNCTION("""COMPUTED_VALUE"""),"")</f>
        <v/>
      </c>
      <c r="AY96" s="132" t="str">
        <f>IFERROR(__xludf.DUMMYFUNCTION("""COMPUTED_VALUE"""),"")</f>
        <v/>
      </c>
      <c r="AZ96" s="133" t="str">
        <f>IFERROR(__xludf.DUMMYFUNCTION("""COMPUTED_VALUE"""),"")</f>
        <v/>
      </c>
      <c r="BA96" s="132" t="str">
        <f>IFERROR(__xludf.DUMMYFUNCTION("""COMPUTED_VALUE"""),"")</f>
        <v/>
      </c>
      <c r="BB96" s="132" t="str">
        <f>IFERROR(__xludf.DUMMYFUNCTION("""COMPUTED_VALUE"""),"")</f>
        <v/>
      </c>
      <c r="BC96" s="133" t="str">
        <f>IFERROR(__xludf.DUMMYFUNCTION("""COMPUTED_VALUE"""),"")</f>
        <v/>
      </c>
      <c r="BD96" s="132" t="str">
        <f>IFERROR(__xludf.DUMMYFUNCTION("""COMPUTED_VALUE"""),"")</f>
        <v/>
      </c>
      <c r="BE96" s="132" t="str">
        <f>IFERROR(__xludf.DUMMYFUNCTION("""COMPUTED_VALUE"""),"")</f>
        <v/>
      </c>
      <c r="BF96" s="133" t="str">
        <f>IFERROR(__xludf.DUMMYFUNCTION("""COMPUTED_VALUE"""),"")</f>
        <v/>
      </c>
      <c r="BG96" s="131" t="str">
        <f>IFERROR(__xludf.DUMMYFUNCTION("""COMPUTED_VALUE"""),"")</f>
        <v/>
      </c>
      <c r="BH96" s="132">
        <f>IFERROR(__xludf.DUMMYFUNCTION("""COMPUTED_VALUE"""),603.8)</f>
        <v>603.8</v>
      </c>
      <c r="BI96" s="133" t="str">
        <f>IFERROR(__xludf.DUMMYFUNCTION("""COMPUTED_VALUE"""),"")</f>
        <v/>
      </c>
      <c r="BJ96" s="132" t="str">
        <f>IFERROR(__xludf.DUMMYFUNCTION("""COMPUTED_VALUE"""),"")</f>
        <v/>
      </c>
      <c r="BK96" s="132" t="str">
        <f>IFERROR(__xludf.DUMMYFUNCTION("""COMPUTED_VALUE"""),"")</f>
        <v/>
      </c>
      <c r="BL96" s="133" t="str">
        <f>IFERROR(__xludf.DUMMYFUNCTION("""COMPUTED_VALUE"""),"")</f>
        <v/>
      </c>
      <c r="BM96" s="132" t="str">
        <f>IFERROR(__xludf.DUMMYFUNCTION("""COMPUTED_VALUE"""),"")</f>
        <v/>
      </c>
      <c r="BN96" s="132" t="str">
        <f>IFERROR(__xludf.DUMMYFUNCTION("""COMPUTED_VALUE"""),"")</f>
        <v/>
      </c>
      <c r="BO96" s="133">
        <f>IFERROR(__xludf.DUMMYFUNCTION("""COMPUTED_VALUE"""),118.4)</f>
        <v>118.4</v>
      </c>
      <c r="BP96" s="132" t="str">
        <f>IFERROR(__xludf.DUMMYFUNCTION("""COMPUTED_VALUE"""),"")</f>
        <v/>
      </c>
      <c r="BQ96" s="132">
        <f>IFERROR(__xludf.DUMMYFUNCTION("""COMPUTED_VALUE"""),89.7)</f>
        <v>89.7</v>
      </c>
      <c r="BR96" s="133" t="str">
        <f>IFERROR(__xludf.DUMMYFUNCTION("""COMPUTED_VALUE"""),"")</f>
        <v/>
      </c>
      <c r="BS96" s="132" t="str">
        <f>IFERROR(__xludf.DUMMYFUNCTION("""COMPUTED_VALUE"""),"")</f>
        <v/>
      </c>
      <c r="BT96" s="132" t="str">
        <f>IFERROR(__xludf.DUMMYFUNCTION("""COMPUTED_VALUE"""),"")</f>
        <v/>
      </c>
      <c r="BU96" s="133" t="str">
        <f>IFERROR(__xludf.DUMMYFUNCTION("""COMPUTED_VALUE"""),"")</f>
        <v/>
      </c>
      <c r="BV96" s="132">
        <f>IFERROR(__xludf.DUMMYFUNCTION("""COMPUTED_VALUE"""),242.2)</f>
        <v>242.2</v>
      </c>
      <c r="BW96" s="132" t="str">
        <f>IFERROR(__xludf.DUMMYFUNCTION("""COMPUTED_VALUE"""),"")</f>
        <v/>
      </c>
      <c r="BX96" s="133" t="str">
        <f>IFERROR(__xludf.DUMMYFUNCTION("""COMPUTED_VALUE"""),"")</f>
        <v/>
      </c>
      <c r="BY96" s="132" t="str">
        <f>IFERROR(__xludf.DUMMYFUNCTION("""COMPUTED_VALUE"""),"")</f>
        <v/>
      </c>
      <c r="BZ96" s="132" t="str">
        <f>IFERROR(__xludf.DUMMYFUNCTION("""COMPUTED_VALUE"""),"")</f>
        <v/>
      </c>
      <c r="CA96" s="133" t="str">
        <f>IFERROR(__xludf.DUMMYFUNCTION("""COMPUTED_VALUE"""),"")</f>
        <v/>
      </c>
      <c r="CB96" s="131" t="str">
        <f>IFERROR(__xludf.DUMMYFUNCTION("""COMPUTED_VALUE"""),"")</f>
        <v/>
      </c>
      <c r="CC96" s="132" t="str">
        <f>IFERROR(__xludf.DUMMYFUNCTION("""COMPUTED_VALUE"""),"")</f>
        <v/>
      </c>
      <c r="CD96" s="133" t="str">
        <f>IFERROR(__xludf.DUMMYFUNCTION("""COMPUTED_VALUE"""),"")</f>
        <v/>
      </c>
      <c r="CE96" s="132" t="str">
        <f>IFERROR(__xludf.DUMMYFUNCTION("""COMPUTED_VALUE"""),"")</f>
        <v/>
      </c>
      <c r="CF96" s="132" t="str">
        <f>IFERROR(__xludf.DUMMYFUNCTION("""COMPUTED_VALUE"""),"")</f>
        <v/>
      </c>
      <c r="CG96" s="133" t="str">
        <f>IFERROR(__xludf.DUMMYFUNCTION("""COMPUTED_VALUE"""),"")</f>
        <v/>
      </c>
      <c r="CH96" s="132" t="str">
        <f>IFERROR(__xludf.DUMMYFUNCTION("""COMPUTED_VALUE"""),"")</f>
        <v/>
      </c>
      <c r="CI96" s="132" t="str">
        <f>IFERROR(__xludf.DUMMYFUNCTION("""COMPUTED_VALUE"""),"")</f>
        <v/>
      </c>
      <c r="CJ96" s="133" t="str">
        <f>IFERROR(__xludf.DUMMYFUNCTION("""COMPUTED_VALUE"""),"")</f>
        <v/>
      </c>
      <c r="CK96" s="132" t="str">
        <f>IFERROR(__xludf.DUMMYFUNCTION("""COMPUTED_VALUE"""),"")</f>
        <v/>
      </c>
      <c r="CL96" s="132" t="str">
        <f>IFERROR(__xludf.DUMMYFUNCTION("""COMPUTED_VALUE"""),"")</f>
        <v/>
      </c>
      <c r="CM96" s="133" t="str">
        <f>IFERROR(__xludf.DUMMYFUNCTION("""COMPUTED_VALUE"""),"")</f>
        <v/>
      </c>
      <c r="CN96" s="132" t="str">
        <f>IFERROR(__xludf.DUMMYFUNCTION("""COMPUTED_VALUE"""),"")</f>
        <v/>
      </c>
      <c r="CO96" s="132" t="str">
        <f>IFERROR(__xludf.DUMMYFUNCTION("""COMPUTED_VALUE"""),"")</f>
        <v/>
      </c>
      <c r="CP96" s="133" t="str">
        <f>IFERROR(__xludf.DUMMYFUNCTION("""COMPUTED_VALUE"""),"")</f>
        <v/>
      </c>
      <c r="CQ96" s="132" t="str">
        <f>IFERROR(__xludf.DUMMYFUNCTION("""COMPUTED_VALUE"""),"")</f>
        <v/>
      </c>
      <c r="CR96" s="132" t="str">
        <f>IFERROR(__xludf.DUMMYFUNCTION("""COMPUTED_VALUE"""),"")</f>
        <v/>
      </c>
      <c r="CS96" s="133"/>
      <c r="CT96" s="132"/>
      <c r="CU96" s="132"/>
      <c r="CV96" s="133"/>
      <c r="CW96" s="132"/>
      <c r="CX96" s="132"/>
      <c r="CY96" s="133"/>
      <c r="CZ96" s="132"/>
      <c r="DA96" s="132"/>
      <c r="DB96" s="133"/>
      <c r="DC96" s="132"/>
      <c r="DD96" s="132"/>
      <c r="DE96" s="133"/>
      <c r="DF96" s="132"/>
      <c r="DG96" s="132"/>
      <c r="DH96" s="133"/>
      <c r="DI96" s="132"/>
      <c r="DJ96" s="132"/>
      <c r="DK96" s="133"/>
      <c r="DL96" s="132"/>
      <c r="DM96" s="132"/>
      <c r="DN96" s="133"/>
      <c r="DO96" s="132"/>
      <c r="DP96" s="132"/>
      <c r="DQ96" s="133"/>
      <c r="DR96" s="132"/>
      <c r="DS96" s="132"/>
      <c r="DT96" s="133"/>
    </row>
    <row r="97">
      <c r="B97" s="120" t="str">
        <f>IFERROR(__xludf.DUMMYFUNCTION("""COMPUTED_VALUE"""),"LDN8")</f>
        <v>LDN8</v>
      </c>
      <c r="C97" s="82">
        <f>IFERROR(__xludf.DUMMYFUNCTION("""COMPUTED_VALUE"""),84.0)</f>
        <v>84</v>
      </c>
      <c r="D97" s="88" t="str">
        <f>IFERROR(__xludf.DUMMYFUNCTION("""COMPUTED_VALUE"""),"Southwark")</f>
        <v>Southwark</v>
      </c>
      <c r="E97" s="82" t="str">
        <f>IFERROR(__xludf.DUMMYFUNCTION("""COMPUTED_VALUE"""),"サザーク")</f>
        <v>サザーク</v>
      </c>
      <c r="F97" s="102">
        <f>IFERROR(__xludf.DUMMYFUNCTION("""COMPUTED_VALUE"""),19.0)</f>
        <v>19</v>
      </c>
      <c r="G97" s="82">
        <f>IFERROR(__xludf.DUMMYFUNCTION("""COMPUTED_VALUE"""),9457.0)</f>
        <v>9457</v>
      </c>
      <c r="H97" s="95" t="str">
        <f>IFERROR(__xludf.DUMMYFUNCTION("""COMPUTED_VALUE"""),"")</f>
        <v/>
      </c>
      <c r="I97" s="96" t="str">
        <f>IFERROR(__xludf.DUMMYFUNCTION("""COMPUTED_VALUE"""),"")</f>
        <v/>
      </c>
      <c r="J97" s="97" t="str">
        <f>IFERROR(__xludf.DUMMYFUNCTION("""COMPUTED_VALUE"""),"")</f>
        <v/>
      </c>
      <c r="K97" s="95" t="str">
        <f>IFERROR(__xludf.DUMMYFUNCTION("""COMPUTED_VALUE"""),"")</f>
        <v/>
      </c>
      <c r="L97" s="96" t="str">
        <f>IFERROR(__xludf.DUMMYFUNCTION("""COMPUTED_VALUE"""),"")</f>
        <v/>
      </c>
      <c r="M97" s="97" t="str">
        <f>IFERROR(__xludf.DUMMYFUNCTION("""COMPUTED_VALUE"""),"")</f>
        <v/>
      </c>
      <c r="N97" s="95" t="str">
        <f>IFERROR(__xludf.DUMMYFUNCTION("""COMPUTED_VALUE"""),"")</f>
        <v/>
      </c>
      <c r="O97" s="96" t="str">
        <f>IFERROR(__xludf.DUMMYFUNCTION("""COMPUTED_VALUE"""),"")</f>
        <v/>
      </c>
      <c r="P97" s="97" t="str">
        <f>IFERROR(__xludf.DUMMYFUNCTION("""COMPUTED_VALUE"""),"")</f>
        <v/>
      </c>
      <c r="Q97" s="95" t="str">
        <f>IFERROR(__xludf.DUMMYFUNCTION("""COMPUTED_VALUE"""),"")</f>
        <v/>
      </c>
      <c r="R97" s="96" t="str">
        <f>IFERROR(__xludf.DUMMYFUNCTION("""COMPUTED_VALUE"""),"")</f>
        <v/>
      </c>
      <c r="S97" s="97" t="str">
        <f>IFERROR(__xludf.DUMMYFUNCTION("""COMPUTED_VALUE"""),"")</f>
        <v/>
      </c>
      <c r="T97" s="95" t="str">
        <f>IFERROR(__xludf.DUMMYFUNCTION("""COMPUTED_VALUE"""),"")</f>
        <v/>
      </c>
      <c r="U97" s="96" t="str">
        <f>IFERROR(__xludf.DUMMYFUNCTION("""COMPUTED_VALUE"""),"")</f>
        <v/>
      </c>
      <c r="V97" s="97" t="str">
        <f>IFERROR(__xludf.DUMMYFUNCTION("""COMPUTED_VALUE"""),"")</f>
        <v/>
      </c>
      <c r="W97" s="95" t="str">
        <f>IFERROR(__xludf.DUMMYFUNCTION("""COMPUTED_VALUE"""),"")</f>
        <v/>
      </c>
      <c r="X97" s="96" t="str">
        <f>IFERROR(__xludf.DUMMYFUNCTION("""COMPUTED_VALUE"""),"")</f>
        <v/>
      </c>
      <c r="Y97" s="97" t="str">
        <f>IFERROR(__xludf.DUMMYFUNCTION("""COMPUTED_VALUE"""),"")</f>
        <v/>
      </c>
      <c r="Z97" s="95" t="str">
        <f>IFERROR(__xludf.DUMMYFUNCTION("""COMPUTED_VALUE"""),"")</f>
        <v/>
      </c>
      <c r="AA97" s="96" t="str">
        <f>IFERROR(__xludf.DUMMYFUNCTION("""COMPUTED_VALUE"""),"")</f>
        <v/>
      </c>
      <c r="AB97" s="97" t="str">
        <f>IFERROR(__xludf.DUMMYFUNCTION("""COMPUTED_VALUE"""),"")</f>
        <v/>
      </c>
      <c r="AC97" s="95" t="str">
        <f>IFERROR(__xludf.DUMMYFUNCTION("""COMPUTED_VALUE"""),"")</f>
        <v/>
      </c>
      <c r="AD97" s="96" t="str">
        <f>IFERROR(__xludf.DUMMYFUNCTION("""COMPUTED_VALUE"""),"")</f>
        <v/>
      </c>
      <c r="AE97" s="97" t="str">
        <f>IFERROR(__xludf.DUMMYFUNCTION("""COMPUTED_VALUE"""),"")</f>
        <v/>
      </c>
      <c r="AF97" s="95" t="str">
        <f>IFERROR(__xludf.DUMMYFUNCTION("""COMPUTED_VALUE"""),"")</f>
        <v/>
      </c>
      <c r="AG97" s="96">
        <f>IFERROR(__xludf.DUMMYFUNCTION("""COMPUTED_VALUE"""),62.7)</f>
        <v>62.7</v>
      </c>
      <c r="AH97" s="97" t="str">
        <f>IFERROR(__xludf.DUMMYFUNCTION("""COMPUTED_VALUE"""),"")</f>
        <v/>
      </c>
      <c r="AI97" s="92" t="str">
        <f>IFERROR(__xludf.DUMMYFUNCTION("""COMPUTED_VALUE"""),"")</f>
        <v/>
      </c>
      <c r="AJ97" s="93" t="str">
        <f>IFERROR(__xludf.DUMMYFUNCTION("""COMPUTED_VALUE"""),"")</f>
        <v/>
      </c>
      <c r="AK97" s="94" t="str">
        <f>IFERROR(__xludf.DUMMYFUNCTION("""COMPUTED_VALUE"""),"")</f>
        <v/>
      </c>
      <c r="AL97" s="93" t="str">
        <f>IFERROR(__xludf.DUMMYFUNCTION("""COMPUTED_VALUE"""),"")</f>
        <v/>
      </c>
      <c r="AM97" s="93" t="str">
        <f>IFERROR(__xludf.DUMMYFUNCTION("""COMPUTED_VALUE"""),"")</f>
        <v/>
      </c>
      <c r="AN97" s="94" t="str">
        <f>IFERROR(__xludf.DUMMYFUNCTION("""COMPUTED_VALUE"""),"")</f>
        <v/>
      </c>
      <c r="AO97" s="93" t="str">
        <f>IFERROR(__xludf.DUMMYFUNCTION("""COMPUTED_VALUE"""),"")</f>
        <v/>
      </c>
      <c r="AP97" s="93" t="str">
        <f>IFERROR(__xludf.DUMMYFUNCTION("""COMPUTED_VALUE"""),"")</f>
        <v/>
      </c>
      <c r="AQ97" s="94" t="str">
        <f>IFERROR(__xludf.DUMMYFUNCTION("""COMPUTED_VALUE"""),"")</f>
        <v/>
      </c>
      <c r="AR97" s="93" t="str">
        <f>IFERROR(__xludf.DUMMYFUNCTION("""COMPUTED_VALUE"""),"")</f>
        <v/>
      </c>
      <c r="AS97" s="93" t="str">
        <f>IFERROR(__xludf.DUMMYFUNCTION("""COMPUTED_VALUE"""),"")</f>
        <v/>
      </c>
      <c r="AT97" s="94" t="str">
        <f>IFERROR(__xludf.DUMMYFUNCTION("""COMPUTED_VALUE"""),"")</f>
        <v/>
      </c>
      <c r="AU97" s="93">
        <f>IFERROR(__xludf.DUMMYFUNCTION("""COMPUTED_VALUE"""),68.6)</f>
        <v>68.6</v>
      </c>
      <c r="AV97" s="93" t="str">
        <f>IFERROR(__xludf.DUMMYFUNCTION("""COMPUTED_VALUE"""),"")</f>
        <v/>
      </c>
      <c r="AW97" s="94" t="str">
        <f>IFERROR(__xludf.DUMMYFUNCTION("""COMPUTED_VALUE"""),"")</f>
        <v/>
      </c>
      <c r="AX97" s="93" t="str">
        <f>IFERROR(__xludf.DUMMYFUNCTION("""COMPUTED_VALUE"""),"")</f>
        <v/>
      </c>
      <c r="AY97" s="93" t="str">
        <f>IFERROR(__xludf.DUMMYFUNCTION("""COMPUTED_VALUE"""),"")</f>
        <v/>
      </c>
      <c r="AZ97" s="94" t="str">
        <f>IFERROR(__xludf.DUMMYFUNCTION("""COMPUTED_VALUE"""),"")</f>
        <v/>
      </c>
      <c r="BA97" s="93" t="str">
        <f>IFERROR(__xludf.DUMMYFUNCTION("""COMPUTED_VALUE"""),"")</f>
        <v/>
      </c>
      <c r="BB97" s="93" t="str">
        <f>IFERROR(__xludf.DUMMYFUNCTION("""COMPUTED_VALUE"""),"")</f>
        <v/>
      </c>
      <c r="BC97" s="94" t="str">
        <f>IFERROR(__xludf.DUMMYFUNCTION("""COMPUTED_VALUE"""),"")</f>
        <v/>
      </c>
      <c r="BD97" s="93" t="str">
        <f>IFERROR(__xludf.DUMMYFUNCTION("""COMPUTED_VALUE"""),"")</f>
        <v/>
      </c>
      <c r="BE97" s="93" t="str">
        <f>IFERROR(__xludf.DUMMYFUNCTION("""COMPUTED_VALUE"""),"")</f>
        <v/>
      </c>
      <c r="BF97" s="94" t="str">
        <f>IFERROR(__xludf.DUMMYFUNCTION("""COMPUTED_VALUE"""),"")</f>
        <v/>
      </c>
      <c r="BG97" s="92" t="str">
        <f>IFERROR(__xludf.DUMMYFUNCTION("""COMPUTED_VALUE"""),"")</f>
        <v/>
      </c>
      <c r="BH97" s="93" t="str">
        <f>IFERROR(__xludf.DUMMYFUNCTION("""COMPUTED_VALUE"""),"")</f>
        <v/>
      </c>
      <c r="BI97" s="94" t="str">
        <f>IFERROR(__xludf.DUMMYFUNCTION("""COMPUTED_VALUE"""),"")</f>
        <v/>
      </c>
      <c r="BJ97" s="93" t="str">
        <f>IFERROR(__xludf.DUMMYFUNCTION("""COMPUTED_VALUE"""),"")</f>
        <v/>
      </c>
      <c r="BK97" s="93" t="str">
        <f>IFERROR(__xludf.DUMMYFUNCTION("""COMPUTED_VALUE"""),"")</f>
        <v/>
      </c>
      <c r="BL97" s="94">
        <f>IFERROR(__xludf.DUMMYFUNCTION("""COMPUTED_VALUE"""),193.6)</f>
        <v>193.6</v>
      </c>
      <c r="BM97" s="93" t="str">
        <f>IFERROR(__xludf.DUMMYFUNCTION("""COMPUTED_VALUE"""),"")</f>
        <v/>
      </c>
      <c r="BN97" s="93" t="str">
        <f>IFERROR(__xludf.DUMMYFUNCTION("""COMPUTED_VALUE"""),"")</f>
        <v/>
      </c>
      <c r="BO97" s="94" t="str">
        <f>IFERROR(__xludf.DUMMYFUNCTION("""COMPUTED_VALUE"""),"")</f>
        <v/>
      </c>
      <c r="BP97" s="93" t="str">
        <f>IFERROR(__xludf.DUMMYFUNCTION("""COMPUTED_VALUE"""),"")</f>
        <v/>
      </c>
      <c r="BQ97" s="93" t="str">
        <f>IFERROR(__xludf.DUMMYFUNCTION("""COMPUTED_VALUE"""),"")</f>
        <v/>
      </c>
      <c r="BR97" s="94">
        <f>IFERROR(__xludf.DUMMYFUNCTION("""COMPUTED_VALUE"""),129.4)</f>
        <v>129.4</v>
      </c>
      <c r="BS97" s="93">
        <f>IFERROR(__xludf.DUMMYFUNCTION("""COMPUTED_VALUE"""),58.4)</f>
        <v>58.4</v>
      </c>
      <c r="BT97" s="93" t="str">
        <f>IFERROR(__xludf.DUMMYFUNCTION("""COMPUTED_VALUE"""),"")</f>
        <v/>
      </c>
      <c r="BU97" s="94" t="str">
        <f>IFERROR(__xludf.DUMMYFUNCTION("""COMPUTED_VALUE"""),"")</f>
        <v/>
      </c>
      <c r="BV97" s="93" t="str">
        <f>IFERROR(__xludf.DUMMYFUNCTION("""COMPUTED_VALUE"""),"")</f>
        <v/>
      </c>
      <c r="BW97" s="93" t="str">
        <f>IFERROR(__xludf.DUMMYFUNCTION("""COMPUTED_VALUE"""),"")</f>
        <v/>
      </c>
      <c r="BX97" s="94" t="str">
        <f>IFERROR(__xludf.DUMMYFUNCTION("""COMPUTED_VALUE"""),"")</f>
        <v/>
      </c>
      <c r="BY97" s="93" t="str">
        <f>IFERROR(__xludf.DUMMYFUNCTION("""COMPUTED_VALUE"""),"")</f>
        <v/>
      </c>
      <c r="BZ97" s="93" t="str">
        <f>IFERROR(__xludf.DUMMYFUNCTION("""COMPUTED_VALUE"""),"")</f>
        <v/>
      </c>
      <c r="CA97" s="94" t="str">
        <f>IFERROR(__xludf.DUMMYFUNCTION("""COMPUTED_VALUE"""),"")</f>
        <v/>
      </c>
      <c r="CB97" s="92" t="str">
        <f>IFERROR(__xludf.DUMMYFUNCTION("""COMPUTED_VALUE"""),"")</f>
        <v/>
      </c>
      <c r="CC97" s="93" t="str">
        <f>IFERROR(__xludf.DUMMYFUNCTION("""COMPUTED_VALUE"""),"")</f>
        <v/>
      </c>
      <c r="CD97" s="94" t="str">
        <f>IFERROR(__xludf.DUMMYFUNCTION("""COMPUTED_VALUE"""),"")</f>
        <v/>
      </c>
      <c r="CE97" s="93" t="str">
        <f>IFERROR(__xludf.DUMMYFUNCTION("""COMPUTED_VALUE"""),"")</f>
        <v/>
      </c>
      <c r="CF97" s="93" t="str">
        <f>IFERROR(__xludf.DUMMYFUNCTION("""COMPUTED_VALUE"""),"")</f>
        <v/>
      </c>
      <c r="CG97" s="94" t="str">
        <f>IFERROR(__xludf.DUMMYFUNCTION("""COMPUTED_VALUE"""),"")</f>
        <v/>
      </c>
      <c r="CH97" s="93" t="str">
        <f>IFERROR(__xludf.DUMMYFUNCTION("""COMPUTED_VALUE"""),"")</f>
        <v/>
      </c>
      <c r="CI97" s="93" t="str">
        <f>IFERROR(__xludf.DUMMYFUNCTION("""COMPUTED_VALUE"""),"")</f>
        <v/>
      </c>
      <c r="CJ97" s="94" t="str">
        <f>IFERROR(__xludf.DUMMYFUNCTION("""COMPUTED_VALUE"""),"")</f>
        <v/>
      </c>
      <c r="CK97" s="93" t="str">
        <f>IFERROR(__xludf.DUMMYFUNCTION("""COMPUTED_VALUE"""),"")</f>
        <v/>
      </c>
      <c r="CL97" s="93" t="str">
        <f>IFERROR(__xludf.DUMMYFUNCTION("""COMPUTED_VALUE"""),"")</f>
        <v/>
      </c>
      <c r="CM97" s="94" t="str">
        <f>IFERROR(__xludf.DUMMYFUNCTION("""COMPUTED_VALUE"""),"")</f>
        <v/>
      </c>
      <c r="CN97" s="93" t="str">
        <f>IFERROR(__xludf.DUMMYFUNCTION("""COMPUTED_VALUE"""),"")</f>
        <v/>
      </c>
      <c r="CO97" s="93" t="str">
        <f>IFERROR(__xludf.DUMMYFUNCTION("""COMPUTED_VALUE"""),"")</f>
        <v/>
      </c>
      <c r="CP97" s="94" t="str">
        <f>IFERROR(__xludf.DUMMYFUNCTION("""COMPUTED_VALUE"""),"")</f>
        <v/>
      </c>
      <c r="CQ97" s="93" t="str">
        <f>IFERROR(__xludf.DUMMYFUNCTION("""COMPUTED_VALUE"""),"")</f>
        <v/>
      </c>
      <c r="CR97" s="93" t="str">
        <f>IFERROR(__xludf.DUMMYFUNCTION("""COMPUTED_VALUE"""),"")</f>
        <v/>
      </c>
      <c r="CS97" s="94"/>
      <c r="CT97" s="93"/>
      <c r="CU97" s="93"/>
      <c r="CV97" s="94"/>
      <c r="CW97" s="93"/>
      <c r="CX97" s="93"/>
      <c r="CY97" s="94"/>
      <c r="CZ97" s="93"/>
      <c r="DA97" s="93"/>
      <c r="DB97" s="94"/>
      <c r="DC97" s="93"/>
      <c r="DD97" s="93"/>
      <c r="DE97" s="94"/>
      <c r="DF97" s="93"/>
      <c r="DG97" s="93"/>
      <c r="DH97" s="94"/>
      <c r="DI97" s="93"/>
      <c r="DJ97" s="93"/>
      <c r="DK97" s="94"/>
      <c r="DL97" s="93"/>
      <c r="DM97" s="93"/>
      <c r="DN97" s="94"/>
      <c r="DO97" s="93"/>
      <c r="DP97" s="93"/>
      <c r="DQ97" s="94"/>
      <c r="DR97" s="93"/>
      <c r="DS97" s="93"/>
      <c r="DT97" s="94"/>
    </row>
    <row r="98">
      <c r="B98" s="120" t="str">
        <f>IFERROR(__xludf.DUMMYFUNCTION("""COMPUTED_VALUE"""),"LDN9")</f>
        <v>LDN9</v>
      </c>
      <c r="C98" s="82">
        <f>IFERROR(__xludf.DUMMYFUNCTION("""COMPUTED_VALUE"""),85.0)</f>
        <v>85</v>
      </c>
      <c r="D98" s="88" t="str">
        <f>IFERROR(__xludf.DUMMYFUNCTION("""COMPUTED_VALUE"""),"Hyde Park")</f>
        <v>Hyde Park</v>
      </c>
      <c r="E98" s="82" t="str">
        <f>IFERROR(__xludf.DUMMYFUNCTION("""COMPUTED_VALUE"""),"ハイドパーク")</f>
        <v>ハイドパーク</v>
      </c>
      <c r="F98" s="102">
        <f>IFERROR(__xludf.DUMMYFUNCTION("""COMPUTED_VALUE"""),20.0)</f>
        <v>20</v>
      </c>
      <c r="G98" s="82">
        <f>IFERROR(__xludf.DUMMYFUNCTION("""COMPUTED_VALUE"""),16230.0)</f>
        <v>16230</v>
      </c>
      <c r="H98" s="95" t="str">
        <f>IFERROR(__xludf.DUMMYFUNCTION("""COMPUTED_VALUE"""),"")</f>
        <v/>
      </c>
      <c r="I98" s="96" t="str">
        <f>IFERROR(__xludf.DUMMYFUNCTION("""COMPUTED_VALUE"""),"")</f>
        <v/>
      </c>
      <c r="J98" s="97" t="str">
        <f>IFERROR(__xludf.DUMMYFUNCTION("""COMPUTED_VALUE"""),"")</f>
        <v/>
      </c>
      <c r="K98" s="95" t="str">
        <f>IFERROR(__xludf.DUMMYFUNCTION("""COMPUTED_VALUE"""),"")</f>
        <v/>
      </c>
      <c r="L98" s="96" t="str">
        <f>IFERROR(__xludf.DUMMYFUNCTION("""COMPUTED_VALUE"""),"")</f>
        <v/>
      </c>
      <c r="M98" s="97" t="str">
        <f>IFERROR(__xludf.DUMMYFUNCTION("""COMPUTED_VALUE"""),"")</f>
        <v/>
      </c>
      <c r="N98" s="95" t="str">
        <f>IFERROR(__xludf.DUMMYFUNCTION("""COMPUTED_VALUE"""),"")</f>
        <v/>
      </c>
      <c r="O98" s="96" t="str">
        <f>IFERROR(__xludf.DUMMYFUNCTION("""COMPUTED_VALUE"""),"")</f>
        <v/>
      </c>
      <c r="P98" s="97" t="str">
        <f>IFERROR(__xludf.DUMMYFUNCTION("""COMPUTED_VALUE"""),"")</f>
        <v/>
      </c>
      <c r="Q98" s="95" t="str">
        <f>IFERROR(__xludf.DUMMYFUNCTION("""COMPUTED_VALUE"""),"")</f>
        <v/>
      </c>
      <c r="R98" s="96" t="str">
        <f>IFERROR(__xludf.DUMMYFUNCTION("""COMPUTED_VALUE"""),"")</f>
        <v/>
      </c>
      <c r="S98" s="97" t="str">
        <f>IFERROR(__xludf.DUMMYFUNCTION("""COMPUTED_VALUE"""),"")</f>
        <v/>
      </c>
      <c r="T98" s="95" t="str">
        <f>IFERROR(__xludf.DUMMYFUNCTION("""COMPUTED_VALUE"""),"")</f>
        <v/>
      </c>
      <c r="U98" s="96" t="str">
        <f>IFERROR(__xludf.DUMMYFUNCTION("""COMPUTED_VALUE"""),"")</f>
        <v/>
      </c>
      <c r="V98" s="97" t="str">
        <f>IFERROR(__xludf.DUMMYFUNCTION("""COMPUTED_VALUE"""),"")</f>
        <v/>
      </c>
      <c r="W98" s="95" t="str">
        <f>IFERROR(__xludf.DUMMYFUNCTION("""COMPUTED_VALUE"""),"")</f>
        <v/>
      </c>
      <c r="X98" s="96" t="str">
        <f>IFERROR(__xludf.DUMMYFUNCTION("""COMPUTED_VALUE"""),"")</f>
        <v/>
      </c>
      <c r="Y98" s="97" t="str">
        <f>IFERROR(__xludf.DUMMYFUNCTION("""COMPUTED_VALUE"""),"")</f>
        <v/>
      </c>
      <c r="Z98" s="95" t="str">
        <f>IFERROR(__xludf.DUMMYFUNCTION("""COMPUTED_VALUE"""),"")</f>
        <v/>
      </c>
      <c r="AA98" s="96" t="str">
        <f>IFERROR(__xludf.DUMMYFUNCTION("""COMPUTED_VALUE"""),"")</f>
        <v/>
      </c>
      <c r="AB98" s="97" t="str">
        <f>IFERROR(__xludf.DUMMYFUNCTION("""COMPUTED_VALUE"""),"")</f>
        <v/>
      </c>
      <c r="AC98" s="95" t="str">
        <f>IFERROR(__xludf.DUMMYFUNCTION("""COMPUTED_VALUE"""),"")</f>
        <v/>
      </c>
      <c r="AD98" s="96" t="str">
        <f>IFERROR(__xludf.DUMMYFUNCTION("""COMPUTED_VALUE"""),"")</f>
        <v/>
      </c>
      <c r="AE98" s="97" t="str">
        <f>IFERROR(__xludf.DUMMYFUNCTION("""COMPUTED_VALUE"""),"")</f>
        <v/>
      </c>
      <c r="AF98" s="95">
        <f>IFERROR(__xludf.DUMMYFUNCTION("""COMPUTED_VALUE"""),73.9)</f>
        <v>73.9</v>
      </c>
      <c r="AG98" s="96" t="str">
        <f>IFERROR(__xludf.DUMMYFUNCTION("""COMPUTED_VALUE"""),"")</f>
        <v/>
      </c>
      <c r="AH98" s="97" t="str">
        <f>IFERROR(__xludf.DUMMYFUNCTION("""COMPUTED_VALUE"""),"")</f>
        <v/>
      </c>
      <c r="AI98" s="131" t="str">
        <f>IFERROR(__xludf.DUMMYFUNCTION("""COMPUTED_VALUE"""),"")</f>
        <v/>
      </c>
      <c r="AJ98" s="132" t="str">
        <f>IFERROR(__xludf.DUMMYFUNCTION("""COMPUTED_VALUE"""),"")</f>
        <v/>
      </c>
      <c r="AK98" s="133" t="str">
        <f>IFERROR(__xludf.DUMMYFUNCTION("""COMPUTED_VALUE"""),"")</f>
        <v/>
      </c>
      <c r="AL98" s="132" t="str">
        <f>IFERROR(__xludf.DUMMYFUNCTION("""COMPUTED_VALUE"""),"")</f>
        <v/>
      </c>
      <c r="AM98" s="132" t="str">
        <f>IFERROR(__xludf.DUMMYFUNCTION("""COMPUTED_VALUE"""),"")</f>
        <v/>
      </c>
      <c r="AN98" s="133" t="str">
        <f>IFERROR(__xludf.DUMMYFUNCTION("""COMPUTED_VALUE"""),"")</f>
        <v/>
      </c>
      <c r="AO98" s="132" t="str">
        <f>IFERROR(__xludf.DUMMYFUNCTION("""COMPUTED_VALUE"""),"")</f>
        <v/>
      </c>
      <c r="AP98" s="132" t="str">
        <f>IFERROR(__xludf.DUMMYFUNCTION("""COMPUTED_VALUE"""),"")</f>
        <v/>
      </c>
      <c r="AQ98" s="133" t="str">
        <f>IFERROR(__xludf.DUMMYFUNCTION("""COMPUTED_VALUE"""),"")</f>
        <v/>
      </c>
      <c r="AR98" s="132" t="str">
        <f>IFERROR(__xludf.DUMMYFUNCTION("""COMPUTED_VALUE"""),"")</f>
        <v/>
      </c>
      <c r="AS98" s="132" t="str">
        <f>IFERROR(__xludf.DUMMYFUNCTION("""COMPUTED_VALUE"""),"")</f>
        <v/>
      </c>
      <c r="AT98" s="133" t="str">
        <f>IFERROR(__xludf.DUMMYFUNCTION("""COMPUTED_VALUE"""),"")</f>
        <v/>
      </c>
      <c r="AU98" s="132">
        <f>IFERROR(__xludf.DUMMYFUNCTION("""COMPUTED_VALUE"""),54.3)</f>
        <v>54.3</v>
      </c>
      <c r="AV98" s="132" t="str">
        <f>IFERROR(__xludf.DUMMYFUNCTION("""COMPUTED_VALUE"""),"")</f>
        <v/>
      </c>
      <c r="AW98" s="133" t="str">
        <f>IFERROR(__xludf.DUMMYFUNCTION("""COMPUTED_VALUE"""),"")</f>
        <v/>
      </c>
      <c r="AX98" s="132" t="str">
        <f>IFERROR(__xludf.DUMMYFUNCTION("""COMPUTED_VALUE"""),"")</f>
        <v/>
      </c>
      <c r="AY98" s="132" t="str">
        <f>IFERROR(__xludf.DUMMYFUNCTION("""COMPUTED_VALUE"""),"")</f>
        <v/>
      </c>
      <c r="AZ98" s="133" t="str">
        <f>IFERROR(__xludf.DUMMYFUNCTION("""COMPUTED_VALUE"""),"")</f>
        <v/>
      </c>
      <c r="BA98" s="132" t="str">
        <f>IFERROR(__xludf.DUMMYFUNCTION("""COMPUTED_VALUE"""),"")</f>
        <v/>
      </c>
      <c r="BB98" s="132" t="str">
        <f>IFERROR(__xludf.DUMMYFUNCTION("""COMPUTED_VALUE"""),"")</f>
        <v/>
      </c>
      <c r="BC98" s="133" t="str">
        <f>IFERROR(__xludf.DUMMYFUNCTION("""COMPUTED_VALUE"""),"")</f>
        <v/>
      </c>
      <c r="BD98" s="132" t="str">
        <f>IFERROR(__xludf.DUMMYFUNCTION("""COMPUTED_VALUE"""),"")</f>
        <v/>
      </c>
      <c r="BE98" s="132" t="str">
        <f>IFERROR(__xludf.DUMMYFUNCTION("""COMPUTED_VALUE"""),"")</f>
        <v/>
      </c>
      <c r="BF98" s="134" t="str">
        <f>IFERROR(__xludf.DUMMYFUNCTION("""COMPUTED_VALUE"""),"")</f>
        <v/>
      </c>
      <c r="BG98" s="131">
        <f>IFERROR(__xludf.DUMMYFUNCTION("""COMPUTED_VALUE"""),638.6)</f>
        <v>638.6</v>
      </c>
      <c r="BH98" s="132" t="str">
        <f>IFERROR(__xludf.DUMMYFUNCTION("""COMPUTED_VALUE"""),"")</f>
        <v/>
      </c>
      <c r="BI98" s="133" t="str">
        <f>IFERROR(__xludf.DUMMYFUNCTION("""COMPUTED_VALUE"""),"")</f>
        <v/>
      </c>
      <c r="BJ98" s="132" t="str">
        <f>IFERROR(__xludf.DUMMYFUNCTION("""COMPUTED_VALUE"""),"")</f>
        <v/>
      </c>
      <c r="BK98" s="132" t="str">
        <f>IFERROR(__xludf.DUMMYFUNCTION("""COMPUTED_VALUE"""),"")</f>
        <v/>
      </c>
      <c r="BL98" s="133" t="str">
        <f>IFERROR(__xludf.DUMMYFUNCTION("""COMPUTED_VALUE"""),"")</f>
        <v/>
      </c>
      <c r="BM98" s="132" t="str">
        <f>IFERROR(__xludf.DUMMYFUNCTION("""COMPUTED_VALUE"""),"")</f>
        <v/>
      </c>
      <c r="BN98" s="132">
        <f>IFERROR(__xludf.DUMMYFUNCTION("""COMPUTED_VALUE"""),130.5)</f>
        <v>130.5</v>
      </c>
      <c r="BO98" s="133" t="str">
        <f>IFERROR(__xludf.DUMMYFUNCTION("""COMPUTED_VALUE"""),"")</f>
        <v/>
      </c>
      <c r="BP98" s="132" t="str">
        <f>IFERROR(__xludf.DUMMYFUNCTION("""COMPUTED_VALUE"""),"")</f>
        <v/>
      </c>
      <c r="BQ98" s="132" t="str">
        <f>IFERROR(__xludf.DUMMYFUNCTION("""COMPUTED_VALUE"""),"")</f>
        <v/>
      </c>
      <c r="BR98" s="133" t="str">
        <f>IFERROR(__xludf.DUMMYFUNCTION("""COMPUTED_VALUE"""),"")</f>
        <v/>
      </c>
      <c r="BS98" s="132">
        <f>IFERROR(__xludf.DUMMYFUNCTION("""COMPUTED_VALUE"""),104.3)</f>
        <v>104.3</v>
      </c>
      <c r="BT98" s="132" t="str">
        <f>IFERROR(__xludf.DUMMYFUNCTION("""COMPUTED_VALUE"""),"")</f>
        <v/>
      </c>
      <c r="BU98" s="133">
        <f>IFERROR(__xludf.DUMMYFUNCTION("""COMPUTED_VALUE"""),234.7)</f>
        <v>234.7</v>
      </c>
      <c r="BV98" s="132" t="str">
        <f>IFERROR(__xludf.DUMMYFUNCTION("""COMPUTED_VALUE"""),"")</f>
        <v/>
      </c>
      <c r="BW98" s="132" t="str">
        <f>IFERROR(__xludf.DUMMYFUNCTION("""COMPUTED_VALUE"""),"")</f>
        <v/>
      </c>
      <c r="BX98" s="133" t="str">
        <f>IFERROR(__xludf.DUMMYFUNCTION("""COMPUTED_VALUE"""),"")</f>
        <v/>
      </c>
      <c r="BY98" s="132" t="str">
        <f>IFERROR(__xludf.DUMMYFUNCTION("""COMPUTED_VALUE"""),"")</f>
        <v/>
      </c>
      <c r="BZ98" s="132" t="str">
        <f>IFERROR(__xludf.DUMMYFUNCTION("""COMPUTED_VALUE"""),"")</f>
        <v/>
      </c>
      <c r="CA98" s="133" t="str">
        <f>IFERROR(__xludf.DUMMYFUNCTION("""COMPUTED_VALUE"""),"")</f>
        <v/>
      </c>
      <c r="CB98" s="131" t="str">
        <f>IFERROR(__xludf.DUMMYFUNCTION("""COMPUTED_VALUE"""),"")</f>
        <v/>
      </c>
      <c r="CC98" s="132" t="str">
        <f>IFERROR(__xludf.DUMMYFUNCTION("""COMPUTED_VALUE"""),"")</f>
        <v/>
      </c>
      <c r="CD98" s="133" t="str">
        <f>IFERROR(__xludf.DUMMYFUNCTION("""COMPUTED_VALUE"""),"")</f>
        <v/>
      </c>
      <c r="CE98" s="132" t="str">
        <f>IFERROR(__xludf.DUMMYFUNCTION("""COMPUTED_VALUE"""),"")</f>
        <v/>
      </c>
      <c r="CF98" s="132" t="str">
        <f>IFERROR(__xludf.DUMMYFUNCTION("""COMPUTED_VALUE"""),"")</f>
        <v/>
      </c>
      <c r="CG98" s="133" t="str">
        <f>IFERROR(__xludf.DUMMYFUNCTION("""COMPUTED_VALUE"""),"")</f>
        <v/>
      </c>
      <c r="CH98" s="132" t="str">
        <f>IFERROR(__xludf.DUMMYFUNCTION("""COMPUTED_VALUE"""),"")</f>
        <v/>
      </c>
      <c r="CI98" s="132" t="str">
        <f>IFERROR(__xludf.DUMMYFUNCTION("""COMPUTED_VALUE"""),"")</f>
        <v/>
      </c>
      <c r="CJ98" s="133" t="str">
        <f>IFERROR(__xludf.DUMMYFUNCTION("""COMPUTED_VALUE"""),"")</f>
        <v/>
      </c>
      <c r="CK98" s="132" t="str">
        <f>IFERROR(__xludf.DUMMYFUNCTION("""COMPUTED_VALUE"""),"")</f>
        <v/>
      </c>
      <c r="CL98" s="132" t="str">
        <f>IFERROR(__xludf.DUMMYFUNCTION("""COMPUTED_VALUE"""),"")</f>
        <v/>
      </c>
      <c r="CM98" s="133" t="str">
        <f>IFERROR(__xludf.DUMMYFUNCTION("""COMPUTED_VALUE"""),"")</f>
        <v/>
      </c>
      <c r="CN98" s="132" t="str">
        <f>IFERROR(__xludf.DUMMYFUNCTION("""COMPUTED_VALUE"""),"")</f>
        <v/>
      </c>
      <c r="CO98" s="132" t="str">
        <f>IFERROR(__xludf.DUMMYFUNCTION("""COMPUTED_VALUE"""),"")</f>
        <v/>
      </c>
      <c r="CP98" s="133" t="str">
        <f>IFERROR(__xludf.DUMMYFUNCTION("""COMPUTED_VALUE"""),"")</f>
        <v/>
      </c>
      <c r="CQ98" s="132" t="str">
        <f>IFERROR(__xludf.DUMMYFUNCTION("""COMPUTED_VALUE"""),"")</f>
        <v/>
      </c>
      <c r="CR98" s="132" t="str">
        <f>IFERROR(__xludf.DUMMYFUNCTION("""COMPUTED_VALUE"""),"")</f>
        <v/>
      </c>
      <c r="CS98" s="133"/>
      <c r="CT98" s="132"/>
      <c r="CU98" s="132"/>
      <c r="CV98" s="133"/>
      <c r="CW98" s="132"/>
      <c r="CX98" s="132"/>
      <c r="CY98" s="133"/>
      <c r="CZ98" s="132"/>
      <c r="DA98" s="132"/>
      <c r="DB98" s="133"/>
      <c r="DC98" s="132"/>
      <c r="DD98" s="132"/>
      <c r="DE98" s="133"/>
      <c r="DF98" s="132"/>
      <c r="DG98" s="132"/>
      <c r="DH98" s="133"/>
      <c r="DI98" s="132"/>
      <c r="DJ98" s="132"/>
      <c r="DK98" s="133"/>
      <c r="DL98" s="132"/>
      <c r="DM98" s="132"/>
      <c r="DN98" s="133"/>
      <c r="DO98" s="132"/>
      <c r="DP98" s="132"/>
      <c r="DQ98" s="133"/>
      <c r="DR98" s="132"/>
      <c r="DS98" s="132"/>
      <c r="DT98" s="133"/>
    </row>
    <row r="99">
      <c r="A99" s="135" t="str">
        <f>IFERROR(__xludf.DUMMYFUNCTION("""COMPUTED_VALUE"""),"E PLURIBUS UNUM")</f>
        <v>E PLURIBUS UNUM</v>
      </c>
      <c r="B99" s="120" t="str">
        <f>IFERROR(__xludf.DUMMYFUNCTION("""COMPUTED_VALUE"""),"EPU1")</f>
        <v>EPU1</v>
      </c>
      <c r="C99" s="82">
        <f>IFERROR(__xludf.DUMMYFUNCTION("""COMPUTED_VALUE"""),86.0)</f>
        <v>86</v>
      </c>
      <c r="D99" s="88" t="str">
        <f>IFERROR(__xludf.DUMMYFUNCTION("""COMPUTED_VALUE"""),"Black Hills")</f>
        <v>Black Hills</v>
      </c>
      <c r="E99" s="82" t="str">
        <f>IFERROR(__xludf.DUMMYFUNCTION("""COMPUTED_VALUE"""),"ブラックヒルズ")</f>
        <v>ブラックヒルズ</v>
      </c>
      <c r="F99" s="102">
        <f>IFERROR(__xludf.DUMMYFUNCTION("""COMPUTED_VALUE"""),17.0)</f>
        <v>17</v>
      </c>
      <c r="G99" s="82">
        <f>IFERROR(__xludf.DUMMYFUNCTION("""COMPUTED_VALUE"""),1100.0)</f>
        <v>1100</v>
      </c>
      <c r="H99" s="95" t="str">
        <f>IFERROR(__xludf.DUMMYFUNCTION("""COMPUTED_VALUE"""),"")</f>
        <v/>
      </c>
      <c r="I99" s="96" t="str">
        <f>IFERROR(__xludf.DUMMYFUNCTION("""COMPUTED_VALUE"""),"")</f>
        <v/>
      </c>
      <c r="J99" s="97" t="str">
        <f>IFERROR(__xludf.DUMMYFUNCTION("""COMPUTED_VALUE"""),"")</f>
        <v/>
      </c>
      <c r="K99" s="95" t="str">
        <f>IFERROR(__xludf.DUMMYFUNCTION("""COMPUTED_VALUE"""),"")</f>
        <v/>
      </c>
      <c r="L99" s="96" t="str">
        <f>IFERROR(__xludf.DUMMYFUNCTION("""COMPUTED_VALUE"""),"")</f>
        <v/>
      </c>
      <c r="M99" s="97" t="str">
        <f>IFERROR(__xludf.DUMMYFUNCTION("""COMPUTED_VALUE"""),"")</f>
        <v/>
      </c>
      <c r="N99" s="95" t="str">
        <f>IFERROR(__xludf.DUMMYFUNCTION("""COMPUTED_VALUE"""),"")</f>
        <v/>
      </c>
      <c r="O99" s="96" t="str">
        <f>IFERROR(__xludf.DUMMYFUNCTION("""COMPUTED_VALUE"""),"")</f>
        <v/>
      </c>
      <c r="P99" s="97" t="str">
        <f>IFERROR(__xludf.DUMMYFUNCTION("""COMPUTED_VALUE"""),"")</f>
        <v/>
      </c>
      <c r="Q99" s="95" t="str">
        <f>IFERROR(__xludf.DUMMYFUNCTION("""COMPUTED_VALUE"""),"")</f>
        <v/>
      </c>
      <c r="R99" s="96" t="str">
        <f>IFERROR(__xludf.DUMMYFUNCTION("""COMPUTED_VALUE"""),"")</f>
        <v/>
      </c>
      <c r="S99" s="97" t="str">
        <f>IFERROR(__xludf.DUMMYFUNCTION("""COMPUTED_VALUE"""),"")</f>
        <v/>
      </c>
      <c r="T99" s="95" t="str">
        <f>IFERROR(__xludf.DUMMYFUNCTION("""COMPUTED_VALUE"""),"")</f>
        <v/>
      </c>
      <c r="U99" s="96" t="str">
        <f>IFERROR(__xludf.DUMMYFUNCTION("""COMPUTED_VALUE"""),"")</f>
        <v/>
      </c>
      <c r="V99" s="97" t="str">
        <f>IFERROR(__xludf.DUMMYFUNCTION("""COMPUTED_VALUE"""),"")</f>
        <v/>
      </c>
      <c r="W99" s="95" t="str">
        <f>IFERROR(__xludf.DUMMYFUNCTION("""COMPUTED_VALUE"""),"")</f>
        <v/>
      </c>
      <c r="X99" s="96" t="str">
        <f>IFERROR(__xludf.DUMMYFUNCTION("""COMPUTED_VALUE"""),"")</f>
        <v/>
      </c>
      <c r="Y99" s="97" t="str">
        <f>IFERROR(__xludf.DUMMYFUNCTION("""COMPUTED_VALUE"""),"")</f>
        <v/>
      </c>
      <c r="Z99" s="95" t="str">
        <f>IFERROR(__xludf.DUMMYFUNCTION("""COMPUTED_VALUE"""),"")</f>
        <v/>
      </c>
      <c r="AA99" s="96" t="str">
        <f>IFERROR(__xludf.DUMMYFUNCTION("""COMPUTED_VALUE"""),"")</f>
        <v/>
      </c>
      <c r="AB99" s="97" t="str">
        <f>IFERROR(__xludf.DUMMYFUNCTION("""COMPUTED_VALUE"""),"")</f>
        <v/>
      </c>
      <c r="AC99" s="95" t="str">
        <f>IFERROR(__xludf.DUMMYFUNCTION("""COMPUTED_VALUE"""),"")</f>
        <v/>
      </c>
      <c r="AD99" s="96" t="str">
        <f>IFERROR(__xludf.DUMMYFUNCTION("""COMPUTED_VALUE"""),"")</f>
        <v/>
      </c>
      <c r="AE99" s="97">
        <f>IFERROR(__xludf.DUMMYFUNCTION("""COMPUTED_VALUE"""),103.9)</f>
        <v>103.9</v>
      </c>
      <c r="AF99" s="95" t="str">
        <f>IFERROR(__xludf.DUMMYFUNCTION("""COMPUTED_VALUE"""),"")</f>
        <v/>
      </c>
      <c r="AG99" s="96" t="str">
        <f>IFERROR(__xludf.DUMMYFUNCTION("""COMPUTED_VALUE"""),"")</f>
        <v/>
      </c>
      <c r="AH99" s="97" t="str">
        <f>IFERROR(__xludf.DUMMYFUNCTION("""COMPUTED_VALUE"""),"")</f>
        <v/>
      </c>
      <c r="AI99" s="136" t="str">
        <f>IFERROR(__xludf.DUMMYFUNCTION("""COMPUTED_VALUE"""),"")</f>
        <v/>
      </c>
      <c r="AJ99" s="137" t="str">
        <f>IFERROR(__xludf.DUMMYFUNCTION("""COMPUTED_VALUE"""),"")</f>
        <v/>
      </c>
      <c r="AK99" s="138" t="str">
        <f>IFERROR(__xludf.DUMMYFUNCTION("""COMPUTED_VALUE"""),"")</f>
        <v/>
      </c>
      <c r="AL99" s="137" t="str">
        <f>IFERROR(__xludf.DUMMYFUNCTION("""COMPUTED_VALUE"""),"")</f>
        <v/>
      </c>
      <c r="AM99" s="137" t="str">
        <f>IFERROR(__xludf.DUMMYFUNCTION("""COMPUTED_VALUE"""),"")</f>
        <v/>
      </c>
      <c r="AN99" s="138" t="str">
        <f>IFERROR(__xludf.DUMMYFUNCTION("""COMPUTED_VALUE"""),"")</f>
        <v/>
      </c>
      <c r="AO99" s="137" t="str">
        <f>IFERROR(__xludf.DUMMYFUNCTION("""COMPUTED_VALUE"""),"")</f>
        <v/>
      </c>
      <c r="AP99" s="137" t="str">
        <f>IFERROR(__xludf.DUMMYFUNCTION("""COMPUTED_VALUE"""),"")</f>
        <v/>
      </c>
      <c r="AQ99" s="138" t="str">
        <f>IFERROR(__xludf.DUMMYFUNCTION("""COMPUTED_VALUE"""),"")</f>
        <v/>
      </c>
      <c r="AR99" s="137" t="str">
        <f>IFERROR(__xludf.DUMMYFUNCTION("""COMPUTED_VALUE"""),"")</f>
        <v/>
      </c>
      <c r="AS99" s="137" t="str">
        <f>IFERROR(__xludf.DUMMYFUNCTION("""COMPUTED_VALUE"""),"")</f>
        <v/>
      </c>
      <c r="AT99" s="138" t="str">
        <f>IFERROR(__xludf.DUMMYFUNCTION("""COMPUTED_VALUE"""),"")</f>
        <v/>
      </c>
      <c r="AU99" s="137" t="str">
        <f>IFERROR(__xludf.DUMMYFUNCTION("""COMPUTED_VALUE"""),"")</f>
        <v/>
      </c>
      <c r="AV99" s="137" t="str">
        <f>IFERROR(__xludf.DUMMYFUNCTION("""COMPUTED_VALUE"""),"")</f>
        <v/>
      </c>
      <c r="AW99" s="138" t="str">
        <f>IFERROR(__xludf.DUMMYFUNCTION("""COMPUTED_VALUE"""),"")</f>
        <v/>
      </c>
      <c r="AX99" s="137" t="str">
        <f>IFERROR(__xludf.DUMMYFUNCTION("""COMPUTED_VALUE"""),"")</f>
        <v/>
      </c>
      <c r="AY99" s="137" t="str">
        <f>IFERROR(__xludf.DUMMYFUNCTION("""COMPUTED_VALUE"""),"")</f>
        <v/>
      </c>
      <c r="AZ99" s="138" t="str">
        <f>IFERROR(__xludf.DUMMYFUNCTION("""COMPUTED_VALUE"""),"")</f>
        <v/>
      </c>
      <c r="BA99" s="137" t="str">
        <f>IFERROR(__xludf.DUMMYFUNCTION("""COMPUTED_VALUE"""),"")</f>
        <v/>
      </c>
      <c r="BB99" s="137" t="str">
        <f>IFERROR(__xludf.DUMMYFUNCTION("""COMPUTED_VALUE"""),"")</f>
        <v/>
      </c>
      <c r="BC99" s="138" t="str">
        <f>IFERROR(__xludf.DUMMYFUNCTION("""COMPUTED_VALUE"""),"")</f>
        <v/>
      </c>
      <c r="BD99" s="137" t="str">
        <f>IFERROR(__xludf.DUMMYFUNCTION("""COMPUTED_VALUE"""),"")</f>
        <v/>
      </c>
      <c r="BE99" s="137" t="str">
        <f>IFERROR(__xludf.DUMMYFUNCTION("""COMPUTED_VALUE"""),"")</f>
        <v/>
      </c>
      <c r="BF99" s="138" t="str">
        <f>IFERROR(__xludf.DUMMYFUNCTION("""COMPUTED_VALUE"""),"")</f>
        <v/>
      </c>
      <c r="BG99" s="136" t="str">
        <f>IFERROR(__xludf.DUMMYFUNCTION("""COMPUTED_VALUE"""),"")</f>
        <v/>
      </c>
      <c r="BH99" s="137" t="str">
        <f>IFERROR(__xludf.DUMMYFUNCTION("""COMPUTED_VALUE"""),"")</f>
        <v/>
      </c>
      <c r="BI99" s="138" t="str">
        <f>IFERROR(__xludf.DUMMYFUNCTION("""COMPUTED_VALUE"""),"")</f>
        <v/>
      </c>
      <c r="BJ99" s="137" t="str">
        <f>IFERROR(__xludf.DUMMYFUNCTION("""COMPUTED_VALUE"""),"")</f>
        <v/>
      </c>
      <c r="BK99" s="137" t="str">
        <f>IFERROR(__xludf.DUMMYFUNCTION("""COMPUTED_VALUE"""),"")</f>
        <v/>
      </c>
      <c r="BL99" s="138" t="str">
        <f>IFERROR(__xludf.DUMMYFUNCTION("""COMPUTED_VALUE"""),"")</f>
        <v/>
      </c>
      <c r="BM99" s="137" t="str">
        <f>IFERROR(__xludf.DUMMYFUNCTION("""COMPUTED_VALUE"""),"")</f>
        <v/>
      </c>
      <c r="BN99" s="137" t="str">
        <f>IFERROR(__xludf.DUMMYFUNCTION("""COMPUTED_VALUE"""),"")</f>
        <v/>
      </c>
      <c r="BO99" s="138" t="str">
        <f>IFERROR(__xludf.DUMMYFUNCTION("""COMPUTED_VALUE"""),"")</f>
        <v/>
      </c>
      <c r="BP99" s="137" t="str">
        <f>IFERROR(__xludf.DUMMYFUNCTION("""COMPUTED_VALUE"""),"")</f>
        <v/>
      </c>
      <c r="BQ99" s="137" t="str">
        <f>IFERROR(__xludf.DUMMYFUNCTION("""COMPUTED_VALUE"""),"")</f>
        <v/>
      </c>
      <c r="BR99" s="138">
        <f>IFERROR(__xludf.DUMMYFUNCTION("""COMPUTED_VALUE"""),41.8)</f>
        <v>41.8</v>
      </c>
      <c r="BS99" s="137" t="str">
        <f>IFERROR(__xludf.DUMMYFUNCTION("""COMPUTED_VALUE"""),"")</f>
        <v/>
      </c>
      <c r="BT99" s="137" t="str">
        <f>IFERROR(__xludf.DUMMYFUNCTION("""COMPUTED_VALUE"""),"")</f>
        <v/>
      </c>
      <c r="BU99" s="138" t="str">
        <f>IFERROR(__xludf.DUMMYFUNCTION("""COMPUTED_VALUE"""),"")</f>
        <v/>
      </c>
      <c r="BV99" s="137" t="str">
        <f>IFERROR(__xludf.DUMMYFUNCTION("""COMPUTED_VALUE"""),"")</f>
        <v/>
      </c>
      <c r="BW99" s="137" t="str">
        <f>IFERROR(__xludf.DUMMYFUNCTION("""COMPUTED_VALUE"""),"")</f>
        <v/>
      </c>
      <c r="BX99" s="138" t="str">
        <f>IFERROR(__xludf.DUMMYFUNCTION("""COMPUTED_VALUE"""),"")</f>
        <v/>
      </c>
      <c r="BY99" s="137" t="str">
        <f>IFERROR(__xludf.DUMMYFUNCTION("""COMPUTED_VALUE"""),"")</f>
        <v/>
      </c>
      <c r="BZ99" s="137" t="str">
        <f>IFERROR(__xludf.DUMMYFUNCTION("""COMPUTED_VALUE"""),"")</f>
        <v/>
      </c>
      <c r="CA99" s="138" t="str">
        <f>IFERROR(__xludf.DUMMYFUNCTION("""COMPUTED_VALUE"""),"")</f>
        <v/>
      </c>
      <c r="CB99" s="136" t="str">
        <f>IFERROR(__xludf.DUMMYFUNCTION("""COMPUTED_VALUE"""),"")</f>
        <v/>
      </c>
      <c r="CC99" s="137" t="str">
        <f>IFERROR(__xludf.DUMMYFUNCTION("""COMPUTED_VALUE"""),"")</f>
        <v/>
      </c>
      <c r="CD99" s="138" t="str">
        <f>IFERROR(__xludf.DUMMYFUNCTION("""COMPUTED_VALUE"""),"")</f>
        <v/>
      </c>
      <c r="CE99" s="137" t="str">
        <f>IFERROR(__xludf.DUMMYFUNCTION("""COMPUTED_VALUE"""),"")</f>
        <v/>
      </c>
      <c r="CF99" s="137" t="str">
        <f>IFERROR(__xludf.DUMMYFUNCTION("""COMPUTED_VALUE"""),"")</f>
        <v/>
      </c>
      <c r="CG99" s="138" t="str">
        <f>IFERROR(__xludf.DUMMYFUNCTION("""COMPUTED_VALUE"""),"")</f>
        <v/>
      </c>
      <c r="CH99" s="137" t="str">
        <f>IFERROR(__xludf.DUMMYFUNCTION("""COMPUTED_VALUE"""),"")</f>
        <v/>
      </c>
      <c r="CI99" s="137" t="str">
        <f>IFERROR(__xludf.DUMMYFUNCTION("""COMPUTED_VALUE"""),"")</f>
        <v/>
      </c>
      <c r="CJ99" s="138" t="str">
        <f>IFERROR(__xludf.DUMMYFUNCTION("""COMPUTED_VALUE"""),"")</f>
        <v/>
      </c>
      <c r="CK99" s="137" t="str">
        <f>IFERROR(__xludf.DUMMYFUNCTION("""COMPUTED_VALUE"""),"")</f>
        <v/>
      </c>
      <c r="CL99" s="137" t="str">
        <f>IFERROR(__xludf.DUMMYFUNCTION("""COMPUTED_VALUE"""),"")</f>
        <v/>
      </c>
      <c r="CM99" s="138" t="str">
        <f>IFERROR(__xludf.DUMMYFUNCTION("""COMPUTED_VALUE"""),"")</f>
        <v/>
      </c>
      <c r="CN99" s="137" t="str">
        <f>IFERROR(__xludf.DUMMYFUNCTION("""COMPUTED_VALUE"""),"")</f>
        <v/>
      </c>
      <c r="CO99" s="137" t="str">
        <f>IFERROR(__xludf.DUMMYFUNCTION("""COMPUTED_VALUE"""),"")</f>
        <v/>
      </c>
      <c r="CP99" s="138" t="str">
        <f>IFERROR(__xludf.DUMMYFUNCTION("""COMPUTED_VALUE"""),"")</f>
        <v/>
      </c>
      <c r="CQ99" s="137" t="str">
        <f>IFERROR(__xludf.DUMMYFUNCTION("""COMPUTED_VALUE"""),"")</f>
        <v/>
      </c>
      <c r="CR99" s="137" t="str">
        <f>IFERROR(__xludf.DUMMYFUNCTION("""COMPUTED_VALUE"""),"")</f>
        <v/>
      </c>
      <c r="CS99" s="138"/>
      <c r="CT99" s="137"/>
      <c r="CU99" s="137"/>
      <c r="CV99" s="138"/>
      <c r="CW99" s="137"/>
      <c r="CX99" s="137"/>
      <c r="CY99" s="138"/>
      <c r="CZ99" s="137"/>
      <c r="DA99" s="137"/>
      <c r="DB99" s="138"/>
      <c r="DC99" s="137"/>
      <c r="DD99" s="137"/>
      <c r="DE99" s="138"/>
      <c r="DF99" s="137"/>
      <c r="DG99" s="137"/>
      <c r="DH99" s="138"/>
      <c r="DI99" s="137"/>
      <c r="DJ99" s="137"/>
      <c r="DK99" s="138"/>
      <c r="DL99" s="137"/>
      <c r="DM99" s="137"/>
      <c r="DN99" s="138"/>
      <c r="DO99" s="137"/>
      <c r="DP99" s="137"/>
      <c r="DQ99" s="138"/>
      <c r="DR99" s="137"/>
      <c r="DS99" s="137"/>
      <c r="DT99" s="138"/>
    </row>
    <row r="100">
      <c r="B100" s="120" t="str">
        <f>IFERROR(__xludf.DUMMYFUNCTION("""COMPUTED_VALUE"""),"EPU2")</f>
        <v>EPU2</v>
      </c>
      <c r="C100" s="82">
        <f>IFERROR(__xludf.DUMMYFUNCTION("""COMPUTED_VALUE"""),87.0)</f>
        <v>87</v>
      </c>
      <c r="D100" s="88" t="str">
        <f>IFERROR(__xludf.DUMMYFUNCTION("""COMPUTED_VALUE"""),"Riverton")</f>
        <v>Riverton</v>
      </c>
      <c r="E100" s="82" t="str">
        <f>IFERROR(__xludf.DUMMYFUNCTION("""COMPUTED_VALUE"""),"リバートン")</f>
        <v>リバートン</v>
      </c>
      <c r="F100" s="102">
        <f>IFERROR(__xludf.DUMMYFUNCTION("""COMPUTED_VALUE"""),17.0)</f>
        <v>17</v>
      </c>
      <c r="G100" s="82">
        <f>IFERROR(__xludf.DUMMYFUNCTION("""COMPUTED_VALUE"""),1128.0)</f>
        <v>1128</v>
      </c>
      <c r="H100" s="95" t="str">
        <f>IFERROR(__xludf.DUMMYFUNCTION("""COMPUTED_VALUE"""),"")</f>
        <v/>
      </c>
      <c r="I100" s="96" t="str">
        <f>IFERROR(__xludf.DUMMYFUNCTION("""COMPUTED_VALUE"""),"")</f>
        <v/>
      </c>
      <c r="J100" s="97" t="str">
        <f>IFERROR(__xludf.DUMMYFUNCTION("""COMPUTED_VALUE"""),"")</f>
        <v/>
      </c>
      <c r="K100" s="95" t="str">
        <f>IFERROR(__xludf.DUMMYFUNCTION("""COMPUTED_VALUE"""),"")</f>
        <v/>
      </c>
      <c r="L100" s="96" t="str">
        <f>IFERROR(__xludf.DUMMYFUNCTION("""COMPUTED_VALUE"""),"")</f>
        <v/>
      </c>
      <c r="M100" s="97" t="str">
        <f>IFERROR(__xludf.DUMMYFUNCTION("""COMPUTED_VALUE"""),"")</f>
        <v/>
      </c>
      <c r="N100" s="95" t="str">
        <f>IFERROR(__xludf.DUMMYFUNCTION("""COMPUTED_VALUE"""),"")</f>
        <v/>
      </c>
      <c r="O100" s="96" t="str">
        <f>IFERROR(__xludf.DUMMYFUNCTION("""COMPUTED_VALUE"""),"")</f>
        <v/>
      </c>
      <c r="P100" s="97" t="str">
        <f>IFERROR(__xludf.DUMMYFUNCTION("""COMPUTED_VALUE"""),"")</f>
        <v/>
      </c>
      <c r="Q100" s="95" t="str">
        <f>IFERROR(__xludf.DUMMYFUNCTION("""COMPUTED_VALUE"""),"")</f>
        <v/>
      </c>
      <c r="R100" s="96" t="str">
        <f>IFERROR(__xludf.DUMMYFUNCTION("""COMPUTED_VALUE"""),"")</f>
        <v/>
      </c>
      <c r="S100" s="97" t="str">
        <f>IFERROR(__xludf.DUMMYFUNCTION("""COMPUTED_VALUE"""),"")</f>
        <v/>
      </c>
      <c r="T100" s="95" t="str">
        <f>IFERROR(__xludf.DUMMYFUNCTION("""COMPUTED_VALUE"""),"")</f>
        <v/>
      </c>
      <c r="U100" s="96" t="str">
        <f>IFERROR(__xludf.DUMMYFUNCTION("""COMPUTED_VALUE"""),"")</f>
        <v/>
      </c>
      <c r="V100" s="97" t="str">
        <f>IFERROR(__xludf.DUMMYFUNCTION("""COMPUTED_VALUE"""),"")</f>
        <v/>
      </c>
      <c r="W100" s="95" t="str">
        <f>IFERROR(__xludf.DUMMYFUNCTION("""COMPUTED_VALUE"""),"")</f>
        <v/>
      </c>
      <c r="X100" s="96" t="str">
        <f>IFERROR(__xludf.DUMMYFUNCTION("""COMPUTED_VALUE"""),"")</f>
        <v/>
      </c>
      <c r="Y100" s="97" t="str">
        <f>IFERROR(__xludf.DUMMYFUNCTION("""COMPUTED_VALUE"""),"")</f>
        <v/>
      </c>
      <c r="Z100" s="95" t="str">
        <f>IFERROR(__xludf.DUMMYFUNCTION("""COMPUTED_VALUE"""),"")</f>
        <v/>
      </c>
      <c r="AA100" s="96" t="str">
        <f>IFERROR(__xludf.DUMMYFUNCTION("""COMPUTED_VALUE"""),"")</f>
        <v/>
      </c>
      <c r="AB100" s="97" t="str">
        <f>IFERROR(__xludf.DUMMYFUNCTION("""COMPUTED_VALUE"""),"")</f>
        <v/>
      </c>
      <c r="AC100" s="95" t="str">
        <f>IFERROR(__xludf.DUMMYFUNCTION("""COMPUTED_VALUE"""),"")</f>
        <v/>
      </c>
      <c r="AD100" s="96" t="str">
        <f>IFERROR(__xludf.DUMMYFUNCTION("""COMPUTED_VALUE"""),"")</f>
        <v/>
      </c>
      <c r="AE100" s="97" t="str">
        <f>IFERROR(__xludf.DUMMYFUNCTION("""COMPUTED_VALUE"""),"")</f>
        <v/>
      </c>
      <c r="AF100" s="95" t="str">
        <f>IFERROR(__xludf.DUMMYFUNCTION("""COMPUTED_VALUE"""),"")</f>
        <v/>
      </c>
      <c r="AG100" s="96" t="str">
        <f>IFERROR(__xludf.DUMMYFUNCTION("""COMPUTED_VALUE"""),"")</f>
        <v/>
      </c>
      <c r="AH100" s="97" t="str">
        <f>IFERROR(__xludf.DUMMYFUNCTION("""COMPUTED_VALUE"""),"")</f>
        <v/>
      </c>
      <c r="AI100" s="92" t="str">
        <f>IFERROR(__xludf.DUMMYFUNCTION("""COMPUTED_VALUE"""),"")</f>
        <v/>
      </c>
      <c r="AJ100" s="93" t="str">
        <f>IFERROR(__xludf.DUMMYFUNCTION("""COMPUTED_VALUE"""),"")</f>
        <v/>
      </c>
      <c r="AK100" s="94" t="str">
        <f>IFERROR(__xludf.DUMMYFUNCTION("""COMPUTED_VALUE"""),"")</f>
        <v/>
      </c>
      <c r="AL100" s="93" t="str">
        <f>IFERROR(__xludf.DUMMYFUNCTION("""COMPUTED_VALUE"""),"")</f>
        <v/>
      </c>
      <c r="AM100" s="93" t="str">
        <f>IFERROR(__xludf.DUMMYFUNCTION("""COMPUTED_VALUE"""),"")</f>
        <v/>
      </c>
      <c r="AN100" s="94" t="str">
        <f>IFERROR(__xludf.DUMMYFUNCTION("""COMPUTED_VALUE"""),"")</f>
        <v/>
      </c>
      <c r="AO100" s="93" t="str">
        <f>IFERROR(__xludf.DUMMYFUNCTION("""COMPUTED_VALUE"""),"")</f>
        <v/>
      </c>
      <c r="AP100" s="93" t="str">
        <f>IFERROR(__xludf.DUMMYFUNCTION("""COMPUTED_VALUE"""),"")</f>
        <v/>
      </c>
      <c r="AQ100" s="94" t="str">
        <f>IFERROR(__xludf.DUMMYFUNCTION("""COMPUTED_VALUE"""),"")</f>
        <v/>
      </c>
      <c r="AR100" s="93" t="str">
        <f>IFERROR(__xludf.DUMMYFUNCTION("""COMPUTED_VALUE"""),"")</f>
        <v/>
      </c>
      <c r="AS100" s="93" t="str">
        <f>IFERROR(__xludf.DUMMYFUNCTION("""COMPUTED_VALUE"""),"")</f>
        <v/>
      </c>
      <c r="AT100" s="94">
        <f>IFERROR(__xludf.DUMMYFUNCTION("""COMPUTED_VALUE"""),40.5)</f>
        <v>40.5</v>
      </c>
      <c r="AU100" s="93" t="str">
        <f>IFERROR(__xludf.DUMMYFUNCTION("""COMPUTED_VALUE"""),"")</f>
        <v/>
      </c>
      <c r="AV100" s="93" t="str">
        <f>IFERROR(__xludf.DUMMYFUNCTION("""COMPUTED_VALUE"""),"")</f>
        <v/>
      </c>
      <c r="AW100" s="94">
        <f>IFERROR(__xludf.DUMMYFUNCTION("""COMPUTED_VALUE"""),51.5)</f>
        <v>51.5</v>
      </c>
      <c r="AX100" s="93" t="str">
        <f>IFERROR(__xludf.DUMMYFUNCTION("""COMPUTED_VALUE"""),"")</f>
        <v/>
      </c>
      <c r="AY100" s="93" t="str">
        <f>IFERROR(__xludf.DUMMYFUNCTION("""COMPUTED_VALUE"""),"")</f>
        <v/>
      </c>
      <c r="AZ100" s="94" t="str">
        <f>IFERROR(__xludf.DUMMYFUNCTION("""COMPUTED_VALUE"""),"")</f>
        <v/>
      </c>
      <c r="BA100" s="93" t="str">
        <f>IFERROR(__xludf.DUMMYFUNCTION("""COMPUTED_VALUE"""),"")</f>
        <v/>
      </c>
      <c r="BB100" s="93" t="str">
        <f>IFERROR(__xludf.DUMMYFUNCTION("""COMPUTED_VALUE"""),"")</f>
        <v/>
      </c>
      <c r="BC100" s="94" t="str">
        <f>IFERROR(__xludf.DUMMYFUNCTION("""COMPUTED_VALUE"""),"")</f>
        <v/>
      </c>
      <c r="BD100" s="93" t="str">
        <f>IFERROR(__xludf.DUMMYFUNCTION("""COMPUTED_VALUE"""),"")</f>
        <v/>
      </c>
      <c r="BE100" s="93" t="str">
        <f>IFERROR(__xludf.DUMMYFUNCTION("""COMPUTED_VALUE"""),"")</f>
        <v/>
      </c>
      <c r="BF100" s="94" t="str">
        <f>IFERROR(__xludf.DUMMYFUNCTION("""COMPUTED_VALUE"""),"")</f>
        <v/>
      </c>
      <c r="BG100" s="92" t="str">
        <f>IFERROR(__xludf.DUMMYFUNCTION("""COMPUTED_VALUE"""),"")</f>
        <v/>
      </c>
      <c r="BH100" s="93" t="str">
        <f>IFERROR(__xludf.DUMMYFUNCTION("""COMPUTED_VALUE"""),"")</f>
        <v/>
      </c>
      <c r="BI100" s="94" t="str">
        <f>IFERROR(__xludf.DUMMYFUNCTION("""COMPUTED_VALUE"""),"")</f>
        <v/>
      </c>
      <c r="BJ100" s="93" t="str">
        <f>IFERROR(__xludf.DUMMYFUNCTION("""COMPUTED_VALUE"""),"")</f>
        <v/>
      </c>
      <c r="BK100" s="93" t="str">
        <f>IFERROR(__xludf.DUMMYFUNCTION("""COMPUTED_VALUE"""),"")</f>
        <v/>
      </c>
      <c r="BL100" s="94" t="str">
        <f>IFERROR(__xludf.DUMMYFUNCTION("""COMPUTED_VALUE"""),"")</f>
        <v/>
      </c>
      <c r="BM100" s="93" t="str">
        <f>IFERROR(__xludf.DUMMYFUNCTION("""COMPUTED_VALUE"""),"")</f>
        <v/>
      </c>
      <c r="BN100" s="93" t="str">
        <f>IFERROR(__xludf.DUMMYFUNCTION("""COMPUTED_VALUE"""),"")</f>
        <v/>
      </c>
      <c r="BO100" s="94" t="str">
        <f>IFERROR(__xludf.DUMMYFUNCTION("""COMPUTED_VALUE"""),"")</f>
        <v/>
      </c>
      <c r="BP100" s="93" t="str">
        <f>IFERROR(__xludf.DUMMYFUNCTION("""COMPUTED_VALUE"""),"")</f>
        <v/>
      </c>
      <c r="BQ100" s="93">
        <f>IFERROR(__xludf.DUMMYFUNCTION("""COMPUTED_VALUE"""),127.0)</f>
        <v>127</v>
      </c>
      <c r="BR100" s="94">
        <f>IFERROR(__xludf.DUMMYFUNCTION("""COMPUTED_VALUE"""),325.0)</f>
        <v>325</v>
      </c>
      <c r="BS100" s="114">
        <f>IFERROR(__xludf.DUMMYFUNCTION("""COMPUTED_VALUE"""),330.6)</f>
        <v>330.6</v>
      </c>
      <c r="BT100" s="93" t="str">
        <f>IFERROR(__xludf.DUMMYFUNCTION("""COMPUTED_VALUE"""),"")</f>
        <v/>
      </c>
      <c r="BU100" s="94" t="str">
        <f>IFERROR(__xludf.DUMMYFUNCTION("""COMPUTED_VALUE"""),"")</f>
        <v/>
      </c>
      <c r="BV100" s="93" t="str">
        <f>IFERROR(__xludf.DUMMYFUNCTION("""COMPUTED_VALUE"""),"")</f>
        <v/>
      </c>
      <c r="BW100" s="93" t="str">
        <f>IFERROR(__xludf.DUMMYFUNCTION("""COMPUTED_VALUE"""),"")</f>
        <v/>
      </c>
      <c r="BX100" s="94" t="str">
        <f>IFERROR(__xludf.DUMMYFUNCTION("""COMPUTED_VALUE"""),"")</f>
        <v/>
      </c>
      <c r="BY100" s="93" t="str">
        <f>IFERROR(__xludf.DUMMYFUNCTION("""COMPUTED_VALUE"""),"")</f>
        <v/>
      </c>
      <c r="BZ100" s="93">
        <f>IFERROR(__xludf.DUMMYFUNCTION("""COMPUTED_VALUE"""),217.9)</f>
        <v>217.9</v>
      </c>
      <c r="CA100" s="94" t="str">
        <f>IFERROR(__xludf.DUMMYFUNCTION("""COMPUTED_VALUE"""),"")</f>
        <v/>
      </c>
      <c r="CB100" s="92" t="str">
        <f>IFERROR(__xludf.DUMMYFUNCTION("""COMPUTED_VALUE"""),"")</f>
        <v/>
      </c>
      <c r="CC100" s="93" t="str">
        <f>IFERROR(__xludf.DUMMYFUNCTION("""COMPUTED_VALUE"""),"")</f>
        <v/>
      </c>
      <c r="CD100" s="94" t="str">
        <f>IFERROR(__xludf.DUMMYFUNCTION("""COMPUTED_VALUE"""),"")</f>
        <v/>
      </c>
      <c r="CE100" s="93" t="str">
        <f>IFERROR(__xludf.DUMMYFUNCTION("""COMPUTED_VALUE"""),"")</f>
        <v/>
      </c>
      <c r="CF100" s="93" t="str">
        <f>IFERROR(__xludf.DUMMYFUNCTION("""COMPUTED_VALUE"""),"")</f>
        <v/>
      </c>
      <c r="CG100" s="94">
        <f>IFERROR(__xludf.DUMMYFUNCTION("""COMPUTED_VALUE"""),81.9)</f>
        <v>81.9</v>
      </c>
      <c r="CH100" s="93" t="str">
        <f>IFERROR(__xludf.DUMMYFUNCTION("""COMPUTED_VALUE"""),"")</f>
        <v/>
      </c>
      <c r="CI100" s="93" t="str">
        <f>IFERROR(__xludf.DUMMYFUNCTION("""COMPUTED_VALUE"""),"")</f>
        <v/>
      </c>
      <c r="CJ100" s="94" t="str">
        <f>IFERROR(__xludf.DUMMYFUNCTION("""COMPUTED_VALUE"""),"")</f>
        <v/>
      </c>
      <c r="CK100" s="93" t="str">
        <f>IFERROR(__xludf.DUMMYFUNCTION("""COMPUTED_VALUE"""),"")</f>
        <v/>
      </c>
      <c r="CL100" s="93" t="str">
        <f>IFERROR(__xludf.DUMMYFUNCTION("""COMPUTED_VALUE"""),"")</f>
        <v/>
      </c>
      <c r="CM100" s="94" t="str">
        <f>IFERROR(__xludf.DUMMYFUNCTION("""COMPUTED_VALUE"""),"")</f>
        <v/>
      </c>
      <c r="CN100" s="114" t="str">
        <f>IFERROR(__xludf.DUMMYFUNCTION("""COMPUTED_VALUE"""),"")</f>
        <v/>
      </c>
      <c r="CO100" s="93" t="str">
        <f>IFERROR(__xludf.DUMMYFUNCTION("""COMPUTED_VALUE"""),"")</f>
        <v/>
      </c>
      <c r="CP100" s="94" t="str">
        <f>IFERROR(__xludf.DUMMYFUNCTION("""COMPUTED_VALUE"""),"")</f>
        <v/>
      </c>
      <c r="CQ100" s="93" t="str">
        <f>IFERROR(__xludf.DUMMYFUNCTION("""COMPUTED_VALUE"""),"")</f>
        <v/>
      </c>
      <c r="CR100" s="93" t="str">
        <f>IFERROR(__xludf.DUMMYFUNCTION("""COMPUTED_VALUE"""),"")</f>
        <v/>
      </c>
      <c r="CS100" s="94"/>
      <c r="CT100" s="93"/>
      <c r="CU100" s="93"/>
      <c r="CV100" s="94"/>
      <c r="CW100" s="93"/>
      <c r="CX100" s="93"/>
      <c r="CY100" s="94"/>
      <c r="CZ100" s="114"/>
      <c r="DA100" s="93"/>
      <c r="DB100" s="94"/>
      <c r="DC100" s="93"/>
      <c r="DD100" s="93"/>
      <c r="DE100" s="94"/>
      <c r="DF100" s="93"/>
      <c r="DG100" s="93"/>
      <c r="DH100" s="94"/>
      <c r="DI100" s="114"/>
      <c r="DJ100" s="93"/>
      <c r="DK100" s="94"/>
      <c r="DL100" s="93"/>
      <c r="DM100" s="93"/>
      <c r="DN100" s="94"/>
      <c r="DO100" s="93"/>
      <c r="DP100" s="93"/>
      <c r="DQ100" s="94"/>
      <c r="DR100" s="93"/>
      <c r="DS100" s="93"/>
      <c r="DT100" s="94"/>
    </row>
    <row r="101">
      <c r="B101" s="120" t="str">
        <f>IFERROR(__xludf.DUMMYFUNCTION("""COMPUTED_VALUE"""),"EPU3")</f>
        <v>EPU3</v>
      </c>
      <c r="C101" s="82">
        <f>IFERROR(__xludf.DUMMYFUNCTION("""COMPUTED_VALUE"""),88.0)</f>
        <v>88</v>
      </c>
      <c r="D101" s="88" t="str">
        <f>IFERROR(__xludf.DUMMYFUNCTION("""COMPUTED_VALUE"""),"Denver")</f>
        <v>Denver</v>
      </c>
      <c r="E101" s="82" t="str">
        <f>IFERROR(__xludf.DUMMYFUNCTION("""COMPUTED_VALUE"""),"デンバー")</f>
        <v>デンバー</v>
      </c>
      <c r="F101" s="102">
        <f>IFERROR(__xludf.DUMMYFUNCTION("""COMPUTED_VALUE"""),17.0)</f>
        <v>17</v>
      </c>
      <c r="G101" s="82">
        <f>IFERROR(__xludf.DUMMYFUNCTION("""COMPUTED_VALUE"""),1152.0)</f>
        <v>1152</v>
      </c>
      <c r="H101" s="95" t="str">
        <f>IFERROR(__xludf.DUMMYFUNCTION("""COMPUTED_VALUE"""),"")</f>
        <v/>
      </c>
      <c r="I101" s="96" t="str">
        <f>IFERROR(__xludf.DUMMYFUNCTION("""COMPUTED_VALUE"""),"")</f>
        <v/>
      </c>
      <c r="J101" s="97" t="str">
        <f>IFERROR(__xludf.DUMMYFUNCTION("""COMPUTED_VALUE"""),"")</f>
        <v/>
      </c>
      <c r="K101" s="95" t="str">
        <f>IFERROR(__xludf.DUMMYFUNCTION("""COMPUTED_VALUE"""),"")</f>
        <v/>
      </c>
      <c r="L101" s="96" t="str">
        <f>IFERROR(__xludf.DUMMYFUNCTION("""COMPUTED_VALUE"""),"")</f>
        <v/>
      </c>
      <c r="M101" s="97" t="str">
        <f>IFERROR(__xludf.DUMMYFUNCTION("""COMPUTED_VALUE"""),"")</f>
        <v/>
      </c>
      <c r="N101" s="95" t="str">
        <f>IFERROR(__xludf.DUMMYFUNCTION("""COMPUTED_VALUE"""),"")</f>
        <v/>
      </c>
      <c r="O101" s="96" t="str">
        <f>IFERROR(__xludf.DUMMYFUNCTION("""COMPUTED_VALUE"""),"")</f>
        <v/>
      </c>
      <c r="P101" s="97" t="str">
        <f>IFERROR(__xludf.DUMMYFUNCTION("""COMPUTED_VALUE"""),"")</f>
        <v/>
      </c>
      <c r="Q101" s="95" t="str">
        <f>IFERROR(__xludf.DUMMYFUNCTION("""COMPUTED_VALUE"""),"")</f>
        <v/>
      </c>
      <c r="R101" s="96" t="str">
        <f>IFERROR(__xludf.DUMMYFUNCTION("""COMPUTED_VALUE"""),"")</f>
        <v/>
      </c>
      <c r="S101" s="97" t="str">
        <f>IFERROR(__xludf.DUMMYFUNCTION("""COMPUTED_VALUE"""),"")</f>
        <v/>
      </c>
      <c r="T101" s="95" t="str">
        <f>IFERROR(__xludf.DUMMYFUNCTION("""COMPUTED_VALUE"""),"")</f>
        <v/>
      </c>
      <c r="U101" s="96" t="str">
        <f>IFERROR(__xludf.DUMMYFUNCTION("""COMPUTED_VALUE"""),"")</f>
        <v/>
      </c>
      <c r="V101" s="97" t="str">
        <f>IFERROR(__xludf.DUMMYFUNCTION("""COMPUTED_VALUE"""),"")</f>
        <v/>
      </c>
      <c r="W101" s="95" t="str">
        <f>IFERROR(__xludf.DUMMYFUNCTION("""COMPUTED_VALUE"""),"")</f>
        <v/>
      </c>
      <c r="X101" s="96" t="str">
        <f>IFERROR(__xludf.DUMMYFUNCTION("""COMPUTED_VALUE"""),"")</f>
        <v/>
      </c>
      <c r="Y101" s="97" t="str">
        <f>IFERROR(__xludf.DUMMYFUNCTION("""COMPUTED_VALUE"""),"")</f>
        <v/>
      </c>
      <c r="Z101" s="95" t="str">
        <f>IFERROR(__xludf.DUMMYFUNCTION("""COMPUTED_VALUE"""),"")</f>
        <v/>
      </c>
      <c r="AA101" s="96" t="str">
        <f>IFERROR(__xludf.DUMMYFUNCTION("""COMPUTED_VALUE"""),"")</f>
        <v/>
      </c>
      <c r="AB101" s="97" t="str">
        <f>IFERROR(__xludf.DUMMYFUNCTION("""COMPUTED_VALUE"""),"")</f>
        <v/>
      </c>
      <c r="AC101" s="95" t="str">
        <f>IFERROR(__xludf.DUMMYFUNCTION("""COMPUTED_VALUE"""),"")</f>
        <v/>
      </c>
      <c r="AD101" s="96" t="str">
        <f>IFERROR(__xludf.DUMMYFUNCTION("""COMPUTED_VALUE"""),"")</f>
        <v/>
      </c>
      <c r="AE101" s="97">
        <f>IFERROR(__xludf.DUMMYFUNCTION("""COMPUTED_VALUE"""),100.9)</f>
        <v>100.9</v>
      </c>
      <c r="AF101" s="95" t="str">
        <f>IFERROR(__xludf.DUMMYFUNCTION("""COMPUTED_VALUE"""),"")</f>
        <v/>
      </c>
      <c r="AG101" s="96" t="str">
        <f>IFERROR(__xludf.DUMMYFUNCTION("""COMPUTED_VALUE"""),"")</f>
        <v/>
      </c>
      <c r="AH101" s="97" t="str">
        <f>IFERROR(__xludf.DUMMYFUNCTION("""COMPUTED_VALUE"""),"")</f>
        <v/>
      </c>
      <c r="AI101" s="136" t="str">
        <f>IFERROR(__xludf.DUMMYFUNCTION("""COMPUTED_VALUE"""),"")</f>
        <v/>
      </c>
      <c r="AJ101" s="137" t="str">
        <f>IFERROR(__xludf.DUMMYFUNCTION("""COMPUTED_VALUE"""),"")</f>
        <v/>
      </c>
      <c r="AK101" s="138" t="str">
        <f>IFERROR(__xludf.DUMMYFUNCTION("""COMPUTED_VALUE"""),"")</f>
        <v/>
      </c>
      <c r="AL101" s="137" t="str">
        <f>IFERROR(__xludf.DUMMYFUNCTION("""COMPUTED_VALUE"""),"")</f>
        <v/>
      </c>
      <c r="AM101" s="137" t="str">
        <f>IFERROR(__xludf.DUMMYFUNCTION("""COMPUTED_VALUE"""),"")</f>
        <v/>
      </c>
      <c r="AN101" s="138" t="str">
        <f>IFERROR(__xludf.DUMMYFUNCTION("""COMPUTED_VALUE"""),"")</f>
        <v/>
      </c>
      <c r="AO101" s="137" t="str">
        <f>IFERROR(__xludf.DUMMYFUNCTION("""COMPUTED_VALUE"""),"")</f>
        <v/>
      </c>
      <c r="AP101" s="137" t="str">
        <f>IFERROR(__xludf.DUMMYFUNCTION("""COMPUTED_VALUE"""),"")</f>
        <v/>
      </c>
      <c r="AQ101" s="138" t="str">
        <f>IFERROR(__xludf.DUMMYFUNCTION("""COMPUTED_VALUE"""),"")</f>
        <v/>
      </c>
      <c r="AR101" s="137" t="str">
        <f>IFERROR(__xludf.DUMMYFUNCTION("""COMPUTED_VALUE"""),"")</f>
        <v/>
      </c>
      <c r="AS101" s="137" t="str">
        <f>IFERROR(__xludf.DUMMYFUNCTION("""COMPUTED_VALUE"""),"")</f>
        <v/>
      </c>
      <c r="AT101" s="138" t="str">
        <f>IFERROR(__xludf.DUMMYFUNCTION("""COMPUTED_VALUE"""),"")</f>
        <v/>
      </c>
      <c r="AU101" s="137" t="str">
        <f>IFERROR(__xludf.DUMMYFUNCTION("""COMPUTED_VALUE"""),"")</f>
        <v/>
      </c>
      <c r="AV101" s="137" t="str">
        <f>IFERROR(__xludf.DUMMYFUNCTION("""COMPUTED_VALUE"""),"")</f>
        <v/>
      </c>
      <c r="AW101" s="138">
        <f>IFERROR(__xludf.DUMMYFUNCTION("""COMPUTED_VALUE"""),138.9)</f>
        <v>138.9</v>
      </c>
      <c r="AX101" s="137" t="str">
        <f>IFERROR(__xludf.DUMMYFUNCTION("""COMPUTED_VALUE"""),"")</f>
        <v/>
      </c>
      <c r="AY101" s="137" t="str">
        <f>IFERROR(__xludf.DUMMYFUNCTION("""COMPUTED_VALUE"""),"")</f>
        <v/>
      </c>
      <c r="AZ101" s="138" t="str">
        <f>IFERROR(__xludf.DUMMYFUNCTION("""COMPUTED_VALUE"""),"")</f>
        <v/>
      </c>
      <c r="BA101" s="137" t="str">
        <f>IFERROR(__xludf.DUMMYFUNCTION("""COMPUTED_VALUE"""),"")</f>
        <v/>
      </c>
      <c r="BB101" s="137" t="str">
        <f>IFERROR(__xludf.DUMMYFUNCTION("""COMPUTED_VALUE"""),"")</f>
        <v/>
      </c>
      <c r="BC101" s="138" t="str">
        <f>IFERROR(__xludf.DUMMYFUNCTION("""COMPUTED_VALUE"""),"")</f>
        <v/>
      </c>
      <c r="BD101" s="137" t="str">
        <f>IFERROR(__xludf.DUMMYFUNCTION("""COMPUTED_VALUE"""),"")</f>
        <v/>
      </c>
      <c r="BE101" s="137" t="str">
        <f>IFERROR(__xludf.DUMMYFUNCTION("""COMPUTED_VALUE"""),"")</f>
        <v/>
      </c>
      <c r="BF101" s="138" t="str">
        <f>IFERROR(__xludf.DUMMYFUNCTION("""COMPUTED_VALUE"""),"")</f>
        <v/>
      </c>
      <c r="BG101" s="136" t="str">
        <f>IFERROR(__xludf.DUMMYFUNCTION("""COMPUTED_VALUE"""),"")</f>
        <v/>
      </c>
      <c r="BH101" s="137" t="str">
        <f>IFERROR(__xludf.DUMMYFUNCTION("""COMPUTED_VALUE"""),"")</f>
        <v/>
      </c>
      <c r="BI101" s="138" t="str">
        <f>IFERROR(__xludf.DUMMYFUNCTION("""COMPUTED_VALUE"""),"")</f>
        <v/>
      </c>
      <c r="BJ101" s="137" t="str">
        <f>IFERROR(__xludf.DUMMYFUNCTION("""COMPUTED_VALUE"""),"")</f>
        <v/>
      </c>
      <c r="BK101" s="137">
        <f>IFERROR(__xludf.DUMMYFUNCTION("""COMPUTED_VALUE"""),179.7)</f>
        <v>179.7</v>
      </c>
      <c r="BL101" s="138" t="str">
        <f>IFERROR(__xludf.DUMMYFUNCTION("""COMPUTED_VALUE"""),"")</f>
        <v/>
      </c>
      <c r="BM101" s="137" t="str">
        <f>IFERROR(__xludf.DUMMYFUNCTION("""COMPUTED_VALUE"""),"")</f>
        <v/>
      </c>
      <c r="BN101" s="137" t="str">
        <f>IFERROR(__xludf.DUMMYFUNCTION("""COMPUTED_VALUE"""),"")</f>
        <v/>
      </c>
      <c r="BO101" s="138" t="str">
        <f>IFERROR(__xludf.DUMMYFUNCTION("""COMPUTED_VALUE"""),"")</f>
        <v/>
      </c>
      <c r="BP101" s="137" t="str">
        <f>IFERROR(__xludf.DUMMYFUNCTION("""COMPUTED_VALUE"""),"")</f>
        <v/>
      </c>
      <c r="BQ101" s="137" t="str">
        <f>IFERROR(__xludf.DUMMYFUNCTION("""COMPUTED_VALUE"""),"")</f>
        <v/>
      </c>
      <c r="BR101" s="138">
        <f>IFERROR(__xludf.DUMMYFUNCTION("""COMPUTED_VALUE"""),70.4)</f>
        <v>70.4</v>
      </c>
      <c r="BS101" s="137" t="str">
        <f>IFERROR(__xludf.DUMMYFUNCTION("""COMPUTED_VALUE"""),"")</f>
        <v/>
      </c>
      <c r="BT101" s="137" t="str">
        <f>IFERROR(__xludf.DUMMYFUNCTION("""COMPUTED_VALUE"""),"")</f>
        <v/>
      </c>
      <c r="BU101" s="138" t="str">
        <f>IFERROR(__xludf.DUMMYFUNCTION("""COMPUTED_VALUE"""),"")</f>
        <v/>
      </c>
      <c r="BV101" s="137" t="str">
        <f>IFERROR(__xludf.DUMMYFUNCTION("""COMPUTED_VALUE"""),"")</f>
        <v/>
      </c>
      <c r="BW101" s="137" t="str">
        <f>IFERROR(__xludf.DUMMYFUNCTION("""COMPUTED_VALUE"""),"")</f>
        <v/>
      </c>
      <c r="BX101" s="138" t="str">
        <f>IFERROR(__xludf.DUMMYFUNCTION("""COMPUTED_VALUE"""),"")</f>
        <v/>
      </c>
      <c r="BY101" s="137" t="str">
        <f>IFERROR(__xludf.DUMMYFUNCTION("""COMPUTED_VALUE"""),"")</f>
        <v/>
      </c>
      <c r="BZ101" s="137">
        <f>IFERROR(__xludf.DUMMYFUNCTION("""COMPUTED_VALUE"""),810.6)</f>
        <v>810.6</v>
      </c>
      <c r="CA101" s="138" t="str">
        <f>IFERROR(__xludf.DUMMYFUNCTION("""COMPUTED_VALUE"""),"")</f>
        <v/>
      </c>
      <c r="CB101" s="136" t="str">
        <f>IFERROR(__xludf.DUMMYFUNCTION("""COMPUTED_VALUE"""),"")</f>
        <v/>
      </c>
      <c r="CC101" s="137" t="str">
        <f>IFERROR(__xludf.DUMMYFUNCTION("""COMPUTED_VALUE"""),"")</f>
        <v/>
      </c>
      <c r="CD101" s="138" t="str">
        <f>IFERROR(__xludf.DUMMYFUNCTION("""COMPUTED_VALUE"""),"")</f>
        <v/>
      </c>
      <c r="CE101" s="137" t="str">
        <f>IFERROR(__xludf.DUMMYFUNCTION("""COMPUTED_VALUE"""),"")</f>
        <v/>
      </c>
      <c r="CF101" s="137" t="str">
        <f>IFERROR(__xludf.DUMMYFUNCTION("""COMPUTED_VALUE"""),"")</f>
        <v/>
      </c>
      <c r="CG101" s="138">
        <f>IFERROR(__xludf.DUMMYFUNCTION("""COMPUTED_VALUE"""),158.4)</f>
        <v>158.4</v>
      </c>
      <c r="CH101" s="137" t="str">
        <f>IFERROR(__xludf.DUMMYFUNCTION("""COMPUTED_VALUE"""),"")</f>
        <v/>
      </c>
      <c r="CI101" s="137" t="str">
        <f>IFERROR(__xludf.DUMMYFUNCTION("""COMPUTED_VALUE"""),"")</f>
        <v/>
      </c>
      <c r="CJ101" s="138" t="str">
        <f>IFERROR(__xludf.DUMMYFUNCTION("""COMPUTED_VALUE"""),"")</f>
        <v/>
      </c>
      <c r="CK101" s="137" t="str">
        <f>IFERROR(__xludf.DUMMYFUNCTION("""COMPUTED_VALUE"""),"")</f>
        <v/>
      </c>
      <c r="CL101" s="137" t="str">
        <f>IFERROR(__xludf.DUMMYFUNCTION("""COMPUTED_VALUE"""),"")</f>
        <v/>
      </c>
      <c r="CM101" s="138" t="str">
        <f>IFERROR(__xludf.DUMMYFUNCTION("""COMPUTED_VALUE"""),"")</f>
        <v/>
      </c>
      <c r="CN101" s="137" t="str">
        <f>IFERROR(__xludf.DUMMYFUNCTION("""COMPUTED_VALUE"""),"")</f>
        <v/>
      </c>
      <c r="CO101" s="137" t="str">
        <f>IFERROR(__xludf.DUMMYFUNCTION("""COMPUTED_VALUE"""),"")</f>
        <v/>
      </c>
      <c r="CP101" s="138" t="str">
        <f>IFERROR(__xludf.DUMMYFUNCTION("""COMPUTED_VALUE"""),"")</f>
        <v/>
      </c>
      <c r="CQ101" s="137" t="str">
        <f>IFERROR(__xludf.DUMMYFUNCTION("""COMPUTED_VALUE"""),"")</f>
        <v/>
      </c>
      <c r="CR101" s="137" t="str">
        <f>IFERROR(__xludf.DUMMYFUNCTION("""COMPUTED_VALUE"""),"")</f>
        <v/>
      </c>
      <c r="CS101" s="138"/>
      <c r="CT101" s="137"/>
      <c r="CU101" s="137"/>
      <c r="CV101" s="138"/>
      <c r="CW101" s="137"/>
      <c r="CX101" s="137"/>
      <c r="CY101" s="138"/>
      <c r="CZ101" s="137"/>
      <c r="DA101" s="137"/>
      <c r="DB101" s="138"/>
      <c r="DC101" s="137"/>
      <c r="DD101" s="137"/>
      <c r="DE101" s="138"/>
      <c r="DF101" s="137"/>
      <c r="DG101" s="137"/>
      <c r="DH101" s="138"/>
      <c r="DI101" s="137"/>
      <c r="DJ101" s="137"/>
      <c r="DK101" s="138"/>
      <c r="DL101" s="137"/>
      <c r="DM101" s="137"/>
      <c r="DN101" s="138"/>
      <c r="DO101" s="137"/>
      <c r="DP101" s="137"/>
      <c r="DQ101" s="138"/>
      <c r="DR101" s="137"/>
      <c r="DS101" s="137"/>
      <c r="DT101" s="138"/>
    </row>
    <row r="102">
      <c r="B102" s="120" t="str">
        <f>IFERROR(__xludf.DUMMYFUNCTION("""COMPUTED_VALUE"""),"EPU4")</f>
        <v>EPU4</v>
      </c>
      <c r="C102" s="82">
        <f>IFERROR(__xludf.DUMMYFUNCTION("""COMPUTED_VALUE"""),89.0)</f>
        <v>89</v>
      </c>
      <c r="D102" s="88" t="str">
        <f>IFERROR(__xludf.DUMMYFUNCTION("""COMPUTED_VALUE"""),"Deming")</f>
        <v>Deming</v>
      </c>
      <c r="E102" s="82" t="str">
        <f>IFERROR(__xludf.DUMMYFUNCTION("""COMPUTED_VALUE"""),"デミング")</f>
        <v>デミング</v>
      </c>
      <c r="F102" s="102">
        <f>IFERROR(__xludf.DUMMYFUNCTION("""COMPUTED_VALUE"""),17.0)</f>
        <v>17</v>
      </c>
      <c r="G102" s="82">
        <f>IFERROR(__xludf.DUMMYFUNCTION("""COMPUTED_VALUE"""),6486.0)</f>
        <v>6486</v>
      </c>
      <c r="H102" s="95" t="str">
        <f>IFERROR(__xludf.DUMMYFUNCTION("""COMPUTED_VALUE"""),"")</f>
        <v/>
      </c>
      <c r="I102" s="96" t="str">
        <f>IFERROR(__xludf.DUMMYFUNCTION("""COMPUTED_VALUE"""),"")</f>
        <v/>
      </c>
      <c r="J102" s="97" t="str">
        <f>IFERROR(__xludf.DUMMYFUNCTION("""COMPUTED_VALUE"""),"")</f>
        <v/>
      </c>
      <c r="K102" s="95" t="str">
        <f>IFERROR(__xludf.DUMMYFUNCTION("""COMPUTED_VALUE"""),"")</f>
        <v/>
      </c>
      <c r="L102" s="96" t="str">
        <f>IFERROR(__xludf.DUMMYFUNCTION("""COMPUTED_VALUE"""),"")</f>
        <v/>
      </c>
      <c r="M102" s="97" t="str">
        <f>IFERROR(__xludf.DUMMYFUNCTION("""COMPUTED_VALUE"""),"")</f>
        <v/>
      </c>
      <c r="N102" s="95" t="str">
        <f>IFERROR(__xludf.DUMMYFUNCTION("""COMPUTED_VALUE"""),"")</f>
        <v/>
      </c>
      <c r="O102" s="96" t="str">
        <f>IFERROR(__xludf.DUMMYFUNCTION("""COMPUTED_VALUE"""),"")</f>
        <v/>
      </c>
      <c r="P102" s="97" t="str">
        <f>IFERROR(__xludf.DUMMYFUNCTION("""COMPUTED_VALUE"""),"")</f>
        <v/>
      </c>
      <c r="Q102" s="95" t="str">
        <f>IFERROR(__xludf.DUMMYFUNCTION("""COMPUTED_VALUE"""),"")</f>
        <v/>
      </c>
      <c r="R102" s="96" t="str">
        <f>IFERROR(__xludf.DUMMYFUNCTION("""COMPUTED_VALUE"""),"")</f>
        <v/>
      </c>
      <c r="S102" s="97" t="str">
        <f>IFERROR(__xludf.DUMMYFUNCTION("""COMPUTED_VALUE"""),"")</f>
        <v/>
      </c>
      <c r="T102" s="95" t="str">
        <f>IFERROR(__xludf.DUMMYFUNCTION("""COMPUTED_VALUE"""),"")</f>
        <v/>
      </c>
      <c r="U102" s="96" t="str">
        <f>IFERROR(__xludf.DUMMYFUNCTION("""COMPUTED_VALUE"""),"")</f>
        <v/>
      </c>
      <c r="V102" s="97" t="str">
        <f>IFERROR(__xludf.DUMMYFUNCTION("""COMPUTED_VALUE"""),"")</f>
        <v/>
      </c>
      <c r="W102" s="95" t="str">
        <f>IFERROR(__xludf.DUMMYFUNCTION("""COMPUTED_VALUE"""),"")</f>
        <v/>
      </c>
      <c r="X102" s="96" t="str">
        <f>IFERROR(__xludf.DUMMYFUNCTION("""COMPUTED_VALUE"""),"")</f>
        <v/>
      </c>
      <c r="Y102" s="97" t="str">
        <f>IFERROR(__xludf.DUMMYFUNCTION("""COMPUTED_VALUE"""),"")</f>
        <v/>
      </c>
      <c r="Z102" s="95" t="str">
        <f>IFERROR(__xludf.DUMMYFUNCTION("""COMPUTED_VALUE"""),"")</f>
        <v/>
      </c>
      <c r="AA102" s="96" t="str">
        <f>IFERROR(__xludf.DUMMYFUNCTION("""COMPUTED_VALUE"""),"")</f>
        <v/>
      </c>
      <c r="AB102" s="97" t="str">
        <f>IFERROR(__xludf.DUMMYFUNCTION("""COMPUTED_VALUE"""),"")</f>
        <v/>
      </c>
      <c r="AC102" s="95" t="str">
        <f>IFERROR(__xludf.DUMMYFUNCTION("""COMPUTED_VALUE"""),"")</f>
        <v/>
      </c>
      <c r="AD102" s="96" t="str">
        <f>IFERROR(__xludf.DUMMYFUNCTION("""COMPUTED_VALUE"""),"")</f>
        <v/>
      </c>
      <c r="AE102" s="97" t="str">
        <f>IFERROR(__xludf.DUMMYFUNCTION("""COMPUTED_VALUE"""),"")</f>
        <v/>
      </c>
      <c r="AF102" s="95" t="str">
        <f>IFERROR(__xludf.DUMMYFUNCTION("""COMPUTED_VALUE"""),"")</f>
        <v/>
      </c>
      <c r="AG102" s="96" t="str">
        <f>IFERROR(__xludf.DUMMYFUNCTION("""COMPUTED_VALUE"""),"")</f>
        <v/>
      </c>
      <c r="AH102" s="97" t="str">
        <f>IFERROR(__xludf.DUMMYFUNCTION("""COMPUTED_VALUE"""),"")</f>
        <v/>
      </c>
      <c r="AI102" s="92" t="str">
        <f>IFERROR(__xludf.DUMMYFUNCTION("""COMPUTED_VALUE"""),"")</f>
        <v/>
      </c>
      <c r="AJ102" s="93" t="str">
        <f>IFERROR(__xludf.DUMMYFUNCTION("""COMPUTED_VALUE"""),"")</f>
        <v/>
      </c>
      <c r="AK102" s="94" t="str">
        <f>IFERROR(__xludf.DUMMYFUNCTION("""COMPUTED_VALUE"""),"")</f>
        <v/>
      </c>
      <c r="AL102" s="93" t="str">
        <f>IFERROR(__xludf.DUMMYFUNCTION("""COMPUTED_VALUE"""),"")</f>
        <v/>
      </c>
      <c r="AM102" s="93" t="str">
        <f>IFERROR(__xludf.DUMMYFUNCTION("""COMPUTED_VALUE"""),"")</f>
        <v/>
      </c>
      <c r="AN102" s="94" t="str">
        <f>IFERROR(__xludf.DUMMYFUNCTION("""COMPUTED_VALUE"""),"")</f>
        <v/>
      </c>
      <c r="AO102" s="93" t="str">
        <f>IFERROR(__xludf.DUMMYFUNCTION("""COMPUTED_VALUE"""),"")</f>
        <v/>
      </c>
      <c r="AP102" s="93" t="str">
        <f>IFERROR(__xludf.DUMMYFUNCTION("""COMPUTED_VALUE"""),"")</f>
        <v/>
      </c>
      <c r="AQ102" s="94" t="str">
        <f>IFERROR(__xludf.DUMMYFUNCTION("""COMPUTED_VALUE"""),"")</f>
        <v/>
      </c>
      <c r="AR102" s="93" t="str">
        <f>IFERROR(__xludf.DUMMYFUNCTION("""COMPUTED_VALUE"""),"")</f>
        <v/>
      </c>
      <c r="AS102" s="93" t="str">
        <f>IFERROR(__xludf.DUMMYFUNCTION("""COMPUTED_VALUE"""),"")</f>
        <v/>
      </c>
      <c r="AT102" s="94" t="str">
        <f>IFERROR(__xludf.DUMMYFUNCTION("""COMPUTED_VALUE"""),"")</f>
        <v/>
      </c>
      <c r="AU102" s="93" t="str">
        <f>IFERROR(__xludf.DUMMYFUNCTION("""COMPUTED_VALUE"""),"")</f>
        <v/>
      </c>
      <c r="AV102" s="93">
        <f>IFERROR(__xludf.DUMMYFUNCTION("""COMPUTED_VALUE"""),27.2)</f>
        <v>27.2</v>
      </c>
      <c r="AW102" s="94" t="str">
        <f>IFERROR(__xludf.DUMMYFUNCTION("""COMPUTED_VALUE"""),"")</f>
        <v/>
      </c>
      <c r="AX102" s="93" t="str">
        <f>IFERROR(__xludf.DUMMYFUNCTION("""COMPUTED_VALUE"""),"")</f>
        <v/>
      </c>
      <c r="AY102" s="93" t="str">
        <f>IFERROR(__xludf.DUMMYFUNCTION("""COMPUTED_VALUE"""),"")</f>
        <v/>
      </c>
      <c r="AZ102" s="94" t="str">
        <f>IFERROR(__xludf.DUMMYFUNCTION("""COMPUTED_VALUE"""),"")</f>
        <v/>
      </c>
      <c r="BA102" s="93" t="str">
        <f>IFERROR(__xludf.DUMMYFUNCTION("""COMPUTED_VALUE"""),"")</f>
        <v/>
      </c>
      <c r="BB102" s="93" t="str">
        <f>IFERROR(__xludf.DUMMYFUNCTION("""COMPUTED_VALUE"""),"")</f>
        <v/>
      </c>
      <c r="BC102" s="94" t="str">
        <f>IFERROR(__xludf.DUMMYFUNCTION("""COMPUTED_VALUE"""),"")</f>
        <v/>
      </c>
      <c r="BD102" s="93" t="str">
        <f>IFERROR(__xludf.DUMMYFUNCTION("""COMPUTED_VALUE"""),"")</f>
        <v/>
      </c>
      <c r="BE102" s="93" t="str">
        <f>IFERROR(__xludf.DUMMYFUNCTION("""COMPUTED_VALUE"""),"")</f>
        <v/>
      </c>
      <c r="BF102" s="94" t="str">
        <f>IFERROR(__xludf.DUMMYFUNCTION("""COMPUTED_VALUE"""),"")</f>
        <v/>
      </c>
      <c r="BG102" s="92" t="str">
        <f>IFERROR(__xludf.DUMMYFUNCTION("""COMPUTED_VALUE"""),"")</f>
        <v/>
      </c>
      <c r="BH102" s="93" t="str">
        <f>IFERROR(__xludf.DUMMYFUNCTION("""COMPUTED_VALUE"""),"")</f>
        <v/>
      </c>
      <c r="BI102" s="94" t="str">
        <f>IFERROR(__xludf.DUMMYFUNCTION("""COMPUTED_VALUE"""),"")</f>
        <v/>
      </c>
      <c r="BJ102" s="93" t="str">
        <f>IFERROR(__xludf.DUMMYFUNCTION("""COMPUTED_VALUE"""),"")</f>
        <v/>
      </c>
      <c r="BK102" s="93" t="str">
        <f>IFERROR(__xludf.DUMMYFUNCTION("""COMPUTED_VALUE"""),"")</f>
        <v/>
      </c>
      <c r="BL102" s="94" t="str">
        <f>IFERROR(__xludf.DUMMYFUNCTION("""COMPUTED_VALUE"""),"")</f>
        <v/>
      </c>
      <c r="BM102" s="93">
        <f>IFERROR(__xludf.DUMMYFUNCTION("""COMPUTED_VALUE"""),203.6)</f>
        <v>203.6</v>
      </c>
      <c r="BN102" s="93" t="str">
        <f>IFERROR(__xludf.DUMMYFUNCTION("""COMPUTED_VALUE"""),"")</f>
        <v/>
      </c>
      <c r="BO102" s="94" t="str">
        <f>IFERROR(__xludf.DUMMYFUNCTION("""COMPUTED_VALUE"""),"")</f>
        <v/>
      </c>
      <c r="BP102" s="93" t="str">
        <f>IFERROR(__xludf.DUMMYFUNCTION("""COMPUTED_VALUE"""),"")</f>
        <v/>
      </c>
      <c r="BQ102" s="93" t="str">
        <f>IFERROR(__xludf.DUMMYFUNCTION("""COMPUTED_VALUE"""),"")</f>
        <v/>
      </c>
      <c r="BR102" s="109" t="str">
        <f>IFERROR(__xludf.DUMMYFUNCTION("""COMPUTED_VALUE"""),"")</f>
        <v/>
      </c>
      <c r="BS102" s="93" t="str">
        <f>IFERROR(__xludf.DUMMYFUNCTION("""COMPUTED_VALUE"""),"")</f>
        <v/>
      </c>
      <c r="BT102" s="93">
        <f>IFERROR(__xludf.DUMMYFUNCTION("""COMPUTED_VALUE"""),47.9)</f>
        <v>47.9</v>
      </c>
      <c r="BU102" s="94" t="str">
        <f>IFERROR(__xludf.DUMMYFUNCTION("""COMPUTED_VALUE"""),"")</f>
        <v/>
      </c>
      <c r="BV102" s="93" t="str">
        <f>IFERROR(__xludf.DUMMYFUNCTION("""COMPUTED_VALUE"""),"")</f>
        <v/>
      </c>
      <c r="BW102" s="93" t="str">
        <f>IFERROR(__xludf.DUMMYFUNCTION("""COMPUTED_VALUE"""),"")</f>
        <v/>
      </c>
      <c r="BX102" s="94" t="str">
        <f>IFERROR(__xludf.DUMMYFUNCTION("""COMPUTED_VALUE"""),"")</f>
        <v/>
      </c>
      <c r="BY102" s="93" t="str">
        <f>IFERROR(__xludf.DUMMYFUNCTION("""COMPUTED_VALUE"""),"")</f>
        <v/>
      </c>
      <c r="BZ102" s="93" t="str">
        <f>IFERROR(__xludf.DUMMYFUNCTION("""COMPUTED_VALUE"""),"")</f>
        <v/>
      </c>
      <c r="CA102" s="94" t="str">
        <f>IFERROR(__xludf.DUMMYFUNCTION("""COMPUTED_VALUE"""),"")</f>
        <v/>
      </c>
      <c r="CB102" s="92" t="str">
        <f>IFERROR(__xludf.DUMMYFUNCTION("""COMPUTED_VALUE"""),"")</f>
        <v/>
      </c>
      <c r="CC102" s="93" t="str">
        <f>IFERROR(__xludf.DUMMYFUNCTION("""COMPUTED_VALUE"""),"")</f>
        <v/>
      </c>
      <c r="CD102" s="94" t="str">
        <f>IFERROR(__xludf.DUMMYFUNCTION("""COMPUTED_VALUE"""),"")</f>
        <v/>
      </c>
      <c r="CE102" s="93" t="str">
        <f>IFERROR(__xludf.DUMMYFUNCTION("""COMPUTED_VALUE"""),"")</f>
        <v/>
      </c>
      <c r="CF102" s="93" t="str">
        <f>IFERROR(__xludf.DUMMYFUNCTION("""COMPUTED_VALUE"""),"")</f>
        <v/>
      </c>
      <c r="CG102" s="94" t="str">
        <f>IFERROR(__xludf.DUMMYFUNCTION("""COMPUTED_VALUE"""),"")</f>
        <v/>
      </c>
      <c r="CH102" s="93" t="str">
        <f>IFERROR(__xludf.DUMMYFUNCTION("""COMPUTED_VALUE"""),"")</f>
        <v/>
      </c>
      <c r="CI102" s="93" t="str">
        <f>IFERROR(__xludf.DUMMYFUNCTION("""COMPUTED_VALUE"""),"")</f>
        <v/>
      </c>
      <c r="CJ102" s="94" t="str">
        <f>IFERROR(__xludf.DUMMYFUNCTION("""COMPUTED_VALUE"""),"")</f>
        <v/>
      </c>
      <c r="CK102" s="93" t="str">
        <f>IFERROR(__xludf.DUMMYFUNCTION("""COMPUTED_VALUE"""),"")</f>
        <v/>
      </c>
      <c r="CL102" s="93" t="str">
        <f>IFERROR(__xludf.DUMMYFUNCTION("""COMPUTED_VALUE"""),"")</f>
        <v/>
      </c>
      <c r="CM102" s="109" t="str">
        <f>IFERROR(__xludf.DUMMYFUNCTION("""COMPUTED_VALUE"""),"")</f>
        <v/>
      </c>
      <c r="CN102" s="93" t="str">
        <f>IFERROR(__xludf.DUMMYFUNCTION("""COMPUTED_VALUE"""),"")</f>
        <v/>
      </c>
      <c r="CO102" s="93" t="str">
        <f>IFERROR(__xludf.DUMMYFUNCTION("""COMPUTED_VALUE"""),"")</f>
        <v/>
      </c>
      <c r="CP102" s="94" t="str">
        <f>IFERROR(__xludf.DUMMYFUNCTION("""COMPUTED_VALUE"""),"")</f>
        <v/>
      </c>
      <c r="CQ102" s="93" t="str">
        <f>IFERROR(__xludf.DUMMYFUNCTION("""COMPUTED_VALUE"""),"")</f>
        <v/>
      </c>
      <c r="CR102" s="93" t="str">
        <f>IFERROR(__xludf.DUMMYFUNCTION("""COMPUTED_VALUE"""),"")</f>
        <v/>
      </c>
      <c r="CS102" s="94"/>
      <c r="CT102" s="93"/>
      <c r="CU102" s="93"/>
      <c r="CV102" s="94"/>
      <c r="CW102" s="93"/>
      <c r="CX102" s="93"/>
      <c r="CY102" s="109"/>
      <c r="CZ102" s="93"/>
      <c r="DA102" s="93"/>
      <c r="DB102" s="94"/>
      <c r="DC102" s="93"/>
      <c r="DD102" s="93"/>
      <c r="DE102" s="94"/>
      <c r="DF102" s="93"/>
      <c r="DG102" s="93"/>
      <c r="DH102" s="109"/>
      <c r="DI102" s="93"/>
      <c r="DJ102" s="93"/>
      <c r="DK102" s="94"/>
      <c r="DL102" s="93"/>
      <c r="DM102" s="93"/>
      <c r="DN102" s="94"/>
      <c r="DO102" s="93"/>
      <c r="DP102" s="93"/>
      <c r="DQ102" s="94"/>
      <c r="DR102" s="93"/>
      <c r="DS102" s="93"/>
      <c r="DT102" s="94"/>
    </row>
    <row r="103">
      <c r="B103" s="120" t="str">
        <f>IFERROR(__xludf.DUMMYFUNCTION("""COMPUTED_VALUE"""),"EPU5")</f>
        <v>EPU5</v>
      </c>
      <c r="C103" s="82">
        <f>IFERROR(__xludf.DUMMYFUNCTION("""COMPUTED_VALUE"""),90.0)</f>
        <v>90</v>
      </c>
      <c r="D103" s="88" t="str">
        <f>IFERROR(__xludf.DUMMYFUNCTION("""COMPUTED_VALUE"""),"Dallas")</f>
        <v>Dallas</v>
      </c>
      <c r="E103" s="82" t="str">
        <f>IFERROR(__xludf.DUMMYFUNCTION("""COMPUTED_VALUE"""),"ダラス")</f>
        <v>ダラス</v>
      </c>
      <c r="F103" s="102">
        <f>IFERROR(__xludf.DUMMYFUNCTION("""COMPUTED_VALUE"""),17.0)</f>
        <v>17</v>
      </c>
      <c r="G103" s="82">
        <f>IFERROR(__xludf.DUMMYFUNCTION("""COMPUTED_VALUE"""),7709.0)</f>
        <v>7709</v>
      </c>
      <c r="H103" s="95" t="str">
        <f>IFERROR(__xludf.DUMMYFUNCTION("""COMPUTED_VALUE"""),"")</f>
        <v/>
      </c>
      <c r="I103" s="96" t="str">
        <f>IFERROR(__xludf.DUMMYFUNCTION("""COMPUTED_VALUE"""),"")</f>
        <v/>
      </c>
      <c r="J103" s="97" t="str">
        <f>IFERROR(__xludf.DUMMYFUNCTION("""COMPUTED_VALUE"""),"")</f>
        <v/>
      </c>
      <c r="K103" s="95" t="str">
        <f>IFERROR(__xludf.DUMMYFUNCTION("""COMPUTED_VALUE"""),"")</f>
        <v/>
      </c>
      <c r="L103" s="96" t="str">
        <f>IFERROR(__xludf.DUMMYFUNCTION("""COMPUTED_VALUE"""),"")</f>
        <v/>
      </c>
      <c r="M103" s="97" t="str">
        <f>IFERROR(__xludf.DUMMYFUNCTION("""COMPUTED_VALUE"""),"")</f>
        <v/>
      </c>
      <c r="N103" s="95" t="str">
        <f>IFERROR(__xludf.DUMMYFUNCTION("""COMPUTED_VALUE"""),"")</f>
        <v/>
      </c>
      <c r="O103" s="96" t="str">
        <f>IFERROR(__xludf.DUMMYFUNCTION("""COMPUTED_VALUE"""),"")</f>
        <v/>
      </c>
      <c r="P103" s="97" t="str">
        <f>IFERROR(__xludf.DUMMYFUNCTION("""COMPUTED_VALUE"""),"")</f>
        <v/>
      </c>
      <c r="Q103" s="95" t="str">
        <f>IFERROR(__xludf.DUMMYFUNCTION("""COMPUTED_VALUE"""),"")</f>
        <v/>
      </c>
      <c r="R103" s="96" t="str">
        <f>IFERROR(__xludf.DUMMYFUNCTION("""COMPUTED_VALUE"""),"")</f>
        <v/>
      </c>
      <c r="S103" s="97" t="str">
        <f>IFERROR(__xludf.DUMMYFUNCTION("""COMPUTED_VALUE"""),"")</f>
        <v/>
      </c>
      <c r="T103" s="95" t="str">
        <f>IFERROR(__xludf.DUMMYFUNCTION("""COMPUTED_VALUE"""),"")</f>
        <v/>
      </c>
      <c r="U103" s="96" t="str">
        <f>IFERROR(__xludf.DUMMYFUNCTION("""COMPUTED_VALUE"""),"")</f>
        <v/>
      </c>
      <c r="V103" s="97" t="str">
        <f>IFERROR(__xludf.DUMMYFUNCTION("""COMPUTED_VALUE"""),"")</f>
        <v/>
      </c>
      <c r="W103" s="95" t="str">
        <f>IFERROR(__xludf.DUMMYFUNCTION("""COMPUTED_VALUE"""),"")</f>
        <v/>
      </c>
      <c r="X103" s="96" t="str">
        <f>IFERROR(__xludf.DUMMYFUNCTION("""COMPUTED_VALUE"""),"")</f>
        <v/>
      </c>
      <c r="Y103" s="97" t="str">
        <f>IFERROR(__xludf.DUMMYFUNCTION("""COMPUTED_VALUE"""),"")</f>
        <v/>
      </c>
      <c r="Z103" s="95" t="str">
        <f>IFERROR(__xludf.DUMMYFUNCTION("""COMPUTED_VALUE"""),"")</f>
        <v/>
      </c>
      <c r="AA103" s="96" t="str">
        <f>IFERROR(__xludf.DUMMYFUNCTION("""COMPUTED_VALUE"""),"")</f>
        <v/>
      </c>
      <c r="AB103" s="97" t="str">
        <f>IFERROR(__xludf.DUMMYFUNCTION("""COMPUTED_VALUE"""),"")</f>
        <v/>
      </c>
      <c r="AC103" s="95" t="str">
        <f>IFERROR(__xludf.DUMMYFUNCTION("""COMPUTED_VALUE"""),"")</f>
        <v/>
      </c>
      <c r="AD103" s="96" t="str">
        <f>IFERROR(__xludf.DUMMYFUNCTION("""COMPUTED_VALUE"""),"")</f>
        <v/>
      </c>
      <c r="AE103" s="97" t="str">
        <f>IFERROR(__xludf.DUMMYFUNCTION("""COMPUTED_VALUE"""),"")</f>
        <v/>
      </c>
      <c r="AF103" s="95" t="str">
        <f>IFERROR(__xludf.DUMMYFUNCTION("""COMPUTED_VALUE"""),"")</f>
        <v/>
      </c>
      <c r="AG103" s="96" t="str">
        <f>IFERROR(__xludf.DUMMYFUNCTION("""COMPUTED_VALUE"""),"")</f>
        <v/>
      </c>
      <c r="AH103" s="97" t="str">
        <f>IFERROR(__xludf.DUMMYFUNCTION("""COMPUTED_VALUE"""),"")</f>
        <v/>
      </c>
      <c r="AI103" s="136" t="str">
        <f>IFERROR(__xludf.DUMMYFUNCTION("""COMPUTED_VALUE"""),"")</f>
        <v/>
      </c>
      <c r="AJ103" s="137" t="str">
        <f>IFERROR(__xludf.DUMMYFUNCTION("""COMPUTED_VALUE"""),"")</f>
        <v/>
      </c>
      <c r="AK103" s="138" t="str">
        <f>IFERROR(__xludf.DUMMYFUNCTION("""COMPUTED_VALUE"""),"")</f>
        <v/>
      </c>
      <c r="AL103" s="137" t="str">
        <f>IFERROR(__xludf.DUMMYFUNCTION("""COMPUTED_VALUE"""),"")</f>
        <v/>
      </c>
      <c r="AM103" s="137" t="str">
        <f>IFERROR(__xludf.DUMMYFUNCTION("""COMPUTED_VALUE"""),"")</f>
        <v/>
      </c>
      <c r="AN103" s="138" t="str">
        <f>IFERROR(__xludf.DUMMYFUNCTION("""COMPUTED_VALUE"""),"")</f>
        <v/>
      </c>
      <c r="AO103" s="137" t="str">
        <f>IFERROR(__xludf.DUMMYFUNCTION("""COMPUTED_VALUE"""),"")</f>
        <v/>
      </c>
      <c r="AP103" s="137" t="str">
        <f>IFERROR(__xludf.DUMMYFUNCTION("""COMPUTED_VALUE"""),"")</f>
        <v/>
      </c>
      <c r="AQ103" s="138" t="str">
        <f>IFERROR(__xludf.DUMMYFUNCTION("""COMPUTED_VALUE"""),"")</f>
        <v/>
      </c>
      <c r="AR103" s="137" t="str">
        <f>IFERROR(__xludf.DUMMYFUNCTION("""COMPUTED_VALUE"""),"")</f>
        <v/>
      </c>
      <c r="AS103" s="137" t="str">
        <f>IFERROR(__xludf.DUMMYFUNCTION("""COMPUTED_VALUE"""),"")</f>
        <v/>
      </c>
      <c r="AT103" s="138">
        <f>IFERROR(__xludf.DUMMYFUNCTION("""COMPUTED_VALUE"""),25.6)</f>
        <v>25.6</v>
      </c>
      <c r="AU103" s="137" t="str">
        <f>IFERROR(__xludf.DUMMYFUNCTION("""COMPUTED_VALUE"""),"")</f>
        <v/>
      </c>
      <c r="AV103" s="137" t="str">
        <f>IFERROR(__xludf.DUMMYFUNCTION("""COMPUTED_VALUE"""),"")</f>
        <v/>
      </c>
      <c r="AW103" s="138" t="str">
        <f>IFERROR(__xludf.DUMMYFUNCTION("""COMPUTED_VALUE"""),"")</f>
        <v/>
      </c>
      <c r="AX103" s="137" t="str">
        <f>IFERROR(__xludf.DUMMYFUNCTION("""COMPUTED_VALUE"""),"")</f>
        <v/>
      </c>
      <c r="AY103" s="137" t="str">
        <f>IFERROR(__xludf.DUMMYFUNCTION("""COMPUTED_VALUE"""),"")</f>
        <v/>
      </c>
      <c r="AZ103" s="138" t="str">
        <f>IFERROR(__xludf.DUMMYFUNCTION("""COMPUTED_VALUE"""),"")</f>
        <v/>
      </c>
      <c r="BA103" s="137" t="str">
        <f>IFERROR(__xludf.DUMMYFUNCTION("""COMPUTED_VALUE"""),"")</f>
        <v/>
      </c>
      <c r="BB103" s="137" t="str">
        <f>IFERROR(__xludf.DUMMYFUNCTION("""COMPUTED_VALUE"""),"")</f>
        <v/>
      </c>
      <c r="BC103" s="138" t="str">
        <f>IFERROR(__xludf.DUMMYFUNCTION("""COMPUTED_VALUE"""),"")</f>
        <v/>
      </c>
      <c r="BD103" s="137" t="str">
        <f>IFERROR(__xludf.DUMMYFUNCTION("""COMPUTED_VALUE"""),"")</f>
        <v/>
      </c>
      <c r="BE103" s="137" t="str">
        <f>IFERROR(__xludf.DUMMYFUNCTION("""COMPUTED_VALUE"""),"")</f>
        <v/>
      </c>
      <c r="BF103" s="138" t="str">
        <f>IFERROR(__xludf.DUMMYFUNCTION("""COMPUTED_VALUE"""),"")</f>
        <v/>
      </c>
      <c r="BG103" s="136" t="str">
        <f>IFERROR(__xludf.DUMMYFUNCTION("""COMPUTED_VALUE"""),"")</f>
        <v/>
      </c>
      <c r="BH103" s="137" t="str">
        <f>IFERROR(__xludf.DUMMYFUNCTION("""COMPUTED_VALUE"""),"")</f>
        <v/>
      </c>
      <c r="BI103" s="138" t="str">
        <f>IFERROR(__xludf.DUMMYFUNCTION("""COMPUTED_VALUE"""),"")</f>
        <v/>
      </c>
      <c r="BJ103" s="137" t="str">
        <f>IFERROR(__xludf.DUMMYFUNCTION("""COMPUTED_VALUE"""),"")</f>
        <v/>
      </c>
      <c r="BK103" s="137" t="str">
        <f>IFERROR(__xludf.DUMMYFUNCTION("""COMPUTED_VALUE"""),"")</f>
        <v/>
      </c>
      <c r="BL103" s="138" t="str">
        <f>IFERROR(__xludf.DUMMYFUNCTION("""COMPUTED_VALUE"""),"")</f>
        <v/>
      </c>
      <c r="BM103" s="137" t="str">
        <f>IFERROR(__xludf.DUMMYFUNCTION("""COMPUTED_VALUE"""),"")</f>
        <v/>
      </c>
      <c r="BN103" s="137" t="str">
        <f>IFERROR(__xludf.DUMMYFUNCTION("""COMPUTED_VALUE"""),"")</f>
        <v/>
      </c>
      <c r="BO103" s="138" t="str">
        <f>IFERROR(__xludf.DUMMYFUNCTION("""COMPUTED_VALUE"""),"")</f>
        <v/>
      </c>
      <c r="BP103" s="137" t="str">
        <f>IFERROR(__xludf.DUMMYFUNCTION("""COMPUTED_VALUE"""),"")</f>
        <v/>
      </c>
      <c r="BQ103" s="137" t="str">
        <f>IFERROR(__xludf.DUMMYFUNCTION("""COMPUTED_VALUE"""),"")</f>
        <v/>
      </c>
      <c r="BR103" s="138">
        <f>IFERROR(__xludf.DUMMYFUNCTION("""COMPUTED_VALUE"""),171.9)</f>
        <v>171.9</v>
      </c>
      <c r="BS103" s="137">
        <f>IFERROR(__xludf.DUMMYFUNCTION("""COMPUTED_VALUE"""),66.1)</f>
        <v>66.1</v>
      </c>
      <c r="BT103" s="137" t="str">
        <f>IFERROR(__xludf.DUMMYFUNCTION("""COMPUTED_VALUE"""),"")</f>
        <v/>
      </c>
      <c r="BU103" s="138" t="str">
        <f>IFERROR(__xludf.DUMMYFUNCTION("""COMPUTED_VALUE"""),"")</f>
        <v/>
      </c>
      <c r="BV103" s="137" t="str">
        <f>IFERROR(__xludf.DUMMYFUNCTION("""COMPUTED_VALUE"""),"")</f>
        <v/>
      </c>
      <c r="BW103" s="137" t="str">
        <f>IFERROR(__xludf.DUMMYFUNCTION("""COMPUTED_VALUE"""),"")</f>
        <v/>
      </c>
      <c r="BX103" s="138" t="str">
        <f>IFERROR(__xludf.DUMMYFUNCTION("""COMPUTED_VALUE"""),"")</f>
        <v/>
      </c>
      <c r="BY103" s="137" t="str">
        <f>IFERROR(__xludf.DUMMYFUNCTION("""COMPUTED_VALUE"""),"")</f>
        <v/>
      </c>
      <c r="BZ103" s="137" t="str">
        <f>IFERROR(__xludf.DUMMYFUNCTION("""COMPUTED_VALUE"""),"")</f>
        <v/>
      </c>
      <c r="CA103" s="138" t="str">
        <f>IFERROR(__xludf.DUMMYFUNCTION("""COMPUTED_VALUE"""),"")</f>
        <v/>
      </c>
      <c r="CB103" s="136" t="str">
        <f>IFERROR(__xludf.DUMMYFUNCTION("""COMPUTED_VALUE"""),"")</f>
        <v/>
      </c>
      <c r="CC103" s="137" t="str">
        <f>IFERROR(__xludf.DUMMYFUNCTION("""COMPUTED_VALUE"""),"")</f>
        <v/>
      </c>
      <c r="CD103" s="138" t="str">
        <f>IFERROR(__xludf.DUMMYFUNCTION("""COMPUTED_VALUE"""),"")</f>
        <v/>
      </c>
      <c r="CE103" s="137" t="str">
        <f>IFERROR(__xludf.DUMMYFUNCTION("""COMPUTED_VALUE"""),"")</f>
        <v/>
      </c>
      <c r="CF103" s="137" t="str">
        <f>IFERROR(__xludf.DUMMYFUNCTION("""COMPUTED_VALUE"""),"")</f>
        <v/>
      </c>
      <c r="CG103" s="138" t="str">
        <f>IFERROR(__xludf.DUMMYFUNCTION("""COMPUTED_VALUE"""),"")</f>
        <v/>
      </c>
      <c r="CH103" s="137" t="str">
        <f>IFERROR(__xludf.DUMMYFUNCTION("""COMPUTED_VALUE"""),"")</f>
        <v/>
      </c>
      <c r="CI103" s="137" t="str">
        <f>IFERROR(__xludf.DUMMYFUNCTION("""COMPUTED_VALUE"""),"")</f>
        <v/>
      </c>
      <c r="CJ103" s="138" t="str">
        <f>IFERROR(__xludf.DUMMYFUNCTION("""COMPUTED_VALUE"""),"")</f>
        <v/>
      </c>
      <c r="CK103" s="137" t="str">
        <f>IFERROR(__xludf.DUMMYFUNCTION("""COMPUTED_VALUE"""),"")</f>
        <v/>
      </c>
      <c r="CL103" s="137" t="str">
        <f>IFERROR(__xludf.DUMMYFUNCTION("""COMPUTED_VALUE"""),"")</f>
        <v/>
      </c>
      <c r="CM103" s="138" t="str">
        <f>IFERROR(__xludf.DUMMYFUNCTION("""COMPUTED_VALUE"""),"")</f>
        <v/>
      </c>
      <c r="CN103" s="137" t="str">
        <f>IFERROR(__xludf.DUMMYFUNCTION("""COMPUTED_VALUE"""),"")</f>
        <v/>
      </c>
      <c r="CO103" s="137" t="str">
        <f>IFERROR(__xludf.DUMMYFUNCTION("""COMPUTED_VALUE"""),"")</f>
        <v/>
      </c>
      <c r="CP103" s="138" t="str">
        <f>IFERROR(__xludf.DUMMYFUNCTION("""COMPUTED_VALUE"""),"")</f>
        <v/>
      </c>
      <c r="CQ103" s="137" t="str">
        <f>IFERROR(__xludf.DUMMYFUNCTION("""COMPUTED_VALUE"""),"")</f>
        <v/>
      </c>
      <c r="CR103" s="137" t="str">
        <f>IFERROR(__xludf.DUMMYFUNCTION("""COMPUTED_VALUE"""),"")</f>
        <v/>
      </c>
      <c r="CS103" s="138"/>
      <c r="CT103" s="137"/>
      <c r="CU103" s="137"/>
      <c r="CV103" s="138"/>
      <c r="CW103" s="137"/>
      <c r="CX103" s="137"/>
      <c r="CY103" s="138"/>
      <c r="CZ103" s="137"/>
      <c r="DA103" s="137"/>
      <c r="DB103" s="138"/>
      <c r="DC103" s="137"/>
      <c r="DD103" s="137"/>
      <c r="DE103" s="138"/>
      <c r="DF103" s="137"/>
      <c r="DG103" s="137"/>
      <c r="DH103" s="138"/>
      <c r="DI103" s="137"/>
      <c r="DJ103" s="137"/>
      <c r="DK103" s="138"/>
      <c r="DL103" s="137"/>
      <c r="DM103" s="137"/>
      <c r="DN103" s="138"/>
      <c r="DO103" s="137"/>
      <c r="DP103" s="137"/>
      <c r="DQ103" s="138"/>
      <c r="DR103" s="137"/>
      <c r="DS103" s="137"/>
      <c r="DT103" s="138"/>
    </row>
    <row r="104">
      <c r="B104" s="120" t="str">
        <f>IFERROR(__xludf.DUMMYFUNCTION("""COMPUTED_VALUE"""),"EPU6")</f>
        <v>EPU6</v>
      </c>
      <c r="C104" s="82">
        <f>IFERROR(__xludf.DUMMYFUNCTION("""COMPUTED_VALUE"""),91.0)</f>
        <v>91</v>
      </c>
      <c r="D104" s="88" t="str">
        <f>IFERROR(__xludf.DUMMYFUNCTION("""COMPUTED_VALUE"""),"Alcatraz")</f>
        <v>Alcatraz</v>
      </c>
      <c r="E104" s="82" t="str">
        <f>IFERROR(__xludf.DUMMYFUNCTION("""COMPUTED_VALUE"""),"アルカトラズ")</f>
        <v>アルカトラズ</v>
      </c>
      <c r="F104" s="102">
        <f>IFERROR(__xludf.DUMMYFUNCTION("""COMPUTED_VALUE"""),18.0)</f>
        <v>18</v>
      </c>
      <c r="G104" s="82">
        <f>IFERROR(__xludf.DUMMYFUNCTION("""COMPUTED_VALUE"""),1210.0)</f>
        <v>1210</v>
      </c>
      <c r="H104" s="95" t="str">
        <f>IFERROR(__xludf.DUMMYFUNCTION("""COMPUTED_VALUE"""),"")</f>
        <v/>
      </c>
      <c r="I104" s="96" t="str">
        <f>IFERROR(__xludf.DUMMYFUNCTION("""COMPUTED_VALUE"""),"")</f>
        <v/>
      </c>
      <c r="J104" s="97" t="str">
        <f>IFERROR(__xludf.DUMMYFUNCTION("""COMPUTED_VALUE"""),"")</f>
        <v/>
      </c>
      <c r="K104" s="95" t="str">
        <f>IFERROR(__xludf.DUMMYFUNCTION("""COMPUTED_VALUE"""),"")</f>
        <v/>
      </c>
      <c r="L104" s="96" t="str">
        <f>IFERROR(__xludf.DUMMYFUNCTION("""COMPUTED_VALUE"""),"")</f>
        <v/>
      </c>
      <c r="M104" s="97" t="str">
        <f>IFERROR(__xludf.DUMMYFUNCTION("""COMPUTED_VALUE"""),"")</f>
        <v/>
      </c>
      <c r="N104" s="95" t="str">
        <f>IFERROR(__xludf.DUMMYFUNCTION("""COMPUTED_VALUE"""),"")</f>
        <v/>
      </c>
      <c r="O104" s="96" t="str">
        <f>IFERROR(__xludf.DUMMYFUNCTION("""COMPUTED_VALUE"""),"")</f>
        <v/>
      </c>
      <c r="P104" s="97" t="str">
        <f>IFERROR(__xludf.DUMMYFUNCTION("""COMPUTED_VALUE"""),"")</f>
        <v/>
      </c>
      <c r="Q104" s="95" t="str">
        <f>IFERROR(__xludf.DUMMYFUNCTION("""COMPUTED_VALUE"""),"")</f>
        <v/>
      </c>
      <c r="R104" s="96" t="str">
        <f>IFERROR(__xludf.DUMMYFUNCTION("""COMPUTED_VALUE"""),"")</f>
        <v/>
      </c>
      <c r="S104" s="97" t="str">
        <f>IFERROR(__xludf.DUMMYFUNCTION("""COMPUTED_VALUE"""),"")</f>
        <v/>
      </c>
      <c r="T104" s="95" t="str">
        <f>IFERROR(__xludf.DUMMYFUNCTION("""COMPUTED_VALUE"""),"")</f>
        <v/>
      </c>
      <c r="U104" s="96" t="str">
        <f>IFERROR(__xludf.DUMMYFUNCTION("""COMPUTED_VALUE"""),"")</f>
        <v/>
      </c>
      <c r="V104" s="97" t="str">
        <f>IFERROR(__xludf.DUMMYFUNCTION("""COMPUTED_VALUE"""),"")</f>
        <v/>
      </c>
      <c r="W104" s="95" t="str">
        <f>IFERROR(__xludf.DUMMYFUNCTION("""COMPUTED_VALUE"""),"")</f>
        <v/>
      </c>
      <c r="X104" s="96" t="str">
        <f>IFERROR(__xludf.DUMMYFUNCTION("""COMPUTED_VALUE"""),"")</f>
        <v/>
      </c>
      <c r="Y104" s="97" t="str">
        <f>IFERROR(__xludf.DUMMYFUNCTION("""COMPUTED_VALUE"""),"")</f>
        <v/>
      </c>
      <c r="Z104" s="95" t="str">
        <f>IFERROR(__xludf.DUMMYFUNCTION("""COMPUTED_VALUE"""),"")</f>
        <v/>
      </c>
      <c r="AA104" s="96" t="str">
        <f>IFERROR(__xludf.DUMMYFUNCTION("""COMPUTED_VALUE"""),"")</f>
        <v/>
      </c>
      <c r="AB104" s="97" t="str">
        <f>IFERROR(__xludf.DUMMYFUNCTION("""COMPUTED_VALUE"""),"")</f>
        <v/>
      </c>
      <c r="AC104" s="95" t="str">
        <f>IFERROR(__xludf.DUMMYFUNCTION("""COMPUTED_VALUE"""),"")</f>
        <v/>
      </c>
      <c r="AD104" s="96" t="str">
        <f>IFERROR(__xludf.DUMMYFUNCTION("""COMPUTED_VALUE"""),"")</f>
        <v/>
      </c>
      <c r="AE104" s="97" t="str">
        <f>IFERROR(__xludf.DUMMYFUNCTION("""COMPUTED_VALUE"""),"")</f>
        <v/>
      </c>
      <c r="AF104" s="95" t="str">
        <f>IFERROR(__xludf.DUMMYFUNCTION("""COMPUTED_VALUE"""),"")</f>
        <v/>
      </c>
      <c r="AG104" s="96" t="str">
        <f>IFERROR(__xludf.DUMMYFUNCTION("""COMPUTED_VALUE"""),"")</f>
        <v/>
      </c>
      <c r="AH104" s="97" t="str">
        <f>IFERROR(__xludf.DUMMYFUNCTION("""COMPUTED_VALUE"""),"")</f>
        <v/>
      </c>
      <c r="AI104" s="92" t="str">
        <f>IFERROR(__xludf.DUMMYFUNCTION("""COMPUTED_VALUE"""),"")</f>
        <v/>
      </c>
      <c r="AJ104" s="93" t="str">
        <f>IFERROR(__xludf.DUMMYFUNCTION("""COMPUTED_VALUE"""),"")</f>
        <v/>
      </c>
      <c r="AK104" s="94" t="str">
        <f>IFERROR(__xludf.DUMMYFUNCTION("""COMPUTED_VALUE"""),"")</f>
        <v/>
      </c>
      <c r="AL104" s="93" t="str">
        <f>IFERROR(__xludf.DUMMYFUNCTION("""COMPUTED_VALUE"""),"")</f>
        <v/>
      </c>
      <c r="AM104" s="93" t="str">
        <f>IFERROR(__xludf.DUMMYFUNCTION("""COMPUTED_VALUE"""),"")</f>
        <v/>
      </c>
      <c r="AN104" s="94" t="str">
        <f>IFERROR(__xludf.DUMMYFUNCTION("""COMPUTED_VALUE"""),"")</f>
        <v/>
      </c>
      <c r="AO104" s="93" t="str">
        <f>IFERROR(__xludf.DUMMYFUNCTION("""COMPUTED_VALUE"""),"")</f>
        <v/>
      </c>
      <c r="AP104" s="93" t="str">
        <f>IFERROR(__xludf.DUMMYFUNCTION("""COMPUTED_VALUE"""),"")</f>
        <v/>
      </c>
      <c r="AQ104" s="94" t="str">
        <f>IFERROR(__xludf.DUMMYFUNCTION("""COMPUTED_VALUE"""),"")</f>
        <v/>
      </c>
      <c r="AR104" s="93" t="str">
        <f>IFERROR(__xludf.DUMMYFUNCTION("""COMPUTED_VALUE"""),"")</f>
        <v/>
      </c>
      <c r="AS104" s="93" t="str">
        <f>IFERROR(__xludf.DUMMYFUNCTION("""COMPUTED_VALUE"""),"")</f>
        <v/>
      </c>
      <c r="AT104" s="94">
        <f>IFERROR(__xludf.DUMMYFUNCTION("""COMPUTED_VALUE"""),35.2)</f>
        <v>35.2</v>
      </c>
      <c r="AU104" s="93" t="str">
        <f>IFERROR(__xludf.DUMMYFUNCTION("""COMPUTED_VALUE"""),"")</f>
        <v/>
      </c>
      <c r="AV104" s="93" t="str">
        <f>IFERROR(__xludf.DUMMYFUNCTION("""COMPUTED_VALUE"""),"")</f>
        <v/>
      </c>
      <c r="AW104" s="94">
        <f>IFERROR(__xludf.DUMMYFUNCTION("""COMPUTED_VALUE"""),159.0)</f>
        <v>159</v>
      </c>
      <c r="AX104" s="93" t="str">
        <f>IFERROR(__xludf.DUMMYFUNCTION("""COMPUTED_VALUE"""),"")</f>
        <v/>
      </c>
      <c r="AY104" s="93" t="str">
        <f>IFERROR(__xludf.DUMMYFUNCTION("""COMPUTED_VALUE"""),"")</f>
        <v/>
      </c>
      <c r="AZ104" s="94" t="str">
        <f>IFERROR(__xludf.DUMMYFUNCTION("""COMPUTED_VALUE"""),"")</f>
        <v/>
      </c>
      <c r="BA104" s="93" t="str">
        <f>IFERROR(__xludf.DUMMYFUNCTION("""COMPUTED_VALUE"""),"")</f>
        <v/>
      </c>
      <c r="BB104" s="93" t="str">
        <f>IFERROR(__xludf.DUMMYFUNCTION("""COMPUTED_VALUE"""),"")</f>
        <v/>
      </c>
      <c r="BC104" s="94" t="str">
        <f>IFERROR(__xludf.DUMMYFUNCTION("""COMPUTED_VALUE"""),"")</f>
        <v/>
      </c>
      <c r="BD104" s="93" t="str">
        <f>IFERROR(__xludf.DUMMYFUNCTION("""COMPUTED_VALUE"""),"")</f>
        <v/>
      </c>
      <c r="BE104" s="93" t="str">
        <f>IFERROR(__xludf.DUMMYFUNCTION("""COMPUTED_VALUE"""),"")</f>
        <v/>
      </c>
      <c r="BF104" s="94" t="str">
        <f>IFERROR(__xludf.DUMMYFUNCTION("""COMPUTED_VALUE"""),"")</f>
        <v/>
      </c>
      <c r="BG104" s="92" t="str">
        <f>IFERROR(__xludf.DUMMYFUNCTION("""COMPUTED_VALUE"""),"")</f>
        <v/>
      </c>
      <c r="BH104" s="93" t="str">
        <f>IFERROR(__xludf.DUMMYFUNCTION("""COMPUTED_VALUE"""),"")</f>
        <v/>
      </c>
      <c r="BI104" s="94" t="str">
        <f>IFERROR(__xludf.DUMMYFUNCTION("""COMPUTED_VALUE"""),"")</f>
        <v/>
      </c>
      <c r="BJ104" s="93" t="str">
        <f>IFERROR(__xludf.DUMMYFUNCTION("""COMPUTED_VALUE"""),"")</f>
        <v/>
      </c>
      <c r="BK104" s="93" t="str">
        <f>IFERROR(__xludf.DUMMYFUNCTION("""COMPUTED_VALUE"""),"")</f>
        <v/>
      </c>
      <c r="BL104" s="94" t="str">
        <f>IFERROR(__xludf.DUMMYFUNCTION("""COMPUTED_VALUE"""),"")</f>
        <v/>
      </c>
      <c r="BM104" s="93" t="str">
        <f>IFERROR(__xludf.DUMMYFUNCTION("""COMPUTED_VALUE"""),"")</f>
        <v/>
      </c>
      <c r="BN104" s="93" t="str">
        <f>IFERROR(__xludf.DUMMYFUNCTION("""COMPUTED_VALUE"""),"")</f>
        <v/>
      </c>
      <c r="BO104" s="94" t="str">
        <f>IFERROR(__xludf.DUMMYFUNCTION("""COMPUTED_VALUE"""),"")</f>
        <v/>
      </c>
      <c r="BP104" s="93" t="str">
        <f>IFERROR(__xludf.DUMMYFUNCTION("""COMPUTED_VALUE"""),"")</f>
        <v/>
      </c>
      <c r="BQ104" s="93">
        <f>IFERROR(__xludf.DUMMYFUNCTION("""COMPUTED_VALUE"""),315.7)</f>
        <v>315.7</v>
      </c>
      <c r="BR104" s="94" t="str">
        <f>IFERROR(__xludf.DUMMYFUNCTION("""COMPUTED_VALUE"""),"")</f>
        <v/>
      </c>
      <c r="BS104" s="93">
        <f>IFERROR(__xludf.DUMMYFUNCTION("""COMPUTED_VALUE"""),71.2)</f>
        <v>71.2</v>
      </c>
      <c r="BT104" s="93" t="str">
        <f>IFERROR(__xludf.DUMMYFUNCTION("""COMPUTED_VALUE"""),"")</f>
        <v/>
      </c>
      <c r="BU104" s="94" t="str">
        <f>IFERROR(__xludf.DUMMYFUNCTION("""COMPUTED_VALUE"""),"")</f>
        <v/>
      </c>
      <c r="BV104" s="93" t="str">
        <f>IFERROR(__xludf.DUMMYFUNCTION("""COMPUTED_VALUE"""),"")</f>
        <v/>
      </c>
      <c r="BW104" s="93" t="str">
        <f>IFERROR(__xludf.DUMMYFUNCTION("""COMPUTED_VALUE"""),"")</f>
        <v/>
      </c>
      <c r="BX104" s="94" t="str">
        <f>IFERROR(__xludf.DUMMYFUNCTION("""COMPUTED_VALUE"""),"")</f>
        <v/>
      </c>
      <c r="BY104" s="93" t="str">
        <f>IFERROR(__xludf.DUMMYFUNCTION("""COMPUTED_VALUE"""),"")</f>
        <v/>
      </c>
      <c r="BZ104" s="93" t="str">
        <f>IFERROR(__xludf.DUMMYFUNCTION("""COMPUTED_VALUE"""),"")</f>
        <v/>
      </c>
      <c r="CA104" s="94" t="str">
        <f>IFERROR(__xludf.DUMMYFUNCTION("""COMPUTED_VALUE"""),"")</f>
        <v/>
      </c>
      <c r="CB104" s="92" t="str">
        <f>IFERROR(__xludf.DUMMYFUNCTION("""COMPUTED_VALUE"""),"")</f>
        <v/>
      </c>
      <c r="CC104" s="93" t="str">
        <f>IFERROR(__xludf.DUMMYFUNCTION("""COMPUTED_VALUE"""),"")</f>
        <v/>
      </c>
      <c r="CD104" s="94">
        <f>IFERROR(__xludf.DUMMYFUNCTION("""COMPUTED_VALUE"""),837.7)</f>
        <v>837.7</v>
      </c>
      <c r="CE104" s="93" t="str">
        <f>IFERROR(__xludf.DUMMYFUNCTION("""COMPUTED_VALUE"""),"")</f>
        <v/>
      </c>
      <c r="CF104" s="93" t="str">
        <f>IFERROR(__xludf.DUMMYFUNCTION("""COMPUTED_VALUE"""),"")</f>
        <v/>
      </c>
      <c r="CG104" s="94" t="str">
        <f>IFERROR(__xludf.DUMMYFUNCTION("""COMPUTED_VALUE"""),"")</f>
        <v/>
      </c>
      <c r="CH104" s="93" t="str">
        <f>IFERROR(__xludf.DUMMYFUNCTION("""COMPUTED_VALUE"""),"")</f>
        <v/>
      </c>
      <c r="CI104" s="93" t="str">
        <f>IFERROR(__xludf.DUMMYFUNCTION("""COMPUTED_VALUE"""),"")</f>
        <v/>
      </c>
      <c r="CJ104" s="94" t="str">
        <f>IFERROR(__xludf.DUMMYFUNCTION("""COMPUTED_VALUE"""),"")</f>
        <v/>
      </c>
      <c r="CK104" s="93">
        <f>IFERROR(__xludf.DUMMYFUNCTION("""COMPUTED_VALUE"""),181.5)</f>
        <v>181.5</v>
      </c>
      <c r="CL104" s="93" t="str">
        <f>IFERROR(__xludf.DUMMYFUNCTION("""COMPUTED_VALUE"""),"")</f>
        <v/>
      </c>
      <c r="CM104" s="94" t="str">
        <f>IFERROR(__xludf.DUMMYFUNCTION("""COMPUTED_VALUE"""),"")</f>
        <v/>
      </c>
      <c r="CN104" s="93" t="str">
        <f>IFERROR(__xludf.DUMMYFUNCTION("""COMPUTED_VALUE"""),"")</f>
        <v/>
      </c>
      <c r="CO104" s="93" t="str">
        <f>IFERROR(__xludf.DUMMYFUNCTION("""COMPUTED_VALUE"""),"")</f>
        <v/>
      </c>
      <c r="CP104" s="94" t="str">
        <f>IFERROR(__xludf.DUMMYFUNCTION("""COMPUTED_VALUE"""),"")</f>
        <v/>
      </c>
      <c r="CQ104" s="93" t="str">
        <f>IFERROR(__xludf.DUMMYFUNCTION("""COMPUTED_VALUE"""),"")</f>
        <v/>
      </c>
      <c r="CR104" s="93" t="str">
        <f>IFERROR(__xludf.DUMMYFUNCTION("""COMPUTED_VALUE"""),"")</f>
        <v/>
      </c>
      <c r="CS104" s="94"/>
      <c r="CT104" s="93"/>
      <c r="CU104" s="93"/>
      <c r="CV104" s="94"/>
      <c r="CW104" s="93"/>
      <c r="CX104" s="93"/>
      <c r="CY104" s="94"/>
      <c r="CZ104" s="93"/>
      <c r="DA104" s="93"/>
      <c r="DB104" s="94"/>
      <c r="DC104" s="93"/>
      <c r="DD104" s="93"/>
      <c r="DE104" s="94"/>
      <c r="DF104" s="93"/>
      <c r="DG104" s="93"/>
      <c r="DH104" s="94"/>
      <c r="DI104" s="93"/>
      <c r="DJ104" s="93"/>
      <c r="DK104" s="94"/>
      <c r="DL104" s="93"/>
      <c r="DM104" s="93"/>
      <c r="DN104" s="94"/>
      <c r="DO104" s="93"/>
      <c r="DP104" s="93"/>
      <c r="DQ104" s="94"/>
      <c r="DR104" s="93"/>
      <c r="DS104" s="93"/>
      <c r="DT104" s="94"/>
    </row>
    <row r="105">
      <c r="B105" s="120" t="str">
        <f>IFERROR(__xludf.DUMMYFUNCTION("""COMPUTED_VALUE"""),"EPU7")</f>
        <v>EPU7</v>
      </c>
      <c r="C105" s="82">
        <f>IFERROR(__xludf.DUMMYFUNCTION("""COMPUTED_VALUE"""),92.0)</f>
        <v>92</v>
      </c>
      <c r="D105" s="88" t="str">
        <f>IFERROR(__xludf.DUMMYFUNCTION("""COMPUTED_VALUE"""),"Des Moines")</f>
        <v>Des Moines</v>
      </c>
      <c r="E105" s="82" t="str">
        <f>IFERROR(__xludf.DUMMYFUNCTION("""COMPUTED_VALUE"""),"デモイン")</f>
        <v>デモイン</v>
      </c>
      <c r="F105" s="102">
        <f>IFERROR(__xludf.DUMMYFUNCTION("""COMPUTED_VALUE"""),18.0)</f>
        <v>18</v>
      </c>
      <c r="G105" s="82">
        <f>IFERROR(__xludf.DUMMYFUNCTION("""COMPUTED_VALUE"""),23872.0)</f>
        <v>23872</v>
      </c>
      <c r="H105" s="95">
        <f>IFERROR(__xludf.DUMMYFUNCTION("""COMPUTED_VALUE"""),89.7)</f>
        <v>89.7</v>
      </c>
      <c r="I105" s="96" t="str">
        <f>IFERROR(__xludf.DUMMYFUNCTION("""COMPUTED_VALUE"""),"")</f>
        <v/>
      </c>
      <c r="J105" s="97" t="str">
        <f>IFERROR(__xludf.DUMMYFUNCTION("""COMPUTED_VALUE"""),"")</f>
        <v/>
      </c>
      <c r="K105" s="95" t="str">
        <f>IFERROR(__xludf.DUMMYFUNCTION("""COMPUTED_VALUE"""),"")</f>
        <v/>
      </c>
      <c r="L105" s="96" t="str">
        <f>IFERROR(__xludf.DUMMYFUNCTION("""COMPUTED_VALUE"""),"")</f>
        <v/>
      </c>
      <c r="M105" s="97" t="str">
        <f>IFERROR(__xludf.DUMMYFUNCTION("""COMPUTED_VALUE"""),"")</f>
        <v/>
      </c>
      <c r="N105" s="95" t="str">
        <f>IFERROR(__xludf.DUMMYFUNCTION("""COMPUTED_VALUE"""),"")</f>
        <v/>
      </c>
      <c r="O105" s="96" t="str">
        <f>IFERROR(__xludf.DUMMYFUNCTION("""COMPUTED_VALUE"""),"")</f>
        <v/>
      </c>
      <c r="P105" s="97" t="str">
        <f>IFERROR(__xludf.DUMMYFUNCTION("""COMPUTED_VALUE"""),"")</f>
        <v/>
      </c>
      <c r="Q105" s="95" t="str">
        <f>IFERROR(__xludf.DUMMYFUNCTION("""COMPUTED_VALUE"""),"")</f>
        <v/>
      </c>
      <c r="R105" s="96" t="str">
        <f>IFERROR(__xludf.DUMMYFUNCTION("""COMPUTED_VALUE"""),"")</f>
        <v/>
      </c>
      <c r="S105" s="97" t="str">
        <f>IFERROR(__xludf.DUMMYFUNCTION("""COMPUTED_VALUE"""),"")</f>
        <v/>
      </c>
      <c r="T105" s="95" t="str">
        <f>IFERROR(__xludf.DUMMYFUNCTION("""COMPUTED_VALUE"""),"")</f>
        <v/>
      </c>
      <c r="U105" s="96" t="str">
        <f>IFERROR(__xludf.DUMMYFUNCTION("""COMPUTED_VALUE"""),"")</f>
        <v/>
      </c>
      <c r="V105" s="97" t="str">
        <f>IFERROR(__xludf.DUMMYFUNCTION("""COMPUTED_VALUE"""),"")</f>
        <v/>
      </c>
      <c r="W105" s="95" t="str">
        <f>IFERROR(__xludf.DUMMYFUNCTION("""COMPUTED_VALUE"""),"")</f>
        <v/>
      </c>
      <c r="X105" s="96" t="str">
        <f>IFERROR(__xludf.DUMMYFUNCTION("""COMPUTED_VALUE"""),"")</f>
        <v/>
      </c>
      <c r="Y105" s="97" t="str">
        <f>IFERROR(__xludf.DUMMYFUNCTION("""COMPUTED_VALUE"""),"")</f>
        <v/>
      </c>
      <c r="Z105" s="95">
        <f>IFERROR(__xludf.DUMMYFUNCTION("""COMPUTED_VALUE"""),195.2)</f>
        <v>195.2</v>
      </c>
      <c r="AA105" s="96" t="str">
        <f>IFERROR(__xludf.DUMMYFUNCTION("""COMPUTED_VALUE"""),"")</f>
        <v/>
      </c>
      <c r="AB105" s="97" t="str">
        <f>IFERROR(__xludf.DUMMYFUNCTION("""COMPUTED_VALUE"""),"")</f>
        <v/>
      </c>
      <c r="AC105" s="95" t="str">
        <f>IFERROR(__xludf.DUMMYFUNCTION("""COMPUTED_VALUE"""),"")</f>
        <v/>
      </c>
      <c r="AD105" s="96" t="str">
        <f>IFERROR(__xludf.DUMMYFUNCTION("""COMPUTED_VALUE"""),"")</f>
        <v/>
      </c>
      <c r="AE105" s="97" t="str">
        <f>IFERROR(__xludf.DUMMYFUNCTION("""COMPUTED_VALUE"""),"")</f>
        <v/>
      </c>
      <c r="AF105" s="95" t="str">
        <f>IFERROR(__xludf.DUMMYFUNCTION("""COMPUTED_VALUE"""),"")</f>
        <v/>
      </c>
      <c r="AG105" s="96" t="str">
        <f>IFERROR(__xludf.DUMMYFUNCTION("""COMPUTED_VALUE"""),"")</f>
        <v/>
      </c>
      <c r="AH105" s="97" t="str">
        <f>IFERROR(__xludf.DUMMYFUNCTION("""COMPUTED_VALUE"""),"")</f>
        <v/>
      </c>
      <c r="AI105" s="139" t="str">
        <f>IFERROR(__xludf.DUMMYFUNCTION("""COMPUTED_VALUE"""),"")</f>
        <v/>
      </c>
      <c r="AJ105" s="137" t="str">
        <f>IFERROR(__xludf.DUMMYFUNCTION("""COMPUTED_VALUE"""),"")</f>
        <v/>
      </c>
      <c r="AK105" s="138" t="str">
        <f>IFERROR(__xludf.DUMMYFUNCTION("""COMPUTED_VALUE"""),"")</f>
        <v/>
      </c>
      <c r="AL105" s="137" t="str">
        <f>IFERROR(__xludf.DUMMYFUNCTION("""COMPUTED_VALUE"""),"")</f>
        <v/>
      </c>
      <c r="AM105" s="137" t="str">
        <f>IFERROR(__xludf.DUMMYFUNCTION("""COMPUTED_VALUE"""),"")</f>
        <v/>
      </c>
      <c r="AN105" s="138" t="str">
        <f>IFERROR(__xludf.DUMMYFUNCTION("""COMPUTED_VALUE"""),"")</f>
        <v/>
      </c>
      <c r="AO105" s="137" t="str">
        <f>IFERROR(__xludf.DUMMYFUNCTION("""COMPUTED_VALUE"""),"")</f>
        <v/>
      </c>
      <c r="AP105" s="137" t="str">
        <f>IFERROR(__xludf.DUMMYFUNCTION("""COMPUTED_VALUE"""),"")</f>
        <v/>
      </c>
      <c r="AQ105" s="138" t="str">
        <f>IFERROR(__xludf.DUMMYFUNCTION("""COMPUTED_VALUE"""),"")</f>
        <v/>
      </c>
      <c r="AR105" s="137" t="str">
        <f>IFERROR(__xludf.DUMMYFUNCTION("""COMPUTED_VALUE"""),"")</f>
        <v/>
      </c>
      <c r="AS105" s="137" t="str">
        <f>IFERROR(__xludf.DUMMYFUNCTION("""COMPUTED_VALUE"""),"")</f>
        <v/>
      </c>
      <c r="AT105" s="138" t="str">
        <f>IFERROR(__xludf.DUMMYFUNCTION("""COMPUTED_VALUE"""),"")</f>
        <v/>
      </c>
      <c r="AU105" s="137" t="str">
        <f>IFERROR(__xludf.DUMMYFUNCTION("""COMPUTED_VALUE"""),"")</f>
        <v/>
      </c>
      <c r="AV105" s="137" t="str">
        <f>IFERROR(__xludf.DUMMYFUNCTION("""COMPUTED_VALUE"""),"")</f>
        <v/>
      </c>
      <c r="AW105" s="138">
        <f>IFERROR(__xludf.DUMMYFUNCTION("""COMPUTED_VALUE"""),112.9)</f>
        <v>112.9</v>
      </c>
      <c r="AX105" s="137" t="str">
        <f>IFERROR(__xludf.DUMMYFUNCTION("""COMPUTED_VALUE"""),"")</f>
        <v/>
      </c>
      <c r="AY105" s="137" t="str">
        <f>IFERROR(__xludf.DUMMYFUNCTION("""COMPUTED_VALUE"""),"")</f>
        <v/>
      </c>
      <c r="AZ105" s="138" t="str">
        <f>IFERROR(__xludf.DUMMYFUNCTION("""COMPUTED_VALUE"""),"")</f>
        <v/>
      </c>
      <c r="BA105" s="137" t="str">
        <f>IFERROR(__xludf.DUMMYFUNCTION("""COMPUTED_VALUE"""),"")</f>
        <v/>
      </c>
      <c r="BB105" s="137" t="str">
        <f>IFERROR(__xludf.DUMMYFUNCTION("""COMPUTED_VALUE"""),"")</f>
        <v/>
      </c>
      <c r="BC105" s="138" t="str">
        <f>IFERROR(__xludf.DUMMYFUNCTION("""COMPUTED_VALUE"""),"")</f>
        <v/>
      </c>
      <c r="BD105" s="137" t="str">
        <f>IFERROR(__xludf.DUMMYFUNCTION("""COMPUTED_VALUE"""),"")</f>
        <v/>
      </c>
      <c r="BE105" s="137" t="str">
        <f>IFERROR(__xludf.DUMMYFUNCTION("""COMPUTED_VALUE"""),"")</f>
        <v/>
      </c>
      <c r="BF105" s="138" t="str">
        <f>IFERROR(__xludf.DUMMYFUNCTION("""COMPUTED_VALUE"""),"")</f>
        <v/>
      </c>
      <c r="BG105" s="136" t="str">
        <f>IFERROR(__xludf.DUMMYFUNCTION("""COMPUTED_VALUE"""),"")</f>
        <v/>
      </c>
      <c r="BH105" s="137" t="str">
        <f>IFERROR(__xludf.DUMMYFUNCTION("""COMPUTED_VALUE"""),"")</f>
        <v/>
      </c>
      <c r="BI105" s="138" t="str">
        <f>IFERROR(__xludf.DUMMYFUNCTION("""COMPUTED_VALUE"""),"")</f>
        <v/>
      </c>
      <c r="BJ105" s="137" t="str">
        <f>IFERROR(__xludf.DUMMYFUNCTION("""COMPUTED_VALUE"""),"")</f>
        <v/>
      </c>
      <c r="BK105" s="137" t="str">
        <f>IFERROR(__xludf.DUMMYFUNCTION("""COMPUTED_VALUE"""),"")</f>
        <v/>
      </c>
      <c r="BL105" s="138" t="str">
        <f>IFERROR(__xludf.DUMMYFUNCTION("""COMPUTED_VALUE"""),"")</f>
        <v/>
      </c>
      <c r="BM105" s="137" t="str">
        <f>IFERROR(__xludf.DUMMYFUNCTION("""COMPUTED_VALUE"""),"")</f>
        <v/>
      </c>
      <c r="BN105" s="137" t="str">
        <f>IFERROR(__xludf.DUMMYFUNCTION("""COMPUTED_VALUE"""),"")</f>
        <v/>
      </c>
      <c r="BO105" s="138">
        <f>IFERROR(__xludf.DUMMYFUNCTION("""COMPUTED_VALUE"""),197.9)</f>
        <v>197.9</v>
      </c>
      <c r="BP105" s="137">
        <f>IFERROR(__xludf.DUMMYFUNCTION("""COMPUTED_VALUE"""),226.8)</f>
        <v>226.8</v>
      </c>
      <c r="BQ105" s="137" t="str">
        <f>IFERROR(__xludf.DUMMYFUNCTION("""COMPUTED_VALUE"""),"")</f>
        <v/>
      </c>
      <c r="BR105" s="138" t="str">
        <f>IFERROR(__xludf.DUMMYFUNCTION("""COMPUTED_VALUE"""),"")</f>
        <v/>
      </c>
      <c r="BS105" s="137" t="str">
        <f>IFERROR(__xludf.DUMMYFUNCTION("""COMPUTED_VALUE"""),"")</f>
        <v/>
      </c>
      <c r="BT105" s="137" t="str">
        <f>IFERROR(__xludf.DUMMYFUNCTION("""COMPUTED_VALUE"""),"")</f>
        <v/>
      </c>
      <c r="BU105" s="138" t="str">
        <f>IFERROR(__xludf.DUMMYFUNCTION("""COMPUTED_VALUE"""),"")</f>
        <v/>
      </c>
      <c r="BV105" s="137" t="str">
        <f>IFERROR(__xludf.DUMMYFUNCTION("""COMPUTED_VALUE"""),"")</f>
        <v/>
      </c>
      <c r="BW105" s="137" t="str">
        <f>IFERROR(__xludf.DUMMYFUNCTION("""COMPUTED_VALUE"""),"")</f>
        <v/>
      </c>
      <c r="BX105" s="138" t="str">
        <f>IFERROR(__xludf.DUMMYFUNCTION("""COMPUTED_VALUE"""),"")</f>
        <v/>
      </c>
      <c r="BY105" s="137" t="str">
        <f>IFERROR(__xludf.DUMMYFUNCTION("""COMPUTED_VALUE"""),"")</f>
        <v/>
      </c>
      <c r="BZ105" s="137">
        <f>IFERROR(__xludf.DUMMYFUNCTION("""COMPUTED_VALUE"""),372.5)</f>
        <v>372.5</v>
      </c>
      <c r="CA105" s="138" t="str">
        <f>IFERROR(__xludf.DUMMYFUNCTION("""COMPUTED_VALUE"""),"")</f>
        <v/>
      </c>
      <c r="CB105" s="136" t="str">
        <f>IFERROR(__xludf.DUMMYFUNCTION("""COMPUTED_VALUE"""),"")</f>
        <v/>
      </c>
      <c r="CC105" s="137" t="str">
        <f>IFERROR(__xludf.DUMMYFUNCTION("""COMPUTED_VALUE"""),"")</f>
        <v/>
      </c>
      <c r="CD105" s="138" t="str">
        <f>IFERROR(__xludf.DUMMYFUNCTION("""COMPUTED_VALUE"""),"")</f>
        <v/>
      </c>
      <c r="CE105" s="137" t="str">
        <f>IFERROR(__xludf.DUMMYFUNCTION("""COMPUTED_VALUE"""),"")</f>
        <v/>
      </c>
      <c r="CF105" s="137" t="str">
        <f>IFERROR(__xludf.DUMMYFUNCTION("""COMPUTED_VALUE"""),"")</f>
        <v/>
      </c>
      <c r="CG105" s="138">
        <f>IFERROR(__xludf.DUMMYFUNCTION("""COMPUTED_VALUE"""),198.7)</f>
        <v>198.7</v>
      </c>
      <c r="CH105" s="137" t="str">
        <f>IFERROR(__xludf.DUMMYFUNCTION("""COMPUTED_VALUE"""),"")</f>
        <v/>
      </c>
      <c r="CI105" s="137" t="str">
        <f>IFERROR(__xludf.DUMMYFUNCTION("""COMPUTED_VALUE"""),"")</f>
        <v/>
      </c>
      <c r="CJ105" s="138" t="str">
        <f>IFERROR(__xludf.DUMMYFUNCTION("""COMPUTED_VALUE"""),"")</f>
        <v/>
      </c>
      <c r="CK105" s="137" t="str">
        <f>IFERROR(__xludf.DUMMYFUNCTION("""COMPUTED_VALUE"""),"")</f>
        <v/>
      </c>
      <c r="CL105" s="137" t="str">
        <f>IFERROR(__xludf.DUMMYFUNCTION("""COMPUTED_VALUE"""),"")</f>
        <v/>
      </c>
      <c r="CM105" s="138" t="str">
        <f>IFERROR(__xludf.DUMMYFUNCTION("""COMPUTED_VALUE"""),"")</f>
        <v/>
      </c>
      <c r="CN105" s="137" t="str">
        <f>IFERROR(__xludf.DUMMYFUNCTION("""COMPUTED_VALUE"""),"")</f>
        <v/>
      </c>
      <c r="CO105" s="137" t="str">
        <f>IFERROR(__xludf.DUMMYFUNCTION("""COMPUTED_VALUE"""),"")</f>
        <v/>
      </c>
      <c r="CP105" s="138" t="str">
        <f>IFERROR(__xludf.DUMMYFUNCTION("""COMPUTED_VALUE"""),"")</f>
        <v/>
      </c>
      <c r="CQ105" s="137" t="str">
        <f>IFERROR(__xludf.DUMMYFUNCTION("""COMPUTED_VALUE"""),"")</f>
        <v/>
      </c>
      <c r="CR105" s="137" t="str">
        <f>IFERROR(__xludf.DUMMYFUNCTION("""COMPUTED_VALUE"""),"")</f>
        <v/>
      </c>
      <c r="CS105" s="138"/>
      <c r="CT105" s="137"/>
      <c r="CU105" s="137"/>
      <c r="CV105" s="138"/>
      <c r="CW105" s="137"/>
      <c r="CX105" s="137"/>
      <c r="CY105" s="138"/>
      <c r="CZ105" s="137"/>
      <c r="DA105" s="137"/>
      <c r="DB105" s="138"/>
      <c r="DC105" s="137"/>
      <c r="DD105" s="137"/>
      <c r="DE105" s="138"/>
      <c r="DF105" s="137"/>
      <c r="DG105" s="137"/>
      <c r="DH105" s="138"/>
      <c r="DI105" s="137"/>
      <c r="DJ105" s="137"/>
      <c r="DK105" s="138"/>
      <c r="DL105" s="137"/>
      <c r="DM105" s="137"/>
      <c r="DN105" s="138"/>
      <c r="DO105" s="137"/>
      <c r="DP105" s="137"/>
      <c r="DQ105" s="138"/>
      <c r="DR105" s="137"/>
      <c r="DS105" s="137"/>
      <c r="DT105" s="138"/>
    </row>
    <row r="106">
      <c r="B106" s="120" t="str">
        <f>IFERROR(__xludf.DUMMYFUNCTION("""COMPUTED_VALUE"""),"EPU8")</f>
        <v>EPU8</v>
      </c>
      <c r="C106" s="82">
        <f>IFERROR(__xludf.DUMMYFUNCTION("""COMPUTED_VALUE"""),93.0)</f>
        <v>93</v>
      </c>
      <c r="D106" s="88" t="str">
        <f>IFERROR(__xludf.DUMMYFUNCTION("""COMPUTED_VALUE"""),"Montgomery")</f>
        <v>Montgomery</v>
      </c>
      <c r="E106" s="82" t="str">
        <f>IFERROR(__xludf.DUMMYFUNCTION("""COMPUTED_VALUE"""),"モントゴメリー")</f>
        <v>モントゴメリー</v>
      </c>
      <c r="F106" s="102">
        <f>IFERROR(__xludf.DUMMYFUNCTION("""COMPUTED_VALUE"""),18.0)</f>
        <v>18</v>
      </c>
      <c r="G106" s="82">
        <f>IFERROR(__xludf.DUMMYFUNCTION("""COMPUTED_VALUE"""),4484.0)</f>
        <v>4484</v>
      </c>
      <c r="H106" s="95" t="str">
        <f>IFERROR(__xludf.DUMMYFUNCTION("""COMPUTED_VALUE"""),"")</f>
        <v/>
      </c>
      <c r="I106" s="96" t="str">
        <f>IFERROR(__xludf.DUMMYFUNCTION("""COMPUTED_VALUE"""),"")</f>
        <v/>
      </c>
      <c r="J106" s="97" t="str">
        <f>IFERROR(__xludf.DUMMYFUNCTION("""COMPUTED_VALUE"""),"")</f>
        <v/>
      </c>
      <c r="K106" s="95" t="str">
        <f>IFERROR(__xludf.DUMMYFUNCTION("""COMPUTED_VALUE"""),"")</f>
        <v/>
      </c>
      <c r="L106" s="96" t="str">
        <f>IFERROR(__xludf.DUMMYFUNCTION("""COMPUTED_VALUE"""),"")</f>
        <v/>
      </c>
      <c r="M106" s="97" t="str">
        <f>IFERROR(__xludf.DUMMYFUNCTION("""COMPUTED_VALUE"""),"")</f>
        <v/>
      </c>
      <c r="N106" s="95" t="str">
        <f>IFERROR(__xludf.DUMMYFUNCTION("""COMPUTED_VALUE"""),"")</f>
        <v/>
      </c>
      <c r="O106" s="96" t="str">
        <f>IFERROR(__xludf.DUMMYFUNCTION("""COMPUTED_VALUE"""),"")</f>
        <v/>
      </c>
      <c r="P106" s="97" t="str">
        <f>IFERROR(__xludf.DUMMYFUNCTION("""COMPUTED_VALUE"""),"")</f>
        <v/>
      </c>
      <c r="Q106" s="95" t="str">
        <f>IFERROR(__xludf.DUMMYFUNCTION("""COMPUTED_VALUE"""),"")</f>
        <v/>
      </c>
      <c r="R106" s="96" t="str">
        <f>IFERROR(__xludf.DUMMYFUNCTION("""COMPUTED_VALUE"""),"")</f>
        <v/>
      </c>
      <c r="S106" s="97" t="str">
        <f>IFERROR(__xludf.DUMMYFUNCTION("""COMPUTED_VALUE"""),"")</f>
        <v/>
      </c>
      <c r="T106" s="95" t="str">
        <f>IFERROR(__xludf.DUMMYFUNCTION("""COMPUTED_VALUE"""),"")</f>
        <v/>
      </c>
      <c r="U106" s="96" t="str">
        <f>IFERROR(__xludf.DUMMYFUNCTION("""COMPUTED_VALUE"""),"")</f>
        <v/>
      </c>
      <c r="V106" s="97" t="str">
        <f>IFERROR(__xludf.DUMMYFUNCTION("""COMPUTED_VALUE"""),"")</f>
        <v/>
      </c>
      <c r="W106" s="95" t="str">
        <f>IFERROR(__xludf.DUMMYFUNCTION("""COMPUTED_VALUE"""),"")</f>
        <v/>
      </c>
      <c r="X106" s="96" t="str">
        <f>IFERROR(__xludf.DUMMYFUNCTION("""COMPUTED_VALUE"""),"")</f>
        <v/>
      </c>
      <c r="Y106" s="97" t="str">
        <f>IFERROR(__xludf.DUMMYFUNCTION("""COMPUTED_VALUE"""),"")</f>
        <v/>
      </c>
      <c r="Z106" s="95" t="str">
        <f>IFERROR(__xludf.DUMMYFUNCTION("""COMPUTED_VALUE"""),"")</f>
        <v/>
      </c>
      <c r="AA106" s="96" t="str">
        <f>IFERROR(__xludf.DUMMYFUNCTION("""COMPUTED_VALUE"""),"")</f>
        <v/>
      </c>
      <c r="AB106" s="97" t="str">
        <f>IFERROR(__xludf.DUMMYFUNCTION("""COMPUTED_VALUE"""),"")</f>
        <v/>
      </c>
      <c r="AC106" s="95" t="str">
        <f>IFERROR(__xludf.DUMMYFUNCTION("""COMPUTED_VALUE"""),"")</f>
        <v/>
      </c>
      <c r="AD106" s="96" t="str">
        <f>IFERROR(__xludf.DUMMYFUNCTION("""COMPUTED_VALUE"""),"")</f>
        <v/>
      </c>
      <c r="AE106" s="97" t="str">
        <f>IFERROR(__xludf.DUMMYFUNCTION("""COMPUTED_VALUE"""),"")</f>
        <v/>
      </c>
      <c r="AF106" s="95" t="str">
        <f>IFERROR(__xludf.DUMMYFUNCTION("""COMPUTED_VALUE"""),"")</f>
        <v/>
      </c>
      <c r="AG106" s="96" t="str">
        <f>IFERROR(__xludf.DUMMYFUNCTION("""COMPUTED_VALUE"""),"")</f>
        <v/>
      </c>
      <c r="AH106" s="97" t="str">
        <f>IFERROR(__xludf.DUMMYFUNCTION("""COMPUTED_VALUE"""),"")</f>
        <v/>
      </c>
      <c r="AI106" s="92" t="str">
        <f>IFERROR(__xludf.DUMMYFUNCTION("""COMPUTED_VALUE"""),"")</f>
        <v/>
      </c>
      <c r="AJ106" s="93" t="str">
        <f>IFERROR(__xludf.DUMMYFUNCTION("""COMPUTED_VALUE"""),"")</f>
        <v/>
      </c>
      <c r="AK106" s="94" t="str">
        <f>IFERROR(__xludf.DUMMYFUNCTION("""COMPUTED_VALUE"""),"")</f>
        <v/>
      </c>
      <c r="AL106" s="93" t="str">
        <f>IFERROR(__xludf.DUMMYFUNCTION("""COMPUTED_VALUE"""),"")</f>
        <v/>
      </c>
      <c r="AM106" s="93" t="str">
        <f>IFERROR(__xludf.DUMMYFUNCTION("""COMPUTED_VALUE"""),"")</f>
        <v/>
      </c>
      <c r="AN106" s="94" t="str">
        <f>IFERROR(__xludf.DUMMYFUNCTION("""COMPUTED_VALUE"""),"")</f>
        <v/>
      </c>
      <c r="AO106" s="93" t="str">
        <f>IFERROR(__xludf.DUMMYFUNCTION("""COMPUTED_VALUE"""),"")</f>
        <v/>
      </c>
      <c r="AP106" s="93" t="str">
        <f>IFERROR(__xludf.DUMMYFUNCTION("""COMPUTED_VALUE"""),"")</f>
        <v/>
      </c>
      <c r="AQ106" s="94" t="str">
        <f>IFERROR(__xludf.DUMMYFUNCTION("""COMPUTED_VALUE"""),"")</f>
        <v/>
      </c>
      <c r="AR106" s="93" t="str">
        <f>IFERROR(__xludf.DUMMYFUNCTION("""COMPUTED_VALUE"""),"")</f>
        <v/>
      </c>
      <c r="AS106" s="93" t="str">
        <f>IFERROR(__xludf.DUMMYFUNCTION("""COMPUTED_VALUE"""),"")</f>
        <v/>
      </c>
      <c r="AT106" s="94">
        <f>IFERROR(__xludf.DUMMYFUNCTION("""COMPUTED_VALUE"""),28.8)</f>
        <v>28.8</v>
      </c>
      <c r="AU106" s="93" t="str">
        <f>IFERROR(__xludf.DUMMYFUNCTION("""COMPUTED_VALUE"""),"")</f>
        <v/>
      </c>
      <c r="AV106" s="93" t="str">
        <f>IFERROR(__xludf.DUMMYFUNCTION("""COMPUTED_VALUE"""),"")</f>
        <v/>
      </c>
      <c r="AW106" s="94">
        <f>IFERROR(__xludf.DUMMYFUNCTION("""COMPUTED_VALUE"""),116.7)</f>
        <v>116.7</v>
      </c>
      <c r="AX106" s="93" t="str">
        <f>IFERROR(__xludf.DUMMYFUNCTION("""COMPUTED_VALUE"""),"")</f>
        <v/>
      </c>
      <c r="AY106" s="93" t="str">
        <f>IFERROR(__xludf.DUMMYFUNCTION("""COMPUTED_VALUE"""),"")</f>
        <v/>
      </c>
      <c r="AZ106" s="94" t="str">
        <f>IFERROR(__xludf.DUMMYFUNCTION("""COMPUTED_VALUE"""),"")</f>
        <v/>
      </c>
      <c r="BA106" s="93" t="str">
        <f>IFERROR(__xludf.DUMMYFUNCTION("""COMPUTED_VALUE"""),"")</f>
        <v/>
      </c>
      <c r="BB106" s="93" t="str">
        <f>IFERROR(__xludf.DUMMYFUNCTION("""COMPUTED_VALUE"""),"")</f>
        <v/>
      </c>
      <c r="BC106" s="94" t="str">
        <f>IFERROR(__xludf.DUMMYFUNCTION("""COMPUTED_VALUE"""),"")</f>
        <v/>
      </c>
      <c r="BD106" s="93" t="str">
        <f>IFERROR(__xludf.DUMMYFUNCTION("""COMPUTED_VALUE"""),"")</f>
        <v/>
      </c>
      <c r="BE106" s="93" t="str">
        <f>IFERROR(__xludf.DUMMYFUNCTION("""COMPUTED_VALUE"""),"")</f>
        <v/>
      </c>
      <c r="BF106" s="94" t="str">
        <f>IFERROR(__xludf.DUMMYFUNCTION("""COMPUTED_VALUE"""),"")</f>
        <v/>
      </c>
      <c r="BG106" s="92" t="str">
        <f>IFERROR(__xludf.DUMMYFUNCTION("""COMPUTED_VALUE"""),"")</f>
        <v/>
      </c>
      <c r="BH106" s="93" t="str">
        <f>IFERROR(__xludf.DUMMYFUNCTION("""COMPUTED_VALUE"""),"")</f>
        <v/>
      </c>
      <c r="BI106" s="94" t="str">
        <f>IFERROR(__xludf.DUMMYFUNCTION("""COMPUTED_VALUE"""),"")</f>
        <v/>
      </c>
      <c r="BJ106" s="93" t="str">
        <f>IFERROR(__xludf.DUMMYFUNCTION("""COMPUTED_VALUE"""),"")</f>
        <v/>
      </c>
      <c r="BK106" s="93" t="str">
        <f>IFERROR(__xludf.DUMMYFUNCTION("""COMPUTED_VALUE"""),"")</f>
        <v/>
      </c>
      <c r="BL106" s="94" t="str">
        <f>IFERROR(__xludf.DUMMYFUNCTION("""COMPUTED_VALUE"""),"")</f>
        <v/>
      </c>
      <c r="BM106" s="93" t="str">
        <f>IFERROR(__xludf.DUMMYFUNCTION("""COMPUTED_VALUE"""),"")</f>
        <v/>
      </c>
      <c r="BN106" s="93" t="str">
        <f>IFERROR(__xludf.DUMMYFUNCTION("""COMPUTED_VALUE"""),"")</f>
        <v/>
      </c>
      <c r="BO106" s="94" t="str">
        <f>IFERROR(__xludf.DUMMYFUNCTION("""COMPUTED_VALUE"""),"")</f>
        <v/>
      </c>
      <c r="BP106" s="93" t="str">
        <f>IFERROR(__xludf.DUMMYFUNCTION("""COMPUTED_VALUE"""),"")</f>
        <v/>
      </c>
      <c r="BQ106" s="93" t="str">
        <f>IFERROR(__xludf.DUMMYFUNCTION("""COMPUTED_VALUE"""),"")</f>
        <v/>
      </c>
      <c r="BR106" s="94">
        <f>IFERROR(__xludf.DUMMYFUNCTION("""COMPUTED_VALUE"""),58.9)</f>
        <v>58.9</v>
      </c>
      <c r="BS106" s="93" t="str">
        <f>IFERROR(__xludf.DUMMYFUNCTION("""COMPUTED_VALUE"""),"")</f>
        <v/>
      </c>
      <c r="BT106" s="93" t="str">
        <f>IFERROR(__xludf.DUMMYFUNCTION("""COMPUTED_VALUE"""),"")</f>
        <v/>
      </c>
      <c r="BU106" s="94" t="str">
        <f>IFERROR(__xludf.DUMMYFUNCTION("""COMPUTED_VALUE"""),"")</f>
        <v/>
      </c>
      <c r="BV106" s="93" t="str">
        <f>IFERROR(__xludf.DUMMYFUNCTION("""COMPUTED_VALUE"""),"")</f>
        <v/>
      </c>
      <c r="BW106" s="93" t="str">
        <f>IFERROR(__xludf.DUMMYFUNCTION("""COMPUTED_VALUE"""),"")</f>
        <v/>
      </c>
      <c r="BX106" s="94" t="str">
        <f>IFERROR(__xludf.DUMMYFUNCTION("""COMPUTED_VALUE"""),"")</f>
        <v/>
      </c>
      <c r="BY106" s="93">
        <f>IFERROR(__xludf.DUMMYFUNCTION("""COMPUTED_VALUE"""),428.4)</f>
        <v>428.4</v>
      </c>
      <c r="BZ106" s="93" t="str">
        <f>IFERROR(__xludf.DUMMYFUNCTION("""COMPUTED_VALUE"""),"")</f>
        <v/>
      </c>
      <c r="CA106" s="94" t="str">
        <f>IFERROR(__xludf.DUMMYFUNCTION("""COMPUTED_VALUE"""),"")</f>
        <v/>
      </c>
      <c r="CB106" s="92" t="str">
        <f>IFERROR(__xludf.DUMMYFUNCTION("""COMPUTED_VALUE"""),"")</f>
        <v/>
      </c>
      <c r="CC106" s="93" t="str">
        <f>IFERROR(__xludf.DUMMYFUNCTION("""COMPUTED_VALUE"""),"")</f>
        <v/>
      </c>
      <c r="CD106" s="94" t="str">
        <f>IFERROR(__xludf.DUMMYFUNCTION("""COMPUTED_VALUE"""),"")</f>
        <v/>
      </c>
      <c r="CE106" s="93" t="str">
        <f>IFERROR(__xludf.DUMMYFUNCTION("""COMPUTED_VALUE"""),"")</f>
        <v/>
      </c>
      <c r="CF106" s="93">
        <f>IFERROR(__xludf.DUMMYFUNCTION("""COMPUTED_VALUE"""),177.4)</f>
        <v>177.4</v>
      </c>
      <c r="CG106" s="94" t="str">
        <f>IFERROR(__xludf.DUMMYFUNCTION("""COMPUTED_VALUE"""),"")</f>
        <v/>
      </c>
      <c r="CH106" s="93" t="str">
        <f>IFERROR(__xludf.DUMMYFUNCTION("""COMPUTED_VALUE"""),"")</f>
        <v/>
      </c>
      <c r="CI106" s="93" t="str">
        <f>IFERROR(__xludf.DUMMYFUNCTION("""COMPUTED_VALUE"""),"")</f>
        <v/>
      </c>
      <c r="CJ106" s="94" t="str">
        <f>IFERROR(__xludf.DUMMYFUNCTION("""COMPUTED_VALUE"""),"")</f>
        <v/>
      </c>
      <c r="CK106" s="93" t="str">
        <f>IFERROR(__xludf.DUMMYFUNCTION("""COMPUTED_VALUE"""),"")</f>
        <v/>
      </c>
      <c r="CL106" s="93" t="str">
        <f>IFERROR(__xludf.DUMMYFUNCTION("""COMPUTED_VALUE"""),"")</f>
        <v/>
      </c>
      <c r="CM106" s="94" t="str">
        <f>IFERROR(__xludf.DUMMYFUNCTION("""COMPUTED_VALUE"""),"")</f>
        <v/>
      </c>
      <c r="CN106" s="93" t="str">
        <f>IFERROR(__xludf.DUMMYFUNCTION("""COMPUTED_VALUE"""),"")</f>
        <v/>
      </c>
      <c r="CO106" s="93" t="str">
        <f>IFERROR(__xludf.DUMMYFUNCTION("""COMPUTED_VALUE"""),"")</f>
        <v/>
      </c>
      <c r="CP106" s="94" t="str">
        <f>IFERROR(__xludf.DUMMYFUNCTION("""COMPUTED_VALUE"""),"")</f>
        <v/>
      </c>
      <c r="CQ106" s="93" t="str">
        <f>IFERROR(__xludf.DUMMYFUNCTION("""COMPUTED_VALUE"""),"")</f>
        <v/>
      </c>
      <c r="CR106" s="93" t="str">
        <f>IFERROR(__xludf.DUMMYFUNCTION("""COMPUTED_VALUE"""),"")</f>
        <v/>
      </c>
      <c r="CS106" s="94"/>
      <c r="CT106" s="93"/>
      <c r="CU106" s="93"/>
      <c r="CV106" s="94"/>
      <c r="CW106" s="93"/>
      <c r="CX106" s="93"/>
      <c r="CY106" s="94"/>
      <c r="CZ106" s="93"/>
      <c r="DA106" s="93"/>
      <c r="DB106" s="94"/>
      <c r="DC106" s="93"/>
      <c r="DD106" s="93"/>
      <c r="DE106" s="94"/>
      <c r="DF106" s="93"/>
      <c r="DG106" s="93"/>
      <c r="DH106" s="94"/>
      <c r="DI106" s="93"/>
      <c r="DJ106" s="93"/>
      <c r="DK106" s="94"/>
      <c r="DL106" s="93"/>
      <c r="DM106" s="93"/>
      <c r="DN106" s="94"/>
      <c r="DO106" s="93"/>
      <c r="DP106" s="93"/>
      <c r="DQ106" s="94"/>
      <c r="DR106" s="93"/>
      <c r="DS106" s="93"/>
      <c r="DT106" s="94"/>
    </row>
    <row r="107">
      <c r="B107" s="120" t="str">
        <f>IFERROR(__xludf.DUMMYFUNCTION("""COMPUTED_VALUE"""),"EPU9")</f>
        <v>EPU9</v>
      </c>
      <c r="C107" s="82">
        <f>IFERROR(__xludf.DUMMYFUNCTION("""COMPUTED_VALUE"""),94.0)</f>
        <v>94</v>
      </c>
      <c r="D107" s="88" t="str">
        <f>IFERROR(__xludf.DUMMYFUNCTION("""COMPUTED_VALUE"""),"Lubbock")</f>
        <v>Lubbock</v>
      </c>
      <c r="E107" s="82" t="str">
        <f>IFERROR(__xludf.DUMMYFUNCTION("""COMPUTED_VALUE"""),"ラボック")</f>
        <v>ラボック</v>
      </c>
      <c r="F107" s="102">
        <f>IFERROR(__xludf.DUMMYFUNCTION("""COMPUTED_VALUE"""),18.0)</f>
        <v>18</v>
      </c>
      <c r="G107" s="82">
        <f>IFERROR(__xludf.DUMMYFUNCTION("""COMPUTED_VALUE"""),1005.0)</f>
        <v>1005</v>
      </c>
      <c r="H107" s="95" t="str">
        <f>IFERROR(__xludf.DUMMYFUNCTION("""COMPUTED_VALUE"""),"")</f>
        <v/>
      </c>
      <c r="I107" s="96" t="str">
        <f>IFERROR(__xludf.DUMMYFUNCTION("""COMPUTED_VALUE"""),"")</f>
        <v/>
      </c>
      <c r="J107" s="97" t="str">
        <f>IFERROR(__xludf.DUMMYFUNCTION("""COMPUTED_VALUE"""),"")</f>
        <v/>
      </c>
      <c r="K107" s="95" t="str">
        <f>IFERROR(__xludf.DUMMYFUNCTION("""COMPUTED_VALUE"""),"")</f>
        <v/>
      </c>
      <c r="L107" s="96" t="str">
        <f>IFERROR(__xludf.DUMMYFUNCTION("""COMPUTED_VALUE"""),"")</f>
        <v/>
      </c>
      <c r="M107" s="97" t="str">
        <f>IFERROR(__xludf.DUMMYFUNCTION("""COMPUTED_VALUE"""),"")</f>
        <v/>
      </c>
      <c r="N107" s="95">
        <f>IFERROR(__xludf.DUMMYFUNCTION("""COMPUTED_VALUE"""),145.9)</f>
        <v>145.9</v>
      </c>
      <c r="O107" s="96" t="str">
        <f>IFERROR(__xludf.DUMMYFUNCTION("""COMPUTED_VALUE"""),"")</f>
        <v/>
      </c>
      <c r="P107" s="97" t="str">
        <f>IFERROR(__xludf.DUMMYFUNCTION("""COMPUTED_VALUE"""),"")</f>
        <v/>
      </c>
      <c r="Q107" s="95" t="str">
        <f>IFERROR(__xludf.DUMMYFUNCTION("""COMPUTED_VALUE"""),"")</f>
        <v/>
      </c>
      <c r="R107" s="96" t="str">
        <f>IFERROR(__xludf.DUMMYFUNCTION("""COMPUTED_VALUE"""),"")</f>
        <v/>
      </c>
      <c r="S107" s="97" t="str">
        <f>IFERROR(__xludf.DUMMYFUNCTION("""COMPUTED_VALUE"""),"")</f>
        <v/>
      </c>
      <c r="T107" s="95" t="str">
        <f>IFERROR(__xludf.DUMMYFUNCTION("""COMPUTED_VALUE"""),"")</f>
        <v/>
      </c>
      <c r="U107" s="96" t="str">
        <f>IFERROR(__xludf.DUMMYFUNCTION("""COMPUTED_VALUE"""),"")</f>
        <v/>
      </c>
      <c r="V107" s="97" t="str">
        <f>IFERROR(__xludf.DUMMYFUNCTION("""COMPUTED_VALUE"""),"")</f>
        <v/>
      </c>
      <c r="W107" s="95" t="str">
        <f>IFERROR(__xludf.DUMMYFUNCTION("""COMPUTED_VALUE"""),"")</f>
        <v/>
      </c>
      <c r="X107" s="96" t="str">
        <f>IFERROR(__xludf.DUMMYFUNCTION("""COMPUTED_VALUE"""),"")</f>
        <v/>
      </c>
      <c r="Y107" s="97" t="str">
        <f>IFERROR(__xludf.DUMMYFUNCTION("""COMPUTED_VALUE"""),"")</f>
        <v/>
      </c>
      <c r="Z107" s="95" t="str">
        <f>IFERROR(__xludf.DUMMYFUNCTION("""COMPUTED_VALUE"""),"")</f>
        <v/>
      </c>
      <c r="AA107" s="96" t="str">
        <f>IFERROR(__xludf.DUMMYFUNCTION("""COMPUTED_VALUE"""),"")</f>
        <v/>
      </c>
      <c r="AB107" s="97" t="str">
        <f>IFERROR(__xludf.DUMMYFUNCTION("""COMPUTED_VALUE"""),"")</f>
        <v/>
      </c>
      <c r="AC107" s="95" t="str">
        <f>IFERROR(__xludf.DUMMYFUNCTION("""COMPUTED_VALUE"""),"")</f>
        <v/>
      </c>
      <c r="AD107" s="96" t="str">
        <f>IFERROR(__xludf.DUMMYFUNCTION("""COMPUTED_VALUE"""),"")</f>
        <v/>
      </c>
      <c r="AE107" s="97" t="str">
        <f>IFERROR(__xludf.DUMMYFUNCTION("""COMPUTED_VALUE"""),"")</f>
        <v/>
      </c>
      <c r="AF107" s="95" t="str">
        <f>IFERROR(__xludf.DUMMYFUNCTION("""COMPUTED_VALUE"""),"")</f>
        <v/>
      </c>
      <c r="AG107" s="96" t="str">
        <f>IFERROR(__xludf.DUMMYFUNCTION("""COMPUTED_VALUE"""),"")</f>
        <v/>
      </c>
      <c r="AH107" s="97" t="str">
        <f>IFERROR(__xludf.DUMMYFUNCTION("""COMPUTED_VALUE"""),"")</f>
        <v/>
      </c>
      <c r="AI107" s="136" t="str">
        <f>IFERROR(__xludf.DUMMYFUNCTION("""COMPUTED_VALUE"""),"")</f>
        <v/>
      </c>
      <c r="AJ107" s="137" t="str">
        <f>IFERROR(__xludf.DUMMYFUNCTION("""COMPUTED_VALUE"""),"")</f>
        <v/>
      </c>
      <c r="AK107" s="138" t="str">
        <f>IFERROR(__xludf.DUMMYFUNCTION("""COMPUTED_VALUE"""),"")</f>
        <v/>
      </c>
      <c r="AL107" s="137" t="str">
        <f>IFERROR(__xludf.DUMMYFUNCTION("""COMPUTED_VALUE"""),"")</f>
        <v/>
      </c>
      <c r="AM107" s="137" t="str">
        <f>IFERROR(__xludf.DUMMYFUNCTION("""COMPUTED_VALUE"""),"")</f>
        <v/>
      </c>
      <c r="AN107" s="138" t="str">
        <f>IFERROR(__xludf.DUMMYFUNCTION("""COMPUTED_VALUE"""),"")</f>
        <v/>
      </c>
      <c r="AO107" s="137" t="str">
        <f>IFERROR(__xludf.DUMMYFUNCTION("""COMPUTED_VALUE"""),"")</f>
        <v/>
      </c>
      <c r="AP107" s="137" t="str">
        <f>IFERROR(__xludf.DUMMYFUNCTION("""COMPUTED_VALUE"""),"")</f>
        <v/>
      </c>
      <c r="AQ107" s="138" t="str">
        <f>IFERROR(__xludf.DUMMYFUNCTION("""COMPUTED_VALUE"""),"")</f>
        <v/>
      </c>
      <c r="AR107" s="137" t="str">
        <f>IFERROR(__xludf.DUMMYFUNCTION("""COMPUTED_VALUE"""),"")</f>
        <v/>
      </c>
      <c r="AS107" s="137" t="str">
        <f>IFERROR(__xludf.DUMMYFUNCTION("""COMPUTED_VALUE"""),"")</f>
        <v/>
      </c>
      <c r="AT107" s="138">
        <f>IFERROR(__xludf.DUMMYFUNCTION("""COMPUTED_VALUE"""),33.3)</f>
        <v>33.3</v>
      </c>
      <c r="AU107" s="137" t="str">
        <f>IFERROR(__xludf.DUMMYFUNCTION("""COMPUTED_VALUE"""),"")</f>
        <v/>
      </c>
      <c r="AV107" s="137" t="str">
        <f>IFERROR(__xludf.DUMMYFUNCTION("""COMPUTED_VALUE"""),"")</f>
        <v/>
      </c>
      <c r="AW107" s="138" t="str">
        <f>IFERROR(__xludf.DUMMYFUNCTION("""COMPUTED_VALUE"""),"")</f>
        <v/>
      </c>
      <c r="AX107" s="137" t="str">
        <f>IFERROR(__xludf.DUMMYFUNCTION("""COMPUTED_VALUE"""),"")</f>
        <v/>
      </c>
      <c r="AY107" s="137" t="str">
        <f>IFERROR(__xludf.DUMMYFUNCTION("""COMPUTED_VALUE"""),"")</f>
        <v/>
      </c>
      <c r="AZ107" s="138" t="str">
        <f>IFERROR(__xludf.DUMMYFUNCTION("""COMPUTED_VALUE"""),"")</f>
        <v/>
      </c>
      <c r="BA107" s="137" t="str">
        <f>IFERROR(__xludf.DUMMYFUNCTION("""COMPUTED_VALUE"""),"")</f>
        <v/>
      </c>
      <c r="BB107" s="137" t="str">
        <f>IFERROR(__xludf.DUMMYFUNCTION("""COMPUTED_VALUE"""),"")</f>
        <v/>
      </c>
      <c r="BC107" s="138" t="str">
        <f>IFERROR(__xludf.DUMMYFUNCTION("""COMPUTED_VALUE"""),"")</f>
        <v/>
      </c>
      <c r="BD107" s="137" t="str">
        <f>IFERROR(__xludf.DUMMYFUNCTION("""COMPUTED_VALUE"""),"")</f>
        <v/>
      </c>
      <c r="BE107" s="137" t="str">
        <f>IFERROR(__xludf.DUMMYFUNCTION("""COMPUTED_VALUE"""),"")</f>
        <v/>
      </c>
      <c r="BF107" s="138" t="str">
        <f>IFERROR(__xludf.DUMMYFUNCTION("""COMPUTED_VALUE"""),"")</f>
        <v/>
      </c>
      <c r="BG107" s="136" t="str">
        <f>IFERROR(__xludf.DUMMYFUNCTION("""COMPUTED_VALUE"""),"")</f>
        <v/>
      </c>
      <c r="BH107" s="137" t="str">
        <f>IFERROR(__xludf.DUMMYFUNCTION("""COMPUTED_VALUE"""),"")</f>
        <v/>
      </c>
      <c r="BI107" s="138" t="str">
        <f>IFERROR(__xludf.DUMMYFUNCTION("""COMPUTED_VALUE"""),"")</f>
        <v/>
      </c>
      <c r="BJ107" s="137" t="str">
        <f>IFERROR(__xludf.DUMMYFUNCTION("""COMPUTED_VALUE"""),"")</f>
        <v/>
      </c>
      <c r="BK107" s="137" t="str">
        <f>IFERROR(__xludf.DUMMYFUNCTION("""COMPUTED_VALUE"""),"")</f>
        <v/>
      </c>
      <c r="BL107" s="138" t="str">
        <f>IFERROR(__xludf.DUMMYFUNCTION("""COMPUTED_VALUE"""),"")</f>
        <v/>
      </c>
      <c r="BM107" s="137" t="str">
        <f>IFERROR(__xludf.DUMMYFUNCTION("""COMPUTED_VALUE"""),"")</f>
        <v/>
      </c>
      <c r="BN107" s="137" t="str">
        <f>IFERROR(__xludf.DUMMYFUNCTION("""COMPUTED_VALUE"""),"")</f>
        <v/>
      </c>
      <c r="BO107" s="138">
        <f>IFERROR(__xludf.DUMMYFUNCTION("""COMPUTED_VALUE"""),218.0)</f>
        <v>218</v>
      </c>
      <c r="BP107" s="137" t="str">
        <f>IFERROR(__xludf.DUMMYFUNCTION("""COMPUTED_VALUE"""),"")</f>
        <v/>
      </c>
      <c r="BQ107" s="137">
        <f>IFERROR(__xludf.DUMMYFUNCTION("""COMPUTED_VALUE"""),84.5)</f>
        <v>84.5</v>
      </c>
      <c r="BR107" s="138">
        <f>IFERROR(__xludf.DUMMYFUNCTION("""COMPUTED_VALUE"""),155.9)</f>
        <v>155.9</v>
      </c>
      <c r="BS107" s="137" t="str">
        <f>IFERROR(__xludf.DUMMYFUNCTION("""COMPUTED_VALUE"""),"")</f>
        <v/>
      </c>
      <c r="BT107" s="137" t="str">
        <f>IFERROR(__xludf.DUMMYFUNCTION("""COMPUTED_VALUE"""),"")</f>
        <v/>
      </c>
      <c r="BU107" s="138" t="str">
        <f>IFERROR(__xludf.DUMMYFUNCTION("""COMPUTED_VALUE"""),"")</f>
        <v/>
      </c>
      <c r="BV107" s="137" t="str">
        <f>IFERROR(__xludf.DUMMYFUNCTION("""COMPUTED_VALUE"""),"")</f>
        <v/>
      </c>
      <c r="BW107" s="137" t="str">
        <f>IFERROR(__xludf.DUMMYFUNCTION("""COMPUTED_VALUE"""),"")</f>
        <v/>
      </c>
      <c r="BX107" s="138" t="str">
        <f>IFERROR(__xludf.DUMMYFUNCTION("""COMPUTED_VALUE"""),"")</f>
        <v/>
      </c>
      <c r="BY107" s="137" t="str">
        <f>IFERROR(__xludf.DUMMYFUNCTION("""COMPUTED_VALUE"""),"")</f>
        <v/>
      </c>
      <c r="BZ107" s="137" t="str">
        <f>IFERROR(__xludf.DUMMYFUNCTION("""COMPUTED_VALUE"""),"")</f>
        <v/>
      </c>
      <c r="CA107" s="138" t="str">
        <f>IFERROR(__xludf.DUMMYFUNCTION("""COMPUTED_VALUE"""),"")</f>
        <v/>
      </c>
      <c r="CB107" s="136" t="str">
        <f>IFERROR(__xludf.DUMMYFUNCTION("""COMPUTED_VALUE"""),"")</f>
        <v/>
      </c>
      <c r="CC107" s="137" t="str">
        <f>IFERROR(__xludf.DUMMYFUNCTION("""COMPUTED_VALUE"""),"")</f>
        <v/>
      </c>
      <c r="CD107" s="138" t="str">
        <f>IFERROR(__xludf.DUMMYFUNCTION("""COMPUTED_VALUE"""),"")</f>
        <v/>
      </c>
      <c r="CE107" s="137" t="str">
        <f>IFERROR(__xludf.DUMMYFUNCTION("""COMPUTED_VALUE"""),"")</f>
        <v/>
      </c>
      <c r="CF107" s="137" t="str">
        <f>IFERROR(__xludf.DUMMYFUNCTION("""COMPUTED_VALUE"""),"")</f>
        <v/>
      </c>
      <c r="CG107" s="138" t="str">
        <f>IFERROR(__xludf.DUMMYFUNCTION("""COMPUTED_VALUE"""),"")</f>
        <v/>
      </c>
      <c r="CH107" s="137" t="str">
        <f>IFERROR(__xludf.DUMMYFUNCTION("""COMPUTED_VALUE"""),"")</f>
        <v/>
      </c>
      <c r="CI107" s="137" t="str">
        <f>IFERROR(__xludf.DUMMYFUNCTION("""COMPUTED_VALUE"""),"")</f>
        <v/>
      </c>
      <c r="CJ107" s="138" t="str">
        <f>IFERROR(__xludf.DUMMYFUNCTION("""COMPUTED_VALUE"""),"")</f>
        <v/>
      </c>
      <c r="CK107" s="137" t="str">
        <f>IFERROR(__xludf.DUMMYFUNCTION("""COMPUTED_VALUE"""),"")</f>
        <v/>
      </c>
      <c r="CL107" s="137" t="str">
        <f>IFERROR(__xludf.DUMMYFUNCTION("""COMPUTED_VALUE"""),"")</f>
        <v/>
      </c>
      <c r="CM107" s="138" t="str">
        <f>IFERROR(__xludf.DUMMYFUNCTION("""COMPUTED_VALUE"""),"")</f>
        <v/>
      </c>
      <c r="CN107" s="137" t="str">
        <f>IFERROR(__xludf.DUMMYFUNCTION("""COMPUTED_VALUE"""),"")</f>
        <v/>
      </c>
      <c r="CO107" s="137" t="str">
        <f>IFERROR(__xludf.DUMMYFUNCTION("""COMPUTED_VALUE"""),"")</f>
        <v/>
      </c>
      <c r="CP107" s="138" t="str">
        <f>IFERROR(__xludf.DUMMYFUNCTION("""COMPUTED_VALUE"""),"")</f>
        <v/>
      </c>
      <c r="CQ107" s="137" t="str">
        <f>IFERROR(__xludf.DUMMYFUNCTION("""COMPUTED_VALUE"""),"")</f>
        <v/>
      </c>
      <c r="CR107" s="137" t="str">
        <f>IFERROR(__xludf.DUMMYFUNCTION("""COMPUTED_VALUE"""),"")</f>
        <v/>
      </c>
      <c r="CS107" s="138"/>
      <c r="CT107" s="137"/>
      <c r="CU107" s="137"/>
      <c r="CV107" s="138"/>
      <c r="CW107" s="137"/>
      <c r="CX107" s="137"/>
      <c r="CY107" s="138"/>
      <c r="CZ107" s="137"/>
      <c r="DA107" s="137"/>
      <c r="DB107" s="138"/>
      <c r="DC107" s="137"/>
      <c r="DD107" s="137"/>
      <c r="DE107" s="138"/>
      <c r="DF107" s="137"/>
      <c r="DG107" s="137"/>
      <c r="DH107" s="138"/>
      <c r="DI107" s="137"/>
      <c r="DJ107" s="137"/>
      <c r="DK107" s="138"/>
      <c r="DL107" s="137"/>
      <c r="DM107" s="137"/>
      <c r="DN107" s="138"/>
      <c r="DO107" s="137"/>
      <c r="DP107" s="137"/>
      <c r="DQ107" s="138"/>
      <c r="DR107" s="137"/>
      <c r="DS107" s="137"/>
      <c r="DT107" s="138"/>
    </row>
    <row r="108">
      <c r="B108" s="120" t="str">
        <f>IFERROR(__xludf.DUMMYFUNCTION("""COMPUTED_VALUE"""),"EPU10")</f>
        <v>EPU10</v>
      </c>
      <c r="C108" s="82">
        <f>IFERROR(__xludf.DUMMYFUNCTION("""COMPUTED_VALUE"""),95.0)</f>
        <v>95</v>
      </c>
      <c r="D108" s="88" t="str">
        <f>IFERROR(__xludf.DUMMYFUNCTION("""COMPUTED_VALUE"""),"Alexandria")</f>
        <v>Alexandria</v>
      </c>
      <c r="E108" s="82" t="str">
        <f>IFERROR(__xludf.DUMMYFUNCTION("""COMPUTED_VALUE"""),"アレクサンドリア")</f>
        <v>アレクサンドリア</v>
      </c>
      <c r="F108" s="102">
        <f>IFERROR(__xludf.DUMMYFUNCTION("""COMPUTED_VALUE"""),18.0)</f>
        <v>18</v>
      </c>
      <c r="G108" s="82">
        <f>IFERROR(__xludf.DUMMYFUNCTION("""COMPUTED_VALUE"""),12696.0)</f>
        <v>12696</v>
      </c>
      <c r="H108" s="95" t="str">
        <f>IFERROR(__xludf.DUMMYFUNCTION("""COMPUTED_VALUE"""),"")</f>
        <v/>
      </c>
      <c r="I108" s="96" t="str">
        <f>IFERROR(__xludf.DUMMYFUNCTION("""COMPUTED_VALUE"""),"")</f>
        <v/>
      </c>
      <c r="J108" s="97" t="str">
        <f>IFERROR(__xludf.DUMMYFUNCTION("""COMPUTED_VALUE"""),"")</f>
        <v/>
      </c>
      <c r="K108" s="95" t="str">
        <f>IFERROR(__xludf.DUMMYFUNCTION("""COMPUTED_VALUE"""),"")</f>
        <v/>
      </c>
      <c r="L108" s="96" t="str">
        <f>IFERROR(__xludf.DUMMYFUNCTION("""COMPUTED_VALUE"""),"")</f>
        <v/>
      </c>
      <c r="M108" s="97">
        <f>IFERROR(__xludf.DUMMYFUNCTION("""COMPUTED_VALUE"""),148.6)</f>
        <v>148.6</v>
      </c>
      <c r="N108" s="95" t="str">
        <f>IFERROR(__xludf.DUMMYFUNCTION("""COMPUTED_VALUE"""),"")</f>
        <v/>
      </c>
      <c r="O108" s="96" t="str">
        <f>IFERROR(__xludf.DUMMYFUNCTION("""COMPUTED_VALUE"""),"")</f>
        <v/>
      </c>
      <c r="P108" s="97" t="str">
        <f>IFERROR(__xludf.DUMMYFUNCTION("""COMPUTED_VALUE"""),"")</f>
        <v/>
      </c>
      <c r="Q108" s="95" t="str">
        <f>IFERROR(__xludf.DUMMYFUNCTION("""COMPUTED_VALUE"""),"")</f>
        <v/>
      </c>
      <c r="R108" s="96" t="str">
        <f>IFERROR(__xludf.DUMMYFUNCTION("""COMPUTED_VALUE"""),"")</f>
        <v/>
      </c>
      <c r="S108" s="97" t="str">
        <f>IFERROR(__xludf.DUMMYFUNCTION("""COMPUTED_VALUE"""),"")</f>
        <v/>
      </c>
      <c r="T108" s="95" t="str">
        <f>IFERROR(__xludf.DUMMYFUNCTION("""COMPUTED_VALUE"""),"")</f>
        <v/>
      </c>
      <c r="U108" s="96" t="str">
        <f>IFERROR(__xludf.DUMMYFUNCTION("""COMPUTED_VALUE"""),"")</f>
        <v/>
      </c>
      <c r="V108" s="97" t="str">
        <f>IFERROR(__xludf.DUMMYFUNCTION("""COMPUTED_VALUE"""),"")</f>
        <v/>
      </c>
      <c r="W108" s="95" t="str">
        <f>IFERROR(__xludf.DUMMYFUNCTION("""COMPUTED_VALUE"""),"")</f>
        <v/>
      </c>
      <c r="X108" s="96" t="str">
        <f>IFERROR(__xludf.DUMMYFUNCTION("""COMPUTED_VALUE"""),"")</f>
        <v/>
      </c>
      <c r="Y108" s="97" t="str">
        <f>IFERROR(__xludf.DUMMYFUNCTION("""COMPUTED_VALUE"""),"")</f>
        <v/>
      </c>
      <c r="Z108" s="95" t="str">
        <f>IFERROR(__xludf.DUMMYFUNCTION("""COMPUTED_VALUE"""),"")</f>
        <v/>
      </c>
      <c r="AA108" s="96" t="str">
        <f>IFERROR(__xludf.DUMMYFUNCTION("""COMPUTED_VALUE"""),"")</f>
        <v/>
      </c>
      <c r="AB108" s="97" t="str">
        <f>IFERROR(__xludf.DUMMYFUNCTION("""COMPUTED_VALUE"""),"")</f>
        <v/>
      </c>
      <c r="AC108" s="95" t="str">
        <f>IFERROR(__xludf.DUMMYFUNCTION("""COMPUTED_VALUE"""),"")</f>
        <v/>
      </c>
      <c r="AD108" s="96" t="str">
        <f>IFERROR(__xludf.DUMMYFUNCTION("""COMPUTED_VALUE"""),"")</f>
        <v/>
      </c>
      <c r="AE108" s="97" t="str">
        <f>IFERROR(__xludf.DUMMYFUNCTION("""COMPUTED_VALUE"""),"")</f>
        <v/>
      </c>
      <c r="AF108" s="95" t="str">
        <f>IFERROR(__xludf.DUMMYFUNCTION("""COMPUTED_VALUE"""),"")</f>
        <v/>
      </c>
      <c r="AG108" s="96" t="str">
        <f>IFERROR(__xludf.DUMMYFUNCTION("""COMPUTED_VALUE"""),"")</f>
        <v/>
      </c>
      <c r="AH108" s="97" t="str">
        <f>IFERROR(__xludf.DUMMYFUNCTION("""COMPUTED_VALUE"""),"")</f>
        <v/>
      </c>
      <c r="AI108" s="92" t="str">
        <f>IFERROR(__xludf.DUMMYFUNCTION("""COMPUTED_VALUE"""),"")</f>
        <v/>
      </c>
      <c r="AJ108" s="93" t="str">
        <f>IFERROR(__xludf.DUMMYFUNCTION("""COMPUTED_VALUE"""),"")</f>
        <v/>
      </c>
      <c r="AK108" s="94" t="str">
        <f>IFERROR(__xludf.DUMMYFUNCTION("""COMPUTED_VALUE"""),"")</f>
        <v/>
      </c>
      <c r="AL108" s="93" t="str">
        <f>IFERROR(__xludf.DUMMYFUNCTION("""COMPUTED_VALUE"""),"")</f>
        <v/>
      </c>
      <c r="AM108" s="93" t="str">
        <f>IFERROR(__xludf.DUMMYFUNCTION("""COMPUTED_VALUE"""),"")</f>
        <v/>
      </c>
      <c r="AN108" s="134" t="str">
        <f>IFERROR(__xludf.DUMMYFUNCTION("""COMPUTED_VALUE"""),"")</f>
        <v/>
      </c>
      <c r="AO108" s="93" t="str">
        <f>IFERROR(__xludf.DUMMYFUNCTION("""COMPUTED_VALUE"""),"")</f>
        <v/>
      </c>
      <c r="AP108" s="93" t="str">
        <f>IFERROR(__xludf.DUMMYFUNCTION("""COMPUTED_VALUE"""),"")</f>
        <v/>
      </c>
      <c r="AQ108" s="94" t="str">
        <f>IFERROR(__xludf.DUMMYFUNCTION("""COMPUTED_VALUE"""),"")</f>
        <v/>
      </c>
      <c r="AR108" s="93" t="str">
        <f>IFERROR(__xludf.DUMMYFUNCTION("""COMPUTED_VALUE"""),"")</f>
        <v/>
      </c>
      <c r="AS108" s="93" t="str">
        <f>IFERROR(__xludf.DUMMYFUNCTION("""COMPUTED_VALUE"""),"")</f>
        <v/>
      </c>
      <c r="AT108" s="94">
        <f>IFERROR(__xludf.DUMMYFUNCTION("""COMPUTED_VALUE"""),33.7)</f>
        <v>33.7</v>
      </c>
      <c r="AU108" s="93" t="str">
        <f>IFERROR(__xludf.DUMMYFUNCTION("""COMPUTED_VALUE"""),"")</f>
        <v/>
      </c>
      <c r="AV108" s="93" t="str">
        <f>IFERROR(__xludf.DUMMYFUNCTION("""COMPUTED_VALUE"""),"")</f>
        <v/>
      </c>
      <c r="AW108" s="94" t="str">
        <f>IFERROR(__xludf.DUMMYFUNCTION("""COMPUTED_VALUE"""),"")</f>
        <v/>
      </c>
      <c r="AX108" s="93" t="str">
        <f>IFERROR(__xludf.DUMMYFUNCTION("""COMPUTED_VALUE"""),"")</f>
        <v/>
      </c>
      <c r="AY108" s="93" t="str">
        <f>IFERROR(__xludf.DUMMYFUNCTION("""COMPUTED_VALUE"""),"")</f>
        <v/>
      </c>
      <c r="AZ108" s="94" t="str">
        <f>IFERROR(__xludf.DUMMYFUNCTION("""COMPUTED_VALUE"""),"")</f>
        <v/>
      </c>
      <c r="BA108" s="93" t="str">
        <f>IFERROR(__xludf.DUMMYFUNCTION("""COMPUTED_VALUE"""),"")</f>
        <v/>
      </c>
      <c r="BB108" s="93" t="str">
        <f>IFERROR(__xludf.DUMMYFUNCTION("""COMPUTED_VALUE"""),"")</f>
        <v/>
      </c>
      <c r="BC108" s="94" t="str">
        <f>IFERROR(__xludf.DUMMYFUNCTION("""COMPUTED_VALUE"""),"")</f>
        <v/>
      </c>
      <c r="BD108" s="93" t="str">
        <f>IFERROR(__xludf.DUMMYFUNCTION("""COMPUTED_VALUE"""),"")</f>
        <v/>
      </c>
      <c r="BE108" s="93" t="str">
        <f>IFERROR(__xludf.DUMMYFUNCTION("""COMPUTED_VALUE"""),"")</f>
        <v/>
      </c>
      <c r="BF108" s="94" t="str">
        <f>IFERROR(__xludf.DUMMYFUNCTION("""COMPUTED_VALUE"""),"")</f>
        <v/>
      </c>
      <c r="BG108" s="92" t="str">
        <f>IFERROR(__xludf.DUMMYFUNCTION("""COMPUTED_VALUE"""),"")</f>
        <v/>
      </c>
      <c r="BH108" s="93" t="str">
        <f>IFERROR(__xludf.DUMMYFUNCTION("""COMPUTED_VALUE"""),"")</f>
        <v/>
      </c>
      <c r="BI108" s="94" t="str">
        <f>IFERROR(__xludf.DUMMYFUNCTION("""COMPUTED_VALUE"""),"")</f>
        <v/>
      </c>
      <c r="BJ108" s="93" t="str">
        <f>IFERROR(__xludf.DUMMYFUNCTION("""COMPUTED_VALUE"""),"")</f>
        <v/>
      </c>
      <c r="BK108" s="93">
        <f>IFERROR(__xludf.DUMMYFUNCTION("""COMPUTED_VALUE"""),225.2)</f>
        <v>225.2</v>
      </c>
      <c r="BL108" s="94" t="str">
        <f>IFERROR(__xludf.DUMMYFUNCTION("""COMPUTED_VALUE"""),"")</f>
        <v/>
      </c>
      <c r="BM108" s="93" t="str">
        <f>IFERROR(__xludf.DUMMYFUNCTION("""COMPUTED_VALUE"""),"")</f>
        <v/>
      </c>
      <c r="BN108" s="93" t="str">
        <f>IFERROR(__xludf.DUMMYFUNCTION("""COMPUTED_VALUE"""),"")</f>
        <v/>
      </c>
      <c r="BO108" s="94" t="str">
        <f>IFERROR(__xludf.DUMMYFUNCTION("""COMPUTED_VALUE"""),"")</f>
        <v/>
      </c>
      <c r="BP108" s="93" t="str">
        <f>IFERROR(__xludf.DUMMYFUNCTION("""COMPUTED_VALUE"""),"")</f>
        <v/>
      </c>
      <c r="BQ108" s="93">
        <f>IFERROR(__xludf.DUMMYFUNCTION("""COMPUTED_VALUE"""),121.4)</f>
        <v>121.4</v>
      </c>
      <c r="BR108" s="94">
        <f>IFERROR(__xludf.DUMMYFUNCTION("""COMPUTED_VALUE"""),374.6)</f>
        <v>374.6</v>
      </c>
      <c r="BS108" s="93">
        <f>IFERROR(__xludf.DUMMYFUNCTION("""COMPUTED_VALUE"""),178.5)</f>
        <v>178.5</v>
      </c>
      <c r="BT108" s="93" t="str">
        <f>IFERROR(__xludf.DUMMYFUNCTION("""COMPUTED_VALUE"""),"")</f>
        <v/>
      </c>
      <c r="BU108" s="94" t="str">
        <f>IFERROR(__xludf.DUMMYFUNCTION("""COMPUTED_VALUE"""),"")</f>
        <v/>
      </c>
      <c r="BV108" s="93" t="str">
        <f>IFERROR(__xludf.DUMMYFUNCTION("""COMPUTED_VALUE"""),"")</f>
        <v/>
      </c>
      <c r="BW108" s="93" t="str">
        <f>IFERROR(__xludf.DUMMYFUNCTION("""COMPUTED_VALUE"""),"")</f>
        <v/>
      </c>
      <c r="BX108" s="94" t="str">
        <f>IFERROR(__xludf.DUMMYFUNCTION("""COMPUTED_VALUE"""),"")</f>
        <v/>
      </c>
      <c r="BY108" s="93" t="str">
        <f>IFERROR(__xludf.DUMMYFUNCTION("""COMPUTED_VALUE"""),"")</f>
        <v/>
      </c>
      <c r="BZ108" s="93" t="str">
        <f>IFERROR(__xludf.DUMMYFUNCTION("""COMPUTED_VALUE"""),"")</f>
        <v/>
      </c>
      <c r="CA108" s="94" t="str">
        <f>IFERROR(__xludf.DUMMYFUNCTION("""COMPUTED_VALUE"""),"")</f>
        <v/>
      </c>
      <c r="CB108" s="92" t="str">
        <f>IFERROR(__xludf.DUMMYFUNCTION("""COMPUTED_VALUE"""),"")</f>
        <v/>
      </c>
      <c r="CC108" s="93" t="str">
        <f>IFERROR(__xludf.DUMMYFUNCTION("""COMPUTED_VALUE"""),"")</f>
        <v/>
      </c>
      <c r="CD108" s="94" t="str">
        <f>IFERROR(__xludf.DUMMYFUNCTION("""COMPUTED_VALUE"""),"")</f>
        <v/>
      </c>
      <c r="CE108" s="93" t="str">
        <f>IFERROR(__xludf.DUMMYFUNCTION("""COMPUTED_VALUE"""),"")</f>
        <v/>
      </c>
      <c r="CF108" s="93" t="str">
        <f>IFERROR(__xludf.DUMMYFUNCTION("""COMPUTED_VALUE"""),"")</f>
        <v/>
      </c>
      <c r="CG108" s="94" t="str">
        <f>IFERROR(__xludf.DUMMYFUNCTION("""COMPUTED_VALUE"""),"")</f>
        <v/>
      </c>
      <c r="CH108" s="93" t="str">
        <f>IFERROR(__xludf.DUMMYFUNCTION("""COMPUTED_VALUE"""),"")</f>
        <v/>
      </c>
      <c r="CI108" s="93" t="str">
        <f>IFERROR(__xludf.DUMMYFUNCTION("""COMPUTED_VALUE"""),"")</f>
        <v/>
      </c>
      <c r="CJ108" s="94" t="str">
        <f>IFERROR(__xludf.DUMMYFUNCTION("""COMPUTED_VALUE"""),"")</f>
        <v/>
      </c>
      <c r="CK108" s="93" t="str">
        <f>IFERROR(__xludf.DUMMYFUNCTION("""COMPUTED_VALUE"""),"")</f>
        <v/>
      </c>
      <c r="CL108" s="93" t="str">
        <f>IFERROR(__xludf.DUMMYFUNCTION("""COMPUTED_VALUE"""),"")</f>
        <v/>
      </c>
      <c r="CM108" s="94" t="str">
        <f>IFERROR(__xludf.DUMMYFUNCTION("""COMPUTED_VALUE"""),"")</f>
        <v/>
      </c>
      <c r="CN108" s="93" t="str">
        <f>IFERROR(__xludf.DUMMYFUNCTION("""COMPUTED_VALUE"""),"")</f>
        <v/>
      </c>
      <c r="CO108" s="93" t="str">
        <f>IFERROR(__xludf.DUMMYFUNCTION("""COMPUTED_VALUE"""),"")</f>
        <v/>
      </c>
      <c r="CP108" s="94" t="str">
        <f>IFERROR(__xludf.DUMMYFUNCTION("""COMPUTED_VALUE"""),"")</f>
        <v/>
      </c>
      <c r="CQ108" s="93" t="str">
        <f>IFERROR(__xludf.DUMMYFUNCTION("""COMPUTED_VALUE"""),"")</f>
        <v/>
      </c>
      <c r="CR108" s="93" t="str">
        <f>IFERROR(__xludf.DUMMYFUNCTION("""COMPUTED_VALUE"""),"")</f>
        <v/>
      </c>
      <c r="CS108" s="94"/>
      <c r="CT108" s="93"/>
      <c r="CU108" s="93"/>
      <c r="CV108" s="94"/>
      <c r="CW108" s="93"/>
      <c r="CX108" s="93"/>
      <c r="CY108" s="94"/>
      <c r="CZ108" s="93"/>
      <c r="DA108" s="93"/>
      <c r="DB108" s="94"/>
      <c r="DC108" s="93"/>
      <c r="DD108" s="93"/>
      <c r="DE108" s="94"/>
      <c r="DF108" s="93"/>
      <c r="DG108" s="93"/>
      <c r="DH108" s="94"/>
      <c r="DI108" s="93"/>
      <c r="DJ108" s="93"/>
      <c r="DK108" s="94"/>
      <c r="DL108" s="93"/>
      <c r="DM108" s="93"/>
      <c r="DN108" s="94"/>
      <c r="DO108" s="93"/>
      <c r="DP108" s="93"/>
      <c r="DQ108" s="94"/>
      <c r="DR108" s="93"/>
      <c r="DS108" s="93"/>
      <c r="DT108" s="94"/>
    </row>
    <row r="109">
      <c r="B109" s="120" t="str">
        <f>IFERROR(__xludf.DUMMYFUNCTION("""COMPUTED_VALUE"""),"EPU11")</f>
        <v>EPU11</v>
      </c>
      <c r="C109" s="82">
        <f>IFERROR(__xludf.DUMMYFUNCTION("""COMPUTED_VALUE"""),96.0)</f>
        <v>96</v>
      </c>
      <c r="D109" s="88" t="str">
        <f>IFERROR(__xludf.DUMMYFUNCTION("""COMPUTED_VALUE"""),"Kearney")</f>
        <v>Kearney</v>
      </c>
      <c r="E109" s="82" t="str">
        <f>IFERROR(__xludf.DUMMYFUNCTION("""COMPUTED_VALUE"""),"カーニー")</f>
        <v>カーニー</v>
      </c>
      <c r="F109" s="102">
        <f>IFERROR(__xludf.DUMMYFUNCTION("""COMPUTED_VALUE"""),18.0)</f>
        <v>18</v>
      </c>
      <c r="G109" s="82">
        <f>IFERROR(__xludf.DUMMYFUNCTION("""COMPUTED_VALUE"""),2205.0)</f>
        <v>2205</v>
      </c>
      <c r="H109" s="95" t="str">
        <f>IFERROR(__xludf.DUMMYFUNCTION("""COMPUTED_VALUE"""),"")</f>
        <v/>
      </c>
      <c r="I109" s="96" t="str">
        <f>IFERROR(__xludf.DUMMYFUNCTION("""COMPUTED_VALUE"""),"")</f>
        <v/>
      </c>
      <c r="J109" s="97" t="str">
        <f>IFERROR(__xludf.DUMMYFUNCTION("""COMPUTED_VALUE"""),"")</f>
        <v/>
      </c>
      <c r="K109" s="95" t="str">
        <f>IFERROR(__xludf.DUMMYFUNCTION("""COMPUTED_VALUE"""),"")</f>
        <v/>
      </c>
      <c r="L109" s="96">
        <f>IFERROR(__xludf.DUMMYFUNCTION("""COMPUTED_VALUE"""),145.4)</f>
        <v>145.4</v>
      </c>
      <c r="M109" s="97" t="str">
        <f>IFERROR(__xludf.DUMMYFUNCTION("""COMPUTED_VALUE"""),"")</f>
        <v/>
      </c>
      <c r="N109" s="95" t="str">
        <f>IFERROR(__xludf.DUMMYFUNCTION("""COMPUTED_VALUE"""),"")</f>
        <v/>
      </c>
      <c r="O109" s="96" t="str">
        <f>IFERROR(__xludf.DUMMYFUNCTION("""COMPUTED_VALUE"""),"")</f>
        <v/>
      </c>
      <c r="P109" s="97" t="str">
        <f>IFERROR(__xludf.DUMMYFUNCTION("""COMPUTED_VALUE"""),"")</f>
        <v/>
      </c>
      <c r="Q109" s="95" t="str">
        <f>IFERROR(__xludf.DUMMYFUNCTION("""COMPUTED_VALUE"""),"")</f>
        <v/>
      </c>
      <c r="R109" s="96" t="str">
        <f>IFERROR(__xludf.DUMMYFUNCTION("""COMPUTED_VALUE"""),"")</f>
        <v/>
      </c>
      <c r="S109" s="97" t="str">
        <f>IFERROR(__xludf.DUMMYFUNCTION("""COMPUTED_VALUE"""),"")</f>
        <v/>
      </c>
      <c r="T109" s="95" t="str">
        <f>IFERROR(__xludf.DUMMYFUNCTION("""COMPUTED_VALUE"""),"")</f>
        <v/>
      </c>
      <c r="U109" s="96" t="str">
        <f>IFERROR(__xludf.DUMMYFUNCTION("""COMPUTED_VALUE"""),"")</f>
        <v/>
      </c>
      <c r="V109" s="97" t="str">
        <f>IFERROR(__xludf.DUMMYFUNCTION("""COMPUTED_VALUE"""),"")</f>
        <v/>
      </c>
      <c r="W109" s="95" t="str">
        <f>IFERROR(__xludf.DUMMYFUNCTION("""COMPUTED_VALUE"""),"")</f>
        <v/>
      </c>
      <c r="X109" s="96" t="str">
        <f>IFERROR(__xludf.DUMMYFUNCTION("""COMPUTED_VALUE"""),"")</f>
        <v/>
      </c>
      <c r="Y109" s="97" t="str">
        <f>IFERROR(__xludf.DUMMYFUNCTION("""COMPUTED_VALUE"""),"")</f>
        <v/>
      </c>
      <c r="Z109" s="95" t="str">
        <f>IFERROR(__xludf.DUMMYFUNCTION("""COMPUTED_VALUE"""),"")</f>
        <v/>
      </c>
      <c r="AA109" s="96" t="str">
        <f>IFERROR(__xludf.DUMMYFUNCTION("""COMPUTED_VALUE"""),"")</f>
        <v/>
      </c>
      <c r="AB109" s="97" t="str">
        <f>IFERROR(__xludf.DUMMYFUNCTION("""COMPUTED_VALUE"""),"")</f>
        <v/>
      </c>
      <c r="AC109" s="95" t="str">
        <f>IFERROR(__xludf.DUMMYFUNCTION("""COMPUTED_VALUE"""),"")</f>
        <v/>
      </c>
      <c r="AD109" s="96" t="str">
        <f>IFERROR(__xludf.DUMMYFUNCTION("""COMPUTED_VALUE"""),"")</f>
        <v/>
      </c>
      <c r="AE109" s="97" t="str">
        <f>IFERROR(__xludf.DUMMYFUNCTION("""COMPUTED_VALUE"""),"")</f>
        <v/>
      </c>
      <c r="AF109" s="95" t="str">
        <f>IFERROR(__xludf.DUMMYFUNCTION("""COMPUTED_VALUE"""),"")</f>
        <v/>
      </c>
      <c r="AG109" s="96" t="str">
        <f>IFERROR(__xludf.DUMMYFUNCTION("""COMPUTED_VALUE"""),"")</f>
        <v/>
      </c>
      <c r="AH109" s="97" t="str">
        <f>IFERROR(__xludf.DUMMYFUNCTION("""COMPUTED_VALUE"""),"")</f>
        <v/>
      </c>
      <c r="AI109" s="136" t="str">
        <f>IFERROR(__xludf.DUMMYFUNCTION("""COMPUTED_VALUE"""),"")</f>
        <v/>
      </c>
      <c r="AJ109" s="137" t="str">
        <f>IFERROR(__xludf.DUMMYFUNCTION("""COMPUTED_VALUE"""),"")</f>
        <v/>
      </c>
      <c r="AK109" s="138" t="str">
        <f>IFERROR(__xludf.DUMMYFUNCTION("""COMPUTED_VALUE"""),"")</f>
        <v/>
      </c>
      <c r="AL109" s="137" t="str">
        <f>IFERROR(__xludf.DUMMYFUNCTION("""COMPUTED_VALUE"""),"")</f>
        <v/>
      </c>
      <c r="AM109" s="137" t="str">
        <f>IFERROR(__xludf.DUMMYFUNCTION("""COMPUTED_VALUE"""),"")</f>
        <v/>
      </c>
      <c r="AN109" s="138" t="str">
        <f>IFERROR(__xludf.DUMMYFUNCTION("""COMPUTED_VALUE"""),"")</f>
        <v/>
      </c>
      <c r="AO109" s="137" t="str">
        <f>IFERROR(__xludf.DUMMYFUNCTION("""COMPUTED_VALUE"""),"")</f>
        <v/>
      </c>
      <c r="AP109" s="137" t="str">
        <f>IFERROR(__xludf.DUMMYFUNCTION("""COMPUTED_VALUE"""),"")</f>
        <v/>
      </c>
      <c r="AQ109" s="138" t="str">
        <f>IFERROR(__xludf.DUMMYFUNCTION("""COMPUTED_VALUE"""),"")</f>
        <v/>
      </c>
      <c r="AR109" s="137" t="str">
        <f>IFERROR(__xludf.DUMMYFUNCTION("""COMPUTED_VALUE"""),"")</f>
        <v/>
      </c>
      <c r="AS109" s="137" t="str">
        <f>IFERROR(__xludf.DUMMYFUNCTION("""COMPUTED_VALUE"""),"")</f>
        <v/>
      </c>
      <c r="AT109" s="138">
        <f>IFERROR(__xludf.DUMMYFUNCTION("""COMPUTED_VALUE"""),32.5)</f>
        <v>32.5</v>
      </c>
      <c r="AU109" s="137" t="str">
        <f>IFERROR(__xludf.DUMMYFUNCTION("""COMPUTED_VALUE"""),"")</f>
        <v/>
      </c>
      <c r="AV109" s="137" t="str">
        <f>IFERROR(__xludf.DUMMYFUNCTION("""COMPUTED_VALUE"""),"")</f>
        <v/>
      </c>
      <c r="AW109" s="138" t="str">
        <f>IFERROR(__xludf.DUMMYFUNCTION("""COMPUTED_VALUE"""),"")</f>
        <v/>
      </c>
      <c r="AX109" s="137" t="str">
        <f>IFERROR(__xludf.DUMMYFUNCTION("""COMPUTED_VALUE"""),"")</f>
        <v/>
      </c>
      <c r="AY109" s="137" t="str">
        <f>IFERROR(__xludf.DUMMYFUNCTION("""COMPUTED_VALUE"""),"")</f>
        <v/>
      </c>
      <c r="AZ109" s="138" t="str">
        <f>IFERROR(__xludf.DUMMYFUNCTION("""COMPUTED_VALUE"""),"")</f>
        <v/>
      </c>
      <c r="BA109" s="137" t="str">
        <f>IFERROR(__xludf.DUMMYFUNCTION("""COMPUTED_VALUE"""),"")</f>
        <v/>
      </c>
      <c r="BB109" s="137" t="str">
        <f>IFERROR(__xludf.DUMMYFUNCTION("""COMPUTED_VALUE"""),"")</f>
        <v/>
      </c>
      <c r="BC109" s="138" t="str">
        <f>IFERROR(__xludf.DUMMYFUNCTION("""COMPUTED_VALUE"""),"")</f>
        <v/>
      </c>
      <c r="BD109" s="137" t="str">
        <f>IFERROR(__xludf.DUMMYFUNCTION("""COMPUTED_VALUE"""),"")</f>
        <v/>
      </c>
      <c r="BE109" s="137" t="str">
        <f>IFERROR(__xludf.DUMMYFUNCTION("""COMPUTED_VALUE"""),"")</f>
        <v/>
      </c>
      <c r="BF109" s="138" t="str">
        <f>IFERROR(__xludf.DUMMYFUNCTION("""COMPUTED_VALUE"""),"")</f>
        <v/>
      </c>
      <c r="BG109" s="136" t="str">
        <f>IFERROR(__xludf.DUMMYFUNCTION("""COMPUTED_VALUE"""),"")</f>
        <v/>
      </c>
      <c r="BH109" s="137" t="str">
        <f>IFERROR(__xludf.DUMMYFUNCTION("""COMPUTED_VALUE"""),"")</f>
        <v/>
      </c>
      <c r="BI109" s="138" t="str">
        <f>IFERROR(__xludf.DUMMYFUNCTION("""COMPUTED_VALUE"""),"")</f>
        <v/>
      </c>
      <c r="BJ109" s="137" t="str">
        <f>IFERROR(__xludf.DUMMYFUNCTION("""COMPUTED_VALUE"""),"")</f>
        <v/>
      </c>
      <c r="BK109" s="137" t="str">
        <f>IFERROR(__xludf.DUMMYFUNCTION("""COMPUTED_VALUE"""),"")</f>
        <v/>
      </c>
      <c r="BL109" s="138">
        <f>IFERROR(__xludf.DUMMYFUNCTION("""COMPUTED_VALUE"""),193.3)</f>
        <v>193.3</v>
      </c>
      <c r="BM109" s="137" t="str">
        <f>IFERROR(__xludf.DUMMYFUNCTION("""COMPUTED_VALUE"""),"")</f>
        <v/>
      </c>
      <c r="BN109" s="137" t="str">
        <f>IFERROR(__xludf.DUMMYFUNCTION("""COMPUTED_VALUE"""),"")</f>
        <v/>
      </c>
      <c r="BO109" s="138" t="str">
        <f>IFERROR(__xludf.DUMMYFUNCTION("""COMPUTED_VALUE"""),"")</f>
        <v/>
      </c>
      <c r="BP109" s="137" t="str">
        <f>IFERROR(__xludf.DUMMYFUNCTION("""COMPUTED_VALUE"""),"")</f>
        <v/>
      </c>
      <c r="BQ109" s="137">
        <f>IFERROR(__xludf.DUMMYFUNCTION("""COMPUTED_VALUE"""),136.3)</f>
        <v>136.3</v>
      </c>
      <c r="BR109" s="138" t="str">
        <f>IFERROR(__xludf.DUMMYFUNCTION("""COMPUTED_VALUE"""),"")</f>
        <v/>
      </c>
      <c r="BS109" s="137">
        <f>IFERROR(__xludf.DUMMYFUNCTION("""COMPUTED_VALUE"""),116.6)</f>
        <v>116.6</v>
      </c>
      <c r="BT109" s="137" t="str">
        <f>IFERROR(__xludf.DUMMYFUNCTION("""COMPUTED_VALUE"""),"")</f>
        <v/>
      </c>
      <c r="BU109" s="138" t="str">
        <f>IFERROR(__xludf.DUMMYFUNCTION("""COMPUTED_VALUE"""),"")</f>
        <v/>
      </c>
      <c r="BV109" s="137" t="str">
        <f>IFERROR(__xludf.DUMMYFUNCTION("""COMPUTED_VALUE"""),"")</f>
        <v/>
      </c>
      <c r="BW109" s="137" t="str">
        <f>IFERROR(__xludf.DUMMYFUNCTION("""COMPUTED_VALUE"""),"")</f>
        <v/>
      </c>
      <c r="BX109" s="138" t="str">
        <f>IFERROR(__xludf.DUMMYFUNCTION("""COMPUTED_VALUE"""),"")</f>
        <v/>
      </c>
      <c r="BY109" s="137" t="str">
        <f>IFERROR(__xludf.DUMMYFUNCTION("""COMPUTED_VALUE"""),"")</f>
        <v/>
      </c>
      <c r="BZ109" s="137" t="str">
        <f>IFERROR(__xludf.DUMMYFUNCTION("""COMPUTED_VALUE"""),"")</f>
        <v/>
      </c>
      <c r="CA109" s="138" t="str">
        <f>IFERROR(__xludf.DUMMYFUNCTION("""COMPUTED_VALUE"""),"")</f>
        <v/>
      </c>
      <c r="CB109" s="136" t="str">
        <f>IFERROR(__xludf.DUMMYFUNCTION("""COMPUTED_VALUE"""),"")</f>
        <v/>
      </c>
      <c r="CC109" s="137" t="str">
        <f>IFERROR(__xludf.DUMMYFUNCTION("""COMPUTED_VALUE"""),"")</f>
        <v/>
      </c>
      <c r="CD109" s="138" t="str">
        <f>IFERROR(__xludf.DUMMYFUNCTION("""COMPUTED_VALUE"""),"")</f>
        <v/>
      </c>
      <c r="CE109" s="137" t="str">
        <f>IFERROR(__xludf.DUMMYFUNCTION("""COMPUTED_VALUE"""),"")</f>
        <v/>
      </c>
      <c r="CF109" s="137" t="str">
        <f>IFERROR(__xludf.DUMMYFUNCTION("""COMPUTED_VALUE"""),"")</f>
        <v/>
      </c>
      <c r="CG109" s="138" t="str">
        <f>IFERROR(__xludf.DUMMYFUNCTION("""COMPUTED_VALUE"""),"")</f>
        <v/>
      </c>
      <c r="CH109" s="137" t="str">
        <f>IFERROR(__xludf.DUMMYFUNCTION("""COMPUTED_VALUE"""),"")</f>
        <v/>
      </c>
      <c r="CI109" s="137" t="str">
        <f>IFERROR(__xludf.DUMMYFUNCTION("""COMPUTED_VALUE"""),"")</f>
        <v/>
      </c>
      <c r="CJ109" s="138" t="str">
        <f>IFERROR(__xludf.DUMMYFUNCTION("""COMPUTED_VALUE"""),"")</f>
        <v/>
      </c>
      <c r="CK109" s="137" t="str">
        <f>IFERROR(__xludf.DUMMYFUNCTION("""COMPUTED_VALUE"""),"")</f>
        <v/>
      </c>
      <c r="CL109" s="137" t="str">
        <f>IFERROR(__xludf.DUMMYFUNCTION("""COMPUTED_VALUE"""),"")</f>
        <v/>
      </c>
      <c r="CM109" s="138" t="str">
        <f>IFERROR(__xludf.DUMMYFUNCTION("""COMPUTED_VALUE"""),"")</f>
        <v/>
      </c>
      <c r="CN109" s="137" t="str">
        <f>IFERROR(__xludf.DUMMYFUNCTION("""COMPUTED_VALUE"""),"")</f>
        <v/>
      </c>
      <c r="CO109" s="137" t="str">
        <f>IFERROR(__xludf.DUMMYFUNCTION("""COMPUTED_VALUE"""),"")</f>
        <v/>
      </c>
      <c r="CP109" s="138" t="str">
        <f>IFERROR(__xludf.DUMMYFUNCTION("""COMPUTED_VALUE"""),"")</f>
        <v/>
      </c>
      <c r="CQ109" s="137" t="str">
        <f>IFERROR(__xludf.DUMMYFUNCTION("""COMPUTED_VALUE"""),"")</f>
        <v/>
      </c>
      <c r="CR109" s="137" t="str">
        <f>IFERROR(__xludf.DUMMYFUNCTION("""COMPUTED_VALUE"""),"")</f>
        <v/>
      </c>
      <c r="CS109" s="138"/>
      <c r="CT109" s="137"/>
      <c r="CU109" s="137"/>
      <c r="CV109" s="138"/>
      <c r="CW109" s="137"/>
      <c r="CX109" s="137"/>
      <c r="CY109" s="138"/>
      <c r="CZ109" s="137"/>
      <c r="DA109" s="137"/>
      <c r="DB109" s="138"/>
      <c r="DC109" s="137"/>
      <c r="DD109" s="137"/>
      <c r="DE109" s="138"/>
      <c r="DF109" s="137"/>
      <c r="DG109" s="137"/>
      <c r="DH109" s="138"/>
      <c r="DI109" s="137"/>
      <c r="DJ109" s="137"/>
      <c r="DK109" s="138"/>
      <c r="DL109" s="137"/>
      <c r="DM109" s="137"/>
      <c r="DN109" s="138"/>
      <c r="DO109" s="137"/>
      <c r="DP109" s="137"/>
      <c r="DQ109" s="138"/>
      <c r="DR109" s="137"/>
      <c r="DS109" s="137"/>
      <c r="DT109" s="138"/>
    </row>
    <row r="110">
      <c r="B110" s="120" t="str">
        <f>IFERROR(__xludf.DUMMYFUNCTION("""COMPUTED_VALUE"""),"EPU12")</f>
        <v>EPU12</v>
      </c>
      <c r="C110" s="82">
        <f>IFERROR(__xludf.DUMMYFUNCTION("""COMPUTED_VALUE"""),97.0)</f>
        <v>97</v>
      </c>
      <c r="D110" s="88" t="str">
        <f>IFERROR(__xludf.DUMMYFUNCTION("""COMPUTED_VALUE"""),"Charlotte")</f>
        <v>Charlotte</v>
      </c>
      <c r="E110" s="82" t="str">
        <f>IFERROR(__xludf.DUMMYFUNCTION("""COMPUTED_VALUE"""),"シャーロット")</f>
        <v>シャーロット</v>
      </c>
      <c r="F110" s="102">
        <f>IFERROR(__xludf.DUMMYFUNCTION("""COMPUTED_VALUE"""),20.0)</f>
        <v>20</v>
      </c>
      <c r="G110" s="82">
        <f>IFERROR(__xludf.DUMMYFUNCTION("""COMPUTED_VALUE"""),358394.0)</f>
        <v>358394</v>
      </c>
      <c r="H110" s="95" t="str">
        <f>IFERROR(__xludf.DUMMYFUNCTION("""COMPUTED_VALUE"""),"")</f>
        <v/>
      </c>
      <c r="I110" s="96" t="str">
        <f>IFERROR(__xludf.DUMMYFUNCTION("""COMPUTED_VALUE"""),"")</f>
        <v/>
      </c>
      <c r="J110" s="97" t="str">
        <f>IFERROR(__xludf.DUMMYFUNCTION("""COMPUTED_VALUE"""),"")</f>
        <v/>
      </c>
      <c r="K110" s="95" t="str">
        <f>IFERROR(__xludf.DUMMYFUNCTION("""COMPUTED_VALUE"""),"")</f>
        <v/>
      </c>
      <c r="L110" s="96" t="str">
        <f>IFERROR(__xludf.DUMMYFUNCTION("""COMPUTED_VALUE"""),"")</f>
        <v/>
      </c>
      <c r="M110" s="97" t="str">
        <f>IFERROR(__xludf.DUMMYFUNCTION("""COMPUTED_VALUE"""),"")</f>
        <v/>
      </c>
      <c r="N110" s="95" t="str">
        <f>IFERROR(__xludf.DUMMYFUNCTION("""COMPUTED_VALUE"""),"")</f>
        <v/>
      </c>
      <c r="O110" s="96" t="str">
        <f>IFERROR(__xludf.DUMMYFUNCTION("""COMPUTED_VALUE"""),"")</f>
        <v/>
      </c>
      <c r="P110" s="97" t="str">
        <f>IFERROR(__xludf.DUMMYFUNCTION("""COMPUTED_VALUE"""),"")</f>
        <v/>
      </c>
      <c r="Q110" s="95" t="str">
        <f>IFERROR(__xludf.DUMMYFUNCTION("""COMPUTED_VALUE"""),"")</f>
        <v/>
      </c>
      <c r="R110" s="96" t="str">
        <f>IFERROR(__xludf.DUMMYFUNCTION("""COMPUTED_VALUE"""),"")</f>
        <v/>
      </c>
      <c r="S110" s="97" t="str">
        <f>IFERROR(__xludf.DUMMYFUNCTION("""COMPUTED_VALUE"""),"")</f>
        <v/>
      </c>
      <c r="T110" s="95" t="str">
        <f>IFERROR(__xludf.DUMMYFUNCTION("""COMPUTED_VALUE"""),"")</f>
        <v/>
      </c>
      <c r="U110" s="96" t="str">
        <f>IFERROR(__xludf.DUMMYFUNCTION("""COMPUTED_VALUE"""),"")</f>
        <v/>
      </c>
      <c r="V110" s="97" t="str">
        <f>IFERROR(__xludf.DUMMYFUNCTION("""COMPUTED_VALUE"""),"")</f>
        <v/>
      </c>
      <c r="W110" s="95" t="str">
        <f>IFERROR(__xludf.DUMMYFUNCTION("""COMPUTED_VALUE"""),"")</f>
        <v/>
      </c>
      <c r="X110" s="96" t="str">
        <f>IFERROR(__xludf.DUMMYFUNCTION("""COMPUTED_VALUE"""),"")</f>
        <v/>
      </c>
      <c r="Y110" s="97" t="str">
        <f>IFERROR(__xludf.DUMMYFUNCTION("""COMPUTED_VALUE"""),"")</f>
        <v/>
      </c>
      <c r="Z110" s="95" t="str">
        <f>IFERROR(__xludf.DUMMYFUNCTION("""COMPUTED_VALUE"""),"")</f>
        <v/>
      </c>
      <c r="AA110" s="96" t="str">
        <f>IFERROR(__xludf.DUMMYFUNCTION("""COMPUTED_VALUE"""),"")</f>
        <v/>
      </c>
      <c r="AB110" s="97" t="str">
        <f>IFERROR(__xludf.DUMMYFUNCTION("""COMPUTED_VALUE"""),"")</f>
        <v/>
      </c>
      <c r="AC110" s="95" t="str">
        <f>IFERROR(__xludf.DUMMYFUNCTION("""COMPUTED_VALUE"""),"")</f>
        <v/>
      </c>
      <c r="AD110" s="96" t="str">
        <f>IFERROR(__xludf.DUMMYFUNCTION("""COMPUTED_VALUE"""),"")</f>
        <v/>
      </c>
      <c r="AE110" s="97" t="str">
        <f>IFERROR(__xludf.DUMMYFUNCTION("""COMPUTED_VALUE"""),"")</f>
        <v/>
      </c>
      <c r="AF110" s="95" t="str">
        <f>IFERROR(__xludf.DUMMYFUNCTION("""COMPUTED_VALUE"""),"")</f>
        <v/>
      </c>
      <c r="AG110" s="96" t="str">
        <f>IFERROR(__xludf.DUMMYFUNCTION("""COMPUTED_VALUE"""),"")</f>
        <v/>
      </c>
      <c r="AH110" s="97" t="str">
        <f>IFERROR(__xludf.DUMMYFUNCTION("""COMPUTED_VALUE"""),"")</f>
        <v/>
      </c>
      <c r="AI110" s="92" t="str">
        <f>IFERROR(__xludf.DUMMYFUNCTION("""COMPUTED_VALUE"""),"")</f>
        <v/>
      </c>
      <c r="AJ110" s="93" t="str">
        <f>IFERROR(__xludf.DUMMYFUNCTION("""COMPUTED_VALUE"""),"")</f>
        <v/>
      </c>
      <c r="AK110" s="94" t="str">
        <f>IFERROR(__xludf.DUMMYFUNCTION("""COMPUTED_VALUE"""),"")</f>
        <v/>
      </c>
      <c r="AL110" s="93" t="str">
        <f>IFERROR(__xludf.DUMMYFUNCTION("""COMPUTED_VALUE"""),"")</f>
        <v/>
      </c>
      <c r="AM110" s="93" t="str">
        <f>IFERROR(__xludf.DUMMYFUNCTION("""COMPUTED_VALUE"""),"")</f>
        <v/>
      </c>
      <c r="AN110" s="94" t="str">
        <f>IFERROR(__xludf.DUMMYFUNCTION("""COMPUTED_VALUE"""),"")</f>
        <v/>
      </c>
      <c r="AO110" s="93" t="str">
        <f>IFERROR(__xludf.DUMMYFUNCTION("""COMPUTED_VALUE"""),"")</f>
        <v/>
      </c>
      <c r="AP110" s="93" t="str">
        <f>IFERROR(__xludf.DUMMYFUNCTION("""COMPUTED_VALUE"""),"")</f>
        <v/>
      </c>
      <c r="AQ110" s="94" t="str">
        <f>IFERROR(__xludf.DUMMYFUNCTION("""COMPUTED_VALUE"""),"")</f>
        <v/>
      </c>
      <c r="AR110" s="93" t="str">
        <f>IFERROR(__xludf.DUMMYFUNCTION("""COMPUTED_VALUE"""),"")</f>
        <v/>
      </c>
      <c r="AS110" s="93" t="str">
        <f>IFERROR(__xludf.DUMMYFUNCTION("""COMPUTED_VALUE"""),"")</f>
        <v/>
      </c>
      <c r="AT110" s="94">
        <f>IFERROR(__xludf.DUMMYFUNCTION("""COMPUTED_VALUE"""),41.6)</f>
        <v>41.6</v>
      </c>
      <c r="AU110" s="93" t="str">
        <f>IFERROR(__xludf.DUMMYFUNCTION("""COMPUTED_VALUE"""),"")</f>
        <v/>
      </c>
      <c r="AV110" s="93" t="str">
        <f>IFERROR(__xludf.DUMMYFUNCTION("""COMPUTED_VALUE"""),"")</f>
        <v/>
      </c>
      <c r="AW110" s="94">
        <f>IFERROR(__xludf.DUMMYFUNCTION("""COMPUTED_VALUE"""),31.1)</f>
        <v>31.1</v>
      </c>
      <c r="AX110" s="93" t="str">
        <f>IFERROR(__xludf.DUMMYFUNCTION("""COMPUTED_VALUE"""),"")</f>
        <v/>
      </c>
      <c r="AY110" s="93" t="str">
        <f>IFERROR(__xludf.DUMMYFUNCTION("""COMPUTED_VALUE"""),"")</f>
        <v/>
      </c>
      <c r="AZ110" s="94" t="str">
        <f>IFERROR(__xludf.DUMMYFUNCTION("""COMPUTED_VALUE"""),"")</f>
        <v/>
      </c>
      <c r="BA110" s="93" t="str">
        <f>IFERROR(__xludf.DUMMYFUNCTION("""COMPUTED_VALUE"""),"")</f>
        <v/>
      </c>
      <c r="BB110" s="93" t="str">
        <f>IFERROR(__xludf.DUMMYFUNCTION("""COMPUTED_VALUE"""),"")</f>
        <v/>
      </c>
      <c r="BC110" s="94" t="str">
        <f>IFERROR(__xludf.DUMMYFUNCTION("""COMPUTED_VALUE"""),"")</f>
        <v/>
      </c>
      <c r="BD110" s="93" t="str">
        <f>IFERROR(__xludf.DUMMYFUNCTION("""COMPUTED_VALUE"""),"")</f>
        <v/>
      </c>
      <c r="BE110" s="93" t="str">
        <f>IFERROR(__xludf.DUMMYFUNCTION("""COMPUTED_VALUE"""),"")</f>
        <v/>
      </c>
      <c r="BF110" s="94" t="str">
        <f>IFERROR(__xludf.DUMMYFUNCTION("""COMPUTED_VALUE"""),"")</f>
        <v/>
      </c>
      <c r="BG110" s="92" t="str">
        <f>IFERROR(__xludf.DUMMYFUNCTION("""COMPUTED_VALUE"""),"")</f>
        <v/>
      </c>
      <c r="BH110" s="93" t="str">
        <f>IFERROR(__xludf.DUMMYFUNCTION("""COMPUTED_VALUE"""),"")</f>
        <v/>
      </c>
      <c r="BI110" s="94" t="str">
        <f>IFERROR(__xludf.DUMMYFUNCTION("""COMPUTED_VALUE"""),"")</f>
        <v/>
      </c>
      <c r="BJ110" s="93" t="str">
        <f>IFERROR(__xludf.DUMMYFUNCTION("""COMPUTED_VALUE"""),"")</f>
        <v/>
      </c>
      <c r="BK110" s="93" t="str">
        <f>IFERROR(__xludf.DUMMYFUNCTION("""COMPUTED_VALUE"""),"")</f>
        <v/>
      </c>
      <c r="BL110" s="94" t="str">
        <f>IFERROR(__xludf.DUMMYFUNCTION("""COMPUTED_VALUE"""),"")</f>
        <v/>
      </c>
      <c r="BM110" s="93" t="str">
        <f>IFERROR(__xludf.DUMMYFUNCTION("""COMPUTED_VALUE"""),"")</f>
        <v/>
      </c>
      <c r="BN110" s="93" t="str">
        <f>IFERROR(__xludf.DUMMYFUNCTION("""COMPUTED_VALUE"""),"")</f>
        <v/>
      </c>
      <c r="BO110" s="94" t="str">
        <f>IFERROR(__xludf.DUMMYFUNCTION("""COMPUTED_VALUE"""),"")</f>
        <v/>
      </c>
      <c r="BP110" s="93" t="str">
        <f>IFERROR(__xludf.DUMMYFUNCTION("""COMPUTED_VALUE"""),"")</f>
        <v/>
      </c>
      <c r="BQ110" s="93" t="str">
        <f>IFERROR(__xludf.DUMMYFUNCTION("""COMPUTED_VALUE"""),"")</f>
        <v/>
      </c>
      <c r="BR110" s="94">
        <f>IFERROR(__xludf.DUMMYFUNCTION("""COMPUTED_VALUE"""),236.9)</f>
        <v>236.9</v>
      </c>
      <c r="BS110" s="107">
        <f>IFERROR(__xludf.DUMMYFUNCTION("""COMPUTED_VALUE"""),235.6)</f>
        <v>235.6</v>
      </c>
      <c r="BT110" s="93" t="str">
        <f>IFERROR(__xludf.DUMMYFUNCTION("""COMPUTED_VALUE"""),"")</f>
        <v/>
      </c>
      <c r="BU110" s="94">
        <f>IFERROR(__xludf.DUMMYFUNCTION("""COMPUTED_VALUE"""),464.6)</f>
        <v>464.6</v>
      </c>
      <c r="BV110" s="93" t="str">
        <f>IFERROR(__xludf.DUMMYFUNCTION("""COMPUTED_VALUE"""),"")</f>
        <v/>
      </c>
      <c r="BW110" s="93" t="str">
        <f>IFERROR(__xludf.DUMMYFUNCTION("""COMPUTED_VALUE"""),"")</f>
        <v/>
      </c>
      <c r="BX110" s="94" t="str">
        <f>IFERROR(__xludf.DUMMYFUNCTION("""COMPUTED_VALUE"""),"")</f>
        <v/>
      </c>
      <c r="BY110" s="93" t="str">
        <f>IFERROR(__xludf.DUMMYFUNCTION("""COMPUTED_VALUE"""),"")</f>
        <v/>
      </c>
      <c r="BZ110" s="93">
        <f>IFERROR(__xludf.DUMMYFUNCTION("""COMPUTED_VALUE"""),573.0)</f>
        <v>573</v>
      </c>
      <c r="CA110" s="94" t="str">
        <f>IFERROR(__xludf.DUMMYFUNCTION("""COMPUTED_VALUE"""),"")</f>
        <v/>
      </c>
      <c r="CB110" s="92" t="str">
        <f>IFERROR(__xludf.DUMMYFUNCTION("""COMPUTED_VALUE"""),"")</f>
        <v/>
      </c>
      <c r="CC110" s="93" t="str">
        <f>IFERROR(__xludf.DUMMYFUNCTION("""COMPUTED_VALUE"""),"")</f>
        <v/>
      </c>
      <c r="CD110" s="94">
        <f>IFERROR(__xludf.DUMMYFUNCTION("""COMPUTED_VALUE"""),194.0)</f>
        <v>194</v>
      </c>
      <c r="CE110" s="93" t="str">
        <f>IFERROR(__xludf.DUMMYFUNCTION("""COMPUTED_VALUE"""),"")</f>
        <v/>
      </c>
      <c r="CF110" s="93" t="str">
        <f>IFERROR(__xludf.DUMMYFUNCTION("""COMPUTED_VALUE"""),"")</f>
        <v/>
      </c>
      <c r="CG110" s="94">
        <f>IFERROR(__xludf.DUMMYFUNCTION("""COMPUTED_VALUE"""),236.7)</f>
        <v>236.7</v>
      </c>
      <c r="CH110" s="93" t="str">
        <f>IFERROR(__xludf.DUMMYFUNCTION("""COMPUTED_VALUE"""),"")</f>
        <v/>
      </c>
      <c r="CI110" s="93" t="str">
        <f>IFERROR(__xludf.DUMMYFUNCTION("""COMPUTED_VALUE"""),"")</f>
        <v/>
      </c>
      <c r="CJ110" s="94" t="str">
        <f>IFERROR(__xludf.DUMMYFUNCTION("""COMPUTED_VALUE"""),"")</f>
        <v/>
      </c>
      <c r="CK110" s="93">
        <f>IFERROR(__xludf.DUMMYFUNCTION("""COMPUTED_VALUE"""),79.6)</f>
        <v>79.6</v>
      </c>
      <c r="CL110" s="93" t="str">
        <f>IFERROR(__xludf.DUMMYFUNCTION("""COMPUTED_VALUE"""),"")</f>
        <v/>
      </c>
      <c r="CM110" s="94" t="str">
        <f>IFERROR(__xludf.DUMMYFUNCTION("""COMPUTED_VALUE"""),"")</f>
        <v/>
      </c>
      <c r="CN110" s="107" t="str">
        <f>IFERROR(__xludf.DUMMYFUNCTION("""COMPUTED_VALUE"""),"")</f>
        <v/>
      </c>
      <c r="CO110" s="93" t="str">
        <f>IFERROR(__xludf.DUMMYFUNCTION("""COMPUTED_VALUE"""),"")</f>
        <v/>
      </c>
      <c r="CP110" s="94" t="str">
        <f>IFERROR(__xludf.DUMMYFUNCTION("""COMPUTED_VALUE"""),"")</f>
        <v/>
      </c>
      <c r="CQ110" s="93" t="str">
        <f>IFERROR(__xludf.DUMMYFUNCTION("""COMPUTED_VALUE"""),"")</f>
        <v/>
      </c>
      <c r="CR110" s="93" t="str">
        <f>IFERROR(__xludf.DUMMYFUNCTION("""COMPUTED_VALUE"""),"")</f>
        <v/>
      </c>
      <c r="CS110" s="94"/>
      <c r="CT110" s="93"/>
      <c r="CU110" s="93"/>
      <c r="CV110" s="94"/>
      <c r="CW110" s="93"/>
      <c r="CX110" s="93"/>
      <c r="CY110" s="94"/>
      <c r="CZ110" s="107"/>
      <c r="DA110" s="93"/>
      <c r="DB110" s="94"/>
      <c r="DC110" s="93"/>
      <c r="DD110" s="93"/>
      <c r="DE110" s="94"/>
      <c r="DF110" s="93"/>
      <c r="DG110" s="93"/>
      <c r="DH110" s="94"/>
      <c r="DI110" s="107"/>
      <c r="DJ110" s="93"/>
      <c r="DK110" s="94"/>
      <c r="DL110" s="93"/>
      <c r="DM110" s="93"/>
      <c r="DN110" s="94"/>
      <c r="DO110" s="93"/>
      <c r="DP110" s="93"/>
      <c r="DQ110" s="94"/>
      <c r="DR110" s="93"/>
      <c r="DS110" s="93"/>
      <c r="DT110" s="94"/>
    </row>
    <row r="111">
      <c r="B111" s="120" t="str">
        <f>IFERROR(__xludf.DUMMYFUNCTION("""COMPUTED_VALUE"""),"EPU13")</f>
        <v>EPU13</v>
      </c>
      <c r="C111" s="82">
        <f>IFERROR(__xludf.DUMMYFUNCTION("""COMPUTED_VALUE"""),98.0)</f>
        <v>98</v>
      </c>
      <c r="D111" s="88" t="str">
        <f>IFERROR(__xludf.DUMMYFUNCTION("""COMPUTED_VALUE"""),"Washington")</f>
        <v>Washington</v>
      </c>
      <c r="E111" s="82" t="str">
        <f>IFERROR(__xludf.DUMMYFUNCTION("""COMPUTED_VALUE"""),"ワシントン")</f>
        <v>ワシントン</v>
      </c>
      <c r="F111" s="102">
        <f>IFERROR(__xludf.DUMMYFUNCTION("""COMPUTED_VALUE"""),20.0)</f>
        <v>20</v>
      </c>
      <c r="G111" s="82">
        <f>IFERROR(__xludf.DUMMYFUNCTION("""COMPUTED_VALUE"""),1551.0)</f>
        <v>1551</v>
      </c>
      <c r="H111" s="95" t="str">
        <f>IFERROR(__xludf.DUMMYFUNCTION("""COMPUTED_VALUE"""),"")</f>
        <v/>
      </c>
      <c r="I111" s="96" t="str">
        <f>IFERROR(__xludf.DUMMYFUNCTION("""COMPUTED_VALUE"""),"")</f>
        <v/>
      </c>
      <c r="J111" s="97" t="str">
        <f>IFERROR(__xludf.DUMMYFUNCTION("""COMPUTED_VALUE"""),"")</f>
        <v/>
      </c>
      <c r="K111" s="95">
        <f>IFERROR(__xludf.DUMMYFUNCTION("""COMPUTED_VALUE"""),242.3)</f>
        <v>242.3</v>
      </c>
      <c r="L111" s="96" t="str">
        <f>IFERROR(__xludf.DUMMYFUNCTION("""COMPUTED_VALUE"""),"")</f>
        <v/>
      </c>
      <c r="M111" s="97" t="str">
        <f>IFERROR(__xludf.DUMMYFUNCTION("""COMPUTED_VALUE"""),"")</f>
        <v/>
      </c>
      <c r="N111" s="95" t="str">
        <f>IFERROR(__xludf.DUMMYFUNCTION("""COMPUTED_VALUE"""),"")</f>
        <v/>
      </c>
      <c r="O111" s="96" t="str">
        <f>IFERROR(__xludf.DUMMYFUNCTION("""COMPUTED_VALUE"""),"")</f>
        <v/>
      </c>
      <c r="P111" s="97" t="str">
        <f>IFERROR(__xludf.DUMMYFUNCTION("""COMPUTED_VALUE"""),"")</f>
        <v/>
      </c>
      <c r="Q111" s="95" t="str">
        <f>IFERROR(__xludf.DUMMYFUNCTION("""COMPUTED_VALUE"""),"")</f>
        <v/>
      </c>
      <c r="R111" s="96" t="str">
        <f>IFERROR(__xludf.DUMMYFUNCTION("""COMPUTED_VALUE"""),"")</f>
        <v/>
      </c>
      <c r="S111" s="97" t="str">
        <f>IFERROR(__xludf.DUMMYFUNCTION("""COMPUTED_VALUE"""),"")</f>
        <v/>
      </c>
      <c r="T111" s="95" t="str">
        <f>IFERROR(__xludf.DUMMYFUNCTION("""COMPUTED_VALUE"""),"")</f>
        <v/>
      </c>
      <c r="U111" s="96" t="str">
        <f>IFERROR(__xludf.DUMMYFUNCTION("""COMPUTED_VALUE"""),"")</f>
        <v/>
      </c>
      <c r="V111" s="97" t="str">
        <f>IFERROR(__xludf.DUMMYFUNCTION("""COMPUTED_VALUE"""),"")</f>
        <v/>
      </c>
      <c r="W111" s="95" t="str">
        <f>IFERROR(__xludf.DUMMYFUNCTION("""COMPUTED_VALUE"""),"")</f>
        <v/>
      </c>
      <c r="X111" s="96" t="str">
        <f>IFERROR(__xludf.DUMMYFUNCTION("""COMPUTED_VALUE"""),"")</f>
        <v/>
      </c>
      <c r="Y111" s="97" t="str">
        <f>IFERROR(__xludf.DUMMYFUNCTION("""COMPUTED_VALUE"""),"")</f>
        <v/>
      </c>
      <c r="Z111" s="95" t="str">
        <f>IFERROR(__xludf.DUMMYFUNCTION("""COMPUTED_VALUE"""),"")</f>
        <v/>
      </c>
      <c r="AA111" s="96" t="str">
        <f>IFERROR(__xludf.DUMMYFUNCTION("""COMPUTED_VALUE"""),"")</f>
        <v/>
      </c>
      <c r="AB111" s="97" t="str">
        <f>IFERROR(__xludf.DUMMYFUNCTION("""COMPUTED_VALUE"""),"")</f>
        <v/>
      </c>
      <c r="AC111" s="95" t="str">
        <f>IFERROR(__xludf.DUMMYFUNCTION("""COMPUTED_VALUE"""),"")</f>
        <v/>
      </c>
      <c r="AD111" s="96" t="str">
        <f>IFERROR(__xludf.DUMMYFUNCTION("""COMPUTED_VALUE"""),"")</f>
        <v/>
      </c>
      <c r="AE111" s="97" t="str">
        <f>IFERROR(__xludf.DUMMYFUNCTION("""COMPUTED_VALUE"""),"")</f>
        <v/>
      </c>
      <c r="AF111" s="95" t="str">
        <f>IFERROR(__xludf.DUMMYFUNCTION("""COMPUTED_VALUE"""),"")</f>
        <v/>
      </c>
      <c r="AG111" s="96" t="str">
        <f>IFERROR(__xludf.DUMMYFUNCTION("""COMPUTED_VALUE"""),"")</f>
        <v/>
      </c>
      <c r="AH111" s="97" t="str">
        <f>IFERROR(__xludf.DUMMYFUNCTION("""COMPUTED_VALUE"""),"")</f>
        <v/>
      </c>
      <c r="AI111" s="136" t="str">
        <f>IFERROR(__xludf.DUMMYFUNCTION("""COMPUTED_VALUE"""),"")</f>
        <v/>
      </c>
      <c r="AJ111" s="137" t="str">
        <f>IFERROR(__xludf.DUMMYFUNCTION("""COMPUTED_VALUE"""),"")</f>
        <v/>
      </c>
      <c r="AK111" s="138" t="str">
        <f>IFERROR(__xludf.DUMMYFUNCTION("""COMPUTED_VALUE"""),"")</f>
        <v/>
      </c>
      <c r="AL111" s="137" t="str">
        <f>IFERROR(__xludf.DUMMYFUNCTION("""COMPUTED_VALUE"""),"")</f>
        <v/>
      </c>
      <c r="AM111" s="137" t="str">
        <f>IFERROR(__xludf.DUMMYFUNCTION("""COMPUTED_VALUE"""),"")</f>
        <v/>
      </c>
      <c r="AN111" s="138" t="str">
        <f>IFERROR(__xludf.DUMMYFUNCTION("""COMPUTED_VALUE"""),"")</f>
        <v/>
      </c>
      <c r="AO111" s="137" t="str">
        <f>IFERROR(__xludf.DUMMYFUNCTION("""COMPUTED_VALUE"""),"")</f>
        <v/>
      </c>
      <c r="AP111" s="137" t="str">
        <f>IFERROR(__xludf.DUMMYFUNCTION("""COMPUTED_VALUE"""),"")</f>
        <v/>
      </c>
      <c r="AQ111" s="138" t="str">
        <f>IFERROR(__xludf.DUMMYFUNCTION("""COMPUTED_VALUE"""),"")</f>
        <v/>
      </c>
      <c r="AR111" s="137" t="str">
        <f>IFERROR(__xludf.DUMMYFUNCTION("""COMPUTED_VALUE"""),"")</f>
        <v/>
      </c>
      <c r="AS111" s="137" t="str">
        <f>IFERROR(__xludf.DUMMYFUNCTION("""COMPUTED_VALUE"""),"")</f>
        <v/>
      </c>
      <c r="AT111" s="138">
        <f>IFERROR(__xludf.DUMMYFUNCTION("""COMPUTED_VALUE"""),37.9)</f>
        <v>37.9</v>
      </c>
      <c r="AU111" s="137" t="str">
        <f>IFERROR(__xludf.DUMMYFUNCTION("""COMPUTED_VALUE"""),"")</f>
        <v/>
      </c>
      <c r="AV111" s="137" t="str">
        <f>IFERROR(__xludf.DUMMYFUNCTION("""COMPUTED_VALUE"""),"")</f>
        <v/>
      </c>
      <c r="AW111" s="138" t="str">
        <f>IFERROR(__xludf.DUMMYFUNCTION("""COMPUTED_VALUE"""),"")</f>
        <v/>
      </c>
      <c r="AX111" s="137" t="str">
        <f>IFERROR(__xludf.DUMMYFUNCTION("""COMPUTED_VALUE"""),"")</f>
        <v/>
      </c>
      <c r="AY111" s="137" t="str">
        <f>IFERROR(__xludf.DUMMYFUNCTION("""COMPUTED_VALUE"""),"")</f>
        <v/>
      </c>
      <c r="AZ111" s="138" t="str">
        <f>IFERROR(__xludf.DUMMYFUNCTION("""COMPUTED_VALUE"""),"")</f>
        <v/>
      </c>
      <c r="BA111" s="137" t="str">
        <f>IFERROR(__xludf.DUMMYFUNCTION("""COMPUTED_VALUE"""),"")</f>
        <v/>
      </c>
      <c r="BB111" s="137" t="str">
        <f>IFERROR(__xludf.DUMMYFUNCTION("""COMPUTED_VALUE"""),"")</f>
        <v/>
      </c>
      <c r="BC111" s="138">
        <f>IFERROR(__xludf.DUMMYFUNCTION("""COMPUTED_VALUE"""),621.4)</f>
        <v>621.4</v>
      </c>
      <c r="BD111" s="137" t="str">
        <f>IFERROR(__xludf.DUMMYFUNCTION("""COMPUTED_VALUE"""),"")</f>
        <v/>
      </c>
      <c r="BE111" s="137" t="str">
        <f>IFERROR(__xludf.DUMMYFUNCTION("""COMPUTED_VALUE"""),"")</f>
        <v/>
      </c>
      <c r="BF111" s="138" t="str">
        <f>IFERROR(__xludf.DUMMYFUNCTION("""COMPUTED_VALUE"""),"")</f>
        <v/>
      </c>
      <c r="BG111" s="136" t="str">
        <f>IFERROR(__xludf.DUMMYFUNCTION("""COMPUTED_VALUE"""),"")</f>
        <v/>
      </c>
      <c r="BH111" s="137" t="str">
        <f>IFERROR(__xludf.DUMMYFUNCTION("""COMPUTED_VALUE"""),"")</f>
        <v/>
      </c>
      <c r="BI111" s="138" t="str">
        <f>IFERROR(__xludf.DUMMYFUNCTION("""COMPUTED_VALUE"""),"")</f>
        <v/>
      </c>
      <c r="BJ111" s="137" t="str">
        <f>IFERROR(__xludf.DUMMYFUNCTION("""COMPUTED_VALUE"""),"")</f>
        <v/>
      </c>
      <c r="BK111" s="137" t="str">
        <f>IFERROR(__xludf.DUMMYFUNCTION("""COMPUTED_VALUE"""),"")</f>
        <v/>
      </c>
      <c r="BL111" s="138" t="str">
        <f>IFERROR(__xludf.DUMMYFUNCTION("""COMPUTED_VALUE"""),"")</f>
        <v/>
      </c>
      <c r="BM111" s="137" t="str">
        <f>IFERROR(__xludf.DUMMYFUNCTION("""COMPUTED_VALUE"""),"")</f>
        <v/>
      </c>
      <c r="BN111" s="137" t="str">
        <f>IFERROR(__xludf.DUMMYFUNCTION("""COMPUTED_VALUE"""),"")</f>
        <v/>
      </c>
      <c r="BO111" s="138" t="str">
        <f>IFERROR(__xludf.DUMMYFUNCTION("""COMPUTED_VALUE"""),"")</f>
        <v/>
      </c>
      <c r="BP111" s="137" t="str">
        <f>IFERROR(__xludf.DUMMYFUNCTION("""COMPUTED_VALUE"""),"")</f>
        <v/>
      </c>
      <c r="BQ111" s="137">
        <f>IFERROR(__xludf.DUMMYFUNCTION("""COMPUTED_VALUE"""),143.1)</f>
        <v>143.1</v>
      </c>
      <c r="BR111" s="138">
        <f>IFERROR(__xludf.DUMMYFUNCTION("""COMPUTED_VALUE"""),369.5)</f>
        <v>369.5</v>
      </c>
      <c r="BS111" s="137">
        <f>IFERROR(__xludf.DUMMYFUNCTION("""COMPUTED_VALUE"""),441.0)</f>
        <v>441</v>
      </c>
      <c r="BT111" s="137" t="str">
        <f>IFERROR(__xludf.DUMMYFUNCTION("""COMPUTED_VALUE"""),"")</f>
        <v/>
      </c>
      <c r="BU111" s="138">
        <f>IFERROR(__xludf.DUMMYFUNCTION("""COMPUTED_VALUE"""),339.7)</f>
        <v>339.7</v>
      </c>
      <c r="BV111" s="137" t="str">
        <f>IFERROR(__xludf.DUMMYFUNCTION("""COMPUTED_VALUE"""),"")</f>
        <v/>
      </c>
      <c r="BW111" s="137" t="str">
        <f>IFERROR(__xludf.DUMMYFUNCTION("""COMPUTED_VALUE"""),"")</f>
        <v/>
      </c>
      <c r="BX111" s="138" t="str">
        <f>IFERROR(__xludf.DUMMYFUNCTION("""COMPUTED_VALUE"""),"")</f>
        <v/>
      </c>
      <c r="BY111" s="137" t="str">
        <f>IFERROR(__xludf.DUMMYFUNCTION("""COMPUTED_VALUE"""),"")</f>
        <v/>
      </c>
      <c r="BZ111" s="137" t="str">
        <f>IFERROR(__xludf.DUMMYFUNCTION("""COMPUTED_VALUE"""),"")</f>
        <v/>
      </c>
      <c r="CA111" s="138" t="str">
        <f>IFERROR(__xludf.DUMMYFUNCTION("""COMPUTED_VALUE"""),"")</f>
        <v/>
      </c>
      <c r="CB111" s="136" t="str">
        <f>IFERROR(__xludf.DUMMYFUNCTION("""COMPUTED_VALUE"""),"")</f>
        <v/>
      </c>
      <c r="CC111" s="137" t="str">
        <f>IFERROR(__xludf.DUMMYFUNCTION("""COMPUTED_VALUE"""),"")</f>
        <v/>
      </c>
      <c r="CD111" s="138" t="str">
        <f>IFERROR(__xludf.DUMMYFUNCTION("""COMPUTED_VALUE"""),"")</f>
        <v/>
      </c>
      <c r="CE111" s="137" t="str">
        <f>IFERROR(__xludf.DUMMYFUNCTION("""COMPUTED_VALUE"""),"")</f>
        <v/>
      </c>
      <c r="CF111" s="137" t="str">
        <f>IFERROR(__xludf.DUMMYFUNCTION("""COMPUTED_VALUE"""),"")</f>
        <v/>
      </c>
      <c r="CG111" s="138" t="str">
        <f>IFERROR(__xludf.DUMMYFUNCTION("""COMPUTED_VALUE"""),"")</f>
        <v/>
      </c>
      <c r="CH111" s="137" t="str">
        <f>IFERROR(__xludf.DUMMYFUNCTION("""COMPUTED_VALUE"""),"")</f>
        <v/>
      </c>
      <c r="CI111" s="137" t="str">
        <f>IFERROR(__xludf.DUMMYFUNCTION("""COMPUTED_VALUE"""),"")</f>
        <v/>
      </c>
      <c r="CJ111" s="138" t="str">
        <f>IFERROR(__xludf.DUMMYFUNCTION("""COMPUTED_VALUE"""),"")</f>
        <v/>
      </c>
      <c r="CK111" s="137" t="str">
        <f>IFERROR(__xludf.DUMMYFUNCTION("""COMPUTED_VALUE"""),"")</f>
        <v/>
      </c>
      <c r="CL111" s="137">
        <f>IFERROR(__xludf.DUMMYFUNCTION("""COMPUTED_VALUE"""),22.8)</f>
        <v>22.8</v>
      </c>
      <c r="CM111" s="138" t="str">
        <f>IFERROR(__xludf.DUMMYFUNCTION("""COMPUTED_VALUE"""),"")</f>
        <v/>
      </c>
      <c r="CN111" s="137" t="str">
        <f>IFERROR(__xludf.DUMMYFUNCTION("""COMPUTED_VALUE"""),"")</f>
        <v/>
      </c>
      <c r="CO111" s="137" t="str">
        <f>IFERROR(__xludf.DUMMYFUNCTION("""COMPUTED_VALUE"""),"")</f>
        <v/>
      </c>
      <c r="CP111" s="138" t="str">
        <f>IFERROR(__xludf.DUMMYFUNCTION("""COMPUTED_VALUE"""),"")</f>
        <v/>
      </c>
      <c r="CQ111" s="137" t="str">
        <f>IFERROR(__xludf.DUMMYFUNCTION("""COMPUTED_VALUE"""),"")</f>
        <v/>
      </c>
      <c r="CR111" s="137" t="str">
        <f>IFERROR(__xludf.DUMMYFUNCTION("""COMPUTED_VALUE"""),"")</f>
        <v/>
      </c>
      <c r="CS111" s="138"/>
      <c r="CT111" s="137"/>
      <c r="CU111" s="137"/>
      <c r="CV111" s="138"/>
      <c r="CW111" s="137"/>
      <c r="CX111" s="137"/>
      <c r="CY111" s="138"/>
      <c r="CZ111" s="137"/>
      <c r="DA111" s="137"/>
      <c r="DB111" s="138"/>
      <c r="DC111" s="137"/>
      <c r="DD111" s="137"/>
      <c r="DE111" s="138"/>
      <c r="DF111" s="137"/>
      <c r="DG111" s="137"/>
      <c r="DH111" s="138"/>
      <c r="DI111" s="137"/>
      <c r="DJ111" s="137"/>
      <c r="DK111" s="138"/>
      <c r="DL111" s="137"/>
      <c r="DM111" s="137"/>
      <c r="DN111" s="138"/>
      <c r="DO111" s="137"/>
      <c r="DP111" s="137"/>
      <c r="DQ111" s="138"/>
      <c r="DR111" s="137"/>
      <c r="DS111" s="137"/>
      <c r="DT111" s="138"/>
    </row>
    <row r="112">
      <c r="B112" s="120" t="str">
        <f>IFERROR(__xludf.DUMMYFUNCTION("""COMPUTED_VALUE"""),"EPU14")</f>
        <v>EPU14</v>
      </c>
      <c r="C112" s="82">
        <f>IFERROR(__xludf.DUMMYFUNCTION("""COMPUTED_VALUE"""),99.0)</f>
        <v>99</v>
      </c>
      <c r="D112" s="88" t="str">
        <f>IFERROR(__xludf.DUMMYFUNCTION("""COMPUTED_VALUE"""),"Chicago")</f>
        <v>Chicago</v>
      </c>
      <c r="E112" s="82" t="str">
        <f>IFERROR(__xludf.DUMMYFUNCTION("""COMPUTED_VALUE"""),"シカゴ")</f>
        <v>シカゴ</v>
      </c>
      <c r="F112" s="102">
        <f>IFERROR(__xludf.DUMMYFUNCTION("""COMPUTED_VALUE"""),21.0)</f>
        <v>21</v>
      </c>
      <c r="G112" s="82">
        <f>IFERROR(__xludf.DUMMYFUNCTION("""COMPUTED_VALUE"""),3494.0)</f>
        <v>3494</v>
      </c>
      <c r="H112" s="95" t="str">
        <f>IFERROR(__xludf.DUMMYFUNCTION("""COMPUTED_VALUE"""),"")</f>
        <v/>
      </c>
      <c r="I112" s="96" t="str">
        <f>IFERROR(__xludf.DUMMYFUNCTION("""COMPUTED_VALUE"""),"")</f>
        <v/>
      </c>
      <c r="J112" s="97" t="str">
        <f>IFERROR(__xludf.DUMMYFUNCTION("""COMPUTED_VALUE"""),"")</f>
        <v/>
      </c>
      <c r="K112" s="95" t="str">
        <f>IFERROR(__xludf.DUMMYFUNCTION("""COMPUTED_VALUE"""),"")</f>
        <v/>
      </c>
      <c r="L112" s="96" t="str">
        <f>IFERROR(__xludf.DUMMYFUNCTION("""COMPUTED_VALUE"""),"")</f>
        <v/>
      </c>
      <c r="M112" s="97" t="str">
        <f>IFERROR(__xludf.DUMMYFUNCTION("""COMPUTED_VALUE"""),"")</f>
        <v/>
      </c>
      <c r="N112" s="95" t="str">
        <f>IFERROR(__xludf.DUMMYFUNCTION("""COMPUTED_VALUE"""),"")</f>
        <v/>
      </c>
      <c r="O112" s="96" t="str">
        <f>IFERROR(__xludf.DUMMYFUNCTION("""COMPUTED_VALUE"""),"")</f>
        <v/>
      </c>
      <c r="P112" s="97" t="str">
        <f>IFERROR(__xludf.DUMMYFUNCTION("""COMPUTED_VALUE"""),"")</f>
        <v/>
      </c>
      <c r="Q112" s="95" t="str">
        <f>IFERROR(__xludf.DUMMYFUNCTION("""COMPUTED_VALUE"""),"")</f>
        <v/>
      </c>
      <c r="R112" s="96" t="str">
        <f>IFERROR(__xludf.DUMMYFUNCTION("""COMPUTED_VALUE"""),"")</f>
        <v/>
      </c>
      <c r="S112" s="97" t="str">
        <f>IFERROR(__xludf.DUMMYFUNCTION("""COMPUTED_VALUE"""),"")</f>
        <v/>
      </c>
      <c r="T112" s="95" t="str">
        <f>IFERROR(__xludf.DUMMYFUNCTION("""COMPUTED_VALUE"""),"")</f>
        <v/>
      </c>
      <c r="U112" s="96" t="str">
        <f>IFERROR(__xludf.DUMMYFUNCTION("""COMPUTED_VALUE"""),"")</f>
        <v/>
      </c>
      <c r="V112" s="97" t="str">
        <f>IFERROR(__xludf.DUMMYFUNCTION("""COMPUTED_VALUE"""),"")</f>
        <v/>
      </c>
      <c r="W112" s="95" t="str">
        <f>IFERROR(__xludf.DUMMYFUNCTION("""COMPUTED_VALUE"""),"")</f>
        <v/>
      </c>
      <c r="X112" s="96" t="str">
        <f>IFERROR(__xludf.DUMMYFUNCTION("""COMPUTED_VALUE"""),"")</f>
        <v/>
      </c>
      <c r="Y112" s="97" t="str">
        <f>IFERROR(__xludf.DUMMYFUNCTION("""COMPUTED_VALUE"""),"")</f>
        <v/>
      </c>
      <c r="Z112" s="95" t="str">
        <f>IFERROR(__xludf.DUMMYFUNCTION("""COMPUTED_VALUE"""),"")</f>
        <v/>
      </c>
      <c r="AA112" s="96" t="str">
        <f>IFERROR(__xludf.DUMMYFUNCTION("""COMPUTED_VALUE"""),"")</f>
        <v/>
      </c>
      <c r="AB112" s="97" t="str">
        <f>IFERROR(__xludf.DUMMYFUNCTION("""COMPUTED_VALUE"""),"")</f>
        <v/>
      </c>
      <c r="AC112" s="95" t="str">
        <f>IFERROR(__xludf.DUMMYFUNCTION("""COMPUTED_VALUE"""),"")</f>
        <v/>
      </c>
      <c r="AD112" s="96" t="str">
        <f>IFERROR(__xludf.DUMMYFUNCTION("""COMPUTED_VALUE"""),"")</f>
        <v/>
      </c>
      <c r="AE112" s="97">
        <f>IFERROR(__xludf.DUMMYFUNCTION("""COMPUTED_VALUE"""),52.0)</f>
        <v>52</v>
      </c>
      <c r="AF112" s="95" t="str">
        <f>IFERROR(__xludf.DUMMYFUNCTION("""COMPUTED_VALUE"""),"")</f>
        <v/>
      </c>
      <c r="AG112" s="96" t="str">
        <f>IFERROR(__xludf.DUMMYFUNCTION("""COMPUTED_VALUE"""),"")</f>
        <v/>
      </c>
      <c r="AH112" s="97" t="str">
        <f>IFERROR(__xludf.DUMMYFUNCTION("""COMPUTED_VALUE"""),"")</f>
        <v/>
      </c>
      <c r="AI112" s="92" t="str">
        <f>IFERROR(__xludf.DUMMYFUNCTION("""COMPUTED_VALUE"""),"")</f>
        <v/>
      </c>
      <c r="AJ112" s="93" t="str">
        <f>IFERROR(__xludf.DUMMYFUNCTION("""COMPUTED_VALUE"""),"")</f>
        <v/>
      </c>
      <c r="AK112" s="94" t="str">
        <f>IFERROR(__xludf.DUMMYFUNCTION("""COMPUTED_VALUE"""),"")</f>
        <v/>
      </c>
      <c r="AL112" s="93" t="str">
        <f>IFERROR(__xludf.DUMMYFUNCTION("""COMPUTED_VALUE"""),"")</f>
        <v/>
      </c>
      <c r="AM112" s="93" t="str">
        <f>IFERROR(__xludf.DUMMYFUNCTION("""COMPUTED_VALUE"""),"")</f>
        <v/>
      </c>
      <c r="AN112" s="94" t="str">
        <f>IFERROR(__xludf.DUMMYFUNCTION("""COMPUTED_VALUE"""),"")</f>
        <v/>
      </c>
      <c r="AO112" s="93" t="str">
        <f>IFERROR(__xludf.DUMMYFUNCTION("""COMPUTED_VALUE"""),"")</f>
        <v/>
      </c>
      <c r="AP112" s="93" t="str">
        <f>IFERROR(__xludf.DUMMYFUNCTION("""COMPUTED_VALUE"""),"")</f>
        <v/>
      </c>
      <c r="AQ112" s="94" t="str">
        <f>IFERROR(__xludf.DUMMYFUNCTION("""COMPUTED_VALUE"""),"")</f>
        <v/>
      </c>
      <c r="AR112" s="93" t="str">
        <f>IFERROR(__xludf.DUMMYFUNCTION("""COMPUTED_VALUE"""),"")</f>
        <v/>
      </c>
      <c r="AS112" s="93" t="str">
        <f>IFERROR(__xludf.DUMMYFUNCTION("""COMPUTED_VALUE"""),"")</f>
        <v/>
      </c>
      <c r="AT112" s="94" t="str">
        <f>IFERROR(__xludf.DUMMYFUNCTION("""COMPUTED_VALUE"""),"")</f>
        <v/>
      </c>
      <c r="AU112" s="93" t="str">
        <f>IFERROR(__xludf.DUMMYFUNCTION("""COMPUTED_VALUE"""),"")</f>
        <v/>
      </c>
      <c r="AV112" s="93" t="str">
        <f>IFERROR(__xludf.DUMMYFUNCTION("""COMPUTED_VALUE"""),"")</f>
        <v/>
      </c>
      <c r="AW112" s="94" t="str">
        <f>IFERROR(__xludf.DUMMYFUNCTION("""COMPUTED_VALUE"""),"")</f>
        <v/>
      </c>
      <c r="AX112" s="93" t="str">
        <f>IFERROR(__xludf.DUMMYFUNCTION("""COMPUTED_VALUE"""),"")</f>
        <v/>
      </c>
      <c r="AY112" s="93" t="str">
        <f>IFERROR(__xludf.DUMMYFUNCTION("""COMPUTED_VALUE"""),"")</f>
        <v/>
      </c>
      <c r="AZ112" s="94" t="str">
        <f>IFERROR(__xludf.DUMMYFUNCTION("""COMPUTED_VALUE"""),"")</f>
        <v/>
      </c>
      <c r="BA112" s="93" t="str">
        <f>IFERROR(__xludf.DUMMYFUNCTION("""COMPUTED_VALUE"""),"")</f>
        <v/>
      </c>
      <c r="BB112" s="93" t="str">
        <f>IFERROR(__xludf.DUMMYFUNCTION("""COMPUTED_VALUE"""),"")</f>
        <v/>
      </c>
      <c r="BC112" s="94" t="str">
        <f>IFERROR(__xludf.DUMMYFUNCTION("""COMPUTED_VALUE"""),"")</f>
        <v/>
      </c>
      <c r="BD112" s="93">
        <f>IFERROR(__xludf.DUMMYFUNCTION("""COMPUTED_VALUE"""),549.2)</f>
        <v>549.2</v>
      </c>
      <c r="BE112" s="140" t="str">
        <f>IFERROR(__xludf.DUMMYFUNCTION("""COMPUTED_VALUE"""),"")</f>
        <v/>
      </c>
      <c r="BF112" s="94" t="str">
        <f>IFERROR(__xludf.DUMMYFUNCTION("""COMPUTED_VALUE"""),"")</f>
        <v/>
      </c>
      <c r="BG112" s="92" t="str">
        <f>IFERROR(__xludf.DUMMYFUNCTION("""COMPUTED_VALUE"""),"")</f>
        <v/>
      </c>
      <c r="BH112" s="93" t="str">
        <f>IFERROR(__xludf.DUMMYFUNCTION("""COMPUTED_VALUE"""),"")</f>
        <v/>
      </c>
      <c r="BI112" s="94" t="str">
        <f>IFERROR(__xludf.DUMMYFUNCTION("""COMPUTED_VALUE"""),"")</f>
        <v/>
      </c>
      <c r="BJ112" s="93" t="str">
        <f>IFERROR(__xludf.DUMMYFUNCTION("""COMPUTED_VALUE"""),"")</f>
        <v/>
      </c>
      <c r="BK112" s="93">
        <f>IFERROR(__xludf.DUMMYFUNCTION("""COMPUTED_VALUE"""),129.0)</f>
        <v>129</v>
      </c>
      <c r="BL112" s="94" t="str">
        <f>IFERROR(__xludf.DUMMYFUNCTION("""COMPUTED_VALUE"""),"")</f>
        <v/>
      </c>
      <c r="BM112" s="93" t="str">
        <f>IFERROR(__xludf.DUMMYFUNCTION("""COMPUTED_VALUE"""),"")</f>
        <v/>
      </c>
      <c r="BN112" s="93" t="str">
        <f>IFERROR(__xludf.DUMMYFUNCTION("""COMPUTED_VALUE"""),"")</f>
        <v/>
      </c>
      <c r="BO112" s="94" t="str">
        <f>IFERROR(__xludf.DUMMYFUNCTION("""COMPUTED_VALUE"""),"")</f>
        <v/>
      </c>
      <c r="BP112" s="93" t="str">
        <f>IFERROR(__xludf.DUMMYFUNCTION("""COMPUTED_VALUE"""),"")</f>
        <v/>
      </c>
      <c r="BQ112" s="93" t="str">
        <f>IFERROR(__xludf.DUMMYFUNCTION("""COMPUTED_VALUE"""),"")</f>
        <v/>
      </c>
      <c r="BR112" s="94">
        <f>IFERROR(__xludf.DUMMYFUNCTION("""COMPUTED_VALUE"""),91.4)</f>
        <v>91.4</v>
      </c>
      <c r="BS112" s="93" t="str">
        <f>IFERROR(__xludf.DUMMYFUNCTION("""COMPUTED_VALUE"""),"")</f>
        <v/>
      </c>
      <c r="BT112" s="93" t="str">
        <f>IFERROR(__xludf.DUMMYFUNCTION("""COMPUTED_VALUE"""),"")</f>
        <v/>
      </c>
      <c r="BU112" s="94" t="str">
        <f>IFERROR(__xludf.DUMMYFUNCTION("""COMPUTED_VALUE"""),"")</f>
        <v/>
      </c>
      <c r="BV112" s="93" t="str">
        <f>IFERROR(__xludf.DUMMYFUNCTION("""COMPUTED_VALUE"""),"")</f>
        <v/>
      </c>
      <c r="BW112" s="93" t="str">
        <f>IFERROR(__xludf.DUMMYFUNCTION("""COMPUTED_VALUE"""),"")</f>
        <v/>
      </c>
      <c r="BX112" s="94" t="str">
        <f>IFERROR(__xludf.DUMMYFUNCTION("""COMPUTED_VALUE"""),"")</f>
        <v/>
      </c>
      <c r="BY112" s="93" t="str">
        <f>IFERROR(__xludf.DUMMYFUNCTION("""COMPUTED_VALUE"""),"")</f>
        <v/>
      </c>
      <c r="BZ112" s="93" t="str">
        <f>IFERROR(__xludf.DUMMYFUNCTION("""COMPUTED_VALUE"""),"")</f>
        <v/>
      </c>
      <c r="CA112" s="94" t="str">
        <f>IFERROR(__xludf.DUMMYFUNCTION("""COMPUTED_VALUE"""),"")</f>
        <v/>
      </c>
      <c r="CB112" s="92" t="str">
        <f>IFERROR(__xludf.DUMMYFUNCTION("""COMPUTED_VALUE"""),"")</f>
        <v/>
      </c>
      <c r="CC112" s="93" t="str">
        <f>IFERROR(__xludf.DUMMYFUNCTION("""COMPUTED_VALUE"""),"")</f>
        <v/>
      </c>
      <c r="CD112" s="94" t="str">
        <f>IFERROR(__xludf.DUMMYFUNCTION("""COMPUTED_VALUE"""),"")</f>
        <v/>
      </c>
      <c r="CE112" s="93" t="str">
        <f>IFERROR(__xludf.DUMMYFUNCTION("""COMPUTED_VALUE"""),"")</f>
        <v/>
      </c>
      <c r="CF112" s="93" t="str">
        <f>IFERROR(__xludf.DUMMYFUNCTION("""COMPUTED_VALUE"""),"")</f>
        <v/>
      </c>
      <c r="CG112" s="94" t="str">
        <f>IFERROR(__xludf.DUMMYFUNCTION("""COMPUTED_VALUE"""),"")</f>
        <v/>
      </c>
      <c r="CH112" s="93" t="str">
        <f>IFERROR(__xludf.DUMMYFUNCTION("""COMPUTED_VALUE"""),"")</f>
        <v/>
      </c>
      <c r="CI112" s="93" t="str">
        <f>IFERROR(__xludf.DUMMYFUNCTION("""COMPUTED_VALUE"""),"")</f>
        <v/>
      </c>
      <c r="CJ112" s="94" t="str">
        <f>IFERROR(__xludf.DUMMYFUNCTION("""COMPUTED_VALUE"""),"")</f>
        <v/>
      </c>
      <c r="CK112" s="93" t="str">
        <f>IFERROR(__xludf.DUMMYFUNCTION("""COMPUTED_VALUE"""),"")</f>
        <v/>
      </c>
      <c r="CL112" s="93" t="str">
        <f>IFERROR(__xludf.DUMMYFUNCTION("""COMPUTED_VALUE"""),"")</f>
        <v/>
      </c>
      <c r="CM112" s="94" t="str">
        <f>IFERROR(__xludf.DUMMYFUNCTION("""COMPUTED_VALUE"""),"")</f>
        <v/>
      </c>
      <c r="CN112" s="93" t="str">
        <f>IFERROR(__xludf.DUMMYFUNCTION("""COMPUTED_VALUE"""),"")</f>
        <v/>
      </c>
      <c r="CO112" s="93" t="str">
        <f>IFERROR(__xludf.DUMMYFUNCTION("""COMPUTED_VALUE"""),"")</f>
        <v/>
      </c>
      <c r="CP112" s="94" t="str">
        <f>IFERROR(__xludf.DUMMYFUNCTION("""COMPUTED_VALUE"""),"")</f>
        <v/>
      </c>
      <c r="CQ112" s="93" t="str">
        <f>IFERROR(__xludf.DUMMYFUNCTION("""COMPUTED_VALUE"""),"")</f>
        <v/>
      </c>
      <c r="CR112" s="93" t="str">
        <f>IFERROR(__xludf.DUMMYFUNCTION("""COMPUTED_VALUE"""),"")</f>
        <v/>
      </c>
      <c r="CS112" s="94"/>
      <c r="CT112" s="93"/>
      <c r="CU112" s="93"/>
      <c r="CV112" s="94"/>
      <c r="CW112" s="93"/>
      <c r="CX112" s="93"/>
      <c r="CY112" s="94"/>
      <c r="CZ112" s="93"/>
      <c r="DA112" s="93"/>
      <c r="DB112" s="94"/>
      <c r="DC112" s="93"/>
      <c r="DD112" s="93"/>
      <c r="DE112" s="94"/>
      <c r="DF112" s="93"/>
      <c r="DG112" s="93"/>
      <c r="DH112" s="94"/>
      <c r="DI112" s="93"/>
      <c r="DJ112" s="93"/>
      <c r="DK112" s="94"/>
      <c r="DL112" s="93"/>
      <c r="DM112" s="93"/>
      <c r="DN112" s="94"/>
      <c r="DO112" s="93"/>
      <c r="DP112" s="93"/>
      <c r="DQ112" s="94"/>
      <c r="DR112" s="93"/>
      <c r="DS112" s="93"/>
      <c r="DT112" s="94"/>
    </row>
    <row r="113">
      <c r="A113" s="141" t="str">
        <f>IFERROR(__xludf.DUMMYFUNCTION("""COMPUTED_VALUE"""),"CAMELOT")</f>
        <v>CAMELOT</v>
      </c>
      <c r="B113" s="120" t="str">
        <f>IFERROR(__xludf.DUMMYFUNCTION("""COMPUTED_VALUE"""),"CML1")</f>
        <v>CML1</v>
      </c>
      <c r="C113" s="82">
        <f>IFERROR(__xludf.DUMMYFUNCTION("""COMPUTED_VALUE"""),102.0)</f>
        <v>102</v>
      </c>
      <c r="D113" s="88" t="str">
        <f>IFERROR(__xludf.DUMMYFUNCTION("""COMPUTED_VALUE"""),"Sandstorm Desert")</f>
        <v>Sandstorm Desert</v>
      </c>
      <c r="E113" s="82" t="str">
        <f>IFERROR(__xludf.DUMMYFUNCTION("""COMPUTED_VALUE"""),"砂嵐の砂漠")</f>
        <v>砂嵐の砂漠</v>
      </c>
      <c r="F113" s="102">
        <f>IFERROR(__xludf.DUMMYFUNCTION("""COMPUTED_VALUE"""),19.0)</f>
        <v>19</v>
      </c>
      <c r="G113" s="82">
        <f>IFERROR(__xludf.DUMMYFUNCTION("""COMPUTED_VALUE"""),70842.0)</f>
        <v>70842</v>
      </c>
      <c r="H113" s="95" t="str">
        <f>IFERROR(__xludf.DUMMYFUNCTION("""COMPUTED_VALUE"""),"")</f>
        <v/>
      </c>
      <c r="I113" s="96" t="str">
        <f>IFERROR(__xludf.DUMMYFUNCTION("""COMPUTED_VALUE"""),"")</f>
        <v/>
      </c>
      <c r="J113" s="97" t="str">
        <f>IFERROR(__xludf.DUMMYFUNCTION("""COMPUTED_VALUE"""),"")</f>
        <v/>
      </c>
      <c r="K113" s="95" t="str">
        <f>IFERROR(__xludf.DUMMYFUNCTION("""COMPUTED_VALUE"""),"")</f>
        <v/>
      </c>
      <c r="L113" s="96" t="str">
        <f>IFERROR(__xludf.DUMMYFUNCTION("""COMPUTED_VALUE"""),"")</f>
        <v/>
      </c>
      <c r="M113" s="97" t="str">
        <f>IFERROR(__xludf.DUMMYFUNCTION("""COMPUTED_VALUE"""),"")</f>
        <v/>
      </c>
      <c r="N113" s="95" t="str">
        <f>IFERROR(__xludf.DUMMYFUNCTION("""COMPUTED_VALUE"""),"")</f>
        <v/>
      </c>
      <c r="O113" s="96" t="str">
        <f>IFERROR(__xludf.DUMMYFUNCTION("""COMPUTED_VALUE"""),"")</f>
        <v/>
      </c>
      <c r="P113" s="97">
        <f>IFERROR(__xludf.DUMMYFUNCTION("""COMPUTED_VALUE"""),233.6)</f>
        <v>233.6</v>
      </c>
      <c r="Q113" s="95" t="str">
        <f>IFERROR(__xludf.DUMMYFUNCTION("""COMPUTED_VALUE"""),"")</f>
        <v/>
      </c>
      <c r="R113" s="96" t="str">
        <f>IFERROR(__xludf.DUMMYFUNCTION("""COMPUTED_VALUE"""),"")</f>
        <v/>
      </c>
      <c r="S113" s="97" t="str">
        <f>IFERROR(__xludf.DUMMYFUNCTION("""COMPUTED_VALUE"""),"")</f>
        <v/>
      </c>
      <c r="T113" s="95" t="str">
        <f>IFERROR(__xludf.DUMMYFUNCTION("""COMPUTED_VALUE"""),"")</f>
        <v/>
      </c>
      <c r="U113" s="96" t="str">
        <f>IFERROR(__xludf.DUMMYFUNCTION("""COMPUTED_VALUE"""),"")</f>
        <v/>
      </c>
      <c r="V113" s="97" t="str">
        <f>IFERROR(__xludf.DUMMYFUNCTION("""COMPUTED_VALUE"""),"")</f>
        <v/>
      </c>
      <c r="W113" s="95" t="str">
        <f>IFERROR(__xludf.DUMMYFUNCTION("""COMPUTED_VALUE"""),"")</f>
        <v/>
      </c>
      <c r="X113" s="96" t="str">
        <f>IFERROR(__xludf.DUMMYFUNCTION("""COMPUTED_VALUE"""),"")</f>
        <v/>
      </c>
      <c r="Y113" s="97" t="str">
        <f>IFERROR(__xludf.DUMMYFUNCTION("""COMPUTED_VALUE"""),"")</f>
        <v/>
      </c>
      <c r="Z113" s="95" t="str">
        <f>IFERROR(__xludf.DUMMYFUNCTION("""COMPUTED_VALUE"""),"")</f>
        <v/>
      </c>
      <c r="AA113" s="96" t="str">
        <f>IFERROR(__xludf.DUMMYFUNCTION("""COMPUTED_VALUE"""),"")</f>
        <v/>
      </c>
      <c r="AB113" s="97" t="str">
        <f>IFERROR(__xludf.DUMMYFUNCTION("""COMPUTED_VALUE"""),"")</f>
        <v/>
      </c>
      <c r="AC113" s="95" t="str">
        <f>IFERROR(__xludf.DUMMYFUNCTION("""COMPUTED_VALUE"""),"")</f>
        <v/>
      </c>
      <c r="AD113" s="96" t="str">
        <f>IFERROR(__xludf.DUMMYFUNCTION("""COMPUTED_VALUE"""),"")</f>
        <v/>
      </c>
      <c r="AE113" s="97" t="str">
        <f>IFERROR(__xludf.DUMMYFUNCTION("""COMPUTED_VALUE"""),"")</f>
        <v/>
      </c>
      <c r="AF113" s="95" t="str">
        <f>IFERROR(__xludf.DUMMYFUNCTION("""COMPUTED_VALUE"""),"")</f>
        <v/>
      </c>
      <c r="AG113" s="96" t="str">
        <f>IFERROR(__xludf.DUMMYFUNCTION("""COMPUTED_VALUE"""),"")</f>
        <v/>
      </c>
      <c r="AH113" s="97" t="str">
        <f>IFERROR(__xludf.DUMMYFUNCTION("""COMPUTED_VALUE"""),"")</f>
        <v/>
      </c>
      <c r="AI113" s="98" t="str">
        <f>IFERROR(__xludf.DUMMYFUNCTION("""COMPUTED_VALUE"""),"")</f>
        <v/>
      </c>
      <c r="AJ113" s="99" t="str">
        <f>IFERROR(__xludf.DUMMYFUNCTION("""COMPUTED_VALUE"""),"")</f>
        <v/>
      </c>
      <c r="AK113" s="100" t="str">
        <f>IFERROR(__xludf.DUMMYFUNCTION("""COMPUTED_VALUE"""),"")</f>
        <v/>
      </c>
      <c r="AL113" s="99" t="str">
        <f>IFERROR(__xludf.DUMMYFUNCTION("""COMPUTED_VALUE"""),"")</f>
        <v/>
      </c>
      <c r="AM113" s="99" t="str">
        <f>IFERROR(__xludf.DUMMYFUNCTION("""COMPUTED_VALUE"""),"")</f>
        <v/>
      </c>
      <c r="AN113" s="100" t="str">
        <f>IFERROR(__xludf.DUMMYFUNCTION("""COMPUTED_VALUE"""),"")</f>
        <v/>
      </c>
      <c r="AO113" s="99" t="str">
        <f>IFERROR(__xludf.DUMMYFUNCTION("""COMPUTED_VALUE"""),"")</f>
        <v/>
      </c>
      <c r="AP113" s="99" t="str">
        <f>IFERROR(__xludf.DUMMYFUNCTION("""COMPUTED_VALUE"""),"")</f>
        <v/>
      </c>
      <c r="AQ113" s="142" t="str">
        <f>IFERROR(__xludf.DUMMYFUNCTION("""COMPUTED_VALUE"""),"")</f>
        <v/>
      </c>
      <c r="AR113" s="99" t="str">
        <f>IFERROR(__xludf.DUMMYFUNCTION("""COMPUTED_VALUE"""),"")</f>
        <v/>
      </c>
      <c r="AS113" s="99" t="str">
        <f>IFERROR(__xludf.DUMMYFUNCTION("""COMPUTED_VALUE"""),"")</f>
        <v/>
      </c>
      <c r="AT113" s="100" t="str">
        <f>IFERROR(__xludf.DUMMYFUNCTION("""COMPUTED_VALUE"""),"")</f>
        <v/>
      </c>
      <c r="AU113" s="99">
        <f>IFERROR(__xludf.DUMMYFUNCTION("""COMPUTED_VALUE"""),30.1)</f>
        <v>30.1</v>
      </c>
      <c r="AV113" s="99" t="str">
        <f>IFERROR(__xludf.DUMMYFUNCTION("""COMPUTED_VALUE"""),"")</f>
        <v/>
      </c>
      <c r="AW113" s="100" t="str">
        <f>IFERROR(__xludf.DUMMYFUNCTION("""COMPUTED_VALUE"""),"")</f>
        <v/>
      </c>
      <c r="AX113" s="99" t="str">
        <f>IFERROR(__xludf.DUMMYFUNCTION("""COMPUTED_VALUE"""),"")</f>
        <v/>
      </c>
      <c r="AY113" s="99" t="str">
        <f>IFERROR(__xludf.DUMMYFUNCTION("""COMPUTED_VALUE"""),"")</f>
        <v/>
      </c>
      <c r="AZ113" s="100" t="str">
        <f>IFERROR(__xludf.DUMMYFUNCTION("""COMPUTED_VALUE"""),"")</f>
        <v/>
      </c>
      <c r="BA113" s="99" t="str">
        <f>IFERROR(__xludf.DUMMYFUNCTION("""COMPUTED_VALUE"""),"")</f>
        <v/>
      </c>
      <c r="BB113" s="99" t="str">
        <f>IFERROR(__xludf.DUMMYFUNCTION("""COMPUTED_VALUE"""),"")</f>
        <v/>
      </c>
      <c r="BC113" s="100" t="str">
        <f>IFERROR(__xludf.DUMMYFUNCTION("""COMPUTED_VALUE"""),"")</f>
        <v/>
      </c>
      <c r="BD113" s="99" t="str">
        <f>IFERROR(__xludf.DUMMYFUNCTION("""COMPUTED_VALUE"""),"")</f>
        <v/>
      </c>
      <c r="BE113" s="99" t="str">
        <f>IFERROR(__xludf.DUMMYFUNCTION("""COMPUTED_VALUE"""),"")</f>
        <v/>
      </c>
      <c r="BF113" s="100" t="str">
        <f>IFERROR(__xludf.DUMMYFUNCTION("""COMPUTED_VALUE"""),"")</f>
        <v/>
      </c>
      <c r="BG113" s="98">
        <f>IFERROR(__xludf.DUMMYFUNCTION("""COMPUTED_VALUE"""),616.1)</f>
        <v>616.1</v>
      </c>
      <c r="BH113" s="99" t="str">
        <f>IFERROR(__xludf.DUMMYFUNCTION("""COMPUTED_VALUE"""),"")</f>
        <v/>
      </c>
      <c r="BI113" s="100" t="str">
        <f>IFERROR(__xludf.DUMMYFUNCTION("""COMPUTED_VALUE"""),"")</f>
        <v/>
      </c>
      <c r="BJ113" s="99" t="str">
        <f>IFERROR(__xludf.DUMMYFUNCTION("""COMPUTED_VALUE"""),"")</f>
        <v/>
      </c>
      <c r="BK113" s="99" t="str">
        <f>IFERROR(__xludf.DUMMYFUNCTION("""COMPUTED_VALUE"""),"")</f>
        <v/>
      </c>
      <c r="BL113" s="100" t="str">
        <f>IFERROR(__xludf.DUMMYFUNCTION("""COMPUTED_VALUE"""),"")</f>
        <v/>
      </c>
      <c r="BM113" s="99" t="str">
        <f>IFERROR(__xludf.DUMMYFUNCTION("""COMPUTED_VALUE"""),"")</f>
        <v/>
      </c>
      <c r="BN113" s="99" t="str">
        <f>IFERROR(__xludf.DUMMYFUNCTION("""COMPUTED_VALUE"""),"")</f>
        <v/>
      </c>
      <c r="BO113" s="100" t="str">
        <f>IFERROR(__xludf.DUMMYFUNCTION("""COMPUTED_VALUE"""),"")</f>
        <v/>
      </c>
      <c r="BP113" s="99" t="str">
        <f>IFERROR(__xludf.DUMMYFUNCTION("""COMPUTED_VALUE"""),"")</f>
        <v/>
      </c>
      <c r="BQ113" s="99">
        <f>IFERROR(__xludf.DUMMYFUNCTION("""COMPUTED_VALUE"""),161.3)</f>
        <v>161.3</v>
      </c>
      <c r="BR113" s="100">
        <f>IFERROR(__xludf.DUMMYFUNCTION("""COMPUTED_VALUE"""),194.7)</f>
        <v>194.7</v>
      </c>
      <c r="BS113" s="99">
        <f>IFERROR(__xludf.DUMMYFUNCTION("""COMPUTED_VALUE"""),191.1)</f>
        <v>191.1</v>
      </c>
      <c r="BT113" s="99" t="str">
        <f>IFERROR(__xludf.DUMMYFUNCTION("""COMPUTED_VALUE"""),"")</f>
        <v/>
      </c>
      <c r="BU113" s="100" t="str">
        <f>IFERROR(__xludf.DUMMYFUNCTION("""COMPUTED_VALUE"""),"")</f>
        <v/>
      </c>
      <c r="BV113" s="99" t="str">
        <f>IFERROR(__xludf.DUMMYFUNCTION("""COMPUTED_VALUE"""),"")</f>
        <v/>
      </c>
      <c r="BW113" s="99" t="str">
        <f>IFERROR(__xludf.DUMMYFUNCTION("""COMPUTED_VALUE"""),"")</f>
        <v/>
      </c>
      <c r="BX113" s="100" t="str">
        <f>IFERROR(__xludf.DUMMYFUNCTION("""COMPUTED_VALUE"""),"")</f>
        <v/>
      </c>
      <c r="BY113" s="99" t="str">
        <f>IFERROR(__xludf.DUMMYFUNCTION("""COMPUTED_VALUE"""),"")</f>
        <v/>
      </c>
      <c r="BZ113" s="99" t="str">
        <f>IFERROR(__xludf.DUMMYFUNCTION("""COMPUTED_VALUE"""),"")</f>
        <v/>
      </c>
      <c r="CA113" s="100" t="str">
        <f>IFERROR(__xludf.DUMMYFUNCTION("""COMPUTED_VALUE"""),"")</f>
        <v/>
      </c>
      <c r="CB113" s="98" t="str">
        <f>IFERROR(__xludf.DUMMYFUNCTION("""COMPUTED_VALUE"""),"")</f>
        <v/>
      </c>
      <c r="CC113" s="99" t="str">
        <f>IFERROR(__xludf.DUMMYFUNCTION("""COMPUTED_VALUE"""),"")</f>
        <v/>
      </c>
      <c r="CD113" s="100" t="str">
        <f>IFERROR(__xludf.DUMMYFUNCTION("""COMPUTED_VALUE"""),"")</f>
        <v/>
      </c>
      <c r="CE113" s="99" t="str">
        <f>IFERROR(__xludf.DUMMYFUNCTION("""COMPUTED_VALUE"""),"")</f>
        <v/>
      </c>
      <c r="CF113" s="99" t="str">
        <f>IFERROR(__xludf.DUMMYFUNCTION("""COMPUTED_VALUE"""),"")</f>
        <v/>
      </c>
      <c r="CG113" s="100" t="str">
        <f>IFERROR(__xludf.DUMMYFUNCTION("""COMPUTED_VALUE"""),"")</f>
        <v/>
      </c>
      <c r="CH113" s="99" t="str">
        <f>IFERROR(__xludf.DUMMYFUNCTION("""COMPUTED_VALUE"""),"")</f>
        <v/>
      </c>
      <c r="CI113" s="99" t="str">
        <f>IFERROR(__xludf.DUMMYFUNCTION("""COMPUTED_VALUE"""),"")</f>
        <v/>
      </c>
      <c r="CJ113" s="100" t="str">
        <f>IFERROR(__xludf.DUMMYFUNCTION("""COMPUTED_VALUE"""),"")</f>
        <v/>
      </c>
      <c r="CK113" s="99" t="str">
        <f>IFERROR(__xludf.DUMMYFUNCTION("""COMPUTED_VALUE"""),"")</f>
        <v/>
      </c>
      <c r="CL113" s="99" t="str">
        <f>IFERROR(__xludf.DUMMYFUNCTION("""COMPUTED_VALUE"""),"")</f>
        <v/>
      </c>
      <c r="CM113" s="100" t="str">
        <f>IFERROR(__xludf.DUMMYFUNCTION("""COMPUTED_VALUE"""),"")</f>
        <v/>
      </c>
      <c r="CN113" s="99" t="str">
        <f>IFERROR(__xludf.DUMMYFUNCTION("""COMPUTED_VALUE"""),"")</f>
        <v/>
      </c>
      <c r="CO113" s="99" t="str">
        <f>IFERROR(__xludf.DUMMYFUNCTION("""COMPUTED_VALUE"""),"")</f>
        <v/>
      </c>
      <c r="CP113" s="100">
        <f>IFERROR(__xludf.DUMMYFUNCTION("""COMPUTED_VALUE"""),21.7)</f>
        <v>21.7</v>
      </c>
      <c r="CQ113" s="99" t="str">
        <f>IFERROR(__xludf.DUMMYFUNCTION("""COMPUTED_VALUE"""),"")</f>
        <v/>
      </c>
      <c r="CR113" s="99" t="str">
        <f>IFERROR(__xludf.DUMMYFUNCTION("""COMPUTED_VALUE"""),"")</f>
        <v/>
      </c>
      <c r="CS113" s="100"/>
      <c r="CT113" s="99"/>
      <c r="CU113" s="99"/>
      <c r="CV113" s="100"/>
      <c r="CW113" s="99"/>
      <c r="CX113" s="99"/>
      <c r="CY113" s="100"/>
      <c r="CZ113" s="99"/>
      <c r="DA113" s="99"/>
      <c r="DB113" s="100"/>
      <c r="DC113" s="99"/>
      <c r="DD113" s="99"/>
      <c r="DE113" s="100"/>
      <c r="DF113" s="99"/>
      <c r="DG113" s="99"/>
      <c r="DH113" s="100"/>
      <c r="DI113" s="99"/>
      <c r="DJ113" s="99"/>
      <c r="DK113" s="100"/>
      <c r="DL113" s="99"/>
      <c r="DM113" s="99"/>
      <c r="DN113" s="100"/>
      <c r="DO113" s="99"/>
      <c r="DP113" s="99"/>
      <c r="DQ113" s="100"/>
      <c r="DR113" s="99"/>
      <c r="DS113" s="99"/>
      <c r="DT113" s="100"/>
    </row>
    <row r="114">
      <c r="B114" s="120" t="str">
        <f>IFERROR(__xludf.DUMMYFUNCTION("""COMPUTED_VALUE"""),"CML2")</f>
        <v>CML2</v>
      </c>
      <c r="C114" s="82">
        <f>IFERROR(__xludf.DUMMYFUNCTION("""COMPUTED_VALUE"""),103.0)</f>
        <v>103</v>
      </c>
      <c r="D114" s="88" t="str">
        <f>IFERROR(__xludf.DUMMYFUNCTION("""COMPUTED_VALUE"""),"Dune of Dawn")</f>
        <v>Dune of Dawn</v>
      </c>
      <c r="E114" s="82" t="str">
        <f>IFERROR(__xludf.DUMMYFUNCTION("""COMPUTED_VALUE"""),"明けの砂丘")</f>
        <v>明けの砂丘</v>
      </c>
      <c r="F114" s="102">
        <f>IFERROR(__xludf.DUMMYFUNCTION("""COMPUTED_VALUE"""),19.0)</f>
        <v>19</v>
      </c>
      <c r="G114" s="82">
        <f>IFERROR(__xludf.DUMMYFUNCTION("""COMPUTED_VALUE"""),1102.0)</f>
        <v>1102</v>
      </c>
      <c r="H114" s="95" t="str">
        <f>IFERROR(__xludf.DUMMYFUNCTION("""COMPUTED_VALUE"""),"")</f>
        <v/>
      </c>
      <c r="I114" s="96" t="str">
        <f>IFERROR(__xludf.DUMMYFUNCTION("""COMPUTED_VALUE"""),"")</f>
        <v/>
      </c>
      <c r="J114" s="97" t="str">
        <f>IFERROR(__xludf.DUMMYFUNCTION("""COMPUTED_VALUE"""),"")</f>
        <v/>
      </c>
      <c r="K114" s="95" t="str">
        <f>IFERROR(__xludf.DUMMYFUNCTION("""COMPUTED_VALUE"""),"")</f>
        <v/>
      </c>
      <c r="L114" s="96" t="str">
        <f>IFERROR(__xludf.DUMMYFUNCTION("""COMPUTED_VALUE"""),"")</f>
        <v/>
      </c>
      <c r="M114" s="97" t="str">
        <f>IFERROR(__xludf.DUMMYFUNCTION("""COMPUTED_VALUE"""),"")</f>
        <v/>
      </c>
      <c r="N114" s="95" t="str">
        <f>IFERROR(__xludf.DUMMYFUNCTION("""COMPUTED_VALUE"""),"")</f>
        <v/>
      </c>
      <c r="O114" s="96">
        <f>IFERROR(__xludf.DUMMYFUNCTION("""COMPUTED_VALUE"""),174.5)</f>
        <v>174.5</v>
      </c>
      <c r="P114" s="97" t="str">
        <f>IFERROR(__xludf.DUMMYFUNCTION("""COMPUTED_VALUE"""),"")</f>
        <v/>
      </c>
      <c r="Q114" s="95" t="str">
        <f>IFERROR(__xludf.DUMMYFUNCTION("""COMPUTED_VALUE"""),"")</f>
        <v/>
      </c>
      <c r="R114" s="96" t="str">
        <f>IFERROR(__xludf.DUMMYFUNCTION("""COMPUTED_VALUE"""),"")</f>
        <v/>
      </c>
      <c r="S114" s="97" t="str">
        <f>IFERROR(__xludf.DUMMYFUNCTION("""COMPUTED_VALUE"""),"")</f>
        <v/>
      </c>
      <c r="T114" s="95" t="str">
        <f>IFERROR(__xludf.DUMMYFUNCTION("""COMPUTED_VALUE"""),"")</f>
        <v/>
      </c>
      <c r="U114" s="96" t="str">
        <f>IFERROR(__xludf.DUMMYFUNCTION("""COMPUTED_VALUE"""),"")</f>
        <v/>
      </c>
      <c r="V114" s="97" t="str">
        <f>IFERROR(__xludf.DUMMYFUNCTION("""COMPUTED_VALUE"""),"")</f>
        <v/>
      </c>
      <c r="W114" s="95" t="str">
        <f>IFERROR(__xludf.DUMMYFUNCTION("""COMPUTED_VALUE"""),"")</f>
        <v/>
      </c>
      <c r="X114" s="96" t="str">
        <f>IFERROR(__xludf.DUMMYFUNCTION("""COMPUTED_VALUE"""),"")</f>
        <v/>
      </c>
      <c r="Y114" s="97" t="str">
        <f>IFERROR(__xludf.DUMMYFUNCTION("""COMPUTED_VALUE"""),"")</f>
        <v/>
      </c>
      <c r="Z114" s="95" t="str">
        <f>IFERROR(__xludf.DUMMYFUNCTION("""COMPUTED_VALUE"""),"")</f>
        <v/>
      </c>
      <c r="AA114" s="96" t="str">
        <f>IFERROR(__xludf.DUMMYFUNCTION("""COMPUTED_VALUE"""),"")</f>
        <v/>
      </c>
      <c r="AB114" s="97" t="str">
        <f>IFERROR(__xludf.DUMMYFUNCTION("""COMPUTED_VALUE"""),"")</f>
        <v/>
      </c>
      <c r="AC114" s="95">
        <f>IFERROR(__xludf.DUMMYFUNCTION("""COMPUTED_VALUE"""),136.0)</f>
        <v>136</v>
      </c>
      <c r="AD114" s="96" t="str">
        <f>IFERROR(__xludf.DUMMYFUNCTION("""COMPUTED_VALUE"""),"")</f>
        <v/>
      </c>
      <c r="AE114" s="97" t="str">
        <f>IFERROR(__xludf.DUMMYFUNCTION("""COMPUTED_VALUE"""),"")</f>
        <v/>
      </c>
      <c r="AF114" s="95" t="str">
        <f>IFERROR(__xludf.DUMMYFUNCTION("""COMPUTED_VALUE"""),"")</f>
        <v/>
      </c>
      <c r="AG114" s="96" t="str">
        <f>IFERROR(__xludf.DUMMYFUNCTION("""COMPUTED_VALUE"""),"")</f>
        <v/>
      </c>
      <c r="AH114" s="97" t="str">
        <f>IFERROR(__xludf.DUMMYFUNCTION("""COMPUTED_VALUE"""),"")</f>
        <v/>
      </c>
      <c r="AI114" s="92" t="str">
        <f>IFERROR(__xludf.DUMMYFUNCTION("""COMPUTED_VALUE"""),"")</f>
        <v/>
      </c>
      <c r="AJ114" s="93" t="str">
        <f>IFERROR(__xludf.DUMMYFUNCTION("""COMPUTED_VALUE"""),"")</f>
        <v/>
      </c>
      <c r="AK114" s="94" t="str">
        <f>IFERROR(__xludf.DUMMYFUNCTION("""COMPUTED_VALUE"""),"")</f>
        <v/>
      </c>
      <c r="AL114" s="93" t="str">
        <f>IFERROR(__xludf.DUMMYFUNCTION("""COMPUTED_VALUE"""),"")</f>
        <v/>
      </c>
      <c r="AM114" s="93" t="str">
        <f>IFERROR(__xludf.DUMMYFUNCTION("""COMPUTED_VALUE"""),"")</f>
        <v/>
      </c>
      <c r="AN114" s="94" t="str">
        <f>IFERROR(__xludf.DUMMYFUNCTION("""COMPUTED_VALUE"""),"")</f>
        <v/>
      </c>
      <c r="AO114" s="93" t="str">
        <f>IFERROR(__xludf.DUMMYFUNCTION("""COMPUTED_VALUE"""),"")</f>
        <v/>
      </c>
      <c r="AP114" s="93" t="str">
        <f>IFERROR(__xludf.DUMMYFUNCTION("""COMPUTED_VALUE"""),"")</f>
        <v/>
      </c>
      <c r="AQ114" s="94" t="str">
        <f>IFERROR(__xludf.DUMMYFUNCTION("""COMPUTED_VALUE"""),"")</f>
        <v/>
      </c>
      <c r="AR114" s="93" t="str">
        <f>IFERROR(__xludf.DUMMYFUNCTION("""COMPUTED_VALUE"""),"")</f>
        <v/>
      </c>
      <c r="AS114" s="93" t="str">
        <f>IFERROR(__xludf.DUMMYFUNCTION("""COMPUTED_VALUE"""),"")</f>
        <v/>
      </c>
      <c r="AT114" s="94" t="str">
        <f>IFERROR(__xludf.DUMMYFUNCTION("""COMPUTED_VALUE"""),"")</f>
        <v/>
      </c>
      <c r="AU114" s="93" t="str">
        <f>IFERROR(__xludf.DUMMYFUNCTION("""COMPUTED_VALUE"""),"")</f>
        <v/>
      </c>
      <c r="AV114" s="93" t="str">
        <f>IFERROR(__xludf.DUMMYFUNCTION("""COMPUTED_VALUE"""),"")</f>
        <v/>
      </c>
      <c r="AW114" s="94" t="str">
        <f>IFERROR(__xludf.DUMMYFUNCTION("""COMPUTED_VALUE"""),"")</f>
        <v/>
      </c>
      <c r="AX114" s="93" t="str">
        <f>IFERROR(__xludf.DUMMYFUNCTION("""COMPUTED_VALUE"""),"")</f>
        <v/>
      </c>
      <c r="AY114" s="93" t="str">
        <f>IFERROR(__xludf.DUMMYFUNCTION("""COMPUTED_VALUE"""),"")</f>
        <v/>
      </c>
      <c r="AZ114" s="94" t="str">
        <f>IFERROR(__xludf.DUMMYFUNCTION("""COMPUTED_VALUE"""),"")</f>
        <v/>
      </c>
      <c r="BA114" s="93" t="str">
        <f>IFERROR(__xludf.DUMMYFUNCTION("""COMPUTED_VALUE"""),"")</f>
        <v/>
      </c>
      <c r="BB114" s="93" t="str">
        <f>IFERROR(__xludf.DUMMYFUNCTION("""COMPUTED_VALUE"""),"")</f>
        <v/>
      </c>
      <c r="BC114" s="94" t="str">
        <f>IFERROR(__xludf.DUMMYFUNCTION("""COMPUTED_VALUE"""),"")</f>
        <v/>
      </c>
      <c r="BD114" s="93" t="str">
        <f>IFERROR(__xludf.DUMMYFUNCTION("""COMPUTED_VALUE"""),"")</f>
        <v/>
      </c>
      <c r="BE114" s="93" t="str">
        <f>IFERROR(__xludf.DUMMYFUNCTION("""COMPUTED_VALUE"""),"")</f>
        <v/>
      </c>
      <c r="BF114" s="94" t="str">
        <f>IFERROR(__xludf.DUMMYFUNCTION("""COMPUTED_VALUE"""),"")</f>
        <v/>
      </c>
      <c r="BG114" s="92" t="str">
        <f>IFERROR(__xludf.DUMMYFUNCTION("""COMPUTED_VALUE"""),"")</f>
        <v/>
      </c>
      <c r="BH114" s="93" t="str">
        <f>IFERROR(__xludf.DUMMYFUNCTION("""COMPUTED_VALUE"""),"")</f>
        <v/>
      </c>
      <c r="BI114" s="94" t="str">
        <f>IFERROR(__xludf.DUMMYFUNCTION("""COMPUTED_VALUE"""),"")</f>
        <v/>
      </c>
      <c r="BJ114" s="93" t="str">
        <f>IFERROR(__xludf.DUMMYFUNCTION("""COMPUTED_VALUE"""),"")</f>
        <v/>
      </c>
      <c r="BK114" s="93" t="str">
        <f>IFERROR(__xludf.DUMMYFUNCTION("""COMPUTED_VALUE"""),"")</f>
        <v/>
      </c>
      <c r="BL114" s="94" t="str">
        <f>IFERROR(__xludf.DUMMYFUNCTION("""COMPUTED_VALUE"""),"")</f>
        <v/>
      </c>
      <c r="BM114" s="93" t="str">
        <f>IFERROR(__xludf.DUMMYFUNCTION("""COMPUTED_VALUE"""),"")</f>
        <v/>
      </c>
      <c r="BN114" s="93">
        <f>IFERROR(__xludf.DUMMYFUNCTION("""COMPUTED_VALUE"""),42.9)</f>
        <v>42.9</v>
      </c>
      <c r="BO114" s="94" t="str">
        <f>IFERROR(__xludf.DUMMYFUNCTION("""COMPUTED_VALUE"""),"")</f>
        <v/>
      </c>
      <c r="BP114" s="93" t="str">
        <f>IFERROR(__xludf.DUMMYFUNCTION("""COMPUTED_VALUE"""),"")</f>
        <v/>
      </c>
      <c r="BQ114" s="93" t="str">
        <f>IFERROR(__xludf.DUMMYFUNCTION("""COMPUTED_VALUE"""),"")</f>
        <v/>
      </c>
      <c r="BR114" s="94" t="str">
        <f>IFERROR(__xludf.DUMMYFUNCTION("""COMPUTED_VALUE"""),"")</f>
        <v/>
      </c>
      <c r="BS114" s="93" t="str">
        <f>IFERROR(__xludf.DUMMYFUNCTION("""COMPUTED_VALUE"""),"")</f>
        <v/>
      </c>
      <c r="BT114" s="93" t="str">
        <f>IFERROR(__xludf.DUMMYFUNCTION("""COMPUTED_VALUE"""),"")</f>
        <v/>
      </c>
      <c r="BU114" s="94">
        <f>IFERROR(__xludf.DUMMYFUNCTION("""COMPUTED_VALUE"""),119.0)</f>
        <v>119</v>
      </c>
      <c r="BV114" s="93" t="str">
        <f>IFERROR(__xludf.DUMMYFUNCTION("""COMPUTED_VALUE"""),"")</f>
        <v/>
      </c>
      <c r="BW114" s="93" t="str">
        <f>IFERROR(__xludf.DUMMYFUNCTION("""COMPUTED_VALUE"""),"")</f>
        <v/>
      </c>
      <c r="BX114" s="94" t="str">
        <f>IFERROR(__xludf.DUMMYFUNCTION("""COMPUTED_VALUE"""),"")</f>
        <v/>
      </c>
      <c r="BY114" s="93" t="str">
        <f>IFERROR(__xludf.DUMMYFUNCTION("""COMPUTED_VALUE"""),"")</f>
        <v/>
      </c>
      <c r="BZ114" s="93" t="str">
        <f>IFERROR(__xludf.DUMMYFUNCTION("""COMPUTED_VALUE"""),"")</f>
        <v/>
      </c>
      <c r="CA114" s="94" t="str">
        <f>IFERROR(__xludf.DUMMYFUNCTION("""COMPUTED_VALUE"""),"")</f>
        <v/>
      </c>
      <c r="CB114" s="92" t="str">
        <f>IFERROR(__xludf.DUMMYFUNCTION("""COMPUTED_VALUE"""),"")</f>
        <v/>
      </c>
      <c r="CC114" s="93" t="str">
        <f>IFERROR(__xludf.DUMMYFUNCTION("""COMPUTED_VALUE"""),"")</f>
        <v/>
      </c>
      <c r="CD114" s="94" t="str">
        <f>IFERROR(__xludf.DUMMYFUNCTION("""COMPUTED_VALUE"""),"")</f>
        <v/>
      </c>
      <c r="CE114" s="93" t="str">
        <f>IFERROR(__xludf.DUMMYFUNCTION("""COMPUTED_VALUE"""),"")</f>
        <v/>
      </c>
      <c r="CF114" s="93" t="str">
        <f>IFERROR(__xludf.DUMMYFUNCTION("""COMPUTED_VALUE"""),"")</f>
        <v/>
      </c>
      <c r="CG114" s="94" t="str">
        <f>IFERROR(__xludf.DUMMYFUNCTION("""COMPUTED_VALUE"""),"")</f>
        <v/>
      </c>
      <c r="CH114" s="93" t="str">
        <f>IFERROR(__xludf.DUMMYFUNCTION("""COMPUTED_VALUE"""),"")</f>
        <v/>
      </c>
      <c r="CI114" s="93" t="str">
        <f>IFERROR(__xludf.DUMMYFUNCTION("""COMPUTED_VALUE"""),"")</f>
        <v/>
      </c>
      <c r="CJ114" s="94" t="str">
        <f>IFERROR(__xludf.DUMMYFUNCTION("""COMPUTED_VALUE"""),"")</f>
        <v/>
      </c>
      <c r="CK114" s="93" t="str">
        <f>IFERROR(__xludf.DUMMYFUNCTION("""COMPUTED_VALUE"""),"")</f>
        <v/>
      </c>
      <c r="CL114" s="93" t="str">
        <f>IFERROR(__xludf.DUMMYFUNCTION("""COMPUTED_VALUE"""),"")</f>
        <v/>
      </c>
      <c r="CM114" s="94" t="str">
        <f>IFERROR(__xludf.DUMMYFUNCTION("""COMPUTED_VALUE"""),"")</f>
        <v/>
      </c>
      <c r="CN114" s="93" t="str">
        <f>IFERROR(__xludf.DUMMYFUNCTION("""COMPUTED_VALUE"""),"")</f>
        <v/>
      </c>
      <c r="CO114" s="93" t="str">
        <f>IFERROR(__xludf.DUMMYFUNCTION("""COMPUTED_VALUE"""),"")</f>
        <v/>
      </c>
      <c r="CP114" s="94">
        <f>IFERROR(__xludf.DUMMYFUNCTION("""COMPUTED_VALUE"""),23.5)</f>
        <v>23.5</v>
      </c>
      <c r="CQ114" s="93" t="str">
        <f>IFERROR(__xludf.DUMMYFUNCTION("""COMPUTED_VALUE"""),"")</f>
        <v/>
      </c>
      <c r="CR114" s="93" t="str">
        <f>IFERROR(__xludf.DUMMYFUNCTION("""COMPUTED_VALUE"""),"")</f>
        <v/>
      </c>
      <c r="CS114" s="94"/>
      <c r="CT114" s="93"/>
      <c r="CU114" s="93"/>
      <c r="CV114" s="94"/>
      <c r="CW114" s="93"/>
      <c r="CX114" s="93"/>
      <c r="CY114" s="94"/>
      <c r="CZ114" s="93"/>
      <c r="DA114" s="93"/>
      <c r="DB114" s="94"/>
      <c r="DC114" s="93"/>
      <c r="DD114" s="93"/>
      <c r="DE114" s="94"/>
      <c r="DF114" s="93"/>
      <c r="DG114" s="93"/>
      <c r="DH114" s="94"/>
      <c r="DI114" s="93"/>
      <c r="DJ114" s="93"/>
      <c r="DK114" s="94"/>
      <c r="DL114" s="93"/>
      <c r="DM114" s="93"/>
      <c r="DN114" s="94"/>
      <c r="DO114" s="93"/>
      <c r="DP114" s="93"/>
      <c r="DQ114" s="94"/>
      <c r="DR114" s="93"/>
      <c r="DS114" s="93"/>
      <c r="DT114" s="94"/>
    </row>
    <row r="115">
      <c r="B115" s="120" t="str">
        <f>IFERROR(__xludf.DUMMYFUNCTION("""COMPUTED_VALUE"""),"CML3")</f>
        <v>CML3</v>
      </c>
      <c r="C115" s="82">
        <f>IFERROR(__xludf.DUMMYFUNCTION("""COMPUTED_VALUE"""),104.0)</f>
        <v>104</v>
      </c>
      <c r="D115" s="88" t="str">
        <f>IFERROR(__xludf.DUMMYFUNCTION("""COMPUTED_VALUE"""),"Wastelands of Death")</f>
        <v>Wastelands of Death</v>
      </c>
      <c r="E115" s="82" t="str">
        <f>IFERROR(__xludf.DUMMYFUNCTION("""COMPUTED_VALUE"""),"死の荒野")</f>
        <v>死の荒野</v>
      </c>
      <c r="F115" s="102">
        <f>IFERROR(__xludf.DUMMYFUNCTION("""COMPUTED_VALUE"""),19.0)</f>
        <v>19</v>
      </c>
      <c r="G115" s="82">
        <f>IFERROR(__xludf.DUMMYFUNCTION("""COMPUTED_VALUE"""),16747.0)</f>
        <v>16747</v>
      </c>
      <c r="H115" s="95" t="str">
        <f>IFERROR(__xludf.DUMMYFUNCTION("""COMPUTED_VALUE"""),"")</f>
        <v/>
      </c>
      <c r="I115" s="96" t="str">
        <f>IFERROR(__xludf.DUMMYFUNCTION("""COMPUTED_VALUE"""),"")</f>
        <v/>
      </c>
      <c r="J115" s="97" t="str">
        <f>IFERROR(__xludf.DUMMYFUNCTION("""COMPUTED_VALUE"""),"")</f>
        <v/>
      </c>
      <c r="K115" s="95" t="str">
        <f>IFERROR(__xludf.DUMMYFUNCTION("""COMPUTED_VALUE"""),"")</f>
        <v/>
      </c>
      <c r="L115" s="96" t="str">
        <f>IFERROR(__xludf.DUMMYFUNCTION("""COMPUTED_VALUE"""),"")</f>
        <v/>
      </c>
      <c r="M115" s="97" t="str">
        <f>IFERROR(__xludf.DUMMYFUNCTION("""COMPUTED_VALUE"""),"")</f>
        <v/>
      </c>
      <c r="N115" s="95" t="str">
        <f>IFERROR(__xludf.DUMMYFUNCTION("""COMPUTED_VALUE"""),"")</f>
        <v/>
      </c>
      <c r="O115" s="96" t="str">
        <f>IFERROR(__xludf.DUMMYFUNCTION("""COMPUTED_VALUE"""),"")</f>
        <v/>
      </c>
      <c r="P115" s="97" t="str">
        <f>IFERROR(__xludf.DUMMYFUNCTION("""COMPUTED_VALUE"""),"")</f>
        <v/>
      </c>
      <c r="Q115" s="95" t="str">
        <f>IFERROR(__xludf.DUMMYFUNCTION("""COMPUTED_VALUE"""),"")</f>
        <v/>
      </c>
      <c r="R115" s="96" t="str">
        <f>IFERROR(__xludf.DUMMYFUNCTION("""COMPUTED_VALUE"""),"")</f>
        <v/>
      </c>
      <c r="S115" s="97" t="str">
        <f>IFERROR(__xludf.DUMMYFUNCTION("""COMPUTED_VALUE"""),"")</f>
        <v/>
      </c>
      <c r="T115" s="95" t="str">
        <f>IFERROR(__xludf.DUMMYFUNCTION("""COMPUTED_VALUE"""),"")</f>
        <v/>
      </c>
      <c r="U115" s="96" t="str">
        <f>IFERROR(__xludf.DUMMYFUNCTION("""COMPUTED_VALUE"""),"")</f>
        <v/>
      </c>
      <c r="V115" s="97" t="str">
        <f>IFERROR(__xludf.DUMMYFUNCTION("""COMPUTED_VALUE"""),"")</f>
        <v/>
      </c>
      <c r="W115" s="95" t="str">
        <f>IFERROR(__xludf.DUMMYFUNCTION("""COMPUTED_VALUE"""),"")</f>
        <v/>
      </c>
      <c r="X115" s="96" t="str">
        <f>IFERROR(__xludf.DUMMYFUNCTION("""COMPUTED_VALUE"""),"")</f>
        <v/>
      </c>
      <c r="Y115" s="97" t="str">
        <f>IFERROR(__xludf.DUMMYFUNCTION("""COMPUTED_VALUE"""),"")</f>
        <v/>
      </c>
      <c r="Z115" s="95" t="str">
        <f>IFERROR(__xludf.DUMMYFUNCTION("""COMPUTED_VALUE"""),"")</f>
        <v/>
      </c>
      <c r="AA115" s="96" t="str">
        <f>IFERROR(__xludf.DUMMYFUNCTION("""COMPUTED_VALUE"""),"")</f>
        <v/>
      </c>
      <c r="AB115" s="97" t="str">
        <f>IFERROR(__xludf.DUMMYFUNCTION("""COMPUTED_VALUE"""),"")</f>
        <v/>
      </c>
      <c r="AC115" s="95" t="str">
        <f>IFERROR(__xludf.DUMMYFUNCTION("""COMPUTED_VALUE"""),"")</f>
        <v/>
      </c>
      <c r="AD115" s="96" t="str">
        <f>IFERROR(__xludf.DUMMYFUNCTION("""COMPUTED_VALUE"""),"")</f>
        <v/>
      </c>
      <c r="AE115" s="97" t="str">
        <f>IFERROR(__xludf.DUMMYFUNCTION("""COMPUTED_VALUE"""),"")</f>
        <v/>
      </c>
      <c r="AF115" s="95" t="str">
        <f>IFERROR(__xludf.DUMMYFUNCTION("""COMPUTED_VALUE"""),"")</f>
        <v/>
      </c>
      <c r="AG115" s="96" t="str">
        <f>IFERROR(__xludf.DUMMYFUNCTION("""COMPUTED_VALUE"""),"")</f>
        <v/>
      </c>
      <c r="AH115" s="97" t="str">
        <f>IFERROR(__xludf.DUMMYFUNCTION("""COMPUTED_VALUE"""),"")</f>
        <v/>
      </c>
      <c r="AI115" s="98" t="str">
        <f>IFERROR(__xludf.DUMMYFUNCTION("""COMPUTED_VALUE"""),"")</f>
        <v/>
      </c>
      <c r="AJ115" s="99" t="str">
        <f>IFERROR(__xludf.DUMMYFUNCTION("""COMPUTED_VALUE"""),"")</f>
        <v/>
      </c>
      <c r="AK115" s="100" t="str">
        <f>IFERROR(__xludf.DUMMYFUNCTION("""COMPUTED_VALUE"""),"")</f>
        <v/>
      </c>
      <c r="AL115" s="99" t="str">
        <f>IFERROR(__xludf.DUMMYFUNCTION("""COMPUTED_VALUE"""),"")</f>
        <v/>
      </c>
      <c r="AM115" s="99" t="str">
        <f>IFERROR(__xludf.DUMMYFUNCTION("""COMPUTED_VALUE"""),"")</f>
        <v/>
      </c>
      <c r="AN115" s="100" t="str">
        <f>IFERROR(__xludf.DUMMYFUNCTION("""COMPUTED_VALUE"""),"")</f>
        <v/>
      </c>
      <c r="AO115" s="99" t="str">
        <f>IFERROR(__xludf.DUMMYFUNCTION("""COMPUTED_VALUE"""),"")</f>
        <v/>
      </c>
      <c r="AP115" s="99" t="str">
        <f>IFERROR(__xludf.DUMMYFUNCTION("""COMPUTED_VALUE"""),"")</f>
        <v/>
      </c>
      <c r="AQ115" s="100" t="str">
        <f>IFERROR(__xludf.DUMMYFUNCTION("""COMPUTED_VALUE"""),"")</f>
        <v/>
      </c>
      <c r="AR115" s="99" t="str">
        <f>IFERROR(__xludf.DUMMYFUNCTION("""COMPUTED_VALUE"""),"")</f>
        <v/>
      </c>
      <c r="AS115" s="99" t="str">
        <f>IFERROR(__xludf.DUMMYFUNCTION("""COMPUTED_VALUE"""),"")</f>
        <v/>
      </c>
      <c r="AT115" s="100" t="str">
        <f>IFERROR(__xludf.DUMMYFUNCTION("""COMPUTED_VALUE"""),"")</f>
        <v/>
      </c>
      <c r="AU115" s="99" t="str">
        <f>IFERROR(__xludf.DUMMYFUNCTION("""COMPUTED_VALUE"""),"")</f>
        <v/>
      </c>
      <c r="AV115" s="99" t="str">
        <f>IFERROR(__xludf.DUMMYFUNCTION("""COMPUTED_VALUE"""),"")</f>
        <v/>
      </c>
      <c r="AW115" s="100" t="str">
        <f>IFERROR(__xludf.DUMMYFUNCTION("""COMPUTED_VALUE"""),"")</f>
        <v/>
      </c>
      <c r="AX115" s="99">
        <f>IFERROR(__xludf.DUMMYFUNCTION("""COMPUTED_VALUE"""),29.2)</f>
        <v>29.2</v>
      </c>
      <c r="AY115" s="99" t="str">
        <f>IFERROR(__xludf.DUMMYFUNCTION("""COMPUTED_VALUE"""),"")</f>
        <v/>
      </c>
      <c r="AZ115" s="100" t="str">
        <f>IFERROR(__xludf.DUMMYFUNCTION("""COMPUTED_VALUE"""),"")</f>
        <v/>
      </c>
      <c r="BA115" s="99" t="str">
        <f>IFERROR(__xludf.DUMMYFUNCTION("""COMPUTED_VALUE"""),"")</f>
        <v/>
      </c>
      <c r="BB115" s="99" t="str">
        <f>IFERROR(__xludf.DUMMYFUNCTION("""COMPUTED_VALUE"""),"")</f>
        <v/>
      </c>
      <c r="BC115" s="100" t="str">
        <f>IFERROR(__xludf.DUMMYFUNCTION("""COMPUTED_VALUE"""),"")</f>
        <v/>
      </c>
      <c r="BD115" s="99" t="str">
        <f>IFERROR(__xludf.DUMMYFUNCTION("""COMPUTED_VALUE"""),"")</f>
        <v/>
      </c>
      <c r="BE115" s="99" t="str">
        <f>IFERROR(__xludf.DUMMYFUNCTION("""COMPUTED_VALUE"""),"")</f>
        <v/>
      </c>
      <c r="BF115" s="100" t="str">
        <f>IFERROR(__xludf.DUMMYFUNCTION("""COMPUTED_VALUE"""),"")</f>
        <v/>
      </c>
      <c r="BG115" s="98" t="str">
        <f>IFERROR(__xludf.DUMMYFUNCTION("""COMPUTED_VALUE"""),"")</f>
        <v/>
      </c>
      <c r="BH115" s="99" t="str">
        <f>IFERROR(__xludf.DUMMYFUNCTION("""COMPUTED_VALUE"""),"")</f>
        <v/>
      </c>
      <c r="BI115" s="100" t="str">
        <f>IFERROR(__xludf.DUMMYFUNCTION("""COMPUTED_VALUE"""),"")</f>
        <v/>
      </c>
      <c r="BJ115" s="99" t="str">
        <f>IFERROR(__xludf.DUMMYFUNCTION("""COMPUTED_VALUE"""),"")</f>
        <v/>
      </c>
      <c r="BK115" s="99" t="str">
        <f>IFERROR(__xludf.DUMMYFUNCTION("""COMPUTED_VALUE"""),"")</f>
        <v/>
      </c>
      <c r="BL115" s="100" t="str">
        <f>IFERROR(__xludf.DUMMYFUNCTION("""COMPUTED_VALUE"""),"")</f>
        <v/>
      </c>
      <c r="BM115" s="99" t="str">
        <f>IFERROR(__xludf.DUMMYFUNCTION("""COMPUTED_VALUE"""),"")</f>
        <v/>
      </c>
      <c r="BN115" s="99" t="str">
        <f>IFERROR(__xludf.DUMMYFUNCTION("""COMPUTED_VALUE"""),"")</f>
        <v/>
      </c>
      <c r="BO115" s="100" t="str">
        <f>IFERROR(__xludf.DUMMYFUNCTION("""COMPUTED_VALUE"""),"")</f>
        <v/>
      </c>
      <c r="BP115" s="99" t="str">
        <f>IFERROR(__xludf.DUMMYFUNCTION("""COMPUTED_VALUE"""),"")</f>
        <v/>
      </c>
      <c r="BQ115" s="99" t="str">
        <f>IFERROR(__xludf.DUMMYFUNCTION("""COMPUTED_VALUE"""),"")</f>
        <v/>
      </c>
      <c r="BR115" s="100" t="str">
        <f>IFERROR(__xludf.DUMMYFUNCTION("""COMPUTED_VALUE"""),"")</f>
        <v/>
      </c>
      <c r="BS115" s="99" t="str">
        <f>IFERROR(__xludf.DUMMYFUNCTION("""COMPUTED_VALUE"""),"")</f>
        <v/>
      </c>
      <c r="BT115" s="107" t="str">
        <f>IFERROR(__xludf.DUMMYFUNCTION("""COMPUTED_VALUE"""),"")</f>
        <v/>
      </c>
      <c r="BU115" s="100" t="str">
        <f>IFERROR(__xludf.DUMMYFUNCTION("""COMPUTED_VALUE"""),"")</f>
        <v/>
      </c>
      <c r="BV115" s="99">
        <f>IFERROR(__xludf.DUMMYFUNCTION("""COMPUTED_VALUE"""),94.6)</f>
        <v>94.6</v>
      </c>
      <c r="BW115" s="99">
        <f>IFERROR(__xludf.DUMMYFUNCTION("""COMPUTED_VALUE"""),124.0)</f>
        <v>124</v>
      </c>
      <c r="BX115" s="100" t="str">
        <f>IFERROR(__xludf.DUMMYFUNCTION("""COMPUTED_VALUE"""),"")</f>
        <v/>
      </c>
      <c r="BY115" s="99" t="str">
        <f>IFERROR(__xludf.DUMMYFUNCTION("""COMPUTED_VALUE"""),"")</f>
        <v/>
      </c>
      <c r="BZ115" s="99" t="str">
        <f>IFERROR(__xludf.DUMMYFUNCTION("""COMPUTED_VALUE"""),"")</f>
        <v/>
      </c>
      <c r="CA115" s="100" t="str">
        <f>IFERROR(__xludf.DUMMYFUNCTION("""COMPUTED_VALUE"""),"")</f>
        <v/>
      </c>
      <c r="CB115" s="98" t="str">
        <f>IFERROR(__xludf.DUMMYFUNCTION("""COMPUTED_VALUE"""),"")</f>
        <v/>
      </c>
      <c r="CC115" s="99" t="str">
        <f>IFERROR(__xludf.DUMMYFUNCTION("""COMPUTED_VALUE"""),"")</f>
        <v/>
      </c>
      <c r="CD115" s="100" t="str">
        <f>IFERROR(__xludf.DUMMYFUNCTION("""COMPUTED_VALUE"""),"")</f>
        <v/>
      </c>
      <c r="CE115" s="99" t="str">
        <f>IFERROR(__xludf.DUMMYFUNCTION("""COMPUTED_VALUE"""),"")</f>
        <v/>
      </c>
      <c r="CF115" s="99" t="str">
        <f>IFERROR(__xludf.DUMMYFUNCTION("""COMPUTED_VALUE"""),"")</f>
        <v/>
      </c>
      <c r="CG115" s="100" t="str">
        <f>IFERROR(__xludf.DUMMYFUNCTION("""COMPUTED_VALUE"""),"")</f>
        <v/>
      </c>
      <c r="CH115" s="99" t="str">
        <f>IFERROR(__xludf.DUMMYFUNCTION("""COMPUTED_VALUE"""),"")</f>
        <v/>
      </c>
      <c r="CI115" s="99" t="str">
        <f>IFERROR(__xludf.DUMMYFUNCTION("""COMPUTED_VALUE"""),"")</f>
        <v/>
      </c>
      <c r="CJ115" s="100" t="str">
        <f>IFERROR(__xludf.DUMMYFUNCTION("""COMPUTED_VALUE"""),"")</f>
        <v/>
      </c>
      <c r="CK115" s="99" t="str">
        <f>IFERROR(__xludf.DUMMYFUNCTION("""COMPUTED_VALUE"""),"")</f>
        <v/>
      </c>
      <c r="CL115" s="99" t="str">
        <f>IFERROR(__xludf.DUMMYFUNCTION("""COMPUTED_VALUE"""),"")</f>
        <v/>
      </c>
      <c r="CM115" s="100" t="str">
        <f>IFERROR(__xludf.DUMMYFUNCTION("""COMPUTED_VALUE"""),"")</f>
        <v/>
      </c>
      <c r="CN115" s="99" t="str">
        <f>IFERROR(__xludf.DUMMYFUNCTION("""COMPUTED_VALUE"""),"")</f>
        <v/>
      </c>
      <c r="CO115" s="107" t="str">
        <f>IFERROR(__xludf.DUMMYFUNCTION("""COMPUTED_VALUE"""),"")</f>
        <v/>
      </c>
      <c r="CP115" s="100" t="str">
        <f>IFERROR(__xludf.DUMMYFUNCTION("""COMPUTED_VALUE"""),"")</f>
        <v/>
      </c>
      <c r="CQ115" s="99" t="str">
        <f>IFERROR(__xludf.DUMMYFUNCTION("""COMPUTED_VALUE"""),"")</f>
        <v/>
      </c>
      <c r="CR115" s="99" t="str">
        <f>IFERROR(__xludf.DUMMYFUNCTION("""COMPUTED_VALUE"""),"")</f>
        <v/>
      </c>
      <c r="CS115" s="100"/>
      <c r="CT115" s="99"/>
      <c r="CU115" s="99"/>
      <c r="CV115" s="100"/>
      <c r="CW115" s="99"/>
      <c r="CX115" s="99"/>
      <c r="CY115" s="100"/>
      <c r="CZ115" s="99"/>
      <c r="DA115" s="107"/>
      <c r="DB115" s="100"/>
      <c r="DC115" s="99"/>
      <c r="DD115" s="99"/>
      <c r="DE115" s="100"/>
      <c r="DF115" s="99"/>
      <c r="DG115" s="99"/>
      <c r="DH115" s="100"/>
      <c r="DI115" s="99"/>
      <c r="DJ115" s="107"/>
      <c r="DK115" s="100"/>
      <c r="DL115" s="99"/>
      <c r="DM115" s="99"/>
      <c r="DN115" s="100"/>
      <c r="DO115" s="99"/>
      <c r="DP115" s="99"/>
      <c r="DQ115" s="100"/>
      <c r="DR115" s="99"/>
      <c r="DS115" s="99"/>
      <c r="DT115" s="100"/>
    </row>
    <row r="116">
      <c r="B116" s="120" t="str">
        <f>IFERROR(__xludf.DUMMYFUNCTION("""COMPUTED_VALUE"""),"CML4")</f>
        <v>CML4</v>
      </c>
      <c r="C116" s="82">
        <f>IFERROR(__xludf.DUMMYFUNCTION("""COMPUTED_VALUE"""),105.0)</f>
        <v>105</v>
      </c>
      <c r="D116" s="88" t="str">
        <f>IFERROR(__xludf.DUMMYFUNCTION("""COMPUTED_VALUE"""),"East Village")</f>
        <v>East Village</v>
      </c>
      <c r="E116" s="82" t="str">
        <f>IFERROR(__xludf.DUMMYFUNCTION("""COMPUTED_VALUE"""),"東の村")</f>
        <v>東の村</v>
      </c>
      <c r="F116" s="102">
        <f>IFERROR(__xludf.DUMMYFUNCTION("""COMPUTED_VALUE"""),19.0)</f>
        <v>19</v>
      </c>
      <c r="G116" s="82">
        <f>IFERROR(__xludf.DUMMYFUNCTION("""COMPUTED_VALUE"""),1404.0)</f>
        <v>1404</v>
      </c>
      <c r="H116" s="95" t="str">
        <f>IFERROR(__xludf.DUMMYFUNCTION("""COMPUTED_VALUE"""),"")</f>
        <v/>
      </c>
      <c r="I116" s="96" t="str">
        <f>IFERROR(__xludf.DUMMYFUNCTION("""COMPUTED_VALUE"""),"")</f>
        <v/>
      </c>
      <c r="J116" s="97" t="str">
        <f>IFERROR(__xludf.DUMMYFUNCTION("""COMPUTED_VALUE"""),"")</f>
        <v/>
      </c>
      <c r="K116" s="95" t="str">
        <f>IFERROR(__xludf.DUMMYFUNCTION("""COMPUTED_VALUE"""),"")</f>
        <v/>
      </c>
      <c r="L116" s="96">
        <f>IFERROR(__xludf.DUMMYFUNCTION("""COMPUTED_VALUE"""),115.0)</f>
        <v>115</v>
      </c>
      <c r="M116" s="97" t="str">
        <f>IFERROR(__xludf.DUMMYFUNCTION("""COMPUTED_VALUE"""),"")</f>
        <v/>
      </c>
      <c r="N116" s="95" t="str">
        <f>IFERROR(__xludf.DUMMYFUNCTION("""COMPUTED_VALUE"""),"")</f>
        <v/>
      </c>
      <c r="O116" s="96" t="str">
        <f>IFERROR(__xludf.DUMMYFUNCTION("""COMPUTED_VALUE"""),"")</f>
        <v/>
      </c>
      <c r="P116" s="97" t="str">
        <f>IFERROR(__xludf.DUMMYFUNCTION("""COMPUTED_VALUE"""),"")</f>
        <v/>
      </c>
      <c r="Q116" s="95" t="str">
        <f>IFERROR(__xludf.DUMMYFUNCTION("""COMPUTED_VALUE"""),"")</f>
        <v/>
      </c>
      <c r="R116" s="96" t="str">
        <f>IFERROR(__xludf.DUMMYFUNCTION("""COMPUTED_VALUE"""),"")</f>
        <v/>
      </c>
      <c r="S116" s="97" t="str">
        <f>IFERROR(__xludf.DUMMYFUNCTION("""COMPUTED_VALUE"""),"")</f>
        <v/>
      </c>
      <c r="T116" s="95" t="str">
        <f>IFERROR(__xludf.DUMMYFUNCTION("""COMPUTED_VALUE"""),"")</f>
        <v/>
      </c>
      <c r="U116" s="96" t="str">
        <f>IFERROR(__xludf.DUMMYFUNCTION("""COMPUTED_VALUE"""),"")</f>
        <v/>
      </c>
      <c r="V116" s="97" t="str">
        <f>IFERROR(__xludf.DUMMYFUNCTION("""COMPUTED_VALUE"""),"")</f>
        <v/>
      </c>
      <c r="W116" s="95" t="str">
        <f>IFERROR(__xludf.DUMMYFUNCTION("""COMPUTED_VALUE"""),"")</f>
        <v/>
      </c>
      <c r="X116" s="96" t="str">
        <f>IFERROR(__xludf.DUMMYFUNCTION("""COMPUTED_VALUE"""),"")</f>
        <v/>
      </c>
      <c r="Y116" s="97" t="str">
        <f>IFERROR(__xludf.DUMMYFUNCTION("""COMPUTED_VALUE"""),"")</f>
        <v/>
      </c>
      <c r="Z116" s="95" t="str">
        <f>IFERROR(__xludf.DUMMYFUNCTION("""COMPUTED_VALUE"""),"")</f>
        <v/>
      </c>
      <c r="AA116" s="96" t="str">
        <f>IFERROR(__xludf.DUMMYFUNCTION("""COMPUTED_VALUE"""),"")</f>
        <v/>
      </c>
      <c r="AB116" s="97" t="str">
        <f>IFERROR(__xludf.DUMMYFUNCTION("""COMPUTED_VALUE"""),"")</f>
        <v/>
      </c>
      <c r="AC116" s="95" t="str">
        <f>IFERROR(__xludf.DUMMYFUNCTION("""COMPUTED_VALUE"""),"")</f>
        <v/>
      </c>
      <c r="AD116" s="96" t="str">
        <f>IFERROR(__xludf.DUMMYFUNCTION("""COMPUTED_VALUE"""),"")</f>
        <v/>
      </c>
      <c r="AE116" s="97" t="str">
        <f>IFERROR(__xludf.DUMMYFUNCTION("""COMPUTED_VALUE"""),"")</f>
        <v/>
      </c>
      <c r="AF116" s="95" t="str">
        <f>IFERROR(__xludf.DUMMYFUNCTION("""COMPUTED_VALUE"""),"")</f>
        <v/>
      </c>
      <c r="AG116" s="96" t="str">
        <f>IFERROR(__xludf.DUMMYFUNCTION("""COMPUTED_VALUE"""),"")</f>
        <v/>
      </c>
      <c r="AH116" s="97" t="str">
        <f>IFERROR(__xludf.DUMMYFUNCTION("""COMPUTED_VALUE"""),"")</f>
        <v/>
      </c>
      <c r="AI116" s="92" t="str">
        <f>IFERROR(__xludf.DUMMYFUNCTION("""COMPUTED_VALUE"""),"")</f>
        <v/>
      </c>
      <c r="AJ116" s="93" t="str">
        <f>IFERROR(__xludf.DUMMYFUNCTION("""COMPUTED_VALUE"""),"")</f>
        <v/>
      </c>
      <c r="AK116" s="94" t="str">
        <f>IFERROR(__xludf.DUMMYFUNCTION("""COMPUTED_VALUE"""),"")</f>
        <v/>
      </c>
      <c r="AL116" s="93" t="str">
        <f>IFERROR(__xludf.DUMMYFUNCTION("""COMPUTED_VALUE"""),"")</f>
        <v/>
      </c>
      <c r="AM116" s="93" t="str">
        <f>IFERROR(__xludf.DUMMYFUNCTION("""COMPUTED_VALUE"""),"")</f>
        <v/>
      </c>
      <c r="AN116" s="94" t="str">
        <f>IFERROR(__xludf.DUMMYFUNCTION("""COMPUTED_VALUE"""),"")</f>
        <v/>
      </c>
      <c r="AO116" s="93" t="str">
        <f>IFERROR(__xludf.DUMMYFUNCTION("""COMPUTED_VALUE"""),"")</f>
        <v/>
      </c>
      <c r="AP116" s="93" t="str">
        <f>IFERROR(__xludf.DUMMYFUNCTION("""COMPUTED_VALUE"""),"")</f>
        <v/>
      </c>
      <c r="AQ116" s="94" t="str">
        <f>IFERROR(__xludf.DUMMYFUNCTION("""COMPUTED_VALUE"""),"")</f>
        <v/>
      </c>
      <c r="AR116" s="93" t="str">
        <f>IFERROR(__xludf.DUMMYFUNCTION("""COMPUTED_VALUE"""),"")</f>
        <v/>
      </c>
      <c r="AS116" s="93" t="str">
        <f>IFERROR(__xludf.DUMMYFUNCTION("""COMPUTED_VALUE"""),"")</f>
        <v/>
      </c>
      <c r="AT116" s="94" t="str">
        <f>IFERROR(__xludf.DUMMYFUNCTION("""COMPUTED_VALUE"""),"")</f>
        <v/>
      </c>
      <c r="AU116" s="93" t="str">
        <f>IFERROR(__xludf.DUMMYFUNCTION("""COMPUTED_VALUE"""),"")</f>
        <v/>
      </c>
      <c r="AV116" s="93">
        <f>IFERROR(__xludf.DUMMYFUNCTION("""COMPUTED_VALUE"""),46.3)</f>
        <v>46.3</v>
      </c>
      <c r="AW116" s="94" t="str">
        <f>IFERROR(__xludf.DUMMYFUNCTION("""COMPUTED_VALUE"""),"")</f>
        <v/>
      </c>
      <c r="AX116" s="93" t="str">
        <f>IFERROR(__xludf.DUMMYFUNCTION("""COMPUTED_VALUE"""),"")</f>
        <v/>
      </c>
      <c r="AY116" s="93" t="str">
        <f>IFERROR(__xludf.DUMMYFUNCTION("""COMPUTED_VALUE"""),"")</f>
        <v/>
      </c>
      <c r="AZ116" s="94" t="str">
        <f>IFERROR(__xludf.DUMMYFUNCTION("""COMPUTED_VALUE"""),"")</f>
        <v/>
      </c>
      <c r="BA116" s="93" t="str">
        <f>IFERROR(__xludf.DUMMYFUNCTION("""COMPUTED_VALUE"""),"")</f>
        <v/>
      </c>
      <c r="BB116" s="93" t="str">
        <f>IFERROR(__xludf.DUMMYFUNCTION("""COMPUTED_VALUE"""),"")</f>
        <v/>
      </c>
      <c r="BC116" s="94" t="str">
        <f>IFERROR(__xludf.DUMMYFUNCTION("""COMPUTED_VALUE"""),"")</f>
        <v/>
      </c>
      <c r="BD116" s="93" t="str">
        <f>IFERROR(__xludf.DUMMYFUNCTION("""COMPUTED_VALUE"""),"")</f>
        <v/>
      </c>
      <c r="BE116" s="93" t="str">
        <f>IFERROR(__xludf.DUMMYFUNCTION("""COMPUTED_VALUE"""),"")</f>
        <v/>
      </c>
      <c r="BF116" s="94" t="str">
        <f>IFERROR(__xludf.DUMMYFUNCTION("""COMPUTED_VALUE"""),"")</f>
        <v/>
      </c>
      <c r="BG116" s="92" t="str">
        <f>IFERROR(__xludf.DUMMYFUNCTION("""COMPUTED_VALUE"""),"")</f>
        <v/>
      </c>
      <c r="BH116" s="93" t="str">
        <f>IFERROR(__xludf.DUMMYFUNCTION("""COMPUTED_VALUE"""),"")</f>
        <v/>
      </c>
      <c r="BI116" s="94" t="str">
        <f>IFERROR(__xludf.DUMMYFUNCTION("""COMPUTED_VALUE"""),"")</f>
        <v/>
      </c>
      <c r="BJ116" s="93" t="str">
        <f>IFERROR(__xludf.DUMMYFUNCTION("""COMPUTED_VALUE"""),"")</f>
        <v/>
      </c>
      <c r="BK116" s="93" t="str">
        <f>IFERROR(__xludf.DUMMYFUNCTION("""COMPUTED_VALUE"""),"")</f>
        <v/>
      </c>
      <c r="BL116" s="94">
        <f>IFERROR(__xludf.DUMMYFUNCTION("""COMPUTED_VALUE"""),233.4)</f>
        <v>233.4</v>
      </c>
      <c r="BM116" s="93" t="str">
        <f>IFERROR(__xludf.DUMMYFUNCTION("""COMPUTED_VALUE"""),"")</f>
        <v/>
      </c>
      <c r="BN116" s="93" t="str">
        <f>IFERROR(__xludf.DUMMYFUNCTION("""COMPUTED_VALUE"""),"")</f>
        <v/>
      </c>
      <c r="BO116" s="94" t="str">
        <f>IFERROR(__xludf.DUMMYFUNCTION("""COMPUTED_VALUE"""),"")</f>
        <v/>
      </c>
      <c r="BP116" s="93" t="str">
        <f>IFERROR(__xludf.DUMMYFUNCTION("""COMPUTED_VALUE"""),"")</f>
        <v/>
      </c>
      <c r="BQ116" s="93" t="str">
        <f>IFERROR(__xludf.DUMMYFUNCTION("""COMPUTED_VALUE"""),"")</f>
        <v/>
      </c>
      <c r="BR116" s="94" t="str">
        <f>IFERROR(__xludf.DUMMYFUNCTION("""COMPUTED_VALUE"""),"")</f>
        <v/>
      </c>
      <c r="BS116" s="93" t="str">
        <f>IFERROR(__xludf.DUMMYFUNCTION("""COMPUTED_VALUE"""),"")</f>
        <v/>
      </c>
      <c r="BT116" s="93">
        <f>IFERROR(__xludf.DUMMYFUNCTION("""COMPUTED_VALUE"""),50.1)</f>
        <v>50.1</v>
      </c>
      <c r="BU116" s="94" t="str">
        <f>IFERROR(__xludf.DUMMYFUNCTION("""COMPUTED_VALUE"""),"")</f>
        <v/>
      </c>
      <c r="BV116" s="93" t="str">
        <f>IFERROR(__xludf.DUMMYFUNCTION("""COMPUTED_VALUE"""),"")</f>
        <v/>
      </c>
      <c r="BW116" s="93" t="str">
        <f>IFERROR(__xludf.DUMMYFUNCTION("""COMPUTED_VALUE"""),"")</f>
        <v/>
      </c>
      <c r="BX116" s="94" t="str">
        <f>IFERROR(__xludf.DUMMYFUNCTION("""COMPUTED_VALUE"""),"")</f>
        <v/>
      </c>
      <c r="BY116" s="93" t="str">
        <f>IFERROR(__xludf.DUMMYFUNCTION("""COMPUTED_VALUE"""),"")</f>
        <v/>
      </c>
      <c r="BZ116" s="93" t="str">
        <f>IFERROR(__xludf.DUMMYFUNCTION("""COMPUTED_VALUE"""),"")</f>
        <v/>
      </c>
      <c r="CA116" s="94" t="str">
        <f>IFERROR(__xludf.DUMMYFUNCTION("""COMPUTED_VALUE"""),"")</f>
        <v/>
      </c>
      <c r="CB116" s="92" t="str">
        <f>IFERROR(__xludf.DUMMYFUNCTION("""COMPUTED_VALUE"""),"")</f>
        <v/>
      </c>
      <c r="CC116" s="93" t="str">
        <f>IFERROR(__xludf.DUMMYFUNCTION("""COMPUTED_VALUE"""),"")</f>
        <v/>
      </c>
      <c r="CD116" s="94" t="str">
        <f>IFERROR(__xludf.DUMMYFUNCTION("""COMPUTED_VALUE"""),"")</f>
        <v/>
      </c>
      <c r="CE116" s="93" t="str">
        <f>IFERROR(__xludf.DUMMYFUNCTION("""COMPUTED_VALUE"""),"")</f>
        <v/>
      </c>
      <c r="CF116" s="93" t="str">
        <f>IFERROR(__xludf.DUMMYFUNCTION("""COMPUTED_VALUE"""),"")</f>
        <v/>
      </c>
      <c r="CG116" s="94" t="str">
        <f>IFERROR(__xludf.DUMMYFUNCTION("""COMPUTED_VALUE"""),"")</f>
        <v/>
      </c>
      <c r="CH116" s="93" t="str">
        <f>IFERROR(__xludf.DUMMYFUNCTION("""COMPUTED_VALUE"""),"")</f>
        <v/>
      </c>
      <c r="CI116" s="93" t="str">
        <f>IFERROR(__xludf.DUMMYFUNCTION("""COMPUTED_VALUE"""),"")</f>
        <v/>
      </c>
      <c r="CJ116" s="94" t="str">
        <f>IFERROR(__xludf.DUMMYFUNCTION("""COMPUTED_VALUE"""),"")</f>
        <v/>
      </c>
      <c r="CK116" s="93" t="str">
        <f>IFERROR(__xludf.DUMMYFUNCTION("""COMPUTED_VALUE"""),"")</f>
        <v/>
      </c>
      <c r="CL116" s="93" t="str">
        <f>IFERROR(__xludf.DUMMYFUNCTION("""COMPUTED_VALUE"""),"")</f>
        <v/>
      </c>
      <c r="CM116" s="94" t="str">
        <f>IFERROR(__xludf.DUMMYFUNCTION("""COMPUTED_VALUE"""),"")</f>
        <v/>
      </c>
      <c r="CN116" s="93" t="str">
        <f>IFERROR(__xludf.DUMMYFUNCTION("""COMPUTED_VALUE"""),"")</f>
        <v/>
      </c>
      <c r="CO116" s="93" t="str">
        <f>IFERROR(__xludf.DUMMYFUNCTION("""COMPUTED_VALUE"""),"")</f>
        <v/>
      </c>
      <c r="CP116" s="94" t="str">
        <f>IFERROR(__xludf.DUMMYFUNCTION("""COMPUTED_VALUE"""),"")</f>
        <v/>
      </c>
      <c r="CQ116" s="93" t="str">
        <f>IFERROR(__xludf.DUMMYFUNCTION("""COMPUTED_VALUE"""),"")</f>
        <v/>
      </c>
      <c r="CR116" s="93" t="str">
        <f>IFERROR(__xludf.DUMMYFUNCTION("""COMPUTED_VALUE"""),"")</f>
        <v/>
      </c>
      <c r="CS116" s="94"/>
      <c r="CT116" s="93"/>
      <c r="CU116" s="93"/>
      <c r="CV116" s="94"/>
      <c r="CW116" s="93"/>
      <c r="CX116" s="93"/>
      <c r="CY116" s="94"/>
      <c r="CZ116" s="93"/>
      <c r="DA116" s="93"/>
      <c r="DB116" s="94"/>
      <c r="DC116" s="93"/>
      <c r="DD116" s="93"/>
      <c r="DE116" s="94"/>
      <c r="DF116" s="93"/>
      <c r="DG116" s="93"/>
      <c r="DH116" s="94"/>
      <c r="DI116" s="93"/>
      <c r="DJ116" s="93"/>
      <c r="DK116" s="94"/>
      <c r="DL116" s="93"/>
      <c r="DM116" s="93"/>
      <c r="DN116" s="94"/>
      <c r="DO116" s="93"/>
      <c r="DP116" s="93"/>
      <c r="DQ116" s="94"/>
      <c r="DR116" s="93"/>
      <c r="DS116" s="93"/>
      <c r="DT116" s="94"/>
    </row>
    <row r="117">
      <c r="B117" s="120" t="str">
        <f>IFERROR(__xludf.DUMMYFUNCTION("""COMPUTED_VALUE"""),"CML5")</f>
        <v>CML5</v>
      </c>
      <c r="C117" s="82">
        <f>IFERROR(__xludf.DUMMYFUNCTION("""COMPUTED_VALUE"""),106.0)</f>
        <v>106</v>
      </c>
      <c r="D117" s="88" t="str">
        <f>IFERROR(__xludf.DUMMYFUNCTION("""COMPUTED_VALUE"""),"Fortress of the Round Table")</f>
        <v>Fortress of the Round Table</v>
      </c>
      <c r="E117" s="82" t="str">
        <f>IFERROR(__xludf.DUMMYFUNCTION("""COMPUTED_VALUE"""),"円卓の砦")</f>
        <v>円卓の砦</v>
      </c>
      <c r="F117" s="102">
        <f>IFERROR(__xludf.DUMMYFUNCTION("""COMPUTED_VALUE"""),19.0)</f>
        <v>19</v>
      </c>
      <c r="G117" s="82">
        <f>IFERROR(__xludf.DUMMYFUNCTION("""COMPUTED_VALUE"""),3427.0)</f>
        <v>3427</v>
      </c>
      <c r="H117" s="95" t="str">
        <f>IFERROR(__xludf.DUMMYFUNCTION("""COMPUTED_VALUE"""),"")</f>
        <v/>
      </c>
      <c r="I117" s="96" t="str">
        <f>IFERROR(__xludf.DUMMYFUNCTION("""COMPUTED_VALUE"""),"")</f>
        <v/>
      </c>
      <c r="J117" s="97" t="str">
        <f>IFERROR(__xludf.DUMMYFUNCTION("""COMPUTED_VALUE"""),"")</f>
        <v/>
      </c>
      <c r="K117" s="95" t="str">
        <f>IFERROR(__xludf.DUMMYFUNCTION("""COMPUTED_VALUE"""),"")</f>
        <v/>
      </c>
      <c r="L117" s="96" t="str">
        <f>IFERROR(__xludf.DUMMYFUNCTION("""COMPUTED_VALUE"""),"")</f>
        <v/>
      </c>
      <c r="M117" s="97" t="str">
        <f>IFERROR(__xludf.DUMMYFUNCTION("""COMPUTED_VALUE"""),"")</f>
        <v/>
      </c>
      <c r="N117" s="95" t="str">
        <f>IFERROR(__xludf.DUMMYFUNCTION("""COMPUTED_VALUE"""),"")</f>
        <v/>
      </c>
      <c r="O117" s="96" t="str">
        <f>IFERROR(__xludf.DUMMYFUNCTION("""COMPUTED_VALUE"""),"")</f>
        <v/>
      </c>
      <c r="P117" s="97" t="str">
        <f>IFERROR(__xludf.DUMMYFUNCTION("""COMPUTED_VALUE"""),"")</f>
        <v/>
      </c>
      <c r="Q117" s="95" t="str">
        <f>IFERROR(__xludf.DUMMYFUNCTION("""COMPUTED_VALUE"""),"")</f>
        <v/>
      </c>
      <c r="R117" s="96" t="str">
        <f>IFERROR(__xludf.DUMMYFUNCTION("""COMPUTED_VALUE"""),"")</f>
        <v/>
      </c>
      <c r="S117" s="97" t="str">
        <f>IFERROR(__xludf.DUMMYFUNCTION("""COMPUTED_VALUE"""),"")</f>
        <v/>
      </c>
      <c r="T117" s="95" t="str">
        <f>IFERROR(__xludf.DUMMYFUNCTION("""COMPUTED_VALUE"""),"")</f>
        <v/>
      </c>
      <c r="U117" s="96" t="str">
        <f>IFERROR(__xludf.DUMMYFUNCTION("""COMPUTED_VALUE"""),"")</f>
        <v/>
      </c>
      <c r="V117" s="97" t="str">
        <f>IFERROR(__xludf.DUMMYFUNCTION("""COMPUTED_VALUE"""),"")</f>
        <v/>
      </c>
      <c r="W117" s="95" t="str">
        <f>IFERROR(__xludf.DUMMYFUNCTION("""COMPUTED_VALUE"""),"")</f>
        <v/>
      </c>
      <c r="X117" s="96" t="str">
        <f>IFERROR(__xludf.DUMMYFUNCTION("""COMPUTED_VALUE"""),"")</f>
        <v/>
      </c>
      <c r="Y117" s="97" t="str">
        <f>IFERROR(__xludf.DUMMYFUNCTION("""COMPUTED_VALUE"""),"")</f>
        <v/>
      </c>
      <c r="Z117" s="95" t="str">
        <f>IFERROR(__xludf.DUMMYFUNCTION("""COMPUTED_VALUE"""),"")</f>
        <v/>
      </c>
      <c r="AA117" s="96" t="str">
        <f>IFERROR(__xludf.DUMMYFUNCTION("""COMPUTED_VALUE"""),"")</f>
        <v/>
      </c>
      <c r="AB117" s="97" t="str">
        <f>IFERROR(__xludf.DUMMYFUNCTION("""COMPUTED_VALUE"""),"")</f>
        <v/>
      </c>
      <c r="AC117" s="95" t="str">
        <f>IFERROR(__xludf.DUMMYFUNCTION("""COMPUTED_VALUE"""),"")</f>
        <v/>
      </c>
      <c r="AD117" s="96" t="str">
        <f>IFERROR(__xludf.DUMMYFUNCTION("""COMPUTED_VALUE"""),"")</f>
        <v/>
      </c>
      <c r="AE117" s="97" t="str">
        <f>IFERROR(__xludf.DUMMYFUNCTION("""COMPUTED_VALUE"""),"")</f>
        <v/>
      </c>
      <c r="AF117" s="95" t="str">
        <f>IFERROR(__xludf.DUMMYFUNCTION("""COMPUTED_VALUE"""),"")</f>
        <v/>
      </c>
      <c r="AG117" s="96" t="str">
        <f>IFERROR(__xludf.DUMMYFUNCTION("""COMPUTED_VALUE"""),"")</f>
        <v/>
      </c>
      <c r="AH117" s="97" t="str">
        <f>IFERROR(__xludf.DUMMYFUNCTION("""COMPUTED_VALUE"""),"")</f>
        <v/>
      </c>
      <c r="AI117" s="98">
        <f>IFERROR(__xludf.DUMMYFUNCTION("""COMPUTED_VALUE"""),105.0)</f>
        <v>105</v>
      </c>
      <c r="AJ117" s="99" t="str">
        <f>IFERROR(__xludf.DUMMYFUNCTION("""COMPUTED_VALUE"""),"")</f>
        <v/>
      </c>
      <c r="AK117" s="100" t="str">
        <f>IFERROR(__xludf.DUMMYFUNCTION("""COMPUTED_VALUE"""),"")</f>
        <v/>
      </c>
      <c r="AL117" s="99" t="str">
        <f>IFERROR(__xludf.DUMMYFUNCTION("""COMPUTED_VALUE"""),"")</f>
        <v/>
      </c>
      <c r="AM117" s="99" t="str">
        <f>IFERROR(__xludf.DUMMYFUNCTION("""COMPUTED_VALUE"""),"")</f>
        <v/>
      </c>
      <c r="AN117" s="100" t="str">
        <f>IFERROR(__xludf.DUMMYFUNCTION("""COMPUTED_VALUE"""),"")</f>
        <v/>
      </c>
      <c r="AO117" s="99" t="str">
        <f>IFERROR(__xludf.DUMMYFUNCTION("""COMPUTED_VALUE"""),"")</f>
        <v/>
      </c>
      <c r="AP117" s="99" t="str">
        <f>IFERROR(__xludf.DUMMYFUNCTION("""COMPUTED_VALUE"""),"")</f>
        <v/>
      </c>
      <c r="AQ117" s="100" t="str">
        <f>IFERROR(__xludf.DUMMYFUNCTION("""COMPUTED_VALUE"""),"")</f>
        <v/>
      </c>
      <c r="AR117" s="99" t="str">
        <f>IFERROR(__xludf.DUMMYFUNCTION("""COMPUTED_VALUE"""),"")</f>
        <v/>
      </c>
      <c r="AS117" s="99" t="str">
        <f>IFERROR(__xludf.DUMMYFUNCTION("""COMPUTED_VALUE"""),"")</f>
        <v/>
      </c>
      <c r="AT117" s="100">
        <f>IFERROR(__xludf.DUMMYFUNCTION("""COMPUTED_VALUE"""),43.1)</f>
        <v>43.1</v>
      </c>
      <c r="AU117" s="99" t="str">
        <f>IFERROR(__xludf.DUMMYFUNCTION("""COMPUTED_VALUE"""),"")</f>
        <v/>
      </c>
      <c r="AV117" s="99" t="str">
        <f>IFERROR(__xludf.DUMMYFUNCTION("""COMPUTED_VALUE"""),"")</f>
        <v/>
      </c>
      <c r="AW117" s="100" t="str">
        <f>IFERROR(__xludf.DUMMYFUNCTION("""COMPUTED_VALUE"""),"")</f>
        <v/>
      </c>
      <c r="AX117" s="99" t="str">
        <f>IFERROR(__xludf.DUMMYFUNCTION("""COMPUTED_VALUE"""),"")</f>
        <v/>
      </c>
      <c r="AY117" s="99" t="str">
        <f>IFERROR(__xludf.DUMMYFUNCTION("""COMPUTED_VALUE"""),"")</f>
        <v/>
      </c>
      <c r="AZ117" s="100" t="str">
        <f>IFERROR(__xludf.DUMMYFUNCTION("""COMPUTED_VALUE"""),"")</f>
        <v/>
      </c>
      <c r="BA117" s="99" t="str">
        <f>IFERROR(__xludf.DUMMYFUNCTION("""COMPUTED_VALUE"""),"")</f>
        <v/>
      </c>
      <c r="BB117" s="99" t="str">
        <f>IFERROR(__xludf.DUMMYFUNCTION("""COMPUTED_VALUE"""),"")</f>
        <v/>
      </c>
      <c r="BC117" s="100" t="str">
        <f>IFERROR(__xludf.DUMMYFUNCTION("""COMPUTED_VALUE"""),"")</f>
        <v/>
      </c>
      <c r="BD117" s="99" t="str">
        <f>IFERROR(__xludf.DUMMYFUNCTION("""COMPUTED_VALUE"""),"")</f>
        <v/>
      </c>
      <c r="BE117" s="99" t="str">
        <f>IFERROR(__xludf.DUMMYFUNCTION("""COMPUTED_VALUE"""),"")</f>
        <v/>
      </c>
      <c r="BF117" s="100" t="str">
        <f>IFERROR(__xludf.DUMMYFUNCTION("""COMPUTED_VALUE"""),"")</f>
        <v/>
      </c>
      <c r="BG117" s="98" t="str">
        <f>IFERROR(__xludf.DUMMYFUNCTION("""COMPUTED_VALUE"""),"")</f>
        <v/>
      </c>
      <c r="BH117" s="99" t="str">
        <f>IFERROR(__xludf.DUMMYFUNCTION("""COMPUTED_VALUE"""),"")</f>
        <v/>
      </c>
      <c r="BI117" s="100" t="str">
        <f>IFERROR(__xludf.DUMMYFUNCTION("""COMPUTED_VALUE"""),"")</f>
        <v/>
      </c>
      <c r="BJ117" s="99">
        <f>IFERROR(__xludf.DUMMYFUNCTION("""COMPUTED_VALUE"""),183.2)</f>
        <v>183.2</v>
      </c>
      <c r="BK117" s="99" t="str">
        <f>IFERROR(__xludf.DUMMYFUNCTION("""COMPUTED_VALUE"""),"")</f>
        <v/>
      </c>
      <c r="BL117" s="100">
        <f>IFERROR(__xludf.DUMMYFUNCTION("""COMPUTED_VALUE"""),200.5)</f>
        <v>200.5</v>
      </c>
      <c r="BM117" s="99" t="str">
        <f>IFERROR(__xludf.DUMMYFUNCTION("""COMPUTED_VALUE"""),"")</f>
        <v/>
      </c>
      <c r="BN117" s="99" t="str">
        <f>IFERROR(__xludf.DUMMYFUNCTION("""COMPUTED_VALUE"""),"")</f>
        <v/>
      </c>
      <c r="BO117" s="100" t="str">
        <f>IFERROR(__xludf.DUMMYFUNCTION("""COMPUTED_VALUE"""),"")</f>
        <v/>
      </c>
      <c r="BP117" s="99" t="str">
        <f>IFERROR(__xludf.DUMMYFUNCTION("""COMPUTED_VALUE"""),"")</f>
        <v/>
      </c>
      <c r="BQ117" s="99">
        <f>IFERROR(__xludf.DUMMYFUNCTION("""COMPUTED_VALUE"""),193.0)</f>
        <v>193</v>
      </c>
      <c r="BR117" s="100" t="str">
        <f>IFERROR(__xludf.DUMMYFUNCTION("""COMPUTED_VALUE"""),"")</f>
        <v/>
      </c>
      <c r="BS117" s="99">
        <f>IFERROR(__xludf.DUMMYFUNCTION("""COMPUTED_VALUE"""),130.3)</f>
        <v>130.3</v>
      </c>
      <c r="BT117" s="99" t="str">
        <f>IFERROR(__xludf.DUMMYFUNCTION("""COMPUTED_VALUE"""),"")</f>
        <v/>
      </c>
      <c r="BU117" s="100" t="str">
        <f>IFERROR(__xludf.DUMMYFUNCTION("""COMPUTED_VALUE"""),"")</f>
        <v/>
      </c>
      <c r="BV117" s="99" t="str">
        <f>IFERROR(__xludf.DUMMYFUNCTION("""COMPUTED_VALUE"""),"")</f>
        <v/>
      </c>
      <c r="BW117" s="99" t="str">
        <f>IFERROR(__xludf.DUMMYFUNCTION("""COMPUTED_VALUE"""),"")</f>
        <v/>
      </c>
      <c r="BX117" s="100" t="str">
        <f>IFERROR(__xludf.DUMMYFUNCTION("""COMPUTED_VALUE"""),"")</f>
        <v/>
      </c>
      <c r="BY117" s="99" t="str">
        <f>IFERROR(__xludf.DUMMYFUNCTION("""COMPUTED_VALUE"""),"")</f>
        <v/>
      </c>
      <c r="BZ117" s="99" t="str">
        <f>IFERROR(__xludf.DUMMYFUNCTION("""COMPUTED_VALUE"""),"")</f>
        <v/>
      </c>
      <c r="CA117" s="100" t="str">
        <f>IFERROR(__xludf.DUMMYFUNCTION("""COMPUTED_VALUE"""),"")</f>
        <v/>
      </c>
      <c r="CB117" s="98" t="str">
        <f>IFERROR(__xludf.DUMMYFUNCTION("""COMPUTED_VALUE"""),"")</f>
        <v/>
      </c>
      <c r="CC117" s="99" t="str">
        <f>IFERROR(__xludf.DUMMYFUNCTION("""COMPUTED_VALUE"""),"")</f>
        <v/>
      </c>
      <c r="CD117" s="100" t="str">
        <f>IFERROR(__xludf.DUMMYFUNCTION("""COMPUTED_VALUE"""),"")</f>
        <v/>
      </c>
      <c r="CE117" s="99" t="str">
        <f>IFERROR(__xludf.DUMMYFUNCTION("""COMPUTED_VALUE"""),"")</f>
        <v/>
      </c>
      <c r="CF117" s="99" t="str">
        <f>IFERROR(__xludf.DUMMYFUNCTION("""COMPUTED_VALUE"""),"")</f>
        <v/>
      </c>
      <c r="CG117" s="100" t="str">
        <f>IFERROR(__xludf.DUMMYFUNCTION("""COMPUTED_VALUE"""),"")</f>
        <v/>
      </c>
      <c r="CH117" s="99" t="str">
        <f>IFERROR(__xludf.DUMMYFUNCTION("""COMPUTED_VALUE"""),"")</f>
        <v/>
      </c>
      <c r="CI117" s="99" t="str">
        <f>IFERROR(__xludf.DUMMYFUNCTION("""COMPUTED_VALUE"""),"")</f>
        <v/>
      </c>
      <c r="CJ117" s="100" t="str">
        <f>IFERROR(__xludf.DUMMYFUNCTION("""COMPUTED_VALUE"""),"")</f>
        <v/>
      </c>
      <c r="CK117" s="99" t="str">
        <f>IFERROR(__xludf.DUMMYFUNCTION("""COMPUTED_VALUE"""),"")</f>
        <v/>
      </c>
      <c r="CL117" s="99">
        <f>IFERROR(__xludf.DUMMYFUNCTION("""COMPUTED_VALUE"""),189.5)</f>
        <v>189.5</v>
      </c>
      <c r="CM117" s="100" t="str">
        <f>IFERROR(__xludf.DUMMYFUNCTION("""COMPUTED_VALUE"""),"")</f>
        <v/>
      </c>
      <c r="CN117" s="99">
        <f>IFERROR(__xludf.DUMMYFUNCTION("""COMPUTED_VALUE"""),195.6)</f>
        <v>195.6</v>
      </c>
      <c r="CO117" s="99" t="str">
        <f>IFERROR(__xludf.DUMMYFUNCTION("""COMPUTED_VALUE"""),"")</f>
        <v/>
      </c>
      <c r="CP117" s="100" t="str">
        <f>IFERROR(__xludf.DUMMYFUNCTION("""COMPUTED_VALUE"""),"")</f>
        <v/>
      </c>
      <c r="CQ117" s="99" t="str">
        <f>IFERROR(__xludf.DUMMYFUNCTION("""COMPUTED_VALUE"""),"")</f>
        <v/>
      </c>
      <c r="CR117" s="99" t="str">
        <f>IFERROR(__xludf.DUMMYFUNCTION("""COMPUTED_VALUE"""),"")</f>
        <v/>
      </c>
      <c r="CS117" s="100"/>
      <c r="CT117" s="99"/>
      <c r="CU117" s="99"/>
      <c r="CV117" s="100"/>
      <c r="CW117" s="99"/>
      <c r="CX117" s="99"/>
      <c r="CY117" s="100"/>
      <c r="CZ117" s="99"/>
      <c r="DA117" s="99"/>
      <c r="DB117" s="100"/>
      <c r="DC117" s="99"/>
      <c r="DD117" s="99"/>
      <c r="DE117" s="100"/>
      <c r="DF117" s="99"/>
      <c r="DG117" s="99"/>
      <c r="DH117" s="100"/>
      <c r="DI117" s="99"/>
      <c r="DJ117" s="99"/>
      <c r="DK117" s="100"/>
      <c r="DL117" s="99"/>
      <c r="DM117" s="99"/>
      <c r="DN117" s="100"/>
      <c r="DO117" s="99"/>
      <c r="DP117" s="99"/>
      <c r="DQ117" s="100"/>
      <c r="DR117" s="99"/>
      <c r="DS117" s="99"/>
      <c r="DT117" s="100"/>
    </row>
    <row r="118">
      <c r="B118" s="120" t="str">
        <f>IFERROR(__xludf.DUMMYFUNCTION("""COMPUTED_VALUE"""),"CML6")</f>
        <v>CML6</v>
      </c>
      <c r="C118" s="82">
        <f>IFERROR(__xludf.DUMMYFUNCTION("""COMPUTED_VALUE"""),107.0)</f>
        <v>107</v>
      </c>
      <c r="D118" s="88" t="str">
        <f>IFERROR(__xludf.DUMMYFUNCTION("""COMPUTED_VALUE"""),"Mausoleum of the Evening Bell")</f>
        <v>Mausoleum of the Evening Bell</v>
      </c>
      <c r="E118" s="82" t="str">
        <f>IFERROR(__xludf.DUMMYFUNCTION("""COMPUTED_VALUE"""),"晩鐘廟")</f>
        <v>晩鐘廟</v>
      </c>
      <c r="F118" s="102">
        <f>IFERROR(__xludf.DUMMYFUNCTION("""COMPUTED_VALUE"""),19.0)</f>
        <v>19</v>
      </c>
      <c r="G118" s="82">
        <f>IFERROR(__xludf.DUMMYFUNCTION("""COMPUTED_VALUE"""),2303.0)</f>
        <v>2303</v>
      </c>
      <c r="H118" s="95" t="str">
        <f>IFERROR(__xludf.DUMMYFUNCTION("""COMPUTED_VALUE"""),"")</f>
        <v/>
      </c>
      <c r="I118" s="96" t="str">
        <f>IFERROR(__xludf.DUMMYFUNCTION("""COMPUTED_VALUE"""),"")</f>
        <v/>
      </c>
      <c r="J118" s="97" t="str">
        <f>IFERROR(__xludf.DUMMYFUNCTION("""COMPUTED_VALUE"""),"")</f>
        <v/>
      </c>
      <c r="K118" s="95" t="str">
        <f>IFERROR(__xludf.DUMMYFUNCTION("""COMPUTED_VALUE"""),"")</f>
        <v/>
      </c>
      <c r="L118" s="96" t="str">
        <f>IFERROR(__xludf.DUMMYFUNCTION("""COMPUTED_VALUE"""),"")</f>
        <v/>
      </c>
      <c r="M118" s="97" t="str">
        <f>IFERROR(__xludf.DUMMYFUNCTION("""COMPUTED_VALUE"""),"")</f>
        <v/>
      </c>
      <c r="N118" s="95" t="str">
        <f>IFERROR(__xludf.DUMMYFUNCTION("""COMPUTED_VALUE"""),"")</f>
        <v/>
      </c>
      <c r="O118" s="96" t="str">
        <f>IFERROR(__xludf.DUMMYFUNCTION("""COMPUTED_VALUE"""),"")</f>
        <v/>
      </c>
      <c r="P118" s="97" t="str">
        <f>IFERROR(__xludf.DUMMYFUNCTION("""COMPUTED_VALUE"""),"")</f>
        <v/>
      </c>
      <c r="Q118" s="95" t="str">
        <f>IFERROR(__xludf.DUMMYFUNCTION("""COMPUTED_VALUE"""),"")</f>
        <v/>
      </c>
      <c r="R118" s="96" t="str">
        <f>IFERROR(__xludf.DUMMYFUNCTION("""COMPUTED_VALUE"""),"")</f>
        <v/>
      </c>
      <c r="S118" s="97" t="str">
        <f>IFERROR(__xludf.DUMMYFUNCTION("""COMPUTED_VALUE"""),"")</f>
        <v/>
      </c>
      <c r="T118" s="95" t="str">
        <f>IFERROR(__xludf.DUMMYFUNCTION("""COMPUTED_VALUE"""),"")</f>
        <v/>
      </c>
      <c r="U118" s="96" t="str">
        <f>IFERROR(__xludf.DUMMYFUNCTION("""COMPUTED_VALUE"""),"")</f>
        <v/>
      </c>
      <c r="V118" s="97" t="str">
        <f>IFERROR(__xludf.DUMMYFUNCTION("""COMPUTED_VALUE"""),"")</f>
        <v/>
      </c>
      <c r="W118" s="95" t="str">
        <f>IFERROR(__xludf.DUMMYFUNCTION("""COMPUTED_VALUE"""),"")</f>
        <v/>
      </c>
      <c r="X118" s="96" t="str">
        <f>IFERROR(__xludf.DUMMYFUNCTION("""COMPUTED_VALUE"""),"")</f>
        <v/>
      </c>
      <c r="Y118" s="97" t="str">
        <f>IFERROR(__xludf.DUMMYFUNCTION("""COMPUTED_VALUE"""),"")</f>
        <v/>
      </c>
      <c r="Z118" s="95" t="str">
        <f>IFERROR(__xludf.DUMMYFUNCTION("""COMPUTED_VALUE"""),"")</f>
        <v/>
      </c>
      <c r="AA118" s="96">
        <f>IFERROR(__xludf.DUMMYFUNCTION("""COMPUTED_VALUE"""),59.2)</f>
        <v>59.2</v>
      </c>
      <c r="AB118" s="97" t="str">
        <f>IFERROR(__xludf.DUMMYFUNCTION("""COMPUTED_VALUE"""),"")</f>
        <v/>
      </c>
      <c r="AC118" s="95" t="str">
        <f>IFERROR(__xludf.DUMMYFUNCTION("""COMPUTED_VALUE"""),"")</f>
        <v/>
      </c>
      <c r="AD118" s="96" t="str">
        <f>IFERROR(__xludf.DUMMYFUNCTION("""COMPUTED_VALUE"""),"")</f>
        <v/>
      </c>
      <c r="AE118" s="97" t="str">
        <f>IFERROR(__xludf.DUMMYFUNCTION("""COMPUTED_VALUE"""),"")</f>
        <v/>
      </c>
      <c r="AF118" s="95" t="str">
        <f>IFERROR(__xludf.DUMMYFUNCTION("""COMPUTED_VALUE"""),"")</f>
        <v/>
      </c>
      <c r="AG118" s="96" t="str">
        <f>IFERROR(__xludf.DUMMYFUNCTION("""COMPUTED_VALUE"""),"")</f>
        <v/>
      </c>
      <c r="AH118" s="97" t="str">
        <f>IFERROR(__xludf.DUMMYFUNCTION("""COMPUTED_VALUE"""),"")</f>
        <v/>
      </c>
      <c r="AI118" s="92" t="str">
        <f>IFERROR(__xludf.DUMMYFUNCTION("""COMPUTED_VALUE"""),"")</f>
        <v/>
      </c>
      <c r="AJ118" s="93" t="str">
        <f>IFERROR(__xludf.DUMMYFUNCTION("""COMPUTED_VALUE"""),"")</f>
        <v/>
      </c>
      <c r="AK118" s="94" t="str">
        <f>IFERROR(__xludf.DUMMYFUNCTION("""COMPUTED_VALUE"""),"")</f>
        <v/>
      </c>
      <c r="AL118" s="93" t="str">
        <f>IFERROR(__xludf.DUMMYFUNCTION("""COMPUTED_VALUE"""),"")</f>
        <v/>
      </c>
      <c r="AM118" s="93" t="str">
        <f>IFERROR(__xludf.DUMMYFUNCTION("""COMPUTED_VALUE"""),"")</f>
        <v/>
      </c>
      <c r="AN118" s="94" t="str">
        <f>IFERROR(__xludf.DUMMYFUNCTION("""COMPUTED_VALUE"""),"")</f>
        <v/>
      </c>
      <c r="AO118" s="93" t="str">
        <f>IFERROR(__xludf.DUMMYFUNCTION("""COMPUTED_VALUE"""),"")</f>
        <v/>
      </c>
      <c r="AP118" s="93" t="str">
        <f>IFERROR(__xludf.DUMMYFUNCTION("""COMPUTED_VALUE"""),"")</f>
        <v/>
      </c>
      <c r="AQ118" s="94" t="str">
        <f>IFERROR(__xludf.DUMMYFUNCTION("""COMPUTED_VALUE"""),"")</f>
        <v/>
      </c>
      <c r="AR118" s="93" t="str">
        <f>IFERROR(__xludf.DUMMYFUNCTION("""COMPUTED_VALUE"""),"")</f>
        <v/>
      </c>
      <c r="AS118" s="93" t="str">
        <f>IFERROR(__xludf.DUMMYFUNCTION("""COMPUTED_VALUE"""),"")</f>
        <v/>
      </c>
      <c r="AT118" s="94" t="str">
        <f>IFERROR(__xludf.DUMMYFUNCTION("""COMPUTED_VALUE"""),"")</f>
        <v/>
      </c>
      <c r="AU118" s="93" t="str">
        <f>IFERROR(__xludf.DUMMYFUNCTION("""COMPUTED_VALUE"""),"")</f>
        <v/>
      </c>
      <c r="AV118" s="93" t="str">
        <f>IFERROR(__xludf.DUMMYFUNCTION("""COMPUTED_VALUE"""),"")</f>
        <v/>
      </c>
      <c r="AW118" s="94" t="str">
        <f>IFERROR(__xludf.DUMMYFUNCTION("""COMPUTED_VALUE"""),"")</f>
        <v/>
      </c>
      <c r="AX118" s="93" t="str">
        <f>IFERROR(__xludf.DUMMYFUNCTION("""COMPUTED_VALUE"""),"")</f>
        <v/>
      </c>
      <c r="AY118" s="93" t="str">
        <f>IFERROR(__xludf.DUMMYFUNCTION("""COMPUTED_VALUE"""),"")</f>
        <v/>
      </c>
      <c r="AZ118" s="94" t="str">
        <f>IFERROR(__xludf.DUMMYFUNCTION("""COMPUTED_VALUE"""),"")</f>
        <v/>
      </c>
      <c r="BA118" s="140" t="str">
        <f>IFERROR(__xludf.DUMMYFUNCTION("""COMPUTED_VALUE"""),"")</f>
        <v/>
      </c>
      <c r="BB118" s="93" t="str">
        <f>IFERROR(__xludf.DUMMYFUNCTION("""COMPUTED_VALUE"""),"")</f>
        <v/>
      </c>
      <c r="BC118" s="94" t="str">
        <f>IFERROR(__xludf.DUMMYFUNCTION("""COMPUTED_VALUE"""),"")</f>
        <v/>
      </c>
      <c r="BD118" s="93" t="str">
        <f>IFERROR(__xludf.DUMMYFUNCTION("""COMPUTED_VALUE"""),"")</f>
        <v/>
      </c>
      <c r="BE118" s="93" t="str">
        <f>IFERROR(__xludf.DUMMYFUNCTION("""COMPUTED_VALUE"""),"")</f>
        <v/>
      </c>
      <c r="BF118" s="94" t="str">
        <f>IFERROR(__xludf.DUMMYFUNCTION("""COMPUTED_VALUE"""),"")</f>
        <v/>
      </c>
      <c r="BG118" s="92" t="str">
        <f>IFERROR(__xludf.DUMMYFUNCTION("""COMPUTED_VALUE"""),"")</f>
        <v/>
      </c>
      <c r="BH118" s="93" t="str">
        <f>IFERROR(__xludf.DUMMYFUNCTION("""COMPUTED_VALUE"""),"")</f>
        <v/>
      </c>
      <c r="BI118" s="94" t="str">
        <f>IFERROR(__xludf.DUMMYFUNCTION("""COMPUTED_VALUE"""),"")</f>
        <v/>
      </c>
      <c r="BJ118" s="93" t="str">
        <f>IFERROR(__xludf.DUMMYFUNCTION("""COMPUTED_VALUE"""),"")</f>
        <v/>
      </c>
      <c r="BK118" s="93" t="str">
        <f>IFERROR(__xludf.DUMMYFUNCTION("""COMPUTED_VALUE"""),"")</f>
        <v/>
      </c>
      <c r="BL118" s="94" t="str">
        <f>IFERROR(__xludf.DUMMYFUNCTION("""COMPUTED_VALUE"""),"")</f>
        <v/>
      </c>
      <c r="BM118" s="93" t="str">
        <f>IFERROR(__xludf.DUMMYFUNCTION("""COMPUTED_VALUE"""),"")</f>
        <v/>
      </c>
      <c r="BN118" s="93" t="str">
        <f>IFERROR(__xludf.DUMMYFUNCTION("""COMPUTED_VALUE"""),"")</f>
        <v/>
      </c>
      <c r="BO118" s="94">
        <f>IFERROR(__xludf.DUMMYFUNCTION("""COMPUTED_VALUE"""),829.7)</f>
        <v>829.7</v>
      </c>
      <c r="BP118" s="93" t="str">
        <f>IFERROR(__xludf.DUMMYFUNCTION("""COMPUTED_VALUE"""),"")</f>
        <v/>
      </c>
      <c r="BQ118" s="93" t="str">
        <f>IFERROR(__xludf.DUMMYFUNCTION("""COMPUTED_VALUE"""),"")</f>
        <v/>
      </c>
      <c r="BR118" s="94" t="str">
        <f>IFERROR(__xludf.DUMMYFUNCTION("""COMPUTED_VALUE"""),"")</f>
        <v/>
      </c>
      <c r="BS118" s="93" t="str">
        <f>IFERROR(__xludf.DUMMYFUNCTION("""COMPUTED_VALUE"""),"")</f>
        <v/>
      </c>
      <c r="BT118" s="93" t="str">
        <f>IFERROR(__xludf.DUMMYFUNCTION("""COMPUTED_VALUE"""),"")</f>
        <v/>
      </c>
      <c r="BU118" s="94" t="str">
        <f>IFERROR(__xludf.DUMMYFUNCTION("""COMPUTED_VALUE"""),"")</f>
        <v/>
      </c>
      <c r="BV118" s="93">
        <f>IFERROR(__xludf.DUMMYFUNCTION("""COMPUTED_VALUE"""),38.1)</f>
        <v>38.1</v>
      </c>
      <c r="BW118" s="93" t="str">
        <f>IFERROR(__xludf.DUMMYFUNCTION("""COMPUTED_VALUE"""),"")</f>
        <v/>
      </c>
      <c r="BX118" s="94" t="str">
        <f>IFERROR(__xludf.DUMMYFUNCTION("""COMPUTED_VALUE"""),"")</f>
        <v/>
      </c>
      <c r="BY118" s="93" t="str">
        <f>IFERROR(__xludf.DUMMYFUNCTION("""COMPUTED_VALUE"""),"")</f>
        <v/>
      </c>
      <c r="BZ118" s="93" t="str">
        <f>IFERROR(__xludf.DUMMYFUNCTION("""COMPUTED_VALUE"""),"")</f>
        <v/>
      </c>
      <c r="CA118" s="94" t="str">
        <f>IFERROR(__xludf.DUMMYFUNCTION("""COMPUTED_VALUE"""),"")</f>
        <v/>
      </c>
      <c r="CB118" s="92" t="str">
        <f>IFERROR(__xludf.DUMMYFUNCTION("""COMPUTED_VALUE"""),"")</f>
        <v/>
      </c>
      <c r="CC118" s="93" t="str">
        <f>IFERROR(__xludf.DUMMYFUNCTION("""COMPUTED_VALUE"""),"")</f>
        <v/>
      </c>
      <c r="CD118" s="94" t="str">
        <f>IFERROR(__xludf.DUMMYFUNCTION("""COMPUTED_VALUE"""),"")</f>
        <v/>
      </c>
      <c r="CE118" s="93" t="str">
        <f>IFERROR(__xludf.DUMMYFUNCTION("""COMPUTED_VALUE"""),"")</f>
        <v/>
      </c>
      <c r="CF118" s="93" t="str">
        <f>IFERROR(__xludf.DUMMYFUNCTION("""COMPUTED_VALUE"""),"")</f>
        <v/>
      </c>
      <c r="CG118" s="94" t="str">
        <f>IFERROR(__xludf.DUMMYFUNCTION("""COMPUTED_VALUE"""),"")</f>
        <v/>
      </c>
      <c r="CH118" s="93" t="str">
        <f>IFERROR(__xludf.DUMMYFUNCTION("""COMPUTED_VALUE"""),"")</f>
        <v/>
      </c>
      <c r="CI118" s="93" t="str">
        <f>IFERROR(__xludf.DUMMYFUNCTION("""COMPUTED_VALUE"""),"")</f>
        <v/>
      </c>
      <c r="CJ118" s="94" t="str">
        <f>IFERROR(__xludf.DUMMYFUNCTION("""COMPUTED_VALUE"""),"")</f>
        <v/>
      </c>
      <c r="CK118" s="93" t="str">
        <f>IFERROR(__xludf.DUMMYFUNCTION("""COMPUTED_VALUE"""),"")</f>
        <v/>
      </c>
      <c r="CL118" s="93" t="str">
        <f>IFERROR(__xludf.DUMMYFUNCTION("""COMPUTED_VALUE"""),"")</f>
        <v/>
      </c>
      <c r="CM118" s="94" t="str">
        <f>IFERROR(__xludf.DUMMYFUNCTION("""COMPUTED_VALUE"""),"")</f>
        <v/>
      </c>
      <c r="CN118" s="93" t="str">
        <f>IFERROR(__xludf.DUMMYFUNCTION("""COMPUTED_VALUE"""),"")</f>
        <v/>
      </c>
      <c r="CO118" s="93" t="str">
        <f>IFERROR(__xludf.DUMMYFUNCTION("""COMPUTED_VALUE"""),"")</f>
        <v/>
      </c>
      <c r="CP118" s="94" t="str">
        <f>IFERROR(__xludf.DUMMYFUNCTION("""COMPUTED_VALUE"""),"")</f>
        <v/>
      </c>
      <c r="CQ118" s="93" t="str">
        <f>IFERROR(__xludf.DUMMYFUNCTION("""COMPUTED_VALUE"""),"")</f>
        <v/>
      </c>
      <c r="CR118" s="93" t="str">
        <f>IFERROR(__xludf.DUMMYFUNCTION("""COMPUTED_VALUE"""),"")</f>
        <v/>
      </c>
      <c r="CS118" s="94"/>
      <c r="CT118" s="93"/>
      <c r="CU118" s="93"/>
      <c r="CV118" s="94"/>
      <c r="CW118" s="93"/>
      <c r="CX118" s="93"/>
      <c r="CY118" s="94"/>
      <c r="CZ118" s="93"/>
      <c r="DA118" s="93"/>
      <c r="DB118" s="94"/>
      <c r="DC118" s="93"/>
      <c r="DD118" s="93"/>
      <c r="DE118" s="94"/>
      <c r="DF118" s="93"/>
      <c r="DG118" s="93"/>
      <c r="DH118" s="94"/>
      <c r="DI118" s="93"/>
      <c r="DJ118" s="93"/>
      <c r="DK118" s="94"/>
      <c r="DL118" s="93"/>
      <c r="DM118" s="93"/>
      <c r="DN118" s="94"/>
      <c r="DO118" s="93"/>
      <c r="DP118" s="93"/>
      <c r="DQ118" s="94"/>
      <c r="DR118" s="93"/>
      <c r="DS118" s="93"/>
      <c r="DT118" s="94"/>
    </row>
    <row r="119">
      <c r="B119" s="120" t="str">
        <f>IFERROR(__xludf.DUMMYFUNCTION("""COMPUTED_VALUE"""),"CML7")</f>
        <v>CML7</v>
      </c>
      <c r="C119" s="82">
        <f>IFERROR(__xludf.DUMMYFUNCTION("""COMPUTED_VALUE"""),108.0)</f>
        <v>108</v>
      </c>
      <c r="D119" s="88" t="str">
        <f>IFERROR(__xludf.DUMMYFUNCTION("""COMPUTED_VALUE"""),"West Village Ruins")</f>
        <v>West Village Ruins</v>
      </c>
      <c r="E119" s="82" t="str">
        <f>IFERROR(__xludf.DUMMYFUNCTION("""COMPUTED_VALUE"""),"西の村跡")</f>
        <v>西の村跡</v>
      </c>
      <c r="F119" s="102">
        <f>IFERROR(__xludf.DUMMYFUNCTION("""COMPUTED_VALUE"""),20.0)</f>
        <v>20</v>
      </c>
      <c r="G119" s="82">
        <f>IFERROR(__xludf.DUMMYFUNCTION("""COMPUTED_VALUE"""),1370.0)</f>
        <v>1370</v>
      </c>
      <c r="H119" s="95" t="str">
        <f>IFERROR(__xludf.DUMMYFUNCTION("""COMPUTED_VALUE"""),"")</f>
        <v/>
      </c>
      <c r="I119" s="96" t="str">
        <f>IFERROR(__xludf.DUMMYFUNCTION("""COMPUTED_VALUE"""),"")</f>
        <v/>
      </c>
      <c r="J119" s="97" t="str">
        <f>IFERROR(__xludf.DUMMYFUNCTION("""COMPUTED_VALUE"""),"")</f>
        <v/>
      </c>
      <c r="K119" s="95" t="str">
        <f>IFERROR(__xludf.DUMMYFUNCTION("""COMPUTED_VALUE"""),"")</f>
        <v/>
      </c>
      <c r="L119" s="96" t="str">
        <f>IFERROR(__xludf.DUMMYFUNCTION("""COMPUTED_VALUE"""),"")</f>
        <v/>
      </c>
      <c r="M119" s="97" t="str">
        <f>IFERROR(__xludf.DUMMYFUNCTION("""COMPUTED_VALUE"""),"")</f>
        <v/>
      </c>
      <c r="N119" s="95" t="str">
        <f>IFERROR(__xludf.DUMMYFUNCTION("""COMPUTED_VALUE"""),"")</f>
        <v/>
      </c>
      <c r="O119" s="96" t="str">
        <f>IFERROR(__xludf.DUMMYFUNCTION("""COMPUTED_VALUE"""),"")</f>
        <v/>
      </c>
      <c r="P119" s="97" t="str">
        <f>IFERROR(__xludf.DUMMYFUNCTION("""COMPUTED_VALUE"""),"")</f>
        <v/>
      </c>
      <c r="Q119" s="95" t="str">
        <f>IFERROR(__xludf.DUMMYFUNCTION("""COMPUTED_VALUE"""),"")</f>
        <v/>
      </c>
      <c r="R119" s="96" t="str">
        <f>IFERROR(__xludf.DUMMYFUNCTION("""COMPUTED_VALUE"""),"")</f>
        <v/>
      </c>
      <c r="S119" s="97" t="str">
        <f>IFERROR(__xludf.DUMMYFUNCTION("""COMPUTED_VALUE"""),"")</f>
        <v/>
      </c>
      <c r="T119" s="95" t="str">
        <f>IFERROR(__xludf.DUMMYFUNCTION("""COMPUTED_VALUE"""),"")</f>
        <v/>
      </c>
      <c r="U119" s="96" t="str">
        <f>IFERROR(__xludf.DUMMYFUNCTION("""COMPUTED_VALUE"""),"")</f>
        <v/>
      </c>
      <c r="V119" s="97" t="str">
        <f>IFERROR(__xludf.DUMMYFUNCTION("""COMPUTED_VALUE"""),"")</f>
        <v/>
      </c>
      <c r="W119" s="95" t="str">
        <f>IFERROR(__xludf.DUMMYFUNCTION("""COMPUTED_VALUE"""),"")</f>
        <v/>
      </c>
      <c r="X119" s="96" t="str">
        <f>IFERROR(__xludf.DUMMYFUNCTION("""COMPUTED_VALUE"""),"")</f>
        <v/>
      </c>
      <c r="Y119" s="97" t="str">
        <f>IFERROR(__xludf.DUMMYFUNCTION("""COMPUTED_VALUE"""),"")</f>
        <v/>
      </c>
      <c r="Z119" s="95" t="str">
        <f>IFERROR(__xludf.DUMMYFUNCTION("""COMPUTED_VALUE"""),"")</f>
        <v/>
      </c>
      <c r="AA119" s="96" t="str">
        <f>IFERROR(__xludf.DUMMYFUNCTION("""COMPUTED_VALUE"""),"")</f>
        <v/>
      </c>
      <c r="AB119" s="97" t="str">
        <f>IFERROR(__xludf.DUMMYFUNCTION("""COMPUTED_VALUE"""),"")</f>
        <v/>
      </c>
      <c r="AC119" s="95" t="str">
        <f>IFERROR(__xludf.DUMMYFUNCTION("""COMPUTED_VALUE"""),"")</f>
        <v/>
      </c>
      <c r="AD119" s="96" t="str">
        <f>IFERROR(__xludf.DUMMYFUNCTION("""COMPUTED_VALUE"""),"")</f>
        <v/>
      </c>
      <c r="AE119" s="97" t="str">
        <f>IFERROR(__xludf.DUMMYFUNCTION("""COMPUTED_VALUE"""),"")</f>
        <v/>
      </c>
      <c r="AF119" s="95" t="str">
        <f>IFERROR(__xludf.DUMMYFUNCTION("""COMPUTED_VALUE"""),"")</f>
        <v/>
      </c>
      <c r="AG119" s="96" t="str">
        <f>IFERROR(__xludf.DUMMYFUNCTION("""COMPUTED_VALUE"""),"")</f>
        <v/>
      </c>
      <c r="AH119" s="97" t="str">
        <f>IFERROR(__xludf.DUMMYFUNCTION("""COMPUTED_VALUE"""),"")</f>
        <v/>
      </c>
      <c r="AI119" s="98" t="str">
        <f>IFERROR(__xludf.DUMMYFUNCTION("""COMPUTED_VALUE"""),"")</f>
        <v/>
      </c>
      <c r="AJ119" s="99" t="str">
        <f>IFERROR(__xludf.DUMMYFUNCTION("""COMPUTED_VALUE"""),"")</f>
        <v/>
      </c>
      <c r="AK119" s="100" t="str">
        <f>IFERROR(__xludf.DUMMYFUNCTION("""COMPUTED_VALUE"""),"")</f>
        <v/>
      </c>
      <c r="AL119" s="99" t="str">
        <f>IFERROR(__xludf.DUMMYFUNCTION("""COMPUTED_VALUE"""),"")</f>
        <v/>
      </c>
      <c r="AM119" s="99" t="str">
        <f>IFERROR(__xludf.DUMMYFUNCTION("""COMPUTED_VALUE"""),"")</f>
        <v/>
      </c>
      <c r="AN119" s="100" t="str">
        <f>IFERROR(__xludf.DUMMYFUNCTION("""COMPUTED_VALUE"""),"")</f>
        <v/>
      </c>
      <c r="AO119" s="99" t="str">
        <f>IFERROR(__xludf.DUMMYFUNCTION("""COMPUTED_VALUE"""),"")</f>
        <v/>
      </c>
      <c r="AP119" s="99" t="str">
        <f>IFERROR(__xludf.DUMMYFUNCTION("""COMPUTED_VALUE"""),"")</f>
        <v/>
      </c>
      <c r="AQ119" s="100" t="str">
        <f>IFERROR(__xludf.DUMMYFUNCTION("""COMPUTED_VALUE"""),"")</f>
        <v/>
      </c>
      <c r="AR119" s="99" t="str">
        <f>IFERROR(__xludf.DUMMYFUNCTION("""COMPUTED_VALUE"""),"")</f>
        <v/>
      </c>
      <c r="AS119" s="99" t="str">
        <f>IFERROR(__xludf.DUMMYFUNCTION("""COMPUTED_VALUE"""),"")</f>
        <v/>
      </c>
      <c r="AT119" s="100" t="str">
        <f>IFERROR(__xludf.DUMMYFUNCTION("""COMPUTED_VALUE"""),"")</f>
        <v/>
      </c>
      <c r="AU119" s="99" t="str">
        <f>IFERROR(__xludf.DUMMYFUNCTION("""COMPUTED_VALUE"""),"")</f>
        <v/>
      </c>
      <c r="AV119" s="99" t="str">
        <f>IFERROR(__xludf.DUMMYFUNCTION("""COMPUTED_VALUE"""),"")</f>
        <v/>
      </c>
      <c r="AW119" s="100">
        <f>IFERROR(__xludf.DUMMYFUNCTION("""COMPUTED_VALUE"""),42.5)</f>
        <v>42.5</v>
      </c>
      <c r="AX119" s="99" t="str">
        <f>IFERROR(__xludf.DUMMYFUNCTION("""COMPUTED_VALUE"""),"")</f>
        <v/>
      </c>
      <c r="AY119" s="99" t="str">
        <f>IFERROR(__xludf.DUMMYFUNCTION("""COMPUTED_VALUE"""),"")</f>
        <v/>
      </c>
      <c r="AZ119" s="100" t="str">
        <f>IFERROR(__xludf.DUMMYFUNCTION("""COMPUTED_VALUE"""),"")</f>
        <v/>
      </c>
      <c r="BA119" s="99" t="str">
        <f>IFERROR(__xludf.DUMMYFUNCTION("""COMPUTED_VALUE"""),"")</f>
        <v/>
      </c>
      <c r="BB119" s="99" t="str">
        <f>IFERROR(__xludf.DUMMYFUNCTION("""COMPUTED_VALUE"""),"")</f>
        <v/>
      </c>
      <c r="BC119" s="100" t="str">
        <f>IFERROR(__xludf.DUMMYFUNCTION("""COMPUTED_VALUE"""),"")</f>
        <v/>
      </c>
      <c r="BD119" s="99" t="str">
        <f>IFERROR(__xludf.DUMMYFUNCTION("""COMPUTED_VALUE"""),"")</f>
        <v/>
      </c>
      <c r="BE119" s="99" t="str">
        <f>IFERROR(__xludf.DUMMYFUNCTION("""COMPUTED_VALUE"""),"")</f>
        <v/>
      </c>
      <c r="BF119" s="100" t="str">
        <f>IFERROR(__xludf.DUMMYFUNCTION("""COMPUTED_VALUE"""),"")</f>
        <v/>
      </c>
      <c r="BG119" s="98" t="str">
        <f>IFERROR(__xludf.DUMMYFUNCTION("""COMPUTED_VALUE"""),"")</f>
        <v/>
      </c>
      <c r="BH119" s="99" t="str">
        <f>IFERROR(__xludf.DUMMYFUNCTION("""COMPUTED_VALUE"""),"")</f>
        <v/>
      </c>
      <c r="BI119" s="100" t="str">
        <f>IFERROR(__xludf.DUMMYFUNCTION("""COMPUTED_VALUE"""),"")</f>
        <v/>
      </c>
      <c r="BJ119" s="99" t="str">
        <f>IFERROR(__xludf.DUMMYFUNCTION("""COMPUTED_VALUE"""),"")</f>
        <v/>
      </c>
      <c r="BK119" s="99" t="str">
        <f>IFERROR(__xludf.DUMMYFUNCTION("""COMPUTED_VALUE"""),"")</f>
        <v/>
      </c>
      <c r="BL119" s="100" t="str">
        <f>IFERROR(__xludf.DUMMYFUNCTION("""COMPUTED_VALUE"""),"")</f>
        <v/>
      </c>
      <c r="BM119" s="99" t="str">
        <f>IFERROR(__xludf.DUMMYFUNCTION("""COMPUTED_VALUE"""),"")</f>
        <v/>
      </c>
      <c r="BN119" s="99" t="str">
        <f>IFERROR(__xludf.DUMMYFUNCTION("""COMPUTED_VALUE"""),"")</f>
        <v/>
      </c>
      <c r="BO119" s="100" t="str">
        <f>IFERROR(__xludf.DUMMYFUNCTION("""COMPUTED_VALUE"""),"")</f>
        <v/>
      </c>
      <c r="BP119" s="99" t="str">
        <f>IFERROR(__xludf.DUMMYFUNCTION("""COMPUTED_VALUE"""),"")</f>
        <v/>
      </c>
      <c r="BQ119" s="99" t="str">
        <f>IFERROR(__xludf.DUMMYFUNCTION("""COMPUTED_VALUE"""),"")</f>
        <v/>
      </c>
      <c r="BR119" s="100" t="str">
        <f>IFERROR(__xludf.DUMMYFUNCTION("""COMPUTED_VALUE"""),"")</f>
        <v/>
      </c>
      <c r="BS119" s="106" t="str">
        <f>IFERROR(__xludf.DUMMYFUNCTION("""COMPUTED_VALUE"""),"")</f>
        <v/>
      </c>
      <c r="BT119" s="99" t="str">
        <f>IFERROR(__xludf.DUMMYFUNCTION("""COMPUTED_VALUE"""),"")</f>
        <v/>
      </c>
      <c r="BU119" s="100" t="str">
        <f>IFERROR(__xludf.DUMMYFUNCTION("""COMPUTED_VALUE"""),"")</f>
        <v/>
      </c>
      <c r="BV119" s="99">
        <f>IFERROR(__xludf.DUMMYFUNCTION("""COMPUTED_VALUE"""),43.6)</f>
        <v>43.6</v>
      </c>
      <c r="BW119" s="99" t="str">
        <f>IFERROR(__xludf.DUMMYFUNCTION("""COMPUTED_VALUE"""),"")</f>
        <v/>
      </c>
      <c r="BX119" s="100" t="str">
        <f>IFERROR(__xludf.DUMMYFUNCTION("""COMPUTED_VALUE"""),"")</f>
        <v/>
      </c>
      <c r="BY119" s="99" t="str">
        <f>IFERROR(__xludf.DUMMYFUNCTION("""COMPUTED_VALUE"""),"")</f>
        <v/>
      </c>
      <c r="BZ119" s="99" t="str">
        <f>IFERROR(__xludf.DUMMYFUNCTION("""COMPUTED_VALUE"""),"")</f>
        <v/>
      </c>
      <c r="CA119" s="100" t="str">
        <f>IFERROR(__xludf.DUMMYFUNCTION("""COMPUTED_VALUE"""),"")</f>
        <v/>
      </c>
      <c r="CB119" s="98" t="str">
        <f>IFERROR(__xludf.DUMMYFUNCTION("""COMPUTED_VALUE"""),"")</f>
        <v/>
      </c>
      <c r="CC119" s="99">
        <f>IFERROR(__xludf.DUMMYFUNCTION("""COMPUTED_VALUE"""),472.9)</f>
        <v>472.9</v>
      </c>
      <c r="CD119" s="100" t="str">
        <f>IFERROR(__xludf.DUMMYFUNCTION("""COMPUTED_VALUE"""),"")</f>
        <v/>
      </c>
      <c r="CE119" s="99" t="str">
        <f>IFERROR(__xludf.DUMMYFUNCTION("""COMPUTED_VALUE"""),"")</f>
        <v/>
      </c>
      <c r="CF119" s="99" t="str">
        <f>IFERROR(__xludf.DUMMYFUNCTION("""COMPUTED_VALUE"""),"")</f>
        <v/>
      </c>
      <c r="CG119" s="100" t="str">
        <f>IFERROR(__xludf.DUMMYFUNCTION("""COMPUTED_VALUE"""),"")</f>
        <v/>
      </c>
      <c r="CH119" s="99" t="str">
        <f>IFERROR(__xludf.DUMMYFUNCTION("""COMPUTED_VALUE"""),"")</f>
        <v/>
      </c>
      <c r="CI119" s="99" t="str">
        <f>IFERROR(__xludf.DUMMYFUNCTION("""COMPUTED_VALUE"""),"")</f>
        <v/>
      </c>
      <c r="CJ119" s="100">
        <f>IFERROR(__xludf.DUMMYFUNCTION("""COMPUTED_VALUE"""),217.4)</f>
        <v>217.4</v>
      </c>
      <c r="CK119" s="99" t="str">
        <f>IFERROR(__xludf.DUMMYFUNCTION("""COMPUTED_VALUE"""),"")</f>
        <v/>
      </c>
      <c r="CL119" s="99" t="str">
        <f>IFERROR(__xludf.DUMMYFUNCTION("""COMPUTED_VALUE"""),"")</f>
        <v/>
      </c>
      <c r="CM119" s="100" t="str">
        <f>IFERROR(__xludf.DUMMYFUNCTION("""COMPUTED_VALUE"""),"")</f>
        <v/>
      </c>
      <c r="CN119" s="106" t="str">
        <f>IFERROR(__xludf.DUMMYFUNCTION("""COMPUTED_VALUE"""),"")</f>
        <v/>
      </c>
      <c r="CO119" s="99" t="str">
        <f>IFERROR(__xludf.DUMMYFUNCTION("""COMPUTED_VALUE"""),"")</f>
        <v/>
      </c>
      <c r="CP119" s="100" t="str">
        <f>IFERROR(__xludf.DUMMYFUNCTION("""COMPUTED_VALUE"""),"")</f>
        <v/>
      </c>
      <c r="CQ119" s="99" t="str">
        <f>IFERROR(__xludf.DUMMYFUNCTION("""COMPUTED_VALUE"""),"")</f>
        <v/>
      </c>
      <c r="CR119" s="99" t="str">
        <f>IFERROR(__xludf.DUMMYFUNCTION("""COMPUTED_VALUE"""),"")</f>
        <v/>
      </c>
      <c r="CS119" s="100"/>
      <c r="CT119" s="99"/>
      <c r="CU119" s="99"/>
      <c r="CV119" s="100"/>
      <c r="CW119" s="99"/>
      <c r="CX119" s="99"/>
      <c r="CY119" s="100"/>
      <c r="CZ119" s="106"/>
      <c r="DA119" s="99"/>
      <c r="DB119" s="100"/>
      <c r="DC119" s="99"/>
      <c r="DD119" s="99"/>
      <c r="DE119" s="100"/>
      <c r="DF119" s="99"/>
      <c r="DG119" s="99"/>
      <c r="DH119" s="100"/>
      <c r="DI119" s="106"/>
      <c r="DJ119" s="99"/>
      <c r="DK119" s="100"/>
      <c r="DL119" s="99"/>
      <c r="DM119" s="99"/>
      <c r="DN119" s="100"/>
      <c r="DO119" s="99"/>
      <c r="DP119" s="99"/>
      <c r="DQ119" s="100"/>
      <c r="DR119" s="99"/>
      <c r="DS119" s="99"/>
      <c r="DT119" s="100"/>
    </row>
    <row r="120">
      <c r="B120" s="120" t="str">
        <f>IFERROR(__xludf.DUMMYFUNCTION("""COMPUTED_VALUE"""),"CML8")</f>
        <v>CML8</v>
      </c>
      <c r="C120" s="82">
        <f>IFERROR(__xludf.DUMMYFUNCTION("""COMPUTED_VALUE"""),109.0)</f>
        <v>109</v>
      </c>
      <c r="D120" s="88" t="str">
        <f>IFERROR(__xludf.DUMMYFUNCTION("""COMPUTED_VALUE"""),"Atlas Institute")</f>
        <v>Atlas Institute</v>
      </c>
      <c r="E120" s="82" t="str">
        <f>IFERROR(__xludf.DUMMYFUNCTION("""COMPUTED_VALUE"""),"アトラス院")</f>
        <v>アトラス院</v>
      </c>
      <c r="F120" s="102">
        <f>IFERROR(__xludf.DUMMYFUNCTION("""COMPUTED_VALUE"""),20.0)</f>
        <v>20</v>
      </c>
      <c r="G120" s="82">
        <f>IFERROR(__xludf.DUMMYFUNCTION("""COMPUTED_VALUE"""),1106.0)</f>
        <v>1106</v>
      </c>
      <c r="H120" s="95" t="str">
        <f>IFERROR(__xludf.DUMMYFUNCTION("""COMPUTED_VALUE"""),"")</f>
        <v/>
      </c>
      <c r="I120" s="96" t="str">
        <f>IFERROR(__xludf.DUMMYFUNCTION("""COMPUTED_VALUE"""),"")</f>
        <v/>
      </c>
      <c r="J120" s="97" t="str">
        <f>IFERROR(__xludf.DUMMYFUNCTION("""COMPUTED_VALUE"""),"")</f>
        <v/>
      </c>
      <c r="K120" s="95" t="str">
        <f>IFERROR(__xludf.DUMMYFUNCTION("""COMPUTED_VALUE"""),"")</f>
        <v/>
      </c>
      <c r="L120" s="96" t="str">
        <f>IFERROR(__xludf.DUMMYFUNCTION("""COMPUTED_VALUE"""),"")</f>
        <v/>
      </c>
      <c r="M120" s="97" t="str">
        <f>IFERROR(__xludf.DUMMYFUNCTION("""COMPUTED_VALUE"""),"")</f>
        <v/>
      </c>
      <c r="N120" s="95" t="str">
        <f>IFERROR(__xludf.DUMMYFUNCTION("""COMPUTED_VALUE"""),"")</f>
        <v/>
      </c>
      <c r="O120" s="96" t="str">
        <f>IFERROR(__xludf.DUMMYFUNCTION("""COMPUTED_VALUE"""),"")</f>
        <v/>
      </c>
      <c r="P120" s="97" t="str">
        <f>IFERROR(__xludf.DUMMYFUNCTION("""COMPUTED_VALUE"""),"")</f>
        <v/>
      </c>
      <c r="Q120" s="95" t="str">
        <f>IFERROR(__xludf.DUMMYFUNCTION("""COMPUTED_VALUE"""),"")</f>
        <v/>
      </c>
      <c r="R120" s="96" t="str">
        <f>IFERROR(__xludf.DUMMYFUNCTION("""COMPUTED_VALUE"""),"")</f>
        <v/>
      </c>
      <c r="S120" s="97" t="str">
        <f>IFERROR(__xludf.DUMMYFUNCTION("""COMPUTED_VALUE"""),"")</f>
        <v/>
      </c>
      <c r="T120" s="95" t="str">
        <f>IFERROR(__xludf.DUMMYFUNCTION("""COMPUTED_VALUE"""),"")</f>
        <v/>
      </c>
      <c r="U120" s="96" t="str">
        <f>IFERROR(__xludf.DUMMYFUNCTION("""COMPUTED_VALUE"""),"")</f>
        <v/>
      </c>
      <c r="V120" s="97" t="str">
        <f>IFERROR(__xludf.DUMMYFUNCTION("""COMPUTED_VALUE"""),"")</f>
        <v/>
      </c>
      <c r="W120" s="95" t="str">
        <f>IFERROR(__xludf.DUMMYFUNCTION("""COMPUTED_VALUE"""),"")</f>
        <v/>
      </c>
      <c r="X120" s="96" t="str">
        <f>IFERROR(__xludf.DUMMYFUNCTION("""COMPUTED_VALUE"""),"")</f>
        <v/>
      </c>
      <c r="Y120" s="97" t="str">
        <f>IFERROR(__xludf.DUMMYFUNCTION("""COMPUTED_VALUE"""),"")</f>
        <v/>
      </c>
      <c r="Z120" s="95" t="str">
        <f>IFERROR(__xludf.DUMMYFUNCTION("""COMPUTED_VALUE"""),"")</f>
        <v/>
      </c>
      <c r="AA120" s="96" t="str">
        <f>IFERROR(__xludf.DUMMYFUNCTION("""COMPUTED_VALUE"""),"")</f>
        <v/>
      </c>
      <c r="AB120" s="97" t="str">
        <f>IFERROR(__xludf.DUMMYFUNCTION("""COMPUTED_VALUE"""),"")</f>
        <v/>
      </c>
      <c r="AC120" s="95" t="str">
        <f>IFERROR(__xludf.DUMMYFUNCTION("""COMPUTED_VALUE"""),"")</f>
        <v/>
      </c>
      <c r="AD120" s="96" t="str">
        <f>IFERROR(__xludf.DUMMYFUNCTION("""COMPUTED_VALUE"""),"")</f>
        <v/>
      </c>
      <c r="AE120" s="97">
        <f>IFERROR(__xludf.DUMMYFUNCTION("""COMPUTED_VALUE"""),97.4)</f>
        <v>97.4</v>
      </c>
      <c r="AF120" s="95">
        <f>IFERROR(__xludf.DUMMYFUNCTION("""COMPUTED_VALUE"""),248.5)</f>
        <v>248.5</v>
      </c>
      <c r="AG120" s="96" t="str">
        <f>IFERROR(__xludf.DUMMYFUNCTION("""COMPUTED_VALUE"""),"")</f>
        <v/>
      </c>
      <c r="AH120" s="97" t="str">
        <f>IFERROR(__xludf.DUMMYFUNCTION("""COMPUTED_VALUE"""),"")</f>
        <v/>
      </c>
      <c r="AI120" s="92" t="str">
        <f>IFERROR(__xludf.DUMMYFUNCTION("""COMPUTED_VALUE"""),"")</f>
        <v/>
      </c>
      <c r="AJ120" s="93" t="str">
        <f>IFERROR(__xludf.DUMMYFUNCTION("""COMPUTED_VALUE"""),"")</f>
        <v/>
      </c>
      <c r="AK120" s="94" t="str">
        <f>IFERROR(__xludf.DUMMYFUNCTION("""COMPUTED_VALUE"""),"")</f>
        <v/>
      </c>
      <c r="AL120" s="93" t="str">
        <f>IFERROR(__xludf.DUMMYFUNCTION("""COMPUTED_VALUE"""),"")</f>
        <v/>
      </c>
      <c r="AM120" s="93" t="str">
        <f>IFERROR(__xludf.DUMMYFUNCTION("""COMPUTED_VALUE"""),"")</f>
        <v/>
      </c>
      <c r="AN120" s="94" t="str">
        <f>IFERROR(__xludf.DUMMYFUNCTION("""COMPUTED_VALUE"""),"")</f>
        <v/>
      </c>
      <c r="AO120" s="93" t="str">
        <f>IFERROR(__xludf.DUMMYFUNCTION("""COMPUTED_VALUE"""),"")</f>
        <v/>
      </c>
      <c r="AP120" s="93" t="str">
        <f>IFERROR(__xludf.DUMMYFUNCTION("""COMPUTED_VALUE"""),"")</f>
        <v/>
      </c>
      <c r="AQ120" s="94" t="str">
        <f>IFERROR(__xludf.DUMMYFUNCTION("""COMPUTED_VALUE"""),"")</f>
        <v/>
      </c>
      <c r="AR120" s="93" t="str">
        <f>IFERROR(__xludf.DUMMYFUNCTION("""COMPUTED_VALUE"""),"")</f>
        <v/>
      </c>
      <c r="AS120" s="93" t="str">
        <f>IFERROR(__xludf.DUMMYFUNCTION("""COMPUTED_VALUE"""),"")</f>
        <v/>
      </c>
      <c r="AT120" s="94" t="str">
        <f>IFERROR(__xludf.DUMMYFUNCTION("""COMPUTED_VALUE"""),"")</f>
        <v/>
      </c>
      <c r="AU120" s="93" t="str">
        <f>IFERROR(__xludf.DUMMYFUNCTION("""COMPUTED_VALUE"""),"")</f>
        <v/>
      </c>
      <c r="AV120" s="93" t="str">
        <f>IFERROR(__xludf.DUMMYFUNCTION("""COMPUTED_VALUE"""),"")</f>
        <v/>
      </c>
      <c r="AW120" s="94" t="str">
        <f>IFERROR(__xludf.DUMMYFUNCTION("""COMPUTED_VALUE"""),"")</f>
        <v/>
      </c>
      <c r="AX120" s="93" t="str">
        <f>IFERROR(__xludf.DUMMYFUNCTION("""COMPUTED_VALUE"""),"")</f>
        <v/>
      </c>
      <c r="AY120" s="93" t="str">
        <f>IFERROR(__xludf.DUMMYFUNCTION("""COMPUTED_VALUE"""),"")</f>
        <v/>
      </c>
      <c r="AZ120" s="94" t="str">
        <f>IFERROR(__xludf.DUMMYFUNCTION("""COMPUTED_VALUE"""),"")</f>
        <v/>
      </c>
      <c r="BA120" s="93" t="str">
        <f>IFERROR(__xludf.DUMMYFUNCTION("""COMPUTED_VALUE"""),"")</f>
        <v/>
      </c>
      <c r="BB120" s="93" t="str">
        <f>IFERROR(__xludf.DUMMYFUNCTION("""COMPUTED_VALUE"""),"")</f>
        <v/>
      </c>
      <c r="BC120" s="94" t="str">
        <f>IFERROR(__xludf.DUMMYFUNCTION("""COMPUTED_VALUE"""),"")</f>
        <v/>
      </c>
      <c r="BD120" s="93" t="str">
        <f>IFERROR(__xludf.DUMMYFUNCTION("""COMPUTED_VALUE"""),"")</f>
        <v/>
      </c>
      <c r="BE120" s="93" t="str">
        <f>IFERROR(__xludf.DUMMYFUNCTION("""COMPUTED_VALUE"""),"")</f>
        <v/>
      </c>
      <c r="BF120" s="94" t="str">
        <f>IFERROR(__xludf.DUMMYFUNCTION("""COMPUTED_VALUE"""),"")</f>
        <v/>
      </c>
      <c r="BG120" s="92" t="str">
        <f>IFERROR(__xludf.DUMMYFUNCTION("""COMPUTED_VALUE"""),"")</f>
        <v/>
      </c>
      <c r="BH120" s="93" t="str">
        <f>IFERROR(__xludf.DUMMYFUNCTION("""COMPUTED_VALUE"""),"")</f>
        <v/>
      </c>
      <c r="BI120" s="94" t="str">
        <f>IFERROR(__xludf.DUMMYFUNCTION("""COMPUTED_VALUE"""),"")</f>
        <v/>
      </c>
      <c r="BJ120" s="93" t="str">
        <f>IFERROR(__xludf.DUMMYFUNCTION("""COMPUTED_VALUE"""),"")</f>
        <v/>
      </c>
      <c r="BK120" s="93">
        <f>IFERROR(__xludf.DUMMYFUNCTION("""COMPUTED_VALUE"""),120.9)</f>
        <v>120.9</v>
      </c>
      <c r="BL120" s="94" t="str">
        <f>IFERROR(__xludf.DUMMYFUNCTION("""COMPUTED_VALUE"""),"")</f>
        <v/>
      </c>
      <c r="BM120" s="93" t="str">
        <f>IFERROR(__xludf.DUMMYFUNCTION("""COMPUTED_VALUE"""),"")</f>
        <v/>
      </c>
      <c r="BN120" s="93">
        <f>IFERROR(__xludf.DUMMYFUNCTION("""COMPUTED_VALUE"""),127.2)</f>
        <v>127.2</v>
      </c>
      <c r="BO120" s="94" t="str">
        <f>IFERROR(__xludf.DUMMYFUNCTION("""COMPUTED_VALUE"""),"")</f>
        <v/>
      </c>
      <c r="BP120" s="93" t="str">
        <f>IFERROR(__xludf.DUMMYFUNCTION("""COMPUTED_VALUE"""),"")</f>
        <v/>
      </c>
      <c r="BQ120" s="93" t="str">
        <f>IFERROR(__xludf.DUMMYFUNCTION("""COMPUTED_VALUE"""),"")</f>
        <v/>
      </c>
      <c r="BR120" s="94">
        <f>IFERROR(__xludf.DUMMYFUNCTION("""COMPUTED_VALUE"""),135.8)</f>
        <v>135.8</v>
      </c>
      <c r="BS120" s="93" t="str">
        <f>IFERROR(__xludf.DUMMYFUNCTION("""COMPUTED_VALUE"""),"")</f>
        <v/>
      </c>
      <c r="BT120" s="93" t="str">
        <f>IFERROR(__xludf.DUMMYFUNCTION("""COMPUTED_VALUE"""),"")</f>
        <v/>
      </c>
      <c r="BU120" s="94" t="str">
        <f>IFERROR(__xludf.DUMMYFUNCTION("""COMPUTED_VALUE"""),"")</f>
        <v/>
      </c>
      <c r="BV120" s="93" t="str">
        <f>IFERROR(__xludf.DUMMYFUNCTION("""COMPUTED_VALUE"""),"")</f>
        <v/>
      </c>
      <c r="BW120" s="93" t="str">
        <f>IFERROR(__xludf.DUMMYFUNCTION("""COMPUTED_VALUE"""),"")</f>
        <v/>
      </c>
      <c r="BX120" s="94" t="str">
        <f>IFERROR(__xludf.DUMMYFUNCTION("""COMPUTED_VALUE"""),"")</f>
        <v/>
      </c>
      <c r="BY120" s="93" t="str">
        <f>IFERROR(__xludf.DUMMYFUNCTION("""COMPUTED_VALUE"""),"")</f>
        <v/>
      </c>
      <c r="BZ120" s="93" t="str">
        <f>IFERROR(__xludf.DUMMYFUNCTION("""COMPUTED_VALUE"""),"")</f>
        <v/>
      </c>
      <c r="CA120" s="94" t="str">
        <f>IFERROR(__xludf.DUMMYFUNCTION("""COMPUTED_VALUE"""),"")</f>
        <v/>
      </c>
      <c r="CB120" s="92" t="str">
        <f>IFERROR(__xludf.DUMMYFUNCTION("""COMPUTED_VALUE"""),"")</f>
        <v/>
      </c>
      <c r="CC120" s="93" t="str">
        <f>IFERROR(__xludf.DUMMYFUNCTION("""COMPUTED_VALUE"""),"")</f>
        <v/>
      </c>
      <c r="CD120" s="94" t="str">
        <f>IFERROR(__xludf.DUMMYFUNCTION("""COMPUTED_VALUE"""),"")</f>
        <v/>
      </c>
      <c r="CE120" s="93" t="str">
        <f>IFERROR(__xludf.DUMMYFUNCTION("""COMPUTED_VALUE"""),"")</f>
        <v/>
      </c>
      <c r="CF120" s="93" t="str">
        <f>IFERROR(__xludf.DUMMYFUNCTION("""COMPUTED_VALUE"""),"")</f>
        <v/>
      </c>
      <c r="CG120" s="94" t="str">
        <f>IFERROR(__xludf.DUMMYFUNCTION("""COMPUTED_VALUE"""),"")</f>
        <v/>
      </c>
      <c r="CH120" s="93" t="str">
        <f>IFERROR(__xludf.DUMMYFUNCTION("""COMPUTED_VALUE"""),"")</f>
        <v/>
      </c>
      <c r="CI120" s="93" t="str">
        <f>IFERROR(__xludf.DUMMYFUNCTION("""COMPUTED_VALUE"""),"")</f>
        <v/>
      </c>
      <c r="CJ120" s="94" t="str">
        <f>IFERROR(__xludf.DUMMYFUNCTION("""COMPUTED_VALUE"""),"")</f>
        <v/>
      </c>
      <c r="CK120" s="93" t="str">
        <f>IFERROR(__xludf.DUMMYFUNCTION("""COMPUTED_VALUE"""),"")</f>
        <v/>
      </c>
      <c r="CL120" s="93" t="str">
        <f>IFERROR(__xludf.DUMMYFUNCTION("""COMPUTED_VALUE"""),"")</f>
        <v/>
      </c>
      <c r="CM120" s="94">
        <f>IFERROR(__xludf.DUMMYFUNCTION("""COMPUTED_VALUE"""),139.5)</f>
        <v>139.5</v>
      </c>
      <c r="CN120" s="93" t="str">
        <f>IFERROR(__xludf.DUMMYFUNCTION("""COMPUTED_VALUE"""),"")</f>
        <v/>
      </c>
      <c r="CO120" s="93" t="str">
        <f>IFERROR(__xludf.DUMMYFUNCTION("""COMPUTED_VALUE"""),"")</f>
        <v/>
      </c>
      <c r="CP120" s="94" t="str">
        <f>IFERROR(__xludf.DUMMYFUNCTION("""COMPUTED_VALUE"""),"")</f>
        <v/>
      </c>
      <c r="CQ120" s="93" t="str">
        <f>IFERROR(__xludf.DUMMYFUNCTION("""COMPUTED_VALUE"""),"")</f>
        <v/>
      </c>
      <c r="CR120" s="93" t="str">
        <f>IFERROR(__xludf.DUMMYFUNCTION("""COMPUTED_VALUE"""),"")</f>
        <v/>
      </c>
      <c r="CS120" s="94"/>
      <c r="CT120" s="93"/>
      <c r="CU120" s="93"/>
      <c r="CV120" s="94"/>
      <c r="CW120" s="93"/>
      <c r="CX120" s="93"/>
      <c r="CY120" s="94"/>
      <c r="CZ120" s="93"/>
      <c r="DA120" s="93"/>
      <c r="DB120" s="94"/>
      <c r="DC120" s="93"/>
      <c r="DD120" s="93"/>
      <c r="DE120" s="94"/>
      <c r="DF120" s="93"/>
      <c r="DG120" s="93"/>
      <c r="DH120" s="94"/>
      <c r="DI120" s="93"/>
      <c r="DJ120" s="93"/>
      <c r="DK120" s="94"/>
      <c r="DL120" s="93"/>
      <c r="DM120" s="93"/>
      <c r="DN120" s="94"/>
      <c r="DO120" s="93"/>
      <c r="DP120" s="93"/>
      <c r="DQ120" s="94"/>
      <c r="DR120" s="93"/>
      <c r="DS120" s="93"/>
      <c r="DT120" s="94"/>
    </row>
    <row r="121">
      <c r="B121" s="120" t="str">
        <f>IFERROR(__xludf.DUMMYFUNCTION("""COMPUTED_VALUE"""),"CML9")</f>
        <v>CML9</v>
      </c>
      <c r="C121" s="82">
        <f>IFERROR(__xludf.DUMMYFUNCTION("""COMPUTED_VALUE"""),110.0)</f>
        <v>110</v>
      </c>
      <c r="D121" s="88" t="str">
        <f>IFERROR(__xludf.DUMMYFUNCTION("""COMPUTED_VALUE"""),"Main Gate")</f>
        <v>Main Gate</v>
      </c>
      <c r="E121" s="82" t="str">
        <f>IFERROR(__xludf.DUMMYFUNCTION("""COMPUTED_VALUE"""),"聖都正門")</f>
        <v>聖都正門</v>
      </c>
      <c r="F121" s="102">
        <f>IFERROR(__xludf.DUMMYFUNCTION("""COMPUTED_VALUE"""),20.0)</f>
        <v>20</v>
      </c>
      <c r="G121" s="82">
        <f>IFERROR(__xludf.DUMMYFUNCTION("""COMPUTED_VALUE"""),50897.0)</f>
        <v>50897</v>
      </c>
      <c r="H121" s="95" t="str">
        <f>IFERROR(__xludf.DUMMYFUNCTION("""COMPUTED_VALUE"""),"")</f>
        <v/>
      </c>
      <c r="I121" s="96" t="str">
        <f>IFERROR(__xludf.DUMMYFUNCTION("""COMPUTED_VALUE"""),"")</f>
        <v/>
      </c>
      <c r="J121" s="97" t="str">
        <f>IFERROR(__xludf.DUMMYFUNCTION("""COMPUTED_VALUE"""),"")</f>
        <v/>
      </c>
      <c r="K121" s="95" t="str">
        <f>IFERROR(__xludf.DUMMYFUNCTION("""COMPUTED_VALUE"""),"")</f>
        <v/>
      </c>
      <c r="L121" s="96" t="str">
        <f>IFERROR(__xludf.DUMMYFUNCTION("""COMPUTED_VALUE"""),"")</f>
        <v/>
      </c>
      <c r="M121" s="97" t="str">
        <f>IFERROR(__xludf.DUMMYFUNCTION("""COMPUTED_VALUE"""),"")</f>
        <v/>
      </c>
      <c r="N121" s="95" t="str">
        <f>IFERROR(__xludf.DUMMYFUNCTION("""COMPUTED_VALUE"""),"")</f>
        <v/>
      </c>
      <c r="O121" s="96" t="str">
        <f>IFERROR(__xludf.DUMMYFUNCTION("""COMPUTED_VALUE"""),"")</f>
        <v/>
      </c>
      <c r="P121" s="97" t="str">
        <f>IFERROR(__xludf.DUMMYFUNCTION("""COMPUTED_VALUE"""),"")</f>
        <v/>
      </c>
      <c r="Q121" s="95" t="str">
        <f>IFERROR(__xludf.DUMMYFUNCTION("""COMPUTED_VALUE"""),"")</f>
        <v/>
      </c>
      <c r="R121" s="96" t="str">
        <f>IFERROR(__xludf.DUMMYFUNCTION("""COMPUTED_VALUE"""),"")</f>
        <v/>
      </c>
      <c r="S121" s="97" t="str">
        <f>IFERROR(__xludf.DUMMYFUNCTION("""COMPUTED_VALUE"""),"")</f>
        <v/>
      </c>
      <c r="T121" s="95" t="str">
        <f>IFERROR(__xludf.DUMMYFUNCTION("""COMPUTED_VALUE"""),"")</f>
        <v/>
      </c>
      <c r="U121" s="96" t="str">
        <f>IFERROR(__xludf.DUMMYFUNCTION("""COMPUTED_VALUE"""),"")</f>
        <v/>
      </c>
      <c r="V121" s="97" t="str">
        <f>IFERROR(__xludf.DUMMYFUNCTION("""COMPUTED_VALUE"""),"")</f>
        <v/>
      </c>
      <c r="W121" s="95" t="str">
        <f>IFERROR(__xludf.DUMMYFUNCTION("""COMPUTED_VALUE"""),"")</f>
        <v/>
      </c>
      <c r="X121" s="96" t="str">
        <f>IFERROR(__xludf.DUMMYFUNCTION("""COMPUTED_VALUE"""),"")</f>
        <v/>
      </c>
      <c r="Y121" s="97" t="str">
        <f>IFERROR(__xludf.DUMMYFUNCTION("""COMPUTED_VALUE"""),"")</f>
        <v/>
      </c>
      <c r="Z121" s="95" t="str">
        <f>IFERROR(__xludf.DUMMYFUNCTION("""COMPUTED_VALUE"""),"")</f>
        <v/>
      </c>
      <c r="AA121" s="96" t="str">
        <f>IFERROR(__xludf.DUMMYFUNCTION("""COMPUTED_VALUE"""),"")</f>
        <v/>
      </c>
      <c r="AB121" s="97" t="str">
        <f>IFERROR(__xludf.DUMMYFUNCTION("""COMPUTED_VALUE"""),"")</f>
        <v/>
      </c>
      <c r="AC121" s="95" t="str">
        <f>IFERROR(__xludf.DUMMYFUNCTION("""COMPUTED_VALUE"""),"")</f>
        <v/>
      </c>
      <c r="AD121" s="96" t="str">
        <f>IFERROR(__xludf.DUMMYFUNCTION("""COMPUTED_VALUE"""),"")</f>
        <v/>
      </c>
      <c r="AE121" s="97" t="str">
        <f>IFERROR(__xludf.DUMMYFUNCTION("""COMPUTED_VALUE"""),"")</f>
        <v/>
      </c>
      <c r="AF121" s="95" t="str">
        <f>IFERROR(__xludf.DUMMYFUNCTION("""COMPUTED_VALUE"""),"")</f>
        <v/>
      </c>
      <c r="AG121" s="96" t="str">
        <f>IFERROR(__xludf.DUMMYFUNCTION("""COMPUTED_VALUE"""),"")</f>
        <v/>
      </c>
      <c r="AH121" s="97" t="str">
        <f>IFERROR(__xludf.DUMMYFUNCTION("""COMPUTED_VALUE"""),"")</f>
        <v/>
      </c>
      <c r="AI121" s="98">
        <f>IFERROR(__xludf.DUMMYFUNCTION("""COMPUTED_VALUE"""),66.3)</f>
        <v>66.3</v>
      </c>
      <c r="AJ121" s="99" t="str">
        <f>IFERROR(__xludf.DUMMYFUNCTION("""COMPUTED_VALUE"""),"")</f>
        <v/>
      </c>
      <c r="AK121" s="100" t="str">
        <f>IFERROR(__xludf.DUMMYFUNCTION("""COMPUTED_VALUE"""),"")</f>
        <v/>
      </c>
      <c r="AL121" s="99" t="str">
        <f>IFERROR(__xludf.DUMMYFUNCTION("""COMPUTED_VALUE"""),"")</f>
        <v/>
      </c>
      <c r="AM121" s="99" t="str">
        <f>IFERROR(__xludf.DUMMYFUNCTION("""COMPUTED_VALUE"""),"")</f>
        <v/>
      </c>
      <c r="AN121" s="100" t="str">
        <f>IFERROR(__xludf.DUMMYFUNCTION("""COMPUTED_VALUE"""),"")</f>
        <v/>
      </c>
      <c r="AO121" s="99" t="str">
        <f>IFERROR(__xludf.DUMMYFUNCTION("""COMPUTED_VALUE"""),"")</f>
        <v/>
      </c>
      <c r="AP121" s="99" t="str">
        <f>IFERROR(__xludf.DUMMYFUNCTION("""COMPUTED_VALUE"""),"")</f>
        <v/>
      </c>
      <c r="AQ121" s="100" t="str">
        <f>IFERROR(__xludf.DUMMYFUNCTION("""COMPUTED_VALUE"""),"")</f>
        <v/>
      </c>
      <c r="AR121" s="99" t="str">
        <f>IFERROR(__xludf.DUMMYFUNCTION("""COMPUTED_VALUE"""),"")</f>
        <v/>
      </c>
      <c r="AS121" s="99" t="str">
        <f>IFERROR(__xludf.DUMMYFUNCTION("""COMPUTED_VALUE"""),"")</f>
        <v/>
      </c>
      <c r="AT121" s="100" t="str">
        <f>IFERROR(__xludf.DUMMYFUNCTION("""COMPUTED_VALUE"""),"")</f>
        <v/>
      </c>
      <c r="AU121" s="99" t="str">
        <f>IFERROR(__xludf.DUMMYFUNCTION("""COMPUTED_VALUE"""),"")</f>
        <v/>
      </c>
      <c r="AV121" s="99" t="str">
        <f>IFERROR(__xludf.DUMMYFUNCTION("""COMPUTED_VALUE"""),"")</f>
        <v/>
      </c>
      <c r="AW121" s="100" t="str">
        <f>IFERROR(__xludf.DUMMYFUNCTION("""COMPUTED_VALUE"""),"")</f>
        <v/>
      </c>
      <c r="AX121" s="99" t="str">
        <f>IFERROR(__xludf.DUMMYFUNCTION("""COMPUTED_VALUE"""),"")</f>
        <v/>
      </c>
      <c r="AY121" s="99" t="str">
        <f>IFERROR(__xludf.DUMMYFUNCTION("""COMPUTED_VALUE"""),"")</f>
        <v/>
      </c>
      <c r="AZ121" s="100" t="str">
        <f>IFERROR(__xludf.DUMMYFUNCTION("""COMPUTED_VALUE"""),"")</f>
        <v/>
      </c>
      <c r="BA121" s="99" t="str">
        <f>IFERROR(__xludf.DUMMYFUNCTION("""COMPUTED_VALUE"""),"")</f>
        <v/>
      </c>
      <c r="BB121" s="99" t="str">
        <f>IFERROR(__xludf.DUMMYFUNCTION("""COMPUTED_VALUE"""),"")</f>
        <v/>
      </c>
      <c r="BC121" s="100" t="str">
        <f>IFERROR(__xludf.DUMMYFUNCTION("""COMPUTED_VALUE"""),"")</f>
        <v/>
      </c>
      <c r="BD121" s="99" t="str">
        <f>IFERROR(__xludf.DUMMYFUNCTION("""COMPUTED_VALUE"""),"")</f>
        <v/>
      </c>
      <c r="BE121" s="99" t="str">
        <f>IFERROR(__xludf.DUMMYFUNCTION("""COMPUTED_VALUE"""),"")</f>
        <v/>
      </c>
      <c r="BF121" s="100" t="str">
        <f>IFERROR(__xludf.DUMMYFUNCTION("""COMPUTED_VALUE"""),"")</f>
        <v/>
      </c>
      <c r="BG121" s="98" t="str">
        <f>IFERROR(__xludf.DUMMYFUNCTION("""COMPUTED_VALUE"""),"")</f>
        <v/>
      </c>
      <c r="BH121" s="99" t="str">
        <f>IFERROR(__xludf.DUMMYFUNCTION("""COMPUTED_VALUE"""),"")</f>
        <v/>
      </c>
      <c r="BI121" s="100" t="str">
        <f>IFERROR(__xludf.DUMMYFUNCTION("""COMPUTED_VALUE"""),"")</f>
        <v/>
      </c>
      <c r="BJ121" s="99">
        <f>IFERROR(__xludf.DUMMYFUNCTION("""COMPUTED_VALUE"""),193.1)</f>
        <v>193.1</v>
      </c>
      <c r="BK121" s="99">
        <f>IFERROR(__xludf.DUMMYFUNCTION("""COMPUTED_VALUE"""),374.9)</f>
        <v>374.9</v>
      </c>
      <c r="BL121" s="100">
        <f>IFERROR(__xludf.DUMMYFUNCTION("""COMPUTED_VALUE"""),190.9)</f>
        <v>190.9</v>
      </c>
      <c r="BM121" s="99" t="str">
        <f>IFERROR(__xludf.DUMMYFUNCTION("""COMPUTED_VALUE"""),"")</f>
        <v/>
      </c>
      <c r="BN121" s="99" t="str">
        <f>IFERROR(__xludf.DUMMYFUNCTION("""COMPUTED_VALUE"""),"")</f>
        <v/>
      </c>
      <c r="BO121" s="100" t="str">
        <f>IFERROR(__xludf.DUMMYFUNCTION("""COMPUTED_VALUE"""),"")</f>
        <v/>
      </c>
      <c r="BP121" s="99" t="str">
        <f>IFERROR(__xludf.DUMMYFUNCTION("""COMPUTED_VALUE"""),"")</f>
        <v/>
      </c>
      <c r="BQ121" s="99" t="str">
        <f>IFERROR(__xludf.DUMMYFUNCTION("""COMPUTED_VALUE"""),"")</f>
        <v/>
      </c>
      <c r="BR121" s="100" t="str">
        <f>IFERROR(__xludf.DUMMYFUNCTION("""COMPUTED_VALUE"""),"")</f>
        <v/>
      </c>
      <c r="BS121" s="99" t="str">
        <f>IFERROR(__xludf.DUMMYFUNCTION("""COMPUTED_VALUE"""),"")</f>
        <v/>
      </c>
      <c r="BT121" s="99" t="str">
        <f>IFERROR(__xludf.DUMMYFUNCTION("""COMPUTED_VALUE"""),"")</f>
        <v/>
      </c>
      <c r="BU121" s="100" t="str">
        <f>IFERROR(__xludf.DUMMYFUNCTION("""COMPUTED_VALUE"""),"")</f>
        <v/>
      </c>
      <c r="BV121" s="99" t="str">
        <f>IFERROR(__xludf.DUMMYFUNCTION("""COMPUTED_VALUE"""),"")</f>
        <v/>
      </c>
      <c r="BW121" s="99" t="str">
        <f>IFERROR(__xludf.DUMMYFUNCTION("""COMPUTED_VALUE"""),"")</f>
        <v/>
      </c>
      <c r="BX121" s="100" t="str">
        <f>IFERROR(__xludf.DUMMYFUNCTION("""COMPUTED_VALUE"""),"")</f>
        <v/>
      </c>
      <c r="BY121" s="99" t="str">
        <f>IFERROR(__xludf.DUMMYFUNCTION("""COMPUTED_VALUE"""),"")</f>
        <v/>
      </c>
      <c r="BZ121" s="99" t="str">
        <f>IFERROR(__xludf.DUMMYFUNCTION("""COMPUTED_VALUE"""),"")</f>
        <v/>
      </c>
      <c r="CA121" s="100" t="str">
        <f>IFERROR(__xludf.DUMMYFUNCTION("""COMPUTED_VALUE"""),"")</f>
        <v/>
      </c>
      <c r="CB121" s="98" t="str">
        <f>IFERROR(__xludf.DUMMYFUNCTION("""COMPUTED_VALUE"""),"")</f>
        <v/>
      </c>
      <c r="CC121" s="99" t="str">
        <f>IFERROR(__xludf.DUMMYFUNCTION("""COMPUTED_VALUE"""),"")</f>
        <v/>
      </c>
      <c r="CD121" s="100" t="str">
        <f>IFERROR(__xludf.DUMMYFUNCTION("""COMPUTED_VALUE"""),"")</f>
        <v/>
      </c>
      <c r="CE121" s="99" t="str">
        <f>IFERROR(__xludf.DUMMYFUNCTION("""COMPUTED_VALUE"""),"")</f>
        <v/>
      </c>
      <c r="CF121" s="99" t="str">
        <f>IFERROR(__xludf.DUMMYFUNCTION("""COMPUTED_VALUE"""),"")</f>
        <v/>
      </c>
      <c r="CG121" s="100" t="str">
        <f>IFERROR(__xludf.DUMMYFUNCTION("""COMPUTED_VALUE"""),"")</f>
        <v/>
      </c>
      <c r="CH121" s="99" t="str">
        <f>IFERROR(__xludf.DUMMYFUNCTION("""COMPUTED_VALUE"""),"")</f>
        <v/>
      </c>
      <c r="CI121" s="99" t="str">
        <f>IFERROR(__xludf.DUMMYFUNCTION("""COMPUTED_VALUE"""),"")</f>
        <v/>
      </c>
      <c r="CJ121" s="100" t="str">
        <f>IFERROR(__xludf.DUMMYFUNCTION("""COMPUTED_VALUE"""),"")</f>
        <v/>
      </c>
      <c r="CK121" s="99" t="str">
        <f>IFERROR(__xludf.DUMMYFUNCTION("""COMPUTED_VALUE"""),"")</f>
        <v/>
      </c>
      <c r="CL121" s="99">
        <f>IFERROR(__xludf.DUMMYFUNCTION("""COMPUTED_VALUE"""),223.2)</f>
        <v>223.2</v>
      </c>
      <c r="CM121" s="100">
        <f>IFERROR(__xludf.DUMMYFUNCTION("""COMPUTED_VALUE"""),457.3)</f>
        <v>457.3</v>
      </c>
      <c r="CN121" s="99">
        <f>IFERROR(__xludf.DUMMYFUNCTION("""COMPUTED_VALUE"""),241.1)</f>
        <v>241.1</v>
      </c>
      <c r="CO121" s="99" t="str">
        <f>IFERROR(__xludf.DUMMYFUNCTION("""COMPUTED_VALUE"""),"")</f>
        <v/>
      </c>
      <c r="CP121" s="100" t="str">
        <f>IFERROR(__xludf.DUMMYFUNCTION("""COMPUTED_VALUE"""),"")</f>
        <v/>
      </c>
      <c r="CQ121" s="99" t="str">
        <f>IFERROR(__xludf.DUMMYFUNCTION("""COMPUTED_VALUE"""),"")</f>
        <v/>
      </c>
      <c r="CR121" s="99" t="str">
        <f>IFERROR(__xludf.DUMMYFUNCTION("""COMPUTED_VALUE"""),"")</f>
        <v/>
      </c>
      <c r="CS121" s="100"/>
      <c r="CT121" s="99"/>
      <c r="CU121" s="99"/>
      <c r="CV121" s="100"/>
      <c r="CW121" s="99"/>
      <c r="CX121" s="99"/>
      <c r="CY121" s="100"/>
      <c r="CZ121" s="99"/>
      <c r="DA121" s="99"/>
      <c r="DB121" s="100"/>
      <c r="DC121" s="99"/>
      <c r="DD121" s="99"/>
      <c r="DE121" s="100"/>
      <c r="DF121" s="99"/>
      <c r="DG121" s="99"/>
      <c r="DH121" s="100"/>
      <c r="DI121" s="99"/>
      <c r="DJ121" s="99"/>
      <c r="DK121" s="100"/>
      <c r="DL121" s="99"/>
      <c r="DM121" s="99"/>
      <c r="DN121" s="100"/>
      <c r="DO121" s="99"/>
      <c r="DP121" s="99"/>
      <c r="DQ121" s="100"/>
      <c r="DR121" s="99"/>
      <c r="DS121" s="99"/>
      <c r="DT121" s="100"/>
    </row>
    <row r="122">
      <c r="B122" s="120" t="str">
        <f>IFERROR(__xludf.DUMMYFUNCTION("""COMPUTED_VALUE"""),"CML10")</f>
        <v>CML10</v>
      </c>
      <c r="C122" s="82">
        <f>IFERROR(__xludf.DUMMYFUNCTION("""COMPUTED_VALUE"""),111.0)</f>
        <v>111</v>
      </c>
      <c r="D122" s="88" t="str">
        <f>IFERROR(__xludf.DUMMYFUNCTION("""COMPUTED_VALUE"""),"Holy City")</f>
        <v>Holy City</v>
      </c>
      <c r="E122" s="82" t="str">
        <f>IFERROR(__xludf.DUMMYFUNCTION("""COMPUTED_VALUE"""),"聖都市街")</f>
        <v>聖都市街</v>
      </c>
      <c r="F122" s="102">
        <f>IFERROR(__xludf.DUMMYFUNCTION("""COMPUTED_VALUE"""),20.0)</f>
        <v>20</v>
      </c>
      <c r="G122" s="82">
        <f>IFERROR(__xludf.DUMMYFUNCTION("""COMPUTED_VALUE"""),28629.0)</f>
        <v>28629</v>
      </c>
      <c r="H122" s="95" t="str">
        <f>IFERROR(__xludf.DUMMYFUNCTION("""COMPUTED_VALUE"""),"")</f>
        <v/>
      </c>
      <c r="I122" s="96" t="str">
        <f>IFERROR(__xludf.DUMMYFUNCTION("""COMPUTED_VALUE"""),"")</f>
        <v/>
      </c>
      <c r="J122" s="97" t="str">
        <f>IFERROR(__xludf.DUMMYFUNCTION("""COMPUTED_VALUE"""),"")</f>
        <v/>
      </c>
      <c r="K122" s="95">
        <f>IFERROR(__xludf.DUMMYFUNCTION("""COMPUTED_VALUE"""),166.3)</f>
        <v>166.3</v>
      </c>
      <c r="L122" s="96" t="str">
        <f>IFERROR(__xludf.DUMMYFUNCTION("""COMPUTED_VALUE"""),"")</f>
        <v/>
      </c>
      <c r="M122" s="97" t="str">
        <f>IFERROR(__xludf.DUMMYFUNCTION("""COMPUTED_VALUE"""),"")</f>
        <v/>
      </c>
      <c r="N122" s="95" t="str">
        <f>IFERROR(__xludf.DUMMYFUNCTION("""COMPUTED_VALUE"""),"")</f>
        <v/>
      </c>
      <c r="O122" s="96" t="str">
        <f>IFERROR(__xludf.DUMMYFUNCTION("""COMPUTED_VALUE"""),"")</f>
        <v/>
      </c>
      <c r="P122" s="97" t="str">
        <f>IFERROR(__xludf.DUMMYFUNCTION("""COMPUTED_VALUE"""),"")</f>
        <v/>
      </c>
      <c r="Q122" s="95" t="str">
        <f>IFERROR(__xludf.DUMMYFUNCTION("""COMPUTED_VALUE"""),"")</f>
        <v/>
      </c>
      <c r="R122" s="96" t="str">
        <f>IFERROR(__xludf.DUMMYFUNCTION("""COMPUTED_VALUE"""),"")</f>
        <v/>
      </c>
      <c r="S122" s="97" t="str">
        <f>IFERROR(__xludf.DUMMYFUNCTION("""COMPUTED_VALUE"""),"")</f>
        <v/>
      </c>
      <c r="T122" s="95" t="str">
        <f>IFERROR(__xludf.DUMMYFUNCTION("""COMPUTED_VALUE"""),"")</f>
        <v/>
      </c>
      <c r="U122" s="96" t="str">
        <f>IFERROR(__xludf.DUMMYFUNCTION("""COMPUTED_VALUE"""),"")</f>
        <v/>
      </c>
      <c r="V122" s="97" t="str">
        <f>IFERROR(__xludf.DUMMYFUNCTION("""COMPUTED_VALUE"""),"")</f>
        <v/>
      </c>
      <c r="W122" s="95" t="str">
        <f>IFERROR(__xludf.DUMMYFUNCTION("""COMPUTED_VALUE"""),"")</f>
        <v/>
      </c>
      <c r="X122" s="96" t="str">
        <f>IFERROR(__xludf.DUMMYFUNCTION("""COMPUTED_VALUE"""),"")</f>
        <v/>
      </c>
      <c r="Y122" s="97" t="str">
        <f>IFERROR(__xludf.DUMMYFUNCTION("""COMPUTED_VALUE"""),"")</f>
        <v/>
      </c>
      <c r="Z122" s="95" t="str">
        <f>IFERROR(__xludf.DUMMYFUNCTION("""COMPUTED_VALUE"""),"")</f>
        <v/>
      </c>
      <c r="AA122" s="96" t="str">
        <f>IFERROR(__xludf.DUMMYFUNCTION("""COMPUTED_VALUE"""),"")</f>
        <v/>
      </c>
      <c r="AB122" s="97">
        <f>IFERROR(__xludf.DUMMYFUNCTION("""COMPUTED_VALUE"""),73.1)</f>
        <v>73.1</v>
      </c>
      <c r="AC122" s="95" t="str">
        <f>IFERROR(__xludf.DUMMYFUNCTION("""COMPUTED_VALUE"""),"")</f>
        <v/>
      </c>
      <c r="AD122" s="96" t="str">
        <f>IFERROR(__xludf.DUMMYFUNCTION("""COMPUTED_VALUE"""),"")</f>
        <v/>
      </c>
      <c r="AE122" s="97" t="str">
        <f>IFERROR(__xludf.DUMMYFUNCTION("""COMPUTED_VALUE"""),"")</f>
        <v/>
      </c>
      <c r="AF122" s="95" t="str">
        <f>IFERROR(__xludf.DUMMYFUNCTION("""COMPUTED_VALUE"""),"")</f>
        <v/>
      </c>
      <c r="AG122" s="96" t="str">
        <f>IFERROR(__xludf.DUMMYFUNCTION("""COMPUTED_VALUE"""),"")</f>
        <v/>
      </c>
      <c r="AH122" s="97" t="str">
        <f>IFERROR(__xludf.DUMMYFUNCTION("""COMPUTED_VALUE"""),"")</f>
        <v/>
      </c>
      <c r="AI122" s="92" t="str">
        <f>IFERROR(__xludf.DUMMYFUNCTION("""COMPUTED_VALUE"""),"")</f>
        <v/>
      </c>
      <c r="AJ122" s="93" t="str">
        <f>IFERROR(__xludf.DUMMYFUNCTION("""COMPUTED_VALUE"""),"")</f>
        <v/>
      </c>
      <c r="AK122" s="94" t="str">
        <f>IFERROR(__xludf.DUMMYFUNCTION("""COMPUTED_VALUE"""),"")</f>
        <v/>
      </c>
      <c r="AL122" s="143" t="str">
        <f>IFERROR(__xludf.DUMMYFUNCTION("""COMPUTED_VALUE"""),"")</f>
        <v/>
      </c>
      <c r="AM122" s="93" t="str">
        <f>IFERROR(__xludf.DUMMYFUNCTION("""COMPUTED_VALUE"""),"")</f>
        <v/>
      </c>
      <c r="AN122" s="94" t="str">
        <f>IFERROR(__xludf.DUMMYFUNCTION("""COMPUTED_VALUE"""),"")</f>
        <v/>
      </c>
      <c r="AO122" s="93" t="str">
        <f>IFERROR(__xludf.DUMMYFUNCTION("""COMPUTED_VALUE"""),"")</f>
        <v/>
      </c>
      <c r="AP122" s="93" t="str">
        <f>IFERROR(__xludf.DUMMYFUNCTION("""COMPUTED_VALUE"""),"")</f>
        <v/>
      </c>
      <c r="AQ122" s="94" t="str">
        <f>IFERROR(__xludf.DUMMYFUNCTION("""COMPUTED_VALUE"""),"")</f>
        <v/>
      </c>
      <c r="AR122" s="93" t="str">
        <f>IFERROR(__xludf.DUMMYFUNCTION("""COMPUTED_VALUE"""),"")</f>
        <v/>
      </c>
      <c r="AS122" s="93" t="str">
        <f>IFERROR(__xludf.DUMMYFUNCTION("""COMPUTED_VALUE"""),"")</f>
        <v/>
      </c>
      <c r="AT122" s="94">
        <f>IFERROR(__xludf.DUMMYFUNCTION("""COMPUTED_VALUE"""),55.9)</f>
        <v>55.9</v>
      </c>
      <c r="AU122" s="93" t="str">
        <f>IFERROR(__xludf.DUMMYFUNCTION("""COMPUTED_VALUE"""),"")</f>
        <v/>
      </c>
      <c r="AV122" s="93" t="str">
        <f>IFERROR(__xludf.DUMMYFUNCTION("""COMPUTED_VALUE"""),"")</f>
        <v/>
      </c>
      <c r="AW122" s="94" t="str">
        <f>IFERROR(__xludf.DUMMYFUNCTION("""COMPUTED_VALUE"""),"")</f>
        <v/>
      </c>
      <c r="AX122" s="93" t="str">
        <f>IFERROR(__xludf.DUMMYFUNCTION("""COMPUTED_VALUE"""),"")</f>
        <v/>
      </c>
      <c r="AY122" s="93" t="str">
        <f>IFERROR(__xludf.DUMMYFUNCTION("""COMPUTED_VALUE"""),"")</f>
        <v/>
      </c>
      <c r="AZ122" s="94" t="str">
        <f>IFERROR(__xludf.DUMMYFUNCTION("""COMPUTED_VALUE"""),"")</f>
        <v/>
      </c>
      <c r="BA122" s="93" t="str">
        <f>IFERROR(__xludf.DUMMYFUNCTION("""COMPUTED_VALUE"""),"")</f>
        <v/>
      </c>
      <c r="BB122" s="140" t="str">
        <f>IFERROR(__xludf.DUMMYFUNCTION("""COMPUTED_VALUE"""),"")</f>
        <v/>
      </c>
      <c r="BC122" s="94">
        <f>IFERROR(__xludf.DUMMYFUNCTION("""COMPUTED_VALUE"""),610.3)</f>
        <v>610.3</v>
      </c>
      <c r="BD122" s="93" t="str">
        <f>IFERROR(__xludf.DUMMYFUNCTION("""COMPUTED_VALUE"""),"")</f>
        <v/>
      </c>
      <c r="BE122" s="93" t="str">
        <f>IFERROR(__xludf.DUMMYFUNCTION("""COMPUTED_VALUE"""),"")</f>
        <v/>
      </c>
      <c r="BF122" s="94" t="str">
        <f>IFERROR(__xludf.DUMMYFUNCTION("""COMPUTED_VALUE"""),"")</f>
        <v/>
      </c>
      <c r="BG122" s="92" t="str">
        <f>IFERROR(__xludf.DUMMYFUNCTION("""COMPUTED_VALUE"""),"")</f>
        <v/>
      </c>
      <c r="BH122" s="93" t="str">
        <f>IFERROR(__xludf.DUMMYFUNCTION("""COMPUTED_VALUE"""),"")</f>
        <v/>
      </c>
      <c r="BI122" s="94">
        <f>IFERROR(__xludf.DUMMYFUNCTION("""COMPUTED_VALUE"""),218.3)</f>
        <v>218.3</v>
      </c>
      <c r="BJ122" s="93" t="str">
        <f>IFERROR(__xludf.DUMMYFUNCTION("""COMPUTED_VALUE"""),"")</f>
        <v/>
      </c>
      <c r="BK122" s="93" t="str">
        <f>IFERROR(__xludf.DUMMYFUNCTION("""COMPUTED_VALUE"""),"")</f>
        <v/>
      </c>
      <c r="BL122" s="94" t="str">
        <f>IFERROR(__xludf.DUMMYFUNCTION("""COMPUTED_VALUE"""),"")</f>
        <v/>
      </c>
      <c r="BM122" s="93" t="str">
        <f>IFERROR(__xludf.DUMMYFUNCTION("""COMPUTED_VALUE"""),"")</f>
        <v/>
      </c>
      <c r="BN122" s="93" t="str">
        <f>IFERROR(__xludf.DUMMYFUNCTION("""COMPUTED_VALUE"""),"")</f>
        <v/>
      </c>
      <c r="BO122" s="94" t="str">
        <f>IFERROR(__xludf.DUMMYFUNCTION("""COMPUTED_VALUE"""),"")</f>
        <v/>
      </c>
      <c r="BP122" s="93" t="str">
        <f>IFERROR(__xludf.DUMMYFUNCTION("""COMPUTED_VALUE"""),"")</f>
        <v/>
      </c>
      <c r="BQ122" s="93">
        <f>IFERROR(__xludf.DUMMYFUNCTION("""COMPUTED_VALUE"""),391.3)</f>
        <v>391.3</v>
      </c>
      <c r="BR122" s="94" t="str">
        <f>IFERROR(__xludf.DUMMYFUNCTION("""COMPUTED_VALUE"""),"")</f>
        <v/>
      </c>
      <c r="BS122" s="93">
        <f>IFERROR(__xludf.DUMMYFUNCTION("""COMPUTED_VALUE"""),199.7)</f>
        <v>199.7</v>
      </c>
      <c r="BT122" s="93" t="str">
        <f>IFERROR(__xludf.DUMMYFUNCTION("""COMPUTED_VALUE"""),"")</f>
        <v/>
      </c>
      <c r="BU122" s="94" t="str">
        <f>IFERROR(__xludf.DUMMYFUNCTION("""COMPUTED_VALUE"""),"")</f>
        <v/>
      </c>
      <c r="BV122" s="93" t="str">
        <f>IFERROR(__xludf.DUMMYFUNCTION("""COMPUTED_VALUE"""),"")</f>
        <v/>
      </c>
      <c r="BW122" s="93" t="str">
        <f>IFERROR(__xludf.DUMMYFUNCTION("""COMPUTED_VALUE"""),"")</f>
        <v/>
      </c>
      <c r="BX122" s="94" t="str">
        <f>IFERROR(__xludf.DUMMYFUNCTION("""COMPUTED_VALUE"""),"")</f>
        <v/>
      </c>
      <c r="BY122" s="93" t="str">
        <f>IFERROR(__xludf.DUMMYFUNCTION("""COMPUTED_VALUE"""),"")</f>
        <v/>
      </c>
      <c r="BZ122" s="93" t="str">
        <f>IFERROR(__xludf.DUMMYFUNCTION("""COMPUTED_VALUE"""),"")</f>
        <v/>
      </c>
      <c r="CA122" s="94" t="str">
        <f>IFERROR(__xludf.DUMMYFUNCTION("""COMPUTED_VALUE"""),"")</f>
        <v/>
      </c>
      <c r="CB122" s="92" t="str">
        <f>IFERROR(__xludf.DUMMYFUNCTION("""COMPUTED_VALUE"""),"")</f>
        <v/>
      </c>
      <c r="CC122" s="93" t="str">
        <f>IFERROR(__xludf.DUMMYFUNCTION("""COMPUTED_VALUE"""),"")</f>
        <v/>
      </c>
      <c r="CD122" s="94" t="str">
        <f>IFERROR(__xludf.DUMMYFUNCTION("""COMPUTED_VALUE"""),"")</f>
        <v/>
      </c>
      <c r="CE122" s="93" t="str">
        <f>IFERROR(__xludf.DUMMYFUNCTION("""COMPUTED_VALUE"""),"")</f>
        <v/>
      </c>
      <c r="CF122" s="93" t="str">
        <f>IFERROR(__xludf.DUMMYFUNCTION("""COMPUTED_VALUE"""),"")</f>
        <v/>
      </c>
      <c r="CG122" s="94" t="str">
        <f>IFERROR(__xludf.DUMMYFUNCTION("""COMPUTED_VALUE"""),"")</f>
        <v/>
      </c>
      <c r="CH122" s="93" t="str">
        <f>IFERROR(__xludf.DUMMYFUNCTION("""COMPUTED_VALUE"""),"")</f>
        <v/>
      </c>
      <c r="CI122" s="93" t="str">
        <f>IFERROR(__xludf.DUMMYFUNCTION("""COMPUTED_VALUE"""),"")</f>
        <v/>
      </c>
      <c r="CJ122" s="94" t="str">
        <f>IFERROR(__xludf.DUMMYFUNCTION("""COMPUTED_VALUE"""),"")</f>
        <v/>
      </c>
      <c r="CK122" s="93" t="str">
        <f>IFERROR(__xludf.DUMMYFUNCTION("""COMPUTED_VALUE"""),"")</f>
        <v/>
      </c>
      <c r="CL122" s="93">
        <f>IFERROR(__xludf.DUMMYFUNCTION("""COMPUTED_VALUE"""),24.8)</f>
        <v>24.8</v>
      </c>
      <c r="CM122" s="94" t="str">
        <f>IFERROR(__xludf.DUMMYFUNCTION("""COMPUTED_VALUE"""),"")</f>
        <v/>
      </c>
      <c r="CN122" s="93" t="str">
        <f>IFERROR(__xludf.DUMMYFUNCTION("""COMPUTED_VALUE"""),"")</f>
        <v/>
      </c>
      <c r="CO122" s="93" t="str">
        <f>IFERROR(__xludf.DUMMYFUNCTION("""COMPUTED_VALUE"""),"")</f>
        <v/>
      </c>
      <c r="CP122" s="94" t="str">
        <f>IFERROR(__xludf.DUMMYFUNCTION("""COMPUTED_VALUE"""),"")</f>
        <v/>
      </c>
      <c r="CQ122" s="93" t="str">
        <f>IFERROR(__xludf.DUMMYFUNCTION("""COMPUTED_VALUE"""),"")</f>
        <v/>
      </c>
      <c r="CR122" s="93" t="str">
        <f>IFERROR(__xludf.DUMMYFUNCTION("""COMPUTED_VALUE"""),"")</f>
        <v/>
      </c>
      <c r="CS122" s="94"/>
      <c r="CT122" s="93"/>
      <c r="CU122" s="93"/>
      <c r="CV122" s="94"/>
      <c r="CW122" s="93"/>
      <c r="CX122" s="93"/>
      <c r="CY122" s="94"/>
      <c r="CZ122" s="93"/>
      <c r="DA122" s="93"/>
      <c r="DB122" s="94"/>
      <c r="DC122" s="93"/>
      <c r="DD122" s="93"/>
      <c r="DE122" s="94"/>
      <c r="DF122" s="93"/>
      <c r="DG122" s="93"/>
      <c r="DH122" s="94"/>
      <c r="DI122" s="93"/>
      <c r="DJ122" s="93"/>
      <c r="DK122" s="94"/>
      <c r="DL122" s="93"/>
      <c r="DM122" s="93"/>
      <c r="DN122" s="94"/>
      <c r="DO122" s="93"/>
      <c r="DP122" s="93"/>
      <c r="DQ122" s="94"/>
      <c r="DR122" s="93"/>
      <c r="DS122" s="93"/>
      <c r="DT122" s="94"/>
    </row>
    <row r="123">
      <c r="B123" s="120" t="str">
        <f>IFERROR(__xludf.DUMMYFUNCTION("""COMPUTED_VALUE"""),"CML11")</f>
        <v>CML11</v>
      </c>
      <c r="C123" s="82">
        <f>IFERROR(__xludf.DUMMYFUNCTION("""COMPUTED_VALUE"""),112.0)</f>
        <v>112</v>
      </c>
      <c r="D123" s="88" t="str">
        <f>IFERROR(__xludf.DUMMYFUNCTION("""COMPUTED_VALUE"""),"Hidden Village")</f>
        <v>Hidden Village</v>
      </c>
      <c r="E123" s="82" t="str">
        <f>IFERROR(__xludf.DUMMYFUNCTION("""COMPUTED_VALUE"""),"隠れ村")</f>
        <v>隠れ村</v>
      </c>
      <c r="F123" s="102">
        <f>IFERROR(__xludf.DUMMYFUNCTION("""COMPUTED_VALUE"""),21.0)</f>
        <v>21</v>
      </c>
      <c r="G123" s="82">
        <f>IFERROR(__xludf.DUMMYFUNCTION("""COMPUTED_VALUE"""),123673.0)</f>
        <v>123673</v>
      </c>
      <c r="H123" s="95" t="str">
        <f>IFERROR(__xludf.DUMMYFUNCTION("""COMPUTED_VALUE"""),"")</f>
        <v/>
      </c>
      <c r="I123" s="96" t="str">
        <f>IFERROR(__xludf.DUMMYFUNCTION("""COMPUTED_VALUE"""),"")</f>
        <v/>
      </c>
      <c r="J123" s="97" t="str">
        <f>IFERROR(__xludf.DUMMYFUNCTION("""COMPUTED_VALUE"""),"")</f>
        <v/>
      </c>
      <c r="K123" s="95" t="str">
        <f>IFERROR(__xludf.DUMMYFUNCTION("""COMPUTED_VALUE"""),"")</f>
        <v/>
      </c>
      <c r="L123" s="96" t="str">
        <f>IFERROR(__xludf.DUMMYFUNCTION("""COMPUTED_VALUE"""),"")</f>
        <v/>
      </c>
      <c r="M123" s="97" t="str">
        <f>IFERROR(__xludf.DUMMYFUNCTION("""COMPUTED_VALUE"""),"")</f>
        <v/>
      </c>
      <c r="N123" s="95" t="str">
        <f>IFERROR(__xludf.DUMMYFUNCTION("""COMPUTED_VALUE"""),"")</f>
        <v/>
      </c>
      <c r="O123" s="96">
        <f>IFERROR(__xludf.DUMMYFUNCTION("""COMPUTED_VALUE"""),130.2)</f>
        <v>130.2</v>
      </c>
      <c r="P123" s="97" t="str">
        <f>IFERROR(__xludf.DUMMYFUNCTION("""COMPUTED_VALUE"""),"")</f>
        <v/>
      </c>
      <c r="Q123" s="95" t="str">
        <f>IFERROR(__xludf.DUMMYFUNCTION("""COMPUTED_VALUE"""),"")</f>
        <v/>
      </c>
      <c r="R123" s="96" t="str">
        <f>IFERROR(__xludf.DUMMYFUNCTION("""COMPUTED_VALUE"""),"")</f>
        <v/>
      </c>
      <c r="S123" s="97" t="str">
        <f>IFERROR(__xludf.DUMMYFUNCTION("""COMPUTED_VALUE"""),"")</f>
        <v/>
      </c>
      <c r="T123" s="95" t="str">
        <f>IFERROR(__xludf.DUMMYFUNCTION("""COMPUTED_VALUE"""),"")</f>
        <v/>
      </c>
      <c r="U123" s="96" t="str">
        <f>IFERROR(__xludf.DUMMYFUNCTION("""COMPUTED_VALUE"""),"")</f>
        <v/>
      </c>
      <c r="V123" s="97" t="str">
        <f>IFERROR(__xludf.DUMMYFUNCTION("""COMPUTED_VALUE"""),"")</f>
        <v/>
      </c>
      <c r="W123" s="95" t="str">
        <f>IFERROR(__xludf.DUMMYFUNCTION("""COMPUTED_VALUE"""),"")</f>
        <v/>
      </c>
      <c r="X123" s="96" t="str">
        <f>IFERROR(__xludf.DUMMYFUNCTION("""COMPUTED_VALUE"""),"")</f>
        <v/>
      </c>
      <c r="Y123" s="97" t="str">
        <f>IFERROR(__xludf.DUMMYFUNCTION("""COMPUTED_VALUE"""),"")</f>
        <v/>
      </c>
      <c r="Z123" s="95" t="str">
        <f>IFERROR(__xludf.DUMMYFUNCTION("""COMPUTED_VALUE"""),"")</f>
        <v/>
      </c>
      <c r="AA123" s="96" t="str">
        <f>IFERROR(__xludf.DUMMYFUNCTION("""COMPUTED_VALUE"""),"")</f>
        <v/>
      </c>
      <c r="AB123" s="97" t="str">
        <f>IFERROR(__xludf.DUMMYFUNCTION("""COMPUTED_VALUE"""),"")</f>
        <v/>
      </c>
      <c r="AC123" s="95" t="str">
        <f>IFERROR(__xludf.DUMMYFUNCTION("""COMPUTED_VALUE"""),"")</f>
        <v/>
      </c>
      <c r="AD123" s="96" t="str">
        <f>IFERROR(__xludf.DUMMYFUNCTION("""COMPUTED_VALUE"""),"")</f>
        <v/>
      </c>
      <c r="AE123" s="97" t="str">
        <f>IFERROR(__xludf.DUMMYFUNCTION("""COMPUTED_VALUE"""),"")</f>
        <v/>
      </c>
      <c r="AF123" s="95" t="str">
        <f>IFERROR(__xludf.DUMMYFUNCTION("""COMPUTED_VALUE"""),"")</f>
        <v/>
      </c>
      <c r="AG123" s="96" t="str">
        <f>IFERROR(__xludf.DUMMYFUNCTION("""COMPUTED_VALUE"""),"")</f>
        <v/>
      </c>
      <c r="AH123" s="97" t="str">
        <f>IFERROR(__xludf.DUMMYFUNCTION("""COMPUTED_VALUE"""),"")</f>
        <v/>
      </c>
      <c r="AI123" s="98" t="str">
        <f>IFERROR(__xludf.DUMMYFUNCTION("""COMPUTED_VALUE"""),"")</f>
        <v/>
      </c>
      <c r="AJ123" s="99" t="str">
        <f>IFERROR(__xludf.DUMMYFUNCTION("""COMPUTED_VALUE"""),"")</f>
        <v/>
      </c>
      <c r="AK123" s="100" t="str">
        <f>IFERROR(__xludf.DUMMYFUNCTION("""COMPUTED_VALUE"""),"")</f>
        <v/>
      </c>
      <c r="AL123" s="99" t="str">
        <f>IFERROR(__xludf.DUMMYFUNCTION("""COMPUTED_VALUE"""),"")</f>
        <v/>
      </c>
      <c r="AM123" s="99" t="str">
        <f>IFERROR(__xludf.DUMMYFUNCTION("""COMPUTED_VALUE"""),"")</f>
        <v/>
      </c>
      <c r="AN123" s="100" t="str">
        <f>IFERROR(__xludf.DUMMYFUNCTION("""COMPUTED_VALUE"""),"")</f>
        <v/>
      </c>
      <c r="AO123" s="99" t="str">
        <f>IFERROR(__xludf.DUMMYFUNCTION("""COMPUTED_VALUE"""),"")</f>
        <v/>
      </c>
      <c r="AP123" s="144" t="str">
        <f>IFERROR(__xludf.DUMMYFUNCTION("""COMPUTED_VALUE"""),"")</f>
        <v/>
      </c>
      <c r="AQ123" s="100" t="str">
        <f>IFERROR(__xludf.DUMMYFUNCTION("""COMPUTED_VALUE"""),"")</f>
        <v/>
      </c>
      <c r="AR123" s="99" t="str">
        <f>IFERROR(__xludf.DUMMYFUNCTION("""COMPUTED_VALUE"""),"")</f>
        <v/>
      </c>
      <c r="AS123" s="99" t="str">
        <f>IFERROR(__xludf.DUMMYFUNCTION("""COMPUTED_VALUE"""),"")</f>
        <v/>
      </c>
      <c r="AT123" s="100" t="str">
        <f>IFERROR(__xludf.DUMMYFUNCTION("""COMPUTED_VALUE"""),"")</f>
        <v/>
      </c>
      <c r="AU123" s="99" t="str">
        <f>IFERROR(__xludf.DUMMYFUNCTION("""COMPUTED_VALUE"""),"")</f>
        <v/>
      </c>
      <c r="AV123" s="99" t="str">
        <f>IFERROR(__xludf.DUMMYFUNCTION("""COMPUTED_VALUE"""),"")</f>
        <v/>
      </c>
      <c r="AW123" s="100" t="str">
        <f>IFERROR(__xludf.DUMMYFUNCTION("""COMPUTED_VALUE"""),"")</f>
        <v/>
      </c>
      <c r="AX123" s="99">
        <f>IFERROR(__xludf.DUMMYFUNCTION("""COMPUTED_VALUE"""),69.1)</f>
        <v>69.1</v>
      </c>
      <c r="AY123" s="99" t="str">
        <f>IFERROR(__xludf.DUMMYFUNCTION("""COMPUTED_VALUE"""),"")</f>
        <v/>
      </c>
      <c r="AZ123" s="100" t="str">
        <f>IFERROR(__xludf.DUMMYFUNCTION("""COMPUTED_VALUE"""),"")</f>
        <v/>
      </c>
      <c r="BA123" s="99" t="str">
        <f>IFERROR(__xludf.DUMMYFUNCTION("""COMPUTED_VALUE"""),"")</f>
        <v/>
      </c>
      <c r="BB123" s="99" t="str">
        <f>IFERROR(__xludf.DUMMYFUNCTION("""COMPUTED_VALUE"""),"")</f>
        <v/>
      </c>
      <c r="BC123" s="100" t="str">
        <f>IFERROR(__xludf.DUMMYFUNCTION("""COMPUTED_VALUE"""),"")</f>
        <v/>
      </c>
      <c r="BD123" s="99" t="str">
        <f>IFERROR(__xludf.DUMMYFUNCTION("""COMPUTED_VALUE"""),"")</f>
        <v/>
      </c>
      <c r="BE123" s="99" t="str">
        <f>IFERROR(__xludf.DUMMYFUNCTION("""COMPUTED_VALUE"""),"")</f>
        <v/>
      </c>
      <c r="BF123" s="100" t="str">
        <f>IFERROR(__xludf.DUMMYFUNCTION("""COMPUTED_VALUE"""),"")</f>
        <v/>
      </c>
      <c r="BG123" s="98" t="str">
        <f>IFERROR(__xludf.DUMMYFUNCTION("""COMPUTED_VALUE"""),"")</f>
        <v/>
      </c>
      <c r="BH123" s="99" t="str">
        <f>IFERROR(__xludf.DUMMYFUNCTION("""COMPUTED_VALUE"""),"")</f>
        <v/>
      </c>
      <c r="BI123" s="100" t="str">
        <f>IFERROR(__xludf.DUMMYFUNCTION("""COMPUTED_VALUE"""),"")</f>
        <v/>
      </c>
      <c r="BJ123" s="99" t="str">
        <f>IFERROR(__xludf.DUMMYFUNCTION("""COMPUTED_VALUE"""),"")</f>
        <v/>
      </c>
      <c r="BK123" s="99" t="str">
        <f>IFERROR(__xludf.DUMMYFUNCTION("""COMPUTED_VALUE"""),"")</f>
        <v/>
      </c>
      <c r="BL123" s="100" t="str">
        <f>IFERROR(__xludf.DUMMYFUNCTION("""COMPUTED_VALUE"""),"")</f>
        <v/>
      </c>
      <c r="BM123" s="99" t="str">
        <f>IFERROR(__xludf.DUMMYFUNCTION("""COMPUTED_VALUE"""),"")</f>
        <v/>
      </c>
      <c r="BN123" s="99">
        <f>IFERROR(__xludf.DUMMYFUNCTION("""COMPUTED_VALUE"""),266.7)</f>
        <v>266.7</v>
      </c>
      <c r="BO123" s="100" t="str">
        <f>IFERROR(__xludf.DUMMYFUNCTION("""COMPUTED_VALUE"""),"")</f>
        <v/>
      </c>
      <c r="BP123" s="99" t="str">
        <f>IFERROR(__xludf.DUMMYFUNCTION("""COMPUTED_VALUE"""),"")</f>
        <v/>
      </c>
      <c r="BQ123" s="99" t="str">
        <f>IFERROR(__xludf.DUMMYFUNCTION("""COMPUTED_VALUE"""),"")</f>
        <v/>
      </c>
      <c r="BR123" s="100" t="str">
        <f>IFERROR(__xludf.DUMMYFUNCTION("""COMPUTED_VALUE"""),"")</f>
        <v/>
      </c>
      <c r="BS123" s="99" t="str">
        <f>IFERROR(__xludf.DUMMYFUNCTION("""COMPUTED_VALUE"""),"")</f>
        <v/>
      </c>
      <c r="BT123" s="99" t="str">
        <f>IFERROR(__xludf.DUMMYFUNCTION("""COMPUTED_VALUE"""),"")</f>
        <v/>
      </c>
      <c r="BU123" s="100" t="str">
        <f>IFERROR(__xludf.DUMMYFUNCTION("""COMPUTED_VALUE"""),"")</f>
        <v/>
      </c>
      <c r="BV123" s="99">
        <f>IFERROR(__xludf.DUMMYFUNCTION("""COMPUTED_VALUE"""),210.9)</f>
        <v>210.9</v>
      </c>
      <c r="BW123" s="99">
        <f>IFERROR(__xludf.DUMMYFUNCTION("""COMPUTED_VALUE"""),429.2)</f>
        <v>429.2</v>
      </c>
      <c r="BX123" s="100" t="str">
        <f>IFERROR(__xludf.DUMMYFUNCTION("""COMPUTED_VALUE"""),"")</f>
        <v/>
      </c>
      <c r="BY123" s="99" t="str">
        <f>IFERROR(__xludf.DUMMYFUNCTION("""COMPUTED_VALUE"""),"")</f>
        <v/>
      </c>
      <c r="BZ123" s="99" t="str">
        <f>IFERROR(__xludf.DUMMYFUNCTION("""COMPUTED_VALUE"""),"")</f>
        <v/>
      </c>
      <c r="CA123" s="100" t="str">
        <f>IFERROR(__xludf.DUMMYFUNCTION("""COMPUTED_VALUE"""),"")</f>
        <v/>
      </c>
      <c r="CB123" s="98" t="str">
        <f>IFERROR(__xludf.DUMMYFUNCTION("""COMPUTED_VALUE"""),"")</f>
        <v/>
      </c>
      <c r="CC123" s="99" t="str">
        <f>IFERROR(__xludf.DUMMYFUNCTION("""COMPUTED_VALUE"""),"")</f>
        <v/>
      </c>
      <c r="CD123" s="100" t="str">
        <f>IFERROR(__xludf.DUMMYFUNCTION("""COMPUTED_VALUE"""),"")</f>
        <v/>
      </c>
      <c r="CE123" s="99" t="str">
        <f>IFERROR(__xludf.DUMMYFUNCTION("""COMPUTED_VALUE"""),"")</f>
        <v/>
      </c>
      <c r="CF123" s="99" t="str">
        <f>IFERROR(__xludf.DUMMYFUNCTION("""COMPUTED_VALUE"""),"")</f>
        <v/>
      </c>
      <c r="CG123" s="100" t="str">
        <f>IFERROR(__xludf.DUMMYFUNCTION("""COMPUTED_VALUE"""),"")</f>
        <v/>
      </c>
      <c r="CH123" s="99" t="str">
        <f>IFERROR(__xludf.DUMMYFUNCTION("""COMPUTED_VALUE"""),"")</f>
        <v/>
      </c>
      <c r="CI123" s="99" t="str">
        <f>IFERROR(__xludf.DUMMYFUNCTION("""COMPUTED_VALUE"""),"")</f>
        <v/>
      </c>
      <c r="CJ123" s="100" t="str">
        <f>IFERROR(__xludf.DUMMYFUNCTION("""COMPUTED_VALUE"""),"")</f>
        <v/>
      </c>
      <c r="CK123" s="99" t="str">
        <f>IFERROR(__xludf.DUMMYFUNCTION("""COMPUTED_VALUE"""),"")</f>
        <v/>
      </c>
      <c r="CL123" s="99" t="str">
        <f>IFERROR(__xludf.DUMMYFUNCTION("""COMPUTED_VALUE"""),"")</f>
        <v/>
      </c>
      <c r="CM123" s="100" t="str">
        <f>IFERROR(__xludf.DUMMYFUNCTION("""COMPUTED_VALUE"""),"")</f>
        <v/>
      </c>
      <c r="CN123" s="99" t="str">
        <f>IFERROR(__xludf.DUMMYFUNCTION("""COMPUTED_VALUE"""),"")</f>
        <v/>
      </c>
      <c r="CO123" s="99" t="str">
        <f>IFERROR(__xludf.DUMMYFUNCTION("""COMPUTED_VALUE"""),"")</f>
        <v/>
      </c>
      <c r="CP123" s="100">
        <f>IFERROR(__xludf.DUMMYFUNCTION("""COMPUTED_VALUE"""),29.5)</f>
        <v>29.5</v>
      </c>
      <c r="CQ123" s="99" t="str">
        <f>IFERROR(__xludf.DUMMYFUNCTION("""COMPUTED_VALUE"""),"")</f>
        <v/>
      </c>
      <c r="CR123" s="99" t="str">
        <f>IFERROR(__xludf.DUMMYFUNCTION("""COMPUTED_VALUE"""),"")</f>
        <v/>
      </c>
      <c r="CS123" s="100"/>
      <c r="CT123" s="99"/>
      <c r="CU123" s="99"/>
      <c r="CV123" s="100"/>
      <c r="CW123" s="99"/>
      <c r="CX123" s="99"/>
      <c r="CY123" s="100"/>
      <c r="CZ123" s="99"/>
      <c r="DA123" s="99"/>
      <c r="DB123" s="100"/>
      <c r="DC123" s="99"/>
      <c r="DD123" s="99"/>
      <c r="DE123" s="100"/>
      <c r="DF123" s="99"/>
      <c r="DG123" s="99"/>
      <c r="DH123" s="100"/>
      <c r="DI123" s="99"/>
      <c r="DJ123" s="99"/>
      <c r="DK123" s="100"/>
      <c r="DL123" s="99"/>
      <c r="DM123" s="99"/>
      <c r="DN123" s="100"/>
      <c r="DO123" s="99"/>
      <c r="DP123" s="99"/>
      <c r="DQ123" s="100"/>
      <c r="DR123" s="99"/>
      <c r="DS123" s="99"/>
      <c r="DT123" s="100"/>
    </row>
    <row r="124">
      <c r="B124" s="120" t="str">
        <f>IFERROR(__xludf.DUMMYFUNCTION("""COMPUTED_VALUE"""),"CML12")</f>
        <v>CML12</v>
      </c>
      <c r="C124" s="82">
        <f>IFERROR(__xludf.DUMMYFUNCTION("""COMPUTED_VALUE"""),113.0)</f>
        <v>113</v>
      </c>
      <c r="D124" s="88" t="str">
        <f>IFERROR(__xludf.DUMMYFUNCTION("""COMPUTED_VALUE"""),"Royal Castle")</f>
        <v>Royal Castle</v>
      </c>
      <c r="E124" s="82" t="str">
        <f>IFERROR(__xludf.DUMMYFUNCTION("""COMPUTED_VALUE"""),"王城")</f>
        <v>王城</v>
      </c>
      <c r="F124" s="102">
        <f>IFERROR(__xludf.DUMMYFUNCTION("""COMPUTED_VALUE"""),21.0)</f>
        <v>21</v>
      </c>
      <c r="G124" s="82">
        <f>IFERROR(__xludf.DUMMYFUNCTION("""COMPUTED_VALUE"""),100000.0)</f>
        <v>100000</v>
      </c>
      <c r="H124" s="95" t="str">
        <f>IFERROR(__xludf.DUMMYFUNCTION("""COMPUTED_VALUE"""),"")</f>
        <v/>
      </c>
      <c r="I124" s="96" t="str">
        <f>IFERROR(__xludf.DUMMYFUNCTION("""COMPUTED_VALUE"""),"")</f>
        <v/>
      </c>
      <c r="J124" s="97" t="str">
        <f>IFERROR(__xludf.DUMMYFUNCTION("""COMPUTED_VALUE"""),"")</f>
        <v/>
      </c>
      <c r="K124" s="95" t="str">
        <f>IFERROR(__xludf.DUMMYFUNCTION("""COMPUTED_VALUE"""),"")</f>
        <v/>
      </c>
      <c r="L124" s="96" t="str">
        <f>IFERROR(__xludf.DUMMYFUNCTION("""COMPUTED_VALUE"""),"")</f>
        <v/>
      </c>
      <c r="M124" s="97" t="str">
        <f>IFERROR(__xludf.DUMMYFUNCTION("""COMPUTED_VALUE"""),"")</f>
        <v/>
      </c>
      <c r="N124" s="95" t="str">
        <f>IFERROR(__xludf.DUMMYFUNCTION("""COMPUTED_VALUE"""),"")</f>
        <v/>
      </c>
      <c r="O124" s="96" t="str">
        <f>IFERROR(__xludf.DUMMYFUNCTION("""COMPUTED_VALUE"""),"")</f>
        <v/>
      </c>
      <c r="P124" s="97" t="str">
        <f>IFERROR(__xludf.DUMMYFUNCTION("""COMPUTED_VALUE"""),"")</f>
        <v/>
      </c>
      <c r="Q124" s="95" t="str">
        <f>IFERROR(__xludf.DUMMYFUNCTION("""COMPUTED_VALUE"""),"")</f>
        <v/>
      </c>
      <c r="R124" s="96" t="str">
        <f>IFERROR(__xludf.DUMMYFUNCTION("""COMPUTED_VALUE"""),"")</f>
        <v/>
      </c>
      <c r="S124" s="97" t="str">
        <f>IFERROR(__xludf.DUMMYFUNCTION("""COMPUTED_VALUE"""),"")</f>
        <v/>
      </c>
      <c r="T124" s="95" t="str">
        <f>IFERROR(__xludf.DUMMYFUNCTION("""COMPUTED_VALUE"""),"")</f>
        <v/>
      </c>
      <c r="U124" s="96" t="str">
        <f>IFERROR(__xludf.DUMMYFUNCTION("""COMPUTED_VALUE"""),"")</f>
        <v/>
      </c>
      <c r="V124" s="97" t="str">
        <f>IFERROR(__xludf.DUMMYFUNCTION("""COMPUTED_VALUE"""),"")</f>
        <v/>
      </c>
      <c r="W124" s="95" t="str">
        <f>IFERROR(__xludf.DUMMYFUNCTION("""COMPUTED_VALUE"""),"")</f>
        <v/>
      </c>
      <c r="X124" s="96" t="str">
        <f>IFERROR(__xludf.DUMMYFUNCTION("""COMPUTED_VALUE"""),"")</f>
        <v/>
      </c>
      <c r="Y124" s="97" t="str">
        <f>IFERROR(__xludf.DUMMYFUNCTION("""COMPUTED_VALUE"""),"")</f>
        <v/>
      </c>
      <c r="Z124" s="95" t="str">
        <f>IFERROR(__xludf.DUMMYFUNCTION("""COMPUTED_VALUE"""),"")</f>
        <v/>
      </c>
      <c r="AA124" s="96" t="str">
        <f>IFERROR(__xludf.DUMMYFUNCTION("""COMPUTED_VALUE"""),"")</f>
        <v/>
      </c>
      <c r="AB124" s="97" t="str">
        <f>IFERROR(__xludf.DUMMYFUNCTION("""COMPUTED_VALUE"""),"")</f>
        <v/>
      </c>
      <c r="AC124" s="95" t="str">
        <f>IFERROR(__xludf.DUMMYFUNCTION("""COMPUTED_VALUE"""),"")</f>
        <v/>
      </c>
      <c r="AD124" s="96" t="str">
        <f>IFERROR(__xludf.DUMMYFUNCTION("""COMPUTED_VALUE"""),"")</f>
        <v/>
      </c>
      <c r="AE124" s="97" t="str">
        <f>IFERROR(__xludf.DUMMYFUNCTION("""COMPUTED_VALUE"""),"")</f>
        <v/>
      </c>
      <c r="AF124" s="95" t="str">
        <f>IFERROR(__xludf.DUMMYFUNCTION("""COMPUTED_VALUE"""),"")</f>
        <v/>
      </c>
      <c r="AG124" s="96" t="str">
        <f>IFERROR(__xludf.DUMMYFUNCTION("""COMPUTED_VALUE"""),"")</f>
        <v/>
      </c>
      <c r="AH124" s="97" t="str">
        <f>IFERROR(__xludf.DUMMYFUNCTION("""COMPUTED_VALUE"""),"")</f>
        <v/>
      </c>
      <c r="AI124" s="92">
        <f>IFERROR(__xludf.DUMMYFUNCTION("""COMPUTED_VALUE"""),59.5)</f>
        <v>59.5</v>
      </c>
      <c r="AJ124" s="93" t="str">
        <f>IFERROR(__xludf.DUMMYFUNCTION("""COMPUTED_VALUE"""),"")</f>
        <v/>
      </c>
      <c r="AK124" s="94" t="str">
        <f>IFERROR(__xludf.DUMMYFUNCTION("""COMPUTED_VALUE"""),"")</f>
        <v/>
      </c>
      <c r="AL124" s="93" t="str">
        <f>IFERROR(__xludf.DUMMYFUNCTION("""COMPUTED_VALUE"""),"")</f>
        <v/>
      </c>
      <c r="AM124" s="93" t="str">
        <f>IFERROR(__xludf.DUMMYFUNCTION("""COMPUTED_VALUE"""),"")</f>
        <v/>
      </c>
      <c r="AN124" s="94" t="str">
        <f>IFERROR(__xludf.DUMMYFUNCTION("""COMPUTED_VALUE"""),"")</f>
        <v/>
      </c>
      <c r="AO124" s="93" t="str">
        <f>IFERROR(__xludf.DUMMYFUNCTION("""COMPUTED_VALUE"""),"")</f>
        <v/>
      </c>
      <c r="AP124" s="93" t="str">
        <f>IFERROR(__xludf.DUMMYFUNCTION("""COMPUTED_VALUE"""),"")</f>
        <v/>
      </c>
      <c r="AQ124" s="94" t="str">
        <f>IFERROR(__xludf.DUMMYFUNCTION("""COMPUTED_VALUE"""),"")</f>
        <v/>
      </c>
      <c r="AR124" s="93" t="str">
        <f>IFERROR(__xludf.DUMMYFUNCTION("""COMPUTED_VALUE"""),"")</f>
        <v/>
      </c>
      <c r="AS124" s="93" t="str">
        <f>IFERROR(__xludf.DUMMYFUNCTION("""COMPUTED_VALUE"""),"")</f>
        <v/>
      </c>
      <c r="AT124" s="94" t="str">
        <f>IFERROR(__xludf.DUMMYFUNCTION("""COMPUTED_VALUE"""),"")</f>
        <v/>
      </c>
      <c r="AU124" s="93" t="str">
        <f>IFERROR(__xludf.DUMMYFUNCTION("""COMPUTED_VALUE"""),"")</f>
        <v/>
      </c>
      <c r="AV124" s="93" t="str">
        <f>IFERROR(__xludf.DUMMYFUNCTION("""COMPUTED_VALUE"""),"")</f>
        <v/>
      </c>
      <c r="AW124" s="94">
        <f>IFERROR(__xludf.DUMMYFUNCTION("""COMPUTED_VALUE"""),131.6)</f>
        <v>131.6</v>
      </c>
      <c r="AX124" s="93" t="str">
        <f>IFERROR(__xludf.DUMMYFUNCTION("""COMPUTED_VALUE"""),"")</f>
        <v/>
      </c>
      <c r="AY124" s="93" t="str">
        <f>IFERROR(__xludf.DUMMYFUNCTION("""COMPUTED_VALUE"""),"")</f>
        <v/>
      </c>
      <c r="AZ124" s="94" t="str">
        <f>IFERROR(__xludf.DUMMYFUNCTION("""COMPUTED_VALUE"""),"")</f>
        <v/>
      </c>
      <c r="BA124" s="93" t="str">
        <f>IFERROR(__xludf.DUMMYFUNCTION("""COMPUTED_VALUE"""),"")</f>
        <v/>
      </c>
      <c r="BB124" s="93" t="str">
        <f>IFERROR(__xludf.DUMMYFUNCTION("""COMPUTED_VALUE"""),"")</f>
        <v/>
      </c>
      <c r="BC124" s="94" t="str">
        <f>IFERROR(__xludf.DUMMYFUNCTION("""COMPUTED_VALUE"""),"")</f>
        <v/>
      </c>
      <c r="BD124" s="93" t="str">
        <f>IFERROR(__xludf.DUMMYFUNCTION("""COMPUTED_VALUE"""),"")</f>
        <v/>
      </c>
      <c r="BE124" s="93" t="str">
        <f>IFERROR(__xludf.DUMMYFUNCTION("""COMPUTED_VALUE"""),"")</f>
        <v/>
      </c>
      <c r="BF124" s="94" t="str">
        <f>IFERROR(__xludf.DUMMYFUNCTION("""COMPUTED_VALUE"""),"")</f>
        <v/>
      </c>
      <c r="BG124" s="92" t="str">
        <f>IFERROR(__xludf.DUMMYFUNCTION("""COMPUTED_VALUE"""),"")</f>
        <v/>
      </c>
      <c r="BH124" s="93" t="str">
        <f>IFERROR(__xludf.DUMMYFUNCTION("""COMPUTED_VALUE"""),"")</f>
        <v/>
      </c>
      <c r="BI124" s="94" t="str">
        <f>IFERROR(__xludf.DUMMYFUNCTION("""COMPUTED_VALUE"""),"")</f>
        <v/>
      </c>
      <c r="BJ124" s="93">
        <f>IFERROR(__xludf.DUMMYFUNCTION("""COMPUTED_VALUE"""),86.1)</f>
        <v>86.1</v>
      </c>
      <c r="BK124" s="93" t="str">
        <f>IFERROR(__xludf.DUMMYFUNCTION("""COMPUTED_VALUE"""),"")</f>
        <v/>
      </c>
      <c r="BL124" s="94" t="str">
        <f>IFERROR(__xludf.DUMMYFUNCTION("""COMPUTED_VALUE"""),"")</f>
        <v/>
      </c>
      <c r="BM124" s="93" t="str">
        <f>IFERROR(__xludf.DUMMYFUNCTION("""COMPUTED_VALUE"""),"")</f>
        <v/>
      </c>
      <c r="BN124" s="93" t="str">
        <f>IFERROR(__xludf.DUMMYFUNCTION("""COMPUTED_VALUE"""),"")</f>
        <v/>
      </c>
      <c r="BO124" s="94" t="str">
        <f>IFERROR(__xludf.DUMMYFUNCTION("""COMPUTED_VALUE"""),"")</f>
        <v/>
      </c>
      <c r="BP124" s="93" t="str">
        <f>IFERROR(__xludf.DUMMYFUNCTION("""COMPUTED_VALUE"""),"")</f>
        <v/>
      </c>
      <c r="BQ124" s="93" t="str">
        <f>IFERROR(__xludf.DUMMYFUNCTION("""COMPUTED_VALUE"""),"")</f>
        <v/>
      </c>
      <c r="BR124" s="94" t="str">
        <f>IFERROR(__xludf.DUMMYFUNCTION("""COMPUTED_VALUE"""),"")</f>
        <v/>
      </c>
      <c r="BS124" s="93" t="str">
        <f>IFERROR(__xludf.DUMMYFUNCTION("""COMPUTED_VALUE"""),"")</f>
        <v/>
      </c>
      <c r="BT124" s="93" t="str">
        <f>IFERROR(__xludf.DUMMYFUNCTION("""COMPUTED_VALUE"""),"")</f>
        <v/>
      </c>
      <c r="BU124" s="94" t="str">
        <f>IFERROR(__xludf.DUMMYFUNCTION("""COMPUTED_VALUE"""),"")</f>
        <v/>
      </c>
      <c r="BV124" s="93" t="str">
        <f>IFERROR(__xludf.DUMMYFUNCTION("""COMPUTED_VALUE"""),"")</f>
        <v/>
      </c>
      <c r="BW124" s="93" t="str">
        <f>IFERROR(__xludf.DUMMYFUNCTION("""COMPUTED_VALUE"""),"")</f>
        <v/>
      </c>
      <c r="BX124" s="94">
        <f>IFERROR(__xludf.DUMMYFUNCTION("""COMPUTED_VALUE"""),510.1)</f>
        <v>510.1</v>
      </c>
      <c r="BY124" s="93" t="str">
        <f>IFERROR(__xludf.DUMMYFUNCTION("""COMPUTED_VALUE"""),"")</f>
        <v/>
      </c>
      <c r="BZ124" s="93" t="str">
        <f>IFERROR(__xludf.DUMMYFUNCTION("""COMPUTED_VALUE"""),"")</f>
        <v/>
      </c>
      <c r="CA124" s="94" t="str">
        <f>IFERROR(__xludf.DUMMYFUNCTION("""COMPUTED_VALUE"""),"")</f>
        <v/>
      </c>
      <c r="CB124" s="92" t="str">
        <f>IFERROR(__xludf.DUMMYFUNCTION("""COMPUTED_VALUE"""),"")</f>
        <v/>
      </c>
      <c r="CC124" s="93" t="str">
        <f>IFERROR(__xludf.DUMMYFUNCTION("""COMPUTED_VALUE"""),"")</f>
        <v/>
      </c>
      <c r="CD124" s="94" t="str">
        <f>IFERROR(__xludf.DUMMYFUNCTION("""COMPUTED_VALUE"""),"")</f>
        <v/>
      </c>
      <c r="CE124" s="93">
        <f>IFERROR(__xludf.DUMMYFUNCTION("""COMPUTED_VALUE"""),209.8)</f>
        <v>209.8</v>
      </c>
      <c r="CF124" s="93" t="str">
        <f>IFERROR(__xludf.DUMMYFUNCTION("""COMPUTED_VALUE"""),"")</f>
        <v/>
      </c>
      <c r="CG124" s="94" t="str">
        <f>IFERROR(__xludf.DUMMYFUNCTION("""COMPUTED_VALUE"""),"")</f>
        <v/>
      </c>
      <c r="CH124" s="93" t="str">
        <f>IFERROR(__xludf.DUMMYFUNCTION("""COMPUTED_VALUE"""),"")</f>
        <v/>
      </c>
      <c r="CI124" s="93" t="str">
        <f>IFERROR(__xludf.DUMMYFUNCTION("""COMPUTED_VALUE"""),"")</f>
        <v/>
      </c>
      <c r="CJ124" s="94" t="str">
        <f>IFERROR(__xludf.DUMMYFUNCTION("""COMPUTED_VALUE"""),"")</f>
        <v/>
      </c>
      <c r="CK124" s="93" t="str">
        <f>IFERROR(__xludf.DUMMYFUNCTION("""COMPUTED_VALUE"""),"")</f>
        <v/>
      </c>
      <c r="CL124" s="93">
        <f>IFERROR(__xludf.DUMMYFUNCTION("""COMPUTED_VALUE"""),94.6)</f>
        <v>94.6</v>
      </c>
      <c r="CM124" s="94" t="str">
        <f>IFERROR(__xludf.DUMMYFUNCTION("""COMPUTED_VALUE"""),"")</f>
        <v/>
      </c>
      <c r="CN124" s="93" t="str">
        <f>IFERROR(__xludf.DUMMYFUNCTION("""COMPUTED_VALUE"""),"")</f>
        <v/>
      </c>
      <c r="CO124" s="93" t="str">
        <f>IFERROR(__xludf.DUMMYFUNCTION("""COMPUTED_VALUE"""),"")</f>
        <v/>
      </c>
      <c r="CP124" s="94" t="str">
        <f>IFERROR(__xludf.DUMMYFUNCTION("""COMPUTED_VALUE"""),"")</f>
        <v/>
      </c>
      <c r="CQ124" s="93" t="str">
        <f>IFERROR(__xludf.DUMMYFUNCTION("""COMPUTED_VALUE"""),"")</f>
        <v/>
      </c>
      <c r="CR124" s="93" t="str">
        <f>IFERROR(__xludf.DUMMYFUNCTION("""COMPUTED_VALUE"""),"")</f>
        <v/>
      </c>
      <c r="CS124" s="94"/>
      <c r="CT124" s="93"/>
      <c r="CU124" s="93"/>
      <c r="CV124" s="94"/>
      <c r="CW124" s="93"/>
      <c r="CX124" s="93"/>
      <c r="CY124" s="94"/>
      <c r="CZ124" s="93"/>
      <c r="DA124" s="93"/>
      <c r="DB124" s="94"/>
      <c r="DC124" s="93"/>
      <c r="DD124" s="93"/>
      <c r="DE124" s="94"/>
      <c r="DF124" s="93"/>
      <c r="DG124" s="93"/>
      <c r="DH124" s="94"/>
      <c r="DI124" s="93"/>
      <c r="DJ124" s="93"/>
      <c r="DK124" s="94"/>
      <c r="DL124" s="93"/>
      <c r="DM124" s="93"/>
      <c r="DN124" s="94"/>
      <c r="DO124" s="93"/>
      <c r="DP124" s="93"/>
      <c r="DQ124" s="94"/>
      <c r="DR124" s="93"/>
      <c r="DS124" s="93"/>
      <c r="DT124" s="94"/>
    </row>
    <row r="125">
      <c r="B125" s="120" t="str">
        <f>IFERROR(__xludf.DUMMYFUNCTION("""COMPUTED_VALUE"""),"CML13")</f>
        <v>CML13</v>
      </c>
      <c r="C125" s="82">
        <f>IFERROR(__xludf.DUMMYFUNCTION("""COMPUTED_VALUE"""),114.0)</f>
        <v>114</v>
      </c>
      <c r="D125" s="88" t="str">
        <f>IFERROR(__xludf.DUMMYFUNCTION("""COMPUTED_VALUE"""),"Land of the Void")</f>
        <v>Land of the Void</v>
      </c>
      <c r="E125" s="82" t="str">
        <f>IFERROR(__xludf.DUMMYFUNCTION("""COMPUTED_VALUE"""),"無の大地")</f>
        <v>無の大地</v>
      </c>
      <c r="F125" s="102">
        <f>IFERROR(__xludf.DUMMYFUNCTION("""COMPUTED_VALUE"""),22.0)</f>
        <v>22</v>
      </c>
      <c r="G125" s="82">
        <f>IFERROR(__xludf.DUMMYFUNCTION("""COMPUTED_VALUE"""),4857.0)</f>
        <v>4857</v>
      </c>
      <c r="H125" s="95" t="str">
        <f>IFERROR(__xludf.DUMMYFUNCTION("""COMPUTED_VALUE"""),"")</f>
        <v/>
      </c>
      <c r="I125" s="96" t="str">
        <f>IFERROR(__xludf.DUMMYFUNCTION("""COMPUTED_VALUE"""),"")</f>
        <v/>
      </c>
      <c r="J125" s="97" t="str">
        <f>IFERROR(__xludf.DUMMYFUNCTION("""COMPUTED_VALUE"""),"")</f>
        <v/>
      </c>
      <c r="K125" s="95" t="str">
        <f>IFERROR(__xludf.DUMMYFUNCTION("""COMPUTED_VALUE"""),"")</f>
        <v/>
      </c>
      <c r="L125" s="96" t="str">
        <f>IFERROR(__xludf.DUMMYFUNCTION("""COMPUTED_VALUE"""),"")</f>
        <v/>
      </c>
      <c r="M125" s="97" t="str">
        <f>IFERROR(__xludf.DUMMYFUNCTION("""COMPUTED_VALUE"""),"")</f>
        <v/>
      </c>
      <c r="N125" s="95" t="str">
        <f>IFERROR(__xludf.DUMMYFUNCTION("""COMPUTED_VALUE"""),"")</f>
        <v/>
      </c>
      <c r="O125" s="96" t="str">
        <f>IFERROR(__xludf.DUMMYFUNCTION("""COMPUTED_VALUE"""),"")</f>
        <v/>
      </c>
      <c r="P125" s="97" t="str">
        <f>IFERROR(__xludf.DUMMYFUNCTION("""COMPUTED_VALUE"""),"")</f>
        <v/>
      </c>
      <c r="Q125" s="95" t="str">
        <f>IFERROR(__xludf.DUMMYFUNCTION("""COMPUTED_VALUE"""),"")</f>
        <v/>
      </c>
      <c r="R125" s="96" t="str">
        <f>IFERROR(__xludf.DUMMYFUNCTION("""COMPUTED_VALUE"""),"")</f>
        <v/>
      </c>
      <c r="S125" s="97" t="str">
        <f>IFERROR(__xludf.DUMMYFUNCTION("""COMPUTED_VALUE"""),"")</f>
        <v/>
      </c>
      <c r="T125" s="95" t="str">
        <f>IFERROR(__xludf.DUMMYFUNCTION("""COMPUTED_VALUE"""),"")</f>
        <v/>
      </c>
      <c r="U125" s="96" t="str">
        <f>IFERROR(__xludf.DUMMYFUNCTION("""COMPUTED_VALUE"""),"")</f>
        <v/>
      </c>
      <c r="V125" s="97" t="str">
        <f>IFERROR(__xludf.DUMMYFUNCTION("""COMPUTED_VALUE"""),"")</f>
        <v/>
      </c>
      <c r="W125" s="95" t="str">
        <f>IFERROR(__xludf.DUMMYFUNCTION("""COMPUTED_VALUE"""),"")</f>
        <v/>
      </c>
      <c r="X125" s="96" t="str">
        <f>IFERROR(__xludf.DUMMYFUNCTION("""COMPUTED_VALUE"""),"")</f>
        <v/>
      </c>
      <c r="Y125" s="97" t="str">
        <f>IFERROR(__xludf.DUMMYFUNCTION("""COMPUTED_VALUE"""),"")</f>
        <v/>
      </c>
      <c r="Z125" s="95" t="str">
        <f>IFERROR(__xludf.DUMMYFUNCTION("""COMPUTED_VALUE"""),"")</f>
        <v/>
      </c>
      <c r="AA125" s="96" t="str">
        <f>IFERROR(__xludf.DUMMYFUNCTION("""COMPUTED_VALUE"""),"")</f>
        <v/>
      </c>
      <c r="AB125" s="97" t="str">
        <f>IFERROR(__xludf.DUMMYFUNCTION("""COMPUTED_VALUE"""),"")</f>
        <v/>
      </c>
      <c r="AC125" s="95" t="str">
        <f>IFERROR(__xludf.DUMMYFUNCTION("""COMPUTED_VALUE"""),"")</f>
        <v/>
      </c>
      <c r="AD125" s="96" t="str">
        <f>IFERROR(__xludf.DUMMYFUNCTION("""COMPUTED_VALUE"""),"")</f>
        <v/>
      </c>
      <c r="AE125" s="97" t="str">
        <f>IFERROR(__xludf.DUMMYFUNCTION("""COMPUTED_VALUE"""),"")</f>
        <v/>
      </c>
      <c r="AF125" s="95" t="str">
        <f>IFERROR(__xludf.DUMMYFUNCTION("""COMPUTED_VALUE"""),"")</f>
        <v/>
      </c>
      <c r="AG125" s="96" t="str">
        <f>IFERROR(__xludf.DUMMYFUNCTION("""COMPUTED_VALUE"""),"")</f>
        <v/>
      </c>
      <c r="AH125" s="97">
        <f>IFERROR(__xludf.DUMMYFUNCTION("""COMPUTED_VALUE"""),49.2)</f>
        <v>49.2</v>
      </c>
      <c r="AI125" s="98" t="str">
        <f>IFERROR(__xludf.DUMMYFUNCTION("""COMPUTED_VALUE"""),"")</f>
        <v/>
      </c>
      <c r="AJ125" s="99" t="str">
        <f>IFERROR(__xludf.DUMMYFUNCTION("""COMPUTED_VALUE"""),"")</f>
        <v/>
      </c>
      <c r="AK125" s="100" t="str">
        <f>IFERROR(__xludf.DUMMYFUNCTION("""COMPUTED_VALUE"""),"")</f>
        <v/>
      </c>
      <c r="AL125" s="99" t="str">
        <f>IFERROR(__xludf.DUMMYFUNCTION("""COMPUTED_VALUE"""),"")</f>
        <v/>
      </c>
      <c r="AM125" s="99" t="str">
        <f>IFERROR(__xludf.DUMMYFUNCTION("""COMPUTED_VALUE"""),"")</f>
        <v/>
      </c>
      <c r="AN125" s="100" t="str">
        <f>IFERROR(__xludf.DUMMYFUNCTION("""COMPUTED_VALUE"""),"")</f>
        <v/>
      </c>
      <c r="AO125" s="99" t="str">
        <f>IFERROR(__xludf.DUMMYFUNCTION("""COMPUTED_VALUE"""),"")</f>
        <v/>
      </c>
      <c r="AP125" s="99" t="str">
        <f>IFERROR(__xludf.DUMMYFUNCTION("""COMPUTED_VALUE"""),"")</f>
        <v/>
      </c>
      <c r="AQ125" s="100" t="str">
        <f>IFERROR(__xludf.DUMMYFUNCTION("""COMPUTED_VALUE"""),"")</f>
        <v/>
      </c>
      <c r="AR125" s="99" t="str">
        <f>IFERROR(__xludf.DUMMYFUNCTION("""COMPUTED_VALUE"""),"")</f>
        <v/>
      </c>
      <c r="AS125" s="99" t="str">
        <f>IFERROR(__xludf.DUMMYFUNCTION("""COMPUTED_VALUE"""),"")</f>
        <v/>
      </c>
      <c r="AT125" s="100" t="str">
        <f>IFERROR(__xludf.DUMMYFUNCTION("""COMPUTED_VALUE"""),"")</f>
        <v/>
      </c>
      <c r="AU125" s="99" t="str">
        <f>IFERROR(__xludf.DUMMYFUNCTION("""COMPUTED_VALUE"""),"")</f>
        <v/>
      </c>
      <c r="AV125" s="99" t="str">
        <f>IFERROR(__xludf.DUMMYFUNCTION("""COMPUTED_VALUE"""),"")</f>
        <v/>
      </c>
      <c r="AW125" s="100" t="str">
        <f>IFERROR(__xludf.DUMMYFUNCTION("""COMPUTED_VALUE"""),"")</f>
        <v/>
      </c>
      <c r="AX125" s="99" t="str">
        <f>IFERROR(__xludf.DUMMYFUNCTION("""COMPUTED_VALUE"""),"")</f>
        <v/>
      </c>
      <c r="AY125" s="99" t="str">
        <f>IFERROR(__xludf.DUMMYFUNCTION("""COMPUTED_VALUE"""),"")</f>
        <v/>
      </c>
      <c r="AZ125" s="100" t="str">
        <f>IFERROR(__xludf.DUMMYFUNCTION("""COMPUTED_VALUE"""),"")</f>
        <v/>
      </c>
      <c r="BA125" s="99" t="str">
        <f>IFERROR(__xludf.DUMMYFUNCTION("""COMPUTED_VALUE"""),"")</f>
        <v/>
      </c>
      <c r="BB125" s="99" t="str">
        <f>IFERROR(__xludf.DUMMYFUNCTION("""COMPUTED_VALUE"""),"")</f>
        <v/>
      </c>
      <c r="BC125" s="100" t="str">
        <f>IFERROR(__xludf.DUMMYFUNCTION("""COMPUTED_VALUE"""),"")</f>
        <v/>
      </c>
      <c r="BD125" s="99">
        <f>IFERROR(__xludf.DUMMYFUNCTION("""COMPUTED_VALUE"""),674.0)</f>
        <v>674</v>
      </c>
      <c r="BE125" s="99" t="str">
        <f>IFERROR(__xludf.DUMMYFUNCTION("""COMPUTED_VALUE"""),"")</f>
        <v/>
      </c>
      <c r="BF125" s="100">
        <f>IFERROR(__xludf.DUMMYFUNCTION("""COMPUTED_VALUE"""),346.8)</f>
        <v>346.8</v>
      </c>
      <c r="BG125" s="98" t="str">
        <f>IFERROR(__xludf.DUMMYFUNCTION("""COMPUTED_VALUE"""),"")</f>
        <v/>
      </c>
      <c r="BH125" s="99" t="str">
        <f>IFERROR(__xludf.DUMMYFUNCTION("""COMPUTED_VALUE"""),"")</f>
        <v/>
      </c>
      <c r="BI125" s="100" t="str">
        <f>IFERROR(__xludf.DUMMYFUNCTION("""COMPUTED_VALUE"""),"")</f>
        <v/>
      </c>
      <c r="BJ125" s="99" t="str">
        <f>IFERROR(__xludf.DUMMYFUNCTION("""COMPUTED_VALUE"""),"")</f>
        <v/>
      </c>
      <c r="BK125" s="99" t="str">
        <f>IFERROR(__xludf.DUMMYFUNCTION("""COMPUTED_VALUE"""),"")</f>
        <v/>
      </c>
      <c r="BL125" s="100" t="str">
        <f>IFERROR(__xludf.DUMMYFUNCTION("""COMPUTED_VALUE"""),"")</f>
        <v/>
      </c>
      <c r="BM125" s="99">
        <f>IFERROR(__xludf.DUMMYFUNCTION("""COMPUTED_VALUE"""),502.4)</f>
        <v>502.4</v>
      </c>
      <c r="BN125" s="99" t="str">
        <f>IFERROR(__xludf.DUMMYFUNCTION("""COMPUTED_VALUE"""),"")</f>
        <v/>
      </c>
      <c r="BO125" s="100">
        <f>IFERROR(__xludf.DUMMYFUNCTION("""COMPUTED_VALUE"""),395.8)</f>
        <v>395.8</v>
      </c>
      <c r="BP125" s="99" t="str">
        <f>IFERROR(__xludf.DUMMYFUNCTION("""COMPUTED_VALUE"""),"")</f>
        <v/>
      </c>
      <c r="BQ125" s="99" t="str">
        <f>IFERROR(__xludf.DUMMYFUNCTION("""COMPUTED_VALUE"""),"")</f>
        <v/>
      </c>
      <c r="BR125" s="100">
        <f>IFERROR(__xludf.DUMMYFUNCTION("""COMPUTED_VALUE"""),255.5)</f>
        <v>255.5</v>
      </c>
      <c r="BS125" s="99" t="str">
        <f>IFERROR(__xludf.DUMMYFUNCTION("""COMPUTED_VALUE"""),"")</f>
        <v/>
      </c>
      <c r="BT125" s="99">
        <f>IFERROR(__xludf.DUMMYFUNCTION("""COMPUTED_VALUE"""),143.9)</f>
        <v>143.9</v>
      </c>
      <c r="BU125" s="100" t="str">
        <f>IFERROR(__xludf.DUMMYFUNCTION("""COMPUTED_VALUE"""),"")</f>
        <v/>
      </c>
      <c r="BV125" s="99" t="str">
        <f>IFERROR(__xludf.DUMMYFUNCTION("""COMPUTED_VALUE"""),"")</f>
        <v/>
      </c>
      <c r="BW125" s="99" t="str">
        <f>IFERROR(__xludf.DUMMYFUNCTION("""COMPUTED_VALUE"""),"")</f>
        <v/>
      </c>
      <c r="BX125" s="100" t="str">
        <f>IFERROR(__xludf.DUMMYFUNCTION("""COMPUTED_VALUE"""),"")</f>
        <v/>
      </c>
      <c r="BY125" s="99" t="str">
        <f>IFERROR(__xludf.DUMMYFUNCTION("""COMPUTED_VALUE"""),"")</f>
        <v/>
      </c>
      <c r="BZ125" s="99" t="str">
        <f>IFERROR(__xludf.DUMMYFUNCTION("""COMPUTED_VALUE"""),"")</f>
        <v/>
      </c>
      <c r="CA125" s="100" t="str">
        <f>IFERROR(__xludf.DUMMYFUNCTION("""COMPUTED_VALUE"""),"")</f>
        <v/>
      </c>
      <c r="CB125" s="98" t="str">
        <f>IFERROR(__xludf.DUMMYFUNCTION("""COMPUTED_VALUE"""),"")</f>
        <v/>
      </c>
      <c r="CC125" s="99" t="str">
        <f>IFERROR(__xludf.DUMMYFUNCTION("""COMPUTED_VALUE"""),"")</f>
        <v/>
      </c>
      <c r="CD125" s="100" t="str">
        <f>IFERROR(__xludf.DUMMYFUNCTION("""COMPUTED_VALUE"""),"")</f>
        <v/>
      </c>
      <c r="CE125" s="99" t="str">
        <f>IFERROR(__xludf.DUMMYFUNCTION("""COMPUTED_VALUE"""),"")</f>
        <v/>
      </c>
      <c r="CF125" s="99" t="str">
        <f>IFERROR(__xludf.DUMMYFUNCTION("""COMPUTED_VALUE"""),"")</f>
        <v/>
      </c>
      <c r="CG125" s="100" t="str">
        <f>IFERROR(__xludf.DUMMYFUNCTION("""COMPUTED_VALUE"""),"")</f>
        <v/>
      </c>
      <c r="CH125" s="99" t="str">
        <f>IFERROR(__xludf.DUMMYFUNCTION("""COMPUTED_VALUE"""),"")</f>
        <v/>
      </c>
      <c r="CI125" s="99" t="str">
        <f>IFERROR(__xludf.DUMMYFUNCTION("""COMPUTED_VALUE"""),"")</f>
        <v/>
      </c>
      <c r="CJ125" s="100" t="str">
        <f>IFERROR(__xludf.DUMMYFUNCTION("""COMPUTED_VALUE"""),"")</f>
        <v/>
      </c>
      <c r="CK125" s="99" t="str">
        <f>IFERROR(__xludf.DUMMYFUNCTION("""COMPUTED_VALUE"""),"")</f>
        <v/>
      </c>
      <c r="CL125" s="99" t="str">
        <f>IFERROR(__xludf.DUMMYFUNCTION("""COMPUTED_VALUE"""),"")</f>
        <v/>
      </c>
      <c r="CM125" s="100" t="str">
        <f>IFERROR(__xludf.DUMMYFUNCTION("""COMPUTED_VALUE"""),"")</f>
        <v/>
      </c>
      <c r="CN125" s="99" t="str">
        <f>IFERROR(__xludf.DUMMYFUNCTION("""COMPUTED_VALUE"""),"")</f>
        <v/>
      </c>
      <c r="CO125" s="99" t="str">
        <f>IFERROR(__xludf.DUMMYFUNCTION("""COMPUTED_VALUE"""),"")</f>
        <v/>
      </c>
      <c r="CP125" s="100" t="str">
        <f>IFERROR(__xludf.DUMMYFUNCTION("""COMPUTED_VALUE"""),"")</f>
        <v/>
      </c>
      <c r="CQ125" s="99" t="str">
        <f>IFERROR(__xludf.DUMMYFUNCTION("""COMPUTED_VALUE"""),"")</f>
        <v/>
      </c>
      <c r="CR125" s="99" t="str">
        <f>IFERROR(__xludf.DUMMYFUNCTION("""COMPUTED_VALUE"""),"")</f>
        <v/>
      </c>
      <c r="CS125" s="100"/>
      <c r="CT125" s="99"/>
      <c r="CU125" s="99"/>
      <c r="CV125" s="100"/>
      <c r="CW125" s="99"/>
      <c r="CX125" s="99"/>
      <c r="CY125" s="100"/>
      <c r="CZ125" s="99"/>
      <c r="DA125" s="99"/>
      <c r="DB125" s="100"/>
      <c r="DC125" s="99"/>
      <c r="DD125" s="99"/>
      <c r="DE125" s="100"/>
      <c r="DF125" s="99"/>
      <c r="DG125" s="99"/>
      <c r="DH125" s="100"/>
      <c r="DI125" s="99"/>
      <c r="DJ125" s="99"/>
      <c r="DK125" s="100"/>
      <c r="DL125" s="99"/>
      <c r="DM125" s="99"/>
      <c r="DN125" s="100"/>
      <c r="DO125" s="99"/>
      <c r="DP125" s="99"/>
      <c r="DQ125" s="100"/>
      <c r="DR125" s="99"/>
      <c r="DS125" s="99"/>
      <c r="DT125" s="100"/>
    </row>
    <row r="126">
      <c r="B126" s="120" t="str">
        <f>IFERROR(__xludf.DUMMYFUNCTION("""COMPUTED_VALUE"""),"CML14")</f>
        <v>CML14</v>
      </c>
      <c r="C126" s="82">
        <f>IFERROR(__xludf.DUMMYFUNCTION("""COMPUTED_VALUE"""),115.0)</f>
        <v>115</v>
      </c>
      <c r="D126" s="88" t="str">
        <f>IFERROR(__xludf.DUMMYFUNCTION("""COMPUTED_VALUE"""),"Great Temple")</f>
        <v>Great Temple</v>
      </c>
      <c r="E126" s="82" t="str">
        <f>IFERROR(__xludf.DUMMYFUNCTION("""COMPUTED_VALUE"""),"大神殿")</f>
        <v>大神殿</v>
      </c>
      <c r="F126" s="102">
        <f>IFERROR(__xludf.DUMMYFUNCTION("""COMPUTED_VALUE"""),22.0)</f>
        <v>22</v>
      </c>
      <c r="G126" s="82">
        <f>IFERROR(__xludf.DUMMYFUNCTION("""COMPUTED_VALUE"""),42852.0)</f>
        <v>42852</v>
      </c>
      <c r="H126" s="95" t="str">
        <f>IFERROR(__xludf.DUMMYFUNCTION("""COMPUTED_VALUE"""),"")</f>
        <v/>
      </c>
      <c r="I126" s="96" t="str">
        <f>IFERROR(__xludf.DUMMYFUNCTION("""COMPUTED_VALUE"""),"")</f>
        <v/>
      </c>
      <c r="J126" s="97" t="str">
        <f>IFERROR(__xludf.DUMMYFUNCTION("""COMPUTED_VALUE"""),"")</f>
        <v/>
      </c>
      <c r="K126" s="95" t="str">
        <f>IFERROR(__xludf.DUMMYFUNCTION("""COMPUTED_VALUE"""),"")</f>
        <v/>
      </c>
      <c r="L126" s="96" t="str">
        <f>IFERROR(__xludf.DUMMYFUNCTION("""COMPUTED_VALUE"""),"")</f>
        <v/>
      </c>
      <c r="M126" s="97" t="str">
        <f>IFERROR(__xludf.DUMMYFUNCTION("""COMPUTED_VALUE"""),"")</f>
        <v/>
      </c>
      <c r="N126" s="95" t="str">
        <f>IFERROR(__xludf.DUMMYFUNCTION("""COMPUTED_VALUE"""),"")</f>
        <v/>
      </c>
      <c r="O126" s="96" t="str">
        <f>IFERROR(__xludf.DUMMYFUNCTION("""COMPUTED_VALUE"""),"")</f>
        <v/>
      </c>
      <c r="P126" s="97">
        <f>IFERROR(__xludf.DUMMYFUNCTION("""COMPUTED_VALUE"""),181.6)</f>
        <v>181.6</v>
      </c>
      <c r="Q126" s="95" t="str">
        <f>IFERROR(__xludf.DUMMYFUNCTION("""COMPUTED_VALUE"""),"")</f>
        <v/>
      </c>
      <c r="R126" s="96" t="str">
        <f>IFERROR(__xludf.DUMMYFUNCTION("""COMPUTED_VALUE"""),"")</f>
        <v/>
      </c>
      <c r="S126" s="97" t="str">
        <f>IFERROR(__xludf.DUMMYFUNCTION("""COMPUTED_VALUE"""),"")</f>
        <v/>
      </c>
      <c r="T126" s="95" t="str">
        <f>IFERROR(__xludf.DUMMYFUNCTION("""COMPUTED_VALUE"""),"")</f>
        <v/>
      </c>
      <c r="U126" s="96" t="str">
        <f>IFERROR(__xludf.DUMMYFUNCTION("""COMPUTED_VALUE"""),"")</f>
        <v/>
      </c>
      <c r="V126" s="97" t="str">
        <f>IFERROR(__xludf.DUMMYFUNCTION("""COMPUTED_VALUE"""),"")</f>
        <v/>
      </c>
      <c r="W126" s="95" t="str">
        <f>IFERROR(__xludf.DUMMYFUNCTION("""COMPUTED_VALUE"""),"")</f>
        <v/>
      </c>
      <c r="X126" s="96" t="str">
        <f>IFERROR(__xludf.DUMMYFUNCTION("""COMPUTED_VALUE"""),"")</f>
        <v/>
      </c>
      <c r="Y126" s="97" t="str">
        <f>IFERROR(__xludf.DUMMYFUNCTION("""COMPUTED_VALUE"""),"")</f>
        <v/>
      </c>
      <c r="Z126" s="95" t="str">
        <f>IFERROR(__xludf.DUMMYFUNCTION("""COMPUTED_VALUE"""),"")</f>
        <v/>
      </c>
      <c r="AA126" s="96" t="str">
        <f>IFERROR(__xludf.DUMMYFUNCTION("""COMPUTED_VALUE"""),"")</f>
        <v/>
      </c>
      <c r="AB126" s="97" t="str">
        <f>IFERROR(__xludf.DUMMYFUNCTION("""COMPUTED_VALUE"""),"")</f>
        <v/>
      </c>
      <c r="AC126" s="95" t="str">
        <f>IFERROR(__xludf.DUMMYFUNCTION("""COMPUTED_VALUE"""),"")</f>
        <v/>
      </c>
      <c r="AD126" s="96" t="str">
        <f>IFERROR(__xludf.DUMMYFUNCTION("""COMPUTED_VALUE"""),"")</f>
        <v/>
      </c>
      <c r="AE126" s="97" t="str">
        <f>IFERROR(__xludf.DUMMYFUNCTION("""COMPUTED_VALUE"""),"")</f>
        <v/>
      </c>
      <c r="AF126" s="95" t="str">
        <f>IFERROR(__xludf.DUMMYFUNCTION("""COMPUTED_VALUE"""),"")</f>
        <v/>
      </c>
      <c r="AG126" s="96" t="str">
        <f>IFERROR(__xludf.DUMMYFUNCTION("""COMPUTED_VALUE"""),"")</f>
        <v/>
      </c>
      <c r="AH126" s="97" t="str">
        <f>IFERROR(__xludf.DUMMYFUNCTION("""COMPUTED_VALUE"""),"")</f>
        <v/>
      </c>
      <c r="AI126" s="92" t="str">
        <f>IFERROR(__xludf.DUMMYFUNCTION("""COMPUTED_VALUE"""),"")</f>
        <v/>
      </c>
      <c r="AJ126" s="93" t="str">
        <f>IFERROR(__xludf.DUMMYFUNCTION("""COMPUTED_VALUE"""),"")</f>
        <v/>
      </c>
      <c r="AK126" s="94" t="str">
        <f>IFERROR(__xludf.DUMMYFUNCTION("""COMPUTED_VALUE"""),"")</f>
        <v/>
      </c>
      <c r="AL126" s="93" t="str">
        <f>IFERROR(__xludf.DUMMYFUNCTION("""COMPUTED_VALUE"""),"")</f>
        <v/>
      </c>
      <c r="AM126" s="93" t="str">
        <f>IFERROR(__xludf.DUMMYFUNCTION("""COMPUTED_VALUE"""),"")</f>
        <v/>
      </c>
      <c r="AN126" s="94" t="str">
        <f>IFERROR(__xludf.DUMMYFUNCTION("""COMPUTED_VALUE"""),"")</f>
        <v/>
      </c>
      <c r="AO126" s="93" t="str">
        <f>IFERROR(__xludf.DUMMYFUNCTION("""COMPUTED_VALUE"""),"")</f>
        <v/>
      </c>
      <c r="AP126" s="93" t="str">
        <f>IFERROR(__xludf.DUMMYFUNCTION("""COMPUTED_VALUE"""),"")</f>
        <v/>
      </c>
      <c r="AQ126" s="134" t="str">
        <f>IFERROR(__xludf.DUMMYFUNCTION("""COMPUTED_VALUE"""),"")</f>
        <v/>
      </c>
      <c r="AR126" s="93" t="str">
        <f>IFERROR(__xludf.DUMMYFUNCTION("""COMPUTED_VALUE"""),"")</f>
        <v/>
      </c>
      <c r="AS126" s="93" t="str">
        <f>IFERROR(__xludf.DUMMYFUNCTION("""COMPUTED_VALUE"""),"")</f>
        <v/>
      </c>
      <c r="AT126" s="94" t="str">
        <f>IFERROR(__xludf.DUMMYFUNCTION("""COMPUTED_VALUE"""),"")</f>
        <v/>
      </c>
      <c r="AU126" s="93" t="str">
        <f>IFERROR(__xludf.DUMMYFUNCTION("""COMPUTED_VALUE"""),"")</f>
        <v/>
      </c>
      <c r="AV126" s="93" t="str">
        <f>IFERROR(__xludf.DUMMYFUNCTION("""COMPUTED_VALUE"""),"")</f>
        <v/>
      </c>
      <c r="AW126" s="94" t="str">
        <f>IFERROR(__xludf.DUMMYFUNCTION("""COMPUTED_VALUE"""),"")</f>
        <v/>
      </c>
      <c r="AX126" s="93">
        <f>IFERROR(__xludf.DUMMYFUNCTION("""COMPUTED_VALUE"""),51.9)</f>
        <v>51.9</v>
      </c>
      <c r="AY126" s="93" t="str">
        <f>IFERROR(__xludf.DUMMYFUNCTION("""COMPUTED_VALUE"""),"")</f>
        <v/>
      </c>
      <c r="AZ126" s="94" t="str">
        <f>IFERROR(__xludf.DUMMYFUNCTION("""COMPUTED_VALUE"""),"")</f>
        <v/>
      </c>
      <c r="BA126" s="93" t="str">
        <f>IFERROR(__xludf.DUMMYFUNCTION("""COMPUTED_VALUE"""),"")</f>
        <v/>
      </c>
      <c r="BB126" s="93" t="str">
        <f>IFERROR(__xludf.DUMMYFUNCTION("""COMPUTED_VALUE"""),"")</f>
        <v/>
      </c>
      <c r="BC126" s="94" t="str">
        <f>IFERROR(__xludf.DUMMYFUNCTION("""COMPUTED_VALUE"""),"")</f>
        <v/>
      </c>
      <c r="BD126" s="93" t="str">
        <f>IFERROR(__xludf.DUMMYFUNCTION("""COMPUTED_VALUE"""),"")</f>
        <v/>
      </c>
      <c r="BE126" s="93" t="str">
        <f>IFERROR(__xludf.DUMMYFUNCTION("""COMPUTED_VALUE"""),"")</f>
        <v/>
      </c>
      <c r="BF126" s="94" t="str">
        <f>IFERROR(__xludf.DUMMYFUNCTION("""COMPUTED_VALUE"""),"")</f>
        <v/>
      </c>
      <c r="BG126" s="92">
        <f>IFERROR(__xludf.DUMMYFUNCTION("""COMPUTED_VALUE"""),364.9)</f>
        <v>364.9</v>
      </c>
      <c r="BH126" s="93" t="str">
        <f>IFERROR(__xludf.DUMMYFUNCTION("""COMPUTED_VALUE"""),"")</f>
        <v/>
      </c>
      <c r="BI126" s="94" t="str">
        <f>IFERROR(__xludf.DUMMYFUNCTION("""COMPUTED_VALUE"""),"")</f>
        <v/>
      </c>
      <c r="BJ126" s="93" t="str">
        <f>IFERROR(__xludf.DUMMYFUNCTION("""COMPUTED_VALUE"""),"")</f>
        <v/>
      </c>
      <c r="BK126" s="93" t="str">
        <f>IFERROR(__xludf.DUMMYFUNCTION("""COMPUTED_VALUE"""),"")</f>
        <v/>
      </c>
      <c r="BL126" s="94" t="str">
        <f>IFERROR(__xludf.DUMMYFUNCTION("""COMPUTED_VALUE"""),"")</f>
        <v/>
      </c>
      <c r="BM126" s="93" t="str">
        <f>IFERROR(__xludf.DUMMYFUNCTION("""COMPUTED_VALUE"""),"")</f>
        <v/>
      </c>
      <c r="BN126" s="93" t="str">
        <f>IFERROR(__xludf.DUMMYFUNCTION("""COMPUTED_VALUE"""),"")</f>
        <v/>
      </c>
      <c r="BO126" s="94" t="str">
        <f>IFERROR(__xludf.DUMMYFUNCTION("""COMPUTED_VALUE"""),"")</f>
        <v/>
      </c>
      <c r="BP126" s="93" t="str">
        <f>IFERROR(__xludf.DUMMYFUNCTION("""COMPUTED_VALUE"""),"")</f>
        <v/>
      </c>
      <c r="BQ126" s="93" t="str">
        <f>IFERROR(__xludf.DUMMYFUNCTION("""COMPUTED_VALUE"""),"")</f>
        <v/>
      </c>
      <c r="BR126" s="94" t="str">
        <f>IFERROR(__xludf.DUMMYFUNCTION("""COMPUTED_VALUE"""),"")</f>
        <v/>
      </c>
      <c r="BS126" s="93" t="str">
        <f>IFERROR(__xludf.DUMMYFUNCTION("""COMPUTED_VALUE"""),"")</f>
        <v/>
      </c>
      <c r="BT126" s="106" t="str">
        <f>IFERROR(__xludf.DUMMYFUNCTION("""COMPUTED_VALUE"""),"")</f>
        <v/>
      </c>
      <c r="BU126" s="94" t="str">
        <f>IFERROR(__xludf.DUMMYFUNCTION("""COMPUTED_VALUE"""),"")</f>
        <v/>
      </c>
      <c r="BV126" s="93">
        <f>IFERROR(__xludf.DUMMYFUNCTION("""COMPUTED_VALUE"""),464.5)</f>
        <v>464.5</v>
      </c>
      <c r="BW126" s="93">
        <f>IFERROR(__xludf.DUMMYFUNCTION("""COMPUTED_VALUE"""),147.0)</f>
        <v>147</v>
      </c>
      <c r="BX126" s="94" t="str">
        <f>IFERROR(__xludf.DUMMYFUNCTION("""COMPUTED_VALUE"""),"")</f>
        <v/>
      </c>
      <c r="BY126" s="93" t="str">
        <f>IFERROR(__xludf.DUMMYFUNCTION("""COMPUTED_VALUE"""),"")</f>
        <v/>
      </c>
      <c r="BZ126" s="93" t="str">
        <f>IFERROR(__xludf.DUMMYFUNCTION("""COMPUTED_VALUE"""),"")</f>
        <v/>
      </c>
      <c r="CA126" s="94" t="str">
        <f>IFERROR(__xludf.DUMMYFUNCTION("""COMPUTED_VALUE"""),"")</f>
        <v/>
      </c>
      <c r="CB126" s="92" t="str">
        <f>IFERROR(__xludf.DUMMYFUNCTION("""COMPUTED_VALUE"""),"")</f>
        <v/>
      </c>
      <c r="CC126" s="93" t="str">
        <f>IFERROR(__xludf.DUMMYFUNCTION("""COMPUTED_VALUE"""),"")</f>
        <v/>
      </c>
      <c r="CD126" s="94" t="str">
        <f>IFERROR(__xludf.DUMMYFUNCTION("""COMPUTED_VALUE"""),"")</f>
        <v/>
      </c>
      <c r="CE126" s="93" t="str">
        <f>IFERROR(__xludf.DUMMYFUNCTION("""COMPUTED_VALUE"""),"")</f>
        <v/>
      </c>
      <c r="CF126" s="93" t="str">
        <f>IFERROR(__xludf.DUMMYFUNCTION("""COMPUTED_VALUE"""),"")</f>
        <v/>
      </c>
      <c r="CG126" s="94" t="str">
        <f>IFERROR(__xludf.DUMMYFUNCTION("""COMPUTED_VALUE"""),"")</f>
        <v/>
      </c>
      <c r="CH126" s="93" t="str">
        <f>IFERROR(__xludf.DUMMYFUNCTION("""COMPUTED_VALUE"""),"")</f>
        <v/>
      </c>
      <c r="CI126" s="93" t="str">
        <f>IFERROR(__xludf.DUMMYFUNCTION("""COMPUTED_VALUE"""),"")</f>
        <v/>
      </c>
      <c r="CJ126" s="94" t="str">
        <f>IFERROR(__xludf.DUMMYFUNCTION("""COMPUTED_VALUE"""),"")</f>
        <v/>
      </c>
      <c r="CK126" s="93" t="str">
        <f>IFERROR(__xludf.DUMMYFUNCTION("""COMPUTED_VALUE"""),"")</f>
        <v/>
      </c>
      <c r="CL126" s="93" t="str">
        <f>IFERROR(__xludf.DUMMYFUNCTION("""COMPUTED_VALUE"""),"")</f>
        <v/>
      </c>
      <c r="CM126" s="94" t="str">
        <f>IFERROR(__xludf.DUMMYFUNCTION("""COMPUTED_VALUE"""),"")</f>
        <v/>
      </c>
      <c r="CN126" s="93" t="str">
        <f>IFERROR(__xludf.DUMMYFUNCTION("""COMPUTED_VALUE"""),"")</f>
        <v/>
      </c>
      <c r="CO126" s="106" t="str">
        <f>IFERROR(__xludf.DUMMYFUNCTION("""COMPUTED_VALUE"""),"")</f>
        <v/>
      </c>
      <c r="CP126" s="94">
        <f>IFERROR(__xludf.DUMMYFUNCTION("""COMPUTED_VALUE"""),13.5)</f>
        <v>13.5</v>
      </c>
      <c r="CQ126" s="93" t="str">
        <f>IFERROR(__xludf.DUMMYFUNCTION("""COMPUTED_VALUE"""),"")</f>
        <v/>
      </c>
      <c r="CR126" s="93" t="str">
        <f>IFERROR(__xludf.DUMMYFUNCTION("""COMPUTED_VALUE"""),"")</f>
        <v/>
      </c>
      <c r="CS126" s="94"/>
      <c r="CT126" s="93"/>
      <c r="CU126" s="93"/>
      <c r="CV126" s="94"/>
      <c r="CW126" s="93"/>
      <c r="CX126" s="93"/>
      <c r="CY126" s="94"/>
      <c r="CZ126" s="93"/>
      <c r="DA126" s="106"/>
      <c r="DB126" s="94"/>
      <c r="DC126" s="93"/>
      <c r="DD126" s="93"/>
      <c r="DE126" s="94"/>
      <c r="DF126" s="93"/>
      <c r="DG126" s="93"/>
      <c r="DH126" s="94"/>
      <c r="DI126" s="93"/>
      <c r="DJ126" s="106"/>
      <c r="DK126" s="94"/>
      <c r="DL126" s="93"/>
      <c r="DM126" s="93"/>
      <c r="DN126" s="94"/>
      <c r="DO126" s="93"/>
      <c r="DP126" s="93"/>
      <c r="DQ126" s="94"/>
      <c r="DR126" s="93"/>
      <c r="DS126" s="93"/>
      <c r="DT126" s="94"/>
    </row>
    <row r="127">
      <c r="A127" s="145" t="str">
        <f>IFERROR(__xludf.DUMMYFUNCTION("""COMPUTED_VALUE"""),"BABYLONIA")</f>
        <v>BABYLONIA</v>
      </c>
      <c r="B127" s="120" t="str">
        <f>IFERROR(__xludf.DUMMYFUNCTION("""COMPUTED_VALUE"""),"BBL1")</f>
        <v>BBL1</v>
      </c>
      <c r="C127" s="82">
        <f>IFERROR(__xludf.DUMMYFUNCTION("""COMPUTED_VALUE"""),116.0)</f>
        <v>116</v>
      </c>
      <c r="D127" s="88" t="str">
        <f>IFERROR(__xludf.DUMMYFUNCTION("""COMPUTED_VALUE"""),"Fallen Babylon")</f>
        <v>Fallen Babylon</v>
      </c>
      <c r="E127" s="82" t="str">
        <f>IFERROR(__xludf.DUMMYFUNCTION("""COMPUTED_VALUE"""),"廃都バビロン")</f>
        <v>廃都バビロン</v>
      </c>
      <c r="F127" s="102">
        <f>IFERROR(__xludf.DUMMYFUNCTION("""COMPUTED_VALUE"""),20.0)</f>
        <v>20</v>
      </c>
      <c r="G127" s="82">
        <f>IFERROR(__xludf.DUMMYFUNCTION("""COMPUTED_VALUE"""),13741.0)</f>
        <v>13741</v>
      </c>
      <c r="H127" s="95" t="str">
        <f>IFERROR(__xludf.DUMMYFUNCTION("""COMPUTED_VALUE"""),"")</f>
        <v/>
      </c>
      <c r="I127" s="96" t="str">
        <f>IFERROR(__xludf.DUMMYFUNCTION("""COMPUTED_VALUE"""),"")</f>
        <v/>
      </c>
      <c r="J127" s="97" t="str">
        <f>IFERROR(__xludf.DUMMYFUNCTION("""COMPUTED_VALUE"""),"")</f>
        <v/>
      </c>
      <c r="K127" s="95" t="str">
        <f>IFERROR(__xludf.DUMMYFUNCTION("""COMPUTED_VALUE"""),"")</f>
        <v/>
      </c>
      <c r="L127" s="96" t="str">
        <f>IFERROR(__xludf.DUMMYFUNCTION("""COMPUTED_VALUE"""),"")</f>
        <v/>
      </c>
      <c r="M127" s="97" t="str">
        <f>IFERROR(__xludf.DUMMYFUNCTION("""COMPUTED_VALUE"""),"")</f>
        <v/>
      </c>
      <c r="N127" s="95" t="str">
        <f>IFERROR(__xludf.DUMMYFUNCTION("""COMPUTED_VALUE"""),"")</f>
        <v/>
      </c>
      <c r="O127" s="96" t="str">
        <f>IFERROR(__xludf.DUMMYFUNCTION("""COMPUTED_VALUE"""),"")</f>
        <v/>
      </c>
      <c r="P127" s="97" t="str">
        <f>IFERROR(__xludf.DUMMYFUNCTION("""COMPUTED_VALUE"""),"")</f>
        <v/>
      </c>
      <c r="Q127" s="95" t="str">
        <f>IFERROR(__xludf.DUMMYFUNCTION("""COMPUTED_VALUE"""),"")</f>
        <v/>
      </c>
      <c r="R127" s="96" t="str">
        <f>IFERROR(__xludf.DUMMYFUNCTION("""COMPUTED_VALUE"""),"")</f>
        <v/>
      </c>
      <c r="S127" s="97" t="str">
        <f>IFERROR(__xludf.DUMMYFUNCTION("""COMPUTED_VALUE"""),"")</f>
        <v/>
      </c>
      <c r="T127" s="95" t="str">
        <f>IFERROR(__xludf.DUMMYFUNCTION("""COMPUTED_VALUE"""),"")</f>
        <v/>
      </c>
      <c r="U127" s="96" t="str">
        <f>IFERROR(__xludf.DUMMYFUNCTION("""COMPUTED_VALUE"""),"")</f>
        <v/>
      </c>
      <c r="V127" s="97" t="str">
        <f>IFERROR(__xludf.DUMMYFUNCTION("""COMPUTED_VALUE"""),"")</f>
        <v/>
      </c>
      <c r="W127" s="95" t="str">
        <f>IFERROR(__xludf.DUMMYFUNCTION("""COMPUTED_VALUE"""),"")</f>
        <v/>
      </c>
      <c r="X127" s="96" t="str">
        <f>IFERROR(__xludf.DUMMYFUNCTION("""COMPUTED_VALUE"""),"")</f>
        <v/>
      </c>
      <c r="Y127" s="97" t="str">
        <f>IFERROR(__xludf.DUMMYFUNCTION("""COMPUTED_VALUE"""),"")</f>
        <v/>
      </c>
      <c r="Z127" s="95">
        <f>IFERROR(__xludf.DUMMYFUNCTION("""COMPUTED_VALUE"""),40.3)</f>
        <v>40.3</v>
      </c>
      <c r="AA127" s="96" t="str">
        <f>IFERROR(__xludf.DUMMYFUNCTION("""COMPUTED_VALUE"""),"")</f>
        <v/>
      </c>
      <c r="AB127" s="97" t="str">
        <f>IFERROR(__xludf.DUMMYFUNCTION("""COMPUTED_VALUE"""),"")</f>
        <v/>
      </c>
      <c r="AC127" s="95" t="str">
        <f>IFERROR(__xludf.DUMMYFUNCTION("""COMPUTED_VALUE"""),"")</f>
        <v/>
      </c>
      <c r="AD127" s="96" t="str">
        <f>IFERROR(__xludf.DUMMYFUNCTION("""COMPUTED_VALUE"""),"")</f>
        <v/>
      </c>
      <c r="AE127" s="97" t="str">
        <f>IFERROR(__xludf.DUMMYFUNCTION("""COMPUTED_VALUE"""),"")</f>
        <v/>
      </c>
      <c r="AF127" s="95" t="str">
        <f>IFERROR(__xludf.DUMMYFUNCTION("""COMPUTED_VALUE"""),"")</f>
        <v/>
      </c>
      <c r="AG127" s="96" t="str">
        <f>IFERROR(__xludf.DUMMYFUNCTION("""COMPUTED_VALUE"""),"")</f>
        <v/>
      </c>
      <c r="AH127" s="97" t="str">
        <f>IFERROR(__xludf.DUMMYFUNCTION("""COMPUTED_VALUE"""),"")</f>
        <v/>
      </c>
      <c r="AI127" s="131" t="str">
        <f>IFERROR(__xludf.DUMMYFUNCTION("""COMPUTED_VALUE"""),"")</f>
        <v/>
      </c>
      <c r="AJ127" s="132" t="str">
        <f>IFERROR(__xludf.DUMMYFUNCTION("""COMPUTED_VALUE"""),"")</f>
        <v/>
      </c>
      <c r="AK127" s="133" t="str">
        <f>IFERROR(__xludf.DUMMYFUNCTION("""COMPUTED_VALUE"""),"")</f>
        <v/>
      </c>
      <c r="AL127" s="132" t="str">
        <f>IFERROR(__xludf.DUMMYFUNCTION("""COMPUTED_VALUE"""),"")</f>
        <v/>
      </c>
      <c r="AM127" s="132" t="str">
        <f>IFERROR(__xludf.DUMMYFUNCTION("""COMPUTED_VALUE"""),"")</f>
        <v/>
      </c>
      <c r="AN127" s="133" t="str">
        <f>IFERROR(__xludf.DUMMYFUNCTION("""COMPUTED_VALUE"""),"")</f>
        <v/>
      </c>
      <c r="AO127" s="132" t="str">
        <f>IFERROR(__xludf.DUMMYFUNCTION("""COMPUTED_VALUE"""),"")</f>
        <v/>
      </c>
      <c r="AP127" s="132" t="str">
        <f>IFERROR(__xludf.DUMMYFUNCTION("""COMPUTED_VALUE"""),"")</f>
        <v/>
      </c>
      <c r="AQ127" s="133" t="str">
        <f>IFERROR(__xludf.DUMMYFUNCTION("""COMPUTED_VALUE"""),"")</f>
        <v/>
      </c>
      <c r="AR127" s="132" t="str">
        <f>IFERROR(__xludf.DUMMYFUNCTION("""COMPUTED_VALUE"""),"")</f>
        <v/>
      </c>
      <c r="AS127" s="132" t="str">
        <f>IFERROR(__xludf.DUMMYFUNCTION("""COMPUTED_VALUE"""),"")</f>
        <v/>
      </c>
      <c r="AT127" s="133" t="str">
        <f>IFERROR(__xludf.DUMMYFUNCTION("""COMPUTED_VALUE"""),"")</f>
        <v/>
      </c>
      <c r="AU127" s="132" t="str">
        <f>IFERROR(__xludf.DUMMYFUNCTION("""COMPUTED_VALUE"""),"")</f>
        <v/>
      </c>
      <c r="AV127" s="132" t="str">
        <f>IFERROR(__xludf.DUMMYFUNCTION("""COMPUTED_VALUE"""),"")</f>
        <v/>
      </c>
      <c r="AW127" s="133" t="str">
        <f>IFERROR(__xludf.DUMMYFUNCTION("""COMPUTED_VALUE"""),"")</f>
        <v/>
      </c>
      <c r="AX127" s="132" t="str">
        <f>IFERROR(__xludf.DUMMYFUNCTION("""COMPUTED_VALUE"""),"")</f>
        <v/>
      </c>
      <c r="AY127" s="132" t="str">
        <f>IFERROR(__xludf.DUMMYFUNCTION("""COMPUTED_VALUE"""),"")</f>
        <v/>
      </c>
      <c r="AZ127" s="146" t="str">
        <f>IFERROR(__xludf.DUMMYFUNCTION("""COMPUTED_VALUE"""),"")</f>
        <v/>
      </c>
      <c r="BA127" s="132" t="str">
        <f>IFERROR(__xludf.DUMMYFUNCTION("""COMPUTED_VALUE"""),"")</f>
        <v/>
      </c>
      <c r="BB127" s="132" t="str">
        <f>IFERROR(__xludf.DUMMYFUNCTION("""COMPUTED_VALUE"""),"")</f>
        <v/>
      </c>
      <c r="BC127" s="133" t="str">
        <f>IFERROR(__xludf.DUMMYFUNCTION("""COMPUTED_VALUE"""),"")</f>
        <v/>
      </c>
      <c r="BD127" s="132" t="str">
        <f>IFERROR(__xludf.DUMMYFUNCTION("""COMPUTED_VALUE"""),"")</f>
        <v/>
      </c>
      <c r="BE127" s="132" t="str">
        <f>IFERROR(__xludf.DUMMYFUNCTION("""COMPUTED_VALUE"""),"")</f>
        <v/>
      </c>
      <c r="BF127" s="133" t="str">
        <f>IFERROR(__xludf.DUMMYFUNCTION("""COMPUTED_VALUE"""),"")</f>
        <v/>
      </c>
      <c r="BG127" s="131" t="str">
        <f>IFERROR(__xludf.DUMMYFUNCTION("""COMPUTED_VALUE"""),"")</f>
        <v/>
      </c>
      <c r="BH127" s="132" t="str">
        <f>IFERROR(__xludf.DUMMYFUNCTION("""COMPUTED_VALUE"""),"")</f>
        <v/>
      </c>
      <c r="BI127" s="133" t="str">
        <f>IFERROR(__xludf.DUMMYFUNCTION("""COMPUTED_VALUE"""),"")</f>
        <v/>
      </c>
      <c r="BJ127" s="132" t="str">
        <f>IFERROR(__xludf.DUMMYFUNCTION("""COMPUTED_VALUE"""),"")</f>
        <v/>
      </c>
      <c r="BK127" s="132" t="str">
        <f>IFERROR(__xludf.DUMMYFUNCTION("""COMPUTED_VALUE"""),"")</f>
        <v/>
      </c>
      <c r="BL127" s="133" t="str">
        <f>IFERROR(__xludf.DUMMYFUNCTION("""COMPUTED_VALUE"""),"")</f>
        <v/>
      </c>
      <c r="BM127" s="132" t="str">
        <f>IFERROR(__xludf.DUMMYFUNCTION("""COMPUTED_VALUE"""),"")</f>
        <v/>
      </c>
      <c r="BN127" s="132" t="str">
        <f>IFERROR(__xludf.DUMMYFUNCTION("""COMPUTED_VALUE"""),"")</f>
        <v/>
      </c>
      <c r="BO127" s="133" t="str">
        <f>IFERROR(__xludf.DUMMYFUNCTION("""COMPUTED_VALUE"""),"")</f>
        <v/>
      </c>
      <c r="BP127" s="132" t="str">
        <f>IFERROR(__xludf.DUMMYFUNCTION("""COMPUTED_VALUE"""),"")</f>
        <v/>
      </c>
      <c r="BQ127" s="132" t="str">
        <f>IFERROR(__xludf.DUMMYFUNCTION("""COMPUTED_VALUE"""),"")</f>
        <v/>
      </c>
      <c r="BR127" s="133" t="str">
        <f>IFERROR(__xludf.DUMMYFUNCTION("""COMPUTED_VALUE"""),"")</f>
        <v/>
      </c>
      <c r="BS127" s="132" t="str">
        <f>IFERROR(__xludf.DUMMYFUNCTION("""COMPUTED_VALUE"""),"")</f>
        <v/>
      </c>
      <c r="BT127" s="132">
        <f>IFERROR(__xludf.DUMMYFUNCTION("""COMPUTED_VALUE"""),44.1)</f>
        <v>44.1</v>
      </c>
      <c r="BU127" s="133" t="str">
        <f>IFERROR(__xludf.DUMMYFUNCTION("""COMPUTED_VALUE"""),"")</f>
        <v/>
      </c>
      <c r="BV127" s="132" t="str">
        <f>IFERROR(__xludf.DUMMYFUNCTION("""COMPUTED_VALUE"""),"")</f>
        <v/>
      </c>
      <c r="BW127" s="132" t="str">
        <f>IFERROR(__xludf.DUMMYFUNCTION("""COMPUTED_VALUE"""),"")</f>
        <v/>
      </c>
      <c r="BX127" s="133" t="str">
        <f>IFERROR(__xludf.DUMMYFUNCTION("""COMPUTED_VALUE"""),"")</f>
        <v/>
      </c>
      <c r="BY127" s="132" t="str">
        <f>IFERROR(__xludf.DUMMYFUNCTION("""COMPUTED_VALUE"""),"")</f>
        <v/>
      </c>
      <c r="BZ127" s="132" t="str">
        <f>IFERROR(__xludf.DUMMYFUNCTION("""COMPUTED_VALUE"""),"")</f>
        <v/>
      </c>
      <c r="CA127" s="133" t="str">
        <f>IFERROR(__xludf.DUMMYFUNCTION("""COMPUTED_VALUE"""),"")</f>
        <v/>
      </c>
      <c r="CB127" s="131" t="str">
        <f>IFERROR(__xludf.DUMMYFUNCTION("""COMPUTED_VALUE"""),"")</f>
        <v/>
      </c>
      <c r="CC127" s="132" t="str">
        <f>IFERROR(__xludf.DUMMYFUNCTION("""COMPUTED_VALUE"""),"")</f>
        <v/>
      </c>
      <c r="CD127" s="133" t="str">
        <f>IFERROR(__xludf.DUMMYFUNCTION("""COMPUTED_VALUE"""),"")</f>
        <v/>
      </c>
      <c r="CE127" s="132" t="str">
        <f>IFERROR(__xludf.DUMMYFUNCTION("""COMPUTED_VALUE"""),"")</f>
        <v/>
      </c>
      <c r="CF127" s="132" t="str">
        <f>IFERROR(__xludf.DUMMYFUNCTION("""COMPUTED_VALUE"""),"")</f>
        <v/>
      </c>
      <c r="CG127" s="133" t="str">
        <f>IFERROR(__xludf.DUMMYFUNCTION("""COMPUTED_VALUE"""),"")</f>
        <v/>
      </c>
      <c r="CH127" s="132" t="str">
        <f>IFERROR(__xludf.DUMMYFUNCTION("""COMPUTED_VALUE"""),"")</f>
        <v/>
      </c>
      <c r="CI127" s="132" t="str">
        <f>IFERROR(__xludf.DUMMYFUNCTION("""COMPUTED_VALUE"""),"")</f>
        <v/>
      </c>
      <c r="CJ127" s="133" t="str">
        <f>IFERROR(__xludf.DUMMYFUNCTION("""COMPUTED_VALUE"""),"")</f>
        <v/>
      </c>
      <c r="CK127" s="132" t="str">
        <f>IFERROR(__xludf.DUMMYFUNCTION("""COMPUTED_VALUE"""),"")</f>
        <v/>
      </c>
      <c r="CL127" s="132" t="str">
        <f>IFERROR(__xludf.DUMMYFUNCTION("""COMPUTED_VALUE"""),"")</f>
        <v/>
      </c>
      <c r="CM127" s="133" t="str">
        <f>IFERROR(__xludf.DUMMYFUNCTION("""COMPUTED_VALUE"""),"")</f>
        <v/>
      </c>
      <c r="CN127" s="132" t="str">
        <f>IFERROR(__xludf.DUMMYFUNCTION("""COMPUTED_VALUE"""),"")</f>
        <v/>
      </c>
      <c r="CO127" s="132" t="str">
        <f>IFERROR(__xludf.DUMMYFUNCTION("""COMPUTED_VALUE"""),"")</f>
        <v/>
      </c>
      <c r="CP127" s="133" t="str">
        <f>IFERROR(__xludf.DUMMYFUNCTION("""COMPUTED_VALUE"""),"")</f>
        <v/>
      </c>
      <c r="CQ127" s="132" t="str">
        <f>IFERROR(__xludf.DUMMYFUNCTION("""COMPUTED_VALUE"""),"")</f>
        <v/>
      </c>
      <c r="CR127" s="132" t="str">
        <f>IFERROR(__xludf.DUMMYFUNCTION("""COMPUTED_VALUE"""),"")</f>
        <v/>
      </c>
      <c r="CS127" s="133"/>
      <c r="CT127" s="132"/>
      <c r="CU127" s="132"/>
      <c r="CV127" s="133"/>
      <c r="CW127" s="132"/>
      <c r="CX127" s="132"/>
      <c r="CY127" s="133"/>
      <c r="CZ127" s="132"/>
      <c r="DA127" s="132"/>
      <c r="DB127" s="133"/>
      <c r="DC127" s="132"/>
      <c r="DD127" s="132"/>
      <c r="DE127" s="133"/>
      <c r="DF127" s="132"/>
      <c r="DG127" s="132"/>
      <c r="DH127" s="133"/>
      <c r="DI127" s="132"/>
      <c r="DJ127" s="132"/>
      <c r="DK127" s="133"/>
      <c r="DL127" s="132"/>
      <c r="DM127" s="132"/>
      <c r="DN127" s="133"/>
      <c r="DO127" s="132"/>
      <c r="DP127" s="132"/>
      <c r="DQ127" s="133"/>
      <c r="DR127" s="132"/>
      <c r="DS127" s="132"/>
      <c r="DT127" s="133"/>
    </row>
    <row r="128">
      <c r="B128" s="120" t="str">
        <f>IFERROR(__xludf.DUMMYFUNCTION("""COMPUTED_VALUE"""),"BBL2")</f>
        <v>BBL2</v>
      </c>
      <c r="C128" s="82">
        <f>IFERROR(__xludf.DUMMYFUNCTION("""COMPUTED_VALUE"""),117.0)</f>
        <v>117</v>
      </c>
      <c r="D128" s="88" t="str">
        <f>IFERROR(__xludf.DUMMYFUNCTION("""COMPUTED_VALUE"""),"Northern Hill")</f>
        <v>Northern Hill</v>
      </c>
      <c r="E128" s="82" t="str">
        <f>IFERROR(__xludf.DUMMYFUNCTION("""COMPUTED_VALUE"""),"北の高台")</f>
        <v>北の高台</v>
      </c>
      <c r="F128" s="102">
        <f>IFERROR(__xludf.DUMMYFUNCTION("""COMPUTED_VALUE"""),20.0)</f>
        <v>20</v>
      </c>
      <c r="G128" s="82">
        <f>IFERROR(__xludf.DUMMYFUNCTION("""COMPUTED_VALUE"""),14135.0)</f>
        <v>14135</v>
      </c>
      <c r="H128" s="95" t="str">
        <f>IFERROR(__xludf.DUMMYFUNCTION("""COMPUTED_VALUE"""),"")</f>
        <v/>
      </c>
      <c r="I128" s="96" t="str">
        <f>IFERROR(__xludf.DUMMYFUNCTION("""COMPUTED_VALUE"""),"")</f>
        <v/>
      </c>
      <c r="J128" s="97" t="str">
        <f>IFERROR(__xludf.DUMMYFUNCTION("""COMPUTED_VALUE"""),"")</f>
        <v/>
      </c>
      <c r="K128" s="95" t="str">
        <f>IFERROR(__xludf.DUMMYFUNCTION("""COMPUTED_VALUE"""),"")</f>
        <v/>
      </c>
      <c r="L128" s="96" t="str">
        <f>IFERROR(__xludf.DUMMYFUNCTION("""COMPUTED_VALUE"""),"")</f>
        <v/>
      </c>
      <c r="M128" s="97" t="str">
        <f>IFERROR(__xludf.DUMMYFUNCTION("""COMPUTED_VALUE"""),"")</f>
        <v/>
      </c>
      <c r="N128" s="95">
        <f>IFERROR(__xludf.DUMMYFUNCTION("""COMPUTED_VALUE"""),113.2)</f>
        <v>113.2</v>
      </c>
      <c r="O128" s="96" t="str">
        <f>IFERROR(__xludf.DUMMYFUNCTION("""COMPUTED_VALUE"""),"")</f>
        <v/>
      </c>
      <c r="P128" s="97" t="str">
        <f>IFERROR(__xludf.DUMMYFUNCTION("""COMPUTED_VALUE"""),"")</f>
        <v/>
      </c>
      <c r="Q128" s="95" t="str">
        <f>IFERROR(__xludf.DUMMYFUNCTION("""COMPUTED_VALUE"""),"")</f>
        <v/>
      </c>
      <c r="R128" s="96" t="str">
        <f>IFERROR(__xludf.DUMMYFUNCTION("""COMPUTED_VALUE"""),"")</f>
        <v/>
      </c>
      <c r="S128" s="97" t="str">
        <f>IFERROR(__xludf.DUMMYFUNCTION("""COMPUTED_VALUE"""),"")</f>
        <v/>
      </c>
      <c r="T128" s="95" t="str">
        <f>IFERROR(__xludf.DUMMYFUNCTION("""COMPUTED_VALUE"""),"")</f>
        <v/>
      </c>
      <c r="U128" s="96" t="str">
        <f>IFERROR(__xludf.DUMMYFUNCTION("""COMPUTED_VALUE"""),"")</f>
        <v/>
      </c>
      <c r="V128" s="97" t="str">
        <f>IFERROR(__xludf.DUMMYFUNCTION("""COMPUTED_VALUE"""),"")</f>
        <v/>
      </c>
      <c r="W128" s="95" t="str">
        <f>IFERROR(__xludf.DUMMYFUNCTION("""COMPUTED_VALUE"""),"")</f>
        <v/>
      </c>
      <c r="X128" s="96" t="str">
        <f>IFERROR(__xludf.DUMMYFUNCTION("""COMPUTED_VALUE"""),"")</f>
        <v/>
      </c>
      <c r="Y128" s="97" t="str">
        <f>IFERROR(__xludf.DUMMYFUNCTION("""COMPUTED_VALUE"""),"")</f>
        <v/>
      </c>
      <c r="Z128" s="95">
        <f>IFERROR(__xludf.DUMMYFUNCTION("""COMPUTED_VALUE"""),80.2)</f>
        <v>80.2</v>
      </c>
      <c r="AA128" s="96" t="str">
        <f>IFERROR(__xludf.DUMMYFUNCTION("""COMPUTED_VALUE"""),"")</f>
        <v/>
      </c>
      <c r="AB128" s="97" t="str">
        <f>IFERROR(__xludf.DUMMYFUNCTION("""COMPUTED_VALUE"""),"")</f>
        <v/>
      </c>
      <c r="AC128" s="95" t="str">
        <f>IFERROR(__xludf.DUMMYFUNCTION("""COMPUTED_VALUE"""),"")</f>
        <v/>
      </c>
      <c r="AD128" s="96" t="str">
        <f>IFERROR(__xludf.DUMMYFUNCTION("""COMPUTED_VALUE"""),"")</f>
        <v/>
      </c>
      <c r="AE128" s="97" t="str">
        <f>IFERROR(__xludf.DUMMYFUNCTION("""COMPUTED_VALUE"""),"")</f>
        <v/>
      </c>
      <c r="AF128" s="95" t="str">
        <f>IFERROR(__xludf.DUMMYFUNCTION("""COMPUTED_VALUE"""),"")</f>
        <v/>
      </c>
      <c r="AG128" s="96" t="str">
        <f>IFERROR(__xludf.DUMMYFUNCTION("""COMPUTED_VALUE"""),"")</f>
        <v/>
      </c>
      <c r="AH128" s="97" t="str">
        <f>IFERROR(__xludf.DUMMYFUNCTION("""COMPUTED_VALUE"""),"")</f>
        <v/>
      </c>
      <c r="AI128" s="92" t="str">
        <f>IFERROR(__xludf.DUMMYFUNCTION("""COMPUTED_VALUE"""),"")</f>
        <v/>
      </c>
      <c r="AJ128" s="93" t="str">
        <f>IFERROR(__xludf.DUMMYFUNCTION("""COMPUTED_VALUE"""),"")</f>
        <v/>
      </c>
      <c r="AK128" s="94" t="str">
        <f>IFERROR(__xludf.DUMMYFUNCTION("""COMPUTED_VALUE"""),"")</f>
        <v/>
      </c>
      <c r="AL128" s="93" t="str">
        <f>IFERROR(__xludf.DUMMYFUNCTION("""COMPUTED_VALUE"""),"")</f>
        <v/>
      </c>
      <c r="AM128" s="93" t="str">
        <f>IFERROR(__xludf.DUMMYFUNCTION("""COMPUTED_VALUE"""),"")</f>
        <v/>
      </c>
      <c r="AN128" s="94" t="str">
        <f>IFERROR(__xludf.DUMMYFUNCTION("""COMPUTED_VALUE"""),"")</f>
        <v/>
      </c>
      <c r="AO128" s="147" t="str">
        <f>IFERROR(__xludf.DUMMYFUNCTION("""COMPUTED_VALUE"""),"")</f>
        <v/>
      </c>
      <c r="AP128" s="93" t="str">
        <f>IFERROR(__xludf.DUMMYFUNCTION("""COMPUTED_VALUE"""),"")</f>
        <v/>
      </c>
      <c r="AQ128" s="94" t="str">
        <f>IFERROR(__xludf.DUMMYFUNCTION("""COMPUTED_VALUE"""),"")</f>
        <v/>
      </c>
      <c r="AR128" s="93" t="str">
        <f>IFERROR(__xludf.DUMMYFUNCTION("""COMPUTED_VALUE"""),"")</f>
        <v/>
      </c>
      <c r="AS128" s="93" t="str">
        <f>IFERROR(__xludf.DUMMYFUNCTION("""COMPUTED_VALUE"""),"")</f>
        <v/>
      </c>
      <c r="AT128" s="94" t="str">
        <f>IFERROR(__xludf.DUMMYFUNCTION("""COMPUTED_VALUE"""),"")</f>
        <v/>
      </c>
      <c r="AU128" s="93" t="str">
        <f>IFERROR(__xludf.DUMMYFUNCTION("""COMPUTED_VALUE"""),"")</f>
        <v/>
      </c>
      <c r="AV128" s="93" t="str">
        <f>IFERROR(__xludf.DUMMYFUNCTION("""COMPUTED_VALUE"""),"")</f>
        <v/>
      </c>
      <c r="AW128" s="94" t="str">
        <f>IFERROR(__xludf.DUMMYFUNCTION("""COMPUTED_VALUE"""),"")</f>
        <v/>
      </c>
      <c r="AX128" s="93" t="str">
        <f>IFERROR(__xludf.DUMMYFUNCTION("""COMPUTED_VALUE"""),"")</f>
        <v/>
      </c>
      <c r="AY128" s="93" t="str">
        <f>IFERROR(__xludf.DUMMYFUNCTION("""COMPUTED_VALUE"""),"")</f>
        <v/>
      </c>
      <c r="AZ128" s="94" t="str">
        <f>IFERROR(__xludf.DUMMYFUNCTION("""COMPUTED_VALUE"""),"")</f>
        <v/>
      </c>
      <c r="BA128" s="93" t="str">
        <f>IFERROR(__xludf.DUMMYFUNCTION("""COMPUTED_VALUE"""),"")</f>
        <v/>
      </c>
      <c r="BB128" s="93" t="str">
        <f>IFERROR(__xludf.DUMMYFUNCTION("""COMPUTED_VALUE"""),"")</f>
        <v/>
      </c>
      <c r="BC128" s="94" t="str">
        <f>IFERROR(__xludf.DUMMYFUNCTION("""COMPUTED_VALUE"""),"")</f>
        <v/>
      </c>
      <c r="BD128" s="93" t="str">
        <f>IFERROR(__xludf.DUMMYFUNCTION("""COMPUTED_VALUE"""),"")</f>
        <v/>
      </c>
      <c r="BE128" s="93" t="str">
        <f>IFERROR(__xludf.DUMMYFUNCTION("""COMPUTED_VALUE"""),"")</f>
        <v/>
      </c>
      <c r="BF128" s="94" t="str">
        <f>IFERROR(__xludf.DUMMYFUNCTION("""COMPUTED_VALUE"""),"")</f>
        <v/>
      </c>
      <c r="BG128" s="92" t="str">
        <f>IFERROR(__xludf.DUMMYFUNCTION("""COMPUTED_VALUE"""),"")</f>
        <v/>
      </c>
      <c r="BH128" s="93" t="str">
        <f>IFERROR(__xludf.DUMMYFUNCTION("""COMPUTED_VALUE"""),"")</f>
        <v/>
      </c>
      <c r="BI128" s="94" t="str">
        <f>IFERROR(__xludf.DUMMYFUNCTION("""COMPUTED_VALUE"""),"")</f>
        <v/>
      </c>
      <c r="BJ128" s="93" t="str">
        <f>IFERROR(__xludf.DUMMYFUNCTION("""COMPUTED_VALUE"""),"")</f>
        <v/>
      </c>
      <c r="BK128" s="93" t="str">
        <f>IFERROR(__xludf.DUMMYFUNCTION("""COMPUTED_VALUE"""),"")</f>
        <v/>
      </c>
      <c r="BL128" s="94" t="str">
        <f>IFERROR(__xludf.DUMMYFUNCTION("""COMPUTED_VALUE"""),"")</f>
        <v/>
      </c>
      <c r="BM128" s="93" t="str">
        <f>IFERROR(__xludf.DUMMYFUNCTION("""COMPUTED_VALUE"""),"")</f>
        <v/>
      </c>
      <c r="BN128" s="93" t="str">
        <f>IFERROR(__xludf.DUMMYFUNCTION("""COMPUTED_VALUE"""),"")</f>
        <v/>
      </c>
      <c r="BO128" s="94">
        <f>IFERROR(__xludf.DUMMYFUNCTION("""COMPUTED_VALUE"""),250.4)</f>
        <v>250.4</v>
      </c>
      <c r="BP128" s="93" t="str">
        <f>IFERROR(__xludf.DUMMYFUNCTION("""COMPUTED_VALUE"""),"")</f>
        <v/>
      </c>
      <c r="BQ128" s="93" t="str">
        <f>IFERROR(__xludf.DUMMYFUNCTION("""COMPUTED_VALUE"""),"")</f>
        <v/>
      </c>
      <c r="BR128" s="94" t="str">
        <f>IFERROR(__xludf.DUMMYFUNCTION("""COMPUTED_VALUE"""),"")</f>
        <v/>
      </c>
      <c r="BS128" s="93" t="str">
        <f>IFERROR(__xludf.DUMMYFUNCTION("""COMPUTED_VALUE"""),"")</f>
        <v/>
      </c>
      <c r="BT128" s="93">
        <f>IFERROR(__xludf.DUMMYFUNCTION("""COMPUTED_VALUE"""),83.0)</f>
        <v>83</v>
      </c>
      <c r="BU128" s="94" t="str">
        <f>IFERROR(__xludf.DUMMYFUNCTION("""COMPUTED_VALUE"""),"")</f>
        <v/>
      </c>
      <c r="BV128" s="93" t="str">
        <f>IFERROR(__xludf.DUMMYFUNCTION("""COMPUTED_VALUE"""),"")</f>
        <v/>
      </c>
      <c r="BW128" s="93" t="str">
        <f>IFERROR(__xludf.DUMMYFUNCTION("""COMPUTED_VALUE"""),"")</f>
        <v/>
      </c>
      <c r="BX128" s="94" t="str">
        <f>IFERROR(__xludf.DUMMYFUNCTION("""COMPUTED_VALUE"""),"")</f>
        <v/>
      </c>
      <c r="BY128" s="93" t="str">
        <f>IFERROR(__xludf.DUMMYFUNCTION("""COMPUTED_VALUE"""),"")</f>
        <v/>
      </c>
      <c r="BZ128" s="93" t="str">
        <f>IFERROR(__xludf.DUMMYFUNCTION("""COMPUTED_VALUE"""),"")</f>
        <v/>
      </c>
      <c r="CA128" s="94" t="str">
        <f>IFERROR(__xludf.DUMMYFUNCTION("""COMPUTED_VALUE"""),"")</f>
        <v/>
      </c>
      <c r="CB128" s="92" t="str">
        <f>IFERROR(__xludf.DUMMYFUNCTION("""COMPUTED_VALUE"""),"")</f>
        <v/>
      </c>
      <c r="CC128" s="93" t="str">
        <f>IFERROR(__xludf.DUMMYFUNCTION("""COMPUTED_VALUE"""),"")</f>
        <v/>
      </c>
      <c r="CD128" s="94" t="str">
        <f>IFERROR(__xludf.DUMMYFUNCTION("""COMPUTED_VALUE"""),"")</f>
        <v/>
      </c>
      <c r="CE128" s="93" t="str">
        <f>IFERROR(__xludf.DUMMYFUNCTION("""COMPUTED_VALUE"""),"")</f>
        <v/>
      </c>
      <c r="CF128" s="93" t="str">
        <f>IFERROR(__xludf.DUMMYFUNCTION("""COMPUTED_VALUE"""),"")</f>
        <v/>
      </c>
      <c r="CG128" s="94" t="str">
        <f>IFERROR(__xludf.DUMMYFUNCTION("""COMPUTED_VALUE"""),"")</f>
        <v/>
      </c>
      <c r="CH128" s="93" t="str">
        <f>IFERROR(__xludf.DUMMYFUNCTION("""COMPUTED_VALUE"""),"")</f>
        <v/>
      </c>
      <c r="CI128" s="93" t="str">
        <f>IFERROR(__xludf.DUMMYFUNCTION("""COMPUTED_VALUE"""),"")</f>
        <v/>
      </c>
      <c r="CJ128" s="94" t="str">
        <f>IFERROR(__xludf.DUMMYFUNCTION("""COMPUTED_VALUE"""),"")</f>
        <v/>
      </c>
      <c r="CK128" s="93" t="str">
        <f>IFERROR(__xludf.DUMMYFUNCTION("""COMPUTED_VALUE"""),"")</f>
        <v/>
      </c>
      <c r="CL128" s="93" t="str">
        <f>IFERROR(__xludf.DUMMYFUNCTION("""COMPUTED_VALUE"""),"")</f>
        <v/>
      </c>
      <c r="CM128" s="94" t="str">
        <f>IFERROR(__xludf.DUMMYFUNCTION("""COMPUTED_VALUE"""),"")</f>
        <v/>
      </c>
      <c r="CN128" s="93" t="str">
        <f>IFERROR(__xludf.DUMMYFUNCTION("""COMPUTED_VALUE"""),"")</f>
        <v/>
      </c>
      <c r="CO128" s="93" t="str">
        <f>IFERROR(__xludf.DUMMYFUNCTION("""COMPUTED_VALUE"""),"")</f>
        <v/>
      </c>
      <c r="CP128" s="94" t="str">
        <f>IFERROR(__xludf.DUMMYFUNCTION("""COMPUTED_VALUE"""),"")</f>
        <v/>
      </c>
      <c r="CQ128" s="93">
        <f>IFERROR(__xludf.DUMMYFUNCTION("""COMPUTED_VALUE"""),548.2)</f>
        <v>548.2</v>
      </c>
      <c r="CR128" s="93" t="str">
        <f>IFERROR(__xludf.DUMMYFUNCTION("""COMPUTED_VALUE"""),"")</f>
        <v/>
      </c>
      <c r="CS128" s="94"/>
      <c r="CT128" s="93"/>
      <c r="CU128" s="93"/>
      <c r="CV128" s="94"/>
      <c r="CW128" s="93"/>
      <c r="CX128" s="93"/>
      <c r="CY128" s="94"/>
      <c r="CZ128" s="93"/>
      <c r="DA128" s="93"/>
      <c r="DB128" s="94"/>
      <c r="DC128" s="93"/>
      <c r="DD128" s="93"/>
      <c r="DE128" s="94"/>
      <c r="DF128" s="93"/>
      <c r="DG128" s="93"/>
      <c r="DH128" s="94"/>
      <c r="DI128" s="93"/>
      <c r="DJ128" s="93"/>
      <c r="DK128" s="94"/>
      <c r="DL128" s="93"/>
      <c r="DM128" s="93"/>
      <c r="DN128" s="94"/>
      <c r="DO128" s="93"/>
      <c r="DP128" s="93"/>
      <c r="DQ128" s="94"/>
      <c r="DR128" s="93"/>
      <c r="DS128" s="93"/>
      <c r="DT128" s="94"/>
    </row>
    <row r="129">
      <c r="B129" s="120" t="str">
        <f>IFERROR(__xludf.DUMMYFUNCTION("""COMPUTED_VALUE"""),"BBL3")</f>
        <v>BBL3</v>
      </c>
      <c r="C129" s="82">
        <f>IFERROR(__xludf.DUMMYFUNCTION("""COMPUTED_VALUE"""),118.0)</f>
        <v>118</v>
      </c>
      <c r="D129" s="88" t="str">
        <f>IFERROR(__xludf.DUMMYFUNCTION("""COMPUTED_VALUE"""),"Black Cedar Forest")</f>
        <v>Black Cedar Forest</v>
      </c>
      <c r="E129" s="82" t="str">
        <f>IFERROR(__xludf.DUMMYFUNCTION("""COMPUTED_VALUE"""),"黒い杉の森")</f>
        <v>黒い杉の森</v>
      </c>
      <c r="F129" s="102">
        <f>IFERROR(__xludf.DUMMYFUNCTION("""COMPUTED_VALUE"""),20.0)</f>
        <v>20</v>
      </c>
      <c r="G129" s="82">
        <f>IFERROR(__xludf.DUMMYFUNCTION("""COMPUTED_VALUE"""),1916.0)</f>
        <v>1916</v>
      </c>
      <c r="H129" s="95" t="str">
        <f>IFERROR(__xludf.DUMMYFUNCTION("""COMPUTED_VALUE"""),"")</f>
        <v/>
      </c>
      <c r="I129" s="96" t="str">
        <f>IFERROR(__xludf.DUMMYFUNCTION("""COMPUTED_VALUE"""),"")</f>
        <v/>
      </c>
      <c r="J129" s="97" t="str">
        <f>IFERROR(__xludf.DUMMYFUNCTION("""COMPUTED_VALUE"""),"")</f>
        <v/>
      </c>
      <c r="K129" s="95" t="str">
        <f>IFERROR(__xludf.DUMMYFUNCTION("""COMPUTED_VALUE"""),"")</f>
        <v/>
      </c>
      <c r="L129" s="96" t="str">
        <f>IFERROR(__xludf.DUMMYFUNCTION("""COMPUTED_VALUE"""),"")</f>
        <v/>
      </c>
      <c r="M129" s="97" t="str">
        <f>IFERROR(__xludf.DUMMYFUNCTION("""COMPUTED_VALUE"""),"")</f>
        <v/>
      </c>
      <c r="N129" s="95" t="str">
        <f>IFERROR(__xludf.DUMMYFUNCTION("""COMPUTED_VALUE"""),"")</f>
        <v/>
      </c>
      <c r="O129" s="96" t="str">
        <f>IFERROR(__xludf.DUMMYFUNCTION("""COMPUTED_VALUE"""),"")</f>
        <v/>
      </c>
      <c r="P129" s="97" t="str">
        <f>IFERROR(__xludf.DUMMYFUNCTION("""COMPUTED_VALUE"""),"")</f>
        <v/>
      </c>
      <c r="Q129" s="95">
        <f>IFERROR(__xludf.DUMMYFUNCTION("""COMPUTED_VALUE"""),150.9)</f>
        <v>150.9</v>
      </c>
      <c r="R129" s="96" t="str">
        <f>IFERROR(__xludf.DUMMYFUNCTION("""COMPUTED_VALUE"""),"")</f>
        <v/>
      </c>
      <c r="S129" s="97" t="str">
        <f>IFERROR(__xludf.DUMMYFUNCTION("""COMPUTED_VALUE"""),"")</f>
        <v/>
      </c>
      <c r="T129" s="95" t="str">
        <f>IFERROR(__xludf.DUMMYFUNCTION("""COMPUTED_VALUE"""),"")</f>
        <v/>
      </c>
      <c r="U129" s="96" t="str">
        <f>IFERROR(__xludf.DUMMYFUNCTION("""COMPUTED_VALUE"""),"")</f>
        <v/>
      </c>
      <c r="V129" s="97" t="str">
        <f>IFERROR(__xludf.DUMMYFUNCTION("""COMPUTED_VALUE"""),"")</f>
        <v/>
      </c>
      <c r="W129" s="95" t="str">
        <f>IFERROR(__xludf.DUMMYFUNCTION("""COMPUTED_VALUE"""),"")</f>
        <v/>
      </c>
      <c r="X129" s="96" t="str">
        <f>IFERROR(__xludf.DUMMYFUNCTION("""COMPUTED_VALUE"""),"")</f>
        <v/>
      </c>
      <c r="Y129" s="97" t="str">
        <f>IFERROR(__xludf.DUMMYFUNCTION("""COMPUTED_VALUE"""),"")</f>
        <v/>
      </c>
      <c r="Z129" s="95">
        <f>IFERROR(__xludf.DUMMYFUNCTION("""COMPUTED_VALUE"""),58.6)</f>
        <v>58.6</v>
      </c>
      <c r="AA129" s="96" t="str">
        <f>IFERROR(__xludf.DUMMYFUNCTION("""COMPUTED_VALUE"""),"")</f>
        <v/>
      </c>
      <c r="AB129" s="97" t="str">
        <f>IFERROR(__xludf.DUMMYFUNCTION("""COMPUTED_VALUE"""),"")</f>
        <v/>
      </c>
      <c r="AC129" s="95" t="str">
        <f>IFERROR(__xludf.DUMMYFUNCTION("""COMPUTED_VALUE"""),"")</f>
        <v/>
      </c>
      <c r="AD129" s="96" t="str">
        <f>IFERROR(__xludf.DUMMYFUNCTION("""COMPUTED_VALUE"""),"")</f>
        <v/>
      </c>
      <c r="AE129" s="97" t="str">
        <f>IFERROR(__xludf.DUMMYFUNCTION("""COMPUTED_VALUE"""),"")</f>
        <v/>
      </c>
      <c r="AF129" s="95" t="str">
        <f>IFERROR(__xludf.DUMMYFUNCTION("""COMPUTED_VALUE"""),"")</f>
        <v/>
      </c>
      <c r="AG129" s="96" t="str">
        <f>IFERROR(__xludf.DUMMYFUNCTION("""COMPUTED_VALUE"""),"")</f>
        <v/>
      </c>
      <c r="AH129" s="97" t="str">
        <f>IFERROR(__xludf.DUMMYFUNCTION("""COMPUTED_VALUE"""),"")</f>
        <v/>
      </c>
      <c r="AI129" s="131" t="str">
        <f>IFERROR(__xludf.DUMMYFUNCTION("""COMPUTED_VALUE"""),"")</f>
        <v/>
      </c>
      <c r="AJ129" s="132" t="str">
        <f>IFERROR(__xludf.DUMMYFUNCTION("""COMPUTED_VALUE"""),"")</f>
        <v/>
      </c>
      <c r="AK129" s="133" t="str">
        <f>IFERROR(__xludf.DUMMYFUNCTION("""COMPUTED_VALUE"""),"")</f>
        <v/>
      </c>
      <c r="AL129" s="132" t="str">
        <f>IFERROR(__xludf.DUMMYFUNCTION("""COMPUTED_VALUE"""),"")</f>
        <v/>
      </c>
      <c r="AM129" s="132" t="str">
        <f>IFERROR(__xludf.DUMMYFUNCTION("""COMPUTED_VALUE"""),"")</f>
        <v/>
      </c>
      <c r="AN129" s="133" t="str">
        <f>IFERROR(__xludf.DUMMYFUNCTION("""COMPUTED_VALUE"""),"")</f>
        <v/>
      </c>
      <c r="AO129" s="132" t="str">
        <f>IFERROR(__xludf.DUMMYFUNCTION("""COMPUTED_VALUE"""),"")</f>
        <v/>
      </c>
      <c r="AP129" s="132" t="str">
        <f>IFERROR(__xludf.DUMMYFUNCTION("""COMPUTED_VALUE"""),"")</f>
        <v/>
      </c>
      <c r="AQ129" s="133" t="str">
        <f>IFERROR(__xludf.DUMMYFUNCTION("""COMPUTED_VALUE"""),"")</f>
        <v/>
      </c>
      <c r="AR129" s="132" t="str">
        <f>IFERROR(__xludf.DUMMYFUNCTION("""COMPUTED_VALUE"""),"")</f>
        <v/>
      </c>
      <c r="AS129" s="132" t="str">
        <f>IFERROR(__xludf.DUMMYFUNCTION("""COMPUTED_VALUE"""),"")</f>
        <v/>
      </c>
      <c r="AT129" s="133" t="str">
        <f>IFERROR(__xludf.DUMMYFUNCTION("""COMPUTED_VALUE"""),"")</f>
        <v/>
      </c>
      <c r="AU129" s="132" t="str">
        <f>IFERROR(__xludf.DUMMYFUNCTION("""COMPUTED_VALUE"""),"")</f>
        <v/>
      </c>
      <c r="AV129" s="132" t="str">
        <f>IFERROR(__xludf.DUMMYFUNCTION("""COMPUTED_VALUE"""),"")</f>
        <v/>
      </c>
      <c r="AW129" s="133" t="str">
        <f>IFERROR(__xludf.DUMMYFUNCTION("""COMPUTED_VALUE"""),"")</f>
        <v/>
      </c>
      <c r="AX129" s="132" t="str">
        <f>IFERROR(__xludf.DUMMYFUNCTION("""COMPUTED_VALUE"""),"")</f>
        <v/>
      </c>
      <c r="AY129" s="132" t="str">
        <f>IFERROR(__xludf.DUMMYFUNCTION("""COMPUTED_VALUE"""),"")</f>
        <v/>
      </c>
      <c r="AZ129" s="133" t="str">
        <f>IFERROR(__xludf.DUMMYFUNCTION("""COMPUTED_VALUE"""),"")</f>
        <v/>
      </c>
      <c r="BA129" s="132" t="str">
        <f>IFERROR(__xludf.DUMMYFUNCTION("""COMPUTED_VALUE"""),"")</f>
        <v/>
      </c>
      <c r="BB129" s="132" t="str">
        <f>IFERROR(__xludf.DUMMYFUNCTION("""COMPUTED_VALUE"""),"")</f>
        <v/>
      </c>
      <c r="BC129" s="133" t="str">
        <f>IFERROR(__xludf.DUMMYFUNCTION("""COMPUTED_VALUE"""),"")</f>
        <v/>
      </c>
      <c r="BD129" s="132" t="str">
        <f>IFERROR(__xludf.DUMMYFUNCTION("""COMPUTED_VALUE"""),"")</f>
        <v/>
      </c>
      <c r="BE129" s="132" t="str">
        <f>IFERROR(__xludf.DUMMYFUNCTION("""COMPUTED_VALUE"""),"")</f>
        <v/>
      </c>
      <c r="BF129" s="133" t="str">
        <f>IFERROR(__xludf.DUMMYFUNCTION("""COMPUTED_VALUE"""),"")</f>
        <v/>
      </c>
      <c r="BG129" s="131" t="str">
        <f>IFERROR(__xludf.DUMMYFUNCTION("""COMPUTED_VALUE"""),"")</f>
        <v/>
      </c>
      <c r="BH129" s="132" t="str">
        <f>IFERROR(__xludf.DUMMYFUNCTION("""COMPUTED_VALUE"""),"")</f>
        <v/>
      </c>
      <c r="BI129" s="133" t="str">
        <f>IFERROR(__xludf.DUMMYFUNCTION("""COMPUTED_VALUE"""),"")</f>
        <v/>
      </c>
      <c r="BJ129" s="132" t="str">
        <f>IFERROR(__xludf.DUMMYFUNCTION("""COMPUTED_VALUE"""),"")</f>
        <v/>
      </c>
      <c r="BK129" s="132" t="str">
        <f>IFERROR(__xludf.DUMMYFUNCTION("""COMPUTED_VALUE"""),"")</f>
        <v/>
      </c>
      <c r="BL129" s="133" t="str">
        <f>IFERROR(__xludf.DUMMYFUNCTION("""COMPUTED_VALUE"""),"")</f>
        <v/>
      </c>
      <c r="BM129" s="132">
        <f>IFERROR(__xludf.DUMMYFUNCTION("""COMPUTED_VALUE"""),232.0)</f>
        <v>232</v>
      </c>
      <c r="BN129" s="132" t="str">
        <f>IFERROR(__xludf.DUMMYFUNCTION("""COMPUTED_VALUE"""),"")</f>
        <v/>
      </c>
      <c r="BO129" s="133" t="str">
        <f>IFERROR(__xludf.DUMMYFUNCTION("""COMPUTED_VALUE"""),"")</f>
        <v/>
      </c>
      <c r="BP129" s="132" t="str">
        <f>IFERROR(__xludf.DUMMYFUNCTION("""COMPUTED_VALUE"""),"")</f>
        <v/>
      </c>
      <c r="BQ129" s="132" t="str">
        <f>IFERROR(__xludf.DUMMYFUNCTION("""COMPUTED_VALUE"""),"")</f>
        <v/>
      </c>
      <c r="BR129" s="133" t="str">
        <f>IFERROR(__xludf.DUMMYFUNCTION("""COMPUTED_VALUE"""),"")</f>
        <v/>
      </c>
      <c r="BS129" s="132" t="str">
        <f>IFERROR(__xludf.DUMMYFUNCTION("""COMPUTED_VALUE"""),"")</f>
        <v/>
      </c>
      <c r="BT129" s="132">
        <f>IFERROR(__xludf.DUMMYFUNCTION("""COMPUTED_VALUE"""),59.1)</f>
        <v>59.1</v>
      </c>
      <c r="BU129" s="133" t="str">
        <f>IFERROR(__xludf.DUMMYFUNCTION("""COMPUTED_VALUE"""),"")</f>
        <v/>
      </c>
      <c r="BV129" s="132" t="str">
        <f>IFERROR(__xludf.DUMMYFUNCTION("""COMPUTED_VALUE"""),"")</f>
        <v/>
      </c>
      <c r="BW129" s="132" t="str">
        <f>IFERROR(__xludf.DUMMYFUNCTION("""COMPUTED_VALUE"""),"")</f>
        <v/>
      </c>
      <c r="BX129" s="133" t="str">
        <f>IFERROR(__xludf.DUMMYFUNCTION("""COMPUTED_VALUE"""),"")</f>
        <v/>
      </c>
      <c r="BY129" s="132" t="str">
        <f>IFERROR(__xludf.DUMMYFUNCTION("""COMPUTED_VALUE"""),"")</f>
        <v/>
      </c>
      <c r="BZ129" s="132" t="str">
        <f>IFERROR(__xludf.DUMMYFUNCTION("""COMPUTED_VALUE"""),"")</f>
        <v/>
      </c>
      <c r="CA129" s="133" t="str">
        <f>IFERROR(__xludf.DUMMYFUNCTION("""COMPUTED_VALUE"""),"")</f>
        <v/>
      </c>
      <c r="CB129" s="131" t="str">
        <f>IFERROR(__xludf.DUMMYFUNCTION("""COMPUTED_VALUE"""),"")</f>
        <v/>
      </c>
      <c r="CC129" s="132" t="str">
        <f>IFERROR(__xludf.DUMMYFUNCTION("""COMPUTED_VALUE"""),"")</f>
        <v/>
      </c>
      <c r="CD129" s="133" t="str">
        <f>IFERROR(__xludf.DUMMYFUNCTION("""COMPUTED_VALUE"""),"")</f>
        <v/>
      </c>
      <c r="CE129" s="132" t="str">
        <f>IFERROR(__xludf.DUMMYFUNCTION("""COMPUTED_VALUE"""),"")</f>
        <v/>
      </c>
      <c r="CF129" s="132" t="str">
        <f>IFERROR(__xludf.DUMMYFUNCTION("""COMPUTED_VALUE"""),"")</f>
        <v/>
      </c>
      <c r="CG129" s="133" t="str">
        <f>IFERROR(__xludf.DUMMYFUNCTION("""COMPUTED_VALUE"""),"")</f>
        <v/>
      </c>
      <c r="CH129" s="132" t="str">
        <f>IFERROR(__xludf.DUMMYFUNCTION("""COMPUTED_VALUE"""),"")</f>
        <v/>
      </c>
      <c r="CI129" s="132" t="str">
        <f>IFERROR(__xludf.DUMMYFUNCTION("""COMPUTED_VALUE"""),"")</f>
        <v/>
      </c>
      <c r="CJ129" s="133" t="str">
        <f>IFERROR(__xludf.DUMMYFUNCTION("""COMPUTED_VALUE"""),"")</f>
        <v/>
      </c>
      <c r="CK129" s="132" t="str">
        <f>IFERROR(__xludf.DUMMYFUNCTION("""COMPUTED_VALUE"""),"")</f>
        <v/>
      </c>
      <c r="CL129" s="132" t="str">
        <f>IFERROR(__xludf.DUMMYFUNCTION("""COMPUTED_VALUE"""),"")</f>
        <v/>
      </c>
      <c r="CM129" s="133" t="str">
        <f>IFERROR(__xludf.DUMMYFUNCTION("""COMPUTED_VALUE"""),"")</f>
        <v/>
      </c>
      <c r="CN129" s="132" t="str">
        <f>IFERROR(__xludf.DUMMYFUNCTION("""COMPUTED_VALUE"""),"")</f>
        <v/>
      </c>
      <c r="CO129" s="132">
        <f>IFERROR(__xludf.DUMMYFUNCTION("""COMPUTED_VALUE"""),569.2)</f>
        <v>569.2</v>
      </c>
      <c r="CP129" s="133" t="str">
        <f>IFERROR(__xludf.DUMMYFUNCTION("""COMPUTED_VALUE"""),"")</f>
        <v/>
      </c>
      <c r="CQ129" s="132" t="str">
        <f>IFERROR(__xludf.DUMMYFUNCTION("""COMPUTED_VALUE"""),"")</f>
        <v/>
      </c>
      <c r="CR129" s="132" t="str">
        <f>IFERROR(__xludf.DUMMYFUNCTION("""COMPUTED_VALUE"""),"")</f>
        <v/>
      </c>
      <c r="CS129" s="133"/>
      <c r="CT129" s="132"/>
      <c r="CU129" s="132"/>
      <c r="CV129" s="133"/>
      <c r="CW129" s="132"/>
      <c r="CX129" s="132"/>
      <c r="CY129" s="133"/>
      <c r="CZ129" s="132"/>
      <c r="DA129" s="132"/>
      <c r="DB129" s="133"/>
      <c r="DC129" s="132"/>
      <c r="DD129" s="132"/>
      <c r="DE129" s="133"/>
      <c r="DF129" s="132"/>
      <c r="DG129" s="132"/>
      <c r="DH129" s="133"/>
      <c r="DI129" s="132"/>
      <c r="DJ129" s="132"/>
      <c r="DK129" s="133"/>
      <c r="DL129" s="132"/>
      <c r="DM129" s="132"/>
      <c r="DN129" s="133"/>
      <c r="DO129" s="132"/>
      <c r="DP129" s="132"/>
      <c r="DQ129" s="133"/>
      <c r="DR129" s="132"/>
      <c r="DS129" s="132"/>
      <c r="DT129" s="133"/>
    </row>
    <row r="130">
      <c r="B130" s="120" t="str">
        <f>IFERROR(__xludf.DUMMYFUNCTION("""COMPUTED_VALUE"""),"BBL4")</f>
        <v>BBL4</v>
      </c>
      <c r="C130" s="82">
        <f>IFERROR(__xludf.DUMMYFUNCTION("""COMPUTED_VALUE"""),119.0)</f>
        <v>119</v>
      </c>
      <c r="D130" s="88" t="str">
        <f>IFERROR(__xludf.DUMMYFUNCTION("""COMPUTED_VALUE"""),"Plateau")</f>
        <v>Plateau</v>
      </c>
      <c r="E130" s="82" t="str">
        <f>IFERROR(__xludf.DUMMYFUNCTION("""COMPUTED_VALUE"""),"高原")</f>
        <v>高原</v>
      </c>
      <c r="F130" s="102">
        <f>IFERROR(__xludf.DUMMYFUNCTION("""COMPUTED_VALUE"""),20.0)</f>
        <v>20</v>
      </c>
      <c r="G130" s="82">
        <f>IFERROR(__xludf.DUMMYFUNCTION("""COMPUTED_VALUE"""),13305.0)</f>
        <v>13305</v>
      </c>
      <c r="H130" s="95" t="str">
        <f>IFERROR(__xludf.DUMMYFUNCTION("""COMPUTED_VALUE"""),"")</f>
        <v/>
      </c>
      <c r="I130" s="96" t="str">
        <f>IFERROR(__xludf.DUMMYFUNCTION("""COMPUTED_VALUE"""),"")</f>
        <v/>
      </c>
      <c r="J130" s="97" t="str">
        <f>IFERROR(__xludf.DUMMYFUNCTION("""COMPUTED_VALUE"""),"")</f>
        <v/>
      </c>
      <c r="K130" s="95" t="str">
        <f>IFERROR(__xludf.DUMMYFUNCTION("""COMPUTED_VALUE"""),"")</f>
        <v/>
      </c>
      <c r="L130" s="96" t="str">
        <f>IFERROR(__xludf.DUMMYFUNCTION("""COMPUTED_VALUE"""),"")</f>
        <v/>
      </c>
      <c r="M130" s="97" t="str">
        <f>IFERROR(__xludf.DUMMYFUNCTION("""COMPUTED_VALUE"""),"")</f>
        <v/>
      </c>
      <c r="N130" s="95" t="str">
        <f>IFERROR(__xludf.DUMMYFUNCTION("""COMPUTED_VALUE"""),"")</f>
        <v/>
      </c>
      <c r="O130" s="96" t="str">
        <f>IFERROR(__xludf.DUMMYFUNCTION("""COMPUTED_VALUE"""),"")</f>
        <v/>
      </c>
      <c r="P130" s="97" t="str">
        <f>IFERROR(__xludf.DUMMYFUNCTION("""COMPUTED_VALUE"""),"")</f>
        <v/>
      </c>
      <c r="Q130" s="95" t="str">
        <f>IFERROR(__xludf.DUMMYFUNCTION("""COMPUTED_VALUE"""),"")</f>
        <v/>
      </c>
      <c r="R130" s="96" t="str">
        <f>IFERROR(__xludf.DUMMYFUNCTION("""COMPUTED_VALUE"""),"")</f>
        <v/>
      </c>
      <c r="S130" s="97" t="str">
        <f>IFERROR(__xludf.DUMMYFUNCTION("""COMPUTED_VALUE"""),"")</f>
        <v/>
      </c>
      <c r="T130" s="95" t="str">
        <f>IFERROR(__xludf.DUMMYFUNCTION("""COMPUTED_VALUE"""),"")</f>
        <v/>
      </c>
      <c r="U130" s="96" t="str">
        <f>IFERROR(__xludf.DUMMYFUNCTION("""COMPUTED_VALUE"""),"")</f>
        <v/>
      </c>
      <c r="V130" s="97" t="str">
        <f>IFERROR(__xludf.DUMMYFUNCTION("""COMPUTED_VALUE"""),"")</f>
        <v/>
      </c>
      <c r="W130" s="95" t="str">
        <f>IFERROR(__xludf.DUMMYFUNCTION("""COMPUTED_VALUE"""),"")</f>
        <v/>
      </c>
      <c r="X130" s="96" t="str">
        <f>IFERROR(__xludf.DUMMYFUNCTION("""COMPUTED_VALUE"""),"")</f>
        <v/>
      </c>
      <c r="Y130" s="97" t="str">
        <f>IFERROR(__xludf.DUMMYFUNCTION("""COMPUTED_VALUE"""),"")</f>
        <v/>
      </c>
      <c r="Z130" s="95">
        <f>IFERROR(__xludf.DUMMYFUNCTION("""COMPUTED_VALUE"""),78.6)</f>
        <v>78.6</v>
      </c>
      <c r="AA130" s="96" t="str">
        <f>IFERROR(__xludf.DUMMYFUNCTION("""COMPUTED_VALUE"""),"")</f>
        <v/>
      </c>
      <c r="AB130" s="97" t="str">
        <f>IFERROR(__xludf.DUMMYFUNCTION("""COMPUTED_VALUE"""),"")</f>
        <v/>
      </c>
      <c r="AC130" s="95" t="str">
        <f>IFERROR(__xludf.DUMMYFUNCTION("""COMPUTED_VALUE"""),"")</f>
        <v/>
      </c>
      <c r="AD130" s="96" t="str">
        <f>IFERROR(__xludf.DUMMYFUNCTION("""COMPUTED_VALUE"""),"")</f>
        <v/>
      </c>
      <c r="AE130" s="97" t="str">
        <f>IFERROR(__xludf.DUMMYFUNCTION("""COMPUTED_VALUE"""),"")</f>
        <v/>
      </c>
      <c r="AF130" s="95" t="str">
        <f>IFERROR(__xludf.DUMMYFUNCTION("""COMPUTED_VALUE"""),"")</f>
        <v/>
      </c>
      <c r="AG130" s="96" t="str">
        <f>IFERROR(__xludf.DUMMYFUNCTION("""COMPUTED_VALUE"""),"")</f>
        <v/>
      </c>
      <c r="AH130" s="97" t="str">
        <f>IFERROR(__xludf.DUMMYFUNCTION("""COMPUTED_VALUE"""),"")</f>
        <v/>
      </c>
      <c r="AI130" s="92" t="str">
        <f>IFERROR(__xludf.DUMMYFUNCTION("""COMPUTED_VALUE"""),"")</f>
        <v/>
      </c>
      <c r="AJ130" s="93" t="str">
        <f>IFERROR(__xludf.DUMMYFUNCTION("""COMPUTED_VALUE"""),"")</f>
        <v/>
      </c>
      <c r="AK130" s="94" t="str">
        <f>IFERROR(__xludf.DUMMYFUNCTION("""COMPUTED_VALUE"""),"")</f>
        <v/>
      </c>
      <c r="AL130" s="93" t="str">
        <f>IFERROR(__xludf.DUMMYFUNCTION("""COMPUTED_VALUE"""),"")</f>
        <v/>
      </c>
      <c r="AM130" s="93" t="str">
        <f>IFERROR(__xludf.DUMMYFUNCTION("""COMPUTED_VALUE"""),"")</f>
        <v/>
      </c>
      <c r="AN130" s="94" t="str">
        <f>IFERROR(__xludf.DUMMYFUNCTION("""COMPUTED_VALUE"""),"")</f>
        <v/>
      </c>
      <c r="AO130" s="93" t="str">
        <f>IFERROR(__xludf.DUMMYFUNCTION("""COMPUTED_VALUE"""),"")</f>
        <v/>
      </c>
      <c r="AP130" s="93" t="str">
        <f>IFERROR(__xludf.DUMMYFUNCTION("""COMPUTED_VALUE"""),"")</f>
        <v/>
      </c>
      <c r="AQ130" s="94" t="str">
        <f>IFERROR(__xludf.DUMMYFUNCTION("""COMPUTED_VALUE"""),"")</f>
        <v/>
      </c>
      <c r="AR130" s="93" t="str">
        <f>IFERROR(__xludf.DUMMYFUNCTION("""COMPUTED_VALUE"""),"")</f>
        <v/>
      </c>
      <c r="AS130" s="93" t="str">
        <f>IFERROR(__xludf.DUMMYFUNCTION("""COMPUTED_VALUE"""),"")</f>
        <v/>
      </c>
      <c r="AT130" s="94" t="str">
        <f>IFERROR(__xludf.DUMMYFUNCTION("""COMPUTED_VALUE"""),"")</f>
        <v/>
      </c>
      <c r="AU130" s="93" t="str">
        <f>IFERROR(__xludf.DUMMYFUNCTION("""COMPUTED_VALUE"""),"")</f>
        <v/>
      </c>
      <c r="AV130" s="93" t="str">
        <f>IFERROR(__xludf.DUMMYFUNCTION("""COMPUTED_VALUE"""),"")</f>
        <v/>
      </c>
      <c r="AW130" s="94" t="str">
        <f>IFERROR(__xludf.DUMMYFUNCTION("""COMPUTED_VALUE"""),"")</f>
        <v/>
      </c>
      <c r="AX130" s="93" t="str">
        <f>IFERROR(__xludf.DUMMYFUNCTION("""COMPUTED_VALUE"""),"")</f>
        <v/>
      </c>
      <c r="AY130" s="93">
        <f>IFERROR(__xludf.DUMMYFUNCTION("""COMPUTED_VALUE"""),40.5)</f>
        <v>40.5</v>
      </c>
      <c r="AZ130" s="94" t="str">
        <f>IFERROR(__xludf.DUMMYFUNCTION("""COMPUTED_VALUE"""),"")</f>
        <v/>
      </c>
      <c r="BA130" s="93" t="str">
        <f>IFERROR(__xludf.DUMMYFUNCTION("""COMPUTED_VALUE"""),"")</f>
        <v/>
      </c>
      <c r="BB130" s="93" t="str">
        <f>IFERROR(__xludf.DUMMYFUNCTION("""COMPUTED_VALUE"""),"")</f>
        <v/>
      </c>
      <c r="BC130" s="94" t="str">
        <f>IFERROR(__xludf.DUMMYFUNCTION("""COMPUTED_VALUE"""),"")</f>
        <v/>
      </c>
      <c r="BD130" s="93" t="str">
        <f>IFERROR(__xludf.DUMMYFUNCTION("""COMPUTED_VALUE"""),"")</f>
        <v/>
      </c>
      <c r="BE130" s="93" t="str">
        <f>IFERROR(__xludf.DUMMYFUNCTION("""COMPUTED_VALUE"""),"")</f>
        <v/>
      </c>
      <c r="BF130" s="94" t="str">
        <f>IFERROR(__xludf.DUMMYFUNCTION("""COMPUTED_VALUE"""),"")</f>
        <v/>
      </c>
      <c r="BG130" s="92" t="str">
        <f>IFERROR(__xludf.DUMMYFUNCTION("""COMPUTED_VALUE"""),"")</f>
        <v/>
      </c>
      <c r="BH130" s="93" t="str">
        <f>IFERROR(__xludf.DUMMYFUNCTION("""COMPUTED_VALUE"""),"")</f>
        <v/>
      </c>
      <c r="BI130" s="94" t="str">
        <f>IFERROR(__xludf.DUMMYFUNCTION("""COMPUTED_VALUE"""),"")</f>
        <v/>
      </c>
      <c r="BJ130" s="93" t="str">
        <f>IFERROR(__xludf.DUMMYFUNCTION("""COMPUTED_VALUE"""),"")</f>
        <v/>
      </c>
      <c r="BK130" s="93" t="str">
        <f>IFERROR(__xludf.DUMMYFUNCTION("""COMPUTED_VALUE"""),"")</f>
        <v/>
      </c>
      <c r="BL130" s="94" t="str">
        <f>IFERROR(__xludf.DUMMYFUNCTION("""COMPUTED_VALUE"""),"")</f>
        <v/>
      </c>
      <c r="BM130" s="93" t="str">
        <f>IFERROR(__xludf.DUMMYFUNCTION("""COMPUTED_VALUE"""),"")</f>
        <v/>
      </c>
      <c r="BN130" s="93" t="str">
        <f>IFERROR(__xludf.DUMMYFUNCTION("""COMPUTED_VALUE"""),"")</f>
        <v/>
      </c>
      <c r="BO130" s="94" t="str">
        <f>IFERROR(__xludf.DUMMYFUNCTION("""COMPUTED_VALUE"""),"")</f>
        <v/>
      </c>
      <c r="BP130" s="93" t="str">
        <f>IFERROR(__xludf.DUMMYFUNCTION("""COMPUTED_VALUE"""),"")</f>
        <v/>
      </c>
      <c r="BQ130" s="93" t="str">
        <f>IFERROR(__xludf.DUMMYFUNCTION("""COMPUTED_VALUE"""),"")</f>
        <v/>
      </c>
      <c r="BR130" s="94" t="str">
        <f>IFERROR(__xludf.DUMMYFUNCTION("""COMPUTED_VALUE"""),"")</f>
        <v/>
      </c>
      <c r="BS130" s="93">
        <f>IFERROR(__xludf.DUMMYFUNCTION("""COMPUTED_VALUE"""),96.9)</f>
        <v>96.9</v>
      </c>
      <c r="BT130" s="93">
        <f>IFERROR(__xludf.DUMMYFUNCTION("""COMPUTED_VALUE"""),78.5)</f>
        <v>78.5</v>
      </c>
      <c r="BU130" s="108" t="str">
        <f>IFERROR(__xludf.DUMMYFUNCTION("""COMPUTED_VALUE"""),"")</f>
        <v/>
      </c>
      <c r="BV130" s="93" t="str">
        <f>IFERROR(__xludf.DUMMYFUNCTION("""COMPUTED_VALUE"""),"")</f>
        <v/>
      </c>
      <c r="BW130" s="93" t="str">
        <f>IFERROR(__xludf.DUMMYFUNCTION("""COMPUTED_VALUE"""),"")</f>
        <v/>
      </c>
      <c r="BX130" s="94" t="str">
        <f>IFERROR(__xludf.DUMMYFUNCTION("""COMPUTED_VALUE"""),"")</f>
        <v/>
      </c>
      <c r="BY130" s="93" t="str">
        <f>IFERROR(__xludf.DUMMYFUNCTION("""COMPUTED_VALUE"""),"")</f>
        <v/>
      </c>
      <c r="BZ130" s="93" t="str">
        <f>IFERROR(__xludf.DUMMYFUNCTION("""COMPUTED_VALUE"""),"")</f>
        <v/>
      </c>
      <c r="CA130" s="94" t="str">
        <f>IFERROR(__xludf.DUMMYFUNCTION("""COMPUTED_VALUE"""),"")</f>
        <v/>
      </c>
      <c r="CB130" s="92" t="str">
        <f>IFERROR(__xludf.DUMMYFUNCTION("""COMPUTED_VALUE"""),"")</f>
        <v/>
      </c>
      <c r="CC130" s="93" t="str">
        <f>IFERROR(__xludf.DUMMYFUNCTION("""COMPUTED_VALUE"""),"")</f>
        <v/>
      </c>
      <c r="CD130" s="94" t="str">
        <f>IFERROR(__xludf.DUMMYFUNCTION("""COMPUTED_VALUE"""),"")</f>
        <v/>
      </c>
      <c r="CE130" s="93" t="str">
        <f>IFERROR(__xludf.DUMMYFUNCTION("""COMPUTED_VALUE"""),"")</f>
        <v/>
      </c>
      <c r="CF130" s="93" t="str">
        <f>IFERROR(__xludf.DUMMYFUNCTION("""COMPUTED_VALUE"""),"")</f>
        <v/>
      </c>
      <c r="CG130" s="94" t="str">
        <f>IFERROR(__xludf.DUMMYFUNCTION("""COMPUTED_VALUE"""),"")</f>
        <v/>
      </c>
      <c r="CH130" s="93" t="str">
        <f>IFERROR(__xludf.DUMMYFUNCTION("""COMPUTED_VALUE"""),"")</f>
        <v/>
      </c>
      <c r="CI130" s="93" t="str">
        <f>IFERROR(__xludf.DUMMYFUNCTION("""COMPUTED_VALUE"""),"")</f>
        <v/>
      </c>
      <c r="CJ130" s="94" t="str">
        <f>IFERROR(__xludf.DUMMYFUNCTION("""COMPUTED_VALUE"""),"")</f>
        <v/>
      </c>
      <c r="CK130" s="93" t="str">
        <f>IFERROR(__xludf.DUMMYFUNCTION("""COMPUTED_VALUE"""),"")</f>
        <v/>
      </c>
      <c r="CL130" s="93" t="str">
        <f>IFERROR(__xludf.DUMMYFUNCTION("""COMPUTED_VALUE"""),"")</f>
        <v/>
      </c>
      <c r="CM130" s="94" t="str">
        <f>IFERROR(__xludf.DUMMYFUNCTION("""COMPUTED_VALUE"""),"")</f>
        <v/>
      </c>
      <c r="CN130" s="93" t="str">
        <f>IFERROR(__xludf.DUMMYFUNCTION("""COMPUTED_VALUE"""),"")</f>
        <v/>
      </c>
      <c r="CO130" s="93" t="str">
        <f>IFERROR(__xludf.DUMMYFUNCTION("""COMPUTED_VALUE"""),"")</f>
        <v/>
      </c>
      <c r="CP130" s="108" t="str">
        <f>IFERROR(__xludf.DUMMYFUNCTION("""COMPUTED_VALUE"""),"")</f>
        <v/>
      </c>
      <c r="CQ130" s="93" t="str">
        <f>IFERROR(__xludf.DUMMYFUNCTION("""COMPUTED_VALUE"""),"")</f>
        <v/>
      </c>
      <c r="CR130" s="93" t="str">
        <f>IFERROR(__xludf.DUMMYFUNCTION("""COMPUTED_VALUE"""),"")</f>
        <v/>
      </c>
      <c r="CS130" s="94"/>
      <c r="CT130" s="93"/>
      <c r="CU130" s="93"/>
      <c r="CV130" s="94"/>
      <c r="CW130" s="93"/>
      <c r="CX130" s="93"/>
      <c r="CY130" s="94"/>
      <c r="CZ130" s="93"/>
      <c r="DA130" s="93"/>
      <c r="DB130" s="108"/>
      <c r="DC130" s="93"/>
      <c r="DD130" s="93"/>
      <c r="DE130" s="94"/>
      <c r="DF130" s="93"/>
      <c r="DG130" s="93"/>
      <c r="DH130" s="94"/>
      <c r="DI130" s="93"/>
      <c r="DJ130" s="93"/>
      <c r="DK130" s="108"/>
      <c r="DL130" s="93"/>
      <c r="DM130" s="93"/>
      <c r="DN130" s="94"/>
      <c r="DO130" s="93"/>
      <c r="DP130" s="93"/>
      <c r="DQ130" s="94"/>
      <c r="DR130" s="93"/>
      <c r="DS130" s="93"/>
      <c r="DT130" s="94"/>
    </row>
    <row r="131">
      <c r="B131" s="120" t="str">
        <f>IFERROR(__xludf.DUMMYFUNCTION("""COMPUTED_VALUE"""),"BBL5")</f>
        <v>BBL5</v>
      </c>
      <c r="C131" s="82">
        <f>IFERROR(__xludf.DUMMYFUNCTION("""COMPUTED_VALUE"""),120.0)</f>
        <v>120</v>
      </c>
      <c r="D131" s="88" t="str">
        <f>IFERROR(__xludf.DUMMYFUNCTION("""COMPUTED_VALUE"""),"Bog")</f>
        <v>Bog</v>
      </c>
      <c r="E131" s="82" t="str">
        <f>IFERROR(__xludf.DUMMYFUNCTION("""COMPUTED_VALUE"""),"湿原")</f>
        <v>湿原</v>
      </c>
      <c r="F131" s="102">
        <f>IFERROR(__xludf.DUMMYFUNCTION("""COMPUTED_VALUE"""),21.0)</f>
        <v>21</v>
      </c>
      <c r="G131" s="82">
        <f>IFERROR(__xludf.DUMMYFUNCTION("""COMPUTED_VALUE"""),1889.0)</f>
        <v>1889</v>
      </c>
      <c r="H131" s="95" t="str">
        <f>IFERROR(__xludf.DUMMYFUNCTION("""COMPUTED_VALUE"""),"")</f>
        <v/>
      </c>
      <c r="I131" s="96" t="str">
        <f>IFERROR(__xludf.DUMMYFUNCTION("""COMPUTED_VALUE"""),"")</f>
        <v/>
      </c>
      <c r="J131" s="97" t="str">
        <f>IFERROR(__xludf.DUMMYFUNCTION("""COMPUTED_VALUE"""),"")</f>
        <v/>
      </c>
      <c r="K131" s="95" t="str">
        <f>IFERROR(__xludf.DUMMYFUNCTION("""COMPUTED_VALUE"""),"")</f>
        <v/>
      </c>
      <c r="L131" s="96" t="str">
        <f>IFERROR(__xludf.DUMMYFUNCTION("""COMPUTED_VALUE"""),"")</f>
        <v/>
      </c>
      <c r="M131" s="97" t="str">
        <f>IFERROR(__xludf.DUMMYFUNCTION("""COMPUTED_VALUE"""),"")</f>
        <v/>
      </c>
      <c r="N131" s="95" t="str">
        <f>IFERROR(__xludf.DUMMYFUNCTION("""COMPUTED_VALUE"""),"")</f>
        <v/>
      </c>
      <c r="O131" s="96" t="str">
        <f>IFERROR(__xludf.DUMMYFUNCTION("""COMPUTED_VALUE"""),"")</f>
        <v/>
      </c>
      <c r="P131" s="97" t="str">
        <f>IFERROR(__xludf.DUMMYFUNCTION("""COMPUTED_VALUE"""),"")</f>
        <v/>
      </c>
      <c r="Q131" s="95" t="str">
        <f>IFERROR(__xludf.DUMMYFUNCTION("""COMPUTED_VALUE"""),"")</f>
        <v/>
      </c>
      <c r="R131" s="96" t="str">
        <f>IFERROR(__xludf.DUMMYFUNCTION("""COMPUTED_VALUE"""),"")</f>
        <v/>
      </c>
      <c r="S131" s="97" t="str">
        <f>IFERROR(__xludf.DUMMYFUNCTION("""COMPUTED_VALUE"""),"")</f>
        <v/>
      </c>
      <c r="T131" s="95" t="str">
        <f>IFERROR(__xludf.DUMMYFUNCTION("""COMPUTED_VALUE"""),"")</f>
        <v/>
      </c>
      <c r="U131" s="96" t="str">
        <f>IFERROR(__xludf.DUMMYFUNCTION("""COMPUTED_VALUE"""),"")</f>
        <v/>
      </c>
      <c r="V131" s="97" t="str">
        <f>IFERROR(__xludf.DUMMYFUNCTION("""COMPUTED_VALUE"""),"")</f>
        <v/>
      </c>
      <c r="W131" s="95" t="str">
        <f>IFERROR(__xludf.DUMMYFUNCTION("""COMPUTED_VALUE"""),"")</f>
        <v/>
      </c>
      <c r="X131" s="96" t="str">
        <f>IFERROR(__xludf.DUMMYFUNCTION("""COMPUTED_VALUE"""),"")</f>
        <v/>
      </c>
      <c r="Y131" s="97" t="str">
        <f>IFERROR(__xludf.DUMMYFUNCTION("""COMPUTED_VALUE"""),"")</f>
        <v/>
      </c>
      <c r="Z131" s="95" t="str">
        <f>IFERROR(__xludf.DUMMYFUNCTION("""COMPUTED_VALUE"""),"")</f>
        <v/>
      </c>
      <c r="AA131" s="96" t="str">
        <f>IFERROR(__xludf.DUMMYFUNCTION("""COMPUTED_VALUE"""),"")</f>
        <v/>
      </c>
      <c r="AB131" s="97" t="str">
        <f>IFERROR(__xludf.DUMMYFUNCTION("""COMPUTED_VALUE"""),"")</f>
        <v/>
      </c>
      <c r="AC131" s="95">
        <f>IFERROR(__xludf.DUMMYFUNCTION("""COMPUTED_VALUE"""),85.7)</f>
        <v>85.7</v>
      </c>
      <c r="AD131" s="96" t="str">
        <f>IFERROR(__xludf.DUMMYFUNCTION("""COMPUTED_VALUE"""),"")</f>
        <v/>
      </c>
      <c r="AE131" s="97" t="str">
        <f>IFERROR(__xludf.DUMMYFUNCTION("""COMPUTED_VALUE"""),"")</f>
        <v/>
      </c>
      <c r="AF131" s="95" t="str">
        <f>IFERROR(__xludf.DUMMYFUNCTION("""COMPUTED_VALUE"""),"")</f>
        <v/>
      </c>
      <c r="AG131" s="96" t="str">
        <f>IFERROR(__xludf.DUMMYFUNCTION("""COMPUTED_VALUE"""),"")</f>
        <v/>
      </c>
      <c r="AH131" s="97" t="str">
        <f>IFERROR(__xludf.DUMMYFUNCTION("""COMPUTED_VALUE"""),"")</f>
        <v/>
      </c>
      <c r="AI131" s="131" t="str">
        <f>IFERROR(__xludf.DUMMYFUNCTION("""COMPUTED_VALUE"""),"")</f>
        <v/>
      </c>
      <c r="AJ131" s="132" t="str">
        <f>IFERROR(__xludf.DUMMYFUNCTION("""COMPUTED_VALUE"""),"")</f>
        <v/>
      </c>
      <c r="AK131" s="133" t="str">
        <f>IFERROR(__xludf.DUMMYFUNCTION("""COMPUTED_VALUE"""),"")</f>
        <v/>
      </c>
      <c r="AL131" s="132" t="str">
        <f>IFERROR(__xludf.DUMMYFUNCTION("""COMPUTED_VALUE"""),"")</f>
        <v/>
      </c>
      <c r="AM131" s="132" t="str">
        <f>IFERROR(__xludf.DUMMYFUNCTION("""COMPUTED_VALUE"""),"")</f>
        <v/>
      </c>
      <c r="AN131" s="133" t="str">
        <f>IFERROR(__xludf.DUMMYFUNCTION("""COMPUTED_VALUE"""),"")</f>
        <v/>
      </c>
      <c r="AO131" s="132" t="str">
        <f>IFERROR(__xludf.DUMMYFUNCTION("""COMPUTED_VALUE"""),"")</f>
        <v/>
      </c>
      <c r="AP131" s="132" t="str">
        <f>IFERROR(__xludf.DUMMYFUNCTION("""COMPUTED_VALUE"""),"")</f>
        <v/>
      </c>
      <c r="AQ131" s="133" t="str">
        <f>IFERROR(__xludf.DUMMYFUNCTION("""COMPUTED_VALUE"""),"")</f>
        <v/>
      </c>
      <c r="AR131" s="132" t="str">
        <f>IFERROR(__xludf.DUMMYFUNCTION("""COMPUTED_VALUE"""),"")</f>
        <v/>
      </c>
      <c r="AS131" s="132" t="str">
        <f>IFERROR(__xludf.DUMMYFUNCTION("""COMPUTED_VALUE"""),"")</f>
        <v/>
      </c>
      <c r="AT131" s="133" t="str">
        <f>IFERROR(__xludf.DUMMYFUNCTION("""COMPUTED_VALUE"""),"")</f>
        <v/>
      </c>
      <c r="AU131" s="132" t="str">
        <f>IFERROR(__xludf.DUMMYFUNCTION("""COMPUTED_VALUE"""),"")</f>
        <v/>
      </c>
      <c r="AV131" s="132" t="str">
        <f>IFERROR(__xludf.DUMMYFUNCTION("""COMPUTED_VALUE"""),"")</f>
        <v/>
      </c>
      <c r="AW131" s="133" t="str">
        <f>IFERROR(__xludf.DUMMYFUNCTION("""COMPUTED_VALUE"""),"")</f>
        <v/>
      </c>
      <c r="AX131" s="132" t="str">
        <f>IFERROR(__xludf.DUMMYFUNCTION("""COMPUTED_VALUE"""),"")</f>
        <v/>
      </c>
      <c r="AY131" s="132">
        <f>IFERROR(__xludf.DUMMYFUNCTION("""COMPUTED_VALUE"""),53.3)</f>
        <v>53.3</v>
      </c>
      <c r="AZ131" s="133" t="str">
        <f>IFERROR(__xludf.DUMMYFUNCTION("""COMPUTED_VALUE"""),"")</f>
        <v/>
      </c>
      <c r="BA131" s="132" t="str">
        <f>IFERROR(__xludf.DUMMYFUNCTION("""COMPUTED_VALUE"""),"")</f>
        <v/>
      </c>
      <c r="BB131" s="132" t="str">
        <f>IFERROR(__xludf.DUMMYFUNCTION("""COMPUTED_VALUE"""),"")</f>
        <v/>
      </c>
      <c r="BC131" s="134" t="str">
        <f>IFERROR(__xludf.DUMMYFUNCTION("""COMPUTED_VALUE"""),"")</f>
        <v/>
      </c>
      <c r="BD131" s="132" t="str">
        <f>IFERROR(__xludf.DUMMYFUNCTION("""COMPUTED_VALUE"""),"")</f>
        <v/>
      </c>
      <c r="BE131" s="132" t="str">
        <f>IFERROR(__xludf.DUMMYFUNCTION("""COMPUTED_VALUE"""),"")</f>
        <v/>
      </c>
      <c r="BF131" s="133" t="str">
        <f>IFERROR(__xludf.DUMMYFUNCTION("""COMPUTED_VALUE"""),"")</f>
        <v/>
      </c>
      <c r="BG131" s="131" t="str">
        <f>IFERROR(__xludf.DUMMYFUNCTION("""COMPUTED_VALUE"""),"")</f>
        <v/>
      </c>
      <c r="BH131" s="132" t="str">
        <f>IFERROR(__xludf.DUMMYFUNCTION("""COMPUTED_VALUE"""),"")</f>
        <v/>
      </c>
      <c r="BI131" s="133" t="str">
        <f>IFERROR(__xludf.DUMMYFUNCTION("""COMPUTED_VALUE"""),"")</f>
        <v/>
      </c>
      <c r="BJ131" s="132" t="str">
        <f>IFERROR(__xludf.DUMMYFUNCTION("""COMPUTED_VALUE"""),"")</f>
        <v/>
      </c>
      <c r="BK131" s="132">
        <f>IFERROR(__xludf.DUMMYFUNCTION("""COMPUTED_VALUE"""),126.4)</f>
        <v>126.4</v>
      </c>
      <c r="BL131" s="133" t="str">
        <f>IFERROR(__xludf.DUMMYFUNCTION("""COMPUTED_VALUE"""),"")</f>
        <v/>
      </c>
      <c r="BM131" s="132" t="str">
        <f>IFERROR(__xludf.DUMMYFUNCTION("""COMPUTED_VALUE"""),"")</f>
        <v/>
      </c>
      <c r="BN131" s="132" t="str">
        <f>IFERROR(__xludf.DUMMYFUNCTION("""COMPUTED_VALUE"""),"")</f>
        <v/>
      </c>
      <c r="BO131" s="133" t="str">
        <f>IFERROR(__xludf.DUMMYFUNCTION("""COMPUTED_VALUE"""),"")</f>
        <v/>
      </c>
      <c r="BP131" s="132" t="str">
        <f>IFERROR(__xludf.DUMMYFUNCTION("""COMPUTED_VALUE"""),"")</f>
        <v/>
      </c>
      <c r="BQ131" s="132" t="str">
        <f>IFERROR(__xludf.DUMMYFUNCTION("""COMPUTED_VALUE"""),"")</f>
        <v/>
      </c>
      <c r="BR131" s="133" t="str">
        <f>IFERROR(__xludf.DUMMYFUNCTION("""COMPUTED_VALUE"""),"")</f>
        <v/>
      </c>
      <c r="BS131" s="132">
        <f>IFERROR(__xludf.DUMMYFUNCTION("""COMPUTED_VALUE"""),82.0)</f>
        <v>82</v>
      </c>
      <c r="BT131" s="132" t="str">
        <f>IFERROR(__xludf.DUMMYFUNCTION("""COMPUTED_VALUE"""),"")</f>
        <v/>
      </c>
      <c r="BU131" s="133" t="str">
        <f>IFERROR(__xludf.DUMMYFUNCTION("""COMPUTED_VALUE"""),"")</f>
        <v/>
      </c>
      <c r="BV131" s="132" t="str">
        <f>IFERROR(__xludf.DUMMYFUNCTION("""COMPUTED_VALUE"""),"")</f>
        <v/>
      </c>
      <c r="BW131" s="132" t="str">
        <f>IFERROR(__xludf.DUMMYFUNCTION("""COMPUTED_VALUE"""),"")</f>
        <v/>
      </c>
      <c r="BX131" s="133" t="str">
        <f>IFERROR(__xludf.DUMMYFUNCTION("""COMPUTED_VALUE"""),"")</f>
        <v/>
      </c>
      <c r="BY131" s="132" t="str">
        <f>IFERROR(__xludf.DUMMYFUNCTION("""COMPUTED_VALUE"""),"")</f>
        <v/>
      </c>
      <c r="BZ131" s="132" t="str">
        <f>IFERROR(__xludf.DUMMYFUNCTION("""COMPUTED_VALUE"""),"")</f>
        <v/>
      </c>
      <c r="CA131" s="133" t="str">
        <f>IFERROR(__xludf.DUMMYFUNCTION("""COMPUTED_VALUE"""),"")</f>
        <v/>
      </c>
      <c r="CB131" s="131" t="str">
        <f>IFERROR(__xludf.DUMMYFUNCTION("""COMPUTED_VALUE"""),"")</f>
        <v/>
      </c>
      <c r="CC131" s="132" t="str">
        <f>IFERROR(__xludf.DUMMYFUNCTION("""COMPUTED_VALUE"""),"")</f>
        <v/>
      </c>
      <c r="CD131" s="133" t="str">
        <f>IFERROR(__xludf.DUMMYFUNCTION("""COMPUTED_VALUE"""),"")</f>
        <v/>
      </c>
      <c r="CE131" s="132" t="str">
        <f>IFERROR(__xludf.DUMMYFUNCTION("""COMPUTED_VALUE"""),"")</f>
        <v/>
      </c>
      <c r="CF131" s="132" t="str">
        <f>IFERROR(__xludf.DUMMYFUNCTION("""COMPUTED_VALUE"""),"")</f>
        <v/>
      </c>
      <c r="CG131" s="133" t="str">
        <f>IFERROR(__xludf.DUMMYFUNCTION("""COMPUTED_VALUE"""),"")</f>
        <v/>
      </c>
      <c r="CH131" s="132" t="str">
        <f>IFERROR(__xludf.DUMMYFUNCTION("""COMPUTED_VALUE"""),"")</f>
        <v/>
      </c>
      <c r="CI131" s="132" t="str">
        <f>IFERROR(__xludf.DUMMYFUNCTION("""COMPUTED_VALUE"""),"")</f>
        <v/>
      </c>
      <c r="CJ131" s="133" t="str">
        <f>IFERROR(__xludf.DUMMYFUNCTION("""COMPUTED_VALUE"""),"")</f>
        <v/>
      </c>
      <c r="CK131" s="132" t="str">
        <f>IFERROR(__xludf.DUMMYFUNCTION("""COMPUTED_VALUE"""),"")</f>
        <v/>
      </c>
      <c r="CL131" s="132" t="str">
        <f>IFERROR(__xludf.DUMMYFUNCTION("""COMPUTED_VALUE"""),"")</f>
        <v/>
      </c>
      <c r="CM131" s="133" t="str">
        <f>IFERROR(__xludf.DUMMYFUNCTION("""COMPUTED_VALUE"""),"")</f>
        <v/>
      </c>
      <c r="CN131" s="132" t="str">
        <f>IFERROR(__xludf.DUMMYFUNCTION("""COMPUTED_VALUE"""),"")</f>
        <v/>
      </c>
      <c r="CO131" s="132" t="str">
        <f>IFERROR(__xludf.DUMMYFUNCTION("""COMPUTED_VALUE"""),"")</f>
        <v/>
      </c>
      <c r="CP131" s="133" t="str">
        <f>IFERROR(__xludf.DUMMYFUNCTION("""COMPUTED_VALUE"""),"")</f>
        <v/>
      </c>
      <c r="CQ131" s="132" t="str">
        <f>IFERROR(__xludf.DUMMYFUNCTION("""COMPUTED_VALUE"""),"")</f>
        <v/>
      </c>
      <c r="CR131" s="132" t="str">
        <f>IFERROR(__xludf.DUMMYFUNCTION("""COMPUTED_VALUE"""),"")</f>
        <v/>
      </c>
      <c r="CS131" s="133"/>
      <c r="CT131" s="132"/>
      <c r="CU131" s="132"/>
      <c r="CV131" s="133"/>
      <c r="CW131" s="132"/>
      <c r="CX131" s="132"/>
      <c r="CY131" s="133"/>
      <c r="CZ131" s="132"/>
      <c r="DA131" s="132"/>
      <c r="DB131" s="133"/>
      <c r="DC131" s="132"/>
      <c r="DD131" s="132"/>
      <c r="DE131" s="133"/>
      <c r="DF131" s="132"/>
      <c r="DG131" s="132"/>
      <c r="DH131" s="133"/>
      <c r="DI131" s="132"/>
      <c r="DJ131" s="132"/>
      <c r="DK131" s="133"/>
      <c r="DL131" s="132"/>
      <c r="DM131" s="132"/>
      <c r="DN131" s="133"/>
      <c r="DO131" s="132"/>
      <c r="DP131" s="132"/>
      <c r="DQ131" s="133"/>
      <c r="DR131" s="132"/>
      <c r="DS131" s="132"/>
      <c r="DT131" s="133"/>
    </row>
    <row r="132">
      <c r="B132" s="120" t="str">
        <f>IFERROR(__xludf.DUMMYFUNCTION("""COMPUTED_VALUE"""),"BBL6")</f>
        <v>BBL6</v>
      </c>
      <c r="C132" s="82">
        <f>IFERROR(__xludf.DUMMYFUNCTION("""COMPUTED_VALUE"""),121.0)</f>
        <v>121</v>
      </c>
      <c r="D132" s="88" t="str">
        <f>IFERROR(__xludf.DUMMYFUNCTION("""COMPUTED_VALUE"""),"Ur")</f>
        <v>Ur</v>
      </c>
      <c r="E132" s="82" t="str">
        <f>IFERROR(__xludf.DUMMYFUNCTION("""COMPUTED_VALUE"""),"ウル")</f>
        <v>ウル</v>
      </c>
      <c r="F132" s="102">
        <f>IFERROR(__xludf.DUMMYFUNCTION("""COMPUTED_VALUE"""),21.0)</f>
        <v>21</v>
      </c>
      <c r="G132" s="82">
        <f>IFERROR(__xludf.DUMMYFUNCTION("""COMPUTED_VALUE"""),22584.0)</f>
        <v>22584</v>
      </c>
      <c r="H132" s="95">
        <f>IFERROR(__xludf.DUMMYFUNCTION("""COMPUTED_VALUE"""),116.3)</f>
        <v>116.3</v>
      </c>
      <c r="I132" s="96" t="str">
        <f>IFERROR(__xludf.DUMMYFUNCTION("""COMPUTED_VALUE"""),"")</f>
        <v/>
      </c>
      <c r="J132" s="97" t="str">
        <f>IFERROR(__xludf.DUMMYFUNCTION("""COMPUTED_VALUE"""),"")</f>
        <v/>
      </c>
      <c r="K132" s="95" t="str">
        <f>IFERROR(__xludf.DUMMYFUNCTION("""COMPUTED_VALUE"""),"")</f>
        <v/>
      </c>
      <c r="L132" s="96" t="str">
        <f>IFERROR(__xludf.DUMMYFUNCTION("""COMPUTED_VALUE"""),"")</f>
        <v/>
      </c>
      <c r="M132" s="97" t="str">
        <f>IFERROR(__xludf.DUMMYFUNCTION("""COMPUTED_VALUE"""),"")</f>
        <v/>
      </c>
      <c r="N132" s="95" t="str">
        <f>IFERROR(__xludf.DUMMYFUNCTION("""COMPUTED_VALUE"""),"")</f>
        <v/>
      </c>
      <c r="O132" s="96" t="str">
        <f>IFERROR(__xludf.DUMMYFUNCTION("""COMPUTED_VALUE"""),"")</f>
        <v/>
      </c>
      <c r="P132" s="97" t="str">
        <f>IFERROR(__xludf.DUMMYFUNCTION("""COMPUTED_VALUE"""),"")</f>
        <v/>
      </c>
      <c r="Q132" s="95" t="str">
        <f>IFERROR(__xludf.DUMMYFUNCTION("""COMPUTED_VALUE"""),"")</f>
        <v/>
      </c>
      <c r="R132" s="96" t="str">
        <f>IFERROR(__xludf.DUMMYFUNCTION("""COMPUTED_VALUE"""),"")</f>
        <v/>
      </c>
      <c r="S132" s="97" t="str">
        <f>IFERROR(__xludf.DUMMYFUNCTION("""COMPUTED_VALUE"""),"")</f>
        <v/>
      </c>
      <c r="T132" s="95" t="str">
        <f>IFERROR(__xludf.DUMMYFUNCTION("""COMPUTED_VALUE"""),"")</f>
        <v/>
      </c>
      <c r="U132" s="96" t="str">
        <f>IFERROR(__xludf.DUMMYFUNCTION("""COMPUTED_VALUE"""),"")</f>
        <v/>
      </c>
      <c r="V132" s="97" t="str">
        <f>IFERROR(__xludf.DUMMYFUNCTION("""COMPUTED_VALUE"""),"")</f>
        <v/>
      </c>
      <c r="W132" s="95" t="str">
        <f>IFERROR(__xludf.DUMMYFUNCTION("""COMPUTED_VALUE"""),"")</f>
        <v/>
      </c>
      <c r="X132" s="96" t="str">
        <f>IFERROR(__xludf.DUMMYFUNCTION("""COMPUTED_VALUE"""),"")</f>
        <v/>
      </c>
      <c r="Y132" s="97" t="str">
        <f>IFERROR(__xludf.DUMMYFUNCTION("""COMPUTED_VALUE"""),"")</f>
        <v/>
      </c>
      <c r="Z132" s="95">
        <f>IFERROR(__xludf.DUMMYFUNCTION("""COMPUTED_VALUE"""),88.3)</f>
        <v>88.3</v>
      </c>
      <c r="AA132" s="96" t="str">
        <f>IFERROR(__xludf.DUMMYFUNCTION("""COMPUTED_VALUE"""),"")</f>
        <v/>
      </c>
      <c r="AB132" s="97" t="str">
        <f>IFERROR(__xludf.DUMMYFUNCTION("""COMPUTED_VALUE"""),"")</f>
        <v/>
      </c>
      <c r="AC132" s="95" t="str">
        <f>IFERROR(__xludf.DUMMYFUNCTION("""COMPUTED_VALUE"""),"")</f>
        <v/>
      </c>
      <c r="AD132" s="96" t="str">
        <f>IFERROR(__xludf.DUMMYFUNCTION("""COMPUTED_VALUE"""),"")</f>
        <v/>
      </c>
      <c r="AE132" s="97" t="str">
        <f>IFERROR(__xludf.DUMMYFUNCTION("""COMPUTED_VALUE"""),"")</f>
        <v/>
      </c>
      <c r="AF132" s="95" t="str">
        <f>IFERROR(__xludf.DUMMYFUNCTION("""COMPUTED_VALUE"""),"")</f>
        <v/>
      </c>
      <c r="AG132" s="96" t="str">
        <f>IFERROR(__xludf.DUMMYFUNCTION("""COMPUTED_VALUE"""),"")</f>
        <v/>
      </c>
      <c r="AH132" s="97" t="str">
        <f>IFERROR(__xludf.DUMMYFUNCTION("""COMPUTED_VALUE"""),"")</f>
        <v/>
      </c>
      <c r="AI132" s="92" t="str">
        <f>IFERROR(__xludf.DUMMYFUNCTION("""COMPUTED_VALUE"""),"")</f>
        <v/>
      </c>
      <c r="AJ132" s="93" t="str">
        <f>IFERROR(__xludf.DUMMYFUNCTION("""COMPUTED_VALUE"""),"")</f>
        <v/>
      </c>
      <c r="AK132" s="94" t="str">
        <f>IFERROR(__xludf.DUMMYFUNCTION("""COMPUTED_VALUE"""),"")</f>
        <v/>
      </c>
      <c r="AL132" s="93" t="str">
        <f>IFERROR(__xludf.DUMMYFUNCTION("""COMPUTED_VALUE"""),"")</f>
        <v/>
      </c>
      <c r="AM132" s="93" t="str">
        <f>IFERROR(__xludf.DUMMYFUNCTION("""COMPUTED_VALUE"""),"")</f>
        <v/>
      </c>
      <c r="AN132" s="94" t="str">
        <f>IFERROR(__xludf.DUMMYFUNCTION("""COMPUTED_VALUE"""),"")</f>
        <v/>
      </c>
      <c r="AO132" s="93" t="str">
        <f>IFERROR(__xludf.DUMMYFUNCTION("""COMPUTED_VALUE"""),"")</f>
        <v/>
      </c>
      <c r="AP132" s="93" t="str">
        <f>IFERROR(__xludf.DUMMYFUNCTION("""COMPUTED_VALUE"""),"")</f>
        <v/>
      </c>
      <c r="AQ132" s="94" t="str">
        <f>IFERROR(__xludf.DUMMYFUNCTION("""COMPUTED_VALUE"""),"")</f>
        <v/>
      </c>
      <c r="AR132" s="93" t="str">
        <f>IFERROR(__xludf.DUMMYFUNCTION("""COMPUTED_VALUE"""),"")</f>
        <v/>
      </c>
      <c r="AS132" s="93" t="str">
        <f>IFERROR(__xludf.DUMMYFUNCTION("""COMPUTED_VALUE"""),"")</f>
        <v/>
      </c>
      <c r="AT132" s="94" t="str">
        <f>IFERROR(__xludf.DUMMYFUNCTION("""COMPUTED_VALUE"""),"")</f>
        <v/>
      </c>
      <c r="AU132" s="93" t="str">
        <f>IFERROR(__xludf.DUMMYFUNCTION("""COMPUTED_VALUE"""),"")</f>
        <v/>
      </c>
      <c r="AV132" s="93" t="str">
        <f>IFERROR(__xludf.DUMMYFUNCTION("""COMPUTED_VALUE"""),"")</f>
        <v/>
      </c>
      <c r="AW132" s="94" t="str">
        <f>IFERROR(__xludf.DUMMYFUNCTION("""COMPUTED_VALUE"""),"")</f>
        <v/>
      </c>
      <c r="AX132" s="93" t="str">
        <f>IFERROR(__xludf.DUMMYFUNCTION("""COMPUTED_VALUE"""),"")</f>
        <v/>
      </c>
      <c r="AY132" s="93" t="str">
        <f>IFERROR(__xludf.DUMMYFUNCTION("""COMPUTED_VALUE"""),"")</f>
        <v/>
      </c>
      <c r="AZ132" s="94" t="str">
        <f>IFERROR(__xludf.DUMMYFUNCTION("""COMPUTED_VALUE"""),"")</f>
        <v/>
      </c>
      <c r="BA132" s="93" t="str">
        <f>IFERROR(__xludf.DUMMYFUNCTION("""COMPUTED_VALUE"""),"")</f>
        <v/>
      </c>
      <c r="BB132" s="93" t="str">
        <f>IFERROR(__xludf.DUMMYFUNCTION("""COMPUTED_VALUE"""),"")</f>
        <v/>
      </c>
      <c r="BC132" s="94" t="str">
        <f>IFERROR(__xludf.DUMMYFUNCTION("""COMPUTED_VALUE"""),"")</f>
        <v/>
      </c>
      <c r="BD132" s="93" t="str">
        <f>IFERROR(__xludf.DUMMYFUNCTION("""COMPUTED_VALUE"""),"")</f>
        <v/>
      </c>
      <c r="BE132" s="93" t="str">
        <f>IFERROR(__xludf.DUMMYFUNCTION("""COMPUTED_VALUE"""),"")</f>
        <v/>
      </c>
      <c r="BF132" s="94" t="str">
        <f>IFERROR(__xludf.DUMMYFUNCTION("""COMPUTED_VALUE"""),"")</f>
        <v/>
      </c>
      <c r="BG132" s="92" t="str">
        <f>IFERROR(__xludf.DUMMYFUNCTION("""COMPUTED_VALUE"""),"")</f>
        <v/>
      </c>
      <c r="BH132" s="93" t="str">
        <f>IFERROR(__xludf.DUMMYFUNCTION("""COMPUTED_VALUE"""),"")</f>
        <v/>
      </c>
      <c r="BI132" s="94" t="str">
        <f>IFERROR(__xludf.DUMMYFUNCTION("""COMPUTED_VALUE"""),"")</f>
        <v/>
      </c>
      <c r="BJ132" s="93">
        <f>IFERROR(__xludf.DUMMYFUNCTION("""COMPUTED_VALUE"""),240.3)</f>
        <v>240.3</v>
      </c>
      <c r="BK132" s="93" t="str">
        <f>IFERROR(__xludf.DUMMYFUNCTION("""COMPUTED_VALUE"""),"")</f>
        <v/>
      </c>
      <c r="BL132" s="94" t="str">
        <f>IFERROR(__xludf.DUMMYFUNCTION("""COMPUTED_VALUE"""),"")</f>
        <v/>
      </c>
      <c r="BM132" s="93" t="str">
        <f>IFERROR(__xludf.DUMMYFUNCTION("""COMPUTED_VALUE"""),"")</f>
        <v/>
      </c>
      <c r="BN132" s="93" t="str">
        <f>IFERROR(__xludf.DUMMYFUNCTION("""COMPUTED_VALUE"""),"")</f>
        <v/>
      </c>
      <c r="BO132" s="94">
        <f>IFERROR(__xludf.DUMMYFUNCTION("""COMPUTED_VALUE"""),231.0)</f>
        <v>231</v>
      </c>
      <c r="BP132" s="93">
        <f>IFERROR(__xludf.DUMMYFUNCTION("""COMPUTED_VALUE"""),91.3)</f>
        <v>91.3</v>
      </c>
      <c r="BQ132" s="93" t="str">
        <f>IFERROR(__xludf.DUMMYFUNCTION("""COMPUTED_VALUE"""),"")</f>
        <v/>
      </c>
      <c r="BR132" s="94" t="str">
        <f>IFERROR(__xludf.DUMMYFUNCTION("""COMPUTED_VALUE"""),"")</f>
        <v/>
      </c>
      <c r="BS132" s="93" t="str">
        <f>IFERROR(__xludf.DUMMYFUNCTION("""COMPUTED_VALUE"""),"")</f>
        <v/>
      </c>
      <c r="BT132" s="93" t="str">
        <f>IFERROR(__xludf.DUMMYFUNCTION("""COMPUTED_VALUE"""),"")</f>
        <v/>
      </c>
      <c r="BU132" s="94" t="str">
        <f>IFERROR(__xludf.DUMMYFUNCTION("""COMPUTED_VALUE"""),"")</f>
        <v/>
      </c>
      <c r="BV132" s="93" t="str">
        <f>IFERROR(__xludf.DUMMYFUNCTION("""COMPUTED_VALUE"""),"")</f>
        <v/>
      </c>
      <c r="BW132" s="93" t="str">
        <f>IFERROR(__xludf.DUMMYFUNCTION("""COMPUTED_VALUE"""),"")</f>
        <v/>
      </c>
      <c r="BX132" s="94" t="str">
        <f>IFERROR(__xludf.DUMMYFUNCTION("""COMPUTED_VALUE"""),"")</f>
        <v/>
      </c>
      <c r="BY132" s="93" t="str">
        <f>IFERROR(__xludf.DUMMYFUNCTION("""COMPUTED_VALUE"""),"")</f>
        <v/>
      </c>
      <c r="BZ132" s="93" t="str">
        <f>IFERROR(__xludf.DUMMYFUNCTION("""COMPUTED_VALUE"""),"")</f>
        <v/>
      </c>
      <c r="CA132" s="94" t="str">
        <f>IFERROR(__xludf.DUMMYFUNCTION("""COMPUTED_VALUE"""),"")</f>
        <v/>
      </c>
      <c r="CB132" s="92" t="str">
        <f>IFERROR(__xludf.DUMMYFUNCTION("""COMPUTED_VALUE"""),"")</f>
        <v/>
      </c>
      <c r="CC132" s="93" t="str">
        <f>IFERROR(__xludf.DUMMYFUNCTION("""COMPUTED_VALUE"""),"")</f>
        <v/>
      </c>
      <c r="CD132" s="94" t="str">
        <f>IFERROR(__xludf.DUMMYFUNCTION("""COMPUTED_VALUE"""),"")</f>
        <v/>
      </c>
      <c r="CE132" s="93" t="str">
        <f>IFERROR(__xludf.DUMMYFUNCTION("""COMPUTED_VALUE"""),"")</f>
        <v/>
      </c>
      <c r="CF132" s="93" t="str">
        <f>IFERROR(__xludf.DUMMYFUNCTION("""COMPUTED_VALUE"""),"")</f>
        <v/>
      </c>
      <c r="CG132" s="94" t="str">
        <f>IFERROR(__xludf.DUMMYFUNCTION("""COMPUTED_VALUE"""),"")</f>
        <v/>
      </c>
      <c r="CH132" s="93" t="str">
        <f>IFERROR(__xludf.DUMMYFUNCTION("""COMPUTED_VALUE"""),"")</f>
        <v/>
      </c>
      <c r="CI132" s="93" t="str">
        <f>IFERROR(__xludf.DUMMYFUNCTION("""COMPUTED_VALUE"""),"")</f>
        <v/>
      </c>
      <c r="CJ132" s="94" t="str">
        <f>IFERROR(__xludf.DUMMYFUNCTION("""COMPUTED_VALUE"""),"")</f>
        <v/>
      </c>
      <c r="CK132" s="93" t="str">
        <f>IFERROR(__xludf.DUMMYFUNCTION("""COMPUTED_VALUE"""),"")</f>
        <v/>
      </c>
      <c r="CL132" s="93" t="str">
        <f>IFERROR(__xludf.DUMMYFUNCTION("""COMPUTED_VALUE"""),"")</f>
        <v/>
      </c>
      <c r="CM132" s="94" t="str">
        <f>IFERROR(__xludf.DUMMYFUNCTION("""COMPUTED_VALUE"""),"")</f>
        <v/>
      </c>
      <c r="CN132" s="93" t="str">
        <f>IFERROR(__xludf.DUMMYFUNCTION("""COMPUTED_VALUE"""),"")</f>
        <v/>
      </c>
      <c r="CO132" s="93" t="str">
        <f>IFERROR(__xludf.DUMMYFUNCTION("""COMPUTED_VALUE"""),"")</f>
        <v/>
      </c>
      <c r="CP132" s="94" t="str">
        <f>IFERROR(__xludf.DUMMYFUNCTION("""COMPUTED_VALUE"""),"")</f>
        <v/>
      </c>
      <c r="CQ132" s="93" t="str">
        <f>IFERROR(__xludf.DUMMYFUNCTION("""COMPUTED_VALUE"""),"")</f>
        <v/>
      </c>
      <c r="CR132" s="93" t="str">
        <f>IFERROR(__xludf.DUMMYFUNCTION("""COMPUTED_VALUE"""),"")</f>
        <v/>
      </c>
      <c r="CS132" s="94"/>
      <c r="CT132" s="93"/>
      <c r="CU132" s="93"/>
      <c r="CV132" s="94"/>
      <c r="CW132" s="93"/>
      <c r="CX132" s="93"/>
      <c r="CY132" s="94"/>
      <c r="CZ132" s="93"/>
      <c r="DA132" s="93"/>
      <c r="DB132" s="94"/>
      <c r="DC132" s="93"/>
      <c r="DD132" s="93"/>
      <c r="DE132" s="94"/>
      <c r="DF132" s="93"/>
      <c r="DG132" s="93"/>
      <c r="DH132" s="94"/>
      <c r="DI132" s="93"/>
      <c r="DJ132" s="93"/>
      <c r="DK132" s="94"/>
      <c r="DL132" s="93"/>
      <c r="DM132" s="93"/>
      <c r="DN132" s="94"/>
      <c r="DO132" s="93"/>
      <c r="DP132" s="93"/>
      <c r="DQ132" s="94"/>
      <c r="DR132" s="93"/>
      <c r="DS132" s="93"/>
      <c r="DT132" s="94"/>
    </row>
    <row r="133">
      <c r="B133" s="120" t="str">
        <f>IFERROR(__xludf.DUMMYFUNCTION("""COMPUTED_VALUE"""),"BBL7")</f>
        <v>BBL7</v>
      </c>
      <c r="C133" s="82">
        <f>IFERROR(__xludf.DUMMYFUNCTION("""COMPUTED_VALUE"""),122.0)</f>
        <v>122</v>
      </c>
      <c r="D133" s="88" t="str">
        <f>IFERROR(__xludf.DUMMYFUNCTION("""COMPUTED_VALUE"""),"Eridu")</f>
        <v>Eridu</v>
      </c>
      <c r="E133" s="82" t="str">
        <f>IFERROR(__xludf.DUMMYFUNCTION("""COMPUTED_VALUE"""),"エリドゥ")</f>
        <v>エリドゥ</v>
      </c>
      <c r="F133" s="102">
        <f>IFERROR(__xludf.DUMMYFUNCTION("""COMPUTED_VALUE"""),21.0)</f>
        <v>21</v>
      </c>
      <c r="G133" s="82">
        <f>IFERROR(__xludf.DUMMYFUNCTION("""COMPUTED_VALUE"""),16194.0)</f>
        <v>16194</v>
      </c>
      <c r="H133" s="95" t="str">
        <f>IFERROR(__xludf.DUMMYFUNCTION("""COMPUTED_VALUE"""),"")</f>
        <v/>
      </c>
      <c r="I133" s="96" t="str">
        <f>IFERROR(__xludf.DUMMYFUNCTION("""COMPUTED_VALUE"""),"")</f>
        <v/>
      </c>
      <c r="J133" s="97" t="str">
        <f>IFERROR(__xludf.DUMMYFUNCTION("""COMPUTED_VALUE"""),"")</f>
        <v/>
      </c>
      <c r="K133" s="95" t="str">
        <f>IFERROR(__xludf.DUMMYFUNCTION("""COMPUTED_VALUE"""),"")</f>
        <v/>
      </c>
      <c r="L133" s="96" t="str">
        <f>IFERROR(__xludf.DUMMYFUNCTION("""COMPUTED_VALUE"""),"")</f>
        <v/>
      </c>
      <c r="M133" s="97" t="str">
        <f>IFERROR(__xludf.DUMMYFUNCTION("""COMPUTED_VALUE"""),"")</f>
        <v/>
      </c>
      <c r="N133" s="95" t="str">
        <f>IFERROR(__xludf.DUMMYFUNCTION("""COMPUTED_VALUE"""),"")</f>
        <v/>
      </c>
      <c r="O133" s="96" t="str">
        <f>IFERROR(__xludf.DUMMYFUNCTION("""COMPUTED_VALUE"""),"")</f>
        <v/>
      </c>
      <c r="P133" s="97" t="str">
        <f>IFERROR(__xludf.DUMMYFUNCTION("""COMPUTED_VALUE"""),"")</f>
        <v/>
      </c>
      <c r="Q133" s="95" t="str">
        <f>IFERROR(__xludf.DUMMYFUNCTION("""COMPUTED_VALUE"""),"")</f>
        <v/>
      </c>
      <c r="R133" s="96" t="str">
        <f>IFERROR(__xludf.DUMMYFUNCTION("""COMPUTED_VALUE"""),"")</f>
        <v/>
      </c>
      <c r="S133" s="97" t="str">
        <f>IFERROR(__xludf.DUMMYFUNCTION("""COMPUTED_VALUE"""),"")</f>
        <v/>
      </c>
      <c r="T133" s="95" t="str">
        <f>IFERROR(__xludf.DUMMYFUNCTION("""COMPUTED_VALUE"""),"")</f>
        <v/>
      </c>
      <c r="U133" s="96" t="str">
        <f>IFERROR(__xludf.DUMMYFUNCTION("""COMPUTED_VALUE"""),"")</f>
        <v/>
      </c>
      <c r="V133" s="97" t="str">
        <f>IFERROR(__xludf.DUMMYFUNCTION("""COMPUTED_VALUE"""),"")</f>
        <v/>
      </c>
      <c r="W133" s="95" t="str">
        <f>IFERROR(__xludf.DUMMYFUNCTION("""COMPUTED_VALUE"""),"")</f>
        <v/>
      </c>
      <c r="X133" s="96" t="str">
        <f>IFERROR(__xludf.DUMMYFUNCTION("""COMPUTED_VALUE"""),"")</f>
        <v/>
      </c>
      <c r="Y133" s="97" t="str">
        <f>IFERROR(__xludf.DUMMYFUNCTION("""COMPUTED_VALUE"""),"")</f>
        <v/>
      </c>
      <c r="Z133" s="95" t="str">
        <f>IFERROR(__xludf.DUMMYFUNCTION("""COMPUTED_VALUE"""),"")</f>
        <v/>
      </c>
      <c r="AA133" s="96" t="str">
        <f>IFERROR(__xludf.DUMMYFUNCTION("""COMPUTED_VALUE"""),"")</f>
        <v/>
      </c>
      <c r="AB133" s="97" t="str">
        <f>IFERROR(__xludf.DUMMYFUNCTION("""COMPUTED_VALUE"""),"")</f>
        <v/>
      </c>
      <c r="AC133" s="95" t="str">
        <f>IFERROR(__xludf.DUMMYFUNCTION("""COMPUTED_VALUE"""),"")</f>
        <v/>
      </c>
      <c r="AD133" s="96" t="str">
        <f>IFERROR(__xludf.DUMMYFUNCTION("""COMPUTED_VALUE"""),"")</f>
        <v/>
      </c>
      <c r="AE133" s="97" t="str">
        <f>IFERROR(__xludf.DUMMYFUNCTION("""COMPUTED_VALUE"""),"")</f>
        <v/>
      </c>
      <c r="AF133" s="95" t="str">
        <f>IFERROR(__xludf.DUMMYFUNCTION("""COMPUTED_VALUE"""),"")</f>
        <v/>
      </c>
      <c r="AG133" s="96" t="str">
        <f>IFERROR(__xludf.DUMMYFUNCTION("""COMPUTED_VALUE"""),"")</f>
        <v/>
      </c>
      <c r="AH133" s="97" t="str">
        <f>IFERROR(__xludf.DUMMYFUNCTION("""COMPUTED_VALUE"""),"")</f>
        <v/>
      </c>
      <c r="AI133" s="131" t="str">
        <f>IFERROR(__xludf.DUMMYFUNCTION("""COMPUTED_VALUE"""),"")</f>
        <v/>
      </c>
      <c r="AJ133" s="132" t="str">
        <f>IFERROR(__xludf.DUMMYFUNCTION("""COMPUTED_VALUE"""),"")</f>
        <v/>
      </c>
      <c r="AK133" s="133" t="str">
        <f>IFERROR(__xludf.DUMMYFUNCTION("""COMPUTED_VALUE"""),"")</f>
        <v/>
      </c>
      <c r="AL133" s="132" t="str">
        <f>IFERROR(__xludf.DUMMYFUNCTION("""COMPUTED_VALUE"""),"")</f>
        <v/>
      </c>
      <c r="AM133" s="132" t="str">
        <f>IFERROR(__xludf.DUMMYFUNCTION("""COMPUTED_VALUE"""),"")</f>
        <v/>
      </c>
      <c r="AN133" s="133" t="str">
        <f>IFERROR(__xludf.DUMMYFUNCTION("""COMPUTED_VALUE"""),"")</f>
        <v/>
      </c>
      <c r="AO133" s="132" t="str">
        <f>IFERROR(__xludf.DUMMYFUNCTION("""COMPUTED_VALUE"""),"")</f>
        <v/>
      </c>
      <c r="AP133" s="132" t="str">
        <f>IFERROR(__xludf.DUMMYFUNCTION("""COMPUTED_VALUE"""),"")</f>
        <v/>
      </c>
      <c r="AQ133" s="133" t="str">
        <f>IFERROR(__xludf.DUMMYFUNCTION("""COMPUTED_VALUE"""),"")</f>
        <v/>
      </c>
      <c r="AR133" s="132" t="str">
        <f>IFERROR(__xludf.DUMMYFUNCTION("""COMPUTED_VALUE"""),"")</f>
        <v/>
      </c>
      <c r="AS133" s="132" t="str">
        <f>IFERROR(__xludf.DUMMYFUNCTION("""COMPUTED_VALUE"""),"")</f>
        <v/>
      </c>
      <c r="AT133" s="133" t="str">
        <f>IFERROR(__xludf.DUMMYFUNCTION("""COMPUTED_VALUE"""),"")</f>
        <v/>
      </c>
      <c r="AU133" s="132" t="str">
        <f>IFERROR(__xludf.DUMMYFUNCTION("""COMPUTED_VALUE"""),"")</f>
        <v/>
      </c>
      <c r="AV133" s="132">
        <f>IFERROR(__xludf.DUMMYFUNCTION("""COMPUTED_VALUE"""),33.4)</f>
        <v>33.4</v>
      </c>
      <c r="AW133" s="133" t="str">
        <f>IFERROR(__xludf.DUMMYFUNCTION("""COMPUTED_VALUE"""),"")</f>
        <v/>
      </c>
      <c r="AX133" s="132" t="str">
        <f>IFERROR(__xludf.DUMMYFUNCTION("""COMPUTED_VALUE"""),"")</f>
        <v/>
      </c>
      <c r="AY133" s="132" t="str">
        <f>IFERROR(__xludf.DUMMYFUNCTION("""COMPUTED_VALUE"""),"")</f>
        <v/>
      </c>
      <c r="AZ133" s="133" t="str">
        <f>IFERROR(__xludf.DUMMYFUNCTION("""COMPUTED_VALUE"""),"")</f>
        <v/>
      </c>
      <c r="BA133" s="132" t="str">
        <f>IFERROR(__xludf.DUMMYFUNCTION("""COMPUTED_VALUE"""),"")</f>
        <v/>
      </c>
      <c r="BB133" s="132" t="str">
        <f>IFERROR(__xludf.DUMMYFUNCTION("""COMPUTED_VALUE"""),"")</f>
        <v/>
      </c>
      <c r="BC133" s="133" t="str">
        <f>IFERROR(__xludf.DUMMYFUNCTION("""COMPUTED_VALUE"""),"")</f>
        <v/>
      </c>
      <c r="BD133" s="132" t="str">
        <f>IFERROR(__xludf.DUMMYFUNCTION("""COMPUTED_VALUE"""),"")</f>
        <v/>
      </c>
      <c r="BE133" s="132" t="str">
        <f>IFERROR(__xludf.DUMMYFUNCTION("""COMPUTED_VALUE"""),"")</f>
        <v/>
      </c>
      <c r="BF133" s="133" t="str">
        <f>IFERROR(__xludf.DUMMYFUNCTION("""COMPUTED_VALUE"""),"")</f>
        <v/>
      </c>
      <c r="BG133" s="131" t="str">
        <f>IFERROR(__xludf.DUMMYFUNCTION("""COMPUTED_VALUE"""),"")</f>
        <v/>
      </c>
      <c r="BH133" s="132" t="str">
        <f>IFERROR(__xludf.DUMMYFUNCTION("""COMPUTED_VALUE"""),"")</f>
        <v/>
      </c>
      <c r="BI133" s="133" t="str">
        <f>IFERROR(__xludf.DUMMYFUNCTION("""COMPUTED_VALUE"""),"")</f>
        <v/>
      </c>
      <c r="BJ133" s="132" t="str">
        <f>IFERROR(__xludf.DUMMYFUNCTION("""COMPUTED_VALUE"""),"")</f>
        <v/>
      </c>
      <c r="BK133" s="132" t="str">
        <f>IFERROR(__xludf.DUMMYFUNCTION("""COMPUTED_VALUE"""),"")</f>
        <v/>
      </c>
      <c r="BL133" s="133" t="str">
        <f>IFERROR(__xludf.DUMMYFUNCTION("""COMPUTED_VALUE"""),"")</f>
        <v/>
      </c>
      <c r="BM133" s="132">
        <f>IFERROR(__xludf.DUMMYFUNCTION("""COMPUTED_VALUE"""),105.9)</f>
        <v>105.9</v>
      </c>
      <c r="BN133" s="132" t="str">
        <f>IFERROR(__xludf.DUMMYFUNCTION("""COMPUTED_VALUE"""),"")</f>
        <v/>
      </c>
      <c r="BO133" s="133" t="str">
        <f>IFERROR(__xludf.DUMMYFUNCTION("""COMPUTED_VALUE"""),"")</f>
        <v/>
      </c>
      <c r="BP133" s="132" t="str">
        <f>IFERROR(__xludf.DUMMYFUNCTION("""COMPUTED_VALUE"""),"")</f>
        <v/>
      </c>
      <c r="BQ133" s="132" t="str">
        <f>IFERROR(__xludf.DUMMYFUNCTION("""COMPUTED_VALUE"""),"")</f>
        <v/>
      </c>
      <c r="BR133" s="148" t="str">
        <f>IFERROR(__xludf.DUMMYFUNCTION("""COMPUTED_VALUE"""),"")</f>
        <v/>
      </c>
      <c r="BS133" s="132" t="str">
        <f>IFERROR(__xludf.DUMMYFUNCTION("""COMPUTED_VALUE"""),"")</f>
        <v/>
      </c>
      <c r="BT133" s="132">
        <f>IFERROR(__xludf.DUMMYFUNCTION("""COMPUTED_VALUE"""),55.0)</f>
        <v>55</v>
      </c>
      <c r="BU133" s="133" t="str">
        <f>IFERROR(__xludf.DUMMYFUNCTION("""COMPUTED_VALUE"""),"")</f>
        <v/>
      </c>
      <c r="BV133" s="132" t="str">
        <f>IFERROR(__xludf.DUMMYFUNCTION("""COMPUTED_VALUE"""),"")</f>
        <v/>
      </c>
      <c r="BW133" s="132" t="str">
        <f>IFERROR(__xludf.DUMMYFUNCTION("""COMPUTED_VALUE"""),"")</f>
        <v/>
      </c>
      <c r="BX133" s="133" t="str">
        <f>IFERROR(__xludf.DUMMYFUNCTION("""COMPUTED_VALUE"""),"")</f>
        <v/>
      </c>
      <c r="BY133" s="132" t="str">
        <f>IFERROR(__xludf.DUMMYFUNCTION("""COMPUTED_VALUE"""),"")</f>
        <v/>
      </c>
      <c r="BZ133" s="132" t="str">
        <f>IFERROR(__xludf.DUMMYFUNCTION("""COMPUTED_VALUE"""),"")</f>
        <v/>
      </c>
      <c r="CA133" s="133" t="str">
        <f>IFERROR(__xludf.DUMMYFUNCTION("""COMPUTED_VALUE"""),"")</f>
        <v/>
      </c>
      <c r="CB133" s="131" t="str">
        <f>IFERROR(__xludf.DUMMYFUNCTION("""COMPUTED_VALUE"""),"")</f>
        <v/>
      </c>
      <c r="CC133" s="132" t="str">
        <f>IFERROR(__xludf.DUMMYFUNCTION("""COMPUTED_VALUE"""),"")</f>
        <v/>
      </c>
      <c r="CD133" s="133" t="str">
        <f>IFERROR(__xludf.DUMMYFUNCTION("""COMPUTED_VALUE"""),"")</f>
        <v/>
      </c>
      <c r="CE133" s="132" t="str">
        <f>IFERROR(__xludf.DUMMYFUNCTION("""COMPUTED_VALUE"""),"")</f>
        <v/>
      </c>
      <c r="CF133" s="132" t="str">
        <f>IFERROR(__xludf.DUMMYFUNCTION("""COMPUTED_VALUE"""),"")</f>
        <v/>
      </c>
      <c r="CG133" s="133" t="str">
        <f>IFERROR(__xludf.DUMMYFUNCTION("""COMPUTED_VALUE"""),"")</f>
        <v/>
      </c>
      <c r="CH133" s="132" t="str">
        <f>IFERROR(__xludf.DUMMYFUNCTION("""COMPUTED_VALUE"""),"")</f>
        <v/>
      </c>
      <c r="CI133" s="132" t="str">
        <f>IFERROR(__xludf.DUMMYFUNCTION("""COMPUTED_VALUE"""),"")</f>
        <v/>
      </c>
      <c r="CJ133" s="133" t="str">
        <f>IFERROR(__xludf.DUMMYFUNCTION("""COMPUTED_VALUE"""),"")</f>
        <v/>
      </c>
      <c r="CK133" s="132" t="str">
        <f>IFERROR(__xludf.DUMMYFUNCTION("""COMPUTED_VALUE"""),"")</f>
        <v/>
      </c>
      <c r="CL133" s="132" t="str">
        <f>IFERROR(__xludf.DUMMYFUNCTION("""COMPUTED_VALUE"""),"")</f>
        <v/>
      </c>
      <c r="CM133" s="148" t="str">
        <f>IFERROR(__xludf.DUMMYFUNCTION("""COMPUTED_VALUE"""),"")</f>
        <v/>
      </c>
      <c r="CN133" s="132" t="str">
        <f>IFERROR(__xludf.DUMMYFUNCTION("""COMPUTED_VALUE"""),"")</f>
        <v/>
      </c>
      <c r="CO133" s="132" t="str">
        <f>IFERROR(__xludf.DUMMYFUNCTION("""COMPUTED_VALUE"""),"")</f>
        <v/>
      </c>
      <c r="CP133" s="133" t="str">
        <f>IFERROR(__xludf.DUMMYFUNCTION("""COMPUTED_VALUE"""),"")</f>
        <v/>
      </c>
      <c r="CQ133" s="132" t="str">
        <f>IFERROR(__xludf.DUMMYFUNCTION("""COMPUTED_VALUE"""),"")</f>
        <v/>
      </c>
      <c r="CR133" s="132" t="str">
        <f>IFERROR(__xludf.DUMMYFUNCTION("""COMPUTED_VALUE"""),"")</f>
        <v/>
      </c>
      <c r="CS133" s="133"/>
      <c r="CT133" s="132"/>
      <c r="CU133" s="132"/>
      <c r="CV133" s="133"/>
      <c r="CW133" s="132"/>
      <c r="CX133" s="132"/>
      <c r="CY133" s="148"/>
      <c r="CZ133" s="132"/>
      <c r="DA133" s="132"/>
      <c r="DB133" s="133"/>
      <c r="DC133" s="132"/>
      <c r="DD133" s="132"/>
      <c r="DE133" s="133"/>
      <c r="DF133" s="132"/>
      <c r="DG133" s="132"/>
      <c r="DH133" s="148"/>
      <c r="DI133" s="132"/>
      <c r="DJ133" s="132"/>
      <c r="DK133" s="133"/>
      <c r="DL133" s="132"/>
      <c r="DM133" s="132"/>
      <c r="DN133" s="133"/>
      <c r="DO133" s="132"/>
      <c r="DP133" s="132"/>
      <c r="DQ133" s="133"/>
      <c r="DR133" s="132"/>
      <c r="DS133" s="132"/>
      <c r="DT133" s="133"/>
    </row>
    <row r="134">
      <c r="B134" s="120" t="str">
        <f>IFERROR(__xludf.DUMMYFUNCTION("""COMPUTED_VALUE"""),"BBL8")</f>
        <v>BBL8</v>
      </c>
      <c r="C134" s="82">
        <f>IFERROR(__xludf.DUMMYFUNCTION("""COMPUTED_VALUE"""),123.0)</f>
        <v>123</v>
      </c>
      <c r="D134" s="88" t="str">
        <f>IFERROR(__xludf.DUMMYFUNCTION("""COMPUTED_VALUE"""),"Observatory")</f>
        <v>Observatory</v>
      </c>
      <c r="E134" s="82" t="str">
        <f>IFERROR(__xludf.DUMMYFUNCTION("""COMPUTED_VALUE"""),"観測所")</f>
        <v>観測所</v>
      </c>
      <c r="F134" s="102">
        <f>IFERROR(__xludf.DUMMYFUNCTION("""COMPUTED_VALUE"""),21.0)</f>
        <v>21</v>
      </c>
      <c r="G134" s="82">
        <f>IFERROR(__xludf.DUMMYFUNCTION("""COMPUTED_VALUE"""),31146.0)</f>
        <v>31146</v>
      </c>
      <c r="H134" s="95" t="str">
        <f>IFERROR(__xludf.DUMMYFUNCTION("""COMPUTED_VALUE"""),"")</f>
        <v/>
      </c>
      <c r="I134" s="96" t="str">
        <f>IFERROR(__xludf.DUMMYFUNCTION("""COMPUTED_VALUE"""),"")</f>
        <v/>
      </c>
      <c r="J134" s="97" t="str">
        <f>IFERROR(__xludf.DUMMYFUNCTION("""COMPUTED_VALUE"""),"")</f>
        <v/>
      </c>
      <c r="K134" s="95" t="str">
        <f>IFERROR(__xludf.DUMMYFUNCTION("""COMPUTED_VALUE"""),"")</f>
        <v/>
      </c>
      <c r="L134" s="96" t="str">
        <f>IFERROR(__xludf.DUMMYFUNCTION("""COMPUTED_VALUE"""),"")</f>
        <v/>
      </c>
      <c r="M134" s="97" t="str">
        <f>IFERROR(__xludf.DUMMYFUNCTION("""COMPUTED_VALUE"""),"")</f>
        <v/>
      </c>
      <c r="N134" s="95" t="str">
        <f>IFERROR(__xludf.DUMMYFUNCTION("""COMPUTED_VALUE"""),"")</f>
        <v/>
      </c>
      <c r="O134" s="96" t="str">
        <f>IFERROR(__xludf.DUMMYFUNCTION("""COMPUTED_VALUE"""),"")</f>
        <v/>
      </c>
      <c r="P134" s="97" t="str">
        <f>IFERROR(__xludf.DUMMYFUNCTION("""COMPUTED_VALUE"""),"")</f>
        <v/>
      </c>
      <c r="Q134" s="95" t="str">
        <f>IFERROR(__xludf.DUMMYFUNCTION("""COMPUTED_VALUE"""),"")</f>
        <v/>
      </c>
      <c r="R134" s="96" t="str">
        <f>IFERROR(__xludf.DUMMYFUNCTION("""COMPUTED_VALUE"""),"")</f>
        <v/>
      </c>
      <c r="S134" s="97" t="str">
        <f>IFERROR(__xludf.DUMMYFUNCTION("""COMPUTED_VALUE"""),"")</f>
        <v/>
      </c>
      <c r="T134" s="95" t="str">
        <f>IFERROR(__xludf.DUMMYFUNCTION("""COMPUTED_VALUE"""),"")</f>
        <v/>
      </c>
      <c r="U134" s="96" t="str">
        <f>IFERROR(__xludf.DUMMYFUNCTION("""COMPUTED_VALUE"""),"")</f>
        <v/>
      </c>
      <c r="V134" s="97" t="str">
        <f>IFERROR(__xludf.DUMMYFUNCTION("""COMPUTED_VALUE"""),"")</f>
        <v/>
      </c>
      <c r="W134" s="95" t="str">
        <f>IFERROR(__xludf.DUMMYFUNCTION("""COMPUTED_VALUE"""),"")</f>
        <v/>
      </c>
      <c r="X134" s="96" t="str">
        <f>IFERROR(__xludf.DUMMYFUNCTION("""COMPUTED_VALUE"""),"")</f>
        <v/>
      </c>
      <c r="Y134" s="97" t="str">
        <f>IFERROR(__xludf.DUMMYFUNCTION("""COMPUTED_VALUE"""),"")</f>
        <v/>
      </c>
      <c r="Z134" s="95" t="str">
        <f>IFERROR(__xludf.DUMMYFUNCTION("""COMPUTED_VALUE"""),"")</f>
        <v/>
      </c>
      <c r="AA134" s="96" t="str">
        <f>IFERROR(__xludf.DUMMYFUNCTION("""COMPUTED_VALUE"""),"")</f>
        <v/>
      </c>
      <c r="AB134" s="97" t="str">
        <f>IFERROR(__xludf.DUMMYFUNCTION("""COMPUTED_VALUE"""),"")</f>
        <v/>
      </c>
      <c r="AC134" s="95" t="str">
        <f>IFERROR(__xludf.DUMMYFUNCTION("""COMPUTED_VALUE"""),"")</f>
        <v/>
      </c>
      <c r="AD134" s="96" t="str">
        <f>IFERROR(__xludf.DUMMYFUNCTION("""COMPUTED_VALUE"""),"")</f>
        <v/>
      </c>
      <c r="AE134" s="97" t="str">
        <f>IFERROR(__xludf.DUMMYFUNCTION("""COMPUTED_VALUE"""),"")</f>
        <v/>
      </c>
      <c r="AF134" s="95" t="str">
        <f>IFERROR(__xludf.DUMMYFUNCTION("""COMPUTED_VALUE"""),"")</f>
        <v/>
      </c>
      <c r="AG134" s="96" t="str">
        <f>IFERROR(__xludf.DUMMYFUNCTION("""COMPUTED_VALUE"""),"")</f>
        <v/>
      </c>
      <c r="AH134" s="97" t="str">
        <f>IFERROR(__xludf.DUMMYFUNCTION("""COMPUTED_VALUE"""),"")</f>
        <v/>
      </c>
      <c r="AI134" s="92" t="str">
        <f>IFERROR(__xludf.DUMMYFUNCTION("""COMPUTED_VALUE"""),"")</f>
        <v/>
      </c>
      <c r="AJ134" s="93">
        <f>IFERROR(__xludf.DUMMYFUNCTION("""COMPUTED_VALUE"""),52.2)</f>
        <v>52.2</v>
      </c>
      <c r="AK134" s="94" t="str">
        <f>IFERROR(__xludf.DUMMYFUNCTION("""COMPUTED_VALUE"""),"")</f>
        <v/>
      </c>
      <c r="AL134" s="93" t="str">
        <f>IFERROR(__xludf.DUMMYFUNCTION("""COMPUTED_VALUE"""),"")</f>
        <v/>
      </c>
      <c r="AM134" s="93" t="str">
        <f>IFERROR(__xludf.DUMMYFUNCTION("""COMPUTED_VALUE"""),"")</f>
        <v/>
      </c>
      <c r="AN134" s="94" t="str">
        <f>IFERROR(__xludf.DUMMYFUNCTION("""COMPUTED_VALUE"""),"")</f>
        <v/>
      </c>
      <c r="AO134" s="93" t="str">
        <f>IFERROR(__xludf.DUMMYFUNCTION("""COMPUTED_VALUE"""),"")</f>
        <v/>
      </c>
      <c r="AP134" s="93" t="str">
        <f>IFERROR(__xludf.DUMMYFUNCTION("""COMPUTED_VALUE"""),"")</f>
        <v/>
      </c>
      <c r="AQ134" s="94" t="str">
        <f>IFERROR(__xludf.DUMMYFUNCTION("""COMPUTED_VALUE"""),"")</f>
        <v/>
      </c>
      <c r="AR134" s="93" t="str">
        <f>IFERROR(__xludf.DUMMYFUNCTION("""COMPUTED_VALUE"""),"")</f>
        <v/>
      </c>
      <c r="AS134" s="93" t="str">
        <f>IFERROR(__xludf.DUMMYFUNCTION("""COMPUTED_VALUE"""),"")</f>
        <v/>
      </c>
      <c r="AT134" s="94" t="str">
        <f>IFERROR(__xludf.DUMMYFUNCTION("""COMPUTED_VALUE"""),"")</f>
        <v/>
      </c>
      <c r="AU134" s="93" t="str">
        <f>IFERROR(__xludf.DUMMYFUNCTION("""COMPUTED_VALUE"""),"")</f>
        <v/>
      </c>
      <c r="AV134" s="93" t="str">
        <f>IFERROR(__xludf.DUMMYFUNCTION("""COMPUTED_VALUE"""),"")</f>
        <v/>
      </c>
      <c r="AW134" s="94" t="str">
        <f>IFERROR(__xludf.DUMMYFUNCTION("""COMPUTED_VALUE"""),"")</f>
        <v/>
      </c>
      <c r="AX134" s="93" t="str">
        <f>IFERROR(__xludf.DUMMYFUNCTION("""COMPUTED_VALUE"""),"")</f>
        <v/>
      </c>
      <c r="AY134" s="93" t="str">
        <f>IFERROR(__xludf.DUMMYFUNCTION("""COMPUTED_VALUE"""),"")</f>
        <v/>
      </c>
      <c r="AZ134" s="94" t="str">
        <f>IFERROR(__xludf.DUMMYFUNCTION("""COMPUTED_VALUE"""),"")</f>
        <v/>
      </c>
      <c r="BA134" s="93" t="str">
        <f>IFERROR(__xludf.DUMMYFUNCTION("""COMPUTED_VALUE"""),"")</f>
        <v/>
      </c>
      <c r="BB134" s="93" t="str">
        <f>IFERROR(__xludf.DUMMYFUNCTION("""COMPUTED_VALUE"""),"")</f>
        <v/>
      </c>
      <c r="BC134" s="94" t="str">
        <f>IFERROR(__xludf.DUMMYFUNCTION("""COMPUTED_VALUE"""),"")</f>
        <v/>
      </c>
      <c r="BD134" s="93" t="str">
        <f>IFERROR(__xludf.DUMMYFUNCTION("""COMPUTED_VALUE"""),"")</f>
        <v/>
      </c>
      <c r="BE134" s="93" t="str">
        <f>IFERROR(__xludf.DUMMYFUNCTION("""COMPUTED_VALUE"""),"")</f>
        <v/>
      </c>
      <c r="BF134" s="94" t="str">
        <f>IFERROR(__xludf.DUMMYFUNCTION("""COMPUTED_VALUE"""),"")</f>
        <v/>
      </c>
      <c r="BG134" s="149" t="str">
        <f>IFERROR(__xludf.DUMMYFUNCTION("""COMPUTED_VALUE"""),"")</f>
        <v/>
      </c>
      <c r="BH134" s="93" t="str">
        <f>IFERROR(__xludf.DUMMYFUNCTION("""COMPUTED_VALUE"""),"")</f>
        <v/>
      </c>
      <c r="BI134" s="94" t="str">
        <f>IFERROR(__xludf.DUMMYFUNCTION("""COMPUTED_VALUE"""),"")</f>
        <v/>
      </c>
      <c r="BJ134" s="93">
        <f>IFERROR(__xludf.DUMMYFUNCTION("""COMPUTED_VALUE"""),164.4)</f>
        <v>164.4</v>
      </c>
      <c r="BK134" s="93" t="str">
        <f>IFERROR(__xludf.DUMMYFUNCTION("""COMPUTED_VALUE"""),"")</f>
        <v/>
      </c>
      <c r="BL134" s="94" t="str">
        <f>IFERROR(__xludf.DUMMYFUNCTION("""COMPUTED_VALUE"""),"")</f>
        <v/>
      </c>
      <c r="BM134" s="93" t="str">
        <f>IFERROR(__xludf.DUMMYFUNCTION("""COMPUTED_VALUE"""),"")</f>
        <v/>
      </c>
      <c r="BN134" s="93" t="str">
        <f>IFERROR(__xludf.DUMMYFUNCTION("""COMPUTED_VALUE"""),"")</f>
        <v/>
      </c>
      <c r="BO134" s="94" t="str">
        <f>IFERROR(__xludf.DUMMYFUNCTION("""COMPUTED_VALUE"""),"")</f>
        <v/>
      </c>
      <c r="BP134" s="93" t="str">
        <f>IFERROR(__xludf.DUMMYFUNCTION("""COMPUTED_VALUE"""),"")</f>
        <v/>
      </c>
      <c r="BQ134" s="93">
        <f>IFERROR(__xludf.DUMMYFUNCTION("""COMPUTED_VALUE"""),57.2)</f>
        <v>57.2</v>
      </c>
      <c r="BR134" s="94" t="str">
        <f>IFERROR(__xludf.DUMMYFUNCTION("""COMPUTED_VALUE"""),"")</f>
        <v/>
      </c>
      <c r="BS134" s="93" t="str">
        <f>IFERROR(__xludf.DUMMYFUNCTION("""COMPUTED_VALUE"""),"")</f>
        <v/>
      </c>
      <c r="BT134" s="93" t="str">
        <f>IFERROR(__xludf.DUMMYFUNCTION("""COMPUTED_VALUE"""),"")</f>
        <v/>
      </c>
      <c r="BU134" s="94" t="str">
        <f>IFERROR(__xludf.DUMMYFUNCTION("""COMPUTED_VALUE"""),"")</f>
        <v/>
      </c>
      <c r="BV134" s="93" t="str">
        <f>IFERROR(__xludf.DUMMYFUNCTION("""COMPUTED_VALUE"""),"")</f>
        <v/>
      </c>
      <c r="BW134" s="93" t="str">
        <f>IFERROR(__xludf.DUMMYFUNCTION("""COMPUTED_VALUE"""),"")</f>
        <v/>
      </c>
      <c r="BX134" s="94" t="str">
        <f>IFERROR(__xludf.DUMMYFUNCTION("""COMPUTED_VALUE"""),"")</f>
        <v/>
      </c>
      <c r="BY134" s="93" t="str">
        <f>IFERROR(__xludf.DUMMYFUNCTION("""COMPUTED_VALUE"""),"")</f>
        <v/>
      </c>
      <c r="BZ134" s="93" t="str">
        <f>IFERROR(__xludf.DUMMYFUNCTION("""COMPUTED_VALUE"""),"")</f>
        <v/>
      </c>
      <c r="CA134" s="94" t="str">
        <f>IFERROR(__xludf.DUMMYFUNCTION("""COMPUTED_VALUE"""),"")</f>
        <v/>
      </c>
      <c r="CB134" s="149" t="str">
        <f>IFERROR(__xludf.DUMMYFUNCTION("""COMPUTED_VALUE"""),"")</f>
        <v/>
      </c>
      <c r="CC134" s="93" t="str">
        <f>IFERROR(__xludf.DUMMYFUNCTION("""COMPUTED_VALUE"""),"")</f>
        <v/>
      </c>
      <c r="CD134" s="94" t="str">
        <f>IFERROR(__xludf.DUMMYFUNCTION("""COMPUTED_VALUE"""),"")</f>
        <v/>
      </c>
      <c r="CE134" s="93" t="str">
        <f>IFERROR(__xludf.DUMMYFUNCTION("""COMPUTED_VALUE"""),"")</f>
        <v/>
      </c>
      <c r="CF134" s="93" t="str">
        <f>IFERROR(__xludf.DUMMYFUNCTION("""COMPUTED_VALUE"""),"")</f>
        <v/>
      </c>
      <c r="CG134" s="94" t="str">
        <f>IFERROR(__xludf.DUMMYFUNCTION("""COMPUTED_VALUE"""),"")</f>
        <v/>
      </c>
      <c r="CH134" s="93" t="str">
        <f>IFERROR(__xludf.DUMMYFUNCTION("""COMPUTED_VALUE"""),"")</f>
        <v/>
      </c>
      <c r="CI134" s="93" t="str">
        <f>IFERROR(__xludf.DUMMYFUNCTION("""COMPUTED_VALUE"""),"")</f>
        <v/>
      </c>
      <c r="CJ134" s="94" t="str">
        <f>IFERROR(__xludf.DUMMYFUNCTION("""COMPUTED_VALUE"""),"")</f>
        <v/>
      </c>
      <c r="CK134" s="93" t="str">
        <f>IFERROR(__xludf.DUMMYFUNCTION("""COMPUTED_VALUE"""),"")</f>
        <v/>
      </c>
      <c r="CL134" s="93">
        <f>IFERROR(__xludf.DUMMYFUNCTION("""COMPUTED_VALUE"""),217.0)</f>
        <v>217</v>
      </c>
      <c r="CM134" s="94" t="str">
        <f>IFERROR(__xludf.DUMMYFUNCTION("""COMPUTED_VALUE"""),"")</f>
        <v/>
      </c>
      <c r="CN134" s="93" t="str">
        <f>IFERROR(__xludf.DUMMYFUNCTION("""COMPUTED_VALUE"""),"")</f>
        <v/>
      </c>
      <c r="CO134" s="93" t="str">
        <f>IFERROR(__xludf.DUMMYFUNCTION("""COMPUTED_VALUE"""),"")</f>
        <v/>
      </c>
      <c r="CP134" s="94" t="str">
        <f>IFERROR(__xludf.DUMMYFUNCTION("""COMPUTED_VALUE"""),"")</f>
        <v/>
      </c>
      <c r="CQ134" s="93" t="str">
        <f>IFERROR(__xludf.DUMMYFUNCTION("""COMPUTED_VALUE"""),"")</f>
        <v/>
      </c>
      <c r="CR134" s="93" t="str">
        <f>IFERROR(__xludf.DUMMYFUNCTION("""COMPUTED_VALUE"""),"")</f>
        <v/>
      </c>
      <c r="CS134" s="94"/>
      <c r="CT134" s="93"/>
      <c r="CU134" s="93"/>
      <c r="CV134" s="94"/>
      <c r="CW134" s="93"/>
      <c r="CX134" s="93"/>
      <c r="CY134" s="94"/>
      <c r="CZ134" s="93"/>
      <c r="DA134" s="93"/>
      <c r="DB134" s="94"/>
      <c r="DC134" s="93"/>
      <c r="DD134" s="93"/>
      <c r="DE134" s="94"/>
      <c r="DF134" s="93"/>
      <c r="DG134" s="93"/>
      <c r="DH134" s="94"/>
      <c r="DI134" s="93"/>
      <c r="DJ134" s="93"/>
      <c r="DK134" s="94"/>
      <c r="DL134" s="93"/>
      <c r="DM134" s="93"/>
      <c r="DN134" s="94"/>
      <c r="DO134" s="93"/>
      <c r="DP134" s="93"/>
      <c r="DQ134" s="94"/>
      <c r="DR134" s="93"/>
      <c r="DS134" s="93"/>
      <c r="DT134" s="94"/>
    </row>
    <row r="135">
      <c r="B135" s="120" t="str">
        <f>IFERROR(__xludf.DUMMYFUNCTION("""COMPUTED_VALUE"""),"BBL9")</f>
        <v>BBL9</v>
      </c>
      <c r="C135" s="82">
        <f>IFERROR(__xludf.DUMMYFUNCTION("""COMPUTED_VALUE"""),124.0)</f>
        <v>124</v>
      </c>
      <c r="D135" s="88" t="str">
        <f>IFERROR(__xludf.DUMMYFUNCTION("""COMPUTED_VALUE"""),"Field of Reeds")</f>
        <v>Field of Reeds</v>
      </c>
      <c r="E135" s="82" t="str">
        <f>IFERROR(__xludf.DUMMYFUNCTION("""COMPUTED_VALUE"""),"葦の原")</f>
        <v>葦の原</v>
      </c>
      <c r="F135" s="102">
        <f>IFERROR(__xludf.DUMMYFUNCTION("""COMPUTED_VALUE"""),21.0)</f>
        <v>21</v>
      </c>
      <c r="G135" s="82">
        <f>IFERROR(__xludf.DUMMYFUNCTION("""COMPUTED_VALUE"""),22327.0)</f>
        <v>22327</v>
      </c>
      <c r="H135" s="95" t="str">
        <f>IFERROR(__xludf.DUMMYFUNCTION("""COMPUTED_VALUE"""),"")</f>
        <v/>
      </c>
      <c r="I135" s="96" t="str">
        <f>IFERROR(__xludf.DUMMYFUNCTION("""COMPUTED_VALUE"""),"")</f>
        <v/>
      </c>
      <c r="J135" s="97" t="str">
        <f>IFERROR(__xludf.DUMMYFUNCTION("""COMPUTED_VALUE"""),"")</f>
        <v/>
      </c>
      <c r="K135" s="95" t="str">
        <f>IFERROR(__xludf.DUMMYFUNCTION("""COMPUTED_VALUE"""),"")</f>
        <v/>
      </c>
      <c r="L135" s="96" t="str">
        <f>IFERROR(__xludf.DUMMYFUNCTION("""COMPUTED_VALUE"""),"")</f>
        <v/>
      </c>
      <c r="M135" s="97" t="str">
        <f>IFERROR(__xludf.DUMMYFUNCTION("""COMPUTED_VALUE"""),"")</f>
        <v/>
      </c>
      <c r="N135" s="95" t="str">
        <f>IFERROR(__xludf.DUMMYFUNCTION("""COMPUTED_VALUE"""),"")</f>
        <v/>
      </c>
      <c r="O135" s="96" t="str">
        <f>IFERROR(__xludf.DUMMYFUNCTION("""COMPUTED_VALUE"""),"")</f>
        <v/>
      </c>
      <c r="P135" s="97" t="str">
        <f>IFERROR(__xludf.DUMMYFUNCTION("""COMPUTED_VALUE"""),"")</f>
        <v/>
      </c>
      <c r="Q135" s="95" t="str">
        <f>IFERROR(__xludf.DUMMYFUNCTION("""COMPUTED_VALUE"""),"")</f>
        <v/>
      </c>
      <c r="R135" s="96" t="str">
        <f>IFERROR(__xludf.DUMMYFUNCTION("""COMPUTED_VALUE"""),"")</f>
        <v/>
      </c>
      <c r="S135" s="97" t="str">
        <f>IFERROR(__xludf.DUMMYFUNCTION("""COMPUTED_VALUE"""),"")</f>
        <v/>
      </c>
      <c r="T135" s="95" t="str">
        <f>IFERROR(__xludf.DUMMYFUNCTION("""COMPUTED_VALUE"""),"")</f>
        <v/>
      </c>
      <c r="U135" s="96" t="str">
        <f>IFERROR(__xludf.DUMMYFUNCTION("""COMPUTED_VALUE"""),"")</f>
        <v/>
      </c>
      <c r="V135" s="97" t="str">
        <f>IFERROR(__xludf.DUMMYFUNCTION("""COMPUTED_VALUE"""),"")</f>
        <v/>
      </c>
      <c r="W135" s="95" t="str">
        <f>IFERROR(__xludf.DUMMYFUNCTION("""COMPUTED_VALUE"""),"")</f>
        <v/>
      </c>
      <c r="X135" s="96" t="str">
        <f>IFERROR(__xludf.DUMMYFUNCTION("""COMPUTED_VALUE"""),"")</f>
        <v/>
      </c>
      <c r="Y135" s="97" t="str">
        <f>IFERROR(__xludf.DUMMYFUNCTION("""COMPUTED_VALUE"""),"")</f>
        <v/>
      </c>
      <c r="Z135" s="95" t="str">
        <f>IFERROR(__xludf.DUMMYFUNCTION("""COMPUTED_VALUE"""),"")</f>
        <v/>
      </c>
      <c r="AA135" s="96" t="str">
        <f>IFERROR(__xludf.DUMMYFUNCTION("""COMPUTED_VALUE"""),"")</f>
        <v/>
      </c>
      <c r="AB135" s="97" t="str">
        <f>IFERROR(__xludf.DUMMYFUNCTION("""COMPUTED_VALUE"""),"")</f>
        <v/>
      </c>
      <c r="AC135" s="95" t="str">
        <f>IFERROR(__xludf.DUMMYFUNCTION("""COMPUTED_VALUE"""),"")</f>
        <v/>
      </c>
      <c r="AD135" s="96" t="str">
        <f>IFERROR(__xludf.DUMMYFUNCTION("""COMPUTED_VALUE"""),"")</f>
        <v/>
      </c>
      <c r="AE135" s="97" t="str">
        <f>IFERROR(__xludf.DUMMYFUNCTION("""COMPUTED_VALUE"""),"")</f>
        <v/>
      </c>
      <c r="AF135" s="95" t="str">
        <f>IFERROR(__xludf.DUMMYFUNCTION("""COMPUTED_VALUE"""),"")</f>
        <v/>
      </c>
      <c r="AG135" s="96" t="str">
        <f>IFERROR(__xludf.DUMMYFUNCTION("""COMPUTED_VALUE"""),"")</f>
        <v/>
      </c>
      <c r="AH135" s="97" t="str">
        <f>IFERROR(__xludf.DUMMYFUNCTION("""COMPUTED_VALUE"""),"")</f>
        <v/>
      </c>
      <c r="AI135" s="131" t="str">
        <f>IFERROR(__xludf.DUMMYFUNCTION("""COMPUTED_VALUE"""),"")</f>
        <v/>
      </c>
      <c r="AJ135" s="132" t="str">
        <f>IFERROR(__xludf.DUMMYFUNCTION("""COMPUTED_VALUE"""),"")</f>
        <v/>
      </c>
      <c r="AK135" s="133" t="str">
        <f>IFERROR(__xludf.DUMMYFUNCTION("""COMPUTED_VALUE"""),"")</f>
        <v/>
      </c>
      <c r="AL135" s="132" t="str">
        <f>IFERROR(__xludf.DUMMYFUNCTION("""COMPUTED_VALUE"""),"")</f>
        <v/>
      </c>
      <c r="AM135" s="132" t="str">
        <f>IFERROR(__xludf.DUMMYFUNCTION("""COMPUTED_VALUE"""),"")</f>
        <v/>
      </c>
      <c r="AN135" s="133" t="str">
        <f>IFERROR(__xludf.DUMMYFUNCTION("""COMPUTED_VALUE"""),"")</f>
        <v/>
      </c>
      <c r="AO135" s="132" t="str">
        <f>IFERROR(__xludf.DUMMYFUNCTION("""COMPUTED_VALUE"""),"")</f>
        <v/>
      </c>
      <c r="AP135" s="132" t="str">
        <f>IFERROR(__xludf.DUMMYFUNCTION("""COMPUTED_VALUE"""),"")</f>
        <v/>
      </c>
      <c r="AQ135" s="133" t="str">
        <f>IFERROR(__xludf.DUMMYFUNCTION("""COMPUTED_VALUE"""),"")</f>
        <v/>
      </c>
      <c r="AR135" s="132" t="str">
        <f>IFERROR(__xludf.DUMMYFUNCTION("""COMPUTED_VALUE"""),"")</f>
        <v/>
      </c>
      <c r="AS135" s="132" t="str">
        <f>IFERROR(__xludf.DUMMYFUNCTION("""COMPUTED_VALUE"""),"")</f>
        <v/>
      </c>
      <c r="AT135" s="133" t="str">
        <f>IFERROR(__xludf.DUMMYFUNCTION("""COMPUTED_VALUE"""),"")</f>
        <v/>
      </c>
      <c r="AU135" s="132" t="str">
        <f>IFERROR(__xludf.DUMMYFUNCTION("""COMPUTED_VALUE"""),"")</f>
        <v/>
      </c>
      <c r="AV135" s="132" t="str">
        <f>IFERROR(__xludf.DUMMYFUNCTION("""COMPUTED_VALUE"""),"")</f>
        <v/>
      </c>
      <c r="AW135" s="133" t="str">
        <f>IFERROR(__xludf.DUMMYFUNCTION("""COMPUTED_VALUE"""),"")</f>
        <v/>
      </c>
      <c r="AX135" s="132" t="str">
        <f>IFERROR(__xludf.DUMMYFUNCTION("""COMPUTED_VALUE"""),"")</f>
        <v/>
      </c>
      <c r="AY135" s="132">
        <f>IFERROR(__xludf.DUMMYFUNCTION("""COMPUTED_VALUE"""),33.6)</f>
        <v>33.6</v>
      </c>
      <c r="AZ135" s="133" t="str">
        <f>IFERROR(__xludf.DUMMYFUNCTION("""COMPUTED_VALUE"""),"")</f>
        <v/>
      </c>
      <c r="BA135" s="132" t="str">
        <f>IFERROR(__xludf.DUMMYFUNCTION("""COMPUTED_VALUE"""),"")</f>
        <v/>
      </c>
      <c r="BB135" s="132" t="str">
        <f>IFERROR(__xludf.DUMMYFUNCTION("""COMPUTED_VALUE"""),"")</f>
        <v/>
      </c>
      <c r="BC135" s="133" t="str">
        <f>IFERROR(__xludf.DUMMYFUNCTION("""COMPUTED_VALUE"""),"")</f>
        <v/>
      </c>
      <c r="BD135" s="132" t="str">
        <f>IFERROR(__xludf.DUMMYFUNCTION("""COMPUTED_VALUE"""),"")</f>
        <v/>
      </c>
      <c r="BE135" s="132" t="str">
        <f>IFERROR(__xludf.DUMMYFUNCTION("""COMPUTED_VALUE"""),"")</f>
        <v/>
      </c>
      <c r="BF135" s="133" t="str">
        <f>IFERROR(__xludf.DUMMYFUNCTION("""COMPUTED_VALUE"""),"")</f>
        <v/>
      </c>
      <c r="BG135" s="131" t="str">
        <f>IFERROR(__xludf.DUMMYFUNCTION("""COMPUTED_VALUE"""),"")</f>
        <v/>
      </c>
      <c r="BH135" s="132" t="str">
        <f>IFERROR(__xludf.DUMMYFUNCTION("""COMPUTED_VALUE"""),"")</f>
        <v/>
      </c>
      <c r="BI135" s="133" t="str">
        <f>IFERROR(__xludf.DUMMYFUNCTION("""COMPUTED_VALUE"""),"")</f>
        <v/>
      </c>
      <c r="BJ135" s="132" t="str">
        <f>IFERROR(__xludf.DUMMYFUNCTION("""COMPUTED_VALUE"""),"")</f>
        <v/>
      </c>
      <c r="BK135" s="132" t="str">
        <f>IFERROR(__xludf.DUMMYFUNCTION("""COMPUTED_VALUE"""),"")</f>
        <v/>
      </c>
      <c r="BL135" s="133" t="str">
        <f>IFERROR(__xludf.DUMMYFUNCTION("""COMPUTED_VALUE"""),"")</f>
        <v/>
      </c>
      <c r="BM135" s="132" t="str">
        <f>IFERROR(__xludf.DUMMYFUNCTION("""COMPUTED_VALUE"""),"")</f>
        <v/>
      </c>
      <c r="BN135" s="132" t="str">
        <f>IFERROR(__xludf.DUMMYFUNCTION("""COMPUTED_VALUE"""),"")</f>
        <v/>
      </c>
      <c r="BO135" s="133" t="str">
        <f>IFERROR(__xludf.DUMMYFUNCTION("""COMPUTED_VALUE"""),"")</f>
        <v/>
      </c>
      <c r="BP135" s="132" t="str">
        <f>IFERROR(__xludf.DUMMYFUNCTION("""COMPUTED_VALUE"""),"")</f>
        <v/>
      </c>
      <c r="BQ135" s="132" t="str">
        <f>IFERROR(__xludf.DUMMYFUNCTION("""COMPUTED_VALUE"""),"")</f>
        <v/>
      </c>
      <c r="BR135" s="133" t="str">
        <f>IFERROR(__xludf.DUMMYFUNCTION("""COMPUTED_VALUE"""),"")</f>
        <v/>
      </c>
      <c r="BS135" s="132">
        <f>IFERROR(__xludf.DUMMYFUNCTION("""COMPUTED_VALUE"""),46.8)</f>
        <v>46.8</v>
      </c>
      <c r="BT135" s="132" t="str">
        <f>IFERROR(__xludf.DUMMYFUNCTION("""COMPUTED_VALUE"""),"")</f>
        <v/>
      </c>
      <c r="BU135" s="109" t="str">
        <f>IFERROR(__xludf.DUMMYFUNCTION("""COMPUTED_VALUE"""),"")</f>
        <v/>
      </c>
      <c r="BV135" s="132" t="str">
        <f>IFERROR(__xludf.DUMMYFUNCTION("""COMPUTED_VALUE"""),"")</f>
        <v/>
      </c>
      <c r="BW135" s="132" t="str">
        <f>IFERROR(__xludf.DUMMYFUNCTION("""COMPUTED_VALUE"""),"")</f>
        <v/>
      </c>
      <c r="BX135" s="133" t="str">
        <f>IFERROR(__xludf.DUMMYFUNCTION("""COMPUTED_VALUE"""),"")</f>
        <v/>
      </c>
      <c r="BY135" s="132" t="str">
        <f>IFERROR(__xludf.DUMMYFUNCTION("""COMPUTED_VALUE"""),"")</f>
        <v/>
      </c>
      <c r="BZ135" s="132" t="str">
        <f>IFERROR(__xludf.DUMMYFUNCTION("""COMPUTED_VALUE"""),"")</f>
        <v/>
      </c>
      <c r="CA135" s="133" t="str">
        <f>IFERROR(__xludf.DUMMYFUNCTION("""COMPUTED_VALUE"""),"")</f>
        <v/>
      </c>
      <c r="CB135" s="131" t="str">
        <f>IFERROR(__xludf.DUMMYFUNCTION("""COMPUTED_VALUE"""),"")</f>
        <v/>
      </c>
      <c r="CC135" s="132" t="str">
        <f>IFERROR(__xludf.DUMMYFUNCTION("""COMPUTED_VALUE"""),"")</f>
        <v/>
      </c>
      <c r="CD135" s="133" t="str">
        <f>IFERROR(__xludf.DUMMYFUNCTION("""COMPUTED_VALUE"""),"")</f>
        <v/>
      </c>
      <c r="CE135" s="132" t="str">
        <f>IFERROR(__xludf.DUMMYFUNCTION("""COMPUTED_VALUE"""),"")</f>
        <v/>
      </c>
      <c r="CF135" s="132" t="str">
        <f>IFERROR(__xludf.DUMMYFUNCTION("""COMPUTED_VALUE"""),"")</f>
        <v/>
      </c>
      <c r="CG135" s="133" t="str">
        <f>IFERROR(__xludf.DUMMYFUNCTION("""COMPUTED_VALUE"""),"")</f>
        <v/>
      </c>
      <c r="CH135" s="132" t="str">
        <f>IFERROR(__xludf.DUMMYFUNCTION("""COMPUTED_VALUE"""),"")</f>
        <v/>
      </c>
      <c r="CI135" s="132" t="str">
        <f>IFERROR(__xludf.DUMMYFUNCTION("""COMPUTED_VALUE"""),"")</f>
        <v/>
      </c>
      <c r="CJ135" s="133" t="str">
        <f>IFERROR(__xludf.DUMMYFUNCTION("""COMPUTED_VALUE"""),"")</f>
        <v/>
      </c>
      <c r="CK135" s="132" t="str">
        <f>IFERROR(__xludf.DUMMYFUNCTION("""COMPUTED_VALUE"""),"")</f>
        <v/>
      </c>
      <c r="CL135" s="132" t="str">
        <f>IFERROR(__xludf.DUMMYFUNCTION("""COMPUTED_VALUE"""),"")</f>
        <v/>
      </c>
      <c r="CM135" s="133" t="str">
        <f>IFERROR(__xludf.DUMMYFUNCTION("""COMPUTED_VALUE"""),"")</f>
        <v/>
      </c>
      <c r="CN135" s="132" t="str">
        <f>IFERROR(__xludf.DUMMYFUNCTION("""COMPUTED_VALUE"""),"")</f>
        <v/>
      </c>
      <c r="CO135" s="132" t="str">
        <f>IFERROR(__xludf.DUMMYFUNCTION("""COMPUTED_VALUE"""),"")</f>
        <v/>
      </c>
      <c r="CP135" s="109" t="str">
        <f>IFERROR(__xludf.DUMMYFUNCTION("""COMPUTED_VALUE"""),"")</f>
        <v/>
      </c>
      <c r="CQ135" s="132" t="str">
        <f>IFERROR(__xludf.DUMMYFUNCTION("""COMPUTED_VALUE"""),"")</f>
        <v/>
      </c>
      <c r="CR135" s="132" t="str">
        <f>IFERROR(__xludf.DUMMYFUNCTION("""COMPUTED_VALUE"""),"")</f>
        <v/>
      </c>
      <c r="CS135" s="133"/>
      <c r="CT135" s="132"/>
      <c r="CU135" s="132"/>
      <c r="CV135" s="133"/>
      <c r="CW135" s="132"/>
      <c r="CX135" s="132"/>
      <c r="CY135" s="133"/>
      <c r="CZ135" s="132"/>
      <c r="DA135" s="132"/>
      <c r="DB135" s="109"/>
      <c r="DC135" s="132"/>
      <c r="DD135" s="132"/>
      <c r="DE135" s="133"/>
      <c r="DF135" s="132"/>
      <c r="DG135" s="132"/>
      <c r="DH135" s="133"/>
      <c r="DI135" s="132"/>
      <c r="DJ135" s="132"/>
      <c r="DK135" s="109"/>
      <c r="DL135" s="132"/>
      <c r="DM135" s="132"/>
      <c r="DN135" s="133"/>
      <c r="DO135" s="132"/>
      <c r="DP135" s="132"/>
      <c r="DQ135" s="133"/>
      <c r="DR135" s="132"/>
      <c r="DS135" s="132"/>
      <c r="DT135" s="133"/>
    </row>
    <row r="136">
      <c r="B136" s="120" t="str">
        <f>IFERROR(__xludf.DUMMYFUNCTION("""COMPUTED_VALUE"""),"BBL10")</f>
        <v>BBL10</v>
      </c>
      <c r="C136" s="82">
        <f>IFERROR(__xludf.DUMMYFUNCTION("""COMPUTED_VALUE"""),125.0)</f>
        <v>125</v>
      </c>
      <c r="D136" s="88" t="str">
        <f>IFERROR(__xludf.DUMMYFUNCTION("""COMPUTED_VALUE"""),"Kutha")</f>
        <v>Kutha</v>
      </c>
      <c r="E136" s="82" t="str">
        <f>IFERROR(__xludf.DUMMYFUNCTION("""COMPUTED_VALUE"""),"クタ")</f>
        <v>クタ</v>
      </c>
      <c r="F136" s="102">
        <f>IFERROR(__xludf.DUMMYFUNCTION("""COMPUTED_VALUE"""),21.0)</f>
        <v>21</v>
      </c>
      <c r="G136" s="82">
        <f>IFERROR(__xludf.DUMMYFUNCTION("""COMPUTED_VALUE"""),13611.0)</f>
        <v>13611</v>
      </c>
      <c r="H136" s="95" t="str">
        <f>IFERROR(__xludf.DUMMYFUNCTION("""COMPUTED_VALUE"""),"")</f>
        <v/>
      </c>
      <c r="I136" s="96" t="str">
        <f>IFERROR(__xludf.DUMMYFUNCTION("""COMPUTED_VALUE"""),"")</f>
        <v/>
      </c>
      <c r="J136" s="97" t="str">
        <f>IFERROR(__xludf.DUMMYFUNCTION("""COMPUTED_VALUE"""),"")</f>
        <v/>
      </c>
      <c r="K136" s="95" t="str">
        <f>IFERROR(__xludf.DUMMYFUNCTION("""COMPUTED_VALUE"""),"")</f>
        <v/>
      </c>
      <c r="L136" s="96" t="str">
        <f>IFERROR(__xludf.DUMMYFUNCTION("""COMPUTED_VALUE"""),"")</f>
        <v/>
      </c>
      <c r="M136" s="97" t="str">
        <f>IFERROR(__xludf.DUMMYFUNCTION("""COMPUTED_VALUE"""),"")</f>
        <v/>
      </c>
      <c r="N136" s="95" t="str">
        <f>IFERROR(__xludf.DUMMYFUNCTION("""COMPUTED_VALUE"""),"")</f>
        <v/>
      </c>
      <c r="O136" s="96" t="str">
        <f>IFERROR(__xludf.DUMMYFUNCTION("""COMPUTED_VALUE"""),"")</f>
        <v/>
      </c>
      <c r="P136" s="97" t="str">
        <f>IFERROR(__xludf.DUMMYFUNCTION("""COMPUTED_VALUE"""),"")</f>
        <v/>
      </c>
      <c r="Q136" s="95" t="str">
        <f>IFERROR(__xludf.DUMMYFUNCTION("""COMPUTED_VALUE"""),"")</f>
        <v/>
      </c>
      <c r="R136" s="96" t="str">
        <f>IFERROR(__xludf.DUMMYFUNCTION("""COMPUTED_VALUE"""),"")</f>
        <v/>
      </c>
      <c r="S136" s="97" t="str">
        <f>IFERROR(__xludf.DUMMYFUNCTION("""COMPUTED_VALUE"""),"")</f>
        <v/>
      </c>
      <c r="T136" s="95" t="str">
        <f>IFERROR(__xludf.DUMMYFUNCTION("""COMPUTED_VALUE"""),"")</f>
        <v/>
      </c>
      <c r="U136" s="96" t="str">
        <f>IFERROR(__xludf.DUMMYFUNCTION("""COMPUTED_VALUE"""),"")</f>
        <v/>
      </c>
      <c r="V136" s="97" t="str">
        <f>IFERROR(__xludf.DUMMYFUNCTION("""COMPUTED_VALUE"""),"")</f>
        <v/>
      </c>
      <c r="W136" s="95" t="str">
        <f>IFERROR(__xludf.DUMMYFUNCTION("""COMPUTED_VALUE"""),"")</f>
        <v/>
      </c>
      <c r="X136" s="96" t="str">
        <f>IFERROR(__xludf.DUMMYFUNCTION("""COMPUTED_VALUE"""),"")</f>
        <v/>
      </c>
      <c r="Y136" s="97" t="str">
        <f>IFERROR(__xludf.DUMMYFUNCTION("""COMPUTED_VALUE"""),"")</f>
        <v/>
      </c>
      <c r="Z136" s="95" t="str">
        <f>IFERROR(__xludf.DUMMYFUNCTION("""COMPUTED_VALUE"""),"")</f>
        <v/>
      </c>
      <c r="AA136" s="96">
        <f>IFERROR(__xludf.DUMMYFUNCTION("""COMPUTED_VALUE"""),52.2)</f>
        <v>52.2</v>
      </c>
      <c r="AB136" s="97" t="str">
        <f>IFERROR(__xludf.DUMMYFUNCTION("""COMPUTED_VALUE"""),"")</f>
        <v/>
      </c>
      <c r="AC136" s="95" t="str">
        <f>IFERROR(__xludf.DUMMYFUNCTION("""COMPUTED_VALUE"""),"")</f>
        <v/>
      </c>
      <c r="AD136" s="96" t="str">
        <f>IFERROR(__xludf.DUMMYFUNCTION("""COMPUTED_VALUE"""),"")</f>
        <v/>
      </c>
      <c r="AE136" s="97" t="str">
        <f>IFERROR(__xludf.DUMMYFUNCTION("""COMPUTED_VALUE"""),"")</f>
        <v/>
      </c>
      <c r="AF136" s="95" t="str">
        <f>IFERROR(__xludf.DUMMYFUNCTION("""COMPUTED_VALUE"""),"")</f>
        <v/>
      </c>
      <c r="AG136" s="96" t="str">
        <f>IFERROR(__xludf.DUMMYFUNCTION("""COMPUTED_VALUE"""),"")</f>
        <v/>
      </c>
      <c r="AH136" s="97" t="str">
        <f>IFERROR(__xludf.DUMMYFUNCTION("""COMPUTED_VALUE"""),"")</f>
        <v/>
      </c>
      <c r="AI136" s="92" t="str">
        <f>IFERROR(__xludf.DUMMYFUNCTION("""COMPUTED_VALUE"""),"")</f>
        <v/>
      </c>
      <c r="AJ136" s="93" t="str">
        <f>IFERROR(__xludf.DUMMYFUNCTION("""COMPUTED_VALUE"""),"")</f>
        <v/>
      </c>
      <c r="AK136" s="94" t="str">
        <f>IFERROR(__xludf.DUMMYFUNCTION("""COMPUTED_VALUE"""),"")</f>
        <v/>
      </c>
      <c r="AL136" s="93" t="str">
        <f>IFERROR(__xludf.DUMMYFUNCTION("""COMPUTED_VALUE"""),"")</f>
        <v/>
      </c>
      <c r="AM136" s="93" t="str">
        <f>IFERROR(__xludf.DUMMYFUNCTION("""COMPUTED_VALUE"""),"")</f>
        <v/>
      </c>
      <c r="AN136" s="94" t="str">
        <f>IFERROR(__xludf.DUMMYFUNCTION("""COMPUTED_VALUE"""),"")</f>
        <v/>
      </c>
      <c r="AO136" s="93" t="str">
        <f>IFERROR(__xludf.DUMMYFUNCTION("""COMPUTED_VALUE"""),"")</f>
        <v/>
      </c>
      <c r="AP136" s="93" t="str">
        <f>IFERROR(__xludf.DUMMYFUNCTION("""COMPUTED_VALUE"""),"")</f>
        <v/>
      </c>
      <c r="AQ136" s="94" t="str">
        <f>IFERROR(__xludf.DUMMYFUNCTION("""COMPUTED_VALUE"""),"")</f>
        <v/>
      </c>
      <c r="AR136" s="93" t="str">
        <f>IFERROR(__xludf.DUMMYFUNCTION("""COMPUTED_VALUE"""),"")</f>
        <v/>
      </c>
      <c r="AS136" s="93" t="str">
        <f>IFERROR(__xludf.DUMMYFUNCTION("""COMPUTED_VALUE"""),"")</f>
        <v/>
      </c>
      <c r="AT136" s="94" t="str">
        <f>IFERROR(__xludf.DUMMYFUNCTION("""COMPUTED_VALUE"""),"")</f>
        <v/>
      </c>
      <c r="AU136" s="93" t="str">
        <f>IFERROR(__xludf.DUMMYFUNCTION("""COMPUTED_VALUE"""),"")</f>
        <v/>
      </c>
      <c r="AV136" s="93" t="str">
        <f>IFERROR(__xludf.DUMMYFUNCTION("""COMPUTED_VALUE"""),"")</f>
        <v/>
      </c>
      <c r="AW136" s="94" t="str">
        <f>IFERROR(__xludf.DUMMYFUNCTION("""COMPUTED_VALUE"""),"")</f>
        <v/>
      </c>
      <c r="AX136" s="93" t="str">
        <f>IFERROR(__xludf.DUMMYFUNCTION("""COMPUTED_VALUE"""),"")</f>
        <v/>
      </c>
      <c r="AY136" s="93" t="str">
        <f>IFERROR(__xludf.DUMMYFUNCTION("""COMPUTED_VALUE"""),"")</f>
        <v/>
      </c>
      <c r="AZ136" s="94" t="str">
        <f>IFERROR(__xludf.DUMMYFUNCTION("""COMPUTED_VALUE"""),"")</f>
        <v/>
      </c>
      <c r="BA136" s="143" t="str">
        <f>IFERROR(__xludf.DUMMYFUNCTION("""COMPUTED_VALUE"""),"")</f>
        <v/>
      </c>
      <c r="BB136" s="93" t="str">
        <f>IFERROR(__xludf.DUMMYFUNCTION("""COMPUTED_VALUE"""),"")</f>
        <v/>
      </c>
      <c r="BC136" s="94" t="str">
        <f>IFERROR(__xludf.DUMMYFUNCTION("""COMPUTED_VALUE"""),"")</f>
        <v/>
      </c>
      <c r="BD136" s="93" t="str">
        <f>IFERROR(__xludf.DUMMYFUNCTION("""COMPUTED_VALUE"""),"")</f>
        <v/>
      </c>
      <c r="BE136" s="93" t="str">
        <f>IFERROR(__xludf.DUMMYFUNCTION("""COMPUTED_VALUE"""),"")</f>
        <v/>
      </c>
      <c r="BF136" s="94" t="str">
        <f>IFERROR(__xludf.DUMMYFUNCTION("""COMPUTED_VALUE"""),"")</f>
        <v/>
      </c>
      <c r="BG136" s="92" t="str">
        <f>IFERROR(__xludf.DUMMYFUNCTION("""COMPUTED_VALUE"""),"")</f>
        <v/>
      </c>
      <c r="BH136" s="93" t="str">
        <f>IFERROR(__xludf.DUMMYFUNCTION("""COMPUTED_VALUE"""),"")</f>
        <v/>
      </c>
      <c r="BI136" s="94" t="str">
        <f>IFERROR(__xludf.DUMMYFUNCTION("""COMPUTED_VALUE"""),"")</f>
        <v/>
      </c>
      <c r="BJ136" s="93" t="str">
        <f>IFERROR(__xludf.DUMMYFUNCTION("""COMPUTED_VALUE"""),"")</f>
        <v/>
      </c>
      <c r="BK136" s="93" t="str">
        <f>IFERROR(__xludf.DUMMYFUNCTION("""COMPUTED_VALUE"""),"")</f>
        <v/>
      </c>
      <c r="BL136" s="94" t="str">
        <f>IFERROR(__xludf.DUMMYFUNCTION("""COMPUTED_VALUE"""),"")</f>
        <v/>
      </c>
      <c r="BM136" s="93" t="str">
        <f>IFERROR(__xludf.DUMMYFUNCTION("""COMPUTED_VALUE"""),"")</f>
        <v/>
      </c>
      <c r="BN136" s="93" t="str">
        <f>IFERROR(__xludf.DUMMYFUNCTION("""COMPUTED_VALUE"""),"")</f>
        <v/>
      </c>
      <c r="BO136" s="94">
        <f>IFERROR(__xludf.DUMMYFUNCTION("""COMPUTED_VALUE"""),172.3)</f>
        <v>172.3</v>
      </c>
      <c r="BP136" s="93" t="str">
        <f>IFERROR(__xludf.DUMMYFUNCTION("""COMPUTED_VALUE"""),"")</f>
        <v/>
      </c>
      <c r="BQ136" s="93" t="str">
        <f>IFERROR(__xludf.DUMMYFUNCTION("""COMPUTED_VALUE"""),"")</f>
        <v/>
      </c>
      <c r="BR136" s="94" t="str">
        <f>IFERROR(__xludf.DUMMYFUNCTION("""COMPUTED_VALUE"""),"")</f>
        <v/>
      </c>
      <c r="BS136" s="93" t="str">
        <f>IFERROR(__xludf.DUMMYFUNCTION("""COMPUTED_VALUE"""),"")</f>
        <v/>
      </c>
      <c r="BT136" s="93" t="str">
        <f>IFERROR(__xludf.DUMMYFUNCTION("""COMPUTED_VALUE"""),"")</f>
        <v/>
      </c>
      <c r="BU136" s="94" t="str">
        <f>IFERROR(__xludf.DUMMYFUNCTION("""COMPUTED_VALUE"""),"")</f>
        <v/>
      </c>
      <c r="BV136" s="93">
        <f>IFERROR(__xludf.DUMMYFUNCTION("""COMPUTED_VALUE"""),63.6)</f>
        <v>63.6</v>
      </c>
      <c r="BW136" s="93" t="str">
        <f>IFERROR(__xludf.DUMMYFUNCTION("""COMPUTED_VALUE"""),"")</f>
        <v/>
      </c>
      <c r="BX136" s="94" t="str">
        <f>IFERROR(__xludf.DUMMYFUNCTION("""COMPUTED_VALUE"""),"")</f>
        <v/>
      </c>
      <c r="BY136" s="93" t="str">
        <f>IFERROR(__xludf.DUMMYFUNCTION("""COMPUTED_VALUE"""),"")</f>
        <v/>
      </c>
      <c r="BZ136" s="93" t="str">
        <f>IFERROR(__xludf.DUMMYFUNCTION("""COMPUTED_VALUE"""),"")</f>
        <v/>
      </c>
      <c r="CA136" s="94" t="str">
        <f>IFERROR(__xludf.DUMMYFUNCTION("""COMPUTED_VALUE"""),"")</f>
        <v/>
      </c>
      <c r="CB136" s="92" t="str">
        <f>IFERROR(__xludf.DUMMYFUNCTION("""COMPUTED_VALUE"""),"")</f>
        <v/>
      </c>
      <c r="CC136" s="93" t="str">
        <f>IFERROR(__xludf.DUMMYFUNCTION("""COMPUTED_VALUE"""),"")</f>
        <v/>
      </c>
      <c r="CD136" s="94" t="str">
        <f>IFERROR(__xludf.DUMMYFUNCTION("""COMPUTED_VALUE"""),"")</f>
        <v/>
      </c>
      <c r="CE136" s="93" t="str">
        <f>IFERROR(__xludf.DUMMYFUNCTION("""COMPUTED_VALUE"""),"")</f>
        <v/>
      </c>
      <c r="CF136" s="93" t="str">
        <f>IFERROR(__xludf.DUMMYFUNCTION("""COMPUTED_VALUE"""),"")</f>
        <v/>
      </c>
      <c r="CG136" s="94" t="str">
        <f>IFERROR(__xludf.DUMMYFUNCTION("""COMPUTED_VALUE"""),"")</f>
        <v/>
      </c>
      <c r="CH136" s="93" t="str">
        <f>IFERROR(__xludf.DUMMYFUNCTION("""COMPUTED_VALUE"""),"")</f>
        <v/>
      </c>
      <c r="CI136" s="93" t="str">
        <f>IFERROR(__xludf.DUMMYFUNCTION("""COMPUTED_VALUE"""),"")</f>
        <v/>
      </c>
      <c r="CJ136" s="94" t="str">
        <f>IFERROR(__xludf.DUMMYFUNCTION("""COMPUTED_VALUE"""),"")</f>
        <v/>
      </c>
      <c r="CK136" s="93" t="str">
        <f>IFERROR(__xludf.DUMMYFUNCTION("""COMPUTED_VALUE"""),"")</f>
        <v/>
      </c>
      <c r="CL136" s="93" t="str">
        <f>IFERROR(__xludf.DUMMYFUNCTION("""COMPUTED_VALUE"""),"")</f>
        <v/>
      </c>
      <c r="CM136" s="94" t="str">
        <f>IFERROR(__xludf.DUMMYFUNCTION("""COMPUTED_VALUE"""),"")</f>
        <v/>
      </c>
      <c r="CN136" s="93" t="str">
        <f>IFERROR(__xludf.DUMMYFUNCTION("""COMPUTED_VALUE"""),"")</f>
        <v/>
      </c>
      <c r="CO136" s="93" t="str">
        <f>IFERROR(__xludf.DUMMYFUNCTION("""COMPUTED_VALUE"""),"")</f>
        <v/>
      </c>
      <c r="CP136" s="94" t="str">
        <f>IFERROR(__xludf.DUMMYFUNCTION("""COMPUTED_VALUE"""),"")</f>
        <v/>
      </c>
      <c r="CQ136" s="93">
        <f>IFERROR(__xludf.DUMMYFUNCTION("""COMPUTED_VALUE"""),434.4)</f>
        <v>434.4</v>
      </c>
      <c r="CR136" s="93" t="str">
        <f>IFERROR(__xludf.DUMMYFUNCTION("""COMPUTED_VALUE"""),"")</f>
        <v/>
      </c>
      <c r="CS136" s="94"/>
      <c r="CT136" s="93"/>
      <c r="CU136" s="93"/>
      <c r="CV136" s="94"/>
      <c r="CW136" s="93"/>
      <c r="CX136" s="93"/>
      <c r="CY136" s="94"/>
      <c r="CZ136" s="93"/>
      <c r="DA136" s="93"/>
      <c r="DB136" s="94"/>
      <c r="DC136" s="93"/>
      <c r="DD136" s="93"/>
      <c r="DE136" s="94"/>
      <c r="DF136" s="93"/>
      <c r="DG136" s="93"/>
      <c r="DH136" s="94"/>
      <c r="DI136" s="93"/>
      <c r="DJ136" s="93"/>
      <c r="DK136" s="94"/>
      <c r="DL136" s="93"/>
      <c r="DM136" s="93"/>
      <c r="DN136" s="94"/>
      <c r="DO136" s="93"/>
      <c r="DP136" s="93"/>
      <c r="DQ136" s="94"/>
      <c r="DR136" s="93"/>
      <c r="DS136" s="93"/>
      <c r="DT136" s="94"/>
    </row>
    <row r="137">
      <c r="B137" s="120" t="str">
        <f>IFERROR(__xludf.DUMMYFUNCTION("""COMPUTED_VALUE"""),"BBL11")</f>
        <v>BBL11</v>
      </c>
      <c r="C137" s="82">
        <f>IFERROR(__xludf.DUMMYFUNCTION("""COMPUTED_VALUE"""),126.0)</f>
        <v>126</v>
      </c>
      <c r="D137" s="88" t="str">
        <f>IFERROR(__xludf.DUMMYFUNCTION("""COMPUTED_VALUE"""),"Northern Wall")</f>
        <v>Northern Wall</v>
      </c>
      <c r="E137" s="82" t="str">
        <f>IFERROR(__xludf.DUMMYFUNCTION("""COMPUTED_VALUE"""),"北壁")</f>
        <v>北壁</v>
      </c>
      <c r="F137" s="102">
        <f>IFERROR(__xludf.DUMMYFUNCTION("""COMPUTED_VALUE"""),21.0)</f>
        <v>21</v>
      </c>
      <c r="G137" s="82">
        <f>IFERROR(__xludf.DUMMYFUNCTION("""COMPUTED_VALUE"""),5788.0)</f>
        <v>5788</v>
      </c>
      <c r="H137" s="95" t="str">
        <f>IFERROR(__xludf.DUMMYFUNCTION("""COMPUTED_VALUE"""),"")</f>
        <v/>
      </c>
      <c r="I137" s="96" t="str">
        <f>IFERROR(__xludf.DUMMYFUNCTION("""COMPUTED_VALUE"""),"")</f>
        <v/>
      </c>
      <c r="J137" s="97" t="str">
        <f>IFERROR(__xludf.DUMMYFUNCTION("""COMPUTED_VALUE"""),"")</f>
        <v/>
      </c>
      <c r="K137" s="95" t="str">
        <f>IFERROR(__xludf.DUMMYFUNCTION("""COMPUTED_VALUE"""),"")</f>
        <v/>
      </c>
      <c r="L137" s="96" t="str">
        <f>IFERROR(__xludf.DUMMYFUNCTION("""COMPUTED_VALUE"""),"")</f>
        <v/>
      </c>
      <c r="M137" s="97" t="str">
        <f>IFERROR(__xludf.DUMMYFUNCTION("""COMPUTED_VALUE"""),"")</f>
        <v/>
      </c>
      <c r="N137" s="95" t="str">
        <f>IFERROR(__xludf.DUMMYFUNCTION("""COMPUTED_VALUE"""),"")</f>
        <v/>
      </c>
      <c r="O137" s="96" t="str">
        <f>IFERROR(__xludf.DUMMYFUNCTION("""COMPUTED_VALUE"""),"")</f>
        <v/>
      </c>
      <c r="P137" s="97" t="str">
        <f>IFERROR(__xludf.DUMMYFUNCTION("""COMPUTED_VALUE"""),"")</f>
        <v/>
      </c>
      <c r="Q137" s="95">
        <f>IFERROR(__xludf.DUMMYFUNCTION("""COMPUTED_VALUE"""),166.0)</f>
        <v>166</v>
      </c>
      <c r="R137" s="96" t="str">
        <f>IFERROR(__xludf.DUMMYFUNCTION("""COMPUTED_VALUE"""),"")</f>
        <v/>
      </c>
      <c r="S137" s="97" t="str">
        <f>IFERROR(__xludf.DUMMYFUNCTION("""COMPUTED_VALUE"""),"")</f>
        <v/>
      </c>
      <c r="T137" s="95" t="str">
        <f>IFERROR(__xludf.DUMMYFUNCTION("""COMPUTED_VALUE"""),"")</f>
        <v/>
      </c>
      <c r="U137" s="96" t="str">
        <f>IFERROR(__xludf.DUMMYFUNCTION("""COMPUTED_VALUE"""),"")</f>
        <v/>
      </c>
      <c r="V137" s="97" t="str">
        <f>IFERROR(__xludf.DUMMYFUNCTION("""COMPUTED_VALUE"""),"")</f>
        <v/>
      </c>
      <c r="W137" s="95" t="str">
        <f>IFERROR(__xludf.DUMMYFUNCTION("""COMPUTED_VALUE"""),"")</f>
        <v/>
      </c>
      <c r="X137" s="96" t="str">
        <f>IFERROR(__xludf.DUMMYFUNCTION("""COMPUTED_VALUE"""),"")</f>
        <v/>
      </c>
      <c r="Y137" s="97" t="str">
        <f>IFERROR(__xludf.DUMMYFUNCTION("""COMPUTED_VALUE"""),"")</f>
        <v/>
      </c>
      <c r="Z137" s="95" t="str">
        <f>IFERROR(__xludf.DUMMYFUNCTION("""COMPUTED_VALUE"""),"")</f>
        <v/>
      </c>
      <c r="AA137" s="96" t="str">
        <f>IFERROR(__xludf.DUMMYFUNCTION("""COMPUTED_VALUE"""),"")</f>
        <v/>
      </c>
      <c r="AB137" s="97" t="str">
        <f>IFERROR(__xludf.DUMMYFUNCTION("""COMPUTED_VALUE"""),"")</f>
        <v/>
      </c>
      <c r="AC137" s="95" t="str">
        <f>IFERROR(__xludf.DUMMYFUNCTION("""COMPUTED_VALUE"""),"")</f>
        <v/>
      </c>
      <c r="AD137" s="96" t="str">
        <f>IFERROR(__xludf.DUMMYFUNCTION("""COMPUTED_VALUE"""),"")</f>
        <v/>
      </c>
      <c r="AE137" s="97" t="str">
        <f>IFERROR(__xludf.DUMMYFUNCTION("""COMPUTED_VALUE"""),"")</f>
        <v/>
      </c>
      <c r="AF137" s="95" t="str">
        <f>IFERROR(__xludf.DUMMYFUNCTION("""COMPUTED_VALUE"""),"")</f>
        <v/>
      </c>
      <c r="AG137" s="96" t="str">
        <f>IFERROR(__xludf.DUMMYFUNCTION("""COMPUTED_VALUE"""),"")</f>
        <v/>
      </c>
      <c r="AH137" s="97" t="str">
        <f>IFERROR(__xludf.DUMMYFUNCTION("""COMPUTED_VALUE"""),"")</f>
        <v/>
      </c>
      <c r="AI137" s="131" t="str">
        <f>IFERROR(__xludf.DUMMYFUNCTION("""COMPUTED_VALUE"""),"")</f>
        <v/>
      </c>
      <c r="AJ137" s="132" t="str">
        <f>IFERROR(__xludf.DUMMYFUNCTION("""COMPUTED_VALUE"""),"")</f>
        <v/>
      </c>
      <c r="AK137" s="133" t="str">
        <f>IFERROR(__xludf.DUMMYFUNCTION("""COMPUTED_VALUE"""),"")</f>
        <v/>
      </c>
      <c r="AL137" s="132" t="str">
        <f>IFERROR(__xludf.DUMMYFUNCTION("""COMPUTED_VALUE"""),"")</f>
        <v/>
      </c>
      <c r="AM137" s="132" t="str">
        <f>IFERROR(__xludf.DUMMYFUNCTION("""COMPUTED_VALUE"""),"")</f>
        <v/>
      </c>
      <c r="AN137" s="133" t="str">
        <f>IFERROR(__xludf.DUMMYFUNCTION("""COMPUTED_VALUE"""),"")</f>
        <v/>
      </c>
      <c r="AO137" s="132" t="str">
        <f>IFERROR(__xludf.DUMMYFUNCTION("""COMPUTED_VALUE"""),"")</f>
        <v/>
      </c>
      <c r="AP137" s="132" t="str">
        <f>IFERROR(__xludf.DUMMYFUNCTION("""COMPUTED_VALUE"""),"")</f>
        <v/>
      </c>
      <c r="AQ137" s="133" t="str">
        <f>IFERROR(__xludf.DUMMYFUNCTION("""COMPUTED_VALUE"""),"")</f>
        <v/>
      </c>
      <c r="AR137" s="132" t="str">
        <f>IFERROR(__xludf.DUMMYFUNCTION("""COMPUTED_VALUE"""),"")</f>
        <v/>
      </c>
      <c r="AS137" s="132" t="str">
        <f>IFERROR(__xludf.DUMMYFUNCTION("""COMPUTED_VALUE"""),"")</f>
        <v/>
      </c>
      <c r="AT137" s="133" t="str">
        <f>IFERROR(__xludf.DUMMYFUNCTION("""COMPUTED_VALUE"""),"")</f>
        <v/>
      </c>
      <c r="AU137" s="132" t="str">
        <f>IFERROR(__xludf.DUMMYFUNCTION("""COMPUTED_VALUE"""),"")</f>
        <v/>
      </c>
      <c r="AV137" s="132" t="str">
        <f>IFERROR(__xludf.DUMMYFUNCTION("""COMPUTED_VALUE"""),"")</f>
        <v/>
      </c>
      <c r="AW137" s="133" t="str">
        <f>IFERROR(__xludf.DUMMYFUNCTION("""COMPUTED_VALUE"""),"")</f>
        <v/>
      </c>
      <c r="AX137" s="132" t="str">
        <f>IFERROR(__xludf.DUMMYFUNCTION("""COMPUTED_VALUE"""),"")</f>
        <v/>
      </c>
      <c r="AY137" s="132">
        <f>IFERROR(__xludf.DUMMYFUNCTION("""COMPUTED_VALUE"""),50.9)</f>
        <v>50.9</v>
      </c>
      <c r="AZ137" s="133" t="str">
        <f>IFERROR(__xludf.DUMMYFUNCTION("""COMPUTED_VALUE"""),"")</f>
        <v/>
      </c>
      <c r="BA137" s="132" t="str">
        <f>IFERROR(__xludf.DUMMYFUNCTION("""COMPUTED_VALUE"""),"")</f>
        <v/>
      </c>
      <c r="BB137" s="132" t="str">
        <f>IFERROR(__xludf.DUMMYFUNCTION("""COMPUTED_VALUE"""),"")</f>
        <v/>
      </c>
      <c r="BC137" s="133" t="str">
        <f>IFERROR(__xludf.DUMMYFUNCTION("""COMPUTED_VALUE"""),"")</f>
        <v/>
      </c>
      <c r="BD137" s="132" t="str">
        <f>IFERROR(__xludf.DUMMYFUNCTION("""COMPUTED_VALUE"""),"")</f>
        <v/>
      </c>
      <c r="BE137" s="132" t="str">
        <f>IFERROR(__xludf.DUMMYFUNCTION("""COMPUTED_VALUE"""),"")</f>
        <v/>
      </c>
      <c r="BF137" s="133" t="str">
        <f>IFERROR(__xludf.DUMMYFUNCTION("""COMPUTED_VALUE"""),"")</f>
        <v/>
      </c>
      <c r="BG137" s="131" t="str">
        <f>IFERROR(__xludf.DUMMYFUNCTION("""COMPUTED_VALUE"""),"")</f>
        <v/>
      </c>
      <c r="BH137" s="132" t="str">
        <f>IFERROR(__xludf.DUMMYFUNCTION("""COMPUTED_VALUE"""),"")</f>
        <v/>
      </c>
      <c r="BI137" s="133" t="str">
        <f>IFERROR(__xludf.DUMMYFUNCTION("""COMPUTED_VALUE"""),"")</f>
        <v/>
      </c>
      <c r="BJ137" s="132" t="str">
        <f>IFERROR(__xludf.DUMMYFUNCTION("""COMPUTED_VALUE"""),"")</f>
        <v/>
      </c>
      <c r="BK137" s="132" t="str">
        <f>IFERROR(__xludf.DUMMYFUNCTION("""COMPUTED_VALUE"""),"")</f>
        <v/>
      </c>
      <c r="BL137" s="133" t="str">
        <f>IFERROR(__xludf.DUMMYFUNCTION("""COMPUTED_VALUE"""),"")</f>
        <v/>
      </c>
      <c r="BM137" s="132">
        <f>IFERROR(__xludf.DUMMYFUNCTION("""COMPUTED_VALUE"""),277.8)</f>
        <v>277.8</v>
      </c>
      <c r="BN137" s="132" t="str">
        <f>IFERROR(__xludf.DUMMYFUNCTION("""COMPUTED_VALUE"""),"")</f>
        <v/>
      </c>
      <c r="BO137" s="133" t="str">
        <f>IFERROR(__xludf.DUMMYFUNCTION("""COMPUTED_VALUE"""),"")</f>
        <v/>
      </c>
      <c r="BP137" s="132" t="str">
        <f>IFERROR(__xludf.DUMMYFUNCTION("""COMPUTED_VALUE"""),"")</f>
        <v/>
      </c>
      <c r="BQ137" s="132" t="str">
        <f>IFERROR(__xludf.DUMMYFUNCTION("""COMPUTED_VALUE"""),"")</f>
        <v/>
      </c>
      <c r="BR137" s="133" t="str">
        <f>IFERROR(__xludf.DUMMYFUNCTION("""COMPUTED_VALUE"""),"")</f>
        <v/>
      </c>
      <c r="BS137" s="132">
        <f>IFERROR(__xludf.DUMMYFUNCTION("""COMPUTED_VALUE"""),67.2)</f>
        <v>67.2</v>
      </c>
      <c r="BT137" s="132" t="str">
        <f>IFERROR(__xludf.DUMMYFUNCTION("""COMPUTED_VALUE"""),"")</f>
        <v/>
      </c>
      <c r="BU137" s="133" t="str">
        <f>IFERROR(__xludf.DUMMYFUNCTION("""COMPUTED_VALUE"""),"")</f>
        <v/>
      </c>
      <c r="BV137" s="132" t="str">
        <f>IFERROR(__xludf.DUMMYFUNCTION("""COMPUTED_VALUE"""),"")</f>
        <v/>
      </c>
      <c r="BW137" s="132" t="str">
        <f>IFERROR(__xludf.DUMMYFUNCTION("""COMPUTED_VALUE"""),"")</f>
        <v/>
      </c>
      <c r="BX137" s="133" t="str">
        <f>IFERROR(__xludf.DUMMYFUNCTION("""COMPUTED_VALUE"""),"")</f>
        <v/>
      </c>
      <c r="BY137" s="132" t="str">
        <f>IFERROR(__xludf.DUMMYFUNCTION("""COMPUTED_VALUE"""),"")</f>
        <v/>
      </c>
      <c r="BZ137" s="132" t="str">
        <f>IFERROR(__xludf.DUMMYFUNCTION("""COMPUTED_VALUE"""),"")</f>
        <v/>
      </c>
      <c r="CA137" s="133" t="str">
        <f>IFERROR(__xludf.DUMMYFUNCTION("""COMPUTED_VALUE"""),"")</f>
        <v/>
      </c>
      <c r="CB137" s="131" t="str">
        <f>IFERROR(__xludf.DUMMYFUNCTION("""COMPUTED_VALUE"""),"")</f>
        <v/>
      </c>
      <c r="CC137" s="132" t="str">
        <f>IFERROR(__xludf.DUMMYFUNCTION("""COMPUTED_VALUE"""),"")</f>
        <v/>
      </c>
      <c r="CD137" s="133" t="str">
        <f>IFERROR(__xludf.DUMMYFUNCTION("""COMPUTED_VALUE"""),"")</f>
        <v/>
      </c>
      <c r="CE137" s="132" t="str">
        <f>IFERROR(__xludf.DUMMYFUNCTION("""COMPUTED_VALUE"""),"")</f>
        <v/>
      </c>
      <c r="CF137" s="132" t="str">
        <f>IFERROR(__xludf.DUMMYFUNCTION("""COMPUTED_VALUE"""),"")</f>
        <v/>
      </c>
      <c r="CG137" s="133" t="str">
        <f>IFERROR(__xludf.DUMMYFUNCTION("""COMPUTED_VALUE"""),"")</f>
        <v/>
      </c>
      <c r="CH137" s="132" t="str">
        <f>IFERROR(__xludf.DUMMYFUNCTION("""COMPUTED_VALUE"""),"")</f>
        <v/>
      </c>
      <c r="CI137" s="132" t="str">
        <f>IFERROR(__xludf.DUMMYFUNCTION("""COMPUTED_VALUE"""),"")</f>
        <v/>
      </c>
      <c r="CJ137" s="133" t="str">
        <f>IFERROR(__xludf.DUMMYFUNCTION("""COMPUTED_VALUE"""),"")</f>
        <v/>
      </c>
      <c r="CK137" s="132" t="str">
        <f>IFERROR(__xludf.DUMMYFUNCTION("""COMPUTED_VALUE"""),"")</f>
        <v/>
      </c>
      <c r="CL137" s="132" t="str">
        <f>IFERROR(__xludf.DUMMYFUNCTION("""COMPUTED_VALUE"""),"")</f>
        <v/>
      </c>
      <c r="CM137" s="133" t="str">
        <f>IFERROR(__xludf.DUMMYFUNCTION("""COMPUTED_VALUE"""),"")</f>
        <v/>
      </c>
      <c r="CN137" s="132" t="str">
        <f>IFERROR(__xludf.DUMMYFUNCTION("""COMPUTED_VALUE"""),"")</f>
        <v/>
      </c>
      <c r="CO137" s="132">
        <f>IFERROR(__xludf.DUMMYFUNCTION("""COMPUTED_VALUE"""),399.5)</f>
        <v>399.5</v>
      </c>
      <c r="CP137" s="133" t="str">
        <f>IFERROR(__xludf.DUMMYFUNCTION("""COMPUTED_VALUE"""),"")</f>
        <v/>
      </c>
      <c r="CQ137" s="132" t="str">
        <f>IFERROR(__xludf.DUMMYFUNCTION("""COMPUTED_VALUE"""),"")</f>
        <v/>
      </c>
      <c r="CR137" s="132" t="str">
        <f>IFERROR(__xludf.DUMMYFUNCTION("""COMPUTED_VALUE"""),"")</f>
        <v/>
      </c>
      <c r="CS137" s="133"/>
      <c r="CT137" s="132"/>
      <c r="CU137" s="132"/>
      <c r="CV137" s="133"/>
      <c r="CW137" s="132"/>
      <c r="CX137" s="132"/>
      <c r="CY137" s="133"/>
      <c r="CZ137" s="132"/>
      <c r="DA137" s="132"/>
      <c r="DB137" s="133"/>
      <c r="DC137" s="132"/>
      <c r="DD137" s="132"/>
      <c r="DE137" s="133"/>
      <c r="DF137" s="132"/>
      <c r="DG137" s="132"/>
      <c r="DH137" s="133"/>
      <c r="DI137" s="132"/>
      <c r="DJ137" s="132"/>
      <c r="DK137" s="133"/>
      <c r="DL137" s="132"/>
      <c r="DM137" s="132"/>
      <c r="DN137" s="133"/>
      <c r="DO137" s="132"/>
      <c r="DP137" s="132"/>
      <c r="DQ137" s="133"/>
      <c r="DR137" s="132"/>
      <c r="DS137" s="132"/>
      <c r="DT137" s="133"/>
    </row>
    <row r="138">
      <c r="B138" s="120" t="str">
        <f>IFERROR(__xludf.DUMMYFUNCTION("""COMPUTED_VALUE"""),"BBL12")</f>
        <v>BBL12</v>
      </c>
      <c r="C138" s="82">
        <f>IFERROR(__xludf.DUMMYFUNCTION("""COMPUTED_VALUE"""),127.0)</f>
        <v>127</v>
      </c>
      <c r="D138" s="88" t="str">
        <f>IFERROR(__xludf.DUMMYFUNCTION("""COMPUTED_VALUE"""),"Nippur")</f>
        <v>Nippur</v>
      </c>
      <c r="E138" s="82" t="str">
        <f>IFERROR(__xludf.DUMMYFUNCTION("""COMPUTED_VALUE"""),"ニップル")</f>
        <v>ニップル</v>
      </c>
      <c r="F138" s="102">
        <f>IFERROR(__xludf.DUMMYFUNCTION("""COMPUTED_VALUE"""),21.0)</f>
        <v>21</v>
      </c>
      <c r="G138" s="82">
        <f>IFERROR(__xludf.DUMMYFUNCTION("""COMPUTED_VALUE"""),69855.0)</f>
        <v>69855</v>
      </c>
      <c r="H138" s="95" t="str">
        <f>IFERROR(__xludf.DUMMYFUNCTION("""COMPUTED_VALUE"""),"")</f>
        <v/>
      </c>
      <c r="I138" s="96" t="str">
        <f>IFERROR(__xludf.DUMMYFUNCTION("""COMPUTED_VALUE"""),"")</f>
        <v/>
      </c>
      <c r="J138" s="97">
        <f>IFERROR(__xludf.DUMMYFUNCTION("""COMPUTED_VALUE"""),173.1)</f>
        <v>173.1</v>
      </c>
      <c r="K138" s="95" t="str">
        <f>IFERROR(__xludf.DUMMYFUNCTION("""COMPUTED_VALUE"""),"")</f>
        <v/>
      </c>
      <c r="L138" s="96" t="str">
        <f>IFERROR(__xludf.DUMMYFUNCTION("""COMPUTED_VALUE"""),"")</f>
        <v/>
      </c>
      <c r="M138" s="97" t="str">
        <f>IFERROR(__xludf.DUMMYFUNCTION("""COMPUTED_VALUE"""),"")</f>
        <v/>
      </c>
      <c r="N138" s="95" t="str">
        <f>IFERROR(__xludf.DUMMYFUNCTION("""COMPUTED_VALUE"""),"")</f>
        <v/>
      </c>
      <c r="O138" s="96" t="str">
        <f>IFERROR(__xludf.DUMMYFUNCTION("""COMPUTED_VALUE"""),"")</f>
        <v/>
      </c>
      <c r="P138" s="97" t="str">
        <f>IFERROR(__xludf.DUMMYFUNCTION("""COMPUTED_VALUE"""),"")</f>
        <v/>
      </c>
      <c r="Q138" s="95" t="str">
        <f>IFERROR(__xludf.DUMMYFUNCTION("""COMPUTED_VALUE"""),"")</f>
        <v/>
      </c>
      <c r="R138" s="96" t="str">
        <f>IFERROR(__xludf.DUMMYFUNCTION("""COMPUTED_VALUE"""),"")</f>
        <v/>
      </c>
      <c r="S138" s="97" t="str">
        <f>IFERROR(__xludf.DUMMYFUNCTION("""COMPUTED_VALUE"""),"")</f>
        <v/>
      </c>
      <c r="T138" s="95" t="str">
        <f>IFERROR(__xludf.DUMMYFUNCTION("""COMPUTED_VALUE"""),"")</f>
        <v/>
      </c>
      <c r="U138" s="96" t="str">
        <f>IFERROR(__xludf.DUMMYFUNCTION("""COMPUTED_VALUE"""),"")</f>
        <v/>
      </c>
      <c r="V138" s="97" t="str">
        <f>IFERROR(__xludf.DUMMYFUNCTION("""COMPUTED_VALUE"""),"")</f>
        <v/>
      </c>
      <c r="W138" s="95" t="str">
        <f>IFERROR(__xludf.DUMMYFUNCTION("""COMPUTED_VALUE"""),"")</f>
        <v/>
      </c>
      <c r="X138" s="96" t="str">
        <f>IFERROR(__xludf.DUMMYFUNCTION("""COMPUTED_VALUE"""),"")</f>
        <v/>
      </c>
      <c r="Y138" s="97" t="str">
        <f>IFERROR(__xludf.DUMMYFUNCTION("""COMPUTED_VALUE"""),"")</f>
        <v/>
      </c>
      <c r="Z138" s="95" t="str">
        <f>IFERROR(__xludf.DUMMYFUNCTION("""COMPUTED_VALUE"""),"")</f>
        <v/>
      </c>
      <c r="AA138" s="96" t="str">
        <f>IFERROR(__xludf.DUMMYFUNCTION("""COMPUTED_VALUE"""),"")</f>
        <v/>
      </c>
      <c r="AB138" s="97" t="str">
        <f>IFERROR(__xludf.DUMMYFUNCTION("""COMPUTED_VALUE"""),"")</f>
        <v/>
      </c>
      <c r="AC138" s="95" t="str">
        <f>IFERROR(__xludf.DUMMYFUNCTION("""COMPUTED_VALUE"""),"")</f>
        <v/>
      </c>
      <c r="AD138" s="96" t="str">
        <f>IFERROR(__xludf.DUMMYFUNCTION("""COMPUTED_VALUE"""),"")</f>
        <v/>
      </c>
      <c r="AE138" s="97" t="str">
        <f>IFERROR(__xludf.DUMMYFUNCTION("""COMPUTED_VALUE"""),"")</f>
        <v/>
      </c>
      <c r="AF138" s="95" t="str">
        <f>IFERROR(__xludf.DUMMYFUNCTION("""COMPUTED_VALUE"""),"")</f>
        <v/>
      </c>
      <c r="AG138" s="96" t="str">
        <f>IFERROR(__xludf.DUMMYFUNCTION("""COMPUTED_VALUE"""),"")</f>
        <v/>
      </c>
      <c r="AH138" s="97" t="str">
        <f>IFERROR(__xludf.DUMMYFUNCTION("""COMPUTED_VALUE"""),"")</f>
        <v/>
      </c>
      <c r="AI138" s="92" t="str">
        <f>IFERROR(__xludf.DUMMYFUNCTION("""COMPUTED_VALUE"""),"")</f>
        <v/>
      </c>
      <c r="AJ138" s="93" t="str">
        <f>IFERROR(__xludf.DUMMYFUNCTION("""COMPUTED_VALUE"""),"")</f>
        <v/>
      </c>
      <c r="AK138" s="146" t="str">
        <f>IFERROR(__xludf.DUMMYFUNCTION("""COMPUTED_VALUE"""),"")</f>
        <v/>
      </c>
      <c r="AL138" s="93" t="str">
        <f>IFERROR(__xludf.DUMMYFUNCTION("""COMPUTED_VALUE"""),"")</f>
        <v/>
      </c>
      <c r="AM138" s="93" t="str">
        <f>IFERROR(__xludf.DUMMYFUNCTION("""COMPUTED_VALUE"""),"")</f>
        <v/>
      </c>
      <c r="AN138" s="94" t="str">
        <f>IFERROR(__xludf.DUMMYFUNCTION("""COMPUTED_VALUE"""),"")</f>
        <v/>
      </c>
      <c r="AO138" s="93" t="str">
        <f>IFERROR(__xludf.DUMMYFUNCTION("""COMPUTED_VALUE"""),"")</f>
        <v/>
      </c>
      <c r="AP138" s="93" t="str">
        <f>IFERROR(__xludf.DUMMYFUNCTION("""COMPUTED_VALUE"""),"")</f>
        <v/>
      </c>
      <c r="AQ138" s="94" t="str">
        <f>IFERROR(__xludf.DUMMYFUNCTION("""COMPUTED_VALUE"""),"")</f>
        <v/>
      </c>
      <c r="AR138" s="93" t="str">
        <f>IFERROR(__xludf.DUMMYFUNCTION("""COMPUTED_VALUE"""),"")</f>
        <v/>
      </c>
      <c r="AS138" s="93" t="str">
        <f>IFERROR(__xludf.DUMMYFUNCTION("""COMPUTED_VALUE"""),"")</f>
        <v/>
      </c>
      <c r="AT138" s="94" t="str">
        <f>IFERROR(__xludf.DUMMYFUNCTION("""COMPUTED_VALUE"""),"")</f>
        <v/>
      </c>
      <c r="AU138" s="93" t="str">
        <f>IFERROR(__xludf.DUMMYFUNCTION("""COMPUTED_VALUE"""),"")</f>
        <v/>
      </c>
      <c r="AV138" s="93" t="str">
        <f>IFERROR(__xludf.DUMMYFUNCTION("""COMPUTED_VALUE"""),"")</f>
        <v/>
      </c>
      <c r="AW138" s="94" t="str">
        <f>IFERROR(__xludf.DUMMYFUNCTION("""COMPUTED_VALUE"""),"")</f>
        <v/>
      </c>
      <c r="AX138" s="93" t="str">
        <f>IFERROR(__xludf.DUMMYFUNCTION("""COMPUTED_VALUE"""),"")</f>
        <v/>
      </c>
      <c r="AY138" s="93">
        <f>IFERROR(__xludf.DUMMYFUNCTION("""COMPUTED_VALUE"""),70.0)</f>
        <v>70</v>
      </c>
      <c r="AZ138" s="94" t="str">
        <f>IFERROR(__xludf.DUMMYFUNCTION("""COMPUTED_VALUE"""),"")</f>
        <v/>
      </c>
      <c r="BA138" s="93" t="str">
        <f>IFERROR(__xludf.DUMMYFUNCTION("""COMPUTED_VALUE"""),"")</f>
        <v/>
      </c>
      <c r="BB138" s="93" t="str">
        <f>IFERROR(__xludf.DUMMYFUNCTION("""COMPUTED_VALUE"""),"")</f>
        <v/>
      </c>
      <c r="BC138" s="94" t="str">
        <f>IFERROR(__xludf.DUMMYFUNCTION("""COMPUTED_VALUE"""),"")</f>
        <v/>
      </c>
      <c r="BD138" s="93" t="str">
        <f>IFERROR(__xludf.DUMMYFUNCTION("""COMPUTED_VALUE"""),"")</f>
        <v/>
      </c>
      <c r="BE138" s="93" t="str">
        <f>IFERROR(__xludf.DUMMYFUNCTION("""COMPUTED_VALUE"""),"")</f>
        <v/>
      </c>
      <c r="BF138" s="94">
        <f>IFERROR(__xludf.DUMMYFUNCTION("""COMPUTED_VALUE"""),666.1)</f>
        <v>666.1</v>
      </c>
      <c r="BG138" s="92" t="str">
        <f>IFERROR(__xludf.DUMMYFUNCTION("""COMPUTED_VALUE"""),"")</f>
        <v/>
      </c>
      <c r="BH138" s="93" t="str">
        <f>IFERROR(__xludf.DUMMYFUNCTION("""COMPUTED_VALUE"""),"")</f>
        <v/>
      </c>
      <c r="BI138" s="94" t="str">
        <f>IFERROR(__xludf.DUMMYFUNCTION("""COMPUTED_VALUE"""),"")</f>
        <v/>
      </c>
      <c r="BJ138" s="93" t="str">
        <f>IFERROR(__xludf.DUMMYFUNCTION("""COMPUTED_VALUE"""),"")</f>
        <v/>
      </c>
      <c r="BK138" s="93" t="str">
        <f>IFERROR(__xludf.DUMMYFUNCTION("""COMPUTED_VALUE"""),"")</f>
        <v/>
      </c>
      <c r="BL138" s="94" t="str">
        <f>IFERROR(__xludf.DUMMYFUNCTION("""COMPUTED_VALUE"""),"")</f>
        <v/>
      </c>
      <c r="BM138" s="93" t="str">
        <f>IFERROR(__xludf.DUMMYFUNCTION("""COMPUTED_VALUE"""),"")</f>
        <v/>
      </c>
      <c r="BN138" s="93" t="str">
        <f>IFERROR(__xludf.DUMMYFUNCTION("""COMPUTED_VALUE"""),"")</f>
        <v/>
      </c>
      <c r="BO138" s="94" t="str">
        <f>IFERROR(__xludf.DUMMYFUNCTION("""COMPUTED_VALUE"""),"")</f>
        <v/>
      </c>
      <c r="BP138" s="93" t="str">
        <f>IFERROR(__xludf.DUMMYFUNCTION("""COMPUTED_VALUE"""),"")</f>
        <v/>
      </c>
      <c r="BQ138" s="93" t="str">
        <f>IFERROR(__xludf.DUMMYFUNCTION("""COMPUTED_VALUE"""),"")</f>
        <v/>
      </c>
      <c r="BR138" s="94" t="str">
        <f>IFERROR(__xludf.DUMMYFUNCTION("""COMPUTED_VALUE"""),"")</f>
        <v/>
      </c>
      <c r="BS138" s="93">
        <f>IFERROR(__xludf.DUMMYFUNCTION("""COMPUTED_VALUE"""),84.6)</f>
        <v>84.6</v>
      </c>
      <c r="BT138" s="93" t="str">
        <f>IFERROR(__xludf.DUMMYFUNCTION("""COMPUTED_VALUE"""),"")</f>
        <v/>
      </c>
      <c r="BU138" s="94" t="str">
        <f>IFERROR(__xludf.DUMMYFUNCTION("""COMPUTED_VALUE"""),"")</f>
        <v/>
      </c>
      <c r="BV138" s="93" t="str">
        <f>IFERROR(__xludf.DUMMYFUNCTION("""COMPUTED_VALUE"""),"")</f>
        <v/>
      </c>
      <c r="BW138" s="93" t="str">
        <f>IFERROR(__xludf.DUMMYFUNCTION("""COMPUTED_VALUE"""),"")</f>
        <v/>
      </c>
      <c r="BX138" s="94" t="str">
        <f>IFERROR(__xludf.DUMMYFUNCTION("""COMPUTED_VALUE"""),"")</f>
        <v/>
      </c>
      <c r="BY138" s="93" t="str">
        <f>IFERROR(__xludf.DUMMYFUNCTION("""COMPUTED_VALUE"""),"")</f>
        <v/>
      </c>
      <c r="BZ138" s="93" t="str">
        <f>IFERROR(__xludf.DUMMYFUNCTION("""COMPUTED_VALUE"""),"")</f>
        <v/>
      </c>
      <c r="CA138" s="94" t="str">
        <f>IFERROR(__xludf.DUMMYFUNCTION("""COMPUTED_VALUE"""),"")</f>
        <v/>
      </c>
      <c r="CB138" s="92" t="str">
        <f>IFERROR(__xludf.DUMMYFUNCTION("""COMPUTED_VALUE"""),"")</f>
        <v/>
      </c>
      <c r="CC138" s="93" t="str">
        <f>IFERROR(__xludf.DUMMYFUNCTION("""COMPUTED_VALUE"""),"")</f>
        <v/>
      </c>
      <c r="CD138" s="94" t="str">
        <f>IFERROR(__xludf.DUMMYFUNCTION("""COMPUTED_VALUE"""),"")</f>
        <v/>
      </c>
      <c r="CE138" s="93" t="str">
        <f>IFERROR(__xludf.DUMMYFUNCTION("""COMPUTED_VALUE"""),"")</f>
        <v/>
      </c>
      <c r="CF138" s="93" t="str">
        <f>IFERROR(__xludf.DUMMYFUNCTION("""COMPUTED_VALUE"""),"")</f>
        <v/>
      </c>
      <c r="CG138" s="94" t="str">
        <f>IFERROR(__xludf.DUMMYFUNCTION("""COMPUTED_VALUE"""),"")</f>
        <v/>
      </c>
      <c r="CH138" s="93" t="str">
        <f>IFERROR(__xludf.DUMMYFUNCTION("""COMPUTED_VALUE"""),"")</f>
        <v/>
      </c>
      <c r="CI138" s="93" t="str">
        <f>IFERROR(__xludf.DUMMYFUNCTION("""COMPUTED_VALUE"""),"")</f>
        <v/>
      </c>
      <c r="CJ138" s="94" t="str">
        <f>IFERROR(__xludf.DUMMYFUNCTION("""COMPUTED_VALUE"""),"")</f>
        <v/>
      </c>
      <c r="CK138" s="93" t="str">
        <f>IFERROR(__xludf.DUMMYFUNCTION("""COMPUTED_VALUE"""),"")</f>
        <v/>
      </c>
      <c r="CL138" s="93" t="str">
        <f>IFERROR(__xludf.DUMMYFUNCTION("""COMPUTED_VALUE"""),"")</f>
        <v/>
      </c>
      <c r="CM138" s="94" t="str">
        <f>IFERROR(__xludf.DUMMYFUNCTION("""COMPUTED_VALUE"""),"")</f>
        <v/>
      </c>
      <c r="CN138" s="93" t="str">
        <f>IFERROR(__xludf.DUMMYFUNCTION("""COMPUTED_VALUE"""),"")</f>
        <v/>
      </c>
      <c r="CO138" s="93">
        <f>IFERROR(__xludf.DUMMYFUNCTION("""COMPUTED_VALUE"""),435.0)</f>
        <v>435</v>
      </c>
      <c r="CP138" s="94" t="str">
        <f>IFERROR(__xludf.DUMMYFUNCTION("""COMPUTED_VALUE"""),"")</f>
        <v/>
      </c>
      <c r="CQ138" s="93" t="str">
        <f>IFERROR(__xludf.DUMMYFUNCTION("""COMPUTED_VALUE"""),"")</f>
        <v/>
      </c>
      <c r="CR138" s="93" t="str">
        <f>IFERROR(__xludf.DUMMYFUNCTION("""COMPUTED_VALUE"""),"")</f>
        <v/>
      </c>
      <c r="CS138" s="94"/>
      <c r="CT138" s="93"/>
      <c r="CU138" s="93"/>
      <c r="CV138" s="94"/>
      <c r="CW138" s="93"/>
      <c r="CX138" s="93"/>
      <c r="CY138" s="94"/>
      <c r="CZ138" s="93"/>
      <c r="DA138" s="93"/>
      <c r="DB138" s="94"/>
      <c r="DC138" s="93"/>
      <c r="DD138" s="93"/>
      <c r="DE138" s="94"/>
      <c r="DF138" s="93"/>
      <c r="DG138" s="93"/>
      <c r="DH138" s="94"/>
      <c r="DI138" s="93"/>
      <c r="DJ138" s="93"/>
      <c r="DK138" s="94"/>
      <c r="DL138" s="93"/>
      <c r="DM138" s="93"/>
      <c r="DN138" s="94"/>
      <c r="DO138" s="93"/>
      <c r="DP138" s="93"/>
      <c r="DQ138" s="94"/>
      <c r="DR138" s="93"/>
      <c r="DS138" s="93"/>
      <c r="DT138" s="94"/>
    </row>
    <row r="139">
      <c r="B139" s="120" t="str">
        <f>IFERROR(__xludf.DUMMYFUNCTION("""COMPUTED_VALUE"""),"BBL13")</f>
        <v>BBL13</v>
      </c>
      <c r="C139" s="82">
        <f>IFERROR(__xludf.DUMMYFUNCTION("""COMPUTED_VALUE"""),128.0)</f>
        <v>128</v>
      </c>
      <c r="D139" s="88" t="str">
        <f>IFERROR(__xludf.DUMMYFUNCTION("""COMPUTED_VALUE"""),"Mt. Ebih")</f>
        <v>Mt. Ebih</v>
      </c>
      <c r="E139" s="82" t="str">
        <f>IFERROR(__xludf.DUMMYFUNCTION("""COMPUTED_VALUE"""),"エビフ山")</f>
        <v>エビフ山</v>
      </c>
      <c r="F139" s="102">
        <f>IFERROR(__xludf.DUMMYFUNCTION("""COMPUTED_VALUE"""),21.0)</f>
        <v>21</v>
      </c>
      <c r="G139" s="82">
        <f>IFERROR(__xludf.DUMMYFUNCTION("""COMPUTED_VALUE"""),29368.0)</f>
        <v>29368</v>
      </c>
      <c r="H139" s="95" t="str">
        <f>IFERROR(__xludf.DUMMYFUNCTION("""COMPUTED_VALUE"""),"")</f>
        <v/>
      </c>
      <c r="I139" s="96" t="str">
        <f>IFERROR(__xludf.DUMMYFUNCTION("""COMPUTED_VALUE"""),"")</f>
        <v/>
      </c>
      <c r="J139" s="97" t="str">
        <f>IFERROR(__xludf.DUMMYFUNCTION("""COMPUTED_VALUE"""),"")</f>
        <v/>
      </c>
      <c r="K139" s="95" t="str">
        <f>IFERROR(__xludf.DUMMYFUNCTION("""COMPUTED_VALUE"""),"")</f>
        <v/>
      </c>
      <c r="L139" s="96" t="str">
        <f>IFERROR(__xludf.DUMMYFUNCTION("""COMPUTED_VALUE"""),"")</f>
        <v/>
      </c>
      <c r="M139" s="97" t="str">
        <f>IFERROR(__xludf.DUMMYFUNCTION("""COMPUTED_VALUE"""),"")</f>
        <v/>
      </c>
      <c r="N139" s="95" t="str">
        <f>IFERROR(__xludf.DUMMYFUNCTION("""COMPUTED_VALUE"""),"")</f>
        <v/>
      </c>
      <c r="O139" s="96" t="str">
        <f>IFERROR(__xludf.DUMMYFUNCTION("""COMPUTED_VALUE"""),"")</f>
        <v/>
      </c>
      <c r="P139" s="97" t="str">
        <f>IFERROR(__xludf.DUMMYFUNCTION("""COMPUTED_VALUE"""),"")</f>
        <v/>
      </c>
      <c r="Q139" s="95" t="str">
        <f>IFERROR(__xludf.DUMMYFUNCTION("""COMPUTED_VALUE"""),"")</f>
        <v/>
      </c>
      <c r="R139" s="96">
        <f>IFERROR(__xludf.DUMMYFUNCTION("""COMPUTED_VALUE"""),180.0)</f>
        <v>180</v>
      </c>
      <c r="S139" s="97" t="str">
        <f>IFERROR(__xludf.DUMMYFUNCTION("""COMPUTED_VALUE"""),"")</f>
        <v/>
      </c>
      <c r="T139" s="95" t="str">
        <f>IFERROR(__xludf.DUMMYFUNCTION("""COMPUTED_VALUE"""),"")</f>
        <v/>
      </c>
      <c r="U139" s="96" t="str">
        <f>IFERROR(__xludf.DUMMYFUNCTION("""COMPUTED_VALUE"""),"")</f>
        <v/>
      </c>
      <c r="V139" s="97" t="str">
        <f>IFERROR(__xludf.DUMMYFUNCTION("""COMPUTED_VALUE"""),"")</f>
        <v/>
      </c>
      <c r="W139" s="95" t="str">
        <f>IFERROR(__xludf.DUMMYFUNCTION("""COMPUTED_VALUE"""),"")</f>
        <v/>
      </c>
      <c r="X139" s="96" t="str">
        <f>IFERROR(__xludf.DUMMYFUNCTION("""COMPUTED_VALUE"""),"")</f>
        <v/>
      </c>
      <c r="Y139" s="97" t="str">
        <f>IFERROR(__xludf.DUMMYFUNCTION("""COMPUTED_VALUE"""),"")</f>
        <v/>
      </c>
      <c r="Z139" s="95">
        <f>IFERROR(__xludf.DUMMYFUNCTION("""COMPUTED_VALUE"""),82.4)</f>
        <v>82.4</v>
      </c>
      <c r="AA139" s="96" t="str">
        <f>IFERROR(__xludf.DUMMYFUNCTION("""COMPUTED_VALUE"""),"")</f>
        <v/>
      </c>
      <c r="AB139" s="97" t="str">
        <f>IFERROR(__xludf.DUMMYFUNCTION("""COMPUTED_VALUE"""),"")</f>
        <v/>
      </c>
      <c r="AC139" s="95" t="str">
        <f>IFERROR(__xludf.DUMMYFUNCTION("""COMPUTED_VALUE"""),"")</f>
        <v/>
      </c>
      <c r="AD139" s="96" t="str">
        <f>IFERROR(__xludf.DUMMYFUNCTION("""COMPUTED_VALUE"""),"")</f>
        <v/>
      </c>
      <c r="AE139" s="97" t="str">
        <f>IFERROR(__xludf.DUMMYFUNCTION("""COMPUTED_VALUE"""),"")</f>
        <v/>
      </c>
      <c r="AF139" s="95" t="str">
        <f>IFERROR(__xludf.DUMMYFUNCTION("""COMPUTED_VALUE"""),"")</f>
        <v/>
      </c>
      <c r="AG139" s="96" t="str">
        <f>IFERROR(__xludf.DUMMYFUNCTION("""COMPUTED_VALUE"""),"")</f>
        <v/>
      </c>
      <c r="AH139" s="97" t="str">
        <f>IFERROR(__xludf.DUMMYFUNCTION("""COMPUTED_VALUE"""),"")</f>
        <v/>
      </c>
      <c r="AI139" s="131" t="str">
        <f>IFERROR(__xludf.DUMMYFUNCTION("""COMPUTED_VALUE"""),"")</f>
        <v/>
      </c>
      <c r="AJ139" s="132" t="str">
        <f>IFERROR(__xludf.DUMMYFUNCTION("""COMPUTED_VALUE"""),"")</f>
        <v/>
      </c>
      <c r="AK139" s="133" t="str">
        <f>IFERROR(__xludf.DUMMYFUNCTION("""COMPUTED_VALUE"""),"")</f>
        <v/>
      </c>
      <c r="AL139" s="132" t="str">
        <f>IFERROR(__xludf.DUMMYFUNCTION("""COMPUTED_VALUE"""),"")</f>
        <v/>
      </c>
      <c r="AM139" s="132" t="str">
        <f>IFERROR(__xludf.DUMMYFUNCTION("""COMPUTED_VALUE"""),"")</f>
        <v/>
      </c>
      <c r="AN139" s="133" t="str">
        <f>IFERROR(__xludf.DUMMYFUNCTION("""COMPUTED_VALUE"""),"")</f>
        <v/>
      </c>
      <c r="AO139" s="132" t="str">
        <f>IFERROR(__xludf.DUMMYFUNCTION("""COMPUTED_VALUE"""),"")</f>
        <v/>
      </c>
      <c r="AP139" s="132" t="str">
        <f>IFERROR(__xludf.DUMMYFUNCTION("""COMPUTED_VALUE"""),"")</f>
        <v/>
      </c>
      <c r="AQ139" s="133" t="str">
        <f>IFERROR(__xludf.DUMMYFUNCTION("""COMPUTED_VALUE"""),"")</f>
        <v/>
      </c>
      <c r="AR139" s="132" t="str">
        <f>IFERROR(__xludf.DUMMYFUNCTION("""COMPUTED_VALUE"""),"")</f>
        <v/>
      </c>
      <c r="AS139" s="140" t="str">
        <f>IFERROR(__xludf.DUMMYFUNCTION("""COMPUTED_VALUE"""),"")</f>
        <v/>
      </c>
      <c r="AT139" s="133" t="str">
        <f>IFERROR(__xludf.DUMMYFUNCTION("""COMPUTED_VALUE"""),"")</f>
        <v/>
      </c>
      <c r="AU139" s="132" t="str">
        <f>IFERROR(__xludf.DUMMYFUNCTION("""COMPUTED_VALUE"""),"")</f>
        <v/>
      </c>
      <c r="AV139" s="132" t="str">
        <f>IFERROR(__xludf.DUMMYFUNCTION("""COMPUTED_VALUE"""),"")</f>
        <v/>
      </c>
      <c r="AW139" s="133" t="str">
        <f>IFERROR(__xludf.DUMMYFUNCTION("""COMPUTED_VALUE"""),"")</f>
        <v/>
      </c>
      <c r="AX139" s="132" t="str">
        <f>IFERROR(__xludf.DUMMYFUNCTION("""COMPUTED_VALUE"""),"")</f>
        <v/>
      </c>
      <c r="AY139" s="132" t="str">
        <f>IFERROR(__xludf.DUMMYFUNCTION("""COMPUTED_VALUE"""),"")</f>
        <v/>
      </c>
      <c r="AZ139" s="133" t="str">
        <f>IFERROR(__xludf.DUMMYFUNCTION("""COMPUTED_VALUE"""),"")</f>
        <v/>
      </c>
      <c r="BA139" s="132" t="str">
        <f>IFERROR(__xludf.DUMMYFUNCTION("""COMPUTED_VALUE"""),"")</f>
        <v/>
      </c>
      <c r="BB139" s="132" t="str">
        <f>IFERROR(__xludf.DUMMYFUNCTION("""COMPUTED_VALUE"""),"")</f>
        <v/>
      </c>
      <c r="BC139" s="133" t="str">
        <f>IFERROR(__xludf.DUMMYFUNCTION("""COMPUTED_VALUE"""),"")</f>
        <v/>
      </c>
      <c r="BD139" s="132" t="str">
        <f>IFERROR(__xludf.DUMMYFUNCTION("""COMPUTED_VALUE"""),"")</f>
        <v/>
      </c>
      <c r="BE139" s="132" t="str">
        <f>IFERROR(__xludf.DUMMYFUNCTION("""COMPUTED_VALUE"""),"")</f>
        <v/>
      </c>
      <c r="BF139" s="133" t="str">
        <f>IFERROR(__xludf.DUMMYFUNCTION("""COMPUTED_VALUE"""),"")</f>
        <v/>
      </c>
      <c r="BG139" s="131" t="str">
        <f>IFERROR(__xludf.DUMMYFUNCTION("""COMPUTED_VALUE"""),"")</f>
        <v/>
      </c>
      <c r="BH139" s="132" t="str">
        <f>IFERROR(__xludf.DUMMYFUNCTION("""COMPUTED_VALUE"""),"")</f>
        <v/>
      </c>
      <c r="BI139" s="133">
        <f>IFERROR(__xludf.DUMMYFUNCTION("""COMPUTED_VALUE"""),658.6)</f>
        <v>658.6</v>
      </c>
      <c r="BJ139" s="132" t="str">
        <f>IFERROR(__xludf.DUMMYFUNCTION("""COMPUTED_VALUE"""),"")</f>
        <v/>
      </c>
      <c r="BK139" s="132" t="str">
        <f>IFERROR(__xludf.DUMMYFUNCTION("""COMPUTED_VALUE"""),"")</f>
        <v/>
      </c>
      <c r="BL139" s="133" t="str">
        <f>IFERROR(__xludf.DUMMYFUNCTION("""COMPUTED_VALUE"""),"")</f>
        <v/>
      </c>
      <c r="BM139" s="132" t="str">
        <f>IFERROR(__xludf.DUMMYFUNCTION("""COMPUTED_VALUE"""),"")</f>
        <v/>
      </c>
      <c r="BN139" s="132" t="str">
        <f>IFERROR(__xludf.DUMMYFUNCTION("""COMPUTED_VALUE"""),"")</f>
        <v/>
      </c>
      <c r="BO139" s="133" t="str">
        <f>IFERROR(__xludf.DUMMYFUNCTION("""COMPUTED_VALUE"""),"")</f>
        <v/>
      </c>
      <c r="BP139" s="132">
        <f>IFERROR(__xludf.DUMMYFUNCTION("""COMPUTED_VALUE"""),84.8)</f>
        <v>84.8</v>
      </c>
      <c r="BQ139" s="132" t="str">
        <f>IFERROR(__xludf.DUMMYFUNCTION("""COMPUTED_VALUE"""),"")</f>
        <v/>
      </c>
      <c r="BR139" s="133" t="str">
        <f>IFERROR(__xludf.DUMMYFUNCTION("""COMPUTED_VALUE"""),"")</f>
        <v/>
      </c>
      <c r="BS139" s="132" t="str">
        <f>IFERROR(__xludf.DUMMYFUNCTION("""COMPUTED_VALUE"""),"")</f>
        <v/>
      </c>
      <c r="BT139" s="132" t="str">
        <f>IFERROR(__xludf.DUMMYFUNCTION("""COMPUTED_VALUE"""),"")</f>
        <v/>
      </c>
      <c r="BU139" s="133" t="str">
        <f>IFERROR(__xludf.DUMMYFUNCTION("""COMPUTED_VALUE"""),"")</f>
        <v/>
      </c>
      <c r="BV139" s="132" t="str">
        <f>IFERROR(__xludf.DUMMYFUNCTION("""COMPUTED_VALUE"""),"")</f>
        <v/>
      </c>
      <c r="BW139" s="132" t="str">
        <f>IFERROR(__xludf.DUMMYFUNCTION("""COMPUTED_VALUE"""),"")</f>
        <v/>
      </c>
      <c r="BX139" s="133" t="str">
        <f>IFERROR(__xludf.DUMMYFUNCTION("""COMPUTED_VALUE"""),"")</f>
        <v/>
      </c>
      <c r="BY139" s="132" t="str">
        <f>IFERROR(__xludf.DUMMYFUNCTION("""COMPUTED_VALUE"""),"")</f>
        <v/>
      </c>
      <c r="BZ139" s="132" t="str">
        <f>IFERROR(__xludf.DUMMYFUNCTION("""COMPUTED_VALUE"""),"")</f>
        <v/>
      </c>
      <c r="CA139" s="133" t="str">
        <f>IFERROR(__xludf.DUMMYFUNCTION("""COMPUTED_VALUE"""),"")</f>
        <v/>
      </c>
      <c r="CB139" s="131" t="str">
        <f>IFERROR(__xludf.DUMMYFUNCTION("""COMPUTED_VALUE"""),"")</f>
        <v/>
      </c>
      <c r="CC139" s="132" t="str">
        <f>IFERROR(__xludf.DUMMYFUNCTION("""COMPUTED_VALUE"""),"")</f>
        <v/>
      </c>
      <c r="CD139" s="133" t="str">
        <f>IFERROR(__xludf.DUMMYFUNCTION("""COMPUTED_VALUE"""),"")</f>
        <v/>
      </c>
      <c r="CE139" s="132" t="str">
        <f>IFERROR(__xludf.DUMMYFUNCTION("""COMPUTED_VALUE"""),"")</f>
        <v/>
      </c>
      <c r="CF139" s="132" t="str">
        <f>IFERROR(__xludf.DUMMYFUNCTION("""COMPUTED_VALUE"""),"")</f>
        <v/>
      </c>
      <c r="CG139" s="133" t="str">
        <f>IFERROR(__xludf.DUMMYFUNCTION("""COMPUTED_VALUE"""),"")</f>
        <v/>
      </c>
      <c r="CH139" s="132" t="str">
        <f>IFERROR(__xludf.DUMMYFUNCTION("""COMPUTED_VALUE"""),"")</f>
        <v/>
      </c>
      <c r="CI139" s="132" t="str">
        <f>IFERROR(__xludf.DUMMYFUNCTION("""COMPUTED_VALUE"""),"")</f>
        <v/>
      </c>
      <c r="CJ139" s="133" t="str">
        <f>IFERROR(__xludf.DUMMYFUNCTION("""COMPUTED_VALUE"""),"")</f>
        <v/>
      </c>
      <c r="CK139" s="132" t="str">
        <f>IFERROR(__xludf.DUMMYFUNCTION("""COMPUTED_VALUE"""),"")</f>
        <v/>
      </c>
      <c r="CL139" s="132" t="str">
        <f>IFERROR(__xludf.DUMMYFUNCTION("""COMPUTED_VALUE"""),"")</f>
        <v/>
      </c>
      <c r="CM139" s="133" t="str">
        <f>IFERROR(__xludf.DUMMYFUNCTION("""COMPUTED_VALUE"""),"")</f>
        <v/>
      </c>
      <c r="CN139" s="132" t="str">
        <f>IFERROR(__xludf.DUMMYFUNCTION("""COMPUTED_VALUE"""),"")</f>
        <v/>
      </c>
      <c r="CO139" s="132" t="str">
        <f>IFERROR(__xludf.DUMMYFUNCTION("""COMPUTED_VALUE"""),"")</f>
        <v/>
      </c>
      <c r="CP139" s="133" t="str">
        <f>IFERROR(__xludf.DUMMYFUNCTION("""COMPUTED_VALUE"""),"")</f>
        <v/>
      </c>
      <c r="CQ139" s="132" t="str">
        <f>IFERROR(__xludf.DUMMYFUNCTION("""COMPUTED_VALUE"""),"")</f>
        <v/>
      </c>
      <c r="CR139" s="132">
        <f>IFERROR(__xludf.DUMMYFUNCTION("""COMPUTED_VALUE"""),400.8)</f>
        <v>400.8</v>
      </c>
      <c r="CS139" s="133"/>
      <c r="CT139" s="132"/>
      <c r="CU139" s="132"/>
      <c r="CV139" s="133"/>
      <c r="CW139" s="132"/>
      <c r="CX139" s="132"/>
      <c r="CY139" s="133"/>
      <c r="CZ139" s="132"/>
      <c r="DA139" s="132"/>
      <c r="DB139" s="133"/>
      <c r="DC139" s="132"/>
      <c r="DD139" s="132"/>
      <c r="DE139" s="133"/>
      <c r="DF139" s="132"/>
      <c r="DG139" s="132"/>
      <c r="DH139" s="133"/>
      <c r="DI139" s="132"/>
      <c r="DJ139" s="132"/>
      <c r="DK139" s="133"/>
      <c r="DL139" s="132"/>
      <c r="DM139" s="132"/>
      <c r="DN139" s="133"/>
      <c r="DO139" s="132"/>
      <c r="DP139" s="132"/>
      <c r="DQ139" s="133"/>
      <c r="DR139" s="132"/>
      <c r="DS139" s="132"/>
      <c r="DT139" s="133"/>
    </row>
    <row r="140">
      <c r="B140" s="120" t="str">
        <f>IFERROR(__xludf.DUMMYFUNCTION("""COMPUTED_VALUE"""),"BBL14")</f>
        <v>BBL14</v>
      </c>
      <c r="C140" s="82">
        <f>IFERROR(__xludf.DUMMYFUNCTION("""COMPUTED_VALUE"""),129.0)</f>
        <v>129</v>
      </c>
      <c r="D140" s="88" t="str">
        <f>IFERROR(__xludf.DUMMYFUNCTION("""COMPUTED_VALUE"""),"Blood Fort")</f>
        <v>Blood Fort</v>
      </c>
      <c r="E140" s="82" t="str">
        <f>IFERROR(__xludf.DUMMYFUNCTION("""COMPUTED_VALUE"""),"鮮血神殿")</f>
        <v>鮮血神殿</v>
      </c>
      <c r="F140" s="102">
        <f>IFERROR(__xludf.DUMMYFUNCTION("""COMPUTED_VALUE"""),21.0)</f>
        <v>21</v>
      </c>
      <c r="G140" s="82">
        <f>IFERROR(__xludf.DUMMYFUNCTION("""COMPUTED_VALUE"""),80896.0)</f>
        <v>80896</v>
      </c>
      <c r="H140" s="95" t="str">
        <f>IFERROR(__xludf.DUMMYFUNCTION("""COMPUTED_VALUE"""),"")</f>
        <v/>
      </c>
      <c r="I140" s="96" t="str">
        <f>IFERROR(__xludf.DUMMYFUNCTION("""COMPUTED_VALUE"""),"")</f>
        <v/>
      </c>
      <c r="J140" s="97" t="str">
        <f>IFERROR(__xludf.DUMMYFUNCTION("""COMPUTED_VALUE"""),"")</f>
        <v/>
      </c>
      <c r="K140" s="95" t="str">
        <f>IFERROR(__xludf.DUMMYFUNCTION("""COMPUTED_VALUE"""),"")</f>
        <v/>
      </c>
      <c r="L140" s="96" t="str">
        <f>IFERROR(__xludf.DUMMYFUNCTION("""COMPUTED_VALUE"""),"")</f>
        <v/>
      </c>
      <c r="M140" s="97" t="str">
        <f>IFERROR(__xludf.DUMMYFUNCTION("""COMPUTED_VALUE"""),"")</f>
        <v/>
      </c>
      <c r="N140" s="95" t="str">
        <f>IFERROR(__xludf.DUMMYFUNCTION("""COMPUTED_VALUE"""),"")</f>
        <v/>
      </c>
      <c r="O140" s="96" t="str">
        <f>IFERROR(__xludf.DUMMYFUNCTION("""COMPUTED_VALUE"""),"")</f>
        <v/>
      </c>
      <c r="P140" s="97" t="str">
        <f>IFERROR(__xludf.DUMMYFUNCTION("""COMPUTED_VALUE"""),"")</f>
        <v/>
      </c>
      <c r="Q140" s="95">
        <f>IFERROR(__xludf.DUMMYFUNCTION("""COMPUTED_VALUE"""),115.3)</f>
        <v>115.3</v>
      </c>
      <c r="R140" s="96" t="str">
        <f>IFERROR(__xludf.DUMMYFUNCTION("""COMPUTED_VALUE"""),"")</f>
        <v/>
      </c>
      <c r="S140" s="97" t="str">
        <f>IFERROR(__xludf.DUMMYFUNCTION("""COMPUTED_VALUE"""),"")</f>
        <v/>
      </c>
      <c r="T140" s="95" t="str">
        <f>IFERROR(__xludf.DUMMYFUNCTION("""COMPUTED_VALUE"""),"")</f>
        <v/>
      </c>
      <c r="U140" s="96" t="str">
        <f>IFERROR(__xludf.DUMMYFUNCTION("""COMPUTED_VALUE"""),"")</f>
        <v/>
      </c>
      <c r="V140" s="97" t="str">
        <f>IFERROR(__xludf.DUMMYFUNCTION("""COMPUTED_VALUE"""),"")</f>
        <v/>
      </c>
      <c r="W140" s="95" t="str">
        <f>IFERROR(__xludf.DUMMYFUNCTION("""COMPUTED_VALUE"""),"")</f>
        <v/>
      </c>
      <c r="X140" s="96" t="str">
        <f>IFERROR(__xludf.DUMMYFUNCTION("""COMPUTED_VALUE"""),"")</f>
        <v/>
      </c>
      <c r="Y140" s="97" t="str">
        <f>IFERROR(__xludf.DUMMYFUNCTION("""COMPUTED_VALUE"""),"")</f>
        <v/>
      </c>
      <c r="Z140" s="95">
        <f>IFERROR(__xludf.DUMMYFUNCTION("""COMPUTED_VALUE"""),87.2)</f>
        <v>87.2</v>
      </c>
      <c r="AA140" s="96" t="str">
        <f>IFERROR(__xludf.DUMMYFUNCTION("""COMPUTED_VALUE"""),"")</f>
        <v/>
      </c>
      <c r="AB140" s="97" t="str">
        <f>IFERROR(__xludf.DUMMYFUNCTION("""COMPUTED_VALUE"""),"")</f>
        <v/>
      </c>
      <c r="AC140" s="95" t="str">
        <f>IFERROR(__xludf.DUMMYFUNCTION("""COMPUTED_VALUE"""),"")</f>
        <v/>
      </c>
      <c r="AD140" s="96" t="str">
        <f>IFERROR(__xludf.DUMMYFUNCTION("""COMPUTED_VALUE"""),"")</f>
        <v/>
      </c>
      <c r="AE140" s="97" t="str">
        <f>IFERROR(__xludf.DUMMYFUNCTION("""COMPUTED_VALUE"""),"")</f>
        <v/>
      </c>
      <c r="AF140" s="95" t="str">
        <f>IFERROR(__xludf.DUMMYFUNCTION("""COMPUTED_VALUE"""),"")</f>
        <v/>
      </c>
      <c r="AG140" s="96" t="str">
        <f>IFERROR(__xludf.DUMMYFUNCTION("""COMPUTED_VALUE"""),"")</f>
        <v/>
      </c>
      <c r="AH140" s="97" t="str">
        <f>IFERROR(__xludf.DUMMYFUNCTION("""COMPUTED_VALUE"""),"")</f>
        <v/>
      </c>
      <c r="AI140" s="92" t="str">
        <f>IFERROR(__xludf.DUMMYFUNCTION("""COMPUTED_VALUE"""),"")</f>
        <v/>
      </c>
      <c r="AJ140" s="93" t="str">
        <f>IFERROR(__xludf.DUMMYFUNCTION("""COMPUTED_VALUE"""),"")</f>
        <v/>
      </c>
      <c r="AK140" s="94" t="str">
        <f>IFERROR(__xludf.DUMMYFUNCTION("""COMPUTED_VALUE"""),"")</f>
        <v/>
      </c>
      <c r="AL140" s="93" t="str">
        <f>IFERROR(__xludf.DUMMYFUNCTION("""COMPUTED_VALUE"""),"")</f>
        <v/>
      </c>
      <c r="AM140" s="93" t="str">
        <f>IFERROR(__xludf.DUMMYFUNCTION("""COMPUTED_VALUE"""),"")</f>
        <v/>
      </c>
      <c r="AN140" s="94" t="str">
        <f>IFERROR(__xludf.DUMMYFUNCTION("""COMPUTED_VALUE"""),"")</f>
        <v/>
      </c>
      <c r="AO140" s="93" t="str">
        <f>IFERROR(__xludf.DUMMYFUNCTION("""COMPUTED_VALUE"""),"")</f>
        <v/>
      </c>
      <c r="AP140" s="93" t="str">
        <f>IFERROR(__xludf.DUMMYFUNCTION("""COMPUTED_VALUE"""),"")</f>
        <v/>
      </c>
      <c r="AQ140" s="94" t="str">
        <f>IFERROR(__xludf.DUMMYFUNCTION("""COMPUTED_VALUE"""),"")</f>
        <v/>
      </c>
      <c r="AR140" s="143" t="str">
        <f>IFERROR(__xludf.DUMMYFUNCTION("""COMPUTED_VALUE"""),"")</f>
        <v/>
      </c>
      <c r="AS140" s="93" t="str">
        <f>IFERROR(__xludf.DUMMYFUNCTION("""COMPUTED_VALUE"""),"")</f>
        <v/>
      </c>
      <c r="AT140" s="94" t="str">
        <f>IFERROR(__xludf.DUMMYFUNCTION("""COMPUTED_VALUE"""),"")</f>
        <v/>
      </c>
      <c r="AU140" s="93" t="str">
        <f>IFERROR(__xludf.DUMMYFUNCTION("""COMPUTED_VALUE"""),"")</f>
        <v/>
      </c>
      <c r="AV140" s="93" t="str">
        <f>IFERROR(__xludf.DUMMYFUNCTION("""COMPUTED_VALUE"""),"")</f>
        <v/>
      </c>
      <c r="AW140" s="94" t="str">
        <f>IFERROR(__xludf.DUMMYFUNCTION("""COMPUTED_VALUE"""),"")</f>
        <v/>
      </c>
      <c r="AX140" s="93" t="str">
        <f>IFERROR(__xludf.DUMMYFUNCTION("""COMPUTED_VALUE"""),"")</f>
        <v/>
      </c>
      <c r="AY140" s="93" t="str">
        <f>IFERROR(__xludf.DUMMYFUNCTION("""COMPUTED_VALUE"""),"")</f>
        <v/>
      </c>
      <c r="AZ140" s="94" t="str">
        <f>IFERROR(__xludf.DUMMYFUNCTION("""COMPUTED_VALUE"""),"")</f>
        <v/>
      </c>
      <c r="BA140" s="93" t="str">
        <f>IFERROR(__xludf.DUMMYFUNCTION("""COMPUTED_VALUE"""),"")</f>
        <v/>
      </c>
      <c r="BB140" s="93" t="str">
        <f>IFERROR(__xludf.DUMMYFUNCTION("""COMPUTED_VALUE"""),"")</f>
        <v/>
      </c>
      <c r="BC140" s="94" t="str">
        <f>IFERROR(__xludf.DUMMYFUNCTION("""COMPUTED_VALUE"""),"")</f>
        <v/>
      </c>
      <c r="BD140" s="93" t="str">
        <f>IFERROR(__xludf.DUMMYFUNCTION("""COMPUTED_VALUE"""),"")</f>
        <v/>
      </c>
      <c r="BE140" s="93" t="str">
        <f>IFERROR(__xludf.DUMMYFUNCTION("""COMPUTED_VALUE"""),"")</f>
        <v/>
      </c>
      <c r="BF140" s="94" t="str">
        <f>IFERROR(__xludf.DUMMYFUNCTION("""COMPUTED_VALUE"""),"")</f>
        <v/>
      </c>
      <c r="BG140" s="92" t="str">
        <f>IFERROR(__xludf.DUMMYFUNCTION("""COMPUTED_VALUE"""),"")</f>
        <v/>
      </c>
      <c r="BH140" s="93" t="str">
        <f>IFERROR(__xludf.DUMMYFUNCTION("""COMPUTED_VALUE"""),"")</f>
        <v/>
      </c>
      <c r="BI140" s="94" t="str">
        <f>IFERROR(__xludf.DUMMYFUNCTION("""COMPUTED_VALUE"""),"")</f>
        <v/>
      </c>
      <c r="BJ140" s="93" t="str">
        <f>IFERROR(__xludf.DUMMYFUNCTION("""COMPUTED_VALUE"""),"")</f>
        <v/>
      </c>
      <c r="BK140" s="93" t="str">
        <f>IFERROR(__xludf.DUMMYFUNCTION("""COMPUTED_VALUE"""),"")</f>
        <v/>
      </c>
      <c r="BL140" s="94" t="str">
        <f>IFERROR(__xludf.DUMMYFUNCTION("""COMPUTED_VALUE"""),"")</f>
        <v/>
      </c>
      <c r="BM140" s="93">
        <f>IFERROR(__xludf.DUMMYFUNCTION("""COMPUTED_VALUE"""),132.0)</f>
        <v>132</v>
      </c>
      <c r="BN140" s="93" t="str">
        <f>IFERROR(__xludf.DUMMYFUNCTION("""COMPUTED_VALUE"""),"")</f>
        <v/>
      </c>
      <c r="BO140" s="94" t="str">
        <f>IFERROR(__xludf.DUMMYFUNCTION("""COMPUTED_VALUE"""),"")</f>
        <v/>
      </c>
      <c r="BP140" s="93" t="str">
        <f>IFERROR(__xludf.DUMMYFUNCTION("""COMPUTED_VALUE"""),"")</f>
        <v/>
      </c>
      <c r="BQ140" s="93" t="str">
        <f>IFERROR(__xludf.DUMMYFUNCTION("""COMPUTED_VALUE"""),"")</f>
        <v/>
      </c>
      <c r="BR140" s="94" t="str">
        <f>IFERROR(__xludf.DUMMYFUNCTION("""COMPUTED_VALUE"""),"")</f>
        <v/>
      </c>
      <c r="BS140" s="93" t="str">
        <f>IFERROR(__xludf.DUMMYFUNCTION("""COMPUTED_VALUE"""),"")</f>
        <v/>
      </c>
      <c r="BT140" s="93">
        <f>IFERROR(__xludf.DUMMYFUNCTION("""COMPUTED_VALUE"""),140.3)</f>
        <v>140.3</v>
      </c>
      <c r="BU140" s="94" t="str">
        <f>IFERROR(__xludf.DUMMYFUNCTION("""COMPUTED_VALUE"""),"")</f>
        <v/>
      </c>
      <c r="BV140" s="93" t="str">
        <f>IFERROR(__xludf.DUMMYFUNCTION("""COMPUTED_VALUE"""),"")</f>
        <v/>
      </c>
      <c r="BW140" s="93" t="str">
        <f>IFERROR(__xludf.DUMMYFUNCTION("""COMPUTED_VALUE"""),"")</f>
        <v/>
      </c>
      <c r="BX140" s="94" t="str">
        <f>IFERROR(__xludf.DUMMYFUNCTION("""COMPUTED_VALUE"""),"")</f>
        <v/>
      </c>
      <c r="BY140" s="93" t="str">
        <f>IFERROR(__xludf.DUMMYFUNCTION("""COMPUTED_VALUE"""),"")</f>
        <v/>
      </c>
      <c r="BZ140" s="93" t="str">
        <f>IFERROR(__xludf.DUMMYFUNCTION("""COMPUTED_VALUE"""),"")</f>
        <v/>
      </c>
      <c r="CA140" s="94" t="str">
        <f>IFERROR(__xludf.DUMMYFUNCTION("""COMPUTED_VALUE"""),"")</f>
        <v/>
      </c>
      <c r="CB140" s="92" t="str">
        <f>IFERROR(__xludf.DUMMYFUNCTION("""COMPUTED_VALUE"""),"")</f>
        <v/>
      </c>
      <c r="CC140" s="93" t="str">
        <f>IFERROR(__xludf.DUMMYFUNCTION("""COMPUTED_VALUE"""),"")</f>
        <v/>
      </c>
      <c r="CD140" s="94" t="str">
        <f>IFERROR(__xludf.DUMMYFUNCTION("""COMPUTED_VALUE"""),"")</f>
        <v/>
      </c>
      <c r="CE140" s="93" t="str">
        <f>IFERROR(__xludf.DUMMYFUNCTION("""COMPUTED_VALUE"""),"")</f>
        <v/>
      </c>
      <c r="CF140" s="93" t="str">
        <f>IFERROR(__xludf.DUMMYFUNCTION("""COMPUTED_VALUE"""),"")</f>
        <v/>
      </c>
      <c r="CG140" s="94" t="str">
        <f>IFERROR(__xludf.DUMMYFUNCTION("""COMPUTED_VALUE"""),"")</f>
        <v/>
      </c>
      <c r="CH140" s="93" t="str">
        <f>IFERROR(__xludf.DUMMYFUNCTION("""COMPUTED_VALUE"""),"")</f>
        <v/>
      </c>
      <c r="CI140" s="93" t="str">
        <f>IFERROR(__xludf.DUMMYFUNCTION("""COMPUTED_VALUE"""),"")</f>
        <v/>
      </c>
      <c r="CJ140" s="94" t="str">
        <f>IFERROR(__xludf.DUMMYFUNCTION("""COMPUTED_VALUE"""),"")</f>
        <v/>
      </c>
      <c r="CK140" s="93" t="str">
        <f>IFERROR(__xludf.DUMMYFUNCTION("""COMPUTED_VALUE"""),"")</f>
        <v/>
      </c>
      <c r="CL140" s="93" t="str">
        <f>IFERROR(__xludf.DUMMYFUNCTION("""COMPUTED_VALUE"""),"")</f>
        <v/>
      </c>
      <c r="CM140" s="94" t="str">
        <f>IFERROR(__xludf.DUMMYFUNCTION("""COMPUTED_VALUE"""),"")</f>
        <v/>
      </c>
      <c r="CN140" s="93" t="str">
        <f>IFERROR(__xludf.DUMMYFUNCTION("""COMPUTED_VALUE"""),"")</f>
        <v/>
      </c>
      <c r="CO140" s="93">
        <f>IFERROR(__xludf.DUMMYFUNCTION("""COMPUTED_VALUE"""),207.1)</f>
        <v>207.1</v>
      </c>
      <c r="CP140" s="94" t="str">
        <f>IFERROR(__xludf.DUMMYFUNCTION("""COMPUTED_VALUE"""),"")</f>
        <v/>
      </c>
      <c r="CQ140" s="93" t="str">
        <f>IFERROR(__xludf.DUMMYFUNCTION("""COMPUTED_VALUE"""),"")</f>
        <v/>
      </c>
      <c r="CR140" s="93" t="str">
        <f>IFERROR(__xludf.DUMMYFUNCTION("""COMPUTED_VALUE"""),"")</f>
        <v/>
      </c>
      <c r="CS140" s="94"/>
      <c r="CT140" s="93"/>
      <c r="CU140" s="93"/>
      <c r="CV140" s="94"/>
      <c r="CW140" s="93"/>
      <c r="CX140" s="93"/>
      <c r="CY140" s="94"/>
      <c r="CZ140" s="93"/>
      <c r="DA140" s="93"/>
      <c r="DB140" s="94"/>
      <c r="DC140" s="93"/>
      <c r="DD140" s="93"/>
      <c r="DE140" s="94"/>
      <c r="DF140" s="93"/>
      <c r="DG140" s="93"/>
      <c r="DH140" s="94"/>
      <c r="DI140" s="93"/>
      <c r="DJ140" s="93"/>
      <c r="DK140" s="94"/>
      <c r="DL140" s="93"/>
      <c r="DM140" s="93"/>
      <c r="DN140" s="94"/>
      <c r="DO140" s="93"/>
      <c r="DP140" s="93"/>
      <c r="DQ140" s="94"/>
      <c r="DR140" s="93"/>
      <c r="DS140" s="93"/>
      <c r="DT140" s="94"/>
    </row>
    <row r="141">
      <c r="A141" s="150" t="str">
        <f>IFERROR(__xludf.DUMMYFUNCTION("""COMPUTED_VALUE"""),"SHINJUKU")</f>
        <v>SHINJUKU</v>
      </c>
      <c r="B141" s="120" t="str">
        <f>IFERROR(__xludf.DUMMYFUNCTION("""COMPUTED_VALUE"""),"SJK1")</f>
        <v>SJK1</v>
      </c>
      <c r="C141" s="82">
        <f>IFERROR(__xludf.DUMMYFUNCTION("""COMPUTED_VALUE"""),132.0)</f>
        <v>132</v>
      </c>
      <c r="D141" s="88" t="str">
        <f>IFERROR(__xludf.DUMMYFUNCTION("""COMPUTED_VALUE"""),"Yoyogi 2-Chome")</f>
        <v>Yoyogi 2-Chome</v>
      </c>
      <c r="E141" s="82" t="str">
        <f>IFERROR(__xludf.DUMMYFUNCTION("""COMPUTED_VALUE"""),"代々木二丁目")</f>
        <v>代々木二丁目</v>
      </c>
      <c r="F141" s="102">
        <f>IFERROR(__xludf.DUMMYFUNCTION("""COMPUTED_VALUE"""),20.0)</f>
        <v>20</v>
      </c>
      <c r="G141" s="82">
        <f>IFERROR(__xludf.DUMMYFUNCTION("""COMPUTED_VALUE"""),1109.0)</f>
        <v>1109</v>
      </c>
      <c r="H141" s="95" t="str">
        <f>IFERROR(__xludf.DUMMYFUNCTION("""COMPUTED_VALUE"""),"")</f>
        <v/>
      </c>
      <c r="I141" s="96" t="str">
        <f>IFERROR(__xludf.DUMMYFUNCTION("""COMPUTED_VALUE"""),"")</f>
        <v/>
      </c>
      <c r="J141" s="97" t="str">
        <f>IFERROR(__xludf.DUMMYFUNCTION("""COMPUTED_VALUE"""),"")</f>
        <v/>
      </c>
      <c r="K141" s="95" t="str">
        <f>IFERROR(__xludf.DUMMYFUNCTION("""COMPUTED_VALUE"""),"")</f>
        <v/>
      </c>
      <c r="L141" s="96" t="str">
        <f>IFERROR(__xludf.DUMMYFUNCTION("""COMPUTED_VALUE"""),"")</f>
        <v/>
      </c>
      <c r="M141" s="97" t="str">
        <f>IFERROR(__xludf.DUMMYFUNCTION("""COMPUTED_VALUE"""),"")</f>
        <v/>
      </c>
      <c r="N141" s="95" t="str">
        <f>IFERROR(__xludf.DUMMYFUNCTION("""COMPUTED_VALUE"""),"")</f>
        <v/>
      </c>
      <c r="O141" s="96" t="str">
        <f>IFERROR(__xludf.DUMMYFUNCTION("""COMPUTED_VALUE"""),"")</f>
        <v/>
      </c>
      <c r="P141" s="97" t="str">
        <f>IFERROR(__xludf.DUMMYFUNCTION("""COMPUTED_VALUE"""),"")</f>
        <v/>
      </c>
      <c r="Q141" s="95" t="str">
        <f>IFERROR(__xludf.DUMMYFUNCTION("""COMPUTED_VALUE"""),"")</f>
        <v/>
      </c>
      <c r="R141" s="96" t="str">
        <f>IFERROR(__xludf.DUMMYFUNCTION("""COMPUTED_VALUE"""),"")</f>
        <v/>
      </c>
      <c r="S141" s="97" t="str">
        <f>IFERROR(__xludf.DUMMYFUNCTION("""COMPUTED_VALUE"""),"")</f>
        <v/>
      </c>
      <c r="T141" s="95" t="str">
        <f>IFERROR(__xludf.DUMMYFUNCTION("""COMPUTED_VALUE"""),"")</f>
        <v/>
      </c>
      <c r="U141" s="96" t="str">
        <f>IFERROR(__xludf.DUMMYFUNCTION("""COMPUTED_VALUE"""),"")</f>
        <v/>
      </c>
      <c r="V141" s="97" t="str">
        <f>IFERROR(__xludf.DUMMYFUNCTION("""COMPUTED_VALUE"""),"")</f>
        <v/>
      </c>
      <c r="W141" s="95" t="str">
        <f>IFERROR(__xludf.DUMMYFUNCTION("""COMPUTED_VALUE"""),"")</f>
        <v/>
      </c>
      <c r="X141" s="96" t="str">
        <f>IFERROR(__xludf.DUMMYFUNCTION("""COMPUTED_VALUE"""),"")</f>
        <v/>
      </c>
      <c r="Y141" s="97" t="str">
        <f>IFERROR(__xludf.DUMMYFUNCTION("""COMPUTED_VALUE"""),"")</f>
        <v/>
      </c>
      <c r="Z141" s="95" t="str">
        <f>IFERROR(__xludf.DUMMYFUNCTION("""COMPUTED_VALUE"""),"")</f>
        <v/>
      </c>
      <c r="AA141" s="96" t="str">
        <f>IFERROR(__xludf.DUMMYFUNCTION("""COMPUTED_VALUE"""),"")</f>
        <v/>
      </c>
      <c r="AB141" s="97" t="str">
        <f>IFERROR(__xludf.DUMMYFUNCTION("""COMPUTED_VALUE"""),"")</f>
        <v/>
      </c>
      <c r="AC141" s="95" t="str">
        <f>IFERROR(__xludf.DUMMYFUNCTION("""COMPUTED_VALUE"""),"")</f>
        <v/>
      </c>
      <c r="AD141" s="96" t="str">
        <f>IFERROR(__xludf.DUMMYFUNCTION("""COMPUTED_VALUE"""),"")</f>
        <v/>
      </c>
      <c r="AE141" s="97" t="str">
        <f>IFERROR(__xludf.DUMMYFUNCTION("""COMPUTED_VALUE"""),"")</f>
        <v/>
      </c>
      <c r="AF141" s="95" t="str">
        <f>IFERROR(__xludf.DUMMYFUNCTION("""COMPUTED_VALUE"""),"")</f>
        <v/>
      </c>
      <c r="AG141" s="96" t="str">
        <f>IFERROR(__xludf.DUMMYFUNCTION("""COMPUTED_VALUE"""),"")</f>
        <v/>
      </c>
      <c r="AH141" s="97" t="str">
        <f>IFERROR(__xludf.DUMMYFUNCTION("""COMPUTED_VALUE"""),"")</f>
        <v/>
      </c>
      <c r="AI141" s="103" t="str">
        <f>IFERROR(__xludf.DUMMYFUNCTION("""COMPUTED_VALUE"""),"")</f>
        <v/>
      </c>
      <c r="AJ141" s="104" t="str">
        <f>IFERROR(__xludf.DUMMYFUNCTION("""COMPUTED_VALUE"""),"")</f>
        <v/>
      </c>
      <c r="AK141" s="105" t="str">
        <f>IFERROR(__xludf.DUMMYFUNCTION("""COMPUTED_VALUE"""),"")</f>
        <v/>
      </c>
      <c r="AL141" s="104" t="str">
        <f>IFERROR(__xludf.DUMMYFUNCTION("""COMPUTED_VALUE"""),"")</f>
        <v/>
      </c>
      <c r="AM141" s="104" t="str">
        <f>IFERROR(__xludf.DUMMYFUNCTION("""COMPUTED_VALUE"""),"")</f>
        <v/>
      </c>
      <c r="AN141" s="105" t="str">
        <f>IFERROR(__xludf.DUMMYFUNCTION("""COMPUTED_VALUE"""),"")</f>
        <v/>
      </c>
      <c r="AO141" s="104" t="str">
        <f>IFERROR(__xludf.DUMMYFUNCTION("""COMPUTED_VALUE"""),"")</f>
        <v/>
      </c>
      <c r="AP141" s="104" t="str">
        <f>IFERROR(__xludf.DUMMYFUNCTION("""COMPUTED_VALUE"""),"")</f>
        <v/>
      </c>
      <c r="AQ141" s="105" t="str">
        <f>IFERROR(__xludf.DUMMYFUNCTION("""COMPUTED_VALUE"""),"")</f>
        <v/>
      </c>
      <c r="AR141" s="104" t="str">
        <f>IFERROR(__xludf.DUMMYFUNCTION("""COMPUTED_VALUE"""),"")</f>
        <v/>
      </c>
      <c r="AS141" s="104" t="str">
        <f>IFERROR(__xludf.DUMMYFUNCTION("""COMPUTED_VALUE"""),"")</f>
        <v/>
      </c>
      <c r="AT141" s="105" t="str">
        <f>IFERROR(__xludf.DUMMYFUNCTION("""COMPUTED_VALUE"""),"")</f>
        <v/>
      </c>
      <c r="AU141" s="104" t="str">
        <f>IFERROR(__xludf.DUMMYFUNCTION("""COMPUTED_VALUE"""),"")</f>
        <v/>
      </c>
      <c r="AV141" s="104" t="str">
        <f>IFERROR(__xludf.DUMMYFUNCTION("""COMPUTED_VALUE"""),"")</f>
        <v/>
      </c>
      <c r="AW141" s="105" t="str">
        <f>IFERROR(__xludf.DUMMYFUNCTION("""COMPUTED_VALUE"""),"")</f>
        <v/>
      </c>
      <c r="AX141" s="104" t="str">
        <f>IFERROR(__xludf.DUMMYFUNCTION("""COMPUTED_VALUE"""),"")</f>
        <v/>
      </c>
      <c r="AY141" s="104" t="str">
        <f>IFERROR(__xludf.DUMMYFUNCTION("""COMPUTED_VALUE"""),"")</f>
        <v/>
      </c>
      <c r="AZ141" s="105">
        <f>IFERROR(__xludf.DUMMYFUNCTION("""COMPUTED_VALUE"""),49.3)</f>
        <v>49.3</v>
      </c>
      <c r="BA141" s="104" t="str">
        <f>IFERROR(__xludf.DUMMYFUNCTION("""COMPUTED_VALUE"""),"")</f>
        <v/>
      </c>
      <c r="BB141" s="104" t="str">
        <f>IFERROR(__xludf.DUMMYFUNCTION("""COMPUTED_VALUE"""),"")</f>
        <v/>
      </c>
      <c r="BC141" s="105" t="str">
        <f>IFERROR(__xludf.DUMMYFUNCTION("""COMPUTED_VALUE"""),"")</f>
        <v/>
      </c>
      <c r="BD141" s="104" t="str">
        <f>IFERROR(__xludf.DUMMYFUNCTION("""COMPUTED_VALUE"""),"")</f>
        <v/>
      </c>
      <c r="BE141" s="104" t="str">
        <f>IFERROR(__xludf.DUMMYFUNCTION("""COMPUTED_VALUE"""),"")</f>
        <v/>
      </c>
      <c r="BF141" s="105" t="str">
        <f>IFERROR(__xludf.DUMMYFUNCTION("""COMPUTED_VALUE"""),"")</f>
        <v/>
      </c>
      <c r="BG141" s="103" t="str">
        <f>IFERROR(__xludf.DUMMYFUNCTION("""COMPUTED_VALUE"""),"")</f>
        <v/>
      </c>
      <c r="BH141" s="104" t="str">
        <f>IFERROR(__xludf.DUMMYFUNCTION("""COMPUTED_VALUE"""),"")</f>
        <v/>
      </c>
      <c r="BI141" s="105" t="str">
        <f>IFERROR(__xludf.DUMMYFUNCTION("""COMPUTED_VALUE"""),"")</f>
        <v/>
      </c>
      <c r="BJ141" s="104" t="str">
        <f>IFERROR(__xludf.DUMMYFUNCTION("""COMPUTED_VALUE"""),"")</f>
        <v/>
      </c>
      <c r="BK141" s="104" t="str">
        <f>IFERROR(__xludf.DUMMYFUNCTION("""COMPUTED_VALUE"""),"")</f>
        <v/>
      </c>
      <c r="BL141" s="105" t="str">
        <f>IFERROR(__xludf.DUMMYFUNCTION("""COMPUTED_VALUE"""),"")</f>
        <v/>
      </c>
      <c r="BM141" s="104" t="str">
        <f>IFERROR(__xludf.DUMMYFUNCTION("""COMPUTED_VALUE"""),"")</f>
        <v/>
      </c>
      <c r="BN141" s="104" t="str">
        <f>IFERROR(__xludf.DUMMYFUNCTION("""COMPUTED_VALUE"""),"")</f>
        <v/>
      </c>
      <c r="BO141" s="105" t="str">
        <f>IFERROR(__xludf.DUMMYFUNCTION("""COMPUTED_VALUE"""),"")</f>
        <v/>
      </c>
      <c r="BP141" s="104" t="str">
        <f>IFERROR(__xludf.DUMMYFUNCTION("""COMPUTED_VALUE"""),"")</f>
        <v/>
      </c>
      <c r="BQ141" s="104" t="str">
        <f>IFERROR(__xludf.DUMMYFUNCTION("""COMPUTED_VALUE"""),"")</f>
        <v/>
      </c>
      <c r="BR141" s="105" t="str">
        <f>IFERROR(__xludf.DUMMYFUNCTION("""COMPUTED_VALUE"""),"")</f>
        <v/>
      </c>
      <c r="BS141" s="104" t="str">
        <f>IFERROR(__xludf.DUMMYFUNCTION("""COMPUTED_VALUE"""),"")</f>
        <v/>
      </c>
      <c r="BT141" s="104" t="str">
        <f>IFERROR(__xludf.DUMMYFUNCTION("""COMPUTED_VALUE"""),"")</f>
        <v/>
      </c>
      <c r="BU141" s="105">
        <f>IFERROR(__xludf.DUMMYFUNCTION("""COMPUTED_VALUE"""),68.2)</f>
        <v>68.2</v>
      </c>
      <c r="BV141" s="106" t="str">
        <f>IFERROR(__xludf.DUMMYFUNCTION("""COMPUTED_VALUE"""),"")</f>
        <v/>
      </c>
      <c r="BW141" s="104" t="str">
        <f>IFERROR(__xludf.DUMMYFUNCTION("""COMPUTED_VALUE"""),"")</f>
        <v/>
      </c>
      <c r="BX141" s="105" t="str">
        <f>IFERROR(__xludf.DUMMYFUNCTION("""COMPUTED_VALUE"""),"")</f>
        <v/>
      </c>
      <c r="BY141" s="104" t="str">
        <f>IFERROR(__xludf.DUMMYFUNCTION("""COMPUTED_VALUE"""),"")</f>
        <v/>
      </c>
      <c r="BZ141" s="104" t="str">
        <f>IFERROR(__xludf.DUMMYFUNCTION("""COMPUTED_VALUE"""),"")</f>
        <v/>
      </c>
      <c r="CA141" s="105" t="str">
        <f>IFERROR(__xludf.DUMMYFUNCTION("""COMPUTED_VALUE"""),"")</f>
        <v/>
      </c>
      <c r="CB141" s="103" t="str">
        <f>IFERROR(__xludf.DUMMYFUNCTION("""COMPUTED_VALUE"""),"")</f>
        <v/>
      </c>
      <c r="CC141" s="104" t="str">
        <f>IFERROR(__xludf.DUMMYFUNCTION("""COMPUTED_VALUE"""),"")</f>
        <v/>
      </c>
      <c r="CD141" s="105" t="str">
        <f>IFERROR(__xludf.DUMMYFUNCTION("""COMPUTED_VALUE"""),"")</f>
        <v/>
      </c>
      <c r="CE141" s="104" t="str">
        <f>IFERROR(__xludf.DUMMYFUNCTION("""COMPUTED_VALUE"""),"")</f>
        <v/>
      </c>
      <c r="CF141" s="104" t="str">
        <f>IFERROR(__xludf.DUMMYFUNCTION("""COMPUTED_VALUE"""),"")</f>
        <v/>
      </c>
      <c r="CG141" s="105" t="str">
        <f>IFERROR(__xludf.DUMMYFUNCTION("""COMPUTED_VALUE"""),"")</f>
        <v/>
      </c>
      <c r="CH141" s="104" t="str">
        <f>IFERROR(__xludf.DUMMYFUNCTION("""COMPUTED_VALUE"""),"")</f>
        <v/>
      </c>
      <c r="CI141" s="104" t="str">
        <f>IFERROR(__xludf.DUMMYFUNCTION("""COMPUTED_VALUE"""),"")</f>
        <v/>
      </c>
      <c r="CJ141" s="105" t="str">
        <f>IFERROR(__xludf.DUMMYFUNCTION("""COMPUTED_VALUE"""),"")</f>
        <v/>
      </c>
      <c r="CK141" s="104" t="str">
        <f>IFERROR(__xludf.DUMMYFUNCTION("""COMPUTED_VALUE"""),"")</f>
        <v/>
      </c>
      <c r="CL141" s="104" t="str">
        <f>IFERROR(__xludf.DUMMYFUNCTION("""COMPUTED_VALUE"""),"")</f>
        <v/>
      </c>
      <c r="CM141" s="105" t="str">
        <f>IFERROR(__xludf.DUMMYFUNCTION("""COMPUTED_VALUE"""),"")</f>
        <v/>
      </c>
      <c r="CN141" s="104" t="str">
        <f>IFERROR(__xludf.DUMMYFUNCTION("""COMPUTED_VALUE"""),"")</f>
        <v/>
      </c>
      <c r="CO141" s="104" t="str">
        <f>IFERROR(__xludf.DUMMYFUNCTION("""COMPUTED_VALUE"""),"")</f>
        <v/>
      </c>
      <c r="CP141" s="105" t="str">
        <f>IFERROR(__xludf.DUMMYFUNCTION("""COMPUTED_VALUE"""),"")</f>
        <v/>
      </c>
      <c r="CQ141" s="106" t="str">
        <f>IFERROR(__xludf.DUMMYFUNCTION("""COMPUTED_VALUE"""),"")</f>
        <v/>
      </c>
      <c r="CR141" s="104" t="str">
        <f>IFERROR(__xludf.DUMMYFUNCTION("""COMPUTED_VALUE"""),"")</f>
        <v/>
      </c>
      <c r="CS141" s="105"/>
      <c r="CT141" s="104"/>
      <c r="CU141" s="104"/>
      <c r="CV141" s="105"/>
      <c r="CW141" s="104"/>
      <c r="CX141" s="104"/>
      <c r="CY141" s="105"/>
      <c r="CZ141" s="104"/>
      <c r="DA141" s="104"/>
      <c r="DB141" s="105"/>
      <c r="DC141" s="106"/>
      <c r="DD141" s="104"/>
      <c r="DE141" s="105"/>
      <c r="DF141" s="104"/>
      <c r="DG141" s="104"/>
      <c r="DH141" s="105"/>
      <c r="DI141" s="104"/>
      <c r="DJ141" s="104"/>
      <c r="DK141" s="105"/>
      <c r="DL141" s="106"/>
      <c r="DM141" s="104"/>
      <c r="DN141" s="105"/>
      <c r="DO141" s="106"/>
      <c r="DP141" s="104"/>
      <c r="DQ141" s="105"/>
      <c r="DR141" s="106"/>
      <c r="DS141" s="104"/>
      <c r="DT141" s="105"/>
    </row>
    <row r="142">
      <c r="B142" s="120" t="str">
        <f>IFERROR(__xludf.DUMMYFUNCTION("""COMPUTED_VALUE"""),"SJK2")</f>
        <v>SJK2</v>
      </c>
      <c r="C142" s="82">
        <f>IFERROR(__xludf.DUMMYFUNCTION("""COMPUTED_VALUE"""),133.0)</f>
        <v>133</v>
      </c>
      <c r="D142" s="88" t="str">
        <f>IFERROR(__xludf.DUMMYFUNCTION("""COMPUTED_VALUE"""),"Route 20")</f>
        <v>Route 20</v>
      </c>
      <c r="E142" s="82" t="str">
        <f>IFERROR(__xludf.DUMMYFUNCTION("""COMPUTED_VALUE"""),"国道20号")</f>
        <v>国道20号</v>
      </c>
      <c r="F142" s="102">
        <f>IFERROR(__xludf.DUMMYFUNCTION("""COMPUTED_VALUE"""),20.0)</f>
        <v>20</v>
      </c>
      <c r="G142" s="82">
        <f>IFERROR(__xludf.DUMMYFUNCTION("""COMPUTED_VALUE"""),43124.0)</f>
        <v>43124</v>
      </c>
      <c r="H142" s="95" t="str">
        <f>IFERROR(__xludf.DUMMYFUNCTION("""COMPUTED_VALUE"""),"")</f>
        <v/>
      </c>
      <c r="I142" s="96" t="str">
        <f>IFERROR(__xludf.DUMMYFUNCTION("""COMPUTED_VALUE"""),"")</f>
        <v/>
      </c>
      <c r="J142" s="97" t="str">
        <f>IFERROR(__xludf.DUMMYFUNCTION("""COMPUTED_VALUE"""),"")</f>
        <v/>
      </c>
      <c r="K142" s="95" t="str">
        <f>IFERROR(__xludf.DUMMYFUNCTION("""COMPUTED_VALUE"""),"")</f>
        <v/>
      </c>
      <c r="L142" s="96" t="str">
        <f>IFERROR(__xludf.DUMMYFUNCTION("""COMPUTED_VALUE"""),"")</f>
        <v/>
      </c>
      <c r="M142" s="97" t="str">
        <f>IFERROR(__xludf.DUMMYFUNCTION("""COMPUTED_VALUE"""),"")</f>
        <v/>
      </c>
      <c r="N142" s="95" t="str">
        <f>IFERROR(__xludf.DUMMYFUNCTION("""COMPUTED_VALUE"""),"")</f>
        <v/>
      </c>
      <c r="O142" s="96" t="str">
        <f>IFERROR(__xludf.DUMMYFUNCTION("""COMPUTED_VALUE"""),"")</f>
        <v/>
      </c>
      <c r="P142" s="97" t="str">
        <f>IFERROR(__xludf.DUMMYFUNCTION("""COMPUTED_VALUE"""),"")</f>
        <v/>
      </c>
      <c r="Q142" s="95" t="str">
        <f>IFERROR(__xludf.DUMMYFUNCTION("""COMPUTED_VALUE"""),"")</f>
        <v/>
      </c>
      <c r="R142" s="96" t="str">
        <f>IFERROR(__xludf.DUMMYFUNCTION("""COMPUTED_VALUE"""),"")</f>
        <v/>
      </c>
      <c r="S142" s="97" t="str">
        <f>IFERROR(__xludf.DUMMYFUNCTION("""COMPUTED_VALUE"""),"")</f>
        <v/>
      </c>
      <c r="T142" s="95" t="str">
        <f>IFERROR(__xludf.DUMMYFUNCTION("""COMPUTED_VALUE"""),"")</f>
        <v/>
      </c>
      <c r="U142" s="96" t="str">
        <f>IFERROR(__xludf.DUMMYFUNCTION("""COMPUTED_VALUE"""),"")</f>
        <v/>
      </c>
      <c r="V142" s="97" t="str">
        <f>IFERROR(__xludf.DUMMYFUNCTION("""COMPUTED_VALUE"""),"")</f>
        <v/>
      </c>
      <c r="W142" s="95" t="str">
        <f>IFERROR(__xludf.DUMMYFUNCTION("""COMPUTED_VALUE"""),"")</f>
        <v/>
      </c>
      <c r="X142" s="96" t="str">
        <f>IFERROR(__xludf.DUMMYFUNCTION("""COMPUTED_VALUE"""),"")</f>
        <v/>
      </c>
      <c r="Y142" s="97" t="str">
        <f>IFERROR(__xludf.DUMMYFUNCTION("""COMPUTED_VALUE"""),"")</f>
        <v/>
      </c>
      <c r="Z142" s="95" t="str">
        <f>IFERROR(__xludf.DUMMYFUNCTION("""COMPUTED_VALUE"""),"")</f>
        <v/>
      </c>
      <c r="AA142" s="96" t="str">
        <f>IFERROR(__xludf.DUMMYFUNCTION("""COMPUTED_VALUE"""),"")</f>
        <v/>
      </c>
      <c r="AB142" s="97" t="str">
        <f>IFERROR(__xludf.DUMMYFUNCTION("""COMPUTED_VALUE"""),"")</f>
        <v/>
      </c>
      <c r="AC142" s="95" t="str">
        <f>IFERROR(__xludf.DUMMYFUNCTION("""COMPUTED_VALUE"""),"")</f>
        <v/>
      </c>
      <c r="AD142" s="96" t="str">
        <f>IFERROR(__xludf.DUMMYFUNCTION("""COMPUTED_VALUE"""),"")</f>
        <v/>
      </c>
      <c r="AE142" s="97" t="str">
        <f>IFERROR(__xludf.DUMMYFUNCTION("""COMPUTED_VALUE"""),"")</f>
        <v/>
      </c>
      <c r="AF142" s="95" t="str">
        <f>IFERROR(__xludf.DUMMYFUNCTION("""COMPUTED_VALUE"""),"")</f>
        <v/>
      </c>
      <c r="AG142" s="96" t="str">
        <f>IFERROR(__xludf.DUMMYFUNCTION("""COMPUTED_VALUE"""),"")</f>
        <v/>
      </c>
      <c r="AH142" s="97" t="str">
        <f>IFERROR(__xludf.DUMMYFUNCTION("""COMPUTED_VALUE"""),"")</f>
        <v/>
      </c>
      <c r="AI142" s="92" t="str">
        <f>IFERROR(__xludf.DUMMYFUNCTION("""COMPUTED_VALUE"""),"")</f>
        <v/>
      </c>
      <c r="AJ142" s="93" t="str">
        <f>IFERROR(__xludf.DUMMYFUNCTION("""COMPUTED_VALUE"""),"")</f>
        <v/>
      </c>
      <c r="AK142" s="94" t="str">
        <f>IFERROR(__xludf.DUMMYFUNCTION("""COMPUTED_VALUE"""),"")</f>
        <v/>
      </c>
      <c r="AL142" s="93" t="str">
        <f>IFERROR(__xludf.DUMMYFUNCTION("""COMPUTED_VALUE"""),"")</f>
        <v/>
      </c>
      <c r="AM142" s="93" t="str">
        <f>IFERROR(__xludf.DUMMYFUNCTION("""COMPUTED_VALUE"""),"")</f>
        <v/>
      </c>
      <c r="AN142" s="94" t="str">
        <f>IFERROR(__xludf.DUMMYFUNCTION("""COMPUTED_VALUE"""),"")</f>
        <v/>
      </c>
      <c r="AO142" s="93" t="str">
        <f>IFERROR(__xludf.DUMMYFUNCTION("""COMPUTED_VALUE"""),"")</f>
        <v/>
      </c>
      <c r="AP142" s="93" t="str">
        <f>IFERROR(__xludf.DUMMYFUNCTION("""COMPUTED_VALUE"""),"")</f>
        <v/>
      </c>
      <c r="AQ142" s="94" t="str">
        <f>IFERROR(__xludf.DUMMYFUNCTION("""COMPUTED_VALUE"""),"")</f>
        <v/>
      </c>
      <c r="AR142" s="93" t="str">
        <f>IFERROR(__xludf.DUMMYFUNCTION("""COMPUTED_VALUE"""),"")</f>
        <v/>
      </c>
      <c r="AS142" s="93" t="str">
        <f>IFERROR(__xludf.DUMMYFUNCTION("""COMPUTED_VALUE"""),"")</f>
        <v/>
      </c>
      <c r="AT142" s="94" t="str">
        <f>IFERROR(__xludf.DUMMYFUNCTION("""COMPUTED_VALUE"""),"")</f>
        <v/>
      </c>
      <c r="AU142" s="93" t="str">
        <f>IFERROR(__xludf.DUMMYFUNCTION("""COMPUTED_VALUE"""),"")</f>
        <v/>
      </c>
      <c r="AV142" s="93" t="str">
        <f>IFERROR(__xludf.DUMMYFUNCTION("""COMPUTED_VALUE"""),"")</f>
        <v/>
      </c>
      <c r="AW142" s="94">
        <f>IFERROR(__xludf.DUMMYFUNCTION("""COMPUTED_VALUE"""),65.9)</f>
        <v>65.9</v>
      </c>
      <c r="AX142" s="93" t="str">
        <f>IFERROR(__xludf.DUMMYFUNCTION("""COMPUTED_VALUE"""),"")</f>
        <v/>
      </c>
      <c r="AY142" s="93" t="str">
        <f>IFERROR(__xludf.DUMMYFUNCTION("""COMPUTED_VALUE"""),"")</f>
        <v/>
      </c>
      <c r="AZ142" s="94">
        <f>IFERROR(__xludf.DUMMYFUNCTION("""COMPUTED_VALUE"""),50.1)</f>
        <v>50.1</v>
      </c>
      <c r="BA142" s="93" t="str">
        <f>IFERROR(__xludf.DUMMYFUNCTION("""COMPUTED_VALUE"""),"")</f>
        <v/>
      </c>
      <c r="BB142" s="93" t="str">
        <f>IFERROR(__xludf.DUMMYFUNCTION("""COMPUTED_VALUE"""),"")</f>
        <v/>
      </c>
      <c r="BC142" s="94" t="str">
        <f>IFERROR(__xludf.DUMMYFUNCTION("""COMPUTED_VALUE"""),"")</f>
        <v/>
      </c>
      <c r="BD142" s="93" t="str">
        <f>IFERROR(__xludf.DUMMYFUNCTION("""COMPUTED_VALUE"""),"")</f>
        <v/>
      </c>
      <c r="BE142" s="93" t="str">
        <f>IFERROR(__xludf.DUMMYFUNCTION("""COMPUTED_VALUE"""),"")</f>
        <v/>
      </c>
      <c r="BF142" s="94" t="str">
        <f>IFERROR(__xludf.DUMMYFUNCTION("""COMPUTED_VALUE"""),"")</f>
        <v/>
      </c>
      <c r="BG142" s="92" t="str">
        <f>IFERROR(__xludf.DUMMYFUNCTION("""COMPUTED_VALUE"""),"")</f>
        <v/>
      </c>
      <c r="BH142" s="93" t="str">
        <f>IFERROR(__xludf.DUMMYFUNCTION("""COMPUTED_VALUE"""),"")</f>
        <v/>
      </c>
      <c r="BI142" s="94" t="str">
        <f>IFERROR(__xludf.DUMMYFUNCTION("""COMPUTED_VALUE"""),"")</f>
        <v/>
      </c>
      <c r="BJ142" s="93" t="str">
        <f>IFERROR(__xludf.DUMMYFUNCTION("""COMPUTED_VALUE"""),"")</f>
        <v/>
      </c>
      <c r="BK142" s="93">
        <f>IFERROR(__xludf.DUMMYFUNCTION("""COMPUTED_VALUE"""),187.5)</f>
        <v>187.5</v>
      </c>
      <c r="BL142" s="94" t="str">
        <f>IFERROR(__xludf.DUMMYFUNCTION("""COMPUTED_VALUE"""),"")</f>
        <v/>
      </c>
      <c r="BM142" s="93" t="str">
        <f>IFERROR(__xludf.DUMMYFUNCTION("""COMPUTED_VALUE"""),"")</f>
        <v/>
      </c>
      <c r="BN142" s="93" t="str">
        <f>IFERROR(__xludf.DUMMYFUNCTION("""COMPUTED_VALUE"""),"")</f>
        <v/>
      </c>
      <c r="BO142" s="94" t="str">
        <f>IFERROR(__xludf.DUMMYFUNCTION("""COMPUTED_VALUE"""),"")</f>
        <v/>
      </c>
      <c r="BP142" s="93" t="str">
        <f>IFERROR(__xludf.DUMMYFUNCTION("""COMPUTED_VALUE"""),"")</f>
        <v/>
      </c>
      <c r="BQ142" s="93" t="str">
        <f>IFERROR(__xludf.DUMMYFUNCTION("""COMPUTED_VALUE"""),"")</f>
        <v/>
      </c>
      <c r="BR142" s="94">
        <f>IFERROR(__xludf.DUMMYFUNCTION("""COMPUTED_VALUE"""),126.9)</f>
        <v>126.9</v>
      </c>
      <c r="BS142" s="93" t="str">
        <f>IFERROR(__xludf.DUMMYFUNCTION("""COMPUTED_VALUE"""),"")</f>
        <v/>
      </c>
      <c r="BT142" s="93" t="str">
        <f>IFERROR(__xludf.DUMMYFUNCTION("""COMPUTED_VALUE"""),"")</f>
        <v/>
      </c>
      <c r="BU142" s="94" t="str">
        <f>IFERROR(__xludf.DUMMYFUNCTION("""COMPUTED_VALUE"""),"")</f>
        <v/>
      </c>
      <c r="BV142" s="114" t="str">
        <f>IFERROR(__xludf.DUMMYFUNCTION("""COMPUTED_VALUE"""),"")</f>
        <v/>
      </c>
      <c r="BW142" s="93" t="str">
        <f>IFERROR(__xludf.DUMMYFUNCTION("""COMPUTED_VALUE"""),"")</f>
        <v/>
      </c>
      <c r="BX142" s="94" t="str">
        <f>IFERROR(__xludf.DUMMYFUNCTION("""COMPUTED_VALUE"""),"")</f>
        <v/>
      </c>
      <c r="BY142" s="93" t="str">
        <f>IFERROR(__xludf.DUMMYFUNCTION("""COMPUTED_VALUE"""),"")</f>
        <v/>
      </c>
      <c r="BZ142" s="93" t="str">
        <f>IFERROR(__xludf.DUMMYFUNCTION("""COMPUTED_VALUE"""),"")</f>
        <v/>
      </c>
      <c r="CA142" s="94" t="str">
        <f>IFERROR(__xludf.DUMMYFUNCTION("""COMPUTED_VALUE"""),"")</f>
        <v/>
      </c>
      <c r="CB142" s="92" t="str">
        <f>IFERROR(__xludf.DUMMYFUNCTION("""COMPUTED_VALUE"""),"")</f>
        <v/>
      </c>
      <c r="CC142" s="93" t="str">
        <f>IFERROR(__xludf.DUMMYFUNCTION("""COMPUTED_VALUE"""),"")</f>
        <v/>
      </c>
      <c r="CD142" s="94" t="str">
        <f>IFERROR(__xludf.DUMMYFUNCTION("""COMPUTED_VALUE"""),"")</f>
        <v/>
      </c>
      <c r="CE142" s="93" t="str">
        <f>IFERROR(__xludf.DUMMYFUNCTION("""COMPUTED_VALUE"""),"")</f>
        <v/>
      </c>
      <c r="CF142" s="93" t="str">
        <f>IFERROR(__xludf.DUMMYFUNCTION("""COMPUTED_VALUE"""),"")</f>
        <v/>
      </c>
      <c r="CG142" s="94" t="str">
        <f>IFERROR(__xludf.DUMMYFUNCTION("""COMPUTED_VALUE"""),"")</f>
        <v/>
      </c>
      <c r="CH142" s="93" t="str">
        <f>IFERROR(__xludf.DUMMYFUNCTION("""COMPUTED_VALUE"""),"")</f>
        <v/>
      </c>
      <c r="CI142" s="93" t="str">
        <f>IFERROR(__xludf.DUMMYFUNCTION("""COMPUTED_VALUE"""),"")</f>
        <v/>
      </c>
      <c r="CJ142" s="94" t="str">
        <f>IFERROR(__xludf.DUMMYFUNCTION("""COMPUTED_VALUE"""),"")</f>
        <v/>
      </c>
      <c r="CK142" s="93" t="str">
        <f>IFERROR(__xludf.DUMMYFUNCTION("""COMPUTED_VALUE"""),"")</f>
        <v/>
      </c>
      <c r="CL142" s="93" t="str">
        <f>IFERROR(__xludf.DUMMYFUNCTION("""COMPUTED_VALUE"""),"")</f>
        <v/>
      </c>
      <c r="CM142" s="94" t="str">
        <f>IFERROR(__xludf.DUMMYFUNCTION("""COMPUTED_VALUE"""),"")</f>
        <v/>
      </c>
      <c r="CN142" s="93" t="str">
        <f>IFERROR(__xludf.DUMMYFUNCTION("""COMPUTED_VALUE"""),"")</f>
        <v/>
      </c>
      <c r="CO142" s="93" t="str">
        <f>IFERROR(__xludf.DUMMYFUNCTION("""COMPUTED_VALUE"""),"")</f>
        <v/>
      </c>
      <c r="CP142" s="94" t="str">
        <f>IFERROR(__xludf.DUMMYFUNCTION("""COMPUTED_VALUE"""),"")</f>
        <v/>
      </c>
      <c r="CQ142" s="114" t="str">
        <f>IFERROR(__xludf.DUMMYFUNCTION("""COMPUTED_VALUE"""),"")</f>
        <v/>
      </c>
      <c r="CR142" s="93" t="str">
        <f>IFERROR(__xludf.DUMMYFUNCTION("""COMPUTED_VALUE"""),"")</f>
        <v/>
      </c>
      <c r="CS142" s="94"/>
      <c r="CT142" s="93"/>
      <c r="CU142" s="93"/>
      <c r="CV142" s="94"/>
      <c r="CW142" s="93"/>
      <c r="CX142" s="93"/>
      <c r="CY142" s="94"/>
      <c r="CZ142" s="93"/>
      <c r="DA142" s="93"/>
      <c r="DB142" s="94"/>
      <c r="DC142" s="114"/>
      <c r="DD142" s="93"/>
      <c r="DE142" s="94"/>
      <c r="DF142" s="93"/>
      <c r="DG142" s="93"/>
      <c r="DH142" s="94"/>
      <c r="DI142" s="93"/>
      <c r="DJ142" s="93"/>
      <c r="DK142" s="94"/>
      <c r="DL142" s="114"/>
      <c r="DM142" s="93"/>
      <c r="DN142" s="94"/>
      <c r="DO142" s="114"/>
      <c r="DP142" s="93"/>
      <c r="DQ142" s="94"/>
      <c r="DR142" s="114"/>
      <c r="DS142" s="93"/>
      <c r="DT142" s="94"/>
    </row>
    <row r="143">
      <c r="B143" s="120" t="str">
        <f>IFERROR(__xludf.DUMMYFUNCTION("""COMPUTED_VALUE"""),"SJK3")</f>
        <v>SJK3</v>
      </c>
      <c r="C143" s="82">
        <f>IFERROR(__xludf.DUMMYFUNCTION("""COMPUTED_VALUE"""),134.0)</f>
        <v>134</v>
      </c>
      <c r="D143" s="88" t="str">
        <f>IFERROR(__xludf.DUMMYFUNCTION("""COMPUTED_VALUE"""),"Shinjuku Station")</f>
        <v>Shinjuku Station</v>
      </c>
      <c r="E143" s="82" t="str">
        <f>IFERROR(__xludf.DUMMYFUNCTION("""COMPUTED_VALUE"""),"新宿駅")</f>
        <v>新宿駅</v>
      </c>
      <c r="F143" s="102">
        <f>IFERROR(__xludf.DUMMYFUNCTION("""COMPUTED_VALUE"""),21.0)</f>
        <v>21</v>
      </c>
      <c r="G143" s="82">
        <f>IFERROR(__xludf.DUMMYFUNCTION("""COMPUTED_VALUE"""),62899.0)</f>
        <v>62899</v>
      </c>
      <c r="H143" s="95" t="str">
        <f>IFERROR(__xludf.DUMMYFUNCTION("""COMPUTED_VALUE"""),"")</f>
        <v/>
      </c>
      <c r="I143" s="96" t="str">
        <f>IFERROR(__xludf.DUMMYFUNCTION("""COMPUTED_VALUE"""),"")</f>
        <v/>
      </c>
      <c r="J143" s="97" t="str">
        <f>IFERROR(__xludf.DUMMYFUNCTION("""COMPUTED_VALUE"""),"")</f>
        <v/>
      </c>
      <c r="K143" s="95" t="str">
        <f>IFERROR(__xludf.DUMMYFUNCTION("""COMPUTED_VALUE"""),"")</f>
        <v/>
      </c>
      <c r="L143" s="96" t="str">
        <f>IFERROR(__xludf.DUMMYFUNCTION("""COMPUTED_VALUE"""),"")</f>
        <v/>
      </c>
      <c r="M143" s="97" t="str">
        <f>IFERROR(__xludf.DUMMYFUNCTION("""COMPUTED_VALUE"""),"")</f>
        <v/>
      </c>
      <c r="N143" s="95" t="str">
        <f>IFERROR(__xludf.DUMMYFUNCTION("""COMPUTED_VALUE"""),"")</f>
        <v/>
      </c>
      <c r="O143" s="96" t="str">
        <f>IFERROR(__xludf.DUMMYFUNCTION("""COMPUTED_VALUE"""),"")</f>
        <v/>
      </c>
      <c r="P143" s="97" t="str">
        <f>IFERROR(__xludf.DUMMYFUNCTION("""COMPUTED_VALUE"""),"")</f>
        <v/>
      </c>
      <c r="Q143" s="95" t="str">
        <f>IFERROR(__xludf.DUMMYFUNCTION("""COMPUTED_VALUE"""),"")</f>
        <v/>
      </c>
      <c r="R143" s="96" t="str">
        <f>IFERROR(__xludf.DUMMYFUNCTION("""COMPUTED_VALUE"""),"")</f>
        <v/>
      </c>
      <c r="S143" s="97" t="str">
        <f>IFERROR(__xludf.DUMMYFUNCTION("""COMPUTED_VALUE"""),"")</f>
        <v/>
      </c>
      <c r="T143" s="95" t="str">
        <f>IFERROR(__xludf.DUMMYFUNCTION("""COMPUTED_VALUE"""),"")</f>
        <v/>
      </c>
      <c r="U143" s="96" t="str">
        <f>IFERROR(__xludf.DUMMYFUNCTION("""COMPUTED_VALUE"""),"")</f>
        <v/>
      </c>
      <c r="V143" s="97" t="str">
        <f>IFERROR(__xludf.DUMMYFUNCTION("""COMPUTED_VALUE"""),"")</f>
        <v/>
      </c>
      <c r="W143" s="95" t="str">
        <f>IFERROR(__xludf.DUMMYFUNCTION("""COMPUTED_VALUE"""),"")</f>
        <v/>
      </c>
      <c r="X143" s="96" t="str">
        <f>IFERROR(__xludf.DUMMYFUNCTION("""COMPUTED_VALUE"""),"")</f>
        <v/>
      </c>
      <c r="Y143" s="97" t="str">
        <f>IFERROR(__xludf.DUMMYFUNCTION("""COMPUTED_VALUE"""),"")</f>
        <v/>
      </c>
      <c r="Z143" s="95" t="str">
        <f>IFERROR(__xludf.DUMMYFUNCTION("""COMPUTED_VALUE"""),"")</f>
        <v/>
      </c>
      <c r="AA143" s="96" t="str">
        <f>IFERROR(__xludf.DUMMYFUNCTION("""COMPUTED_VALUE"""),"")</f>
        <v/>
      </c>
      <c r="AB143" s="97" t="str">
        <f>IFERROR(__xludf.DUMMYFUNCTION("""COMPUTED_VALUE"""),"")</f>
        <v/>
      </c>
      <c r="AC143" s="95" t="str">
        <f>IFERROR(__xludf.DUMMYFUNCTION("""COMPUTED_VALUE"""),"")</f>
        <v/>
      </c>
      <c r="AD143" s="96" t="str">
        <f>IFERROR(__xludf.DUMMYFUNCTION("""COMPUTED_VALUE"""),"")</f>
        <v/>
      </c>
      <c r="AE143" s="97" t="str">
        <f>IFERROR(__xludf.DUMMYFUNCTION("""COMPUTED_VALUE"""),"")</f>
        <v/>
      </c>
      <c r="AF143" s="95" t="str">
        <f>IFERROR(__xludf.DUMMYFUNCTION("""COMPUTED_VALUE"""),"")</f>
        <v/>
      </c>
      <c r="AG143" s="96" t="str">
        <f>IFERROR(__xludf.DUMMYFUNCTION("""COMPUTED_VALUE"""),"")</f>
        <v/>
      </c>
      <c r="AH143" s="97" t="str">
        <f>IFERROR(__xludf.DUMMYFUNCTION("""COMPUTED_VALUE"""),"")</f>
        <v/>
      </c>
      <c r="AI143" s="103" t="str">
        <f>IFERROR(__xludf.DUMMYFUNCTION("""COMPUTED_VALUE"""),"")</f>
        <v/>
      </c>
      <c r="AJ143" s="104" t="str">
        <f>IFERROR(__xludf.DUMMYFUNCTION("""COMPUTED_VALUE"""),"")</f>
        <v/>
      </c>
      <c r="AK143" s="105" t="str">
        <f>IFERROR(__xludf.DUMMYFUNCTION("""COMPUTED_VALUE"""),"")</f>
        <v/>
      </c>
      <c r="AL143" s="104" t="str">
        <f>IFERROR(__xludf.DUMMYFUNCTION("""COMPUTED_VALUE"""),"")</f>
        <v/>
      </c>
      <c r="AM143" s="104" t="str">
        <f>IFERROR(__xludf.DUMMYFUNCTION("""COMPUTED_VALUE"""),"")</f>
        <v/>
      </c>
      <c r="AN143" s="105" t="str">
        <f>IFERROR(__xludf.DUMMYFUNCTION("""COMPUTED_VALUE"""),"")</f>
        <v/>
      </c>
      <c r="AO143" s="104" t="str">
        <f>IFERROR(__xludf.DUMMYFUNCTION("""COMPUTED_VALUE"""),"")</f>
        <v/>
      </c>
      <c r="AP143" s="104" t="str">
        <f>IFERROR(__xludf.DUMMYFUNCTION("""COMPUTED_VALUE"""),"")</f>
        <v/>
      </c>
      <c r="AQ143" s="105" t="str">
        <f>IFERROR(__xludf.DUMMYFUNCTION("""COMPUTED_VALUE"""),"")</f>
        <v/>
      </c>
      <c r="AR143" s="104" t="str">
        <f>IFERROR(__xludf.DUMMYFUNCTION("""COMPUTED_VALUE"""),"")</f>
        <v/>
      </c>
      <c r="AS143" s="104" t="str">
        <f>IFERROR(__xludf.DUMMYFUNCTION("""COMPUTED_VALUE"""),"")</f>
        <v/>
      </c>
      <c r="AT143" s="105" t="str">
        <f>IFERROR(__xludf.DUMMYFUNCTION("""COMPUTED_VALUE"""),"")</f>
        <v/>
      </c>
      <c r="AU143" s="104" t="str">
        <f>IFERROR(__xludf.DUMMYFUNCTION("""COMPUTED_VALUE"""),"")</f>
        <v/>
      </c>
      <c r="AV143" s="104" t="str">
        <f>IFERROR(__xludf.DUMMYFUNCTION("""COMPUTED_VALUE"""),"")</f>
        <v/>
      </c>
      <c r="AW143" s="105" t="str">
        <f>IFERROR(__xludf.DUMMYFUNCTION("""COMPUTED_VALUE"""),"")</f>
        <v/>
      </c>
      <c r="AX143" s="104" t="str">
        <f>IFERROR(__xludf.DUMMYFUNCTION("""COMPUTED_VALUE"""),"")</f>
        <v/>
      </c>
      <c r="AY143" s="104" t="str">
        <f>IFERROR(__xludf.DUMMYFUNCTION("""COMPUTED_VALUE"""),"")</f>
        <v/>
      </c>
      <c r="AZ143" s="105">
        <f>IFERROR(__xludf.DUMMYFUNCTION("""COMPUTED_VALUE"""),32.1)</f>
        <v>32.1</v>
      </c>
      <c r="BA143" s="104" t="str">
        <f>IFERROR(__xludf.DUMMYFUNCTION("""COMPUTED_VALUE"""),"")</f>
        <v/>
      </c>
      <c r="BB143" s="104" t="str">
        <f>IFERROR(__xludf.DUMMYFUNCTION("""COMPUTED_VALUE"""),"")</f>
        <v/>
      </c>
      <c r="BC143" s="105" t="str">
        <f>IFERROR(__xludf.DUMMYFUNCTION("""COMPUTED_VALUE"""),"")</f>
        <v/>
      </c>
      <c r="BD143" s="104" t="str">
        <f>IFERROR(__xludf.DUMMYFUNCTION("""COMPUTED_VALUE"""),"")</f>
        <v/>
      </c>
      <c r="BE143" s="104" t="str">
        <f>IFERROR(__xludf.DUMMYFUNCTION("""COMPUTED_VALUE"""),"")</f>
        <v/>
      </c>
      <c r="BF143" s="105" t="str">
        <f>IFERROR(__xludf.DUMMYFUNCTION("""COMPUTED_VALUE"""),"")</f>
        <v/>
      </c>
      <c r="BG143" s="103" t="str">
        <f>IFERROR(__xludf.DUMMYFUNCTION("""COMPUTED_VALUE"""),"")</f>
        <v/>
      </c>
      <c r="BH143" s="104" t="str">
        <f>IFERROR(__xludf.DUMMYFUNCTION("""COMPUTED_VALUE"""),"")</f>
        <v/>
      </c>
      <c r="BI143" s="105" t="str">
        <f>IFERROR(__xludf.DUMMYFUNCTION("""COMPUTED_VALUE"""),"")</f>
        <v/>
      </c>
      <c r="BJ143" s="104" t="str">
        <f>IFERROR(__xludf.DUMMYFUNCTION("""COMPUTED_VALUE"""),"")</f>
        <v/>
      </c>
      <c r="BK143" s="104">
        <f>IFERROR(__xludf.DUMMYFUNCTION("""COMPUTED_VALUE"""),83.4)</f>
        <v>83.4</v>
      </c>
      <c r="BL143" s="105" t="str">
        <f>IFERROR(__xludf.DUMMYFUNCTION("""COMPUTED_VALUE"""),"")</f>
        <v/>
      </c>
      <c r="BM143" s="104" t="str">
        <f>IFERROR(__xludf.DUMMYFUNCTION("""COMPUTED_VALUE"""),"")</f>
        <v/>
      </c>
      <c r="BN143" s="104" t="str">
        <f>IFERROR(__xludf.DUMMYFUNCTION("""COMPUTED_VALUE"""),"")</f>
        <v/>
      </c>
      <c r="BO143" s="105" t="str">
        <f>IFERROR(__xludf.DUMMYFUNCTION("""COMPUTED_VALUE"""),"")</f>
        <v/>
      </c>
      <c r="BP143" s="104" t="str">
        <f>IFERROR(__xludf.DUMMYFUNCTION("""COMPUTED_VALUE"""),"")</f>
        <v/>
      </c>
      <c r="BQ143" s="104" t="str">
        <f>IFERROR(__xludf.DUMMYFUNCTION("""COMPUTED_VALUE"""),"")</f>
        <v/>
      </c>
      <c r="BR143" s="105">
        <f>IFERROR(__xludf.DUMMYFUNCTION("""COMPUTED_VALUE"""),103.1)</f>
        <v>103.1</v>
      </c>
      <c r="BS143" s="104" t="str">
        <f>IFERROR(__xludf.DUMMYFUNCTION("""COMPUTED_VALUE"""),"")</f>
        <v/>
      </c>
      <c r="BT143" s="104" t="str">
        <f>IFERROR(__xludf.DUMMYFUNCTION("""COMPUTED_VALUE"""),"")</f>
        <v/>
      </c>
      <c r="BU143" s="105" t="str">
        <f>IFERROR(__xludf.DUMMYFUNCTION("""COMPUTED_VALUE"""),"")</f>
        <v/>
      </c>
      <c r="BV143" s="107" t="str">
        <f>IFERROR(__xludf.DUMMYFUNCTION("""COMPUTED_VALUE"""),"")</f>
        <v/>
      </c>
      <c r="BW143" s="104" t="str">
        <f>IFERROR(__xludf.DUMMYFUNCTION("""COMPUTED_VALUE"""),"")</f>
        <v/>
      </c>
      <c r="BX143" s="105" t="str">
        <f>IFERROR(__xludf.DUMMYFUNCTION("""COMPUTED_VALUE"""),"")</f>
        <v/>
      </c>
      <c r="BY143" s="104" t="str">
        <f>IFERROR(__xludf.DUMMYFUNCTION("""COMPUTED_VALUE"""),"")</f>
        <v/>
      </c>
      <c r="BZ143" s="104" t="str">
        <f>IFERROR(__xludf.DUMMYFUNCTION("""COMPUTED_VALUE"""),"")</f>
        <v/>
      </c>
      <c r="CA143" s="105" t="str">
        <f>IFERROR(__xludf.DUMMYFUNCTION("""COMPUTED_VALUE"""),"")</f>
        <v/>
      </c>
      <c r="CB143" s="103" t="str">
        <f>IFERROR(__xludf.DUMMYFUNCTION("""COMPUTED_VALUE"""),"")</f>
        <v/>
      </c>
      <c r="CC143" s="104" t="str">
        <f>IFERROR(__xludf.DUMMYFUNCTION("""COMPUTED_VALUE"""),"")</f>
        <v/>
      </c>
      <c r="CD143" s="105" t="str">
        <f>IFERROR(__xludf.DUMMYFUNCTION("""COMPUTED_VALUE"""),"")</f>
        <v/>
      </c>
      <c r="CE143" s="104" t="str">
        <f>IFERROR(__xludf.DUMMYFUNCTION("""COMPUTED_VALUE"""),"")</f>
        <v/>
      </c>
      <c r="CF143" s="104" t="str">
        <f>IFERROR(__xludf.DUMMYFUNCTION("""COMPUTED_VALUE"""),"")</f>
        <v/>
      </c>
      <c r="CG143" s="105" t="str">
        <f>IFERROR(__xludf.DUMMYFUNCTION("""COMPUTED_VALUE"""),"")</f>
        <v/>
      </c>
      <c r="CH143" s="104" t="str">
        <f>IFERROR(__xludf.DUMMYFUNCTION("""COMPUTED_VALUE"""),"")</f>
        <v/>
      </c>
      <c r="CI143" s="104" t="str">
        <f>IFERROR(__xludf.DUMMYFUNCTION("""COMPUTED_VALUE"""),"")</f>
        <v/>
      </c>
      <c r="CJ143" s="105" t="str">
        <f>IFERROR(__xludf.DUMMYFUNCTION("""COMPUTED_VALUE"""),"")</f>
        <v/>
      </c>
      <c r="CK143" s="104" t="str">
        <f>IFERROR(__xludf.DUMMYFUNCTION("""COMPUTED_VALUE"""),"")</f>
        <v/>
      </c>
      <c r="CL143" s="104" t="str">
        <f>IFERROR(__xludf.DUMMYFUNCTION("""COMPUTED_VALUE"""),"")</f>
        <v/>
      </c>
      <c r="CM143" s="105" t="str">
        <f>IFERROR(__xludf.DUMMYFUNCTION("""COMPUTED_VALUE"""),"")</f>
        <v/>
      </c>
      <c r="CN143" s="104" t="str">
        <f>IFERROR(__xludf.DUMMYFUNCTION("""COMPUTED_VALUE"""),"")</f>
        <v/>
      </c>
      <c r="CO143" s="104" t="str">
        <f>IFERROR(__xludf.DUMMYFUNCTION("""COMPUTED_VALUE"""),"")</f>
        <v/>
      </c>
      <c r="CP143" s="105" t="str">
        <f>IFERROR(__xludf.DUMMYFUNCTION("""COMPUTED_VALUE"""),"")</f>
        <v/>
      </c>
      <c r="CQ143" s="107" t="str">
        <f>IFERROR(__xludf.DUMMYFUNCTION("""COMPUTED_VALUE"""),"")</f>
        <v/>
      </c>
      <c r="CR143" s="104" t="str">
        <f>IFERROR(__xludf.DUMMYFUNCTION("""COMPUTED_VALUE"""),"")</f>
        <v/>
      </c>
      <c r="CS143" s="105"/>
      <c r="CT143" s="104"/>
      <c r="CU143" s="104"/>
      <c r="CV143" s="105"/>
      <c r="CW143" s="104"/>
      <c r="CX143" s="104"/>
      <c r="CY143" s="105"/>
      <c r="CZ143" s="104"/>
      <c r="DA143" s="104"/>
      <c r="DB143" s="105"/>
      <c r="DC143" s="107"/>
      <c r="DD143" s="104"/>
      <c r="DE143" s="105"/>
      <c r="DF143" s="104"/>
      <c r="DG143" s="104"/>
      <c r="DH143" s="105"/>
      <c r="DI143" s="104"/>
      <c r="DJ143" s="104"/>
      <c r="DK143" s="105"/>
      <c r="DL143" s="107"/>
      <c r="DM143" s="104"/>
      <c r="DN143" s="105"/>
      <c r="DO143" s="107"/>
      <c r="DP143" s="104"/>
      <c r="DQ143" s="105"/>
      <c r="DR143" s="107"/>
      <c r="DS143" s="104"/>
      <c r="DT143" s="105"/>
    </row>
    <row r="144">
      <c r="B144" s="120" t="str">
        <f>IFERROR(__xludf.DUMMYFUNCTION("""COMPUTED_VALUE"""),"SJK4")</f>
        <v>SJK4</v>
      </c>
      <c r="C144" s="82">
        <f>IFERROR(__xludf.DUMMYFUNCTION("""COMPUTED_VALUE"""),135.0)</f>
        <v>135</v>
      </c>
      <c r="D144" s="88" t="str">
        <f>IFERROR(__xludf.DUMMYFUNCTION("""COMPUTED_VALUE"""),"Shinjuku 4-Chome")</f>
        <v>Shinjuku 4-Chome</v>
      </c>
      <c r="E144" s="82" t="str">
        <f>IFERROR(__xludf.DUMMYFUNCTION("""COMPUTED_VALUE"""),"新宿四丁目")</f>
        <v>新宿四丁目</v>
      </c>
      <c r="F144" s="102">
        <f>IFERROR(__xludf.DUMMYFUNCTION("""COMPUTED_VALUE"""),21.0)</f>
        <v>21</v>
      </c>
      <c r="G144" s="82">
        <f>IFERROR(__xludf.DUMMYFUNCTION("""COMPUTED_VALUE"""),50000.0)</f>
        <v>50000</v>
      </c>
      <c r="H144" s="95">
        <f>IFERROR(__xludf.DUMMYFUNCTION("""COMPUTED_VALUE"""),116.0)</f>
        <v>116</v>
      </c>
      <c r="I144" s="96" t="str">
        <f>IFERROR(__xludf.DUMMYFUNCTION("""COMPUTED_VALUE"""),"")</f>
        <v/>
      </c>
      <c r="J144" s="97" t="str">
        <f>IFERROR(__xludf.DUMMYFUNCTION("""COMPUTED_VALUE"""),"")</f>
        <v/>
      </c>
      <c r="K144" s="95" t="str">
        <f>IFERROR(__xludf.DUMMYFUNCTION("""COMPUTED_VALUE"""),"")</f>
        <v/>
      </c>
      <c r="L144" s="96" t="str">
        <f>IFERROR(__xludf.DUMMYFUNCTION("""COMPUTED_VALUE"""),"")</f>
        <v/>
      </c>
      <c r="M144" s="97" t="str">
        <f>IFERROR(__xludf.DUMMYFUNCTION("""COMPUTED_VALUE"""),"")</f>
        <v/>
      </c>
      <c r="N144" s="95" t="str">
        <f>IFERROR(__xludf.DUMMYFUNCTION("""COMPUTED_VALUE"""),"")</f>
        <v/>
      </c>
      <c r="O144" s="96" t="str">
        <f>IFERROR(__xludf.DUMMYFUNCTION("""COMPUTED_VALUE"""),"")</f>
        <v/>
      </c>
      <c r="P144" s="97" t="str">
        <f>IFERROR(__xludf.DUMMYFUNCTION("""COMPUTED_VALUE"""),"")</f>
        <v/>
      </c>
      <c r="Q144" s="95" t="str">
        <f>IFERROR(__xludf.DUMMYFUNCTION("""COMPUTED_VALUE"""),"")</f>
        <v/>
      </c>
      <c r="R144" s="96" t="str">
        <f>IFERROR(__xludf.DUMMYFUNCTION("""COMPUTED_VALUE"""),"")</f>
        <v/>
      </c>
      <c r="S144" s="97" t="str">
        <f>IFERROR(__xludf.DUMMYFUNCTION("""COMPUTED_VALUE"""),"")</f>
        <v/>
      </c>
      <c r="T144" s="95" t="str">
        <f>IFERROR(__xludf.DUMMYFUNCTION("""COMPUTED_VALUE"""),"")</f>
        <v/>
      </c>
      <c r="U144" s="96" t="str">
        <f>IFERROR(__xludf.DUMMYFUNCTION("""COMPUTED_VALUE"""),"")</f>
        <v/>
      </c>
      <c r="V144" s="97" t="str">
        <f>IFERROR(__xludf.DUMMYFUNCTION("""COMPUTED_VALUE"""),"")</f>
        <v/>
      </c>
      <c r="W144" s="95" t="str">
        <f>IFERROR(__xludf.DUMMYFUNCTION("""COMPUTED_VALUE"""),"")</f>
        <v/>
      </c>
      <c r="X144" s="96" t="str">
        <f>IFERROR(__xludf.DUMMYFUNCTION("""COMPUTED_VALUE"""),"")</f>
        <v/>
      </c>
      <c r="Y144" s="97" t="str">
        <f>IFERROR(__xludf.DUMMYFUNCTION("""COMPUTED_VALUE"""),"")</f>
        <v/>
      </c>
      <c r="Z144" s="95" t="str">
        <f>IFERROR(__xludf.DUMMYFUNCTION("""COMPUTED_VALUE"""),"")</f>
        <v/>
      </c>
      <c r="AA144" s="96" t="str">
        <f>IFERROR(__xludf.DUMMYFUNCTION("""COMPUTED_VALUE"""),"")</f>
        <v/>
      </c>
      <c r="AB144" s="97" t="str">
        <f>IFERROR(__xludf.DUMMYFUNCTION("""COMPUTED_VALUE"""),"")</f>
        <v/>
      </c>
      <c r="AC144" s="95" t="str">
        <f>IFERROR(__xludf.DUMMYFUNCTION("""COMPUTED_VALUE"""),"")</f>
        <v/>
      </c>
      <c r="AD144" s="96" t="str">
        <f>IFERROR(__xludf.DUMMYFUNCTION("""COMPUTED_VALUE"""),"")</f>
        <v/>
      </c>
      <c r="AE144" s="97" t="str">
        <f>IFERROR(__xludf.DUMMYFUNCTION("""COMPUTED_VALUE"""),"")</f>
        <v/>
      </c>
      <c r="AF144" s="95" t="str">
        <f>IFERROR(__xludf.DUMMYFUNCTION("""COMPUTED_VALUE"""),"")</f>
        <v/>
      </c>
      <c r="AG144" s="96" t="str">
        <f>IFERROR(__xludf.DUMMYFUNCTION("""COMPUTED_VALUE"""),"")</f>
        <v/>
      </c>
      <c r="AH144" s="97" t="str">
        <f>IFERROR(__xludf.DUMMYFUNCTION("""COMPUTED_VALUE"""),"")</f>
        <v/>
      </c>
      <c r="AI144" s="92" t="str">
        <f>IFERROR(__xludf.DUMMYFUNCTION("""COMPUTED_VALUE"""),"")</f>
        <v/>
      </c>
      <c r="AJ144" s="93" t="str">
        <f>IFERROR(__xludf.DUMMYFUNCTION("""COMPUTED_VALUE"""),"")</f>
        <v/>
      </c>
      <c r="AK144" s="94" t="str">
        <f>IFERROR(__xludf.DUMMYFUNCTION("""COMPUTED_VALUE"""),"")</f>
        <v/>
      </c>
      <c r="AL144" s="93" t="str">
        <f>IFERROR(__xludf.DUMMYFUNCTION("""COMPUTED_VALUE"""),"")</f>
        <v/>
      </c>
      <c r="AM144" s="93" t="str">
        <f>IFERROR(__xludf.DUMMYFUNCTION("""COMPUTED_VALUE"""),"")</f>
        <v/>
      </c>
      <c r="AN144" s="94" t="str">
        <f>IFERROR(__xludf.DUMMYFUNCTION("""COMPUTED_VALUE"""),"")</f>
        <v/>
      </c>
      <c r="AO144" s="93" t="str">
        <f>IFERROR(__xludf.DUMMYFUNCTION("""COMPUTED_VALUE"""),"")</f>
        <v/>
      </c>
      <c r="AP144" s="93" t="str">
        <f>IFERROR(__xludf.DUMMYFUNCTION("""COMPUTED_VALUE"""),"")</f>
        <v/>
      </c>
      <c r="AQ144" s="94" t="str">
        <f>IFERROR(__xludf.DUMMYFUNCTION("""COMPUTED_VALUE"""),"")</f>
        <v/>
      </c>
      <c r="AR144" s="93" t="str">
        <f>IFERROR(__xludf.DUMMYFUNCTION("""COMPUTED_VALUE"""),"")</f>
        <v/>
      </c>
      <c r="AS144" s="93" t="str">
        <f>IFERROR(__xludf.DUMMYFUNCTION("""COMPUTED_VALUE"""),"")</f>
        <v/>
      </c>
      <c r="AT144" s="94" t="str">
        <f>IFERROR(__xludf.DUMMYFUNCTION("""COMPUTED_VALUE"""),"")</f>
        <v/>
      </c>
      <c r="AU144" s="93" t="str">
        <f>IFERROR(__xludf.DUMMYFUNCTION("""COMPUTED_VALUE"""),"")</f>
        <v/>
      </c>
      <c r="AV144" s="93" t="str">
        <f>IFERROR(__xludf.DUMMYFUNCTION("""COMPUTED_VALUE"""),"")</f>
        <v/>
      </c>
      <c r="AW144" s="94" t="str">
        <f>IFERROR(__xludf.DUMMYFUNCTION("""COMPUTED_VALUE"""),"")</f>
        <v/>
      </c>
      <c r="AX144" s="93" t="str">
        <f>IFERROR(__xludf.DUMMYFUNCTION("""COMPUTED_VALUE"""),"")</f>
        <v/>
      </c>
      <c r="AY144" s="93" t="str">
        <f>IFERROR(__xludf.DUMMYFUNCTION("""COMPUTED_VALUE"""),"")</f>
        <v/>
      </c>
      <c r="AZ144" s="94">
        <f>IFERROR(__xludf.DUMMYFUNCTION("""COMPUTED_VALUE"""),51.7)</f>
        <v>51.7</v>
      </c>
      <c r="BA144" s="93" t="str">
        <f>IFERROR(__xludf.DUMMYFUNCTION("""COMPUTED_VALUE"""),"")</f>
        <v/>
      </c>
      <c r="BB144" s="93" t="str">
        <f>IFERROR(__xludf.DUMMYFUNCTION("""COMPUTED_VALUE"""),"")</f>
        <v/>
      </c>
      <c r="BC144" s="94" t="str">
        <f>IFERROR(__xludf.DUMMYFUNCTION("""COMPUTED_VALUE"""),"")</f>
        <v/>
      </c>
      <c r="BD144" s="93" t="str">
        <f>IFERROR(__xludf.DUMMYFUNCTION("""COMPUTED_VALUE"""),"")</f>
        <v/>
      </c>
      <c r="BE144" s="93" t="str">
        <f>IFERROR(__xludf.DUMMYFUNCTION("""COMPUTED_VALUE"""),"")</f>
        <v/>
      </c>
      <c r="BF144" s="94" t="str">
        <f>IFERROR(__xludf.DUMMYFUNCTION("""COMPUTED_VALUE"""),"")</f>
        <v/>
      </c>
      <c r="BG144" s="92" t="str">
        <f>IFERROR(__xludf.DUMMYFUNCTION("""COMPUTED_VALUE"""),"")</f>
        <v/>
      </c>
      <c r="BH144" s="93" t="str">
        <f>IFERROR(__xludf.DUMMYFUNCTION("""COMPUTED_VALUE"""),"")</f>
        <v/>
      </c>
      <c r="BI144" s="94">
        <f>IFERROR(__xludf.DUMMYFUNCTION("""COMPUTED_VALUE"""),411.9)</f>
        <v>411.9</v>
      </c>
      <c r="BJ144" s="93" t="str">
        <f>IFERROR(__xludf.DUMMYFUNCTION("""COMPUTED_VALUE"""),"")</f>
        <v/>
      </c>
      <c r="BK144" s="93" t="str">
        <f>IFERROR(__xludf.DUMMYFUNCTION("""COMPUTED_VALUE"""),"")</f>
        <v/>
      </c>
      <c r="BL144" s="94" t="str">
        <f>IFERROR(__xludf.DUMMYFUNCTION("""COMPUTED_VALUE"""),"")</f>
        <v/>
      </c>
      <c r="BM144" s="93" t="str">
        <f>IFERROR(__xludf.DUMMYFUNCTION("""COMPUTED_VALUE"""),"")</f>
        <v/>
      </c>
      <c r="BN144" s="93" t="str">
        <f>IFERROR(__xludf.DUMMYFUNCTION("""COMPUTED_VALUE"""),"")</f>
        <v/>
      </c>
      <c r="BO144" s="94" t="str">
        <f>IFERROR(__xludf.DUMMYFUNCTION("""COMPUTED_VALUE"""),"")</f>
        <v/>
      </c>
      <c r="BP144" s="93" t="str">
        <f>IFERROR(__xludf.DUMMYFUNCTION("""COMPUTED_VALUE"""),"")</f>
        <v/>
      </c>
      <c r="BQ144" s="93" t="str">
        <f>IFERROR(__xludf.DUMMYFUNCTION("""COMPUTED_VALUE"""),"")</f>
        <v/>
      </c>
      <c r="BR144" s="94" t="str">
        <f>IFERROR(__xludf.DUMMYFUNCTION("""COMPUTED_VALUE"""),"")</f>
        <v/>
      </c>
      <c r="BS144" s="93" t="str">
        <f>IFERROR(__xludf.DUMMYFUNCTION("""COMPUTED_VALUE"""),"")</f>
        <v/>
      </c>
      <c r="BT144" s="93" t="str">
        <f>IFERROR(__xludf.DUMMYFUNCTION("""COMPUTED_VALUE"""),"")</f>
        <v/>
      </c>
      <c r="BU144" s="94">
        <f>IFERROR(__xludf.DUMMYFUNCTION("""COMPUTED_VALUE"""),85.0)</f>
        <v>85</v>
      </c>
      <c r="BV144" s="93" t="str">
        <f>IFERROR(__xludf.DUMMYFUNCTION("""COMPUTED_VALUE"""),"")</f>
        <v/>
      </c>
      <c r="BW144" s="93" t="str">
        <f>IFERROR(__xludf.DUMMYFUNCTION("""COMPUTED_VALUE"""),"")</f>
        <v/>
      </c>
      <c r="BX144" s="94" t="str">
        <f>IFERROR(__xludf.DUMMYFUNCTION("""COMPUTED_VALUE"""),"")</f>
        <v/>
      </c>
      <c r="BY144" s="93" t="str">
        <f>IFERROR(__xludf.DUMMYFUNCTION("""COMPUTED_VALUE"""),"")</f>
        <v/>
      </c>
      <c r="BZ144" s="93" t="str">
        <f>IFERROR(__xludf.DUMMYFUNCTION("""COMPUTED_VALUE"""),"")</f>
        <v/>
      </c>
      <c r="CA144" s="94" t="str">
        <f>IFERROR(__xludf.DUMMYFUNCTION("""COMPUTED_VALUE"""),"")</f>
        <v/>
      </c>
      <c r="CB144" s="92" t="str">
        <f>IFERROR(__xludf.DUMMYFUNCTION("""COMPUTED_VALUE"""),"")</f>
        <v/>
      </c>
      <c r="CC144" s="93" t="str">
        <f>IFERROR(__xludf.DUMMYFUNCTION("""COMPUTED_VALUE"""),"")</f>
        <v/>
      </c>
      <c r="CD144" s="94" t="str">
        <f>IFERROR(__xludf.DUMMYFUNCTION("""COMPUTED_VALUE"""),"")</f>
        <v/>
      </c>
      <c r="CE144" s="93" t="str">
        <f>IFERROR(__xludf.DUMMYFUNCTION("""COMPUTED_VALUE"""),"")</f>
        <v/>
      </c>
      <c r="CF144" s="93" t="str">
        <f>IFERROR(__xludf.DUMMYFUNCTION("""COMPUTED_VALUE"""),"")</f>
        <v/>
      </c>
      <c r="CG144" s="94" t="str">
        <f>IFERROR(__xludf.DUMMYFUNCTION("""COMPUTED_VALUE"""),"")</f>
        <v/>
      </c>
      <c r="CH144" s="93" t="str">
        <f>IFERROR(__xludf.DUMMYFUNCTION("""COMPUTED_VALUE"""),"")</f>
        <v/>
      </c>
      <c r="CI144" s="93" t="str">
        <f>IFERROR(__xludf.DUMMYFUNCTION("""COMPUTED_VALUE"""),"")</f>
        <v/>
      </c>
      <c r="CJ144" s="94" t="str">
        <f>IFERROR(__xludf.DUMMYFUNCTION("""COMPUTED_VALUE"""),"")</f>
        <v/>
      </c>
      <c r="CK144" s="93" t="str">
        <f>IFERROR(__xludf.DUMMYFUNCTION("""COMPUTED_VALUE"""),"")</f>
        <v/>
      </c>
      <c r="CL144" s="93" t="str">
        <f>IFERROR(__xludf.DUMMYFUNCTION("""COMPUTED_VALUE"""),"")</f>
        <v/>
      </c>
      <c r="CM144" s="94" t="str">
        <f>IFERROR(__xludf.DUMMYFUNCTION("""COMPUTED_VALUE"""),"")</f>
        <v/>
      </c>
      <c r="CN144" s="93" t="str">
        <f>IFERROR(__xludf.DUMMYFUNCTION("""COMPUTED_VALUE"""),"")</f>
        <v/>
      </c>
      <c r="CO144" s="93" t="str">
        <f>IFERROR(__xludf.DUMMYFUNCTION("""COMPUTED_VALUE"""),"")</f>
        <v/>
      </c>
      <c r="CP144" s="94" t="str">
        <f>IFERROR(__xludf.DUMMYFUNCTION("""COMPUTED_VALUE"""),"")</f>
        <v/>
      </c>
      <c r="CQ144" s="93" t="str">
        <f>IFERROR(__xludf.DUMMYFUNCTION("""COMPUTED_VALUE"""),"")</f>
        <v/>
      </c>
      <c r="CR144" s="93">
        <f>IFERROR(__xludf.DUMMYFUNCTION("""COMPUTED_VALUE"""),432.0)</f>
        <v>432</v>
      </c>
      <c r="CS144" s="94"/>
      <c r="CT144" s="93"/>
      <c r="CU144" s="93"/>
      <c r="CV144" s="94"/>
      <c r="CW144" s="93"/>
      <c r="CX144" s="93"/>
      <c r="CY144" s="94"/>
      <c r="CZ144" s="93"/>
      <c r="DA144" s="93"/>
      <c r="DB144" s="94"/>
      <c r="DC144" s="93"/>
      <c r="DD144" s="93"/>
      <c r="DE144" s="94"/>
      <c r="DF144" s="93"/>
      <c r="DG144" s="93"/>
      <c r="DH144" s="94"/>
      <c r="DI144" s="93"/>
      <c r="DJ144" s="93"/>
      <c r="DK144" s="94"/>
      <c r="DL144" s="93"/>
      <c r="DM144" s="93"/>
      <c r="DN144" s="94"/>
      <c r="DO144" s="93"/>
      <c r="DP144" s="93"/>
      <c r="DQ144" s="94"/>
      <c r="DR144" s="93"/>
      <c r="DS144" s="93"/>
      <c r="DT144" s="94"/>
    </row>
    <row r="145">
      <c r="B145" s="120" t="str">
        <f>IFERROR(__xludf.DUMMYFUNCTION("""COMPUTED_VALUE"""),"SJK5")</f>
        <v>SJK5</v>
      </c>
      <c r="C145" s="82">
        <f>IFERROR(__xludf.DUMMYFUNCTION("""COMPUTED_VALUE"""),136.0)</f>
        <v>136</v>
      </c>
      <c r="D145" s="88" t="str">
        <f>IFERROR(__xludf.DUMMYFUNCTION("""COMPUTED_VALUE"""),"Kabukicho")</f>
        <v>Kabukicho</v>
      </c>
      <c r="E145" s="82" t="str">
        <f>IFERROR(__xludf.DUMMYFUNCTION("""COMPUTED_VALUE"""),"歌舞伎町")</f>
        <v>歌舞伎町</v>
      </c>
      <c r="F145" s="102">
        <f>IFERROR(__xludf.DUMMYFUNCTION("""COMPUTED_VALUE"""),21.0)</f>
        <v>21</v>
      </c>
      <c r="G145" s="82">
        <f>IFERROR(__xludf.DUMMYFUNCTION("""COMPUTED_VALUE"""),8459.0)</f>
        <v>8459</v>
      </c>
      <c r="H145" s="95" t="str">
        <f>IFERROR(__xludf.DUMMYFUNCTION("""COMPUTED_VALUE"""),"")</f>
        <v/>
      </c>
      <c r="I145" s="96" t="str">
        <f>IFERROR(__xludf.DUMMYFUNCTION("""COMPUTED_VALUE"""),"")</f>
        <v/>
      </c>
      <c r="J145" s="97" t="str">
        <f>IFERROR(__xludf.DUMMYFUNCTION("""COMPUTED_VALUE"""),"")</f>
        <v/>
      </c>
      <c r="K145" s="95" t="str">
        <f>IFERROR(__xludf.DUMMYFUNCTION("""COMPUTED_VALUE"""),"")</f>
        <v/>
      </c>
      <c r="L145" s="96" t="str">
        <f>IFERROR(__xludf.DUMMYFUNCTION("""COMPUTED_VALUE"""),"")</f>
        <v/>
      </c>
      <c r="M145" s="97" t="str">
        <f>IFERROR(__xludf.DUMMYFUNCTION("""COMPUTED_VALUE"""),"")</f>
        <v/>
      </c>
      <c r="N145" s="95" t="str">
        <f>IFERROR(__xludf.DUMMYFUNCTION("""COMPUTED_VALUE"""),"")</f>
        <v/>
      </c>
      <c r="O145" s="96" t="str">
        <f>IFERROR(__xludf.DUMMYFUNCTION("""COMPUTED_VALUE"""),"")</f>
        <v/>
      </c>
      <c r="P145" s="97" t="str">
        <f>IFERROR(__xludf.DUMMYFUNCTION("""COMPUTED_VALUE"""),"")</f>
        <v/>
      </c>
      <c r="Q145" s="95" t="str">
        <f>IFERROR(__xludf.DUMMYFUNCTION("""COMPUTED_VALUE"""),"")</f>
        <v/>
      </c>
      <c r="R145" s="96" t="str">
        <f>IFERROR(__xludf.DUMMYFUNCTION("""COMPUTED_VALUE"""),"")</f>
        <v/>
      </c>
      <c r="S145" s="97" t="str">
        <f>IFERROR(__xludf.DUMMYFUNCTION("""COMPUTED_VALUE"""),"")</f>
        <v/>
      </c>
      <c r="T145" s="95" t="str">
        <f>IFERROR(__xludf.DUMMYFUNCTION("""COMPUTED_VALUE"""),"")</f>
        <v/>
      </c>
      <c r="U145" s="96" t="str">
        <f>IFERROR(__xludf.DUMMYFUNCTION("""COMPUTED_VALUE"""),"")</f>
        <v/>
      </c>
      <c r="V145" s="97" t="str">
        <f>IFERROR(__xludf.DUMMYFUNCTION("""COMPUTED_VALUE"""),"")</f>
        <v/>
      </c>
      <c r="W145" s="95" t="str">
        <f>IFERROR(__xludf.DUMMYFUNCTION("""COMPUTED_VALUE"""),"")</f>
        <v/>
      </c>
      <c r="X145" s="96" t="str">
        <f>IFERROR(__xludf.DUMMYFUNCTION("""COMPUTED_VALUE"""),"")</f>
        <v/>
      </c>
      <c r="Y145" s="97" t="str">
        <f>IFERROR(__xludf.DUMMYFUNCTION("""COMPUTED_VALUE"""),"")</f>
        <v/>
      </c>
      <c r="Z145" s="95" t="str">
        <f>IFERROR(__xludf.DUMMYFUNCTION("""COMPUTED_VALUE"""),"")</f>
        <v/>
      </c>
      <c r="AA145" s="96" t="str">
        <f>IFERROR(__xludf.DUMMYFUNCTION("""COMPUTED_VALUE"""),"")</f>
        <v/>
      </c>
      <c r="AB145" s="97" t="str">
        <f>IFERROR(__xludf.DUMMYFUNCTION("""COMPUTED_VALUE"""),"")</f>
        <v/>
      </c>
      <c r="AC145" s="95" t="str">
        <f>IFERROR(__xludf.DUMMYFUNCTION("""COMPUTED_VALUE"""),"")</f>
        <v/>
      </c>
      <c r="AD145" s="96" t="str">
        <f>IFERROR(__xludf.DUMMYFUNCTION("""COMPUTED_VALUE"""),"")</f>
        <v/>
      </c>
      <c r="AE145" s="97">
        <f>IFERROR(__xludf.DUMMYFUNCTION("""COMPUTED_VALUE"""),67.3)</f>
        <v>67.3</v>
      </c>
      <c r="AF145" s="95" t="str">
        <f>IFERROR(__xludf.DUMMYFUNCTION("""COMPUTED_VALUE"""),"")</f>
        <v/>
      </c>
      <c r="AG145" s="96" t="str">
        <f>IFERROR(__xludf.DUMMYFUNCTION("""COMPUTED_VALUE"""),"")</f>
        <v/>
      </c>
      <c r="AH145" s="97" t="str">
        <f>IFERROR(__xludf.DUMMYFUNCTION("""COMPUTED_VALUE"""),"")</f>
        <v/>
      </c>
      <c r="AI145" s="103" t="str">
        <f>IFERROR(__xludf.DUMMYFUNCTION("""COMPUTED_VALUE"""),"")</f>
        <v/>
      </c>
      <c r="AJ145" s="104" t="str">
        <f>IFERROR(__xludf.DUMMYFUNCTION("""COMPUTED_VALUE"""),"")</f>
        <v/>
      </c>
      <c r="AK145" s="105" t="str">
        <f>IFERROR(__xludf.DUMMYFUNCTION("""COMPUTED_VALUE"""),"")</f>
        <v/>
      </c>
      <c r="AL145" s="104" t="str">
        <f>IFERROR(__xludf.DUMMYFUNCTION("""COMPUTED_VALUE"""),"")</f>
        <v/>
      </c>
      <c r="AM145" s="104" t="str">
        <f>IFERROR(__xludf.DUMMYFUNCTION("""COMPUTED_VALUE"""),"")</f>
        <v/>
      </c>
      <c r="AN145" s="105" t="str">
        <f>IFERROR(__xludf.DUMMYFUNCTION("""COMPUTED_VALUE"""),"")</f>
        <v/>
      </c>
      <c r="AO145" s="104" t="str">
        <f>IFERROR(__xludf.DUMMYFUNCTION("""COMPUTED_VALUE"""),"")</f>
        <v/>
      </c>
      <c r="AP145" s="104" t="str">
        <f>IFERROR(__xludf.DUMMYFUNCTION("""COMPUTED_VALUE"""),"")</f>
        <v/>
      </c>
      <c r="AQ145" s="105" t="str">
        <f>IFERROR(__xludf.DUMMYFUNCTION("""COMPUTED_VALUE"""),"")</f>
        <v/>
      </c>
      <c r="AR145" s="104" t="str">
        <f>IFERROR(__xludf.DUMMYFUNCTION("""COMPUTED_VALUE"""),"")</f>
        <v/>
      </c>
      <c r="AS145" s="104" t="str">
        <f>IFERROR(__xludf.DUMMYFUNCTION("""COMPUTED_VALUE"""),"")</f>
        <v/>
      </c>
      <c r="AT145" s="105" t="str">
        <f>IFERROR(__xludf.DUMMYFUNCTION("""COMPUTED_VALUE"""),"")</f>
        <v/>
      </c>
      <c r="AU145" s="104" t="str">
        <f>IFERROR(__xludf.DUMMYFUNCTION("""COMPUTED_VALUE"""),"")</f>
        <v/>
      </c>
      <c r="AV145" s="104" t="str">
        <f>IFERROR(__xludf.DUMMYFUNCTION("""COMPUTED_VALUE"""),"")</f>
        <v/>
      </c>
      <c r="AW145" s="105">
        <f>IFERROR(__xludf.DUMMYFUNCTION("""COMPUTED_VALUE"""),69.1)</f>
        <v>69.1</v>
      </c>
      <c r="AX145" s="104" t="str">
        <f>IFERROR(__xludf.DUMMYFUNCTION("""COMPUTED_VALUE"""),"")</f>
        <v/>
      </c>
      <c r="AY145" s="104" t="str">
        <f>IFERROR(__xludf.DUMMYFUNCTION("""COMPUTED_VALUE"""),"")</f>
        <v/>
      </c>
      <c r="AZ145" s="105" t="str">
        <f>IFERROR(__xludf.DUMMYFUNCTION("""COMPUTED_VALUE"""),"")</f>
        <v/>
      </c>
      <c r="BA145" s="104" t="str">
        <f>IFERROR(__xludf.DUMMYFUNCTION("""COMPUTED_VALUE"""),"")</f>
        <v/>
      </c>
      <c r="BB145" s="104" t="str">
        <f>IFERROR(__xludf.DUMMYFUNCTION("""COMPUTED_VALUE"""),"")</f>
        <v/>
      </c>
      <c r="BC145" s="105" t="str">
        <f>IFERROR(__xludf.DUMMYFUNCTION("""COMPUTED_VALUE"""),"")</f>
        <v/>
      </c>
      <c r="BD145" s="104" t="str">
        <f>IFERROR(__xludf.DUMMYFUNCTION("""COMPUTED_VALUE"""),"")</f>
        <v/>
      </c>
      <c r="BE145" s="151" t="str">
        <f>IFERROR(__xludf.DUMMYFUNCTION("""COMPUTED_VALUE"""),"")</f>
        <v/>
      </c>
      <c r="BF145" s="105" t="str">
        <f>IFERROR(__xludf.DUMMYFUNCTION("""COMPUTED_VALUE"""),"")</f>
        <v/>
      </c>
      <c r="BG145" s="103" t="str">
        <f>IFERROR(__xludf.DUMMYFUNCTION("""COMPUTED_VALUE"""),"")</f>
        <v/>
      </c>
      <c r="BH145" s="104" t="str">
        <f>IFERROR(__xludf.DUMMYFUNCTION("""COMPUTED_VALUE"""),"")</f>
        <v/>
      </c>
      <c r="BI145" s="105" t="str">
        <f>IFERROR(__xludf.DUMMYFUNCTION("""COMPUTED_VALUE"""),"")</f>
        <v/>
      </c>
      <c r="BJ145" s="104" t="str">
        <f>IFERROR(__xludf.DUMMYFUNCTION("""COMPUTED_VALUE"""),"")</f>
        <v/>
      </c>
      <c r="BK145" s="104" t="str">
        <f>IFERROR(__xludf.DUMMYFUNCTION("""COMPUTED_VALUE"""),"")</f>
        <v/>
      </c>
      <c r="BL145" s="105" t="str">
        <f>IFERROR(__xludf.DUMMYFUNCTION("""COMPUTED_VALUE"""),"")</f>
        <v/>
      </c>
      <c r="BM145" s="104" t="str">
        <f>IFERROR(__xludf.DUMMYFUNCTION("""COMPUTED_VALUE"""),"")</f>
        <v/>
      </c>
      <c r="BN145" s="104" t="str">
        <f>IFERROR(__xludf.DUMMYFUNCTION("""COMPUTED_VALUE"""),"")</f>
        <v/>
      </c>
      <c r="BO145" s="105">
        <f>IFERROR(__xludf.DUMMYFUNCTION("""COMPUTED_VALUE"""),58.1)</f>
        <v>58.1</v>
      </c>
      <c r="BP145" s="104" t="str">
        <f>IFERROR(__xludf.DUMMYFUNCTION("""COMPUTED_VALUE"""),"")</f>
        <v/>
      </c>
      <c r="BQ145" s="104" t="str">
        <f>IFERROR(__xludf.DUMMYFUNCTION("""COMPUTED_VALUE"""),"")</f>
        <v/>
      </c>
      <c r="BR145" s="105" t="str">
        <f>IFERROR(__xludf.DUMMYFUNCTION("""COMPUTED_VALUE"""),"")</f>
        <v/>
      </c>
      <c r="BS145" s="104" t="str">
        <f>IFERROR(__xludf.DUMMYFUNCTION("""COMPUTED_VALUE"""),"")</f>
        <v/>
      </c>
      <c r="BT145" s="104" t="str">
        <f>IFERROR(__xludf.DUMMYFUNCTION("""COMPUTED_VALUE"""),"")</f>
        <v/>
      </c>
      <c r="BU145" s="105" t="str">
        <f>IFERROR(__xludf.DUMMYFUNCTION("""COMPUTED_VALUE"""),"")</f>
        <v/>
      </c>
      <c r="BV145" s="104" t="str">
        <f>IFERROR(__xludf.DUMMYFUNCTION("""COMPUTED_VALUE"""),"")</f>
        <v/>
      </c>
      <c r="BW145" s="104" t="str">
        <f>IFERROR(__xludf.DUMMYFUNCTION("""COMPUTED_VALUE"""),"")</f>
        <v/>
      </c>
      <c r="BX145" s="105" t="str">
        <f>IFERROR(__xludf.DUMMYFUNCTION("""COMPUTED_VALUE"""),"")</f>
        <v/>
      </c>
      <c r="BY145" s="104" t="str">
        <f>IFERROR(__xludf.DUMMYFUNCTION("""COMPUTED_VALUE"""),"")</f>
        <v/>
      </c>
      <c r="BZ145" s="104" t="str">
        <f>IFERROR(__xludf.DUMMYFUNCTION("""COMPUTED_VALUE"""),"")</f>
        <v/>
      </c>
      <c r="CA145" s="105" t="str">
        <f>IFERROR(__xludf.DUMMYFUNCTION("""COMPUTED_VALUE"""),"")</f>
        <v/>
      </c>
      <c r="CB145" s="103" t="str">
        <f>IFERROR(__xludf.DUMMYFUNCTION("""COMPUTED_VALUE"""),"")</f>
        <v/>
      </c>
      <c r="CC145" s="104" t="str">
        <f>IFERROR(__xludf.DUMMYFUNCTION("""COMPUTED_VALUE"""),"")</f>
        <v/>
      </c>
      <c r="CD145" s="105" t="str">
        <f>IFERROR(__xludf.DUMMYFUNCTION("""COMPUTED_VALUE"""),"")</f>
        <v/>
      </c>
      <c r="CE145" s="104" t="str">
        <f>IFERROR(__xludf.DUMMYFUNCTION("""COMPUTED_VALUE"""),"")</f>
        <v/>
      </c>
      <c r="CF145" s="104" t="str">
        <f>IFERROR(__xludf.DUMMYFUNCTION("""COMPUTED_VALUE"""),"")</f>
        <v/>
      </c>
      <c r="CG145" s="105" t="str">
        <f>IFERROR(__xludf.DUMMYFUNCTION("""COMPUTED_VALUE"""),"")</f>
        <v/>
      </c>
      <c r="CH145" s="104" t="str">
        <f>IFERROR(__xludf.DUMMYFUNCTION("""COMPUTED_VALUE"""),"")</f>
        <v/>
      </c>
      <c r="CI145" s="104" t="str">
        <f>IFERROR(__xludf.DUMMYFUNCTION("""COMPUTED_VALUE"""),"")</f>
        <v/>
      </c>
      <c r="CJ145" s="105" t="str">
        <f>IFERROR(__xludf.DUMMYFUNCTION("""COMPUTED_VALUE"""),"")</f>
        <v/>
      </c>
      <c r="CK145" s="104" t="str">
        <f>IFERROR(__xludf.DUMMYFUNCTION("""COMPUTED_VALUE"""),"")</f>
        <v/>
      </c>
      <c r="CL145" s="104" t="str">
        <f>IFERROR(__xludf.DUMMYFUNCTION("""COMPUTED_VALUE"""),"")</f>
        <v/>
      </c>
      <c r="CM145" s="105" t="str">
        <f>IFERROR(__xludf.DUMMYFUNCTION("""COMPUTED_VALUE"""),"")</f>
        <v/>
      </c>
      <c r="CN145" s="104" t="str">
        <f>IFERROR(__xludf.DUMMYFUNCTION("""COMPUTED_VALUE"""),"")</f>
        <v/>
      </c>
      <c r="CO145" s="104" t="str">
        <f>IFERROR(__xludf.DUMMYFUNCTION("""COMPUTED_VALUE"""),"")</f>
        <v/>
      </c>
      <c r="CP145" s="105" t="str">
        <f>IFERROR(__xludf.DUMMYFUNCTION("""COMPUTED_VALUE"""),"")</f>
        <v/>
      </c>
      <c r="CQ145" s="104" t="str">
        <f>IFERROR(__xludf.DUMMYFUNCTION("""COMPUTED_VALUE"""),"")</f>
        <v/>
      </c>
      <c r="CR145" s="104" t="str">
        <f>IFERROR(__xludf.DUMMYFUNCTION("""COMPUTED_VALUE"""),"")</f>
        <v/>
      </c>
      <c r="CS145" s="105"/>
      <c r="CT145" s="104"/>
      <c r="CU145" s="104"/>
      <c r="CV145" s="105"/>
      <c r="CW145" s="104"/>
      <c r="CX145" s="104"/>
      <c r="CY145" s="105"/>
      <c r="CZ145" s="104"/>
      <c r="DA145" s="104"/>
      <c r="DB145" s="105"/>
      <c r="DC145" s="104"/>
      <c r="DD145" s="104"/>
      <c r="DE145" s="105"/>
      <c r="DF145" s="104"/>
      <c r="DG145" s="104"/>
      <c r="DH145" s="105"/>
      <c r="DI145" s="104"/>
      <c r="DJ145" s="104"/>
      <c r="DK145" s="105"/>
      <c r="DL145" s="104"/>
      <c r="DM145" s="104"/>
      <c r="DN145" s="105"/>
      <c r="DO145" s="104"/>
      <c r="DP145" s="104"/>
      <c r="DQ145" s="105"/>
      <c r="DR145" s="104"/>
      <c r="DS145" s="104"/>
      <c r="DT145" s="105"/>
    </row>
    <row r="146">
      <c r="B146" s="120" t="str">
        <f>IFERROR(__xludf.DUMMYFUNCTION("""COMPUTED_VALUE"""),"SJK6")</f>
        <v>SJK6</v>
      </c>
      <c r="C146" s="82">
        <f>IFERROR(__xludf.DUMMYFUNCTION("""COMPUTED_VALUE"""),137.0)</f>
        <v>137</v>
      </c>
      <c r="D146" s="88" t="str">
        <f>IFERROR(__xludf.DUMMYFUNCTION("""COMPUTED_VALUE"""),"Barrel Tower")</f>
        <v>Barrel Tower</v>
      </c>
      <c r="E146" s="82" t="str">
        <f>IFERROR(__xludf.DUMMYFUNCTION("""COMPUTED_VALUE"""),"バレルタワー")</f>
        <v>バレルタワー</v>
      </c>
      <c r="F146" s="102">
        <f>IFERROR(__xludf.DUMMYFUNCTION("""COMPUTED_VALUE"""),21.0)</f>
        <v>21</v>
      </c>
      <c r="G146" s="82">
        <f>IFERROR(__xludf.DUMMYFUNCTION("""COMPUTED_VALUE"""),14216.0)</f>
        <v>14216</v>
      </c>
      <c r="H146" s="95" t="str">
        <f>IFERROR(__xludf.DUMMYFUNCTION("""COMPUTED_VALUE"""),"")</f>
        <v/>
      </c>
      <c r="I146" s="96" t="str">
        <f>IFERROR(__xludf.DUMMYFUNCTION("""COMPUTED_VALUE"""),"")</f>
        <v/>
      </c>
      <c r="J146" s="97" t="str">
        <f>IFERROR(__xludf.DUMMYFUNCTION("""COMPUTED_VALUE"""),"")</f>
        <v/>
      </c>
      <c r="K146" s="95" t="str">
        <f>IFERROR(__xludf.DUMMYFUNCTION("""COMPUTED_VALUE"""),"")</f>
        <v/>
      </c>
      <c r="L146" s="96" t="str">
        <f>IFERROR(__xludf.DUMMYFUNCTION("""COMPUTED_VALUE"""),"")</f>
        <v/>
      </c>
      <c r="M146" s="97" t="str">
        <f>IFERROR(__xludf.DUMMYFUNCTION("""COMPUTED_VALUE"""),"")</f>
        <v/>
      </c>
      <c r="N146" s="95" t="str">
        <f>IFERROR(__xludf.DUMMYFUNCTION("""COMPUTED_VALUE"""),"")</f>
        <v/>
      </c>
      <c r="O146" s="96" t="str">
        <f>IFERROR(__xludf.DUMMYFUNCTION("""COMPUTED_VALUE"""),"")</f>
        <v/>
      </c>
      <c r="P146" s="97" t="str">
        <f>IFERROR(__xludf.DUMMYFUNCTION("""COMPUTED_VALUE"""),"")</f>
        <v/>
      </c>
      <c r="Q146" s="95" t="str">
        <f>IFERROR(__xludf.DUMMYFUNCTION("""COMPUTED_VALUE"""),"")</f>
        <v/>
      </c>
      <c r="R146" s="96" t="str">
        <f>IFERROR(__xludf.DUMMYFUNCTION("""COMPUTED_VALUE"""),"")</f>
        <v/>
      </c>
      <c r="S146" s="97" t="str">
        <f>IFERROR(__xludf.DUMMYFUNCTION("""COMPUTED_VALUE"""),"")</f>
        <v/>
      </c>
      <c r="T146" s="95" t="str">
        <f>IFERROR(__xludf.DUMMYFUNCTION("""COMPUTED_VALUE"""),"")</f>
        <v/>
      </c>
      <c r="U146" s="96" t="str">
        <f>IFERROR(__xludf.DUMMYFUNCTION("""COMPUTED_VALUE"""),"")</f>
        <v/>
      </c>
      <c r="V146" s="97" t="str">
        <f>IFERROR(__xludf.DUMMYFUNCTION("""COMPUTED_VALUE"""),"")</f>
        <v/>
      </c>
      <c r="W146" s="95" t="str">
        <f>IFERROR(__xludf.DUMMYFUNCTION("""COMPUTED_VALUE"""),"")</f>
        <v/>
      </c>
      <c r="X146" s="96" t="str">
        <f>IFERROR(__xludf.DUMMYFUNCTION("""COMPUTED_VALUE"""),"")</f>
        <v/>
      </c>
      <c r="Y146" s="97" t="str">
        <f>IFERROR(__xludf.DUMMYFUNCTION("""COMPUTED_VALUE"""),"")</f>
        <v/>
      </c>
      <c r="Z146" s="95" t="str">
        <f>IFERROR(__xludf.DUMMYFUNCTION("""COMPUTED_VALUE"""),"")</f>
        <v/>
      </c>
      <c r="AA146" s="96" t="str">
        <f>IFERROR(__xludf.DUMMYFUNCTION("""COMPUTED_VALUE"""),"")</f>
        <v/>
      </c>
      <c r="AB146" s="97" t="str">
        <f>IFERROR(__xludf.DUMMYFUNCTION("""COMPUTED_VALUE"""),"")</f>
        <v/>
      </c>
      <c r="AC146" s="95" t="str">
        <f>IFERROR(__xludf.DUMMYFUNCTION("""COMPUTED_VALUE"""),"")</f>
        <v/>
      </c>
      <c r="AD146" s="96" t="str">
        <f>IFERROR(__xludf.DUMMYFUNCTION("""COMPUTED_VALUE"""),"")</f>
        <v/>
      </c>
      <c r="AE146" s="97">
        <f>IFERROR(__xludf.DUMMYFUNCTION("""COMPUTED_VALUE"""),45.5)</f>
        <v>45.5</v>
      </c>
      <c r="AF146" s="95" t="str">
        <f>IFERROR(__xludf.DUMMYFUNCTION("""COMPUTED_VALUE"""),"")</f>
        <v/>
      </c>
      <c r="AG146" s="96" t="str">
        <f>IFERROR(__xludf.DUMMYFUNCTION("""COMPUTED_VALUE"""),"")</f>
        <v/>
      </c>
      <c r="AH146" s="97" t="str">
        <f>IFERROR(__xludf.DUMMYFUNCTION("""COMPUTED_VALUE"""),"")</f>
        <v/>
      </c>
      <c r="AI146" s="92" t="str">
        <f>IFERROR(__xludf.DUMMYFUNCTION("""COMPUTED_VALUE"""),"")</f>
        <v/>
      </c>
      <c r="AJ146" s="93" t="str">
        <f>IFERROR(__xludf.DUMMYFUNCTION("""COMPUTED_VALUE"""),"")</f>
        <v/>
      </c>
      <c r="AK146" s="94" t="str">
        <f>IFERROR(__xludf.DUMMYFUNCTION("""COMPUTED_VALUE"""),"")</f>
        <v/>
      </c>
      <c r="AL146" s="93" t="str">
        <f>IFERROR(__xludf.DUMMYFUNCTION("""COMPUTED_VALUE"""),"")</f>
        <v/>
      </c>
      <c r="AM146" s="93" t="str">
        <f>IFERROR(__xludf.DUMMYFUNCTION("""COMPUTED_VALUE"""),"")</f>
        <v/>
      </c>
      <c r="AN146" s="94" t="str">
        <f>IFERROR(__xludf.DUMMYFUNCTION("""COMPUTED_VALUE"""),"")</f>
        <v/>
      </c>
      <c r="AO146" s="93" t="str">
        <f>IFERROR(__xludf.DUMMYFUNCTION("""COMPUTED_VALUE"""),"")</f>
        <v/>
      </c>
      <c r="AP146" s="93" t="str">
        <f>IFERROR(__xludf.DUMMYFUNCTION("""COMPUTED_VALUE"""),"")</f>
        <v/>
      </c>
      <c r="AQ146" s="94" t="str">
        <f>IFERROR(__xludf.DUMMYFUNCTION("""COMPUTED_VALUE"""),"")</f>
        <v/>
      </c>
      <c r="AR146" s="93" t="str">
        <f>IFERROR(__xludf.DUMMYFUNCTION("""COMPUTED_VALUE"""),"")</f>
        <v/>
      </c>
      <c r="AS146" s="93" t="str">
        <f>IFERROR(__xludf.DUMMYFUNCTION("""COMPUTED_VALUE"""),"")</f>
        <v/>
      </c>
      <c r="AT146" s="94" t="str">
        <f>IFERROR(__xludf.DUMMYFUNCTION("""COMPUTED_VALUE"""),"")</f>
        <v/>
      </c>
      <c r="AU146" s="93" t="str">
        <f>IFERROR(__xludf.DUMMYFUNCTION("""COMPUTED_VALUE"""),"")</f>
        <v/>
      </c>
      <c r="AV146" s="93" t="str">
        <f>IFERROR(__xludf.DUMMYFUNCTION("""COMPUTED_VALUE"""),"")</f>
        <v/>
      </c>
      <c r="AW146" s="94" t="str">
        <f>IFERROR(__xludf.DUMMYFUNCTION("""COMPUTED_VALUE"""),"")</f>
        <v/>
      </c>
      <c r="AX146" s="93" t="str">
        <f>IFERROR(__xludf.DUMMYFUNCTION("""COMPUTED_VALUE"""),"")</f>
        <v/>
      </c>
      <c r="AY146" s="93" t="str">
        <f>IFERROR(__xludf.DUMMYFUNCTION("""COMPUTED_VALUE"""),"")</f>
        <v/>
      </c>
      <c r="AZ146" s="94" t="str">
        <f>IFERROR(__xludf.DUMMYFUNCTION("""COMPUTED_VALUE"""),"")</f>
        <v/>
      </c>
      <c r="BA146" s="93" t="str">
        <f>IFERROR(__xludf.DUMMYFUNCTION("""COMPUTED_VALUE"""),"")</f>
        <v/>
      </c>
      <c r="BB146" s="93" t="str">
        <f>IFERROR(__xludf.DUMMYFUNCTION("""COMPUTED_VALUE"""),"")</f>
        <v/>
      </c>
      <c r="BC146" s="94" t="str">
        <f>IFERROR(__xludf.DUMMYFUNCTION("""COMPUTED_VALUE"""),"")</f>
        <v/>
      </c>
      <c r="BD146" s="93" t="str">
        <f>IFERROR(__xludf.DUMMYFUNCTION("""COMPUTED_VALUE"""),"")</f>
        <v/>
      </c>
      <c r="BE146" s="143" t="str">
        <f>IFERROR(__xludf.DUMMYFUNCTION("""COMPUTED_VALUE"""),"")</f>
        <v/>
      </c>
      <c r="BF146" s="94" t="str">
        <f>IFERROR(__xludf.DUMMYFUNCTION("""COMPUTED_VALUE"""),"")</f>
        <v/>
      </c>
      <c r="BG146" s="92" t="str">
        <f>IFERROR(__xludf.DUMMYFUNCTION("""COMPUTED_VALUE"""),"")</f>
        <v/>
      </c>
      <c r="BH146" s="93" t="str">
        <f>IFERROR(__xludf.DUMMYFUNCTION("""COMPUTED_VALUE"""),"")</f>
        <v/>
      </c>
      <c r="BI146" s="94" t="str">
        <f>IFERROR(__xludf.DUMMYFUNCTION("""COMPUTED_VALUE"""),"")</f>
        <v/>
      </c>
      <c r="BJ146" s="93" t="str">
        <f>IFERROR(__xludf.DUMMYFUNCTION("""COMPUTED_VALUE"""),"")</f>
        <v/>
      </c>
      <c r="BK146" s="93" t="str">
        <f>IFERROR(__xludf.DUMMYFUNCTION("""COMPUTED_VALUE"""),"")</f>
        <v/>
      </c>
      <c r="BL146" s="94" t="str">
        <f>IFERROR(__xludf.DUMMYFUNCTION("""COMPUTED_VALUE"""),"")</f>
        <v/>
      </c>
      <c r="BM146" s="93" t="str">
        <f>IFERROR(__xludf.DUMMYFUNCTION("""COMPUTED_VALUE"""),"")</f>
        <v/>
      </c>
      <c r="BN146" s="93" t="str">
        <f>IFERROR(__xludf.DUMMYFUNCTION("""COMPUTED_VALUE"""),"")</f>
        <v/>
      </c>
      <c r="BO146" s="94">
        <f>IFERROR(__xludf.DUMMYFUNCTION("""COMPUTED_VALUE"""),45.4)</f>
        <v>45.4</v>
      </c>
      <c r="BP146" s="93" t="str">
        <f>IFERROR(__xludf.DUMMYFUNCTION("""COMPUTED_VALUE"""),"")</f>
        <v/>
      </c>
      <c r="BQ146" s="93" t="str">
        <f>IFERROR(__xludf.DUMMYFUNCTION("""COMPUTED_VALUE"""),"")</f>
        <v/>
      </c>
      <c r="BR146" s="94" t="str">
        <f>IFERROR(__xludf.DUMMYFUNCTION("""COMPUTED_VALUE"""),"")</f>
        <v/>
      </c>
      <c r="BS146" s="93" t="str">
        <f>IFERROR(__xludf.DUMMYFUNCTION("""COMPUTED_VALUE"""),"")</f>
        <v/>
      </c>
      <c r="BT146" s="93" t="str">
        <f>IFERROR(__xludf.DUMMYFUNCTION("""COMPUTED_VALUE"""),"")</f>
        <v/>
      </c>
      <c r="BU146" s="94" t="str">
        <f>IFERROR(__xludf.DUMMYFUNCTION("""COMPUTED_VALUE"""),"")</f>
        <v/>
      </c>
      <c r="BV146" s="93" t="str">
        <f>IFERROR(__xludf.DUMMYFUNCTION("""COMPUTED_VALUE"""),"")</f>
        <v/>
      </c>
      <c r="BW146" s="93" t="str">
        <f>IFERROR(__xludf.DUMMYFUNCTION("""COMPUTED_VALUE"""),"")</f>
        <v/>
      </c>
      <c r="BX146" s="94" t="str">
        <f>IFERROR(__xludf.DUMMYFUNCTION("""COMPUTED_VALUE"""),"")</f>
        <v/>
      </c>
      <c r="BY146" s="93" t="str">
        <f>IFERROR(__xludf.DUMMYFUNCTION("""COMPUTED_VALUE"""),"")</f>
        <v/>
      </c>
      <c r="BZ146" s="93" t="str">
        <f>IFERROR(__xludf.DUMMYFUNCTION("""COMPUTED_VALUE"""),"")</f>
        <v/>
      </c>
      <c r="CA146" s="94" t="str">
        <f>IFERROR(__xludf.DUMMYFUNCTION("""COMPUTED_VALUE"""),"")</f>
        <v/>
      </c>
      <c r="CB146" s="92" t="str">
        <f>IFERROR(__xludf.DUMMYFUNCTION("""COMPUTED_VALUE"""),"")</f>
        <v/>
      </c>
      <c r="CC146" s="93" t="str">
        <f>IFERROR(__xludf.DUMMYFUNCTION("""COMPUTED_VALUE"""),"")</f>
        <v/>
      </c>
      <c r="CD146" s="94" t="str">
        <f>IFERROR(__xludf.DUMMYFUNCTION("""COMPUTED_VALUE"""),"")</f>
        <v/>
      </c>
      <c r="CE146" s="93" t="str">
        <f>IFERROR(__xludf.DUMMYFUNCTION("""COMPUTED_VALUE"""),"")</f>
        <v/>
      </c>
      <c r="CF146" s="93" t="str">
        <f>IFERROR(__xludf.DUMMYFUNCTION("""COMPUTED_VALUE"""),"")</f>
        <v/>
      </c>
      <c r="CG146" s="94" t="str">
        <f>IFERROR(__xludf.DUMMYFUNCTION("""COMPUTED_VALUE"""),"")</f>
        <v/>
      </c>
      <c r="CH146" s="93" t="str">
        <f>IFERROR(__xludf.DUMMYFUNCTION("""COMPUTED_VALUE"""),"")</f>
        <v/>
      </c>
      <c r="CI146" s="93" t="str">
        <f>IFERROR(__xludf.DUMMYFUNCTION("""COMPUTED_VALUE"""),"")</f>
        <v/>
      </c>
      <c r="CJ146" s="94" t="str">
        <f>IFERROR(__xludf.DUMMYFUNCTION("""COMPUTED_VALUE"""),"")</f>
        <v/>
      </c>
      <c r="CK146" s="93" t="str">
        <f>IFERROR(__xludf.DUMMYFUNCTION("""COMPUTED_VALUE"""),"")</f>
        <v/>
      </c>
      <c r="CL146" s="93" t="str">
        <f>IFERROR(__xludf.DUMMYFUNCTION("""COMPUTED_VALUE"""),"")</f>
        <v/>
      </c>
      <c r="CM146" s="94" t="str">
        <f>IFERROR(__xludf.DUMMYFUNCTION("""COMPUTED_VALUE"""),"")</f>
        <v/>
      </c>
      <c r="CN146" s="93" t="str">
        <f>IFERROR(__xludf.DUMMYFUNCTION("""COMPUTED_VALUE"""),"")</f>
        <v/>
      </c>
      <c r="CO146" s="93" t="str">
        <f>IFERROR(__xludf.DUMMYFUNCTION("""COMPUTED_VALUE"""),"")</f>
        <v/>
      </c>
      <c r="CP146" s="94" t="str">
        <f>IFERROR(__xludf.DUMMYFUNCTION("""COMPUTED_VALUE"""),"")</f>
        <v/>
      </c>
      <c r="CQ146" s="93" t="str">
        <f>IFERROR(__xludf.DUMMYFUNCTION("""COMPUTED_VALUE"""),"")</f>
        <v/>
      </c>
      <c r="CR146" s="93" t="str">
        <f>IFERROR(__xludf.DUMMYFUNCTION("""COMPUTED_VALUE"""),"")</f>
        <v/>
      </c>
      <c r="CS146" s="94"/>
      <c r="CT146" s="93"/>
      <c r="CU146" s="93"/>
      <c r="CV146" s="94"/>
      <c r="CW146" s="93"/>
      <c r="CX146" s="93"/>
      <c r="CY146" s="94"/>
      <c r="CZ146" s="93"/>
      <c r="DA146" s="93"/>
      <c r="DB146" s="94"/>
      <c r="DC146" s="93"/>
      <c r="DD146" s="93"/>
      <c r="DE146" s="94"/>
      <c r="DF146" s="93"/>
      <c r="DG146" s="93"/>
      <c r="DH146" s="94"/>
      <c r="DI146" s="93"/>
      <c r="DJ146" s="93"/>
      <c r="DK146" s="94"/>
      <c r="DL146" s="93"/>
      <c r="DM146" s="93"/>
      <c r="DN146" s="94"/>
      <c r="DO146" s="93"/>
      <c r="DP146" s="93"/>
      <c r="DQ146" s="94"/>
      <c r="DR146" s="93"/>
      <c r="DS146" s="93"/>
      <c r="DT146" s="94"/>
    </row>
    <row r="147">
      <c r="B147" s="120" t="str">
        <f>IFERROR(__xludf.DUMMYFUNCTION("""COMPUTED_VALUE"""),"SJK7")</f>
        <v>SJK7</v>
      </c>
      <c r="C147" s="82">
        <f>IFERROR(__xludf.DUMMYFUNCTION("""COMPUTED_VALUE"""),138.0)</f>
        <v>138</v>
      </c>
      <c r="D147" s="88" t="str">
        <f>IFERROR(__xludf.DUMMYFUNCTION("""COMPUTED_VALUE"""),"Party Hall")</f>
        <v>Party Hall</v>
      </c>
      <c r="E147" s="82" t="str">
        <f>IFERROR(__xludf.DUMMYFUNCTION("""COMPUTED_VALUE"""),"パーティー会場")</f>
        <v>パーティー会場</v>
      </c>
      <c r="F147" s="102">
        <f>IFERROR(__xludf.DUMMYFUNCTION("""COMPUTED_VALUE"""),21.0)</f>
        <v>21</v>
      </c>
      <c r="G147" s="82">
        <f>IFERROR(__xludf.DUMMYFUNCTION("""COMPUTED_VALUE"""),2804.0)</f>
        <v>2804</v>
      </c>
      <c r="H147" s="95" t="str">
        <f>IFERROR(__xludf.DUMMYFUNCTION("""COMPUTED_VALUE"""),"")</f>
        <v/>
      </c>
      <c r="I147" s="96" t="str">
        <f>IFERROR(__xludf.DUMMYFUNCTION("""COMPUTED_VALUE"""),"")</f>
        <v/>
      </c>
      <c r="J147" s="97" t="str">
        <f>IFERROR(__xludf.DUMMYFUNCTION("""COMPUTED_VALUE"""),"")</f>
        <v/>
      </c>
      <c r="K147" s="95" t="str">
        <f>IFERROR(__xludf.DUMMYFUNCTION("""COMPUTED_VALUE"""),"")</f>
        <v/>
      </c>
      <c r="L147" s="96" t="str">
        <f>IFERROR(__xludf.DUMMYFUNCTION("""COMPUTED_VALUE"""),"")</f>
        <v/>
      </c>
      <c r="M147" s="97" t="str">
        <f>IFERROR(__xludf.DUMMYFUNCTION("""COMPUTED_VALUE"""),"")</f>
        <v/>
      </c>
      <c r="N147" s="95" t="str">
        <f>IFERROR(__xludf.DUMMYFUNCTION("""COMPUTED_VALUE"""),"")</f>
        <v/>
      </c>
      <c r="O147" s="96" t="str">
        <f>IFERROR(__xludf.DUMMYFUNCTION("""COMPUTED_VALUE"""),"")</f>
        <v/>
      </c>
      <c r="P147" s="97" t="str">
        <f>IFERROR(__xludf.DUMMYFUNCTION("""COMPUTED_VALUE"""),"")</f>
        <v/>
      </c>
      <c r="Q147" s="95" t="str">
        <f>IFERROR(__xludf.DUMMYFUNCTION("""COMPUTED_VALUE"""),"")</f>
        <v/>
      </c>
      <c r="R147" s="96" t="str">
        <f>IFERROR(__xludf.DUMMYFUNCTION("""COMPUTED_VALUE"""),"")</f>
        <v/>
      </c>
      <c r="S147" s="97" t="str">
        <f>IFERROR(__xludf.DUMMYFUNCTION("""COMPUTED_VALUE"""),"")</f>
        <v/>
      </c>
      <c r="T147" s="95" t="str">
        <f>IFERROR(__xludf.DUMMYFUNCTION("""COMPUTED_VALUE"""),"")</f>
        <v/>
      </c>
      <c r="U147" s="96" t="str">
        <f>IFERROR(__xludf.DUMMYFUNCTION("""COMPUTED_VALUE"""),"")</f>
        <v/>
      </c>
      <c r="V147" s="97" t="str">
        <f>IFERROR(__xludf.DUMMYFUNCTION("""COMPUTED_VALUE"""),"")</f>
        <v/>
      </c>
      <c r="W147" s="95" t="str">
        <f>IFERROR(__xludf.DUMMYFUNCTION("""COMPUTED_VALUE"""),"")</f>
        <v/>
      </c>
      <c r="X147" s="96" t="str">
        <f>IFERROR(__xludf.DUMMYFUNCTION("""COMPUTED_VALUE"""),"")</f>
        <v/>
      </c>
      <c r="Y147" s="97" t="str">
        <f>IFERROR(__xludf.DUMMYFUNCTION("""COMPUTED_VALUE"""),"")</f>
        <v/>
      </c>
      <c r="Z147" s="95" t="str">
        <f>IFERROR(__xludf.DUMMYFUNCTION("""COMPUTED_VALUE"""),"")</f>
        <v/>
      </c>
      <c r="AA147" s="96" t="str">
        <f>IFERROR(__xludf.DUMMYFUNCTION("""COMPUTED_VALUE"""),"")</f>
        <v/>
      </c>
      <c r="AB147" s="97" t="str">
        <f>IFERROR(__xludf.DUMMYFUNCTION("""COMPUTED_VALUE"""),"")</f>
        <v/>
      </c>
      <c r="AC147" s="95" t="str">
        <f>IFERROR(__xludf.DUMMYFUNCTION("""COMPUTED_VALUE"""),"")</f>
        <v/>
      </c>
      <c r="AD147" s="96" t="str">
        <f>IFERROR(__xludf.DUMMYFUNCTION("""COMPUTED_VALUE"""),"")</f>
        <v/>
      </c>
      <c r="AE147" s="97">
        <f>IFERROR(__xludf.DUMMYFUNCTION("""COMPUTED_VALUE"""),106.7)</f>
        <v>106.7</v>
      </c>
      <c r="AF147" s="95" t="str">
        <f>IFERROR(__xludf.DUMMYFUNCTION("""COMPUTED_VALUE"""),"")</f>
        <v/>
      </c>
      <c r="AG147" s="96" t="str">
        <f>IFERROR(__xludf.DUMMYFUNCTION("""COMPUTED_VALUE"""),"")</f>
        <v/>
      </c>
      <c r="AH147" s="97" t="str">
        <f>IFERROR(__xludf.DUMMYFUNCTION("""COMPUTED_VALUE"""),"")</f>
        <v/>
      </c>
      <c r="AI147" s="103" t="str">
        <f>IFERROR(__xludf.DUMMYFUNCTION("""COMPUTED_VALUE"""),"")</f>
        <v/>
      </c>
      <c r="AJ147" s="104" t="str">
        <f>IFERROR(__xludf.DUMMYFUNCTION("""COMPUTED_VALUE"""),"")</f>
        <v/>
      </c>
      <c r="AK147" s="105" t="str">
        <f>IFERROR(__xludf.DUMMYFUNCTION("""COMPUTED_VALUE"""),"")</f>
        <v/>
      </c>
      <c r="AL147" s="104" t="str">
        <f>IFERROR(__xludf.DUMMYFUNCTION("""COMPUTED_VALUE"""),"")</f>
        <v/>
      </c>
      <c r="AM147" s="104" t="str">
        <f>IFERROR(__xludf.DUMMYFUNCTION("""COMPUTED_VALUE"""),"")</f>
        <v/>
      </c>
      <c r="AN147" s="105" t="str">
        <f>IFERROR(__xludf.DUMMYFUNCTION("""COMPUTED_VALUE"""),"")</f>
        <v/>
      </c>
      <c r="AO147" s="104" t="str">
        <f>IFERROR(__xludf.DUMMYFUNCTION("""COMPUTED_VALUE"""),"")</f>
        <v/>
      </c>
      <c r="AP147" s="104" t="str">
        <f>IFERROR(__xludf.DUMMYFUNCTION("""COMPUTED_VALUE"""),"")</f>
        <v/>
      </c>
      <c r="AQ147" s="105" t="str">
        <f>IFERROR(__xludf.DUMMYFUNCTION("""COMPUTED_VALUE"""),"")</f>
        <v/>
      </c>
      <c r="AR147" s="104" t="str">
        <f>IFERROR(__xludf.DUMMYFUNCTION("""COMPUTED_VALUE"""),"")</f>
        <v/>
      </c>
      <c r="AS147" s="104" t="str">
        <f>IFERROR(__xludf.DUMMYFUNCTION("""COMPUTED_VALUE"""),"")</f>
        <v/>
      </c>
      <c r="AT147" s="105" t="str">
        <f>IFERROR(__xludf.DUMMYFUNCTION("""COMPUTED_VALUE"""),"")</f>
        <v/>
      </c>
      <c r="AU147" s="104" t="str">
        <f>IFERROR(__xludf.DUMMYFUNCTION("""COMPUTED_VALUE"""),"")</f>
        <v/>
      </c>
      <c r="AV147" s="104" t="str">
        <f>IFERROR(__xludf.DUMMYFUNCTION("""COMPUTED_VALUE"""),"")</f>
        <v/>
      </c>
      <c r="AW147" s="105">
        <f>IFERROR(__xludf.DUMMYFUNCTION("""COMPUTED_VALUE"""),74.3)</f>
        <v>74.3</v>
      </c>
      <c r="AX147" s="104" t="str">
        <f>IFERROR(__xludf.DUMMYFUNCTION("""COMPUTED_VALUE"""),"")</f>
        <v/>
      </c>
      <c r="AY147" s="104" t="str">
        <f>IFERROR(__xludf.DUMMYFUNCTION("""COMPUTED_VALUE"""),"")</f>
        <v/>
      </c>
      <c r="AZ147" s="105">
        <f>IFERROR(__xludf.DUMMYFUNCTION("""COMPUTED_VALUE"""),72.6)</f>
        <v>72.6</v>
      </c>
      <c r="BA147" s="104" t="str">
        <f>IFERROR(__xludf.DUMMYFUNCTION("""COMPUTED_VALUE"""),"")</f>
        <v/>
      </c>
      <c r="BB147" s="104" t="str">
        <f>IFERROR(__xludf.DUMMYFUNCTION("""COMPUTED_VALUE"""),"")</f>
        <v/>
      </c>
      <c r="BC147" s="105" t="str">
        <f>IFERROR(__xludf.DUMMYFUNCTION("""COMPUTED_VALUE"""),"")</f>
        <v/>
      </c>
      <c r="BD147" s="104" t="str">
        <f>IFERROR(__xludf.DUMMYFUNCTION("""COMPUTED_VALUE"""),"")</f>
        <v/>
      </c>
      <c r="BE147" s="104" t="str">
        <f>IFERROR(__xludf.DUMMYFUNCTION("""COMPUTED_VALUE"""),"")</f>
        <v/>
      </c>
      <c r="BF147" s="105" t="str">
        <f>IFERROR(__xludf.DUMMYFUNCTION("""COMPUTED_VALUE"""),"")</f>
        <v/>
      </c>
      <c r="BG147" s="103" t="str">
        <f>IFERROR(__xludf.DUMMYFUNCTION("""COMPUTED_VALUE"""),"")</f>
        <v/>
      </c>
      <c r="BH147" s="104" t="str">
        <f>IFERROR(__xludf.DUMMYFUNCTION("""COMPUTED_VALUE"""),"")</f>
        <v/>
      </c>
      <c r="BI147" s="105" t="str">
        <f>IFERROR(__xludf.DUMMYFUNCTION("""COMPUTED_VALUE"""),"")</f>
        <v/>
      </c>
      <c r="BJ147" s="104" t="str">
        <f>IFERROR(__xludf.DUMMYFUNCTION("""COMPUTED_VALUE"""),"")</f>
        <v/>
      </c>
      <c r="BK147" s="104">
        <f>IFERROR(__xludf.DUMMYFUNCTION("""COMPUTED_VALUE"""),193.8)</f>
        <v>193.8</v>
      </c>
      <c r="BL147" s="105" t="str">
        <f>IFERROR(__xludf.DUMMYFUNCTION("""COMPUTED_VALUE"""),"")</f>
        <v/>
      </c>
      <c r="BM147" s="104" t="str">
        <f>IFERROR(__xludf.DUMMYFUNCTION("""COMPUTED_VALUE"""),"")</f>
        <v/>
      </c>
      <c r="BN147" s="104" t="str">
        <f>IFERROR(__xludf.DUMMYFUNCTION("""COMPUTED_VALUE"""),"")</f>
        <v/>
      </c>
      <c r="BO147" s="105">
        <f>IFERROR(__xludf.DUMMYFUNCTION("""COMPUTED_VALUE"""),142.8)</f>
        <v>142.8</v>
      </c>
      <c r="BP147" s="104" t="str">
        <f>IFERROR(__xludf.DUMMYFUNCTION("""COMPUTED_VALUE"""),"")</f>
        <v/>
      </c>
      <c r="BQ147" s="104" t="str">
        <f>IFERROR(__xludf.DUMMYFUNCTION("""COMPUTED_VALUE"""),"")</f>
        <v/>
      </c>
      <c r="BR147" s="105">
        <f>IFERROR(__xludf.DUMMYFUNCTION("""COMPUTED_VALUE"""),141.6)</f>
        <v>141.6</v>
      </c>
      <c r="BS147" s="104" t="str">
        <f>IFERROR(__xludf.DUMMYFUNCTION("""COMPUTED_VALUE"""),"")</f>
        <v/>
      </c>
      <c r="BT147" s="104" t="str">
        <f>IFERROR(__xludf.DUMMYFUNCTION("""COMPUTED_VALUE"""),"")</f>
        <v/>
      </c>
      <c r="BU147" s="105" t="str">
        <f>IFERROR(__xludf.DUMMYFUNCTION("""COMPUTED_VALUE"""),"")</f>
        <v/>
      </c>
      <c r="BV147" s="104" t="str">
        <f>IFERROR(__xludf.DUMMYFUNCTION("""COMPUTED_VALUE"""),"")</f>
        <v/>
      </c>
      <c r="BW147" s="104" t="str">
        <f>IFERROR(__xludf.DUMMYFUNCTION("""COMPUTED_VALUE"""),"")</f>
        <v/>
      </c>
      <c r="BX147" s="105" t="str">
        <f>IFERROR(__xludf.DUMMYFUNCTION("""COMPUTED_VALUE"""),"")</f>
        <v/>
      </c>
      <c r="BY147" s="104" t="str">
        <f>IFERROR(__xludf.DUMMYFUNCTION("""COMPUTED_VALUE"""),"")</f>
        <v/>
      </c>
      <c r="BZ147" s="104" t="str">
        <f>IFERROR(__xludf.DUMMYFUNCTION("""COMPUTED_VALUE"""),"")</f>
        <v/>
      </c>
      <c r="CA147" s="105" t="str">
        <f>IFERROR(__xludf.DUMMYFUNCTION("""COMPUTED_VALUE"""),"")</f>
        <v/>
      </c>
      <c r="CB147" s="103" t="str">
        <f>IFERROR(__xludf.DUMMYFUNCTION("""COMPUTED_VALUE"""),"")</f>
        <v/>
      </c>
      <c r="CC147" s="104" t="str">
        <f>IFERROR(__xludf.DUMMYFUNCTION("""COMPUTED_VALUE"""),"")</f>
        <v/>
      </c>
      <c r="CD147" s="105" t="str">
        <f>IFERROR(__xludf.DUMMYFUNCTION("""COMPUTED_VALUE"""),"")</f>
        <v/>
      </c>
      <c r="CE147" s="104" t="str">
        <f>IFERROR(__xludf.DUMMYFUNCTION("""COMPUTED_VALUE"""),"")</f>
        <v/>
      </c>
      <c r="CF147" s="104" t="str">
        <f>IFERROR(__xludf.DUMMYFUNCTION("""COMPUTED_VALUE"""),"")</f>
        <v/>
      </c>
      <c r="CG147" s="105" t="str">
        <f>IFERROR(__xludf.DUMMYFUNCTION("""COMPUTED_VALUE"""),"")</f>
        <v/>
      </c>
      <c r="CH147" s="104" t="str">
        <f>IFERROR(__xludf.DUMMYFUNCTION("""COMPUTED_VALUE"""),"")</f>
        <v/>
      </c>
      <c r="CI147" s="104" t="str">
        <f>IFERROR(__xludf.DUMMYFUNCTION("""COMPUTED_VALUE"""),"")</f>
        <v/>
      </c>
      <c r="CJ147" s="105" t="str">
        <f>IFERROR(__xludf.DUMMYFUNCTION("""COMPUTED_VALUE"""),"")</f>
        <v/>
      </c>
      <c r="CK147" s="104" t="str">
        <f>IFERROR(__xludf.DUMMYFUNCTION("""COMPUTED_VALUE"""),"")</f>
        <v/>
      </c>
      <c r="CL147" s="104" t="str">
        <f>IFERROR(__xludf.DUMMYFUNCTION("""COMPUTED_VALUE"""),"")</f>
        <v/>
      </c>
      <c r="CM147" s="105" t="str">
        <f>IFERROR(__xludf.DUMMYFUNCTION("""COMPUTED_VALUE"""),"")</f>
        <v/>
      </c>
      <c r="CN147" s="104" t="str">
        <f>IFERROR(__xludf.DUMMYFUNCTION("""COMPUTED_VALUE"""),"")</f>
        <v/>
      </c>
      <c r="CO147" s="104" t="str">
        <f>IFERROR(__xludf.DUMMYFUNCTION("""COMPUTED_VALUE"""),"")</f>
        <v/>
      </c>
      <c r="CP147" s="105" t="str">
        <f>IFERROR(__xludf.DUMMYFUNCTION("""COMPUTED_VALUE"""),"")</f>
        <v/>
      </c>
      <c r="CQ147" s="104" t="str">
        <f>IFERROR(__xludf.DUMMYFUNCTION("""COMPUTED_VALUE"""),"")</f>
        <v/>
      </c>
      <c r="CR147" s="104" t="str">
        <f>IFERROR(__xludf.DUMMYFUNCTION("""COMPUTED_VALUE"""),"")</f>
        <v/>
      </c>
      <c r="CS147" s="105"/>
      <c r="CT147" s="104"/>
      <c r="CU147" s="104"/>
      <c r="CV147" s="105"/>
      <c r="CW147" s="104"/>
      <c r="CX147" s="104"/>
      <c r="CY147" s="105"/>
      <c r="CZ147" s="104"/>
      <c r="DA147" s="104"/>
      <c r="DB147" s="105"/>
      <c r="DC147" s="104"/>
      <c r="DD147" s="104"/>
      <c r="DE147" s="105"/>
      <c r="DF147" s="104"/>
      <c r="DG147" s="104"/>
      <c r="DH147" s="105"/>
      <c r="DI147" s="104"/>
      <c r="DJ147" s="104"/>
      <c r="DK147" s="105"/>
      <c r="DL147" s="104"/>
      <c r="DM147" s="104"/>
      <c r="DN147" s="105"/>
      <c r="DO147" s="104"/>
      <c r="DP147" s="104"/>
      <c r="DQ147" s="105"/>
      <c r="DR147" s="104"/>
      <c r="DS147" s="104"/>
      <c r="DT147" s="105"/>
    </row>
    <row r="148">
      <c r="B148" s="120" t="str">
        <f>IFERROR(__xludf.DUMMYFUNCTION("""COMPUTED_VALUE"""),"SJK8")</f>
        <v>SJK8</v>
      </c>
      <c r="C148" s="82">
        <f>IFERROR(__xludf.DUMMYFUNCTION("""COMPUTED_VALUE"""),139.0)</f>
        <v>139</v>
      </c>
      <c r="D148" s="88" t="str">
        <f>IFERROR(__xludf.DUMMYFUNCTION("""COMPUTED_VALUE"""),"Tower - Top Floor")</f>
        <v>Tower - Top Floor</v>
      </c>
      <c r="E148" s="82" t="str">
        <f>IFERROR(__xludf.DUMMYFUNCTION("""COMPUTED_VALUE"""),"タワー最上階")</f>
        <v>タワー最上階</v>
      </c>
      <c r="F148" s="102">
        <f>IFERROR(__xludf.DUMMYFUNCTION("""COMPUTED_VALUE"""),21.0)</f>
        <v>21</v>
      </c>
      <c r="G148" s="82">
        <f>IFERROR(__xludf.DUMMYFUNCTION("""COMPUTED_VALUE"""),13982.0)</f>
        <v>13982</v>
      </c>
      <c r="H148" s="95" t="str">
        <f>IFERROR(__xludf.DUMMYFUNCTION("""COMPUTED_VALUE"""),"")</f>
        <v/>
      </c>
      <c r="I148" s="96" t="str">
        <f>IFERROR(__xludf.DUMMYFUNCTION("""COMPUTED_VALUE"""),"")</f>
        <v/>
      </c>
      <c r="J148" s="97" t="str">
        <f>IFERROR(__xludf.DUMMYFUNCTION("""COMPUTED_VALUE"""),"")</f>
        <v/>
      </c>
      <c r="K148" s="95">
        <f>IFERROR(__xludf.DUMMYFUNCTION("""COMPUTED_VALUE"""),180.2)</f>
        <v>180.2</v>
      </c>
      <c r="L148" s="96" t="str">
        <f>IFERROR(__xludf.DUMMYFUNCTION("""COMPUTED_VALUE"""),"")</f>
        <v/>
      </c>
      <c r="M148" s="97" t="str">
        <f>IFERROR(__xludf.DUMMYFUNCTION("""COMPUTED_VALUE"""),"")</f>
        <v/>
      </c>
      <c r="N148" s="95" t="str">
        <f>IFERROR(__xludf.DUMMYFUNCTION("""COMPUTED_VALUE"""),"")</f>
        <v/>
      </c>
      <c r="O148" s="96" t="str">
        <f>IFERROR(__xludf.DUMMYFUNCTION("""COMPUTED_VALUE"""),"")</f>
        <v/>
      </c>
      <c r="P148" s="97" t="str">
        <f>IFERROR(__xludf.DUMMYFUNCTION("""COMPUTED_VALUE"""),"")</f>
        <v/>
      </c>
      <c r="Q148" s="95" t="str">
        <f>IFERROR(__xludf.DUMMYFUNCTION("""COMPUTED_VALUE"""),"")</f>
        <v/>
      </c>
      <c r="R148" s="96" t="str">
        <f>IFERROR(__xludf.DUMMYFUNCTION("""COMPUTED_VALUE"""),"")</f>
        <v/>
      </c>
      <c r="S148" s="97" t="str">
        <f>IFERROR(__xludf.DUMMYFUNCTION("""COMPUTED_VALUE"""),"")</f>
        <v/>
      </c>
      <c r="T148" s="95" t="str">
        <f>IFERROR(__xludf.DUMMYFUNCTION("""COMPUTED_VALUE"""),"")</f>
        <v/>
      </c>
      <c r="U148" s="96" t="str">
        <f>IFERROR(__xludf.DUMMYFUNCTION("""COMPUTED_VALUE"""),"")</f>
        <v/>
      </c>
      <c r="V148" s="97" t="str">
        <f>IFERROR(__xludf.DUMMYFUNCTION("""COMPUTED_VALUE"""),"")</f>
        <v/>
      </c>
      <c r="W148" s="95" t="str">
        <f>IFERROR(__xludf.DUMMYFUNCTION("""COMPUTED_VALUE"""),"")</f>
        <v/>
      </c>
      <c r="X148" s="96" t="str">
        <f>IFERROR(__xludf.DUMMYFUNCTION("""COMPUTED_VALUE"""),"")</f>
        <v/>
      </c>
      <c r="Y148" s="97" t="str">
        <f>IFERROR(__xludf.DUMMYFUNCTION("""COMPUTED_VALUE"""),"")</f>
        <v/>
      </c>
      <c r="Z148" s="95" t="str">
        <f>IFERROR(__xludf.DUMMYFUNCTION("""COMPUTED_VALUE"""),"")</f>
        <v/>
      </c>
      <c r="AA148" s="96" t="str">
        <f>IFERROR(__xludf.DUMMYFUNCTION("""COMPUTED_VALUE"""),"")</f>
        <v/>
      </c>
      <c r="AB148" s="97" t="str">
        <f>IFERROR(__xludf.DUMMYFUNCTION("""COMPUTED_VALUE"""),"")</f>
        <v/>
      </c>
      <c r="AC148" s="95" t="str">
        <f>IFERROR(__xludf.DUMMYFUNCTION("""COMPUTED_VALUE"""),"")</f>
        <v/>
      </c>
      <c r="AD148" s="96" t="str">
        <f>IFERROR(__xludf.DUMMYFUNCTION("""COMPUTED_VALUE"""),"")</f>
        <v/>
      </c>
      <c r="AE148" s="97">
        <f>IFERROR(__xludf.DUMMYFUNCTION("""COMPUTED_VALUE"""),101.9)</f>
        <v>101.9</v>
      </c>
      <c r="AF148" s="95" t="str">
        <f>IFERROR(__xludf.DUMMYFUNCTION("""COMPUTED_VALUE"""),"")</f>
        <v/>
      </c>
      <c r="AG148" s="96" t="str">
        <f>IFERROR(__xludf.DUMMYFUNCTION("""COMPUTED_VALUE"""),"")</f>
        <v/>
      </c>
      <c r="AH148" s="97" t="str">
        <f>IFERROR(__xludf.DUMMYFUNCTION("""COMPUTED_VALUE"""),"")</f>
        <v/>
      </c>
      <c r="AI148" s="92" t="str">
        <f>IFERROR(__xludf.DUMMYFUNCTION("""COMPUTED_VALUE"""),"")</f>
        <v/>
      </c>
      <c r="AJ148" s="93" t="str">
        <f>IFERROR(__xludf.DUMMYFUNCTION("""COMPUTED_VALUE"""),"")</f>
        <v/>
      </c>
      <c r="AK148" s="94" t="str">
        <f>IFERROR(__xludf.DUMMYFUNCTION("""COMPUTED_VALUE"""),"")</f>
        <v/>
      </c>
      <c r="AL148" s="140" t="str">
        <f>IFERROR(__xludf.DUMMYFUNCTION("""COMPUTED_VALUE"""),"")</f>
        <v/>
      </c>
      <c r="AM148" s="93" t="str">
        <f>IFERROR(__xludf.DUMMYFUNCTION("""COMPUTED_VALUE"""),"")</f>
        <v/>
      </c>
      <c r="AN148" s="94" t="str">
        <f>IFERROR(__xludf.DUMMYFUNCTION("""COMPUTED_VALUE"""),"")</f>
        <v/>
      </c>
      <c r="AO148" s="93" t="str">
        <f>IFERROR(__xludf.DUMMYFUNCTION("""COMPUTED_VALUE"""),"")</f>
        <v/>
      </c>
      <c r="AP148" s="93" t="str">
        <f>IFERROR(__xludf.DUMMYFUNCTION("""COMPUTED_VALUE"""),"")</f>
        <v/>
      </c>
      <c r="AQ148" s="94" t="str">
        <f>IFERROR(__xludf.DUMMYFUNCTION("""COMPUTED_VALUE"""),"")</f>
        <v/>
      </c>
      <c r="AR148" s="93" t="str">
        <f>IFERROR(__xludf.DUMMYFUNCTION("""COMPUTED_VALUE"""),"")</f>
        <v/>
      </c>
      <c r="AS148" s="93" t="str">
        <f>IFERROR(__xludf.DUMMYFUNCTION("""COMPUTED_VALUE"""),"")</f>
        <v/>
      </c>
      <c r="AT148" s="94" t="str">
        <f>IFERROR(__xludf.DUMMYFUNCTION("""COMPUTED_VALUE"""),"")</f>
        <v/>
      </c>
      <c r="AU148" s="93" t="str">
        <f>IFERROR(__xludf.DUMMYFUNCTION("""COMPUTED_VALUE"""),"")</f>
        <v/>
      </c>
      <c r="AV148" s="93" t="str">
        <f>IFERROR(__xludf.DUMMYFUNCTION("""COMPUTED_VALUE"""),"")</f>
        <v/>
      </c>
      <c r="AW148" s="94" t="str">
        <f>IFERROR(__xludf.DUMMYFUNCTION("""COMPUTED_VALUE"""),"")</f>
        <v/>
      </c>
      <c r="AX148" s="93" t="str">
        <f>IFERROR(__xludf.DUMMYFUNCTION("""COMPUTED_VALUE"""),"")</f>
        <v/>
      </c>
      <c r="AY148" s="93" t="str">
        <f>IFERROR(__xludf.DUMMYFUNCTION("""COMPUTED_VALUE"""),"")</f>
        <v/>
      </c>
      <c r="AZ148" s="94" t="str">
        <f>IFERROR(__xludf.DUMMYFUNCTION("""COMPUTED_VALUE"""),"")</f>
        <v/>
      </c>
      <c r="BA148" s="93" t="str">
        <f>IFERROR(__xludf.DUMMYFUNCTION("""COMPUTED_VALUE"""),"")</f>
        <v/>
      </c>
      <c r="BB148" s="93" t="str">
        <f>IFERROR(__xludf.DUMMYFUNCTION("""COMPUTED_VALUE"""),"")</f>
        <v/>
      </c>
      <c r="BC148" s="94">
        <f>IFERROR(__xludf.DUMMYFUNCTION("""COMPUTED_VALUE"""),497.8)</f>
        <v>497.8</v>
      </c>
      <c r="BD148" s="93" t="str">
        <f>IFERROR(__xludf.DUMMYFUNCTION("""COMPUTED_VALUE"""),"")</f>
        <v/>
      </c>
      <c r="BE148" s="93" t="str">
        <f>IFERROR(__xludf.DUMMYFUNCTION("""COMPUTED_VALUE"""),"")</f>
        <v/>
      </c>
      <c r="BF148" s="94" t="str">
        <f>IFERROR(__xludf.DUMMYFUNCTION("""COMPUTED_VALUE"""),"")</f>
        <v/>
      </c>
      <c r="BG148" s="92" t="str">
        <f>IFERROR(__xludf.DUMMYFUNCTION("""COMPUTED_VALUE"""),"")</f>
        <v/>
      </c>
      <c r="BH148" s="93" t="str">
        <f>IFERROR(__xludf.DUMMYFUNCTION("""COMPUTED_VALUE"""),"")</f>
        <v/>
      </c>
      <c r="BI148" s="94" t="str">
        <f>IFERROR(__xludf.DUMMYFUNCTION("""COMPUTED_VALUE"""),"")</f>
        <v/>
      </c>
      <c r="BJ148" s="93" t="str">
        <f>IFERROR(__xludf.DUMMYFUNCTION("""COMPUTED_VALUE"""),"")</f>
        <v/>
      </c>
      <c r="BK148" s="93" t="str">
        <f>IFERROR(__xludf.DUMMYFUNCTION("""COMPUTED_VALUE"""),"")</f>
        <v/>
      </c>
      <c r="BL148" s="94" t="str">
        <f>IFERROR(__xludf.DUMMYFUNCTION("""COMPUTED_VALUE"""),"")</f>
        <v/>
      </c>
      <c r="BM148" s="93" t="str">
        <f>IFERROR(__xludf.DUMMYFUNCTION("""COMPUTED_VALUE"""),"")</f>
        <v/>
      </c>
      <c r="BN148" s="93" t="str">
        <f>IFERROR(__xludf.DUMMYFUNCTION("""COMPUTED_VALUE"""),"")</f>
        <v/>
      </c>
      <c r="BO148" s="94">
        <f>IFERROR(__xludf.DUMMYFUNCTION("""COMPUTED_VALUE"""),79.3)</f>
        <v>79.3</v>
      </c>
      <c r="BP148" s="93" t="str">
        <f>IFERROR(__xludf.DUMMYFUNCTION("""COMPUTED_VALUE"""),"")</f>
        <v/>
      </c>
      <c r="BQ148" s="93" t="str">
        <f>IFERROR(__xludf.DUMMYFUNCTION("""COMPUTED_VALUE"""),"")</f>
        <v/>
      </c>
      <c r="BR148" s="94" t="str">
        <f>IFERROR(__xludf.DUMMYFUNCTION("""COMPUTED_VALUE"""),"")</f>
        <v/>
      </c>
      <c r="BS148" s="93" t="str">
        <f>IFERROR(__xludf.DUMMYFUNCTION("""COMPUTED_VALUE"""),"")</f>
        <v/>
      </c>
      <c r="BT148" s="93" t="str">
        <f>IFERROR(__xludf.DUMMYFUNCTION("""COMPUTED_VALUE"""),"")</f>
        <v/>
      </c>
      <c r="BU148" s="94" t="str">
        <f>IFERROR(__xludf.DUMMYFUNCTION("""COMPUTED_VALUE"""),"")</f>
        <v/>
      </c>
      <c r="BV148" s="93" t="str">
        <f>IFERROR(__xludf.DUMMYFUNCTION("""COMPUTED_VALUE"""),"")</f>
        <v/>
      </c>
      <c r="BW148" s="93" t="str">
        <f>IFERROR(__xludf.DUMMYFUNCTION("""COMPUTED_VALUE"""),"")</f>
        <v/>
      </c>
      <c r="BX148" s="94" t="str">
        <f>IFERROR(__xludf.DUMMYFUNCTION("""COMPUTED_VALUE"""),"")</f>
        <v/>
      </c>
      <c r="BY148" s="93" t="str">
        <f>IFERROR(__xludf.DUMMYFUNCTION("""COMPUTED_VALUE"""),"")</f>
        <v/>
      </c>
      <c r="BZ148" s="93" t="str">
        <f>IFERROR(__xludf.DUMMYFUNCTION("""COMPUTED_VALUE"""),"")</f>
        <v/>
      </c>
      <c r="CA148" s="94" t="str">
        <f>IFERROR(__xludf.DUMMYFUNCTION("""COMPUTED_VALUE"""),"")</f>
        <v/>
      </c>
      <c r="CB148" s="92" t="str">
        <f>IFERROR(__xludf.DUMMYFUNCTION("""COMPUTED_VALUE"""),"")</f>
        <v/>
      </c>
      <c r="CC148" s="93" t="str">
        <f>IFERROR(__xludf.DUMMYFUNCTION("""COMPUTED_VALUE"""),"")</f>
        <v/>
      </c>
      <c r="CD148" s="94" t="str">
        <f>IFERROR(__xludf.DUMMYFUNCTION("""COMPUTED_VALUE"""),"")</f>
        <v/>
      </c>
      <c r="CE148" s="93" t="str">
        <f>IFERROR(__xludf.DUMMYFUNCTION("""COMPUTED_VALUE"""),"")</f>
        <v/>
      </c>
      <c r="CF148" s="93" t="str">
        <f>IFERROR(__xludf.DUMMYFUNCTION("""COMPUTED_VALUE"""),"")</f>
        <v/>
      </c>
      <c r="CG148" s="94" t="str">
        <f>IFERROR(__xludf.DUMMYFUNCTION("""COMPUTED_VALUE"""),"")</f>
        <v/>
      </c>
      <c r="CH148" s="93" t="str">
        <f>IFERROR(__xludf.DUMMYFUNCTION("""COMPUTED_VALUE"""),"")</f>
        <v/>
      </c>
      <c r="CI148" s="93" t="str">
        <f>IFERROR(__xludf.DUMMYFUNCTION("""COMPUTED_VALUE"""),"")</f>
        <v/>
      </c>
      <c r="CJ148" s="94" t="str">
        <f>IFERROR(__xludf.DUMMYFUNCTION("""COMPUTED_VALUE"""),"")</f>
        <v/>
      </c>
      <c r="CK148" s="93" t="str">
        <f>IFERROR(__xludf.DUMMYFUNCTION("""COMPUTED_VALUE"""),"")</f>
        <v/>
      </c>
      <c r="CL148" s="93">
        <f>IFERROR(__xludf.DUMMYFUNCTION("""COMPUTED_VALUE"""),438.3)</f>
        <v>438.3</v>
      </c>
      <c r="CM148" s="94" t="str">
        <f>IFERROR(__xludf.DUMMYFUNCTION("""COMPUTED_VALUE"""),"")</f>
        <v/>
      </c>
      <c r="CN148" s="93" t="str">
        <f>IFERROR(__xludf.DUMMYFUNCTION("""COMPUTED_VALUE"""),"")</f>
        <v/>
      </c>
      <c r="CO148" s="93" t="str">
        <f>IFERROR(__xludf.DUMMYFUNCTION("""COMPUTED_VALUE"""),"")</f>
        <v/>
      </c>
      <c r="CP148" s="94" t="str">
        <f>IFERROR(__xludf.DUMMYFUNCTION("""COMPUTED_VALUE"""),"")</f>
        <v/>
      </c>
      <c r="CQ148" s="93" t="str">
        <f>IFERROR(__xludf.DUMMYFUNCTION("""COMPUTED_VALUE"""),"")</f>
        <v/>
      </c>
      <c r="CR148" s="93" t="str">
        <f>IFERROR(__xludf.DUMMYFUNCTION("""COMPUTED_VALUE"""),"")</f>
        <v/>
      </c>
      <c r="CS148" s="94"/>
      <c r="CT148" s="93"/>
      <c r="CU148" s="93"/>
      <c r="CV148" s="94"/>
      <c r="CW148" s="93"/>
      <c r="CX148" s="93"/>
      <c r="CY148" s="94"/>
      <c r="CZ148" s="93"/>
      <c r="DA148" s="93"/>
      <c r="DB148" s="94"/>
      <c r="DC148" s="93"/>
      <c r="DD148" s="93"/>
      <c r="DE148" s="94"/>
      <c r="DF148" s="93"/>
      <c r="DG148" s="93"/>
      <c r="DH148" s="94"/>
      <c r="DI148" s="93"/>
      <c r="DJ148" s="93"/>
      <c r="DK148" s="94"/>
      <c r="DL148" s="93"/>
      <c r="DM148" s="93"/>
      <c r="DN148" s="94"/>
      <c r="DO148" s="93"/>
      <c r="DP148" s="93"/>
      <c r="DQ148" s="94"/>
      <c r="DR148" s="93"/>
      <c r="DS148" s="93"/>
      <c r="DT148" s="94"/>
    </row>
    <row r="149">
      <c r="B149" s="120" t="str">
        <f>IFERROR(__xludf.DUMMYFUNCTION("""COMPUTED_VALUE"""),"SJK9")</f>
        <v>SJK9</v>
      </c>
      <c r="C149" s="82">
        <f>IFERROR(__xludf.DUMMYFUNCTION("""COMPUTED_VALUE"""),140.0)</f>
        <v>140</v>
      </c>
      <c r="D149" s="88" t="str">
        <f>IFERROR(__xludf.DUMMYFUNCTION("""COMPUTED_VALUE"""),"Shinjuku Gyoen")</f>
        <v>Shinjuku Gyoen</v>
      </c>
      <c r="E149" s="82" t="str">
        <f>IFERROR(__xludf.DUMMYFUNCTION("""COMPUTED_VALUE"""),"新宿御苑")</f>
        <v>新宿御苑</v>
      </c>
      <c r="F149" s="102">
        <f>IFERROR(__xludf.DUMMYFUNCTION("""COMPUTED_VALUE"""),21.0)</f>
        <v>21</v>
      </c>
      <c r="G149" s="82">
        <f>IFERROR(__xludf.DUMMYFUNCTION("""COMPUTED_VALUE"""),59275.0)</f>
        <v>59275</v>
      </c>
      <c r="H149" s="95" t="str">
        <f>IFERROR(__xludf.DUMMYFUNCTION("""COMPUTED_VALUE"""),"")</f>
        <v/>
      </c>
      <c r="I149" s="96">
        <f>IFERROR(__xludf.DUMMYFUNCTION("""COMPUTED_VALUE"""),175.1)</f>
        <v>175.1</v>
      </c>
      <c r="J149" s="97" t="str">
        <f>IFERROR(__xludf.DUMMYFUNCTION("""COMPUTED_VALUE"""),"")</f>
        <v/>
      </c>
      <c r="K149" s="95" t="str">
        <f>IFERROR(__xludf.DUMMYFUNCTION("""COMPUTED_VALUE"""),"")</f>
        <v/>
      </c>
      <c r="L149" s="96" t="str">
        <f>IFERROR(__xludf.DUMMYFUNCTION("""COMPUTED_VALUE"""),"")</f>
        <v/>
      </c>
      <c r="M149" s="97" t="str">
        <f>IFERROR(__xludf.DUMMYFUNCTION("""COMPUTED_VALUE"""),"")</f>
        <v/>
      </c>
      <c r="N149" s="95" t="str">
        <f>IFERROR(__xludf.DUMMYFUNCTION("""COMPUTED_VALUE"""),"")</f>
        <v/>
      </c>
      <c r="O149" s="96" t="str">
        <f>IFERROR(__xludf.DUMMYFUNCTION("""COMPUTED_VALUE"""),"")</f>
        <v/>
      </c>
      <c r="P149" s="97" t="str">
        <f>IFERROR(__xludf.DUMMYFUNCTION("""COMPUTED_VALUE"""),"")</f>
        <v/>
      </c>
      <c r="Q149" s="95" t="str">
        <f>IFERROR(__xludf.DUMMYFUNCTION("""COMPUTED_VALUE"""),"")</f>
        <v/>
      </c>
      <c r="R149" s="96" t="str">
        <f>IFERROR(__xludf.DUMMYFUNCTION("""COMPUTED_VALUE"""),"")</f>
        <v/>
      </c>
      <c r="S149" s="97" t="str">
        <f>IFERROR(__xludf.DUMMYFUNCTION("""COMPUTED_VALUE"""),"")</f>
        <v/>
      </c>
      <c r="T149" s="95" t="str">
        <f>IFERROR(__xludf.DUMMYFUNCTION("""COMPUTED_VALUE"""),"")</f>
        <v/>
      </c>
      <c r="U149" s="96" t="str">
        <f>IFERROR(__xludf.DUMMYFUNCTION("""COMPUTED_VALUE"""),"")</f>
        <v/>
      </c>
      <c r="V149" s="97" t="str">
        <f>IFERROR(__xludf.DUMMYFUNCTION("""COMPUTED_VALUE"""),"")</f>
        <v/>
      </c>
      <c r="W149" s="95" t="str">
        <f>IFERROR(__xludf.DUMMYFUNCTION("""COMPUTED_VALUE"""),"")</f>
        <v/>
      </c>
      <c r="X149" s="96" t="str">
        <f>IFERROR(__xludf.DUMMYFUNCTION("""COMPUTED_VALUE"""),"")</f>
        <v/>
      </c>
      <c r="Y149" s="97" t="str">
        <f>IFERROR(__xludf.DUMMYFUNCTION("""COMPUTED_VALUE"""),"")</f>
        <v/>
      </c>
      <c r="Z149" s="95" t="str">
        <f>IFERROR(__xludf.DUMMYFUNCTION("""COMPUTED_VALUE"""),"")</f>
        <v/>
      </c>
      <c r="AA149" s="96" t="str">
        <f>IFERROR(__xludf.DUMMYFUNCTION("""COMPUTED_VALUE"""),"")</f>
        <v/>
      </c>
      <c r="AB149" s="97" t="str">
        <f>IFERROR(__xludf.DUMMYFUNCTION("""COMPUTED_VALUE"""),"")</f>
        <v/>
      </c>
      <c r="AC149" s="95" t="str">
        <f>IFERROR(__xludf.DUMMYFUNCTION("""COMPUTED_VALUE"""),"")</f>
        <v/>
      </c>
      <c r="AD149" s="96" t="str">
        <f>IFERROR(__xludf.DUMMYFUNCTION("""COMPUTED_VALUE"""),"")</f>
        <v/>
      </c>
      <c r="AE149" s="97" t="str">
        <f>IFERROR(__xludf.DUMMYFUNCTION("""COMPUTED_VALUE"""),"")</f>
        <v/>
      </c>
      <c r="AF149" s="95" t="str">
        <f>IFERROR(__xludf.DUMMYFUNCTION("""COMPUTED_VALUE"""),"")</f>
        <v/>
      </c>
      <c r="AG149" s="96" t="str">
        <f>IFERROR(__xludf.DUMMYFUNCTION("""COMPUTED_VALUE"""),"")</f>
        <v/>
      </c>
      <c r="AH149" s="97" t="str">
        <f>IFERROR(__xludf.DUMMYFUNCTION("""COMPUTED_VALUE"""),"")</f>
        <v/>
      </c>
      <c r="AI149" s="103" t="str">
        <f>IFERROR(__xludf.DUMMYFUNCTION("""COMPUTED_VALUE"""),"")</f>
        <v/>
      </c>
      <c r="AJ149" s="140" t="str">
        <f>IFERROR(__xludf.DUMMYFUNCTION("""COMPUTED_VALUE"""),"")</f>
        <v/>
      </c>
      <c r="AK149" s="105" t="str">
        <f>IFERROR(__xludf.DUMMYFUNCTION("""COMPUTED_VALUE"""),"")</f>
        <v/>
      </c>
      <c r="AL149" s="104" t="str">
        <f>IFERROR(__xludf.DUMMYFUNCTION("""COMPUTED_VALUE"""),"")</f>
        <v/>
      </c>
      <c r="AM149" s="104" t="str">
        <f>IFERROR(__xludf.DUMMYFUNCTION("""COMPUTED_VALUE"""),"")</f>
        <v/>
      </c>
      <c r="AN149" s="105" t="str">
        <f>IFERROR(__xludf.DUMMYFUNCTION("""COMPUTED_VALUE"""),"")</f>
        <v/>
      </c>
      <c r="AO149" s="104" t="str">
        <f>IFERROR(__xludf.DUMMYFUNCTION("""COMPUTED_VALUE"""),"")</f>
        <v/>
      </c>
      <c r="AP149" s="104" t="str">
        <f>IFERROR(__xludf.DUMMYFUNCTION("""COMPUTED_VALUE"""),"")</f>
        <v/>
      </c>
      <c r="AQ149" s="105" t="str">
        <f>IFERROR(__xludf.DUMMYFUNCTION("""COMPUTED_VALUE"""),"")</f>
        <v/>
      </c>
      <c r="AR149" s="104" t="str">
        <f>IFERROR(__xludf.DUMMYFUNCTION("""COMPUTED_VALUE"""),"")</f>
        <v/>
      </c>
      <c r="AS149" s="104" t="str">
        <f>IFERROR(__xludf.DUMMYFUNCTION("""COMPUTED_VALUE"""),"")</f>
        <v/>
      </c>
      <c r="AT149" s="105" t="str">
        <f>IFERROR(__xludf.DUMMYFUNCTION("""COMPUTED_VALUE"""),"")</f>
        <v/>
      </c>
      <c r="AU149" s="104" t="str">
        <f>IFERROR(__xludf.DUMMYFUNCTION("""COMPUTED_VALUE"""),"")</f>
        <v/>
      </c>
      <c r="AV149" s="104" t="str">
        <f>IFERROR(__xludf.DUMMYFUNCTION("""COMPUTED_VALUE"""),"")</f>
        <v/>
      </c>
      <c r="AW149" s="105" t="str">
        <f>IFERROR(__xludf.DUMMYFUNCTION("""COMPUTED_VALUE"""),"")</f>
        <v/>
      </c>
      <c r="AX149" s="104" t="str">
        <f>IFERROR(__xludf.DUMMYFUNCTION("""COMPUTED_VALUE"""),"")</f>
        <v/>
      </c>
      <c r="AY149" s="104" t="str">
        <f>IFERROR(__xludf.DUMMYFUNCTION("""COMPUTED_VALUE"""),"")</f>
        <v/>
      </c>
      <c r="AZ149" s="105">
        <f>IFERROR(__xludf.DUMMYFUNCTION("""COMPUTED_VALUE"""),69.6)</f>
        <v>69.6</v>
      </c>
      <c r="BA149" s="104" t="str">
        <f>IFERROR(__xludf.DUMMYFUNCTION("""COMPUTED_VALUE"""),"")</f>
        <v/>
      </c>
      <c r="BB149" s="104" t="str">
        <f>IFERROR(__xludf.DUMMYFUNCTION("""COMPUTED_VALUE"""),"")</f>
        <v/>
      </c>
      <c r="BC149" s="105" t="str">
        <f>IFERROR(__xludf.DUMMYFUNCTION("""COMPUTED_VALUE"""),"")</f>
        <v/>
      </c>
      <c r="BD149" s="104" t="str">
        <f>IFERROR(__xludf.DUMMYFUNCTION("""COMPUTED_VALUE"""),"")</f>
        <v/>
      </c>
      <c r="BE149" s="104" t="str">
        <f>IFERROR(__xludf.DUMMYFUNCTION("""COMPUTED_VALUE"""),"")</f>
        <v/>
      </c>
      <c r="BF149" s="105" t="str">
        <f>IFERROR(__xludf.DUMMYFUNCTION("""COMPUTED_VALUE"""),"")</f>
        <v/>
      </c>
      <c r="BG149" s="103">
        <f>IFERROR(__xludf.DUMMYFUNCTION("""COMPUTED_VALUE"""),469.9)</f>
        <v>469.9</v>
      </c>
      <c r="BH149" s="104" t="str">
        <f>IFERROR(__xludf.DUMMYFUNCTION("""COMPUTED_VALUE"""),"")</f>
        <v/>
      </c>
      <c r="BI149" s="105" t="str">
        <f>IFERROR(__xludf.DUMMYFUNCTION("""COMPUTED_VALUE"""),"")</f>
        <v/>
      </c>
      <c r="BJ149" s="104" t="str">
        <f>IFERROR(__xludf.DUMMYFUNCTION("""COMPUTED_VALUE"""),"")</f>
        <v/>
      </c>
      <c r="BK149" s="104" t="str">
        <f>IFERROR(__xludf.DUMMYFUNCTION("""COMPUTED_VALUE"""),"")</f>
        <v/>
      </c>
      <c r="BL149" s="105" t="str">
        <f>IFERROR(__xludf.DUMMYFUNCTION("""COMPUTED_VALUE"""),"")</f>
        <v/>
      </c>
      <c r="BM149" s="104" t="str">
        <f>IFERROR(__xludf.DUMMYFUNCTION("""COMPUTED_VALUE"""),"")</f>
        <v/>
      </c>
      <c r="BN149" s="104" t="str">
        <f>IFERROR(__xludf.DUMMYFUNCTION("""COMPUTED_VALUE"""),"")</f>
        <v/>
      </c>
      <c r="BO149" s="105" t="str">
        <f>IFERROR(__xludf.DUMMYFUNCTION("""COMPUTED_VALUE"""),"")</f>
        <v/>
      </c>
      <c r="BP149" s="104" t="str">
        <f>IFERROR(__xludf.DUMMYFUNCTION("""COMPUTED_VALUE"""),"")</f>
        <v/>
      </c>
      <c r="BQ149" s="104" t="str">
        <f>IFERROR(__xludf.DUMMYFUNCTION("""COMPUTED_VALUE"""),"")</f>
        <v/>
      </c>
      <c r="BR149" s="105" t="str">
        <f>IFERROR(__xludf.DUMMYFUNCTION("""COMPUTED_VALUE"""),"")</f>
        <v/>
      </c>
      <c r="BS149" s="104" t="str">
        <f>IFERROR(__xludf.DUMMYFUNCTION("""COMPUTED_VALUE"""),"")</f>
        <v/>
      </c>
      <c r="BT149" s="104" t="str">
        <f>IFERROR(__xludf.DUMMYFUNCTION("""COMPUTED_VALUE"""),"")</f>
        <v/>
      </c>
      <c r="BU149" s="105">
        <f>IFERROR(__xludf.DUMMYFUNCTION("""COMPUTED_VALUE"""),54.2)</f>
        <v>54.2</v>
      </c>
      <c r="BV149" s="104" t="str">
        <f>IFERROR(__xludf.DUMMYFUNCTION("""COMPUTED_VALUE"""),"")</f>
        <v/>
      </c>
      <c r="BW149" s="104" t="str">
        <f>IFERROR(__xludf.DUMMYFUNCTION("""COMPUTED_VALUE"""),"")</f>
        <v/>
      </c>
      <c r="BX149" s="105" t="str">
        <f>IFERROR(__xludf.DUMMYFUNCTION("""COMPUTED_VALUE"""),"")</f>
        <v/>
      </c>
      <c r="BY149" s="104" t="str">
        <f>IFERROR(__xludf.DUMMYFUNCTION("""COMPUTED_VALUE"""),"")</f>
        <v/>
      </c>
      <c r="BZ149" s="104" t="str">
        <f>IFERROR(__xludf.DUMMYFUNCTION("""COMPUTED_VALUE"""),"")</f>
        <v/>
      </c>
      <c r="CA149" s="105" t="str">
        <f>IFERROR(__xludf.DUMMYFUNCTION("""COMPUTED_VALUE"""),"")</f>
        <v/>
      </c>
      <c r="CB149" s="103" t="str">
        <f>IFERROR(__xludf.DUMMYFUNCTION("""COMPUTED_VALUE"""),"")</f>
        <v/>
      </c>
      <c r="CC149" s="104" t="str">
        <f>IFERROR(__xludf.DUMMYFUNCTION("""COMPUTED_VALUE"""),"")</f>
        <v/>
      </c>
      <c r="CD149" s="105" t="str">
        <f>IFERROR(__xludf.DUMMYFUNCTION("""COMPUTED_VALUE"""),"")</f>
        <v/>
      </c>
      <c r="CE149" s="104" t="str">
        <f>IFERROR(__xludf.DUMMYFUNCTION("""COMPUTED_VALUE"""),"")</f>
        <v/>
      </c>
      <c r="CF149" s="104" t="str">
        <f>IFERROR(__xludf.DUMMYFUNCTION("""COMPUTED_VALUE"""),"")</f>
        <v/>
      </c>
      <c r="CG149" s="105" t="str">
        <f>IFERROR(__xludf.DUMMYFUNCTION("""COMPUTED_VALUE"""),"")</f>
        <v/>
      </c>
      <c r="CH149" s="104" t="str">
        <f>IFERROR(__xludf.DUMMYFUNCTION("""COMPUTED_VALUE"""),"")</f>
        <v/>
      </c>
      <c r="CI149" s="104" t="str">
        <f>IFERROR(__xludf.DUMMYFUNCTION("""COMPUTED_VALUE"""),"")</f>
        <v/>
      </c>
      <c r="CJ149" s="105" t="str">
        <f>IFERROR(__xludf.DUMMYFUNCTION("""COMPUTED_VALUE"""),"")</f>
        <v/>
      </c>
      <c r="CK149" s="104" t="str">
        <f>IFERROR(__xludf.DUMMYFUNCTION("""COMPUTED_VALUE"""),"")</f>
        <v/>
      </c>
      <c r="CL149" s="104" t="str">
        <f>IFERROR(__xludf.DUMMYFUNCTION("""COMPUTED_VALUE"""),"")</f>
        <v/>
      </c>
      <c r="CM149" s="105" t="str">
        <f>IFERROR(__xludf.DUMMYFUNCTION("""COMPUTED_VALUE"""),"")</f>
        <v/>
      </c>
      <c r="CN149" s="104" t="str">
        <f>IFERROR(__xludf.DUMMYFUNCTION("""COMPUTED_VALUE"""),"")</f>
        <v/>
      </c>
      <c r="CO149" s="104" t="str">
        <f>IFERROR(__xludf.DUMMYFUNCTION("""COMPUTED_VALUE"""),"")</f>
        <v/>
      </c>
      <c r="CP149" s="105">
        <f>IFERROR(__xludf.DUMMYFUNCTION("""COMPUTED_VALUE"""),441.8)</f>
        <v>441.8</v>
      </c>
      <c r="CQ149" s="104" t="str">
        <f>IFERROR(__xludf.DUMMYFUNCTION("""COMPUTED_VALUE"""),"")</f>
        <v/>
      </c>
      <c r="CR149" s="104" t="str">
        <f>IFERROR(__xludf.DUMMYFUNCTION("""COMPUTED_VALUE"""),"")</f>
        <v/>
      </c>
      <c r="CS149" s="105"/>
      <c r="CT149" s="104"/>
      <c r="CU149" s="104"/>
      <c r="CV149" s="105"/>
      <c r="CW149" s="104"/>
      <c r="CX149" s="104"/>
      <c r="CY149" s="105"/>
      <c r="CZ149" s="104"/>
      <c r="DA149" s="104"/>
      <c r="DB149" s="105"/>
      <c r="DC149" s="104"/>
      <c r="DD149" s="104"/>
      <c r="DE149" s="105"/>
      <c r="DF149" s="104"/>
      <c r="DG149" s="104"/>
      <c r="DH149" s="105"/>
      <c r="DI149" s="104"/>
      <c r="DJ149" s="104"/>
      <c r="DK149" s="105"/>
      <c r="DL149" s="104"/>
      <c r="DM149" s="104"/>
      <c r="DN149" s="105"/>
      <c r="DO149" s="104"/>
      <c r="DP149" s="104"/>
      <c r="DQ149" s="105"/>
      <c r="DR149" s="104"/>
      <c r="DS149" s="104"/>
      <c r="DT149" s="105"/>
    </row>
    <row r="150">
      <c r="B150" s="120" t="str">
        <f>IFERROR(__xludf.DUMMYFUNCTION("""COMPUTED_VALUE"""),"SJK10")</f>
        <v>SJK10</v>
      </c>
      <c r="C150" s="82">
        <f>IFERROR(__xludf.DUMMYFUNCTION("""COMPUTED_VALUE"""),141.0)</f>
        <v>141</v>
      </c>
      <c r="D150" s="88" t="str">
        <f>IFERROR(__xludf.DUMMYFUNCTION("""COMPUTED_VALUE"""),"Shinjuku 2-chome")</f>
        <v>Shinjuku 2-chome</v>
      </c>
      <c r="E150" s="82" t="str">
        <f>IFERROR(__xludf.DUMMYFUNCTION("""COMPUTED_VALUE"""),"新宿二丁目")</f>
        <v>新宿二丁目</v>
      </c>
      <c r="F150" s="102">
        <f>IFERROR(__xludf.DUMMYFUNCTION("""COMPUTED_VALUE"""),21.0)</f>
        <v>21</v>
      </c>
      <c r="G150" s="82">
        <f>IFERROR(__xludf.DUMMYFUNCTION("""COMPUTED_VALUE"""),70270.0)</f>
        <v>70270</v>
      </c>
      <c r="H150" s="95" t="str">
        <f>IFERROR(__xludf.DUMMYFUNCTION("""COMPUTED_VALUE"""),"")</f>
        <v/>
      </c>
      <c r="I150" s="96" t="str">
        <f>IFERROR(__xludf.DUMMYFUNCTION("""COMPUTED_VALUE"""),"")</f>
        <v/>
      </c>
      <c r="J150" s="97" t="str">
        <f>IFERROR(__xludf.DUMMYFUNCTION("""COMPUTED_VALUE"""),"")</f>
        <v/>
      </c>
      <c r="K150" s="95" t="str">
        <f>IFERROR(__xludf.DUMMYFUNCTION("""COMPUTED_VALUE"""),"")</f>
        <v/>
      </c>
      <c r="L150" s="96" t="str">
        <f>IFERROR(__xludf.DUMMYFUNCTION("""COMPUTED_VALUE"""),"")</f>
        <v/>
      </c>
      <c r="M150" s="97">
        <f>IFERROR(__xludf.DUMMYFUNCTION("""COMPUTED_VALUE"""),116.0)</f>
        <v>116</v>
      </c>
      <c r="N150" s="95" t="str">
        <f>IFERROR(__xludf.DUMMYFUNCTION("""COMPUTED_VALUE"""),"")</f>
        <v/>
      </c>
      <c r="O150" s="96" t="str">
        <f>IFERROR(__xludf.DUMMYFUNCTION("""COMPUTED_VALUE"""),"")</f>
        <v/>
      </c>
      <c r="P150" s="97" t="str">
        <f>IFERROR(__xludf.DUMMYFUNCTION("""COMPUTED_VALUE"""),"")</f>
        <v/>
      </c>
      <c r="Q150" s="95" t="str">
        <f>IFERROR(__xludf.DUMMYFUNCTION("""COMPUTED_VALUE"""),"")</f>
        <v/>
      </c>
      <c r="R150" s="96" t="str">
        <f>IFERROR(__xludf.DUMMYFUNCTION("""COMPUTED_VALUE"""),"")</f>
        <v/>
      </c>
      <c r="S150" s="97" t="str">
        <f>IFERROR(__xludf.DUMMYFUNCTION("""COMPUTED_VALUE"""),"")</f>
        <v/>
      </c>
      <c r="T150" s="95" t="str">
        <f>IFERROR(__xludf.DUMMYFUNCTION("""COMPUTED_VALUE"""),"")</f>
        <v/>
      </c>
      <c r="U150" s="96" t="str">
        <f>IFERROR(__xludf.DUMMYFUNCTION("""COMPUTED_VALUE"""),"")</f>
        <v/>
      </c>
      <c r="V150" s="97" t="str">
        <f>IFERROR(__xludf.DUMMYFUNCTION("""COMPUTED_VALUE"""),"")</f>
        <v/>
      </c>
      <c r="W150" s="95" t="str">
        <f>IFERROR(__xludf.DUMMYFUNCTION("""COMPUTED_VALUE"""),"")</f>
        <v/>
      </c>
      <c r="X150" s="96" t="str">
        <f>IFERROR(__xludf.DUMMYFUNCTION("""COMPUTED_VALUE"""),"")</f>
        <v/>
      </c>
      <c r="Y150" s="97" t="str">
        <f>IFERROR(__xludf.DUMMYFUNCTION("""COMPUTED_VALUE"""),"")</f>
        <v/>
      </c>
      <c r="Z150" s="95" t="str">
        <f>IFERROR(__xludf.DUMMYFUNCTION("""COMPUTED_VALUE"""),"")</f>
        <v/>
      </c>
      <c r="AA150" s="96" t="str">
        <f>IFERROR(__xludf.DUMMYFUNCTION("""COMPUTED_VALUE"""),"")</f>
        <v/>
      </c>
      <c r="AB150" s="97" t="str">
        <f>IFERROR(__xludf.DUMMYFUNCTION("""COMPUTED_VALUE"""),"")</f>
        <v/>
      </c>
      <c r="AC150" s="95" t="str">
        <f>IFERROR(__xludf.DUMMYFUNCTION("""COMPUTED_VALUE"""),"")</f>
        <v/>
      </c>
      <c r="AD150" s="96" t="str">
        <f>IFERROR(__xludf.DUMMYFUNCTION("""COMPUTED_VALUE"""),"")</f>
        <v/>
      </c>
      <c r="AE150" s="97" t="str">
        <f>IFERROR(__xludf.DUMMYFUNCTION("""COMPUTED_VALUE"""),"")</f>
        <v/>
      </c>
      <c r="AF150" s="95">
        <f>IFERROR(__xludf.DUMMYFUNCTION("""COMPUTED_VALUE"""),69.4)</f>
        <v>69.4</v>
      </c>
      <c r="AG150" s="96" t="str">
        <f>IFERROR(__xludf.DUMMYFUNCTION("""COMPUTED_VALUE"""),"")</f>
        <v/>
      </c>
      <c r="AH150" s="97" t="str">
        <f>IFERROR(__xludf.DUMMYFUNCTION("""COMPUTED_VALUE"""),"")</f>
        <v/>
      </c>
      <c r="AI150" s="92" t="str">
        <f>IFERROR(__xludf.DUMMYFUNCTION("""COMPUTED_VALUE"""),"")</f>
        <v/>
      </c>
      <c r="AJ150" s="93" t="str">
        <f>IFERROR(__xludf.DUMMYFUNCTION("""COMPUTED_VALUE"""),"")</f>
        <v/>
      </c>
      <c r="AK150" s="94" t="str">
        <f>IFERROR(__xludf.DUMMYFUNCTION("""COMPUTED_VALUE"""),"")</f>
        <v/>
      </c>
      <c r="AL150" s="93" t="str">
        <f>IFERROR(__xludf.DUMMYFUNCTION("""COMPUTED_VALUE"""),"")</f>
        <v/>
      </c>
      <c r="AM150" s="93" t="str">
        <f>IFERROR(__xludf.DUMMYFUNCTION("""COMPUTED_VALUE"""),"")</f>
        <v/>
      </c>
      <c r="AN150" s="146" t="str">
        <f>IFERROR(__xludf.DUMMYFUNCTION("""COMPUTED_VALUE"""),"")</f>
        <v/>
      </c>
      <c r="AO150" s="93" t="str">
        <f>IFERROR(__xludf.DUMMYFUNCTION("""COMPUTED_VALUE"""),"")</f>
        <v/>
      </c>
      <c r="AP150" s="93" t="str">
        <f>IFERROR(__xludf.DUMMYFUNCTION("""COMPUTED_VALUE"""),"")</f>
        <v/>
      </c>
      <c r="AQ150" s="94" t="str">
        <f>IFERROR(__xludf.DUMMYFUNCTION("""COMPUTED_VALUE"""),"")</f>
        <v/>
      </c>
      <c r="AR150" s="93" t="str">
        <f>IFERROR(__xludf.DUMMYFUNCTION("""COMPUTED_VALUE"""),"")</f>
        <v/>
      </c>
      <c r="AS150" s="93" t="str">
        <f>IFERROR(__xludf.DUMMYFUNCTION("""COMPUTED_VALUE"""),"")</f>
        <v/>
      </c>
      <c r="AT150" s="94" t="str">
        <f>IFERROR(__xludf.DUMMYFUNCTION("""COMPUTED_VALUE"""),"")</f>
        <v/>
      </c>
      <c r="AU150" s="93" t="str">
        <f>IFERROR(__xludf.DUMMYFUNCTION("""COMPUTED_VALUE"""),"")</f>
        <v/>
      </c>
      <c r="AV150" s="93" t="str">
        <f>IFERROR(__xludf.DUMMYFUNCTION("""COMPUTED_VALUE"""),"")</f>
        <v/>
      </c>
      <c r="AW150" s="94" t="str">
        <f>IFERROR(__xludf.DUMMYFUNCTION("""COMPUTED_VALUE"""),"")</f>
        <v/>
      </c>
      <c r="AX150" s="93" t="str">
        <f>IFERROR(__xludf.DUMMYFUNCTION("""COMPUTED_VALUE"""),"")</f>
        <v/>
      </c>
      <c r="AY150" s="93" t="str">
        <f>IFERROR(__xludf.DUMMYFUNCTION("""COMPUTED_VALUE"""),"")</f>
        <v/>
      </c>
      <c r="AZ150" s="94" t="str">
        <f>IFERROR(__xludf.DUMMYFUNCTION("""COMPUTED_VALUE"""),"")</f>
        <v/>
      </c>
      <c r="BA150" s="93" t="str">
        <f>IFERROR(__xludf.DUMMYFUNCTION("""COMPUTED_VALUE"""),"")</f>
        <v/>
      </c>
      <c r="BB150" s="93" t="str">
        <f>IFERROR(__xludf.DUMMYFUNCTION("""COMPUTED_VALUE"""),"")</f>
        <v/>
      </c>
      <c r="BC150" s="94" t="str">
        <f>IFERROR(__xludf.DUMMYFUNCTION("""COMPUTED_VALUE"""),"")</f>
        <v/>
      </c>
      <c r="BD150" s="93" t="str">
        <f>IFERROR(__xludf.DUMMYFUNCTION("""COMPUTED_VALUE"""),"")</f>
        <v/>
      </c>
      <c r="BE150" s="93" t="str">
        <f>IFERROR(__xludf.DUMMYFUNCTION("""COMPUTED_VALUE"""),"")</f>
        <v/>
      </c>
      <c r="BF150" s="146" t="str">
        <f>IFERROR(__xludf.DUMMYFUNCTION("""COMPUTED_VALUE"""),"")</f>
        <v/>
      </c>
      <c r="BG150" s="92">
        <f>IFERROR(__xludf.DUMMYFUNCTION("""COMPUTED_VALUE"""),639.6)</f>
        <v>639.6</v>
      </c>
      <c r="BH150" s="93" t="str">
        <f>IFERROR(__xludf.DUMMYFUNCTION("""COMPUTED_VALUE"""),"")</f>
        <v/>
      </c>
      <c r="BI150" s="94" t="str">
        <f>IFERROR(__xludf.DUMMYFUNCTION("""COMPUTED_VALUE"""),"")</f>
        <v/>
      </c>
      <c r="BJ150" s="93" t="str">
        <f>IFERROR(__xludf.DUMMYFUNCTION("""COMPUTED_VALUE"""),"")</f>
        <v/>
      </c>
      <c r="BK150" s="93">
        <f>IFERROR(__xludf.DUMMYFUNCTION("""COMPUTED_VALUE"""),255.2)</f>
        <v>255.2</v>
      </c>
      <c r="BL150" s="94" t="str">
        <f>IFERROR(__xludf.DUMMYFUNCTION("""COMPUTED_VALUE"""),"")</f>
        <v/>
      </c>
      <c r="BM150" s="93" t="str">
        <f>IFERROR(__xludf.DUMMYFUNCTION("""COMPUTED_VALUE"""),"")</f>
        <v/>
      </c>
      <c r="BN150" s="93">
        <f>IFERROR(__xludf.DUMMYFUNCTION("""COMPUTED_VALUE"""),107.0)</f>
        <v>107</v>
      </c>
      <c r="BO150" s="94" t="str">
        <f>IFERROR(__xludf.DUMMYFUNCTION("""COMPUTED_VALUE"""),"")</f>
        <v/>
      </c>
      <c r="BP150" s="93" t="str">
        <f>IFERROR(__xludf.DUMMYFUNCTION("""COMPUTED_VALUE"""),"")</f>
        <v/>
      </c>
      <c r="BQ150" s="93" t="str">
        <f>IFERROR(__xludf.DUMMYFUNCTION("""COMPUTED_VALUE"""),"")</f>
        <v/>
      </c>
      <c r="BR150" s="94" t="str">
        <f>IFERROR(__xludf.DUMMYFUNCTION("""COMPUTED_VALUE"""),"")</f>
        <v/>
      </c>
      <c r="BS150" s="93" t="str">
        <f>IFERROR(__xludf.DUMMYFUNCTION("""COMPUTED_VALUE"""),"")</f>
        <v/>
      </c>
      <c r="BT150" s="93" t="str">
        <f>IFERROR(__xludf.DUMMYFUNCTION("""COMPUTED_VALUE"""),"")</f>
        <v/>
      </c>
      <c r="BU150" s="94">
        <f>IFERROR(__xludf.DUMMYFUNCTION("""COMPUTED_VALUE"""),248.8)</f>
        <v>248.8</v>
      </c>
      <c r="BV150" s="93" t="str">
        <f>IFERROR(__xludf.DUMMYFUNCTION("""COMPUTED_VALUE"""),"")</f>
        <v/>
      </c>
      <c r="BW150" s="93" t="str">
        <f>IFERROR(__xludf.DUMMYFUNCTION("""COMPUTED_VALUE"""),"")</f>
        <v/>
      </c>
      <c r="BX150" s="94" t="str">
        <f>IFERROR(__xludf.DUMMYFUNCTION("""COMPUTED_VALUE"""),"")</f>
        <v/>
      </c>
      <c r="BY150" s="93" t="str">
        <f>IFERROR(__xludf.DUMMYFUNCTION("""COMPUTED_VALUE"""),"")</f>
        <v/>
      </c>
      <c r="BZ150" s="93" t="str">
        <f>IFERROR(__xludf.DUMMYFUNCTION("""COMPUTED_VALUE"""),"")</f>
        <v/>
      </c>
      <c r="CA150" s="94" t="str">
        <f>IFERROR(__xludf.DUMMYFUNCTION("""COMPUTED_VALUE"""),"")</f>
        <v/>
      </c>
      <c r="CB150" s="92" t="str">
        <f>IFERROR(__xludf.DUMMYFUNCTION("""COMPUTED_VALUE"""),"")</f>
        <v/>
      </c>
      <c r="CC150" s="93" t="str">
        <f>IFERROR(__xludf.DUMMYFUNCTION("""COMPUTED_VALUE"""),"")</f>
        <v/>
      </c>
      <c r="CD150" s="94" t="str">
        <f>IFERROR(__xludf.DUMMYFUNCTION("""COMPUTED_VALUE"""),"")</f>
        <v/>
      </c>
      <c r="CE150" s="93" t="str">
        <f>IFERROR(__xludf.DUMMYFUNCTION("""COMPUTED_VALUE"""),"")</f>
        <v/>
      </c>
      <c r="CF150" s="93" t="str">
        <f>IFERROR(__xludf.DUMMYFUNCTION("""COMPUTED_VALUE"""),"")</f>
        <v/>
      </c>
      <c r="CG150" s="94" t="str">
        <f>IFERROR(__xludf.DUMMYFUNCTION("""COMPUTED_VALUE"""),"")</f>
        <v/>
      </c>
      <c r="CH150" s="93" t="str">
        <f>IFERROR(__xludf.DUMMYFUNCTION("""COMPUTED_VALUE"""),"")</f>
        <v/>
      </c>
      <c r="CI150" s="93" t="str">
        <f>IFERROR(__xludf.DUMMYFUNCTION("""COMPUTED_VALUE"""),"")</f>
        <v/>
      </c>
      <c r="CJ150" s="94" t="str">
        <f>IFERROR(__xludf.DUMMYFUNCTION("""COMPUTED_VALUE"""),"")</f>
        <v/>
      </c>
      <c r="CK150" s="93" t="str">
        <f>IFERROR(__xludf.DUMMYFUNCTION("""COMPUTED_VALUE"""),"")</f>
        <v/>
      </c>
      <c r="CL150" s="93" t="str">
        <f>IFERROR(__xludf.DUMMYFUNCTION("""COMPUTED_VALUE"""),"")</f>
        <v/>
      </c>
      <c r="CM150" s="94">
        <f>IFERROR(__xludf.DUMMYFUNCTION("""COMPUTED_VALUE"""),485.9)</f>
        <v>485.9</v>
      </c>
      <c r="CN150" s="93" t="str">
        <f>IFERROR(__xludf.DUMMYFUNCTION("""COMPUTED_VALUE"""),"")</f>
        <v/>
      </c>
      <c r="CO150" s="93" t="str">
        <f>IFERROR(__xludf.DUMMYFUNCTION("""COMPUTED_VALUE"""),"")</f>
        <v/>
      </c>
      <c r="CP150" s="94" t="str">
        <f>IFERROR(__xludf.DUMMYFUNCTION("""COMPUTED_VALUE"""),"")</f>
        <v/>
      </c>
      <c r="CQ150" s="93" t="str">
        <f>IFERROR(__xludf.DUMMYFUNCTION("""COMPUTED_VALUE"""),"")</f>
        <v/>
      </c>
      <c r="CR150" s="93" t="str">
        <f>IFERROR(__xludf.DUMMYFUNCTION("""COMPUTED_VALUE"""),"")</f>
        <v/>
      </c>
      <c r="CS150" s="94"/>
      <c r="CT150" s="93"/>
      <c r="CU150" s="93"/>
      <c r="CV150" s="94"/>
      <c r="CW150" s="93"/>
      <c r="CX150" s="93"/>
      <c r="CY150" s="94"/>
      <c r="CZ150" s="93"/>
      <c r="DA150" s="93"/>
      <c r="DB150" s="94"/>
      <c r="DC150" s="93"/>
      <c r="DD150" s="93"/>
      <c r="DE150" s="94"/>
      <c r="DF150" s="93"/>
      <c r="DG150" s="93"/>
      <c r="DH150" s="94"/>
      <c r="DI150" s="93"/>
      <c r="DJ150" s="93"/>
      <c r="DK150" s="94"/>
      <c r="DL150" s="93"/>
      <c r="DM150" s="93"/>
      <c r="DN150" s="94"/>
      <c r="DO150" s="93"/>
      <c r="DP150" s="93"/>
      <c r="DQ150" s="94"/>
      <c r="DR150" s="93"/>
      <c r="DS150" s="93"/>
      <c r="DT150" s="94"/>
    </row>
    <row r="151">
      <c r="A151" s="152" t="str">
        <f>IFERROR(__xludf.DUMMYFUNCTION("""COMPUTED_VALUE"""),"AGARTHA")</f>
        <v>AGARTHA</v>
      </c>
      <c r="B151" s="120" t="str">
        <f>IFERROR(__xludf.DUMMYFUNCTION("""COMPUTED_VALUE"""),"AGT1")</f>
        <v>AGT1</v>
      </c>
      <c r="C151" s="82">
        <f>IFERROR(__xludf.DUMMYFUNCTION("""COMPUTED_VALUE"""),142.0)</f>
        <v>142</v>
      </c>
      <c r="D151" s="88" t="str">
        <f>IFERROR(__xludf.DUMMYFUNCTION("""COMPUTED_VALUE"""),"Underground Plains")</f>
        <v>Underground Plains</v>
      </c>
      <c r="E151" s="82" t="str">
        <f>IFERROR(__xludf.DUMMYFUNCTION("""COMPUTED_VALUE"""),"地底平原")</f>
        <v>地底平原</v>
      </c>
      <c r="F151" s="102">
        <f>IFERROR(__xludf.DUMMYFUNCTION("""COMPUTED_VALUE"""),20.0)</f>
        <v>20</v>
      </c>
      <c r="G151" s="82">
        <f>IFERROR(__xludf.DUMMYFUNCTION("""COMPUTED_VALUE"""),26340.0)</f>
        <v>26340</v>
      </c>
      <c r="H151" s="95">
        <f>IFERROR(__xludf.DUMMYFUNCTION("""COMPUTED_VALUE"""),97.5)</f>
        <v>97.5</v>
      </c>
      <c r="I151" s="96" t="str">
        <f>IFERROR(__xludf.DUMMYFUNCTION("""COMPUTED_VALUE"""),"")</f>
        <v/>
      </c>
      <c r="J151" s="97" t="str">
        <f>IFERROR(__xludf.DUMMYFUNCTION("""COMPUTED_VALUE"""),"")</f>
        <v/>
      </c>
      <c r="K151" s="95" t="str">
        <f>IFERROR(__xludf.DUMMYFUNCTION("""COMPUTED_VALUE"""),"")</f>
        <v/>
      </c>
      <c r="L151" s="96" t="str">
        <f>IFERROR(__xludf.DUMMYFUNCTION("""COMPUTED_VALUE"""),"")</f>
        <v/>
      </c>
      <c r="M151" s="97" t="str">
        <f>IFERROR(__xludf.DUMMYFUNCTION("""COMPUTED_VALUE"""),"")</f>
        <v/>
      </c>
      <c r="N151" s="95" t="str">
        <f>IFERROR(__xludf.DUMMYFUNCTION("""COMPUTED_VALUE"""),"")</f>
        <v/>
      </c>
      <c r="O151" s="96" t="str">
        <f>IFERROR(__xludf.DUMMYFUNCTION("""COMPUTED_VALUE"""),"")</f>
        <v/>
      </c>
      <c r="P151" s="97" t="str">
        <f>IFERROR(__xludf.DUMMYFUNCTION("""COMPUTED_VALUE"""),"")</f>
        <v/>
      </c>
      <c r="Q151" s="95" t="str">
        <f>IFERROR(__xludf.DUMMYFUNCTION("""COMPUTED_VALUE"""),"")</f>
        <v/>
      </c>
      <c r="R151" s="96" t="str">
        <f>IFERROR(__xludf.DUMMYFUNCTION("""COMPUTED_VALUE"""),"")</f>
        <v/>
      </c>
      <c r="S151" s="97" t="str">
        <f>IFERROR(__xludf.DUMMYFUNCTION("""COMPUTED_VALUE"""),"")</f>
        <v/>
      </c>
      <c r="T151" s="95" t="str">
        <f>IFERROR(__xludf.DUMMYFUNCTION("""COMPUTED_VALUE"""),"")</f>
        <v/>
      </c>
      <c r="U151" s="96" t="str">
        <f>IFERROR(__xludf.DUMMYFUNCTION("""COMPUTED_VALUE"""),"")</f>
        <v/>
      </c>
      <c r="V151" s="97" t="str">
        <f>IFERROR(__xludf.DUMMYFUNCTION("""COMPUTED_VALUE"""),"")</f>
        <v/>
      </c>
      <c r="W151" s="95" t="str">
        <f>IFERROR(__xludf.DUMMYFUNCTION("""COMPUTED_VALUE"""),"")</f>
        <v/>
      </c>
      <c r="X151" s="96" t="str">
        <f>IFERROR(__xludf.DUMMYFUNCTION("""COMPUTED_VALUE"""),"")</f>
        <v/>
      </c>
      <c r="Y151" s="97" t="str">
        <f>IFERROR(__xludf.DUMMYFUNCTION("""COMPUTED_VALUE"""),"")</f>
        <v/>
      </c>
      <c r="Z151" s="95" t="str">
        <f>IFERROR(__xludf.DUMMYFUNCTION("""COMPUTED_VALUE"""),"")</f>
        <v/>
      </c>
      <c r="AA151" s="96" t="str">
        <f>IFERROR(__xludf.DUMMYFUNCTION("""COMPUTED_VALUE"""),"")</f>
        <v/>
      </c>
      <c r="AB151" s="97" t="str">
        <f>IFERROR(__xludf.DUMMYFUNCTION("""COMPUTED_VALUE"""),"")</f>
        <v/>
      </c>
      <c r="AC151" s="95" t="str">
        <f>IFERROR(__xludf.DUMMYFUNCTION("""COMPUTED_VALUE"""),"")</f>
        <v/>
      </c>
      <c r="AD151" s="96" t="str">
        <f>IFERROR(__xludf.DUMMYFUNCTION("""COMPUTED_VALUE"""),"")</f>
        <v/>
      </c>
      <c r="AE151" s="97" t="str">
        <f>IFERROR(__xludf.DUMMYFUNCTION("""COMPUTED_VALUE"""),"")</f>
        <v/>
      </c>
      <c r="AF151" s="95" t="str">
        <f>IFERROR(__xludf.DUMMYFUNCTION("""COMPUTED_VALUE"""),"")</f>
        <v/>
      </c>
      <c r="AG151" s="96" t="str">
        <f>IFERROR(__xludf.DUMMYFUNCTION("""COMPUTED_VALUE"""),"")</f>
        <v/>
      </c>
      <c r="AH151" s="97" t="str">
        <f>IFERROR(__xludf.DUMMYFUNCTION("""COMPUTED_VALUE"""),"")</f>
        <v/>
      </c>
      <c r="AI151" s="153" t="str">
        <f>IFERROR(__xludf.DUMMYFUNCTION("""COMPUTED_VALUE"""),"")</f>
        <v/>
      </c>
      <c r="AJ151" s="112" t="str">
        <f>IFERROR(__xludf.DUMMYFUNCTION("""COMPUTED_VALUE"""),"")</f>
        <v/>
      </c>
      <c r="AK151" s="113" t="str">
        <f>IFERROR(__xludf.DUMMYFUNCTION("""COMPUTED_VALUE"""),"")</f>
        <v/>
      </c>
      <c r="AL151" s="112" t="str">
        <f>IFERROR(__xludf.DUMMYFUNCTION("""COMPUTED_VALUE"""),"")</f>
        <v/>
      </c>
      <c r="AM151" s="112" t="str">
        <f>IFERROR(__xludf.DUMMYFUNCTION("""COMPUTED_VALUE"""),"")</f>
        <v/>
      </c>
      <c r="AN151" s="113" t="str">
        <f>IFERROR(__xludf.DUMMYFUNCTION("""COMPUTED_VALUE"""),"")</f>
        <v/>
      </c>
      <c r="AO151" s="112" t="str">
        <f>IFERROR(__xludf.DUMMYFUNCTION("""COMPUTED_VALUE"""),"")</f>
        <v/>
      </c>
      <c r="AP151" s="112" t="str">
        <f>IFERROR(__xludf.DUMMYFUNCTION("""COMPUTED_VALUE"""),"")</f>
        <v/>
      </c>
      <c r="AQ151" s="113" t="str">
        <f>IFERROR(__xludf.DUMMYFUNCTION("""COMPUTED_VALUE"""),"")</f>
        <v/>
      </c>
      <c r="AR151" s="112" t="str">
        <f>IFERROR(__xludf.DUMMYFUNCTION("""COMPUTED_VALUE"""),"")</f>
        <v/>
      </c>
      <c r="AS151" s="112" t="str">
        <f>IFERROR(__xludf.DUMMYFUNCTION("""COMPUTED_VALUE"""),"")</f>
        <v/>
      </c>
      <c r="AT151" s="113" t="str">
        <f>IFERROR(__xludf.DUMMYFUNCTION("""COMPUTED_VALUE"""),"")</f>
        <v/>
      </c>
      <c r="AU151" s="112" t="str">
        <f>IFERROR(__xludf.DUMMYFUNCTION("""COMPUTED_VALUE"""),"")</f>
        <v/>
      </c>
      <c r="AV151" s="112">
        <f>IFERROR(__xludf.DUMMYFUNCTION("""COMPUTED_VALUE"""),50.1)</f>
        <v>50.1</v>
      </c>
      <c r="AW151" s="113" t="str">
        <f>IFERROR(__xludf.DUMMYFUNCTION("""COMPUTED_VALUE"""),"")</f>
        <v/>
      </c>
      <c r="AX151" s="112" t="str">
        <f>IFERROR(__xludf.DUMMYFUNCTION("""COMPUTED_VALUE"""),"")</f>
        <v/>
      </c>
      <c r="AY151" s="112" t="str">
        <f>IFERROR(__xludf.DUMMYFUNCTION("""COMPUTED_VALUE"""),"")</f>
        <v/>
      </c>
      <c r="AZ151" s="113" t="str">
        <f>IFERROR(__xludf.DUMMYFUNCTION("""COMPUTED_VALUE"""),"")</f>
        <v/>
      </c>
      <c r="BA151" s="112" t="str">
        <f>IFERROR(__xludf.DUMMYFUNCTION("""COMPUTED_VALUE"""),"")</f>
        <v/>
      </c>
      <c r="BB151" s="112" t="str">
        <f>IFERROR(__xludf.DUMMYFUNCTION("""COMPUTED_VALUE"""),"")</f>
        <v/>
      </c>
      <c r="BC151" s="113" t="str">
        <f>IFERROR(__xludf.DUMMYFUNCTION("""COMPUTED_VALUE"""),"")</f>
        <v/>
      </c>
      <c r="BD151" s="112" t="str">
        <f>IFERROR(__xludf.DUMMYFUNCTION("""COMPUTED_VALUE"""),"")</f>
        <v/>
      </c>
      <c r="BE151" s="112" t="str">
        <f>IFERROR(__xludf.DUMMYFUNCTION("""COMPUTED_VALUE"""),"")</f>
        <v/>
      </c>
      <c r="BF151" s="113" t="str">
        <f>IFERROR(__xludf.DUMMYFUNCTION("""COMPUTED_VALUE"""),"")</f>
        <v/>
      </c>
      <c r="BG151" s="111" t="str">
        <f>IFERROR(__xludf.DUMMYFUNCTION("""COMPUTED_VALUE"""),"")</f>
        <v/>
      </c>
      <c r="BH151" s="112" t="str">
        <f>IFERROR(__xludf.DUMMYFUNCTION("""COMPUTED_VALUE"""),"")</f>
        <v/>
      </c>
      <c r="BI151" s="113">
        <f>IFERROR(__xludf.DUMMYFUNCTION("""COMPUTED_VALUE"""),393.1)</f>
        <v>393.1</v>
      </c>
      <c r="BJ151" s="112" t="str">
        <f>IFERROR(__xludf.DUMMYFUNCTION("""COMPUTED_VALUE"""),"")</f>
        <v/>
      </c>
      <c r="BK151" s="112" t="str">
        <f>IFERROR(__xludf.DUMMYFUNCTION("""COMPUTED_VALUE"""),"")</f>
        <v/>
      </c>
      <c r="BL151" s="113" t="str">
        <f>IFERROR(__xludf.DUMMYFUNCTION("""COMPUTED_VALUE"""),"")</f>
        <v/>
      </c>
      <c r="BM151" s="112" t="str">
        <f>IFERROR(__xludf.DUMMYFUNCTION("""COMPUTED_VALUE"""),"")</f>
        <v/>
      </c>
      <c r="BN151" s="112" t="str">
        <f>IFERROR(__xludf.DUMMYFUNCTION("""COMPUTED_VALUE"""),"")</f>
        <v/>
      </c>
      <c r="BO151" s="113" t="str">
        <f>IFERROR(__xludf.DUMMYFUNCTION("""COMPUTED_VALUE"""),"")</f>
        <v/>
      </c>
      <c r="BP151" s="112" t="str">
        <f>IFERROR(__xludf.DUMMYFUNCTION("""COMPUTED_VALUE"""),"")</f>
        <v/>
      </c>
      <c r="BQ151" s="112" t="str">
        <f>IFERROR(__xludf.DUMMYFUNCTION("""COMPUTED_VALUE"""),"")</f>
        <v/>
      </c>
      <c r="BR151" s="113" t="str">
        <f>IFERROR(__xludf.DUMMYFUNCTION("""COMPUTED_VALUE"""),"")</f>
        <v/>
      </c>
      <c r="BS151" s="112" t="str">
        <f>IFERROR(__xludf.DUMMYFUNCTION("""COMPUTED_VALUE"""),"")</f>
        <v/>
      </c>
      <c r="BT151" s="112">
        <f>IFERROR(__xludf.DUMMYFUNCTION("""COMPUTED_VALUE"""),67.8)</f>
        <v>67.8</v>
      </c>
      <c r="BU151" s="113" t="str">
        <f>IFERROR(__xludf.DUMMYFUNCTION("""COMPUTED_VALUE"""),"")</f>
        <v/>
      </c>
      <c r="BV151" s="112" t="str">
        <f>IFERROR(__xludf.DUMMYFUNCTION("""COMPUTED_VALUE"""),"")</f>
        <v/>
      </c>
      <c r="BW151" s="112" t="str">
        <f>IFERROR(__xludf.DUMMYFUNCTION("""COMPUTED_VALUE"""),"")</f>
        <v/>
      </c>
      <c r="BX151" s="113" t="str">
        <f>IFERROR(__xludf.DUMMYFUNCTION("""COMPUTED_VALUE"""),"")</f>
        <v/>
      </c>
      <c r="BY151" s="112" t="str">
        <f>IFERROR(__xludf.DUMMYFUNCTION("""COMPUTED_VALUE"""),"")</f>
        <v/>
      </c>
      <c r="BZ151" s="112" t="str">
        <f>IFERROR(__xludf.DUMMYFUNCTION("""COMPUTED_VALUE"""),"")</f>
        <v/>
      </c>
      <c r="CA151" s="113" t="str">
        <f>IFERROR(__xludf.DUMMYFUNCTION("""COMPUTED_VALUE"""),"")</f>
        <v/>
      </c>
      <c r="CB151" s="111" t="str">
        <f>IFERROR(__xludf.DUMMYFUNCTION("""COMPUTED_VALUE"""),"")</f>
        <v/>
      </c>
      <c r="CC151" s="112" t="str">
        <f>IFERROR(__xludf.DUMMYFUNCTION("""COMPUTED_VALUE"""),"")</f>
        <v/>
      </c>
      <c r="CD151" s="113" t="str">
        <f>IFERROR(__xludf.DUMMYFUNCTION("""COMPUTED_VALUE"""),"")</f>
        <v/>
      </c>
      <c r="CE151" s="112" t="str">
        <f>IFERROR(__xludf.DUMMYFUNCTION("""COMPUTED_VALUE"""),"")</f>
        <v/>
      </c>
      <c r="CF151" s="112" t="str">
        <f>IFERROR(__xludf.DUMMYFUNCTION("""COMPUTED_VALUE"""),"")</f>
        <v/>
      </c>
      <c r="CG151" s="113" t="str">
        <f>IFERROR(__xludf.DUMMYFUNCTION("""COMPUTED_VALUE"""),"")</f>
        <v/>
      </c>
      <c r="CH151" s="112" t="str">
        <f>IFERROR(__xludf.DUMMYFUNCTION("""COMPUTED_VALUE"""),"")</f>
        <v/>
      </c>
      <c r="CI151" s="112" t="str">
        <f>IFERROR(__xludf.DUMMYFUNCTION("""COMPUTED_VALUE"""),"")</f>
        <v/>
      </c>
      <c r="CJ151" s="113" t="str">
        <f>IFERROR(__xludf.DUMMYFUNCTION("""COMPUTED_VALUE"""),"")</f>
        <v/>
      </c>
      <c r="CK151" s="112" t="str">
        <f>IFERROR(__xludf.DUMMYFUNCTION("""COMPUTED_VALUE"""),"")</f>
        <v/>
      </c>
      <c r="CL151" s="112" t="str">
        <f>IFERROR(__xludf.DUMMYFUNCTION("""COMPUTED_VALUE"""),"")</f>
        <v/>
      </c>
      <c r="CM151" s="113" t="str">
        <f>IFERROR(__xludf.DUMMYFUNCTION("""COMPUTED_VALUE"""),"")</f>
        <v/>
      </c>
      <c r="CN151" s="112" t="str">
        <f>IFERROR(__xludf.DUMMYFUNCTION("""COMPUTED_VALUE"""),"")</f>
        <v/>
      </c>
      <c r="CO151" s="112" t="str">
        <f>IFERROR(__xludf.DUMMYFUNCTION("""COMPUTED_VALUE"""),"")</f>
        <v/>
      </c>
      <c r="CP151" s="113" t="str">
        <f>IFERROR(__xludf.DUMMYFUNCTION("""COMPUTED_VALUE"""),"")</f>
        <v/>
      </c>
      <c r="CQ151" s="112" t="str">
        <f>IFERROR(__xludf.DUMMYFUNCTION("""COMPUTED_VALUE"""),"")</f>
        <v/>
      </c>
      <c r="CR151" s="112">
        <f>IFERROR(__xludf.DUMMYFUNCTION("""COMPUTED_VALUE"""),426.4)</f>
        <v>426.4</v>
      </c>
      <c r="CS151" s="113"/>
      <c r="CT151" s="112"/>
      <c r="CU151" s="112"/>
      <c r="CV151" s="113"/>
      <c r="CW151" s="112"/>
      <c r="CX151" s="112"/>
      <c r="CY151" s="113"/>
      <c r="CZ151" s="112"/>
      <c r="DA151" s="112"/>
      <c r="DB151" s="113"/>
      <c r="DC151" s="112"/>
      <c r="DD151" s="112"/>
      <c r="DE151" s="113"/>
      <c r="DF151" s="112"/>
      <c r="DG151" s="112"/>
      <c r="DH151" s="113"/>
      <c r="DI151" s="112"/>
      <c r="DJ151" s="112"/>
      <c r="DK151" s="113"/>
      <c r="DL151" s="112"/>
      <c r="DM151" s="112"/>
      <c r="DN151" s="113"/>
      <c r="DO151" s="112"/>
      <c r="DP151" s="112"/>
      <c r="DQ151" s="113"/>
      <c r="DR151" s="112"/>
      <c r="DS151" s="112"/>
      <c r="DT151" s="113"/>
    </row>
    <row r="152">
      <c r="B152" s="120" t="str">
        <f>IFERROR(__xludf.DUMMYFUNCTION("""COMPUTED_VALUE"""),"AGT2")</f>
        <v>AGT2</v>
      </c>
      <c r="C152" s="82">
        <f>IFERROR(__xludf.DUMMYFUNCTION("""COMPUTED_VALUE"""),143.0)</f>
        <v>143</v>
      </c>
      <c r="D152" s="88" t="str">
        <f>IFERROR(__xludf.DUMMYFUNCTION("""COMPUTED_VALUE"""),"Camping Ground")</f>
        <v>Camping Ground</v>
      </c>
      <c r="E152" s="82" t="str">
        <f>IFERROR(__xludf.DUMMYFUNCTION("""COMPUTED_VALUE"""),"野営地")</f>
        <v>野営地</v>
      </c>
      <c r="F152" s="102">
        <f>IFERROR(__xludf.DUMMYFUNCTION("""COMPUTED_VALUE"""),20.0)</f>
        <v>20</v>
      </c>
      <c r="G152" s="82">
        <f>IFERROR(__xludf.DUMMYFUNCTION("""COMPUTED_VALUE"""),2303.0)</f>
        <v>2303</v>
      </c>
      <c r="H152" s="95" t="str">
        <f>IFERROR(__xludf.DUMMYFUNCTION("""COMPUTED_VALUE"""),"")</f>
        <v/>
      </c>
      <c r="I152" s="96" t="str">
        <f>IFERROR(__xludf.DUMMYFUNCTION("""COMPUTED_VALUE"""),"")</f>
        <v/>
      </c>
      <c r="J152" s="97" t="str">
        <f>IFERROR(__xludf.DUMMYFUNCTION("""COMPUTED_VALUE"""),"")</f>
        <v/>
      </c>
      <c r="K152" s="95" t="str">
        <f>IFERROR(__xludf.DUMMYFUNCTION("""COMPUTED_VALUE"""),"")</f>
        <v/>
      </c>
      <c r="L152" s="96">
        <f>IFERROR(__xludf.DUMMYFUNCTION("""COMPUTED_VALUE"""),91.9)</f>
        <v>91.9</v>
      </c>
      <c r="M152" s="97" t="str">
        <f>IFERROR(__xludf.DUMMYFUNCTION("""COMPUTED_VALUE"""),"")</f>
        <v/>
      </c>
      <c r="N152" s="95" t="str">
        <f>IFERROR(__xludf.DUMMYFUNCTION("""COMPUTED_VALUE"""),"")</f>
        <v/>
      </c>
      <c r="O152" s="96" t="str">
        <f>IFERROR(__xludf.DUMMYFUNCTION("""COMPUTED_VALUE"""),"")</f>
        <v/>
      </c>
      <c r="P152" s="97" t="str">
        <f>IFERROR(__xludf.DUMMYFUNCTION("""COMPUTED_VALUE"""),"")</f>
        <v/>
      </c>
      <c r="Q152" s="95" t="str">
        <f>IFERROR(__xludf.DUMMYFUNCTION("""COMPUTED_VALUE"""),"")</f>
        <v/>
      </c>
      <c r="R152" s="96" t="str">
        <f>IFERROR(__xludf.DUMMYFUNCTION("""COMPUTED_VALUE"""),"")</f>
        <v/>
      </c>
      <c r="S152" s="97" t="str">
        <f>IFERROR(__xludf.DUMMYFUNCTION("""COMPUTED_VALUE"""),"")</f>
        <v/>
      </c>
      <c r="T152" s="95" t="str">
        <f>IFERROR(__xludf.DUMMYFUNCTION("""COMPUTED_VALUE"""),"")</f>
        <v/>
      </c>
      <c r="U152" s="96" t="str">
        <f>IFERROR(__xludf.DUMMYFUNCTION("""COMPUTED_VALUE"""),"")</f>
        <v/>
      </c>
      <c r="V152" s="97" t="str">
        <f>IFERROR(__xludf.DUMMYFUNCTION("""COMPUTED_VALUE"""),"")</f>
        <v/>
      </c>
      <c r="W152" s="95" t="str">
        <f>IFERROR(__xludf.DUMMYFUNCTION("""COMPUTED_VALUE"""),"")</f>
        <v/>
      </c>
      <c r="X152" s="96" t="str">
        <f>IFERROR(__xludf.DUMMYFUNCTION("""COMPUTED_VALUE"""),"")</f>
        <v/>
      </c>
      <c r="Y152" s="97" t="str">
        <f>IFERROR(__xludf.DUMMYFUNCTION("""COMPUTED_VALUE"""),"")</f>
        <v/>
      </c>
      <c r="Z152" s="95">
        <f>IFERROR(__xludf.DUMMYFUNCTION("""COMPUTED_VALUE"""),117.5)</f>
        <v>117.5</v>
      </c>
      <c r="AA152" s="96" t="str">
        <f>IFERROR(__xludf.DUMMYFUNCTION("""COMPUTED_VALUE"""),"")</f>
        <v/>
      </c>
      <c r="AB152" s="97" t="str">
        <f>IFERROR(__xludf.DUMMYFUNCTION("""COMPUTED_VALUE"""),"")</f>
        <v/>
      </c>
      <c r="AC152" s="95" t="str">
        <f>IFERROR(__xludf.DUMMYFUNCTION("""COMPUTED_VALUE"""),"")</f>
        <v/>
      </c>
      <c r="AD152" s="96">
        <f>IFERROR(__xludf.DUMMYFUNCTION("""COMPUTED_VALUE"""),134.3)</f>
        <v>134.3</v>
      </c>
      <c r="AE152" s="97" t="str">
        <f>IFERROR(__xludf.DUMMYFUNCTION("""COMPUTED_VALUE"""),"")</f>
        <v/>
      </c>
      <c r="AF152" s="95" t="str">
        <f>IFERROR(__xludf.DUMMYFUNCTION("""COMPUTED_VALUE"""),"")</f>
        <v/>
      </c>
      <c r="AG152" s="96" t="str">
        <f>IFERROR(__xludf.DUMMYFUNCTION("""COMPUTED_VALUE"""),"")</f>
        <v/>
      </c>
      <c r="AH152" s="97" t="str">
        <f>IFERROR(__xludf.DUMMYFUNCTION("""COMPUTED_VALUE"""),"")</f>
        <v/>
      </c>
      <c r="AI152" s="92" t="str">
        <f>IFERROR(__xludf.DUMMYFUNCTION("""COMPUTED_VALUE"""),"")</f>
        <v/>
      </c>
      <c r="AJ152" s="93" t="str">
        <f>IFERROR(__xludf.DUMMYFUNCTION("""COMPUTED_VALUE"""),"")</f>
        <v/>
      </c>
      <c r="AK152" s="94" t="str">
        <f>IFERROR(__xludf.DUMMYFUNCTION("""COMPUTED_VALUE"""),"")</f>
        <v/>
      </c>
      <c r="AL152" s="93" t="str">
        <f>IFERROR(__xludf.DUMMYFUNCTION("""COMPUTED_VALUE"""),"")</f>
        <v/>
      </c>
      <c r="AM152" s="140" t="str">
        <f>IFERROR(__xludf.DUMMYFUNCTION("""COMPUTED_VALUE"""),"")</f>
        <v/>
      </c>
      <c r="AN152" s="94" t="str">
        <f>IFERROR(__xludf.DUMMYFUNCTION("""COMPUTED_VALUE"""),"")</f>
        <v/>
      </c>
      <c r="AO152" s="93" t="str">
        <f>IFERROR(__xludf.DUMMYFUNCTION("""COMPUTED_VALUE"""),"")</f>
        <v/>
      </c>
      <c r="AP152" s="93" t="str">
        <f>IFERROR(__xludf.DUMMYFUNCTION("""COMPUTED_VALUE"""),"")</f>
        <v/>
      </c>
      <c r="AQ152" s="94" t="str">
        <f>IFERROR(__xludf.DUMMYFUNCTION("""COMPUTED_VALUE"""),"")</f>
        <v/>
      </c>
      <c r="AR152" s="93" t="str">
        <f>IFERROR(__xludf.DUMMYFUNCTION("""COMPUTED_VALUE"""),"")</f>
        <v/>
      </c>
      <c r="AS152" s="93" t="str">
        <f>IFERROR(__xludf.DUMMYFUNCTION("""COMPUTED_VALUE"""),"")</f>
        <v/>
      </c>
      <c r="AT152" s="94" t="str">
        <f>IFERROR(__xludf.DUMMYFUNCTION("""COMPUTED_VALUE"""),"")</f>
        <v/>
      </c>
      <c r="AU152" s="93" t="str">
        <f>IFERROR(__xludf.DUMMYFUNCTION("""COMPUTED_VALUE"""),"")</f>
        <v/>
      </c>
      <c r="AV152" s="93" t="str">
        <f>IFERROR(__xludf.DUMMYFUNCTION("""COMPUTED_VALUE"""),"")</f>
        <v/>
      </c>
      <c r="AW152" s="94" t="str">
        <f>IFERROR(__xludf.DUMMYFUNCTION("""COMPUTED_VALUE"""),"")</f>
        <v/>
      </c>
      <c r="AX152" s="93" t="str">
        <f>IFERROR(__xludf.DUMMYFUNCTION("""COMPUTED_VALUE"""),"")</f>
        <v/>
      </c>
      <c r="AY152" s="93" t="str">
        <f>IFERROR(__xludf.DUMMYFUNCTION("""COMPUTED_VALUE"""),"")</f>
        <v/>
      </c>
      <c r="AZ152" s="94" t="str">
        <f>IFERROR(__xludf.DUMMYFUNCTION("""COMPUTED_VALUE"""),"")</f>
        <v/>
      </c>
      <c r="BA152" s="93" t="str">
        <f>IFERROR(__xludf.DUMMYFUNCTION("""COMPUTED_VALUE"""),"")</f>
        <v/>
      </c>
      <c r="BB152" s="93" t="str">
        <f>IFERROR(__xludf.DUMMYFUNCTION("""COMPUTED_VALUE"""),"")</f>
        <v/>
      </c>
      <c r="BC152" s="94" t="str">
        <f>IFERROR(__xludf.DUMMYFUNCTION("""COMPUTED_VALUE"""),"")</f>
        <v/>
      </c>
      <c r="BD152" s="93" t="str">
        <f>IFERROR(__xludf.DUMMYFUNCTION("""COMPUTED_VALUE"""),"")</f>
        <v/>
      </c>
      <c r="BE152" s="93" t="str">
        <f>IFERROR(__xludf.DUMMYFUNCTION("""COMPUTED_VALUE"""),"")</f>
        <v/>
      </c>
      <c r="BF152" s="94" t="str">
        <f>IFERROR(__xludf.DUMMYFUNCTION("""COMPUTED_VALUE"""),"")</f>
        <v/>
      </c>
      <c r="BG152" s="92" t="str">
        <f>IFERROR(__xludf.DUMMYFUNCTION("""COMPUTED_VALUE"""),"")</f>
        <v/>
      </c>
      <c r="BH152" s="93" t="str">
        <f>IFERROR(__xludf.DUMMYFUNCTION("""COMPUTED_VALUE"""),"")</f>
        <v/>
      </c>
      <c r="BI152" s="94" t="str">
        <f>IFERROR(__xludf.DUMMYFUNCTION("""COMPUTED_VALUE"""),"")</f>
        <v/>
      </c>
      <c r="BJ152" s="93" t="str">
        <f>IFERROR(__xludf.DUMMYFUNCTION("""COMPUTED_VALUE"""),"")</f>
        <v/>
      </c>
      <c r="BK152" s="93" t="str">
        <f>IFERROR(__xludf.DUMMYFUNCTION("""COMPUTED_VALUE"""),"")</f>
        <v/>
      </c>
      <c r="BL152" s="94">
        <f>IFERROR(__xludf.DUMMYFUNCTION("""COMPUTED_VALUE"""),113.3)</f>
        <v>113.3</v>
      </c>
      <c r="BM152" s="93" t="str">
        <f>IFERROR(__xludf.DUMMYFUNCTION("""COMPUTED_VALUE"""),"")</f>
        <v/>
      </c>
      <c r="BN152" s="93" t="str">
        <f>IFERROR(__xludf.DUMMYFUNCTION("""COMPUTED_VALUE"""),"")</f>
        <v/>
      </c>
      <c r="BO152" s="94" t="str">
        <f>IFERROR(__xludf.DUMMYFUNCTION("""COMPUTED_VALUE"""),"")</f>
        <v/>
      </c>
      <c r="BP152" s="93" t="str">
        <f>IFERROR(__xludf.DUMMYFUNCTION("""COMPUTED_VALUE"""),"")</f>
        <v/>
      </c>
      <c r="BQ152" s="93" t="str">
        <f>IFERROR(__xludf.DUMMYFUNCTION("""COMPUTED_VALUE"""),"")</f>
        <v/>
      </c>
      <c r="BR152" s="94" t="str">
        <f>IFERROR(__xludf.DUMMYFUNCTION("""COMPUTED_VALUE"""),"")</f>
        <v/>
      </c>
      <c r="BS152" s="93">
        <f>IFERROR(__xludf.DUMMYFUNCTION("""COMPUTED_VALUE"""),47.9)</f>
        <v>47.9</v>
      </c>
      <c r="BT152" s="93" t="str">
        <f>IFERROR(__xludf.DUMMYFUNCTION("""COMPUTED_VALUE"""),"")</f>
        <v/>
      </c>
      <c r="BU152" s="94" t="str">
        <f>IFERROR(__xludf.DUMMYFUNCTION("""COMPUTED_VALUE"""),"")</f>
        <v/>
      </c>
      <c r="BV152" s="93" t="str">
        <f>IFERROR(__xludf.DUMMYFUNCTION("""COMPUTED_VALUE"""),"")</f>
        <v/>
      </c>
      <c r="BW152" s="93" t="str">
        <f>IFERROR(__xludf.DUMMYFUNCTION("""COMPUTED_VALUE"""),"")</f>
        <v/>
      </c>
      <c r="BX152" s="94" t="str">
        <f>IFERROR(__xludf.DUMMYFUNCTION("""COMPUTED_VALUE"""),"")</f>
        <v/>
      </c>
      <c r="BY152" s="93" t="str">
        <f>IFERROR(__xludf.DUMMYFUNCTION("""COMPUTED_VALUE"""),"")</f>
        <v/>
      </c>
      <c r="BZ152" s="93" t="str">
        <f>IFERROR(__xludf.DUMMYFUNCTION("""COMPUTED_VALUE"""),"")</f>
        <v/>
      </c>
      <c r="CA152" s="94" t="str">
        <f>IFERROR(__xludf.DUMMYFUNCTION("""COMPUTED_VALUE"""),"")</f>
        <v/>
      </c>
      <c r="CB152" s="92" t="str">
        <f>IFERROR(__xludf.DUMMYFUNCTION("""COMPUTED_VALUE"""),"")</f>
        <v/>
      </c>
      <c r="CC152" s="93" t="str">
        <f>IFERROR(__xludf.DUMMYFUNCTION("""COMPUTED_VALUE"""),"")</f>
        <v/>
      </c>
      <c r="CD152" s="94" t="str">
        <f>IFERROR(__xludf.DUMMYFUNCTION("""COMPUTED_VALUE"""),"")</f>
        <v/>
      </c>
      <c r="CE152" s="93" t="str">
        <f>IFERROR(__xludf.DUMMYFUNCTION("""COMPUTED_VALUE"""),"")</f>
        <v/>
      </c>
      <c r="CF152" s="93" t="str">
        <f>IFERROR(__xludf.DUMMYFUNCTION("""COMPUTED_VALUE"""),"")</f>
        <v/>
      </c>
      <c r="CG152" s="94" t="str">
        <f>IFERROR(__xludf.DUMMYFUNCTION("""COMPUTED_VALUE"""),"")</f>
        <v/>
      </c>
      <c r="CH152" s="93" t="str">
        <f>IFERROR(__xludf.DUMMYFUNCTION("""COMPUTED_VALUE"""),"")</f>
        <v/>
      </c>
      <c r="CI152" s="93" t="str">
        <f>IFERROR(__xludf.DUMMYFUNCTION("""COMPUTED_VALUE"""),"")</f>
        <v/>
      </c>
      <c r="CJ152" s="94" t="str">
        <f>IFERROR(__xludf.DUMMYFUNCTION("""COMPUTED_VALUE"""),"")</f>
        <v/>
      </c>
      <c r="CK152" s="93" t="str">
        <f>IFERROR(__xludf.DUMMYFUNCTION("""COMPUTED_VALUE"""),"")</f>
        <v/>
      </c>
      <c r="CL152" s="93" t="str">
        <f>IFERROR(__xludf.DUMMYFUNCTION("""COMPUTED_VALUE"""),"")</f>
        <v/>
      </c>
      <c r="CM152" s="94" t="str">
        <f>IFERROR(__xludf.DUMMYFUNCTION("""COMPUTED_VALUE"""),"")</f>
        <v/>
      </c>
      <c r="CN152" s="93">
        <f>IFERROR(__xludf.DUMMYFUNCTION("""COMPUTED_VALUE"""),372.6)</f>
        <v>372.6</v>
      </c>
      <c r="CO152" s="93" t="str">
        <f>IFERROR(__xludf.DUMMYFUNCTION("""COMPUTED_VALUE"""),"")</f>
        <v/>
      </c>
      <c r="CP152" s="94" t="str">
        <f>IFERROR(__xludf.DUMMYFUNCTION("""COMPUTED_VALUE"""),"")</f>
        <v/>
      </c>
      <c r="CQ152" s="93" t="str">
        <f>IFERROR(__xludf.DUMMYFUNCTION("""COMPUTED_VALUE"""),"")</f>
        <v/>
      </c>
      <c r="CR152" s="93" t="str">
        <f>IFERROR(__xludf.DUMMYFUNCTION("""COMPUTED_VALUE"""),"")</f>
        <v/>
      </c>
      <c r="CS152" s="94"/>
      <c r="CT152" s="93"/>
      <c r="CU152" s="93"/>
      <c r="CV152" s="94"/>
      <c r="CW152" s="93"/>
      <c r="CX152" s="93"/>
      <c r="CY152" s="94"/>
      <c r="CZ152" s="93"/>
      <c r="DA152" s="93"/>
      <c r="DB152" s="94"/>
      <c r="DC152" s="93"/>
      <c r="DD152" s="93"/>
      <c r="DE152" s="94"/>
      <c r="DF152" s="93"/>
      <c r="DG152" s="93"/>
      <c r="DH152" s="94"/>
      <c r="DI152" s="93"/>
      <c r="DJ152" s="93"/>
      <c r="DK152" s="94"/>
      <c r="DL152" s="93"/>
      <c r="DM152" s="93"/>
      <c r="DN152" s="94"/>
      <c r="DO152" s="93"/>
      <c r="DP152" s="93"/>
      <c r="DQ152" s="94"/>
      <c r="DR152" s="93"/>
      <c r="DS152" s="93"/>
      <c r="DT152" s="94"/>
    </row>
    <row r="153">
      <c r="B153" s="120" t="str">
        <f>IFERROR(__xludf.DUMMYFUNCTION("""COMPUTED_VALUE"""),"AGT3")</f>
        <v>AGT3</v>
      </c>
      <c r="C153" s="82">
        <f>IFERROR(__xludf.DUMMYFUNCTION("""COMPUTED_VALUE"""),144.0)</f>
        <v>144</v>
      </c>
      <c r="D153" s="88" t="str">
        <f>IFERROR(__xludf.DUMMYFUNCTION("""COMPUTED_VALUE"""),"Riverside Town")</f>
        <v>Riverside Town</v>
      </c>
      <c r="E153" s="82" t="str">
        <f>IFERROR(__xludf.DUMMYFUNCTION("""COMPUTED_VALUE"""),"川辺の町")</f>
        <v>川辺の町</v>
      </c>
      <c r="F153" s="102">
        <f>IFERROR(__xludf.DUMMYFUNCTION("""COMPUTED_VALUE"""),20.0)</f>
        <v>20</v>
      </c>
      <c r="G153" s="82">
        <f>IFERROR(__xludf.DUMMYFUNCTION("""COMPUTED_VALUE"""),20334.0)</f>
        <v>20334</v>
      </c>
      <c r="H153" s="95" t="str">
        <f>IFERROR(__xludf.DUMMYFUNCTION("""COMPUTED_VALUE"""),"")</f>
        <v/>
      </c>
      <c r="I153" s="96" t="str">
        <f>IFERROR(__xludf.DUMMYFUNCTION("""COMPUTED_VALUE"""),"")</f>
        <v/>
      </c>
      <c r="J153" s="97" t="str">
        <f>IFERROR(__xludf.DUMMYFUNCTION("""COMPUTED_VALUE"""),"")</f>
        <v/>
      </c>
      <c r="K153" s="95" t="str">
        <f>IFERROR(__xludf.DUMMYFUNCTION("""COMPUTED_VALUE"""),"")</f>
        <v/>
      </c>
      <c r="L153" s="96" t="str">
        <f>IFERROR(__xludf.DUMMYFUNCTION("""COMPUTED_VALUE"""),"")</f>
        <v/>
      </c>
      <c r="M153" s="97" t="str">
        <f>IFERROR(__xludf.DUMMYFUNCTION("""COMPUTED_VALUE"""),"")</f>
        <v/>
      </c>
      <c r="N153" s="95" t="str">
        <f>IFERROR(__xludf.DUMMYFUNCTION("""COMPUTED_VALUE"""),"")</f>
        <v/>
      </c>
      <c r="O153" s="96" t="str">
        <f>IFERROR(__xludf.DUMMYFUNCTION("""COMPUTED_VALUE"""),"")</f>
        <v/>
      </c>
      <c r="P153" s="97" t="str">
        <f>IFERROR(__xludf.DUMMYFUNCTION("""COMPUTED_VALUE"""),"")</f>
        <v/>
      </c>
      <c r="Q153" s="95" t="str">
        <f>IFERROR(__xludf.DUMMYFUNCTION("""COMPUTED_VALUE"""),"")</f>
        <v/>
      </c>
      <c r="R153" s="96" t="str">
        <f>IFERROR(__xludf.DUMMYFUNCTION("""COMPUTED_VALUE"""),"")</f>
        <v/>
      </c>
      <c r="S153" s="97" t="str">
        <f>IFERROR(__xludf.DUMMYFUNCTION("""COMPUTED_VALUE"""),"")</f>
        <v/>
      </c>
      <c r="T153" s="95" t="str">
        <f>IFERROR(__xludf.DUMMYFUNCTION("""COMPUTED_VALUE"""),"")</f>
        <v/>
      </c>
      <c r="U153" s="96" t="str">
        <f>IFERROR(__xludf.DUMMYFUNCTION("""COMPUTED_VALUE"""),"")</f>
        <v/>
      </c>
      <c r="V153" s="97" t="str">
        <f>IFERROR(__xludf.DUMMYFUNCTION("""COMPUTED_VALUE"""),"")</f>
        <v/>
      </c>
      <c r="W153" s="95" t="str">
        <f>IFERROR(__xludf.DUMMYFUNCTION("""COMPUTED_VALUE"""),"")</f>
        <v/>
      </c>
      <c r="X153" s="96" t="str">
        <f>IFERROR(__xludf.DUMMYFUNCTION("""COMPUTED_VALUE"""),"")</f>
        <v/>
      </c>
      <c r="Y153" s="97" t="str">
        <f>IFERROR(__xludf.DUMMYFUNCTION("""COMPUTED_VALUE"""),"")</f>
        <v/>
      </c>
      <c r="Z153" s="95">
        <f>IFERROR(__xludf.DUMMYFUNCTION("""COMPUTED_VALUE"""),50.7)</f>
        <v>50.7</v>
      </c>
      <c r="AA153" s="96" t="str">
        <f>IFERROR(__xludf.DUMMYFUNCTION("""COMPUTED_VALUE"""),"")</f>
        <v/>
      </c>
      <c r="AB153" s="97" t="str">
        <f>IFERROR(__xludf.DUMMYFUNCTION("""COMPUTED_VALUE"""),"")</f>
        <v/>
      </c>
      <c r="AC153" s="95" t="str">
        <f>IFERROR(__xludf.DUMMYFUNCTION("""COMPUTED_VALUE"""),"")</f>
        <v/>
      </c>
      <c r="AD153" s="96">
        <f>IFERROR(__xludf.DUMMYFUNCTION("""COMPUTED_VALUE"""),97.5)</f>
        <v>97.5</v>
      </c>
      <c r="AE153" s="97" t="str">
        <f>IFERROR(__xludf.DUMMYFUNCTION("""COMPUTED_VALUE"""),"")</f>
        <v/>
      </c>
      <c r="AF153" s="95" t="str">
        <f>IFERROR(__xludf.DUMMYFUNCTION("""COMPUTED_VALUE"""),"")</f>
        <v/>
      </c>
      <c r="AG153" s="96" t="str">
        <f>IFERROR(__xludf.DUMMYFUNCTION("""COMPUTED_VALUE"""),"")</f>
        <v/>
      </c>
      <c r="AH153" s="97" t="str">
        <f>IFERROR(__xludf.DUMMYFUNCTION("""COMPUTED_VALUE"""),"")</f>
        <v/>
      </c>
      <c r="AI153" s="111" t="str">
        <f>IFERROR(__xludf.DUMMYFUNCTION("""COMPUTED_VALUE"""),"")</f>
        <v/>
      </c>
      <c r="AJ153" s="112" t="str">
        <f>IFERROR(__xludf.DUMMYFUNCTION("""COMPUTED_VALUE"""),"")</f>
        <v/>
      </c>
      <c r="AK153" s="113" t="str">
        <f>IFERROR(__xludf.DUMMYFUNCTION("""COMPUTED_VALUE"""),"")</f>
        <v/>
      </c>
      <c r="AL153" s="112" t="str">
        <f>IFERROR(__xludf.DUMMYFUNCTION("""COMPUTED_VALUE"""),"")</f>
        <v/>
      </c>
      <c r="AM153" s="112" t="str">
        <f>IFERROR(__xludf.DUMMYFUNCTION("""COMPUTED_VALUE"""),"")</f>
        <v/>
      </c>
      <c r="AN153" s="113" t="str">
        <f>IFERROR(__xludf.DUMMYFUNCTION("""COMPUTED_VALUE"""),"")</f>
        <v/>
      </c>
      <c r="AO153" s="112" t="str">
        <f>IFERROR(__xludf.DUMMYFUNCTION("""COMPUTED_VALUE"""),"")</f>
        <v/>
      </c>
      <c r="AP153" s="112" t="str">
        <f>IFERROR(__xludf.DUMMYFUNCTION("""COMPUTED_VALUE"""),"")</f>
        <v/>
      </c>
      <c r="AQ153" s="113" t="str">
        <f>IFERROR(__xludf.DUMMYFUNCTION("""COMPUTED_VALUE"""),"")</f>
        <v/>
      </c>
      <c r="AR153" s="112" t="str">
        <f>IFERROR(__xludf.DUMMYFUNCTION("""COMPUTED_VALUE"""),"")</f>
        <v/>
      </c>
      <c r="AS153" s="112" t="str">
        <f>IFERROR(__xludf.DUMMYFUNCTION("""COMPUTED_VALUE"""),"")</f>
        <v/>
      </c>
      <c r="AT153" s="113" t="str">
        <f>IFERROR(__xludf.DUMMYFUNCTION("""COMPUTED_VALUE"""),"")</f>
        <v/>
      </c>
      <c r="AU153" s="112" t="str">
        <f>IFERROR(__xludf.DUMMYFUNCTION("""COMPUTED_VALUE"""),"")</f>
        <v/>
      </c>
      <c r="AV153" s="112" t="str">
        <f>IFERROR(__xludf.DUMMYFUNCTION("""COMPUTED_VALUE"""),"")</f>
        <v/>
      </c>
      <c r="AW153" s="113" t="str">
        <f>IFERROR(__xludf.DUMMYFUNCTION("""COMPUTED_VALUE"""),"")</f>
        <v/>
      </c>
      <c r="AX153" s="112" t="str">
        <f>IFERROR(__xludf.DUMMYFUNCTION("""COMPUTED_VALUE"""),"")</f>
        <v/>
      </c>
      <c r="AY153" s="112" t="str">
        <f>IFERROR(__xludf.DUMMYFUNCTION("""COMPUTED_VALUE"""),"")</f>
        <v/>
      </c>
      <c r="AZ153" s="113" t="str">
        <f>IFERROR(__xludf.DUMMYFUNCTION("""COMPUTED_VALUE"""),"")</f>
        <v/>
      </c>
      <c r="BA153" s="112" t="str">
        <f>IFERROR(__xludf.DUMMYFUNCTION("""COMPUTED_VALUE"""),"")</f>
        <v/>
      </c>
      <c r="BB153" s="112" t="str">
        <f>IFERROR(__xludf.DUMMYFUNCTION("""COMPUTED_VALUE"""),"")</f>
        <v/>
      </c>
      <c r="BC153" s="113">
        <f>IFERROR(__xludf.DUMMYFUNCTION("""COMPUTED_VALUE"""),591.3)</f>
        <v>591.3</v>
      </c>
      <c r="BD153" s="154" t="str">
        <f>IFERROR(__xludf.DUMMYFUNCTION("""COMPUTED_VALUE"""),"")</f>
        <v/>
      </c>
      <c r="BE153" s="112" t="str">
        <f>IFERROR(__xludf.DUMMYFUNCTION("""COMPUTED_VALUE"""),"")</f>
        <v/>
      </c>
      <c r="BF153" s="113" t="str">
        <f>IFERROR(__xludf.DUMMYFUNCTION("""COMPUTED_VALUE"""),"")</f>
        <v/>
      </c>
      <c r="BG153" s="111" t="str">
        <f>IFERROR(__xludf.DUMMYFUNCTION("""COMPUTED_VALUE"""),"")</f>
        <v/>
      </c>
      <c r="BH153" s="112" t="str">
        <f>IFERROR(__xludf.DUMMYFUNCTION("""COMPUTED_VALUE"""),"")</f>
        <v/>
      </c>
      <c r="BI153" s="113" t="str">
        <f>IFERROR(__xludf.DUMMYFUNCTION("""COMPUTED_VALUE"""),"")</f>
        <v/>
      </c>
      <c r="BJ153" s="112">
        <f>IFERROR(__xludf.DUMMYFUNCTION("""COMPUTED_VALUE"""),134.1)</f>
        <v>134.1</v>
      </c>
      <c r="BK153" s="112" t="str">
        <f>IFERROR(__xludf.DUMMYFUNCTION("""COMPUTED_VALUE"""),"")</f>
        <v/>
      </c>
      <c r="BL153" s="113" t="str">
        <f>IFERROR(__xludf.DUMMYFUNCTION("""COMPUTED_VALUE"""),"")</f>
        <v/>
      </c>
      <c r="BM153" s="112" t="str">
        <f>IFERROR(__xludf.DUMMYFUNCTION("""COMPUTED_VALUE"""),"")</f>
        <v/>
      </c>
      <c r="BN153" s="112" t="str">
        <f>IFERROR(__xludf.DUMMYFUNCTION("""COMPUTED_VALUE"""),"")</f>
        <v/>
      </c>
      <c r="BO153" s="113" t="str">
        <f>IFERROR(__xludf.DUMMYFUNCTION("""COMPUTED_VALUE"""),"")</f>
        <v/>
      </c>
      <c r="BP153" s="112" t="str">
        <f>IFERROR(__xludf.DUMMYFUNCTION("""COMPUTED_VALUE"""),"")</f>
        <v/>
      </c>
      <c r="BQ153" s="112">
        <f>IFERROR(__xludf.DUMMYFUNCTION("""COMPUTED_VALUE"""),51.0)</f>
        <v>51</v>
      </c>
      <c r="BR153" s="113" t="str">
        <f>IFERROR(__xludf.DUMMYFUNCTION("""COMPUTED_VALUE"""),"")</f>
        <v/>
      </c>
      <c r="BS153" s="112" t="str">
        <f>IFERROR(__xludf.DUMMYFUNCTION("""COMPUTED_VALUE"""),"")</f>
        <v/>
      </c>
      <c r="BT153" s="112" t="str">
        <f>IFERROR(__xludf.DUMMYFUNCTION("""COMPUTED_VALUE"""),"")</f>
        <v/>
      </c>
      <c r="BU153" s="113" t="str">
        <f>IFERROR(__xludf.DUMMYFUNCTION("""COMPUTED_VALUE"""),"")</f>
        <v/>
      </c>
      <c r="BV153" s="112" t="str">
        <f>IFERROR(__xludf.DUMMYFUNCTION("""COMPUTED_VALUE"""),"")</f>
        <v/>
      </c>
      <c r="BW153" s="112" t="str">
        <f>IFERROR(__xludf.DUMMYFUNCTION("""COMPUTED_VALUE"""),"")</f>
        <v/>
      </c>
      <c r="BX153" s="113" t="str">
        <f>IFERROR(__xludf.DUMMYFUNCTION("""COMPUTED_VALUE"""),"")</f>
        <v/>
      </c>
      <c r="BY153" s="112" t="str">
        <f>IFERROR(__xludf.DUMMYFUNCTION("""COMPUTED_VALUE"""),"")</f>
        <v/>
      </c>
      <c r="BZ153" s="112" t="str">
        <f>IFERROR(__xludf.DUMMYFUNCTION("""COMPUTED_VALUE"""),"")</f>
        <v/>
      </c>
      <c r="CA153" s="113" t="str">
        <f>IFERROR(__xludf.DUMMYFUNCTION("""COMPUTED_VALUE"""),"")</f>
        <v/>
      </c>
      <c r="CB153" s="111" t="str">
        <f>IFERROR(__xludf.DUMMYFUNCTION("""COMPUTED_VALUE"""),"")</f>
        <v/>
      </c>
      <c r="CC153" s="112" t="str">
        <f>IFERROR(__xludf.DUMMYFUNCTION("""COMPUTED_VALUE"""),"")</f>
        <v/>
      </c>
      <c r="CD153" s="113" t="str">
        <f>IFERROR(__xludf.DUMMYFUNCTION("""COMPUTED_VALUE"""),"")</f>
        <v/>
      </c>
      <c r="CE153" s="112" t="str">
        <f>IFERROR(__xludf.DUMMYFUNCTION("""COMPUTED_VALUE"""),"")</f>
        <v/>
      </c>
      <c r="CF153" s="112" t="str">
        <f>IFERROR(__xludf.DUMMYFUNCTION("""COMPUTED_VALUE"""),"")</f>
        <v/>
      </c>
      <c r="CG153" s="113" t="str">
        <f>IFERROR(__xludf.DUMMYFUNCTION("""COMPUTED_VALUE"""),"")</f>
        <v/>
      </c>
      <c r="CH153" s="112" t="str">
        <f>IFERROR(__xludf.DUMMYFUNCTION("""COMPUTED_VALUE"""),"")</f>
        <v/>
      </c>
      <c r="CI153" s="112" t="str">
        <f>IFERROR(__xludf.DUMMYFUNCTION("""COMPUTED_VALUE"""),"")</f>
        <v/>
      </c>
      <c r="CJ153" s="113" t="str">
        <f>IFERROR(__xludf.DUMMYFUNCTION("""COMPUTED_VALUE"""),"")</f>
        <v/>
      </c>
      <c r="CK153" s="112" t="str">
        <f>IFERROR(__xludf.DUMMYFUNCTION("""COMPUTED_VALUE"""),"")</f>
        <v/>
      </c>
      <c r="CL153" s="112" t="str">
        <f>IFERROR(__xludf.DUMMYFUNCTION("""COMPUTED_VALUE"""),"")</f>
        <v/>
      </c>
      <c r="CM153" s="113" t="str">
        <f>IFERROR(__xludf.DUMMYFUNCTION("""COMPUTED_VALUE"""),"")</f>
        <v/>
      </c>
      <c r="CN153" s="112" t="str">
        <f>IFERROR(__xludf.DUMMYFUNCTION("""COMPUTED_VALUE"""),"")</f>
        <v/>
      </c>
      <c r="CO153" s="112" t="str">
        <f>IFERROR(__xludf.DUMMYFUNCTION("""COMPUTED_VALUE"""),"")</f>
        <v/>
      </c>
      <c r="CP153" s="113" t="str">
        <f>IFERROR(__xludf.DUMMYFUNCTION("""COMPUTED_VALUE"""),"")</f>
        <v/>
      </c>
      <c r="CQ153" s="112" t="str">
        <f>IFERROR(__xludf.DUMMYFUNCTION("""COMPUTED_VALUE"""),"")</f>
        <v/>
      </c>
      <c r="CR153" s="112" t="str">
        <f>IFERROR(__xludf.DUMMYFUNCTION("""COMPUTED_VALUE"""),"")</f>
        <v/>
      </c>
      <c r="CS153" s="113"/>
      <c r="CT153" s="112"/>
      <c r="CU153" s="112"/>
      <c r="CV153" s="113"/>
      <c r="CW153" s="112"/>
      <c r="CX153" s="112"/>
      <c r="CY153" s="113"/>
      <c r="CZ153" s="112"/>
      <c r="DA153" s="112"/>
      <c r="DB153" s="113"/>
      <c r="DC153" s="112"/>
      <c r="DD153" s="112"/>
      <c r="DE153" s="113"/>
      <c r="DF153" s="112"/>
      <c r="DG153" s="112"/>
      <c r="DH153" s="113"/>
      <c r="DI153" s="112"/>
      <c r="DJ153" s="112"/>
      <c r="DK153" s="113"/>
      <c r="DL153" s="112"/>
      <c r="DM153" s="112"/>
      <c r="DN153" s="113"/>
      <c r="DO153" s="112"/>
      <c r="DP153" s="112"/>
      <c r="DQ153" s="113"/>
      <c r="DR153" s="112"/>
      <c r="DS153" s="112"/>
      <c r="DT153" s="113"/>
    </row>
    <row r="154">
      <c r="B154" s="120" t="str">
        <f>IFERROR(__xludf.DUMMYFUNCTION("""COMPUTED_VALUE"""),"AGT4")</f>
        <v>AGT4</v>
      </c>
      <c r="C154" s="82">
        <f>IFERROR(__xludf.DUMMYFUNCTION("""COMPUTED_VALUE"""),145.0)</f>
        <v>145</v>
      </c>
      <c r="D154" s="88" t="str">
        <f>IFERROR(__xludf.DUMMYFUNCTION("""COMPUTED_VALUE"""),"Peach Blossom Shangri-La")</f>
        <v>Peach Blossom Shangri-La</v>
      </c>
      <c r="E154" s="82" t="str">
        <f>IFERROR(__xludf.DUMMYFUNCTION("""COMPUTED_VALUE"""),"桃源郷")</f>
        <v>桃源郷</v>
      </c>
      <c r="F154" s="102">
        <f>IFERROR(__xludf.DUMMYFUNCTION("""COMPUTED_VALUE"""),21.0)</f>
        <v>21</v>
      </c>
      <c r="G154" s="82">
        <f>IFERROR(__xludf.DUMMYFUNCTION("""COMPUTED_VALUE"""),19323.0)</f>
        <v>19323</v>
      </c>
      <c r="H154" s="95" t="str">
        <f>IFERROR(__xludf.DUMMYFUNCTION("""COMPUTED_VALUE"""),"")</f>
        <v/>
      </c>
      <c r="I154" s="96" t="str">
        <f>IFERROR(__xludf.DUMMYFUNCTION("""COMPUTED_VALUE"""),"")</f>
        <v/>
      </c>
      <c r="J154" s="97" t="str">
        <f>IFERROR(__xludf.DUMMYFUNCTION("""COMPUTED_VALUE"""),"")</f>
        <v/>
      </c>
      <c r="K154" s="95" t="str">
        <f>IFERROR(__xludf.DUMMYFUNCTION("""COMPUTED_VALUE"""),"")</f>
        <v/>
      </c>
      <c r="L154" s="96" t="str">
        <f>IFERROR(__xludf.DUMMYFUNCTION("""COMPUTED_VALUE"""),"")</f>
        <v/>
      </c>
      <c r="M154" s="97" t="str">
        <f>IFERROR(__xludf.DUMMYFUNCTION("""COMPUTED_VALUE"""),"")</f>
        <v/>
      </c>
      <c r="N154" s="95" t="str">
        <f>IFERROR(__xludf.DUMMYFUNCTION("""COMPUTED_VALUE"""),"")</f>
        <v/>
      </c>
      <c r="O154" s="96" t="str">
        <f>IFERROR(__xludf.DUMMYFUNCTION("""COMPUTED_VALUE"""),"")</f>
        <v/>
      </c>
      <c r="P154" s="97" t="str">
        <f>IFERROR(__xludf.DUMMYFUNCTION("""COMPUTED_VALUE"""),"")</f>
        <v/>
      </c>
      <c r="Q154" s="95" t="str">
        <f>IFERROR(__xludf.DUMMYFUNCTION("""COMPUTED_VALUE"""),"")</f>
        <v/>
      </c>
      <c r="R154" s="96" t="str">
        <f>IFERROR(__xludf.DUMMYFUNCTION("""COMPUTED_VALUE"""),"")</f>
        <v/>
      </c>
      <c r="S154" s="97" t="str">
        <f>IFERROR(__xludf.DUMMYFUNCTION("""COMPUTED_VALUE"""),"")</f>
        <v/>
      </c>
      <c r="T154" s="95" t="str">
        <f>IFERROR(__xludf.DUMMYFUNCTION("""COMPUTED_VALUE"""),"")</f>
        <v/>
      </c>
      <c r="U154" s="96" t="str">
        <f>IFERROR(__xludf.DUMMYFUNCTION("""COMPUTED_VALUE"""),"")</f>
        <v/>
      </c>
      <c r="V154" s="97" t="str">
        <f>IFERROR(__xludf.DUMMYFUNCTION("""COMPUTED_VALUE"""),"")</f>
        <v/>
      </c>
      <c r="W154" s="95" t="str">
        <f>IFERROR(__xludf.DUMMYFUNCTION("""COMPUTED_VALUE"""),"")</f>
        <v/>
      </c>
      <c r="X154" s="96" t="str">
        <f>IFERROR(__xludf.DUMMYFUNCTION("""COMPUTED_VALUE"""),"")</f>
        <v/>
      </c>
      <c r="Y154" s="97" t="str">
        <f>IFERROR(__xludf.DUMMYFUNCTION("""COMPUTED_VALUE"""),"")</f>
        <v/>
      </c>
      <c r="Z154" s="95" t="str">
        <f>IFERROR(__xludf.DUMMYFUNCTION("""COMPUTED_VALUE"""),"")</f>
        <v/>
      </c>
      <c r="AA154" s="96" t="str">
        <f>IFERROR(__xludf.DUMMYFUNCTION("""COMPUTED_VALUE"""),"")</f>
        <v/>
      </c>
      <c r="AB154" s="97">
        <f>IFERROR(__xludf.DUMMYFUNCTION("""COMPUTED_VALUE"""),52.0)</f>
        <v>52</v>
      </c>
      <c r="AC154" s="95" t="str">
        <f>IFERROR(__xludf.DUMMYFUNCTION("""COMPUTED_VALUE"""),"")</f>
        <v/>
      </c>
      <c r="AD154" s="96" t="str">
        <f>IFERROR(__xludf.DUMMYFUNCTION("""COMPUTED_VALUE"""),"")</f>
        <v/>
      </c>
      <c r="AE154" s="97" t="str">
        <f>IFERROR(__xludf.DUMMYFUNCTION("""COMPUTED_VALUE"""),"")</f>
        <v/>
      </c>
      <c r="AF154" s="95" t="str">
        <f>IFERROR(__xludf.DUMMYFUNCTION("""COMPUTED_VALUE"""),"")</f>
        <v/>
      </c>
      <c r="AG154" s="96" t="str">
        <f>IFERROR(__xludf.DUMMYFUNCTION("""COMPUTED_VALUE"""),"")</f>
        <v/>
      </c>
      <c r="AH154" s="97" t="str">
        <f>IFERROR(__xludf.DUMMYFUNCTION("""COMPUTED_VALUE"""),"")</f>
        <v/>
      </c>
      <c r="AI154" s="92" t="str">
        <f>IFERROR(__xludf.DUMMYFUNCTION("""COMPUTED_VALUE"""),"")</f>
        <v/>
      </c>
      <c r="AJ154" s="93" t="str">
        <f>IFERROR(__xludf.DUMMYFUNCTION("""COMPUTED_VALUE"""),"")</f>
        <v/>
      </c>
      <c r="AK154" s="94" t="str">
        <f>IFERROR(__xludf.DUMMYFUNCTION("""COMPUTED_VALUE"""),"")</f>
        <v/>
      </c>
      <c r="AL154" s="93" t="str">
        <f>IFERROR(__xludf.DUMMYFUNCTION("""COMPUTED_VALUE"""),"")</f>
        <v/>
      </c>
      <c r="AM154" s="93" t="str">
        <f>IFERROR(__xludf.DUMMYFUNCTION("""COMPUTED_VALUE"""),"")</f>
        <v/>
      </c>
      <c r="AN154" s="94" t="str">
        <f>IFERROR(__xludf.DUMMYFUNCTION("""COMPUTED_VALUE"""),"")</f>
        <v/>
      </c>
      <c r="AO154" s="93" t="str">
        <f>IFERROR(__xludf.DUMMYFUNCTION("""COMPUTED_VALUE"""),"")</f>
        <v/>
      </c>
      <c r="AP154" s="93" t="str">
        <f>IFERROR(__xludf.DUMMYFUNCTION("""COMPUTED_VALUE"""),"")</f>
        <v/>
      </c>
      <c r="AQ154" s="94" t="str">
        <f>IFERROR(__xludf.DUMMYFUNCTION("""COMPUTED_VALUE"""),"")</f>
        <v/>
      </c>
      <c r="AR154" s="93" t="str">
        <f>IFERROR(__xludf.DUMMYFUNCTION("""COMPUTED_VALUE"""),"")</f>
        <v/>
      </c>
      <c r="AS154" s="93" t="str">
        <f>IFERROR(__xludf.DUMMYFUNCTION("""COMPUTED_VALUE"""),"")</f>
        <v/>
      </c>
      <c r="AT154" s="94" t="str">
        <f>IFERROR(__xludf.DUMMYFUNCTION("""COMPUTED_VALUE"""),"")</f>
        <v/>
      </c>
      <c r="AU154" s="93" t="str">
        <f>IFERROR(__xludf.DUMMYFUNCTION("""COMPUTED_VALUE"""),"")</f>
        <v/>
      </c>
      <c r="AV154" s="93" t="str">
        <f>IFERROR(__xludf.DUMMYFUNCTION("""COMPUTED_VALUE"""),"")</f>
        <v/>
      </c>
      <c r="AW154" s="94" t="str">
        <f>IFERROR(__xludf.DUMMYFUNCTION("""COMPUTED_VALUE"""),"")</f>
        <v/>
      </c>
      <c r="AX154" s="93" t="str">
        <f>IFERROR(__xludf.DUMMYFUNCTION("""COMPUTED_VALUE"""),"")</f>
        <v/>
      </c>
      <c r="AY154" s="93" t="str">
        <f>IFERROR(__xludf.DUMMYFUNCTION("""COMPUTED_VALUE"""),"")</f>
        <v/>
      </c>
      <c r="AZ154" s="94" t="str">
        <f>IFERROR(__xludf.DUMMYFUNCTION("""COMPUTED_VALUE"""),"")</f>
        <v/>
      </c>
      <c r="BA154" s="93" t="str">
        <f>IFERROR(__xludf.DUMMYFUNCTION("""COMPUTED_VALUE"""),"")</f>
        <v/>
      </c>
      <c r="BB154" s="143" t="str">
        <f>IFERROR(__xludf.DUMMYFUNCTION("""COMPUTED_VALUE"""),"")</f>
        <v/>
      </c>
      <c r="BC154" s="94" t="str">
        <f>IFERROR(__xludf.DUMMYFUNCTION("""COMPUTED_VALUE"""),"")</f>
        <v/>
      </c>
      <c r="BD154" s="93" t="str">
        <f>IFERROR(__xludf.DUMMYFUNCTION("""COMPUTED_VALUE"""),"")</f>
        <v/>
      </c>
      <c r="BE154" s="93" t="str">
        <f>IFERROR(__xludf.DUMMYFUNCTION("""COMPUTED_VALUE"""),"")</f>
        <v/>
      </c>
      <c r="BF154" s="94" t="str">
        <f>IFERROR(__xludf.DUMMYFUNCTION("""COMPUTED_VALUE"""),"")</f>
        <v/>
      </c>
      <c r="BG154" s="92" t="str">
        <f>IFERROR(__xludf.DUMMYFUNCTION("""COMPUTED_VALUE"""),"")</f>
        <v/>
      </c>
      <c r="BH154" s="93" t="str">
        <f>IFERROR(__xludf.DUMMYFUNCTION("""COMPUTED_VALUE"""),"")</f>
        <v/>
      </c>
      <c r="BI154" s="94">
        <f>IFERROR(__xludf.DUMMYFUNCTION("""COMPUTED_VALUE"""),548.6)</f>
        <v>548.6</v>
      </c>
      <c r="BJ154" s="93" t="str">
        <f>IFERROR(__xludf.DUMMYFUNCTION("""COMPUTED_VALUE"""),"")</f>
        <v/>
      </c>
      <c r="BK154" s="93" t="str">
        <f>IFERROR(__xludf.DUMMYFUNCTION("""COMPUTED_VALUE"""),"")</f>
        <v/>
      </c>
      <c r="BL154" s="94" t="str">
        <f>IFERROR(__xludf.DUMMYFUNCTION("""COMPUTED_VALUE"""),"")</f>
        <v/>
      </c>
      <c r="BM154" s="93" t="str">
        <f>IFERROR(__xludf.DUMMYFUNCTION("""COMPUTED_VALUE"""),"")</f>
        <v/>
      </c>
      <c r="BN154" s="93" t="str">
        <f>IFERROR(__xludf.DUMMYFUNCTION("""COMPUTED_VALUE"""),"")</f>
        <v/>
      </c>
      <c r="BO154" s="94" t="str">
        <f>IFERROR(__xludf.DUMMYFUNCTION("""COMPUTED_VALUE"""),"")</f>
        <v/>
      </c>
      <c r="BP154" s="93">
        <f>IFERROR(__xludf.DUMMYFUNCTION("""COMPUTED_VALUE"""),227.6)</f>
        <v>227.6</v>
      </c>
      <c r="BQ154" s="93" t="str">
        <f>IFERROR(__xludf.DUMMYFUNCTION("""COMPUTED_VALUE"""),"")</f>
        <v/>
      </c>
      <c r="BR154" s="94" t="str">
        <f>IFERROR(__xludf.DUMMYFUNCTION("""COMPUTED_VALUE"""),"")</f>
        <v/>
      </c>
      <c r="BS154" s="93" t="str">
        <f>IFERROR(__xludf.DUMMYFUNCTION("""COMPUTED_VALUE"""),"")</f>
        <v/>
      </c>
      <c r="BT154" s="93" t="str">
        <f>IFERROR(__xludf.DUMMYFUNCTION("""COMPUTED_VALUE"""),"")</f>
        <v/>
      </c>
      <c r="BU154" s="94" t="str">
        <f>IFERROR(__xludf.DUMMYFUNCTION("""COMPUTED_VALUE"""),"")</f>
        <v/>
      </c>
      <c r="BV154" s="93" t="str">
        <f>IFERROR(__xludf.DUMMYFUNCTION("""COMPUTED_VALUE"""),"")</f>
        <v/>
      </c>
      <c r="BW154" s="93">
        <f>IFERROR(__xludf.DUMMYFUNCTION("""COMPUTED_VALUE"""),67.8)</f>
        <v>67.8</v>
      </c>
      <c r="BX154" s="94" t="str">
        <f>IFERROR(__xludf.DUMMYFUNCTION("""COMPUTED_VALUE"""),"")</f>
        <v/>
      </c>
      <c r="BY154" s="93" t="str">
        <f>IFERROR(__xludf.DUMMYFUNCTION("""COMPUTED_VALUE"""),"")</f>
        <v/>
      </c>
      <c r="BZ154" s="93" t="str">
        <f>IFERROR(__xludf.DUMMYFUNCTION("""COMPUTED_VALUE"""),"")</f>
        <v/>
      </c>
      <c r="CA154" s="94" t="str">
        <f>IFERROR(__xludf.DUMMYFUNCTION("""COMPUTED_VALUE"""),"")</f>
        <v/>
      </c>
      <c r="CB154" s="92" t="str">
        <f>IFERROR(__xludf.DUMMYFUNCTION("""COMPUTED_VALUE"""),"")</f>
        <v/>
      </c>
      <c r="CC154" s="93" t="str">
        <f>IFERROR(__xludf.DUMMYFUNCTION("""COMPUTED_VALUE"""),"")</f>
        <v/>
      </c>
      <c r="CD154" s="94" t="str">
        <f>IFERROR(__xludf.DUMMYFUNCTION("""COMPUTED_VALUE"""),"")</f>
        <v/>
      </c>
      <c r="CE154" s="93" t="str">
        <f>IFERROR(__xludf.DUMMYFUNCTION("""COMPUTED_VALUE"""),"")</f>
        <v/>
      </c>
      <c r="CF154" s="93" t="str">
        <f>IFERROR(__xludf.DUMMYFUNCTION("""COMPUTED_VALUE"""),"")</f>
        <v/>
      </c>
      <c r="CG154" s="94" t="str">
        <f>IFERROR(__xludf.DUMMYFUNCTION("""COMPUTED_VALUE"""),"")</f>
        <v/>
      </c>
      <c r="CH154" s="93" t="str">
        <f>IFERROR(__xludf.DUMMYFUNCTION("""COMPUTED_VALUE"""),"")</f>
        <v/>
      </c>
      <c r="CI154" s="93" t="str">
        <f>IFERROR(__xludf.DUMMYFUNCTION("""COMPUTED_VALUE"""),"")</f>
        <v/>
      </c>
      <c r="CJ154" s="94" t="str">
        <f>IFERROR(__xludf.DUMMYFUNCTION("""COMPUTED_VALUE"""),"")</f>
        <v/>
      </c>
      <c r="CK154" s="93" t="str">
        <f>IFERROR(__xludf.DUMMYFUNCTION("""COMPUTED_VALUE"""),"")</f>
        <v/>
      </c>
      <c r="CL154" s="93" t="str">
        <f>IFERROR(__xludf.DUMMYFUNCTION("""COMPUTED_VALUE"""),"")</f>
        <v/>
      </c>
      <c r="CM154" s="94" t="str">
        <f>IFERROR(__xludf.DUMMYFUNCTION("""COMPUTED_VALUE"""),"")</f>
        <v/>
      </c>
      <c r="CN154" s="93" t="str">
        <f>IFERROR(__xludf.DUMMYFUNCTION("""COMPUTED_VALUE"""),"")</f>
        <v/>
      </c>
      <c r="CO154" s="93" t="str">
        <f>IFERROR(__xludf.DUMMYFUNCTION("""COMPUTED_VALUE"""),"")</f>
        <v/>
      </c>
      <c r="CP154" s="94" t="str">
        <f>IFERROR(__xludf.DUMMYFUNCTION("""COMPUTED_VALUE"""),"")</f>
        <v/>
      </c>
      <c r="CQ154" s="93" t="str">
        <f>IFERROR(__xludf.DUMMYFUNCTION("""COMPUTED_VALUE"""),"")</f>
        <v/>
      </c>
      <c r="CR154" s="93" t="str">
        <f>IFERROR(__xludf.DUMMYFUNCTION("""COMPUTED_VALUE"""),"")</f>
        <v/>
      </c>
      <c r="CS154" s="94"/>
      <c r="CT154" s="93"/>
      <c r="CU154" s="93"/>
      <c r="CV154" s="94"/>
      <c r="CW154" s="93"/>
      <c r="CX154" s="93"/>
      <c r="CY154" s="94"/>
      <c r="CZ154" s="93"/>
      <c r="DA154" s="93"/>
      <c r="DB154" s="94"/>
      <c r="DC154" s="93"/>
      <c r="DD154" s="93"/>
      <c r="DE154" s="94"/>
      <c r="DF154" s="93"/>
      <c r="DG154" s="93"/>
      <c r="DH154" s="94"/>
      <c r="DI154" s="93"/>
      <c r="DJ154" s="93"/>
      <c r="DK154" s="94"/>
      <c r="DL154" s="93"/>
      <c r="DM154" s="93"/>
      <c r="DN154" s="94"/>
      <c r="DO154" s="93"/>
      <c r="DP154" s="93"/>
      <c r="DQ154" s="94"/>
      <c r="DR154" s="93"/>
      <c r="DS154" s="93"/>
      <c r="DT154" s="94"/>
    </row>
    <row r="155">
      <c r="B155" s="120" t="str">
        <f>IFERROR(__xludf.DUMMYFUNCTION("""COMPUTED_VALUE"""),"AGT5")</f>
        <v>AGT5</v>
      </c>
      <c r="C155" s="82">
        <f>IFERROR(__xludf.DUMMYFUNCTION("""COMPUTED_VALUE"""),146.0)</f>
        <v>146</v>
      </c>
      <c r="D155" s="88" t="str">
        <f>IFERROR(__xludf.DUMMYFUNCTION("""COMPUTED_VALUE"""),"Ys")</f>
        <v>Ys</v>
      </c>
      <c r="E155" s="82" t="str">
        <f>IFERROR(__xludf.DUMMYFUNCTION("""COMPUTED_VALUE"""),"イース")</f>
        <v>イース</v>
      </c>
      <c r="F155" s="102">
        <f>IFERROR(__xludf.DUMMYFUNCTION("""COMPUTED_VALUE"""),21.0)</f>
        <v>21</v>
      </c>
      <c r="G155" s="82">
        <f>IFERROR(__xludf.DUMMYFUNCTION("""COMPUTED_VALUE"""),5732.0)</f>
        <v>5732</v>
      </c>
      <c r="H155" s="95" t="str">
        <f>IFERROR(__xludf.DUMMYFUNCTION("""COMPUTED_VALUE"""),"")</f>
        <v/>
      </c>
      <c r="I155" s="96" t="str">
        <f>IFERROR(__xludf.DUMMYFUNCTION("""COMPUTED_VALUE"""),"")</f>
        <v/>
      </c>
      <c r="J155" s="97" t="str">
        <f>IFERROR(__xludf.DUMMYFUNCTION("""COMPUTED_VALUE"""),"")</f>
        <v/>
      </c>
      <c r="K155" s="95" t="str">
        <f>IFERROR(__xludf.DUMMYFUNCTION("""COMPUTED_VALUE"""),"")</f>
        <v/>
      </c>
      <c r="L155" s="96" t="str">
        <f>IFERROR(__xludf.DUMMYFUNCTION("""COMPUTED_VALUE"""),"")</f>
        <v/>
      </c>
      <c r="M155" s="97" t="str">
        <f>IFERROR(__xludf.DUMMYFUNCTION("""COMPUTED_VALUE"""),"")</f>
        <v/>
      </c>
      <c r="N155" s="95" t="str">
        <f>IFERROR(__xludf.DUMMYFUNCTION("""COMPUTED_VALUE"""),"")</f>
        <v/>
      </c>
      <c r="O155" s="96" t="str">
        <f>IFERROR(__xludf.DUMMYFUNCTION("""COMPUTED_VALUE"""),"")</f>
        <v/>
      </c>
      <c r="P155" s="97" t="str">
        <f>IFERROR(__xludf.DUMMYFUNCTION("""COMPUTED_VALUE"""),"")</f>
        <v/>
      </c>
      <c r="Q155" s="95" t="str">
        <f>IFERROR(__xludf.DUMMYFUNCTION("""COMPUTED_VALUE"""),"")</f>
        <v/>
      </c>
      <c r="R155" s="96" t="str">
        <f>IFERROR(__xludf.DUMMYFUNCTION("""COMPUTED_VALUE"""),"")</f>
        <v/>
      </c>
      <c r="S155" s="97" t="str">
        <f>IFERROR(__xludf.DUMMYFUNCTION("""COMPUTED_VALUE"""),"")</f>
        <v/>
      </c>
      <c r="T155" s="95" t="str">
        <f>IFERROR(__xludf.DUMMYFUNCTION("""COMPUTED_VALUE"""),"")</f>
        <v/>
      </c>
      <c r="U155" s="96" t="str">
        <f>IFERROR(__xludf.DUMMYFUNCTION("""COMPUTED_VALUE"""),"")</f>
        <v/>
      </c>
      <c r="V155" s="97" t="str">
        <f>IFERROR(__xludf.DUMMYFUNCTION("""COMPUTED_VALUE"""),"")</f>
        <v/>
      </c>
      <c r="W155" s="95" t="str">
        <f>IFERROR(__xludf.DUMMYFUNCTION("""COMPUTED_VALUE"""),"")</f>
        <v/>
      </c>
      <c r="X155" s="96" t="str">
        <f>IFERROR(__xludf.DUMMYFUNCTION("""COMPUTED_VALUE"""),"")</f>
        <v/>
      </c>
      <c r="Y155" s="97" t="str">
        <f>IFERROR(__xludf.DUMMYFUNCTION("""COMPUTED_VALUE"""),"")</f>
        <v/>
      </c>
      <c r="Z155" s="95" t="str">
        <f>IFERROR(__xludf.DUMMYFUNCTION("""COMPUTED_VALUE"""),"")</f>
        <v/>
      </c>
      <c r="AA155" s="96" t="str">
        <f>IFERROR(__xludf.DUMMYFUNCTION("""COMPUTED_VALUE"""),"")</f>
        <v/>
      </c>
      <c r="AB155" s="97" t="str">
        <f>IFERROR(__xludf.DUMMYFUNCTION("""COMPUTED_VALUE"""),"")</f>
        <v/>
      </c>
      <c r="AC155" s="95" t="str">
        <f>IFERROR(__xludf.DUMMYFUNCTION("""COMPUTED_VALUE"""),"")</f>
        <v/>
      </c>
      <c r="AD155" s="96" t="str">
        <f>IFERROR(__xludf.DUMMYFUNCTION("""COMPUTED_VALUE"""),"")</f>
        <v/>
      </c>
      <c r="AE155" s="97" t="str">
        <f>IFERROR(__xludf.DUMMYFUNCTION("""COMPUTED_VALUE"""),"")</f>
        <v/>
      </c>
      <c r="AF155" s="95" t="str">
        <f>IFERROR(__xludf.DUMMYFUNCTION("""COMPUTED_VALUE"""),"")</f>
        <v/>
      </c>
      <c r="AG155" s="96" t="str">
        <f>IFERROR(__xludf.DUMMYFUNCTION("""COMPUTED_VALUE"""),"")</f>
        <v/>
      </c>
      <c r="AH155" s="97" t="str">
        <f>IFERROR(__xludf.DUMMYFUNCTION("""COMPUTED_VALUE"""),"")</f>
        <v/>
      </c>
      <c r="AI155" s="111" t="str">
        <f>IFERROR(__xludf.DUMMYFUNCTION("""COMPUTED_VALUE"""),"")</f>
        <v/>
      </c>
      <c r="AJ155" s="112" t="str">
        <f>IFERROR(__xludf.DUMMYFUNCTION("""COMPUTED_VALUE"""),"")</f>
        <v/>
      </c>
      <c r="AK155" s="113" t="str">
        <f>IFERROR(__xludf.DUMMYFUNCTION("""COMPUTED_VALUE"""),"")</f>
        <v/>
      </c>
      <c r="AL155" s="112" t="str">
        <f>IFERROR(__xludf.DUMMYFUNCTION("""COMPUTED_VALUE"""),"")</f>
        <v/>
      </c>
      <c r="AM155" s="112" t="str">
        <f>IFERROR(__xludf.DUMMYFUNCTION("""COMPUTED_VALUE"""),"")</f>
        <v/>
      </c>
      <c r="AN155" s="113" t="str">
        <f>IFERROR(__xludf.DUMMYFUNCTION("""COMPUTED_VALUE"""),"")</f>
        <v/>
      </c>
      <c r="AO155" s="112" t="str">
        <f>IFERROR(__xludf.DUMMYFUNCTION("""COMPUTED_VALUE"""),"")</f>
        <v/>
      </c>
      <c r="AP155" s="112" t="str">
        <f>IFERROR(__xludf.DUMMYFUNCTION("""COMPUTED_VALUE"""),"")</f>
        <v/>
      </c>
      <c r="AQ155" s="113" t="str">
        <f>IFERROR(__xludf.DUMMYFUNCTION("""COMPUTED_VALUE"""),"")</f>
        <v/>
      </c>
      <c r="AR155" s="112" t="str">
        <f>IFERROR(__xludf.DUMMYFUNCTION("""COMPUTED_VALUE"""),"")</f>
        <v/>
      </c>
      <c r="AS155" s="112" t="str">
        <f>IFERROR(__xludf.DUMMYFUNCTION("""COMPUTED_VALUE"""),"")</f>
        <v/>
      </c>
      <c r="AT155" s="113">
        <f>IFERROR(__xludf.DUMMYFUNCTION("""COMPUTED_VALUE"""),56.6)</f>
        <v>56.6</v>
      </c>
      <c r="AU155" s="112" t="str">
        <f>IFERROR(__xludf.DUMMYFUNCTION("""COMPUTED_VALUE"""),"")</f>
        <v/>
      </c>
      <c r="AV155" s="112" t="str">
        <f>IFERROR(__xludf.DUMMYFUNCTION("""COMPUTED_VALUE"""),"")</f>
        <v/>
      </c>
      <c r="AW155" s="113">
        <f>IFERROR(__xludf.DUMMYFUNCTION("""COMPUTED_VALUE"""),67.3)</f>
        <v>67.3</v>
      </c>
      <c r="AX155" s="112" t="str">
        <f>IFERROR(__xludf.DUMMYFUNCTION("""COMPUTED_VALUE"""),"")</f>
        <v/>
      </c>
      <c r="AY155" s="112" t="str">
        <f>IFERROR(__xludf.DUMMYFUNCTION("""COMPUTED_VALUE"""),"")</f>
        <v/>
      </c>
      <c r="AZ155" s="113" t="str">
        <f>IFERROR(__xludf.DUMMYFUNCTION("""COMPUTED_VALUE"""),"")</f>
        <v/>
      </c>
      <c r="BA155" s="112" t="str">
        <f>IFERROR(__xludf.DUMMYFUNCTION("""COMPUTED_VALUE"""),"")</f>
        <v/>
      </c>
      <c r="BB155" s="112" t="str">
        <f>IFERROR(__xludf.DUMMYFUNCTION("""COMPUTED_VALUE"""),"")</f>
        <v/>
      </c>
      <c r="BC155" s="113" t="str">
        <f>IFERROR(__xludf.DUMMYFUNCTION("""COMPUTED_VALUE"""),"")</f>
        <v/>
      </c>
      <c r="BD155" s="112" t="str">
        <f>IFERROR(__xludf.DUMMYFUNCTION("""COMPUTED_VALUE"""),"")</f>
        <v/>
      </c>
      <c r="BE155" s="112" t="str">
        <f>IFERROR(__xludf.DUMMYFUNCTION("""COMPUTED_VALUE"""),"")</f>
        <v/>
      </c>
      <c r="BF155" s="113" t="str">
        <f>IFERROR(__xludf.DUMMYFUNCTION("""COMPUTED_VALUE"""),"")</f>
        <v/>
      </c>
      <c r="BG155" s="111" t="str">
        <f>IFERROR(__xludf.DUMMYFUNCTION("""COMPUTED_VALUE"""),"")</f>
        <v/>
      </c>
      <c r="BH155" s="112" t="str">
        <f>IFERROR(__xludf.DUMMYFUNCTION("""COMPUTED_VALUE"""),"")</f>
        <v/>
      </c>
      <c r="BI155" s="113" t="str">
        <f>IFERROR(__xludf.DUMMYFUNCTION("""COMPUTED_VALUE"""),"")</f>
        <v/>
      </c>
      <c r="BJ155" s="112" t="str">
        <f>IFERROR(__xludf.DUMMYFUNCTION("""COMPUTED_VALUE"""),"")</f>
        <v/>
      </c>
      <c r="BK155" s="112" t="str">
        <f>IFERROR(__xludf.DUMMYFUNCTION("""COMPUTED_VALUE"""),"")</f>
        <v/>
      </c>
      <c r="BL155" s="113" t="str">
        <f>IFERROR(__xludf.DUMMYFUNCTION("""COMPUTED_VALUE"""),"")</f>
        <v/>
      </c>
      <c r="BM155" s="112" t="str">
        <f>IFERROR(__xludf.DUMMYFUNCTION("""COMPUTED_VALUE"""),"")</f>
        <v/>
      </c>
      <c r="BN155" s="112" t="str">
        <f>IFERROR(__xludf.DUMMYFUNCTION("""COMPUTED_VALUE"""),"")</f>
        <v/>
      </c>
      <c r="BO155" s="113" t="str">
        <f>IFERROR(__xludf.DUMMYFUNCTION("""COMPUTED_VALUE"""),"")</f>
        <v/>
      </c>
      <c r="BP155" s="112" t="str">
        <f>IFERROR(__xludf.DUMMYFUNCTION("""COMPUTED_VALUE"""),"")</f>
        <v/>
      </c>
      <c r="BQ155" s="112" t="str">
        <f>IFERROR(__xludf.DUMMYFUNCTION("""COMPUTED_VALUE"""),"")</f>
        <v/>
      </c>
      <c r="BR155" s="113" t="str">
        <f>IFERROR(__xludf.DUMMYFUNCTION("""COMPUTED_VALUE"""),"")</f>
        <v/>
      </c>
      <c r="BS155" s="112" t="str">
        <f>IFERROR(__xludf.DUMMYFUNCTION("""COMPUTED_VALUE"""),"")</f>
        <v/>
      </c>
      <c r="BT155" s="112">
        <f>IFERROR(__xludf.DUMMYFUNCTION("""COMPUTED_VALUE"""),55.0)</f>
        <v>55</v>
      </c>
      <c r="BU155" s="113" t="str">
        <f>IFERROR(__xludf.DUMMYFUNCTION("""COMPUTED_VALUE"""),"")</f>
        <v/>
      </c>
      <c r="BV155" s="112" t="str">
        <f>IFERROR(__xludf.DUMMYFUNCTION("""COMPUTED_VALUE"""),"")</f>
        <v/>
      </c>
      <c r="BW155" s="112" t="str">
        <f>IFERROR(__xludf.DUMMYFUNCTION("""COMPUTED_VALUE"""),"")</f>
        <v/>
      </c>
      <c r="BX155" s="113" t="str">
        <f>IFERROR(__xludf.DUMMYFUNCTION("""COMPUTED_VALUE"""),"")</f>
        <v/>
      </c>
      <c r="BY155" s="112" t="str">
        <f>IFERROR(__xludf.DUMMYFUNCTION("""COMPUTED_VALUE"""),"")</f>
        <v/>
      </c>
      <c r="BZ155" s="112" t="str">
        <f>IFERROR(__xludf.DUMMYFUNCTION("""COMPUTED_VALUE"""),"")</f>
        <v/>
      </c>
      <c r="CA155" s="113" t="str">
        <f>IFERROR(__xludf.DUMMYFUNCTION("""COMPUTED_VALUE"""),"")</f>
        <v/>
      </c>
      <c r="CB155" s="111" t="str">
        <f>IFERROR(__xludf.DUMMYFUNCTION("""COMPUTED_VALUE"""),"")</f>
        <v/>
      </c>
      <c r="CC155" s="112" t="str">
        <f>IFERROR(__xludf.DUMMYFUNCTION("""COMPUTED_VALUE"""),"")</f>
        <v/>
      </c>
      <c r="CD155" s="113" t="str">
        <f>IFERROR(__xludf.DUMMYFUNCTION("""COMPUTED_VALUE"""),"")</f>
        <v/>
      </c>
      <c r="CE155" s="112" t="str">
        <f>IFERROR(__xludf.DUMMYFUNCTION("""COMPUTED_VALUE"""),"")</f>
        <v/>
      </c>
      <c r="CF155" s="112" t="str">
        <f>IFERROR(__xludf.DUMMYFUNCTION("""COMPUTED_VALUE"""),"")</f>
        <v/>
      </c>
      <c r="CG155" s="113" t="str">
        <f>IFERROR(__xludf.DUMMYFUNCTION("""COMPUTED_VALUE"""),"")</f>
        <v/>
      </c>
      <c r="CH155" s="112" t="str">
        <f>IFERROR(__xludf.DUMMYFUNCTION("""COMPUTED_VALUE"""),"")</f>
        <v/>
      </c>
      <c r="CI155" s="112" t="str">
        <f>IFERROR(__xludf.DUMMYFUNCTION("""COMPUTED_VALUE"""),"")</f>
        <v/>
      </c>
      <c r="CJ155" s="113" t="str">
        <f>IFERROR(__xludf.DUMMYFUNCTION("""COMPUTED_VALUE"""),"")</f>
        <v/>
      </c>
      <c r="CK155" s="112" t="str">
        <f>IFERROR(__xludf.DUMMYFUNCTION("""COMPUTED_VALUE"""),"")</f>
        <v/>
      </c>
      <c r="CL155" s="112" t="str">
        <f>IFERROR(__xludf.DUMMYFUNCTION("""COMPUTED_VALUE"""),"")</f>
        <v/>
      </c>
      <c r="CM155" s="113" t="str">
        <f>IFERROR(__xludf.DUMMYFUNCTION("""COMPUTED_VALUE"""),"")</f>
        <v/>
      </c>
      <c r="CN155" s="112" t="str">
        <f>IFERROR(__xludf.DUMMYFUNCTION("""COMPUTED_VALUE"""),"")</f>
        <v/>
      </c>
      <c r="CO155" s="112" t="str">
        <f>IFERROR(__xludf.DUMMYFUNCTION("""COMPUTED_VALUE"""),"")</f>
        <v/>
      </c>
      <c r="CP155" s="113" t="str">
        <f>IFERROR(__xludf.DUMMYFUNCTION("""COMPUTED_VALUE"""),"")</f>
        <v/>
      </c>
      <c r="CQ155" s="112" t="str">
        <f>IFERROR(__xludf.DUMMYFUNCTION("""COMPUTED_VALUE"""),"")</f>
        <v/>
      </c>
      <c r="CR155" s="112" t="str">
        <f>IFERROR(__xludf.DUMMYFUNCTION("""COMPUTED_VALUE"""),"")</f>
        <v/>
      </c>
      <c r="CS155" s="113"/>
      <c r="CT155" s="112"/>
      <c r="CU155" s="112"/>
      <c r="CV155" s="113"/>
      <c r="CW155" s="112"/>
      <c r="CX155" s="112"/>
      <c r="CY155" s="113"/>
      <c r="CZ155" s="112"/>
      <c r="DA155" s="112"/>
      <c r="DB155" s="113"/>
      <c r="DC155" s="112"/>
      <c r="DD155" s="112"/>
      <c r="DE155" s="113"/>
      <c r="DF155" s="112"/>
      <c r="DG155" s="112"/>
      <c r="DH155" s="113"/>
      <c r="DI155" s="112"/>
      <c r="DJ155" s="112"/>
      <c r="DK155" s="113"/>
      <c r="DL155" s="112"/>
      <c r="DM155" s="112"/>
      <c r="DN155" s="113"/>
      <c r="DO155" s="112"/>
      <c r="DP155" s="112"/>
      <c r="DQ155" s="113"/>
      <c r="DR155" s="112"/>
      <c r="DS155" s="112"/>
      <c r="DT155" s="113"/>
    </row>
    <row r="156">
      <c r="B156" s="120" t="str">
        <f>IFERROR(__xludf.DUMMYFUNCTION("""COMPUTED_VALUE"""),"AGT6")</f>
        <v>AGT6</v>
      </c>
      <c r="C156" s="82">
        <f>IFERROR(__xludf.DUMMYFUNCTION("""COMPUTED_VALUE"""),147.0)</f>
        <v>147</v>
      </c>
      <c r="D156" s="88" t="str">
        <f>IFERROR(__xludf.DUMMYFUNCTION("""COMPUTED_VALUE"""),"Northern Cliffs")</f>
        <v>Northern Cliffs</v>
      </c>
      <c r="E156" s="82" t="str">
        <f>IFERROR(__xludf.DUMMYFUNCTION("""COMPUTED_VALUE"""),"北の断崖")</f>
        <v>北の断崖</v>
      </c>
      <c r="F156" s="102">
        <f>IFERROR(__xludf.DUMMYFUNCTION("""COMPUTED_VALUE"""),21.0)</f>
        <v>21</v>
      </c>
      <c r="G156" s="82">
        <f>IFERROR(__xludf.DUMMYFUNCTION("""COMPUTED_VALUE"""),2240.0)</f>
        <v>2240</v>
      </c>
      <c r="H156" s="95" t="str">
        <f>IFERROR(__xludf.DUMMYFUNCTION("""COMPUTED_VALUE"""),"")</f>
        <v/>
      </c>
      <c r="I156" s="96" t="str">
        <f>IFERROR(__xludf.DUMMYFUNCTION("""COMPUTED_VALUE"""),"")</f>
        <v/>
      </c>
      <c r="J156" s="97" t="str">
        <f>IFERROR(__xludf.DUMMYFUNCTION("""COMPUTED_VALUE"""),"")</f>
        <v/>
      </c>
      <c r="K156" s="95" t="str">
        <f>IFERROR(__xludf.DUMMYFUNCTION("""COMPUTED_VALUE"""),"")</f>
        <v/>
      </c>
      <c r="L156" s="96" t="str">
        <f>IFERROR(__xludf.DUMMYFUNCTION("""COMPUTED_VALUE"""),"")</f>
        <v/>
      </c>
      <c r="M156" s="97" t="str">
        <f>IFERROR(__xludf.DUMMYFUNCTION("""COMPUTED_VALUE"""),"")</f>
        <v/>
      </c>
      <c r="N156" s="95">
        <f>IFERROR(__xludf.DUMMYFUNCTION("""COMPUTED_VALUE"""),102.0)</f>
        <v>102</v>
      </c>
      <c r="O156" s="96" t="str">
        <f>IFERROR(__xludf.DUMMYFUNCTION("""COMPUTED_VALUE"""),"")</f>
        <v/>
      </c>
      <c r="P156" s="97" t="str">
        <f>IFERROR(__xludf.DUMMYFUNCTION("""COMPUTED_VALUE"""),"")</f>
        <v/>
      </c>
      <c r="Q156" s="95" t="str">
        <f>IFERROR(__xludf.DUMMYFUNCTION("""COMPUTED_VALUE"""),"")</f>
        <v/>
      </c>
      <c r="R156" s="96" t="str">
        <f>IFERROR(__xludf.DUMMYFUNCTION("""COMPUTED_VALUE"""),"")</f>
        <v/>
      </c>
      <c r="S156" s="97" t="str">
        <f>IFERROR(__xludf.DUMMYFUNCTION("""COMPUTED_VALUE"""),"")</f>
        <v/>
      </c>
      <c r="T156" s="95" t="str">
        <f>IFERROR(__xludf.DUMMYFUNCTION("""COMPUTED_VALUE"""),"")</f>
        <v/>
      </c>
      <c r="U156" s="96" t="str">
        <f>IFERROR(__xludf.DUMMYFUNCTION("""COMPUTED_VALUE"""),"")</f>
        <v/>
      </c>
      <c r="V156" s="97" t="str">
        <f>IFERROR(__xludf.DUMMYFUNCTION("""COMPUTED_VALUE"""),"")</f>
        <v/>
      </c>
      <c r="W156" s="95" t="str">
        <f>IFERROR(__xludf.DUMMYFUNCTION("""COMPUTED_VALUE"""),"")</f>
        <v/>
      </c>
      <c r="X156" s="96" t="str">
        <f>IFERROR(__xludf.DUMMYFUNCTION("""COMPUTED_VALUE"""),"")</f>
        <v/>
      </c>
      <c r="Y156" s="97" t="str">
        <f>IFERROR(__xludf.DUMMYFUNCTION("""COMPUTED_VALUE"""),"")</f>
        <v/>
      </c>
      <c r="Z156" s="95" t="str">
        <f>IFERROR(__xludf.DUMMYFUNCTION("""COMPUTED_VALUE"""),"")</f>
        <v/>
      </c>
      <c r="AA156" s="96" t="str">
        <f>IFERROR(__xludf.DUMMYFUNCTION("""COMPUTED_VALUE"""),"")</f>
        <v/>
      </c>
      <c r="AB156" s="97" t="str">
        <f>IFERROR(__xludf.DUMMYFUNCTION("""COMPUTED_VALUE"""),"")</f>
        <v/>
      </c>
      <c r="AC156" s="95" t="str">
        <f>IFERROR(__xludf.DUMMYFUNCTION("""COMPUTED_VALUE"""),"")</f>
        <v/>
      </c>
      <c r="AD156" s="96" t="str">
        <f>IFERROR(__xludf.DUMMYFUNCTION("""COMPUTED_VALUE"""),"")</f>
        <v/>
      </c>
      <c r="AE156" s="97" t="str">
        <f>IFERROR(__xludf.DUMMYFUNCTION("""COMPUTED_VALUE"""),"")</f>
        <v/>
      </c>
      <c r="AF156" s="95" t="str">
        <f>IFERROR(__xludf.DUMMYFUNCTION("""COMPUTED_VALUE"""),"")</f>
        <v/>
      </c>
      <c r="AG156" s="96" t="str">
        <f>IFERROR(__xludf.DUMMYFUNCTION("""COMPUTED_VALUE"""),"")</f>
        <v/>
      </c>
      <c r="AH156" s="97" t="str">
        <f>IFERROR(__xludf.DUMMYFUNCTION("""COMPUTED_VALUE"""),"")</f>
        <v/>
      </c>
      <c r="AI156" s="92" t="str">
        <f>IFERROR(__xludf.DUMMYFUNCTION("""COMPUTED_VALUE"""),"")</f>
        <v/>
      </c>
      <c r="AJ156" s="93" t="str">
        <f>IFERROR(__xludf.DUMMYFUNCTION("""COMPUTED_VALUE"""),"")</f>
        <v/>
      </c>
      <c r="AK156" s="94" t="str">
        <f>IFERROR(__xludf.DUMMYFUNCTION("""COMPUTED_VALUE"""),"")</f>
        <v/>
      </c>
      <c r="AL156" s="93" t="str">
        <f>IFERROR(__xludf.DUMMYFUNCTION("""COMPUTED_VALUE"""),"")</f>
        <v/>
      </c>
      <c r="AM156" s="93" t="str">
        <f>IFERROR(__xludf.DUMMYFUNCTION("""COMPUTED_VALUE"""),"")</f>
        <v/>
      </c>
      <c r="AN156" s="94" t="str">
        <f>IFERROR(__xludf.DUMMYFUNCTION("""COMPUTED_VALUE"""),"")</f>
        <v/>
      </c>
      <c r="AO156" s="143" t="str">
        <f>IFERROR(__xludf.DUMMYFUNCTION("""COMPUTED_VALUE"""),"")</f>
        <v/>
      </c>
      <c r="AP156" s="93" t="str">
        <f>IFERROR(__xludf.DUMMYFUNCTION("""COMPUTED_VALUE"""),"")</f>
        <v/>
      </c>
      <c r="AQ156" s="94" t="str">
        <f>IFERROR(__xludf.DUMMYFUNCTION("""COMPUTED_VALUE"""),"")</f>
        <v/>
      </c>
      <c r="AR156" s="93" t="str">
        <f>IFERROR(__xludf.DUMMYFUNCTION("""COMPUTED_VALUE"""),"")</f>
        <v/>
      </c>
      <c r="AS156" s="93" t="str">
        <f>IFERROR(__xludf.DUMMYFUNCTION("""COMPUTED_VALUE"""),"")</f>
        <v/>
      </c>
      <c r="AT156" s="94" t="str">
        <f>IFERROR(__xludf.DUMMYFUNCTION("""COMPUTED_VALUE"""),"")</f>
        <v/>
      </c>
      <c r="AU156" s="93" t="str">
        <f>IFERROR(__xludf.DUMMYFUNCTION("""COMPUTED_VALUE"""),"")</f>
        <v/>
      </c>
      <c r="AV156" s="93" t="str">
        <f>IFERROR(__xludf.DUMMYFUNCTION("""COMPUTED_VALUE"""),"")</f>
        <v/>
      </c>
      <c r="AW156" s="94" t="str">
        <f>IFERROR(__xludf.DUMMYFUNCTION("""COMPUTED_VALUE"""),"")</f>
        <v/>
      </c>
      <c r="AX156" s="93">
        <f>IFERROR(__xludf.DUMMYFUNCTION("""COMPUTED_VALUE"""),52.8)</f>
        <v>52.8</v>
      </c>
      <c r="AY156" s="93" t="str">
        <f>IFERROR(__xludf.DUMMYFUNCTION("""COMPUTED_VALUE"""),"")</f>
        <v/>
      </c>
      <c r="AZ156" s="94" t="str">
        <f>IFERROR(__xludf.DUMMYFUNCTION("""COMPUTED_VALUE"""),"")</f>
        <v/>
      </c>
      <c r="BA156" s="93" t="str">
        <f>IFERROR(__xludf.DUMMYFUNCTION("""COMPUTED_VALUE"""),"")</f>
        <v/>
      </c>
      <c r="BB156" s="93" t="str">
        <f>IFERROR(__xludf.DUMMYFUNCTION("""COMPUTED_VALUE"""),"")</f>
        <v/>
      </c>
      <c r="BC156" s="94" t="str">
        <f>IFERROR(__xludf.DUMMYFUNCTION("""COMPUTED_VALUE"""),"")</f>
        <v/>
      </c>
      <c r="BD156" s="93" t="str">
        <f>IFERROR(__xludf.DUMMYFUNCTION("""COMPUTED_VALUE"""),"")</f>
        <v/>
      </c>
      <c r="BE156" s="93" t="str">
        <f>IFERROR(__xludf.DUMMYFUNCTION("""COMPUTED_VALUE"""),"")</f>
        <v/>
      </c>
      <c r="BF156" s="94" t="str">
        <f>IFERROR(__xludf.DUMMYFUNCTION("""COMPUTED_VALUE"""),"")</f>
        <v/>
      </c>
      <c r="BG156" s="92" t="str">
        <f>IFERROR(__xludf.DUMMYFUNCTION("""COMPUTED_VALUE"""),"")</f>
        <v/>
      </c>
      <c r="BH156" s="93" t="str">
        <f>IFERROR(__xludf.DUMMYFUNCTION("""COMPUTED_VALUE"""),"")</f>
        <v/>
      </c>
      <c r="BI156" s="94" t="str">
        <f>IFERROR(__xludf.DUMMYFUNCTION("""COMPUTED_VALUE"""),"")</f>
        <v/>
      </c>
      <c r="BJ156" s="93" t="str">
        <f>IFERROR(__xludf.DUMMYFUNCTION("""COMPUTED_VALUE"""),"")</f>
        <v/>
      </c>
      <c r="BK156" s="93" t="str">
        <f>IFERROR(__xludf.DUMMYFUNCTION("""COMPUTED_VALUE"""),"")</f>
        <v/>
      </c>
      <c r="BL156" s="94" t="str">
        <f>IFERROR(__xludf.DUMMYFUNCTION("""COMPUTED_VALUE"""),"")</f>
        <v/>
      </c>
      <c r="BM156" s="93" t="str">
        <f>IFERROR(__xludf.DUMMYFUNCTION("""COMPUTED_VALUE"""),"")</f>
        <v/>
      </c>
      <c r="BN156" s="93" t="str">
        <f>IFERROR(__xludf.DUMMYFUNCTION("""COMPUTED_VALUE"""),"")</f>
        <v/>
      </c>
      <c r="BO156" s="94">
        <f>IFERROR(__xludf.DUMMYFUNCTION("""COMPUTED_VALUE"""),67.5)</f>
        <v>67.5</v>
      </c>
      <c r="BP156" s="93" t="str">
        <f>IFERROR(__xludf.DUMMYFUNCTION("""COMPUTED_VALUE"""),"")</f>
        <v/>
      </c>
      <c r="BQ156" s="93" t="str">
        <f>IFERROR(__xludf.DUMMYFUNCTION("""COMPUTED_VALUE"""),"")</f>
        <v/>
      </c>
      <c r="BR156" s="94" t="str">
        <f>IFERROR(__xludf.DUMMYFUNCTION("""COMPUTED_VALUE"""),"")</f>
        <v/>
      </c>
      <c r="BS156" s="93" t="str">
        <f>IFERROR(__xludf.DUMMYFUNCTION("""COMPUTED_VALUE"""),"")</f>
        <v/>
      </c>
      <c r="BT156" s="93" t="str">
        <f>IFERROR(__xludf.DUMMYFUNCTION("""COMPUTED_VALUE"""),"")</f>
        <v/>
      </c>
      <c r="BU156" s="94" t="str">
        <f>IFERROR(__xludf.DUMMYFUNCTION("""COMPUTED_VALUE"""),"")</f>
        <v/>
      </c>
      <c r="BV156" s="93" t="str">
        <f>IFERROR(__xludf.DUMMYFUNCTION("""COMPUTED_VALUE"""),"")</f>
        <v/>
      </c>
      <c r="BW156" s="93" t="str">
        <f>IFERROR(__xludf.DUMMYFUNCTION("""COMPUTED_VALUE"""),"")</f>
        <v/>
      </c>
      <c r="BX156" s="94" t="str">
        <f>IFERROR(__xludf.DUMMYFUNCTION("""COMPUTED_VALUE"""),"")</f>
        <v/>
      </c>
      <c r="BY156" s="93" t="str">
        <f>IFERROR(__xludf.DUMMYFUNCTION("""COMPUTED_VALUE"""),"")</f>
        <v/>
      </c>
      <c r="BZ156" s="93" t="str">
        <f>IFERROR(__xludf.DUMMYFUNCTION("""COMPUTED_VALUE"""),"")</f>
        <v/>
      </c>
      <c r="CA156" s="94" t="str">
        <f>IFERROR(__xludf.DUMMYFUNCTION("""COMPUTED_VALUE"""),"")</f>
        <v/>
      </c>
      <c r="CB156" s="92" t="str">
        <f>IFERROR(__xludf.DUMMYFUNCTION("""COMPUTED_VALUE"""),"")</f>
        <v/>
      </c>
      <c r="CC156" s="93" t="str">
        <f>IFERROR(__xludf.DUMMYFUNCTION("""COMPUTED_VALUE"""),"")</f>
        <v/>
      </c>
      <c r="CD156" s="94" t="str">
        <f>IFERROR(__xludf.DUMMYFUNCTION("""COMPUTED_VALUE"""),"")</f>
        <v/>
      </c>
      <c r="CE156" s="93" t="str">
        <f>IFERROR(__xludf.DUMMYFUNCTION("""COMPUTED_VALUE"""),"")</f>
        <v/>
      </c>
      <c r="CF156" s="93" t="str">
        <f>IFERROR(__xludf.DUMMYFUNCTION("""COMPUTED_VALUE"""),"")</f>
        <v/>
      </c>
      <c r="CG156" s="94" t="str">
        <f>IFERROR(__xludf.DUMMYFUNCTION("""COMPUTED_VALUE"""),"")</f>
        <v/>
      </c>
      <c r="CH156" s="93" t="str">
        <f>IFERROR(__xludf.DUMMYFUNCTION("""COMPUTED_VALUE"""),"")</f>
        <v/>
      </c>
      <c r="CI156" s="93" t="str">
        <f>IFERROR(__xludf.DUMMYFUNCTION("""COMPUTED_VALUE"""),"")</f>
        <v/>
      </c>
      <c r="CJ156" s="94" t="str">
        <f>IFERROR(__xludf.DUMMYFUNCTION("""COMPUTED_VALUE"""),"")</f>
        <v/>
      </c>
      <c r="CK156" s="93" t="str">
        <f>IFERROR(__xludf.DUMMYFUNCTION("""COMPUTED_VALUE"""),"")</f>
        <v/>
      </c>
      <c r="CL156" s="93" t="str">
        <f>IFERROR(__xludf.DUMMYFUNCTION("""COMPUTED_VALUE"""),"")</f>
        <v/>
      </c>
      <c r="CM156" s="94" t="str">
        <f>IFERROR(__xludf.DUMMYFUNCTION("""COMPUTED_VALUE"""),"")</f>
        <v/>
      </c>
      <c r="CN156" s="93" t="str">
        <f>IFERROR(__xludf.DUMMYFUNCTION("""COMPUTED_VALUE"""),"")</f>
        <v/>
      </c>
      <c r="CO156" s="93" t="str">
        <f>IFERROR(__xludf.DUMMYFUNCTION("""COMPUTED_VALUE"""),"")</f>
        <v/>
      </c>
      <c r="CP156" s="94" t="str">
        <f>IFERROR(__xludf.DUMMYFUNCTION("""COMPUTED_VALUE"""),"")</f>
        <v/>
      </c>
      <c r="CQ156" s="93" t="str">
        <f>IFERROR(__xludf.DUMMYFUNCTION("""COMPUTED_VALUE"""),"")</f>
        <v/>
      </c>
      <c r="CR156" s="93" t="str">
        <f>IFERROR(__xludf.DUMMYFUNCTION("""COMPUTED_VALUE"""),"")</f>
        <v/>
      </c>
      <c r="CS156" s="94"/>
      <c r="CT156" s="93"/>
      <c r="CU156" s="93"/>
      <c r="CV156" s="94"/>
      <c r="CW156" s="93"/>
      <c r="CX156" s="93"/>
      <c r="CY156" s="94"/>
      <c r="CZ156" s="93"/>
      <c r="DA156" s="93"/>
      <c r="DB156" s="94"/>
      <c r="DC156" s="93"/>
      <c r="DD156" s="93"/>
      <c r="DE156" s="94"/>
      <c r="DF156" s="93"/>
      <c r="DG156" s="93"/>
      <c r="DH156" s="94"/>
      <c r="DI156" s="93"/>
      <c r="DJ156" s="93"/>
      <c r="DK156" s="94"/>
      <c r="DL156" s="93"/>
      <c r="DM156" s="93"/>
      <c r="DN156" s="94"/>
      <c r="DO156" s="93"/>
      <c r="DP156" s="93"/>
      <c r="DQ156" s="94"/>
      <c r="DR156" s="93"/>
      <c r="DS156" s="93"/>
      <c r="DT156" s="94"/>
    </row>
    <row r="157">
      <c r="B157" s="120" t="str">
        <f>IFERROR(__xludf.DUMMYFUNCTION("""COMPUTED_VALUE"""),"AGT7")</f>
        <v>AGT7</v>
      </c>
      <c r="C157" s="82">
        <f>IFERROR(__xludf.DUMMYFUNCTION("""COMPUTED_VALUE"""),148.0)</f>
        <v>148</v>
      </c>
      <c r="D157" s="88" t="str">
        <f>IFERROR(__xludf.DUMMYFUNCTION("""COMPUTED_VALUE"""),"Nightless City")</f>
        <v>Nightless City</v>
      </c>
      <c r="E157" s="82" t="str">
        <f>IFERROR(__xludf.DUMMYFUNCTION("""COMPUTED_VALUE"""),"不夜城")</f>
        <v>不夜城</v>
      </c>
      <c r="F157" s="102">
        <f>IFERROR(__xludf.DUMMYFUNCTION("""COMPUTED_VALUE"""),21.0)</f>
        <v>21</v>
      </c>
      <c r="G157" s="82">
        <f>IFERROR(__xludf.DUMMYFUNCTION("""COMPUTED_VALUE"""),9158.0)</f>
        <v>9158</v>
      </c>
      <c r="H157" s="95" t="str">
        <f>IFERROR(__xludf.DUMMYFUNCTION("""COMPUTED_VALUE"""),"")</f>
        <v/>
      </c>
      <c r="I157" s="96" t="str">
        <f>IFERROR(__xludf.DUMMYFUNCTION("""COMPUTED_VALUE"""),"")</f>
        <v/>
      </c>
      <c r="J157" s="97" t="str">
        <f>IFERROR(__xludf.DUMMYFUNCTION("""COMPUTED_VALUE"""),"")</f>
        <v/>
      </c>
      <c r="K157" s="95" t="str">
        <f>IFERROR(__xludf.DUMMYFUNCTION("""COMPUTED_VALUE"""),"")</f>
        <v/>
      </c>
      <c r="L157" s="96" t="str">
        <f>IFERROR(__xludf.DUMMYFUNCTION("""COMPUTED_VALUE"""),"")</f>
        <v/>
      </c>
      <c r="M157" s="97" t="str">
        <f>IFERROR(__xludf.DUMMYFUNCTION("""COMPUTED_VALUE"""),"")</f>
        <v/>
      </c>
      <c r="N157" s="95" t="str">
        <f>IFERROR(__xludf.DUMMYFUNCTION("""COMPUTED_VALUE"""),"")</f>
        <v/>
      </c>
      <c r="O157" s="96" t="str">
        <f>IFERROR(__xludf.DUMMYFUNCTION("""COMPUTED_VALUE"""),"")</f>
        <v/>
      </c>
      <c r="P157" s="97" t="str">
        <f>IFERROR(__xludf.DUMMYFUNCTION("""COMPUTED_VALUE"""),"")</f>
        <v/>
      </c>
      <c r="Q157" s="95" t="str">
        <f>IFERROR(__xludf.DUMMYFUNCTION("""COMPUTED_VALUE"""),"")</f>
        <v/>
      </c>
      <c r="R157" s="96" t="str">
        <f>IFERROR(__xludf.DUMMYFUNCTION("""COMPUTED_VALUE"""),"")</f>
        <v/>
      </c>
      <c r="S157" s="97" t="str">
        <f>IFERROR(__xludf.DUMMYFUNCTION("""COMPUTED_VALUE"""),"")</f>
        <v/>
      </c>
      <c r="T157" s="95" t="str">
        <f>IFERROR(__xludf.DUMMYFUNCTION("""COMPUTED_VALUE"""),"")</f>
        <v/>
      </c>
      <c r="U157" s="96" t="str">
        <f>IFERROR(__xludf.DUMMYFUNCTION("""COMPUTED_VALUE"""),"")</f>
        <v/>
      </c>
      <c r="V157" s="97" t="str">
        <f>IFERROR(__xludf.DUMMYFUNCTION("""COMPUTED_VALUE"""),"")</f>
        <v/>
      </c>
      <c r="W157" s="95" t="str">
        <f>IFERROR(__xludf.DUMMYFUNCTION("""COMPUTED_VALUE"""),"")</f>
        <v/>
      </c>
      <c r="X157" s="96" t="str">
        <f>IFERROR(__xludf.DUMMYFUNCTION("""COMPUTED_VALUE"""),"")</f>
        <v/>
      </c>
      <c r="Y157" s="97" t="str">
        <f>IFERROR(__xludf.DUMMYFUNCTION("""COMPUTED_VALUE"""),"")</f>
        <v/>
      </c>
      <c r="Z157" s="95" t="str">
        <f>IFERROR(__xludf.DUMMYFUNCTION("""COMPUTED_VALUE"""),"")</f>
        <v/>
      </c>
      <c r="AA157" s="96" t="str">
        <f>IFERROR(__xludf.DUMMYFUNCTION("""COMPUTED_VALUE"""),"")</f>
        <v/>
      </c>
      <c r="AB157" s="97" t="str">
        <f>IFERROR(__xludf.DUMMYFUNCTION("""COMPUTED_VALUE"""),"")</f>
        <v/>
      </c>
      <c r="AC157" s="95" t="str">
        <f>IFERROR(__xludf.DUMMYFUNCTION("""COMPUTED_VALUE"""),"")</f>
        <v/>
      </c>
      <c r="AD157" s="96" t="str">
        <f>IFERROR(__xludf.DUMMYFUNCTION("""COMPUTED_VALUE"""),"")</f>
        <v/>
      </c>
      <c r="AE157" s="97" t="str">
        <f>IFERROR(__xludf.DUMMYFUNCTION("""COMPUTED_VALUE"""),"")</f>
        <v/>
      </c>
      <c r="AF157" s="95" t="str">
        <f>IFERROR(__xludf.DUMMYFUNCTION("""COMPUTED_VALUE"""),"")</f>
        <v/>
      </c>
      <c r="AG157" s="96" t="str">
        <f>IFERROR(__xludf.DUMMYFUNCTION("""COMPUTED_VALUE"""),"")</f>
        <v/>
      </c>
      <c r="AH157" s="97" t="str">
        <f>IFERROR(__xludf.DUMMYFUNCTION("""COMPUTED_VALUE"""),"")</f>
        <v/>
      </c>
      <c r="AI157" s="111" t="str">
        <f>IFERROR(__xludf.DUMMYFUNCTION("""COMPUTED_VALUE"""),"")</f>
        <v/>
      </c>
      <c r="AJ157" s="112" t="str">
        <f>IFERROR(__xludf.DUMMYFUNCTION("""COMPUTED_VALUE"""),"")</f>
        <v/>
      </c>
      <c r="AK157" s="113" t="str">
        <f>IFERROR(__xludf.DUMMYFUNCTION("""COMPUTED_VALUE"""),"")</f>
        <v/>
      </c>
      <c r="AL157" s="112" t="str">
        <f>IFERROR(__xludf.DUMMYFUNCTION("""COMPUTED_VALUE"""),"")</f>
        <v/>
      </c>
      <c r="AM157" s="112" t="str">
        <f>IFERROR(__xludf.DUMMYFUNCTION("""COMPUTED_VALUE"""),"")</f>
        <v/>
      </c>
      <c r="AN157" s="113" t="str">
        <f>IFERROR(__xludf.DUMMYFUNCTION("""COMPUTED_VALUE"""),"")</f>
        <v/>
      </c>
      <c r="AO157" s="112" t="str">
        <f>IFERROR(__xludf.DUMMYFUNCTION("""COMPUTED_VALUE"""),"")</f>
        <v/>
      </c>
      <c r="AP157" s="112" t="str">
        <f>IFERROR(__xludf.DUMMYFUNCTION("""COMPUTED_VALUE"""),"")</f>
        <v/>
      </c>
      <c r="AQ157" s="113" t="str">
        <f>IFERROR(__xludf.DUMMYFUNCTION("""COMPUTED_VALUE"""),"")</f>
        <v/>
      </c>
      <c r="AR157" s="112" t="str">
        <f>IFERROR(__xludf.DUMMYFUNCTION("""COMPUTED_VALUE"""),"")</f>
        <v/>
      </c>
      <c r="AS157" s="112" t="str">
        <f>IFERROR(__xludf.DUMMYFUNCTION("""COMPUTED_VALUE"""),"")</f>
        <v/>
      </c>
      <c r="AT157" s="113" t="str">
        <f>IFERROR(__xludf.DUMMYFUNCTION("""COMPUTED_VALUE"""),"")</f>
        <v/>
      </c>
      <c r="AU157" s="112" t="str">
        <f>IFERROR(__xludf.DUMMYFUNCTION("""COMPUTED_VALUE"""),"")</f>
        <v/>
      </c>
      <c r="AV157" s="112" t="str">
        <f>IFERROR(__xludf.DUMMYFUNCTION("""COMPUTED_VALUE"""),"")</f>
        <v/>
      </c>
      <c r="AW157" s="113">
        <f>IFERROR(__xludf.DUMMYFUNCTION("""COMPUTED_VALUE"""),70.1)</f>
        <v>70.1</v>
      </c>
      <c r="AX157" s="112">
        <f>IFERROR(__xludf.DUMMYFUNCTION("""COMPUTED_VALUE"""),53.7)</f>
        <v>53.7</v>
      </c>
      <c r="AY157" s="112" t="str">
        <f>IFERROR(__xludf.DUMMYFUNCTION("""COMPUTED_VALUE"""),"")</f>
        <v/>
      </c>
      <c r="AZ157" s="113" t="str">
        <f>IFERROR(__xludf.DUMMYFUNCTION("""COMPUTED_VALUE"""),"")</f>
        <v/>
      </c>
      <c r="BA157" s="112" t="str">
        <f>IFERROR(__xludf.DUMMYFUNCTION("""COMPUTED_VALUE"""),"")</f>
        <v/>
      </c>
      <c r="BB157" s="112" t="str">
        <f>IFERROR(__xludf.DUMMYFUNCTION("""COMPUTED_VALUE"""),"")</f>
        <v/>
      </c>
      <c r="BC157" s="113" t="str">
        <f>IFERROR(__xludf.DUMMYFUNCTION("""COMPUTED_VALUE"""),"")</f>
        <v/>
      </c>
      <c r="BD157" s="112" t="str">
        <f>IFERROR(__xludf.DUMMYFUNCTION("""COMPUTED_VALUE"""),"")</f>
        <v/>
      </c>
      <c r="BE157" s="112" t="str">
        <f>IFERROR(__xludf.DUMMYFUNCTION("""COMPUTED_VALUE"""),"")</f>
        <v/>
      </c>
      <c r="BF157" s="113" t="str">
        <f>IFERROR(__xludf.DUMMYFUNCTION("""COMPUTED_VALUE"""),"")</f>
        <v/>
      </c>
      <c r="BG157" s="111" t="str">
        <f>IFERROR(__xludf.DUMMYFUNCTION("""COMPUTED_VALUE"""),"")</f>
        <v/>
      </c>
      <c r="BH157" s="112" t="str">
        <f>IFERROR(__xludf.DUMMYFUNCTION("""COMPUTED_VALUE"""),"")</f>
        <v/>
      </c>
      <c r="BI157" s="113" t="str">
        <f>IFERROR(__xludf.DUMMYFUNCTION("""COMPUTED_VALUE"""),"")</f>
        <v/>
      </c>
      <c r="BJ157" s="112" t="str">
        <f>IFERROR(__xludf.DUMMYFUNCTION("""COMPUTED_VALUE"""),"")</f>
        <v/>
      </c>
      <c r="BK157" s="112" t="str">
        <f>IFERROR(__xludf.DUMMYFUNCTION("""COMPUTED_VALUE"""),"")</f>
        <v/>
      </c>
      <c r="BL157" s="113" t="str">
        <f>IFERROR(__xludf.DUMMYFUNCTION("""COMPUTED_VALUE"""),"")</f>
        <v/>
      </c>
      <c r="BM157" s="112" t="str">
        <f>IFERROR(__xludf.DUMMYFUNCTION("""COMPUTED_VALUE"""),"")</f>
        <v/>
      </c>
      <c r="BN157" s="112" t="str">
        <f>IFERROR(__xludf.DUMMYFUNCTION("""COMPUTED_VALUE"""),"")</f>
        <v/>
      </c>
      <c r="BO157" s="113">
        <f>IFERROR(__xludf.DUMMYFUNCTION("""COMPUTED_VALUE"""),59.7)</f>
        <v>59.7</v>
      </c>
      <c r="BP157" s="112" t="str">
        <f>IFERROR(__xludf.DUMMYFUNCTION("""COMPUTED_VALUE"""),"")</f>
        <v/>
      </c>
      <c r="BQ157" s="112" t="str">
        <f>IFERROR(__xludf.DUMMYFUNCTION("""COMPUTED_VALUE"""),"")</f>
        <v/>
      </c>
      <c r="BR157" s="113" t="str">
        <f>IFERROR(__xludf.DUMMYFUNCTION("""COMPUTED_VALUE"""),"")</f>
        <v/>
      </c>
      <c r="BS157" s="112" t="str">
        <f>IFERROR(__xludf.DUMMYFUNCTION("""COMPUTED_VALUE"""),"")</f>
        <v/>
      </c>
      <c r="BT157" s="112" t="str">
        <f>IFERROR(__xludf.DUMMYFUNCTION("""COMPUTED_VALUE"""),"")</f>
        <v/>
      </c>
      <c r="BU157" s="113" t="str">
        <f>IFERROR(__xludf.DUMMYFUNCTION("""COMPUTED_VALUE"""),"")</f>
        <v/>
      </c>
      <c r="BV157" s="112" t="str">
        <f>IFERROR(__xludf.DUMMYFUNCTION("""COMPUTED_VALUE"""),"")</f>
        <v/>
      </c>
      <c r="BW157" s="112" t="str">
        <f>IFERROR(__xludf.DUMMYFUNCTION("""COMPUTED_VALUE"""),"")</f>
        <v/>
      </c>
      <c r="BX157" s="113" t="str">
        <f>IFERROR(__xludf.DUMMYFUNCTION("""COMPUTED_VALUE"""),"")</f>
        <v/>
      </c>
      <c r="BY157" s="112" t="str">
        <f>IFERROR(__xludf.DUMMYFUNCTION("""COMPUTED_VALUE"""),"")</f>
        <v/>
      </c>
      <c r="BZ157" s="112" t="str">
        <f>IFERROR(__xludf.DUMMYFUNCTION("""COMPUTED_VALUE"""),"")</f>
        <v/>
      </c>
      <c r="CA157" s="113" t="str">
        <f>IFERROR(__xludf.DUMMYFUNCTION("""COMPUTED_VALUE"""),"")</f>
        <v/>
      </c>
      <c r="CB157" s="111" t="str">
        <f>IFERROR(__xludf.DUMMYFUNCTION("""COMPUTED_VALUE"""),"")</f>
        <v/>
      </c>
      <c r="CC157" s="112" t="str">
        <f>IFERROR(__xludf.DUMMYFUNCTION("""COMPUTED_VALUE"""),"")</f>
        <v/>
      </c>
      <c r="CD157" s="113" t="str">
        <f>IFERROR(__xludf.DUMMYFUNCTION("""COMPUTED_VALUE"""),"")</f>
        <v/>
      </c>
      <c r="CE157" s="112" t="str">
        <f>IFERROR(__xludf.DUMMYFUNCTION("""COMPUTED_VALUE"""),"")</f>
        <v/>
      </c>
      <c r="CF157" s="112" t="str">
        <f>IFERROR(__xludf.DUMMYFUNCTION("""COMPUTED_VALUE"""),"")</f>
        <v/>
      </c>
      <c r="CG157" s="113" t="str">
        <f>IFERROR(__xludf.DUMMYFUNCTION("""COMPUTED_VALUE"""),"")</f>
        <v/>
      </c>
      <c r="CH157" s="112" t="str">
        <f>IFERROR(__xludf.DUMMYFUNCTION("""COMPUTED_VALUE"""),"")</f>
        <v/>
      </c>
      <c r="CI157" s="112" t="str">
        <f>IFERROR(__xludf.DUMMYFUNCTION("""COMPUTED_VALUE"""),"")</f>
        <v/>
      </c>
      <c r="CJ157" s="113" t="str">
        <f>IFERROR(__xludf.DUMMYFUNCTION("""COMPUTED_VALUE"""),"")</f>
        <v/>
      </c>
      <c r="CK157" s="112" t="str">
        <f>IFERROR(__xludf.DUMMYFUNCTION("""COMPUTED_VALUE"""),"")</f>
        <v/>
      </c>
      <c r="CL157" s="112" t="str">
        <f>IFERROR(__xludf.DUMMYFUNCTION("""COMPUTED_VALUE"""),"")</f>
        <v/>
      </c>
      <c r="CM157" s="113" t="str">
        <f>IFERROR(__xludf.DUMMYFUNCTION("""COMPUTED_VALUE"""),"")</f>
        <v/>
      </c>
      <c r="CN157" s="112" t="str">
        <f>IFERROR(__xludf.DUMMYFUNCTION("""COMPUTED_VALUE"""),"")</f>
        <v/>
      </c>
      <c r="CO157" s="112" t="str">
        <f>IFERROR(__xludf.DUMMYFUNCTION("""COMPUTED_VALUE"""),"")</f>
        <v/>
      </c>
      <c r="CP157" s="113" t="str">
        <f>IFERROR(__xludf.DUMMYFUNCTION("""COMPUTED_VALUE"""),"")</f>
        <v/>
      </c>
      <c r="CQ157" s="112" t="str">
        <f>IFERROR(__xludf.DUMMYFUNCTION("""COMPUTED_VALUE"""),"")</f>
        <v/>
      </c>
      <c r="CR157" s="112" t="str">
        <f>IFERROR(__xludf.DUMMYFUNCTION("""COMPUTED_VALUE"""),"")</f>
        <v/>
      </c>
      <c r="CS157" s="113"/>
      <c r="CT157" s="112"/>
      <c r="CU157" s="112"/>
      <c r="CV157" s="113"/>
      <c r="CW157" s="112"/>
      <c r="CX157" s="112"/>
      <c r="CY157" s="113"/>
      <c r="CZ157" s="112"/>
      <c r="DA157" s="112"/>
      <c r="DB157" s="113"/>
      <c r="DC157" s="112"/>
      <c r="DD157" s="112"/>
      <c r="DE157" s="113"/>
      <c r="DF157" s="112"/>
      <c r="DG157" s="112"/>
      <c r="DH157" s="113"/>
      <c r="DI157" s="112"/>
      <c r="DJ157" s="112"/>
      <c r="DK157" s="113"/>
      <c r="DL157" s="112"/>
      <c r="DM157" s="112"/>
      <c r="DN157" s="113"/>
      <c r="DO157" s="112"/>
      <c r="DP157" s="112"/>
      <c r="DQ157" s="113"/>
      <c r="DR157" s="112"/>
      <c r="DS157" s="112"/>
      <c r="DT157" s="113"/>
    </row>
    <row r="158">
      <c r="B158" s="120" t="str">
        <f>IFERROR(__xludf.DUMMYFUNCTION("""COMPUTED_VALUE"""),"AGT8")</f>
        <v>AGT8</v>
      </c>
      <c r="C158" s="82">
        <f>IFERROR(__xludf.DUMMYFUNCTION("""COMPUTED_VALUE"""),149.0)</f>
        <v>149</v>
      </c>
      <c r="D158" s="88" t="str">
        <f>IFERROR(__xludf.DUMMYFUNCTION("""COMPUTED_VALUE"""),"Foothills Jungle")</f>
        <v>Foothills Jungle</v>
      </c>
      <c r="E158" s="82" t="str">
        <f>IFERROR(__xludf.DUMMYFUNCTION("""COMPUTED_VALUE"""),"山裾の密林")</f>
        <v>山裾の密林</v>
      </c>
      <c r="F158" s="102">
        <f>IFERROR(__xludf.DUMMYFUNCTION("""COMPUTED_VALUE"""),21.0)</f>
        <v>21</v>
      </c>
      <c r="G158" s="82">
        <f>IFERROR(__xludf.DUMMYFUNCTION("""COMPUTED_VALUE"""),23100.0)</f>
        <v>23100</v>
      </c>
      <c r="H158" s="95" t="str">
        <f>IFERROR(__xludf.DUMMYFUNCTION("""COMPUTED_VALUE"""),"")</f>
        <v/>
      </c>
      <c r="I158" s="96" t="str">
        <f>IFERROR(__xludf.DUMMYFUNCTION("""COMPUTED_VALUE"""),"")</f>
        <v/>
      </c>
      <c r="J158" s="97" t="str">
        <f>IFERROR(__xludf.DUMMYFUNCTION("""COMPUTED_VALUE"""),"")</f>
        <v/>
      </c>
      <c r="K158" s="95" t="str">
        <f>IFERROR(__xludf.DUMMYFUNCTION("""COMPUTED_VALUE"""),"")</f>
        <v/>
      </c>
      <c r="L158" s="96" t="str">
        <f>IFERROR(__xludf.DUMMYFUNCTION("""COMPUTED_VALUE"""),"")</f>
        <v/>
      </c>
      <c r="M158" s="97" t="str">
        <f>IFERROR(__xludf.DUMMYFUNCTION("""COMPUTED_VALUE"""),"")</f>
        <v/>
      </c>
      <c r="N158" s="95" t="str">
        <f>IFERROR(__xludf.DUMMYFUNCTION("""COMPUTED_VALUE"""),"")</f>
        <v/>
      </c>
      <c r="O158" s="96" t="str">
        <f>IFERROR(__xludf.DUMMYFUNCTION("""COMPUTED_VALUE"""),"")</f>
        <v/>
      </c>
      <c r="P158" s="97" t="str">
        <f>IFERROR(__xludf.DUMMYFUNCTION("""COMPUTED_VALUE"""),"")</f>
        <v/>
      </c>
      <c r="Q158" s="95" t="str">
        <f>IFERROR(__xludf.DUMMYFUNCTION("""COMPUTED_VALUE"""),"")</f>
        <v/>
      </c>
      <c r="R158" s="96" t="str">
        <f>IFERROR(__xludf.DUMMYFUNCTION("""COMPUTED_VALUE"""),"")</f>
        <v/>
      </c>
      <c r="S158" s="97" t="str">
        <f>IFERROR(__xludf.DUMMYFUNCTION("""COMPUTED_VALUE"""),"")</f>
        <v/>
      </c>
      <c r="T158" s="95" t="str">
        <f>IFERROR(__xludf.DUMMYFUNCTION("""COMPUTED_VALUE"""),"")</f>
        <v/>
      </c>
      <c r="U158" s="96" t="str">
        <f>IFERROR(__xludf.DUMMYFUNCTION("""COMPUTED_VALUE"""),"")</f>
        <v/>
      </c>
      <c r="V158" s="97" t="str">
        <f>IFERROR(__xludf.DUMMYFUNCTION("""COMPUTED_VALUE"""),"")</f>
        <v/>
      </c>
      <c r="W158" s="95" t="str">
        <f>IFERROR(__xludf.DUMMYFUNCTION("""COMPUTED_VALUE"""),"")</f>
        <v/>
      </c>
      <c r="X158" s="96" t="str">
        <f>IFERROR(__xludf.DUMMYFUNCTION("""COMPUTED_VALUE"""),"")</f>
        <v/>
      </c>
      <c r="Y158" s="97" t="str">
        <f>IFERROR(__xludf.DUMMYFUNCTION("""COMPUTED_VALUE"""),"")</f>
        <v/>
      </c>
      <c r="Z158" s="95">
        <f>IFERROR(__xludf.DUMMYFUNCTION("""COMPUTED_VALUE"""),137.1)</f>
        <v>137.1</v>
      </c>
      <c r="AA158" s="96" t="str">
        <f>IFERROR(__xludf.DUMMYFUNCTION("""COMPUTED_VALUE"""),"")</f>
        <v/>
      </c>
      <c r="AB158" s="97" t="str">
        <f>IFERROR(__xludf.DUMMYFUNCTION("""COMPUTED_VALUE"""),"")</f>
        <v/>
      </c>
      <c r="AC158" s="95" t="str">
        <f>IFERROR(__xludf.DUMMYFUNCTION("""COMPUTED_VALUE"""),"")</f>
        <v/>
      </c>
      <c r="AD158" s="96">
        <f>IFERROR(__xludf.DUMMYFUNCTION("""COMPUTED_VALUE"""),146.7)</f>
        <v>146.7</v>
      </c>
      <c r="AE158" s="97" t="str">
        <f>IFERROR(__xludf.DUMMYFUNCTION("""COMPUTED_VALUE"""),"")</f>
        <v/>
      </c>
      <c r="AF158" s="95" t="str">
        <f>IFERROR(__xludf.DUMMYFUNCTION("""COMPUTED_VALUE"""),"")</f>
        <v/>
      </c>
      <c r="AG158" s="96" t="str">
        <f>IFERROR(__xludf.DUMMYFUNCTION("""COMPUTED_VALUE"""),"")</f>
        <v/>
      </c>
      <c r="AH158" s="97" t="str">
        <f>IFERROR(__xludf.DUMMYFUNCTION("""COMPUTED_VALUE"""),"")</f>
        <v/>
      </c>
      <c r="AI158" s="92" t="str">
        <f>IFERROR(__xludf.DUMMYFUNCTION("""COMPUTED_VALUE"""),"")</f>
        <v/>
      </c>
      <c r="AJ158" s="93" t="str">
        <f>IFERROR(__xludf.DUMMYFUNCTION("""COMPUTED_VALUE"""),"")</f>
        <v/>
      </c>
      <c r="AK158" s="94" t="str">
        <f>IFERROR(__xludf.DUMMYFUNCTION("""COMPUTED_VALUE"""),"")</f>
        <v/>
      </c>
      <c r="AL158" s="93" t="str">
        <f>IFERROR(__xludf.DUMMYFUNCTION("""COMPUTED_VALUE"""),"")</f>
        <v/>
      </c>
      <c r="AM158" s="93" t="str">
        <f>IFERROR(__xludf.DUMMYFUNCTION("""COMPUTED_VALUE"""),"")</f>
        <v/>
      </c>
      <c r="AN158" s="94" t="str">
        <f>IFERROR(__xludf.DUMMYFUNCTION("""COMPUTED_VALUE"""),"")</f>
        <v/>
      </c>
      <c r="AO158" s="93" t="str">
        <f>IFERROR(__xludf.DUMMYFUNCTION("""COMPUTED_VALUE"""),"")</f>
        <v/>
      </c>
      <c r="AP158" s="93" t="str">
        <f>IFERROR(__xludf.DUMMYFUNCTION("""COMPUTED_VALUE"""),"")</f>
        <v/>
      </c>
      <c r="AQ158" s="94" t="str">
        <f>IFERROR(__xludf.DUMMYFUNCTION("""COMPUTED_VALUE"""),"")</f>
        <v/>
      </c>
      <c r="AR158" s="93" t="str">
        <f>IFERROR(__xludf.DUMMYFUNCTION("""COMPUTED_VALUE"""),"")</f>
        <v/>
      </c>
      <c r="AS158" s="93" t="str">
        <f>IFERROR(__xludf.DUMMYFUNCTION("""COMPUTED_VALUE"""),"")</f>
        <v/>
      </c>
      <c r="AT158" s="94" t="str">
        <f>IFERROR(__xludf.DUMMYFUNCTION("""COMPUTED_VALUE"""),"")</f>
        <v/>
      </c>
      <c r="AU158" s="93" t="str">
        <f>IFERROR(__xludf.DUMMYFUNCTION("""COMPUTED_VALUE"""),"")</f>
        <v/>
      </c>
      <c r="AV158" s="93">
        <f>IFERROR(__xludf.DUMMYFUNCTION("""COMPUTED_VALUE"""),42.5)</f>
        <v>42.5</v>
      </c>
      <c r="AW158" s="94" t="str">
        <f>IFERROR(__xludf.DUMMYFUNCTION("""COMPUTED_VALUE"""),"")</f>
        <v/>
      </c>
      <c r="AX158" s="93" t="str">
        <f>IFERROR(__xludf.DUMMYFUNCTION("""COMPUTED_VALUE"""),"")</f>
        <v/>
      </c>
      <c r="AY158" s="93" t="str">
        <f>IFERROR(__xludf.DUMMYFUNCTION("""COMPUTED_VALUE"""),"")</f>
        <v/>
      </c>
      <c r="AZ158" s="94" t="str">
        <f>IFERROR(__xludf.DUMMYFUNCTION("""COMPUTED_VALUE"""),"")</f>
        <v/>
      </c>
      <c r="BA158" s="93" t="str">
        <f>IFERROR(__xludf.DUMMYFUNCTION("""COMPUTED_VALUE"""),"")</f>
        <v/>
      </c>
      <c r="BB158" s="93" t="str">
        <f>IFERROR(__xludf.DUMMYFUNCTION("""COMPUTED_VALUE"""),"")</f>
        <v/>
      </c>
      <c r="BC158" s="94" t="str">
        <f>IFERROR(__xludf.DUMMYFUNCTION("""COMPUTED_VALUE"""),"")</f>
        <v/>
      </c>
      <c r="BD158" s="93" t="str">
        <f>IFERROR(__xludf.DUMMYFUNCTION("""COMPUTED_VALUE"""),"")</f>
        <v/>
      </c>
      <c r="BE158" s="93" t="str">
        <f>IFERROR(__xludf.DUMMYFUNCTION("""COMPUTED_VALUE"""),"")</f>
        <v/>
      </c>
      <c r="BF158" s="94" t="str">
        <f>IFERROR(__xludf.DUMMYFUNCTION("""COMPUTED_VALUE"""),"")</f>
        <v/>
      </c>
      <c r="BG158" s="92" t="str">
        <f>IFERROR(__xludf.DUMMYFUNCTION("""COMPUTED_VALUE"""),"")</f>
        <v/>
      </c>
      <c r="BH158" s="93" t="str">
        <f>IFERROR(__xludf.DUMMYFUNCTION("""COMPUTED_VALUE"""),"")</f>
        <v/>
      </c>
      <c r="BI158" s="94" t="str">
        <f>IFERROR(__xludf.DUMMYFUNCTION("""COMPUTED_VALUE"""),"")</f>
        <v/>
      </c>
      <c r="BJ158" s="93" t="str">
        <f>IFERROR(__xludf.DUMMYFUNCTION("""COMPUTED_VALUE"""),"")</f>
        <v/>
      </c>
      <c r="BK158" s="93">
        <f>IFERROR(__xludf.DUMMYFUNCTION("""COMPUTED_VALUE"""),213.3)</f>
        <v>213.3</v>
      </c>
      <c r="BL158" s="94" t="str">
        <f>IFERROR(__xludf.DUMMYFUNCTION("""COMPUTED_VALUE"""),"")</f>
        <v/>
      </c>
      <c r="BM158" s="93">
        <f>IFERROR(__xludf.DUMMYFUNCTION("""COMPUTED_VALUE"""),395.3)</f>
        <v>395.3</v>
      </c>
      <c r="BN158" s="93" t="str">
        <f>IFERROR(__xludf.DUMMYFUNCTION("""COMPUTED_VALUE"""),"")</f>
        <v/>
      </c>
      <c r="BO158" s="94" t="str">
        <f>IFERROR(__xludf.DUMMYFUNCTION("""COMPUTED_VALUE"""),"")</f>
        <v/>
      </c>
      <c r="BP158" s="93" t="str">
        <f>IFERROR(__xludf.DUMMYFUNCTION("""COMPUTED_VALUE"""),"")</f>
        <v/>
      </c>
      <c r="BQ158" s="93" t="str">
        <f>IFERROR(__xludf.DUMMYFUNCTION("""COMPUTED_VALUE"""),"")</f>
        <v/>
      </c>
      <c r="BR158" s="94">
        <f>IFERROR(__xludf.DUMMYFUNCTION("""COMPUTED_VALUE"""),132.4)</f>
        <v>132.4</v>
      </c>
      <c r="BS158" s="93" t="str">
        <f>IFERROR(__xludf.DUMMYFUNCTION("""COMPUTED_VALUE"""),"")</f>
        <v/>
      </c>
      <c r="BT158" s="93">
        <f>IFERROR(__xludf.DUMMYFUNCTION("""COMPUTED_VALUE"""),83.8)</f>
        <v>83.8</v>
      </c>
      <c r="BU158" s="94" t="str">
        <f>IFERROR(__xludf.DUMMYFUNCTION("""COMPUTED_VALUE"""),"")</f>
        <v/>
      </c>
      <c r="BV158" s="93" t="str">
        <f>IFERROR(__xludf.DUMMYFUNCTION("""COMPUTED_VALUE"""),"")</f>
        <v/>
      </c>
      <c r="BW158" s="93" t="str">
        <f>IFERROR(__xludf.DUMMYFUNCTION("""COMPUTED_VALUE"""),"")</f>
        <v/>
      </c>
      <c r="BX158" s="94" t="str">
        <f>IFERROR(__xludf.DUMMYFUNCTION("""COMPUTED_VALUE"""),"")</f>
        <v/>
      </c>
      <c r="BY158" s="93" t="str">
        <f>IFERROR(__xludf.DUMMYFUNCTION("""COMPUTED_VALUE"""),"")</f>
        <v/>
      </c>
      <c r="BZ158" s="93" t="str">
        <f>IFERROR(__xludf.DUMMYFUNCTION("""COMPUTED_VALUE"""),"")</f>
        <v/>
      </c>
      <c r="CA158" s="94" t="str">
        <f>IFERROR(__xludf.DUMMYFUNCTION("""COMPUTED_VALUE"""),"")</f>
        <v/>
      </c>
      <c r="CB158" s="92" t="str">
        <f>IFERROR(__xludf.DUMMYFUNCTION("""COMPUTED_VALUE"""),"")</f>
        <v/>
      </c>
      <c r="CC158" s="93" t="str">
        <f>IFERROR(__xludf.DUMMYFUNCTION("""COMPUTED_VALUE"""),"")</f>
        <v/>
      </c>
      <c r="CD158" s="94" t="str">
        <f>IFERROR(__xludf.DUMMYFUNCTION("""COMPUTED_VALUE"""),"")</f>
        <v/>
      </c>
      <c r="CE158" s="93" t="str">
        <f>IFERROR(__xludf.DUMMYFUNCTION("""COMPUTED_VALUE"""),"")</f>
        <v/>
      </c>
      <c r="CF158" s="93" t="str">
        <f>IFERROR(__xludf.DUMMYFUNCTION("""COMPUTED_VALUE"""),"")</f>
        <v/>
      </c>
      <c r="CG158" s="94" t="str">
        <f>IFERROR(__xludf.DUMMYFUNCTION("""COMPUTED_VALUE"""),"")</f>
        <v/>
      </c>
      <c r="CH158" s="93" t="str">
        <f>IFERROR(__xludf.DUMMYFUNCTION("""COMPUTED_VALUE"""),"")</f>
        <v/>
      </c>
      <c r="CI158" s="93" t="str">
        <f>IFERROR(__xludf.DUMMYFUNCTION("""COMPUTED_VALUE"""),"")</f>
        <v/>
      </c>
      <c r="CJ158" s="94" t="str">
        <f>IFERROR(__xludf.DUMMYFUNCTION("""COMPUTED_VALUE"""),"")</f>
        <v/>
      </c>
      <c r="CK158" s="93" t="str">
        <f>IFERROR(__xludf.DUMMYFUNCTION("""COMPUTED_VALUE"""),"")</f>
        <v/>
      </c>
      <c r="CL158" s="93" t="str">
        <f>IFERROR(__xludf.DUMMYFUNCTION("""COMPUTED_VALUE"""),"")</f>
        <v/>
      </c>
      <c r="CM158" s="94" t="str">
        <f>IFERROR(__xludf.DUMMYFUNCTION("""COMPUTED_VALUE"""),"")</f>
        <v/>
      </c>
      <c r="CN158" s="93" t="str">
        <f>IFERROR(__xludf.DUMMYFUNCTION("""COMPUTED_VALUE"""),"")</f>
        <v/>
      </c>
      <c r="CO158" s="93" t="str">
        <f>IFERROR(__xludf.DUMMYFUNCTION("""COMPUTED_VALUE"""),"")</f>
        <v/>
      </c>
      <c r="CP158" s="94" t="str">
        <f>IFERROR(__xludf.DUMMYFUNCTION("""COMPUTED_VALUE"""),"")</f>
        <v/>
      </c>
      <c r="CQ158" s="93" t="str">
        <f>IFERROR(__xludf.DUMMYFUNCTION("""COMPUTED_VALUE"""),"")</f>
        <v/>
      </c>
      <c r="CR158" s="93" t="str">
        <f>IFERROR(__xludf.DUMMYFUNCTION("""COMPUTED_VALUE"""),"")</f>
        <v/>
      </c>
      <c r="CS158" s="94"/>
      <c r="CT158" s="93"/>
      <c r="CU158" s="93"/>
      <c r="CV158" s="94"/>
      <c r="CW158" s="93"/>
      <c r="CX158" s="93"/>
      <c r="CY158" s="94"/>
      <c r="CZ158" s="93"/>
      <c r="DA158" s="93"/>
      <c r="DB158" s="94"/>
      <c r="DC158" s="93"/>
      <c r="DD158" s="93"/>
      <c r="DE158" s="94"/>
      <c r="DF158" s="93"/>
      <c r="DG158" s="93"/>
      <c r="DH158" s="94"/>
      <c r="DI158" s="93"/>
      <c r="DJ158" s="93"/>
      <c r="DK158" s="94"/>
      <c r="DL158" s="93"/>
      <c r="DM158" s="93"/>
      <c r="DN158" s="94"/>
      <c r="DO158" s="93"/>
      <c r="DP158" s="93"/>
      <c r="DQ158" s="94"/>
      <c r="DR158" s="93"/>
      <c r="DS158" s="93"/>
      <c r="DT158" s="94"/>
    </row>
    <row r="159">
      <c r="B159" s="120" t="str">
        <f>IFERROR(__xludf.DUMMYFUNCTION("""COMPUTED_VALUE"""),"AGT9")</f>
        <v>AGT9</v>
      </c>
      <c r="C159" s="82">
        <f>IFERROR(__xludf.DUMMYFUNCTION("""COMPUTED_VALUE"""),150.0)</f>
        <v>150</v>
      </c>
      <c r="D159" s="88" t="str">
        <f>IFERROR(__xludf.DUMMYFUNCTION("""COMPUTED_VALUE"""),"Palace of Dragon King")</f>
        <v>Palace of Dragon King</v>
      </c>
      <c r="E159" s="82" t="str">
        <f>IFERROR(__xludf.DUMMYFUNCTION("""COMPUTED_VALUE"""),"竜宮城")</f>
        <v>竜宮城</v>
      </c>
      <c r="F159" s="102">
        <f>IFERROR(__xludf.DUMMYFUNCTION("""COMPUTED_VALUE"""),21.0)</f>
        <v>21</v>
      </c>
      <c r="G159" s="82">
        <f>IFERROR(__xludf.DUMMYFUNCTION("""COMPUTED_VALUE"""),4641.0)</f>
        <v>4641</v>
      </c>
      <c r="H159" s="95" t="str">
        <f>IFERROR(__xludf.DUMMYFUNCTION("""COMPUTED_VALUE"""),"")</f>
        <v/>
      </c>
      <c r="I159" s="96" t="str">
        <f>IFERROR(__xludf.DUMMYFUNCTION("""COMPUTED_VALUE"""),"")</f>
        <v/>
      </c>
      <c r="J159" s="97" t="str">
        <f>IFERROR(__xludf.DUMMYFUNCTION("""COMPUTED_VALUE"""),"")</f>
        <v/>
      </c>
      <c r="K159" s="95" t="str">
        <f>IFERROR(__xludf.DUMMYFUNCTION("""COMPUTED_VALUE"""),"")</f>
        <v/>
      </c>
      <c r="L159" s="96" t="str">
        <f>IFERROR(__xludf.DUMMYFUNCTION("""COMPUTED_VALUE"""),"")</f>
        <v/>
      </c>
      <c r="M159" s="97" t="str">
        <f>IFERROR(__xludf.DUMMYFUNCTION("""COMPUTED_VALUE"""),"")</f>
        <v/>
      </c>
      <c r="N159" s="95" t="str">
        <f>IFERROR(__xludf.DUMMYFUNCTION("""COMPUTED_VALUE"""),"")</f>
        <v/>
      </c>
      <c r="O159" s="96" t="str">
        <f>IFERROR(__xludf.DUMMYFUNCTION("""COMPUTED_VALUE"""),"")</f>
        <v/>
      </c>
      <c r="P159" s="97" t="str">
        <f>IFERROR(__xludf.DUMMYFUNCTION("""COMPUTED_VALUE"""),"")</f>
        <v/>
      </c>
      <c r="Q159" s="95" t="str">
        <f>IFERROR(__xludf.DUMMYFUNCTION("""COMPUTED_VALUE"""),"")</f>
        <v/>
      </c>
      <c r="R159" s="96" t="str">
        <f>IFERROR(__xludf.DUMMYFUNCTION("""COMPUTED_VALUE"""),"")</f>
        <v/>
      </c>
      <c r="S159" s="97">
        <f>IFERROR(__xludf.DUMMYFUNCTION("""COMPUTED_VALUE"""),170.1)</f>
        <v>170.1</v>
      </c>
      <c r="T159" s="95" t="str">
        <f>IFERROR(__xludf.DUMMYFUNCTION("""COMPUTED_VALUE"""),"")</f>
        <v/>
      </c>
      <c r="U159" s="96" t="str">
        <f>IFERROR(__xludf.DUMMYFUNCTION("""COMPUTED_VALUE"""),"")</f>
        <v/>
      </c>
      <c r="V159" s="97" t="str">
        <f>IFERROR(__xludf.DUMMYFUNCTION("""COMPUTED_VALUE"""),"")</f>
        <v/>
      </c>
      <c r="W159" s="95" t="str">
        <f>IFERROR(__xludf.DUMMYFUNCTION("""COMPUTED_VALUE"""),"")</f>
        <v/>
      </c>
      <c r="X159" s="96" t="str">
        <f>IFERROR(__xludf.DUMMYFUNCTION("""COMPUTED_VALUE"""),"")</f>
        <v/>
      </c>
      <c r="Y159" s="97" t="str">
        <f>IFERROR(__xludf.DUMMYFUNCTION("""COMPUTED_VALUE"""),"")</f>
        <v/>
      </c>
      <c r="Z159" s="95" t="str">
        <f>IFERROR(__xludf.DUMMYFUNCTION("""COMPUTED_VALUE"""),"")</f>
        <v/>
      </c>
      <c r="AA159" s="96" t="str">
        <f>IFERROR(__xludf.DUMMYFUNCTION("""COMPUTED_VALUE"""),"")</f>
        <v/>
      </c>
      <c r="AB159" s="97" t="str">
        <f>IFERROR(__xludf.DUMMYFUNCTION("""COMPUTED_VALUE"""),"")</f>
        <v/>
      </c>
      <c r="AC159" s="95" t="str">
        <f>IFERROR(__xludf.DUMMYFUNCTION("""COMPUTED_VALUE"""),"")</f>
        <v/>
      </c>
      <c r="AD159" s="96" t="str">
        <f>IFERROR(__xludf.DUMMYFUNCTION("""COMPUTED_VALUE"""),"")</f>
        <v/>
      </c>
      <c r="AE159" s="97" t="str">
        <f>IFERROR(__xludf.DUMMYFUNCTION("""COMPUTED_VALUE"""),"")</f>
        <v/>
      </c>
      <c r="AF159" s="95" t="str">
        <f>IFERROR(__xludf.DUMMYFUNCTION("""COMPUTED_VALUE"""),"")</f>
        <v/>
      </c>
      <c r="AG159" s="96" t="str">
        <f>IFERROR(__xludf.DUMMYFUNCTION("""COMPUTED_VALUE"""),"")</f>
        <v/>
      </c>
      <c r="AH159" s="97" t="str">
        <f>IFERROR(__xludf.DUMMYFUNCTION("""COMPUTED_VALUE"""),"")</f>
        <v/>
      </c>
      <c r="AI159" s="111" t="str">
        <f>IFERROR(__xludf.DUMMYFUNCTION("""COMPUTED_VALUE"""),"")</f>
        <v/>
      </c>
      <c r="AJ159" s="112" t="str">
        <f>IFERROR(__xludf.DUMMYFUNCTION("""COMPUTED_VALUE"""),"")</f>
        <v/>
      </c>
      <c r="AK159" s="113" t="str">
        <f>IFERROR(__xludf.DUMMYFUNCTION("""COMPUTED_VALUE"""),"")</f>
        <v/>
      </c>
      <c r="AL159" s="112" t="str">
        <f>IFERROR(__xludf.DUMMYFUNCTION("""COMPUTED_VALUE"""),"")</f>
        <v/>
      </c>
      <c r="AM159" s="112" t="str">
        <f>IFERROR(__xludf.DUMMYFUNCTION("""COMPUTED_VALUE"""),"")</f>
        <v/>
      </c>
      <c r="AN159" s="113" t="str">
        <f>IFERROR(__xludf.DUMMYFUNCTION("""COMPUTED_VALUE"""),"")</f>
        <v/>
      </c>
      <c r="AO159" s="112" t="str">
        <f>IFERROR(__xludf.DUMMYFUNCTION("""COMPUTED_VALUE"""),"")</f>
        <v/>
      </c>
      <c r="AP159" s="112" t="str">
        <f>IFERROR(__xludf.DUMMYFUNCTION("""COMPUTED_VALUE"""),"")</f>
        <v/>
      </c>
      <c r="AQ159" s="113" t="str">
        <f>IFERROR(__xludf.DUMMYFUNCTION("""COMPUTED_VALUE"""),"")</f>
        <v/>
      </c>
      <c r="AR159" s="112" t="str">
        <f>IFERROR(__xludf.DUMMYFUNCTION("""COMPUTED_VALUE"""),"")</f>
        <v/>
      </c>
      <c r="AS159" s="112" t="str">
        <f>IFERROR(__xludf.DUMMYFUNCTION("""COMPUTED_VALUE"""),"")</f>
        <v/>
      </c>
      <c r="AT159" s="146">
        <f>IFERROR(__xludf.DUMMYFUNCTION("""COMPUTED_VALUE"""),73.6)</f>
        <v>73.6</v>
      </c>
      <c r="AU159" s="112" t="str">
        <f>IFERROR(__xludf.DUMMYFUNCTION("""COMPUTED_VALUE"""),"")</f>
        <v/>
      </c>
      <c r="AV159" s="112" t="str">
        <f>IFERROR(__xludf.DUMMYFUNCTION("""COMPUTED_VALUE"""),"")</f>
        <v/>
      </c>
      <c r="AW159" s="113" t="str">
        <f>IFERROR(__xludf.DUMMYFUNCTION("""COMPUTED_VALUE"""),"")</f>
        <v/>
      </c>
      <c r="AX159" s="112" t="str">
        <f>IFERROR(__xludf.DUMMYFUNCTION("""COMPUTED_VALUE"""),"")</f>
        <v/>
      </c>
      <c r="AY159" s="112" t="str">
        <f>IFERROR(__xludf.DUMMYFUNCTION("""COMPUTED_VALUE"""),"")</f>
        <v/>
      </c>
      <c r="AZ159" s="113" t="str">
        <f>IFERROR(__xludf.DUMMYFUNCTION("""COMPUTED_VALUE"""),"")</f>
        <v/>
      </c>
      <c r="BA159" s="112" t="str">
        <f>IFERROR(__xludf.DUMMYFUNCTION("""COMPUTED_VALUE"""),"")</f>
        <v/>
      </c>
      <c r="BB159" s="112" t="str">
        <f>IFERROR(__xludf.DUMMYFUNCTION("""COMPUTED_VALUE"""),"")</f>
        <v/>
      </c>
      <c r="BC159" s="113" t="str">
        <f>IFERROR(__xludf.DUMMYFUNCTION("""COMPUTED_VALUE"""),"")</f>
        <v/>
      </c>
      <c r="BD159" s="112">
        <f>IFERROR(__xludf.DUMMYFUNCTION("""COMPUTED_VALUE"""),486.1)</f>
        <v>486.1</v>
      </c>
      <c r="BE159" s="112" t="str">
        <f>IFERROR(__xludf.DUMMYFUNCTION("""COMPUTED_VALUE"""),"")</f>
        <v/>
      </c>
      <c r="BF159" s="113" t="str">
        <f>IFERROR(__xludf.DUMMYFUNCTION("""COMPUTED_VALUE"""),"")</f>
        <v/>
      </c>
      <c r="BG159" s="111" t="str">
        <f>IFERROR(__xludf.DUMMYFUNCTION("""COMPUTED_VALUE"""),"")</f>
        <v/>
      </c>
      <c r="BH159" s="112" t="str">
        <f>IFERROR(__xludf.DUMMYFUNCTION("""COMPUTED_VALUE"""),"")</f>
        <v/>
      </c>
      <c r="BI159" s="113" t="str">
        <f>IFERROR(__xludf.DUMMYFUNCTION("""COMPUTED_VALUE"""),"")</f>
        <v/>
      </c>
      <c r="BJ159" s="112" t="str">
        <f>IFERROR(__xludf.DUMMYFUNCTION("""COMPUTED_VALUE"""),"")</f>
        <v/>
      </c>
      <c r="BK159" s="112" t="str">
        <f>IFERROR(__xludf.DUMMYFUNCTION("""COMPUTED_VALUE"""),"")</f>
        <v/>
      </c>
      <c r="BL159" s="113" t="str">
        <f>IFERROR(__xludf.DUMMYFUNCTION("""COMPUTED_VALUE"""),"")</f>
        <v/>
      </c>
      <c r="BM159" s="112" t="str">
        <f>IFERROR(__xludf.DUMMYFUNCTION("""COMPUTED_VALUE"""),"")</f>
        <v/>
      </c>
      <c r="BN159" s="112" t="str">
        <f>IFERROR(__xludf.DUMMYFUNCTION("""COMPUTED_VALUE"""),"")</f>
        <v/>
      </c>
      <c r="BO159" s="113" t="str">
        <f>IFERROR(__xludf.DUMMYFUNCTION("""COMPUTED_VALUE"""),"")</f>
        <v/>
      </c>
      <c r="BP159" s="112" t="str">
        <f>IFERROR(__xludf.DUMMYFUNCTION("""COMPUTED_VALUE"""),"")</f>
        <v/>
      </c>
      <c r="BQ159" s="112" t="str">
        <f>IFERROR(__xludf.DUMMYFUNCTION("""COMPUTED_VALUE"""),"")</f>
        <v/>
      </c>
      <c r="BR159" s="113" t="str">
        <f>IFERROR(__xludf.DUMMYFUNCTION("""COMPUTED_VALUE"""),"")</f>
        <v/>
      </c>
      <c r="BS159" s="112" t="str">
        <f>IFERROR(__xludf.DUMMYFUNCTION("""COMPUTED_VALUE"""),"")</f>
        <v/>
      </c>
      <c r="BT159" s="112">
        <f>IFERROR(__xludf.DUMMYFUNCTION("""COMPUTED_VALUE"""),73.6)</f>
        <v>73.6</v>
      </c>
      <c r="BU159" s="113" t="str">
        <f>IFERROR(__xludf.DUMMYFUNCTION("""COMPUTED_VALUE"""),"")</f>
        <v/>
      </c>
      <c r="BV159" s="112" t="str">
        <f>IFERROR(__xludf.DUMMYFUNCTION("""COMPUTED_VALUE"""),"")</f>
        <v/>
      </c>
      <c r="BW159" s="112" t="str">
        <f>IFERROR(__xludf.DUMMYFUNCTION("""COMPUTED_VALUE"""),"")</f>
        <v/>
      </c>
      <c r="BX159" s="113" t="str">
        <f>IFERROR(__xludf.DUMMYFUNCTION("""COMPUTED_VALUE"""),"")</f>
        <v/>
      </c>
      <c r="BY159" s="112" t="str">
        <f>IFERROR(__xludf.DUMMYFUNCTION("""COMPUTED_VALUE"""),"")</f>
        <v/>
      </c>
      <c r="BZ159" s="112" t="str">
        <f>IFERROR(__xludf.DUMMYFUNCTION("""COMPUTED_VALUE"""),"")</f>
        <v/>
      </c>
      <c r="CA159" s="113" t="str">
        <f>IFERROR(__xludf.DUMMYFUNCTION("""COMPUTED_VALUE"""),"")</f>
        <v/>
      </c>
      <c r="CB159" s="111" t="str">
        <f>IFERROR(__xludf.DUMMYFUNCTION("""COMPUTED_VALUE"""),"")</f>
        <v/>
      </c>
      <c r="CC159" s="112" t="str">
        <f>IFERROR(__xludf.DUMMYFUNCTION("""COMPUTED_VALUE"""),"")</f>
        <v/>
      </c>
      <c r="CD159" s="113" t="str">
        <f>IFERROR(__xludf.DUMMYFUNCTION("""COMPUTED_VALUE"""),"")</f>
        <v/>
      </c>
      <c r="CE159" s="112" t="str">
        <f>IFERROR(__xludf.DUMMYFUNCTION("""COMPUTED_VALUE"""),"")</f>
        <v/>
      </c>
      <c r="CF159" s="112" t="str">
        <f>IFERROR(__xludf.DUMMYFUNCTION("""COMPUTED_VALUE"""),"")</f>
        <v/>
      </c>
      <c r="CG159" s="113" t="str">
        <f>IFERROR(__xludf.DUMMYFUNCTION("""COMPUTED_VALUE"""),"")</f>
        <v/>
      </c>
      <c r="CH159" s="112" t="str">
        <f>IFERROR(__xludf.DUMMYFUNCTION("""COMPUTED_VALUE"""),"")</f>
        <v/>
      </c>
      <c r="CI159" s="112" t="str">
        <f>IFERROR(__xludf.DUMMYFUNCTION("""COMPUTED_VALUE"""),"")</f>
        <v/>
      </c>
      <c r="CJ159" s="113" t="str">
        <f>IFERROR(__xludf.DUMMYFUNCTION("""COMPUTED_VALUE"""),"")</f>
        <v/>
      </c>
      <c r="CK159" s="112" t="str">
        <f>IFERROR(__xludf.DUMMYFUNCTION("""COMPUTED_VALUE"""),"")</f>
        <v/>
      </c>
      <c r="CL159" s="112" t="str">
        <f>IFERROR(__xludf.DUMMYFUNCTION("""COMPUTED_VALUE"""),"")</f>
        <v/>
      </c>
      <c r="CM159" s="113">
        <f>IFERROR(__xludf.DUMMYFUNCTION("""COMPUTED_VALUE"""),427.5)</f>
        <v>427.5</v>
      </c>
      <c r="CN159" s="112" t="str">
        <f>IFERROR(__xludf.DUMMYFUNCTION("""COMPUTED_VALUE"""),"")</f>
        <v/>
      </c>
      <c r="CO159" s="112" t="str">
        <f>IFERROR(__xludf.DUMMYFUNCTION("""COMPUTED_VALUE"""),"")</f>
        <v/>
      </c>
      <c r="CP159" s="113" t="str">
        <f>IFERROR(__xludf.DUMMYFUNCTION("""COMPUTED_VALUE"""),"")</f>
        <v/>
      </c>
      <c r="CQ159" s="112" t="str">
        <f>IFERROR(__xludf.DUMMYFUNCTION("""COMPUTED_VALUE"""),"")</f>
        <v/>
      </c>
      <c r="CR159" s="112" t="str">
        <f>IFERROR(__xludf.DUMMYFUNCTION("""COMPUTED_VALUE"""),"")</f>
        <v/>
      </c>
      <c r="CS159" s="113"/>
      <c r="CT159" s="112"/>
      <c r="CU159" s="112"/>
      <c r="CV159" s="113"/>
      <c r="CW159" s="112"/>
      <c r="CX159" s="112"/>
      <c r="CY159" s="113"/>
      <c r="CZ159" s="112"/>
      <c r="DA159" s="112"/>
      <c r="DB159" s="113"/>
      <c r="DC159" s="112"/>
      <c r="DD159" s="112"/>
      <c r="DE159" s="113"/>
      <c r="DF159" s="112"/>
      <c r="DG159" s="112"/>
      <c r="DH159" s="113"/>
      <c r="DI159" s="112"/>
      <c r="DJ159" s="112"/>
      <c r="DK159" s="113"/>
      <c r="DL159" s="112"/>
      <c r="DM159" s="112"/>
      <c r="DN159" s="113"/>
      <c r="DO159" s="112"/>
      <c r="DP159" s="112"/>
      <c r="DQ159" s="113"/>
      <c r="DR159" s="112"/>
      <c r="DS159" s="112"/>
      <c r="DT159" s="113"/>
    </row>
    <row r="160">
      <c r="B160" s="120" t="str">
        <f>IFERROR(__xludf.DUMMYFUNCTION("""COMPUTED_VALUE"""),"AGT10")</f>
        <v>AGT10</v>
      </c>
      <c r="C160" s="82">
        <f>IFERROR(__xludf.DUMMYFUNCTION("""COMPUTED_VALUE"""),151.0)</f>
        <v>151</v>
      </c>
      <c r="D160" s="88" t="str">
        <f>IFERROR(__xludf.DUMMYFUNCTION("""COMPUTED_VALUE"""),"Great Underground River")</f>
        <v>Great Underground River</v>
      </c>
      <c r="E160" s="82" t="str">
        <f>IFERROR(__xludf.DUMMYFUNCTION("""COMPUTED_VALUE"""),"地底大河")</f>
        <v>地底大河</v>
      </c>
      <c r="F160" s="102">
        <f>IFERROR(__xludf.DUMMYFUNCTION("""COMPUTED_VALUE"""),21.0)</f>
        <v>21</v>
      </c>
      <c r="G160" s="82">
        <f>IFERROR(__xludf.DUMMYFUNCTION("""COMPUTED_VALUE"""),54691.0)</f>
        <v>54691</v>
      </c>
      <c r="H160" s="95" t="str">
        <f>IFERROR(__xludf.DUMMYFUNCTION("""COMPUTED_VALUE"""),"")</f>
        <v/>
      </c>
      <c r="I160" s="96" t="str">
        <f>IFERROR(__xludf.DUMMYFUNCTION("""COMPUTED_VALUE"""),"")</f>
        <v/>
      </c>
      <c r="J160" s="97" t="str">
        <f>IFERROR(__xludf.DUMMYFUNCTION("""COMPUTED_VALUE"""),"")</f>
        <v/>
      </c>
      <c r="K160" s="95" t="str">
        <f>IFERROR(__xludf.DUMMYFUNCTION("""COMPUTED_VALUE"""),"")</f>
        <v/>
      </c>
      <c r="L160" s="96" t="str">
        <f>IFERROR(__xludf.DUMMYFUNCTION("""COMPUTED_VALUE"""),"")</f>
        <v/>
      </c>
      <c r="M160" s="97" t="str">
        <f>IFERROR(__xludf.DUMMYFUNCTION("""COMPUTED_VALUE"""),"")</f>
        <v/>
      </c>
      <c r="N160" s="95" t="str">
        <f>IFERROR(__xludf.DUMMYFUNCTION("""COMPUTED_VALUE"""),"")</f>
        <v/>
      </c>
      <c r="O160" s="96" t="str">
        <f>IFERROR(__xludf.DUMMYFUNCTION("""COMPUTED_VALUE"""),"")</f>
        <v/>
      </c>
      <c r="P160" s="97" t="str">
        <f>IFERROR(__xludf.DUMMYFUNCTION("""COMPUTED_VALUE"""),"")</f>
        <v/>
      </c>
      <c r="Q160" s="95" t="str">
        <f>IFERROR(__xludf.DUMMYFUNCTION("""COMPUTED_VALUE"""),"")</f>
        <v/>
      </c>
      <c r="R160" s="96" t="str">
        <f>IFERROR(__xludf.DUMMYFUNCTION("""COMPUTED_VALUE"""),"")</f>
        <v/>
      </c>
      <c r="S160" s="97" t="str">
        <f>IFERROR(__xludf.DUMMYFUNCTION("""COMPUTED_VALUE"""),"")</f>
        <v/>
      </c>
      <c r="T160" s="95" t="str">
        <f>IFERROR(__xludf.DUMMYFUNCTION("""COMPUTED_VALUE"""),"")</f>
        <v/>
      </c>
      <c r="U160" s="96" t="str">
        <f>IFERROR(__xludf.DUMMYFUNCTION("""COMPUTED_VALUE"""),"")</f>
        <v/>
      </c>
      <c r="V160" s="97" t="str">
        <f>IFERROR(__xludf.DUMMYFUNCTION("""COMPUTED_VALUE"""),"")</f>
        <v/>
      </c>
      <c r="W160" s="95" t="str">
        <f>IFERROR(__xludf.DUMMYFUNCTION("""COMPUTED_VALUE"""),"")</f>
        <v/>
      </c>
      <c r="X160" s="96" t="str">
        <f>IFERROR(__xludf.DUMMYFUNCTION("""COMPUTED_VALUE"""),"")</f>
        <v/>
      </c>
      <c r="Y160" s="97" t="str">
        <f>IFERROR(__xludf.DUMMYFUNCTION("""COMPUTED_VALUE"""),"")</f>
        <v/>
      </c>
      <c r="Z160" s="95">
        <f>IFERROR(__xludf.DUMMYFUNCTION("""COMPUTED_VALUE"""),83.5)</f>
        <v>83.5</v>
      </c>
      <c r="AA160" s="96" t="str">
        <f>IFERROR(__xludf.DUMMYFUNCTION("""COMPUTED_VALUE"""),"")</f>
        <v/>
      </c>
      <c r="AB160" s="97" t="str">
        <f>IFERROR(__xludf.DUMMYFUNCTION("""COMPUTED_VALUE"""),"")</f>
        <v/>
      </c>
      <c r="AC160" s="95" t="str">
        <f>IFERROR(__xludf.DUMMYFUNCTION("""COMPUTED_VALUE"""),"")</f>
        <v/>
      </c>
      <c r="AD160" s="96">
        <f>IFERROR(__xludf.DUMMYFUNCTION("""COMPUTED_VALUE"""),69.5)</f>
        <v>69.5</v>
      </c>
      <c r="AE160" s="97" t="str">
        <f>IFERROR(__xludf.DUMMYFUNCTION("""COMPUTED_VALUE"""),"")</f>
        <v/>
      </c>
      <c r="AF160" s="95" t="str">
        <f>IFERROR(__xludf.DUMMYFUNCTION("""COMPUTED_VALUE"""),"")</f>
        <v/>
      </c>
      <c r="AG160" s="96" t="str">
        <f>IFERROR(__xludf.DUMMYFUNCTION("""COMPUTED_VALUE"""),"")</f>
        <v/>
      </c>
      <c r="AH160" s="97" t="str">
        <f>IFERROR(__xludf.DUMMYFUNCTION("""COMPUTED_VALUE"""),"")</f>
        <v/>
      </c>
      <c r="AI160" s="92" t="str">
        <f>IFERROR(__xludf.DUMMYFUNCTION("""COMPUTED_VALUE"""),"")</f>
        <v/>
      </c>
      <c r="AJ160" s="93" t="str">
        <f>IFERROR(__xludf.DUMMYFUNCTION("""COMPUTED_VALUE"""),"")</f>
        <v/>
      </c>
      <c r="AK160" s="94" t="str">
        <f>IFERROR(__xludf.DUMMYFUNCTION("""COMPUTED_VALUE"""),"")</f>
        <v/>
      </c>
      <c r="AL160" s="93" t="str">
        <f>IFERROR(__xludf.DUMMYFUNCTION("""COMPUTED_VALUE"""),"")</f>
        <v/>
      </c>
      <c r="AM160" s="93" t="str">
        <f>IFERROR(__xludf.DUMMYFUNCTION("""COMPUTED_VALUE"""),"")</f>
        <v/>
      </c>
      <c r="AN160" s="94" t="str">
        <f>IFERROR(__xludf.DUMMYFUNCTION("""COMPUTED_VALUE"""),"")</f>
        <v/>
      </c>
      <c r="AO160" s="93" t="str">
        <f>IFERROR(__xludf.DUMMYFUNCTION("""COMPUTED_VALUE"""),"")</f>
        <v/>
      </c>
      <c r="AP160" s="93" t="str">
        <f>IFERROR(__xludf.DUMMYFUNCTION("""COMPUTED_VALUE"""),"")</f>
        <v/>
      </c>
      <c r="AQ160" s="94" t="str">
        <f>IFERROR(__xludf.DUMMYFUNCTION("""COMPUTED_VALUE"""),"")</f>
        <v/>
      </c>
      <c r="AR160" s="93" t="str">
        <f>IFERROR(__xludf.DUMMYFUNCTION("""COMPUTED_VALUE"""),"")</f>
        <v/>
      </c>
      <c r="AS160" s="93" t="str">
        <f>IFERROR(__xludf.DUMMYFUNCTION("""COMPUTED_VALUE"""),"")</f>
        <v/>
      </c>
      <c r="AT160" s="94" t="str">
        <f>IFERROR(__xludf.DUMMYFUNCTION("""COMPUTED_VALUE"""),"")</f>
        <v/>
      </c>
      <c r="AU160" s="93" t="str">
        <f>IFERROR(__xludf.DUMMYFUNCTION("""COMPUTED_VALUE"""),"")</f>
        <v/>
      </c>
      <c r="AV160" s="93" t="str">
        <f>IFERROR(__xludf.DUMMYFUNCTION("""COMPUTED_VALUE"""),"")</f>
        <v/>
      </c>
      <c r="AW160" s="94" t="str">
        <f>IFERROR(__xludf.DUMMYFUNCTION("""COMPUTED_VALUE"""),"")</f>
        <v/>
      </c>
      <c r="AX160" s="93" t="str">
        <f>IFERROR(__xludf.DUMMYFUNCTION("""COMPUTED_VALUE"""),"")</f>
        <v/>
      </c>
      <c r="AY160" s="93" t="str">
        <f>IFERROR(__xludf.DUMMYFUNCTION("""COMPUTED_VALUE"""),"")</f>
        <v/>
      </c>
      <c r="AZ160" s="94" t="str">
        <f>IFERROR(__xludf.DUMMYFUNCTION("""COMPUTED_VALUE"""),"")</f>
        <v/>
      </c>
      <c r="BA160" s="93" t="str">
        <f>IFERROR(__xludf.DUMMYFUNCTION("""COMPUTED_VALUE"""),"")</f>
        <v/>
      </c>
      <c r="BB160" s="93" t="str">
        <f>IFERROR(__xludf.DUMMYFUNCTION("""COMPUTED_VALUE"""),"")</f>
        <v/>
      </c>
      <c r="BC160" s="94" t="str">
        <f>IFERROR(__xludf.DUMMYFUNCTION("""COMPUTED_VALUE"""),"")</f>
        <v/>
      </c>
      <c r="BD160" s="140" t="str">
        <f>IFERROR(__xludf.DUMMYFUNCTION("""COMPUTED_VALUE"""),"")</f>
        <v/>
      </c>
      <c r="BE160" s="93">
        <f>IFERROR(__xludf.DUMMYFUNCTION("""COMPUTED_VALUE"""),660.9)</f>
        <v>660.9</v>
      </c>
      <c r="BF160" s="94" t="str">
        <f>IFERROR(__xludf.DUMMYFUNCTION("""COMPUTED_VALUE"""),"")</f>
        <v/>
      </c>
      <c r="BG160" s="92" t="str">
        <f>IFERROR(__xludf.DUMMYFUNCTION("""COMPUTED_VALUE"""),"")</f>
        <v/>
      </c>
      <c r="BH160" s="93" t="str">
        <f>IFERROR(__xludf.DUMMYFUNCTION("""COMPUTED_VALUE"""),"")</f>
        <v/>
      </c>
      <c r="BI160" s="94" t="str">
        <f>IFERROR(__xludf.DUMMYFUNCTION("""COMPUTED_VALUE"""),"")</f>
        <v/>
      </c>
      <c r="BJ160" s="93" t="str">
        <f>IFERROR(__xludf.DUMMYFUNCTION("""COMPUTED_VALUE"""),"")</f>
        <v/>
      </c>
      <c r="BK160" s="93" t="str">
        <f>IFERROR(__xludf.DUMMYFUNCTION("""COMPUTED_VALUE"""),"")</f>
        <v/>
      </c>
      <c r="BL160" s="94">
        <f>IFERROR(__xludf.DUMMYFUNCTION("""COMPUTED_VALUE"""),144.1)</f>
        <v>144.1</v>
      </c>
      <c r="BM160" s="93" t="str">
        <f>IFERROR(__xludf.DUMMYFUNCTION("""COMPUTED_VALUE"""),"")</f>
        <v/>
      </c>
      <c r="BN160" s="93" t="str">
        <f>IFERROR(__xludf.DUMMYFUNCTION("""COMPUTED_VALUE"""),"")</f>
        <v/>
      </c>
      <c r="BO160" s="94" t="str">
        <f>IFERROR(__xludf.DUMMYFUNCTION("""COMPUTED_VALUE"""),"")</f>
        <v/>
      </c>
      <c r="BP160" s="93" t="str">
        <f>IFERROR(__xludf.DUMMYFUNCTION("""COMPUTED_VALUE"""),"")</f>
        <v/>
      </c>
      <c r="BQ160" s="93" t="str">
        <f>IFERROR(__xludf.DUMMYFUNCTION("""COMPUTED_VALUE"""),"")</f>
        <v/>
      </c>
      <c r="BR160" s="94">
        <f>IFERROR(__xludf.DUMMYFUNCTION("""COMPUTED_VALUE"""),53.4)</f>
        <v>53.4</v>
      </c>
      <c r="BS160" s="93" t="str">
        <f>IFERROR(__xludf.DUMMYFUNCTION("""COMPUTED_VALUE"""),"")</f>
        <v/>
      </c>
      <c r="BT160" s="93" t="str">
        <f>IFERROR(__xludf.DUMMYFUNCTION("""COMPUTED_VALUE"""),"")</f>
        <v/>
      </c>
      <c r="BU160" s="94" t="str">
        <f>IFERROR(__xludf.DUMMYFUNCTION("""COMPUTED_VALUE"""),"")</f>
        <v/>
      </c>
      <c r="BV160" s="93" t="str">
        <f>IFERROR(__xludf.DUMMYFUNCTION("""COMPUTED_VALUE"""),"")</f>
        <v/>
      </c>
      <c r="BW160" s="93" t="str">
        <f>IFERROR(__xludf.DUMMYFUNCTION("""COMPUTED_VALUE"""),"")</f>
        <v/>
      </c>
      <c r="BX160" s="94" t="str">
        <f>IFERROR(__xludf.DUMMYFUNCTION("""COMPUTED_VALUE"""),"")</f>
        <v/>
      </c>
      <c r="BY160" s="93" t="str">
        <f>IFERROR(__xludf.DUMMYFUNCTION("""COMPUTED_VALUE"""),"")</f>
        <v/>
      </c>
      <c r="BZ160" s="93" t="str">
        <f>IFERROR(__xludf.DUMMYFUNCTION("""COMPUTED_VALUE"""),"")</f>
        <v/>
      </c>
      <c r="CA160" s="94" t="str">
        <f>IFERROR(__xludf.DUMMYFUNCTION("""COMPUTED_VALUE"""),"")</f>
        <v/>
      </c>
      <c r="CB160" s="92" t="str">
        <f>IFERROR(__xludf.DUMMYFUNCTION("""COMPUTED_VALUE"""),"")</f>
        <v/>
      </c>
      <c r="CC160" s="93" t="str">
        <f>IFERROR(__xludf.DUMMYFUNCTION("""COMPUTED_VALUE"""),"")</f>
        <v/>
      </c>
      <c r="CD160" s="94" t="str">
        <f>IFERROR(__xludf.DUMMYFUNCTION("""COMPUTED_VALUE"""),"")</f>
        <v/>
      </c>
      <c r="CE160" s="93" t="str">
        <f>IFERROR(__xludf.DUMMYFUNCTION("""COMPUTED_VALUE"""),"")</f>
        <v/>
      </c>
      <c r="CF160" s="93" t="str">
        <f>IFERROR(__xludf.DUMMYFUNCTION("""COMPUTED_VALUE"""),"")</f>
        <v/>
      </c>
      <c r="CG160" s="94" t="str">
        <f>IFERROR(__xludf.DUMMYFUNCTION("""COMPUTED_VALUE"""),"")</f>
        <v/>
      </c>
      <c r="CH160" s="93" t="str">
        <f>IFERROR(__xludf.DUMMYFUNCTION("""COMPUTED_VALUE"""),"")</f>
        <v/>
      </c>
      <c r="CI160" s="93" t="str">
        <f>IFERROR(__xludf.DUMMYFUNCTION("""COMPUTED_VALUE"""),"")</f>
        <v/>
      </c>
      <c r="CJ160" s="94" t="str">
        <f>IFERROR(__xludf.DUMMYFUNCTION("""COMPUTED_VALUE"""),"")</f>
        <v/>
      </c>
      <c r="CK160" s="93" t="str">
        <f>IFERROR(__xludf.DUMMYFUNCTION("""COMPUTED_VALUE"""),"")</f>
        <v/>
      </c>
      <c r="CL160" s="93" t="str">
        <f>IFERROR(__xludf.DUMMYFUNCTION("""COMPUTED_VALUE"""),"")</f>
        <v/>
      </c>
      <c r="CM160" s="94" t="str">
        <f>IFERROR(__xludf.DUMMYFUNCTION("""COMPUTED_VALUE"""),"")</f>
        <v/>
      </c>
      <c r="CN160" s="93" t="str">
        <f>IFERROR(__xludf.DUMMYFUNCTION("""COMPUTED_VALUE"""),"")</f>
        <v/>
      </c>
      <c r="CO160" s="93" t="str">
        <f>IFERROR(__xludf.DUMMYFUNCTION("""COMPUTED_VALUE"""),"")</f>
        <v/>
      </c>
      <c r="CP160" s="94" t="str">
        <f>IFERROR(__xludf.DUMMYFUNCTION("""COMPUTED_VALUE"""),"")</f>
        <v/>
      </c>
      <c r="CQ160" s="93" t="str">
        <f>IFERROR(__xludf.DUMMYFUNCTION("""COMPUTED_VALUE"""),"")</f>
        <v/>
      </c>
      <c r="CR160" s="93" t="str">
        <f>IFERROR(__xludf.DUMMYFUNCTION("""COMPUTED_VALUE"""),"")</f>
        <v/>
      </c>
      <c r="CS160" s="94"/>
      <c r="CT160" s="93"/>
      <c r="CU160" s="93"/>
      <c r="CV160" s="94"/>
      <c r="CW160" s="93"/>
      <c r="CX160" s="93"/>
      <c r="CY160" s="94"/>
      <c r="CZ160" s="93"/>
      <c r="DA160" s="93"/>
      <c r="DB160" s="94"/>
      <c r="DC160" s="93"/>
      <c r="DD160" s="93"/>
      <c r="DE160" s="94"/>
      <c r="DF160" s="93"/>
      <c r="DG160" s="93"/>
      <c r="DH160" s="94"/>
      <c r="DI160" s="93"/>
      <c r="DJ160" s="93"/>
      <c r="DK160" s="94"/>
      <c r="DL160" s="93"/>
      <c r="DM160" s="93"/>
      <c r="DN160" s="94"/>
      <c r="DO160" s="93"/>
      <c r="DP160" s="93"/>
      <c r="DQ160" s="94"/>
      <c r="DR160" s="93"/>
      <c r="DS160" s="93"/>
      <c r="DT160" s="94"/>
    </row>
    <row r="161">
      <c r="B161" s="120" t="str">
        <f>IFERROR(__xludf.DUMMYFUNCTION("""COMPUTED_VALUE"""),"AGT11")</f>
        <v>AGT11</v>
      </c>
      <c r="C161" s="82">
        <f>IFERROR(__xludf.DUMMYFUNCTION("""COMPUTED_VALUE"""),152.0)</f>
        <v>152</v>
      </c>
      <c r="D161" s="88" t="str">
        <f>IFERROR(__xludf.DUMMYFUNCTION("""COMPUTED_VALUE"""),"El Dorado")</f>
        <v>El Dorado</v>
      </c>
      <c r="E161" s="82" t="str">
        <f>IFERROR(__xludf.DUMMYFUNCTION("""COMPUTED_VALUE"""),"エルドラド")</f>
        <v>エルドラド</v>
      </c>
      <c r="F161" s="102">
        <f>IFERROR(__xludf.DUMMYFUNCTION("""COMPUTED_VALUE"""),21.0)</f>
        <v>21</v>
      </c>
      <c r="G161" s="82">
        <f>IFERROR(__xludf.DUMMYFUNCTION("""COMPUTED_VALUE"""),3534.0)</f>
        <v>3534</v>
      </c>
      <c r="H161" s="95" t="str">
        <f>IFERROR(__xludf.DUMMYFUNCTION("""COMPUTED_VALUE"""),"")</f>
        <v/>
      </c>
      <c r="I161" s="96" t="str">
        <f>IFERROR(__xludf.DUMMYFUNCTION("""COMPUTED_VALUE"""),"")</f>
        <v/>
      </c>
      <c r="J161" s="97" t="str">
        <f>IFERROR(__xludf.DUMMYFUNCTION("""COMPUTED_VALUE"""),"")</f>
        <v/>
      </c>
      <c r="K161" s="95" t="str">
        <f>IFERROR(__xludf.DUMMYFUNCTION("""COMPUTED_VALUE"""),"")</f>
        <v/>
      </c>
      <c r="L161" s="96" t="str">
        <f>IFERROR(__xludf.DUMMYFUNCTION("""COMPUTED_VALUE"""),"")</f>
        <v/>
      </c>
      <c r="M161" s="97" t="str">
        <f>IFERROR(__xludf.DUMMYFUNCTION("""COMPUTED_VALUE"""),"")</f>
        <v/>
      </c>
      <c r="N161" s="95" t="str">
        <f>IFERROR(__xludf.DUMMYFUNCTION("""COMPUTED_VALUE"""),"")</f>
        <v/>
      </c>
      <c r="O161" s="96" t="str">
        <f>IFERROR(__xludf.DUMMYFUNCTION("""COMPUTED_VALUE"""),"")</f>
        <v/>
      </c>
      <c r="P161" s="97" t="str">
        <f>IFERROR(__xludf.DUMMYFUNCTION("""COMPUTED_VALUE"""),"")</f>
        <v/>
      </c>
      <c r="Q161" s="95" t="str">
        <f>IFERROR(__xludf.DUMMYFUNCTION("""COMPUTED_VALUE"""),"")</f>
        <v/>
      </c>
      <c r="R161" s="96" t="str">
        <f>IFERROR(__xludf.DUMMYFUNCTION("""COMPUTED_VALUE"""),"")</f>
        <v/>
      </c>
      <c r="S161" s="97" t="str">
        <f>IFERROR(__xludf.DUMMYFUNCTION("""COMPUTED_VALUE"""),"")</f>
        <v/>
      </c>
      <c r="T161" s="95" t="str">
        <f>IFERROR(__xludf.DUMMYFUNCTION("""COMPUTED_VALUE"""),"")</f>
        <v/>
      </c>
      <c r="U161" s="96" t="str">
        <f>IFERROR(__xludf.DUMMYFUNCTION("""COMPUTED_VALUE"""),"")</f>
        <v/>
      </c>
      <c r="V161" s="97" t="str">
        <f>IFERROR(__xludf.DUMMYFUNCTION("""COMPUTED_VALUE"""),"")</f>
        <v/>
      </c>
      <c r="W161" s="95" t="str">
        <f>IFERROR(__xludf.DUMMYFUNCTION("""COMPUTED_VALUE"""),"")</f>
        <v/>
      </c>
      <c r="X161" s="96" t="str">
        <f>IFERROR(__xludf.DUMMYFUNCTION("""COMPUTED_VALUE"""),"")</f>
        <v/>
      </c>
      <c r="Y161" s="97" t="str">
        <f>IFERROR(__xludf.DUMMYFUNCTION("""COMPUTED_VALUE"""),"")</f>
        <v/>
      </c>
      <c r="Z161" s="95">
        <f>IFERROR(__xludf.DUMMYFUNCTION("""COMPUTED_VALUE"""),62.0)</f>
        <v>62</v>
      </c>
      <c r="AA161" s="96" t="str">
        <f>IFERROR(__xludf.DUMMYFUNCTION("""COMPUTED_VALUE"""),"")</f>
        <v/>
      </c>
      <c r="AB161" s="97" t="str">
        <f>IFERROR(__xludf.DUMMYFUNCTION("""COMPUTED_VALUE"""),"")</f>
        <v/>
      </c>
      <c r="AC161" s="95" t="str">
        <f>IFERROR(__xludf.DUMMYFUNCTION("""COMPUTED_VALUE"""),"")</f>
        <v/>
      </c>
      <c r="AD161" s="96" t="str">
        <f>IFERROR(__xludf.DUMMYFUNCTION("""COMPUTED_VALUE"""),"")</f>
        <v/>
      </c>
      <c r="AE161" s="97" t="str">
        <f>IFERROR(__xludf.DUMMYFUNCTION("""COMPUTED_VALUE"""),"")</f>
        <v/>
      </c>
      <c r="AF161" s="95" t="str">
        <f>IFERROR(__xludf.DUMMYFUNCTION("""COMPUTED_VALUE"""),"")</f>
        <v/>
      </c>
      <c r="AG161" s="96" t="str">
        <f>IFERROR(__xludf.DUMMYFUNCTION("""COMPUTED_VALUE"""),"")</f>
        <v/>
      </c>
      <c r="AH161" s="97" t="str">
        <f>IFERROR(__xludf.DUMMYFUNCTION("""COMPUTED_VALUE"""),"")</f>
        <v/>
      </c>
      <c r="AI161" s="111" t="str">
        <f>IFERROR(__xludf.DUMMYFUNCTION("""COMPUTED_VALUE"""),"")</f>
        <v/>
      </c>
      <c r="AJ161" s="112" t="str">
        <f>IFERROR(__xludf.DUMMYFUNCTION("""COMPUTED_VALUE"""),"")</f>
        <v/>
      </c>
      <c r="AK161" s="113" t="str">
        <f>IFERROR(__xludf.DUMMYFUNCTION("""COMPUTED_VALUE"""),"")</f>
        <v/>
      </c>
      <c r="AL161" s="112" t="str">
        <f>IFERROR(__xludf.DUMMYFUNCTION("""COMPUTED_VALUE"""),"")</f>
        <v/>
      </c>
      <c r="AM161" s="112" t="str">
        <f>IFERROR(__xludf.DUMMYFUNCTION("""COMPUTED_VALUE"""),"")</f>
        <v/>
      </c>
      <c r="AN161" s="113" t="str">
        <f>IFERROR(__xludf.DUMMYFUNCTION("""COMPUTED_VALUE"""),"")</f>
        <v/>
      </c>
      <c r="AO161" s="112" t="str">
        <f>IFERROR(__xludf.DUMMYFUNCTION("""COMPUTED_VALUE"""),"")</f>
        <v/>
      </c>
      <c r="AP161" s="112" t="str">
        <f>IFERROR(__xludf.DUMMYFUNCTION("""COMPUTED_VALUE"""),"")</f>
        <v/>
      </c>
      <c r="AQ161" s="113" t="str">
        <f>IFERROR(__xludf.DUMMYFUNCTION("""COMPUTED_VALUE"""),"")</f>
        <v/>
      </c>
      <c r="AR161" s="112" t="str">
        <f>IFERROR(__xludf.DUMMYFUNCTION("""COMPUTED_VALUE"""),"")</f>
        <v/>
      </c>
      <c r="AS161" s="112" t="str">
        <f>IFERROR(__xludf.DUMMYFUNCTION("""COMPUTED_VALUE"""),"")</f>
        <v/>
      </c>
      <c r="AT161" s="113" t="str">
        <f>IFERROR(__xludf.DUMMYFUNCTION("""COMPUTED_VALUE"""),"")</f>
        <v/>
      </c>
      <c r="AU161" s="112" t="str">
        <f>IFERROR(__xludf.DUMMYFUNCTION("""COMPUTED_VALUE"""),"")</f>
        <v/>
      </c>
      <c r="AV161" s="112" t="str">
        <f>IFERROR(__xludf.DUMMYFUNCTION("""COMPUTED_VALUE"""),"")</f>
        <v/>
      </c>
      <c r="AW161" s="113">
        <f>IFERROR(__xludf.DUMMYFUNCTION("""COMPUTED_VALUE"""),68.5)</f>
        <v>68.5</v>
      </c>
      <c r="AX161" s="112" t="str">
        <f>IFERROR(__xludf.DUMMYFUNCTION("""COMPUTED_VALUE"""),"")</f>
        <v/>
      </c>
      <c r="AY161" s="112" t="str">
        <f>IFERROR(__xludf.DUMMYFUNCTION("""COMPUTED_VALUE"""),"")</f>
        <v/>
      </c>
      <c r="AZ161" s="113" t="str">
        <f>IFERROR(__xludf.DUMMYFUNCTION("""COMPUTED_VALUE"""),"")</f>
        <v/>
      </c>
      <c r="BA161" s="112" t="str">
        <f>IFERROR(__xludf.DUMMYFUNCTION("""COMPUTED_VALUE"""),"")</f>
        <v/>
      </c>
      <c r="BB161" s="112" t="str">
        <f>IFERROR(__xludf.DUMMYFUNCTION("""COMPUTED_VALUE"""),"")</f>
        <v/>
      </c>
      <c r="BC161" s="113" t="str">
        <f>IFERROR(__xludf.DUMMYFUNCTION("""COMPUTED_VALUE"""),"")</f>
        <v/>
      </c>
      <c r="BD161" s="112" t="str">
        <f>IFERROR(__xludf.DUMMYFUNCTION("""COMPUTED_VALUE"""),"")</f>
        <v/>
      </c>
      <c r="BE161" s="112" t="str">
        <f>IFERROR(__xludf.DUMMYFUNCTION("""COMPUTED_VALUE"""),"")</f>
        <v/>
      </c>
      <c r="BF161" s="113" t="str">
        <f>IFERROR(__xludf.DUMMYFUNCTION("""COMPUTED_VALUE"""),"")</f>
        <v/>
      </c>
      <c r="BG161" s="111" t="str">
        <f>IFERROR(__xludf.DUMMYFUNCTION("""COMPUTED_VALUE"""),"")</f>
        <v/>
      </c>
      <c r="BH161" s="112" t="str">
        <f>IFERROR(__xludf.DUMMYFUNCTION("""COMPUTED_VALUE"""),"")</f>
        <v/>
      </c>
      <c r="BI161" s="113" t="str">
        <f>IFERROR(__xludf.DUMMYFUNCTION("""COMPUTED_VALUE"""),"")</f>
        <v/>
      </c>
      <c r="BJ161" s="112" t="str">
        <f>IFERROR(__xludf.DUMMYFUNCTION("""COMPUTED_VALUE"""),"")</f>
        <v/>
      </c>
      <c r="BK161" s="112" t="str">
        <f>IFERROR(__xludf.DUMMYFUNCTION("""COMPUTED_VALUE"""),"")</f>
        <v/>
      </c>
      <c r="BL161" s="113" t="str">
        <f>IFERROR(__xludf.DUMMYFUNCTION("""COMPUTED_VALUE"""),"")</f>
        <v/>
      </c>
      <c r="BM161" s="112" t="str">
        <f>IFERROR(__xludf.DUMMYFUNCTION("""COMPUTED_VALUE"""),"")</f>
        <v/>
      </c>
      <c r="BN161" s="112" t="str">
        <f>IFERROR(__xludf.DUMMYFUNCTION("""COMPUTED_VALUE"""),"")</f>
        <v/>
      </c>
      <c r="BO161" s="113" t="str">
        <f>IFERROR(__xludf.DUMMYFUNCTION("""COMPUTED_VALUE"""),"")</f>
        <v/>
      </c>
      <c r="BP161" s="112" t="str">
        <f>IFERROR(__xludf.DUMMYFUNCTION("""COMPUTED_VALUE"""),"")</f>
        <v/>
      </c>
      <c r="BQ161" s="112">
        <f>IFERROR(__xludf.DUMMYFUNCTION("""COMPUTED_VALUE"""),39.7)</f>
        <v>39.7</v>
      </c>
      <c r="BR161" s="113" t="str">
        <f>IFERROR(__xludf.DUMMYFUNCTION("""COMPUTED_VALUE"""),"")</f>
        <v/>
      </c>
      <c r="BS161" s="112" t="str">
        <f>IFERROR(__xludf.DUMMYFUNCTION("""COMPUTED_VALUE"""),"")</f>
        <v/>
      </c>
      <c r="BT161" s="112" t="str">
        <f>IFERROR(__xludf.DUMMYFUNCTION("""COMPUTED_VALUE"""),"")</f>
        <v/>
      </c>
      <c r="BU161" s="113" t="str">
        <f>IFERROR(__xludf.DUMMYFUNCTION("""COMPUTED_VALUE"""),"")</f>
        <v/>
      </c>
      <c r="BV161" s="112" t="str">
        <f>IFERROR(__xludf.DUMMYFUNCTION("""COMPUTED_VALUE"""),"")</f>
        <v/>
      </c>
      <c r="BW161" s="112" t="str">
        <f>IFERROR(__xludf.DUMMYFUNCTION("""COMPUTED_VALUE"""),"")</f>
        <v/>
      </c>
      <c r="BX161" s="113" t="str">
        <f>IFERROR(__xludf.DUMMYFUNCTION("""COMPUTED_VALUE"""),"")</f>
        <v/>
      </c>
      <c r="BY161" s="112" t="str">
        <f>IFERROR(__xludf.DUMMYFUNCTION("""COMPUTED_VALUE"""),"")</f>
        <v/>
      </c>
      <c r="BZ161" s="112" t="str">
        <f>IFERROR(__xludf.DUMMYFUNCTION("""COMPUTED_VALUE"""),"")</f>
        <v/>
      </c>
      <c r="CA161" s="113" t="str">
        <f>IFERROR(__xludf.DUMMYFUNCTION("""COMPUTED_VALUE"""),"")</f>
        <v/>
      </c>
      <c r="CB161" s="111" t="str">
        <f>IFERROR(__xludf.DUMMYFUNCTION("""COMPUTED_VALUE"""),"")</f>
        <v/>
      </c>
      <c r="CC161" s="112" t="str">
        <f>IFERROR(__xludf.DUMMYFUNCTION("""COMPUTED_VALUE"""),"")</f>
        <v/>
      </c>
      <c r="CD161" s="113" t="str">
        <f>IFERROR(__xludf.DUMMYFUNCTION("""COMPUTED_VALUE"""),"")</f>
        <v/>
      </c>
      <c r="CE161" s="112" t="str">
        <f>IFERROR(__xludf.DUMMYFUNCTION("""COMPUTED_VALUE"""),"")</f>
        <v/>
      </c>
      <c r="CF161" s="112" t="str">
        <f>IFERROR(__xludf.DUMMYFUNCTION("""COMPUTED_VALUE"""),"")</f>
        <v/>
      </c>
      <c r="CG161" s="113" t="str">
        <f>IFERROR(__xludf.DUMMYFUNCTION("""COMPUTED_VALUE"""),"")</f>
        <v/>
      </c>
      <c r="CH161" s="112" t="str">
        <f>IFERROR(__xludf.DUMMYFUNCTION("""COMPUTED_VALUE"""),"")</f>
        <v/>
      </c>
      <c r="CI161" s="112" t="str">
        <f>IFERROR(__xludf.DUMMYFUNCTION("""COMPUTED_VALUE"""),"")</f>
        <v/>
      </c>
      <c r="CJ161" s="113" t="str">
        <f>IFERROR(__xludf.DUMMYFUNCTION("""COMPUTED_VALUE"""),"")</f>
        <v/>
      </c>
      <c r="CK161" s="112" t="str">
        <f>IFERROR(__xludf.DUMMYFUNCTION("""COMPUTED_VALUE"""),"")</f>
        <v/>
      </c>
      <c r="CL161" s="112" t="str">
        <f>IFERROR(__xludf.DUMMYFUNCTION("""COMPUTED_VALUE"""),"")</f>
        <v/>
      </c>
      <c r="CM161" s="113" t="str">
        <f>IFERROR(__xludf.DUMMYFUNCTION("""COMPUTED_VALUE"""),"")</f>
        <v/>
      </c>
      <c r="CN161" s="112" t="str">
        <f>IFERROR(__xludf.DUMMYFUNCTION("""COMPUTED_VALUE"""),"")</f>
        <v/>
      </c>
      <c r="CO161" s="112" t="str">
        <f>IFERROR(__xludf.DUMMYFUNCTION("""COMPUTED_VALUE"""),"")</f>
        <v/>
      </c>
      <c r="CP161" s="113" t="str">
        <f>IFERROR(__xludf.DUMMYFUNCTION("""COMPUTED_VALUE"""),"")</f>
        <v/>
      </c>
      <c r="CQ161" s="112" t="str">
        <f>IFERROR(__xludf.DUMMYFUNCTION("""COMPUTED_VALUE"""),"")</f>
        <v/>
      </c>
      <c r="CR161" s="112" t="str">
        <f>IFERROR(__xludf.DUMMYFUNCTION("""COMPUTED_VALUE"""),"")</f>
        <v/>
      </c>
      <c r="CS161" s="113"/>
      <c r="CT161" s="112"/>
      <c r="CU161" s="112"/>
      <c r="CV161" s="113"/>
      <c r="CW161" s="112"/>
      <c r="CX161" s="112"/>
      <c r="CY161" s="113"/>
      <c r="CZ161" s="112"/>
      <c r="DA161" s="112"/>
      <c r="DB161" s="113"/>
      <c r="DC161" s="112"/>
      <c r="DD161" s="112"/>
      <c r="DE161" s="113"/>
      <c r="DF161" s="112"/>
      <c r="DG161" s="112"/>
      <c r="DH161" s="113"/>
      <c r="DI161" s="112"/>
      <c r="DJ161" s="112"/>
      <c r="DK161" s="113"/>
      <c r="DL161" s="112"/>
      <c r="DM161" s="112"/>
      <c r="DN161" s="113"/>
      <c r="DO161" s="112"/>
      <c r="DP161" s="112"/>
      <c r="DQ161" s="113"/>
      <c r="DR161" s="112"/>
      <c r="DS161" s="112"/>
      <c r="DT161" s="113"/>
    </row>
    <row r="162">
      <c r="B162" s="120" t="str">
        <f>IFERROR(__xludf.DUMMYFUNCTION("""COMPUTED_VALUE"""),"AGT12")</f>
        <v>AGT12</v>
      </c>
      <c r="C162" s="82">
        <f>IFERROR(__xludf.DUMMYFUNCTION("""COMPUTED_VALUE"""),153.0)</f>
        <v>153</v>
      </c>
      <c r="D162" s="88" t="str">
        <f>IFERROR(__xludf.DUMMYFUNCTION("""COMPUTED_VALUE"""),"Chasm in the Earth")</f>
        <v>Chasm in the Earth</v>
      </c>
      <c r="E162" s="82" t="str">
        <f>IFERROR(__xludf.DUMMYFUNCTION("""COMPUTED_VALUE"""),"大地の裂け目")</f>
        <v>大地の裂け目</v>
      </c>
      <c r="F162" s="102">
        <f>IFERROR(__xludf.DUMMYFUNCTION("""COMPUTED_VALUE"""),21.0)</f>
        <v>21</v>
      </c>
      <c r="G162" s="82">
        <f>IFERROR(__xludf.DUMMYFUNCTION("""COMPUTED_VALUE"""),1611.0)</f>
        <v>1611</v>
      </c>
      <c r="H162" s="95" t="str">
        <f>IFERROR(__xludf.DUMMYFUNCTION("""COMPUTED_VALUE"""),"")</f>
        <v/>
      </c>
      <c r="I162" s="96" t="str">
        <f>IFERROR(__xludf.DUMMYFUNCTION("""COMPUTED_VALUE"""),"")</f>
        <v/>
      </c>
      <c r="J162" s="97" t="str">
        <f>IFERROR(__xludf.DUMMYFUNCTION("""COMPUTED_VALUE"""),"")</f>
        <v/>
      </c>
      <c r="K162" s="95" t="str">
        <f>IFERROR(__xludf.DUMMYFUNCTION("""COMPUTED_VALUE"""),"")</f>
        <v/>
      </c>
      <c r="L162" s="96" t="str">
        <f>IFERROR(__xludf.DUMMYFUNCTION("""COMPUTED_VALUE"""),"")</f>
        <v/>
      </c>
      <c r="M162" s="97" t="str">
        <f>IFERROR(__xludf.DUMMYFUNCTION("""COMPUTED_VALUE"""),"")</f>
        <v/>
      </c>
      <c r="N162" s="95" t="str">
        <f>IFERROR(__xludf.DUMMYFUNCTION("""COMPUTED_VALUE"""),"")</f>
        <v/>
      </c>
      <c r="O162" s="96" t="str">
        <f>IFERROR(__xludf.DUMMYFUNCTION("""COMPUTED_VALUE"""),"")</f>
        <v/>
      </c>
      <c r="P162" s="97" t="str">
        <f>IFERROR(__xludf.DUMMYFUNCTION("""COMPUTED_VALUE"""),"")</f>
        <v/>
      </c>
      <c r="Q162" s="95" t="str">
        <f>IFERROR(__xludf.DUMMYFUNCTION("""COMPUTED_VALUE"""),"")</f>
        <v/>
      </c>
      <c r="R162" s="96" t="str">
        <f>IFERROR(__xludf.DUMMYFUNCTION("""COMPUTED_VALUE"""),"")</f>
        <v/>
      </c>
      <c r="S162" s="97" t="str">
        <f>IFERROR(__xludf.DUMMYFUNCTION("""COMPUTED_VALUE"""),"")</f>
        <v/>
      </c>
      <c r="T162" s="95" t="str">
        <f>IFERROR(__xludf.DUMMYFUNCTION("""COMPUTED_VALUE"""),"")</f>
        <v/>
      </c>
      <c r="U162" s="96" t="str">
        <f>IFERROR(__xludf.DUMMYFUNCTION("""COMPUTED_VALUE"""),"")</f>
        <v/>
      </c>
      <c r="V162" s="97" t="str">
        <f>IFERROR(__xludf.DUMMYFUNCTION("""COMPUTED_VALUE"""),"")</f>
        <v/>
      </c>
      <c r="W162" s="95" t="str">
        <f>IFERROR(__xludf.DUMMYFUNCTION("""COMPUTED_VALUE"""),"")</f>
        <v/>
      </c>
      <c r="X162" s="96" t="str">
        <f>IFERROR(__xludf.DUMMYFUNCTION("""COMPUTED_VALUE"""),"")</f>
        <v/>
      </c>
      <c r="Y162" s="97" t="str">
        <f>IFERROR(__xludf.DUMMYFUNCTION("""COMPUTED_VALUE"""),"")</f>
        <v/>
      </c>
      <c r="Z162" s="95" t="str">
        <f>IFERROR(__xludf.DUMMYFUNCTION("""COMPUTED_VALUE"""),"")</f>
        <v/>
      </c>
      <c r="AA162" s="96" t="str">
        <f>IFERROR(__xludf.DUMMYFUNCTION("""COMPUTED_VALUE"""),"")</f>
        <v/>
      </c>
      <c r="AB162" s="97" t="str">
        <f>IFERROR(__xludf.DUMMYFUNCTION("""COMPUTED_VALUE"""),"")</f>
        <v/>
      </c>
      <c r="AC162" s="95">
        <f>IFERROR(__xludf.DUMMYFUNCTION("""COMPUTED_VALUE"""),52.7)</f>
        <v>52.7</v>
      </c>
      <c r="AD162" s="96" t="str">
        <f>IFERROR(__xludf.DUMMYFUNCTION("""COMPUTED_VALUE"""),"")</f>
        <v/>
      </c>
      <c r="AE162" s="97" t="str">
        <f>IFERROR(__xludf.DUMMYFUNCTION("""COMPUTED_VALUE"""),"")</f>
        <v/>
      </c>
      <c r="AF162" s="95" t="str">
        <f>IFERROR(__xludf.DUMMYFUNCTION("""COMPUTED_VALUE"""),"")</f>
        <v/>
      </c>
      <c r="AG162" s="96" t="str">
        <f>IFERROR(__xludf.DUMMYFUNCTION("""COMPUTED_VALUE"""),"")</f>
        <v/>
      </c>
      <c r="AH162" s="97" t="str">
        <f>IFERROR(__xludf.DUMMYFUNCTION("""COMPUTED_VALUE"""),"")</f>
        <v/>
      </c>
      <c r="AI162" s="92" t="str">
        <f>IFERROR(__xludf.DUMMYFUNCTION("""COMPUTED_VALUE"""),"")</f>
        <v/>
      </c>
      <c r="AJ162" s="93" t="str">
        <f>IFERROR(__xludf.DUMMYFUNCTION("""COMPUTED_VALUE"""),"")</f>
        <v/>
      </c>
      <c r="AK162" s="94" t="str">
        <f>IFERROR(__xludf.DUMMYFUNCTION("""COMPUTED_VALUE"""),"")</f>
        <v/>
      </c>
      <c r="AL162" s="93" t="str">
        <f>IFERROR(__xludf.DUMMYFUNCTION("""COMPUTED_VALUE"""),"")</f>
        <v/>
      </c>
      <c r="AM162" s="93" t="str">
        <f>IFERROR(__xludf.DUMMYFUNCTION("""COMPUTED_VALUE"""),"")</f>
        <v/>
      </c>
      <c r="AN162" s="94" t="str">
        <f>IFERROR(__xludf.DUMMYFUNCTION("""COMPUTED_VALUE"""),"")</f>
        <v/>
      </c>
      <c r="AO162" s="93" t="str">
        <f>IFERROR(__xludf.DUMMYFUNCTION("""COMPUTED_VALUE"""),"")</f>
        <v/>
      </c>
      <c r="AP162" s="93" t="str">
        <f>IFERROR(__xludf.DUMMYFUNCTION("""COMPUTED_VALUE"""),"")</f>
        <v/>
      </c>
      <c r="AQ162" s="94" t="str">
        <f>IFERROR(__xludf.DUMMYFUNCTION("""COMPUTED_VALUE"""),"")</f>
        <v/>
      </c>
      <c r="AR162" s="93" t="str">
        <f>IFERROR(__xludf.DUMMYFUNCTION("""COMPUTED_VALUE"""),"")</f>
        <v/>
      </c>
      <c r="AS162" s="93" t="str">
        <f>IFERROR(__xludf.DUMMYFUNCTION("""COMPUTED_VALUE"""),"")</f>
        <v/>
      </c>
      <c r="AT162" s="94" t="str">
        <f>IFERROR(__xludf.DUMMYFUNCTION("""COMPUTED_VALUE"""),"")</f>
        <v/>
      </c>
      <c r="AU162" s="93" t="str">
        <f>IFERROR(__xludf.DUMMYFUNCTION("""COMPUTED_VALUE"""),"")</f>
        <v/>
      </c>
      <c r="AV162" s="93" t="str">
        <f>IFERROR(__xludf.DUMMYFUNCTION("""COMPUTED_VALUE"""),"")</f>
        <v/>
      </c>
      <c r="AW162" s="94" t="str">
        <f>IFERROR(__xludf.DUMMYFUNCTION("""COMPUTED_VALUE"""),"")</f>
        <v/>
      </c>
      <c r="AX162" s="93" t="str">
        <f>IFERROR(__xludf.DUMMYFUNCTION("""COMPUTED_VALUE"""),"")</f>
        <v/>
      </c>
      <c r="AY162" s="93" t="str">
        <f>IFERROR(__xludf.DUMMYFUNCTION("""COMPUTED_VALUE"""),"")</f>
        <v/>
      </c>
      <c r="AZ162" s="94" t="str">
        <f>IFERROR(__xludf.DUMMYFUNCTION("""COMPUTED_VALUE"""),"")</f>
        <v/>
      </c>
      <c r="BA162" s="93" t="str">
        <f>IFERROR(__xludf.DUMMYFUNCTION("""COMPUTED_VALUE"""),"")</f>
        <v/>
      </c>
      <c r="BB162" s="93" t="str">
        <f>IFERROR(__xludf.DUMMYFUNCTION("""COMPUTED_VALUE"""),"")</f>
        <v/>
      </c>
      <c r="BC162" s="146" t="str">
        <f>IFERROR(__xludf.DUMMYFUNCTION("""COMPUTED_VALUE"""),"")</f>
        <v/>
      </c>
      <c r="BD162" s="93" t="str">
        <f>IFERROR(__xludf.DUMMYFUNCTION("""COMPUTED_VALUE"""),"")</f>
        <v/>
      </c>
      <c r="BE162" s="93" t="str">
        <f>IFERROR(__xludf.DUMMYFUNCTION("""COMPUTED_VALUE"""),"")</f>
        <v/>
      </c>
      <c r="BF162" s="94" t="str">
        <f>IFERROR(__xludf.DUMMYFUNCTION("""COMPUTED_VALUE"""),"")</f>
        <v/>
      </c>
      <c r="BG162" s="92">
        <f>IFERROR(__xludf.DUMMYFUNCTION("""COMPUTED_VALUE"""),681.8)</f>
        <v>681.8</v>
      </c>
      <c r="BH162" s="93" t="str">
        <f>IFERROR(__xludf.DUMMYFUNCTION("""COMPUTED_VALUE"""),"")</f>
        <v/>
      </c>
      <c r="BI162" s="94" t="str">
        <f>IFERROR(__xludf.DUMMYFUNCTION("""COMPUTED_VALUE"""),"")</f>
        <v/>
      </c>
      <c r="BJ162" s="93" t="str">
        <f>IFERROR(__xludf.DUMMYFUNCTION("""COMPUTED_VALUE"""),"")</f>
        <v/>
      </c>
      <c r="BK162" s="93" t="str">
        <f>IFERROR(__xludf.DUMMYFUNCTION("""COMPUTED_VALUE"""),"")</f>
        <v/>
      </c>
      <c r="BL162" s="94" t="str">
        <f>IFERROR(__xludf.DUMMYFUNCTION("""COMPUTED_VALUE"""),"")</f>
        <v/>
      </c>
      <c r="BM162" s="93" t="str">
        <f>IFERROR(__xludf.DUMMYFUNCTION("""COMPUTED_VALUE"""),"")</f>
        <v/>
      </c>
      <c r="BN162" s="93">
        <f>IFERROR(__xludf.DUMMYFUNCTION("""COMPUTED_VALUE"""),43.3)</f>
        <v>43.3</v>
      </c>
      <c r="BO162" s="94" t="str">
        <f>IFERROR(__xludf.DUMMYFUNCTION("""COMPUTED_VALUE"""),"")</f>
        <v/>
      </c>
      <c r="BP162" s="93" t="str">
        <f>IFERROR(__xludf.DUMMYFUNCTION("""COMPUTED_VALUE"""),"")</f>
        <v/>
      </c>
      <c r="BQ162" s="93" t="str">
        <f>IFERROR(__xludf.DUMMYFUNCTION("""COMPUTED_VALUE"""),"")</f>
        <v/>
      </c>
      <c r="BR162" s="94" t="str">
        <f>IFERROR(__xludf.DUMMYFUNCTION("""COMPUTED_VALUE"""),"")</f>
        <v/>
      </c>
      <c r="BS162" s="93" t="str">
        <f>IFERROR(__xludf.DUMMYFUNCTION("""COMPUTED_VALUE"""),"")</f>
        <v/>
      </c>
      <c r="BT162" s="93" t="str">
        <f>IFERROR(__xludf.DUMMYFUNCTION("""COMPUTED_VALUE"""),"")</f>
        <v/>
      </c>
      <c r="BU162" s="94" t="str">
        <f>IFERROR(__xludf.DUMMYFUNCTION("""COMPUTED_VALUE"""),"")</f>
        <v/>
      </c>
      <c r="BV162" s="93" t="str">
        <f>IFERROR(__xludf.DUMMYFUNCTION("""COMPUTED_VALUE"""),"")</f>
        <v/>
      </c>
      <c r="BW162" s="93" t="str">
        <f>IFERROR(__xludf.DUMMYFUNCTION("""COMPUTED_VALUE"""),"")</f>
        <v/>
      </c>
      <c r="BX162" s="94" t="str">
        <f>IFERROR(__xludf.DUMMYFUNCTION("""COMPUTED_VALUE"""),"")</f>
        <v/>
      </c>
      <c r="BY162" s="93" t="str">
        <f>IFERROR(__xludf.DUMMYFUNCTION("""COMPUTED_VALUE"""),"")</f>
        <v/>
      </c>
      <c r="BZ162" s="93" t="str">
        <f>IFERROR(__xludf.DUMMYFUNCTION("""COMPUTED_VALUE"""),"")</f>
        <v/>
      </c>
      <c r="CA162" s="94" t="str">
        <f>IFERROR(__xludf.DUMMYFUNCTION("""COMPUTED_VALUE"""),"")</f>
        <v/>
      </c>
      <c r="CB162" s="92" t="str">
        <f>IFERROR(__xludf.DUMMYFUNCTION("""COMPUTED_VALUE"""),"")</f>
        <v/>
      </c>
      <c r="CC162" s="93" t="str">
        <f>IFERROR(__xludf.DUMMYFUNCTION("""COMPUTED_VALUE"""),"")</f>
        <v/>
      </c>
      <c r="CD162" s="94" t="str">
        <f>IFERROR(__xludf.DUMMYFUNCTION("""COMPUTED_VALUE"""),"")</f>
        <v/>
      </c>
      <c r="CE162" s="93" t="str">
        <f>IFERROR(__xludf.DUMMYFUNCTION("""COMPUTED_VALUE"""),"")</f>
        <v/>
      </c>
      <c r="CF162" s="93" t="str">
        <f>IFERROR(__xludf.DUMMYFUNCTION("""COMPUTED_VALUE"""),"")</f>
        <v/>
      </c>
      <c r="CG162" s="94" t="str">
        <f>IFERROR(__xludf.DUMMYFUNCTION("""COMPUTED_VALUE"""),"")</f>
        <v/>
      </c>
      <c r="CH162" s="93" t="str">
        <f>IFERROR(__xludf.DUMMYFUNCTION("""COMPUTED_VALUE"""),"")</f>
        <v/>
      </c>
      <c r="CI162" s="93" t="str">
        <f>IFERROR(__xludf.DUMMYFUNCTION("""COMPUTED_VALUE"""),"")</f>
        <v/>
      </c>
      <c r="CJ162" s="94" t="str">
        <f>IFERROR(__xludf.DUMMYFUNCTION("""COMPUTED_VALUE"""),"")</f>
        <v/>
      </c>
      <c r="CK162" s="93" t="str">
        <f>IFERROR(__xludf.DUMMYFUNCTION("""COMPUTED_VALUE"""),"")</f>
        <v/>
      </c>
      <c r="CL162" s="93" t="str">
        <f>IFERROR(__xludf.DUMMYFUNCTION("""COMPUTED_VALUE"""),"")</f>
        <v/>
      </c>
      <c r="CM162" s="94" t="str">
        <f>IFERROR(__xludf.DUMMYFUNCTION("""COMPUTED_VALUE"""),"")</f>
        <v/>
      </c>
      <c r="CN162" s="93" t="str">
        <f>IFERROR(__xludf.DUMMYFUNCTION("""COMPUTED_VALUE"""),"")</f>
        <v/>
      </c>
      <c r="CO162" s="93" t="str">
        <f>IFERROR(__xludf.DUMMYFUNCTION("""COMPUTED_VALUE"""),"")</f>
        <v/>
      </c>
      <c r="CP162" s="94">
        <f>IFERROR(__xludf.DUMMYFUNCTION("""COMPUTED_VALUE"""),540.2)</f>
        <v>540.2</v>
      </c>
      <c r="CQ162" s="93" t="str">
        <f>IFERROR(__xludf.DUMMYFUNCTION("""COMPUTED_VALUE"""),"")</f>
        <v/>
      </c>
      <c r="CR162" s="93" t="str">
        <f>IFERROR(__xludf.DUMMYFUNCTION("""COMPUTED_VALUE"""),"")</f>
        <v/>
      </c>
      <c r="CS162" s="94"/>
      <c r="CT162" s="93"/>
      <c r="CU162" s="93"/>
      <c r="CV162" s="94"/>
      <c r="CW162" s="93"/>
      <c r="CX162" s="93"/>
      <c r="CY162" s="94"/>
      <c r="CZ162" s="93"/>
      <c r="DA162" s="93"/>
      <c r="DB162" s="94"/>
      <c r="DC162" s="93"/>
      <c r="DD162" s="93"/>
      <c r="DE162" s="94"/>
      <c r="DF162" s="93"/>
      <c r="DG162" s="93"/>
      <c r="DH162" s="94"/>
      <c r="DI162" s="93"/>
      <c r="DJ162" s="93"/>
      <c r="DK162" s="94"/>
      <c r="DL162" s="93"/>
      <c r="DM162" s="93"/>
      <c r="DN162" s="94"/>
      <c r="DO162" s="93"/>
      <c r="DP162" s="93"/>
      <c r="DQ162" s="94"/>
      <c r="DR162" s="93"/>
      <c r="DS162" s="93"/>
      <c r="DT162" s="94"/>
    </row>
    <row r="163">
      <c r="A163" s="155" t="str">
        <f>IFERROR(__xludf.DUMMYFUNCTION("""COMPUTED_VALUE"""),"SHIMOSA")</f>
        <v>SHIMOSA</v>
      </c>
      <c r="B163" s="120" t="str">
        <f>IFERROR(__xludf.DUMMYFUNCTION("""COMPUTED_VALUE"""),"SMS1")</f>
        <v>SMS1</v>
      </c>
      <c r="C163" s="82">
        <f>IFERROR(__xludf.DUMMYFUNCTION("""COMPUTED_VALUE"""),156.0)</f>
        <v>156</v>
      </c>
      <c r="D163" s="88" t="str">
        <f>IFERROR(__xludf.DUMMYFUNCTION("""COMPUTED_VALUE"""),"Rice Field")</f>
        <v>Rice Field</v>
      </c>
      <c r="E163" s="82" t="str">
        <f>IFERROR(__xludf.DUMMYFUNCTION("""COMPUTED_VALUE"""),"田んぼ")</f>
        <v>田んぼ</v>
      </c>
      <c r="F163" s="102">
        <f>IFERROR(__xludf.DUMMYFUNCTION("""COMPUTED_VALUE"""),20.0)</f>
        <v>20</v>
      </c>
      <c r="G163" s="82">
        <f>IFERROR(__xludf.DUMMYFUNCTION("""COMPUTED_VALUE"""),49597.0)</f>
        <v>49597</v>
      </c>
      <c r="H163" s="95" t="str">
        <f>IFERROR(__xludf.DUMMYFUNCTION("""COMPUTED_VALUE"""),"")</f>
        <v/>
      </c>
      <c r="I163" s="96" t="str">
        <f>IFERROR(__xludf.DUMMYFUNCTION("""COMPUTED_VALUE"""),"")</f>
        <v/>
      </c>
      <c r="J163" s="97" t="str">
        <f>IFERROR(__xludf.DUMMYFUNCTION("""COMPUTED_VALUE"""),"")</f>
        <v/>
      </c>
      <c r="K163" s="95" t="str">
        <f>IFERROR(__xludf.DUMMYFUNCTION("""COMPUTED_VALUE"""),"")</f>
        <v/>
      </c>
      <c r="L163" s="96" t="str">
        <f>IFERROR(__xludf.DUMMYFUNCTION("""COMPUTED_VALUE"""),"")</f>
        <v/>
      </c>
      <c r="M163" s="97" t="str">
        <f>IFERROR(__xludf.DUMMYFUNCTION("""COMPUTED_VALUE"""),"")</f>
        <v/>
      </c>
      <c r="N163" s="95" t="str">
        <f>IFERROR(__xludf.DUMMYFUNCTION("""COMPUTED_VALUE"""),"")</f>
        <v/>
      </c>
      <c r="O163" s="96" t="str">
        <f>IFERROR(__xludf.DUMMYFUNCTION("""COMPUTED_VALUE"""),"")</f>
        <v/>
      </c>
      <c r="P163" s="97" t="str">
        <f>IFERROR(__xludf.DUMMYFUNCTION("""COMPUTED_VALUE"""),"")</f>
        <v/>
      </c>
      <c r="Q163" s="95" t="str">
        <f>IFERROR(__xludf.DUMMYFUNCTION("""COMPUTED_VALUE"""),"")</f>
        <v/>
      </c>
      <c r="R163" s="96" t="str">
        <f>IFERROR(__xludf.DUMMYFUNCTION("""COMPUTED_VALUE"""),"")</f>
        <v/>
      </c>
      <c r="S163" s="97" t="str">
        <f>IFERROR(__xludf.DUMMYFUNCTION("""COMPUTED_VALUE"""),"")</f>
        <v/>
      </c>
      <c r="T163" s="95" t="str">
        <f>IFERROR(__xludf.DUMMYFUNCTION("""COMPUTED_VALUE"""),"")</f>
        <v/>
      </c>
      <c r="U163" s="96" t="str">
        <f>IFERROR(__xludf.DUMMYFUNCTION("""COMPUTED_VALUE"""),"")</f>
        <v/>
      </c>
      <c r="V163" s="97" t="str">
        <f>IFERROR(__xludf.DUMMYFUNCTION("""COMPUTED_VALUE"""),"")</f>
        <v/>
      </c>
      <c r="W163" s="95" t="str">
        <f>IFERROR(__xludf.DUMMYFUNCTION("""COMPUTED_VALUE"""),"")</f>
        <v/>
      </c>
      <c r="X163" s="96" t="str">
        <f>IFERROR(__xludf.DUMMYFUNCTION("""COMPUTED_VALUE"""),"")</f>
        <v/>
      </c>
      <c r="Y163" s="97" t="str">
        <f>IFERROR(__xludf.DUMMYFUNCTION("""COMPUTED_VALUE"""),"")</f>
        <v/>
      </c>
      <c r="Z163" s="95">
        <f>IFERROR(__xludf.DUMMYFUNCTION("""COMPUTED_VALUE"""),50.3)</f>
        <v>50.3</v>
      </c>
      <c r="AA163" s="96">
        <f>IFERROR(__xludf.DUMMYFUNCTION("""COMPUTED_VALUE"""),77.9)</f>
        <v>77.9</v>
      </c>
      <c r="AB163" s="97" t="str">
        <f>IFERROR(__xludf.DUMMYFUNCTION("""COMPUTED_VALUE"""),"")</f>
        <v/>
      </c>
      <c r="AC163" s="95" t="str">
        <f>IFERROR(__xludf.DUMMYFUNCTION("""COMPUTED_VALUE"""),"")</f>
        <v/>
      </c>
      <c r="AD163" s="96" t="str">
        <f>IFERROR(__xludf.DUMMYFUNCTION("""COMPUTED_VALUE"""),"")</f>
        <v/>
      </c>
      <c r="AE163" s="97" t="str">
        <f>IFERROR(__xludf.DUMMYFUNCTION("""COMPUTED_VALUE"""),"")</f>
        <v/>
      </c>
      <c r="AF163" s="95" t="str">
        <f>IFERROR(__xludf.DUMMYFUNCTION("""COMPUTED_VALUE"""),"")</f>
        <v/>
      </c>
      <c r="AG163" s="96" t="str">
        <f>IFERROR(__xludf.DUMMYFUNCTION("""COMPUTED_VALUE"""),"")</f>
        <v/>
      </c>
      <c r="AH163" s="97" t="str">
        <f>IFERROR(__xludf.DUMMYFUNCTION("""COMPUTED_VALUE"""),"")</f>
        <v/>
      </c>
      <c r="AI163" s="156" t="str">
        <f>IFERROR(__xludf.DUMMYFUNCTION("""COMPUTED_VALUE"""),"")</f>
        <v/>
      </c>
      <c r="AJ163" s="157" t="str">
        <f>IFERROR(__xludf.DUMMYFUNCTION("""COMPUTED_VALUE"""),"")</f>
        <v/>
      </c>
      <c r="AK163" s="158" t="str">
        <f>IFERROR(__xludf.DUMMYFUNCTION("""COMPUTED_VALUE"""),"")</f>
        <v/>
      </c>
      <c r="AL163" s="157" t="str">
        <f>IFERROR(__xludf.DUMMYFUNCTION("""COMPUTED_VALUE"""),"")</f>
        <v/>
      </c>
      <c r="AM163" s="157" t="str">
        <f>IFERROR(__xludf.DUMMYFUNCTION("""COMPUTED_VALUE"""),"")</f>
        <v/>
      </c>
      <c r="AN163" s="158" t="str">
        <f>IFERROR(__xludf.DUMMYFUNCTION("""COMPUTED_VALUE"""),"")</f>
        <v/>
      </c>
      <c r="AO163" s="157" t="str">
        <f>IFERROR(__xludf.DUMMYFUNCTION("""COMPUTED_VALUE"""),"")</f>
        <v/>
      </c>
      <c r="AP163" s="157" t="str">
        <f>IFERROR(__xludf.DUMMYFUNCTION("""COMPUTED_VALUE"""),"")</f>
        <v/>
      </c>
      <c r="AQ163" s="158" t="str">
        <f>IFERROR(__xludf.DUMMYFUNCTION("""COMPUTED_VALUE"""),"")</f>
        <v/>
      </c>
      <c r="AR163" s="157" t="str">
        <f>IFERROR(__xludf.DUMMYFUNCTION("""COMPUTED_VALUE"""),"")</f>
        <v/>
      </c>
      <c r="AS163" s="157" t="str">
        <f>IFERROR(__xludf.DUMMYFUNCTION("""COMPUTED_VALUE"""),"")</f>
        <v/>
      </c>
      <c r="AT163" s="158" t="str">
        <f>IFERROR(__xludf.DUMMYFUNCTION("""COMPUTED_VALUE"""),"")</f>
        <v/>
      </c>
      <c r="AU163" s="157" t="str">
        <f>IFERROR(__xludf.DUMMYFUNCTION("""COMPUTED_VALUE"""),"")</f>
        <v/>
      </c>
      <c r="AV163" s="157" t="str">
        <f>IFERROR(__xludf.DUMMYFUNCTION("""COMPUTED_VALUE"""),"")</f>
        <v/>
      </c>
      <c r="AW163" s="158" t="str">
        <f>IFERROR(__xludf.DUMMYFUNCTION("""COMPUTED_VALUE"""),"")</f>
        <v/>
      </c>
      <c r="AX163" s="157" t="str">
        <f>IFERROR(__xludf.DUMMYFUNCTION("""COMPUTED_VALUE"""),"")</f>
        <v/>
      </c>
      <c r="AY163" s="157" t="str">
        <f>IFERROR(__xludf.DUMMYFUNCTION("""COMPUTED_VALUE"""),"")</f>
        <v/>
      </c>
      <c r="AZ163" s="158" t="str">
        <f>IFERROR(__xludf.DUMMYFUNCTION("""COMPUTED_VALUE"""),"")</f>
        <v/>
      </c>
      <c r="BA163" s="157" t="str">
        <f>IFERROR(__xludf.DUMMYFUNCTION("""COMPUTED_VALUE"""),"")</f>
        <v/>
      </c>
      <c r="BB163" s="157" t="str">
        <f>IFERROR(__xludf.DUMMYFUNCTION("""COMPUTED_VALUE"""),"")</f>
        <v/>
      </c>
      <c r="BC163" s="158" t="str">
        <f>IFERROR(__xludf.DUMMYFUNCTION("""COMPUTED_VALUE"""),"")</f>
        <v/>
      </c>
      <c r="BD163" s="157" t="str">
        <f>IFERROR(__xludf.DUMMYFUNCTION("""COMPUTED_VALUE"""),"")</f>
        <v/>
      </c>
      <c r="BE163" s="157" t="str">
        <f>IFERROR(__xludf.DUMMYFUNCTION("""COMPUTED_VALUE"""),"")</f>
        <v/>
      </c>
      <c r="BF163" s="158" t="str">
        <f>IFERROR(__xludf.DUMMYFUNCTION("""COMPUTED_VALUE"""),"")</f>
        <v/>
      </c>
      <c r="BG163" s="156" t="str">
        <f>IFERROR(__xludf.DUMMYFUNCTION("""COMPUTED_VALUE"""),"")</f>
        <v/>
      </c>
      <c r="BH163" s="157" t="str">
        <f>IFERROR(__xludf.DUMMYFUNCTION("""COMPUTED_VALUE"""),"")</f>
        <v/>
      </c>
      <c r="BI163" s="158" t="str">
        <f>IFERROR(__xludf.DUMMYFUNCTION("""COMPUTED_VALUE"""),"")</f>
        <v/>
      </c>
      <c r="BJ163" s="157" t="str">
        <f>IFERROR(__xludf.DUMMYFUNCTION("""COMPUTED_VALUE"""),"")</f>
        <v/>
      </c>
      <c r="BK163" s="157" t="str">
        <f>IFERROR(__xludf.DUMMYFUNCTION("""COMPUTED_VALUE"""),"")</f>
        <v/>
      </c>
      <c r="BL163" s="158" t="str">
        <f>IFERROR(__xludf.DUMMYFUNCTION("""COMPUTED_VALUE"""),"")</f>
        <v/>
      </c>
      <c r="BM163" s="157" t="str">
        <f>IFERROR(__xludf.DUMMYFUNCTION("""COMPUTED_VALUE"""),"")</f>
        <v/>
      </c>
      <c r="BN163" s="157" t="str">
        <f>IFERROR(__xludf.DUMMYFUNCTION("""COMPUTED_VALUE"""),"")</f>
        <v/>
      </c>
      <c r="BO163" s="158" t="str">
        <f>IFERROR(__xludf.DUMMYFUNCTION("""COMPUTED_VALUE"""),"")</f>
        <v/>
      </c>
      <c r="BP163" s="157" t="str">
        <f>IFERROR(__xludf.DUMMYFUNCTION("""COMPUTED_VALUE"""),"")</f>
        <v/>
      </c>
      <c r="BQ163" s="157" t="str">
        <f>IFERROR(__xludf.DUMMYFUNCTION("""COMPUTED_VALUE"""),"")</f>
        <v/>
      </c>
      <c r="BR163" s="158" t="str">
        <f>IFERROR(__xludf.DUMMYFUNCTION("""COMPUTED_VALUE"""),"")</f>
        <v/>
      </c>
      <c r="BS163" s="157">
        <f>IFERROR(__xludf.DUMMYFUNCTION("""COMPUTED_VALUE"""),80.0)</f>
        <v>80</v>
      </c>
      <c r="BT163" s="157" t="str">
        <f>IFERROR(__xludf.DUMMYFUNCTION("""COMPUTED_VALUE"""),"")</f>
        <v/>
      </c>
      <c r="BU163" s="158" t="str">
        <f>IFERROR(__xludf.DUMMYFUNCTION("""COMPUTED_VALUE"""),"")</f>
        <v/>
      </c>
      <c r="BV163" s="157">
        <f>IFERROR(__xludf.DUMMYFUNCTION("""COMPUTED_VALUE"""),62.4)</f>
        <v>62.4</v>
      </c>
      <c r="BW163" s="157" t="str">
        <f>IFERROR(__xludf.DUMMYFUNCTION("""COMPUTED_VALUE"""),"")</f>
        <v/>
      </c>
      <c r="BX163" s="158" t="str">
        <f>IFERROR(__xludf.DUMMYFUNCTION("""COMPUTED_VALUE"""),"")</f>
        <v/>
      </c>
      <c r="BY163" s="157" t="str">
        <f>IFERROR(__xludf.DUMMYFUNCTION("""COMPUTED_VALUE"""),"")</f>
        <v/>
      </c>
      <c r="BZ163" s="157" t="str">
        <f>IFERROR(__xludf.DUMMYFUNCTION("""COMPUTED_VALUE"""),"")</f>
        <v/>
      </c>
      <c r="CA163" s="158" t="str">
        <f>IFERROR(__xludf.DUMMYFUNCTION("""COMPUTED_VALUE"""),"")</f>
        <v/>
      </c>
      <c r="CB163" s="156" t="str">
        <f>IFERROR(__xludf.DUMMYFUNCTION("""COMPUTED_VALUE"""),"")</f>
        <v/>
      </c>
      <c r="CC163" s="157" t="str">
        <f>IFERROR(__xludf.DUMMYFUNCTION("""COMPUTED_VALUE"""),"")</f>
        <v/>
      </c>
      <c r="CD163" s="158" t="str">
        <f>IFERROR(__xludf.DUMMYFUNCTION("""COMPUTED_VALUE"""),"")</f>
        <v/>
      </c>
      <c r="CE163" s="157" t="str">
        <f>IFERROR(__xludf.DUMMYFUNCTION("""COMPUTED_VALUE"""),"")</f>
        <v/>
      </c>
      <c r="CF163" s="157" t="str">
        <f>IFERROR(__xludf.DUMMYFUNCTION("""COMPUTED_VALUE"""),"")</f>
        <v/>
      </c>
      <c r="CG163" s="158" t="str">
        <f>IFERROR(__xludf.DUMMYFUNCTION("""COMPUTED_VALUE"""),"")</f>
        <v/>
      </c>
      <c r="CH163" s="157" t="str">
        <f>IFERROR(__xludf.DUMMYFUNCTION("""COMPUTED_VALUE"""),"")</f>
        <v/>
      </c>
      <c r="CI163" s="157" t="str">
        <f>IFERROR(__xludf.DUMMYFUNCTION("""COMPUTED_VALUE"""),"")</f>
        <v/>
      </c>
      <c r="CJ163" s="158" t="str">
        <f>IFERROR(__xludf.DUMMYFUNCTION("""COMPUTED_VALUE"""),"")</f>
        <v/>
      </c>
      <c r="CK163" s="157" t="str">
        <f>IFERROR(__xludf.DUMMYFUNCTION("""COMPUTED_VALUE"""),"")</f>
        <v/>
      </c>
      <c r="CL163" s="157" t="str">
        <f>IFERROR(__xludf.DUMMYFUNCTION("""COMPUTED_VALUE"""),"")</f>
        <v/>
      </c>
      <c r="CM163" s="158" t="str">
        <f>IFERROR(__xludf.DUMMYFUNCTION("""COMPUTED_VALUE"""),"")</f>
        <v/>
      </c>
      <c r="CN163" s="157" t="str">
        <f>IFERROR(__xludf.DUMMYFUNCTION("""COMPUTED_VALUE"""),"")</f>
        <v/>
      </c>
      <c r="CO163" s="157" t="str">
        <f>IFERROR(__xludf.DUMMYFUNCTION("""COMPUTED_VALUE"""),"")</f>
        <v/>
      </c>
      <c r="CP163" s="158" t="str">
        <f>IFERROR(__xludf.DUMMYFUNCTION("""COMPUTED_VALUE"""),"")</f>
        <v/>
      </c>
      <c r="CQ163" s="157" t="str">
        <f>IFERROR(__xludf.DUMMYFUNCTION("""COMPUTED_VALUE"""),"")</f>
        <v/>
      </c>
      <c r="CR163" s="157" t="str">
        <f>IFERROR(__xludf.DUMMYFUNCTION("""COMPUTED_VALUE"""),"")</f>
        <v/>
      </c>
      <c r="CS163" s="158"/>
      <c r="CT163" s="157"/>
      <c r="CU163" s="157"/>
      <c r="CV163" s="158"/>
      <c r="CW163" s="157"/>
      <c r="CX163" s="157"/>
      <c r="CY163" s="158"/>
      <c r="CZ163" s="157"/>
      <c r="DA163" s="157"/>
      <c r="DB163" s="158"/>
      <c r="DC163" s="157"/>
      <c r="DD163" s="157"/>
      <c r="DE163" s="158"/>
      <c r="DF163" s="157"/>
      <c r="DG163" s="157"/>
      <c r="DH163" s="158"/>
      <c r="DI163" s="157"/>
      <c r="DJ163" s="157"/>
      <c r="DK163" s="158"/>
      <c r="DL163" s="157"/>
      <c r="DM163" s="157"/>
      <c r="DN163" s="158"/>
      <c r="DO163" s="157"/>
      <c r="DP163" s="157"/>
      <c r="DQ163" s="158"/>
      <c r="DR163" s="157"/>
      <c r="DS163" s="157"/>
      <c r="DT163" s="158"/>
    </row>
    <row r="164">
      <c r="B164" s="120" t="str">
        <f>IFERROR(__xludf.DUMMYFUNCTION("""COMPUTED_VALUE"""),"SMS2")</f>
        <v>SMS2</v>
      </c>
      <c r="C164" s="82">
        <f>IFERROR(__xludf.DUMMYFUNCTION("""COMPUTED_VALUE"""),157.0)</f>
        <v>157</v>
      </c>
      <c r="D164" s="88" t="str">
        <f>IFERROR(__xludf.DUMMYFUNCTION("""COMPUTED_VALUE"""),"Village")</f>
        <v>Village</v>
      </c>
      <c r="E164" s="82" t="str">
        <f>IFERROR(__xludf.DUMMYFUNCTION("""COMPUTED_VALUE"""),"里")</f>
        <v>里</v>
      </c>
      <c r="F164" s="102">
        <f>IFERROR(__xludf.DUMMYFUNCTION("""COMPUTED_VALUE"""),21.0)</f>
        <v>21</v>
      </c>
      <c r="G164" s="82">
        <f>IFERROR(__xludf.DUMMYFUNCTION("""COMPUTED_VALUE"""),26324.0)</f>
        <v>26324</v>
      </c>
      <c r="H164" s="95" t="str">
        <f>IFERROR(__xludf.DUMMYFUNCTION("""COMPUTED_VALUE"""),"")</f>
        <v/>
      </c>
      <c r="I164" s="96" t="str">
        <f>IFERROR(__xludf.DUMMYFUNCTION("""COMPUTED_VALUE"""),"")</f>
        <v/>
      </c>
      <c r="J164" s="97" t="str">
        <f>IFERROR(__xludf.DUMMYFUNCTION("""COMPUTED_VALUE"""),"")</f>
        <v/>
      </c>
      <c r="K164" s="95" t="str">
        <f>IFERROR(__xludf.DUMMYFUNCTION("""COMPUTED_VALUE"""),"")</f>
        <v/>
      </c>
      <c r="L164" s="96" t="str">
        <f>IFERROR(__xludf.DUMMYFUNCTION("""COMPUTED_VALUE"""),"")</f>
        <v/>
      </c>
      <c r="M164" s="97" t="str">
        <f>IFERROR(__xludf.DUMMYFUNCTION("""COMPUTED_VALUE"""),"")</f>
        <v/>
      </c>
      <c r="N164" s="95" t="str">
        <f>IFERROR(__xludf.DUMMYFUNCTION("""COMPUTED_VALUE"""),"")</f>
        <v/>
      </c>
      <c r="O164" s="96" t="str">
        <f>IFERROR(__xludf.DUMMYFUNCTION("""COMPUTED_VALUE"""),"")</f>
        <v/>
      </c>
      <c r="P164" s="97" t="str">
        <f>IFERROR(__xludf.DUMMYFUNCTION("""COMPUTED_VALUE"""),"")</f>
        <v/>
      </c>
      <c r="Q164" s="95" t="str">
        <f>IFERROR(__xludf.DUMMYFUNCTION("""COMPUTED_VALUE"""),"")</f>
        <v/>
      </c>
      <c r="R164" s="96" t="str">
        <f>IFERROR(__xludf.DUMMYFUNCTION("""COMPUTED_VALUE"""),"")</f>
        <v/>
      </c>
      <c r="S164" s="97" t="str">
        <f>IFERROR(__xludf.DUMMYFUNCTION("""COMPUTED_VALUE"""),"")</f>
        <v/>
      </c>
      <c r="T164" s="95" t="str">
        <f>IFERROR(__xludf.DUMMYFUNCTION("""COMPUTED_VALUE"""),"")</f>
        <v/>
      </c>
      <c r="U164" s="96" t="str">
        <f>IFERROR(__xludf.DUMMYFUNCTION("""COMPUTED_VALUE"""),"")</f>
        <v/>
      </c>
      <c r="V164" s="97" t="str">
        <f>IFERROR(__xludf.DUMMYFUNCTION("""COMPUTED_VALUE"""),"")</f>
        <v/>
      </c>
      <c r="W164" s="95" t="str">
        <f>IFERROR(__xludf.DUMMYFUNCTION("""COMPUTED_VALUE"""),"")</f>
        <v/>
      </c>
      <c r="X164" s="96" t="str">
        <f>IFERROR(__xludf.DUMMYFUNCTION("""COMPUTED_VALUE"""),"")</f>
        <v/>
      </c>
      <c r="Y164" s="97" t="str">
        <f>IFERROR(__xludf.DUMMYFUNCTION("""COMPUTED_VALUE"""),"")</f>
        <v/>
      </c>
      <c r="Z164" s="95">
        <f>IFERROR(__xludf.DUMMYFUNCTION("""COMPUTED_VALUE"""),59.6)</f>
        <v>59.6</v>
      </c>
      <c r="AA164" s="96" t="str">
        <f>IFERROR(__xludf.DUMMYFUNCTION("""COMPUTED_VALUE"""),"")</f>
        <v/>
      </c>
      <c r="AB164" s="97" t="str">
        <f>IFERROR(__xludf.DUMMYFUNCTION("""COMPUTED_VALUE"""),"")</f>
        <v/>
      </c>
      <c r="AC164" s="95" t="str">
        <f>IFERROR(__xludf.DUMMYFUNCTION("""COMPUTED_VALUE"""),"")</f>
        <v/>
      </c>
      <c r="AD164" s="96" t="str">
        <f>IFERROR(__xludf.DUMMYFUNCTION("""COMPUTED_VALUE"""),"")</f>
        <v/>
      </c>
      <c r="AE164" s="97" t="str">
        <f>IFERROR(__xludf.DUMMYFUNCTION("""COMPUTED_VALUE"""),"")</f>
        <v/>
      </c>
      <c r="AF164" s="95" t="str">
        <f>IFERROR(__xludf.DUMMYFUNCTION("""COMPUTED_VALUE"""),"")</f>
        <v/>
      </c>
      <c r="AG164" s="96" t="str">
        <f>IFERROR(__xludf.DUMMYFUNCTION("""COMPUTED_VALUE"""),"")</f>
        <v/>
      </c>
      <c r="AH164" s="97" t="str">
        <f>IFERROR(__xludf.DUMMYFUNCTION("""COMPUTED_VALUE"""),"")</f>
        <v/>
      </c>
      <c r="AI164" s="92" t="str">
        <f>IFERROR(__xludf.DUMMYFUNCTION("""COMPUTED_VALUE"""),"")</f>
        <v/>
      </c>
      <c r="AJ164" s="93" t="str">
        <f>IFERROR(__xludf.DUMMYFUNCTION("""COMPUTED_VALUE"""),"")</f>
        <v/>
      </c>
      <c r="AK164" s="94">
        <f>IFERROR(__xludf.DUMMYFUNCTION("""COMPUTED_VALUE"""),82.5)</f>
        <v>82.5</v>
      </c>
      <c r="AL164" s="93" t="str">
        <f>IFERROR(__xludf.DUMMYFUNCTION("""COMPUTED_VALUE"""),"")</f>
        <v/>
      </c>
      <c r="AM164" s="93" t="str">
        <f>IFERROR(__xludf.DUMMYFUNCTION("""COMPUTED_VALUE"""),"")</f>
        <v/>
      </c>
      <c r="AN164" s="94" t="str">
        <f>IFERROR(__xludf.DUMMYFUNCTION("""COMPUTED_VALUE"""),"")</f>
        <v/>
      </c>
      <c r="AO164" s="93" t="str">
        <f>IFERROR(__xludf.DUMMYFUNCTION("""COMPUTED_VALUE"""),"")</f>
        <v/>
      </c>
      <c r="AP164" s="93" t="str">
        <f>IFERROR(__xludf.DUMMYFUNCTION("""COMPUTED_VALUE"""),"")</f>
        <v/>
      </c>
      <c r="AQ164" s="94" t="str">
        <f>IFERROR(__xludf.DUMMYFUNCTION("""COMPUTED_VALUE"""),"")</f>
        <v/>
      </c>
      <c r="AR164" s="93" t="str">
        <f>IFERROR(__xludf.DUMMYFUNCTION("""COMPUTED_VALUE"""),"")</f>
        <v/>
      </c>
      <c r="AS164" s="93" t="str">
        <f>IFERROR(__xludf.DUMMYFUNCTION("""COMPUTED_VALUE"""),"")</f>
        <v/>
      </c>
      <c r="AT164" s="94" t="str">
        <f>IFERROR(__xludf.DUMMYFUNCTION("""COMPUTED_VALUE"""),"")</f>
        <v/>
      </c>
      <c r="AU164" s="93" t="str">
        <f>IFERROR(__xludf.DUMMYFUNCTION("""COMPUTED_VALUE"""),"")</f>
        <v/>
      </c>
      <c r="AV164" s="93" t="str">
        <f>IFERROR(__xludf.DUMMYFUNCTION("""COMPUTED_VALUE"""),"")</f>
        <v/>
      </c>
      <c r="AW164" s="94">
        <f>IFERROR(__xludf.DUMMYFUNCTION("""COMPUTED_VALUE"""),69.2)</f>
        <v>69.2</v>
      </c>
      <c r="AX164" s="93" t="str">
        <f>IFERROR(__xludf.DUMMYFUNCTION("""COMPUTED_VALUE"""),"")</f>
        <v/>
      </c>
      <c r="AY164" s="93" t="str">
        <f>IFERROR(__xludf.DUMMYFUNCTION("""COMPUTED_VALUE"""),"")</f>
        <v/>
      </c>
      <c r="AZ164" s="94" t="str">
        <f>IFERROR(__xludf.DUMMYFUNCTION("""COMPUTED_VALUE"""),"")</f>
        <v/>
      </c>
      <c r="BA164" s="93" t="str">
        <f>IFERROR(__xludf.DUMMYFUNCTION("""COMPUTED_VALUE"""),"")</f>
        <v/>
      </c>
      <c r="BB164" s="93" t="str">
        <f>IFERROR(__xludf.DUMMYFUNCTION("""COMPUTED_VALUE"""),"")</f>
        <v/>
      </c>
      <c r="BC164" s="94" t="str">
        <f>IFERROR(__xludf.DUMMYFUNCTION("""COMPUTED_VALUE"""),"")</f>
        <v/>
      </c>
      <c r="BD164" s="93" t="str">
        <f>IFERROR(__xludf.DUMMYFUNCTION("""COMPUTED_VALUE"""),"")</f>
        <v/>
      </c>
      <c r="BE164" s="93" t="str">
        <f>IFERROR(__xludf.DUMMYFUNCTION("""COMPUTED_VALUE"""),"")</f>
        <v/>
      </c>
      <c r="BF164" s="94" t="str">
        <f>IFERROR(__xludf.DUMMYFUNCTION("""COMPUTED_VALUE"""),"")</f>
        <v/>
      </c>
      <c r="BG164" s="92" t="str">
        <f>IFERROR(__xludf.DUMMYFUNCTION("""COMPUTED_VALUE"""),"")</f>
        <v/>
      </c>
      <c r="BH164" s="114" t="str">
        <f>IFERROR(__xludf.DUMMYFUNCTION("""COMPUTED_VALUE"""),"")</f>
        <v/>
      </c>
      <c r="BI164" s="94" t="str">
        <f>IFERROR(__xludf.DUMMYFUNCTION("""COMPUTED_VALUE"""),"")</f>
        <v/>
      </c>
      <c r="BJ164" s="93">
        <f>IFERROR(__xludf.DUMMYFUNCTION("""COMPUTED_VALUE"""),119.4)</f>
        <v>119.4</v>
      </c>
      <c r="BK164" s="93" t="str">
        <f>IFERROR(__xludf.DUMMYFUNCTION("""COMPUTED_VALUE"""),"")</f>
        <v/>
      </c>
      <c r="BL164" s="94" t="str">
        <f>IFERROR(__xludf.DUMMYFUNCTION("""COMPUTED_VALUE"""),"")</f>
        <v/>
      </c>
      <c r="BM164" s="93" t="str">
        <f>IFERROR(__xludf.DUMMYFUNCTION("""COMPUTED_VALUE"""),"")</f>
        <v/>
      </c>
      <c r="BN164" s="93" t="str">
        <f>IFERROR(__xludf.DUMMYFUNCTION("""COMPUTED_VALUE"""),"")</f>
        <v/>
      </c>
      <c r="BO164" s="94" t="str">
        <f>IFERROR(__xludf.DUMMYFUNCTION("""COMPUTED_VALUE"""),"")</f>
        <v/>
      </c>
      <c r="BP164" s="93" t="str">
        <f>IFERROR(__xludf.DUMMYFUNCTION("""COMPUTED_VALUE"""),"")</f>
        <v/>
      </c>
      <c r="BQ164" s="93" t="str">
        <f>IFERROR(__xludf.DUMMYFUNCTION("""COMPUTED_VALUE"""),"")</f>
        <v/>
      </c>
      <c r="BR164" s="94" t="str">
        <f>IFERROR(__xludf.DUMMYFUNCTION("""COMPUTED_VALUE"""),"")</f>
        <v/>
      </c>
      <c r="BS164" s="93">
        <f>IFERROR(__xludf.DUMMYFUNCTION("""COMPUTED_VALUE"""),87.7)</f>
        <v>87.7</v>
      </c>
      <c r="BT164" s="93" t="str">
        <f>IFERROR(__xludf.DUMMYFUNCTION("""COMPUTED_VALUE"""),"")</f>
        <v/>
      </c>
      <c r="BU164" s="94" t="str">
        <f>IFERROR(__xludf.DUMMYFUNCTION("""COMPUTED_VALUE"""),"")</f>
        <v/>
      </c>
      <c r="BV164" s="93" t="str">
        <f>IFERROR(__xludf.DUMMYFUNCTION("""COMPUTED_VALUE"""),"")</f>
        <v/>
      </c>
      <c r="BW164" s="93" t="str">
        <f>IFERROR(__xludf.DUMMYFUNCTION("""COMPUTED_VALUE"""),"")</f>
        <v/>
      </c>
      <c r="BX164" s="94" t="str">
        <f>IFERROR(__xludf.DUMMYFUNCTION("""COMPUTED_VALUE"""),"")</f>
        <v/>
      </c>
      <c r="BY164" s="93" t="str">
        <f>IFERROR(__xludf.DUMMYFUNCTION("""COMPUTED_VALUE"""),"")</f>
        <v/>
      </c>
      <c r="BZ164" s="93" t="str">
        <f>IFERROR(__xludf.DUMMYFUNCTION("""COMPUTED_VALUE"""),"")</f>
        <v/>
      </c>
      <c r="CA164" s="94" t="str">
        <f>IFERROR(__xludf.DUMMYFUNCTION("""COMPUTED_VALUE"""),"")</f>
        <v/>
      </c>
      <c r="CB164" s="92" t="str">
        <f>IFERROR(__xludf.DUMMYFUNCTION("""COMPUTED_VALUE"""),"")</f>
        <v/>
      </c>
      <c r="CC164" s="114" t="str">
        <f>IFERROR(__xludf.DUMMYFUNCTION("""COMPUTED_VALUE"""),"")</f>
        <v/>
      </c>
      <c r="CD164" s="94" t="str">
        <f>IFERROR(__xludf.DUMMYFUNCTION("""COMPUTED_VALUE"""),"")</f>
        <v/>
      </c>
      <c r="CE164" s="93" t="str">
        <f>IFERROR(__xludf.DUMMYFUNCTION("""COMPUTED_VALUE"""),"")</f>
        <v/>
      </c>
      <c r="CF164" s="93" t="str">
        <f>IFERROR(__xludf.DUMMYFUNCTION("""COMPUTED_VALUE"""),"")</f>
        <v/>
      </c>
      <c r="CG164" s="94" t="str">
        <f>IFERROR(__xludf.DUMMYFUNCTION("""COMPUTED_VALUE"""),"")</f>
        <v/>
      </c>
      <c r="CH164" s="93" t="str">
        <f>IFERROR(__xludf.DUMMYFUNCTION("""COMPUTED_VALUE"""),"")</f>
        <v/>
      </c>
      <c r="CI164" s="93" t="str">
        <f>IFERROR(__xludf.DUMMYFUNCTION("""COMPUTED_VALUE"""),"")</f>
        <v/>
      </c>
      <c r="CJ164" s="94" t="str">
        <f>IFERROR(__xludf.DUMMYFUNCTION("""COMPUTED_VALUE"""),"")</f>
        <v/>
      </c>
      <c r="CK164" s="93" t="str">
        <f>IFERROR(__xludf.DUMMYFUNCTION("""COMPUTED_VALUE"""),"")</f>
        <v/>
      </c>
      <c r="CL164" s="93">
        <f>IFERROR(__xludf.DUMMYFUNCTION("""COMPUTED_VALUE"""),158.6)</f>
        <v>158.6</v>
      </c>
      <c r="CM164" s="94" t="str">
        <f>IFERROR(__xludf.DUMMYFUNCTION("""COMPUTED_VALUE"""),"")</f>
        <v/>
      </c>
      <c r="CN164" s="93" t="str">
        <f>IFERROR(__xludf.DUMMYFUNCTION("""COMPUTED_VALUE"""),"")</f>
        <v/>
      </c>
      <c r="CO164" s="93" t="str">
        <f>IFERROR(__xludf.DUMMYFUNCTION("""COMPUTED_VALUE"""),"")</f>
        <v/>
      </c>
      <c r="CP164" s="94" t="str">
        <f>IFERROR(__xludf.DUMMYFUNCTION("""COMPUTED_VALUE"""),"")</f>
        <v/>
      </c>
      <c r="CQ164" s="93" t="str">
        <f>IFERROR(__xludf.DUMMYFUNCTION("""COMPUTED_VALUE"""),"")</f>
        <v/>
      </c>
      <c r="CR164" s="93" t="str">
        <f>IFERROR(__xludf.DUMMYFUNCTION("""COMPUTED_VALUE"""),"")</f>
        <v/>
      </c>
      <c r="CS164" s="94"/>
      <c r="CT164" s="93"/>
      <c r="CU164" s="93"/>
      <c r="CV164" s="94"/>
      <c r="CW164" s="93"/>
      <c r="CX164" s="93"/>
      <c r="CY164" s="94"/>
      <c r="CZ164" s="93"/>
      <c r="DA164" s="93"/>
      <c r="DB164" s="94"/>
      <c r="DC164" s="93"/>
      <c r="DD164" s="93"/>
      <c r="DE164" s="94"/>
      <c r="DF164" s="93"/>
      <c r="DG164" s="93"/>
      <c r="DH164" s="94"/>
      <c r="DI164" s="93"/>
      <c r="DJ164" s="93"/>
      <c r="DK164" s="94"/>
      <c r="DL164" s="93"/>
      <c r="DM164" s="93"/>
      <c r="DN164" s="94"/>
      <c r="DO164" s="93"/>
      <c r="DP164" s="93"/>
      <c r="DQ164" s="94"/>
      <c r="DR164" s="93"/>
      <c r="DS164" s="93"/>
      <c r="DT164" s="94"/>
    </row>
    <row r="165">
      <c r="B165" s="120" t="str">
        <f>IFERROR(__xludf.DUMMYFUNCTION("""COMPUTED_VALUE"""),"SMS3")</f>
        <v>SMS3</v>
      </c>
      <c r="C165" s="82">
        <f>IFERROR(__xludf.DUMMYFUNCTION("""COMPUTED_VALUE"""),158.0)</f>
        <v>158</v>
      </c>
      <c r="D165" s="88" t="str">
        <f>IFERROR(__xludf.DUMMYFUNCTION("""COMPUTED_VALUE"""),"Monastery")</f>
        <v>Monastery</v>
      </c>
      <c r="E165" s="82" t="str">
        <f>IFERROR(__xludf.DUMMYFUNCTION("""COMPUTED_VALUE"""),"庵")</f>
        <v>庵</v>
      </c>
      <c r="F165" s="102">
        <f>IFERROR(__xludf.DUMMYFUNCTION("""COMPUTED_VALUE"""),21.0)</f>
        <v>21</v>
      </c>
      <c r="G165" s="82">
        <f>IFERROR(__xludf.DUMMYFUNCTION("""COMPUTED_VALUE"""),10300.0)</f>
        <v>10300</v>
      </c>
      <c r="H165" s="95" t="str">
        <f>IFERROR(__xludf.DUMMYFUNCTION("""COMPUTED_VALUE"""),"")</f>
        <v/>
      </c>
      <c r="I165" s="96" t="str">
        <f>IFERROR(__xludf.DUMMYFUNCTION("""COMPUTED_VALUE"""),"")</f>
        <v/>
      </c>
      <c r="J165" s="97" t="str">
        <f>IFERROR(__xludf.DUMMYFUNCTION("""COMPUTED_VALUE"""),"")</f>
        <v/>
      </c>
      <c r="K165" s="95" t="str">
        <f>IFERROR(__xludf.DUMMYFUNCTION("""COMPUTED_VALUE"""),"")</f>
        <v/>
      </c>
      <c r="L165" s="96" t="str">
        <f>IFERROR(__xludf.DUMMYFUNCTION("""COMPUTED_VALUE"""),"")</f>
        <v/>
      </c>
      <c r="M165" s="97" t="str">
        <f>IFERROR(__xludf.DUMMYFUNCTION("""COMPUTED_VALUE"""),"")</f>
        <v/>
      </c>
      <c r="N165" s="95" t="str">
        <f>IFERROR(__xludf.DUMMYFUNCTION("""COMPUTED_VALUE"""),"")</f>
        <v/>
      </c>
      <c r="O165" s="96" t="str">
        <f>IFERROR(__xludf.DUMMYFUNCTION("""COMPUTED_VALUE"""),"")</f>
        <v/>
      </c>
      <c r="P165" s="97" t="str">
        <f>IFERROR(__xludf.DUMMYFUNCTION("""COMPUTED_VALUE"""),"")</f>
        <v/>
      </c>
      <c r="Q165" s="95" t="str">
        <f>IFERROR(__xludf.DUMMYFUNCTION("""COMPUTED_VALUE"""),"")</f>
        <v/>
      </c>
      <c r="R165" s="96" t="str">
        <f>IFERROR(__xludf.DUMMYFUNCTION("""COMPUTED_VALUE"""),"")</f>
        <v/>
      </c>
      <c r="S165" s="97" t="str">
        <f>IFERROR(__xludf.DUMMYFUNCTION("""COMPUTED_VALUE"""),"")</f>
        <v/>
      </c>
      <c r="T165" s="95" t="str">
        <f>IFERROR(__xludf.DUMMYFUNCTION("""COMPUTED_VALUE"""),"")</f>
        <v/>
      </c>
      <c r="U165" s="96" t="str">
        <f>IFERROR(__xludf.DUMMYFUNCTION("""COMPUTED_VALUE"""),"")</f>
        <v/>
      </c>
      <c r="V165" s="97" t="str">
        <f>IFERROR(__xludf.DUMMYFUNCTION("""COMPUTED_VALUE"""),"")</f>
        <v/>
      </c>
      <c r="W165" s="95" t="str">
        <f>IFERROR(__xludf.DUMMYFUNCTION("""COMPUTED_VALUE"""),"")</f>
        <v/>
      </c>
      <c r="X165" s="96" t="str">
        <f>IFERROR(__xludf.DUMMYFUNCTION("""COMPUTED_VALUE"""),"")</f>
        <v/>
      </c>
      <c r="Y165" s="97" t="str">
        <f>IFERROR(__xludf.DUMMYFUNCTION("""COMPUTED_VALUE"""),"")</f>
        <v/>
      </c>
      <c r="Z165" s="95" t="str">
        <f>IFERROR(__xludf.DUMMYFUNCTION("""COMPUTED_VALUE"""),"")</f>
        <v/>
      </c>
      <c r="AA165" s="96">
        <f>IFERROR(__xludf.DUMMYFUNCTION("""COMPUTED_VALUE"""),83.4)</f>
        <v>83.4</v>
      </c>
      <c r="AB165" s="97" t="str">
        <f>IFERROR(__xludf.DUMMYFUNCTION("""COMPUTED_VALUE"""),"")</f>
        <v/>
      </c>
      <c r="AC165" s="95" t="str">
        <f>IFERROR(__xludf.DUMMYFUNCTION("""COMPUTED_VALUE"""),"")</f>
        <v/>
      </c>
      <c r="AD165" s="96" t="str">
        <f>IFERROR(__xludf.DUMMYFUNCTION("""COMPUTED_VALUE"""),"")</f>
        <v/>
      </c>
      <c r="AE165" s="97" t="str">
        <f>IFERROR(__xludf.DUMMYFUNCTION("""COMPUTED_VALUE"""),"")</f>
        <v/>
      </c>
      <c r="AF165" s="95" t="str">
        <f>IFERROR(__xludf.DUMMYFUNCTION("""COMPUTED_VALUE"""),"")</f>
        <v/>
      </c>
      <c r="AG165" s="96" t="str">
        <f>IFERROR(__xludf.DUMMYFUNCTION("""COMPUTED_VALUE"""),"")</f>
        <v/>
      </c>
      <c r="AH165" s="97" t="str">
        <f>IFERROR(__xludf.DUMMYFUNCTION("""COMPUTED_VALUE"""),"")</f>
        <v/>
      </c>
      <c r="AI165" s="156" t="str">
        <f>IFERROR(__xludf.DUMMYFUNCTION("""COMPUTED_VALUE"""),"")</f>
        <v/>
      </c>
      <c r="AJ165" s="157" t="str">
        <f>IFERROR(__xludf.DUMMYFUNCTION("""COMPUTED_VALUE"""),"")</f>
        <v/>
      </c>
      <c r="AK165" s="158">
        <f>IFERROR(__xludf.DUMMYFUNCTION("""COMPUTED_VALUE"""),83.4)</f>
        <v>83.4</v>
      </c>
      <c r="AL165" s="157" t="str">
        <f>IFERROR(__xludf.DUMMYFUNCTION("""COMPUTED_VALUE"""),"")</f>
        <v/>
      </c>
      <c r="AM165" s="157" t="str">
        <f>IFERROR(__xludf.DUMMYFUNCTION("""COMPUTED_VALUE"""),"")</f>
        <v/>
      </c>
      <c r="AN165" s="158" t="str">
        <f>IFERROR(__xludf.DUMMYFUNCTION("""COMPUTED_VALUE"""),"")</f>
        <v/>
      </c>
      <c r="AO165" s="157" t="str">
        <f>IFERROR(__xludf.DUMMYFUNCTION("""COMPUTED_VALUE"""),"")</f>
        <v/>
      </c>
      <c r="AP165" s="157" t="str">
        <f>IFERROR(__xludf.DUMMYFUNCTION("""COMPUTED_VALUE"""),"")</f>
        <v/>
      </c>
      <c r="AQ165" s="158" t="str">
        <f>IFERROR(__xludf.DUMMYFUNCTION("""COMPUTED_VALUE"""),"")</f>
        <v/>
      </c>
      <c r="AR165" s="157" t="str">
        <f>IFERROR(__xludf.DUMMYFUNCTION("""COMPUTED_VALUE"""),"")</f>
        <v/>
      </c>
      <c r="AS165" s="157" t="str">
        <f>IFERROR(__xludf.DUMMYFUNCTION("""COMPUTED_VALUE"""),"")</f>
        <v/>
      </c>
      <c r="AT165" s="158" t="str">
        <f>IFERROR(__xludf.DUMMYFUNCTION("""COMPUTED_VALUE"""),"")</f>
        <v/>
      </c>
      <c r="AU165" s="157" t="str">
        <f>IFERROR(__xludf.DUMMYFUNCTION("""COMPUTED_VALUE"""),"")</f>
        <v/>
      </c>
      <c r="AV165" s="157" t="str">
        <f>IFERROR(__xludf.DUMMYFUNCTION("""COMPUTED_VALUE"""),"")</f>
        <v/>
      </c>
      <c r="AW165" s="158" t="str">
        <f>IFERROR(__xludf.DUMMYFUNCTION("""COMPUTED_VALUE"""),"")</f>
        <v/>
      </c>
      <c r="AX165" s="157" t="str">
        <f>IFERROR(__xludf.DUMMYFUNCTION("""COMPUTED_VALUE"""),"")</f>
        <v/>
      </c>
      <c r="AY165" s="157" t="str">
        <f>IFERROR(__xludf.DUMMYFUNCTION("""COMPUTED_VALUE"""),"")</f>
        <v/>
      </c>
      <c r="AZ165" s="158" t="str">
        <f>IFERROR(__xludf.DUMMYFUNCTION("""COMPUTED_VALUE"""),"")</f>
        <v/>
      </c>
      <c r="BA165" s="157" t="str">
        <f>IFERROR(__xludf.DUMMYFUNCTION("""COMPUTED_VALUE"""),"")</f>
        <v/>
      </c>
      <c r="BB165" s="157" t="str">
        <f>IFERROR(__xludf.DUMMYFUNCTION("""COMPUTED_VALUE"""),"")</f>
        <v/>
      </c>
      <c r="BC165" s="158" t="str">
        <f>IFERROR(__xludf.DUMMYFUNCTION("""COMPUTED_VALUE"""),"")</f>
        <v/>
      </c>
      <c r="BD165" s="157" t="str">
        <f>IFERROR(__xludf.DUMMYFUNCTION("""COMPUTED_VALUE"""),"")</f>
        <v/>
      </c>
      <c r="BE165" s="157" t="str">
        <f>IFERROR(__xludf.DUMMYFUNCTION("""COMPUTED_VALUE"""),"")</f>
        <v/>
      </c>
      <c r="BF165" s="158" t="str">
        <f>IFERROR(__xludf.DUMMYFUNCTION("""COMPUTED_VALUE"""),"")</f>
        <v/>
      </c>
      <c r="BG165" s="156" t="str">
        <f>IFERROR(__xludf.DUMMYFUNCTION("""COMPUTED_VALUE"""),"")</f>
        <v/>
      </c>
      <c r="BH165" s="157" t="str">
        <f>IFERROR(__xludf.DUMMYFUNCTION("""COMPUTED_VALUE"""),"")</f>
        <v/>
      </c>
      <c r="BI165" s="158" t="str">
        <f>IFERROR(__xludf.DUMMYFUNCTION("""COMPUTED_VALUE"""),"")</f>
        <v/>
      </c>
      <c r="BJ165" s="157">
        <f>IFERROR(__xludf.DUMMYFUNCTION("""COMPUTED_VALUE"""),100.9)</f>
        <v>100.9</v>
      </c>
      <c r="BK165" s="157" t="str">
        <f>IFERROR(__xludf.DUMMYFUNCTION("""COMPUTED_VALUE"""),"")</f>
        <v/>
      </c>
      <c r="BL165" s="158" t="str">
        <f>IFERROR(__xludf.DUMMYFUNCTION("""COMPUTED_VALUE"""),"")</f>
        <v/>
      </c>
      <c r="BM165" s="157" t="str">
        <f>IFERROR(__xludf.DUMMYFUNCTION("""COMPUTED_VALUE"""),"")</f>
        <v/>
      </c>
      <c r="BN165" s="157" t="str">
        <f>IFERROR(__xludf.DUMMYFUNCTION("""COMPUTED_VALUE"""),"")</f>
        <v/>
      </c>
      <c r="BO165" s="158" t="str">
        <f>IFERROR(__xludf.DUMMYFUNCTION("""COMPUTED_VALUE"""),"")</f>
        <v/>
      </c>
      <c r="BP165" s="157" t="str">
        <f>IFERROR(__xludf.DUMMYFUNCTION("""COMPUTED_VALUE"""),"")</f>
        <v/>
      </c>
      <c r="BQ165" s="157" t="str">
        <f>IFERROR(__xludf.DUMMYFUNCTION("""COMPUTED_VALUE"""),"")</f>
        <v/>
      </c>
      <c r="BR165" s="158" t="str">
        <f>IFERROR(__xludf.DUMMYFUNCTION("""COMPUTED_VALUE"""),"")</f>
        <v/>
      </c>
      <c r="BS165" s="157" t="str">
        <f>IFERROR(__xludf.DUMMYFUNCTION("""COMPUTED_VALUE"""),"")</f>
        <v/>
      </c>
      <c r="BT165" s="157" t="str">
        <f>IFERROR(__xludf.DUMMYFUNCTION("""COMPUTED_VALUE"""),"")</f>
        <v/>
      </c>
      <c r="BU165" s="158" t="str">
        <f>IFERROR(__xludf.DUMMYFUNCTION("""COMPUTED_VALUE"""),"")</f>
        <v/>
      </c>
      <c r="BV165" s="157">
        <f>IFERROR(__xludf.DUMMYFUNCTION("""COMPUTED_VALUE"""),51.7)</f>
        <v>51.7</v>
      </c>
      <c r="BW165" s="157" t="str">
        <f>IFERROR(__xludf.DUMMYFUNCTION("""COMPUTED_VALUE"""),"")</f>
        <v/>
      </c>
      <c r="BX165" s="158" t="str">
        <f>IFERROR(__xludf.DUMMYFUNCTION("""COMPUTED_VALUE"""),"")</f>
        <v/>
      </c>
      <c r="BY165" s="157" t="str">
        <f>IFERROR(__xludf.DUMMYFUNCTION("""COMPUTED_VALUE"""),"")</f>
        <v/>
      </c>
      <c r="BZ165" s="157" t="str">
        <f>IFERROR(__xludf.DUMMYFUNCTION("""COMPUTED_VALUE"""),"")</f>
        <v/>
      </c>
      <c r="CA165" s="158" t="str">
        <f>IFERROR(__xludf.DUMMYFUNCTION("""COMPUTED_VALUE"""),"")</f>
        <v/>
      </c>
      <c r="CB165" s="156" t="str">
        <f>IFERROR(__xludf.DUMMYFUNCTION("""COMPUTED_VALUE"""),"")</f>
        <v/>
      </c>
      <c r="CC165" s="157" t="str">
        <f>IFERROR(__xludf.DUMMYFUNCTION("""COMPUTED_VALUE"""),"")</f>
        <v/>
      </c>
      <c r="CD165" s="158" t="str">
        <f>IFERROR(__xludf.DUMMYFUNCTION("""COMPUTED_VALUE"""),"")</f>
        <v/>
      </c>
      <c r="CE165" s="157" t="str">
        <f>IFERROR(__xludf.DUMMYFUNCTION("""COMPUTED_VALUE"""),"")</f>
        <v/>
      </c>
      <c r="CF165" s="157" t="str">
        <f>IFERROR(__xludf.DUMMYFUNCTION("""COMPUTED_VALUE"""),"")</f>
        <v/>
      </c>
      <c r="CG165" s="158" t="str">
        <f>IFERROR(__xludf.DUMMYFUNCTION("""COMPUTED_VALUE"""),"")</f>
        <v/>
      </c>
      <c r="CH165" s="157" t="str">
        <f>IFERROR(__xludf.DUMMYFUNCTION("""COMPUTED_VALUE"""),"")</f>
        <v/>
      </c>
      <c r="CI165" s="157" t="str">
        <f>IFERROR(__xludf.DUMMYFUNCTION("""COMPUTED_VALUE"""),"")</f>
        <v/>
      </c>
      <c r="CJ165" s="158" t="str">
        <f>IFERROR(__xludf.DUMMYFUNCTION("""COMPUTED_VALUE"""),"")</f>
        <v/>
      </c>
      <c r="CK165" s="157" t="str">
        <f>IFERROR(__xludf.DUMMYFUNCTION("""COMPUTED_VALUE"""),"")</f>
        <v/>
      </c>
      <c r="CL165" s="157">
        <f>IFERROR(__xludf.DUMMYFUNCTION("""COMPUTED_VALUE"""),93.6)</f>
        <v>93.6</v>
      </c>
      <c r="CM165" s="158" t="str">
        <f>IFERROR(__xludf.DUMMYFUNCTION("""COMPUTED_VALUE"""),"")</f>
        <v/>
      </c>
      <c r="CN165" s="157" t="str">
        <f>IFERROR(__xludf.DUMMYFUNCTION("""COMPUTED_VALUE"""),"")</f>
        <v/>
      </c>
      <c r="CO165" s="157" t="str">
        <f>IFERROR(__xludf.DUMMYFUNCTION("""COMPUTED_VALUE"""),"")</f>
        <v/>
      </c>
      <c r="CP165" s="158" t="str">
        <f>IFERROR(__xludf.DUMMYFUNCTION("""COMPUTED_VALUE"""),"")</f>
        <v/>
      </c>
      <c r="CQ165" s="157" t="str">
        <f>IFERROR(__xludf.DUMMYFUNCTION("""COMPUTED_VALUE"""),"")</f>
        <v/>
      </c>
      <c r="CR165" s="157" t="str">
        <f>IFERROR(__xludf.DUMMYFUNCTION("""COMPUTED_VALUE"""),"")</f>
        <v/>
      </c>
      <c r="CS165" s="158"/>
      <c r="CT165" s="157"/>
      <c r="CU165" s="157"/>
      <c r="CV165" s="158"/>
      <c r="CW165" s="157"/>
      <c r="CX165" s="157"/>
      <c r="CY165" s="158"/>
      <c r="CZ165" s="157"/>
      <c r="DA165" s="157"/>
      <c r="DB165" s="158"/>
      <c r="DC165" s="157"/>
      <c r="DD165" s="157"/>
      <c r="DE165" s="158"/>
      <c r="DF165" s="157"/>
      <c r="DG165" s="157"/>
      <c r="DH165" s="158"/>
      <c r="DI165" s="157"/>
      <c r="DJ165" s="157"/>
      <c r="DK165" s="158"/>
      <c r="DL165" s="157"/>
      <c r="DM165" s="157"/>
      <c r="DN165" s="158"/>
      <c r="DO165" s="157"/>
      <c r="DP165" s="157"/>
      <c r="DQ165" s="158"/>
      <c r="DR165" s="157"/>
      <c r="DS165" s="157"/>
      <c r="DT165" s="158"/>
    </row>
    <row r="166">
      <c r="B166" s="120" t="str">
        <f>IFERROR(__xludf.DUMMYFUNCTION("""COMPUTED_VALUE"""),"SMS4")</f>
        <v>SMS4</v>
      </c>
      <c r="C166" s="82">
        <f>IFERROR(__xludf.DUMMYFUNCTION("""COMPUTED_VALUE"""),159.0)</f>
        <v>159</v>
      </c>
      <c r="D166" s="88" t="str">
        <f>IFERROR(__xludf.DUMMYFUNCTION("""COMPUTED_VALUE"""),"Castle Town")</f>
        <v>Castle Town</v>
      </c>
      <c r="E166" s="82" t="str">
        <f>IFERROR(__xludf.DUMMYFUNCTION("""COMPUTED_VALUE"""),"城下町")</f>
        <v>城下町</v>
      </c>
      <c r="F166" s="102">
        <f>IFERROR(__xludf.DUMMYFUNCTION("""COMPUTED_VALUE"""),21.0)</f>
        <v>21</v>
      </c>
      <c r="G166" s="82">
        <f>IFERROR(__xludf.DUMMYFUNCTION("""COMPUTED_VALUE"""),10765.0)</f>
        <v>10765</v>
      </c>
      <c r="H166" s="95" t="str">
        <f>IFERROR(__xludf.DUMMYFUNCTION("""COMPUTED_VALUE"""),"")</f>
        <v/>
      </c>
      <c r="I166" s="96" t="str">
        <f>IFERROR(__xludf.DUMMYFUNCTION("""COMPUTED_VALUE"""),"")</f>
        <v/>
      </c>
      <c r="J166" s="97" t="str">
        <f>IFERROR(__xludf.DUMMYFUNCTION("""COMPUTED_VALUE"""),"")</f>
        <v/>
      </c>
      <c r="K166" s="95" t="str">
        <f>IFERROR(__xludf.DUMMYFUNCTION("""COMPUTED_VALUE"""),"")</f>
        <v/>
      </c>
      <c r="L166" s="96" t="str">
        <f>IFERROR(__xludf.DUMMYFUNCTION("""COMPUTED_VALUE"""),"")</f>
        <v/>
      </c>
      <c r="M166" s="97" t="str">
        <f>IFERROR(__xludf.DUMMYFUNCTION("""COMPUTED_VALUE"""),"")</f>
        <v/>
      </c>
      <c r="N166" s="95" t="str">
        <f>IFERROR(__xludf.DUMMYFUNCTION("""COMPUTED_VALUE"""),"")</f>
        <v/>
      </c>
      <c r="O166" s="96" t="str">
        <f>IFERROR(__xludf.DUMMYFUNCTION("""COMPUTED_VALUE"""),"")</f>
        <v/>
      </c>
      <c r="P166" s="97" t="str">
        <f>IFERROR(__xludf.DUMMYFUNCTION("""COMPUTED_VALUE"""),"")</f>
        <v/>
      </c>
      <c r="Q166" s="95" t="str">
        <f>IFERROR(__xludf.DUMMYFUNCTION("""COMPUTED_VALUE"""),"")</f>
        <v/>
      </c>
      <c r="R166" s="96" t="str">
        <f>IFERROR(__xludf.DUMMYFUNCTION("""COMPUTED_VALUE"""),"")</f>
        <v/>
      </c>
      <c r="S166" s="97" t="str">
        <f>IFERROR(__xludf.DUMMYFUNCTION("""COMPUTED_VALUE"""),"")</f>
        <v/>
      </c>
      <c r="T166" s="95" t="str">
        <f>IFERROR(__xludf.DUMMYFUNCTION("""COMPUTED_VALUE"""),"")</f>
        <v/>
      </c>
      <c r="U166" s="96" t="str">
        <f>IFERROR(__xludf.DUMMYFUNCTION("""COMPUTED_VALUE"""),"")</f>
        <v/>
      </c>
      <c r="V166" s="97" t="str">
        <f>IFERROR(__xludf.DUMMYFUNCTION("""COMPUTED_VALUE"""),"")</f>
        <v/>
      </c>
      <c r="W166" s="95" t="str">
        <f>IFERROR(__xludf.DUMMYFUNCTION("""COMPUTED_VALUE"""),"")</f>
        <v/>
      </c>
      <c r="X166" s="96" t="str">
        <f>IFERROR(__xludf.DUMMYFUNCTION("""COMPUTED_VALUE"""),"")</f>
        <v/>
      </c>
      <c r="Y166" s="97" t="str">
        <f>IFERROR(__xludf.DUMMYFUNCTION("""COMPUTED_VALUE"""),"")</f>
        <v/>
      </c>
      <c r="Z166" s="95" t="str">
        <f>IFERROR(__xludf.DUMMYFUNCTION("""COMPUTED_VALUE"""),"")</f>
        <v/>
      </c>
      <c r="AA166" s="96" t="str">
        <f>IFERROR(__xludf.DUMMYFUNCTION("""COMPUTED_VALUE"""),"")</f>
        <v/>
      </c>
      <c r="AB166" s="97" t="str">
        <f>IFERROR(__xludf.DUMMYFUNCTION("""COMPUTED_VALUE"""),"")</f>
        <v/>
      </c>
      <c r="AC166" s="95" t="str">
        <f>IFERROR(__xludf.DUMMYFUNCTION("""COMPUTED_VALUE"""),"")</f>
        <v/>
      </c>
      <c r="AD166" s="96" t="str">
        <f>IFERROR(__xludf.DUMMYFUNCTION("""COMPUTED_VALUE"""),"")</f>
        <v/>
      </c>
      <c r="AE166" s="97" t="str">
        <f>IFERROR(__xludf.DUMMYFUNCTION("""COMPUTED_VALUE"""),"")</f>
        <v/>
      </c>
      <c r="AF166" s="95" t="str">
        <f>IFERROR(__xludf.DUMMYFUNCTION("""COMPUTED_VALUE"""),"")</f>
        <v/>
      </c>
      <c r="AG166" s="96" t="str">
        <f>IFERROR(__xludf.DUMMYFUNCTION("""COMPUTED_VALUE"""),"")</f>
        <v/>
      </c>
      <c r="AH166" s="97" t="str">
        <f>IFERROR(__xludf.DUMMYFUNCTION("""COMPUTED_VALUE"""),"")</f>
        <v/>
      </c>
      <c r="AI166" s="92" t="str">
        <f>IFERROR(__xludf.DUMMYFUNCTION("""COMPUTED_VALUE"""),"")</f>
        <v/>
      </c>
      <c r="AJ166" s="93" t="str">
        <f>IFERROR(__xludf.DUMMYFUNCTION("""COMPUTED_VALUE"""),"")</f>
        <v/>
      </c>
      <c r="AK166" s="94">
        <f>IFERROR(__xludf.DUMMYFUNCTION("""COMPUTED_VALUE"""),51.9)</f>
        <v>51.9</v>
      </c>
      <c r="AL166" s="93" t="str">
        <f>IFERROR(__xludf.DUMMYFUNCTION("""COMPUTED_VALUE"""),"")</f>
        <v/>
      </c>
      <c r="AM166" s="93" t="str">
        <f>IFERROR(__xludf.DUMMYFUNCTION("""COMPUTED_VALUE"""),"")</f>
        <v/>
      </c>
      <c r="AN166" s="94" t="str">
        <f>IFERROR(__xludf.DUMMYFUNCTION("""COMPUTED_VALUE"""),"")</f>
        <v/>
      </c>
      <c r="AO166" s="93" t="str">
        <f>IFERROR(__xludf.DUMMYFUNCTION("""COMPUTED_VALUE"""),"")</f>
        <v/>
      </c>
      <c r="AP166" s="93" t="str">
        <f>IFERROR(__xludf.DUMMYFUNCTION("""COMPUTED_VALUE"""),"")</f>
        <v/>
      </c>
      <c r="AQ166" s="94" t="str">
        <f>IFERROR(__xludf.DUMMYFUNCTION("""COMPUTED_VALUE"""),"")</f>
        <v/>
      </c>
      <c r="AR166" s="93" t="str">
        <f>IFERROR(__xludf.DUMMYFUNCTION("""COMPUTED_VALUE"""),"")</f>
        <v/>
      </c>
      <c r="AS166" s="93" t="str">
        <f>IFERROR(__xludf.DUMMYFUNCTION("""COMPUTED_VALUE"""),"")</f>
        <v/>
      </c>
      <c r="AT166" s="94" t="str">
        <f>IFERROR(__xludf.DUMMYFUNCTION("""COMPUTED_VALUE"""),"")</f>
        <v/>
      </c>
      <c r="AU166" s="93" t="str">
        <f>IFERROR(__xludf.DUMMYFUNCTION("""COMPUTED_VALUE"""),"")</f>
        <v/>
      </c>
      <c r="AV166" s="93" t="str">
        <f>IFERROR(__xludf.DUMMYFUNCTION("""COMPUTED_VALUE"""),"")</f>
        <v/>
      </c>
      <c r="AW166" s="94" t="str">
        <f>IFERROR(__xludf.DUMMYFUNCTION("""COMPUTED_VALUE"""),"")</f>
        <v/>
      </c>
      <c r="AX166" s="93" t="str">
        <f>IFERROR(__xludf.DUMMYFUNCTION("""COMPUTED_VALUE"""),"")</f>
        <v/>
      </c>
      <c r="AY166" s="93" t="str">
        <f>IFERROR(__xludf.DUMMYFUNCTION("""COMPUTED_VALUE"""),"")</f>
        <v/>
      </c>
      <c r="AZ166" s="94" t="str">
        <f>IFERROR(__xludf.DUMMYFUNCTION("""COMPUTED_VALUE"""),"")</f>
        <v/>
      </c>
      <c r="BA166" s="93" t="str">
        <f>IFERROR(__xludf.DUMMYFUNCTION("""COMPUTED_VALUE"""),"")</f>
        <v/>
      </c>
      <c r="BB166" s="93" t="str">
        <f>IFERROR(__xludf.DUMMYFUNCTION("""COMPUTED_VALUE"""),"")</f>
        <v/>
      </c>
      <c r="BC166" s="94" t="str">
        <f>IFERROR(__xludf.DUMMYFUNCTION("""COMPUTED_VALUE"""),"")</f>
        <v/>
      </c>
      <c r="BD166" s="93" t="str">
        <f>IFERROR(__xludf.DUMMYFUNCTION("""COMPUTED_VALUE"""),"")</f>
        <v/>
      </c>
      <c r="BE166" s="93" t="str">
        <f>IFERROR(__xludf.DUMMYFUNCTION("""COMPUTED_VALUE"""),"")</f>
        <v/>
      </c>
      <c r="BF166" s="94" t="str">
        <f>IFERROR(__xludf.DUMMYFUNCTION("""COMPUTED_VALUE"""),"")</f>
        <v/>
      </c>
      <c r="BG166" s="92" t="str">
        <f>IFERROR(__xludf.DUMMYFUNCTION("""COMPUTED_VALUE"""),"")</f>
        <v/>
      </c>
      <c r="BH166" s="107" t="str">
        <f>IFERROR(__xludf.DUMMYFUNCTION("""COMPUTED_VALUE"""),"")</f>
        <v/>
      </c>
      <c r="BI166" s="94" t="str">
        <f>IFERROR(__xludf.DUMMYFUNCTION("""COMPUTED_VALUE"""),"")</f>
        <v/>
      </c>
      <c r="BJ166" s="93">
        <f>IFERROR(__xludf.DUMMYFUNCTION("""COMPUTED_VALUE"""),52.6)</f>
        <v>52.6</v>
      </c>
      <c r="BK166" s="93" t="str">
        <f>IFERROR(__xludf.DUMMYFUNCTION("""COMPUTED_VALUE"""),"")</f>
        <v/>
      </c>
      <c r="BL166" s="94" t="str">
        <f>IFERROR(__xludf.DUMMYFUNCTION("""COMPUTED_VALUE"""),"")</f>
        <v/>
      </c>
      <c r="BM166" s="93" t="str">
        <f>IFERROR(__xludf.DUMMYFUNCTION("""COMPUTED_VALUE"""),"")</f>
        <v/>
      </c>
      <c r="BN166" s="93" t="str">
        <f>IFERROR(__xludf.DUMMYFUNCTION("""COMPUTED_VALUE"""),"")</f>
        <v/>
      </c>
      <c r="BO166" s="94" t="str">
        <f>IFERROR(__xludf.DUMMYFUNCTION("""COMPUTED_VALUE"""),"")</f>
        <v/>
      </c>
      <c r="BP166" s="93" t="str">
        <f>IFERROR(__xludf.DUMMYFUNCTION("""COMPUTED_VALUE"""),"")</f>
        <v/>
      </c>
      <c r="BQ166" s="93" t="str">
        <f>IFERROR(__xludf.DUMMYFUNCTION("""COMPUTED_VALUE"""),"")</f>
        <v/>
      </c>
      <c r="BR166" s="94" t="str">
        <f>IFERROR(__xludf.DUMMYFUNCTION("""COMPUTED_VALUE"""),"")</f>
        <v/>
      </c>
      <c r="BS166" s="93" t="str">
        <f>IFERROR(__xludf.DUMMYFUNCTION("""COMPUTED_VALUE"""),"")</f>
        <v/>
      </c>
      <c r="BT166" s="93" t="str">
        <f>IFERROR(__xludf.DUMMYFUNCTION("""COMPUTED_VALUE"""),"")</f>
        <v/>
      </c>
      <c r="BU166" s="94" t="str">
        <f>IFERROR(__xludf.DUMMYFUNCTION("""COMPUTED_VALUE"""),"")</f>
        <v/>
      </c>
      <c r="BV166" s="93" t="str">
        <f>IFERROR(__xludf.DUMMYFUNCTION("""COMPUTED_VALUE"""),"")</f>
        <v/>
      </c>
      <c r="BW166" s="93" t="str">
        <f>IFERROR(__xludf.DUMMYFUNCTION("""COMPUTED_VALUE"""),"")</f>
        <v/>
      </c>
      <c r="BX166" s="94" t="str">
        <f>IFERROR(__xludf.DUMMYFUNCTION("""COMPUTED_VALUE"""),"")</f>
        <v/>
      </c>
      <c r="BY166" s="93" t="str">
        <f>IFERROR(__xludf.DUMMYFUNCTION("""COMPUTED_VALUE"""),"")</f>
        <v/>
      </c>
      <c r="BZ166" s="93" t="str">
        <f>IFERROR(__xludf.DUMMYFUNCTION("""COMPUTED_VALUE"""),"")</f>
        <v/>
      </c>
      <c r="CA166" s="94" t="str">
        <f>IFERROR(__xludf.DUMMYFUNCTION("""COMPUTED_VALUE"""),"")</f>
        <v/>
      </c>
      <c r="CB166" s="92" t="str">
        <f>IFERROR(__xludf.DUMMYFUNCTION("""COMPUTED_VALUE"""),"")</f>
        <v/>
      </c>
      <c r="CC166" s="107" t="str">
        <f>IFERROR(__xludf.DUMMYFUNCTION("""COMPUTED_VALUE"""),"")</f>
        <v/>
      </c>
      <c r="CD166" s="94" t="str">
        <f>IFERROR(__xludf.DUMMYFUNCTION("""COMPUTED_VALUE"""),"")</f>
        <v/>
      </c>
      <c r="CE166" s="93" t="str">
        <f>IFERROR(__xludf.DUMMYFUNCTION("""COMPUTED_VALUE"""),"")</f>
        <v/>
      </c>
      <c r="CF166" s="93" t="str">
        <f>IFERROR(__xludf.DUMMYFUNCTION("""COMPUTED_VALUE"""),"")</f>
        <v/>
      </c>
      <c r="CG166" s="94" t="str">
        <f>IFERROR(__xludf.DUMMYFUNCTION("""COMPUTED_VALUE"""),"")</f>
        <v/>
      </c>
      <c r="CH166" s="93" t="str">
        <f>IFERROR(__xludf.DUMMYFUNCTION("""COMPUTED_VALUE"""),"")</f>
        <v/>
      </c>
      <c r="CI166" s="93" t="str">
        <f>IFERROR(__xludf.DUMMYFUNCTION("""COMPUTED_VALUE"""),"")</f>
        <v/>
      </c>
      <c r="CJ166" s="94" t="str">
        <f>IFERROR(__xludf.DUMMYFUNCTION("""COMPUTED_VALUE"""),"")</f>
        <v/>
      </c>
      <c r="CK166" s="93" t="str">
        <f>IFERROR(__xludf.DUMMYFUNCTION("""COMPUTED_VALUE"""),"")</f>
        <v/>
      </c>
      <c r="CL166" s="93">
        <f>IFERROR(__xludf.DUMMYFUNCTION("""COMPUTED_VALUE"""),55.4)</f>
        <v>55.4</v>
      </c>
      <c r="CM166" s="94" t="str">
        <f>IFERROR(__xludf.DUMMYFUNCTION("""COMPUTED_VALUE"""),"")</f>
        <v/>
      </c>
      <c r="CN166" s="93" t="str">
        <f>IFERROR(__xludf.DUMMYFUNCTION("""COMPUTED_VALUE"""),"")</f>
        <v/>
      </c>
      <c r="CO166" s="93" t="str">
        <f>IFERROR(__xludf.DUMMYFUNCTION("""COMPUTED_VALUE"""),"")</f>
        <v/>
      </c>
      <c r="CP166" s="94" t="str">
        <f>IFERROR(__xludf.DUMMYFUNCTION("""COMPUTED_VALUE"""),"")</f>
        <v/>
      </c>
      <c r="CQ166" s="93" t="str">
        <f>IFERROR(__xludf.DUMMYFUNCTION("""COMPUTED_VALUE"""),"")</f>
        <v/>
      </c>
      <c r="CR166" s="93" t="str">
        <f>IFERROR(__xludf.DUMMYFUNCTION("""COMPUTED_VALUE"""),"")</f>
        <v/>
      </c>
      <c r="CS166" s="94"/>
      <c r="CT166" s="93"/>
      <c r="CU166" s="93"/>
      <c r="CV166" s="94"/>
      <c r="CW166" s="93"/>
      <c r="CX166" s="93"/>
      <c r="CY166" s="94"/>
      <c r="CZ166" s="93"/>
      <c r="DA166" s="93"/>
      <c r="DB166" s="94"/>
      <c r="DC166" s="93"/>
      <c r="DD166" s="93"/>
      <c r="DE166" s="94"/>
      <c r="DF166" s="93"/>
      <c r="DG166" s="93"/>
      <c r="DH166" s="94"/>
      <c r="DI166" s="93"/>
      <c r="DJ166" s="93"/>
      <c r="DK166" s="94"/>
      <c r="DL166" s="93"/>
      <c r="DM166" s="93"/>
      <c r="DN166" s="94"/>
      <c r="DO166" s="93"/>
      <c r="DP166" s="93"/>
      <c r="DQ166" s="94"/>
      <c r="DR166" s="93"/>
      <c r="DS166" s="93"/>
      <c r="DT166" s="94"/>
    </row>
    <row r="167">
      <c r="B167" s="120" t="str">
        <f>IFERROR(__xludf.DUMMYFUNCTION("""COMPUTED_VALUE"""),"SMS5")</f>
        <v>SMS5</v>
      </c>
      <c r="C167" s="82">
        <f>IFERROR(__xludf.DUMMYFUNCTION("""COMPUTED_VALUE"""),160.0)</f>
        <v>160</v>
      </c>
      <c r="D167" s="88" t="str">
        <f>IFERROR(__xludf.DUMMYFUNCTION("""COMPUTED_VALUE"""),"Battlefield")</f>
        <v>Battlefield</v>
      </c>
      <c r="E167" s="82" t="str">
        <f>IFERROR(__xludf.DUMMYFUNCTION("""COMPUTED_VALUE"""),"合戦場")</f>
        <v>合戦場</v>
      </c>
      <c r="F167" s="102">
        <f>IFERROR(__xludf.DUMMYFUNCTION("""COMPUTED_VALUE"""),21.0)</f>
        <v>21</v>
      </c>
      <c r="G167" s="82">
        <f>IFERROR(__xludf.DUMMYFUNCTION("""COMPUTED_VALUE"""),110438.0)</f>
        <v>110438</v>
      </c>
      <c r="H167" s="95" t="str">
        <f>IFERROR(__xludf.DUMMYFUNCTION("""COMPUTED_VALUE"""),"")</f>
        <v/>
      </c>
      <c r="I167" s="96" t="str">
        <f>IFERROR(__xludf.DUMMYFUNCTION("""COMPUTED_VALUE"""),"")</f>
        <v/>
      </c>
      <c r="J167" s="97" t="str">
        <f>IFERROR(__xludf.DUMMYFUNCTION("""COMPUTED_VALUE"""),"")</f>
        <v/>
      </c>
      <c r="K167" s="95" t="str">
        <f>IFERROR(__xludf.DUMMYFUNCTION("""COMPUTED_VALUE"""),"")</f>
        <v/>
      </c>
      <c r="L167" s="96" t="str">
        <f>IFERROR(__xludf.DUMMYFUNCTION("""COMPUTED_VALUE"""),"")</f>
        <v/>
      </c>
      <c r="M167" s="97" t="str">
        <f>IFERROR(__xludf.DUMMYFUNCTION("""COMPUTED_VALUE"""),"")</f>
        <v/>
      </c>
      <c r="N167" s="95" t="str">
        <f>IFERROR(__xludf.DUMMYFUNCTION("""COMPUTED_VALUE"""),"")</f>
        <v/>
      </c>
      <c r="O167" s="96" t="str">
        <f>IFERROR(__xludf.DUMMYFUNCTION("""COMPUTED_VALUE"""),"")</f>
        <v/>
      </c>
      <c r="P167" s="97" t="str">
        <f>IFERROR(__xludf.DUMMYFUNCTION("""COMPUTED_VALUE"""),"")</f>
        <v/>
      </c>
      <c r="Q167" s="95" t="str">
        <f>IFERROR(__xludf.DUMMYFUNCTION("""COMPUTED_VALUE"""),"")</f>
        <v/>
      </c>
      <c r="R167" s="96" t="str">
        <f>IFERROR(__xludf.DUMMYFUNCTION("""COMPUTED_VALUE"""),"")</f>
        <v/>
      </c>
      <c r="S167" s="97" t="str">
        <f>IFERROR(__xludf.DUMMYFUNCTION("""COMPUTED_VALUE"""),"")</f>
        <v/>
      </c>
      <c r="T167" s="95" t="str">
        <f>IFERROR(__xludf.DUMMYFUNCTION("""COMPUTED_VALUE"""),"")</f>
        <v/>
      </c>
      <c r="U167" s="96" t="str">
        <f>IFERROR(__xludf.DUMMYFUNCTION("""COMPUTED_VALUE"""),"")</f>
        <v/>
      </c>
      <c r="V167" s="97" t="str">
        <f>IFERROR(__xludf.DUMMYFUNCTION("""COMPUTED_VALUE"""),"")</f>
        <v/>
      </c>
      <c r="W167" s="95" t="str">
        <f>IFERROR(__xludf.DUMMYFUNCTION("""COMPUTED_VALUE"""),"")</f>
        <v/>
      </c>
      <c r="X167" s="96" t="str">
        <f>IFERROR(__xludf.DUMMYFUNCTION("""COMPUTED_VALUE"""),"")</f>
        <v/>
      </c>
      <c r="Y167" s="97" t="str">
        <f>IFERROR(__xludf.DUMMYFUNCTION("""COMPUTED_VALUE"""),"")</f>
        <v/>
      </c>
      <c r="Z167" s="95" t="str">
        <f>IFERROR(__xludf.DUMMYFUNCTION("""COMPUTED_VALUE"""),"")</f>
        <v/>
      </c>
      <c r="AA167" s="96" t="str">
        <f>IFERROR(__xludf.DUMMYFUNCTION("""COMPUTED_VALUE"""),"")</f>
        <v/>
      </c>
      <c r="AB167" s="97" t="str">
        <f>IFERROR(__xludf.DUMMYFUNCTION("""COMPUTED_VALUE"""),"")</f>
        <v/>
      </c>
      <c r="AC167" s="95" t="str">
        <f>IFERROR(__xludf.DUMMYFUNCTION("""COMPUTED_VALUE"""),"")</f>
        <v/>
      </c>
      <c r="AD167" s="96" t="str">
        <f>IFERROR(__xludf.DUMMYFUNCTION("""COMPUTED_VALUE"""),"")</f>
        <v/>
      </c>
      <c r="AE167" s="97" t="str">
        <f>IFERROR(__xludf.DUMMYFUNCTION("""COMPUTED_VALUE"""),"")</f>
        <v/>
      </c>
      <c r="AF167" s="95" t="str">
        <f>IFERROR(__xludf.DUMMYFUNCTION("""COMPUTED_VALUE"""),"")</f>
        <v/>
      </c>
      <c r="AG167" s="96" t="str">
        <f>IFERROR(__xludf.DUMMYFUNCTION("""COMPUTED_VALUE"""),"")</f>
        <v/>
      </c>
      <c r="AH167" s="97" t="str">
        <f>IFERROR(__xludf.DUMMYFUNCTION("""COMPUTED_VALUE"""),"")</f>
        <v/>
      </c>
      <c r="AI167" s="156" t="str">
        <f>IFERROR(__xludf.DUMMYFUNCTION("""COMPUTED_VALUE"""),"")</f>
        <v/>
      </c>
      <c r="AJ167" s="157" t="str">
        <f>IFERROR(__xludf.DUMMYFUNCTION("""COMPUTED_VALUE"""),"")</f>
        <v/>
      </c>
      <c r="AK167" s="158">
        <f>IFERROR(__xludf.DUMMYFUNCTION("""COMPUTED_VALUE"""),83.2)</f>
        <v>83.2</v>
      </c>
      <c r="AL167" s="157" t="str">
        <f>IFERROR(__xludf.DUMMYFUNCTION("""COMPUTED_VALUE"""),"")</f>
        <v/>
      </c>
      <c r="AM167" s="157" t="str">
        <f>IFERROR(__xludf.DUMMYFUNCTION("""COMPUTED_VALUE"""),"")</f>
        <v/>
      </c>
      <c r="AN167" s="158" t="str">
        <f>IFERROR(__xludf.DUMMYFUNCTION("""COMPUTED_VALUE"""),"")</f>
        <v/>
      </c>
      <c r="AO167" s="157" t="str">
        <f>IFERROR(__xludf.DUMMYFUNCTION("""COMPUTED_VALUE"""),"")</f>
        <v/>
      </c>
      <c r="AP167" s="157" t="str">
        <f>IFERROR(__xludf.DUMMYFUNCTION("""COMPUTED_VALUE"""),"")</f>
        <v/>
      </c>
      <c r="AQ167" s="158" t="str">
        <f>IFERROR(__xludf.DUMMYFUNCTION("""COMPUTED_VALUE"""),"")</f>
        <v/>
      </c>
      <c r="AR167" s="157" t="str">
        <f>IFERROR(__xludf.DUMMYFUNCTION("""COMPUTED_VALUE"""),"")</f>
        <v/>
      </c>
      <c r="AS167" s="157" t="str">
        <f>IFERROR(__xludf.DUMMYFUNCTION("""COMPUTED_VALUE"""),"")</f>
        <v/>
      </c>
      <c r="AT167" s="158" t="str">
        <f>IFERROR(__xludf.DUMMYFUNCTION("""COMPUTED_VALUE"""),"")</f>
        <v/>
      </c>
      <c r="AU167" s="157">
        <f>IFERROR(__xludf.DUMMYFUNCTION("""COMPUTED_VALUE"""),52.6)</f>
        <v>52.6</v>
      </c>
      <c r="AV167" s="157" t="str">
        <f>IFERROR(__xludf.DUMMYFUNCTION("""COMPUTED_VALUE"""),"")</f>
        <v/>
      </c>
      <c r="AW167" s="158">
        <f>IFERROR(__xludf.DUMMYFUNCTION("""COMPUTED_VALUE"""),68.5)</f>
        <v>68.5</v>
      </c>
      <c r="AX167" s="157" t="str">
        <f>IFERROR(__xludf.DUMMYFUNCTION("""COMPUTED_VALUE"""),"")</f>
        <v/>
      </c>
      <c r="AY167" s="157" t="str">
        <f>IFERROR(__xludf.DUMMYFUNCTION("""COMPUTED_VALUE"""),"")</f>
        <v/>
      </c>
      <c r="AZ167" s="158" t="str">
        <f>IFERROR(__xludf.DUMMYFUNCTION("""COMPUTED_VALUE"""),"")</f>
        <v/>
      </c>
      <c r="BA167" s="157" t="str">
        <f>IFERROR(__xludf.DUMMYFUNCTION("""COMPUTED_VALUE"""),"")</f>
        <v/>
      </c>
      <c r="BB167" s="157" t="str">
        <f>IFERROR(__xludf.DUMMYFUNCTION("""COMPUTED_VALUE"""),"")</f>
        <v/>
      </c>
      <c r="BC167" s="158" t="str">
        <f>IFERROR(__xludf.DUMMYFUNCTION("""COMPUTED_VALUE"""),"")</f>
        <v/>
      </c>
      <c r="BD167" s="157" t="str">
        <f>IFERROR(__xludf.DUMMYFUNCTION("""COMPUTED_VALUE"""),"")</f>
        <v/>
      </c>
      <c r="BE167" s="157" t="str">
        <f>IFERROR(__xludf.DUMMYFUNCTION("""COMPUTED_VALUE"""),"")</f>
        <v/>
      </c>
      <c r="BF167" s="158" t="str">
        <f>IFERROR(__xludf.DUMMYFUNCTION("""COMPUTED_VALUE"""),"")</f>
        <v/>
      </c>
      <c r="BG167" s="156" t="str">
        <f>IFERROR(__xludf.DUMMYFUNCTION("""COMPUTED_VALUE"""),"")</f>
        <v/>
      </c>
      <c r="BH167" s="159" t="str">
        <f>IFERROR(__xludf.DUMMYFUNCTION("""COMPUTED_VALUE"""),"")</f>
        <v/>
      </c>
      <c r="BI167" s="158" t="str">
        <f>IFERROR(__xludf.DUMMYFUNCTION("""COMPUTED_VALUE"""),"")</f>
        <v/>
      </c>
      <c r="BJ167" s="157">
        <f>IFERROR(__xludf.DUMMYFUNCTION("""COMPUTED_VALUE"""),135.9)</f>
        <v>135.9</v>
      </c>
      <c r="BK167" s="157" t="str">
        <f>IFERROR(__xludf.DUMMYFUNCTION("""COMPUTED_VALUE"""),"")</f>
        <v/>
      </c>
      <c r="BL167" s="158" t="str">
        <f>IFERROR(__xludf.DUMMYFUNCTION("""COMPUTED_VALUE"""),"")</f>
        <v/>
      </c>
      <c r="BM167" s="157" t="str">
        <f>IFERROR(__xludf.DUMMYFUNCTION("""COMPUTED_VALUE"""),"")</f>
        <v/>
      </c>
      <c r="BN167" s="157" t="str">
        <f>IFERROR(__xludf.DUMMYFUNCTION("""COMPUTED_VALUE"""),"")</f>
        <v/>
      </c>
      <c r="BO167" s="158" t="str">
        <f>IFERROR(__xludf.DUMMYFUNCTION("""COMPUTED_VALUE"""),"")</f>
        <v/>
      </c>
      <c r="BP167" s="157" t="str">
        <f>IFERROR(__xludf.DUMMYFUNCTION("""COMPUTED_VALUE"""),"")</f>
        <v/>
      </c>
      <c r="BQ167" s="157">
        <f>IFERROR(__xludf.DUMMYFUNCTION("""COMPUTED_VALUE"""),85.7)</f>
        <v>85.7</v>
      </c>
      <c r="BR167" s="158" t="str">
        <f>IFERROR(__xludf.DUMMYFUNCTION("""COMPUTED_VALUE"""),"")</f>
        <v/>
      </c>
      <c r="BS167" s="157" t="str">
        <f>IFERROR(__xludf.DUMMYFUNCTION("""COMPUTED_VALUE"""),"")</f>
        <v/>
      </c>
      <c r="BT167" s="157" t="str">
        <f>IFERROR(__xludf.DUMMYFUNCTION("""COMPUTED_VALUE"""),"")</f>
        <v/>
      </c>
      <c r="BU167" s="158" t="str">
        <f>IFERROR(__xludf.DUMMYFUNCTION("""COMPUTED_VALUE"""),"")</f>
        <v/>
      </c>
      <c r="BV167" s="157" t="str">
        <f>IFERROR(__xludf.DUMMYFUNCTION("""COMPUTED_VALUE"""),"")</f>
        <v/>
      </c>
      <c r="BW167" s="157" t="str">
        <f>IFERROR(__xludf.DUMMYFUNCTION("""COMPUTED_VALUE"""),"")</f>
        <v/>
      </c>
      <c r="BX167" s="158" t="str">
        <f>IFERROR(__xludf.DUMMYFUNCTION("""COMPUTED_VALUE"""),"")</f>
        <v/>
      </c>
      <c r="BY167" s="157" t="str">
        <f>IFERROR(__xludf.DUMMYFUNCTION("""COMPUTED_VALUE"""),"")</f>
        <v/>
      </c>
      <c r="BZ167" s="157" t="str">
        <f>IFERROR(__xludf.DUMMYFUNCTION("""COMPUTED_VALUE"""),"")</f>
        <v/>
      </c>
      <c r="CA167" s="158" t="str">
        <f>IFERROR(__xludf.DUMMYFUNCTION("""COMPUTED_VALUE"""),"")</f>
        <v/>
      </c>
      <c r="CB167" s="156" t="str">
        <f>IFERROR(__xludf.DUMMYFUNCTION("""COMPUTED_VALUE"""),"")</f>
        <v/>
      </c>
      <c r="CC167" s="159" t="str">
        <f>IFERROR(__xludf.DUMMYFUNCTION("""COMPUTED_VALUE"""),"")</f>
        <v/>
      </c>
      <c r="CD167" s="158" t="str">
        <f>IFERROR(__xludf.DUMMYFUNCTION("""COMPUTED_VALUE"""),"")</f>
        <v/>
      </c>
      <c r="CE167" s="157" t="str">
        <f>IFERROR(__xludf.DUMMYFUNCTION("""COMPUTED_VALUE"""),"")</f>
        <v/>
      </c>
      <c r="CF167" s="157" t="str">
        <f>IFERROR(__xludf.DUMMYFUNCTION("""COMPUTED_VALUE"""),"")</f>
        <v/>
      </c>
      <c r="CG167" s="158" t="str">
        <f>IFERROR(__xludf.DUMMYFUNCTION("""COMPUTED_VALUE"""),"")</f>
        <v/>
      </c>
      <c r="CH167" s="157" t="str">
        <f>IFERROR(__xludf.DUMMYFUNCTION("""COMPUTED_VALUE"""),"")</f>
        <v/>
      </c>
      <c r="CI167" s="157" t="str">
        <f>IFERROR(__xludf.DUMMYFUNCTION("""COMPUTED_VALUE"""),"")</f>
        <v/>
      </c>
      <c r="CJ167" s="158" t="str">
        <f>IFERROR(__xludf.DUMMYFUNCTION("""COMPUTED_VALUE"""),"")</f>
        <v/>
      </c>
      <c r="CK167" s="157" t="str">
        <f>IFERROR(__xludf.DUMMYFUNCTION("""COMPUTED_VALUE"""),"")</f>
        <v/>
      </c>
      <c r="CL167" s="157">
        <f>IFERROR(__xludf.DUMMYFUNCTION("""COMPUTED_VALUE"""),155.4)</f>
        <v>155.4</v>
      </c>
      <c r="CM167" s="158" t="str">
        <f>IFERROR(__xludf.DUMMYFUNCTION("""COMPUTED_VALUE"""),"")</f>
        <v/>
      </c>
      <c r="CN167" s="157" t="str">
        <f>IFERROR(__xludf.DUMMYFUNCTION("""COMPUTED_VALUE"""),"")</f>
        <v/>
      </c>
      <c r="CO167" s="157" t="str">
        <f>IFERROR(__xludf.DUMMYFUNCTION("""COMPUTED_VALUE"""),"")</f>
        <v/>
      </c>
      <c r="CP167" s="158" t="str">
        <f>IFERROR(__xludf.DUMMYFUNCTION("""COMPUTED_VALUE"""),"")</f>
        <v/>
      </c>
      <c r="CQ167" s="157" t="str">
        <f>IFERROR(__xludf.DUMMYFUNCTION("""COMPUTED_VALUE"""),"")</f>
        <v/>
      </c>
      <c r="CR167" s="157" t="str">
        <f>IFERROR(__xludf.DUMMYFUNCTION("""COMPUTED_VALUE"""),"")</f>
        <v/>
      </c>
      <c r="CS167" s="158"/>
      <c r="CT167" s="157"/>
      <c r="CU167" s="157"/>
      <c r="CV167" s="158"/>
      <c r="CW167" s="157"/>
      <c r="CX167" s="157"/>
      <c r="CY167" s="158"/>
      <c r="CZ167" s="157"/>
      <c r="DA167" s="157"/>
      <c r="DB167" s="158"/>
      <c r="DC167" s="157"/>
      <c r="DD167" s="157"/>
      <c r="DE167" s="158"/>
      <c r="DF167" s="157"/>
      <c r="DG167" s="157"/>
      <c r="DH167" s="158"/>
      <c r="DI167" s="157"/>
      <c r="DJ167" s="157"/>
      <c r="DK167" s="158"/>
      <c r="DL167" s="157"/>
      <c r="DM167" s="157"/>
      <c r="DN167" s="158"/>
      <c r="DO167" s="157"/>
      <c r="DP167" s="157"/>
      <c r="DQ167" s="158"/>
      <c r="DR167" s="157"/>
      <c r="DS167" s="157"/>
      <c r="DT167" s="158"/>
    </row>
    <row r="168">
      <c r="B168" s="120" t="str">
        <f>IFERROR(__xludf.DUMMYFUNCTION("""COMPUTED_VALUE"""),"SMS6")</f>
        <v>SMS6</v>
      </c>
      <c r="C168" s="82">
        <f>IFERROR(__xludf.DUMMYFUNCTION("""COMPUTED_VALUE"""),161.0)</f>
        <v>161</v>
      </c>
      <c r="D168" s="88" t="str">
        <f>IFERROR(__xludf.DUMMYFUNCTION("""COMPUTED_VALUE"""),"Toke Castle")</f>
        <v>Toke Castle</v>
      </c>
      <c r="E168" s="82" t="str">
        <f>IFERROR(__xludf.DUMMYFUNCTION("""COMPUTED_VALUE"""),"土気城")</f>
        <v>土気城</v>
      </c>
      <c r="F168" s="102">
        <f>IFERROR(__xludf.DUMMYFUNCTION("""COMPUTED_VALUE"""),21.0)</f>
        <v>21</v>
      </c>
      <c r="G168" s="82">
        <f>IFERROR(__xludf.DUMMYFUNCTION("""COMPUTED_VALUE"""),2591.0)</f>
        <v>2591</v>
      </c>
      <c r="H168" s="95" t="str">
        <f>IFERROR(__xludf.DUMMYFUNCTION("""COMPUTED_VALUE"""),"")</f>
        <v/>
      </c>
      <c r="I168" s="96" t="str">
        <f>IFERROR(__xludf.DUMMYFUNCTION("""COMPUTED_VALUE"""),"")</f>
        <v/>
      </c>
      <c r="J168" s="97" t="str">
        <f>IFERROR(__xludf.DUMMYFUNCTION("""COMPUTED_VALUE"""),"")</f>
        <v/>
      </c>
      <c r="K168" s="95" t="str">
        <f>IFERROR(__xludf.DUMMYFUNCTION("""COMPUTED_VALUE"""),"")</f>
        <v/>
      </c>
      <c r="L168" s="96" t="str">
        <f>IFERROR(__xludf.DUMMYFUNCTION("""COMPUTED_VALUE"""),"")</f>
        <v/>
      </c>
      <c r="M168" s="97" t="str">
        <f>IFERROR(__xludf.DUMMYFUNCTION("""COMPUTED_VALUE"""),"")</f>
        <v/>
      </c>
      <c r="N168" s="95" t="str">
        <f>IFERROR(__xludf.DUMMYFUNCTION("""COMPUTED_VALUE"""),"")</f>
        <v/>
      </c>
      <c r="O168" s="96" t="str">
        <f>IFERROR(__xludf.DUMMYFUNCTION("""COMPUTED_VALUE"""),"")</f>
        <v/>
      </c>
      <c r="P168" s="97" t="str">
        <f>IFERROR(__xludf.DUMMYFUNCTION("""COMPUTED_VALUE"""),"")</f>
        <v/>
      </c>
      <c r="Q168" s="95" t="str">
        <f>IFERROR(__xludf.DUMMYFUNCTION("""COMPUTED_VALUE"""),"")</f>
        <v/>
      </c>
      <c r="R168" s="96" t="str">
        <f>IFERROR(__xludf.DUMMYFUNCTION("""COMPUTED_VALUE"""),"")</f>
        <v/>
      </c>
      <c r="S168" s="97">
        <f>IFERROR(__xludf.DUMMYFUNCTION("""COMPUTED_VALUE"""),221.2)</f>
        <v>221.2</v>
      </c>
      <c r="T168" s="95" t="str">
        <f>IFERROR(__xludf.DUMMYFUNCTION("""COMPUTED_VALUE"""),"")</f>
        <v/>
      </c>
      <c r="U168" s="96" t="str">
        <f>IFERROR(__xludf.DUMMYFUNCTION("""COMPUTED_VALUE"""),"")</f>
        <v/>
      </c>
      <c r="V168" s="97" t="str">
        <f>IFERROR(__xludf.DUMMYFUNCTION("""COMPUTED_VALUE"""),"")</f>
        <v/>
      </c>
      <c r="W168" s="95" t="str">
        <f>IFERROR(__xludf.DUMMYFUNCTION("""COMPUTED_VALUE"""),"")</f>
        <v/>
      </c>
      <c r="X168" s="96" t="str">
        <f>IFERROR(__xludf.DUMMYFUNCTION("""COMPUTED_VALUE"""),"")</f>
        <v/>
      </c>
      <c r="Y168" s="97" t="str">
        <f>IFERROR(__xludf.DUMMYFUNCTION("""COMPUTED_VALUE"""),"")</f>
        <v/>
      </c>
      <c r="Z168" s="95" t="str">
        <f>IFERROR(__xludf.DUMMYFUNCTION("""COMPUTED_VALUE"""),"")</f>
        <v/>
      </c>
      <c r="AA168" s="96" t="str">
        <f>IFERROR(__xludf.DUMMYFUNCTION("""COMPUTED_VALUE"""),"")</f>
        <v/>
      </c>
      <c r="AB168" s="97" t="str">
        <f>IFERROR(__xludf.DUMMYFUNCTION("""COMPUTED_VALUE"""),"")</f>
        <v/>
      </c>
      <c r="AC168" s="95" t="str">
        <f>IFERROR(__xludf.DUMMYFUNCTION("""COMPUTED_VALUE"""),"")</f>
        <v/>
      </c>
      <c r="AD168" s="96" t="str">
        <f>IFERROR(__xludf.DUMMYFUNCTION("""COMPUTED_VALUE"""),"")</f>
        <v/>
      </c>
      <c r="AE168" s="97" t="str">
        <f>IFERROR(__xludf.DUMMYFUNCTION("""COMPUTED_VALUE"""),"")</f>
        <v/>
      </c>
      <c r="AF168" s="95" t="str">
        <f>IFERROR(__xludf.DUMMYFUNCTION("""COMPUTED_VALUE"""),"")</f>
        <v/>
      </c>
      <c r="AG168" s="96" t="str">
        <f>IFERROR(__xludf.DUMMYFUNCTION("""COMPUTED_VALUE"""),"")</f>
        <v/>
      </c>
      <c r="AH168" s="97" t="str">
        <f>IFERROR(__xludf.DUMMYFUNCTION("""COMPUTED_VALUE"""),"")</f>
        <v/>
      </c>
      <c r="AI168" s="92" t="str">
        <f>IFERROR(__xludf.DUMMYFUNCTION("""COMPUTED_VALUE"""),"")</f>
        <v/>
      </c>
      <c r="AJ168" s="93" t="str">
        <f>IFERROR(__xludf.DUMMYFUNCTION("""COMPUTED_VALUE"""),"")</f>
        <v/>
      </c>
      <c r="AK168" s="94">
        <f>IFERROR(__xludf.DUMMYFUNCTION("""COMPUTED_VALUE"""),79.8)</f>
        <v>79.8</v>
      </c>
      <c r="AL168" s="93" t="str">
        <f>IFERROR(__xludf.DUMMYFUNCTION("""COMPUTED_VALUE"""),"")</f>
        <v/>
      </c>
      <c r="AM168" s="93" t="str">
        <f>IFERROR(__xludf.DUMMYFUNCTION("""COMPUTED_VALUE"""),"")</f>
        <v/>
      </c>
      <c r="AN168" s="94" t="str">
        <f>IFERROR(__xludf.DUMMYFUNCTION("""COMPUTED_VALUE"""),"")</f>
        <v/>
      </c>
      <c r="AO168" s="93" t="str">
        <f>IFERROR(__xludf.DUMMYFUNCTION("""COMPUTED_VALUE"""),"")</f>
        <v/>
      </c>
      <c r="AP168" s="93" t="str">
        <f>IFERROR(__xludf.DUMMYFUNCTION("""COMPUTED_VALUE"""),"")</f>
        <v/>
      </c>
      <c r="AQ168" s="94" t="str">
        <f>IFERROR(__xludf.DUMMYFUNCTION("""COMPUTED_VALUE"""),"")</f>
        <v/>
      </c>
      <c r="AR168" s="93" t="str">
        <f>IFERROR(__xludf.DUMMYFUNCTION("""COMPUTED_VALUE"""),"")</f>
        <v/>
      </c>
      <c r="AS168" s="93" t="str">
        <f>IFERROR(__xludf.DUMMYFUNCTION("""COMPUTED_VALUE"""),"")</f>
        <v/>
      </c>
      <c r="AT168" s="94" t="str">
        <f>IFERROR(__xludf.DUMMYFUNCTION("""COMPUTED_VALUE"""),"")</f>
        <v/>
      </c>
      <c r="AU168" s="93" t="str">
        <f>IFERROR(__xludf.DUMMYFUNCTION("""COMPUTED_VALUE"""),"")</f>
        <v/>
      </c>
      <c r="AV168" s="93" t="str">
        <f>IFERROR(__xludf.DUMMYFUNCTION("""COMPUTED_VALUE"""),"")</f>
        <v/>
      </c>
      <c r="AW168" s="94">
        <f>IFERROR(__xludf.DUMMYFUNCTION("""COMPUTED_VALUE"""),72.6)</f>
        <v>72.6</v>
      </c>
      <c r="AX168" s="93" t="str">
        <f>IFERROR(__xludf.DUMMYFUNCTION("""COMPUTED_VALUE"""),"")</f>
        <v/>
      </c>
      <c r="AY168" s="93" t="str">
        <f>IFERROR(__xludf.DUMMYFUNCTION("""COMPUTED_VALUE"""),"")</f>
        <v/>
      </c>
      <c r="AZ168" s="94" t="str">
        <f>IFERROR(__xludf.DUMMYFUNCTION("""COMPUTED_VALUE"""),"")</f>
        <v/>
      </c>
      <c r="BA168" s="93" t="str">
        <f>IFERROR(__xludf.DUMMYFUNCTION("""COMPUTED_VALUE"""),"")</f>
        <v/>
      </c>
      <c r="BB168" s="93" t="str">
        <f>IFERROR(__xludf.DUMMYFUNCTION("""COMPUTED_VALUE"""),"")</f>
        <v/>
      </c>
      <c r="BC168" s="94" t="str">
        <f>IFERROR(__xludf.DUMMYFUNCTION("""COMPUTED_VALUE"""),"")</f>
        <v/>
      </c>
      <c r="BD168" s="93" t="str">
        <f>IFERROR(__xludf.DUMMYFUNCTION("""COMPUTED_VALUE"""),"")</f>
        <v/>
      </c>
      <c r="BE168" s="93">
        <f>IFERROR(__xludf.DUMMYFUNCTION("""COMPUTED_VALUE"""),528.5)</f>
        <v>528.5</v>
      </c>
      <c r="BF168" s="94" t="str">
        <f>IFERROR(__xludf.DUMMYFUNCTION("""COMPUTED_VALUE"""),"")</f>
        <v/>
      </c>
      <c r="BG168" s="92" t="str">
        <f>IFERROR(__xludf.DUMMYFUNCTION("""COMPUTED_VALUE"""),"")</f>
        <v/>
      </c>
      <c r="BH168" s="106" t="str">
        <f>IFERROR(__xludf.DUMMYFUNCTION("""COMPUTED_VALUE"""),"")</f>
        <v/>
      </c>
      <c r="BI168" s="94" t="str">
        <f>IFERROR(__xludf.DUMMYFUNCTION("""COMPUTED_VALUE"""),"")</f>
        <v/>
      </c>
      <c r="BJ168" s="93">
        <f>IFERROR(__xludf.DUMMYFUNCTION("""COMPUTED_VALUE"""),95.5)</f>
        <v>95.5</v>
      </c>
      <c r="BK168" s="93" t="str">
        <f>IFERROR(__xludf.DUMMYFUNCTION("""COMPUTED_VALUE"""),"")</f>
        <v/>
      </c>
      <c r="BL168" s="94" t="str">
        <f>IFERROR(__xludf.DUMMYFUNCTION("""COMPUTED_VALUE"""),"")</f>
        <v/>
      </c>
      <c r="BM168" s="93" t="str">
        <f>IFERROR(__xludf.DUMMYFUNCTION("""COMPUTED_VALUE"""),"")</f>
        <v/>
      </c>
      <c r="BN168" s="93" t="str">
        <f>IFERROR(__xludf.DUMMYFUNCTION("""COMPUTED_VALUE"""),"")</f>
        <v/>
      </c>
      <c r="BO168" s="94" t="str">
        <f>IFERROR(__xludf.DUMMYFUNCTION("""COMPUTED_VALUE"""),"")</f>
        <v/>
      </c>
      <c r="BP168" s="93" t="str">
        <f>IFERROR(__xludf.DUMMYFUNCTION("""COMPUTED_VALUE"""),"")</f>
        <v/>
      </c>
      <c r="BQ168" s="93" t="str">
        <f>IFERROR(__xludf.DUMMYFUNCTION("""COMPUTED_VALUE"""),"")</f>
        <v/>
      </c>
      <c r="BR168" s="94" t="str">
        <f>IFERROR(__xludf.DUMMYFUNCTION("""COMPUTED_VALUE"""),"")</f>
        <v/>
      </c>
      <c r="BS168" s="93" t="str">
        <f>IFERROR(__xludf.DUMMYFUNCTION("""COMPUTED_VALUE"""),"")</f>
        <v/>
      </c>
      <c r="BT168" s="93" t="str">
        <f>IFERROR(__xludf.DUMMYFUNCTION("""COMPUTED_VALUE"""),"")</f>
        <v/>
      </c>
      <c r="BU168" s="94" t="str">
        <f>IFERROR(__xludf.DUMMYFUNCTION("""COMPUTED_VALUE"""),"")</f>
        <v/>
      </c>
      <c r="BV168" s="93" t="str">
        <f>IFERROR(__xludf.DUMMYFUNCTION("""COMPUTED_VALUE"""),"")</f>
        <v/>
      </c>
      <c r="BW168" s="93" t="str">
        <f>IFERROR(__xludf.DUMMYFUNCTION("""COMPUTED_VALUE"""),"")</f>
        <v/>
      </c>
      <c r="BX168" s="94" t="str">
        <f>IFERROR(__xludf.DUMMYFUNCTION("""COMPUTED_VALUE"""),"")</f>
        <v/>
      </c>
      <c r="BY168" s="93" t="str">
        <f>IFERROR(__xludf.DUMMYFUNCTION("""COMPUTED_VALUE"""),"")</f>
        <v/>
      </c>
      <c r="BZ168" s="93" t="str">
        <f>IFERROR(__xludf.DUMMYFUNCTION("""COMPUTED_VALUE"""),"")</f>
        <v/>
      </c>
      <c r="CA168" s="94" t="str">
        <f>IFERROR(__xludf.DUMMYFUNCTION("""COMPUTED_VALUE"""),"")</f>
        <v/>
      </c>
      <c r="CB168" s="92" t="str">
        <f>IFERROR(__xludf.DUMMYFUNCTION("""COMPUTED_VALUE"""),"")</f>
        <v/>
      </c>
      <c r="CC168" s="106" t="str">
        <f>IFERROR(__xludf.DUMMYFUNCTION("""COMPUTED_VALUE"""),"")</f>
        <v/>
      </c>
      <c r="CD168" s="94" t="str">
        <f>IFERROR(__xludf.DUMMYFUNCTION("""COMPUTED_VALUE"""),"")</f>
        <v/>
      </c>
      <c r="CE168" s="93" t="str">
        <f>IFERROR(__xludf.DUMMYFUNCTION("""COMPUTED_VALUE"""),"")</f>
        <v/>
      </c>
      <c r="CF168" s="93" t="str">
        <f>IFERROR(__xludf.DUMMYFUNCTION("""COMPUTED_VALUE"""),"")</f>
        <v/>
      </c>
      <c r="CG168" s="94" t="str">
        <f>IFERROR(__xludf.DUMMYFUNCTION("""COMPUTED_VALUE"""),"")</f>
        <v/>
      </c>
      <c r="CH168" s="93" t="str">
        <f>IFERROR(__xludf.DUMMYFUNCTION("""COMPUTED_VALUE"""),"")</f>
        <v/>
      </c>
      <c r="CI168" s="93" t="str">
        <f>IFERROR(__xludf.DUMMYFUNCTION("""COMPUTED_VALUE"""),"")</f>
        <v/>
      </c>
      <c r="CJ168" s="94" t="str">
        <f>IFERROR(__xludf.DUMMYFUNCTION("""COMPUTED_VALUE"""),"")</f>
        <v/>
      </c>
      <c r="CK168" s="93" t="str">
        <f>IFERROR(__xludf.DUMMYFUNCTION("""COMPUTED_VALUE"""),"")</f>
        <v/>
      </c>
      <c r="CL168" s="93">
        <f>IFERROR(__xludf.DUMMYFUNCTION("""COMPUTED_VALUE"""),92.6)</f>
        <v>92.6</v>
      </c>
      <c r="CM168" s="94" t="str">
        <f>IFERROR(__xludf.DUMMYFUNCTION("""COMPUTED_VALUE"""),"")</f>
        <v/>
      </c>
      <c r="CN168" s="93">
        <f>IFERROR(__xludf.DUMMYFUNCTION("""COMPUTED_VALUE"""),495.2)</f>
        <v>495.2</v>
      </c>
      <c r="CO168" s="93" t="str">
        <f>IFERROR(__xludf.DUMMYFUNCTION("""COMPUTED_VALUE"""),"")</f>
        <v/>
      </c>
      <c r="CP168" s="94" t="str">
        <f>IFERROR(__xludf.DUMMYFUNCTION("""COMPUTED_VALUE"""),"")</f>
        <v/>
      </c>
      <c r="CQ168" s="93" t="str">
        <f>IFERROR(__xludf.DUMMYFUNCTION("""COMPUTED_VALUE"""),"")</f>
        <v/>
      </c>
      <c r="CR168" s="93" t="str">
        <f>IFERROR(__xludf.DUMMYFUNCTION("""COMPUTED_VALUE"""),"")</f>
        <v/>
      </c>
      <c r="CS168" s="94"/>
      <c r="CT168" s="93"/>
      <c r="CU168" s="93"/>
      <c r="CV168" s="94"/>
      <c r="CW168" s="93"/>
      <c r="CX168" s="93"/>
      <c r="CY168" s="94"/>
      <c r="CZ168" s="93"/>
      <c r="DA168" s="93"/>
      <c r="DB168" s="94"/>
      <c r="DC168" s="93"/>
      <c r="DD168" s="93"/>
      <c r="DE168" s="94"/>
      <c r="DF168" s="93"/>
      <c r="DG168" s="93"/>
      <c r="DH168" s="94"/>
      <c r="DI168" s="93"/>
      <c r="DJ168" s="93"/>
      <c r="DK168" s="94"/>
      <c r="DL168" s="93"/>
      <c r="DM168" s="93"/>
      <c r="DN168" s="94"/>
      <c r="DO168" s="93"/>
      <c r="DP168" s="93"/>
      <c r="DQ168" s="94"/>
      <c r="DR168" s="93"/>
      <c r="DS168" s="93"/>
      <c r="DT168" s="94"/>
    </row>
    <row r="169">
      <c r="B169" s="120" t="str">
        <f>IFERROR(__xludf.DUMMYFUNCTION("""COMPUTED_VALUE"""),"SMS7")</f>
        <v>SMS7</v>
      </c>
      <c r="C169" s="82">
        <f>IFERROR(__xludf.DUMMYFUNCTION("""COMPUTED_VALUE"""),162.0)</f>
        <v>162</v>
      </c>
      <c r="D169" s="88" t="str">
        <f>IFERROR(__xludf.DUMMYFUNCTION("""COMPUTED_VALUE"""),"Rear Mountain (Nameless Sacred Mountain)")</f>
        <v>Rear Mountain (Nameless Sacred Mountain)</v>
      </c>
      <c r="E169" s="82" t="str">
        <f>IFERROR(__xludf.DUMMYFUNCTION("""COMPUTED_VALUE"""),"裏山（名もなき霊峰）")</f>
        <v>裏山（名もなき霊峰）</v>
      </c>
      <c r="F169" s="102">
        <f>IFERROR(__xludf.DUMMYFUNCTION("""COMPUTED_VALUE"""),21.0)</f>
        <v>21</v>
      </c>
      <c r="G169" s="82">
        <f>IFERROR(__xludf.DUMMYFUNCTION("""COMPUTED_VALUE"""),15395.0)</f>
        <v>15395</v>
      </c>
      <c r="H169" s="95" t="str">
        <f>IFERROR(__xludf.DUMMYFUNCTION("""COMPUTED_VALUE"""),"")</f>
        <v/>
      </c>
      <c r="I169" s="96" t="str">
        <f>IFERROR(__xludf.DUMMYFUNCTION("""COMPUTED_VALUE"""),"")</f>
        <v/>
      </c>
      <c r="J169" s="97" t="str">
        <f>IFERROR(__xludf.DUMMYFUNCTION("""COMPUTED_VALUE"""),"")</f>
        <v/>
      </c>
      <c r="K169" s="95" t="str">
        <f>IFERROR(__xludf.DUMMYFUNCTION("""COMPUTED_VALUE"""),"")</f>
        <v/>
      </c>
      <c r="L169" s="96" t="str">
        <f>IFERROR(__xludf.DUMMYFUNCTION("""COMPUTED_VALUE"""),"")</f>
        <v/>
      </c>
      <c r="M169" s="97" t="str">
        <f>IFERROR(__xludf.DUMMYFUNCTION("""COMPUTED_VALUE"""),"")</f>
        <v/>
      </c>
      <c r="N169" s="95" t="str">
        <f>IFERROR(__xludf.DUMMYFUNCTION("""COMPUTED_VALUE"""),"")</f>
        <v/>
      </c>
      <c r="O169" s="96" t="str">
        <f>IFERROR(__xludf.DUMMYFUNCTION("""COMPUTED_VALUE"""),"")</f>
        <v/>
      </c>
      <c r="P169" s="97" t="str">
        <f>IFERROR(__xludf.DUMMYFUNCTION("""COMPUTED_VALUE"""),"")</f>
        <v/>
      </c>
      <c r="Q169" s="95" t="str">
        <f>IFERROR(__xludf.DUMMYFUNCTION("""COMPUTED_VALUE"""),"")</f>
        <v/>
      </c>
      <c r="R169" s="96" t="str">
        <f>IFERROR(__xludf.DUMMYFUNCTION("""COMPUTED_VALUE"""),"")</f>
        <v/>
      </c>
      <c r="S169" s="97" t="str">
        <f>IFERROR(__xludf.DUMMYFUNCTION("""COMPUTED_VALUE"""),"")</f>
        <v/>
      </c>
      <c r="T169" s="95" t="str">
        <f>IFERROR(__xludf.DUMMYFUNCTION("""COMPUTED_VALUE"""),"")</f>
        <v/>
      </c>
      <c r="U169" s="96" t="str">
        <f>IFERROR(__xludf.DUMMYFUNCTION("""COMPUTED_VALUE"""),"")</f>
        <v/>
      </c>
      <c r="V169" s="97" t="str">
        <f>IFERROR(__xludf.DUMMYFUNCTION("""COMPUTED_VALUE"""),"")</f>
        <v/>
      </c>
      <c r="W169" s="95" t="str">
        <f>IFERROR(__xludf.DUMMYFUNCTION("""COMPUTED_VALUE"""),"")</f>
        <v/>
      </c>
      <c r="X169" s="96" t="str">
        <f>IFERROR(__xludf.DUMMYFUNCTION("""COMPUTED_VALUE"""),"")</f>
        <v/>
      </c>
      <c r="Y169" s="97" t="str">
        <f>IFERROR(__xludf.DUMMYFUNCTION("""COMPUTED_VALUE"""),"")</f>
        <v/>
      </c>
      <c r="Z169" s="95" t="str">
        <f>IFERROR(__xludf.DUMMYFUNCTION("""COMPUTED_VALUE"""),"")</f>
        <v/>
      </c>
      <c r="AA169" s="96" t="str">
        <f>IFERROR(__xludf.DUMMYFUNCTION("""COMPUTED_VALUE"""),"")</f>
        <v/>
      </c>
      <c r="AB169" s="97">
        <f>IFERROR(__xludf.DUMMYFUNCTION("""COMPUTED_VALUE"""),86.1)</f>
        <v>86.1</v>
      </c>
      <c r="AC169" s="95" t="str">
        <f>IFERROR(__xludf.DUMMYFUNCTION("""COMPUTED_VALUE"""),"")</f>
        <v/>
      </c>
      <c r="AD169" s="96" t="str">
        <f>IFERROR(__xludf.DUMMYFUNCTION("""COMPUTED_VALUE"""),"")</f>
        <v/>
      </c>
      <c r="AE169" s="97" t="str">
        <f>IFERROR(__xludf.DUMMYFUNCTION("""COMPUTED_VALUE"""),"")</f>
        <v/>
      </c>
      <c r="AF169" s="95" t="str">
        <f>IFERROR(__xludf.DUMMYFUNCTION("""COMPUTED_VALUE"""),"")</f>
        <v/>
      </c>
      <c r="AG169" s="96" t="str">
        <f>IFERROR(__xludf.DUMMYFUNCTION("""COMPUTED_VALUE"""),"")</f>
        <v/>
      </c>
      <c r="AH169" s="97" t="str">
        <f>IFERROR(__xludf.DUMMYFUNCTION("""COMPUTED_VALUE"""),"")</f>
        <v/>
      </c>
      <c r="AI169" s="156" t="str">
        <f>IFERROR(__xludf.DUMMYFUNCTION("""COMPUTED_VALUE"""),"")</f>
        <v/>
      </c>
      <c r="AJ169" s="157" t="str">
        <f>IFERROR(__xludf.DUMMYFUNCTION("""COMPUTED_VALUE"""),"")</f>
        <v/>
      </c>
      <c r="AK169" s="158">
        <f>IFERROR(__xludf.DUMMYFUNCTION("""COMPUTED_VALUE"""),87.1)</f>
        <v>87.1</v>
      </c>
      <c r="AL169" s="157" t="str">
        <f>IFERROR(__xludf.DUMMYFUNCTION("""COMPUTED_VALUE"""),"")</f>
        <v/>
      </c>
      <c r="AM169" s="157" t="str">
        <f>IFERROR(__xludf.DUMMYFUNCTION("""COMPUTED_VALUE"""),"")</f>
        <v/>
      </c>
      <c r="AN169" s="158" t="str">
        <f>IFERROR(__xludf.DUMMYFUNCTION("""COMPUTED_VALUE"""),"")</f>
        <v/>
      </c>
      <c r="AO169" s="157" t="str">
        <f>IFERROR(__xludf.DUMMYFUNCTION("""COMPUTED_VALUE"""),"")</f>
        <v/>
      </c>
      <c r="AP169" s="157" t="str">
        <f>IFERROR(__xludf.DUMMYFUNCTION("""COMPUTED_VALUE"""),"")</f>
        <v/>
      </c>
      <c r="AQ169" s="158" t="str">
        <f>IFERROR(__xludf.DUMMYFUNCTION("""COMPUTED_VALUE"""),"")</f>
        <v/>
      </c>
      <c r="AR169" s="157" t="str">
        <f>IFERROR(__xludf.DUMMYFUNCTION("""COMPUTED_VALUE"""),"")</f>
        <v/>
      </c>
      <c r="AS169" s="157" t="str">
        <f>IFERROR(__xludf.DUMMYFUNCTION("""COMPUTED_VALUE"""),"")</f>
        <v/>
      </c>
      <c r="AT169" s="158" t="str">
        <f>IFERROR(__xludf.DUMMYFUNCTION("""COMPUTED_VALUE"""),"")</f>
        <v/>
      </c>
      <c r="AU169" s="157" t="str">
        <f>IFERROR(__xludf.DUMMYFUNCTION("""COMPUTED_VALUE"""),"")</f>
        <v/>
      </c>
      <c r="AV169" s="157" t="str">
        <f>IFERROR(__xludf.DUMMYFUNCTION("""COMPUTED_VALUE"""),"")</f>
        <v/>
      </c>
      <c r="AW169" s="158">
        <f>IFERROR(__xludf.DUMMYFUNCTION("""COMPUTED_VALUE"""),70.3)</f>
        <v>70.3</v>
      </c>
      <c r="AX169" s="157" t="str">
        <f>IFERROR(__xludf.DUMMYFUNCTION("""COMPUTED_VALUE"""),"")</f>
        <v/>
      </c>
      <c r="AY169" s="157" t="str">
        <f>IFERROR(__xludf.DUMMYFUNCTION("""COMPUTED_VALUE"""),"")</f>
        <v/>
      </c>
      <c r="AZ169" s="158" t="str">
        <f>IFERROR(__xludf.DUMMYFUNCTION("""COMPUTED_VALUE"""),"")</f>
        <v/>
      </c>
      <c r="BA169" s="157" t="str">
        <f>IFERROR(__xludf.DUMMYFUNCTION("""COMPUTED_VALUE"""),"")</f>
        <v/>
      </c>
      <c r="BB169" s="157" t="str">
        <f>IFERROR(__xludf.DUMMYFUNCTION("""COMPUTED_VALUE"""),"")</f>
        <v/>
      </c>
      <c r="BC169" s="158" t="str">
        <f>IFERROR(__xludf.DUMMYFUNCTION("""COMPUTED_VALUE"""),"")</f>
        <v/>
      </c>
      <c r="BD169" s="157" t="str">
        <f>IFERROR(__xludf.DUMMYFUNCTION("""COMPUTED_VALUE"""),"")</f>
        <v/>
      </c>
      <c r="BE169" s="157" t="str">
        <f>IFERROR(__xludf.DUMMYFUNCTION("""COMPUTED_VALUE"""),"")</f>
        <v/>
      </c>
      <c r="BF169" s="158" t="str">
        <f>IFERROR(__xludf.DUMMYFUNCTION("""COMPUTED_VALUE"""),"")</f>
        <v/>
      </c>
      <c r="BG169" s="156" t="str">
        <f>IFERROR(__xludf.DUMMYFUNCTION("""COMPUTED_VALUE"""),"")</f>
        <v/>
      </c>
      <c r="BH169" s="157" t="str">
        <f>IFERROR(__xludf.DUMMYFUNCTION("""COMPUTED_VALUE"""),"")</f>
        <v/>
      </c>
      <c r="BI169" s="158" t="str">
        <f>IFERROR(__xludf.DUMMYFUNCTION("""COMPUTED_VALUE"""),"")</f>
        <v/>
      </c>
      <c r="BJ169" s="157">
        <f>IFERROR(__xludf.DUMMYFUNCTION("""COMPUTED_VALUE"""),86.3)</f>
        <v>86.3</v>
      </c>
      <c r="BK169" s="157" t="str">
        <f>IFERROR(__xludf.DUMMYFUNCTION("""COMPUTED_VALUE"""),"")</f>
        <v/>
      </c>
      <c r="BL169" s="158" t="str">
        <f>IFERROR(__xludf.DUMMYFUNCTION("""COMPUTED_VALUE"""),"")</f>
        <v/>
      </c>
      <c r="BM169" s="157" t="str">
        <f>IFERROR(__xludf.DUMMYFUNCTION("""COMPUTED_VALUE"""),"")</f>
        <v/>
      </c>
      <c r="BN169" s="157" t="str">
        <f>IFERROR(__xludf.DUMMYFUNCTION("""COMPUTED_VALUE"""),"")</f>
        <v/>
      </c>
      <c r="BO169" s="158" t="str">
        <f>IFERROR(__xludf.DUMMYFUNCTION("""COMPUTED_VALUE"""),"")</f>
        <v/>
      </c>
      <c r="BP169" s="157">
        <f>IFERROR(__xludf.DUMMYFUNCTION("""COMPUTED_VALUE"""),260.9)</f>
        <v>260.9</v>
      </c>
      <c r="BQ169" s="157" t="str">
        <f>IFERROR(__xludf.DUMMYFUNCTION("""COMPUTED_VALUE"""),"")</f>
        <v/>
      </c>
      <c r="BR169" s="158" t="str">
        <f>IFERROR(__xludf.DUMMYFUNCTION("""COMPUTED_VALUE"""),"")</f>
        <v/>
      </c>
      <c r="BS169" s="157" t="str">
        <f>IFERROR(__xludf.DUMMYFUNCTION("""COMPUTED_VALUE"""),"")</f>
        <v/>
      </c>
      <c r="BT169" s="157" t="str">
        <f>IFERROR(__xludf.DUMMYFUNCTION("""COMPUTED_VALUE"""),"")</f>
        <v/>
      </c>
      <c r="BU169" s="158" t="str">
        <f>IFERROR(__xludf.DUMMYFUNCTION("""COMPUTED_VALUE"""),"")</f>
        <v/>
      </c>
      <c r="BV169" s="157" t="str">
        <f>IFERROR(__xludf.DUMMYFUNCTION("""COMPUTED_VALUE"""),"")</f>
        <v/>
      </c>
      <c r="BW169" s="157" t="str">
        <f>IFERROR(__xludf.DUMMYFUNCTION("""COMPUTED_VALUE"""),"")</f>
        <v/>
      </c>
      <c r="BX169" s="158" t="str">
        <f>IFERROR(__xludf.DUMMYFUNCTION("""COMPUTED_VALUE"""),"")</f>
        <v/>
      </c>
      <c r="BY169" s="157" t="str">
        <f>IFERROR(__xludf.DUMMYFUNCTION("""COMPUTED_VALUE"""),"")</f>
        <v/>
      </c>
      <c r="BZ169" s="157" t="str">
        <f>IFERROR(__xludf.DUMMYFUNCTION("""COMPUTED_VALUE"""),"")</f>
        <v/>
      </c>
      <c r="CA169" s="158" t="str">
        <f>IFERROR(__xludf.DUMMYFUNCTION("""COMPUTED_VALUE"""),"")</f>
        <v/>
      </c>
      <c r="CB169" s="156" t="str">
        <f>IFERROR(__xludf.DUMMYFUNCTION("""COMPUTED_VALUE"""),"")</f>
        <v/>
      </c>
      <c r="CC169" s="157" t="str">
        <f>IFERROR(__xludf.DUMMYFUNCTION("""COMPUTED_VALUE"""),"")</f>
        <v/>
      </c>
      <c r="CD169" s="158" t="str">
        <f>IFERROR(__xludf.DUMMYFUNCTION("""COMPUTED_VALUE"""),"")</f>
        <v/>
      </c>
      <c r="CE169" s="157" t="str">
        <f>IFERROR(__xludf.DUMMYFUNCTION("""COMPUTED_VALUE"""),"")</f>
        <v/>
      </c>
      <c r="CF169" s="157" t="str">
        <f>IFERROR(__xludf.DUMMYFUNCTION("""COMPUTED_VALUE"""),"")</f>
        <v/>
      </c>
      <c r="CG169" s="158" t="str">
        <f>IFERROR(__xludf.DUMMYFUNCTION("""COMPUTED_VALUE"""),"")</f>
        <v/>
      </c>
      <c r="CH169" s="157" t="str">
        <f>IFERROR(__xludf.DUMMYFUNCTION("""COMPUTED_VALUE"""),"")</f>
        <v/>
      </c>
      <c r="CI169" s="157" t="str">
        <f>IFERROR(__xludf.DUMMYFUNCTION("""COMPUTED_VALUE"""),"")</f>
        <v/>
      </c>
      <c r="CJ169" s="158" t="str">
        <f>IFERROR(__xludf.DUMMYFUNCTION("""COMPUTED_VALUE"""),"")</f>
        <v/>
      </c>
      <c r="CK169" s="157" t="str">
        <f>IFERROR(__xludf.DUMMYFUNCTION("""COMPUTED_VALUE"""),"")</f>
        <v/>
      </c>
      <c r="CL169" s="157">
        <f>IFERROR(__xludf.DUMMYFUNCTION("""COMPUTED_VALUE"""),89.1)</f>
        <v>89.1</v>
      </c>
      <c r="CM169" s="158" t="str">
        <f>IFERROR(__xludf.DUMMYFUNCTION("""COMPUTED_VALUE"""),"")</f>
        <v/>
      </c>
      <c r="CN169" s="157" t="str">
        <f>IFERROR(__xludf.DUMMYFUNCTION("""COMPUTED_VALUE"""),"")</f>
        <v/>
      </c>
      <c r="CO169" s="157" t="str">
        <f>IFERROR(__xludf.DUMMYFUNCTION("""COMPUTED_VALUE"""),"")</f>
        <v/>
      </c>
      <c r="CP169" s="158" t="str">
        <f>IFERROR(__xludf.DUMMYFUNCTION("""COMPUTED_VALUE"""),"")</f>
        <v/>
      </c>
      <c r="CQ169" s="157" t="str">
        <f>IFERROR(__xludf.DUMMYFUNCTION("""COMPUTED_VALUE"""),"")</f>
        <v/>
      </c>
      <c r="CR169" s="157">
        <f>IFERROR(__xludf.DUMMYFUNCTION("""COMPUTED_VALUE"""),441.3)</f>
        <v>441.3</v>
      </c>
      <c r="CS169" s="158"/>
      <c r="CT169" s="157"/>
      <c r="CU169" s="157"/>
      <c r="CV169" s="158"/>
      <c r="CW169" s="157"/>
      <c r="CX169" s="157"/>
      <c r="CY169" s="158"/>
      <c r="CZ169" s="157"/>
      <c r="DA169" s="157"/>
      <c r="DB169" s="158"/>
      <c r="DC169" s="157"/>
      <c r="DD169" s="157"/>
      <c r="DE169" s="158"/>
      <c r="DF169" s="157"/>
      <c r="DG169" s="157"/>
      <c r="DH169" s="158"/>
      <c r="DI169" s="157"/>
      <c r="DJ169" s="157"/>
      <c r="DK169" s="158"/>
      <c r="DL169" s="157"/>
      <c r="DM169" s="157"/>
      <c r="DN169" s="158"/>
      <c r="DO169" s="157"/>
      <c r="DP169" s="157"/>
      <c r="DQ169" s="158"/>
      <c r="DR169" s="157"/>
      <c r="DS169" s="157"/>
      <c r="DT169" s="158"/>
    </row>
    <row r="170">
      <c r="B170" s="120" t="str">
        <f>IFERROR(__xludf.DUMMYFUNCTION("""COMPUTED_VALUE"""),"SMS8")</f>
        <v>SMS8</v>
      </c>
      <c r="C170" s="82">
        <f>IFERROR(__xludf.DUMMYFUNCTION("""COMPUTED_VALUE"""),163.0)</f>
        <v>163</v>
      </c>
      <c r="D170" s="88" t="str">
        <f>IFERROR(__xludf.DUMMYFUNCTION("""COMPUTED_VALUE"""),"Arakawa Field")</f>
        <v>Arakawa Field</v>
      </c>
      <c r="E170" s="82" t="str">
        <f>IFERROR(__xludf.DUMMYFUNCTION("""COMPUTED_VALUE"""),"荒川の原")</f>
        <v>荒川の原</v>
      </c>
      <c r="F170" s="102">
        <f>IFERROR(__xludf.DUMMYFUNCTION("""COMPUTED_VALUE"""),21.0)</f>
        <v>21</v>
      </c>
      <c r="G170" s="82">
        <f>IFERROR(__xludf.DUMMYFUNCTION("""COMPUTED_VALUE"""),28975.0)</f>
        <v>28975</v>
      </c>
      <c r="H170" s="95" t="str">
        <f>IFERROR(__xludf.DUMMYFUNCTION("""COMPUTED_VALUE"""),"")</f>
        <v/>
      </c>
      <c r="I170" s="96" t="str">
        <f>IFERROR(__xludf.DUMMYFUNCTION("""COMPUTED_VALUE"""),"")</f>
        <v/>
      </c>
      <c r="J170" s="97" t="str">
        <f>IFERROR(__xludf.DUMMYFUNCTION("""COMPUTED_VALUE"""),"")</f>
        <v/>
      </c>
      <c r="K170" s="95" t="str">
        <f>IFERROR(__xludf.DUMMYFUNCTION("""COMPUTED_VALUE"""),"")</f>
        <v/>
      </c>
      <c r="L170" s="96" t="str">
        <f>IFERROR(__xludf.DUMMYFUNCTION("""COMPUTED_VALUE"""),"")</f>
        <v/>
      </c>
      <c r="M170" s="97" t="str">
        <f>IFERROR(__xludf.DUMMYFUNCTION("""COMPUTED_VALUE"""),"")</f>
        <v/>
      </c>
      <c r="N170" s="95" t="str">
        <f>IFERROR(__xludf.DUMMYFUNCTION("""COMPUTED_VALUE"""),"")</f>
        <v/>
      </c>
      <c r="O170" s="96" t="str">
        <f>IFERROR(__xludf.DUMMYFUNCTION("""COMPUTED_VALUE"""),"")</f>
        <v/>
      </c>
      <c r="P170" s="97" t="str">
        <f>IFERROR(__xludf.DUMMYFUNCTION("""COMPUTED_VALUE"""),"")</f>
        <v/>
      </c>
      <c r="Q170" s="95" t="str">
        <f>IFERROR(__xludf.DUMMYFUNCTION("""COMPUTED_VALUE"""),"")</f>
        <v/>
      </c>
      <c r="R170" s="96">
        <f>IFERROR(__xludf.DUMMYFUNCTION("""COMPUTED_VALUE"""),170.5)</f>
        <v>170.5</v>
      </c>
      <c r="S170" s="97" t="str">
        <f>IFERROR(__xludf.DUMMYFUNCTION("""COMPUTED_VALUE"""),"")</f>
        <v/>
      </c>
      <c r="T170" s="95" t="str">
        <f>IFERROR(__xludf.DUMMYFUNCTION("""COMPUTED_VALUE"""),"")</f>
        <v/>
      </c>
      <c r="U170" s="96" t="str">
        <f>IFERROR(__xludf.DUMMYFUNCTION("""COMPUTED_VALUE"""),"")</f>
        <v/>
      </c>
      <c r="V170" s="97" t="str">
        <f>IFERROR(__xludf.DUMMYFUNCTION("""COMPUTED_VALUE"""),"")</f>
        <v/>
      </c>
      <c r="W170" s="95" t="str">
        <f>IFERROR(__xludf.DUMMYFUNCTION("""COMPUTED_VALUE"""),"")</f>
        <v/>
      </c>
      <c r="X170" s="96" t="str">
        <f>IFERROR(__xludf.DUMMYFUNCTION("""COMPUTED_VALUE"""),"")</f>
        <v/>
      </c>
      <c r="Y170" s="97" t="str">
        <f>IFERROR(__xludf.DUMMYFUNCTION("""COMPUTED_VALUE"""),"")</f>
        <v/>
      </c>
      <c r="Z170" s="95" t="str">
        <f>IFERROR(__xludf.DUMMYFUNCTION("""COMPUTED_VALUE"""),"")</f>
        <v/>
      </c>
      <c r="AA170" s="96" t="str">
        <f>IFERROR(__xludf.DUMMYFUNCTION("""COMPUTED_VALUE"""),"")</f>
        <v/>
      </c>
      <c r="AB170" s="97" t="str">
        <f>IFERROR(__xludf.DUMMYFUNCTION("""COMPUTED_VALUE"""),"")</f>
        <v/>
      </c>
      <c r="AC170" s="95" t="str">
        <f>IFERROR(__xludf.DUMMYFUNCTION("""COMPUTED_VALUE"""),"")</f>
        <v/>
      </c>
      <c r="AD170" s="96" t="str">
        <f>IFERROR(__xludf.DUMMYFUNCTION("""COMPUTED_VALUE"""),"")</f>
        <v/>
      </c>
      <c r="AE170" s="97" t="str">
        <f>IFERROR(__xludf.DUMMYFUNCTION("""COMPUTED_VALUE"""),"")</f>
        <v/>
      </c>
      <c r="AF170" s="95" t="str">
        <f>IFERROR(__xludf.DUMMYFUNCTION("""COMPUTED_VALUE"""),"")</f>
        <v/>
      </c>
      <c r="AG170" s="96" t="str">
        <f>IFERROR(__xludf.DUMMYFUNCTION("""COMPUTED_VALUE"""),"")</f>
        <v/>
      </c>
      <c r="AH170" s="97" t="str">
        <f>IFERROR(__xludf.DUMMYFUNCTION("""COMPUTED_VALUE"""),"")</f>
        <v/>
      </c>
      <c r="AI170" s="92" t="str">
        <f>IFERROR(__xludf.DUMMYFUNCTION("""COMPUTED_VALUE"""),"")</f>
        <v/>
      </c>
      <c r="AJ170" s="93" t="str">
        <f>IFERROR(__xludf.DUMMYFUNCTION("""COMPUTED_VALUE"""),"")</f>
        <v/>
      </c>
      <c r="AK170" s="94">
        <f>IFERROR(__xludf.DUMMYFUNCTION("""COMPUTED_VALUE"""),105.4)</f>
        <v>105.4</v>
      </c>
      <c r="AL170" s="93" t="str">
        <f>IFERROR(__xludf.DUMMYFUNCTION("""COMPUTED_VALUE"""),"")</f>
        <v/>
      </c>
      <c r="AM170" s="93" t="str">
        <f>IFERROR(__xludf.DUMMYFUNCTION("""COMPUTED_VALUE"""),"")</f>
        <v/>
      </c>
      <c r="AN170" s="94" t="str">
        <f>IFERROR(__xludf.DUMMYFUNCTION("""COMPUTED_VALUE"""),"")</f>
        <v/>
      </c>
      <c r="AO170" s="93" t="str">
        <f>IFERROR(__xludf.DUMMYFUNCTION("""COMPUTED_VALUE"""),"")</f>
        <v/>
      </c>
      <c r="AP170" s="93" t="str">
        <f>IFERROR(__xludf.DUMMYFUNCTION("""COMPUTED_VALUE"""),"")</f>
        <v/>
      </c>
      <c r="AQ170" s="94" t="str">
        <f>IFERROR(__xludf.DUMMYFUNCTION("""COMPUTED_VALUE"""),"")</f>
        <v/>
      </c>
      <c r="AR170" s="93" t="str">
        <f>IFERROR(__xludf.DUMMYFUNCTION("""COMPUTED_VALUE"""),"")</f>
        <v/>
      </c>
      <c r="AS170" s="143" t="str">
        <f>IFERROR(__xludf.DUMMYFUNCTION("""COMPUTED_VALUE"""),"")</f>
        <v/>
      </c>
      <c r="AT170" s="94" t="str">
        <f>IFERROR(__xludf.DUMMYFUNCTION("""COMPUTED_VALUE"""),"")</f>
        <v/>
      </c>
      <c r="AU170" s="93" t="str">
        <f>IFERROR(__xludf.DUMMYFUNCTION("""COMPUTED_VALUE"""),"")</f>
        <v/>
      </c>
      <c r="AV170" s="93" t="str">
        <f>IFERROR(__xludf.DUMMYFUNCTION("""COMPUTED_VALUE"""),"")</f>
        <v/>
      </c>
      <c r="AW170" s="94">
        <f>IFERROR(__xludf.DUMMYFUNCTION("""COMPUTED_VALUE"""),70.1)</f>
        <v>70.1</v>
      </c>
      <c r="AX170" s="93" t="str">
        <f>IFERROR(__xludf.DUMMYFUNCTION("""COMPUTED_VALUE"""),"")</f>
        <v/>
      </c>
      <c r="AY170" s="93" t="str">
        <f>IFERROR(__xludf.DUMMYFUNCTION("""COMPUTED_VALUE"""),"")</f>
        <v/>
      </c>
      <c r="AZ170" s="94" t="str">
        <f>IFERROR(__xludf.DUMMYFUNCTION("""COMPUTED_VALUE"""),"")</f>
        <v/>
      </c>
      <c r="BA170" s="93" t="str">
        <f>IFERROR(__xludf.DUMMYFUNCTION("""COMPUTED_VALUE"""),"")</f>
        <v/>
      </c>
      <c r="BB170" s="93" t="str">
        <f>IFERROR(__xludf.DUMMYFUNCTION("""COMPUTED_VALUE"""),"")</f>
        <v/>
      </c>
      <c r="BC170" s="94" t="str">
        <f>IFERROR(__xludf.DUMMYFUNCTION("""COMPUTED_VALUE"""),"")</f>
        <v/>
      </c>
      <c r="BD170" s="93" t="str">
        <f>IFERROR(__xludf.DUMMYFUNCTION("""COMPUTED_VALUE"""),"")</f>
        <v/>
      </c>
      <c r="BE170" s="93" t="str">
        <f>IFERROR(__xludf.DUMMYFUNCTION("""COMPUTED_VALUE"""),"")</f>
        <v/>
      </c>
      <c r="BF170" s="94" t="str">
        <f>IFERROR(__xludf.DUMMYFUNCTION("""COMPUTED_VALUE"""),"")</f>
        <v/>
      </c>
      <c r="BG170" s="92" t="str">
        <f>IFERROR(__xludf.DUMMYFUNCTION("""COMPUTED_VALUE"""),"")</f>
        <v/>
      </c>
      <c r="BH170" s="93" t="str">
        <f>IFERROR(__xludf.DUMMYFUNCTION("""COMPUTED_VALUE"""),"")</f>
        <v/>
      </c>
      <c r="BI170" s="94">
        <f>IFERROR(__xludf.DUMMYFUNCTION("""COMPUTED_VALUE"""),674.1)</f>
        <v>674.1</v>
      </c>
      <c r="BJ170" s="93">
        <f>IFERROR(__xludf.DUMMYFUNCTION("""COMPUTED_VALUE"""),84.1)</f>
        <v>84.1</v>
      </c>
      <c r="BK170" s="93" t="str">
        <f>IFERROR(__xludf.DUMMYFUNCTION("""COMPUTED_VALUE"""),"")</f>
        <v/>
      </c>
      <c r="BL170" s="94" t="str">
        <f>IFERROR(__xludf.DUMMYFUNCTION("""COMPUTED_VALUE"""),"")</f>
        <v/>
      </c>
      <c r="BM170" s="93" t="str">
        <f>IFERROR(__xludf.DUMMYFUNCTION("""COMPUTED_VALUE"""),"")</f>
        <v/>
      </c>
      <c r="BN170" s="93" t="str">
        <f>IFERROR(__xludf.DUMMYFUNCTION("""COMPUTED_VALUE"""),"")</f>
        <v/>
      </c>
      <c r="BO170" s="94" t="str">
        <f>IFERROR(__xludf.DUMMYFUNCTION("""COMPUTED_VALUE"""),"")</f>
        <v/>
      </c>
      <c r="BP170" s="93" t="str">
        <f>IFERROR(__xludf.DUMMYFUNCTION("""COMPUTED_VALUE"""),"")</f>
        <v/>
      </c>
      <c r="BQ170" s="93" t="str">
        <f>IFERROR(__xludf.DUMMYFUNCTION("""COMPUTED_VALUE"""),"")</f>
        <v/>
      </c>
      <c r="BR170" s="94" t="str">
        <f>IFERROR(__xludf.DUMMYFUNCTION("""COMPUTED_VALUE"""),"")</f>
        <v/>
      </c>
      <c r="BS170" s="93" t="str">
        <f>IFERROR(__xludf.DUMMYFUNCTION("""COMPUTED_VALUE"""),"")</f>
        <v/>
      </c>
      <c r="BT170" s="93" t="str">
        <f>IFERROR(__xludf.DUMMYFUNCTION("""COMPUTED_VALUE"""),"")</f>
        <v/>
      </c>
      <c r="BU170" s="94" t="str">
        <f>IFERROR(__xludf.DUMMYFUNCTION("""COMPUTED_VALUE"""),"")</f>
        <v/>
      </c>
      <c r="BV170" s="93" t="str">
        <f>IFERROR(__xludf.DUMMYFUNCTION("""COMPUTED_VALUE"""),"")</f>
        <v/>
      </c>
      <c r="BW170" s="93" t="str">
        <f>IFERROR(__xludf.DUMMYFUNCTION("""COMPUTED_VALUE"""),"")</f>
        <v/>
      </c>
      <c r="BX170" s="94" t="str">
        <f>IFERROR(__xludf.DUMMYFUNCTION("""COMPUTED_VALUE"""),"")</f>
        <v/>
      </c>
      <c r="BY170" s="93" t="str">
        <f>IFERROR(__xludf.DUMMYFUNCTION("""COMPUTED_VALUE"""),"")</f>
        <v/>
      </c>
      <c r="BZ170" s="93" t="str">
        <f>IFERROR(__xludf.DUMMYFUNCTION("""COMPUTED_VALUE"""),"")</f>
        <v/>
      </c>
      <c r="CA170" s="94" t="str">
        <f>IFERROR(__xludf.DUMMYFUNCTION("""COMPUTED_VALUE"""),"")</f>
        <v/>
      </c>
      <c r="CB170" s="92" t="str">
        <f>IFERROR(__xludf.DUMMYFUNCTION("""COMPUTED_VALUE"""),"")</f>
        <v/>
      </c>
      <c r="CC170" s="93" t="str">
        <f>IFERROR(__xludf.DUMMYFUNCTION("""COMPUTED_VALUE"""),"")</f>
        <v/>
      </c>
      <c r="CD170" s="94" t="str">
        <f>IFERROR(__xludf.DUMMYFUNCTION("""COMPUTED_VALUE"""),"")</f>
        <v/>
      </c>
      <c r="CE170" s="93" t="str">
        <f>IFERROR(__xludf.DUMMYFUNCTION("""COMPUTED_VALUE"""),"")</f>
        <v/>
      </c>
      <c r="CF170" s="93" t="str">
        <f>IFERROR(__xludf.DUMMYFUNCTION("""COMPUTED_VALUE"""),"")</f>
        <v/>
      </c>
      <c r="CG170" s="94" t="str">
        <f>IFERROR(__xludf.DUMMYFUNCTION("""COMPUTED_VALUE"""),"")</f>
        <v/>
      </c>
      <c r="CH170" s="93" t="str">
        <f>IFERROR(__xludf.DUMMYFUNCTION("""COMPUTED_VALUE"""),"")</f>
        <v/>
      </c>
      <c r="CI170" s="93" t="str">
        <f>IFERROR(__xludf.DUMMYFUNCTION("""COMPUTED_VALUE"""),"")</f>
        <v/>
      </c>
      <c r="CJ170" s="94" t="str">
        <f>IFERROR(__xludf.DUMMYFUNCTION("""COMPUTED_VALUE"""),"")</f>
        <v/>
      </c>
      <c r="CK170" s="93" t="str">
        <f>IFERROR(__xludf.DUMMYFUNCTION("""COMPUTED_VALUE"""),"")</f>
        <v/>
      </c>
      <c r="CL170" s="93">
        <f>IFERROR(__xludf.DUMMYFUNCTION("""COMPUTED_VALUE"""),88.4)</f>
        <v>88.4</v>
      </c>
      <c r="CM170" s="94" t="str">
        <f>IFERROR(__xludf.DUMMYFUNCTION("""COMPUTED_VALUE"""),"")</f>
        <v/>
      </c>
      <c r="CN170" s="93" t="str">
        <f>IFERROR(__xludf.DUMMYFUNCTION("""COMPUTED_VALUE"""),"")</f>
        <v/>
      </c>
      <c r="CO170" s="93" t="str">
        <f>IFERROR(__xludf.DUMMYFUNCTION("""COMPUTED_VALUE"""),"")</f>
        <v/>
      </c>
      <c r="CP170" s="94" t="str">
        <f>IFERROR(__xludf.DUMMYFUNCTION("""COMPUTED_VALUE"""),"")</f>
        <v/>
      </c>
      <c r="CQ170" s="93" t="str">
        <f>IFERROR(__xludf.DUMMYFUNCTION("""COMPUTED_VALUE"""),"")</f>
        <v/>
      </c>
      <c r="CR170" s="93">
        <f>IFERROR(__xludf.DUMMYFUNCTION("""COMPUTED_VALUE"""),384.1)</f>
        <v>384.1</v>
      </c>
      <c r="CS170" s="94"/>
      <c r="CT170" s="93"/>
      <c r="CU170" s="93"/>
      <c r="CV170" s="94"/>
      <c r="CW170" s="93"/>
      <c r="CX170" s="93"/>
      <c r="CY170" s="94"/>
      <c r="CZ170" s="93"/>
      <c r="DA170" s="93"/>
      <c r="DB170" s="94"/>
      <c r="DC170" s="93"/>
      <c r="DD170" s="93"/>
      <c r="DE170" s="94"/>
      <c r="DF170" s="93"/>
      <c r="DG170" s="93"/>
      <c r="DH170" s="94"/>
      <c r="DI170" s="93"/>
      <c r="DJ170" s="93"/>
      <c r="DK170" s="94"/>
      <c r="DL170" s="93"/>
      <c r="DM170" s="93"/>
      <c r="DN170" s="94"/>
      <c r="DO170" s="93"/>
      <c r="DP170" s="93"/>
      <c r="DQ170" s="94"/>
      <c r="DR170" s="93"/>
      <c r="DS170" s="93"/>
      <c r="DT170" s="94"/>
    </row>
    <row r="171">
      <c r="A171" s="155"/>
      <c r="B171" s="120" t="str">
        <f>IFERROR(__xludf.DUMMYFUNCTION("""COMPUTED_VALUE"""),"SMS9")</f>
        <v>SMS9</v>
      </c>
      <c r="C171" s="82">
        <f>IFERROR(__xludf.DUMMYFUNCTION("""COMPUTED_VALUE"""),164.0)</f>
        <v>164</v>
      </c>
      <c r="D171" s="88" t="str">
        <f>IFERROR(__xludf.DUMMYFUNCTION("""COMPUTED_VALUE"""),"Rear Mountain (Trembling in Fear)")</f>
        <v>Rear Mountain (Trembling in Fear)</v>
      </c>
      <c r="E171" s="82" t="str">
        <f>IFERROR(__xludf.DUMMYFUNCTION("""COMPUTED_VALUE"""),"裏山（戦戦恐恐）")</f>
        <v>裏山（戦戦恐恐）</v>
      </c>
      <c r="F171" s="102">
        <f>IFERROR(__xludf.DUMMYFUNCTION("""COMPUTED_VALUE"""),21.0)</f>
        <v>21</v>
      </c>
      <c r="G171" s="82">
        <f>IFERROR(__xludf.DUMMYFUNCTION("""COMPUTED_VALUE"""),25285.0)</f>
        <v>25285</v>
      </c>
      <c r="H171" s="95" t="str">
        <f>IFERROR(__xludf.DUMMYFUNCTION("""COMPUTED_VALUE"""),"")</f>
        <v/>
      </c>
      <c r="I171" s="96" t="str">
        <f>IFERROR(__xludf.DUMMYFUNCTION("""COMPUTED_VALUE"""),"")</f>
        <v/>
      </c>
      <c r="J171" s="97" t="str">
        <f>IFERROR(__xludf.DUMMYFUNCTION("""COMPUTED_VALUE"""),"")</f>
        <v/>
      </c>
      <c r="K171" s="95" t="str">
        <f>IFERROR(__xludf.DUMMYFUNCTION("""COMPUTED_VALUE"""),"")</f>
        <v/>
      </c>
      <c r="L171" s="96" t="str">
        <f>IFERROR(__xludf.DUMMYFUNCTION("""COMPUTED_VALUE"""),"")</f>
        <v/>
      </c>
      <c r="M171" s="97" t="str">
        <f>IFERROR(__xludf.DUMMYFUNCTION("""COMPUTED_VALUE"""),"")</f>
        <v/>
      </c>
      <c r="N171" s="95" t="str">
        <f>IFERROR(__xludf.DUMMYFUNCTION("""COMPUTED_VALUE"""),"")</f>
        <v/>
      </c>
      <c r="O171" s="96" t="str">
        <f>IFERROR(__xludf.DUMMYFUNCTION("""COMPUTED_VALUE"""),"")</f>
        <v/>
      </c>
      <c r="P171" s="97" t="str">
        <f>IFERROR(__xludf.DUMMYFUNCTION("""COMPUTED_VALUE"""),"")</f>
        <v/>
      </c>
      <c r="Q171" s="95" t="str">
        <f>IFERROR(__xludf.DUMMYFUNCTION("""COMPUTED_VALUE"""),"")</f>
        <v/>
      </c>
      <c r="R171" s="96" t="str">
        <f>IFERROR(__xludf.DUMMYFUNCTION("""COMPUTED_VALUE"""),"")</f>
        <v/>
      </c>
      <c r="S171" s="97" t="str">
        <f>IFERROR(__xludf.DUMMYFUNCTION("""COMPUTED_VALUE"""),"")</f>
        <v/>
      </c>
      <c r="T171" s="95" t="str">
        <f>IFERROR(__xludf.DUMMYFUNCTION("""COMPUTED_VALUE"""),"")</f>
        <v/>
      </c>
      <c r="U171" s="96">
        <f>IFERROR(__xludf.DUMMYFUNCTION("""COMPUTED_VALUE"""),173.5)</f>
        <v>173.5</v>
      </c>
      <c r="V171" s="97" t="str">
        <f>IFERROR(__xludf.DUMMYFUNCTION("""COMPUTED_VALUE"""),"")</f>
        <v/>
      </c>
      <c r="W171" s="95" t="str">
        <f>IFERROR(__xludf.DUMMYFUNCTION("""COMPUTED_VALUE"""),"")</f>
        <v/>
      </c>
      <c r="X171" s="96" t="str">
        <f>IFERROR(__xludf.DUMMYFUNCTION("""COMPUTED_VALUE"""),"")</f>
        <v/>
      </c>
      <c r="Y171" s="97" t="str">
        <f>IFERROR(__xludf.DUMMYFUNCTION("""COMPUTED_VALUE"""),"")</f>
        <v/>
      </c>
      <c r="Z171" s="95" t="str">
        <f>IFERROR(__xludf.DUMMYFUNCTION("""COMPUTED_VALUE"""),"")</f>
        <v/>
      </c>
      <c r="AA171" s="96">
        <f>IFERROR(__xludf.DUMMYFUNCTION("""COMPUTED_VALUE"""),82.1)</f>
        <v>82.1</v>
      </c>
      <c r="AB171" s="97" t="str">
        <f>IFERROR(__xludf.DUMMYFUNCTION("""COMPUTED_VALUE"""),"")</f>
        <v/>
      </c>
      <c r="AC171" s="95" t="str">
        <f>IFERROR(__xludf.DUMMYFUNCTION("""COMPUTED_VALUE"""),"")</f>
        <v/>
      </c>
      <c r="AD171" s="96" t="str">
        <f>IFERROR(__xludf.DUMMYFUNCTION("""COMPUTED_VALUE"""),"")</f>
        <v/>
      </c>
      <c r="AE171" s="97" t="str">
        <f>IFERROR(__xludf.DUMMYFUNCTION("""COMPUTED_VALUE"""),"")</f>
        <v/>
      </c>
      <c r="AF171" s="95" t="str">
        <f>IFERROR(__xludf.DUMMYFUNCTION("""COMPUTED_VALUE"""),"")</f>
        <v/>
      </c>
      <c r="AG171" s="96" t="str">
        <f>IFERROR(__xludf.DUMMYFUNCTION("""COMPUTED_VALUE"""),"")</f>
        <v/>
      </c>
      <c r="AH171" s="97" t="str">
        <f>IFERROR(__xludf.DUMMYFUNCTION("""COMPUTED_VALUE"""),"")</f>
        <v/>
      </c>
      <c r="AI171" s="156" t="str">
        <f>IFERROR(__xludf.DUMMYFUNCTION("""COMPUTED_VALUE"""),"")</f>
        <v/>
      </c>
      <c r="AJ171" s="157" t="str">
        <f>IFERROR(__xludf.DUMMYFUNCTION("""COMPUTED_VALUE"""),"")</f>
        <v/>
      </c>
      <c r="AK171" s="158" t="str">
        <f>IFERROR(__xludf.DUMMYFUNCTION("""COMPUTED_VALUE"""),"")</f>
        <v/>
      </c>
      <c r="AL171" s="157" t="str">
        <f>IFERROR(__xludf.DUMMYFUNCTION("""COMPUTED_VALUE"""),"")</f>
        <v/>
      </c>
      <c r="AM171" s="157" t="str">
        <f>IFERROR(__xludf.DUMMYFUNCTION("""COMPUTED_VALUE"""),"")</f>
        <v/>
      </c>
      <c r="AN171" s="158" t="str">
        <f>IFERROR(__xludf.DUMMYFUNCTION("""COMPUTED_VALUE"""),"")</f>
        <v/>
      </c>
      <c r="AO171" s="157" t="str">
        <f>IFERROR(__xludf.DUMMYFUNCTION("""COMPUTED_VALUE"""),"")</f>
        <v/>
      </c>
      <c r="AP171" s="157" t="str">
        <f>IFERROR(__xludf.DUMMYFUNCTION("""COMPUTED_VALUE"""),"")</f>
        <v/>
      </c>
      <c r="AQ171" s="158" t="str">
        <f>IFERROR(__xludf.DUMMYFUNCTION("""COMPUTED_VALUE"""),"")</f>
        <v/>
      </c>
      <c r="AR171" s="157" t="str">
        <f>IFERROR(__xludf.DUMMYFUNCTION("""COMPUTED_VALUE"""),"")</f>
        <v/>
      </c>
      <c r="AS171" s="157" t="str">
        <f>IFERROR(__xludf.DUMMYFUNCTION("""COMPUTED_VALUE"""),"")</f>
        <v/>
      </c>
      <c r="AT171" s="158" t="str">
        <f>IFERROR(__xludf.DUMMYFUNCTION("""COMPUTED_VALUE"""),"")</f>
        <v/>
      </c>
      <c r="AU171" s="157" t="str">
        <f>IFERROR(__xludf.DUMMYFUNCTION("""COMPUTED_VALUE"""),"")</f>
        <v/>
      </c>
      <c r="AV171" s="143" t="str">
        <f>IFERROR(__xludf.DUMMYFUNCTION("""COMPUTED_VALUE"""),"")</f>
        <v/>
      </c>
      <c r="AW171" s="158" t="str">
        <f>IFERROR(__xludf.DUMMYFUNCTION("""COMPUTED_VALUE"""),"")</f>
        <v/>
      </c>
      <c r="AX171" s="157" t="str">
        <f>IFERROR(__xludf.DUMMYFUNCTION("""COMPUTED_VALUE"""),"")</f>
        <v/>
      </c>
      <c r="AY171" s="157" t="str">
        <f>IFERROR(__xludf.DUMMYFUNCTION("""COMPUTED_VALUE"""),"")</f>
        <v/>
      </c>
      <c r="AZ171" s="158" t="str">
        <f>IFERROR(__xludf.DUMMYFUNCTION("""COMPUTED_VALUE"""),"")</f>
        <v/>
      </c>
      <c r="BA171" s="157" t="str">
        <f>IFERROR(__xludf.DUMMYFUNCTION("""COMPUTED_VALUE"""),"")</f>
        <v/>
      </c>
      <c r="BB171" s="157" t="str">
        <f>IFERROR(__xludf.DUMMYFUNCTION("""COMPUTED_VALUE"""),"")</f>
        <v/>
      </c>
      <c r="BC171" s="158" t="str">
        <f>IFERROR(__xludf.DUMMYFUNCTION("""COMPUTED_VALUE"""),"")</f>
        <v/>
      </c>
      <c r="BD171" s="157" t="str">
        <f>IFERROR(__xludf.DUMMYFUNCTION("""COMPUTED_VALUE"""),"")</f>
        <v/>
      </c>
      <c r="BE171" s="157" t="str">
        <f>IFERROR(__xludf.DUMMYFUNCTION("""COMPUTED_VALUE"""),"")</f>
        <v/>
      </c>
      <c r="BF171" s="158" t="str">
        <f>IFERROR(__xludf.DUMMYFUNCTION("""COMPUTED_VALUE"""),"")</f>
        <v/>
      </c>
      <c r="BG171" s="156" t="str">
        <f>IFERROR(__xludf.DUMMYFUNCTION("""COMPUTED_VALUE"""),"")</f>
        <v/>
      </c>
      <c r="BH171" s="157">
        <f>IFERROR(__xludf.DUMMYFUNCTION("""COMPUTED_VALUE"""),497.6)</f>
        <v>497.6</v>
      </c>
      <c r="BI171" s="158" t="str">
        <f>IFERROR(__xludf.DUMMYFUNCTION("""COMPUTED_VALUE"""),"")</f>
        <v/>
      </c>
      <c r="BJ171" s="157" t="str">
        <f>IFERROR(__xludf.DUMMYFUNCTION("""COMPUTED_VALUE"""),"")</f>
        <v/>
      </c>
      <c r="BK171" s="157" t="str">
        <f>IFERROR(__xludf.DUMMYFUNCTION("""COMPUTED_VALUE"""),"")</f>
        <v/>
      </c>
      <c r="BL171" s="158" t="str">
        <f>IFERROR(__xludf.DUMMYFUNCTION("""COMPUTED_VALUE"""),"")</f>
        <v/>
      </c>
      <c r="BM171" s="157" t="str">
        <f>IFERROR(__xludf.DUMMYFUNCTION("""COMPUTED_VALUE"""),"")</f>
        <v/>
      </c>
      <c r="BN171" s="157" t="str">
        <f>IFERROR(__xludf.DUMMYFUNCTION("""COMPUTED_VALUE"""),"")</f>
        <v/>
      </c>
      <c r="BO171" s="158" t="str">
        <f>IFERROR(__xludf.DUMMYFUNCTION("""COMPUTED_VALUE"""),"")</f>
        <v/>
      </c>
      <c r="BP171" s="157" t="str">
        <f>IFERROR(__xludf.DUMMYFUNCTION("""COMPUTED_VALUE"""),"")</f>
        <v/>
      </c>
      <c r="BQ171" s="157" t="str">
        <f>IFERROR(__xludf.DUMMYFUNCTION("""COMPUTED_VALUE"""),"")</f>
        <v/>
      </c>
      <c r="BR171" s="158" t="str">
        <f>IFERROR(__xludf.DUMMYFUNCTION("""COMPUTED_VALUE"""),"")</f>
        <v/>
      </c>
      <c r="BS171" s="157" t="str">
        <f>IFERROR(__xludf.DUMMYFUNCTION("""COMPUTED_VALUE"""),"")</f>
        <v/>
      </c>
      <c r="BT171" s="157" t="str">
        <f>IFERROR(__xludf.DUMMYFUNCTION("""COMPUTED_VALUE"""),"")</f>
        <v/>
      </c>
      <c r="BU171" s="158" t="str">
        <f>IFERROR(__xludf.DUMMYFUNCTION("""COMPUTED_VALUE"""),"")</f>
        <v/>
      </c>
      <c r="BV171" s="157">
        <f>IFERROR(__xludf.DUMMYFUNCTION("""COMPUTED_VALUE"""),53.4)</f>
        <v>53.4</v>
      </c>
      <c r="BW171" s="157" t="str">
        <f>IFERROR(__xludf.DUMMYFUNCTION("""COMPUTED_VALUE"""),"")</f>
        <v/>
      </c>
      <c r="BX171" s="158" t="str">
        <f>IFERROR(__xludf.DUMMYFUNCTION("""COMPUTED_VALUE"""),"")</f>
        <v/>
      </c>
      <c r="BY171" s="157" t="str">
        <f>IFERROR(__xludf.DUMMYFUNCTION("""COMPUTED_VALUE"""),"")</f>
        <v/>
      </c>
      <c r="BZ171" s="157" t="str">
        <f>IFERROR(__xludf.DUMMYFUNCTION("""COMPUTED_VALUE"""),"")</f>
        <v/>
      </c>
      <c r="CA171" s="158" t="str">
        <f>IFERROR(__xludf.DUMMYFUNCTION("""COMPUTED_VALUE"""),"")</f>
        <v/>
      </c>
      <c r="CB171" s="156" t="str">
        <f>IFERROR(__xludf.DUMMYFUNCTION("""COMPUTED_VALUE"""),"")</f>
        <v/>
      </c>
      <c r="CC171" s="157" t="str">
        <f>IFERROR(__xludf.DUMMYFUNCTION("""COMPUTED_VALUE"""),"")</f>
        <v/>
      </c>
      <c r="CD171" s="158" t="str">
        <f>IFERROR(__xludf.DUMMYFUNCTION("""COMPUTED_VALUE"""),"")</f>
        <v/>
      </c>
      <c r="CE171" s="157" t="str">
        <f>IFERROR(__xludf.DUMMYFUNCTION("""COMPUTED_VALUE"""),"")</f>
        <v/>
      </c>
      <c r="CF171" s="157" t="str">
        <f>IFERROR(__xludf.DUMMYFUNCTION("""COMPUTED_VALUE"""),"")</f>
        <v/>
      </c>
      <c r="CG171" s="158" t="str">
        <f>IFERROR(__xludf.DUMMYFUNCTION("""COMPUTED_VALUE"""),"")</f>
        <v/>
      </c>
      <c r="CH171" s="157" t="str">
        <f>IFERROR(__xludf.DUMMYFUNCTION("""COMPUTED_VALUE"""),"")</f>
        <v/>
      </c>
      <c r="CI171" s="157" t="str">
        <f>IFERROR(__xludf.DUMMYFUNCTION("""COMPUTED_VALUE"""),"")</f>
        <v/>
      </c>
      <c r="CJ171" s="158" t="str">
        <f>IFERROR(__xludf.DUMMYFUNCTION("""COMPUTED_VALUE"""),"")</f>
        <v/>
      </c>
      <c r="CK171" s="157" t="str">
        <f>IFERROR(__xludf.DUMMYFUNCTION("""COMPUTED_VALUE"""),"")</f>
        <v/>
      </c>
      <c r="CL171" s="157" t="str">
        <f>IFERROR(__xludf.DUMMYFUNCTION("""COMPUTED_VALUE"""),"")</f>
        <v/>
      </c>
      <c r="CM171" s="158" t="str">
        <f>IFERROR(__xludf.DUMMYFUNCTION("""COMPUTED_VALUE"""),"")</f>
        <v/>
      </c>
      <c r="CN171" s="157" t="str">
        <f>IFERROR(__xludf.DUMMYFUNCTION("""COMPUTED_VALUE"""),"")</f>
        <v/>
      </c>
      <c r="CO171" s="157" t="str">
        <f>IFERROR(__xludf.DUMMYFUNCTION("""COMPUTED_VALUE"""),"")</f>
        <v/>
      </c>
      <c r="CP171" s="158" t="str">
        <f>IFERROR(__xludf.DUMMYFUNCTION("""COMPUTED_VALUE"""),"")</f>
        <v/>
      </c>
      <c r="CQ171" s="157">
        <f>IFERROR(__xludf.DUMMYFUNCTION("""COMPUTED_VALUE"""),397.7)</f>
        <v>397.7</v>
      </c>
      <c r="CR171" s="157" t="str">
        <f>IFERROR(__xludf.DUMMYFUNCTION("""COMPUTED_VALUE"""),"")</f>
        <v/>
      </c>
      <c r="CS171" s="158"/>
      <c r="CT171" s="157"/>
      <c r="CU171" s="157"/>
      <c r="CV171" s="158"/>
      <c r="CW171" s="157"/>
      <c r="CX171" s="157"/>
      <c r="CY171" s="158"/>
      <c r="CZ171" s="157"/>
      <c r="DA171" s="157"/>
      <c r="DB171" s="158"/>
      <c r="DC171" s="157"/>
      <c r="DD171" s="157"/>
      <c r="DE171" s="158"/>
      <c r="DF171" s="157"/>
      <c r="DG171" s="157"/>
      <c r="DH171" s="158"/>
      <c r="DI171" s="157"/>
      <c r="DJ171" s="157"/>
      <c r="DK171" s="158"/>
      <c r="DL171" s="157"/>
      <c r="DM171" s="157"/>
      <c r="DN171" s="158"/>
      <c r="DO171" s="157"/>
      <c r="DP171" s="157"/>
      <c r="DQ171" s="158"/>
      <c r="DR171" s="157"/>
      <c r="DS171" s="157"/>
      <c r="DT171" s="158"/>
    </row>
    <row r="172">
      <c r="A172" s="160" t="str">
        <f>IFERROR(__xludf.DUMMYFUNCTION("""COMPUTED_VALUE"""),"SALEM")</f>
        <v>SALEM</v>
      </c>
      <c r="B172" s="120" t="str">
        <f>IFERROR(__xludf.DUMMYFUNCTION("""COMPUTED_VALUE"""),"SLM1")</f>
        <v>SLM1</v>
      </c>
      <c r="C172" s="82">
        <f>IFERROR(__xludf.DUMMYFUNCTION("""COMPUTED_VALUE"""),165.0)</f>
        <v>165</v>
      </c>
      <c r="D172" s="88" t="str">
        <f>IFERROR(__xludf.DUMMYFUNCTION("""COMPUTED_VALUE"""),"Quiet Forest")</f>
        <v>Quiet Forest</v>
      </c>
      <c r="E172" s="82" t="str">
        <f>IFERROR(__xludf.DUMMYFUNCTION("""COMPUTED_VALUE"""),"静寂な森")</f>
        <v>静寂な森</v>
      </c>
      <c r="F172" s="102">
        <f>IFERROR(__xludf.DUMMYFUNCTION("""COMPUTED_VALUE"""),20.0)</f>
        <v>20</v>
      </c>
      <c r="G172" s="82">
        <f>IFERROR(__xludf.DUMMYFUNCTION("""COMPUTED_VALUE"""),3543.0)</f>
        <v>3543</v>
      </c>
      <c r="H172" s="95" t="str">
        <f>IFERROR(__xludf.DUMMYFUNCTION("""COMPUTED_VALUE"""),"")</f>
        <v/>
      </c>
      <c r="I172" s="96" t="str">
        <f>IFERROR(__xludf.DUMMYFUNCTION("""COMPUTED_VALUE"""),"")</f>
        <v/>
      </c>
      <c r="J172" s="97" t="str">
        <f>IFERROR(__xludf.DUMMYFUNCTION("""COMPUTED_VALUE"""),"")</f>
        <v/>
      </c>
      <c r="K172" s="95" t="str">
        <f>IFERROR(__xludf.DUMMYFUNCTION("""COMPUTED_VALUE"""),"")</f>
        <v/>
      </c>
      <c r="L172" s="96" t="str">
        <f>IFERROR(__xludf.DUMMYFUNCTION("""COMPUTED_VALUE"""),"")</f>
        <v/>
      </c>
      <c r="M172" s="97" t="str">
        <f>IFERROR(__xludf.DUMMYFUNCTION("""COMPUTED_VALUE"""),"")</f>
        <v/>
      </c>
      <c r="N172" s="95" t="str">
        <f>IFERROR(__xludf.DUMMYFUNCTION("""COMPUTED_VALUE"""),"")</f>
        <v/>
      </c>
      <c r="O172" s="96" t="str">
        <f>IFERROR(__xludf.DUMMYFUNCTION("""COMPUTED_VALUE"""),"")</f>
        <v/>
      </c>
      <c r="P172" s="97" t="str">
        <f>IFERROR(__xludf.DUMMYFUNCTION("""COMPUTED_VALUE"""),"")</f>
        <v/>
      </c>
      <c r="Q172" s="95" t="str">
        <f>IFERROR(__xludf.DUMMYFUNCTION("""COMPUTED_VALUE"""),"")</f>
        <v/>
      </c>
      <c r="R172" s="96" t="str">
        <f>IFERROR(__xludf.DUMMYFUNCTION("""COMPUTED_VALUE"""),"")</f>
        <v/>
      </c>
      <c r="S172" s="97" t="str">
        <f>IFERROR(__xludf.DUMMYFUNCTION("""COMPUTED_VALUE"""),"")</f>
        <v/>
      </c>
      <c r="T172" s="95" t="str">
        <f>IFERROR(__xludf.DUMMYFUNCTION("""COMPUTED_VALUE"""),"")</f>
        <v/>
      </c>
      <c r="U172" s="96" t="str">
        <f>IFERROR(__xludf.DUMMYFUNCTION("""COMPUTED_VALUE"""),"")</f>
        <v/>
      </c>
      <c r="V172" s="97" t="str">
        <f>IFERROR(__xludf.DUMMYFUNCTION("""COMPUTED_VALUE"""),"")</f>
        <v/>
      </c>
      <c r="W172" s="95" t="str">
        <f>IFERROR(__xludf.DUMMYFUNCTION("""COMPUTED_VALUE"""),"")</f>
        <v/>
      </c>
      <c r="X172" s="96" t="str">
        <f>IFERROR(__xludf.DUMMYFUNCTION("""COMPUTED_VALUE"""),"")</f>
        <v/>
      </c>
      <c r="Y172" s="97" t="str">
        <f>IFERROR(__xludf.DUMMYFUNCTION("""COMPUTED_VALUE"""),"")</f>
        <v/>
      </c>
      <c r="Z172" s="95">
        <f>IFERROR(__xludf.DUMMYFUNCTION("""COMPUTED_VALUE"""),41.5)</f>
        <v>41.5</v>
      </c>
      <c r="AA172" s="96" t="str">
        <f>IFERROR(__xludf.DUMMYFUNCTION("""COMPUTED_VALUE"""),"")</f>
        <v/>
      </c>
      <c r="AB172" s="97" t="str">
        <f>IFERROR(__xludf.DUMMYFUNCTION("""COMPUTED_VALUE"""),"")</f>
        <v/>
      </c>
      <c r="AC172" s="95" t="str">
        <f>IFERROR(__xludf.DUMMYFUNCTION("""COMPUTED_VALUE"""),"")</f>
        <v/>
      </c>
      <c r="AD172" s="96" t="str">
        <f>IFERROR(__xludf.DUMMYFUNCTION("""COMPUTED_VALUE"""),"")</f>
        <v/>
      </c>
      <c r="AE172" s="97" t="str">
        <f>IFERROR(__xludf.DUMMYFUNCTION("""COMPUTED_VALUE"""),"")</f>
        <v/>
      </c>
      <c r="AF172" s="95" t="str">
        <f>IFERROR(__xludf.DUMMYFUNCTION("""COMPUTED_VALUE"""),"")</f>
        <v/>
      </c>
      <c r="AG172" s="96" t="str">
        <f>IFERROR(__xludf.DUMMYFUNCTION("""COMPUTED_VALUE"""),"")</f>
        <v/>
      </c>
      <c r="AH172" s="97" t="str">
        <f>IFERROR(__xludf.DUMMYFUNCTION("""COMPUTED_VALUE"""),"")</f>
        <v/>
      </c>
      <c r="AI172" s="161" t="str">
        <f>IFERROR(__xludf.DUMMYFUNCTION("""COMPUTED_VALUE"""),"")</f>
        <v/>
      </c>
      <c r="AJ172" s="162" t="str">
        <f>IFERROR(__xludf.DUMMYFUNCTION("""COMPUTED_VALUE"""),"")</f>
        <v/>
      </c>
      <c r="AK172" s="163" t="str">
        <f>IFERROR(__xludf.DUMMYFUNCTION("""COMPUTED_VALUE"""),"")</f>
        <v/>
      </c>
      <c r="AL172" s="162" t="str">
        <f>IFERROR(__xludf.DUMMYFUNCTION("""COMPUTED_VALUE"""),"")</f>
        <v/>
      </c>
      <c r="AM172" s="162" t="str">
        <f>IFERROR(__xludf.DUMMYFUNCTION("""COMPUTED_VALUE"""),"")</f>
        <v/>
      </c>
      <c r="AN172" s="163" t="str">
        <f>IFERROR(__xludf.DUMMYFUNCTION("""COMPUTED_VALUE"""),"")</f>
        <v/>
      </c>
      <c r="AO172" s="162" t="str">
        <f>IFERROR(__xludf.DUMMYFUNCTION("""COMPUTED_VALUE"""),"")</f>
        <v/>
      </c>
      <c r="AP172" s="162" t="str">
        <f>IFERROR(__xludf.DUMMYFUNCTION("""COMPUTED_VALUE"""),"")</f>
        <v/>
      </c>
      <c r="AQ172" s="163" t="str">
        <f>IFERROR(__xludf.DUMMYFUNCTION("""COMPUTED_VALUE"""),"")</f>
        <v/>
      </c>
      <c r="AR172" s="162" t="str">
        <f>IFERROR(__xludf.DUMMYFUNCTION("""COMPUTED_VALUE"""),"")</f>
        <v/>
      </c>
      <c r="AS172" s="162" t="str">
        <f>IFERROR(__xludf.DUMMYFUNCTION("""COMPUTED_VALUE"""),"")</f>
        <v/>
      </c>
      <c r="AT172" s="163" t="str">
        <f>IFERROR(__xludf.DUMMYFUNCTION("""COMPUTED_VALUE"""),"")</f>
        <v/>
      </c>
      <c r="AU172" s="162" t="str">
        <f>IFERROR(__xludf.DUMMYFUNCTION("""COMPUTED_VALUE"""),"")</f>
        <v/>
      </c>
      <c r="AV172" s="162" t="str">
        <f>IFERROR(__xludf.DUMMYFUNCTION("""COMPUTED_VALUE"""),"")</f>
        <v/>
      </c>
      <c r="AW172" s="163" t="str">
        <f>IFERROR(__xludf.DUMMYFUNCTION("""COMPUTED_VALUE"""),"")</f>
        <v/>
      </c>
      <c r="AX172" s="162" t="str">
        <f>IFERROR(__xludf.DUMMYFUNCTION("""COMPUTED_VALUE"""),"")</f>
        <v/>
      </c>
      <c r="AY172" s="162" t="str">
        <f>IFERROR(__xludf.DUMMYFUNCTION("""COMPUTED_VALUE"""),"")</f>
        <v/>
      </c>
      <c r="AZ172" s="134" t="str">
        <f>IFERROR(__xludf.DUMMYFUNCTION("""COMPUTED_VALUE"""),"")</f>
        <v/>
      </c>
      <c r="BA172" s="162" t="str">
        <f>IFERROR(__xludf.DUMMYFUNCTION("""COMPUTED_VALUE"""),"")</f>
        <v/>
      </c>
      <c r="BB172" s="162" t="str">
        <f>IFERROR(__xludf.DUMMYFUNCTION("""COMPUTED_VALUE"""),"")</f>
        <v/>
      </c>
      <c r="BC172" s="163" t="str">
        <f>IFERROR(__xludf.DUMMYFUNCTION("""COMPUTED_VALUE"""),"")</f>
        <v/>
      </c>
      <c r="BD172" s="162" t="str">
        <f>IFERROR(__xludf.DUMMYFUNCTION("""COMPUTED_VALUE"""),"")</f>
        <v/>
      </c>
      <c r="BE172" s="162" t="str">
        <f>IFERROR(__xludf.DUMMYFUNCTION("""COMPUTED_VALUE"""),"")</f>
        <v/>
      </c>
      <c r="BF172" s="163" t="str">
        <f>IFERROR(__xludf.DUMMYFUNCTION("""COMPUTED_VALUE"""),"")</f>
        <v/>
      </c>
      <c r="BG172" s="161" t="str">
        <f>IFERROR(__xludf.DUMMYFUNCTION("""COMPUTED_VALUE"""),"")</f>
        <v/>
      </c>
      <c r="BH172" s="162" t="str">
        <f>IFERROR(__xludf.DUMMYFUNCTION("""COMPUTED_VALUE"""),"")</f>
        <v/>
      </c>
      <c r="BI172" s="163" t="str">
        <f>IFERROR(__xludf.DUMMYFUNCTION("""COMPUTED_VALUE"""),"")</f>
        <v/>
      </c>
      <c r="BJ172" s="162" t="str">
        <f>IFERROR(__xludf.DUMMYFUNCTION("""COMPUTED_VALUE"""),"")</f>
        <v/>
      </c>
      <c r="BK172" s="162" t="str">
        <f>IFERROR(__xludf.DUMMYFUNCTION("""COMPUTED_VALUE"""),"")</f>
        <v/>
      </c>
      <c r="BL172" s="163" t="str">
        <f>IFERROR(__xludf.DUMMYFUNCTION("""COMPUTED_VALUE"""),"")</f>
        <v/>
      </c>
      <c r="BM172" s="162" t="str">
        <f>IFERROR(__xludf.DUMMYFUNCTION("""COMPUTED_VALUE"""),"")</f>
        <v/>
      </c>
      <c r="BN172" s="162" t="str">
        <f>IFERROR(__xludf.DUMMYFUNCTION("""COMPUTED_VALUE"""),"")</f>
        <v/>
      </c>
      <c r="BO172" s="163" t="str">
        <f>IFERROR(__xludf.DUMMYFUNCTION("""COMPUTED_VALUE"""),"")</f>
        <v/>
      </c>
      <c r="BP172" s="162" t="str">
        <f>IFERROR(__xludf.DUMMYFUNCTION("""COMPUTED_VALUE"""),"")</f>
        <v/>
      </c>
      <c r="BQ172" s="162" t="str">
        <f>IFERROR(__xludf.DUMMYFUNCTION("""COMPUTED_VALUE"""),"")</f>
        <v/>
      </c>
      <c r="BR172" s="163" t="str">
        <f>IFERROR(__xludf.DUMMYFUNCTION("""COMPUTED_VALUE"""),"")</f>
        <v/>
      </c>
      <c r="BS172" s="162" t="str">
        <f>IFERROR(__xludf.DUMMYFUNCTION("""COMPUTED_VALUE"""),"")</f>
        <v/>
      </c>
      <c r="BT172" s="162">
        <f>IFERROR(__xludf.DUMMYFUNCTION("""COMPUTED_VALUE"""),43.6)</f>
        <v>43.6</v>
      </c>
      <c r="BU172" s="163" t="str">
        <f>IFERROR(__xludf.DUMMYFUNCTION("""COMPUTED_VALUE"""),"")</f>
        <v/>
      </c>
      <c r="BV172" s="162" t="str">
        <f>IFERROR(__xludf.DUMMYFUNCTION("""COMPUTED_VALUE"""),"")</f>
        <v/>
      </c>
      <c r="BW172" s="162" t="str">
        <f>IFERROR(__xludf.DUMMYFUNCTION("""COMPUTED_VALUE"""),"")</f>
        <v/>
      </c>
      <c r="BX172" s="163" t="str">
        <f>IFERROR(__xludf.DUMMYFUNCTION("""COMPUTED_VALUE"""),"")</f>
        <v/>
      </c>
      <c r="BY172" s="162" t="str">
        <f>IFERROR(__xludf.DUMMYFUNCTION("""COMPUTED_VALUE"""),"")</f>
        <v/>
      </c>
      <c r="BZ172" s="162" t="str">
        <f>IFERROR(__xludf.DUMMYFUNCTION("""COMPUTED_VALUE"""),"")</f>
        <v/>
      </c>
      <c r="CA172" s="163" t="str">
        <f>IFERROR(__xludf.DUMMYFUNCTION("""COMPUTED_VALUE"""),"")</f>
        <v/>
      </c>
      <c r="CB172" s="161" t="str">
        <f>IFERROR(__xludf.DUMMYFUNCTION("""COMPUTED_VALUE"""),"")</f>
        <v/>
      </c>
      <c r="CC172" s="162" t="str">
        <f>IFERROR(__xludf.DUMMYFUNCTION("""COMPUTED_VALUE"""),"")</f>
        <v/>
      </c>
      <c r="CD172" s="163" t="str">
        <f>IFERROR(__xludf.DUMMYFUNCTION("""COMPUTED_VALUE"""),"")</f>
        <v/>
      </c>
      <c r="CE172" s="162" t="str">
        <f>IFERROR(__xludf.DUMMYFUNCTION("""COMPUTED_VALUE"""),"")</f>
        <v/>
      </c>
      <c r="CF172" s="162" t="str">
        <f>IFERROR(__xludf.DUMMYFUNCTION("""COMPUTED_VALUE"""),"")</f>
        <v/>
      </c>
      <c r="CG172" s="163" t="str">
        <f>IFERROR(__xludf.DUMMYFUNCTION("""COMPUTED_VALUE"""),"")</f>
        <v/>
      </c>
      <c r="CH172" s="162" t="str">
        <f>IFERROR(__xludf.DUMMYFUNCTION("""COMPUTED_VALUE"""),"")</f>
        <v/>
      </c>
      <c r="CI172" s="162" t="str">
        <f>IFERROR(__xludf.DUMMYFUNCTION("""COMPUTED_VALUE"""),"")</f>
        <v/>
      </c>
      <c r="CJ172" s="163" t="str">
        <f>IFERROR(__xludf.DUMMYFUNCTION("""COMPUTED_VALUE"""),"")</f>
        <v/>
      </c>
      <c r="CK172" s="162" t="str">
        <f>IFERROR(__xludf.DUMMYFUNCTION("""COMPUTED_VALUE"""),"")</f>
        <v/>
      </c>
      <c r="CL172" s="162" t="str">
        <f>IFERROR(__xludf.DUMMYFUNCTION("""COMPUTED_VALUE"""),"")</f>
        <v/>
      </c>
      <c r="CM172" s="163" t="str">
        <f>IFERROR(__xludf.DUMMYFUNCTION("""COMPUTED_VALUE"""),"")</f>
        <v/>
      </c>
      <c r="CN172" s="162" t="str">
        <f>IFERROR(__xludf.DUMMYFUNCTION("""COMPUTED_VALUE"""),"")</f>
        <v/>
      </c>
      <c r="CO172" s="162" t="str">
        <f>IFERROR(__xludf.DUMMYFUNCTION("""COMPUTED_VALUE"""),"")</f>
        <v/>
      </c>
      <c r="CP172" s="163" t="str">
        <f>IFERROR(__xludf.DUMMYFUNCTION("""COMPUTED_VALUE"""),"")</f>
        <v/>
      </c>
      <c r="CQ172" s="162" t="str">
        <f>IFERROR(__xludf.DUMMYFUNCTION("""COMPUTED_VALUE"""),"")</f>
        <v/>
      </c>
      <c r="CR172" s="162" t="str">
        <f>IFERROR(__xludf.DUMMYFUNCTION("""COMPUTED_VALUE"""),"")</f>
        <v/>
      </c>
      <c r="CS172" s="163"/>
      <c r="CT172" s="162"/>
      <c r="CU172" s="162"/>
      <c r="CV172" s="163"/>
      <c r="CW172" s="162"/>
      <c r="CX172" s="162"/>
      <c r="CY172" s="163"/>
      <c r="CZ172" s="162"/>
      <c r="DA172" s="162"/>
      <c r="DB172" s="163"/>
      <c r="DC172" s="162"/>
      <c r="DD172" s="162"/>
      <c r="DE172" s="163"/>
      <c r="DF172" s="162"/>
      <c r="DG172" s="162"/>
      <c r="DH172" s="163"/>
      <c r="DI172" s="162"/>
      <c r="DJ172" s="162"/>
      <c r="DK172" s="163"/>
      <c r="DL172" s="162"/>
      <c r="DM172" s="162"/>
      <c r="DN172" s="163"/>
      <c r="DO172" s="162"/>
      <c r="DP172" s="162"/>
      <c r="DQ172" s="163"/>
      <c r="DR172" s="162"/>
      <c r="DS172" s="162"/>
      <c r="DT172" s="163"/>
    </row>
    <row r="173">
      <c r="B173" s="120" t="str">
        <f>IFERROR(__xludf.DUMMYFUNCTION("""COMPUTED_VALUE"""),"SLM2")</f>
        <v>SLM2</v>
      </c>
      <c r="C173" s="82">
        <f>IFERROR(__xludf.DUMMYFUNCTION("""COMPUTED_VALUE"""),166.0)</f>
        <v>166</v>
      </c>
      <c r="D173" s="88" t="str">
        <f>IFERROR(__xludf.DUMMYFUNCTION("""COMPUTED_VALUE"""),"Carter Residence")</f>
        <v>Carter Residence</v>
      </c>
      <c r="E173" s="82" t="str">
        <f>IFERROR(__xludf.DUMMYFUNCTION("""COMPUTED_VALUE"""),"カーター家")</f>
        <v>カーター家</v>
      </c>
      <c r="F173" s="102">
        <f>IFERROR(__xludf.DUMMYFUNCTION("""COMPUTED_VALUE"""),20.0)</f>
        <v>20</v>
      </c>
      <c r="G173" s="82">
        <f>IFERROR(__xludf.DUMMYFUNCTION("""COMPUTED_VALUE"""),120434.0)</f>
        <v>120434</v>
      </c>
      <c r="H173" s="95" t="str">
        <f>IFERROR(__xludf.DUMMYFUNCTION("""COMPUTED_VALUE"""),"")</f>
        <v/>
      </c>
      <c r="I173" s="96">
        <f>IFERROR(__xludf.DUMMYFUNCTION("""COMPUTED_VALUE"""),162.9)</f>
        <v>162.9</v>
      </c>
      <c r="J173" s="97" t="str">
        <f>IFERROR(__xludf.DUMMYFUNCTION("""COMPUTED_VALUE"""),"")</f>
        <v/>
      </c>
      <c r="K173" s="95" t="str">
        <f>IFERROR(__xludf.DUMMYFUNCTION("""COMPUTED_VALUE"""),"")</f>
        <v/>
      </c>
      <c r="L173" s="96" t="str">
        <f>IFERROR(__xludf.DUMMYFUNCTION("""COMPUTED_VALUE"""),"")</f>
        <v/>
      </c>
      <c r="M173" s="97" t="str">
        <f>IFERROR(__xludf.DUMMYFUNCTION("""COMPUTED_VALUE"""),"")</f>
        <v/>
      </c>
      <c r="N173" s="95" t="str">
        <f>IFERROR(__xludf.DUMMYFUNCTION("""COMPUTED_VALUE"""),"")</f>
        <v/>
      </c>
      <c r="O173" s="96" t="str">
        <f>IFERROR(__xludf.DUMMYFUNCTION("""COMPUTED_VALUE"""),"")</f>
        <v/>
      </c>
      <c r="P173" s="97" t="str">
        <f>IFERROR(__xludf.DUMMYFUNCTION("""COMPUTED_VALUE"""),"")</f>
        <v/>
      </c>
      <c r="Q173" s="95" t="str">
        <f>IFERROR(__xludf.DUMMYFUNCTION("""COMPUTED_VALUE"""),"")</f>
        <v/>
      </c>
      <c r="R173" s="96" t="str">
        <f>IFERROR(__xludf.DUMMYFUNCTION("""COMPUTED_VALUE"""),"")</f>
        <v/>
      </c>
      <c r="S173" s="97" t="str">
        <f>IFERROR(__xludf.DUMMYFUNCTION("""COMPUTED_VALUE"""),"")</f>
        <v/>
      </c>
      <c r="T173" s="95" t="str">
        <f>IFERROR(__xludf.DUMMYFUNCTION("""COMPUTED_VALUE"""),"")</f>
        <v/>
      </c>
      <c r="U173" s="96" t="str">
        <f>IFERROR(__xludf.DUMMYFUNCTION("""COMPUTED_VALUE"""),"")</f>
        <v/>
      </c>
      <c r="V173" s="97" t="str">
        <f>IFERROR(__xludf.DUMMYFUNCTION("""COMPUTED_VALUE"""),"")</f>
        <v/>
      </c>
      <c r="W173" s="95" t="str">
        <f>IFERROR(__xludf.DUMMYFUNCTION("""COMPUTED_VALUE"""),"")</f>
        <v/>
      </c>
      <c r="X173" s="96" t="str">
        <f>IFERROR(__xludf.DUMMYFUNCTION("""COMPUTED_VALUE"""),"")</f>
        <v/>
      </c>
      <c r="Y173" s="97" t="str">
        <f>IFERROR(__xludf.DUMMYFUNCTION("""COMPUTED_VALUE"""),"")</f>
        <v/>
      </c>
      <c r="Z173" s="95" t="str">
        <f>IFERROR(__xludf.DUMMYFUNCTION("""COMPUTED_VALUE"""),"")</f>
        <v/>
      </c>
      <c r="AA173" s="96" t="str">
        <f>IFERROR(__xludf.DUMMYFUNCTION("""COMPUTED_VALUE"""),"")</f>
        <v/>
      </c>
      <c r="AB173" s="97" t="str">
        <f>IFERROR(__xludf.DUMMYFUNCTION("""COMPUTED_VALUE"""),"")</f>
        <v/>
      </c>
      <c r="AC173" s="95" t="str">
        <f>IFERROR(__xludf.DUMMYFUNCTION("""COMPUTED_VALUE"""),"")</f>
        <v/>
      </c>
      <c r="AD173" s="96" t="str">
        <f>IFERROR(__xludf.DUMMYFUNCTION("""COMPUTED_VALUE"""),"")</f>
        <v/>
      </c>
      <c r="AE173" s="97" t="str">
        <f>IFERROR(__xludf.DUMMYFUNCTION("""COMPUTED_VALUE"""),"")</f>
        <v/>
      </c>
      <c r="AF173" s="95" t="str">
        <f>IFERROR(__xludf.DUMMYFUNCTION("""COMPUTED_VALUE"""),"")</f>
        <v/>
      </c>
      <c r="AG173" s="96" t="str">
        <f>IFERROR(__xludf.DUMMYFUNCTION("""COMPUTED_VALUE"""),"")</f>
        <v/>
      </c>
      <c r="AH173" s="97" t="str">
        <f>IFERROR(__xludf.DUMMYFUNCTION("""COMPUTED_VALUE"""),"")</f>
        <v/>
      </c>
      <c r="AI173" s="92" t="str">
        <f>IFERROR(__xludf.DUMMYFUNCTION("""COMPUTED_VALUE"""),"")</f>
        <v/>
      </c>
      <c r="AJ173" s="143" t="str">
        <f>IFERROR(__xludf.DUMMYFUNCTION("""COMPUTED_VALUE"""),"")</f>
        <v/>
      </c>
      <c r="AK173" s="94" t="str">
        <f>IFERROR(__xludf.DUMMYFUNCTION("""COMPUTED_VALUE"""),"")</f>
        <v/>
      </c>
      <c r="AL173" s="93" t="str">
        <f>IFERROR(__xludf.DUMMYFUNCTION("""COMPUTED_VALUE"""),"")</f>
        <v/>
      </c>
      <c r="AM173" s="93" t="str">
        <f>IFERROR(__xludf.DUMMYFUNCTION("""COMPUTED_VALUE"""),"")</f>
        <v/>
      </c>
      <c r="AN173" s="94" t="str">
        <f>IFERROR(__xludf.DUMMYFUNCTION("""COMPUTED_VALUE"""),"")</f>
        <v/>
      </c>
      <c r="AO173" s="93" t="str">
        <f>IFERROR(__xludf.DUMMYFUNCTION("""COMPUTED_VALUE"""),"")</f>
        <v/>
      </c>
      <c r="AP173" s="93" t="str">
        <f>IFERROR(__xludf.DUMMYFUNCTION("""COMPUTED_VALUE"""),"")</f>
        <v/>
      </c>
      <c r="AQ173" s="94" t="str">
        <f>IFERROR(__xludf.DUMMYFUNCTION("""COMPUTED_VALUE"""),"")</f>
        <v/>
      </c>
      <c r="AR173" s="93" t="str">
        <f>IFERROR(__xludf.DUMMYFUNCTION("""COMPUTED_VALUE"""),"")</f>
        <v/>
      </c>
      <c r="AS173" s="93" t="str">
        <f>IFERROR(__xludf.DUMMYFUNCTION("""COMPUTED_VALUE"""),"")</f>
        <v/>
      </c>
      <c r="AT173" s="94" t="str">
        <f>IFERROR(__xludf.DUMMYFUNCTION("""COMPUTED_VALUE"""),"")</f>
        <v/>
      </c>
      <c r="AU173" s="93" t="str">
        <f>IFERROR(__xludf.DUMMYFUNCTION("""COMPUTED_VALUE"""),"")</f>
        <v/>
      </c>
      <c r="AV173" s="93" t="str">
        <f>IFERROR(__xludf.DUMMYFUNCTION("""COMPUTED_VALUE"""),"")</f>
        <v/>
      </c>
      <c r="AW173" s="94" t="str">
        <f>IFERROR(__xludf.DUMMYFUNCTION("""COMPUTED_VALUE"""),"")</f>
        <v/>
      </c>
      <c r="AX173" s="93" t="str">
        <f>IFERROR(__xludf.DUMMYFUNCTION("""COMPUTED_VALUE"""),"")</f>
        <v/>
      </c>
      <c r="AY173" s="93" t="str">
        <f>IFERROR(__xludf.DUMMYFUNCTION("""COMPUTED_VALUE"""),"")</f>
        <v/>
      </c>
      <c r="AZ173" s="94" t="str">
        <f>IFERROR(__xludf.DUMMYFUNCTION("""COMPUTED_VALUE"""),"")</f>
        <v/>
      </c>
      <c r="BA173" s="93">
        <f>IFERROR(__xludf.DUMMYFUNCTION("""COMPUTED_VALUE"""),50.0)</f>
        <v>50</v>
      </c>
      <c r="BB173" s="93" t="str">
        <f>IFERROR(__xludf.DUMMYFUNCTION("""COMPUTED_VALUE"""),"")</f>
        <v/>
      </c>
      <c r="BC173" s="94" t="str">
        <f>IFERROR(__xludf.DUMMYFUNCTION("""COMPUTED_VALUE"""),"")</f>
        <v/>
      </c>
      <c r="BD173" s="93" t="str">
        <f>IFERROR(__xludf.DUMMYFUNCTION("""COMPUTED_VALUE"""),"")</f>
        <v/>
      </c>
      <c r="BE173" s="93" t="str">
        <f>IFERROR(__xludf.DUMMYFUNCTION("""COMPUTED_VALUE"""),"")</f>
        <v/>
      </c>
      <c r="BF173" s="94" t="str">
        <f>IFERROR(__xludf.DUMMYFUNCTION("""COMPUTED_VALUE"""),"")</f>
        <v/>
      </c>
      <c r="BG173" s="92">
        <f>IFERROR(__xludf.DUMMYFUNCTION("""COMPUTED_VALUE"""),454.1)</f>
        <v>454.1</v>
      </c>
      <c r="BH173" s="93" t="str">
        <f>IFERROR(__xludf.DUMMYFUNCTION("""COMPUTED_VALUE"""),"")</f>
        <v/>
      </c>
      <c r="BI173" s="94" t="str">
        <f>IFERROR(__xludf.DUMMYFUNCTION("""COMPUTED_VALUE"""),"")</f>
        <v/>
      </c>
      <c r="BJ173" s="93" t="str">
        <f>IFERROR(__xludf.DUMMYFUNCTION("""COMPUTED_VALUE"""),"")</f>
        <v/>
      </c>
      <c r="BK173" s="93" t="str">
        <f>IFERROR(__xludf.DUMMYFUNCTION("""COMPUTED_VALUE"""),"")</f>
        <v/>
      </c>
      <c r="BL173" s="94" t="str">
        <f>IFERROR(__xludf.DUMMYFUNCTION("""COMPUTED_VALUE"""),"")</f>
        <v/>
      </c>
      <c r="BM173" s="93" t="str">
        <f>IFERROR(__xludf.DUMMYFUNCTION("""COMPUTED_VALUE"""),"")</f>
        <v/>
      </c>
      <c r="BN173" s="93" t="str">
        <f>IFERROR(__xludf.DUMMYFUNCTION("""COMPUTED_VALUE"""),"")</f>
        <v/>
      </c>
      <c r="BO173" s="94">
        <f>IFERROR(__xludf.DUMMYFUNCTION("""COMPUTED_VALUE"""),80.2)</f>
        <v>80.2</v>
      </c>
      <c r="BP173" s="93" t="str">
        <f>IFERROR(__xludf.DUMMYFUNCTION("""COMPUTED_VALUE"""),"")</f>
        <v/>
      </c>
      <c r="BQ173" s="93" t="str">
        <f>IFERROR(__xludf.DUMMYFUNCTION("""COMPUTED_VALUE"""),"")</f>
        <v/>
      </c>
      <c r="BR173" s="94" t="str">
        <f>IFERROR(__xludf.DUMMYFUNCTION("""COMPUTED_VALUE"""),"")</f>
        <v/>
      </c>
      <c r="BS173" s="93" t="str">
        <f>IFERROR(__xludf.DUMMYFUNCTION("""COMPUTED_VALUE"""),"")</f>
        <v/>
      </c>
      <c r="BT173" s="93" t="str">
        <f>IFERROR(__xludf.DUMMYFUNCTION("""COMPUTED_VALUE"""),"")</f>
        <v/>
      </c>
      <c r="BU173" s="94" t="str">
        <f>IFERROR(__xludf.DUMMYFUNCTION("""COMPUTED_VALUE"""),"")</f>
        <v/>
      </c>
      <c r="BV173" s="93" t="str">
        <f>IFERROR(__xludf.DUMMYFUNCTION("""COMPUTED_VALUE"""),"")</f>
        <v/>
      </c>
      <c r="BW173" s="106" t="str">
        <f>IFERROR(__xludf.DUMMYFUNCTION("""COMPUTED_VALUE"""),"")</f>
        <v/>
      </c>
      <c r="BX173" s="94" t="str">
        <f>IFERROR(__xludf.DUMMYFUNCTION("""COMPUTED_VALUE"""),"")</f>
        <v/>
      </c>
      <c r="BY173" s="93" t="str">
        <f>IFERROR(__xludf.DUMMYFUNCTION("""COMPUTED_VALUE"""),"")</f>
        <v/>
      </c>
      <c r="BZ173" s="93" t="str">
        <f>IFERROR(__xludf.DUMMYFUNCTION("""COMPUTED_VALUE"""),"")</f>
        <v/>
      </c>
      <c r="CA173" s="94" t="str">
        <f>IFERROR(__xludf.DUMMYFUNCTION("""COMPUTED_VALUE"""),"")</f>
        <v/>
      </c>
      <c r="CB173" s="92" t="str">
        <f>IFERROR(__xludf.DUMMYFUNCTION("""COMPUTED_VALUE"""),"")</f>
        <v/>
      </c>
      <c r="CC173" s="93" t="str">
        <f>IFERROR(__xludf.DUMMYFUNCTION("""COMPUTED_VALUE"""),"")</f>
        <v/>
      </c>
      <c r="CD173" s="94" t="str">
        <f>IFERROR(__xludf.DUMMYFUNCTION("""COMPUTED_VALUE"""),"")</f>
        <v/>
      </c>
      <c r="CE173" s="93" t="str">
        <f>IFERROR(__xludf.DUMMYFUNCTION("""COMPUTED_VALUE"""),"")</f>
        <v/>
      </c>
      <c r="CF173" s="93" t="str">
        <f>IFERROR(__xludf.DUMMYFUNCTION("""COMPUTED_VALUE"""),"")</f>
        <v/>
      </c>
      <c r="CG173" s="94" t="str">
        <f>IFERROR(__xludf.DUMMYFUNCTION("""COMPUTED_VALUE"""),"")</f>
        <v/>
      </c>
      <c r="CH173" s="93" t="str">
        <f>IFERROR(__xludf.DUMMYFUNCTION("""COMPUTED_VALUE"""),"")</f>
        <v/>
      </c>
      <c r="CI173" s="93" t="str">
        <f>IFERROR(__xludf.DUMMYFUNCTION("""COMPUTED_VALUE"""),"")</f>
        <v/>
      </c>
      <c r="CJ173" s="94" t="str">
        <f>IFERROR(__xludf.DUMMYFUNCTION("""COMPUTED_VALUE"""),"")</f>
        <v/>
      </c>
      <c r="CK173" s="93" t="str">
        <f>IFERROR(__xludf.DUMMYFUNCTION("""COMPUTED_VALUE"""),"")</f>
        <v/>
      </c>
      <c r="CL173" s="93" t="str">
        <f>IFERROR(__xludf.DUMMYFUNCTION("""COMPUTED_VALUE"""),"")</f>
        <v/>
      </c>
      <c r="CM173" s="94" t="str">
        <f>IFERROR(__xludf.DUMMYFUNCTION("""COMPUTED_VALUE"""),"")</f>
        <v/>
      </c>
      <c r="CN173" s="93" t="str">
        <f>IFERROR(__xludf.DUMMYFUNCTION("""COMPUTED_VALUE"""),"")</f>
        <v/>
      </c>
      <c r="CO173" s="93" t="str">
        <f>IFERROR(__xludf.DUMMYFUNCTION("""COMPUTED_VALUE"""),"")</f>
        <v/>
      </c>
      <c r="CP173" s="94">
        <f>IFERROR(__xludf.DUMMYFUNCTION("""COMPUTED_VALUE"""),399.2)</f>
        <v>399.2</v>
      </c>
      <c r="CQ173" s="93">
        <f>IFERROR(__xludf.DUMMYFUNCTION("""COMPUTED_VALUE"""),83.1)</f>
        <v>83.1</v>
      </c>
      <c r="CR173" s="106" t="str">
        <f>IFERROR(__xludf.DUMMYFUNCTION("""COMPUTED_VALUE"""),"")</f>
        <v/>
      </c>
      <c r="CS173" s="94"/>
      <c r="CT173" s="93"/>
      <c r="CU173" s="93"/>
      <c r="CV173" s="94"/>
      <c r="CW173" s="93"/>
      <c r="CX173" s="93"/>
      <c r="CY173" s="94"/>
      <c r="CZ173" s="93"/>
      <c r="DA173" s="93"/>
      <c r="DB173" s="94"/>
      <c r="DC173" s="93"/>
      <c r="DD173" s="106"/>
      <c r="DE173" s="94"/>
      <c r="DF173" s="93"/>
      <c r="DG173" s="93"/>
      <c r="DH173" s="94"/>
      <c r="DI173" s="93"/>
      <c r="DJ173" s="93"/>
      <c r="DK173" s="94"/>
      <c r="DL173" s="93"/>
      <c r="DM173" s="106"/>
      <c r="DN173" s="94"/>
      <c r="DO173" s="93"/>
      <c r="DP173" s="106"/>
      <c r="DQ173" s="94"/>
      <c r="DR173" s="93"/>
      <c r="DS173" s="106"/>
      <c r="DT173" s="94"/>
    </row>
    <row r="174">
      <c r="B174" s="120" t="str">
        <f>IFERROR(__xludf.DUMMYFUNCTION("""COMPUTED_VALUE"""),"SLM3")</f>
        <v>SLM3</v>
      </c>
      <c r="C174" s="82">
        <f>IFERROR(__xludf.DUMMYFUNCTION("""COMPUTED_VALUE"""),167.0)</f>
        <v>167</v>
      </c>
      <c r="D174" s="88" t="str">
        <f>IFERROR(__xludf.DUMMYFUNCTION("""COMPUTED_VALUE"""),"Town Hall")</f>
        <v>Town Hall</v>
      </c>
      <c r="E174" s="82" t="str">
        <f>IFERROR(__xludf.DUMMYFUNCTION("""COMPUTED_VALUE"""),"公会堂")</f>
        <v>公会堂</v>
      </c>
      <c r="F174" s="102">
        <f>IFERROR(__xludf.DUMMYFUNCTION("""COMPUTED_VALUE"""),21.0)</f>
        <v>21</v>
      </c>
      <c r="G174" s="82">
        <f>IFERROR(__xludf.DUMMYFUNCTION("""COMPUTED_VALUE"""),35726.0)</f>
        <v>35726</v>
      </c>
      <c r="H174" s="95" t="str">
        <f>IFERROR(__xludf.DUMMYFUNCTION("""COMPUTED_VALUE"""),"")</f>
        <v/>
      </c>
      <c r="I174" s="96" t="str">
        <f>IFERROR(__xludf.DUMMYFUNCTION("""COMPUTED_VALUE"""),"")</f>
        <v/>
      </c>
      <c r="J174" s="97" t="str">
        <f>IFERROR(__xludf.DUMMYFUNCTION("""COMPUTED_VALUE"""),"")</f>
        <v/>
      </c>
      <c r="K174" s="95" t="str">
        <f>IFERROR(__xludf.DUMMYFUNCTION("""COMPUTED_VALUE"""),"")</f>
        <v/>
      </c>
      <c r="L174" s="96" t="str">
        <f>IFERROR(__xludf.DUMMYFUNCTION("""COMPUTED_VALUE"""),"")</f>
        <v/>
      </c>
      <c r="M174" s="97" t="str">
        <f>IFERROR(__xludf.DUMMYFUNCTION("""COMPUTED_VALUE"""),"")</f>
        <v/>
      </c>
      <c r="N174" s="95" t="str">
        <f>IFERROR(__xludf.DUMMYFUNCTION("""COMPUTED_VALUE"""),"")</f>
        <v/>
      </c>
      <c r="O174" s="96" t="str">
        <f>IFERROR(__xludf.DUMMYFUNCTION("""COMPUTED_VALUE"""),"")</f>
        <v/>
      </c>
      <c r="P174" s="97" t="str">
        <f>IFERROR(__xludf.DUMMYFUNCTION("""COMPUTED_VALUE"""),"")</f>
        <v/>
      </c>
      <c r="Q174" s="95" t="str">
        <f>IFERROR(__xludf.DUMMYFUNCTION("""COMPUTED_VALUE"""),"")</f>
        <v/>
      </c>
      <c r="R174" s="96" t="str">
        <f>IFERROR(__xludf.DUMMYFUNCTION("""COMPUTED_VALUE"""),"")</f>
        <v/>
      </c>
      <c r="S174" s="97" t="str">
        <f>IFERROR(__xludf.DUMMYFUNCTION("""COMPUTED_VALUE"""),"")</f>
        <v/>
      </c>
      <c r="T174" s="95" t="str">
        <f>IFERROR(__xludf.DUMMYFUNCTION("""COMPUTED_VALUE"""),"")</f>
        <v/>
      </c>
      <c r="U174" s="96" t="str">
        <f>IFERROR(__xludf.DUMMYFUNCTION("""COMPUTED_VALUE"""),"")</f>
        <v/>
      </c>
      <c r="V174" s="97" t="str">
        <f>IFERROR(__xludf.DUMMYFUNCTION("""COMPUTED_VALUE"""),"")</f>
        <v/>
      </c>
      <c r="W174" s="95" t="str">
        <f>IFERROR(__xludf.DUMMYFUNCTION("""COMPUTED_VALUE"""),"")</f>
        <v/>
      </c>
      <c r="X174" s="96" t="str">
        <f>IFERROR(__xludf.DUMMYFUNCTION("""COMPUTED_VALUE"""),"")</f>
        <v/>
      </c>
      <c r="Y174" s="97" t="str">
        <f>IFERROR(__xludf.DUMMYFUNCTION("""COMPUTED_VALUE"""),"")</f>
        <v/>
      </c>
      <c r="Z174" s="95" t="str">
        <f>IFERROR(__xludf.DUMMYFUNCTION("""COMPUTED_VALUE"""),"")</f>
        <v/>
      </c>
      <c r="AA174" s="96" t="str">
        <f>IFERROR(__xludf.DUMMYFUNCTION("""COMPUTED_VALUE"""),"")</f>
        <v/>
      </c>
      <c r="AB174" s="97" t="str">
        <f>IFERROR(__xludf.DUMMYFUNCTION("""COMPUTED_VALUE"""),"")</f>
        <v/>
      </c>
      <c r="AC174" s="95" t="str">
        <f>IFERROR(__xludf.DUMMYFUNCTION("""COMPUTED_VALUE"""),"")</f>
        <v/>
      </c>
      <c r="AD174" s="96">
        <f>IFERROR(__xludf.DUMMYFUNCTION("""COMPUTED_VALUE"""),59.5)</f>
        <v>59.5</v>
      </c>
      <c r="AE174" s="97" t="str">
        <f>IFERROR(__xludf.DUMMYFUNCTION("""COMPUTED_VALUE"""),"")</f>
        <v/>
      </c>
      <c r="AF174" s="95" t="str">
        <f>IFERROR(__xludf.DUMMYFUNCTION("""COMPUTED_VALUE"""),"")</f>
        <v/>
      </c>
      <c r="AG174" s="96" t="str">
        <f>IFERROR(__xludf.DUMMYFUNCTION("""COMPUTED_VALUE"""),"")</f>
        <v/>
      </c>
      <c r="AH174" s="97" t="str">
        <f>IFERROR(__xludf.DUMMYFUNCTION("""COMPUTED_VALUE"""),"")</f>
        <v/>
      </c>
      <c r="AI174" s="161" t="str">
        <f>IFERROR(__xludf.DUMMYFUNCTION("""COMPUTED_VALUE"""),"")</f>
        <v/>
      </c>
      <c r="AJ174" s="162" t="str">
        <f>IFERROR(__xludf.DUMMYFUNCTION("""COMPUTED_VALUE"""),"")</f>
        <v/>
      </c>
      <c r="AK174" s="163" t="str">
        <f>IFERROR(__xludf.DUMMYFUNCTION("""COMPUTED_VALUE"""),"")</f>
        <v/>
      </c>
      <c r="AL174" s="162" t="str">
        <f>IFERROR(__xludf.DUMMYFUNCTION("""COMPUTED_VALUE"""),"")</f>
        <v/>
      </c>
      <c r="AM174" s="162" t="str">
        <f>IFERROR(__xludf.DUMMYFUNCTION("""COMPUTED_VALUE"""),"")</f>
        <v/>
      </c>
      <c r="AN174" s="163" t="str">
        <f>IFERROR(__xludf.DUMMYFUNCTION("""COMPUTED_VALUE"""),"")</f>
        <v/>
      </c>
      <c r="AO174" s="162" t="str">
        <f>IFERROR(__xludf.DUMMYFUNCTION("""COMPUTED_VALUE"""),"")</f>
        <v/>
      </c>
      <c r="AP174" s="162" t="str">
        <f>IFERROR(__xludf.DUMMYFUNCTION("""COMPUTED_VALUE"""),"")</f>
        <v/>
      </c>
      <c r="AQ174" s="163" t="str">
        <f>IFERROR(__xludf.DUMMYFUNCTION("""COMPUTED_VALUE"""),"")</f>
        <v/>
      </c>
      <c r="AR174" s="162" t="str">
        <f>IFERROR(__xludf.DUMMYFUNCTION("""COMPUTED_VALUE"""),"")</f>
        <v/>
      </c>
      <c r="AS174" s="162" t="str">
        <f>IFERROR(__xludf.DUMMYFUNCTION("""COMPUTED_VALUE"""),"")</f>
        <v/>
      </c>
      <c r="AT174" s="163" t="str">
        <f>IFERROR(__xludf.DUMMYFUNCTION("""COMPUTED_VALUE"""),"")</f>
        <v/>
      </c>
      <c r="AU174" s="162" t="str">
        <f>IFERROR(__xludf.DUMMYFUNCTION("""COMPUTED_VALUE"""),"")</f>
        <v/>
      </c>
      <c r="AV174" s="162" t="str">
        <f>IFERROR(__xludf.DUMMYFUNCTION("""COMPUTED_VALUE"""),"")</f>
        <v/>
      </c>
      <c r="AW174" s="163" t="str">
        <f>IFERROR(__xludf.DUMMYFUNCTION("""COMPUTED_VALUE"""),"")</f>
        <v/>
      </c>
      <c r="AX174" s="162" t="str">
        <f>IFERROR(__xludf.DUMMYFUNCTION("""COMPUTED_VALUE"""),"")</f>
        <v/>
      </c>
      <c r="AY174" s="162" t="str">
        <f>IFERROR(__xludf.DUMMYFUNCTION("""COMPUTED_VALUE"""),"")</f>
        <v/>
      </c>
      <c r="AZ174" s="163" t="str">
        <f>IFERROR(__xludf.DUMMYFUNCTION("""COMPUTED_VALUE"""),"")</f>
        <v/>
      </c>
      <c r="BA174" s="162" t="str">
        <f>IFERROR(__xludf.DUMMYFUNCTION("""COMPUTED_VALUE"""),"")</f>
        <v/>
      </c>
      <c r="BB174" s="162" t="str">
        <f>IFERROR(__xludf.DUMMYFUNCTION("""COMPUTED_VALUE"""),"")</f>
        <v/>
      </c>
      <c r="BC174" s="163" t="str">
        <f>IFERROR(__xludf.DUMMYFUNCTION("""COMPUTED_VALUE"""),"")</f>
        <v/>
      </c>
      <c r="BD174" s="143" t="str">
        <f>IFERROR(__xludf.DUMMYFUNCTION("""COMPUTED_VALUE"""),"")</f>
        <v/>
      </c>
      <c r="BE174" s="162" t="str">
        <f>IFERROR(__xludf.DUMMYFUNCTION("""COMPUTED_VALUE"""),"")</f>
        <v/>
      </c>
      <c r="BF174" s="163" t="str">
        <f>IFERROR(__xludf.DUMMYFUNCTION("""COMPUTED_VALUE"""),"")</f>
        <v/>
      </c>
      <c r="BG174" s="161" t="str">
        <f>IFERROR(__xludf.DUMMYFUNCTION("""COMPUTED_VALUE"""),"")</f>
        <v/>
      </c>
      <c r="BH174" s="162" t="str">
        <f>IFERROR(__xludf.DUMMYFUNCTION("""COMPUTED_VALUE"""),"")</f>
        <v/>
      </c>
      <c r="BI174" s="163" t="str">
        <f>IFERROR(__xludf.DUMMYFUNCTION("""COMPUTED_VALUE"""),"")</f>
        <v/>
      </c>
      <c r="BJ174" s="162" t="str">
        <f>IFERROR(__xludf.DUMMYFUNCTION("""COMPUTED_VALUE"""),"")</f>
        <v/>
      </c>
      <c r="BK174" s="162" t="str">
        <f>IFERROR(__xludf.DUMMYFUNCTION("""COMPUTED_VALUE"""),"")</f>
        <v/>
      </c>
      <c r="BL174" s="163" t="str">
        <f>IFERROR(__xludf.DUMMYFUNCTION("""COMPUTED_VALUE"""),"")</f>
        <v/>
      </c>
      <c r="BM174" s="162" t="str">
        <f>IFERROR(__xludf.DUMMYFUNCTION("""COMPUTED_VALUE"""),"")</f>
        <v/>
      </c>
      <c r="BN174" s="162">
        <f>IFERROR(__xludf.DUMMYFUNCTION("""COMPUTED_VALUE"""),60.0)</f>
        <v>60</v>
      </c>
      <c r="BO174" s="163" t="str">
        <f>IFERROR(__xludf.DUMMYFUNCTION("""COMPUTED_VALUE"""),"")</f>
        <v/>
      </c>
      <c r="BP174" s="162" t="str">
        <f>IFERROR(__xludf.DUMMYFUNCTION("""COMPUTED_VALUE"""),"")</f>
        <v/>
      </c>
      <c r="BQ174" s="162" t="str">
        <f>IFERROR(__xludf.DUMMYFUNCTION("""COMPUTED_VALUE"""),"")</f>
        <v/>
      </c>
      <c r="BR174" s="163" t="str">
        <f>IFERROR(__xludf.DUMMYFUNCTION("""COMPUTED_VALUE"""),"")</f>
        <v/>
      </c>
      <c r="BS174" s="162" t="str">
        <f>IFERROR(__xludf.DUMMYFUNCTION("""COMPUTED_VALUE"""),"")</f>
        <v/>
      </c>
      <c r="BT174" s="162" t="str">
        <f>IFERROR(__xludf.DUMMYFUNCTION("""COMPUTED_VALUE"""),"")</f>
        <v/>
      </c>
      <c r="BU174" s="163" t="str">
        <f>IFERROR(__xludf.DUMMYFUNCTION("""COMPUTED_VALUE"""),"")</f>
        <v/>
      </c>
      <c r="BV174" s="162" t="str">
        <f>IFERROR(__xludf.DUMMYFUNCTION("""COMPUTED_VALUE"""),"")</f>
        <v/>
      </c>
      <c r="BW174" s="162" t="str">
        <f>IFERROR(__xludf.DUMMYFUNCTION("""COMPUTED_VALUE"""),"")</f>
        <v/>
      </c>
      <c r="BX174" s="163" t="str">
        <f>IFERROR(__xludf.DUMMYFUNCTION("""COMPUTED_VALUE"""),"")</f>
        <v/>
      </c>
      <c r="BY174" s="162" t="str">
        <f>IFERROR(__xludf.DUMMYFUNCTION("""COMPUTED_VALUE"""),"")</f>
        <v/>
      </c>
      <c r="BZ174" s="162" t="str">
        <f>IFERROR(__xludf.DUMMYFUNCTION("""COMPUTED_VALUE"""),"")</f>
        <v/>
      </c>
      <c r="CA174" s="163" t="str">
        <f>IFERROR(__xludf.DUMMYFUNCTION("""COMPUTED_VALUE"""),"")</f>
        <v/>
      </c>
      <c r="CB174" s="161" t="str">
        <f>IFERROR(__xludf.DUMMYFUNCTION("""COMPUTED_VALUE"""),"")</f>
        <v/>
      </c>
      <c r="CC174" s="162" t="str">
        <f>IFERROR(__xludf.DUMMYFUNCTION("""COMPUTED_VALUE"""),"")</f>
        <v/>
      </c>
      <c r="CD174" s="163" t="str">
        <f>IFERROR(__xludf.DUMMYFUNCTION("""COMPUTED_VALUE"""),"")</f>
        <v/>
      </c>
      <c r="CE174" s="162" t="str">
        <f>IFERROR(__xludf.DUMMYFUNCTION("""COMPUTED_VALUE"""),"")</f>
        <v/>
      </c>
      <c r="CF174" s="162" t="str">
        <f>IFERROR(__xludf.DUMMYFUNCTION("""COMPUTED_VALUE"""),"")</f>
        <v/>
      </c>
      <c r="CG174" s="163" t="str">
        <f>IFERROR(__xludf.DUMMYFUNCTION("""COMPUTED_VALUE"""),"")</f>
        <v/>
      </c>
      <c r="CH174" s="162" t="str">
        <f>IFERROR(__xludf.DUMMYFUNCTION("""COMPUTED_VALUE"""),"")</f>
        <v/>
      </c>
      <c r="CI174" s="162" t="str">
        <f>IFERROR(__xludf.DUMMYFUNCTION("""COMPUTED_VALUE"""),"")</f>
        <v/>
      </c>
      <c r="CJ174" s="163" t="str">
        <f>IFERROR(__xludf.DUMMYFUNCTION("""COMPUTED_VALUE"""),"")</f>
        <v/>
      </c>
      <c r="CK174" s="162" t="str">
        <f>IFERROR(__xludf.DUMMYFUNCTION("""COMPUTED_VALUE"""),"")</f>
        <v/>
      </c>
      <c r="CL174" s="162" t="str">
        <f>IFERROR(__xludf.DUMMYFUNCTION("""COMPUTED_VALUE"""),"")</f>
        <v/>
      </c>
      <c r="CM174" s="163" t="str">
        <f>IFERROR(__xludf.DUMMYFUNCTION("""COMPUTED_VALUE"""),"")</f>
        <v/>
      </c>
      <c r="CN174" s="162" t="str">
        <f>IFERROR(__xludf.DUMMYFUNCTION("""COMPUTED_VALUE"""),"")</f>
        <v/>
      </c>
      <c r="CO174" s="162" t="str">
        <f>IFERROR(__xludf.DUMMYFUNCTION("""COMPUTED_VALUE"""),"")</f>
        <v/>
      </c>
      <c r="CP174" s="163">
        <f>IFERROR(__xludf.DUMMYFUNCTION("""COMPUTED_VALUE"""),59.7)</f>
        <v>59.7</v>
      </c>
      <c r="CQ174" s="162" t="str">
        <f>IFERROR(__xludf.DUMMYFUNCTION("""COMPUTED_VALUE"""),"")</f>
        <v/>
      </c>
      <c r="CR174" s="162" t="str">
        <f>IFERROR(__xludf.DUMMYFUNCTION("""COMPUTED_VALUE"""),"")</f>
        <v/>
      </c>
      <c r="CS174" s="163"/>
      <c r="CT174" s="162"/>
      <c r="CU174" s="162"/>
      <c r="CV174" s="163"/>
      <c r="CW174" s="162"/>
      <c r="CX174" s="162"/>
      <c r="CY174" s="163"/>
      <c r="CZ174" s="162"/>
      <c r="DA174" s="162"/>
      <c r="DB174" s="163"/>
      <c r="DC174" s="162"/>
      <c r="DD174" s="162"/>
      <c r="DE174" s="163"/>
      <c r="DF174" s="162"/>
      <c r="DG174" s="162"/>
      <c r="DH174" s="163"/>
      <c r="DI174" s="162"/>
      <c r="DJ174" s="162"/>
      <c r="DK174" s="163"/>
      <c r="DL174" s="162"/>
      <c r="DM174" s="162"/>
      <c r="DN174" s="163"/>
      <c r="DO174" s="162"/>
      <c r="DP174" s="162"/>
      <c r="DQ174" s="163"/>
      <c r="DR174" s="162"/>
      <c r="DS174" s="162"/>
      <c r="DT174" s="163"/>
    </row>
    <row r="175">
      <c r="B175" s="120" t="str">
        <f>IFERROR(__xludf.DUMMYFUNCTION("""COMPUTED_VALUE"""),"SLM4")</f>
        <v>SLM4</v>
      </c>
      <c r="C175" s="82">
        <f>IFERROR(__xludf.DUMMYFUNCTION("""COMPUTED_VALUE"""),168.0)</f>
        <v>168</v>
      </c>
      <c r="D175" s="88" t="str">
        <f>IFERROR(__xludf.DUMMYFUNCTION("""COMPUTED_VALUE"""),"Wharf")</f>
        <v>Wharf</v>
      </c>
      <c r="E175" s="82" t="str">
        <f>IFERROR(__xludf.DUMMYFUNCTION("""COMPUTED_VALUE"""),"波止場")</f>
        <v>波止場</v>
      </c>
      <c r="F175" s="102">
        <f>IFERROR(__xludf.DUMMYFUNCTION("""COMPUTED_VALUE"""),21.0)</f>
        <v>21</v>
      </c>
      <c r="G175" s="82">
        <f>IFERROR(__xludf.DUMMYFUNCTION("""COMPUTED_VALUE"""),29538.0)</f>
        <v>29538</v>
      </c>
      <c r="H175" s="95" t="str">
        <f>IFERROR(__xludf.DUMMYFUNCTION("""COMPUTED_VALUE"""),"")</f>
        <v/>
      </c>
      <c r="I175" s="96" t="str">
        <f>IFERROR(__xludf.DUMMYFUNCTION("""COMPUTED_VALUE"""),"")</f>
        <v/>
      </c>
      <c r="J175" s="97" t="str">
        <f>IFERROR(__xludf.DUMMYFUNCTION("""COMPUTED_VALUE"""),"")</f>
        <v/>
      </c>
      <c r="K175" s="95" t="str">
        <f>IFERROR(__xludf.DUMMYFUNCTION("""COMPUTED_VALUE"""),"")</f>
        <v/>
      </c>
      <c r="L175" s="96" t="str">
        <f>IFERROR(__xludf.DUMMYFUNCTION("""COMPUTED_VALUE"""),"")</f>
        <v/>
      </c>
      <c r="M175" s="97" t="str">
        <f>IFERROR(__xludf.DUMMYFUNCTION("""COMPUTED_VALUE"""),"")</f>
        <v/>
      </c>
      <c r="N175" s="95" t="str">
        <f>IFERROR(__xludf.DUMMYFUNCTION("""COMPUTED_VALUE"""),"")</f>
        <v/>
      </c>
      <c r="O175" s="96" t="str">
        <f>IFERROR(__xludf.DUMMYFUNCTION("""COMPUTED_VALUE"""),"")</f>
        <v/>
      </c>
      <c r="P175" s="97" t="str">
        <f>IFERROR(__xludf.DUMMYFUNCTION("""COMPUTED_VALUE"""),"")</f>
        <v/>
      </c>
      <c r="Q175" s="95" t="str">
        <f>IFERROR(__xludf.DUMMYFUNCTION("""COMPUTED_VALUE"""),"")</f>
        <v/>
      </c>
      <c r="R175" s="96" t="str">
        <f>IFERROR(__xludf.DUMMYFUNCTION("""COMPUTED_VALUE"""),"")</f>
        <v/>
      </c>
      <c r="S175" s="97" t="str">
        <f>IFERROR(__xludf.DUMMYFUNCTION("""COMPUTED_VALUE"""),"")</f>
        <v/>
      </c>
      <c r="T175" s="95" t="str">
        <f>IFERROR(__xludf.DUMMYFUNCTION("""COMPUTED_VALUE"""),"")</f>
        <v/>
      </c>
      <c r="U175" s="96" t="str">
        <f>IFERROR(__xludf.DUMMYFUNCTION("""COMPUTED_VALUE"""),"")</f>
        <v/>
      </c>
      <c r="V175" s="97" t="str">
        <f>IFERROR(__xludf.DUMMYFUNCTION("""COMPUTED_VALUE"""),"")</f>
        <v/>
      </c>
      <c r="W175" s="95" t="str">
        <f>IFERROR(__xludf.DUMMYFUNCTION("""COMPUTED_VALUE"""),"")</f>
        <v/>
      </c>
      <c r="X175" s="96" t="str">
        <f>IFERROR(__xludf.DUMMYFUNCTION("""COMPUTED_VALUE"""),"")</f>
        <v/>
      </c>
      <c r="Y175" s="97" t="str">
        <f>IFERROR(__xludf.DUMMYFUNCTION("""COMPUTED_VALUE"""),"")</f>
        <v/>
      </c>
      <c r="Z175" s="95" t="str">
        <f>IFERROR(__xludf.DUMMYFUNCTION("""COMPUTED_VALUE"""),"")</f>
        <v/>
      </c>
      <c r="AA175" s="96" t="str">
        <f>IFERROR(__xludf.DUMMYFUNCTION("""COMPUTED_VALUE"""),"")</f>
        <v/>
      </c>
      <c r="AB175" s="97" t="str">
        <f>IFERROR(__xludf.DUMMYFUNCTION("""COMPUTED_VALUE"""),"")</f>
        <v/>
      </c>
      <c r="AC175" s="95" t="str">
        <f>IFERROR(__xludf.DUMMYFUNCTION("""COMPUTED_VALUE"""),"")</f>
        <v/>
      </c>
      <c r="AD175" s="96">
        <f>IFERROR(__xludf.DUMMYFUNCTION("""COMPUTED_VALUE"""),104.3)</f>
        <v>104.3</v>
      </c>
      <c r="AE175" s="97" t="str">
        <f>IFERROR(__xludf.DUMMYFUNCTION("""COMPUTED_VALUE"""),"")</f>
        <v/>
      </c>
      <c r="AF175" s="95" t="str">
        <f>IFERROR(__xludf.DUMMYFUNCTION("""COMPUTED_VALUE"""),"")</f>
        <v/>
      </c>
      <c r="AG175" s="96" t="str">
        <f>IFERROR(__xludf.DUMMYFUNCTION("""COMPUTED_VALUE"""),"")</f>
        <v/>
      </c>
      <c r="AH175" s="97" t="str">
        <f>IFERROR(__xludf.DUMMYFUNCTION("""COMPUTED_VALUE"""),"")</f>
        <v/>
      </c>
      <c r="AI175" s="92" t="str">
        <f>IFERROR(__xludf.DUMMYFUNCTION("""COMPUTED_VALUE"""),"")</f>
        <v/>
      </c>
      <c r="AJ175" s="93" t="str">
        <f>IFERROR(__xludf.DUMMYFUNCTION("""COMPUTED_VALUE"""),"")</f>
        <v/>
      </c>
      <c r="AK175" s="94" t="str">
        <f>IFERROR(__xludf.DUMMYFUNCTION("""COMPUTED_VALUE"""),"")</f>
        <v/>
      </c>
      <c r="AL175" s="93" t="str">
        <f>IFERROR(__xludf.DUMMYFUNCTION("""COMPUTED_VALUE"""),"")</f>
        <v/>
      </c>
      <c r="AM175" s="93" t="str">
        <f>IFERROR(__xludf.DUMMYFUNCTION("""COMPUTED_VALUE"""),"")</f>
        <v/>
      </c>
      <c r="AN175" s="94" t="str">
        <f>IFERROR(__xludf.DUMMYFUNCTION("""COMPUTED_VALUE"""),"")</f>
        <v/>
      </c>
      <c r="AO175" s="93" t="str">
        <f>IFERROR(__xludf.DUMMYFUNCTION("""COMPUTED_VALUE"""),"")</f>
        <v/>
      </c>
      <c r="AP175" s="93" t="str">
        <f>IFERROR(__xludf.DUMMYFUNCTION("""COMPUTED_VALUE"""),"")</f>
        <v/>
      </c>
      <c r="AQ175" s="94" t="str">
        <f>IFERROR(__xludf.DUMMYFUNCTION("""COMPUTED_VALUE"""),"")</f>
        <v/>
      </c>
      <c r="AR175" s="93" t="str">
        <f>IFERROR(__xludf.DUMMYFUNCTION("""COMPUTED_VALUE"""),"")</f>
        <v/>
      </c>
      <c r="AS175" s="93" t="str">
        <f>IFERROR(__xludf.DUMMYFUNCTION("""COMPUTED_VALUE"""),"")</f>
        <v/>
      </c>
      <c r="AT175" s="94" t="str">
        <f>IFERROR(__xludf.DUMMYFUNCTION("""COMPUTED_VALUE"""),"")</f>
        <v/>
      </c>
      <c r="AU175" s="93" t="str">
        <f>IFERROR(__xludf.DUMMYFUNCTION("""COMPUTED_VALUE"""),"")</f>
        <v/>
      </c>
      <c r="AV175" s="93" t="str">
        <f>IFERROR(__xludf.DUMMYFUNCTION("""COMPUTED_VALUE"""),"")</f>
        <v/>
      </c>
      <c r="AW175" s="94" t="str">
        <f>IFERROR(__xludf.DUMMYFUNCTION("""COMPUTED_VALUE"""),"")</f>
        <v/>
      </c>
      <c r="AX175" s="93">
        <f>IFERROR(__xludf.DUMMYFUNCTION("""COMPUTED_VALUE"""),52.6)</f>
        <v>52.6</v>
      </c>
      <c r="AY175" s="93" t="str">
        <f>IFERROR(__xludf.DUMMYFUNCTION("""COMPUTED_VALUE"""),"")</f>
        <v/>
      </c>
      <c r="AZ175" s="94" t="str">
        <f>IFERROR(__xludf.DUMMYFUNCTION("""COMPUTED_VALUE"""),"")</f>
        <v/>
      </c>
      <c r="BA175" s="93" t="str">
        <f>IFERROR(__xludf.DUMMYFUNCTION("""COMPUTED_VALUE"""),"")</f>
        <v/>
      </c>
      <c r="BB175" s="93" t="str">
        <f>IFERROR(__xludf.DUMMYFUNCTION("""COMPUTED_VALUE"""),"")</f>
        <v/>
      </c>
      <c r="BC175" s="94" t="str">
        <f>IFERROR(__xludf.DUMMYFUNCTION("""COMPUTED_VALUE"""),"")</f>
        <v/>
      </c>
      <c r="BD175" s="93" t="str">
        <f>IFERROR(__xludf.DUMMYFUNCTION("""COMPUTED_VALUE"""),"")</f>
        <v/>
      </c>
      <c r="BE175" s="93" t="str">
        <f>IFERROR(__xludf.DUMMYFUNCTION("""COMPUTED_VALUE"""),"")</f>
        <v/>
      </c>
      <c r="BF175" s="94" t="str">
        <f>IFERROR(__xludf.DUMMYFUNCTION("""COMPUTED_VALUE"""),"")</f>
        <v/>
      </c>
      <c r="BG175" s="92" t="str">
        <f>IFERROR(__xludf.DUMMYFUNCTION("""COMPUTED_VALUE"""),"")</f>
        <v/>
      </c>
      <c r="BH175" s="93" t="str">
        <f>IFERROR(__xludf.DUMMYFUNCTION("""COMPUTED_VALUE"""),"")</f>
        <v/>
      </c>
      <c r="BI175" s="94" t="str">
        <f>IFERROR(__xludf.DUMMYFUNCTION("""COMPUTED_VALUE"""),"")</f>
        <v/>
      </c>
      <c r="BJ175" s="93" t="str">
        <f>IFERROR(__xludf.DUMMYFUNCTION("""COMPUTED_VALUE"""),"")</f>
        <v/>
      </c>
      <c r="BK175" s="93" t="str">
        <f>IFERROR(__xludf.DUMMYFUNCTION("""COMPUTED_VALUE"""),"")</f>
        <v/>
      </c>
      <c r="BL175" s="94" t="str">
        <f>IFERROR(__xludf.DUMMYFUNCTION("""COMPUTED_VALUE"""),"")</f>
        <v/>
      </c>
      <c r="BM175" s="93" t="str">
        <f>IFERROR(__xludf.DUMMYFUNCTION("""COMPUTED_VALUE"""),"")</f>
        <v/>
      </c>
      <c r="BN175" s="93">
        <f>IFERROR(__xludf.DUMMYFUNCTION("""COMPUTED_VALUE"""),103.4)</f>
        <v>103.4</v>
      </c>
      <c r="BO175" s="94" t="str">
        <f>IFERROR(__xludf.DUMMYFUNCTION("""COMPUTED_VALUE"""),"")</f>
        <v/>
      </c>
      <c r="BP175" s="93" t="str">
        <f>IFERROR(__xludf.DUMMYFUNCTION("""COMPUTED_VALUE"""),"")</f>
        <v/>
      </c>
      <c r="BQ175" s="93" t="str">
        <f>IFERROR(__xludf.DUMMYFUNCTION("""COMPUTED_VALUE"""),"")</f>
        <v/>
      </c>
      <c r="BR175" s="94" t="str">
        <f>IFERROR(__xludf.DUMMYFUNCTION("""COMPUTED_VALUE"""),"")</f>
        <v/>
      </c>
      <c r="BS175" s="93" t="str">
        <f>IFERROR(__xludf.DUMMYFUNCTION("""COMPUTED_VALUE"""),"")</f>
        <v/>
      </c>
      <c r="BT175" s="93" t="str">
        <f>IFERROR(__xludf.DUMMYFUNCTION("""COMPUTED_VALUE"""),"")</f>
        <v/>
      </c>
      <c r="BU175" s="94" t="str">
        <f>IFERROR(__xludf.DUMMYFUNCTION("""COMPUTED_VALUE"""),"")</f>
        <v/>
      </c>
      <c r="BV175" s="93">
        <f>IFERROR(__xludf.DUMMYFUNCTION("""COMPUTED_VALUE"""),84.5)</f>
        <v>84.5</v>
      </c>
      <c r="BW175" s="93" t="str">
        <f>IFERROR(__xludf.DUMMYFUNCTION("""COMPUTED_VALUE"""),"")</f>
        <v/>
      </c>
      <c r="BX175" s="94" t="str">
        <f>IFERROR(__xludf.DUMMYFUNCTION("""COMPUTED_VALUE"""),"")</f>
        <v/>
      </c>
      <c r="BY175" s="93" t="str">
        <f>IFERROR(__xludf.DUMMYFUNCTION("""COMPUTED_VALUE"""),"")</f>
        <v/>
      </c>
      <c r="BZ175" s="93" t="str">
        <f>IFERROR(__xludf.DUMMYFUNCTION("""COMPUTED_VALUE"""),"")</f>
        <v/>
      </c>
      <c r="CA175" s="94" t="str">
        <f>IFERROR(__xludf.DUMMYFUNCTION("""COMPUTED_VALUE"""),"")</f>
        <v/>
      </c>
      <c r="CB175" s="92" t="str">
        <f>IFERROR(__xludf.DUMMYFUNCTION("""COMPUTED_VALUE"""),"")</f>
        <v/>
      </c>
      <c r="CC175" s="93" t="str">
        <f>IFERROR(__xludf.DUMMYFUNCTION("""COMPUTED_VALUE"""),"")</f>
        <v/>
      </c>
      <c r="CD175" s="94" t="str">
        <f>IFERROR(__xludf.DUMMYFUNCTION("""COMPUTED_VALUE"""),"")</f>
        <v/>
      </c>
      <c r="CE175" s="93" t="str">
        <f>IFERROR(__xludf.DUMMYFUNCTION("""COMPUTED_VALUE"""),"")</f>
        <v/>
      </c>
      <c r="CF175" s="93" t="str">
        <f>IFERROR(__xludf.DUMMYFUNCTION("""COMPUTED_VALUE"""),"")</f>
        <v/>
      </c>
      <c r="CG175" s="94" t="str">
        <f>IFERROR(__xludf.DUMMYFUNCTION("""COMPUTED_VALUE"""),"")</f>
        <v/>
      </c>
      <c r="CH175" s="93" t="str">
        <f>IFERROR(__xludf.DUMMYFUNCTION("""COMPUTED_VALUE"""),"")</f>
        <v/>
      </c>
      <c r="CI175" s="93" t="str">
        <f>IFERROR(__xludf.DUMMYFUNCTION("""COMPUTED_VALUE"""),"")</f>
        <v/>
      </c>
      <c r="CJ175" s="94" t="str">
        <f>IFERROR(__xludf.DUMMYFUNCTION("""COMPUTED_VALUE"""),"")</f>
        <v/>
      </c>
      <c r="CK175" s="93" t="str">
        <f>IFERROR(__xludf.DUMMYFUNCTION("""COMPUTED_VALUE"""),"")</f>
        <v/>
      </c>
      <c r="CL175" s="93" t="str">
        <f>IFERROR(__xludf.DUMMYFUNCTION("""COMPUTED_VALUE"""),"")</f>
        <v/>
      </c>
      <c r="CM175" s="94" t="str">
        <f>IFERROR(__xludf.DUMMYFUNCTION("""COMPUTED_VALUE"""),"")</f>
        <v/>
      </c>
      <c r="CN175" s="93" t="str">
        <f>IFERROR(__xludf.DUMMYFUNCTION("""COMPUTED_VALUE"""),"")</f>
        <v/>
      </c>
      <c r="CO175" s="93" t="str">
        <f>IFERROR(__xludf.DUMMYFUNCTION("""COMPUTED_VALUE"""),"")</f>
        <v/>
      </c>
      <c r="CP175" s="94">
        <f>IFERROR(__xludf.DUMMYFUNCTION("""COMPUTED_VALUE"""),111.7)</f>
        <v>111.7</v>
      </c>
      <c r="CQ175" s="93" t="str">
        <f>IFERROR(__xludf.DUMMYFUNCTION("""COMPUTED_VALUE"""),"")</f>
        <v/>
      </c>
      <c r="CR175" s="93" t="str">
        <f>IFERROR(__xludf.DUMMYFUNCTION("""COMPUTED_VALUE"""),"")</f>
        <v/>
      </c>
      <c r="CS175" s="94"/>
      <c r="CT175" s="93"/>
      <c r="CU175" s="93"/>
      <c r="CV175" s="94"/>
      <c r="CW175" s="93"/>
      <c r="CX175" s="93"/>
      <c r="CY175" s="94"/>
      <c r="CZ175" s="93"/>
      <c r="DA175" s="93"/>
      <c r="DB175" s="94"/>
      <c r="DC175" s="93"/>
      <c r="DD175" s="93"/>
      <c r="DE175" s="94"/>
      <c r="DF175" s="93"/>
      <c r="DG175" s="93"/>
      <c r="DH175" s="94"/>
      <c r="DI175" s="93"/>
      <c r="DJ175" s="93"/>
      <c r="DK175" s="94"/>
      <c r="DL175" s="93"/>
      <c r="DM175" s="93"/>
      <c r="DN175" s="94"/>
      <c r="DO175" s="93"/>
      <c r="DP175" s="93"/>
      <c r="DQ175" s="94"/>
      <c r="DR175" s="93"/>
      <c r="DS175" s="93"/>
      <c r="DT175" s="94"/>
    </row>
    <row r="176">
      <c r="B176" s="120" t="str">
        <f>IFERROR(__xludf.DUMMYFUNCTION("""COMPUTED_VALUE"""),"SLM5")</f>
        <v>SLM5</v>
      </c>
      <c r="C176" s="82">
        <f>IFERROR(__xludf.DUMMYFUNCTION("""COMPUTED_VALUE"""),169.0)</f>
        <v>169</v>
      </c>
      <c r="D176" s="88" t="str">
        <f>IFERROR(__xludf.DUMMYFUNCTION("""COMPUTED_VALUE"""),"Whateley Residence")</f>
        <v>Whateley Residence</v>
      </c>
      <c r="E176" s="82" t="str">
        <f>IFERROR(__xludf.DUMMYFUNCTION("""COMPUTED_VALUE"""),"ウェイトリー家")</f>
        <v>ウェイトリー家</v>
      </c>
      <c r="F176" s="102">
        <f>IFERROR(__xludf.DUMMYFUNCTION("""COMPUTED_VALUE"""),21.0)</f>
        <v>21</v>
      </c>
      <c r="G176" s="82">
        <f>IFERROR(__xludf.DUMMYFUNCTION("""COMPUTED_VALUE"""),10612.0)</f>
        <v>10612</v>
      </c>
      <c r="H176" s="95" t="str">
        <f>IFERROR(__xludf.DUMMYFUNCTION("""COMPUTED_VALUE"""),"")</f>
        <v/>
      </c>
      <c r="I176" s="96" t="str">
        <f>IFERROR(__xludf.DUMMYFUNCTION("""COMPUTED_VALUE"""),"")</f>
        <v/>
      </c>
      <c r="J176" s="97" t="str">
        <f>IFERROR(__xludf.DUMMYFUNCTION("""COMPUTED_VALUE"""),"")</f>
        <v/>
      </c>
      <c r="K176" s="95" t="str">
        <f>IFERROR(__xludf.DUMMYFUNCTION("""COMPUTED_VALUE"""),"")</f>
        <v/>
      </c>
      <c r="L176" s="96" t="str">
        <f>IFERROR(__xludf.DUMMYFUNCTION("""COMPUTED_VALUE"""),"")</f>
        <v/>
      </c>
      <c r="M176" s="97" t="str">
        <f>IFERROR(__xludf.DUMMYFUNCTION("""COMPUTED_VALUE"""),"")</f>
        <v/>
      </c>
      <c r="N176" s="95" t="str">
        <f>IFERROR(__xludf.DUMMYFUNCTION("""COMPUTED_VALUE"""),"")</f>
        <v/>
      </c>
      <c r="O176" s="96" t="str">
        <f>IFERROR(__xludf.DUMMYFUNCTION("""COMPUTED_VALUE"""),"")</f>
        <v/>
      </c>
      <c r="P176" s="97" t="str">
        <f>IFERROR(__xludf.DUMMYFUNCTION("""COMPUTED_VALUE"""),"")</f>
        <v/>
      </c>
      <c r="Q176" s="95" t="str">
        <f>IFERROR(__xludf.DUMMYFUNCTION("""COMPUTED_VALUE"""),"")</f>
        <v/>
      </c>
      <c r="R176" s="96" t="str">
        <f>IFERROR(__xludf.DUMMYFUNCTION("""COMPUTED_VALUE"""),"")</f>
        <v/>
      </c>
      <c r="S176" s="97" t="str">
        <f>IFERROR(__xludf.DUMMYFUNCTION("""COMPUTED_VALUE"""),"")</f>
        <v/>
      </c>
      <c r="T176" s="95" t="str">
        <f>IFERROR(__xludf.DUMMYFUNCTION("""COMPUTED_VALUE"""),"")</f>
        <v/>
      </c>
      <c r="U176" s="96" t="str">
        <f>IFERROR(__xludf.DUMMYFUNCTION("""COMPUTED_VALUE"""),"")</f>
        <v/>
      </c>
      <c r="V176" s="97" t="str">
        <f>IFERROR(__xludf.DUMMYFUNCTION("""COMPUTED_VALUE"""),"")</f>
        <v/>
      </c>
      <c r="W176" s="95" t="str">
        <f>IFERROR(__xludf.DUMMYFUNCTION("""COMPUTED_VALUE"""),"")</f>
        <v/>
      </c>
      <c r="X176" s="96" t="str">
        <f>IFERROR(__xludf.DUMMYFUNCTION("""COMPUTED_VALUE"""),"")</f>
        <v/>
      </c>
      <c r="Y176" s="97" t="str">
        <f>IFERROR(__xludf.DUMMYFUNCTION("""COMPUTED_VALUE"""),"")</f>
        <v/>
      </c>
      <c r="Z176" s="95" t="str">
        <f>IFERROR(__xludf.DUMMYFUNCTION("""COMPUTED_VALUE"""),"")</f>
        <v/>
      </c>
      <c r="AA176" s="96" t="str">
        <f>IFERROR(__xludf.DUMMYFUNCTION("""COMPUTED_VALUE"""),"")</f>
        <v/>
      </c>
      <c r="AB176" s="97" t="str">
        <f>IFERROR(__xludf.DUMMYFUNCTION("""COMPUTED_VALUE"""),"")</f>
        <v/>
      </c>
      <c r="AC176" s="95" t="str">
        <f>IFERROR(__xludf.DUMMYFUNCTION("""COMPUTED_VALUE"""),"")</f>
        <v/>
      </c>
      <c r="AD176" s="96" t="str">
        <f>IFERROR(__xludf.DUMMYFUNCTION("""COMPUTED_VALUE"""),"")</f>
        <v/>
      </c>
      <c r="AE176" s="97" t="str">
        <f>IFERROR(__xludf.DUMMYFUNCTION("""COMPUTED_VALUE"""),"")</f>
        <v/>
      </c>
      <c r="AF176" s="95" t="str">
        <f>IFERROR(__xludf.DUMMYFUNCTION("""COMPUTED_VALUE"""),"")</f>
        <v/>
      </c>
      <c r="AG176" s="96">
        <f>IFERROR(__xludf.DUMMYFUNCTION("""COMPUTED_VALUE"""),52.8)</f>
        <v>52.8</v>
      </c>
      <c r="AH176" s="97" t="str">
        <f>IFERROR(__xludf.DUMMYFUNCTION("""COMPUTED_VALUE"""),"")</f>
        <v/>
      </c>
      <c r="AI176" s="161" t="str">
        <f>IFERROR(__xludf.DUMMYFUNCTION("""COMPUTED_VALUE"""),"")</f>
        <v/>
      </c>
      <c r="AJ176" s="162" t="str">
        <f>IFERROR(__xludf.DUMMYFUNCTION("""COMPUTED_VALUE"""),"")</f>
        <v/>
      </c>
      <c r="AK176" s="163" t="str">
        <f>IFERROR(__xludf.DUMMYFUNCTION("""COMPUTED_VALUE"""),"")</f>
        <v/>
      </c>
      <c r="AL176" s="162" t="str">
        <f>IFERROR(__xludf.DUMMYFUNCTION("""COMPUTED_VALUE"""),"")</f>
        <v/>
      </c>
      <c r="AM176" s="162" t="str">
        <f>IFERROR(__xludf.DUMMYFUNCTION("""COMPUTED_VALUE"""),"")</f>
        <v/>
      </c>
      <c r="AN176" s="163" t="str">
        <f>IFERROR(__xludf.DUMMYFUNCTION("""COMPUTED_VALUE"""),"")</f>
        <v/>
      </c>
      <c r="AO176" s="162" t="str">
        <f>IFERROR(__xludf.DUMMYFUNCTION("""COMPUTED_VALUE"""),"")</f>
        <v/>
      </c>
      <c r="AP176" s="162" t="str">
        <f>IFERROR(__xludf.DUMMYFUNCTION("""COMPUTED_VALUE"""),"")</f>
        <v/>
      </c>
      <c r="AQ176" s="163" t="str">
        <f>IFERROR(__xludf.DUMMYFUNCTION("""COMPUTED_VALUE"""),"")</f>
        <v/>
      </c>
      <c r="AR176" s="162" t="str">
        <f>IFERROR(__xludf.DUMMYFUNCTION("""COMPUTED_VALUE"""),"")</f>
        <v/>
      </c>
      <c r="AS176" s="162" t="str">
        <f>IFERROR(__xludf.DUMMYFUNCTION("""COMPUTED_VALUE"""),"")</f>
        <v/>
      </c>
      <c r="AT176" s="163" t="str">
        <f>IFERROR(__xludf.DUMMYFUNCTION("""COMPUTED_VALUE"""),"")</f>
        <v/>
      </c>
      <c r="AU176" s="162" t="str">
        <f>IFERROR(__xludf.DUMMYFUNCTION("""COMPUTED_VALUE"""),"")</f>
        <v/>
      </c>
      <c r="AV176" s="162" t="str">
        <f>IFERROR(__xludf.DUMMYFUNCTION("""COMPUTED_VALUE"""),"")</f>
        <v/>
      </c>
      <c r="AW176" s="163" t="str">
        <f>IFERROR(__xludf.DUMMYFUNCTION("""COMPUTED_VALUE"""),"")</f>
        <v/>
      </c>
      <c r="AX176" s="162" t="str">
        <f>IFERROR(__xludf.DUMMYFUNCTION("""COMPUTED_VALUE"""),"")</f>
        <v/>
      </c>
      <c r="AY176" s="162" t="str">
        <f>IFERROR(__xludf.DUMMYFUNCTION("""COMPUTED_VALUE"""),"")</f>
        <v/>
      </c>
      <c r="AZ176" s="163" t="str">
        <f>IFERROR(__xludf.DUMMYFUNCTION("""COMPUTED_VALUE"""),"")</f>
        <v/>
      </c>
      <c r="BA176" s="162" t="str">
        <f>IFERROR(__xludf.DUMMYFUNCTION("""COMPUTED_VALUE"""),"")</f>
        <v/>
      </c>
      <c r="BB176" s="162" t="str">
        <f>IFERROR(__xludf.DUMMYFUNCTION("""COMPUTED_VALUE"""),"")</f>
        <v/>
      </c>
      <c r="BC176" s="163" t="str">
        <f>IFERROR(__xludf.DUMMYFUNCTION("""COMPUTED_VALUE"""),"")</f>
        <v/>
      </c>
      <c r="BD176" s="162" t="str">
        <f>IFERROR(__xludf.DUMMYFUNCTION("""COMPUTED_VALUE"""),"")</f>
        <v/>
      </c>
      <c r="BE176" s="162" t="str">
        <f>IFERROR(__xludf.DUMMYFUNCTION("""COMPUTED_VALUE"""),"")</f>
        <v/>
      </c>
      <c r="BF176" s="163" t="str">
        <f>IFERROR(__xludf.DUMMYFUNCTION("""COMPUTED_VALUE"""),"")</f>
        <v/>
      </c>
      <c r="BG176" s="161" t="str">
        <f>IFERROR(__xludf.DUMMYFUNCTION("""COMPUTED_VALUE"""),"")</f>
        <v/>
      </c>
      <c r="BH176" s="162" t="str">
        <f>IFERROR(__xludf.DUMMYFUNCTION("""COMPUTED_VALUE"""),"")</f>
        <v/>
      </c>
      <c r="BI176" s="163" t="str">
        <f>IFERROR(__xludf.DUMMYFUNCTION("""COMPUTED_VALUE"""),"")</f>
        <v/>
      </c>
      <c r="BJ176" s="162" t="str">
        <f>IFERROR(__xludf.DUMMYFUNCTION("""COMPUTED_VALUE"""),"")</f>
        <v/>
      </c>
      <c r="BK176" s="162" t="str">
        <f>IFERROR(__xludf.DUMMYFUNCTION("""COMPUTED_VALUE"""),"")</f>
        <v/>
      </c>
      <c r="BL176" s="163">
        <f>IFERROR(__xludf.DUMMYFUNCTION("""COMPUTED_VALUE"""),109.3)</f>
        <v>109.3</v>
      </c>
      <c r="BM176" s="162" t="str">
        <f>IFERROR(__xludf.DUMMYFUNCTION("""COMPUTED_VALUE"""),"")</f>
        <v/>
      </c>
      <c r="BN176" s="162" t="str">
        <f>IFERROR(__xludf.DUMMYFUNCTION("""COMPUTED_VALUE"""),"")</f>
        <v/>
      </c>
      <c r="BO176" s="163" t="str">
        <f>IFERROR(__xludf.DUMMYFUNCTION("""COMPUTED_VALUE"""),"")</f>
        <v/>
      </c>
      <c r="BP176" s="162" t="str">
        <f>IFERROR(__xludf.DUMMYFUNCTION("""COMPUTED_VALUE"""),"")</f>
        <v/>
      </c>
      <c r="BQ176" s="162" t="str">
        <f>IFERROR(__xludf.DUMMYFUNCTION("""COMPUTED_VALUE"""),"")</f>
        <v/>
      </c>
      <c r="BR176" s="163" t="str">
        <f>IFERROR(__xludf.DUMMYFUNCTION("""COMPUTED_VALUE"""),"")</f>
        <v/>
      </c>
      <c r="BS176" s="162">
        <f>IFERROR(__xludf.DUMMYFUNCTION("""COMPUTED_VALUE"""),56.4)</f>
        <v>56.4</v>
      </c>
      <c r="BT176" s="162" t="str">
        <f>IFERROR(__xludf.DUMMYFUNCTION("""COMPUTED_VALUE"""),"")</f>
        <v/>
      </c>
      <c r="BU176" s="163" t="str">
        <f>IFERROR(__xludf.DUMMYFUNCTION("""COMPUTED_VALUE"""),"")</f>
        <v/>
      </c>
      <c r="BV176" s="162" t="str">
        <f>IFERROR(__xludf.DUMMYFUNCTION("""COMPUTED_VALUE"""),"")</f>
        <v/>
      </c>
      <c r="BW176" s="162" t="str">
        <f>IFERROR(__xludf.DUMMYFUNCTION("""COMPUTED_VALUE"""),"")</f>
        <v/>
      </c>
      <c r="BX176" s="163" t="str">
        <f>IFERROR(__xludf.DUMMYFUNCTION("""COMPUTED_VALUE"""),"")</f>
        <v/>
      </c>
      <c r="BY176" s="162" t="str">
        <f>IFERROR(__xludf.DUMMYFUNCTION("""COMPUTED_VALUE"""),"")</f>
        <v/>
      </c>
      <c r="BZ176" s="162" t="str">
        <f>IFERROR(__xludf.DUMMYFUNCTION("""COMPUTED_VALUE"""),"")</f>
        <v/>
      </c>
      <c r="CA176" s="163" t="str">
        <f>IFERROR(__xludf.DUMMYFUNCTION("""COMPUTED_VALUE"""),"")</f>
        <v/>
      </c>
      <c r="CB176" s="161" t="str">
        <f>IFERROR(__xludf.DUMMYFUNCTION("""COMPUTED_VALUE"""),"")</f>
        <v/>
      </c>
      <c r="CC176" s="162" t="str">
        <f>IFERROR(__xludf.DUMMYFUNCTION("""COMPUTED_VALUE"""),"")</f>
        <v/>
      </c>
      <c r="CD176" s="163" t="str">
        <f>IFERROR(__xludf.DUMMYFUNCTION("""COMPUTED_VALUE"""),"")</f>
        <v/>
      </c>
      <c r="CE176" s="162" t="str">
        <f>IFERROR(__xludf.DUMMYFUNCTION("""COMPUTED_VALUE"""),"")</f>
        <v/>
      </c>
      <c r="CF176" s="162" t="str">
        <f>IFERROR(__xludf.DUMMYFUNCTION("""COMPUTED_VALUE"""),"")</f>
        <v/>
      </c>
      <c r="CG176" s="163" t="str">
        <f>IFERROR(__xludf.DUMMYFUNCTION("""COMPUTED_VALUE"""),"")</f>
        <v/>
      </c>
      <c r="CH176" s="162" t="str">
        <f>IFERROR(__xludf.DUMMYFUNCTION("""COMPUTED_VALUE"""),"")</f>
        <v/>
      </c>
      <c r="CI176" s="162" t="str">
        <f>IFERROR(__xludf.DUMMYFUNCTION("""COMPUTED_VALUE"""),"")</f>
        <v/>
      </c>
      <c r="CJ176" s="163" t="str">
        <f>IFERROR(__xludf.DUMMYFUNCTION("""COMPUTED_VALUE"""),"")</f>
        <v/>
      </c>
      <c r="CK176" s="162" t="str">
        <f>IFERROR(__xludf.DUMMYFUNCTION("""COMPUTED_VALUE"""),"")</f>
        <v/>
      </c>
      <c r="CL176" s="162" t="str">
        <f>IFERROR(__xludf.DUMMYFUNCTION("""COMPUTED_VALUE"""),"")</f>
        <v/>
      </c>
      <c r="CM176" s="163" t="str">
        <f>IFERROR(__xludf.DUMMYFUNCTION("""COMPUTED_VALUE"""),"")</f>
        <v/>
      </c>
      <c r="CN176" s="162">
        <f>IFERROR(__xludf.DUMMYFUNCTION("""COMPUTED_VALUE"""),145.0)</f>
        <v>145</v>
      </c>
      <c r="CO176" s="162" t="str">
        <f>IFERROR(__xludf.DUMMYFUNCTION("""COMPUTED_VALUE"""),"")</f>
        <v/>
      </c>
      <c r="CP176" s="163" t="str">
        <f>IFERROR(__xludf.DUMMYFUNCTION("""COMPUTED_VALUE"""),"")</f>
        <v/>
      </c>
      <c r="CQ176" s="162" t="str">
        <f>IFERROR(__xludf.DUMMYFUNCTION("""COMPUTED_VALUE"""),"")</f>
        <v/>
      </c>
      <c r="CR176" s="162" t="str">
        <f>IFERROR(__xludf.DUMMYFUNCTION("""COMPUTED_VALUE"""),"")</f>
        <v/>
      </c>
      <c r="CS176" s="163"/>
      <c r="CT176" s="162"/>
      <c r="CU176" s="162"/>
      <c r="CV176" s="163"/>
      <c r="CW176" s="162"/>
      <c r="CX176" s="162"/>
      <c r="CY176" s="163"/>
      <c r="CZ176" s="162"/>
      <c r="DA176" s="162"/>
      <c r="DB176" s="163"/>
      <c r="DC176" s="162"/>
      <c r="DD176" s="162"/>
      <c r="DE176" s="163"/>
      <c r="DF176" s="162"/>
      <c r="DG176" s="162"/>
      <c r="DH176" s="163"/>
      <c r="DI176" s="162"/>
      <c r="DJ176" s="162"/>
      <c r="DK176" s="163"/>
      <c r="DL176" s="162"/>
      <c r="DM176" s="162"/>
      <c r="DN176" s="163"/>
      <c r="DO176" s="162"/>
      <c r="DP176" s="162"/>
      <c r="DQ176" s="163"/>
      <c r="DR176" s="162"/>
      <c r="DS176" s="162"/>
      <c r="DT176" s="163"/>
    </row>
    <row r="177">
      <c r="B177" s="120" t="str">
        <f>IFERROR(__xludf.DUMMYFUNCTION("""COMPUTED_VALUE"""),"SLM6")</f>
        <v>SLM6</v>
      </c>
      <c r="C177" s="82">
        <f>IFERROR(__xludf.DUMMYFUNCTION("""COMPUTED_VALUE"""),170.0)</f>
        <v>170</v>
      </c>
      <c r="D177" s="88" t="str">
        <f>IFERROR(__xludf.DUMMYFUNCTION("""COMPUTED_VALUE"""),"Isolated Mansion")</f>
        <v>Isolated Mansion</v>
      </c>
      <c r="E177" s="82" t="str">
        <f>IFERROR(__xludf.DUMMYFUNCTION("""COMPUTED_VALUE"""),"郊外の屋敷")</f>
        <v>郊外の屋敷</v>
      </c>
      <c r="F177" s="102">
        <f>IFERROR(__xludf.DUMMYFUNCTION("""COMPUTED_VALUE"""),21.0)</f>
        <v>21</v>
      </c>
      <c r="G177" s="82">
        <f>IFERROR(__xludf.DUMMYFUNCTION("""COMPUTED_VALUE"""),19538.0)</f>
        <v>19538</v>
      </c>
      <c r="H177" s="95" t="str">
        <f>IFERROR(__xludf.DUMMYFUNCTION("""COMPUTED_VALUE"""),"")</f>
        <v/>
      </c>
      <c r="I177" s="96" t="str">
        <f>IFERROR(__xludf.DUMMYFUNCTION("""COMPUTED_VALUE"""),"")</f>
        <v/>
      </c>
      <c r="J177" s="97" t="str">
        <f>IFERROR(__xludf.DUMMYFUNCTION("""COMPUTED_VALUE"""),"")</f>
        <v/>
      </c>
      <c r="K177" s="95" t="str">
        <f>IFERROR(__xludf.DUMMYFUNCTION("""COMPUTED_VALUE"""),"")</f>
        <v/>
      </c>
      <c r="L177" s="96" t="str">
        <f>IFERROR(__xludf.DUMMYFUNCTION("""COMPUTED_VALUE"""),"")</f>
        <v/>
      </c>
      <c r="M177" s="97" t="str">
        <f>IFERROR(__xludf.DUMMYFUNCTION("""COMPUTED_VALUE"""),"")</f>
        <v/>
      </c>
      <c r="N177" s="95" t="str">
        <f>IFERROR(__xludf.DUMMYFUNCTION("""COMPUTED_VALUE"""),"")</f>
        <v/>
      </c>
      <c r="O177" s="96" t="str">
        <f>IFERROR(__xludf.DUMMYFUNCTION("""COMPUTED_VALUE"""),"")</f>
        <v/>
      </c>
      <c r="P177" s="97" t="str">
        <f>IFERROR(__xludf.DUMMYFUNCTION("""COMPUTED_VALUE"""),"")</f>
        <v/>
      </c>
      <c r="Q177" s="95" t="str">
        <f>IFERROR(__xludf.DUMMYFUNCTION("""COMPUTED_VALUE"""),"")</f>
        <v/>
      </c>
      <c r="R177" s="96" t="str">
        <f>IFERROR(__xludf.DUMMYFUNCTION("""COMPUTED_VALUE"""),"")</f>
        <v/>
      </c>
      <c r="S177" s="97" t="str">
        <f>IFERROR(__xludf.DUMMYFUNCTION("""COMPUTED_VALUE"""),"")</f>
        <v/>
      </c>
      <c r="T177" s="95" t="str">
        <f>IFERROR(__xludf.DUMMYFUNCTION("""COMPUTED_VALUE"""),"")</f>
        <v/>
      </c>
      <c r="U177" s="96" t="str">
        <f>IFERROR(__xludf.DUMMYFUNCTION("""COMPUTED_VALUE"""),"")</f>
        <v/>
      </c>
      <c r="V177" s="97" t="str">
        <f>IFERROR(__xludf.DUMMYFUNCTION("""COMPUTED_VALUE"""),"")</f>
        <v/>
      </c>
      <c r="W177" s="95" t="str">
        <f>IFERROR(__xludf.DUMMYFUNCTION("""COMPUTED_VALUE"""),"")</f>
        <v/>
      </c>
      <c r="X177" s="96" t="str">
        <f>IFERROR(__xludf.DUMMYFUNCTION("""COMPUTED_VALUE"""),"")</f>
        <v/>
      </c>
      <c r="Y177" s="97" t="str">
        <f>IFERROR(__xludf.DUMMYFUNCTION("""COMPUTED_VALUE"""),"")</f>
        <v/>
      </c>
      <c r="Z177" s="95" t="str">
        <f>IFERROR(__xludf.DUMMYFUNCTION("""COMPUTED_VALUE"""),"")</f>
        <v/>
      </c>
      <c r="AA177" s="96" t="str">
        <f>IFERROR(__xludf.DUMMYFUNCTION("""COMPUTED_VALUE"""),"")</f>
        <v/>
      </c>
      <c r="AB177" s="97" t="str">
        <f>IFERROR(__xludf.DUMMYFUNCTION("""COMPUTED_VALUE"""),"")</f>
        <v/>
      </c>
      <c r="AC177" s="95" t="str">
        <f>IFERROR(__xludf.DUMMYFUNCTION("""COMPUTED_VALUE"""),"")</f>
        <v/>
      </c>
      <c r="AD177" s="96" t="str">
        <f>IFERROR(__xludf.DUMMYFUNCTION("""COMPUTED_VALUE"""),"")</f>
        <v/>
      </c>
      <c r="AE177" s="97" t="str">
        <f>IFERROR(__xludf.DUMMYFUNCTION("""COMPUTED_VALUE"""),"")</f>
        <v/>
      </c>
      <c r="AF177" s="95" t="str">
        <f>IFERROR(__xludf.DUMMYFUNCTION("""COMPUTED_VALUE"""),"")</f>
        <v/>
      </c>
      <c r="AG177" s="96" t="str">
        <f>IFERROR(__xludf.DUMMYFUNCTION("""COMPUTED_VALUE"""),"")</f>
        <v/>
      </c>
      <c r="AH177" s="97" t="str">
        <f>IFERROR(__xludf.DUMMYFUNCTION("""COMPUTED_VALUE"""),"")</f>
        <v/>
      </c>
      <c r="AI177" s="92" t="str">
        <f>IFERROR(__xludf.DUMMYFUNCTION("""COMPUTED_VALUE"""),"")</f>
        <v/>
      </c>
      <c r="AJ177" s="93" t="str">
        <f>IFERROR(__xludf.DUMMYFUNCTION("""COMPUTED_VALUE"""),"")</f>
        <v/>
      </c>
      <c r="AK177" s="94" t="str">
        <f>IFERROR(__xludf.DUMMYFUNCTION("""COMPUTED_VALUE"""),"")</f>
        <v/>
      </c>
      <c r="AL177" s="93" t="str">
        <f>IFERROR(__xludf.DUMMYFUNCTION("""COMPUTED_VALUE"""),"")</f>
        <v/>
      </c>
      <c r="AM177" s="93" t="str">
        <f>IFERROR(__xludf.DUMMYFUNCTION("""COMPUTED_VALUE"""),"")</f>
        <v/>
      </c>
      <c r="AN177" s="94" t="str">
        <f>IFERROR(__xludf.DUMMYFUNCTION("""COMPUTED_VALUE"""),"")</f>
        <v/>
      </c>
      <c r="AO177" s="93" t="str">
        <f>IFERROR(__xludf.DUMMYFUNCTION("""COMPUTED_VALUE"""),"")</f>
        <v/>
      </c>
      <c r="AP177" s="93" t="str">
        <f>IFERROR(__xludf.DUMMYFUNCTION("""COMPUTED_VALUE"""),"")</f>
        <v/>
      </c>
      <c r="AQ177" s="94" t="str">
        <f>IFERROR(__xludf.DUMMYFUNCTION("""COMPUTED_VALUE"""),"")</f>
        <v/>
      </c>
      <c r="AR177" s="93" t="str">
        <f>IFERROR(__xludf.DUMMYFUNCTION("""COMPUTED_VALUE"""),"")</f>
        <v/>
      </c>
      <c r="AS177" s="93" t="str">
        <f>IFERROR(__xludf.DUMMYFUNCTION("""COMPUTED_VALUE"""),"")</f>
        <v/>
      </c>
      <c r="AT177" s="94" t="str">
        <f>IFERROR(__xludf.DUMMYFUNCTION("""COMPUTED_VALUE"""),"")</f>
        <v/>
      </c>
      <c r="AU177" s="93" t="str">
        <f>IFERROR(__xludf.DUMMYFUNCTION("""COMPUTED_VALUE"""),"")</f>
        <v/>
      </c>
      <c r="AV177" s="93" t="str">
        <f>IFERROR(__xludf.DUMMYFUNCTION("""COMPUTED_VALUE"""),"")</f>
        <v/>
      </c>
      <c r="AW177" s="94" t="str">
        <f>IFERROR(__xludf.DUMMYFUNCTION("""COMPUTED_VALUE"""),"")</f>
        <v/>
      </c>
      <c r="AX177" s="93">
        <f>IFERROR(__xludf.DUMMYFUNCTION("""COMPUTED_VALUE"""),51.5)</f>
        <v>51.5</v>
      </c>
      <c r="AY177" s="93" t="str">
        <f>IFERROR(__xludf.DUMMYFUNCTION("""COMPUTED_VALUE"""),"")</f>
        <v/>
      </c>
      <c r="AZ177" s="94" t="str">
        <f>IFERROR(__xludf.DUMMYFUNCTION("""COMPUTED_VALUE"""),"")</f>
        <v/>
      </c>
      <c r="BA177" s="93">
        <f>IFERROR(__xludf.DUMMYFUNCTION("""COMPUTED_VALUE"""),51.6)</f>
        <v>51.6</v>
      </c>
      <c r="BB177" s="93" t="str">
        <f>IFERROR(__xludf.DUMMYFUNCTION("""COMPUTED_VALUE"""),"")</f>
        <v/>
      </c>
      <c r="BC177" s="94" t="str">
        <f>IFERROR(__xludf.DUMMYFUNCTION("""COMPUTED_VALUE"""),"")</f>
        <v/>
      </c>
      <c r="BD177" s="93" t="str">
        <f>IFERROR(__xludf.DUMMYFUNCTION("""COMPUTED_VALUE"""),"")</f>
        <v/>
      </c>
      <c r="BE177" s="93" t="str">
        <f>IFERROR(__xludf.DUMMYFUNCTION("""COMPUTED_VALUE"""),"")</f>
        <v/>
      </c>
      <c r="BF177" s="94" t="str">
        <f>IFERROR(__xludf.DUMMYFUNCTION("""COMPUTED_VALUE"""),"")</f>
        <v/>
      </c>
      <c r="BG177" s="92" t="str">
        <f>IFERROR(__xludf.DUMMYFUNCTION("""COMPUTED_VALUE"""),"")</f>
        <v/>
      </c>
      <c r="BH177" s="93" t="str">
        <f>IFERROR(__xludf.DUMMYFUNCTION("""COMPUTED_VALUE"""),"")</f>
        <v/>
      </c>
      <c r="BI177" s="94" t="str">
        <f>IFERROR(__xludf.DUMMYFUNCTION("""COMPUTED_VALUE"""),"")</f>
        <v/>
      </c>
      <c r="BJ177" s="93" t="str">
        <f>IFERROR(__xludf.DUMMYFUNCTION("""COMPUTED_VALUE"""),"")</f>
        <v/>
      </c>
      <c r="BK177" s="93" t="str">
        <f>IFERROR(__xludf.DUMMYFUNCTION("""COMPUTED_VALUE"""),"")</f>
        <v/>
      </c>
      <c r="BL177" s="94" t="str">
        <f>IFERROR(__xludf.DUMMYFUNCTION("""COMPUTED_VALUE"""),"")</f>
        <v/>
      </c>
      <c r="BM177" s="93" t="str">
        <f>IFERROR(__xludf.DUMMYFUNCTION("""COMPUTED_VALUE"""),"")</f>
        <v/>
      </c>
      <c r="BN177" s="93" t="str">
        <f>IFERROR(__xludf.DUMMYFUNCTION("""COMPUTED_VALUE"""),"")</f>
        <v/>
      </c>
      <c r="BO177" s="94" t="str">
        <f>IFERROR(__xludf.DUMMYFUNCTION("""COMPUTED_VALUE"""),"")</f>
        <v/>
      </c>
      <c r="BP177" s="93" t="str">
        <f>IFERROR(__xludf.DUMMYFUNCTION("""COMPUTED_VALUE"""),"")</f>
        <v/>
      </c>
      <c r="BQ177" s="93" t="str">
        <f>IFERROR(__xludf.DUMMYFUNCTION("""COMPUTED_VALUE"""),"")</f>
        <v/>
      </c>
      <c r="BR177" s="94" t="str">
        <f>IFERROR(__xludf.DUMMYFUNCTION("""COMPUTED_VALUE"""),"")</f>
        <v/>
      </c>
      <c r="BS177" s="93" t="str">
        <f>IFERROR(__xludf.DUMMYFUNCTION("""COMPUTED_VALUE"""),"")</f>
        <v/>
      </c>
      <c r="BT177" s="106" t="str">
        <f>IFERROR(__xludf.DUMMYFUNCTION("""COMPUTED_VALUE"""),"")</f>
        <v/>
      </c>
      <c r="BU177" s="94" t="str">
        <f>IFERROR(__xludf.DUMMYFUNCTION("""COMPUTED_VALUE"""),"")</f>
        <v/>
      </c>
      <c r="BV177" s="93">
        <f>IFERROR(__xludf.DUMMYFUNCTION("""COMPUTED_VALUE"""),83.6)</f>
        <v>83.6</v>
      </c>
      <c r="BW177" s="114">
        <f>IFERROR(__xludf.DUMMYFUNCTION("""COMPUTED_VALUE"""),93.2)</f>
        <v>93.2</v>
      </c>
      <c r="BX177" s="94" t="str">
        <f>IFERROR(__xludf.DUMMYFUNCTION("""COMPUTED_VALUE"""),"")</f>
        <v/>
      </c>
      <c r="BY177" s="93" t="str">
        <f>IFERROR(__xludf.DUMMYFUNCTION("""COMPUTED_VALUE"""),"")</f>
        <v/>
      </c>
      <c r="BZ177" s="93" t="str">
        <f>IFERROR(__xludf.DUMMYFUNCTION("""COMPUTED_VALUE"""),"")</f>
        <v/>
      </c>
      <c r="CA177" s="94" t="str">
        <f>IFERROR(__xludf.DUMMYFUNCTION("""COMPUTED_VALUE"""),"")</f>
        <v/>
      </c>
      <c r="CB177" s="92" t="str">
        <f>IFERROR(__xludf.DUMMYFUNCTION("""COMPUTED_VALUE"""),"")</f>
        <v/>
      </c>
      <c r="CC177" s="93" t="str">
        <f>IFERROR(__xludf.DUMMYFUNCTION("""COMPUTED_VALUE"""),"")</f>
        <v/>
      </c>
      <c r="CD177" s="94" t="str">
        <f>IFERROR(__xludf.DUMMYFUNCTION("""COMPUTED_VALUE"""),"")</f>
        <v/>
      </c>
      <c r="CE177" s="93" t="str">
        <f>IFERROR(__xludf.DUMMYFUNCTION("""COMPUTED_VALUE"""),"")</f>
        <v/>
      </c>
      <c r="CF177" s="93" t="str">
        <f>IFERROR(__xludf.DUMMYFUNCTION("""COMPUTED_VALUE"""),"")</f>
        <v/>
      </c>
      <c r="CG177" s="94" t="str">
        <f>IFERROR(__xludf.DUMMYFUNCTION("""COMPUTED_VALUE"""),"")</f>
        <v/>
      </c>
      <c r="CH177" s="93" t="str">
        <f>IFERROR(__xludf.DUMMYFUNCTION("""COMPUTED_VALUE"""),"")</f>
        <v/>
      </c>
      <c r="CI177" s="93" t="str">
        <f>IFERROR(__xludf.DUMMYFUNCTION("""COMPUTED_VALUE"""),"")</f>
        <v/>
      </c>
      <c r="CJ177" s="94" t="str">
        <f>IFERROR(__xludf.DUMMYFUNCTION("""COMPUTED_VALUE"""),"")</f>
        <v/>
      </c>
      <c r="CK177" s="93" t="str">
        <f>IFERROR(__xludf.DUMMYFUNCTION("""COMPUTED_VALUE"""),"")</f>
        <v/>
      </c>
      <c r="CL177" s="93" t="str">
        <f>IFERROR(__xludf.DUMMYFUNCTION("""COMPUTED_VALUE"""),"")</f>
        <v/>
      </c>
      <c r="CM177" s="94" t="str">
        <f>IFERROR(__xludf.DUMMYFUNCTION("""COMPUTED_VALUE"""),"")</f>
        <v/>
      </c>
      <c r="CN177" s="93" t="str">
        <f>IFERROR(__xludf.DUMMYFUNCTION("""COMPUTED_VALUE"""),"")</f>
        <v/>
      </c>
      <c r="CO177" s="106" t="str">
        <f>IFERROR(__xludf.DUMMYFUNCTION("""COMPUTED_VALUE"""),"")</f>
        <v/>
      </c>
      <c r="CP177" s="94" t="str">
        <f>IFERROR(__xludf.DUMMYFUNCTION("""COMPUTED_VALUE"""),"")</f>
        <v/>
      </c>
      <c r="CQ177" s="93" t="str">
        <f>IFERROR(__xludf.DUMMYFUNCTION("""COMPUTED_VALUE"""),"")</f>
        <v/>
      </c>
      <c r="CR177" s="114" t="str">
        <f>IFERROR(__xludf.DUMMYFUNCTION("""COMPUTED_VALUE"""),"")</f>
        <v/>
      </c>
      <c r="CS177" s="94"/>
      <c r="CT177" s="93"/>
      <c r="CU177" s="93"/>
      <c r="CV177" s="94"/>
      <c r="CW177" s="93"/>
      <c r="CX177" s="93"/>
      <c r="CY177" s="94"/>
      <c r="CZ177" s="93"/>
      <c r="DA177" s="106"/>
      <c r="DB177" s="94"/>
      <c r="DC177" s="93"/>
      <c r="DD177" s="114"/>
      <c r="DE177" s="94"/>
      <c r="DF177" s="93"/>
      <c r="DG177" s="93"/>
      <c r="DH177" s="94"/>
      <c r="DI177" s="93"/>
      <c r="DJ177" s="106"/>
      <c r="DK177" s="94"/>
      <c r="DL177" s="93"/>
      <c r="DM177" s="114"/>
      <c r="DN177" s="94"/>
      <c r="DO177" s="93"/>
      <c r="DP177" s="114"/>
      <c r="DQ177" s="94"/>
      <c r="DR177" s="93"/>
      <c r="DS177" s="114"/>
      <c r="DT177" s="94"/>
    </row>
    <row r="178">
      <c r="B178" s="120" t="str">
        <f>IFERROR(__xludf.DUMMYFUNCTION("""COMPUTED_VALUE"""),"SLM7")</f>
        <v>SLM7</v>
      </c>
      <c r="C178" s="82">
        <f>IFERROR(__xludf.DUMMYFUNCTION("""COMPUTED_VALUE"""),171.0)</f>
        <v>171</v>
      </c>
      <c r="D178" s="88" t="str">
        <f>IFERROR(__xludf.DUMMYFUNCTION("""COMPUTED_VALUE"""),"Gallows Hill")</f>
        <v>Gallows Hill</v>
      </c>
      <c r="E178" s="82" t="str">
        <f>IFERROR(__xludf.DUMMYFUNCTION("""COMPUTED_VALUE"""),"ガローの丘")</f>
        <v>ガローの丘</v>
      </c>
      <c r="F178" s="102">
        <f>IFERROR(__xludf.DUMMYFUNCTION("""COMPUTED_VALUE"""),21.0)</f>
        <v>21</v>
      </c>
      <c r="G178" s="82">
        <f>IFERROR(__xludf.DUMMYFUNCTION("""COMPUTED_VALUE"""),29563.0)</f>
        <v>29563</v>
      </c>
      <c r="H178" s="95" t="str">
        <f>IFERROR(__xludf.DUMMYFUNCTION("""COMPUTED_VALUE"""),"")</f>
        <v/>
      </c>
      <c r="I178" s="96" t="str">
        <f>IFERROR(__xludf.DUMMYFUNCTION("""COMPUTED_VALUE"""),"")</f>
        <v/>
      </c>
      <c r="J178" s="97" t="str">
        <f>IFERROR(__xludf.DUMMYFUNCTION("""COMPUTED_VALUE"""),"")</f>
        <v/>
      </c>
      <c r="K178" s="95" t="str">
        <f>IFERROR(__xludf.DUMMYFUNCTION("""COMPUTED_VALUE"""),"")</f>
        <v/>
      </c>
      <c r="L178" s="96" t="str">
        <f>IFERROR(__xludf.DUMMYFUNCTION("""COMPUTED_VALUE"""),"")</f>
        <v/>
      </c>
      <c r="M178" s="97" t="str">
        <f>IFERROR(__xludf.DUMMYFUNCTION("""COMPUTED_VALUE"""),"")</f>
        <v/>
      </c>
      <c r="N178" s="95" t="str">
        <f>IFERROR(__xludf.DUMMYFUNCTION("""COMPUTED_VALUE"""),"")</f>
        <v/>
      </c>
      <c r="O178" s="96" t="str">
        <f>IFERROR(__xludf.DUMMYFUNCTION("""COMPUTED_VALUE"""),"")</f>
        <v/>
      </c>
      <c r="P178" s="97" t="str">
        <f>IFERROR(__xludf.DUMMYFUNCTION("""COMPUTED_VALUE"""),"")</f>
        <v/>
      </c>
      <c r="Q178" s="95" t="str">
        <f>IFERROR(__xludf.DUMMYFUNCTION("""COMPUTED_VALUE"""),"")</f>
        <v/>
      </c>
      <c r="R178" s="96" t="str">
        <f>IFERROR(__xludf.DUMMYFUNCTION("""COMPUTED_VALUE"""),"")</f>
        <v/>
      </c>
      <c r="S178" s="97" t="str">
        <f>IFERROR(__xludf.DUMMYFUNCTION("""COMPUTED_VALUE"""),"")</f>
        <v/>
      </c>
      <c r="T178" s="95" t="str">
        <f>IFERROR(__xludf.DUMMYFUNCTION("""COMPUTED_VALUE"""),"")</f>
        <v/>
      </c>
      <c r="U178" s="96" t="str">
        <f>IFERROR(__xludf.DUMMYFUNCTION("""COMPUTED_VALUE"""),"")</f>
        <v/>
      </c>
      <c r="V178" s="97" t="str">
        <f>IFERROR(__xludf.DUMMYFUNCTION("""COMPUTED_VALUE"""),"")</f>
        <v/>
      </c>
      <c r="W178" s="95" t="str">
        <f>IFERROR(__xludf.DUMMYFUNCTION("""COMPUTED_VALUE"""),"")</f>
        <v/>
      </c>
      <c r="X178" s="96" t="str">
        <f>IFERROR(__xludf.DUMMYFUNCTION("""COMPUTED_VALUE"""),"")</f>
        <v/>
      </c>
      <c r="Y178" s="97" t="str">
        <f>IFERROR(__xludf.DUMMYFUNCTION("""COMPUTED_VALUE"""),"")</f>
        <v/>
      </c>
      <c r="Z178" s="95" t="str">
        <f>IFERROR(__xludf.DUMMYFUNCTION("""COMPUTED_VALUE"""),"")</f>
        <v/>
      </c>
      <c r="AA178" s="96" t="str">
        <f>IFERROR(__xludf.DUMMYFUNCTION("""COMPUTED_VALUE"""),"")</f>
        <v/>
      </c>
      <c r="AB178" s="97" t="str">
        <f>IFERROR(__xludf.DUMMYFUNCTION("""COMPUTED_VALUE"""),"")</f>
        <v/>
      </c>
      <c r="AC178" s="95" t="str">
        <f>IFERROR(__xludf.DUMMYFUNCTION("""COMPUTED_VALUE"""),"")</f>
        <v/>
      </c>
      <c r="AD178" s="96" t="str">
        <f>IFERROR(__xludf.DUMMYFUNCTION("""COMPUTED_VALUE"""),"")</f>
        <v/>
      </c>
      <c r="AE178" s="97" t="str">
        <f>IFERROR(__xludf.DUMMYFUNCTION("""COMPUTED_VALUE"""),"")</f>
        <v/>
      </c>
      <c r="AF178" s="95" t="str">
        <f>IFERROR(__xludf.DUMMYFUNCTION("""COMPUTED_VALUE"""),"")</f>
        <v/>
      </c>
      <c r="AG178" s="96" t="str">
        <f>IFERROR(__xludf.DUMMYFUNCTION("""COMPUTED_VALUE"""),"")</f>
        <v/>
      </c>
      <c r="AH178" s="97" t="str">
        <f>IFERROR(__xludf.DUMMYFUNCTION("""COMPUTED_VALUE"""),"")</f>
        <v/>
      </c>
      <c r="AI178" s="161" t="str">
        <f>IFERROR(__xludf.DUMMYFUNCTION("""COMPUTED_VALUE"""),"")</f>
        <v/>
      </c>
      <c r="AJ178" s="162" t="str">
        <f>IFERROR(__xludf.DUMMYFUNCTION("""COMPUTED_VALUE"""),"")</f>
        <v/>
      </c>
      <c r="AK178" s="163" t="str">
        <f>IFERROR(__xludf.DUMMYFUNCTION("""COMPUTED_VALUE"""),"")</f>
        <v/>
      </c>
      <c r="AL178" s="162" t="str">
        <f>IFERROR(__xludf.DUMMYFUNCTION("""COMPUTED_VALUE"""),"")</f>
        <v/>
      </c>
      <c r="AM178" s="162" t="str">
        <f>IFERROR(__xludf.DUMMYFUNCTION("""COMPUTED_VALUE"""),"")</f>
        <v/>
      </c>
      <c r="AN178" s="163" t="str">
        <f>IFERROR(__xludf.DUMMYFUNCTION("""COMPUTED_VALUE"""),"")</f>
        <v/>
      </c>
      <c r="AO178" s="162" t="str">
        <f>IFERROR(__xludf.DUMMYFUNCTION("""COMPUTED_VALUE"""),"")</f>
        <v/>
      </c>
      <c r="AP178" s="162" t="str">
        <f>IFERROR(__xludf.DUMMYFUNCTION("""COMPUTED_VALUE"""),"")</f>
        <v/>
      </c>
      <c r="AQ178" s="163" t="str">
        <f>IFERROR(__xludf.DUMMYFUNCTION("""COMPUTED_VALUE"""),"")</f>
        <v/>
      </c>
      <c r="AR178" s="162" t="str">
        <f>IFERROR(__xludf.DUMMYFUNCTION("""COMPUTED_VALUE"""),"")</f>
        <v/>
      </c>
      <c r="AS178" s="162" t="str">
        <f>IFERROR(__xludf.DUMMYFUNCTION("""COMPUTED_VALUE"""),"")</f>
        <v/>
      </c>
      <c r="AT178" s="163" t="str">
        <f>IFERROR(__xludf.DUMMYFUNCTION("""COMPUTED_VALUE"""),"")</f>
        <v/>
      </c>
      <c r="AU178" s="162" t="str">
        <f>IFERROR(__xludf.DUMMYFUNCTION("""COMPUTED_VALUE"""),"")</f>
        <v/>
      </c>
      <c r="AV178" s="162" t="str">
        <f>IFERROR(__xludf.DUMMYFUNCTION("""COMPUTED_VALUE"""),"")</f>
        <v/>
      </c>
      <c r="AW178" s="163" t="str">
        <f>IFERROR(__xludf.DUMMYFUNCTION("""COMPUTED_VALUE"""),"")</f>
        <v/>
      </c>
      <c r="AX178" s="162" t="str">
        <f>IFERROR(__xludf.DUMMYFUNCTION("""COMPUTED_VALUE"""),"")</f>
        <v/>
      </c>
      <c r="AY178" s="162" t="str">
        <f>IFERROR(__xludf.DUMMYFUNCTION("""COMPUTED_VALUE"""),"")</f>
        <v/>
      </c>
      <c r="AZ178" s="163" t="str">
        <f>IFERROR(__xludf.DUMMYFUNCTION("""COMPUTED_VALUE"""),"")</f>
        <v/>
      </c>
      <c r="BA178" s="162">
        <f>IFERROR(__xludf.DUMMYFUNCTION("""COMPUTED_VALUE"""),31.2)</f>
        <v>31.2</v>
      </c>
      <c r="BB178" s="162" t="str">
        <f>IFERROR(__xludf.DUMMYFUNCTION("""COMPUTED_VALUE"""),"")</f>
        <v/>
      </c>
      <c r="BC178" s="163" t="str">
        <f>IFERROR(__xludf.DUMMYFUNCTION("""COMPUTED_VALUE"""),"")</f>
        <v/>
      </c>
      <c r="BD178" s="162" t="str">
        <f>IFERROR(__xludf.DUMMYFUNCTION("""COMPUTED_VALUE"""),"")</f>
        <v/>
      </c>
      <c r="BE178" s="162" t="str">
        <f>IFERROR(__xludf.DUMMYFUNCTION("""COMPUTED_VALUE"""),"")</f>
        <v/>
      </c>
      <c r="BF178" s="163" t="str">
        <f>IFERROR(__xludf.DUMMYFUNCTION("""COMPUTED_VALUE"""),"")</f>
        <v/>
      </c>
      <c r="BG178" s="161" t="str">
        <f>IFERROR(__xludf.DUMMYFUNCTION("""COMPUTED_VALUE"""),"")</f>
        <v/>
      </c>
      <c r="BH178" s="162" t="str">
        <f>IFERROR(__xludf.DUMMYFUNCTION("""COMPUTED_VALUE"""),"")</f>
        <v/>
      </c>
      <c r="BI178" s="163" t="str">
        <f>IFERROR(__xludf.DUMMYFUNCTION("""COMPUTED_VALUE"""),"")</f>
        <v/>
      </c>
      <c r="BJ178" s="162" t="str">
        <f>IFERROR(__xludf.DUMMYFUNCTION("""COMPUTED_VALUE"""),"")</f>
        <v/>
      </c>
      <c r="BK178" s="162" t="str">
        <f>IFERROR(__xludf.DUMMYFUNCTION("""COMPUTED_VALUE"""),"")</f>
        <v/>
      </c>
      <c r="BL178" s="163" t="str">
        <f>IFERROR(__xludf.DUMMYFUNCTION("""COMPUTED_VALUE"""),"")</f>
        <v/>
      </c>
      <c r="BM178" s="162" t="str">
        <f>IFERROR(__xludf.DUMMYFUNCTION("""COMPUTED_VALUE"""),"")</f>
        <v/>
      </c>
      <c r="BN178" s="162" t="str">
        <f>IFERROR(__xludf.DUMMYFUNCTION("""COMPUTED_VALUE"""),"")</f>
        <v/>
      </c>
      <c r="BO178" s="163">
        <f>IFERROR(__xludf.DUMMYFUNCTION("""COMPUTED_VALUE"""),137.3)</f>
        <v>137.3</v>
      </c>
      <c r="BP178" s="162" t="str">
        <f>IFERROR(__xludf.DUMMYFUNCTION("""COMPUTED_VALUE"""),"")</f>
        <v/>
      </c>
      <c r="BQ178" s="162" t="str">
        <f>IFERROR(__xludf.DUMMYFUNCTION("""COMPUTED_VALUE"""),"")</f>
        <v/>
      </c>
      <c r="BR178" s="163" t="str">
        <f>IFERROR(__xludf.DUMMYFUNCTION("""COMPUTED_VALUE"""),"")</f>
        <v/>
      </c>
      <c r="BS178" s="162" t="str">
        <f>IFERROR(__xludf.DUMMYFUNCTION("""COMPUTED_VALUE"""),"")</f>
        <v/>
      </c>
      <c r="BT178" s="162" t="str">
        <f>IFERROR(__xludf.DUMMYFUNCTION("""COMPUTED_VALUE"""),"")</f>
        <v/>
      </c>
      <c r="BU178" s="163" t="str">
        <f>IFERROR(__xludf.DUMMYFUNCTION("""COMPUTED_VALUE"""),"")</f>
        <v/>
      </c>
      <c r="BV178" s="162" t="str">
        <f>IFERROR(__xludf.DUMMYFUNCTION("""COMPUTED_VALUE"""),"")</f>
        <v/>
      </c>
      <c r="BW178" s="107">
        <f>IFERROR(__xludf.DUMMYFUNCTION("""COMPUTED_VALUE"""),59.6)</f>
        <v>59.6</v>
      </c>
      <c r="BX178" s="163" t="str">
        <f>IFERROR(__xludf.DUMMYFUNCTION("""COMPUTED_VALUE"""),"")</f>
        <v/>
      </c>
      <c r="BY178" s="162" t="str">
        <f>IFERROR(__xludf.DUMMYFUNCTION("""COMPUTED_VALUE"""),"")</f>
        <v/>
      </c>
      <c r="BZ178" s="162" t="str">
        <f>IFERROR(__xludf.DUMMYFUNCTION("""COMPUTED_VALUE"""),"")</f>
        <v/>
      </c>
      <c r="CA178" s="163" t="str">
        <f>IFERROR(__xludf.DUMMYFUNCTION("""COMPUTED_VALUE"""),"")</f>
        <v/>
      </c>
      <c r="CB178" s="161" t="str">
        <f>IFERROR(__xludf.DUMMYFUNCTION("""COMPUTED_VALUE"""),"")</f>
        <v/>
      </c>
      <c r="CC178" s="162" t="str">
        <f>IFERROR(__xludf.DUMMYFUNCTION("""COMPUTED_VALUE"""),"")</f>
        <v/>
      </c>
      <c r="CD178" s="163" t="str">
        <f>IFERROR(__xludf.DUMMYFUNCTION("""COMPUTED_VALUE"""),"")</f>
        <v/>
      </c>
      <c r="CE178" s="162" t="str">
        <f>IFERROR(__xludf.DUMMYFUNCTION("""COMPUTED_VALUE"""),"")</f>
        <v/>
      </c>
      <c r="CF178" s="162" t="str">
        <f>IFERROR(__xludf.DUMMYFUNCTION("""COMPUTED_VALUE"""),"")</f>
        <v/>
      </c>
      <c r="CG178" s="163" t="str">
        <f>IFERROR(__xludf.DUMMYFUNCTION("""COMPUTED_VALUE"""),"")</f>
        <v/>
      </c>
      <c r="CH178" s="162" t="str">
        <f>IFERROR(__xludf.DUMMYFUNCTION("""COMPUTED_VALUE"""),"")</f>
        <v/>
      </c>
      <c r="CI178" s="162" t="str">
        <f>IFERROR(__xludf.DUMMYFUNCTION("""COMPUTED_VALUE"""),"")</f>
        <v/>
      </c>
      <c r="CJ178" s="163" t="str">
        <f>IFERROR(__xludf.DUMMYFUNCTION("""COMPUTED_VALUE"""),"")</f>
        <v/>
      </c>
      <c r="CK178" s="162" t="str">
        <f>IFERROR(__xludf.DUMMYFUNCTION("""COMPUTED_VALUE"""),"")</f>
        <v/>
      </c>
      <c r="CL178" s="162" t="str">
        <f>IFERROR(__xludf.DUMMYFUNCTION("""COMPUTED_VALUE"""),"")</f>
        <v/>
      </c>
      <c r="CM178" s="163" t="str">
        <f>IFERROR(__xludf.DUMMYFUNCTION("""COMPUTED_VALUE"""),"")</f>
        <v/>
      </c>
      <c r="CN178" s="162" t="str">
        <f>IFERROR(__xludf.DUMMYFUNCTION("""COMPUTED_VALUE"""),"")</f>
        <v/>
      </c>
      <c r="CO178" s="162" t="str">
        <f>IFERROR(__xludf.DUMMYFUNCTION("""COMPUTED_VALUE"""),"")</f>
        <v/>
      </c>
      <c r="CP178" s="163" t="str">
        <f>IFERROR(__xludf.DUMMYFUNCTION("""COMPUTED_VALUE"""),"")</f>
        <v/>
      </c>
      <c r="CQ178" s="162">
        <f>IFERROR(__xludf.DUMMYFUNCTION("""COMPUTED_VALUE"""),147.6)</f>
        <v>147.6</v>
      </c>
      <c r="CR178" s="107" t="str">
        <f>IFERROR(__xludf.DUMMYFUNCTION("""COMPUTED_VALUE"""),"")</f>
        <v/>
      </c>
      <c r="CS178" s="163"/>
      <c r="CT178" s="162"/>
      <c r="CU178" s="162"/>
      <c r="CV178" s="163"/>
      <c r="CW178" s="162"/>
      <c r="CX178" s="162"/>
      <c r="CY178" s="163"/>
      <c r="CZ178" s="162"/>
      <c r="DA178" s="162"/>
      <c r="DB178" s="163"/>
      <c r="DC178" s="162"/>
      <c r="DD178" s="107"/>
      <c r="DE178" s="163"/>
      <c r="DF178" s="162"/>
      <c r="DG178" s="162"/>
      <c r="DH178" s="163"/>
      <c r="DI178" s="162"/>
      <c r="DJ178" s="162"/>
      <c r="DK178" s="163"/>
      <c r="DL178" s="162"/>
      <c r="DM178" s="107"/>
      <c r="DN178" s="163"/>
      <c r="DO178" s="162"/>
      <c r="DP178" s="107"/>
      <c r="DQ178" s="163"/>
      <c r="DR178" s="162"/>
      <c r="DS178" s="107"/>
      <c r="DT178" s="163"/>
    </row>
    <row r="179">
      <c r="B179" s="120" t="str">
        <f>IFERROR(__xludf.DUMMYFUNCTION("""COMPUTED_VALUE"""),"SLM8")</f>
        <v>SLM8</v>
      </c>
      <c r="C179" s="82">
        <f>IFERROR(__xludf.DUMMYFUNCTION("""COMPUTED_VALUE"""),172.0)</f>
        <v>172</v>
      </c>
      <c r="D179" s="88" t="str">
        <f>IFERROR(__xludf.DUMMYFUNCTION("""COMPUTED_VALUE"""),"Meadow")</f>
        <v>Meadow</v>
      </c>
      <c r="E179" s="82" t="str">
        <f>IFERROR(__xludf.DUMMYFUNCTION("""COMPUTED_VALUE"""),"牧草地")</f>
        <v>牧草地</v>
      </c>
      <c r="F179" s="102">
        <f>IFERROR(__xludf.DUMMYFUNCTION("""COMPUTED_VALUE"""),21.0)</f>
        <v>21</v>
      </c>
      <c r="G179" s="82">
        <f>IFERROR(__xludf.DUMMYFUNCTION("""COMPUTED_VALUE"""),18155.0)</f>
        <v>18155</v>
      </c>
      <c r="H179" s="95" t="str">
        <f>IFERROR(__xludf.DUMMYFUNCTION("""COMPUTED_VALUE"""),"")</f>
        <v/>
      </c>
      <c r="I179" s="96" t="str">
        <f>IFERROR(__xludf.DUMMYFUNCTION("""COMPUTED_VALUE"""),"")</f>
        <v/>
      </c>
      <c r="J179" s="97" t="str">
        <f>IFERROR(__xludf.DUMMYFUNCTION("""COMPUTED_VALUE"""),"")</f>
        <v/>
      </c>
      <c r="K179" s="95" t="str">
        <f>IFERROR(__xludf.DUMMYFUNCTION("""COMPUTED_VALUE"""),"")</f>
        <v/>
      </c>
      <c r="L179" s="96" t="str">
        <f>IFERROR(__xludf.DUMMYFUNCTION("""COMPUTED_VALUE"""),"")</f>
        <v/>
      </c>
      <c r="M179" s="97" t="str">
        <f>IFERROR(__xludf.DUMMYFUNCTION("""COMPUTED_VALUE"""),"")</f>
        <v/>
      </c>
      <c r="N179" s="95" t="str">
        <f>IFERROR(__xludf.DUMMYFUNCTION("""COMPUTED_VALUE"""),"")</f>
        <v/>
      </c>
      <c r="O179" s="96" t="str">
        <f>IFERROR(__xludf.DUMMYFUNCTION("""COMPUTED_VALUE"""),"")</f>
        <v/>
      </c>
      <c r="P179" s="97" t="str">
        <f>IFERROR(__xludf.DUMMYFUNCTION("""COMPUTED_VALUE"""),"")</f>
        <v/>
      </c>
      <c r="Q179" s="95" t="str">
        <f>IFERROR(__xludf.DUMMYFUNCTION("""COMPUTED_VALUE"""),"")</f>
        <v/>
      </c>
      <c r="R179" s="96" t="str">
        <f>IFERROR(__xludf.DUMMYFUNCTION("""COMPUTED_VALUE"""),"")</f>
        <v/>
      </c>
      <c r="S179" s="97" t="str">
        <f>IFERROR(__xludf.DUMMYFUNCTION("""COMPUTED_VALUE"""),"")</f>
        <v/>
      </c>
      <c r="T179" s="95" t="str">
        <f>IFERROR(__xludf.DUMMYFUNCTION("""COMPUTED_VALUE"""),"")</f>
        <v/>
      </c>
      <c r="U179" s="96" t="str">
        <f>IFERROR(__xludf.DUMMYFUNCTION("""COMPUTED_VALUE"""),"")</f>
        <v/>
      </c>
      <c r="V179" s="97" t="str">
        <f>IFERROR(__xludf.DUMMYFUNCTION("""COMPUTED_VALUE"""),"")</f>
        <v/>
      </c>
      <c r="W179" s="95" t="str">
        <f>IFERROR(__xludf.DUMMYFUNCTION("""COMPUTED_VALUE"""),"")</f>
        <v/>
      </c>
      <c r="X179" s="96" t="str">
        <f>IFERROR(__xludf.DUMMYFUNCTION("""COMPUTED_VALUE"""),"")</f>
        <v/>
      </c>
      <c r="Y179" s="97" t="str">
        <f>IFERROR(__xludf.DUMMYFUNCTION("""COMPUTED_VALUE"""),"")</f>
        <v/>
      </c>
      <c r="Z179" s="95">
        <f>IFERROR(__xludf.DUMMYFUNCTION("""COMPUTED_VALUE"""),59.8)</f>
        <v>59.8</v>
      </c>
      <c r="AA179" s="96" t="str">
        <f>IFERROR(__xludf.DUMMYFUNCTION("""COMPUTED_VALUE"""),"")</f>
        <v/>
      </c>
      <c r="AB179" s="97" t="str">
        <f>IFERROR(__xludf.DUMMYFUNCTION("""COMPUTED_VALUE"""),"")</f>
        <v/>
      </c>
      <c r="AC179" s="95" t="str">
        <f>IFERROR(__xludf.DUMMYFUNCTION("""COMPUTED_VALUE"""),"")</f>
        <v/>
      </c>
      <c r="AD179" s="96" t="str">
        <f>IFERROR(__xludf.DUMMYFUNCTION("""COMPUTED_VALUE"""),"")</f>
        <v/>
      </c>
      <c r="AE179" s="97" t="str">
        <f>IFERROR(__xludf.DUMMYFUNCTION("""COMPUTED_VALUE"""),"")</f>
        <v/>
      </c>
      <c r="AF179" s="95" t="str">
        <f>IFERROR(__xludf.DUMMYFUNCTION("""COMPUTED_VALUE"""),"")</f>
        <v/>
      </c>
      <c r="AG179" s="96" t="str">
        <f>IFERROR(__xludf.DUMMYFUNCTION("""COMPUTED_VALUE"""),"")</f>
        <v/>
      </c>
      <c r="AH179" s="97" t="str">
        <f>IFERROR(__xludf.DUMMYFUNCTION("""COMPUTED_VALUE"""),"")</f>
        <v/>
      </c>
      <c r="AI179" s="92" t="str">
        <f>IFERROR(__xludf.DUMMYFUNCTION("""COMPUTED_VALUE"""),"")</f>
        <v/>
      </c>
      <c r="AJ179" s="93" t="str">
        <f>IFERROR(__xludf.DUMMYFUNCTION("""COMPUTED_VALUE"""),"")</f>
        <v/>
      </c>
      <c r="AK179" s="94" t="str">
        <f>IFERROR(__xludf.DUMMYFUNCTION("""COMPUTED_VALUE"""),"")</f>
        <v/>
      </c>
      <c r="AL179" s="93" t="str">
        <f>IFERROR(__xludf.DUMMYFUNCTION("""COMPUTED_VALUE"""),"")</f>
        <v/>
      </c>
      <c r="AM179" s="93" t="str">
        <f>IFERROR(__xludf.DUMMYFUNCTION("""COMPUTED_VALUE"""),"")</f>
        <v/>
      </c>
      <c r="AN179" s="94" t="str">
        <f>IFERROR(__xludf.DUMMYFUNCTION("""COMPUTED_VALUE"""),"")</f>
        <v/>
      </c>
      <c r="AO179" s="93" t="str">
        <f>IFERROR(__xludf.DUMMYFUNCTION("""COMPUTED_VALUE"""),"")</f>
        <v/>
      </c>
      <c r="AP179" s="93" t="str">
        <f>IFERROR(__xludf.DUMMYFUNCTION("""COMPUTED_VALUE"""),"")</f>
        <v/>
      </c>
      <c r="AQ179" s="94" t="str">
        <f>IFERROR(__xludf.DUMMYFUNCTION("""COMPUTED_VALUE"""),"")</f>
        <v/>
      </c>
      <c r="AR179" s="93" t="str">
        <f>IFERROR(__xludf.DUMMYFUNCTION("""COMPUTED_VALUE"""),"")</f>
        <v/>
      </c>
      <c r="AS179" s="93" t="str">
        <f>IFERROR(__xludf.DUMMYFUNCTION("""COMPUTED_VALUE"""),"")</f>
        <v/>
      </c>
      <c r="AT179" s="94" t="str">
        <f>IFERROR(__xludf.DUMMYFUNCTION("""COMPUTED_VALUE"""),"")</f>
        <v/>
      </c>
      <c r="AU179" s="93" t="str">
        <f>IFERROR(__xludf.DUMMYFUNCTION("""COMPUTED_VALUE"""),"")</f>
        <v/>
      </c>
      <c r="AV179" s="93" t="str">
        <f>IFERROR(__xludf.DUMMYFUNCTION("""COMPUTED_VALUE"""),"")</f>
        <v/>
      </c>
      <c r="AW179" s="94" t="str">
        <f>IFERROR(__xludf.DUMMYFUNCTION("""COMPUTED_VALUE"""),"")</f>
        <v/>
      </c>
      <c r="AX179" s="93" t="str">
        <f>IFERROR(__xludf.DUMMYFUNCTION("""COMPUTED_VALUE"""),"")</f>
        <v/>
      </c>
      <c r="AY179" s="93" t="str">
        <f>IFERROR(__xludf.DUMMYFUNCTION("""COMPUTED_VALUE"""),"")</f>
        <v/>
      </c>
      <c r="AZ179" s="94" t="str">
        <f>IFERROR(__xludf.DUMMYFUNCTION("""COMPUTED_VALUE"""),"")</f>
        <v/>
      </c>
      <c r="BA179" s="93">
        <f>IFERROR(__xludf.DUMMYFUNCTION("""COMPUTED_VALUE"""),52.4)</f>
        <v>52.4</v>
      </c>
      <c r="BB179" s="93" t="str">
        <f>IFERROR(__xludf.DUMMYFUNCTION("""COMPUTED_VALUE"""),"")</f>
        <v/>
      </c>
      <c r="BC179" s="94" t="str">
        <f>IFERROR(__xludf.DUMMYFUNCTION("""COMPUTED_VALUE"""),"")</f>
        <v/>
      </c>
      <c r="BD179" s="93" t="str">
        <f>IFERROR(__xludf.DUMMYFUNCTION("""COMPUTED_VALUE"""),"")</f>
        <v/>
      </c>
      <c r="BE179" s="93" t="str">
        <f>IFERROR(__xludf.DUMMYFUNCTION("""COMPUTED_VALUE"""),"")</f>
        <v/>
      </c>
      <c r="BF179" s="94" t="str">
        <f>IFERROR(__xludf.DUMMYFUNCTION("""COMPUTED_VALUE"""),"")</f>
        <v/>
      </c>
      <c r="BG179" s="92" t="str">
        <f>IFERROR(__xludf.DUMMYFUNCTION("""COMPUTED_VALUE"""),"")</f>
        <v/>
      </c>
      <c r="BH179" s="93" t="str">
        <f>IFERROR(__xludf.DUMMYFUNCTION("""COMPUTED_VALUE"""),"")</f>
        <v/>
      </c>
      <c r="BI179" s="94" t="str">
        <f>IFERROR(__xludf.DUMMYFUNCTION("""COMPUTED_VALUE"""),"")</f>
        <v/>
      </c>
      <c r="BJ179" s="93" t="str">
        <f>IFERROR(__xludf.DUMMYFUNCTION("""COMPUTED_VALUE"""),"")</f>
        <v/>
      </c>
      <c r="BK179" s="93" t="str">
        <f>IFERROR(__xludf.DUMMYFUNCTION("""COMPUTED_VALUE"""),"")</f>
        <v/>
      </c>
      <c r="BL179" s="94" t="str">
        <f>IFERROR(__xludf.DUMMYFUNCTION("""COMPUTED_VALUE"""),"")</f>
        <v/>
      </c>
      <c r="BM179" s="93" t="str">
        <f>IFERROR(__xludf.DUMMYFUNCTION("""COMPUTED_VALUE"""),"")</f>
        <v/>
      </c>
      <c r="BN179" s="93" t="str">
        <f>IFERROR(__xludf.DUMMYFUNCTION("""COMPUTED_VALUE"""),"")</f>
        <v/>
      </c>
      <c r="BO179" s="94" t="str">
        <f>IFERROR(__xludf.DUMMYFUNCTION("""COMPUTED_VALUE"""),"")</f>
        <v/>
      </c>
      <c r="BP179" s="93" t="str">
        <f>IFERROR(__xludf.DUMMYFUNCTION("""COMPUTED_VALUE"""),"")</f>
        <v/>
      </c>
      <c r="BQ179" s="93" t="str">
        <f>IFERROR(__xludf.DUMMYFUNCTION("""COMPUTED_VALUE"""),"")</f>
        <v/>
      </c>
      <c r="BR179" s="94" t="str">
        <f>IFERROR(__xludf.DUMMYFUNCTION("""COMPUTED_VALUE"""),"")</f>
        <v/>
      </c>
      <c r="BS179" s="93" t="str">
        <f>IFERROR(__xludf.DUMMYFUNCTION("""COMPUTED_VALUE"""),"")</f>
        <v/>
      </c>
      <c r="BT179" s="93">
        <f>IFERROR(__xludf.DUMMYFUNCTION("""COMPUTED_VALUE"""),84.8)</f>
        <v>84.8</v>
      </c>
      <c r="BU179" s="94" t="str">
        <f>IFERROR(__xludf.DUMMYFUNCTION("""COMPUTED_VALUE"""),"")</f>
        <v/>
      </c>
      <c r="BV179" s="93" t="str">
        <f>IFERROR(__xludf.DUMMYFUNCTION("""COMPUTED_VALUE"""),"")</f>
        <v/>
      </c>
      <c r="BW179" s="93">
        <f>IFERROR(__xludf.DUMMYFUNCTION("""COMPUTED_VALUE"""),90.0)</f>
        <v>90</v>
      </c>
      <c r="BX179" s="94" t="str">
        <f>IFERROR(__xludf.DUMMYFUNCTION("""COMPUTED_VALUE"""),"")</f>
        <v/>
      </c>
      <c r="BY179" s="93" t="str">
        <f>IFERROR(__xludf.DUMMYFUNCTION("""COMPUTED_VALUE"""),"")</f>
        <v/>
      </c>
      <c r="BZ179" s="93" t="str">
        <f>IFERROR(__xludf.DUMMYFUNCTION("""COMPUTED_VALUE"""),"")</f>
        <v/>
      </c>
      <c r="CA179" s="94" t="str">
        <f>IFERROR(__xludf.DUMMYFUNCTION("""COMPUTED_VALUE"""),"")</f>
        <v/>
      </c>
      <c r="CB179" s="92" t="str">
        <f>IFERROR(__xludf.DUMMYFUNCTION("""COMPUTED_VALUE"""),"")</f>
        <v/>
      </c>
      <c r="CC179" s="93" t="str">
        <f>IFERROR(__xludf.DUMMYFUNCTION("""COMPUTED_VALUE"""),"")</f>
        <v/>
      </c>
      <c r="CD179" s="94" t="str">
        <f>IFERROR(__xludf.DUMMYFUNCTION("""COMPUTED_VALUE"""),"")</f>
        <v/>
      </c>
      <c r="CE179" s="93" t="str">
        <f>IFERROR(__xludf.DUMMYFUNCTION("""COMPUTED_VALUE"""),"")</f>
        <v/>
      </c>
      <c r="CF179" s="93" t="str">
        <f>IFERROR(__xludf.DUMMYFUNCTION("""COMPUTED_VALUE"""),"")</f>
        <v/>
      </c>
      <c r="CG179" s="94" t="str">
        <f>IFERROR(__xludf.DUMMYFUNCTION("""COMPUTED_VALUE"""),"")</f>
        <v/>
      </c>
      <c r="CH179" s="93" t="str">
        <f>IFERROR(__xludf.DUMMYFUNCTION("""COMPUTED_VALUE"""),"")</f>
        <v/>
      </c>
      <c r="CI179" s="93" t="str">
        <f>IFERROR(__xludf.DUMMYFUNCTION("""COMPUTED_VALUE"""),"")</f>
        <v/>
      </c>
      <c r="CJ179" s="94" t="str">
        <f>IFERROR(__xludf.DUMMYFUNCTION("""COMPUTED_VALUE"""),"")</f>
        <v/>
      </c>
      <c r="CK179" s="93" t="str">
        <f>IFERROR(__xludf.DUMMYFUNCTION("""COMPUTED_VALUE"""),"")</f>
        <v/>
      </c>
      <c r="CL179" s="93" t="str">
        <f>IFERROR(__xludf.DUMMYFUNCTION("""COMPUTED_VALUE"""),"")</f>
        <v/>
      </c>
      <c r="CM179" s="94" t="str">
        <f>IFERROR(__xludf.DUMMYFUNCTION("""COMPUTED_VALUE"""),"")</f>
        <v/>
      </c>
      <c r="CN179" s="93" t="str">
        <f>IFERROR(__xludf.DUMMYFUNCTION("""COMPUTED_VALUE"""),"")</f>
        <v/>
      </c>
      <c r="CO179" s="93" t="str">
        <f>IFERROR(__xludf.DUMMYFUNCTION("""COMPUTED_VALUE"""),"")</f>
        <v/>
      </c>
      <c r="CP179" s="94" t="str">
        <f>IFERROR(__xludf.DUMMYFUNCTION("""COMPUTED_VALUE"""),"")</f>
        <v/>
      </c>
      <c r="CQ179" s="93" t="str">
        <f>IFERROR(__xludf.DUMMYFUNCTION("""COMPUTED_VALUE"""),"")</f>
        <v/>
      </c>
      <c r="CR179" s="93" t="str">
        <f>IFERROR(__xludf.DUMMYFUNCTION("""COMPUTED_VALUE"""),"")</f>
        <v/>
      </c>
      <c r="CS179" s="94"/>
      <c r="CT179" s="93"/>
      <c r="CU179" s="93"/>
      <c r="CV179" s="94"/>
      <c r="CW179" s="93"/>
      <c r="CX179" s="93"/>
      <c r="CY179" s="94"/>
      <c r="CZ179" s="93"/>
      <c r="DA179" s="93"/>
      <c r="DB179" s="94"/>
      <c r="DC179" s="93"/>
      <c r="DD179" s="93"/>
      <c r="DE179" s="94"/>
      <c r="DF179" s="93"/>
      <c r="DG179" s="93"/>
      <c r="DH179" s="94"/>
      <c r="DI179" s="93"/>
      <c r="DJ179" s="93"/>
      <c r="DK179" s="94"/>
      <c r="DL179" s="93"/>
      <c r="DM179" s="93"/>
      <c r="DN179" s="94"/>
      <c r="DO179" s="93"/>
      <c r="DP179" s="93"/>
      <c r="DQ179" s="94"/>
      <c r="DR179" s="93"/>
      <c r="DS179" s="93"/>
      <c r="DT179" s="94"/>
    </row>
    <row r="180">
      <c r="B180" s="120" t="str">
        <f>IFERROR(__xludf.DUMMYFUNCTION("""COMPUTED_VALUE"""),"SLM9")</f>
        <v>SLM9</v>
      </c>
      <c r="C180" s="82">
        <f>IFERROR(__xludf.DUMMYFUNCTION("""COMPUTED_VALUE"""),173.0)</f>
        <v>173</v>
      </c>
      <c r="D180" s="88" t="str">
        <f>IFERROR(__xludf.DUMMYFUNCTION("""COMPUTED_VALUE"""),"Empty House")</f>
        <v>Empty House</v>
      </c>
      <c r="E180" s="82" t="str">
        <f>IFERROR(__xludf.DUMMYFUNCTION("""COMPUTED_VALUE"""),"空き家")</f>
        <v>空き家</v>
      </c>
      <c r="F180" s="102">
        <f>IFERROR(__xludf.DUMMYFUNCTION("""COMPUTED_VALUE"""),21.0)</f>
        <v>21</v>
      </c>
      <c r="G180" s="82">
        <f>IFERROR(__xludf.DUMMYFUNCTION("""COMPUTED_VALUE"""),15956.0)</f>
        <v>15956</v>
      </c>
      <c r="H180" s="95" t="str">
        <f>IFERROR(__xludf.DUMMYFUNCTION("""COMPUTED_VALUE"""),"")</f>
        <v/>
      </c>
      <c r="I180" s="96" t="str">
        <f>IFERROR(__xludf.DUMMYFUNCTION("""COMPUTED_VALUE"""),"")</f>
        <v/>
      </c>
      <c r="J180" s="97" t="str">
        <f>IFERROR(__xludf.DUMMYFUNCTION("""COMPUTED_VALUE"""),"")</f>
        <v/>
      </c>
      <c r="K180" s="95" t="str">
        <f>IFERROR(__xludf.DUMMYFUNCTION("""COMPUTED_VALUE"""),"")</f>
        <v/>
      </c>
      <c r="L180" s="96" t="str">
        <f>IFERROR(__xludf.DUMMYFUNCTION("""COMPUTED_VALUE"""),"")</f>
        <v/>
      </c>
      <c r="M180" s="97" t="str">
        <f>IFERROR(__xludf.DUMMYFUNCTION("""COMPUTED_VALUE"""),"")</f>
        <v/>
      </c>
      <c r="N180" s="95" t="str">
        <f>IFERROR(__xludf.DUMMYFUNCTION("""COMPUTED_VALUE"""),"")</f>
        <v/>
      </c>
      <c r="O180" s="96" t="str">
        <f>IFERROR(__xludf.DUMMYFUNCTION("""COMPUTED_VALUE"""),"")</f>
        <v/>
      </c>
      <c r="P180" s="97" t="str">
        <f>IFERROR(__xludf.DUMMYFUNCTION("""COMPUTED_VALUE"""),"")</f>
        <v/>
      </c>
      <c r="Q180" s="95" t="str">
        <f>IFERROR(__xludf.DUMMYFUNCTION("""COMPUTED_VALUE"""),"")</f>
        <v/>
      </c>
      <c r="R180" s="96" t="str">
        <f>IFERROR(__xludf.DUMMYFUNCTION("""COMPUTED_VALUE"""),"")</f>
        <v/>
      </c>
      <c r="S180" s="97" t="str">
        <f>IFERROR(__xludf.DUMMYFUNCTION("""COMPUTED_VALUE"""),"")</f>
        <v/>
      </c>
      <c r="T180" s="95" t="str">
        <f>IFERROR(__xludf.DUMMYFUNCTION("""COMPUTED_VALUE"""),"")</f>
        <v/>
      </c>
      <c r="U180" s="96" t="str">
        <f>IFERROR(__xludf.DUMMYFUNCTION("""COMPUTED_VALUE"""),"")</f>
        <v/>
      </c>
      <c r="V180" s="97" t="str">
        <f>IFERROR(__xludf.DUMMYFUNCTION("""COMPUTED_VALUE"""),"")</f>
        <v/>
      </c>
      <c r="W180" s="95" t="str">
        <f>IFERROR(__xludf.DUMMYFUNCTION("""COMPUTED_VALUE"""),"")</f>
        <v/>
      </c>
      <c r="X180" s="96" t="str">
        <f>IFERROR(__xludf.DUMMYFUNCTION("""COMPUTED_VALUE"""),"")</f>
        <v/>
      </c>
      <c r="Y180" s="97" t="str">
        <f>IFERROR(__xludf.DUMMYFUNCTION("""COMPUTED_VALUE"""),"")</f>
        <v/>
      </c>
      <c r="Z180" s="95" t="str">
        <f>IFERROR(__xludf.DUMMYFUNCTION("""COMPUTED_VALUE"""),"")</f>
        <v/>
      </c>
      <c r="AA180" s="96" t="str">
        <f>IFERROR(__xludf.DUMMYFUNCTION("""COMPUTED_VALUE"""),"")</f>
        <v/>
      </c>
      <c r="AB180" s="97" t="str">
        <f>IFERROR(__xludf.DUMMYFUNCTION("""COMPUTED_VALUE"""),"")</f>
        <v/>
      </c>
      <c r="AC180" s="95" t="str">
        <f>IFERROR(__xludf.DUMMYFUNCTION("""COMPUTED_VALUE"""),"")</f>
        <v/>
      </c>
      <c r="AD180" s="96">
        <f>IFERROR(__xludf.DUMMYFUNCTION("""COMPUTED_VALUE"""),101.0)</f>
        <v>101</v>
      </c>
      <c r="AE180" s="97" t="str">
        <f>IFERROR(__xludf.DUMMYFUNCTION("""COMPUTED_VALUE"""),"")</f>
        <v/>
      </c>
      <c r="AF180" s="95" t="str">
        <f>IFERROR(__xludf.DUMMYFUNCTION("""COMPUTED_VALUE"""),"")</f>
        <v/>
      </c>
      <c r="AG180" s="96" t="str">
        <f>IFERROR(__xludf.DUMMYFUNCTION("""COMPUTED_VALUE"""),"")</f>
        <v/>
      </c>
      <c r="AH180" s="97" t="str">
        <f>IFERROR(__xludf.DUMMYFUNCTION("""COMPUTED_VALUE"""),"")</f>
        <v/>
      </c>
      <c r="AI180" s="161" t="str">
        <f>IFERROR(__xludf.DUMMYFUNCTION("""COMPUTED_VALUE"""),"")</f>
        <v/>
      </c>
      <c r="AJ180" s="162" t="str">
        <f>IFERROR(__xludf.DUMMYFUNCTION("""COMPUTED_VALUE"""),"")</f>
        <v/>
      </c>
      <c r="AK180" s="163" t="str">
        <f>IFERROR(__xludf.DUMMYFUNCTION("""COMPUTED_VALUE"""),"")</f>
        <v/>
      </c>
      <c r="AL180" s="162" t="str">
        <f>IFERROR(__xludf.DUMMYFUNCTION("""COMPUTED_VALUE"""),"")</f>
        <v/>
      </c>
      <c r="AM180" s="162" t="str">
        <f>IFERROR(__xludf.DUMMYFUNCTION("""COMPUTED_VALUE"""),"")</f>
        <v/>
      </c>
      <c r="AN180" s="163" t="str">
        <f>IFERROR(__xludf.DUMMYFUNCTION("""COMPUTED_VALUE"""),"")</f>
        <v/>
      </c>
      <c r="AO180" s="162" t="str">
        <f>IFERROR(__xludf.DUMMYFUNCTION("""COMPUTED_VALUE"""),"")</f>
        <v/>
      </c>
      <c r="AP180" s="162" t="str">
        <f>IFERROR(__xludf.DUMMYFUNCTION("""COMPUTED_VALUE"""),"")</f>
        <v/>
      </c>
      <c r="AQ180" s="163" t="str">
        <f>IFERROR(__xludf.DUMMYFUNCTION("""COMPUTED_VALUE"""),"")</f>
        <v/>
      </c>
      <c r="AR180" s="162" t="str">
        <f>IFERROR(__xludf.DUMMYFUNCTION("""COMPUTED_VALUE"""),"")</f>
        <v/>
      </c>
      <c r="AS180" s="162" t="str">
        <f>IFERROR(__xludf.DUMMYFUNCTION("""COMPUTED_VALUE"""),"")</f>
        <v/>
      </c>
      <c r="AT180" s="163" t="str">
        <f>IFERROR(__xludf.DUMMYFUNCTION("""COMPUTED_VALUE"""),"")</f>
        <v/>
      </c>
      <c r="AU180" s="162" t="str">
        <f>IFERROR(__xludf.DUMMYFUNCTION("""COMPUTED_VALUE"""),"")</f>
        <v/>
      </c>
      <c r="AV180" s="162" t="str">
        <f>IFERROR(__xludf.DUMMYFUNCTION("""COMPUTED_VALUE"""),"")</f>
        <v/>
      </c>
      <c r="AW180" s="163" t="str">
        <f>IFERROR(__xludf.DUMMYFUNCTION("""COMPUTED_VALUE"""),"")</f>
        <v/>
      </c>
      <c r="AX180" s="162" t="str">
        <f>IFERROR(__xludf.DUMMYFUNCTION("""COMPUTED_VALUE"""),"")</f>
        <v/>
      </c>
      <c r="AY180" s="162" t="str">
        <f>IFERROR(__xludf.DUMMYFUNCTION("""COMPUTED_VALUE"""),"")</f>
        <v/>
      </c>
      <c r="AZ180" s="163" t="str">
        <f>IFERROR(__xludf.DUMMYFUNCTION("""COMPUTED_VALUE"""),"")</f>
        <v/>
      </c>
      <c r="BA180" s="162">
        <f>IFERROR(__xludf.DUMMYFUNCTION("""COMPUTED_VALUE"""),51.8)</f>
        <v>51.8</v>
      </c>
      <c r="BB180" s="162" t="str">
        <f>IFERROR(__xludf.DUMMYFUNCTION("""COMPUTED_VALUE"""),"")</f>
        <v/>
      </c>
      <c r="BC180" s="163" t="str">
        <f>IFERROR(__xludf.DUMMYFUNCTION("""COMPUTED_VALUE"""),"")</f>
        <v/>
      </c>
      <c r="BD180" s="162" t="str">
        <f>IFERROR(__xludf.DUMMYFUNCTION("""COMPUTED_VALUE"""),"")</f>
        <v/>
      </c>
      <c r="BE180" s="162" t="str">
        <f>IFERROR(__xludf.DUMMYFUNCTION("""COMPUTED_VALUE"""),"")</f>
        <v/>
      </c>
      <c r="BF180" s="163" t="str">
        <f>IFERROR(__xludf.DUMMYFUNCTION("""COMPUTED_VALUE"""),"")</f>
        <v/>
      </c>
      <c r="BG180" s="161" t="str">
        <f>IFERROR(__xludf.DUMMYFUNCTION("""COMPUTED_VALUE"""),"")</f>
        <v/>
      </c>
      <c r="BH180" s="162" t="str">
        <f>IFERROR(__xludf.DUMMYFUNCTION("""COMPUTED_VALUE"""),"")</f>
        <v/>
      </c>
      <c r="BI180" s="163" t="str">
        <f>IFERROR(__xludf.DUMMYFUNCTION("""COMPUTED_VALUE"""),"")</f>
        <v/>
      </c>
      <c r="BJ180" s="162" t="str">
        <f>IFERROR(__xludf.DUMMYFUNCTION("""COMPUTED_VALUE"""),"")</f>
        <v/>
      </c>
      <c r="BK180" s="162" t="str">
        <f>IFERROR(__xludf.DUMMYFUNCTION("""COMPUTED_VALUE"""),"")</f>
        <v/>
      </c>
      <c r="BL180" s="163" t="str">
        <f>IFERROR(__xludf.DUMMYFUNCTION("""COMPUTED_VALUE"""),"")</f>
        <v/>
      </c>
      <c r="BM180" s="162" t="str">
        <f>IFERROR(__xludf.DUMMYFUNCTION("""COMPUTED_VALUE"""),"")</f>
        <v/>
      </c>
      <c r="BN180" s="162">
        <f>IFERROR(__xludf.DUMMYFUNCTION("""COMPUTED_VALUE"""),139.0)</f>
        <v>139</v>
      </c>
      <c r="BO180" s="163" t="str">
        <f>IFERROR(__xludf.DUMMYFUNCTION("""COMPUTED_VALUE"""),"")</f>
        <v/>
      </c>
      <c r="BP180" s="162" t="str">
        <f>IFERROR(__xludf.DUMMYFUNCTION("""COMPUTED_VALUE"""),"")</f>
        <v/>
      </c>
      <c r="BQ180" s="162" t="str">
        <f>IFERROR(__xludf.DUMMYFUNCTION("""COMPUTED_VALUE"""),"")</f>
        <v/>
      </c>
      <c r="BR180" s="163" t="str">
        <f>IFERROR(__xludf.DUMMYFUNCTION("""COMPUTED_VALUE"""),"")</f>
        <v/>
      </c>
      <c r="BS180" s="162" t="str">
        <f>IFERROR(__xludf.DUMMYFUNCTION("""COMPUTED_VALUE"""),"")</f>
        <v/>
      </c>
      <c r="BT180" s="162" t="str">
        <f>IFERROR(__xludf.DUMMYFUNCTION("""COMPUTED_VALUE"""),"")</f>
        <v/>
      </c>
      <c r="BU180" s="163" t="str">
        <f>IFERROR(__xludf.DUMMYFUNCTION("""COMPUTED_VALUE"""),"")</f>
        <v/>
      </c>
      <c r="BV180" s="162" t="str">
        <f>IFERROR(__xludf.DUMMYFUNCTION("""COMPUTED_VALUE"""),"")</f>
        <v/>
      </c>
      <c r="BW180" s="162">
        <f>IFERROR(__xludf.DUMMYFUNCTION("""COMPUTED_VALUE"""),87.5)</f>
        <v>87.5</v>
      </c>
      <c r="BX180" s="163" t="str">
        <f>IFERROR(__xludf.DUMMYFUNCTION("""COMPUTED_VALUE"""),"")</f>
        <v/>
      </c>
      <c r="BY180" s="162" t="str">
        <f>IFERROR(__xludf.DUMMYFUNCTION("""COMPUTED_VALUE"""),"")</f>
        <v/>
      </c>
      <c r="BZ180" s="162" t="str">
        <f>IFERROR(__xludf.DUMMYFUNCTION("""COMPUTED_VALUE"""),"")</f>
        <v/>
      </c>
      <c r="CA180" s="163" t="str">
        <f>IFERROR(__xludf.DUMMYFUNCTION("""COMPUTED_VALUE"""),"")</f>
        <v/>
      </c>
      <c r="CB180" s="161" t="str">
        <f>IFERROR(__xludf.DUMMYFUNCTION("""COMPUTED_VALUE"""),"")</f>
        <v/>
      </c>
      <c r="CC180" s="162" t="str">
        <f>IFERROR(__xludf.DUMMYFUNCTION("""COMPUTED_VALUE"""),"")</f>
        <v/>
      </c>
      <c r="CD180" s="163" t="str">
        <f>IFERROR(__xludf.DUMMYFUNCTION("""COMPUTED_VALUE"""),"")</f>
        <v/>
      </c>
      <c r="CE180" s="162" t="str">
        <f>IFERROR(__xludf.DUMMYFUNCTION("""COMPUTED_VALUE"""),"")</f>
        <v/>
      </c>
      <c r="CF180" s="162" t="str">
        <f>IFERROR(__xludf.DUMMYFUNCTION("""COMPUTED_VALUE"""),"")</f>
        <v/>
      </c>
      <c r="CG180" s="163" t="str">
        <f>IFERROR(__xludf.DUMMYFUNCTION("""COMPUTED_VALUE"""),"")</f>
        <v/>
      </c>
      <c r="CH180" s="162" t="str">
        <f>IFERROR(__xludf.DUMMYFUNCTION("""COMPUTED_VALUE"""),"")</f>
        <v/>
      </c>
      <c r="CI180" s="162" t="str">
        <f>IFERROR(__xludf.DUMMYFUNCTION("""COMPUTED_VALUE"""),"")</f>
        <v/>
      </c>
      <c r="CJ180" s="163" t="str">
        <f>IFERROR(__xludf.DUMMYFUNCTION("""COMPUTED_VALUE"""),"")</f>
        <v/>
      </c>
      <c r="CK180" s="162" t="str">
        <f>IFERROR(__xludf.DUMMYFUNCTION("""COMPUTED_VALUE"""),"")</f>
        <v/>
      </c>
      <c r="CL180" s="162" t="str">
        <f>IFERROR(__xludf.DUMMYFUNCTION("""COMPUTED_VALUE"""),"")</f>
        <v/>
      </c>
      <c r="CM180" s="163" t="str">
        <f>IFERROR(__xludf.DUMMYFUNCTION("""COMPUTED_VALUE"""),"")</f>
        <v/>
      </c>
      <c r="CN180" s="162" t="str">
        <f>IFERROR(__xludf.DUMMYFUNCTION("""COMPUTED_VALUE"""),"")</f>
        <v/>
      </c>
      <c r="CO180" s="162" t="str">
        <f>IFERROR(__xludf.DUMMYFUNCTION("""COMPUTED_VALUE"""),"")</f>
        <v/>
      </c>
      <c r="CP180" s="163">
        <f>IFERROR(__xludf.DUMMYFUNCTION("""COMPUTED_VALUE"""),146.7)</f>
        <v>146.7</v>
      </c>
      <c r="CQ180" s="162" t="str">
        <f>IFERROR(__xludf.DUMMYFUNCTION("""COMPUTED_VALUE"""),"")</f>
        <v/>
      </c>
      <c r="CR180" s="162" t="str">
        <f>IFERROR(__xludf.DUMMYFUNCTION("""COMPUTED_VALUE"""),"")</f>
        <v/>
      </c>
      <c r="CS180" s="163"/>
      <c r="CT180" s="162"/>
      <c r="CU180" s="162"/>
      <c r="CV180" s="163"/>
      <c r="CW180" s="162"/>
      <c r="CX180" s="162"/>
      <c r="CY180" s="163"/>
      <c r="CZ180" s="162"/>
      <c r="DA180" s="162"/>
      <c r="DB180" s="163"/>
      <c r="DC180" s="162"/>
      <c r="DD180" s="162"/>
      <c r="DE180" s="163"/>
      <c r="DF180" s="162"/>
      <c r="DG180" s="162"/>
      <c r="DH180" s="163"/>
      <c r="DI180" s="162"/>
      <c r="DJ180" s="162"/>
      <c r="DK180" s="163"/>
      <c r="DL180" s="162"/>
      <c r="DM180" s="162"/>
      <c r="DN180" s="163"/>
      <c r="DO180" s="162"/>
      <c r="DP180" s="162"/>
      <c r="DQ180" s="163"/>
      <c r="DR180" s="162"/>
      <c r="DS180" s="162"/>
      <c r="DT180" s="163"/>
    </row>
    <row r="181">
      <c r="B181" s="120" t="str">
        <f>IFERROR(__xludf.DUMMYFUNCTION("""COMPUTED_VALUE"""),"SLM10")</f>
        <v>SLM10</v>
      </c>
      <c r="C181" s="82">
        <f>IFERROR(__xludf.DUMMYFUNCTION("""COMPUTED_VALUE"""),174.0)</f>
        <v>174</v>
      </c>
      <c r="D181" s="88" t="str">
        <f>IFERROR(__xludf.DUMMYFUNCTION("""COMPUTED_VALUE"""),"Hideout")</f>
        <v>Hideout</v>
      </c>
      <c r="E181" s="82" t="str">
        <f>IFERROR(__xludf.DUMMYFUNCTION("""COMPUTED_VALUE"""),"隠れ家")</f>
        <v>隠れ家</v>
      </c>
      <c r="F181" s="102">
        <f>IFERROR(__xludf.DUMMYFUNCTION("""COMPUTED_VALUE"""),21.0)</f>
        <v>21</v>
      </c>
      <c r="G181" s="82">
        <f>IFERROR(__xludf.DUMMYFUNCTION("""COMPUTED_VALUE"""),10589.0)</f>
        <v>10589</v>
      </c>
      <c r="H181" s="95" t="str">
        <f>IFERROR(__xludf.DUMMYFUNCTION("""COMPUTED_VALUE"""),"")</f>
        <v/>
      </c>
      <c r="I181" s="96" t="str">
        <f>IFERROR(__xludf.DUMMYFUNCTION("""COMPUTED_VALUE"""),"")</f>
        <v/>
      </c>
      <c r="J181" s="97" t="str">
        <f>IFERROR(__xludf.DUMMYFUNCTION("""COMPUTED_VALUE"""),"")</f>
        <v/>
      </c>
      <c r="K181" s="95" t="str">
        <f>IFERROR(__xludf.DUMMYFUNCTION("""COMPUTED_VALUE"""),"")</f>
        <v/>
      </c>
      <c r="L181" s="96" t="str">
        <f>IFERROR(__xludf.DUMMYFUNCTION("""COMPUTED_VALUE"""),"")</f>
        <v/>
      </c>
      <c r="M181" s="97" t="str">
        <f>IFERROR(__xludf.DUMMYFUNCTION("""COMPUTED_VALUE"""),"")</f>
        <v/>
      </c>
      <c r="N181" s="95" t="str">
        <f>IFERROR(__xludf.DUMMYFUNCTION("""COMPUTED_VALUE"""),"")</f>
        <v/>
      </c>
      <c r="O181" s="96" t="str">
        <f>IFERROR(__xludf.DUMMYFUNCTION("""COMPUTED_VALUE"""),"")</f>
        <v/>
      </c>
      <c r="P181" s="97" t="str">
        <f>IFERROR(__xludf.DUMMYFUNCTION("""COMPUTED_VALUE"""),"")</f>
        <v/>
      </c>
      <c r="Q181" s="95" t="str">
        <f>IFERROR(__xludf.DUMMYFUNCTION("""COMPUTED_VALUE"""),"")</f>
        <v/>
      </c>
      <c r="R181" s="96" t="str">
        <f>IFERROR(__xludf.DUMMYFUNCTION("""COMPUTED_VALUE"""),"")</f>
        <v/>
      </c>
      <c r="S181" s="97" t="str">
        <f>IFERROR(__xludf.DUMMYFUNCTION("""COMPUTED_VALUE"""),"")</f>
        <v/>
      </c>
      <c r="T181" s="95" t="str">
        <f>IFERROR(__xludf.DUMMYFUNCTION("""COMPUTED_VALUE"""),"")</f>
        <v/>
      </c>
      <c r="U181" s="96" t="str">
        <f>IFERROR(__xludf.DUMMYFUNCTION("""COMPUTED_VALUE"""),"")</f>
        <v/>
      </c>
      <c r="V181" s="97" t="str">
        <f>IFERROR(__xludf.DUMMYFUNCTION("""COMPUTED_VALUE"""),"")</f>
        <v/>
      </c>
      <c r="W181" s="95" t="str">
        <f>IFERROR(__xludf.DUMMYFUNCTION("""COMPUTED_VALUE"""),"")</f>
        <v/>
      </c>
      <c r="X181" s="96" t="str">
        <f>IFERROR(__xludf.DUMMYFUNCTION("""COMPUTED_VALUE"""),"")</f>
        <v/>
      </c>
      <c r="Y181" s="97" t="str">
        <f>IFERROR(__xludf.DUMMYFUNCTION("""COMPUTED_VALUE"""),"")</f>
        <v/>
      </c>
      <c r="Z181" s="95">
        <f>IFERROR(__xludf.DUMMYFUNCTION("""COMPUTED_VALUE"""),46.5)</f>
        <v>46.5</v>
      </c>
      <c r="AA181" s="96" t="str">
        <f>IFERROR(__xludf.DUMMYFUNCTION("""COMPUTED_VALUE"""),"")</f>
        <v/>
      </c>
      <c r="AB181" s="97" t="str">
        <f>IFERROR(__xludf.DUMMYFUNCTION("""COMPUTED_VALUE"""),"")</f>
        <v/>
      </c>
      <c r="AC181" s="95" t="str">
        <f>IFERROR(__xludf.DUMMYFUNCTION("""COMPUTED_VALUE"""),"")</f>
        <v/>
      </c>
      <c r="AD181" s="96">
        <f>IFERROR(__xludf.DUMMYFUNCTION("""COMPUTED_VALUE"""),140.2)</f>
        <v>140.2</v>
      </c>
      <c r="AE181" s="97" t="str">
        <f>IFERROR(__xludf.DUMMYFUNCTION("""COMPUTED_VALUE"""),"")</f>
        <v/>
      </c>
      <c r="AF181" s="95" t="str">
        <f>IFERROR(__xludf.DUMMYFUNCTION("""COMPUTED_VALUE"""),"")</f>
        <v/>
      </c>
      <c r="AG181" s="96" t="str">
        <f>IFERROR(__xludf.DUMMYFUNCTION("""COMPUTED_VALUE"""),"")</f>
        <v/>
      </c>
      <c r="AH181" s="97" t="str">
        <f>IFERROR(__xludf.DUMMYFUNCTION("""COMPUTED_VALUE"""),"")</f>
        <v/>
      </c>
      <c r="AI181" s="92" t="str">
        <f>IFERROR(__xludf.DUMMYFUNCTION("""COMPUTED_VALUE"""),"")</f>
        <v/>
      </c>
      <c r="AJ181" s="93" t="str">
        <f>IFERROR(__xludf.DUMMYFUNCTION("""COMPUTED_VALUE"""),"")</f>
        <v/>
      </c>
      <c r="AK181" s="94" t="str">
        <f>IFERROR(__xludf.DUMMYFUNCTION("""COMPUTED_VALUE"""),"")</f>
        <v/>
      </c>
      <c r="AL181" s="93" t="str">
        <f>IFERROR(__xludf.DUMMYFUNCTION("""COMPUTED_VALUE"""),"")</f>
        <v/>
      </c>
      <c r="AM181" s="93" t="str">
        <f>IFERROR(__xludf.DUMMYFUNCTION("""COMPUTED_VALUE"""),"")</f>
        <v/>
      </c>
      <c r="AN181" s="94" t="str">
        <f>IFERROR(__xludf.DUMMYFUNCTION("""COMPUTED_VALUE"""),"")</f>
        <v/>
      </c>
      <c r="AO181" s="93" t="str">
        <f>IFERROR(__xludf.DUMMYFUNCTION("""COMPUTED_VALUE"""),"")</f>
        <v/>
      </c>
      <c r="AP181" s="93" t="str">
        <f>IFERROR(__xludf.DUMMYFUNCTION("""COMPUTED_VALUE"""),"")</f>
        <v/>
      </c>
      <c r="AQ181" s="94" t="str">
        <f>IFERROR(__xludf.DUMMYFUNCTION("""COMPUTED_VALUE"""),"")</f>
        <v/>
      </c>
      <c r="AR181" s="93" t="str">
        <f>IFERROR(__xludf.DUMMYFUNCTION("""COMPUTED_VALUE"""),"")</f>
        <v/>
      </c>
      <c r="AS181" s="93" t="str">
        <f>IFERROR(__xludf.DUMMYFUNCTION("""COMPUTED_VALUE"""),"")</f>
        <v/>
      </c>
      <c r="AT181" s="94" t="str">
        <f>IFERROR(__xludf.DUMMYFUNCTION("""COMPUTED_VALUE"""),"")</f>
        <v/>
      </c>
      <c r="AU181" s="93" t="str">
        <f>IFERROR(__xludf.DUMMYFUNCTION("""COMPUTED_VALUE"""),"")</f>
        <v/>
      </c>
      <c r="AV181" s="93" t="str">
        <f>IFERROR(__xludf.DUMMYFUNCTION("""COMPUTED_VALUE"""),"")</f>
        <v/>
      </c>
      <c r="AW181" s="94" t="str">
        <f>IFERROR(__xludf.DUMMYFUNCTION("""COMPUTED_VALUE"""),"")</f>
        <v/>
      </c>
      <c r="AX181" s="93" t="str">
        <f>IFERROR(__xludf.DUMMYFUNCTION("""COMPUTED_VALUE"""),"")</f>
        <v/>
      </c>
      <c r="AY181" s="93" t="str">
        <f>IFERROR(__xludf.DUMMYFUNCTION("""COMPUTED_VALUE"""),"")</f>
        <v/>
      </c>
      <c r="AZ181" s="164" t="str">
        <f>IFERROR(__xludf.DUMMYFUNCTION("""COMPUTED_VALUE"""),"")</f>
        <v/>
      </c>
      <c r="BA181" s="93" t="str">
        <f>IFERROR(__xludf.DUMMYFUNCTION("""COMPUTED_VALUE"""),"")</f>
        <v/>
      </c>
      <c r="BB181" s="93" t="str">
        <f>IFERROR(__xludf.DUMMYFUNCTION("""COMPUTED_VALUE"""),"")</f>
        <v/>
      </c>
      <c r="BC181" s="94" t="str">
        <f>IFERROR(__xludf.DUMMYFUNCTION("""COMPUTED_VALUE"""),"")</f>
        <v/>
      </c>
      <c r="BD181" s="93" t="str">
        <f>IFERROR(__xludf.DUMMYFUNCTION("""COMPUTED_VALUE"""),"")</f>
        <v/>
      </c>
      <c r="BE181" s="93" t="str">
        <f>IFERROR(__xludf.DUMMYFUNCTION("""COMPUTED_VALUE"""),"")</f>
        <v/>
      </c>
      <c r="BF181" s="94" t="str">
        <f>IFERROR(__xludf.DUMMYFUNCTION("""COMPUTED_VALUE"""),"")</f>
        <v/>
      </c>
      <c r="BG181" s="92" t="str">
        <f>IFERROR(__xludf.DUMMYFUNCTION("""COMPUTED_VALUE"""),"")</f>
        <v/>
      </c>
      <c r="BH181" s="93" t="str">
        <f>IFERROR(__xludf.DUMMYFUNCTION("""COMPUTED_VALUE"""),"")</f>
        <v/>
      </c>
      <c r="BI181" s="94" t="str">
        <f>IFERROR(__xludf.DUMMYFUNCTION("""COMPUTED_VALUE"""),"")</f>
        <v/>
      </c>
      <c r="BJ181" s="93" t="str">
        <f>IFERROR(__xludf.DUMMYFUNCTION("""COMPUTED_VALUE"""),"")</f>
        <v/>
      </c>
      <c r="BK181" s="93" t="str">
        <f>IFERROR(__xludf.DUMMYFUNCTION("""COMPUTED_VALUE"""),"")</f>
        <v/>
      </c>
      <c r="BL181" s="94" t="str">
        <f>IFERROR(__xludf.DUMMYFUNCTION("""COMPUTED_VALUE"""),"")</f>
        <v/>
      </c>
      <c r="BM181" s="93" t="str">
        <f>IFERROR(__xludf.DUMMYFUNCTION("""COMPUTED_VALUE"""),"")</f>
        <v/>
      </c>
      <c r="BN181" s="93">
        <f>IFERROR(__xludf.DUMMYFUNCTION("""COMPUTED_VALUE"""),138.4)</f>
        <v>138.4</v>
      </c>
      <c r="BO181" s="94" t="str">
        <f>IFERROR(__xludf.DUMMYFUNCTION("""COMPUTED_VALUE"""),"")</f>
        <v/>
      </c>
      <c r="BP181" s="93" t="str">
        <f>IFERROR(__xludf.DUMMYFUNCTION("""COMPUTED_VALUE"""),"")</f>
        <v/>
      </c>
      <c r="BQ181" s="93" t="str">
        <f>IFERROR(__xludf.DUMMYFUNCTION("""COMPUTED_VALUE"""),"")</f>
        <v/>
      </c>
      <c r="BR181" s="94" t="str">
        <f>IFERROR(__xludf.DUMMYFUNCTION("""COMPUTED_VALUE"""),"")</f>
        <v/>
      </c>
      <c r="BS181" s="93" t="str">
        <f>IFERROR(__xludf.DUMMYFUNCTION("""COMPUTED_VALUE"""),"")</f>
        <v/>
      </c>
      <c r="BT181" s="93">
        <f>IFERROR(__xludf.DUMMYFUNCTION("""COMPUTED_VALUE"""),85.0)</f>
        <v>85</v>
      </c>
      <c r="BU181" s="94" t="str">
        <f>IFERROR(__xludf.DUMMYFUNCTION("""COMPUTED_VALUE"""),"")</f>
        <v/>
      </c>
      <c r="BV181" s="93" t="str">
        <f>IFERROR(__xludf.DUMMYFUNCTION("""COMPUTED_VALUE"""),"")</f>
        <v/>
      </c>
      <c r="BW181" s="93" t="str">
        <f>IFERROR(__xludf.DUMMYFUNCTION("""COMPUTED_VALUE"""),"")</f>
        <v/>
      </c>
      <c r="BX181" s="94" t="str">
        <f>IFERROR(__xludf.DUMMYFUNCTION("""COMPUTED_VALUE"""),"")</f>
        <v/>
      </c>
      <c r="BY181" s="93" t="str">
        <f>IFERROR(__xludf.DUMMYFUNCTION("""COMPUTED_VALUE"""),"")</f>
        <v/>
      </c>
      <c r="BZ181" s="93" t="str">
        <f>IFERROR(__xludf.DUMMYFUNCTION("""COMPUTED_VALUE"""),"")</f>
        <v/>
      </c>
      <c r="CA181" s="94" t="str">
        <f>IFERROR(__xludf.DUMMYFUNCTION("""COMPUTED_VALUE"""),"")</f>
        <v/>
      </c>
      <c r="CB181" s="92" t="str">
        <f>IFERROR(__xludf.DUMMYFUNCTION("""COMPUTED_VALUE"""),"")</f>
        <v/>
      </c>
      <c r="CC181" s="93" t="str">
        <f>IFERROR(__xludf.DUMMYFUNCTION("""COMPUTED_VALUE"""),"")</f>
        <v/>
      </c>
      <c r="CD181" s="94" t="str">
        <f>IFERROR(__xludf.DUMMYFUNCTION("""COMPUTED_VALUE"""),"")</f>
        <v/>
      </c>
      <c r="CE181" s="93" t="str">
        <f>IFERROR(__xludf.DUMMYFUNCTION("""COMPUTED_VALUE"""),"")</f>
        <v/>
      </c>
      <c r="CF181" s="93" t="str">
        <f>IFERROR(__xludf.DUMMYFUNCTION("""COMPUTED_VALUE"""),"")</f>
        <v/>
      </c>
      <c r="CG181" s="94" t="str">
        <f>IFERROR(__xludf.DUMMYFUNCTION("""COMPUTED_VALUE"""),"")</f>
        <v/>
      </c>
      <c r="CH181" s="93" t="str">
        <f>IFERROR(__xludf.DUMMYFUNCTION("""COMPUTED_VALUE"""),"")</f>
        <v/>
      </c>
      <c r="CI181" s="93" t="str">
        <f>IFERROR(__xludf.DUMMYFUNCTION("""COMPUTED_VALUE"""),"")</f>
        <v/>
      </c>
      <c r="CJ181" s="94" t="str">
        <f>IFERROR(__xludf.DUMMYFUNCTION("""COMPUTED_VALUE"""),"")</f>
        <v/>
      </c>
      <c r="CK181" s="93" t="str">
        <f>IFERROR(__xludf.DUMMYFUNCTION("""COMPUTED_VALUE"""),"")</f>
        <v/>
      </c>
      <c r="CL181" s="93" t="str">
        <f>IFERROR(__xludf.DUMMYFUNCTION("""COMPUTED_VALUE"""),"")</f>
        <v/>
      </c>
      <c r="CM181" s="94" t="str">
        <f>IFERROR(__xludf.DUMMYFUNCTION("""COMPUTED_VALUE"""),"")</f>
        <v/>
      </c>
      <c r="CN181" s="93" t="str">
        <f>IFERROR(__xludf.DUMMYFUNCTION("""COMPUTED_VALUE"""),"")</f>
        <v/>
      </c>
      <c r="CO181" s="93" t="str">
        <f>IFERROR(__xludf.DUMMYFUNCTION("""COMPUTED_VALUE"""),"")</f>
        <v/>
      </c>
      <c r="CP181" s="94">
        <f>IFERROR(__xludf.DUMMYFUNCTION("""COMPUTED_VALUE"""),157.5)</f>
        <v>157.5</v>
      </c>
      <c r="CQ181" s="93" t="str">
        <f>IFERROR(__xludf.DUMMYFUNCTION("""COMPUTED_VALUE"""),"")</f>
        <v/>
      </c>
      <c r="CR181" s="93" t="str">
        <f>IFERROR(__xludf.DUMMYFUNCTION("""COMPUTED_VALUE"""),"")</f>
        <v/>
      </c>
      <c r="CS181" s="94"/>
      <c r="CT181" s="93"/>
      <c r="CU181" s="93"/>
      <c r="CV181" s="94"/>
      <c r="CW181" s="93"/>
      <c r="CX181" s="93"/>
      <c r="CY181" s="94"/>
      <c r="CZ181" s="93"/>
      <c r="DA181" s="93"/>
      <c r="DB181" s="94"/>
      <c r="DC181" s="93"/>
      <c r="DD181" s="93"/>
      <c r="DE181" s="94"/>
      <c r="DF181" s="93"/>
      <c r="DG181" s="93"/>
      <c r="DH181" s="94"/>
      <c r="DI181" s="93"/>
      <c r="DJ181" s="93"/>
      <c r="DK181" s="94"/>
      <c r="DL181" s="93"/>
      <c r="DM181" s="93"/>
      <c r="DN181" s="94"/>
      <c r="DO181" s="93"/>
      <c r="DP181" s="93"/>
      <c r="DQ181" s="94"/>
      <c r="DR181" s="93"/>
      <c r="DS181" s="93"/>
      <c r="DT181" s="94"/>
    </row>
    <row r="182">
      <c r="B182" s="120" t="str">
        <f>IFERROR(__xludf.DUMMYFUNCTION("""COMPUTED_VALUE"""),"SLM11")</f>
        <v>SLM11</v>
      </c>
      <c r="C182" s="82">
        <f>IFERROR(__xludf.DUMMYFUNCTION("""COMPUTED_VALUE"""),175.0)</f>
        <v>175</v>
      </c>
      <c r="D182" s="88" t="str">
        <f>IFERROR(__xludf.DUMMYFUNCTION("""COMPUTED_VALUE"""),"Jail")</f>
        <v>Jail</v>
      </c>
      <c r="E182" s="82" t="str">
        <f>IFERROR(__xludf.DUMMYFUNCTION("""COMPUTED_VALUE"""),"留置所")</f>
        <v>留置所</v>
      </c>
      <c r="F182" s="102">
        <f>IFERROR(__xludf.DUMMYFUNCTION("""COMPUTED_VALUE"""),21.0)</f>
        <v>21</v>
      </c>
      <c r="G182" s="82">
        <f>IFERROR(__xludf.DUMMYFUNCTION("""COMPUTED_VALUE"""),2710.0)</f>
        <v>2710</v>
      </c>
      <c r="H182" s="95" t="str">
        <f>IFERROR(__xludf.DUMMYFUNCTION("""COMPUTED_VALUE"""),"")</f>
        <v/>
      </c>
      <c r="I182" s="96" t="str">
        <f>IFERROR(__xludf.DUMMYFUNCTION("""COMPUTED_VALUE"""),"")</f>
        <v/>
      </c>
      <c r="J182" s="97" t="str">
        <f>IFERROR(__xludf.DUMMYFUNCTION("""COMPUTED_VALUE"""),"")</f>
        <v/>
      </c>
      <c r="K182" s="95" t="str">
        <f>IFERROR(__xludf.DUMMYFUNCTION("""COMPUTED_VALUE"""),"")</f>
        <v/>
      </c>
      <c r="L182" s="96" t="str">
        <f>IFERROR(__xludf.DUMMYFUNCTION("""COMPUTED_VALUE"""),"")</f>
        <v/>
      </c>
      <c r="M182" s="97" t="str">
        <f>IFERROR(__xludf.DUMMYFUNCTION("""COMPUTED_VALUE"""),"")</f>
        <v/>
      </c>
      <c r="N182" s="95" t="str">
        <f>IFERROR(__xludf.DUMMYFUNCTION("""COMPUTED_VALUE"""),"")</f>
        <v/>
      </c>
      <c r="O182" s="96">
        <f>IFERROR(__xludf.DUMMYFUNCTION("""COMPUTED_VALUE"""),100.0)</f>
        <v>100</v>
      </c>
      <c r="P182" s="97" t="str">
        <f>IFERROR(__xludf.DUMMYFUNCTION("""COMPUTED_VALUE"""),"")</f>
        <v/>
      </c>
      <c r="Q182" s="95" t="str">
        <f>IFERROR(__xludf.DUMMYFUNCTION("""COMPUTED_VALUE"""),"")</f>
        <v/>
      </c>
      <c r="R182" s="96" t="str">
        <f>IFERROR(__xludf.DUMMYFUNCTION("""COMPUTED_VALUE"""),"")</f>
        <v/>
      </c>
      <c r="S182" s="97" t="str">
        <f>IFERROR(__xludf.DUMMYFUNCTION("""COMPUTED_VALUE"""),"")</f>
        <v/>
      </c>
      <c r="T182" s="95" t="str">
        <f>IFERROR(__xludf.DUMMYFUNCTION("""COMPUTED_VALUE"""),"")</f>
        <v/>
      </c>
      <c r="U182" s="96" t="str">
        <f>IFERROR(__xludf.DUMMYFUNCTION("""COMPUTED_VALUE"""),"")</f>
        <v/>
      </c>
      <c r="V182" s="97" t="str">
        <f>IFERROR(__xludf.DUMMYFUNCTION("""COMPUTED_VALUE"""),"")</f>
        <v/>
      </c>
      <c r="W182" s="95" t="str">
        <f>IFERROR(__xludf.DUMMYFUNCTION("""COMPUTED_VALUE"""),"")</f>
        <v/>
      </c>
      <c r="X182" s="96" t="str">
        <f>IFERROR(__xludf.DUMMYFUNCTION("""COMPUTED_VALUE"""),"")</f>
        <v/>
      </c>
      <c r="Y182" s="97" t="str">
        <f>IFERROR(__xludf.DUMMYFUNCTION("""COMPUTED_VALUE"""),"")</f>
        <v/>
      </c>
      <c r="Z182" s="95" t="str">
        <f>IFERROR(__xludf.DUMMYFUNCTION("""COMPUTED_VALUE"""),"")</f>
        <v/>
      </c>
      <c r="AA182" s="96" t="str">
        <f>IFERROR(__xludf.DUMMYFUNCTION("""COMPUTED_VALUE"""),"")</f>
        <v/>
      </c>
      <c r="AB182" s="97" t="str">
        <f>IFERROR(__xludf.DUMMYFUNCTION("""COMPUTED_VALUE"""),"")</f>
        <v/>
      </c>
      <c r="AC182" s="95" t="str">
        <f>IFERROR(__xludf.DUMMYFUNCTION("""COMPUTED_VALUE"""),"")</f>
        <v/>
      </c>
      <c r="AD182" s="96" t="str">
        <f>IFERROR(__xludf.DUMMYFUNCTION("""COMPUTED_VALUE"""),"")</f>
        <v/>
      </c>
      <c r="AE182" s="97" t="str">
        <f>IFERROR(__xludf.DUMMYFUNCTION("""COMPUTED_VALUE"""),"")</f>
        <v/>
      </c>
      <c r="AF182" s="95" t="str">
        <f>IFERROR(__xludf.DUMMYFUNCTION("""COMPUTED_VALUE"""),"")</f>
        <v/>
      </c>
      <c r="AG182" s="96" t="str">
        <f>IFERROR(__xludf.DUMMYFUNCTION("""COMPUTED_VALUE"""),"")</f>
        <v/>
      </c>
      <c r="AH182" s="97" t="str">
        <f>IFERROR(__xludf.DUMMYFUNCTION("""COMPUTED_VALUE"""),"")</f>
        <v/>
      </c>
      <c r="AI182" s="161" t="str">
        <f>IFERROR(__xludf.DUMMYFUNCTION("""COMPUTED_VALUE"""),"")</f>
        <v/>
      </c>
      <c r="AJ182" s="162" t="str">
        <f>IFERROR(__xludf.DUMMYFUNCTION("""COMPUTED_VALUE"""),"")</f>
        <v/>
      </c>
      <c r="AK182" s="163" t="str">
        <f>IFERROR(__xludf.DUMMYFUNCTION("""COMPUTED_VALUE"""),"")</f>
        <v/>
      </c>
      <c r="AL182" s="162" t="str">
        <f>IFERROR(__xludf.DUMMYFUNCTION("""COMPUTED_VALUE"""),"")</f>
        <v/>
      </c>
      <c r="AM182" s="162" t="str">
        <f>IFERROR(__xludf.DUMMYFUNCTION("""COMPUTED_VALUE"""),"")</f>
        <v/>
      </c>
      <c r="AN182" s="163" t="str">
        <f>IFERROR(__xludf.DUMMYFUNCTION("""COMPUTED_VALUE"""),"")</f>
        <v/>
      </c>
      <c r="AO182" s="162" t="str">
        <f>IFERROR(__xludf.DUMMYFUNCTION("""COMPUTED_VALUE"""),"")</f>
        <v/>
      </c>
      <c r="AP182" s="143" t="str">
        <f>IFERROR(__xludf.DUMMYFUNCTION("""COMPUTED_VALUE"""),"")</f>
        <v/>
      </c>
      <c r="AQ182" s="163" t="str">
        <f>IFERROR(__xludf.DUMMYFUNCTION("""COMPUTED_VALUE"""),"")</f>
        <v/>
      </c>
      <c r="AR182" s="162" t="str">
        <f>IFERROR(__xludf.DUMMYFUNCTION("""COMPUTED_VALUE"""),"")</f>
        <v/>
      </c>
      <c r="AS182" s="162" t="str">
        <f>IFERROR(__xludf.DUMMYFUNCTION("""COMPUTED_VALUE"""),"")</f>
        <v/>
      </c>
      <c r="AT182" s="163" t="str">
        <f>IFERROR(__xludf.DUMMYFUNCTION("""COMPUTED_VALUE"""),"")</f>
        <v/>
      </c>
      <c r="AU182" s="162" t="str">
        <f>IFERROR(__xludf.DUMMYFUNCTION("""COMPUTED_VALUE"""),"")</f>
        <v/>
      </c>
      <c r="AV182" s="162">
        <f>IFERROR(__xludf.DUMMYFUNCTION("""COMPUTED_VALUE"""),52.7)</f>
        <v>52.7</v>
      </c>
      <c r="AW182" s="163" t="str">
        <f>IFERROR(__xludf.DUMMYFUNCTION("""COMPUTED_VALUE"""),"")</f>
        <v/>
      </c>
      <c r="AX182" s="162" t="str">
        <f>IFERROR(__xludf.DUMMYFUNCTION("""COMPUTED_VALUE"""),"")</f>
        <v/>
      </c>
      <c r="AY182" s="162" t="str">
        <f>IFERROR(__xludf.DUMMYFUNCTION("""COMPUTED_VALUE"""),"")</f>
        <v/>
      </c>
      <c r="AZ182" s="163" t="str">
        <f>IFERROR(__xludf.DUMMYFUNCTION("""COMPUTED_VALUE"""),"")</f>
        <v/>
      </c>
      <c r="BA182" s="162" t="str">
        <f>IFERROR(__xludf.DUMMYFUNCTION("""COMPUTED_VALUE"""),"")</f>
        <v/>
      </c>
      <c r="BB182" s="162" t="str">
        <f>IFERROR(__xludf.DUMMYFUNCTION("""COMPUTED_VALUE"""),"")</f>
        <v/>
      </c>
      <c r="BC182" s="163" t="str">
        <f>IFERROR(__xludf.DUMMYFUNCTION("""COMPUTED_VALUE"""),"")</f>
        <v/>
      </c>
      <c r="BD182" s="162" t="str">
        <f>IFERROR(__xludf.DUMMYFUNCTION("""COMPUTED_VALUE"""),"")</f>
        <v/>
      </c>
      <c r="BE182" s="162" t="str">
        <f>IFERROR(__xludf.DUMMYFUNCTION("""COMPUTED_VALUE"""),"")</f>
        <v/>
      </c>
      <c r="BF182" s="163" t="str">
        <f>IFERROR(__xludf.DUMMYFUNCTION("""COMPUTED_VALUE"""),"")</f>
        <v/>
      </c>
      <c r="BG182" s="161" t="str">
        <f>IFERROR(__xludf.DUMMYFUNCTION("""COMPUTED_VALUE"""),"")</f>
        <v/>
      </c>
      <c r="BH182" s="162" t="str">
        <f>IFERROR(__xludf.DUMMYFUNCTION("""COMPUTED_VALUE"""),"")</f>
        <v/>
      </c>
      <c r="BI182" s="163" t="str">
        <f>IFERROR(__xludf.DUMMYFUNCTION("""COMPUTED_VALUE"""),"")</f>
        <v/>
      </c>
      <c r="BJ182" s="162" t="str">
        <f>IFERROR(__xludf.DUMMYFUNCTION("""COMPUTED_VALUE"""),"")</f>
        <v/>
      </c>
      <c r="BK182" s="162" t="str">
        <f>IFERROR(__xludf.DUMMYFUNCTION("""COMPUTED_VALUE"""),"")</f>
        <v/>
      </c>
      <c r="BL182" s="163" t="str">
        <f>IFERROR(__xludf.DUMMYFUNCTION("""COMPUTED_VALUE"""),"")</f>
        <v/>
      </c>
      <c r="BM182" s="162" t="str">
        <f>IFERROR(__xludf.DUMMYFUNCTION("""COMPUTED_VALUE"""),"")</f>
        <v/>
      </c>
      <c r="BN182" s="162">
        <f>IFERROR(__xludf.DUMMYFUNCTION("""COMPUTED_VALUE"""),275.4)</f>
        <v>275.4</v>
      </c>
      <c r="BO182" s="163" t="str">
        <f>IFERROR(__xludf.DUMMYFUNCTION("""COMPUTED_VALUE"""),"")</f>
        <v/>
      </c>
      <c r="BP182" s="162" t="str">
        <f>IFERROR(__xludf.DUMMYFUNCTION("""COMPUTED_VALUE"""),"")</f>
        <v/>
      </c>
      <c r="BQ182" s="162">
        <f>IFERROR(__xludf.DUMMYFUNCTION("""COMPUTED_VALUE"""),51.2)</f>
        <v>51.2</v>
      </c>
      <c r="BR182" s="163" t="str">
        <f>IFERROR(__xludf.DUMMYFUNCTION("""COMPUTED_VALUE"""),"")</f>
        <v/>
      </c>
      <c r="BS182" s="162" t="str">
        <f>IFERROR(__xludf.DUMMYFUNCTION("""COMPUTED_VALUE"""),"")</f>
        <v/>
      </c>
      <c r="BT182" s="162" t="str">
        <f>IFERROR(__xludf.DUMMYFUNCTION("""COMPUTED_VALUE"""),"")</f>
        <v/>
      </c>
      <c r="BU182" s="163" t="str">
        <f>IFERROR(__xludf.DUMMYFUNCTION("""COMPUTED_VALUE"""),"")</f>
        <v/>
      </c>
      <c r="BV182" s="162" t="str">
        <f>IFERROR(__xludf.DUMMYFUNCTION("""COMPUTED_VALUE"""),"")</f>
        <v/>
      </c>
      <c r="BW182" s="162" t="str">
        <f>IFERROR(__xludf.DUMMYFUNCTION("""COMPUTED_VALUE"""),"")</f>
        <v/>
      </c>
      <c r="BX182" s="163" t="str">
        <f>IFERROR(__xludf.DUMMYFUNCTION("""COMPUTED_VALUE"""),"")</f>
        <v/>
      </c>
      <c r="BY182" s="162" t="str">
        <f>IFERROR(__xludf.DUMMYFUNCTION("""COMPUTED_VALUE"""),"")</f>
        <v/>
      </c>
      <c r="BZ182" s="162" t="str">
        <f>IFERROR(__xludf.DUMMYFUNCTION("""COMPUTED_VALUE"""),"")</f>
        <v/>
      </c>
      <c r="CA182" s="163" t="str">
        <f>IFERROR(__xludf.DUMMYFUNCTION("""COMPUTED_VALUE"""),"")</f>
        <v/>
      </c>
      <c r="CB182" s="161" t="str">
        <f>IFERROR(__xludf.DUMMYFUNCTION("""COMPUTED_VALUE"""),"")</f>
        <v/>
      </c>
      <c r="CC182" s="162" t="str">
        <f>IFERROR(__xludf.DUMMYFUNCTION("""COMPUTED_VALUE"""),"")</f>
        <v/>
      </c>
      <c r="CD182" s="163" t="str">
        <f>IFERROR(__xludf.DUMMYFUNCTION("""COMPUTED_VALUE"""),"")</f>
        <v/>
      </c>
      <c r="CE182" s="162" t="str">
        <f>IFERROR(__xludf.DUMMYFUNCTION("""COMPUTED_VALUE"""),"")</f>
        <v/>
      </c>
      <c r="CF182" s="162" t="str">
        <f>IFERROR(__xludf.DUMMYFUNCTION("""COMPUTED_VALUE"""),"")</f>
        <v/>
      </c>
      <c r="CG182" s="163" t="str">
        <f>IFERROR(__xludf.DUMMYFUNCTION("""COMPUTED_VALUE"""),"")</f>
        <v/>
      </c>
      <c r="CH182" s="162" t="str">
        <f>IFERROR(__xludf.DUMMYFUNCTION("""COMPUTED_VALUE"""),"")</f>
        <v/>
      </c>
      <c r="CI182" s="162" t="str">
        <f>IFERROR(__xludf.DUMMYFUNCTION("""COMPUTED_VALUE"""),"")</f>
        <v/>
      </c>
      <c r="CJ182" s="163" t="str">
        <f>IFERROR(__xludf.DUMMYFUNCTION("""COMPUTED_VALUE"""),"")</f>
        <v/>
      </c>
      <c r="CK182" s="162" t="str">
        <f>IFERROR(__xludf.DUMMYFUNCTION("""COMPUTED_VALUE"""),"")</f>
        <v/>
      </c>
      <c r="CL182" s="162" t="str">
        <f>IFERROR(__xludf.DUMMYFUNCTION("""COMPUTED_VALUE"""),"")</f>
        <v/>
      </c>
      <c r="CM182" s="163" t="str">
        <f>IFERROR(__xludf.DUMMYFUNCTION("""COMPUTED_VALUE"""),"")</f>
        <v/>
      </c>
      <c r="CN182" s="162" t="str">
        <f>IFERROR(__xludf.DUMMYFUNCTION("""COMPUTED_VALUE"""),"")</f>
        <v/>
      </c>
      <c r="CO182" s="162" t="str">
        <f>IFERROR(__xludf.DUMMYFUNCTION("""COMPUTED_VALUE"""),"")</f>
        <v/>
      </c>
      <c r="CP182" s="163">
        <f>IFERROR(__xludf.DUMMYFUNCTION("""COMPUTED_VALUE"""),590.0)</f>
        <v>590</v>
      </c>
      <c r="CQ182" s="162" t="str">
        <f>IFERROR(__xludf.DUMMYFUNCTION("""COMPUTED_VALUE"""),"")</f>
        <v/>
      </c>
      <c r="CR182" s="162" t="str">
        <f>IFERROR(__xludf.DUMMYFUNCTION("""COMPUTED_VALUE"""),"")</f>
        <v/>
      </c>
      <c r="CS182" s="163"/>
      <c r="CT182" s="162"/>
      <c r="CU182" s="162"/>
      <c r="CV182" s="163"/>
      <c r="CW182" s="162"/>
      <c r="CX182" s="162"/>
      <c r="CY182" s="163"/>
      <c r="CZ182" s="162"/>
      <c r="DA182" s="162"/>
      <c r="DB182" s="163"/>
      <c r="DC182" s="162"/>
      <c r="DD182" s="162"/>
      <c r="DE182" s="163"/>
      <c r="DF182" s="162"/>
      <c r="DG182" s="162"/>
      <c r="DH182" s="163"/>
      <c r="DI182" s="162"/>
      <c r="DJ182" s="162"/>
      <c r="DK182" s="163"/>
      <c r="DL182" s="162"/>
      <c r="DM182" s="162"/>
      <c r="DN182" s="163"/>
      <c r="DO182" s="162"/>
      <c r="DP182" s="162"/>
      <c r="DQ182" s="163"/>
      <c r="DR182" s="162"/>
      <c r="DS182" s="162"/>
      <c r="DT182" s="163"/>
    </row>
    <row r="183">
      <c r="A183" s="165" t="str">
        <f>IFERROR(__xludf.DUMMYFUNCTION("""COMPUTED_VALUE"""),"ANASTASIA")</f>
        <v>ANASTASIA</v>
      </c>
      <c r="B183" s="120" t="str">
        <f>IFERROR(__xludf.DUMMYFUNCTION("""COMPUTED_VALUE"""),"ANA1")</f>
        <v>ANA1</v>
      </c>
      <c r="C183" s="82">
        <f>IFERROR(__xludf.DUMMYFUNCTION("""COMPUTED_VALUE"""),178.0)</f>
        <v>178</v>
      </c>
      <c r="D183" s="88" t="str">
        <f>IFERROR(__xludf.DUMMYFUNCTION("""COMPUTED_VALUE"""),"Anchor Point")</f>
        <v>Anchor Point</v>
      </c>
      <c r="E183" s="82" t="str">
        <f>IFERROR(__xludf.DUMMYFUNCTION("""COMPUTED_VALUE"""),"アンカーポイント")</f>
        <v>アンカーポイント</v>
      </c>
      <c r="F183" s="102">
        <f>IFERROR(__xludf.DUMMYFUNCTION("""COMPUTED_VALUE"""),20.0)</f>
        <v>20</v>
      </c>
      <c r="G183" s="82">
        <f>IFERROR(__xludf.DUMMYFUNCTION("""COMPUTED_VALUE"""),2652.0)</f>
        <v>2652</v>
      </c>
      <c r="H183" s="95" t="str">
        <f>IFERROR(__xludf.DUMMYFUNCTION("""COMPUTED_VALUE"""),"")</f>
        <v/>
      </c>
      <c r="I183" s="96" t="str">
        <f>IFERROR(__xludf.DUMMYFUNCTION("""COMPUTED_VALUE"""),"")</f>
        <v/>
      </c>
      <c r="J183" s="97" t="str">
        <f>IFERROR(__xludf.DUMMYFUNCTION("""COMPUTED_VALUE"""),"")</f>
        <v/>
      </c>
      <c r="K183" s="95" t="str">
        <f>IFERROR(__xludf.DUMMYFUNCTION("""COMPUTED_VALUE"""),"")</f>
        <v/>
      </c>
      <c r="L183" s="96">
        <f>IFERROR(__xludf.DUMMYFUNCTION("""COMPUTED_VALUE"""),98.0)</f>
        <v>98</v>
      </c>
      <c r="M183" s="97" t="str">
        <f>IFERROR(__xludf.DUMMYFUNCTION("""COMPUTED_VALUE"""),"")</f>
        <v/>
      </c>
      <c r="N183" s="95" t="str">
        <f>IFERROR(__xludf.DUMMYFUNCTION("""COMPUTED_VALUE"""),"")</f>
        <v/>
      </c>
      <c r="O183" s="96" t="str">
        <f>IFERROR(__xludf.DUMMYFUNCTION("""COMPUTED_VALUE"""),"")</f>
        <v/>
      </c>
      <c r="P183" s="97" t="str">
        <f>IFERROR(__xludf.DUMMYFUNCTION("""COMPUTED_VALUE"""),"")</f>
        <v/>
      </c>
      <c r="Q183" s="95" t="str">
        <f>IFERROR(__xludf.DUMMYFUNCTION("""COMPUTED_VALUE"""),"")</f>
        <v/>
      </c>
      <c r="R183" s="96" t="str">
        <f>IFERROR(__xludf.DUMMYFUNCTION("""COMPUTED_VALUE"""),"")</f>
        <v/>
      </c>
      <c r="S183" s="97" t="str">
        <f>IFERROR(__xludf.DUMMYFUNCTION("""COMPUTED_VALUE"""),"")</f>
        <v/>
      </c>
      <c r="T183" s="95" t="str">
        <f>IFERROR(__xludf.DUMMYFUNCTION("""COMPUTED_VALUE"""),"")</f>
        <v/>
      </c>
      <c r="U183" s="96" t="str">
        <f>IFERROR(__xludf.DUMMYFUNCTION("""COMPUTED_VALUE"""),"")</f>
        <v/>
      </c>
      <c r="V183" s="97" t="str">
        <f>IFERROR(__xludf.DUMMYFUNCTION("""COMPUTED_VALUE"""),"")</f>
        <v/>
      </c>
      <c r="W183" s="95" t="str">
        <f>IFERROR(__xludf.DUMMYFUNCTION("""COMPUTED_VALUE"""),"")</f>
        <v/>
      </c>
      <c r="X183" s="96" t="str">
        <f>IFERROR(__xludf.DUMMYFUNCTION("""COMPUTED_VALUE"""),"")</f>
        <v/>
      </c>
      <c r="Y183" s="97" t="str">
        <f>IFERROR(__xludf.DUMMYFUNCTION("""COMPUTED_VALUE"""),"")</f>
        <v/>
      </c>
      <c r="Z183" s="95" t="str">
        <f>IFERROR(__xludf.DUMMYFUNCTION("""COMPUTED_VALUE"""),"")</f>
        <v/>
      </c>
      <c r="AA183" s="96" t="str">
        <f>IFERROR(__xludf.DUMMYFUNCTION("""COMPUTED_VALUE"""),"")</f>
        <v/>
      </c>
      <c r="AB183" s="97" t="str">
        <f>IFERROR(__xludf.DUMMYFUNCTION("""COMPUTED_VALUE"""),"")</f>
        <v/>
      </c>
      <c r="AC183" s="95" t="str">
        <f>IFERROR(__xludf.DUMMYFUNCTION("""COMPUTED_VALUE"""),"")</f>
        <v/>
      </c>
      <c r="AD183" s="96" t="str">
        <f>IFERROR(__xludf.DUMMYFUNCTION("""COMPUTED_VALUE"""),"")</f>
        <v/>
      </c>
      <c r="AE183" s="97" t="str">
        <f>IFERROR(__xludf.DUMMYFUNCTION("""COMPUTED_VALUE"""),"")</f>
        <v/>
      </c>
      <c r="AF183" s="95" t="str">
        <f>IFERROR(__xludf.DUMMYFUNCTION("""COMPUTED_VALUE"""),"")</f>
        <v/>
      </c>
      <c r="AG183" s="96" t="str">
        <f>IFERROR(__xludf.DUMMYFUNCTION("""COMPUTED_VALUE"""),"")</f>
        <v/>
      </c>
      <c r="AH183" s="97" t="str">
        <f>IFERROR(__xludf.DUMMYFUNCTION("""COMPUTED_VALUE"""),"")</f>
        <v/>
      </c>
      <c r="AI183" s="166" t="str">
        <f>IFERROR(__xludf.DUMMYFUNCTION("""COMPUTED_VALUE"""),"")</f>
        <v/>
      </c>
      <c r="AJ183" s="167" t="str">
        <f>IFERROR(__xludf.DUMMYFUNCTION("""COMPUTED_VALUE"""),"")</f>
        <v/>
      </c>
      <c r="AK183" s="168" t="str">
        <f>IFERROR(__xludf.DUMMYFUNCTION("""COMPUTED_VALUE"""),"")</f>
        <v/>
      </c>
      <c r="AL183" s="167" t="str">
        <f>IFERROR(__xludf.DUMMYFUNCTION("""COMPUTED_VALUE"""),"")</f>
        <v/>
      </c>
      <c r="AM183" s="167" t="str">
        <f>IFERROR(__xludf.DUMMYFUNCTION("""COMPUTED_VALUE"""),"")</f>
        <v/>
      </c>
      <c r="AN183" s="168" t="str">
        <f>IFERROR(__xludf.DUMMYFUNCTION("""COMPUTED_VALUE"""),"")</f>
        <v/>
      </c>
      <c r="AO183" s="167" t="str">
        <f>IFERROR(__xludf.DUMMYFUNCTION("""COMPUTED_VALUE"""),"")</f>
        <v/>
      </c>
      <c r="AP183" s="167" t="str">
        <f>IFERROR(__xludf.DUMMYFUNCTION("""COMPUTED_VALUE"""),"")</f>
        <v/>
      </c>
      <c r="AQ183" s="168" t="str">
        <f>IFERROR(__xludf.DUMMYFUNCTION("""COMPUTED_VALUE"""),"")</f>
        <v/>
      </c>
      <c r="AR183" s="167" t="str">
        <f>IFERROR(__xludf.DUMMYFUNCTION("""COMPUTED_VALUE"""),"")</f>
        <v/>
      </c>
      <c r="AS183" s="167" t="str">
        <f>IFERROR(__xludf.DUMMYFUNCTION("""COMPUTED_VALUE"""),"")</f>
        <v/>
      </c>
      <c r="AT183" s="168" t="str">
        <f>IFERROR(__xludf.DUMMYFUNCTION("""COMPUTED_VALUE"""),"")</f>
        <v/>
      </c>
      <c r="AU183" s="167" t="str">
        <f>IFERROR(__xludf.DUMMYFUNCTION("""COMPUTED_VALUE"""),"")</f>
        <v/>
      </c>
      <c r="AV183" s="167" t="str">
        <f>IFERROR(__xludf.DUMMYFUNCTION("""COMPUTED_VALUE"""),"")</f>
        <v/>
      </c>
      <c r="AW183" s="168" t="str">
        <f>IFERROR(__xludf.DUMMYFUNCTION("""COMPUTED_VALUE"""),"")</f>
        <v/>
      </c>
      <c r="AX183" s="167" t="str">
        <f>IFERROR(__xludf.DUMMYFUNCTION("""COMPUTED_VALUE"""),"")</f>
        <v/>
      </c>
      <c r="AY183" s="167">
        <f>IFERROR(__xludf.DUMMYFUNCTION("""COMPUTED_VALUE"""),48.5)</f>
        <v>48.5</v>
      </c>
      <c r="AZ183" s="168" t="str">
        <f>IFERROR(__xludf.DUMMYFUNCTION("""COMPUTED_VALUE"""),"")</f>
        <v/>
      </c>
      <c r="BA183" s="167" t="str">
        <f>IFERROR(__xludf.DUMMYFUNCTION("""COMPUTED_VALUE"""),"")</f>
        <v/>
      </c>
      <c r="BB183" s="167" t="str">
        <f>IFERROR(__xludf.DUMMYFUNCTION("""COMPUTED_VALUE"""),"")</f>
        <v/>
      </c>
      <c r="BC183" s="168" t="str">
        <f>IFERROR(__xludf.DUMMYFUNCTION("""COMPUTED_VALUE"""),"")</f>
        <v/>
      </c>
      <c r="BD183" s="167" t="str">
        <f>IFERROR(__xludf.DUMMYFUNCTION("""COMPUTED_VALUE"""),"")</f>
        <v/>
      </c>
      <c r="BE183" s="167" t="str">
        <f>IFERROR(__xludf.DUMMYFUNCTION("""COMPUTED_VALUE"""),"")</f>
        <v/>
      </c>
      <c r="BF183" s="168" t="str">
        <f>IFERROR(__xludf.DUMMYFUNCTION("""COMPUTED_VALUE"""),"")</f>
        <v/>
      </c>
      <c r="BG183" s="166" t="str">
        <f>IFERROR(__xludf.DUMMYFUNCTION("""COMPUTED_VALUE"""),"")</f>
        <v/>
      </c>
      <c r="BH183" s="167" t="str">
        <f>IFERROR(__xludf.DUMMYFUNCTION("""COMPUTED_VALUE"""),"")</f>
        <v/>
      </c>
      <c r="BI183" s="168" t="str">
        <f>IFERROR(__xludf.DUMMYFUNCTION("""COMPUTED_VALUE"""),"")</f>
        <v/>
      </c>
      <c r="BJ183" s="167" t="str">
        <f>IFERROR(__xludf.DUMMYFUNCTION("""COMPUTED_VALUE"""),"")</f>
        <v/>
      </c>
      <c r="BK183" s="167" t="str">
        <f>IFERROR(__xludf.DUMMYFUNCTION("""COMPUTED_VALUE"""),"")</f>
        <v/>
      </c>
      <c r="BL183" s="168">
        <f>IFERROR(__xludf.DUMMYFUNCTION("""COMPUTED_VALUE"""),274.4)</f>
        <v>274.4</v>
      </c>
      <c r="BM183" s="167" t="str">
        <f>IFERROR(__xludf.DUMMYFUNCTION("""COMPUTED_VALUE"""),"")</f>
        <v/>
      </c>
      <c r="BN183" s="167" t="str">
        <f>IFERROR(__xludf.DUMMYFUNCTION("""COMPUTED_VALUE"""),"")</f>
        <v/>
      </c>
      <c r="BO183" s="168" t="str">
        <f>IFERROR(__xludf.DUMMYFUNCTION("""COMPUTED_VALUE"""),"")</f>
        <v/>
      </c>
      <c r="BP183" s="167" t="str">
        <f>IFERROR(__xludf.DUMMYFUNCTION("""COMPUTED_VALUE"""),"")</f>
        <v/>
      </c>
      <c r="BQ183" s="167" t="str">
        <f>IFERROR(__xludf.DUMMYFUNCTION("""COMPUTED_VALUE"""),"")</f>
        <v/>
      </c>
      <c r="BR183" s="168" t="str">
        <f>IFERROR(__xludf.DUMMYFUNCTION("""COMPUTED_VALUE"""),"")</f>
        <v/>
      </c>
      <c r="BS183" s="167">
        <f>IFERROR(__xludf.DUMMYFUNCTION("""COMPUTED_VALUE"""),54.4)</f>
        <v>54.4</v>
      </c>
      <c r="BT183" s="167" t="str">
        <f>IFERROR(__xludf.DUMMYFUNCTION("""COMPUTED_VALUE"""),"")</f>
        <v/>
      </c>
      <c r="BU183" s="169" t="str">
        <f>IFERROR(__xludf.DUMMYFUNCTION("""COMPUTED_VALUE"""),"")</f>
        <v/>
      </c>
      <c r="BV183" s="167" t="str">
        <f>IFERROR(__xludf.DUMMYFUNCTION("""COMPUTED_VALUE"""),"")</f>
        <v/>
      </c>
      <c r="BW183" s="167" t="str">
        <f>IFERROR(__xludf.DUMMYFUNCTION("""COMPUTED_VALUE"""),"")</f>
        <v/>
      </c>
      <c r="BX183" s="168" t="str">
        <f>IFERROR(__xludf.DUMMYFUNCTION("""COMPUTED_VALUE"""),"")</f>
        <v/>
      </c>
      <c r="BY183" s="167" t="str">
        <f>IFERROR(__xludf.DUMMYFUNCTION("""COMPUTED_VALUE"""),"")</f>
        <v/>
      </c>
      <c r="BZ183" s="167" t="str">
        <f>IFERROR(__xludf.DUMMYFUNCTION("""COMPUTED_VALUE"""),"")</f>
        <v/>
      </c>
      <c r="CA183" s="168" t="str">
        <f>IFERROR(__xludf.DUMMYFUNCTION("""COMPUTED_VALUE"""),"")</f>
        <v/>
      </c>
      <c r="CB183" s="166" t="str">
        <f>IFERROR(__xludf.DUMMYFUNCTION("""COMPUTED_VALUE"""),"")</f>
        <v/>
      </c>
      <c r="CC183" s="167" t="str">
        <f>IFERROR(__xludf.DUMMYFUNCTION("""COMPUTED_VALUE"""),"")</f>
        <v/>
      </c>
      <c r="CD183" s="168" t="str">
        <f>IFERROR(__xludf.DUMMYFUNCTION("""COMPUTED_VALUE"""),"")</f>
        <v/>
      </c>
      <c r="CE183" s="167" t="str">
        <f>IFERROR(__xludf.DUMMYFUNCTION("""COMPUTED_VALUE"""),"")</f>
        <v/>
      </c>
      <c r="CF183" s="167" t="str">
        <f>IFERROR(__xludf.DUMMYFUNCTION("""COMPUTED_VALUE"""),"")</f>
        <v/>
      </c>
      <c r="CG183" s="168" t="str">
        <f>IFERROR(__xludf.DUMMYFUNCTION("""COMPUTED_VALUE"""),"")</f>
        <v/>
      </c>
      <c r="CH183" s="167" t="str">
        <f>IFERROR(__xludf.DUMMYFUNCTION("""COMPUTED_VALUE"""),"")</f>
        <v/>
      </c>
      <c r="CI183" s="167" t="str">
        <f>IFERROR(__xludf.DUMMYFUNCTION("""COMPUTED_VALUE"""),"")</f>
        <v/>
      </c>
      <c r="CJ183" s="168" t="str">
        <f>IFERROR(__xludf.DUMMYFUNCTION("""COMPUTED_VALUE"""),"")</f>
        <v/>
      </c>
      <c r="CK183" s="167" t="str">
        <f>IFERROR(__xludf.DUMMYFUNCTION("""COMPUTED_VALUE"""),"")</f>
        <v/>
      </c>
      <c r="CL183" s="167" t="str">
        <f>IFERROR(__xludf.DUMMYFUNCTION("""COMPUTED_VALUE"""),"")</f>
        <v/>
      </c>
      <c r="CM183" s="168" t="str">
        <f>IFERROR(__xludf.DUMMYFUNCTION("""COMPUTED_VALUE"""),"")</f>
        <v/>
      </c>
      <c r="CN183" s="167">
        <f>IFERROR(__xludf.DUMMYFUNCTION("""COMPUTED_VALUE"""),348.6)</f>
        <v>348.6</v>
      </c>
      <c r="CO183" s="167" t="str">
        <f>IFERROR(__xludf.DUMMYFUNCTION("""COMPUTED_VALUE"""),"")</f>
        <v/>
      </c>
      <c r="CP183" s="169" t="str">
        <f>IFERROR(__xludf.DUMMYFUNCTION("""COMPUTED_VALUE"""),"")</f>
        <v/>
      </c>
      <c r="CQ183" s="167" t="str">
        <f>IFERROR(__xludf.DUMMYFUNCTION("""COMPUTED_VALUE"""),"")</f>
        <v/>
      </c>
      <c r="CR183" s="167" t="str">
        <f>IFERROR(__xludf.DUMMYFUNCTION("""COMPUTED_VALUE"""),"")</f>
        <v/>
      </c>
      <c r="CS183" s="168"/>
      <c r="CT183" s="167"/>
      <c r="CU183" s="167"/>
      <c r="CV183" s="168"/>
      <c r="CW183" s="167"/>
      <c r="CX183" s="167"/>
      <c r="CY183" s="168"/>
      <c r="CZ183" s="167"/>
      <c r="DA183" s="167"/>
      <c r="DB183" s="169"/>
      <c r="DC183" s="167"/>
      <c r="DD183" s="167"/>
      <c r="DE183" s="168"/>
      <c r="DF183" s="167"/>
      <c r="DG183" s="167"/>
      <c r="DH183" s="168"/>
      <c r="DI183" s="167"/>
      <c r="DJ183" s="167"/>
      <c r="DK183" s="169"/>
      <c r="DL183" s="167"/>
      <c r="DM183" s="167"/>
      <c r="DN183" s="168"/>
      <c r="DO183" s="167"/>
      <c r="DP183" s="167"/>
      <c r="DQ183" s="168"/>
      <c r="DR183" s="167"/>
      <c r="DS183" s="167"/>
      <c r="DT183" s="168"/>
    </row>
    <row r="184">
      <c r="B184" s="120" t="str">
        <f>IFERROR(__xludf.DUMMYFUNCTION("""COMPUTED_VALUE"""),"ANA2")</f>
        <v>ANA2</v>
      </c>
      <c r="C184" s="82">
        <f>IFERROR(__xludf.DUMMYFUNCTION("""COMPUTED_VALUE"""),179.0)</f>
        <v>179</v>
      </c>
      <c r="D184" s="88" t="str">
        <f>IFERROR(__xludf.DUMMYFUNCTION("""COMPUTED_VALUE"""),"Yaga Smolensk")</f>
        <v>Yaga Smolensk</v>
      </c>
      <c r="E184" s="82" t="str">
        <f>IFERROR(__xludf.DUMMYFUNCTION("""COMPUTED_VALUE"""),"ヤガ・スモレンスク")</f>
        <v>ヤガ・スモレンスク</v>
      </c>
      <c r="F184" s="102">
        <f>IFERROR(__xludf.DUMMYFUNCTION("""COMPUTED_VALUE"""),20.0)</f>
        <v>20</v>
      </c>
      <c r="G184" s="82">
        <f>IFERROR(__xludf.DUMMYFUNCTION("""COMPUTED_VALUE"""),38160.0)</f>
        <v>38160</v>
      </c>
      <c r="H184" s="95" t="str">
        <f>IFERROR(__xludf.DUMMYFUNCTION("""COMPUTED_VALUE"""),"")</f>
        <v/>
      </c>
      <c r="I184" s="96" t="str">
        <f>IFERROR(__xludf.DUMMYFUNCTION("""COMPUTED_VALUE"""),"")</f>
        <v/>
      </c>
      <c r="J184" s="97" t="str">
        <f>IFERROR(__xludf.DUMMYFUNCTION("""COMPUTED_VALUE"""),"")</f>
        <v/>
      </c>
      <c r="K184" s="95" t="str">
        <f>IFERROR(__xludf.DUMMYFUNCTION("""COMPUTED_VALUE"""),"")</f>
        <v/>
      </c>
      <c r="L184" s="96" t="str">
        <f>IFERROR(__xludf.DUMMYFUNCTION("""COMPUTED_VALUE"""),"")</f>
        <v/>
      </c>
      <c r="M184" s="97" t="str">
        <f>IFERROR(__xludf.DUMMYFUNCTION("""COMPUTED_VALUE"""),"")</f>
        <v/>
      </c>
      <c r="N184" s="95" t="str">
        <f>IFERROR(__xludf.DUMMYFUNCTION("""COMPUTED_VALUE"""),"")</f>
        <v/>
      </c>
      <c r="O184" s="96" t="str">
        <f>IFERROR(__xludf.DUMMYFUNCTION("""COMPUTED_VALUE"""),"")</f>
        <v/>
      </c>
      <c r="P184" s="97" t="str">
        <f>IFERROR(__xludf.DUMMYFUNCTION("""COMPUTED_VALUE"""),"")</f>
        <v/>
      </c>
      <c r="Q184" s="95" t="str">
        <f>IFERROR(__xludf.DUMMYFUNCTION("""COMPUTED_VALUE"""),"")</f>
        <v/>
      </c>
      <c r="R184" s="96" t="str">
        <f>IFERROR(__xludf.DUMMYFUNCTION("""COMPUTED_VALUE"""),"")</f>
        <v/>
      </c>
      <c r="S184" s="97" t="str">
        <f>IFERROR(__xludf.DUMMYFUNCTION("""COMPUTED_VALUE"""),"")</f>
        <v/>
      </c>
      <c r="T184" s="95" t="str">
        <f>IFERROR(__xludf.DUMMYFUNCTION("""COMPUTED_VALUE"""),"")</f>
        <v/>
      </c>
      <c r="U184" s="96" t="str">
        <f>IFERROR(__xludf.DUMMYFUNCTION("""COMPUTED_VALUE"""),"")</f>
        <v/>
      </c>
      <c r="V184" s="97" t="str">
        <f>IFERROR(__xludf.DUMMYFUNCTION("""COMPUTED_VALUE"""),"")</f>
        <v/>
      </c>
      <c r="W184" s="95" t="str">
        <f>IFERROR(__xludf.DUMMYFUNCTION("""COMPUTED_VALUE"""),"")</f>
        <v/>
      </c>
      <c r="X184" s="96" t="str">
        <f>IFERROR(__xludf.DUMMYFUNCTION("""COMPUTED_VALUE"""),"")</f>
        <v/>
      </c>
      <c r="Y184" s="97" t="str">
        <f>IFERROR(__xludf.DUMMYFUNCTION("""COMPUTED_VALUE"""),"")</f>
        <v/>
      </c>
      <c r="Z184" s="95" t="str">
        <f>IFERROR(__xludf.DUMMYFUNCTION("""COMPUTED_VALUE"""),"")</f>
        <v/>
      </c>
      <c r="AA184" s="96" t="str">
        <f>IFERROR(__xludf.DUMMYFUNCTION("""COMPUTED_VALUE"""),"")</f>
        <v/>
      </c>
      <c r="AB184" s="97" t="str">
        <f>IFERROR(__xludf.DUMMYFUNCTION("""COMPUTED_VALUE"""),"")</f>
        <v/>
      </c>
      <c r="AC184" s="95" t="str">
        <f>IFERROR(__xludf.DUMMYFUNCTION("""COMPUTED_VALUE"""),"")</f>
        <v/>
      </c>
      <c r="AD184" s="96" t="str">
        <f>IFERROR(__xludf.DUMMYFUNCTION("""COMPUTED_VALUE"""),"")</f>
        <v/>
      </c>
      <c r="AE184" s="97" t="str">
        <f>IFERROR(__xludf.DUMMYFUNCTION("""COMPUTED_VALUE"""),"")</f>
        <v/>
      </c>
      <c r="AF184" s="95" t="str">
        <f>IFERROR(__xludf.DUMMYFUNCTION("""COMPUTED_VALUE"""),"")</f>
        <v/>
      </c>
      <c r="AG184" s="96" t="str">
        <f>IFERROR(__xludf.DUMMYFUNCTION("""COMPUTED_VALUE"""),"")</f>
        <v/>
      </c>
      <c r="AH184" s="97" t="str">
        <f>IFERROR(__xludf.DUMMYFUNCTION("""COMPUTED_VALUE"""),"")</f>
        <v/>
      </c>
      <c r="AI184" s="92" t="str">
        <f>IFERROR(__xludf.DUMMYFUNCTION("""COMPUTED_VALUE"""),"")</f>
        <v/>
      </c>
      <c r="AJ184" s="93" t="str">
        <f>IFERROR(__xludf.DUMMYFUNCTION("""COMPUTED_VALUE"""),"")</f>
        <v/>
      </c>
      <c r="AK184" s="94" t="str">
        <f>IFERROR(__xludf.DUMMYFUNCTION("""COMPUTED_VALUE"""),"")</f>
        <v/>
      </c>
      <c r="AL184" s="93" t="str">
        <f>IFERROR(__xludf.DUMMYFUNCTION("""COMPUTED_VALUE"""),"")</f>
        <v/>
      </c>
      <c r="AM184" s="93" t="str">
        <f>IFERROR(__xludf.DUMMYFUNCTION("""COMPUTED_VALUE"""),"")</f>
        <v/>
      </c>
      <c r="AN184" s="94" t="str">
        <f>IFERROR(__xludf.DUMMYFUNCTION("""COMPUTED_VALUE"""),"")</f>
        <v/>
      </c>
      <c r="AO184" s="93" t="str">
        <f>IFERROR(__xludf.DUMMYFUNCTION("""COMPUTED_VALUE"""),"")</f>
        <v/>
      </c>
      <c r="AP184" s="93" t="str">
        <f>IFERROR(__xludf.DUMMYFUNCTION("""COMPUTED_VALUE"""),"")</f>
        <v/>
      </c>
      <c r="AQ184" s="94" t="str">
        <f>IFERROR(__xludf.DUMMYFUNCTION("""COMPUTED_VALUE"""),"")</f>
        <v/>
      </c>
      <c r="AR184" s="93" t="str">
        <f>IFERROR(__xludf.DUMMYFUNCTION("""COMPUTED_VALUE"""),"")</f>
        <v/>
      </c>
      <c r="AS184" s="93" t="str">
        <f>IFERROR(__xludf.DUMMYFUNCTION("""COMPUTED_VALUE"""),"")</f>
        <v/>
      </c>
      <c r="AT184" s="94" t="str">
        <f>IFERROR(__xludf.DUMMYFUNCTION("""COMPUTED_VALUE"""),"")</f>
        <v/>
      </c>
      <c r="AU184" s="93" t="str">
        <f>IFERROR(__xludf.DUMMYFUNCTION("""COMPUTED_VALUE"""),"")</f>
        <v/>
      </c>
      <c r="AV184" s="93" t="str">
        <f>IFERROR(__xludf.DUMMYFUNCTION("""COMPUTED_VALUE"""),"")</f>
        <v/>
      </c>
      <c r="AW184" s="94" t="str">
        <f>IFERROR(__xludf.DUMMYFUNCTION("""COMPUTED_VALUE"""),"")</f>
        <v/>
      </c>
      <c r="AX184" s="93" t="str">
        <f>IFERROR(__xludf.DUMMYFUNCTION("""COMPUTED_VALUE"""),"")</f>
        <v/>
      </c>
      <c r="AY184" s="93" t="str">
        <f>IFERROR(__xludf.DUMMYFUNCTION("""COMPUTED_VALUE"""),"")</f>
        <v/>
      </c>
      <c r="AZ184" s="94" t="str">
        <f>IFERROR(__xludf.DUMMYFUNCTION("""COMPUTED_VALUE"""),"")</f>
        <v/>
      </c>
      <c r="BA184" s="93" t="str">
        <f>IFERROR(__xludf.DUMMYFUNCTION("""COMPUTED_VALUE"""),"")</f>
        <v/>
      </c>
      <c r="BB184" s="93">
        <f>IFERROR(__xludf.DUMMYFUNCTION("""COMPUTED_VALUE"""),30.4)</f>
        <v>30.4</v>
      </c>
      <c r="BC184" s="94" t="str">
        <f>IFERROR(__xludf.DUMMYFUNCTION("""COMPUTED_VALUE"""),"")</f>
        <v/>
      </c>
      <c r="BD184" s="93" t="str">
        <f>IFERROR(__xludf.DUMMYFUNCTION("""COMPUTED_VALUE"""),"")</f>
        <v/>
      </c>
      <c r="BE184" s="93" t="str">
        <f>IFERROR(__xludf.DUMMYFUNCTION("""COMPUTED_VALUE"""),"")</f>
        <v/>
      </c>
      <c r="BF184" s="94" t="str">
        <f>IFERROR(__xludf.DUMMYFUNCTION("""COMPUTED_VALUE"""),"")</f>
        <v/>
      </c>
      <c r="BG184" s="92" t="str">
        <f>IFERROR(__xludf.DUMMYFUNCTION("""COMPUTED_VALUE"""),"")</f>
        <v/>
      </c>
      <c r="BH184" s="93" t="str">
        <f>IFERROR(__xludf.DUMMYFUNCTION("""COMPUTED_VALUE"""),"")</f>
        <v/>
      </c>
      <c r="BI184" s="94" t="str">
        <f>IFERROR(__xludf.DUMMYFUNCTION("""COMPUTED_VALUE"""),"")</f>
        <v/>
      </c>
      <c r="BJ184" s="93" t="str">
        <f>IFERROR(__xludf.DUMMYFUNCTION("""COMPUTED_VALUE"""),"")</f>
        <v/>
      </c>
      <c r="BK184" s="93" t="str">
        <f>IFERROR(__xludf.DUMMYFUNCTION("""COMPUTED_VALUE"""),"")</f>
        <v/>
      </c>
      <c r="BL184" s="94" t="str">
        <f>IFERROR(__xludf.DUMMYFUNCTION("""COMPUTED_VALUE"""),"")</f>
        <v/>
      </c>
      <c r="BM184" s="93" t="str">
        <f>IFERROR(__xludf.DUMMYFUNCTION("""COMPUTED_VALUE"""),"")</f>
        <v/>
      </c>
      <c r="BN184" s="93" t="str">
        <f>IFERROR(__xludf.DUMMYFUNCTION("""COMPUTED_VALUE"""),"")</f>
        <v/>
      </c>
      <c r="BO184" s="94" t="str">
        <f>IFERROR(__xludf.DUMMYFUNCTION("""COMPUTED_VALUE"""),"")</f>
        <v/>
      </c>
      <c r="BP184" s="93" t="str">
        <f>IFERROR(__xludf.DUMMYFUNCTION("""COMPUTED_VALUE"""),"")</f>
        <v/>
      </c>
      <c r="BQ184" s="93">
        <f>IFERROR(__xludf.DUMMYFUNCTION("""COMPUTED_VALUE"""),82.8)</f>
        <v>82.8</v>
      </c>
      <c r="BR184" s="94" t="str">
        <f>IFERROR(__xludf.DUMMYFUNCTION("""COMPUTED_VALUE"""),"")</f>
        <v/>
      </c>
      <c r="BS184" s="93" t="str">
        <f>IFERROR(__xludf.DUMMYFUNCTION("""COMPUTED_VALUE"""),"")</f>
        <v/>
      </c>
      <c r="BT184" s="93" t="str">
        <f>IFERROR(__xludf.DUMMYFUNCTION("""COMPUTED_VALUE"""),"")</f>
        <v/>
      </c>
      <c r="BU184" s="94" t="str">
        <f>IFERROR(__xludf.DUMMYFUNCTION("""COMPUTED_VALUE"""),"")</f>
        <v/>
      </c>
      <c r="BV184" s="93">
        <f>IFERROR(__xludf.DUMMYFUNCTION("""COMPUTED_VALUE"""),98.8)</f>
        <v>98.8</v>
      </c>
      <c r="BW184" s="93" t="str">
        <f>IFERROR(__xludf.DUMMYFUNCTION("""COMPUTED_VALUE"""),"")</f>
        <v/>
      </c>
      <c r="BX184" s="109" t="str">
        <f>IFERROR(__xludf.DUMMYFUNCTION("""COMPUTED_VALUE"""),"")</f>
        <v/>
      </c>
      <c r="BY184" s="93" t="str">
        <f>IFERROR(__xludf.DUMMYFUNCTION("""COMPUTED_VALUE"""),"")</f>
        <v/>
      </c>
      <c r="BZ184" s="93" t="str">
        <f>IFERROR(__xludf.DUMMYFUNCTION("""COMPUTED_VALUE"""),"")</f>
        <v/>
      </c>
      <c r="CA184" s="94" t="str">
        <f>IFERROR(__xludf.DUMMYFUNCTION("""COMPUTED_VALUE"""),"")</f>
        <v/>
      </c>
      <c r="CB184" s="92" t="str">
        <f>IFERROR(__xludf.DUMMYFUNCTION("""COMPUTED_VALUE"""),"")</f>
        <v/>
      </c>
      <c r="CC184" s="93" t="str">
        <f>IFERROR(__xludf.DUMMYFUNCTION("""COMPUTED_VALUE"""),"")</f>
        <v/>
      </c>
      <c r="CD184" s="94" t="str">
        <f>IFERROR(__xludf.DUMMYFUNCTION("""COMPUTED_VALUE"""),"")</f>
        <v/>
      </c>
      <c r="CE184" s="93" t="str">
        <f>IFERROR(__xludf.DUMMYFUNCTION("""COMPUTED_VALUE"""),"")</f>
        <v/>
      </c>
      <c r="CF184" s="93" t="str">
        <f>IFERROR(__xludf.DUMMYFUNCTION("""COMPUTED_VALUE"""),"")</f>
        <v/>
      </c>
      <c r="CG184" s="94" t="str">
        <f>IFERROR(__xludf.DUMMYFUNCTION("""COMPUTED_VALUE"""),"")</f>
        <v/>
      </c>
      <c r="CH184" s="93" t="str">
        <f>IFERROR(__xludf.DUMMYFUNCTION("""COMPUTED_VALUE"""),"")</f>
        <v/>
      </c>
      <c r="CI184" s="93" t="str">
        <f>IFERROR(__xludf.DUMMYFUNCTION("""COMPUTED_VALUE"""),"")</f>
        <v/>
      </c>
      <c r="CJ184" s="94" t="str">
        <f>IFERROR(__xludf.DUMMYFUNCTION("""COMPUTED_VALUE"""),"")</f>
        <v/>
      </c>
      <c r="CK184" s="93" t="str">
        <f>IFERROR(__xludf.DUMMYFUNCTION("""COMPUTED_VALUE"""),"")</f>
        <v/>
      </c>
      <c r="CL184" s="93" t="str">
        <f>IFERROR(__xludf.DUMMYFUNCTION("""COMPUTED_VALUE"""),"")</f>
        <v/>
      </c>
      <c r="CM184" s="94" t="str">
        <f>IFERROR(__xludf.DUMMYFUNCTION("""COMPUTED_VALUE"""),"")</f>
        <v/>
      </c>
      <c r="CN184" s="93" t="str">
        <f>IFERROR(__xludf.DUMMYFUNCTION("""COMPUTED_VALUE"""),"")</f>
        <v/>
      </c>
      <c r="CO184" s="93" t="str">
        <f>IFERROR(__xludf.DUMMYFUNCTION("""COMPUTED_VALUE"""),"")</f>
        <v/>
      </c>
      <c r="CP184" s="94" t="str">
        <f>IFERROR(__xludf.DUMMYFUNCTION("""COMPUTED_VALUE"""),"")</f>
        <v/>
      </c>
      <c r="CQ184" s="93" t="str">
        <f>IFERROR(__xludf.DUMMYFUNCTION("""COMPUTED_VALUE"""),"")</f>
        <v/>
      </c>
      <c r="CR184" s="93" t="str">
        <f>IFERROR(__xludf.DUMMYFUNCTION("""COMPUTED_VALUE"""),"")</f>
        <v/>
      </c>
      <c r="CS184" s="109"/>
      <c r="CT184" s="93"/>
      <c r="CU184" s="93"/>
      <c r="CV184" s="94"/>
      <c r="CW184" s="93"/>
      <c r="CX184" s="93"/>
      <c r="CY184" s="94"/>
      <c r="CZ184" s="93"/>
      <c r="DA184" s="93"/>
      <c r="DB184" s="94"/>
      <c r="DC184" s="93"/>
      <c r="DD184" s="93"/>
      <c r="DE184" s="109"/>
      <c r="DF184" s="93"/>
      <c r="DG184" s="93"/>
      <c r="DH184" s="94"/>
      <c r="DI184" s="93"/>
      <c r="DJ184" s="93"/>
      <c r="DK184" s="94"/>
      <c r="DL184" s="93"/>
      <c r="DM184" s="93"/>
      <c r="DN184" s="109"/>
      <c r="DO184" s="93"/>
      <c r="DP184" s="93"/>
      <c r="DQ184" s="109"/>
      <c r="DR184" s="93"/>
      <c r="DS184" s="93"/>
      <c r="DT184" s="109"/>
    </row>
    <row r="185">
      <c r="B185" s="120" t="str">
        <f>IFERROR(__xludf.DUMMYFUNCTION("""COMPUTED_VALUE"""),"ANA3")</f>
        <v>ANA3</v>
      </c>
      <c r="C185" s="82">
        <f>IFERROR(__xludf.DUMMYFUNCTION("""COMPUTED_VALUE"""),180.0)</f>
        <v>180</v>
      </c>
      <c r="D185" s="88" t="str">
        <f>IFERROR(__xludf.DUMMYFUNCTION("""COMPUTED_VALUE"""),"Icy Cavern")</f>
        <v>Icy Cavern</v>
      </c>
      <c r="E185" s="82" t="str">
        <f>IFERROR(__xludf.DUMMYFUNCTION("""COMPUTED_VALUE"""),"風穴氷窟")</f>
        <v>風穴氷窟</v>
      </c>
      <c r="F185" s="102">
        <f>IFERROR(__xludf.DUMMYFUNCTION("""COMPUTED_VALUE"""),20.0)</f>
        <v>20</v>
      </c>
      <c r="G185" s="82">
        <f>IFERROR(__xludf.DUMMYFUNCTION("""COMPUTED_VALUE"""),59379.0)</f>
        <v>59379</v>
      </c>
      <c r="H185" s="95" t="str">
        <f>IFERROR(__xludf.DUMMYFUNCTION("""COMPUTED_VALUE"""),"")</f>
        <v/>
      </c>
      <c r="I185" s="96" t="str">
        <f>IFERROR(__xludf.DUMMYFUNCTION("""COMPUTED_VALUE"""),"")</f>
        <v/>
      </c>
      <c r="J185" s="97" t="str">
        <f>IFERROR(__xludf.DUMMYFUNCTION("""COMPUTED_VALUE"""),"")</f>
        <v/>
      </c>
      <c r="K185" s="95" t="str">
        <f>IFERROR(__xludf.DUMMYFUNCTION("""COMPUTED_VALUE"""),"")</f>
        <v/>
      </c>
      <c r="L185" s="96" t="str">
        <f>IFERROR(__xludf.DUMMYFUNCTION("""COMPUTED_VALUE"""),"")</f>
        <v/>
      </c>
      <c r="M185" s="97" t="str">
        <f>IFERROR(__xludf.DUMMYFUNCTION("""COMPUTED_VALUE"""),"")</f>
        <v/>
      </c>
      <c r="N185" s="95" t="str">
        <f>IFERROR(__xludf.DUMMYFUNCTION("""COMPUTED_VALUE"""),"")</f>
        <v/>
      </c>
      <c r="O185" s="96" t="str">
        <f>IFERROR(__xludf.DUMMYFUNCTION("""COMPUTED_VALUE"""),"")</f>
        <v/>
      </c>
      <c r="P185" s="97" t="str">
        <f>IFERROR(__xludf.DUMMYFUNCTION("""COMPUTED_VALUE"""),"")</f>
        <v/>
      </c>
      <c r="Q185" s="95" t="str">
        <f>IFERROR(__xludf.DUMMYFUNCTION("""COMPUTED_VALUE"""),"")</f>
        <v/>
      </c>
      <c r="R185" s="96" t="str">
        <f>IFERROR(__xludf.DUMMYFUNCTION("""COMPUTED_VALUE"""),"")</f>
        <v/>
      </c>
      <c r="S185" s="97" t="str">
        <f>IFERROR(__xludf.DUMMYFUNCTION("""COMPUTED_VALUE"""),"")</f>
        <v/>
      </c>
      <c r="T185" s="95" t="str">
        <f>IFERROR(__xludf.DUMMYFUNCTION("""COMPUTED_VALUE"""),"")</f>
        <v/>
      </c>
      <c r="U185" s="96" t="str">
        <f>IFERROR(__xludf.DUMMYFUNCTION("""COMPUTED_VALUE"""),"")</f>
        <v/>
      </c>
      <c r="V185" s="97" t="str">
        <f>IFERROR(__xludf.DUMMYFUNCTION("""COMPUTED_VALUE"""),"")</f>
        <v/>
      </c>
      <c r="W185" s="95" t="str">
        <f>IFERROR(__xludf.DUMMYFUNCTION("""COMPUTED_VALUE"""),"")</f>
        <v/>
      </c>
      <c r="X185" s="96" t="str">
        <f>IFERROR(__xludf.DUMMYFUNCTION("""COMPUTED_VALUE"""),"")</f>
        <v/>
      </c>
      <c r="Y185" s="97" t="str">
        <f>IFERROR(__xludf.DUMMYFUNCTION("""COMPUTED_VALUE"""),"")</f>
        <v/>
      </c>
      <c r="Z185" s="95" t="str">
        <f>IFERROR(__xludf.DUMMYFUNCTION("""COMPUTED_VALUE"""),"")</f>
        <v/>
      </c>
      <c r="AA185" s="96" t="str">
        <f>IFERROR(__xludf.DUMMYFUNCTION("""COMPUTED_VALUE"""),"")</f>
        <v/>
      </c>
      <c r="AB185" s="97" t="str">
        <f>IFERROR(__xludf.DUMMYFUNCTION("""COMPUTED_VALUE"""),"")</f>
        <v/>
      </c>
      <c r="AC185" s="95" t="str">
        <f>IFERROR(__xludf.DUMMYFUNCTION("""COMPUTED_VALUE"""),"")</f>
        <v/>
      </c>
      <c r="AD185" s="96" t="str">
        <f>IFERROR(__xludf.DUMMYFUNCTION("""COMPUTED_VALUE"""),"")</f>
        <v/>
      </c>
      <c r="AE185" s="97" t="str">
        <f>IFERROR(__xludf.DUMMYFUNCTION("""COMPUTED_VALUE"""),"")</f>
        <v/>
      </c>
      <c r="AF185" s="95" t="str">
        <f>IFERROR(__xludf.DUMMYFUNCTION("""COMPUTED_VALUE"""),"")</f>
        <v/>
      </c>
      <c r="AG185" s="96" t="str">
        <f>IFERROR(__xludf.DUMMYFUNCTION("""COMPUTED_VALUE"""),"")</f>
        <v/>
      </c>
      <c r="AH185" s="97" t="str">
        <f>IFERROR(__xludf.DUMMYFUNCTION("""COMPUTED_VALUE"""),"")</f>
        <v/>
      </c>
      <c r="AI185" s="166" t="str">
        <f>IFERROR(__xludf.DUMMYFUNCTION("""COMPUTED_VALUE"""),"")</f>
        <v/>
      </c>
      <c r="AJ185" s="167">
        <f>IFERROR(__xludf.DUMMYFUNCTION("""COMPUTED_VALUE"""),79.4)</f>
        <v>79.4</v>
      </c>
      <c r="AK185" s="168" t="str">
        <f>IFERROR(__xludf.DUMMYFUNCTION("""COMPUTED_VALUE"""),"")</f>
        <v/>
      </c>
      <c r="AL185" s="167" t="str">
        <f>IFERROR(__xludf.DUMMYFUNCTION("""COMPUTED_VALUE"""),"")</f>
        <v/>
      </c>
      <c r="AM185" s="167" t="str">
        <f>IFERROR(__xludf.DUMMYFUNCTION("""COMPUTED_VALUE"""),"")</f>
        <v/>
      </c>
      <c r="AN185" s="168" t="str">
        <f>IFERROR(__xludf.DUMMYFUNCTION("""COMPUTED_VALUE"""),"")</f>
        <v/>
      </c>
      <c r="AO185" s="167" t="str">
        <f>IFERROR(__xludf.DUMMYFUNCTION("""COMPUTED_VALUE"""),"")</f>
        <v/>
      </c>
      <c r="AP185" s="167" t="str">
        <f>IFERROR(__xludf.DUMMYFUNCTION("""COMPUTED_VALUE"""),"")</f>
        <v/>
      </c>
      <c r="AQ185" s="168" t="str">
        <f>IFERROR(__xludf.DUMMYFUNCTION("""COMPUTED_VALUE"""),"")</f>
        <v/>
      </c>
      <c r="AR185" s="167" t="str">
        <f>IFERROR(__xludf.DUMMYFUNCTION("""COMPUTED_VALUE"""),"")</f>
        <v/>
      </c>
      <c r="AS185" s="167" t="str">
        <f>IFERROR(__xludf.DUMMYFUNCTION("""COMPUTED_VALUE"""),"")</f>
        <v/>
      </c>
      <c r="AT185" s="168" t="str">
        <f>IFERROR(__xludf.DUMMYFUNCTION("""COMPUTED_VALUE"""),"")</f>
        <v/>
      </c>
      <c r="AU185" s="167" t="str">
        <f>IFERROR(__xludf.DUMMYFUNCTION("""COMPUTED_VALUE"""),"")</f>
        <v/>
      </c>
      <c r="AV185" s="167" t="str">
        <f>IFERROR(__xludf.DUMMYFUNCTION("""COMPUTED_VALUE"""),"")</f>
        <v/>
      </c>
      <c r="AW185" s="168" t="str">
        <f>IFERROR(__xludf.DUMMYFUNCTION("""COMPUTED_VALUE"""),"")</f>
        <v/>
      </c>
      <c r="AX185" s="167" t="str">
        <f>IFERROR(__xludf.DUMMYFUNCTION("""COMPUTED_VALUE"""),"")</f>
        <v/>
      </c>
      <c r="AY185" s="167">
        <f>IFERROR(__xludf.DUMMYFUNCTION("""COMPUTED_VALUE"""),49.500001)</f>
        <v>49.500001</v>
      </c>
      <c r="AZ185" s="168" t="str">
        <f>IFERROR(__xludf.DUMMYFUNCTION("""COMPUTED_VALUE"""),"")</f>
        <v/>
      </c>
      <c r="BA185" s="167" t="str">
        <f>IFERROR(__xludf.DUMMYFUNCTION("""COMPUTED_VALUE"""),"")</f>
        <v/>
      </c>
      <c r="BB185" s="167" t="str">
        <f>IFERROR(__xludf.DUMMYFUNCTION("""COMPUTED_VALUE"""),"")</f>
        <v/>
      </c>
      <c r="BC185" s="168" t="str">
        <f>IFERROR(__xludf.DUMMYFUNCTION("""COMPUTED_VALUE"""),"")</f>
        <v/>
      </c>
      <c r="BD185" s="167" t="str">
        <f>IFERROR(__xludf.DUMMYFUNCTION("""COMPUTED_VALUE"""),"")</f>
        <v/>
      </c>
      <c r="BE185" s="167" t="str">
        <f>IFERROR(__xludf.DUMMYFUNCTION("""COMPUTED_VALUE"""),"")</f>
        <v/>
      </c>
      <c r="BF185" s="168" t="str">
        <f>IFERROR(__xludf.DUMMYFUNCTION("""COMPUTED_VALUE"""),"")</f>
        <v/>
      </c>
      <c r="BG185" s="170" t="str">
        <f>IFERROR(__xludf.DUMMYFUNCTION("""COMPUTED_VALUE"""),"")</f>
        <v/>
      </c>
      <c r="BH185" s="167" t="str">
        <f>IFERROR(__xludf.DUMMYFUNCTION("""COMPUTED_VALUE"""),"")</f>
        <v/>
      </c>
      <c r="BI185" s="168" t="str">
        <f>IFERROR(__xludf.DUMMYFUNCTION("""COMPUTED_VALUE"""),"")</f>
        <v/>
      </c>
      <c r="BJ185" s="167" t="str">
        <f>IFERROR(__xludf.DUMMYFUNCTION("""COMPUTED_VALUE"""),"")</f>
        <v/>
      </c>
      <c r="BK185" s="167" t="str">
        <f>IFERROR(__xludf.DUMMYFUNCTION("""COMPUTED_VALUE"""),"")</f>
        <v/>
      </c>
      <c r="BL185" s="168" t="str">
        <f>IFERROR(__xludf.DUMMYFUNCTION("""COMPUTED_VALUE"""),"")</f>
        <v/>
      </c>
      <c r="BM185" s="167" t="str">
        <f>IFERROR(__xludf.DUMMYFUNCTION("""COMPUTED_VALUE"""),"")</f>
        <v/>
      </c>
      <c r="BN185" s="167" t="str">
        <f>IFERROR(__xludf.DUMMYFUNCTION("""COMPUTED_VALUE"""),"")</f>
        <v/>
      </c>
      <c r="BO185" s="168" t="str">
        <f>IFERROR(__xludf.DUMMYFUNCTION("""COMPUTED_VALUE"""),"")</f>
        <v/>
      </c>
      <c r="BP185" s="167" t="str">
        <f>IFERROR(__xludf.DUMMYFUNCTION("""COMPUTED_VALUE"""),"")</f>
        <v/>
      </c>
      <c r="BQ185" s="167" t="str">
        <f>IFERROR(__xludf.DUMMYFUNCTION("""COMPUTED_VALUE"""),"")</f>
        <v/>
      </c>
      <c r="BR185" s="168" t="str">
        <f>IFERROR(__xludf.DUMMYFUNCTION("""COMPUTED_VALUE"""),"")</f>
        <v/>
      </c>
      <c r="BS185" s="167">
        <f>IFERROR(__xludf.DUMMYFUNCTION("""COMPUTED_VALUE"""),80.2)</f>
        <v>80.2</v>
      </c>
      <c r="BT185" s="167" t="str">
        <f>IFERROR(__xludf.DUMMYFUNCTION("""COMPUTED_VALUE"""),"")</f>
        <v/>
      </c>
      <c r="BU185" s="168" t="str">
        <f>IFERROR(__xludf.DUMMYFUNCTION("""COMPUTED_VALUE"""),"")</f>
        <v/>
      </c>
      <c r="BV185" s="167" t="str">
        <f>IFERROR(__xludf.DUMMYFUNCTION("""COMPUTED_VALUE"""),"")</f>
        <v/>
      </c>
      <c r="BW185" s="167">
        <f>IFERROR(__xludf.DUMMYFUNCTION("""COMPUTED_VALUE"""),99.5)</f>
        <v>99.5</v>
      </c>
      <c r="BX185" s="168" t="str">
        <f>IFERROR(__xludf.DUMMYFUNCTION("""COMPUTED_VALUE"""),"")</f>
        <v/>
      </c>
      <c r="BY185" s="167" t="str">
        <f>IFERROR(__xludf.DUMMYFUNCTION("""COMPUTED_VALUE"""),"")</f>
        <v/>
      </c>
      <c r="BZ185" s="167" t="str">
        <f>IFERROR(__xludf.DUMMYFUNCTION("""COMPUTED_VALUE"""),"")</f>
        <v/>
      </c>
      <c r="CA185" s="168" t="str">
        <f>IFERROR(__xludf.DUMMYFUNCTION("""COMPUTED_VALUE"""),"")</f>
        <v/>
      </c>
      <c r="CB185" s="170" t="str">
        <f>IFERROR(__xludf.DUMMYFUNCTION("""COMPUTED_VALUE"""),"")</f>
        <v/>
      </c>
      <c r="CC185" s="167" t="str">
        <f>IFERROR(__xludf.DUMMYFUNCTION("""COMPUTED_VALUE"""),"")</f>
        <v/>
      </c>
      <c r="CD185" s="168" t="str">
        <f>IFERROR(__xludf.DUMMYFUNCTION("""COMPUTED_VALUE"""),"")</f>
        <v/>
      </c>
      <c r="CE185" s="167" t="str">
        <f>IFERROR(__xludf.DUMMYFUNCTION("""COMPUTED_VALUE"""),"")</f>
        <v/>
      </c>
      <c r="CF185" s="167" t="str">
        <f>IFERROR(__xludf.DUMMYFUNCTION("""COMPUTED_VALUE"""),"")</f>
        <v/>
      </c>
      <c r="CG185" s="168" t="str">
        <f>IFERROR(__xludf.DUMMYFUNCTION("""COMPUTED_VALUE"""),"")</f>
        <v/>
      </c>
      <c r="CH185" s="167" t="str">
        <f>IFERROR(__xludf.DUMMYFUNCTION("""COMPUTED_VALUE"""),"")</f>
        <v/>
      </c>
      <c r="CI185" s="167" t="str">
        <f>IFERROR(__xludf.DUMMYFUNCTION("""COMPUTED_VALUE"""),"")</f>
        <v/>
      </c>
      <c r="CJ185" s="168" t="str">
        <f>IFERROR(__xludf.DUMMYFUNCTION("""COMPUTED_VALUE"""),"")</f>
        <v/>
      </c>
      <c r="CK185" s="167" t="str">
        <f>IFERROR(__xludf.DUMMYFUNCTION("""COMPUTED_VALUE"""),"")</f>
        <v/>
      </c>
      <c r="CL185" s="167" t="str">
        <f>IFERROR(__xludf.DUMMYFUNCTION("""COMPUTED_VALUE"""),"")</f>
        <v/>
      </c>
      <c r="CM185" s="168" t="str">
        <f>IFERROR(__xludf.DUMMYFUNCTION("""COMPUTED_VALUE"""),"")</f>
        <v/>
      </c>
      <c r="CN185" s="167" t="str">
        <f>IFERROR(__xludf.DUMMYFUNCTION("""COMPUTED_VALUE"""),"")</f>
        <v/>
      </c>
      <c r="CO185" s="167" t="str">
        <f>IFERROR(__xludf.DUMMYFUNCTION("""COMPUTED_VALUE"""),"")</f>
        <v/>
      </c>
      <c r="CP185" s="168" t="str">
        <f>IFERROR(__xludf.DUMMYFUNCTION("""COMPUTED_VALUE"""),"")</f>
        <v/>
      </c>
      <c r="CQ185" s="167" t="str">
        <f>IFERROR(__xludf.DUMMYFUNCTION("""COMPUTED_VALUE"""),"")</f>
        <v/>
      </c>
      <c r="CR185" s="167" t="str">
        <f>IFERROR(__xludf.DUMMYFUNCTION("""COMPUTED_VALUE"""),"")</f>
        <v/>
      </c>
      <c r="CS185" s="168"/>
      <c r="CT185" s="167"/>
      <c r="CU185" s="167"/>
      <c r="CV185" s="168"/>
      <c r="CW185" s="167"/>
      <c r="CX185" s="167"/>
      <c r="CY185" s="168"/>
      <c r="CZ185" s="167"/>
      <c r="DA185" s="167"/>
      <c r="DB185" s="168"/>
      <c r="DC185" s="167"/>
      <c r="DD185" s="167"/>
      <c r="DE185" s="168"/>
      <c r="DF185" s="167"/>
      <c r="DG185" s="167"/>
      <c r="DH185" s="168"/>
      <c r="DI185" s="167"/>
      <c r="DJ185" s="167"/>
      <c r="DK185" s="168"/>
      <c r="DL185" s="167"/>
      <c r="DM185" s="167"/>
      <c r="DN185" s="168"/>
      <c r="DO185" s="167"/>
      <c r="DP185" s="167"/>
      <c r="DQ185" s="168"/>
      <c r="DR185" s="167"/>
      <c r="DS185" s="167"/>
      <c r="DT185" s="168"/>
    </row>
    <row r="186">
      <c r="B186" s="120" t="str">
        <f>IFERROR(__xludf.DUMMYFUNCTION("""COMPUTED_VALUE"""),"ANA4")</f>
        <v>ANA4</v>
      </c>
      <c r="C186" s="82">
        <f>IFERROR(__xludf.DUMMYFUNCTION("""COMPUTED_VALUE"""),181.0)</f>
        <v>181</v>
      </c>
      <c r="D186" s="88" t="str">
        <f>IFERROR(__xludf.DUMMYFUNCTION("""COMPUTED_VALUE"""),"Rebel Stronghold")</f>
        <v>Rebel Stronghold</v>
      </c>
      <c r="E186" s="82" t="str">
        <f>IFERROR(__xludf.DUMMYFUNCTION("""COMPUTED_VALUE"""),"叛逆軍の砦")</f>
        <v>叛逆軍の砦</v>
      </c>
      <c r="F186" s="102">
        <f>IFERROR(__xludf.DUMMYFUNCTION("""COMPUTED_VALUE"""),21.0)</f>
        <v>21</v>
      </c>
      <c r="G186" s="82">
        <f>IFERROR(__xludf.DUMMYFUNCTION("""COMPUTED_VALUE"""),3070.0)</f>
        <v>3070</v>
      </c>
      <c r="H186" s="95" t="str">
        <f>IFERROR(__xludf.DUMMYFUNCTION("""COMPUTED_VALUE"""),"")</f>
        <v/>
      </c>
      <c r="I186" s="96" t="str">
        <f>IFERROR(__xludf.DUMMYFUNCTION("""COMPUTED_VALUE"""),"")</f>
        <v/>
      </c>
      <c r="J186" s="97" t="str">
        <f>IFERROR(__xludf.DUMMYFUNCTION("""COMPUTED_VALUE"""),"")</f>
        <v/>
      </c>
      <c r="K186" s="95" t="str">
        <f>IFERROR(__xludf.DUMMYFUNCTION("""COMPUTED_VALUE"""),"")</f>
        <v/>
      </c>
      <c r="L186" s="96">
        <f>IFERROR(__xludf.DUMMYFUNCTION("""COMPUTED_VALUE"""),96.1)</f>
        <v>96.1</v>
      </c>
      <c r="M186" s="97" t="str">
        <f>IFERROR(__xludf.DUMMYFUNCTION("""COMPUTED_VALUE"""),"")</f>
        <v/>
      </c>
      <c r="N186" s="95" t="str">
        <f>IFERROR(__xludf.DUMMYFUNCTION("""COMPUTED_VALUE"""),"")</f>
        <v/>
      </c>
      <c r="O186" s="96" t="str">
        <f>IFERROR(__xludf.DUMMYFUNCTION("""COMPUTED_VALUE"""),"")</f>
        <v/>
      </c>
      <c r="P186" s="97" t="str">
        <f>IFERROR(__xludf.DUMMYFUNCTION("""COMPUTED_VALUE"""),"")</f>
        <v/>
      </c>
      <c r="Q186" s="95" t="str">
        <f>IFERROR(__xludf.DUMMYFUNCTION("""COMPUTED_VALUE"""),"")</f>
        <v/>
      </c>
      <c r="R186" s="96" t="str">
        <f>IFERROR(__xludf.DUMMYFUNCTION("""COMPUTED_VALUE"""),"")</f>
        <v/>
      </c>
      <c r="S186" s="97" t="str">
        <f>IFERROR(__xludf.DUMMYFUNCTION("""COMPUTED_VALUE"""),"")</f>
        <v/>
      </c>
      <c r="T186" s="95" t="str">
        <f>IFERROR(__xludf.DUMMYFUNCTION("""COMPUTED_VALUE"""),"")</f>
        <v/>
      </c>
      <c r="U186" s="96" t="str">
        <f>IFERROR(__xludf.DUMMYFUNCTION("""COMPUTED_VALUE"""),"")</f>
        <v/>
      </c>
      <c r="V186" s="97" t="str">
        <f>IFERROR(__xludf.DUMMYFUNCTION("""COMPUTED_VALUE"""),"")</f>
        <v/>
      </c>
      <c r="W186" s="95" t="str">
        <f>IFERROR(__xludf.DUMMYFUNCTION("""COMPUTED_VALUE"""),"")</f>
        <v/>
      </c>
      <c r="X186" s="96" t="str">
        <f>IFERROR(__xludf.DUMMYFUNCTION("""COMPUTED_VALUE"""),"")</f>
        <v/>
      </c>
      <c r="Y186" s="97" t="str">
        <f>IFERROR(__xludf.DUMMYFUNCTION("""COMPUTED_VALUE"""),"")</f>
        <v/>
      </c>
      <c r="Z186" s="95" t="str">
        <f>IFERROR(__xludf.DUMMYFUNCTION("""COMPUTED_VALUE"""),"")</f>
        <v/>
      </c>
      <c r="AA186" s="96" t="str">
        <f>IFERROR(__xludf.DUMMYFUNCTION("""COMPUTED_VALUE"""),"")</f>
        <v/>
      </c>
      <c r="AB186" s="97" t="str">
        <f>IFERROR(__xludf.DUMMYFUNCTION("""COMPUTED_VALUE"""),"")</f>
        <v/>
      </c>
      <c r="AC186" s="95" t="str">
        <f>IFERROR(__xludf.DUMMYFUNCTION("""COMPUTED_VALUE"""),"")</f>
        <v/>
      </c>
      <c r="AD186" s="96" t="str">
        <f>IFERROR(__xludf.DUMMYFUNCTION("""COMPUTED_VALUE"""),"")</f>
        <v/>
      </c>
      <c r="AE186" s="97" t="str">
        <f>IFERROR(__xludf.DUMMYFUNCTION("""COMPUTED_VALUE"""),"")</f>
        <v/>
      </c>
      <c r="AF186" s="95" t="str">
        <f>IFERROR(__xludf.DUMMYFUNCTION("""COMPUTED_VALUE"""),"")</f>
        <v/>
      </c>
      <c r="AG186" s="96" t="str">
        <f>IFERROR(__xludf.DUMMYFUNCTION("""COMPUTED_VALUE"""),"")</f>
        <v/>
      </c>
      <c r="AH186" s="97" t="str">
        <f>IFERROR(__xludf.DUMMYFUNCTION("""COMPUTED_VALUE"""),"")</f>
        <v/>
      </c>
      <c r="AI186" s="92" t="str">
        <f>IFERROR(__xludf.DUMMYFUNCTION("""COMPUTED_VALUE"""),"")</f>
        <v/>
      </c>
      <c r="AJ186" s="93" t="str">
        <f>IFERROR(__xludf.DUMMYFUNCTION("""COMPUTED_VALUE"""),"")</f>
        <v/>
      </c>
      <c r="AK186" s="94" t="str">
        <f>IFERROR(__xludf.DUMMYFUNCTION("""COMPUTED_VALUE"""),"")</f>
        <v/>
      </c>
      <c r="AL186" s="93" t="str">
        <f>IFERROR(__xludf.DUMMYFUNCTION("""COMPUTED_VALUE"""),"")</f>
        <v/>
      </c>
      <c r="AM186" s="147" t="str">
        <f>IFERROR(__xludf.DUMMYFUNCTION("""COMPUTED_VALUE"""),"")</f>
        <v/>
      </c>
      <c r="AN186" s="94" t="str">
        <f>IFERROR(__xludf.DUMMYFUNCTION("""COMPUTED_VALUE"""),"")</f>
        <v/>
      </c>
      <c r="AO186" s="93" t="str">
        <f>IFERROR(__xludf.DUMMYFUNCTION("""COMPUTED_VALUE"""),"")</f>
        <v/>
      </c>
      <c r="AP186" s="93" t="str">
        <f>IFERROR(__xludf.DUMMYFUNCTION("""COMPUTED_VALUE"""),"")</f>
        <v/>
      </c>
      <c r="AQ186" s="94" t="str">
        <f>IFERROR(__xludf.DUMMYFUNCTION("""COMPUTED_VALUE"""),"")</f>
        <v/>
      </c>
      <c r="AR186" s="93" t="str">
        <f>IFERROR(__xludf.DUMMYFUNCTION("""COMPUTED_VALUE"""),"")</f>
        <v/>
      </c>
      <c r="AS186" s="93" t="str">
        <f>IFERROR(__xludf.DUMMYFUNCTION("""COMPUTED_VALUE"""),"")</f>
        <v/>
      </c>
      <c r="AT186" s="94" t="str">
        <f>IFERROR(__xludf.DUMMYFUNCTION("""COMPUTED_VALUE"""),"")</f>
        <v/>
      </c>
      <c r="AU186" s="93" t="str">
        <f>IFERROR(__xludf.DUMMYFUNCTION("""COMPUTED_VALUE"""),"")</f>
        <v/>
      </c>
      <c r="AV186" s="93" t="str">
        <f>IFERROR(__xludf.DUMMYFUNCTION("""COMPUTED_VALUE"""),"")</f>
        <v/>
      </c>
      <c r="AW186" s="94" t="str">
        <f>IFERROR(__xludf.DUMMYFUNCTION("""COMPUTED_VALUE"""),"")</f>
        <v/>
      </c>
      <c r="AX186" s="93" t="str">
        <f>IFERROR(__xludf.DUMMYFUNCTION("""COMPUTED_VALUE"""),"")</f>
        <v/>
      </c>
      <c r="AY186" s="93" t="str">
        <f>IFERROR(__xludf.DUMMYFUNCTION("""COMPUTED_VALUE"""),"")</f>
        <v/>
      </c>
      <c r="AZ186" s="94" t="str">
        <f>IFERROR(__xludf.DUMMYFUNCTION("""COMPUTED_VALUE"""),"")</f>
        <v/>
      </c>
      <c r="BA186" s="93" t="str">
        <f>IFERROR(__xludf.DUMMYFUNCTION("""COMPUTED_VALUE"""),"")</f>
        <v/>
      </c>
      <c r="BB186" s="93">
        <f>IFERROR(__xludf.DUMMYFUNCTION("""COMPUTED_VALUE"""),50.7)</f>
        <v>50.7</v>
      </c>
      <c r="BC186" s="94" t="str">
        <f>IFERROR(__xludf.DUMMYFUNCTION("""COMPUTED_VALUE"""),"")</f>
        <v/>
      </c>
      <c r="BD186" s="93" t="str">
        <f>IFERROR(__xludf.DUMMYFUNCTION("""COMPUTED_VALUE"""),"")</f>
        <v/>
      </c>
      <c r="BE186" s="93" t="str">
        <f>IFERROR(__xludf.DUMMYFUNCTION("""COMPUTED_VALUE"""),"")</f>
        <v/>
      </c>
      <c r="BF186" s="94" t="str">
        <f>IFERROR(__xludf.DUMMYFUNCTION("""COMPUTED_VALUE"""),"")</f>
        <v/>
      </c>
      <c r="BG186" s="92" t="str">
        <f>IFERROR(__xludf.DUMMYFUNCTION("""COMPUTED_VALUE"""),"")</f>
        <v/>
      </c>
      <c r="BH186" s="93" t="str">
        <f>IFERROR(__xludf.DUMMYFUNCTION("""COMPUTED_VALUE"""),"")</f>
        <v/>
      </c>
      <c r="BI186" s="94" t="str">
        <f>IFERROR(__xludf.DUMMYFUNCTION("""COMPUTED_VALUE"""),"")</f>
        <v/>
      </c>
      <c r="BJ186" s="93" t="str">
        <f>IFERROR(__xludf.DUMMYFUNCTION("""COMPUTED_VALUE"""),"")</f>
        <v/>
      </c>
      <c r="BK186" s="93" t="str">
        <f>IFERROR(__xludf.DUMMYFUNCTION("""COMPUTED_VALUE"""),"")</f>
        <v/>
      </c>
      <c r="BL186" s="94">
        <f>IFERROR(__xludf.DUMMYFUNCTION("""COMPUTED_VALUE"""),257.0)</f>
        <v>257</v>
      </c>
      <c r="BM186" s="93" t="str">
        <f>IFERROR(__xludf.DUMMYFUNCTION("""COMPUTED_VALUE"""),"")</f>
        <v/>
      </c>
      <c r="BN186" s="93" t="str">
        <f>IFERROR(__xludf.DUMMYFUNCTION("""COMPUTED_VALUE"""),"")</f>
        <v/>
      </c>
      <c r="BO186" s="94" t="str">
        <f>IFERROR(__xludf.DUMMYFUNCTION("""COMPUTED_VALUE"""),"")</f>
        <v/>
      </c>
      <c r="BP186" s="93" t="str">
        <f>IFERROR(__xludf.DUMMYFUNCTION("""COMPUTED_VALUE"""),"")</f>
        <v/>
      </c>
      <c r="BQ186" s="93">
        <f>IFERROR(__xludf.DUMMYFUNCTION("""COMPUTED_VALUE"""),56.7)</f>
        <v>56.7</v>
      </c>
      <c r="BR186" s="94" t="str">
        <f>IFERROR(__xludf.DUMMYFUNCTION("""COMPUTED_VALUE"""),"")</f>
        <v/>
      </c>
      <c r="BS186" s="93" t="str">
        <f>IFERROR(__xludf.DUMMYFUNCTION("""COMPUTED_VALUE"""),"")</f>
        <v/>
      </c>
      <c r="BT186" s="93" t="str">
        <f>IFERROR(__xludf.DUMMYFUNCTION("""COMPUTED_VALUE"""),"")</f>
        <v/>
      </c>
      <c r="BU186" s="94" t="str">
        <f>IFERROR(__xludf.DUMMYFUNCTION("""COMPUTED_VALUE"""),"")</f>
        <v/>
      </c>
      <c r="BV186" s="93" t="str">
        <f>IFERROR(__xludf.DUMMYFUNCTION("""COMPUTED_VALUE"""),"")</f>
        <v/>
      </c>
      <c r="BW186" s="93" t="str">
        <f>IFERROR(__xludf.DUMMYFUNCTION("""COMPUTED_VALUE"""),"")</f>
        <v/>
      </c>
      <c r="BX186" s="108" t="str">
        <f>IFERROR(__xludf.DUMMYFUNCTION("""COMPUTED_VALUE"""),"")</f>
        <v/>
      </c>
      <c r="BY186" s="93" t="str">
        <f>IFERROR(__xludf.DUMMYFUNCTION("""COMPUTED_VALUE"""),"")</f>
        <v/>
      </c>
      <c r="BZ186" s="93" t="str">
        <f>IFERROR(__xludf.DUMMYFUNCTION("""COMPUTED_VALUE"""),"")</f>
        <v/>
      </c>
      <c r="CA186" s="94" t="str">
        <f>IFERROR(__xludf.DUMMYFUNCTION("""COMPUTED_VALUE"""),"")</f>
        <v/>
      </c>
      <c r="CB186" s="92" t="str">
        <f>IFERROR(__xludf.DUMMYFUNCTION("""COMPUTED_VALUE"""),"")</f>
        <v/>
      </c>
      <c r="CC186" s="93" t="str">
        <f>IFERROR(__xludf.DUMMYFUNCTION("""COMPUTED_VALUE"""),"")</f>
        <v/>
      </c>
      <c r="CD186" s="94" t="str">
        <f>IFERROR(__xludf.DUMMYFUNCTION("""COMPUTED_VALUE"""),"")</f>
        <v/>
      </c>
      <c r="CE186" s="93" t="str">
        <f>IFERROR(__xludf.DUMMYFUNCTION("""COMPUTED_VALUE"""),"")</f>
        <v/>
      </c>
      <c r="CF186" s="93" t="str">
        <f>IFERROR(__xludf.DUMMYFUNCTION("""COMPUTED_VALUE"""),"")</f>
        <v/>
      </c>
      <c r="CG186" s="94" t="str">
        <f>IFERROR(__xludf.DUMMYFUNCTION("""COMPUTED_VALUE"""),"")</f>
        <v/>
      </c>
      <c r="CH186" s="93" t="str">
        <f>IFERROR(__xludf.DUMMYFUNCTION("""COMPUTED_VALUE"""),"")</f>
        <v/>
      </c>
      <c r="CI186" s="93" t="str">
        <f>IFERROR(__xludf.DUMMYFUNCTION("""COMPUTED_VALUE"""),"")</f>
        <v/>
      </c>
      <c r="CJ186" s="94" t="str">
        <f>IFERROR(__xludf.DUMMYFUNCTION("""COMPUTED_VALUE"""),"")</f>
        <v/>
      </c>
      <c r="CK186" s="93" t="str">
        <f>IFERROR(__xludf.DUMMYFUNCTION("""COMPUTED_VALUE"""),"")</f>
        <v/>
      </c>
      <c r="CL186" s="93" t="str">
        <f>IFERROR(__xludf.DUMMYFUNCTION("""COMPUTED_VALUE"""),"")</f>
        <v/>
      </c>
      <c r="CM186" s="94" t="str">
        <f>IFERROR(__xludf.DUMMYFUNCTION("""COMPUTED_VALUE"""),"")</f>
        <v/>
      </c>
      <c r="CN186" s="93">
        <f>IFERROR(__xludf.DUMMYFUNCTION("""COMPUTED_VALUE"""),526.0)</f>
        <v>526</v>
      </c>
      <c r="CO186" s="93" t="str">
        <f>IFERROR(__xludf.DUMMYFUNCTION("""COMPUTED_VALUE"""),"")</f>
        <v/>
      </c>
      <c r="CP186" s="94" t="str">
        <f>IFERROR(__xludf.DUMMYFUNCTION("""COMPUTED_VALUE"""),"")</f>
        <v/>
      </c>
      <c r="CQ186" s="93" t="str">
        <f>IFERROR(__xludf.DUMMYFUNCTION("""COMPUTED_VALUE"""),"")</f>
        <v/>
      </c>
      <c r="CR186" s="93" t="str">
        <f>IFERROR(__xludf.DUMMYFUNCTION("""COMPUTED_VALUE"""),"")</f>
        <v/>
      </c>
      <c r="CS186" s="108"/>
      <c r="CT186" s="93"/>
      <c r="CU186" s="93"/>
      <c r="CV186" s="94"/>
      <c r="CW186" s="93"/>
      <c r="CX186" s="93"/>
      <c r="CY186" s="94"/>
      <c r="CZ186" s="93"/>
      <c r="DA186" s="93"/>
      <c r="DB186" s="94"/>
      <c r="DC186" s="93"/>
      <c r="DD186" s="93"/>
      <c r="DE186" s="108"/>
      <c r="DF186" s="93"/>
      <c r="DG186" s="93"/>
      <c r="DH186" s="94"/>
      <c r="DI186" s="93"/>
      <c r="DJ186" s="93"/>
      <c r="DK186" s="94"/>
      <c r="DL186" s="93"/>
      <c r="DM186" s="93"/>
      <c r="DN186" s="108"/>
      <c r="DO186" s="93"/>
      <c r="DP186" s="93"/>
      <c r="DQ186" s="108"/>
      <c r="DR186" s="93"/>
      <c r="DS186" s="93"/>
      <c r="DT186" s="108"/>
    </row>
    <row r="187">
      <c r="B187" s="120" t="str">
        <f>IFERROR(__xludf.DUMMYFUNCTION("""COMPUTED_VALUE"""),"ANA5")</f>
        <v>ANA5</v>
      </c>
      <c r="C187" s="82">
        <f>IFERROR(__xludf.DUMMYFUNCTION("""COMPUTED_VALUE"""),182.0)</f>
        <v>182</v>
      </c>
      <c r="D187" s="88" t="str">
        <f>IFERROR(__xludf.DUMMYFUNCTION("""COMPUTED_VALUE"""),"Yaga Sychyovka")</f>
        <v>Yaga Sychyovka</v>
      </c>
      <c r="E187" s="82" t="str">
        <f>IFERROR(__xludf.DUMMYFUNCTION("""COMPUTED_VALUE"""),"ヤガ・スィチョーフカ")</f>
        <v>ヤガ・スィチョーフカ</v>
      </c>
      <c r="F187" s="102">
        <f>IFERROR(__xludf.DUMMYFUNCTION("""COMPUTED_VALUE"""),21.0)</f>
        <v>21</v>
      </c>
      <c r="G187" s="82">
        <f>IFERROR(__xludf.DUMMYFUNCTION("""COMPUTED_VALUE"""),15732.0)</f>
        <v>15732</v>
      </c>
      <c r="H187" s="95" t="str">
        <f>IFERROR(__xludf.DUMMYFUNCTION("""COMPUTED_VALUE"""),"")</f>
        <v/>
      </c>
      <c r="I187" s="96" t="str">
        <f>IFERROR(__xludf.DUMMYFUNCTION("""COMPUTED_VALUE"""),"")</f>
        <v/>
      </c>
      <c r="J187" s="97" t="str">
        <f>IFERROR(__xludf.DUMMYFUNCTION("""COMPUTED_VALUE"""),"")</f>
        <v/>
      </c>
      <c r="K187" s="95" t="str">
        <f>IFERROR(__xludf.DUMMYFUNCTION("""COMPUTED_VALUE"""),"")</f>
        <v/>
      </c>
      <c r="L187" s="96" t="str">
        <f>IFERROR(__xludf.DUMMYFUNCTION("""COMPUTED_VALUE"""),"")</f>
        <v/>
      </c>
      <c r="M187" s="97" t="str">
        <f>IFERROR(__xludf.DUMMYFUNCTION("""COMPUTED_VALUE"""),"")</f>
        <v/>
      </c>
      <c r="N187" s="95" t="str">
        <f>IFERROR(__xludf.DUMMYFUNCTION("""COMPUTED_VALUE"""),"")</f>
        <v/>
      </c>
      <c r="O187" s="96" t="str">
        <f>IFERROR(__xludf.DUMMYFUNCTION("""COMPUTED_VALUE"""),"")</f>
        <v/>
      </c>
      <c r="P187" s="97" t="str">
        <f>IFERROR(__xludf.DUMMYFUNCTION("""COMPUTED_VALUE"""),"")</f>
        <v/>
      </c>
      <c r="Q187" s="95" t="str">
        <f>IFERROR(__xludf.DUMMYFUNCTION("""COMPUTED_VALUE"""),"")</f>
        <v/>
      </c>
      <c r="R187" s="96" t="str">
        <f>IFERROR(__xludf.DUMMYFUNCTION("""COMPUTED_VALUE"""),"")</f>
        <v/>
      </c>
      <c r="S187" s="97" t="str">
        <f>IFERROR(__xludf.DUMMYFUNCTION("""COMPUTED_VALUE"""),"")</f>
        <v/>
      </c>
      <c r="T187" s="95" t="str">
        <f>IFERROR(__xludf.DUMMYFUNCTION("""COMPUTED_VALUE"""),"")</f>
        <v/>
      </c>
      <c r="U187" s="96" t="str">
        <f>IFERROR(__xludf.DUMMYFUNCTION("""COMPUTED_VALUE"""),"")</f>
        <v/>
      </c>
      <c r="V187" s="97" t="str">
        <f>IFERROR(__xludf.DUMMYFUNCTION("""COMPUTED_VALUE"""),"")</f>
        <v/>
      </c>
      <c r="W187" s="95" t="str">
        <f>IFERROR(__xludf.DUMMYFUNCTION("""COMPUTED_VALUE"""),"")</f>
        <v/>
      </c>
      <c r="X187" s="96" t="str">
        <f>IFERROR(__xludf.DUMMYFUNCTION("""COMPUTED_VALUE"""),"")</f>
        <v/>
      </c>
      <c r="Y187" s="97" t="str">
        <f>IFERROR(__xludf.DUMMYFUNCTION("""COMPUTED_VALUE"""),"")</f>
        <v/>
      </c>
      <c r="Z187" s="95">
        <f>IFERROR(__xludf.DUMMYFUNCTION("""COMPUTED_VALUE"""),84.8)</f>
        <v>84.8</v>
      </c>
      <c r="AA187" s="96" t="str">
        <f>IFERROR(__xludf.DUMMYFUNCTION("""COMPUTED_VALUE"""),"")</f>
        <v/>
      </c>
      <c r="AB187" s="97" t="str">
        <f>IFERROR(__xludf.DUMMYFUNCTION("""COMPUTED_VALUE"""),"")</f>
        <v/>
      </c>
      <c r="AC187" s="95" t="str">
        <f>IFERROR(__xludf.DUMMYFUNCTION("""COMPUTED_VALUE"""),"")</f>
        <v/>
      </c>
      <c r="AD187" s="96" t="str">
        <f>IFERROR(__xludf.DUMMYFUNCTION("""COMPUTED_VALUE"""),"")</f>
        <v/>
      </c>
      <c r="AE187" s="97" t="str">
        <f>IFERROR(__xludf.DUMMYFUNCTION("""COMPUTED_VALUE"""),"")</f>
        <v/>
      </c>
      <c r="AF187" s="95" t="str">
        <f>IFERROR(__xludf.DUMMYFUNCTION("""COMPUTED_VALUE"""),"")</f>
        <v/>
      </c>
      <c r="AG187" s="96" t="str">
        <f>IFERROR(__xludf.DUMMYFUNCTION("""COMPUTED_VALUE"""),"")</f>
        <v/>
      </c>
      <c r="AH187" s="97" t="str">
        <f>IFERROR(__xludf.DUMMYFUNCTION("""COMPUTED_VALUE"""),"")</f>
        <v/>
      </c>
      <c r="AI187" s="166" t="str">
        <f>IFERROR(__xludf.DUMMYFUNCTION("""COMPUTED_VALUE"""),"")</f>
        <v/>
      </c>
      <c r="AJ187" s="167" t="str">
        <f>IFERROR(__xludf.DUMMYFUNCTION("""COMPUTED_VALUE"""),"")</f>
        <v/>
      </c>
      <c r="AK187" s="168" t="str">
        <f>IFERROR(__xludf.DUMMYFUNCTION("""COMPUTED_VALUE"""),"")</f>
        <v/>
      </c>
      <c r="AL187" s="167" t="str">
        <f>IFERROR(__xludf.DUMMYFUNCTION("""COMPUTED_VALUE"""),"")</f>
        <v/>
      </c>
      <c r="AM187" s="167" t="str">
        <f>IFERROR(__xludf.DUMMYFUNCTION("""COMPUTED_VALUE"""),"")</f>
        <v/>
      </c>
      <c r="AN187" s="168" t="str">
        <f>IFERROR(__xludf.DUMMYFUNCTION("""COMPUTED_VALUE"""),"")</f>
        <v/>
      </c>
      <c r="AO187" s="167" t="str">
        <f>IFERROR(__xludf.DUMMYFUNCTION("""COMPUTED_VALUE"""),"")</f>
        <v/>
      </c>
      <c r="AP187" s="167" t="str">
        <f>IFERROR(__xludf.DUMMYFUNCTION("""COMPUTED_VALUE"""),"")</f>
        <v/>
      </c>
      <c r="AQ187" s="168" t="str">
        <f>IFERROR(__xludf.DUMMYFUNCTION("""COMPUTED_VALUE"""),"")</f>
        <v/>
      </c>
      <c r="AR187" s="167" t="str">
        <f>IFERROR(__xludf.DUMMYFUNCTION("""COMPUTED_VALUE"""),"")</f>
        <v/>
      </c>
      <c r="AS187" s="167" t="str">
        <f>IFERROR(__xludf.DUMMYFUNCTION("""COMPUTED_VALUE"""),"")</f>
        <v/>
      </c>
      <c r="AT187" s="168" t="str">
        <f>IFERROR(__xludf.DUMMYFUNCTION("""COMPUTED_VALUE"""),"")</f>
        <v/>
      </c>
      <c r="AU187" s="167" t="str">
        <f>IFERROR(__xludf.DUMMYFUNCTION("""COMPUTED_VALUE"""),"")</f>
        <v/>
      </c>
      <c r="AV187" s="167" t="str">
        <f>IFERROR(__xludf.DUMMYFUNCTION("""COMPUTED_VALUE"""),"")</f>
        <v/>
      </c>
      <c r="AW187" s="168" t="str">
        <f>IFERROR(__xludf.DUMMYFUNCTION("""COMPUTED_VALUE"""),"")</f>
        <v/>
      </c>
      <c r="AX187" s="167" t="str">
        <f>IFERROR(__xludf.DUMMYFUNCTION("""COMPUTED_VALUE"""),"")</f>
        <v/>
      </c>
      <c r="AY187" s="167" t="str">
        <f>IFERROR(__xludf.DUMMYFUNCTION("""COMPUTED_VALUE"""),"")</f>
        <v/>
      </c>
      <c r="AZ187" s="168" t="str">
        <f>IFERROR(__xludf.DUMMYFUNCTION("""COMPUTED_VALUE"""),"")</f>
        <v/>
      </c>
      <c r="BA187" s="167" t="str">
        <f>IFERROR(__xludf.DUMMYFUNCTION("""COMPUTED_VALUE"""),"")</f>
        <v/>
      </c>
      <c r="BB187" s="167">
        <f>IFERROR(__xludf.DUMMYFUNCTION("""COMPUTED_VALUE"""),50.7)</f>
        <v>50.7</v>
      </c>
      <c r="BC187" s="168" t="str">
        <f>IFERROR(__xludf.DUMMYFUNCTION("""COMPUTED_VALUE"""),"")</f>
        <v/>
      </c>
      <c r="BD187" s="167" t="str">
        <f>IFERROR(__xludf.DUMMYFUNCTION("""COMPUTED_VALUE"""),"")</f>
        <v/>
      </c>
      <c r="BE187" s="167" t="str">
        <f>IFERROR(__xludf.DUMMYFUNCTION("""COMPUTED_VALUE"""),"")</f>
        <v/>
      </c>
      <c r="BF187" s="168" t="str">
        <f>IFERROR(__xludf.DUMMYFUNCTION("""COMPUTED_VALUE"""),"")</f>
        <v/>
      </c>
      <c r="BG187" s="166" t="str">
        <f>IFERROR(__xludf.DUMMYFUNCTION("""COMPUTED_VALUE"""),"")</f>
        <v/>
      </c>
      <c r="BH187" s="167" t="str">
        <f>IFERROR(__xludf.DUMMYFUNCTION("""COMPUTED_VALUE"""),"")</f>
        <v/>
      </c>
      <c r="BI187" s="168" t="str">
        <f>IFERROR(__xludf.DUMMYFUNCTION("""COMPUTED_VALUE"""),"")</f>
        <v/>
      </c>
      <c r="BJ187" s="167" t="str">
        <f>IFERROR(__xludf.DUMMYFUNCTION("""COMPUTED_VALUE"""),"")</f>
        <v/>
      </c>
      <c r="BK187" s="167" t="str">
        <f>IFERROR(__xludf.DUMMYFUNCTION("""COMPUTED_VALUE"""),"")</f>
        <v/>
      </c>
      <c r="BL187" s="168" t="str">
        <f>IFERROR(__xludf.DUMMYFUNCTION("""COMPUTED_VALUE"""),"")</f>
        <v/>
      </c>
      <c r="BM187" s="167" t="str">
        <f>IFERROR(__xludf.DUMMYFUNCTION("""COMPUTED_VALUE"""),"")</f>
        <v/>
      </c>
      <c r="BN187" s="167" t="str">
        <f>IFERROR(__xludf.DUMMYFUNCTION("""COMPUTED_VALUE"""),"")</f>
        <v/>
      </c>
      <c r="BO187" s="168" t="str">
        <f>IFERROR(__xludf.DUMMYFUNCTION("""COMPUTED_VALUE"""),"")</f>
        <v/>
      </c>
      <c r="BP187" s="167">
        <f>IFERROR(__xludf.DUMMYFUNCTION("""COMPUTED_VALUE"""),102.9)</f>
        <v>102.9</v>
      </c>
      <c r="BQ187" s="167" t="str">
        <f>IFERROR(__xludf.DUMMYFUNCTION("""COMPUTED_VALUE"""),"")</f>
        <v/>
      </c>
      <c r="BR187" s="168">
        <f>IFERROR(__xludf.DUMMYFUNCTION("""COMPUTED_VALUE"""),83.8)</f>
        <v>83.8</v>
      </c>
      <c r="BS187" s="167" t="str">
        <f>IFERROR(__xludf.DUMMYFUNCTION("""COMPUTED_VALUE"""),"")</f>
        <v/>
      </c>
      <c r="BT187" s="167" t="str">
        <f>IFERROR(__xludf.DUMMYFUNCTION("""COMPUTED_VALUE"""),"")</f>
        <v/>
      </c>
      <c r="BU187" s="168" t="str">
        <f>IFERROR(__xludf.DUMMYFUNCTION("""COMPUTED_VALUE"""),"")</f>
        <v/>
      </c>
      <c r="BV187" s="167" t="str">
        <f>IFERROR(__xludf.DUMMYFUNCTION("""COMPUTED_VALUE"""),"")</f>
        <v/>
      </c>
      <c r="BW187" s="167" t="str">
        <f>IFERROR(__xludf.DUMMYFUNCTION("""COMPUTED_VALUE"""),"")</f>
        <v/>
      </c>
      <c r="BX187" s="169" t="str">
        <f>IFERROR(__xludf.DUMMYFUNCTION("""COMPUTED_VALUE"""),"")</f>
        <v/>
      </c>
      <c r="BY187" s="167" t="str">
        <f>IFERROR(__xludf.DUMMYFUNCTION("""COMPUTED_VALUE"""),"")</f>
        <v/>
      </c>
      <c r="BZ187" s="167" t="str">
        <f>IFERROR(__xludf.DUMMYFUNCTION("""COMPUTED_VALUE"""),"")</f>
        <v/>
      </c>
      <c r="CA187" s="168" t="str">
        <f>IFERROR(__xludf.DUMMYFUNCTION("""COMPUTED_VALUE"""),"")</f>
        <v/>
      </c>
      <c r="CB187" s="166" t="str">
        <f>IFERROR(__xludf.DUMMYFUNCTION("""COMPUTED_VALUE"""),"")</f>
        <v/>
      </c>
      <c r="CC187" s="167" t="str">
        <f>IFERROR(__xludf.DUMMYFUNCTION("""COMPUTED_VALUE"""),"")</f>
        <v/>
      </c>
      <c r="CD187" s="168" t="str">
        <f>IFERROR(__xludf.DUMMYFUNCTION("""COMPUTED_VALUE"""),"")</f>
        <v/>
      </c>
      <c r="CE187" s="167" t="str">
        <f>IFERROR(__xludf.DUMMYFUNCTION("""COMPUTED_VALUE"""),"")</f>
        <v/>
      </c>
      <c r="CF187" s="167" t="str">
        <f>IFERROR(__xludf.DUMMYFUNCTION("""COMPUTED_VALUE"""),"")</f>
        <v/>
      </c>
      <c r="CG187" s="168" t="str">
        <f>IFERROR(__xludf.DUMMYFUNCTION("""COMPUTED_VALUE"""),"")</f>
        <v/>
      </c>
      <c r="CH187" s="167" t="str">
        <f>IFERROR(__xludf.DUMMYFUNCTION("""COMPUTED_VALUE"""),"")</f>
        <v/>
      </c>
      <c r="CI187" s="167" t="str">
        <f>IFERROR(__xludf.DUMMYFUNCTION("""COMPUTED_VALUE"""),"")</f>
        <v/>
      </c>
      <c r="CJ187" s="168" t="str">
        <f>IFERROR(__xludf.DUMMYFUNCTION("""COMPUTED_VALUE"""),"")</f>
        <v/>
      </c>
      <c r="CK187" s="167" t="str">
        <f>IFERROR(__xludf.DUMMYFUNCTION("""COMPUTED_VALUE"""),"")</f>
        <v/>
      </c>
      <c r="CL187" s="167" t="str">
        <f>IFERROR(__xludf.DUMMYFUNCTION("""COMPUTED_VALUE"""),"")</f>
        <v/>
      </c>
      <c r="CM187" s="168" t="str">
        <f>IFERROR(__xludf.DUMMYFUNCTION("""COMPUTED_VALUE"""),"")</f>
        <v/>
      </c>
      <c r="CN187" s="167" t="str">
        <f>IFERROR(__xludf.DUMMYFUNCTION("""COMPUTED_VALUE"""),"")</f>
        <v/>
      </c>
      <c r="CO187" s="167" t="str">
        <f>IFERROR(__xludf.DUMMYFUNCTION("""COMPUTED_VALUE"""),"")</f>
        <v/>
      </c>
      <c r="CP187" s="168" t="str">
        <f>IFERROR(__xludf.DUMMYFUNCTION("""COMPUTED_VALUE"""),"")</f>
        <v/>
      </c>
      <c r="CQ187" s="167" t="str">
        <f>IFERROR(__xludf.DUMMYFUNCTION("""COMPUTED_VALUE"""),"")</f>
        <v/>
      </c>
      <c r="CR187" s="167" t="str">
        <f>IFERROR(__xludf.DUMMYFUNCTION("""COMPUTED_VALUE"""),"")</f>
        <v/>
      </c>
      <c r="CS187" s="169"/>
      <c r="CT187" s="167"/>
      <c r="CU187" s="167"/>
      <c r="CV187" s="168"/>
      <c r="CW187" s="167"/>
      <c r="CX187" s="167"/>
      <c r="CY187" s="168"/>
      <c r="CZ187" s="167"/>
      <c r="DA187" s="167"/>
      <c r="DB187" s="168"/>
      <c r="DC187" s="167"/>
      <c r="DD187" s="167"/>
      <c r="DE187" s="169"/>
      <c r="DF187" s="167"/>
      <c r="DG187" s="167"/>
      <c r="DH187" s="168"/>
      <c r="DI187" s="167"/>
      <c r="DJ187" s="167"/>
      <c r="DK187" s="168"/>
      <c r="DL187" s="167"/>
      <c r="DM187" s="167"/>
      <c r="DN187" s="169"/>
      <c r="DO187" s="167"/>
      <c r="DP187" s="167"/>
      <c r="DQ187" s="169"/>
      <c r="DR187" s="167"/>
      <c r="DS187" s="167"/>
      <c r="DT187" s="169"/>
    </row>
    <row r="188">
      <c r="B188" s="120" t="str">
        <f>IFERROR(__xludf.DUMMYFUNCTION("""COMPUTED_VALUE"""),"ANA6")</f>
        <v>ANA6</v>
      </c>
      <c r="C188" s="82">
        <f>IFERROR(__xludf.DUMMYFUNCTION("""COMPUTED_VALUE"""),183.0)</f>
        <v>183</v>
      </c>
      <c r="D188" s="88" t="str">
        <f>IFERROR(__xludf.DUMMYFUNCTION("""COMPUTED_VALUE"""),"Burned Village")</f>
        <v>Burned Village</v>
      </c>
      <c r="E188" s="82" t="str">
        <f>IFERROR(__xludf.DUMMYFUNCTION("""COMPUTED_VALUE"""),"焼き払われた村")</f>
        <v>焼き払われた村</v>
      </c>
      <c r="F188" s="102">
        <f>IFERROR(__xludf.DUMMYFUNCTION("""COMPUTED_VALUE"""),21.0)</f>
        <v>21</v>
      </c>
      <c r="G188" s="82">
        <f>IFERROR(__xludf.DUMMYFUNCTION("""COMPUTED_VALUE"""),89379.0)</f>
        <v>89379</v>
      </c>
      <c r="H188" s="95" t="str">
        <f>IFERROR(__xludf.DUMMYFUNCTION("""COMPUTED_VALUE"""),"")</f>
        <v/>
      </c>
      <c r="I188" s="96" t="str">
        <f>IFERROR(__xludf.DUMMYFUNCTION("""COMPUTED_VALUE"""),"")</f>
        <v/>
      </c>
      <c r="J188" s="97" t="str">
        <f>IFERROR(__xludf.DUMMYFUNCTION("""COMPUTED_VALUE"""),"")</f>
        <v/>
      </c>
      <c r="K188" s="95" t="str">
        <f>IFERROR(__xludf.DUMMYFUNCTION("""COMPUTED_VALUE"""),"")</f>
        <v/>
      </c>
      <c r="L188" s="96" t="str">
        <f>IFERROR(__xludf.DUMMYFUNCTION("""COMPUTED_VALUE"""),"")</f>
        <v/>
      </c>
      <c r="M188" s="97" t="str">
        <f>IFERROR(__xludf.DUMMYFUNCTION("""COMPUTED_VALUE"""),"")</f>
        <v/>
      </c>
      <c r="N188" s="95" t="str">
        <f>IFERROR(__xludf.DUMMYFUNCTION("""COMPUTED_VALUE"""),"")</f>
        <v/>
      </c>
      <c r="O188" s="96" t="str">
        <f>IFERROR(__xludf.DUMMYFUNCTION("""COMPUTED_VALUE"""),"")</f>
        <v/>
      </c>
      <c r="P188" s="97" t="str">
        <f>IFERROR(__xludf.DUMMYFUNCTION("""COMPUTED_VALUE"""),"")</f>
        <v/>
      </c>
      <c r="Q188" s="95" t="str">
        <f>IFERROR(__xludf.DUMMYFUNCTION("""COMPUTED_VALUE"""),"")</f>
        <v/>
      </c>
      <c r="R188" s="96" t="str">
        <f>IFERROR(__xludf.DUMMYFUNCTION("""COMPUTED_VALUE"""),"")</f>
        <v/>
      </c>
      <c r="S188" s="97" t="str">
        <f>IFERROR(__xludf.DUMMYFUNCTION("""COMPUTED_VALUE"""),"")</f>
        <v/>
      </c>
      <c r="T188" s="95" t="str">
        <f>IFERROR(__xludf.DUMMYFUNCTION("""COMPUTED_VALUE"""),"")</f>
        <v/>
      </c>
      <c r="U188" s="96" t="str">
        <f>IFERROR(__xludf.DUMMYFUNCTION("""COMPUTED_VALUE"""),"")</f>
        <v/>
      </c>
      <c r="V188" s="97" t="str">
        <f>IFERROR(__xludf.DUMMYFUNCTION("""COMPUTED_VALUE"""),"")</f>
        <v/>
      </c>
      <c r="W188" s="95" t="str">
        <f>IFERROR(__xludf.DUMMYFUNCTION("""COMPUTED_VALUE"""),"")</f>
        <v/>
      </c>
      <c r="X188" s="96" t="str">
        <f>IFERROR(__xludf.DUMMYFUNCTION("""COMPUTED_VALUE"""),"")</f>
        <v/>
      </c>
      <c r="Y188" s="97" t="str">
        <f>IFERROR(__xludf.DUMMYFUNCTION("""COMPUTED_VALUE"""),"")</f>
        <v/>
      </c>
      <c r="Z188" s="95" t="str">
        <f>IFERROR(__xludf.DUMMYFUNCTION("""COMPUTED_VALUE"""),"")</f>
        <v/>
      </c>
      <c r="AA188" s="96" t="str">
        <f>IFERROR(__xludf.DUMMYFUNCTION("""COMPUTED_VALUE"""),"")</f>
        <v/>
      </c>
      <c r="AB188" s="97" t="str">
        <f>IFERROR(__xludf.DUMMYFUNCTION("""COMPUTED_VALUE"""),"")</f>
        <v/>
      </c>
      <c r="AC188" s="95" t="str">
        <f>IFERROR(__xludf.DUMMYFUNCTION("""COMPUTED_VALUE"""),"")</f>
        <v/>
      </c>
      <c r="AD188" s="96" t="str">
        <f>IFERROR(__xludf.DUMMYFUNCTION("""COMPUTED_VALUE"""),"")</f>
        <v/>
      </c>
      <c r="AE188" s="97" t="str">
        <f>IFERROR(__xludf.DUMMYFUNCTION("""COMPUTED_VALUE"""),"")</f>
        <v/>
      </c>
      <c r="AF188" s="95" t="str">
        <f>IFERROR(__xludf.DUMMYFUNCTION("""COMPUTED_VALUE"""),"")</f>
        <v/>
      </c>
      <c r="AG188" s="96" t="str">
        <f>IFERROR(__xludf.DUMMYFUNCTION("""COMPUTED_VALUE"""),"")</f>
        <v/>
      </c>
      <c r="AH188" s="97" t="str">
        <f>IFERROR(__xludf.DUMMYFUNCTION("""COMPUTED_VALUE"""),"")</f>
        <v/>
      </c>
      <c r="AI188" s="92" t="str">
        <f>IFERROR(__xludf.DUMMYFUNCTION("""COMPUTED_VALUE"""),"")</f>
        <v/>
      </c>
      <c r="AJ188" s="93">
        <f>IFERROR(__xludf.DUMMYFUNCTION("""COMPUTED_VALUE"""),84.3)</f>
        <v>84.3</v>
      </c>
      <c r="AK188" s="94" t="str">
        <f>IFERROR(__xludf.DUMMYFUNCTION("""COMPUTED_VALUE"""),"")</f>
        <v/>
      </c>
      <c r="AL188" s="93" t="str">
        <f>IFERROR(__xludf.DUMMYFUNCTION("""COMPUTED_VALUE"""),"")</f>
        <v/>
      </c>
      <c r="AM188" s="93" t="str">
        <f>IFERROR(__xludf.DUMMYFUNCTION("""COMPUTED_VALUE"""),"")</f>
        <v/>
      </c>
      <c r="AN188" s="94" t="str">
        <f>IFERROR(__xludf.DUMMYFUNCTION("""COMPUTED_VALUE"""),"")</f>
        <v/>
      </c>
      <c r="AO188" s="93" t="str">
        <f>IFERROR(__xludf.DUMMYFUNCTION("""COMPUTED_VALUE"""),"")</f>
        <v/>
      </c>
      <c r="AP188" s="93" t="str">
        <f>IFERROR(__xludf.DUMMYFUNCTION("""COMPUTED_VALUE"""),"")</f>
        <v/>
      </c>
      <c r="AQ188" s="94" t="str">
        <f>IFERROR(__xludf.DUMMYFUNCTION("""COMPUTED_VALUE"""),"")</f>
        <v/>
      </c>
      <c r="AR188" s="93" t="str">
        <f>IFERROR(__xludf.DUMMYFUNCTION("""COMPUTED_VALUE"""),"")</f>
        <v/>
      </c>
      <c r="AS188" s="93" t="str">
        <f>IFERROR(__xludf.DUMMYFUNCTION("""COMPUTED_VALUE"""),"")</f>
        <v/>
      </c>
      <c r="AT188" s="94" t="str">
        <f>IFERROR(__xludf.DUMMYFUNCTION("""COMPUTED_VALUE"""),"")</f>
        <v/>
      </c>
      <c r="AU188" s="93" t="str">
        <f>IFERROR(__xludf.DUMMYFUNCTION("""COMPUTED_VALUE"""),"")</f>
        <v/>
      </c>
      <c r="AV188" s="93" t="str">
        <f>IFERROR(__xludf.DUMMYFUNCTION("""COMPUTED_VALUE"""),"")</f>
        <v/>
      </c>
      <c r="AW188" s="94" t="str">
        <f>IFERROR(__xludf.DUMMYFUNCTION("""COMPUTED_VALUE"""),"")</f>
        <v/>
      </c>
      <c r="AX188" s="93" t="str">
        <f>IFERROR(__xludf.DUMMYFUNCTION("""COMPUTED_VALUE"""),"")</f>
        <v/>
      </c>
      <c r="AY188" s="93" t="str">
        <f>IFERROR(__xludf.DUMMYFUNCTION("""COMPUTED_VALUE"""),"")</f>
        <v/>
      </c>
      <c r="AZ188" s="94" t="str">
        <f>IFERROR(__xludf.DUMMYFUNCTION("""COMPUTED_VALUE"""),"")</f>
        <v/>
      </c>
      <c r="BA188" s="93" t="str">
        <f>IFERROR(__xludf.DUMMYFUNCTION("""COMPUTED_VALUE"""),"")</f>
        <v/>
      </c>
      <c r="BB188" s="93">
        <f>IFERROR(__xludf.DUMMYFUNCTION("""COMPUTED_VALUE"""),52.0)</f>
        <v>52</v>
      </c>
      <c r="BC188" s="94" t="str">
        <f>IFERROR(__xludf.DUMMYFUNCTION("""COMPUTED_VALUE"""),"")</f>
        <v/>
      </c>
      <c r="BD188" s="93" t="str">
        <f>IFERROR(__xludf.DUMMYFUNCTION("""COMPUTED_VALUE"""),"")</f>
        <v/>
      </c>
      <c r="BE188" s="93" t="str">
        <f>IFERROR(__xludf.DUMMYFUNCTION("""COMPUTED_VALUE"""),"")</f>
        <v/>
      </c>
      <c r="BF188" s="94" t="str">
        <f>IFERROR(__xludf.DUMMYFUNCTION("""COMPUTED_VALUE"""),"")</f>
        <v/>
      </c>
      <c r="BG188" s="92" t="str">
        <f>IFERROR(__xludf.DUMMYFUNCTION("""COMPUTED_VALUE"""),"")</f>
        <v/>
      </c>
      <c r="BH188" s="93" t="str">
        <f>IFERROR(__xludf.DUMMYFUNCTION("""COMPUTED_VALUE"""),"")</f>
        <v/>
      </c>
      <c r="BI188" s="94" t="str">
        <f>IFERROR(__xludf.DUMMYFUNCTION("""COMPUTED_VALUE"""),"")</f>
        <v/>
      </c>
      <c r="BJ188" s="93" t="str">
        <f>IFERROR(__xludf.DUMMYFUNCTION("""COMPUTED_VALUE"""),"")</f>
        <v/>
      </c>
      <c r="BK188" s="93" t="str">
        <f>IFERROR(__xludf.DUMMYFUNCTION("""COMPUTED_VALUE"""),"")</f>
        <v/>
      </c>
      <c r="BL188" s="94" t="str">
        <f>IFERROR(__xludf.DUMMYFUNCTION("""COMPUTED_VALUE"""),"")</f>
        <v/>
      </c>
      <c r="BM188" s="93" t="str">
        <f>IFERROR(__xludf.DUMMYFUNCTION("""COMPUTED_VALUE"""),"")</f>
        <v/>
      </c>
      <c r="BN188" s="93" t="str">
        <f>IFERROR(__xludf.DUMMYFUNCTION("""COMPUTED_VALUE"""),"")</f>
        <v/>
      </c>
      <c r="BO188" s="94" t="str">
        <f>IFERROR(__xludf.DUMMYFUNCTION("""COMPUTED_VALUE"""),"")</f>
        <v/>
      </c>
      <c r="BP188" s="93" t="str">
        <f>IFERROR(__xludf.DUMMYFUNCTION("""COMPUTED_VALUE"""),"")</f>
        <v/>
      </c>
      <c r="BQ188" s="93">
        <f>IFERROR(__xludf.DUMMYFUNCTION("""COMPUTED_VALUE"""),84.4)</f>
        <v>84.4</v>
      </c>
      <c r="BR188" s="94" t="str">
        <f>IFERROR(__xludf.DUMMYFUNCTION("""COMPUTED_VALUE"""),"")</f>
        <v/>
      </c>
      <c r="BS188" s="93" t="str">
        <f>IFERROR(__xludf.DUMMYFUNCTION("""COMPUTED_VALUE"""),"")</f>
        <v/>
      </c>
      <c r="BT188" s="93" t="str">
        <f>IFERROR(__xludf.DUMMYFUNCTION("""COMPUTED_VALUE"""),"")</f>
        <v/>
      </c>
      <c r="BU188" s="94" t="str">
        <f>IFERROR(__xludf.DUMMYFUNCTION("""COMPUTED_VALUE"""),"")</f>
        <v/>
      </c>
      <c r="BV188" s="93" t="str">
        <f>IFERROR(__xludf.DUMMYFUNCTION("""COMPUTED_VALUE"""),"")</f>
        <v/>
      </c>
      <c r="BW188" s="93">
        <f>IFERROR(__xludf.DUMMYFUNCTION("""COMPUTED_VALUE"""),104.6)</f>
        <v>104.6</v>
      </c>
      <c r="BX188" s="94" t="str">
        <f>IFERROR(__xludf.DUMMYFUNCTION("""COMPUTED_VALUE"""),"")</f>
        <v/>
      </c>
      <c r="BY188" s="93" t="str">
        <f>IFERROR(__xludf.DUMMYFUNCTION("""COMPUTED_VALUE"""),"")</f>
        <v/>
      </c>
      <c r="BZ188" s="93" t="str">
        <f>IFERROR(__xludf.DUMMYFUNCTION("""COMPUTED_VALUE"""),"")</f>
        <v/>
      </c>
      <c r="CA188" s="94" t="str">
        <f>IFERROR(__xludf.DUMMYFUNCTION("""COMPUTED_VALUE"""),"")</f>
        <v/>
      </c>
      <c r="CB188" s="92" t="str">
        <f>IFERROR(__xludf.DUMMYFUNCTION("""COMPUTED_VALUE"""),"")</f>
        <v/>
      </c>
      <c r="CC188" s="93" t="str">
        <f>IFERROR(__xludf.DUMMYFUNCTION("""COMPUTED_VALUE"""),"")</f>
        <v/>
      </c>
      <c r="CD188" s="94" t="str">
        <f>IFERROR(__xludf.DUMMYFUNCTION("""COMPUTED_VALUE"""),"")</f>
        <v/>
      </c>
      <c r="CE188" s="93" t="str">
        <f>IFERROR(__xludf.DUMMYFUNCTION("""COMPUTED_VALUE"""),"")</f>
        <v/>
      </c>
      <c r="CF188" s="93" t="str">
        <f>IFERROR(__xludf.DUMMYFUNCTION("""COMPUTED_VALUE"""),"")</f>
        <v/>
      </c>
      <c r="CG188" s="94" t="str">
        <f>IFERROR(__xludf.DUMMYFUNCTION("""COMPUTED_VALUE"""),"")</f>
        <v/>
      </c>
      <c r="CH188" s="93" t="str">
        <f>IFERROR(__xludf.DUMMYFUNCTION("""COMPUTED_VALUE"""),"")</f>
        <v/>
      </c>
      <c r="CI188" s="93" t="str">
        <f>IFERROR(__xludf.DUMMYFUNCTION("""COMPUTED_VALUE"""),"")</f>
        <v/>
      </c>
      <c r="CJ188" s="94" t="str">
        <f>IFERROR(__xludf.DUMMYFUNCTION("""COMPUTED_VALUE"""),"")</f>
        <v/>
      </c>
      <c r="CK188" s="93" t="str">
        <f>IFERROR(__xludf.DUMMYFUNCTION("""COMPUTED_VALUE"""),"")</f>
        <v/>
      </c>
      <c r="CL188" s="93" t="str">
        <f>IFERROR(__xludf.DUMMYFUNCTION("""COMPUTED_VALUE"""),"")</f>
        <v/>
      </c>
      <c r="CM188" s="94" t="str">
        <f>IFERROR(__xludf.DUMMYFUNCTION("""COMPUTED_VALUE"""),"")</f>
        <v/>
      </c>
      <c r="CN188" s="93" t="str">
        <f>IFERROR(__xludf.DUMMYFUNCTION("""COMPUTED_VALUE"""),"")</f>
        <v/>
      </c>
      <c r="CO188" s="93" t="str">
        <f>IFERROR(__xludf.DUMMYFUNCTION("""COMPUTED_VALUE"""),"")</f>
        <v/>
      </c>
      <c r="CP188" s="94" t="str">
        <f>IFERROR(__xludf.DUMMYFUNCTION("""COMPUTED_VALUE"""),"")</f>
        <v/>
      </c>
      <c r="CQ188" s="93" t="str">
        <f>IFERROR(__xludf.DUMMYFUNCTION("""COMPUTED_VALUE"""),"")</f>
        <v/>
      </c>
      <c r="CR188" s="93" t="str">
        <f>IFERROR(__xludf.DUMMYFUNCTION("""COMPUTED_VALUE"""),"")</f>
        <v/>
      </c>
      <c r="CS188" s="94"/>
      <c r="CT188" s="93"/>
      <c r="CU188" s="93"/>
      <c r="CV188" s="94"/>
      <c r="CW188" s="93"/>
      <c r="CX188" s="93"/>
      <c r="CY188" s="94"/>
      <c r="CZ188" s="93"/>
      <c r="DA188" s="93"/>
      <c r="DB188" s="94"/>
      <c r="DC188" s="93"/>
      <c r="DD188" s="93"/>
      <c r="DE188" s="94"/>
      <c r="DF188" s="93"/>
      <c r="DG188" s="93"/>
      <c r="DH188" s="94"/>
      <c r="DI188" s="93"/>
      <c r="DJ188" s="93"/>
      <c r="DK188" s="94"/>
      <c r="DL188" s="93"/>
      <c r="DM188" s="93"/>
      <c r="DN188" s="94"/>
      <c r="DO188" s="93"/>
      <c r="DP188" s="93"/>
      <c r="DQ188" s="94"/>
      <c r="DR188" s="93"/>
      <c r="DS188" s="93"/>
      <c r="DT188" s="94"/>
    </row>
    <row r="189">
      <c r="B189" s="120" t="str">
        <f>IFERROR(__xludf.DUMMYFUNCTION("""COMPUTED_VALUE"""),"ANA7")</f>
        <v>ANA7</v>
      </c>
      <c r="C189" s="82">
        <f>IFERROR(__xludf.DUMMYFUNCTION("""COMPUTED_VALUE"""),184.0)</f>
        <v>184</v>
      </c>
      <c r="D189" s="88" t="str">
        <f>IFERROR(__xludf.DUMMYFUNCTION("""COMPUTED_VALUE"""),"Yaga Vyazma")</f>
        <v>Yaga Vyazma</v>
      </c>
      <c r="E189" s="82" t="str">
        <f>IFERROR(__xludf.DUMMYFUNCTION("""COMPUTED_VALUE"""),"ヤガ・ヴャジマ")</f>
        <v>ヤガ・ヴャジマ</v>
      </c>
      <c r="F189" s="102">
        <f>IFERROR(__xludf.DUMMYFUNCTION("""COMPUTED_VALUE"""),21.0)</f>
        <v>21</v>
      </c>
      <c r="G189" s="82">
        <f>IFERROR(__xludf.DUMMYFUNCTION("""COMPUTED_VALUE"""),52413.0)</f>
        <v>52413</v>
      </c>
      <c r="H189" s="95" t="str">
        <f>IFERROR(__xludf.DUMMYFUNCTION("""COMPUTED_VALUE"""),"")</f>
        <v/>
      </c>
      <c r="I189" s="96" t="str">
        <f>IFERROR(__xludf.DUMMYFUNCTION("""COMPUTED_VALUE"""),"")</f>
        <v/>
      </c>
      <c r="J189" s="97" t="str">
        <f>IFERROR(__xludf.DUMMYFUNCTION("""COMPUTED_VALUE"""),"")</f>
        <v/>
      </c>
      <c r="K189" s="95" t="str">
        <f>IFERROR(__xludf.DUMMYFUNCTION("""COMPUTED_VALUE"""),"")</f>
        <v/>
      </c>
      <c r="L189" s="96" t="str">
        <f>IFERROR(__xludf.DUMMYFUNCTION("""COMPUTED_VALUE"""),"")</f>
        <v/>
      </c>
      <c r="M189" s="97" t="str">
        <f>IFERROR(__xludf.DUMMYFUNCTION("""COMPUTED_VALUE"""),"")</f>
        <v/>
      </c>
      <c r="N189" s="95" t="str">
        <f>IFERROR(__xludf.DUMMYFUNCTION("""COMPUTED_VALUE"""),"")</f>
        <v/>
      </c>
      <c r="O189" s="96" t="str">
        <f>IFERROR(__xludf.DUMMYFUNCTION("""COMPUTED_VALUE"""),"")</f>
        <v/>
      </c>
      <c r="P189" s="97" t="str">
        <f>IFERROR(__xludf.DUMMYFUNCTION("""COMPUTED_VALUE"""),"")</f>
        <v/>
      </c>
      <c r="Q189" s="95" t="str">
        <f>IFERROR(__xludf.DUMMYFUNCTION("""COMPUTED_VALUE"""),"")</f>
        <v/>
      </c>
      <c r="R189" s="96" t="str">
        <f>IFERROR(__xludf.DUMMYFUNCTION("""COMPUTED_VALUE"""),"")</f>
        <v/>
      </c>
      <c r="S189" s="97" t="str">
        <f>IFERROR(__xludf.DUMMYFUNCTION("""COMPUTED_VALUE"""),"")</f>
        <v/>
      </c>
      <c r="T189" s="95" t="str">
        <f>IFERROR(__xludf.DUMMYFUNCTION("""COMPUTED_VALUE"""),"")</f>
        <v/>
      </c>
      <c r="U189" s="96" t="str">
        <f>IFERROR(__xludf.DUMMYFUNCTION("""COMPUTED_VALUE"""),"")</f>
        <v/>
      </c>
      <c r="V189" s="97" t="str">
        <f>IFERROR(__xludf.DUMMYFUNCTION("""COMPUTED_VALUE"""),"")</f>
        <v/>
      </c>
      <c r="W189" s="95" t="str">
        <f>IFERROR(__xludf.DUMMYFUNCTION("""COMPUTED_VALUE"""),"")</f>
        <v/>
      </c>
      <c r="X189" s="96" t="str">
        <f>IFERROR(__xludf.DUMMYFUNCTION("""COMPUTED_VALUE"""),"")</f>
        <v/>
      </c>
      <c r="Y189" s="97" t="str">
        <f>IFERROR(__xludf.DUMMYFUNCTION("""COMPUTED_VALUE"""),"")</f>
        <v/>
      </c>
      <c r="Z189" s="95" t="str">
        <f>IFERROR(__xludf.DUMMYFUNCTION("""COMPUTED_VALUE"""),"")</f>
        <v/>
      </c>
      <c r="AA189" s="96" t="str">
        <f>IFERROR(__xludf.DUMMYFUNCTION("""COMPUTED_VALUE"""),"")</f>
        <v/>
      </c>
      <c r="AB189" s="97" t="str">
        <f>IFERROR(__xludf.DUMMYFUNCTION("""COMPUTED_VALUE"""),"")</f>
        <v/>
      </c>
      <c r="AC189" s="95" t="str">
        <f>IFERROR(__xludf.DUMMYFUNCTION("""COMPUTED_VALUE"""),"")</f>
        <v/>
      </c>
      <c r="AD189" s="96" t="str">
        <f>IFERROR(__xludf.DUMMYFUNCTION("""COMPUTED_VALUE"""),"")</f>
        <v/>
      </c>
      <c r="AE189" s="97" t="str">
        <f>IFERROR(__xludf.DUMMYFUNCTION("""COMPUTED_VALUE"""),"")</f>
        <v/>
      </c>
      <c r="AF189" s="95" t="str">
        <f>IFERROR(__xludf.DUMMYFUNCTION("""COMPUTED_VALUE"""),"")</f>
        <v/>
      </c>
      <c r="AG189" s="96" t="str">
        <f>IFERROR(__xludf.DUMMYFUNCTION("""COMPUTED_VALUE"""),"")</f>
        <v/>
      </c>
      <c r="AH189" s="97" t="str">
        <f>IFERROR(__xludf.DUMMYFUNCTION("""COMPUTED_VALUE"""),"")</f>
        <v/>
      </c>
      <c r="AI189" s="166" t="str">
        <f>IFERROR(__xludf.DUMMYFUNCTION("""COMPUTED_VALUE"""),"")</f>
        <v/>
      </c>
      <c r="AJ189" s="167" t="str">
        <f>IFERROR(__xludf.DUMMYFUNCTION("""COMPUTED_VALUE"""),"")</f>
        <v/>
      </c>
      <c r="AK189" s="168" t="str">
        <f>IFERROR(__xludf.DUMMYFUNCTION("""COMPUTED_VALUE"""),"")</f>
        <v/>
      </c>
      <c r="AL189" s="167" t="str">
        <f>IFERROR(__xludf.DUMMYFUNCTION("""COMPUTED_VALUE"""),"")</f>
        <v/>
      </c>
      <c r="AM189" s="167" t="str">
        <f>IFERROR(__xludf.DUMMYFUNCTION("""COMPUTED_VALUE"""),"")</f>
        <v/>
      </c>
      <c r="AN189" s="168" t="str">
        <f>IFERROR(__xludf.DUMMYFUNCTION("""COMPUTED_VALUE"""),"")</f>
        <v/>
      </c>
      <c r="AO189" s="167" t="str">
        <f>IFERROR(__xludf.DUMMYFUNCTION("""COMPUTED_VALUE"""),"")</f>
        <v/>
      </c>
      <c r="AP189" s="167" t="str">
        <f>IFERROR(__xludf.DUMMYFUNCTION("""COMPUTED_VALUE"""),"")</f>
        <v/>
      </c>
      <c r="AQ189" s="168" t="str">
        <f>IFERROR(__xludf.DUMMYFUNCTION("""COMPUTED_VALUE"""),"")</f>
        <v/>
      </c>
      <c r="AR189" s="167" t="str">
        <f>IFERROR(__xludf.DUMMYFUNCTION("""COMPUTED_VALUE"""),"")</f>
        <v/>
      </c>
      <c r="AS189" s="167" t="str">
        <f>IFERROR(__xludf.DUMMYFUNCTION("""COMPUTED_VALUE"""),"")</f>
        <v/>
      </c>
      <c r="AT189" s="168" t="str">
        <f>IFERROR(__xludf.DUMMYFUNCTION("""COMPUTED_VALUE"""),"")</f>
        <v/>
      </c>
      <c r="AU189" s="167" t="str">
        <f>IFERROR(__xludf.DUMMYFUNCTION("""COMPUTED_VALUE"""),"")</f>
        <v/>
      </c>
      <c r="AV189" s="167" t="str">
        <f>IFERROR(__xludf.DUMMYFUNCTION("""COMPUTED_VALUE"""),"")</f>
        <v/>
      </c>
      <c r="AW189" s="168" t="str">
        <f>IFERROR(__xludf.DUMMYFUNCTION("""COMPUTED_VALUE"""),"")</f>
        <v/>
      </c>
      <c r="AX189" s="167" t="str">
        <f>IFERROR(__xludf.DUMMYFUNCTION("""COMPUTED_VALUE"""),"")</f>
        <v/>
      </c>
      <c r="AY189" s="167">
        <f>IFERROR(__xludf.DUMMYFUNCTION("""COMPUTED_VALUE"""),51.9)</f>
        <v>51.9</v>
      </c>
      <c r="AZ189" s="168" t="str">
        <f>IFERROR(__xludf.DUMMYFUNCTION("""COMPUTED_VALUE"""),"")</f>
        <v/>
      </c>
      <c r="BA189" s="167" t="str">
        <f>IFERROR(__xludf.DUMMYFUNCTION("""COMPUTED_VALUE"""),"")</f>
        <v/>
      </c>
      <c r="BB189" s="167">
        <f>IFERROR(__xludf.DUMMYFUNCTION("""COMPUTED_VALUE"""),52.6)</f>
        <v>52.6</v>
      </c>
      <c r="BC189" s="168" t="str">
        <f>IFERROR(__xludf.DUMMYFUNCTION("""COMPUTED_VALUE"""),"")</f>
        <v/>
      </c>
      <c r="BD189" s="167" t="str">
        <f>IFERROR(__xludf.DUMMYFUNCTION("""COMPUTED_VALUE"""),"")</f>
        <v/>
      </c>
      <c r="BE189" s="167" t="str">
        <f>IFERROR(__xludf.DUMMYFUNCTION("""COMPUTED_VALUE"""),"")</f>
        <v/>
      </c>
      <c r="BF189" s="168" t="str">
        <f>IFERROR(__xludf.DUMMYFUNCTION("""COMPUTED_VALUE"""),"")</f>
        <v/>
      </c>
      <c r="BG189" s="166" t="str">
        <f>IFERROR(__xludf.DUMMYFUNCTION("""COMPUTED_VALUE"""),"")</f>
        <v/>
      </c>
      <c r="BH189" s="167" t="str">
        <f>IFERROR(__xludf.DUMMYFUNCTION("""COMPUTED_VALUE"""),"")</f>
        <v/>
      </c>
      <c r="BI189" s="168" t="str">
        <f>IFERROR(__xludf.DUMMYFUNCTION("""COMPUTED_VALUE"""),"")</f>
        <v/>
      </c>
      <c r="BJ189" s="167" t="str">
        <f>IFERROR(__xludf.DUMMYFUNCTION("""COMPUTED_VALUE"""),"")</f>
        <v/>
      </c>
      <c r="BK189" s="167" t="str">
        <f>IFERROR(__xludf.DUMMYFUNCTION("""COMPUTED_VALUE"""),"")</f>
        <v/>
      </c>
      <c r="BL189" s="168" t="str">
        <f>IFERROR(__xludf.DUMMYFUNCTION("""COMPUTED_VALUE"""),"")</f>
        <v/>
      </c>
      <c r="BM189" s="167" t="str">
        <f>IFERROR(__xludf.DUMMYFUNCTION("""COMPUTED_VALUE"""),"")</f>
        <v/>
      </c>
      <c r="BN189" s="167" t="str">
        <f>IFERROR(__xludf.DUMMYFUNCTION("""COMPUTED_VALUE"""),"")</f>
        <v/>
      </c>
      <c r="BO189" s="168" t="str">
        <f>IFERROR(__xludf.DUMMYFUNCTION("""COMPUTED_VALUE"""),"")</f>
        <v/>
      </c>
      <c r="BP189" s="167" t="str">
        <f>IFERROR(__xludf.DUMMYFUNCTION("""COMPUTED_VALUE"""),"")</f>
        <v/>
      </c>
      <c r="BQ189" s="167" t="str">
        <f>IFERROR(__xludf.DUMMYFUNCTION("""COMPUTED_VALUE"""),"")</f>
        <v/>
      </c>
      <c r="BR189" s="168" t="str">
        <f>IFERROR(__xludf.DUMMYFUNCTION("""COMPUTED_VALUE"""),"")</f>
        <v/>
      </c>
      <c r="BS189" s="167">
        <f>IFERROR(__xludf.DUMMYFUNCTION("""COMPUTED_VALUE"""),110.3)</f>
        <v>110.3</v>
      </c>
      <c r="BT189" s="167" t="str">
        <f>IFERROR(__xludf.DUMMYFUNCTION("""COMPUTED_VALUE"""),"")</f>
        <v/>
      </c>
      <c r="BU189" s="168" t="str">
        <f>IFERROR(__xludf.DUMMYFUNCTION("""COMPUTED_VALUE"""),"")</f>
        <v/>
      </c>
      <c r="BV189" s="167">
        <f>IFERROR(__xludf.DUMMYFUNCTION("""COMPUTED_VALUE"""),88.3)</f>
        <v>88.3</v>
      </c>
      <c r="BW189" s="167" t="str">
        <f>IFERROR(__xludf.DUMMYFUNCTION("""COMPUTED_VALUE"""),"")</f>
        <v/>
      </c>
      <c r="BX189" s="168" t="str">
        <f>IFERROR(__xludf.DUMMYFUNCTION("""COMPUTED_VALUE"""),"")</f>
        <v/>
      </c>
      <c r="BY189" s="167" t="str">
        <f>IFERROR(__xludf.DUMMYFUNCTION("""COMPUTED_VALUE"""),"")</f>
        <v/>
      </c>
      <c r="BZ189" s="167" t="str">
        <f>IFERROR(__xludf.DUMMYFUNCTION("""COMPUTED_VALUE"""),"")</f>
        <v/>
      </c>
      <c r="CA189" s="168" t="str">
        <f>IFERROR(__xludf.DUMMYFUNCTION("""COMPUTED_VALUE"""),"")</f>
        <v/>
      </c>
      <c r="CB189" s="166" t="str">
        <f>IFERROR(__xludf.DUMMYFUNCTION("""COMPUTED_VALUE"""),"")</f>
        <v/>
      </c>
      <c r="CC189" s="167" t="str">
        <f>IFERROR(__xludf.DUMMYFUNCTION("""COMPUTED_VALUE"""),"")</f>
        <v/>
      </c>
      <c r="CD189" s="168" t="str">
        <f>IFERROR(__xludf.DUMMYFUNCTION("""COMPUTED_VALUE"""),"")</f>
        <v/>
      </c>
      <c r="CE189" s="167" t="str">
        <f>IFERROR(__xludf.DUMMYFUNCTION("""COMPUTED_VALUE"""),"")</f>
        <v/>
      </c>
      <c r="CF189" s="167" t="str">
        <f>IFERROR(__xludf.DUMMYFUNCTION("""COMPUTED_VALUE"""),"")</f>
        <v/>
      </c>
      <c r="CG189" s="168" t="str">
        <f>IFERROR(__xludf.DUMMYFUNCTION("""COMPUTED_VALUE"""),"")</f>
        <v/>
      </c>
      <c r="CH189" s="167" t="str">
        <f>IFERROR(__xludf.DUMMYFUNCTION("""COMPUTED_VALUE"""),"")</f>
        <v/>
      </c>
      <c r="CI189" s="167" t="str">
        <f>IFERROR(__xludf.DUMMYFUNCTION("""COMPUTED_VALUE"""),"")</f>
        <v/>
      </c>
      <c r="CJ189" s="168" t="str">
        <f>IFERROR(__xludf.DUMMYFUNCTION("""COMPUTED_VALUE"""),"")</f>
        <v/>
      </c>
      <c r="CK189" s="167" t="str">
        <f>IFERROR(__xludf.DUMMYFUNCTION("""COMPUTED_VALUE"""),"")</f>
        <v/>
      </c>
      <c r="CL189" s="167" t="str">
        <f>IFERROR(__xludf.DUMMYFUNCTION("""COMPUTED_VALUE"""),"")</f>
        <v/>
      </c>
      <c r="CM189" s="168" t="str">
        <f>IFERROR(__xludf.DUMMYFUNCTION("""COMPUTED_VALUE"""),"")</f>
        <v/>
      </c>
      <c r="CN189" s="167" t="str">
        <f>IFERROR(__xludf.DUMMYFUNCTION("""COMPUTED_VALUE"""),"")</f>
        <v/>
      </c>
      <c r="CO189" s="167" t="str">
        <f>IFERROR(__xludf.DUMMYFUNCTION("""COMPUTED_VALUE"""),"")</f>
        <v/>
      </c>
      <c r="CP189" s="168" t="str">
        <f>IFERROR(__xludf.DUMMYFUNCTION("""COMPUTED_VALUE"""),"")</f>
        <v/>
      </c>
      <c r="CQ189" s="167" t="str">
        <f>IFERROR(__xludf.DUMMYFUNCTION("""COMPUTED_VALUE"""),"")</f>
        <v/>
      </c>
      <c r="CR189" s="167" t="str">
        <f>IFERROR(__xludf.DUMMYFUNCTION("""COMPUTED_VALUE"""),"")</f>
        <v/>
      </c>
      <c r="CS189" s="168"/>
      <c r="CT189" s="167"/>
      <c r="CU189" s="167"/>
      <c r="CV189" s="168"/>
      <c r="CW189" s="167"/>
      <c r="CX189" s="167"/>
      <c r="CY189" s="168"/>
      <c r="CZ189" s="167"/>
      <c r="DA189" s="167"/>
      <c r="DB189" s="168"/>
      <c r="DC189" s="167"/>
      <c r="DD189" s="167"/>
      <c r="DE189" s="168"/>
      <c r="DF189" s="167"/>
      <c r="DG189" s="167"/>
      <c r="DH189" s="168"/>
      <c r="DI189" s="167"/>
      <c r="DJ189" s="167"/>
      <c r="DK189" s="168"/>
      <c r="DL189" s="167"/>
      <c r="DM189" s="167"/>
      <c r="DN189" s="168"/>
      <c r="DO189" s="167"/>
      <c r="DP189" s="167"/>
      <c r="DQ189" s="168"/>
      <c r="DR189" s="167"/>
      <c r="DS189" s="167"/>
      <c r="DT189" s="168"/>
    </row>
    <row r="190">
      <c r="B190" s="120" t="str">
        <f>IFERROR(__xludf.DUMMYFUNCTION("""COMPUTED_VALUE"""),"ANA8")</f>
        <v>ANA8</v>
      </c>
      <c r="C190" s="82">
        <f>IFERROR(__xludf.DUMMYFUNCTION("""COMPUTED_VALUE"""),185.0)</f>
        <v>185</v>
      </c>
      <c r="D190" s="88" t="str">
        <f>IFERROR(__xludf.DUMMYFUNCTION("""COMPUTED_VALUE"""),"Yaga Demensk")</f>
        <v>Yaga Demensk</v>
      </c>
      <c r="E190" s="82" t="str">
        <f>IFERROR(__xludf.DUMMYFUNCTION("""COMPUTED_VALUE"""),"ヤガ・ジェメンスク")</f>
        <v>ヤガ・ジェメンスク</v>
      </c>
      <c r="F190" s="102">
        <f>IFERROR(__xludf.DUMMYFUNCTION("""COMPUTED_VALUE"""),21.0)</f>
        <v>21</v>
      </c>
      <c r="G190" s="82">
        <f>IFERROR(__xludf.DUMMYFUNCTION("""COMPUTED_VALUE"""),5518.0)</f>
        <v>5518</v>
      </c>
      <c r="H190" s="95" t="str">
        <f>IFERROR(__xludf.DUMMYFUNCTION("""COMPUTED_VALUE"""),"")</f>
        <v/>
      </c>
      <c r="I190" s="96" t="str">
        <f>IFERROR(__xludf.DUMMYFUNCTION("""COMPUTED_VALUE"""),"")</f>
        <v/>
      </c>
      <c r="J190" s="97" t="str">
        <f>IFERROR(__xludf.DUMMYFUNCTION("""COMPUTED_VALUE"""),"")</f>
        <v/>
      </c>
      <c r="K190" s="95" t="str">
        <f>IFERROR(__xludf.DUMMYFUNCTION("""COMPUTED_VALUE"""),"")</f>
        <v/>
      </c>
      <c r="L190" s="96">
        <f>IFERROR(__xludf.DUMMYFUNCTION("""COMPUTED_VALUE"""),99.9)</f>
        <v>99.9</v>
      </c>
      <c r="M190" s="97" t="str">
        <f>IFERROR(__xludf.DUMMYFUNCTION("""COMPUTED_VALUE"""),"")</f>
        <v/>
      </c>
      <c r="N190" s="95" t="str">
        <f>IFERROR(__xludf.DUMMYFUNCTION("""COMPUTED_VALUE"""),"")</f>
        <v/>
      </c>
      <c r="O190" s="96" t="str">
        <f>IFERROR(__xludf.DUMMYFUNCTION("""COMPUTED_VALUE"""),"")</f>
        <v/>
      </c>
      <c r="P190" s="97" t="str">
        <f>IFERROR(__xludf.DUMMYFUNCTION("""COMPUTED_VALUE"""),"")</f>
        <v/>
      </c>
      <c r="Q190" s="95" t="str">
        <f>IFERROR(__xludf.DUMMYFUNCTION("""COMPUTED_VALUE"""),"")</f>
        <v/>
      </c>
      <c r="R190" s="96" t="str">
        <f>IFERROR(__xludf.DUMMYFUNCTION("""COMPUTED_VALUE"""),"")</f>
        <v/>
      </c>
      <c r="S190" s="97" t="str">
        <f>IFERROR(__xludf.DUMMYFUNCTION("""COMPUTED_VALUE"""),"")</f>
        <v/>
      </c>
      <c r="T190" s="95" t="str">
        <f>IFERROR(__xludf.DUMMYFUNCTION("""COMPUTED_VALUE"""),"")</f>
        <v/>
      </c>
      <c r="U190" s="96" t="str">
        <f>IFERROR(__xludf.DUMMYFUNCTION("""COMPUTED_VALUE"""),"")</f>
        <v/>
      </c>
      <c r="V190" s="97" t="str">
        <f>IFERROR(__xludf.DUMMYFUNCTION("""COMPUTED_VALUE"""),"")</f>
        <v/>
      </c>
      <c r="W190" s="95" t="str">
        <f>IFERROR(__xludf.DUMMYFUNCTION("""COMPUTED_VALUE"""),"")</f>
        <v/>
      </c>
      <c r="X190" s="96" t="str">
        <f>IFERROR(__xludf.DUMMYFUNCTION("""COMPUTED_VALUE"""),"")</f>
        <v/>
      </c>
      <c r="Y190" s="97" t="str">
        <f>IFERROR(__xludf.DUMMYFUNCTION("""COMPUTED_VALUE"""),"")</f>
        <v/>
      </c>
      <c r="Z190" s="95" t="str">
        <f>IFERROR(__xludf.DUMMYFUNCTION("""COMPUTED_VALUE"""),"")</f>
        <v/>
      </c>
      <c r="AA190" s="96" t="str">
        <f>IFERROR(__xludf.DUMMYFUNCTION("""COMPUTED_VALUE"""),"")</f>
        <v/>
      </c>
      <c r="AB190" s="97" t="str">
        <f>IFERROR(__xludf.DUMMYFUNCTION("""COMPUTED_VALUE"""),"")</f>
        <v/>
      </c>
      <c r="AC190" s="95" t="str">
        <f>IFERROR(__xludf.DUMMYFUNCTION("""COMPUTED_VALUE"""),"")</f>
        <v/>
      </c>
      <c r="AD190" s="96" t="str">
        <f>IFERROR(__xludf.DUMMYFUNCTION("""COMPUTED_VALUE"""),"")</f>
        <v/>
      </c>
      <c r="AE190" s="97" t="str">
        <f>IFERROR(__xludf.DUMMYFUNCTION("""COMPUTED_VALUE"""),"")</f>
        <v/>
      </c>
      <c r="AF190" s="95" t="str">
        <f>IFERROR(__xludf.DUMMYFUNCTION("""COMPUTED_VALUE"""),"")</f>
        <v/>
      </c>
      <c r="AG190" s="96" t="str">
        <f>IFERROR(__xludf.DUMMYFUNCTION("""COMPUTED_VALUE"""),"")</f>
        <v/>
      </c>
      <c r="AH190" s="97" t="str">
        <f>IFERROR(__xludf.DUMMYFUNCTION("""COMPUTED_VALUE"""),"")</f>
        <v/>
      </c>
      <c r="AI190" s="92" t="str">
        <f>IFERROR(__xludf.DUMMYFUNCTION("""COMPUTED_VALUE"""),"")</f>
        <v/>
      </c>
      <c r="AJ190" s="93" t="str">
        <f>IFERROR(__xludf.DUMMYFUNCTION("""COMPUTED_VALUE"""),"")</f>
        <v/>
      </c>
      <c r="AK190" s="94" t="str">
        <f>IFERROR(__xludf.DUMMYFUNCTION("""COMPUTED_VALUE"""),"")</f>
        <v/>
      </c>
      <c r="AL190" s="93">
        <f>IFERROR(__xludf.DUMMYFUNCTION("""COMPUTED_VALUE"""),81.0)</f>
        <v>81</v>
      </c>
      <c r="AM190" s="93" t="str">
        <f>IFERROR(__xludf.DUMMYFUNCTION("""COMPUTED_VALUE"""),"")</f>
        <v/>
      </c>
      <c r="AN190" s="94" t="str">
        <f>IFERROR(__xludf.DUMMYFUNCTION("""COMPUTED_VALUE"""),"")</f>
        <v/>
      </c>
      <c r="AO190" s="93" t="str">
        <f>IFERROR(__xludf.DUMMYFUNCTION("""COMPUTED_VALUE"""),"")</f>
        <v/>
      </c>
      <c r="AP190" s="93" t="str">
        <f>IFERROR(__xludf.DUMMYFUNCTION("""COMPUTED_VALUE"""),"")</f>
        <v/>
      </c>
      <c r="AQ190" s="94" t="str">
        <f>IFERROR(__xludf.DUMMYFUNCTION("""COMPUTED_VALUE"""),"")</f>
        <v/>
      </c>
      <c r="AR190" s="93" t="str">
        <f>IFERROR(__xludf.DUMMYFUNCTION("""COMPUTED_VALUE"""),"")</f>
        <v/>
      </c>
      <c r="AS190" s="93" t="str">
        <f>IFERROR(__xludf.DUMMYFUNCTION("""COMPUTED_VALUE"""),"")</f>
        <v/>
      </c>
      <c r="AT190" s="94" t="str">
        <f>IFERROR(__xludf.DUMMYFUNCTION("""COMPUTED_VALUE"""),"")</f>
        <v/>
      </c>
      <c r="AU190" s="93" t="str">
        <f>IFERROR(__xludf.DUMMYFUNCTION("""COMPUTED_VALUE"""),"")</f>
        <v/>
      </c>
      <c r="AV190" s="93" t="str">
        <f>IFERROR(__xludf.DUMMYFUNCTION("""COMPUTED_VALUE"""),"")</f>
        <v/>
      </c>
      <c r="AW190" s="94" t="str">
        <f>IFERROR(__xludf.DUMMYFUNCTION("""COMPUTED_VALUE"""),"")</f>
        <v/>
      </c>
      <c r="AX190" s="93" t="str">
        <f>IFERROR(__xludf.DUMMYFUNCTION("""COMPUTED_VALUE"""),"")</f>
        <v/>
      </c>
      <c r="AY190" s="93" t="str">
        <f>IFERROR(__xludf.DUMMYFUNCTION("""COMPUTED_VALUE"""),"")</f>
        <v/>
      </c>
      <c r="AZ190" s="94" t="str">
        <f>IFERROR(__xludf.DUMMYFUNCTION("""COMPUTED_VALUE"""),"")</f>
        <v/>
      </c>
      <c r="BA190" s="93" t="str">
        <f>IFERROR(__xludf.DUMMYFUNCTION("""COMPUTED_VALUE"""),"")</f>
        <v/>
      </c>
      <c r="BB190" s="93" t="str">
        <f>IFERROR(__xludf.DUMMYFUNCTION("""COMPUTED_VALUE"""),"")</f>
        <v/>
      </c>
      <c r="BC190" s="94" t="str">
        <f>IFERROR(__xludf.DUMMYFUNCTION("""COMPUTED_VALUE"""),"")</f>
        <v/>
      </c>
      <c r="BD190" s="93" t="str">
        <f>IFERROR(__xludf.DUMMYFUNCTION("""COMPUTED_VALUE"""),"")</f>
        <v/>
      </c>
      <c r="BE190" s="93" t="str">
        <f>IFERROR(__xludf.DUMMYFUNCTION("""COMPUTED_VALUE"""),"")</f>
        <v/>
      </c>
      <c r="BF190" s="94" t="str">
        <f>IFERROR(__xludf.DUMMYFUNCTION("""COMPUTED_VALUE"""),"")</f>
        <v/>
      </c>
      <c r="BG190" s="92" t="str">
        <f>IFERROR(__xludf.DUMMYFUNCTION("""COMPUTED_VALUE"""),"")</f>
        <v/>
      </c>
      <c r="BH190" s="93" t="str">
        <f>IFERROR(__xludf.DUMMYFUNCTION("""COMPUTED_VALUE"""),"")</f>
        <v/>
      </c>
      <c r="BI190" s="94" t="str">
        <f>IFERROR(__xludf.DUMMYFUNCTION("""COMPUTED_VALUE"""),"")</f>
        <v/>
      </c>
      <c r="BJ190" s="93" t="str">
        <f>IFERROR(__xludf.DUMMYFUNCTION("""COMPUTED_VALUE"""),"")</f>
        <v/>
      </c>
      <c r="BK190" s="93" t="str">
        <f>IFERROR(__xludf.DUMMYFUNCTION("""COMPUTED_VALUE"""),"")</f>
        <v/>
      </c>
      <c r="BL190" s="94">
        <f>IFERROR(__xludf.DUMMYFUNCTION("""COMPUTED_VALUE"""),255.8)</f>
        <v>255.8</v>
      </c>
      <c r="BM190" s="93" t="str">
        <f>IFERROR(__xludf.DUMMYFUNCTION("""COMPUTED_VALUE"""),"")</f>
        <v/>
      </c>
      <c r="BN190" s="93" t="str">
        <f>IFERROR(__xludf.DUMMYFUNCTION("""COMPUTED_VALUE"""),"")</f>
        <v/>
      </c>
      <c r="BO190" s="94">
        <f>IFERROR(__xludf.DUMMYFUNCTION("""COMPUTED_VALUE"""),52.5)</f>
        <v>52.5</v>
      </c>
      <c r="BP190" s="93" t="str">
        <f>IFERROR(__xludf.DUMMYFUNCTION("""COMPUTED_VALUE"""),"")</f>
        <v/>
      </c>
      <c r="BQ190" s="93" t="str">
        <f>IFERROR(__xludf.DUMMYFUNCTION("""COMPUTED_VALUE"""),"")</f>
        <v/>
      </c>
      <c r="BR190" s="94" t="str">
        <f>IFERROR(__xludf.DUMMYFUNCTION("""COMPUTED_VALUE"""),"")</f>
        <v/>
      </c>
      <c r="BS190" s="93" t="str">
        <f>IFERROR(__xludf.DUMMYFUNCTION("""COMPUTED_VALUE"""),"")</f>
        <v/>
      </c>
      <c r="BT190" s="93" t="str">
        <f>IFERROR(__xludf.DUMMYFUNCTION("""COMPUTED_VALUE"""),"")</f>
        <v/>
      </c>
      <c r="BU190" s="94" t="str">
        <f>IFERROR(__xludf.DUMMYFUNCTION("""COMPUTED_VALUE"""),"")</f>
        <v/>
      </c>
      <c r="BV190" s="93" t="str">
        <f>IFERROR(__xludf.DUMMYFUNCTION("""COMPUTED_VALUE"""),"")</f>
        <v/>
      </c>
      <c r="BW190" s="93" t="str">
        <f>IFERROR(__xludf.DUMMYFUNCTION("""COMPUTED_VALUE"""),"")</f>
        <v/>
      </c>
      <c r="BX190" s="94" t="str">
        <f>IFERROR(__xludf.DUMMYFUNCTION("""COMPUTED_VALUE"""),"")</f>
        <v/>
      </c>
      <c r="BY190" s="93" t="str">
        <f>IFERROR(__xludf.DUMMYFUNCTION("""COMPUTED_VALUE"""),"")</f>
        <v/>
      </c>
      <c r="BZ190" s="93" t="str">
        <f>IFERROR(__xludf.DUMMYFUNCTION("""COMPUTED_VALUE"""),"")</f>
        <v/>
      </c>
      <c r="CA190" s="94" t="str">
        <f>IFERROR(__xludf.DUMMYFUNCTION("""COMPUTED_VALUE"""),"")</f>
        <v/>
      </c>
      <c r="CB190" s="92" t="str">
        <f>IFERROR(__xludf.DUMMYFUNCTION("""COMPUTED_VALUE"""),"")</f>
        <v/>
      </c>
      <c r="CC190" s="93" t="str">
        <f>IFERROR(__xludf.DUMMYFUNCTION("""COMPUTED_VALUE"""),"")</f>
        <v/>
      </c>
      <c r="CD190" s="94" t="str">
        <f>IFERROR(__xludf.DUMMYFUNCTION("""COMPUTED_VALUE"""),"")</f>
        <v/>
      </c>
      <c r="CE190" s="93" t="str">
        <f>IFERROR(__xludf.DUMMYFUNCTION("""COMPUTED_VALUE"""),"")</f>
        <v/>
      </c>
      <c r="CF190" s="93" t="str">
        <f>IFERROR(__xludf.DUMMYFUNCTION("""COMPUTED_VALUE"""),"")</f>
        <v/>
      </c>
      <c r="CG190" s="94" t="str">
        <f>IFERROR(__xludf.DUMMYFUNCTION("""COMPUTED_VALUE"""),"")</f>
        <v/>
      </c>
      <c r="CH190" s="93" t="str">
        <f>IFERROR(__xludf.DUMMYFUNCTION("""COMPUTED_VALUE"""),"")</f>
        <v/>
      </c>
      <c r="CI190" s="93" t="str">
        <f>IFERROR(__xludf.DUMMYFUNCTION("""COMPUTED_VALUE"""),"")</f>
        <v/>
      </c>
      <c r="CJ190" s="94" t="str">
        <f>IFERROR(__xludf.DUMMYFUNCTION("""COMPUTED_VALUE"""),"")</f>
        <v/>
      </c>
      <c r="CK190" s="93" t="str">
        <f>IFERROR(__xludf.DUMMYFUNCTION("""COMPUTED_VALUE"""),"")</f>
        <v/>
      </c>
      <c r="CL190" s="93" t="str">
        <f>IFERROR(__xludf.DUMMYFUNCTION("""COMPUTED_VALUE"""),"")</f>
        <v/>
      </c>
      <c r="CM190" s="94" t="str">
        <f>IFERROR(__xludf.DUMMYFUNCTION("""COMPUTED_VALUE"""),"")</f>
        <v/>
      </c>
      <c r="CN190" s="93">
        <f>IFERROR(__xludf.DUMMYFUNCTION("""COMPUTED_VALUE"""),662.2)</f>
        <v>662.2</v>
      </c>
      <c r="CO190" s="93" t="str">
        <f>IFERROR(__xludf.DUMMYFUNCTION("""COMPUTED_VALUE"""),"")</f>
        <v/>
      </c>
      <c r="CP190" s="94" t="str">
        <f>IFERROR(__xludf.DUMMYFUNCTION("""COMPUTED_VALUE"""),"")</f>
        <v/>
      </c>
      <c r="CQ190" s="93" t="str">
        <f>IFERROR(__xludf.DUMMYFUNCTION("""COMPUTED_VALUE"""),"")</f>
        <v/>
      </c>
      <c r="CR190" s="93" t="str">
        <f>IFERROR(__xludf.DUMMYFUNCTION("""COMPUTED_VALUE"""),"")</f>
        <v/>
      </c>
      <c r="CS190" s="94"/>
      <c r="CT190" s="93"/>
      <c r="CU190" s="93"/>
      <c r="CV190" s="94"/>
      <c r="CW190" s="93"/>
      <c r="CX190" s="93"/>
      <c r="CY190" s="94"/>
      <c r="CZ190" s="93"/>
      <c r="DA190" s="93"/>
      <c r="DB190" s="94"/>
      <c r="DC190" s="93"/>
      <c r="DD190" s="93"/>
      <c r="DE190" s="94"/>
      <c r="DF190" s="93"/>
      <c r="DG190" s="93"/>
      <c r="DH190" s="94"/>
      <c r="DI190" s="93"/>
      <c r="DJ190" s="93"/>
      <c r="DK190" s="94"/>
      <c r="DL190" s="93"/>
      <c r="DM190" s="93"/>
      <c r="DN190" s="94"/>
      <c r="DO190" s="93"/>
      <c r="DP190" s="93"/>
      <c r="DQ190" s="94"/>
      <c r="DR190" s="93"/>
      <c r="DS190" s="93"/>
      <c r="DT190" s="94"/>
    </row>
    <row r="191">
      <c r="B191" s="120" t="str">
        <f>IFERROR(__xludf.DUMMYFUNCTION("""COMPUTED_VALUE"""),"ANA9")</f>
        <v>ANA9</v>
      </c>
      <c r="C191" s="82">
        <f>IFERROR(__xludf.DUMMYFUNCTION("""COMPUTED_VALUE"""),186.0)</f>
        <v>186</v>
      </c>
      <c r="D191" s="88" t="str">
        <f>IFERROR(__xludf.DUMMYFUNCTION("""COMPUTED_VALUE"""),"Yaga Tula")</f>
        <v>Yaga Tula</v>
      </c>
      <c r="E191" s="82" t="str">
        <f>IFERROR(__xludf.DUMMYFUNCTION("""COMPUTED_VALUE"""),"ヤガ・トゥーラ")</f>
        <v>ヤガ・トゥーラ</v>
      </c>
      <c r="F191" s="102">
        <f>IFERROR(__xludf.DUMMYFUNCTION("""COMPUTED_VALUE"""),21.0)</f>
        <v>21</v>
      </c>
      <c r="G191" s="82">
        <f>IFERROR(__xludf.DUMMYFUNCTION("""COMPUTED_VALUE"""),32304.0)</f>
        <v>32304</v>
      </c>
      <c r="H191" s="95" t="str">
        <f>IFERROR(__xludf.DUMMYFUNCTION("""COMPUTED_VALUE"""),"")</f>
        <v/>
      </c>
      <c r="I191" s="96" t="str">
        <f>IFERROR(__xludf.DUMMYFUNCTION("""COMPUTED_VALUE"""),"")</f>
        <v/>
      </c>
      <c r="J191" s="97" t="str">
        <f>IFERROR(__xludf.DUMMYFUNCTION("""COMPUTED_VALUE"""),"")</f>
        <v/>
      </c>
      <c r="K191" s="95" t="str">
        <f>IFERROR(__xludf.DUMMYFUNCTION("""COMPUTED_VALUE"""),"")</f>
        <v/>
      </c>
      <c r="L191" s="96" t="str">
        <f>IFERROR(__xludf.DUMMYFUNCTION("""COMPUTED_VALUE"""),"")</f>
        <v/>
      </c>
      <c r="M191" s="97" t="str">
        <f>IFERROR(__xludf.DUMMYFUNCTION("""COMPUTED_VALUE"""),"")</f>
        <v/>
      </c>
      <c r="N191" s="95" t="str">
        <f>IFERROR(__xludf.DUMMYFUNCTION("""COMPUTED_VALUE"""),"")</f>
        <v/>
      </c>
      <c r="O191" s="96" t="str">
        <f>IFERROR(__xludf.DUMMYFUNCTION("""COMPUTED_VALUE"""),"")</f>
        <v/>
      </c>
      <c r="P191" s="97" t="str">
        <f>IFERROR(__xludf.DUMMYFUNCTION("""COMPUTED_VALUE"""),"")</f>
        <v/>
      </c>
      <c r="Q191" s="95" t="str">
        <f>IFERROR(__xludf.DUMMYFUNCTION("""COMPUTED_VALUE"""),"")</f>
        <v/>
      </c>
      <c r="R191" s="96" t="str">
        <f>IFERROR(__xludf.DUMMYFUNCTION("""COMPUTED_VALUE"""),"")</f>
        <v/>
      </c>
      <c r="S191" s="97" t="str">
        <f>IFERROR(__xludf.DUMMYFUNCTION("""COMPUTED_VALUE"""),"")</f>
        <v/>
      </c>
      <c r="T191" s="95" t="str">
        <f>IFERROR(__xludf.DUMMYFUNCTION("""COMPUTED_VALUE"""),"")</f>
        <v/>
      </c>
      <c r="U191" s="96" t="str">
        <f>IFERROR(__xludf.DUMMYFUNCTION("""COMPUTED_VALUE"""),"")</f>
        <v/>
      </c>
      <c r="V191" s="97" t="str">
        <f>IFERROR(__xludf.DUMMYFUNCTION("""COMPUTED_VALUE"""),"")</f>
        <v/>
      </c>
      <c r="W191" s="95" t="str">
        <f>IFERROR(__xludf.DUMMYFUNCTION("""COMPUTED_VALUE"""),"")</f>
        <v/>
      </c>
      <c r="X191" s="96" t="str">
        <f>IFERROR(__xludf.DUMMYFUNCTION("""COMPUTED_VALUE"""),"")</f>
        <v/>
      </c>
      <c r="Y191" s="97" t="str">
        <f>IFERROR(__xludf.DUMMYFUNCTION("""COMPUTED_VALUE"""),"")</f>
        <v/>
      </c>
      <c r="Z191" s="95" t="str">
        <f>IFERROR(__xludf.DUMMYFUNCTION("""COMPUTED_VALUE"""),"")</f>
        <v/>
      </c>
      <c r="AA191" s="96" t="str">
        <f>IFERROR(__xludf.DUMMYFUNCTION("""COMPUTED_VALUE"""),"")</f>
        <v/>
      </c>
      <c r="AB191" s="97" t="str">
        <f>IFERROR(__xludf.DUMMYFUNCTION("""COMPUTED_VALUE"""),"")</f>
        <v/>
      </c>
      <c r="AC191" s="95" t="str">
        <f>IFERROR(__xludf.DUMMYFUNCTION("""COMPUTED_VALUE"""),"")</f>
        <v/>
      </c>
      <c r="AD191" s="96" t="str">
        <f>IFERROR(__xludf.DUMMYFUNCTION("""COMPUTED_VALUE"""),"")</f>
        <v/>
      </c>
      <c r="AE191" s="97" t="str">
        <f>IFERROR(__xludf.DUMMYFUNCTION("""COMPUTED_VALUE"""),"")</f>
        <v/>
      </c>
      <c r="AF191" s="95" t="str">
        <f>IFERROR(__xludf.DUMMYFUNCTION("""COMPUTED_VALUE"""),"")</f>
        <v/>
      </c>
      <c r="AG191" s="96" t="str">
        <f>IFERROR(__xludf.DUMMYFUNCTION("""COMPUTED_VALUE"""),"")</f>
        <v/>
      </c>
      <c r="AH191" s="97" t="str">
        <f>IFERROR(__xludf.DUMMYFUNCTION("""COMPUTED_VALUE"""),"")</f>
        <v/>
      </c>
      <c r="AI191" s="166" t="str">
        <f>IFERROR(__xludf.DUMMYFUNCTION("""COMPUTED_VALUE"""),"")</f>
        <v/>
      </c>
      <c r="AJ191" s="167" t="str">
        <f>IFERROR(__xludf.DUMMYFUNCTION("""COMPUTED_VALUE"""),"")</f>
        <v/>
      </c>
      <c r="AK191" s="168" t="str">
        <f>IFERROR(__xludf.DUMMYFUNCTION("""COMPUTED_VALUE"""),"")</f>
        <v/>
      </c>
      <c r="AL191" s="167">
        <f>IFERROR(__xludf.DUMMYFUNCTION("""COMPUTED_VALUE"""),103.7)</f>
        <v>103.7</v>
      </c>
      <c r="AM191" s="167" t="str">
        <f>IFERROR(__xludf.DUMMYFUNCTION("""COMPUTED_VALUE"""),"")</f>
        <v/>
      </c>
      <c r="AN191" s="168" t="str">
        <f>IFERROR(__xludf.DUMMYFUNCTION("""COMPUTED_VALUE"""),"")</f>
        <v/>
      </c>
      <c r="AO191" s="167" t="str">
        <f>IFERROR(__xludf.DUMMYFUNCTION("""COMPUTED_VALUE"""),"")</f>
        <v/>
      </c>
      <c r="AP191" s="167" t="str">
        <f>IFERROR(__xludf.DUMMYFUNCTION("""COMPUTED_VALUE"""),"")</f>
        <v/>
      </c>
      <c r="AQ191" s="168" t="str">
        <f>IFERROR(__xludf.DUMMYFUNCTION("""COMPUTED_VALUE"""),"")</f>
        <v/>
      </c>
      <c r="AR191" s="167" t="str">
        <f>IFERROR(__xludf.DUMMYFUNCTION("""COMPUTED_VALUE"""),"")</f>
        <v/>
      </c>
      <c r="AS191" s="167" t="str">
        <f>IFERROR(__xludf.DUMMYFUNCTION("""COMPUTED_VALUE"""),"")</f>
        <v/>
      </c>
      <c r="AT191" s="168" t="str">
        <f>IFERROR(__xludf.DUMMYFUNCTION("""COMPUTED_VALUE"""),"")</f>
        <v/>
      </c>
      <c r="AU191" s="167" t="str">
        <f>IFERROR(__xludf.DUMMYFUNCTION("""COMPUTED_VALUE"""),"")</f>
        <v/>
      </c>
      <c r="AV191" s="167" t="str">
        <f>IFERROR(__xludf.DUMMYFUNCTION("""COMPUTED_VALUE"""),"")</f>
        <v/>
      </c>
      <c r="AW191" s="168">
        <f>IFERROR(__xludf.DUMMYFUNCTION("""COMPUTED_VALUE"""),71.0)</f>
        <v>71</v>
      </c>
      <c r="AX191" s="167" t="str">
        <f>IFERROR(__xludf.DUMMYFUNCTION("""COMPUTED_VALUE"""),"")</f>
        <v/>
      </c>
      <c r="AY191" s="167" t="str">
        <f>IFERROR(__xludf.DUMMYFUNCTION("""COMPUTED_VALUE"""),"")</f>
        <v/>
      </c>
      <c r="AZ191" s="168" t="str">
        <f>IFERROR(__xludf.DUMMYFUNCTION("""COMPUTED_VALUE"""),"")</f>
        <v/>
      </c>
      <c r="BA191" s="167" t="str">
        <f>IFERROR(__xludf.DUMMYFUNCTION("""COMPUTED_VALUE"""),"")</f>
        <v/>
      </c>
      <c r="BB191" s="167">
        <f>IFERROR(__xludf.DUMMYFUNCTION("""COMPUTED_VALUE"""),69.6)</f>
        <v>69.6</v>
      </c>
      <c r="BC191" s="168" t="str">
        <f>IFERROR(__xludf.DUMMYFUNCTION("""COMPUTED_VALUE"""),"")</f>
        <v/>
      </c>
      <c r="BD191" s="167" t="str">
        <f>IFERROR(__xludf.DUMMYFUNCTION("""COMPUTED_VALUE"""),"")</f>
        <v/>
      </c>
      <c r="BE191" s="167" t="str">
        <f>IFERROR(__xludf.DUMMYFUNCTION("""COMPUTED_VALUE"""),"")</f>
        <v/>
      </c>
      <c r="BF191" s="168" t="str">
        <f>IFERROR(__xludf.DUMMYFUNCTION("""COMPUTED_VALUE"""),"")</f>
        <v/>
      </c>
      <c r="BG191" s="166" t="str">
        <f>IFERROR(__xludf.DUMMYFUNCTION("""COMPUTED_VALUE"""),"")</f>
        <v/>
      </c>
      <c r="BH191" s="167" t="str">
        <f>IFERROR(__xludf.DUMMYFUNCTION("""COMPUTED_VALUE"""),"")</f>
        <v/>
      </c>
      <c r="BI191" s="168" t="str">
        <f>IFERROR(__xludf.DUMMYFUNCTION("""COMPUTED_VALUE"""),"")</f>
        <v/>
      </c>
      <c r="BJ191" s="167" t="str">
        <f>IFERROR(__xludf.DUMMYFUNCTION("""COMPUTED_VALUE"""),"")</f>
        <v/>
      </c>
      <c r="BK191" s="167" t="str">
        <f>IFERROR(__xludf.DUMMYFUNCTION("""COMPUTED_VALUE"""),"")</f>
        <v/>
      </c>
      <c r="BL191" s="168" t="str">
        <f>IFERROR(__xludf.DUMMYFUNCTION("""COMPUTED_VALUE"""),"")</f>
        <v/>
      </c>
      <c r="BM191" s="167" t="str">
        <f>IFERROR(__xludf.DUMMYFUNCTION("""COMPUTED_VALUE"""),"")</f>
        <v/>
      </c>
      <c r="BN191" s="167" t="str">
        <f>IFERROR(__xludf.DUMMYFUNCTION("""COMPUTED_VALUE"""),"")</f>
        <v/>
      </c>
      <c r="BO191" s="168">
        <f>IFERROR(__xludf.DUMMYFUNCTION("""COMPUTED_VALUE"""),84.2)</f>
        <v>84.2</v>
      </c>
      <c r="BP191" s="167" t="str">
        <f>IFERROR(__xludf.DUMMYFUNCTION("""COMPUTED_VALUE"""),"")</f>
        <v/>
      </c>
      <c r="BQ191" s="167" t="str">
        <f>IFERROR(__xludf.DUMMYFUNCTION("""COMPUTED_VALUE"""),"")</f>
        <v/>
      </c>
      <c r="BR191" s="168">
        <f>IFERROR(__xludf.DUMMYFUNCTION("""COMPUTED_VALUE"""),139.4)</f>
        <v>139.4</v>
      </c>
      <c r="BS191" s="167" t="str">
        <f>IFERROR(__xludf.DUMMYFUNCTION("""COMPUTED_VALUE"""),"")</f>
        <v/>
      </c>
      <c r="BT191" s="167" t="str">
        <f>IFERROR(__xludf.DUMMYFUNCTION("""COMPUTED_VALUE"""),"")</f>
        <v/>
      </c>
      <c r="BU191" s="168" t="str">
        <f>IFERROR(__xludf.DUMMYFUNCTION("""COMPUTED_VALUE"""),"")</f>
        <v/>
      </c>
      <c r="BV191" s="167" t="str">
        <f>IFERROR(__xludf.DUMMYFUNCTION("""COMPUTED_VALUE"""),"")</f>
        <v/>
      </c>
      <c r="BW191" s="167" t="str">
        <f>IFERROR(__xludf.DUMMYFUNCTION("""COMPUTED_VALUE"""),"")</f>
        <v/>
      </c>
      <c r="BX191" s="168" t="str">
        <f>IFERROR(__xludf.DUMMYFUNCTION("""COMPUTED_VALUE"""),"")</f>
        <v/>
      </c>
      <c r="BY191" s="167" t="str">
        <f>IFERROR(__xludf.DUMMYFUNCTION("""COMPUTED_VALUE"""),"")</f>
        <v/>
      </c>
      <c r="BZ191" s="167" t="str">
        <f>IFERROR(__xludf.DUMMYFUNCTION("""COMPUTED_VALUE"""),"")</f>
        <v/>
      </c>
      <c r="CA191" s="168" t="str">
        <f>IFERROR(__xludf.DUMMYFUNCTION("""COMPUTED_VALUE"""),"")</f>
        <v/>
      </c>
      <c r="CB191" s="166" t="str">
        <f>IFERROR(__xludf.DUMMYFUNCTION("""COMPUTED_VALUE"""),"")</f>
        <v/>
      </c>
      <c r="CC191" s="167" t="str">
        <f>IFERROR(__xludf.DUMMYFUNCTION("""COMPUTED_VALUE"""),"")</f>
        <v/>
      </c>
      <c r="CD191" s="168" t="str">
        <f>IFERROR(__xludf.DUMMYFUNCTION("""COMPUTED_VALUE"""),"")</f>
        <v/>
      </c>
      <c r="CE191" s="167" t="str">
        <f>IFERROR(__xludf.DUMMYFUNCTION("""COMPUTED_VALUE"""),"")</f>
        <v/>
      </c>
      <c r="CF191" s="167" t="str">
        <f>IFERROR(__xludf.DUMMYFUNCTION("""COMPUTED_VALUE"""),"")</f>
        <v/>
      </c>
      <c r="CG191" s="168" t="str">
        <f>IFERROR(__xludf.DUMMYFUNCTION("""COMPUTED_VALUE"""),"")</f>
        <v/>
      </c>
      <c r="CH191" s="167" t="str">
        <f>IFERROR(__xludf.DUMMYFUNCTION("""COMPUTED_VALUE"""),"")</f>
        <v/>
      </c>
      <c r="CI191" s="167" t="str">
        <f>IFERROR(__xludf.DUMMYFUNCTION("""COMPUTED_VALUE"""),"")</f>
        <v/>
      </c>
      <c r="CJ191" s="168" t="str">
        <f>IFERROR(__xludf.DUMMYFUNCTION("""COMPUTED_VALUE"""),"")</f>
        <v/>
      </c>
      <c r="CK191" s="167" t="str">
        <f>IFERROR(__xludf.DUMMYFUNCTION("""COMPUTED_VALUE"""),"")</f>
        <v/>
      </c>
      <c r="CL191" s="167" t="str">
        <f>IFERROR(__xludf.DUMMYFUNCTION("""COMPUTED_VALUE"""),"")</f>
        <v/>
      </c>
      <c r="CM191" s="168" t="str">
        <f>IFERROR(__xludf.DUMMYFUNCTION("""COMPUTED_VALUE"""),"")</f>
        <v/>
      </c>
      <c r="CN191" s="167" t="str">
        <f>IFERROR(__xludf.DUMMYFUNCTION("""COMPUTED_VALUE"""),"")</f>
        <v/>
      </c>
      <c r="CO191" s="167" t="str">
        <f>IFERROR(__xludf.DUMMYFUNCTION("""COMPUTED_VALUE"""),"")</f>
        <v/>
      </c>
      <c r="CP191" s="168" t="str">
        <f>IFERROR(__xludf.DUMMYFUNCTION("""COMPUTED_VALUE"""),"")</f>
        <v/>
      </c>
      <c r="CQ191" s="167" t="str">
        <f>IFERROR(__xludf.DUMMYFUNCTION("""COMPUTED_VALUE"""),"")</f>
        <v/>
      </c>
      <c r="CR191" s="167" t="str">
        <f>IFERROR(__xludf.DUMMYFUNCTION("""COMPUTED_VALUE"""),"")</f>
        <v/>
      </c>
      <c r="CS191" s="168"/>
      <c r="CT191" s="167"/>
      <c r="CU191" s="167"/>
      <c r="CV191" s="168"/>
      <c r="CW191" s="167"/>
      <c r="CX191" s="167"/>
      <c r="CY191" s="168"/>
      <c r="CZ191" s="167"/>
      <c r="DA191" s="167"/>
      <c r="DB191" s="168"/>
      <c r="DC191" s="167"/>
      <c r="DD191" s="167"/>
      <c r="DE191" s="168"/>
      <c r="DF191" s="167"/>
      <c r="DG191" s="167"/>
      <c r="DH191" s="168"/>
      <c r="DI191" s="167"/>
      <c r="DJ191" s="167"/>
      <c r="DK191" s="168"/>
      <c r="DL191" s="167"/>
      <c r="DM191" s="167"/>
      <c r="DN191" s="168"/>
      <c r="DO191" s="167"/>
      <c r="DP191" s="167"/>
      <c r="DQ191" s="168"/>
      <c r="DR191" s="167"/>
      <c r="DS191" s="167"/>
      <c r="DT191" s="168"/>
    </row>
    <row r="192">
      <c r="B192" s="120" t="str">
        <f>IFERROR(__xludf.DUMMYFUNCTION("""COMPUTED_VALUE"""),"ANA10")</f>
        <v>ANA10</v>
      </c>
      <c r="C192" s="82">
        <f>IFERROR(__xludf.DUMMYFUNCTION("""COMPUTED_VALUE"""),187.0)</f>
        <v>187</v>
      </c>
      <c r="D192" s="88" t="str">
        <f>IFERROR(__xludf.DUMMYFUNCTION("""COMPUTED_VALUE"""),"Crushed Village")</f>
        <v>Crushed Village</v>
      </c>
      <c r="E192" s="82" t="str">
        <f>IFERROR(__xludf.DUMMYFUNCTION("""COMPUTED_VALUE"""),"潰れた村")</f>
        <v>潰れた村</v>
      </c>
      <c r="F192" s="102">
        <f>IFERROR(__xludf.DUMMYFUNCTION("""COMPUTED_VALUE"""),21.0)</f>
        <v>21</v>
      </c>
      <c r="G192" s="82">
        <f>IFERROR(__xludf.DUMMYFUNCTION("""COMPUTED_VALUE"""),17891.0)</f>
        <v>17891</v>
      </c>
      <c r="H192" s="95" t="str">
        <f>IFERROR(__xludf.DUMMYFUNCTION("""COMPUTED_VALUE"""),"")</f>
        <v/>
      </c>
      <c r="I192" s="96" t="str">
        <f>IFERROR(__xludf.DUMMYFUNCTION("""COMPUTED_VALUE"""),"")</f>
        <v/>
      </c>
      <c r="J192" s="97" t="str">
        <f>IFERROR(__xludf.DUMMYFUNCTION("""COMPUTED_VALUE"""),"")</f>
        <v/>
      </c>
      <c r="K192" s="95" t="str">
        <f>IFERROR(__xludf.DUMMYFUNCTION("""COMPUTED_VALUE"""),"")</f>
        <v/>
      </c>
      <c r="L192" s="96" t="str">
        <f>IFERROR(__xludf.DUMMYFUNCTION("""COMPUTED_VALUE"""),"")</f>
        <v/>
      </c>
      <c r="M192" s="97" t="str">
        <f>IFERROR(__xludf.DUMMYFUNCTION("""COMPUTED_VALUE"""),"")</f>
        <v/>
      </c>
      <c r="N192" s="95" t="str">
        <f>IFERROR(__xludf.DUMMYFUNCTION("""COMPUTED_VALUE"""),"")</f>
        <v/>
      </c>
      <c r="O192" s="96" t="str">
        <f>IFERROR(__xludf.DUMMYFUNCTION("""COMPUTED_VALUE"""),"")</f>
        <v/>
      </c>
      <c r="P192" s="97" t="str">
        <f>IFERROR(__xludf.DUMMYFUNCTION("""COMPUTED_VALUE"""),"")</f>
        <v/>
      </c>
      <c r="Q192" s="95" t="str">
        <f>IFERROR(__xludf.DUMMYFUNCTION("""COMPUTED_VALUE"""),"")</f>
        <v/>
      </c>
      <c r="R192" s="96" t="str">
        <f>IFERROR(__xludf.DUMMYFUNCTION("""COMPUTED_VALUE"""),"")</f>
        <v/>
      </c>
      <c r="S192" s="97" t="str">
        <f>IFERROR(__xludf.DUMMYFUNCTION("""COMPUTED_VALUE"""),"")</f>
        <v/>
      </c>
      <c r="T192" s="95" t="str">
        <f>IFERROR(__xludf.DUMMYFUNCTION("""COMPUTED_VALUE"""),"")</f>
        <v/>
      </c>
      <c r="U192" s="96" t="str">
        <f>IFERROR(__xludf.DUMMYFUNCTION("""COMPUTED_VALUE"""),"")</f>
        <v/>
      </c>
      <c r="V192" s="97" t="str">
        <f>IFERROR(__xludf.DUMMYFUNCTION("""COMPUTED_VALUE"""),"")</f>
        <v/>
      </c>
      <c r="W192" s="95" t="str">
        <f>IFERROR(__xludf.DUMMYFUNCTION("""COMPUTED_VALUE"""),"")</f>
        <v/>
      </c>
      <c r="X192" s="96" t="str">
        <f>IFERROR(__xludf.DUMMYFUNCTION("""COMPUTED_VALUE"""),"")</f>
        <v/>
      </c>
      <c r="Y192" s="97" t="str">
        <f>IFERROR(__xludf.DUMMYFUNCTION("""COMPUTED_VALUE"""),"")</f>
        <v/>
      </c>
      <c r="Z192" s="95" t="str">
        <f>IFERROR(__xludf.DUMMYFUNCTION("""COMPUTED_VALUE"""),"")</f>
        <v/>
      </c>
      <c r="AA192" s="96" t="str">
        <f>IFERROR(__xludf.DUMMYFUNCTION("""COMPUTED_VALUE"""),"")</f>
        <v/>
      </c>
      <c r="AB192" s="97" t="str">
        <f>IFERROR(__xludf.DUMMYFUNCTION("""COMPUTED_VALUE"""),"")</f>
        <v/>
      </c>
      <c r="AC192" s="95" t="str">
        <f>IFERROR(__xludf.DUMMYFUNCTION("""COMPUTED_VALUE"""),"")</f>
        <v/>
      </c>
      <c r="AD192" s="96" t="str">
        <f>IFERROR(__xludf.DUMMYFUNCTION("""COMPUTED_VALUE"""),"")</f>
        <v/>
      </c>
      <c r="AE192" s="97" t="str">
        <f>IFERROR(__xludf.DUMMYFUNCTION("""COMPUTED_VALUE"""),"")</f>
        <v/>
      </c>
      <c r="AF192" s="95" t="str">
        <f>IFERROR(__xludf.DUMMYFUNCTION("""COMPUTED_VALUE"""),"")</f>
        <v/>
      </c>
      <c r="AG192" s="96" t="str">
        <f>IFERROR(__xludf.DUMMYFUNCTION("""COMPUTED_VALUE"""),"")</f>
        <v/>
      </c>
      <c r="AH192" s="97" t="str">
        <f>IFERROR(__xludf.DUMMYFUNCTION("""COMPUTED_VALUE"""),"")</f>
        <v/>
      </c>
      <c r="AI192" s="92" t="str">
        <f>IFERROR(__xludf.DUMMYFUNCTION("""COMPUTED_VALUE"""),"")</f>
        <v/>
      </c>
      <c r="AJ192" s="93">
        <f>IFERROR(__xludf.DUMMYFUNCTION("""COMPUTED_VALUE"""),85.6)</f>
        <v>85.6</v>
      </c>
      <c r="AK192" s="94" t="str">
        <f>IFERROR(__xludf.DUMMYFUNCTION("""COMPUTED_VALUE"""),"")</f>
        <v/>
      </c>
      <c r="AL192" s="93">
        <f>IFERROR(__xludf.DUMMYFUNCTION("""COMPUTED_VALUE"""),82.9)</f>
        <v>82.9</v>
      </c>
      <c r="AM192" s="93" t="str">
        <f>IFERROR(__xludf.DUMMYFUNCTION("""COMPUTED_VALUE"""),"")</f>
        <v/>
      </c>
      <c r="AN192" s="94" t="str">
        <f>IFERROR(__xludf.DUMMYFUNCTION("""COMPUTED_VALUE"""),"")</f>
        <v/>
      </c>
      <c r="AO192" s="93" t="str">
        <f>IFERROR(__xludf.DUMMYFUNCTION("""COMPUTED_VALUE"""),"")</f>
        <v/>
      </c>
      <c r="AP192" s="93" t="str">
        <f>IFERROR(__xludf.DUMMYFUNCTION("""COMPUTED_VALUE"""),"")</f>
        <v/>
      </c>
      <c r="AQ192" s="94" t="str">
        <f>IFERROR(__xludf.DUMMYFUNCTION("""COMPUTED_VALUE"""),"")</f>
        <v/>
      </c>
      <c r="AR192" s="93" t="str">
        <f>IFERROR(__xludf.DUMMYFUNCTION("""COMPUTED_VALUE"""),"")</f>
        <v/>
      </c>
      <c r="AS192" s="93" t="str">
        <f>IFERROR(__xludf.DUMMYFUNCTION("""COMPUTED_VALUE"""),"")</f>
        <v/>
      </c>
      <c r="AT192" s="94" t="str">
        <f>IFERROR(__xludf.DUMMYFUNCTION("""COMPUTED_VALUE"""),"")</f>
        <v/>
      </c>
      <c r="AU192" s="93" t="str">
        <f>IFERROR(__xludf.DUMMYFUNCTION("""COMPUTED_VALUE"""),"")</f>
        <v/>
      </c>
      <c r="AV192" s="93" t="str">
        <f>IFERROR(__xludf.DUMMYFUNCTION("""COMPUTED_VALUE"""),"")</f>
        <v/>
      </c>
      <c r="AW192" s="94" t="str">
        <f>IFERROR(__xludf.DUMMYFUNCTION("""COMPUTED_VALUE"""),"")</f>
        <v/>
      </c>
      <c r="AX192" s="93" t="str">
        <f>IFERROR(__xludf.DUMMYFUNCTION("""COMPUTED_VALUE"""),"")</f>
        <v/>
      </c>
      <c r="AY192" s="93" t="str">
        <f>IFERROR(__xludf.DUMMYFUNCTION("""COMPUTED_VALUE"""),"")</f>
        <v/>
      </c>
      <c r="AZ192" s="94" t="str">
        <f>IFERROR(__xludf.DUMMYFUNCTION("""COMPUTED_VALUE"""),"")</f>
        <v/>
      </c>
      <c r="BA192" s="93" t="str">
        <f>IFERROR(__xludf.DUMMYFUNCTION("""COMPUTED_VALUE"""),"")</f>
        <v/>
      </c>
      <c r="BB192" s="93" t="str">
        <f>IFERROR(__xludf.DUMMYFUNCTION("""COMPUTED_VALUE"""),"")</f>
        <v/>
      </c>
      <c r="BC192" s="94" t="str">
        <f>IFERROR(__xludf.DUMMYFUNCTION("""COMPUTED_VALUE"""),"")</f>
        <v/>
      </c>
      <c r="BD192" s="93" t="str">
        <f>IFERROR(__xludf.DUMMYFUNCTION("""COMPUTED_VALUE"""),"")</f>
        <v/>
      </c>
      <c r="BE192" s="93" t="str">
        <f>IFERROR(__xludf.DUMMYFUNCTION("""COMPUTED_VALUE"""),"")</f>
        <v/>
      </c>
      <c r="BF192" s="94" t="str">
        <f>IFERROR(__xludf.DUMMYFUNCTION("""COMPUTED_VALUE"""),"")</f>
        <v/>
      </c>
      <c r="BG192" s="92" t="str">
        <f>IFERROR(__xludf.DUMMYFUNCTION("""COMPUTED_VALUE"""),"")</f>
        <v/>
      </c>
      <c r="BH192" s="93" t="str">
        <f>IFERROR(__xludf.DUMMYFUNCTION("""COMPUTED_VALUE"""),"")</f>
        <v/>
      </c>
      <c r="BI192" s="108" t="str">
        <f>IFERROR(__xludf.DUMMYFUNCTION("""COMPUTED_VALUE"""),"")</f>
        <v/>
      </c>
      <c r="BJ192" s="93" t="str">
        <f>IFERROR(__xludf.DUMMYFUNCTION("""COMPUTED_VALUE"""),"")</f>
        <v/>
      </c>
      <c r="BK192" s="93" t="str">
        <f>IFERROR(__xludf.DUMMYFUNCTION("""COMPUTED_VALUE"""),"")</f>
        <v/>
      </c>
      <c r="BL192" s="94" t="str">
        <f>IFERROR(__xludf.DUMMYFUNCTION("""COMPUTED_VALUE"""),"")</f>
        <v/>
      </c>
      <c r="BM192" s="93" t="str">
        <f>IFERROR(__xludf.DUMMYFUNCTION("""COMPUTED_VALUE"""),"")</f>
        <v/>
      </c>
      <c r="BN192" s="93" t="str">
        <f>IFERROR(__xludf.DUMMYFUNCTION("""COMPUTED_VALUE"""),"")</f>
        <v/>
      </c>
      <c r="BO192" s="94">
        <f>IFERROR(__xludf.DUMMYFUNCTION("""COMPUTED_VALUE"""),85.3)</f>
        <v>85.3</v>
      </c>
      <c r="BP192" s="93" t="str">
        <f>IFERROR(__xludf.DUMMYFUNCTION("""COMPUTED_VALUE"""),"")</f>
        <v/>
      </c>
      <c r="BQ192" s="93" t="str">
        <f>IFERROR(__xludf.DUMMYFUNCTION("""COMPUTED_VALUE"""),"")</f>
        <v/>
      </c>
      <c r="BR192" s="94" t="str">
        <f>IFERROR(__xludf.DUMMYFUNCTION("""COMPUTED_VALUE"""),"")</f>
        <v/>
      </c>
      <c r="BS192" s="93" t="str">
        <f>IFERROR(__xludf.DUMMYFUNCTION("""COMPUTED_VALUE"""),"")</f>
        <v/>
      </c>
      <c r="BT192" s="93" t="str">
        <f>IFERROR(__xludf.DUMMYFUNCTION("""COMPUTED_VALUE"""),"")</f>
        <v/>
      </c>
      <c r="BU192" s="94" t="str">
        <f>IFERROR(__xludf.DUMMYFUNCTION("""COMPUTED_VALUE"""),"")</f>
        <v/>
      </c>
      <c r="BV192" s="93" t="str">
        <f>IFERROR(__xludf.DUMMYFUNCTION("""COMPUTED_VALUE"""),"")</f>
        <v/>
      </c>
      <c r="BW192" s="93">
        <f>IFERROR(__xludf.DUMMYFUNCTION("""COMPUTED_VALUE"""),103.8)</f>
        <v>103.8</v>
      </c>
      <c r="BX192" s="94" t="str">
        <f>IFERROR(__xludf.DUMMYFUNCTION("""COMPUTED_VALUE"""),"")</f>
        <v/>
      </c>
      <c r="BY192" s="93" t="str">
        <f>IFERROR(__xludf.DUMMYFUNCTION("""COMPUTED_VALUE"""),"")</f>
        <v/>
      </c>
      <c r="BZ192" s="93" t="str">
        <f>IFERROR(__xludf.DUMMYFUNCTION("""COMPUTED_VALUE"""),"")</f>
        <v/>
      </c>
      <c r="CA192" s="94" t="str">
        <f>IFERROR(__xludf.DUMMYFUNCTION("""COMPUTED_VALUE"""),"")</f>
        <v/>
      </c>
      <c r="CB192" s="92" t="str">
        <f>IFERROR(__xludf.DUMMYFUNCTION("""COMPUTED_VALUE"""),"")</f>
        <v/>
      </c>
      <c r="CC192" s="93" t="str">
        <f>IFERROR(__xludf.DUMMYFUNCTION("""COMPUTED_VALUE"""),"")</f>
        <v/>
      </c>
      <c r="CD192" s="108" t="str">
        <f>IFERROR(__xludf.DUMMYFUNCTION("""COMPUTED_VALUE"""),"")</f>
        <v/>
      </c>
      <c r="CE192" s="93" t="str">
        <f>IFERROR(__xludf.DUMMYFUNCTION("""COMPUTED_VALUE"""),"")</f>
        <v/>
      </c>
      <c r="CF192" s="93" t="str">
        <f>IFERROR(__xludf.DUMMYFUNCTION("""COMPUTED_VALUE"""),"")</f>
        <v/>
      </c>
      <c r="CG192" s="94" t="str">
        <f>IFERROR(__xludf.DUMMYFUNCTION("""COMPUTED_VALUE"""),"")</f>
        <v/>
      </c>
      <c r="CH192" s="93" t="str">
        <f>IFERROR(__xludf.DUMMYFUNCTION("""COMPUTED_VALUE"""),"")</f>
        <v/>
      </c>
      <c r="CI192" s="93" t="str">
        <f>IFERROR(__xludf.DUMMYFUNCTION("""COMPUTED_VALUE"""),"")</f>
        <v/>
      </c>
      <c r="CJ192" s="94" t="str">
        <f>IFERROR(__xludf.DUMMYFUNCTION("""COMPUTED_VALUE"""),"")</f>
        <v/>
      </c>
      <c r="CK192" s="93" t="str">
        <f>IFERROR(__xludf.DUMMYFUNCTION("""COMPUTED_VALUE"""),"")</f>
        <v/>
      </c>
      <c r="CL192" s="93" t="str">
        <f>IFERROR(__xludf.DUMMYFUNCTION("""COMPUTED_VALUE"""),"")</f>
        <v/>
      </c>
      <c r="CM192" s="94" t="str">
        <f>IFERROR(__xludf.DUMMYFUNCTION("""COMPUTED_VALUE"""),"")</f>
        <v/>
      </c>
      <c r="CN192" s="93" t="str">
        <f>IFERROR(__xludf.DUMMYFUNCTION("""COMPUTED_VALUE"""),"")</f>
        <v/>
      </c>
      <c r="CO192" s="93" t="str">
        <f>IFERROR(__xludf.DUMMYFUNCTION("""COMPUTED_VALUE"""),"")</f>
        <v/>
      </c>
      <c r="CP192" s="94" t="str">
        <f>IFERROR(__xludf.DUMMYFUNCTION("""COMPUTED_VALUE"""),"")</f>
        <v/>
      </c>
      <c r="CQ192" s="93" t="str">
        <f>IFERROR(__xludf.DUMMYFUNCTION("""COMPUTED_VALUE"""),"")</f>
        <v/>
      </c>
      <c r="CR192" s="93" t="str">
        <f>IFERROR(__xludf.DUMMYFUNCTION("""COMPUTED_VALUE"""),"")</f>
        <v/>
      </c>
      <c r="CS192" s="94"/>
      <c r="CT192" s="93"/>
      <c r="CU192" s="93"/>
      <c r="CV192" s="94"/>
      <c r="CW192" s="93"/>
      <c r="CX192" s="93"/>
      <c r="CY192" s="94"/>
      <c r="CZ192" s="93"/>
      <c r="DA192" s="93"/>
      <c r="DB192" s="94"/>
      <c r="DC192" s="93"/>
      <c r="DD192" s="93"/>
      <c r="DE192" s="94"/>
      <c r="DF192" s="93"/>
      <c r="DG192" s="93"/>
      <c r="DH192" s="94"/>
      <c r="DI192" s="93"/>
      <c r="DJ192" s="93"/>
      <c r="DK192" s="94"/>
      <c r="DL192" s="93"/>
      <c r="DM192" s="93"/>
      <c r="DN192" s="94"/>
      <c r="DO192" s="93"/>
      <c r="DP192" s="93"/>
      <c r="DQ192" s="94"/>
      <c r="DR192" s="93"/>
      <c r="DS192" s="93"/>
      <c r="DT192" s="94"/>
    </row>
    <row r="193">
      <c r="B193" s="120" t="str">
        <f>IFERROR(__xludf.DUMMYFUNCTION("""COMPUTED_VALUE"""),"ANA11")</f>
        <v>ANA11</v>
      </c>
      <c r="C193" s="82">
        <f>IFERROR(__xludf.DUMMYFUNCTION("""COMPUTED_VALUE"""),188.0)</f>
        <v>188</v>
      </c>
      <c r="D193" s="88" t="str">
        <f>IFERROR(__xludf.DUMMYFUNCTION("""COMPUTED_VALUE"""),"Yaga Moscow")</f>
        <v>Yaga Moscow</v>
      </c>
      <c r="E193" s="82" t="str">
        <f>IFERROR(__xludf.DUMMYFUNCTION("""COMPUTED_VALUE"""),"ヤガ・モスクワ")</f>
        <v>ヤガ・モスクワ</v>
      </c>
      <c r="F193" s="102">
        <f>IFERROR(__xludf.DUMMYFUNCTION("""COMPUTED_VALUE"""),21.0)</f>
        <v>21</v>
      </c>
      <c r="G193" s="82">
        <f>IFERROR(__xludf.DUMMYFUNCTION("""COMPUTED_VALUE"""),11192.0)</f>
        <v>11192</v>
      </c>
      <c r="H193" s="95" t="str">
        <f>IFERROR(__xludf.DUMMYFUNCTION("""COMPUTED_VALUE"""),"")</f>
        <v/>
      </c>
      <c r="I193" s="96" t="str">
        <f>IFERROR(__xludf.DUMMYFUNCTION("""COMPUTED_VALUE"""),"")</f>
        <v/>
      </c>
      <c r="J193" s="97" t="str">
        <f>IFERROR(__xludf.DUMMYFUNCTION("""COMPUTED_VALUE"""),"")</f>
        <v/>
      </c>
      <c r="K193" s="95" t="str">
        <f>IFERROR(__xludf.DUMMYFUNCTION("""COMPUTED_VALUE"""),"")</f>
        <v/>
      </c>
      <c r="L193" s="96" t="str">
        <f>IFERROR(__xludf.DUMMYFUNCTION("""COMPUTED_VALUE"""),"")</f>
        <v/>
      </c>
      <c r="M193" s="97" t="str">
        <f>IFERROR(__xludf.DUMMYFUNCTION("""COMPUTED_VALUE"""),"")</f>
        <v/>
      </c>
      <c r="N193" s="95" t="str">
        <f>IFERROR(__xludf.DUMMYFUNCTION("""COMPUTED_VALUE"""),"")</f>
        <v/>
      </c>
      <c r="O193" s="96" t="str">
        <f>IFERROR(__xludf.DUMMYFUNCTION("""COMPUTED_VALUE"""),"")</f>
        <v/>
      </c>
      <c r="P193" s="97" t="str">
        <f>IFERROR(__xludf.DUMMYFUNCTION("""COMPUTED_VALUE"""),"")</f>
        <v/>
      </c>
      <c r="Q193" s="95" t="str">
        <f>IFERROR(__xludf.DUMMYFUNCTION("""COMPUTED_VALUE"""),"")</f>
        <v/>
      </c>
      <c r="R193" s="96" t="str">
        <f>IFERROR(__xludf.DUMMYFUNCTION("""COMPUTED_VALUE"""),"")</f>
        <v/>
      </c>
      <c r="S193" s="97" t="str">
        <f>IFERROR(__xludf.DUMMYFUNCTION("""COMPUTED_VALUE"""),"")</f>
        <v/>
      </c>
      <c r="T193" s="95" t="str">
        <f>IFERROR(__xludf.DUMMYFUNCTION("""COMPUTED_VALUE"""),"")</f>
        <v/>
      </c>
      <c r="U193" s="96" t="str">
        <f>IFERROR(__xludf.DUMMYFUNCTION("""COMPUTED_VALUE"""),"")</f>
        <v/>
      </c>
      <c r="V193" s="97" t="str">
        <f>IFERROR(__xludf.DUMMYFUNCTION("""COMPUTED_VALUE"""),"")</f>
        <v/>
      </c>
      <c r="W193" s="95" t="str">
        <f>IFERROR(__xludf.DUMMYFUNCTION("""COMPUTED_VALUE"""),"")</f>
        <v/>
      </c>
      <c r="X193" s="96" t="str">
        <f>IFERROR(__xludf.DUMMYFUNCTION("""COMPUTED_VALUE"""),"")</f>
        <v/>
      </c>
      <c r="Y193" s="97" t="str">
        <f>IFERROR(__xludf.DUMMYFUNCTION("""COMPUTED_VALUE"""),"")</f>
        <v/>
      </c>
      <c r="Z193" s="95" t="str">
        <f>IFERROR(__xludf.DUMMYFUNCTION("""COMPUTED_VALUE"""),"")</f>
        <v/>
      </c>
      <c r="AA193" s="96" t="str">
        <f>IFERROR(__xludf.DUMMYFUNCTION("""COMPUTED_VALUE"""),"")</f>
        <v/>
      </c>
      <c r="AB193" s="97" t="str">
        <f>IFERROR(__xludf.DUMMYFUNCTION("""COMPUTED_VALUE"""),"")</f>
        <v/>
      </c>
      <c r="AC193" s="95" t="str">
        <f>IFERROR(__xludf.DUMMYFUNCTION("""COMPUTED_VALUE"""),"")</f>
        <v/>
      </c>
      <c r="AD193" s="96" t="str">
        <f>IFERROR(__xludf.DUMMYFUNCTION("""COMPUTED_VALUE"""),"")</f>
        <v/>
      </c>
      <c r="AE193" s="97" t="str">
        <f>IFERROR(__xludf.DUMMYFUNCTION("""COMPUTED_VALUE"""),"")</f>
        <v/>
      </c>
      <c r="AF193" s="95" t="str">
        <f>IFERROR(__xludf.DUMMYFUNCTION("""COMPUTED_VALUE"""),"")</f>
        <v/>
      </c>
      <c r="AG193" s="96" t="str">
        <f>IFERROR(__xludf.DUMMYFUNCTION("""COMPUTED_VALUE"""),"")</f>
        <v/>
      </c>
      <c r="AH193" s="97" t="str">
        <f>IFERROR(__xludf.DUMMYFUNCTION("""COMPUTED_VALUE"""),"")</f>
        <v/>
      </c>
      <c r="AI193" s="166" t="str">
        <f>IFERROR(__xludf.DUMMYFUNCTION("""COMPUTED_VALUE"""),"")</f>
        <v/>
      </c>
      <c r="AJ193" s="167" t="str">
        <f>IFERROR(__xludf.DUMMYFUNCTION("""COMPUTED_VALUE"""),"")</f>
        <v/>
      </c>
      <c r="AK193" s="168" t="str">
        <f>IFERROR(__xludf.DUMMYFUNCTION("""COMPUTED_VALUE"""),"")</f>
        <v/>
      </c>
      <c r="AL193" s="167">
        <f>IFERROR(__xludf.DUMMYFUNCTION("""COMPUTED_VALUE"""),46.2)</f>
        <v>46.2</v>
      </c>
      <c r="AM193" s="167" t="str">
        <f>IFERROR(__xludf.DUMMYFUNCTION("""COMPUTED_VALUE"""),"")</f>
        <v/>
      </c>
      <c r="AN193" s="168" t="str">
        <f>IFERROR(__xludf.DUMMYFUNCTION("""COMPUTED_VALUE"""),"")</f>
        <v/>
      </c>
      <c r="AO193" s="167" t="str">
        <f>IFERROR(__xludf.DUMMYFUNCTION("""COMPUTED_VALUE"""),"")</f>
        <v/>
      </c>
      <c r="AP193" s="167" t="str">
        <f>IFERROR(__xludf.DUMMYFUNCTION("""COMPUTED_VALUE"""),"")</f>
        <v/>
      </c>
      <c r="AQ193" s="168" t="str">
        <f>IFERROR(__xludf.DUMMYFUNCTION("""COMPUTED_VALUE"""),"")</f>
        <v/>
      </c>
      <c r="AR193" s="167" t="str">
        <f>IFERROR(__xludf.DUMMYFUNCTION("""COMPUTED_VALUE"""),"")</f>
        <v/>
      </c>
      <c r="AS193" s="167" t="str">
        <f>IFERROR(__xludf.DUMMYFUNCTION("""COMPUTED_VALUE"""),"")</f>
        <v/>
      </c>
      <c r="AT193" s="168" t="str">
        <f>IFERROR(__xludf.DUMMYFUNCTION("""COMPUTED_VALUE"""),"")</f>
        <v/>
      </c>
      <c r="AU193" s="167" t="str">
        <f>IFERROR(__xludf.DUMMYFUNCTION("""COMPUTED_VALUE"""),"")</f>
        <v/>
      </c>
      <c r="AV193" s="167" t="str">
        <f>IFERROR(__xludf.DUMMYFUNCTION("""COMPUTED_VALUE"""),"")</f>
        <v/>
      </c>
      <c r="AW193" s="168" t="str">
        <f>IFERROR(__xludf.DUMMYFUNCTION("""COMPUTED_VALUE"""),"")</f>
        <v/>
      </c>
      <c r="AX193" s="167" t="str">
        <f>IFERROR(__xludf.DUMMYFUNCTION("""COMPUTED_VALUE"""),"")</f>
        <v/>
      </c>
      <c r="AY193" s="167" t="str">
        <f>IFERROR(__xludf.DUMMYFUNCTION("""COMPUTED_VALUE"""),"")</f>
        <v/>
      </c>
      <c r="AZ193" s="168" t="str">
        <f>IFERROR(__xludf.DUMMYFUNCTION("""COMPUTED_VALUE"""),"")</f>
        <v/>
      </c>
      <c r="BA193" s="167" t="str">
        <f>IFERROR(__xludf.DUMMYFUNCTION("""COMPUTED_VALUE"""),"")</f>
        <v/>
      </c>
      <c r="BB193" s="167" t="str">
        <f>IFERROR(__xludf.DUMMYFUNCTION("""COMPUTED_VALUE"""),"")</f>
        <v/>
      </c>
      <c r="BC193" s="168" t="str">
        <f>IFERROR(__xludf.DUMMYFUNCTION("""COMPUTED_VALUE"""),"")</f>
        <v/>
      </c>
      <c r="BD193" s="167" t="str">
        <f>IFERROR(__xludf.DUMMYFUNCTION("""COMPUTED_VALUE"""),"")</f>
        <v/>
      </c>
      <c r="BE193" s="167" t="str">
        <f>IFERROR(__xludf.DUMMYFUNCTION("""COMPUTED_VALUE"""),"")</f>
        <v/>
      </c>
      <c r="BF193" s="168" t="str">
        <f>IFERROR(__xludf.DUMMYFUNCTION("""COMPUTED_VALUE"""),"")</f>
        <v/>
      </c>
      <c r="BG193" s="166" t="str">
        <f>IFERROR(__xludf.DUMMYFUNCTION("""COMPUTED_VALUE"""),"")</f>
        <v/>
      </c>
      <c r="BH193" s="167" t="str">
        <f>IFERROR(__xludf.DUMMYFUNCTION("""COMPUTED_VALUE"""),"")</f>
        <v/>
      </c>
      <c r="BI193" s="109" t="str">
        <f>IFERROR(__xludf.DUMMYFUNCTION("""COMPUTED_VALUE"""),"")</f>
        <v/>
      </c>
      <c r="BJ193" s="167" t="str">
        <f>IFERROR(__xludf.DUMMYFUNCTION("""COMPUTED_VALUE"""),"")</f>
        <v/>
      </c>
      <c r="BK193" s="167" t="str">
        <f>IFERROR(__xludf.DUMMYFUNCTION("""COMPUTED_VALUE"""),"")</f>
        <v/>
      </c>
      <c r="BL193" s="168" t="str">
        <f>IFERROR(__xludf.DUMMYFUNCTION("""COMPUTED_VALUE"""),"")</f>
        <v/>
      </c>
      <c r="BM193" s="167" t="str">
        <f>IFERROR(__xludf.DUMMYFUNCTION("""COMPUTED_VALUE"""),"")</f>
        <v/>
      </c>
      <c r="BN193" s="167" t="str">
        <f>IFERROR(__xludf.DUMMYFUNCTION("""COMPUTED_VALUE"""),"")</f>
        <v/>
      </c>
      <c r="BO193" s="168">
        <f>IFERROR(__xludf.DUMMYFUNCTION("""COMPUTED_VALUE"""),45.7)</f>
        <v>45.7</v>
      </c>
      <c r="BP193" s="167" t="str">
        <f>IFERROR(__xludf.DUMMYFUNCTION("""COMPUTED_VALUE"""),"")</f>
        <v/>
      </c>
      <c r="BQ193" s="167" t="str">
        <f>IFERROR(__xludf.DUMMYFUNCTION("""COMPUTED_VALUE"""),"")</f>
        <v/>
      </c>
      <c r="BR193" s="168" t="str">
        <f>IFERROR(__xludf.DUMMYFUNCTION("""COMPUTED_VALUE"""),"")</f>
        <v/>
      </c>
      <c r="BS193" s="167" t="str">
        <f>IFERROR(__xludf.DUMMYFUNCTION("""COMPUTED_VALUE"""),"")</f>
        <v/>
      </c>
      <c r="BT193" s="167" t="str">
        <f>IFERROR(__xludf.DUMMYFUNCTION("""COMPUTED_VALUE"""),"")</f>
        <v/>
      </c>
      <c r="BU193" s="168" t="str">
        <f>IFERROR(__xludf.DUMMYFUNCTION("""COMPUTED_VALUE"""),"")</f>
        <v/>
      </c>
      <c r="BV193" s="167" t="str">
        <f>IFERROR(__xludf.DUMMYFUNCTION("""COMPUTED_VALUE"""),"")</f>
        <v/>
      </c>
      <c r="BW193" s="167" t="str">
        <f>IFERROR(__xludf.DUMMYFUNCTION("""COMPUTED_VALUE"""),"")</f>
        <v/>
      </c>
      <c r="BX193" s="168" t="str">
        <f>IFERROR(__xludf.DUMMYFUNCTION("""COMPUTED_VALUE"""),"")</f>
        <v/>
      </c>
      <c r="BY193" s="167" t="str">
        <f>IFERROR(__xludf.DUMMYFUNCTION("""COMPUTED_VALUE"""),"")</f>
        <v/>
      </c>
      <c r="BZ193" s="167" t="str">
        <f>IFERROR(__xludf.DUMMYFUNCTION("""COMPUTED_VALUE"""),"")</f>
        <v/>
      </c>
      <c r="CA193" s="168" t="str">
        <f>IFERROR(__xludf.DUMMYFUNCTION("""COMPUTED_VALUE"""),"")</f>
        <v/>
      </c>
      <c r="CB193" s="166" t="str">
        <f>IFERROR(__xludf.DUMMYFUNCTION("""COMPUTED_VALUE"""),"")</f>
        <v/>
      </c>
      <c r="CC193" s="167" t="str">
        <f>IFERROR(__xludf.DUMMYFUNCTION("""COMPUTED_VALUE"""),"")</f>
        <v/>
      </c>
      <c r="CD193" s="109" t="str">
        <f>IFERROR(__xludf.DUMMYFUNCTION("""COMPUTED_VALUE"""),"")</f>
        <v/>
      </c>
      <c r="CE193" s="167" t="str">
        <f>IFERROR(__xludf.DUMMYFUNCTION("""COMPUTED_VALUE"""),"")</f>
        <v/>
      </c>
      <c r="CF193" s="167" t="str">
        <f>IFERROR(__xludf.DUMMYFUNCTION("""COMPUTED_VALUE"""),"")</f>
        <v/>
      </c>
      <c r="CG193" s="168" t="str">
        <f>IFERROR(__xludf.DUMMYFUNCTION("""COMPUTED_VALUE"""),"")</f>
        <v/>
      </c>
      <c r="CH193" s="167" t="str">
        <f>IFERROR(__xludf.DUMMYFUNCTION("""COMPUTED_VALUE"""),"")</f>
        <v/>
      </c>
      <c r="CI193" s="167" t="str">
        <f>IFERROR(__xludf.DUMMYFUNCTION("""COMPUTED_VALUE"""),"")</f>
        <v/>
      </c>
      <c r="CJ193" s="168" t="str">
        <f>IFERROR(__xludf.DUMMYFUNCTION("""COMPUTED_VALUE"""),"")</f>
        <v/>
      </c>
      <c r="CK193" s="167" t="str">
        <f>IFERROR(__xludf.DUMMYFUNCTION("""COMPUTED_VALUE"""),"")</f>
        <v/>
      </c>
      <c r="CL193" s="167" t="str">
        <f>IFERROR(__xludf.DUMMYFUNCTION("""COMPUTED_VALUE"""),"")</f>
        <v/>
      </c>
      <c r="CM193" s="168" t="str">
        <f>IFERROR(__xludf.DUMMYFUNCTION("""COMPUTED_VALUE"""),"")</f>
        <v/>
      </c>
      <c r="CN193" s="167" t="str">
        <f>IFERROR(__xludf.DUMMYFUNCTION("""COMPUTED_VALUE"""),"")</f>
        <v/>
      </c>
      <c r="CO193" s="167" t="str">
        <f>IFERROR(__xludf.DUMMYFUNCTION("""COMPUTED_VALUE"""),"")</f>
        <v/>
      </c>
      <c r="CP193" s="168" t="str">
        <f>IFERROR(__xludf.DUMMYFUNCTION("""COMPUTED_VALUE"""),"")</f>
        <v/>
      </c>
      <c r="CQ193" s="167" t="str">
        <f>IFERROR(__xludf.DUMMYFUNCTION("""COMPUTED_VALUE"""),"")</f>
        <v/>
      </c>
      <c r="CR193" s="167" t="str">
        <f>IFERROR(__xludf.DUMMYFUNCTION("""COMPUTED_VALUE"""),"")</f>
        <v/>
      </c>
      <c r="CS193" s="168"/>
      <c r="CT193" s="167"/>
      <c r="CU193" s="167"/>
      <c r="CV193" s="168"/>
      <c r="CW193" s="167"/>
      <c r="CX193" s="167"/>
      <c r="CY193" s="168"/>
      <c r="CZ193" s="167"/>
      <c r="DA193" s="167"/>
      <c r="DB193" s="168"/>
      <c r="DC193" s="167"/>
      <c r="DD193" s="167"/>
      <c r="DE193" s="168"/>
      <c r="DF193" s="167"/>
      <c r="DG193" s="167"/>
      <c r="DH193" s="168"/>
      <c r="DI193" s="167"/>
      <c r="DJ193" s="167"/>
      <c r="DK193" s="168"/>
      <c r="DL193" s="167"/>
      <c r="DM193" s="167"/>
      <c r="DN193" s="168"/>
      <c r="DO193" s="167"/>
      <c r="DP193" s="167"/>
      <c r="DQ193" s="168"/>
      <c r="DR193" s="167"/>
      <c r="DS193" s="167"/>
      <c r="DT193" s="168"/>
    </row>
    <row r="194">
      <c r="B194" s="120" t="str">
        <f>IFERROR(__xludf.DUMMYFUNCTION("""COMPUTED_VALUE"""),"ANA12")</f>
        <v>ANA12</v>
      </c>
      <c r="C194" s="82">
        <f>IFERROR(__xludf.DUMMYFUNCTION("""COMPUTED_VALUE"""),189.0)</f>
        <v>189</v>
      </c>
      <c r="D194" s="88" t="str">
        <f>IFERROR(__xludf.DUMMYFUNCTION("""COMPUTED_VALUE"""),"Strath Stronghold")</f>
        <v>Strath Stronghold</v>
      </c>
      <c r="E194" s="82" t="str">
        <f>IFERROR(__xludf.DUMMYFUNCTION("""COMPUTED_VALUE"""),"大渓谷の砦")</f>
        <v>大渓谷の砦</v>
      </c>
      <c r="F194" s="102">
        <f>IFERROR(__xludf.DUMMYFUNCTION("""COMPUTED_VALUE"""),21.0)</f>
        <v>21</v>
      </c>
      <c r="G194" s="82">
        <f>IFERROR(__xludf.DUMMYFUNCTION("""COMPUTED_VALUE"""),14193.0)</f>
        <v>14193</v>
      </c>
      <c r="H194" s="95" t="str">
        <f>IFERROR(__xludf.DUMMYFUNCTION("""COMPUTED_VALUE"""),"")</f>
        <v/>
      </c>
      <c r="I194" s="96" t="str">
        <f>IFERROR(__xludf.DUMMYFUNCTION("""COMPUTED_VALUE"""),"")</f>
        <v/>
      </c>
      <c r="J194" s="97" t="str">
        <f>IFERROR(__xludf.DUMMYFUNCTION("""COMPUTED_VALUE"""),"")</f>
        <v/>
      </c>
      <c r="K194" s="95" t="str">
        <f>IFERROR(__xludf.DUMMYFUNCTION("""COMPUTED_VALUE"""),"")</f>
        <v/>
      </c>
      <c r="L194" s="96" t="str">
        <f>IFERROR(__xludf.DUMMYFUNCTION("""COMPUTED_VALUE"""),"")</f>
        <v/>
      </c>
      <c r="M194" s="97" t="str">
        <f>IFERROR(__xludf.DUMMYFUNCTION("""COMPUTED_VALUE"""),"")</f>
        <v/>
      </c>
      <c r="N194" s="95" t="str">
        <f>IFERROR(__xludf.DUMMYFUNCTION("""COMPUTED_VALUE"""),"")</f>
        <v/>
      </c>
      <c r="O194" s="96" t="str">
        <f>IFERROR(__xludf.DUMMYFUNCTION("""COMPUTED_VALUE"""),"")</f>
        <v/>
      </c>
      <c r="P194" s="97" t="str">
        <f>IFERROR(__xludf.DUMMYFUNCTION("""COMPUTED_VALUE"""),"")</f>
        <v/>
      </c>
      <c r="Q194" s="95" t="str">
        <f>IFERROR(__xludf.DUMMYFUNCTION("""COMPUTED_VALUE"""),"")</f>
        <v/>
      </c>
      <c r="R194" s="96" t="str">
        <f>IFERROR(__xludf.DUMMYFUNCTION("""COMPUTED_VALUE"""),"")</f>
        <v/>
      </c>
      <c r="S194" s="97">
        <f>IFERROR(__xludf.DUMMYFUNCTION("""COMPUTED_VALUE"""),207.3)</f>
        <v>207.3</v>
      </c>
      <c r="T194" s="95" t="str">
        <f>IFERROR(__xludf.DUMMYFUNCTION("""COMPUTED_VALUE"""),"")</f>
        <v/>
      </c>
      <c r="U194" s="96" t="str">
        <f>IFERROR(__xludf.DUMMYFUNCTION("""COMPUTED_VALUE"""),"")</f>
        <v/>
      </c>
      <c r="V194" s="97" t="str">
        <f>IFERROR(__xludf.DUMMYFUNCTION("""COMPUTED_VALUE"""),"")</f>
        <v/>
      </c>
      <c r="W194" s="95" t="str">
        <f>IFERROR(__xludf.DUMMYFUNCTION("""COMPUTED_VALUE"""),"")</f>
        <v/>
      </c>
      <c r="X194" s="96" t="str">
        <f>IFERROR(__xludf.DUMMYFUNCTION("""COMPUTED_VALUE"""),"")</f>
        <v/>
      </c>
      <c r="Y194" s="97" t="str">
        <f>IFERROR(__xludf.DUMMYFUNCTION("""COMPUTED_VALUE"""),"")</f>
        <v/>
      </c>
      <c r="Z194" s="95" t="str">
        <f>IFERROR(__xludf.DUMMYFUNCTION("""COMPUTED_VALUE"""),"")</f>
        <v/>
      </c>
      <c r="AA194" s="96" t="str">
        <f>IFERROR(__xludf.DUMMYFUNCTION("""COMPUTED_VALUE"""),"")</f>
        <v/>
      </c>
      <c r="AB194" s="97" t="str">
        <f>IFERROR(__xludf.DUMMYFUNCTION("""COMPUTED_VALUE"""),"")</f>
        <v/>
      </c>
      <c r="AC194" s="95" t="str">
        <f>IFERROR(__xludf.DUMMYFUNCTION("""COMPUTED_VALUE"""),"")</f>
        <v/>
      </c>
      <c r="AD194" s="96" t="str">
        <f>IFERROR(__xludf.DUMMYFUNCTION("""COMPUTED_VALUE"""),"")</f>
        <v/>
      </c>
      <c r="AE194" s="97" t="str">
        <f>IFERROR(__xludf.DUMMYFUNCTION("""COMPUTED_VALUE"""),"")</f>
        <v/>
      </c>
      <c r="AF194" s="95" t="str">
        <f>IFERROR(__xludf.DUMMYFUNCTION("""COMPUTED_VALUE"""),"")</f>
        <v/>
      </c>
      <c r="AG194" s="96" t="str">
        <f>IFERROR(__xludf.DUMMYFUNCTION("""COMPUTED_VALUE"""),"")</f>
        <v/>
      </c>
      <c r="AH194" s="97" t="str">
        <f>IFERROR(__xludf.DUMMYFUNCTION("""COMPUTED_VALUE"""),"")</f>
        <v/>
      </c>
      <c r="AI194" s="92" t="str">
        <f>IFERROR(__xludf.DUMMYFUNCTION("""COMPUTED_VALUE"""),"")</f>
        <v/>
      </c>
      <c r="AJ194" s="93" t="str">
        <f>IFERROR(__xludf.DUMMYFUNCTION("""COMPUTED_VALUE"""),"")</f>
        <v/>
      </c>
      <c r="AK194" s="94" t="str">
        <f>IFERROR(__xludf.DUMMYFUNCTION("""COMPUTED_VALUE"""),"")</f>
        <v/>
      </c>
      <c r="AL194" s="93" t="str">
        <f>IFERROR(__xludf.DUMMYFUNCTION("""COMPUTED_VALUE"""),"")</f>
        <v/>
      </c>
      <c r="AM194" s="93" t="str">
        <f>IFERROR(__xludf.DUMMYFUNCTION("""COMPUTED_VALUE"""),"")</f>
        <v/>
      </c>
      <c r="AN194" s="94" t="str">
        <f>IFERROR(__xludf.DUMMYFUNCTION("""COMPUTED_VALUE"""),"")</f>
        <v/>
      </c>
      <c r="AO194" s="93" t="str">
        <f>IFERROR(__xludf.DUMMYFUNCTION("""COMPUTED_VALUE"""),"")</f>
        <v/>
      </c>
      <c r="AP194" s="93" t="str">
        <f>IFERROR(__xludf.DUMMYFUNCTION("""COMPUTED_VALUE"""),"")</f>
        <v/>
      </c>
      <c r="AQ194" s="94" t="str">
        <f>IFERROR(__xludf.DUMMYFUNCTION("""COMPUTED_VALUE"""),"")</f>
        <v/>
      </c>
      <c r="AR194" s="93" t="str">
        <f>IFERROR(__xludf.DUMMYFUNCTION("""COMPUTED_VALUE"""),"")</f>
        <v/>
      </c>
      <c r="AS194" s="93" t="str">
        <f>IFERROR(__xludf.DUMMYFUNCTION("""COMPUTED_VALUE"""),"")</f>
        <v/>
      </c>
      <c r="AT194" s="94" t="str">
        <f>IFERROR(__xludf.DUMMYFUNCTION("""COMPUTED_VALUE"""),"")</f>
        <v/>
      </c>
      <c r="AU194" s="93" t="str">
        <f>IFERROR(__xludf.DUMMYFUNCTION("""COMPUTED_VALUE"""),"")</f>
        <v/>
      </c>
      <c r="AV194" s="93" t="str">
        <f>IFERROR(__xludf.DUMMYFUNCTION("""COMPUTED_VALUE"""),"")</f>
        <v/>
      </c>
      <c r="AW194" s="94">
        <f>IFERROR(__xludf.DUMMYFUNCTION("""COMPUTED_VALUE"""),71.1)</f>
        <v>71.1</v>
      </c>
      <c r="AX194" s="93" t="str">
        <f>IFERROR(__xludf.DUMMYFUNCTION("""COMPUTED_VALUE"""),"")</f>
        <v/>
      </c>
      <c r="AY194" s="93" t="str">
        <f>IFERROR(__xludf.DUMMYFUNCTION("""COMPUTED_VALUE"""),"")</f>
        <v/>
      </c>
      <c r="AZ194" s="94" t="str">
        <f>IFERROR(__xludf.DUMMYFUNCTION("""COMPUTED_VALUE"""),"")</f>
        <v/>
      </c>
      <c r="BA194" s="93" t="str">
        <f>IFERROR(__xludf.DUMMYFUNCTION("""COMPUTED_VALUE"""),"")</f>
        <v/>
      </c>
      <c r="BB194" s="93">
        <f>IFERROR(__xludf.DUMMYFUNCTION("""COMPUTED_VALUE"""),73.7)</f>
        <v>73.7</v>
      </c>
      <c r="BC194" s="94" t="str">
        <f>IFERROR(__xludf.DUMMYFUNCTION("""COMPUTED_VALUE"""),"")</f>
        <v/>
      </c>
      <c r="BD194" s="93" t="str">
        <f>IFERROR(__xludf.DUMMYFUNCTION("""COMPUTED_VALUE"""),"")</f>
        <v/>
      </c>
      <c r="BE194" s="93" t="str">
        <f>IFERROR(__xludf.DUMMYFUNCTION("""COMPUTED_VALUE"""),"")</f>
        <v/>
      </c>
      <c r="BF194" s="94" t="str">
        <f>IFERROR(__xludf.DUMMYFUNCTION("""COMPUTED_VALUE"""),"")</f>
        <v/>
      </c>
      <c r="BG194" s="92" t="str">
        <f>IFERROR(__xludf.DUMMYFUNCTION("""COMPUTED_VALUE"""),"")</f>
        <v/>
      </c>
      <c r="BH194" s="93">
        <f>IFERROR(__xludf.DUMMYFUNCTION("""COMPUTED_VALUE"""),506.9)</f>
        <v>506.9</v>
      </c>
      <c r="BI194" s="94" t="str">
        <f>IFERROR(__xludf.DUMMYFUNCTION("""COMPUTED_VALUE"""),"")</f>
        <v/>
      </c>
      <c r="BJ194" s="93" t="str">
        <f>IFERROR(__xludf.DUMMYFUNCTION("""COMPUTED_VALUE"""),"")</f>
        <v/>
      </c>
      <c r="BK194" s="93" t="str">
        <f>IFERROR(__xludf.DUMMYFUNCTION("""COMPUTED_VALUE"""),"")</f>
        <v/>
      </c>
      <c r="BL194" s="94" t="str">
        <f>IFERROR(__xludf.DUMMYFUNCTION("""COMPUTED_VALUE"""),"")</f>
        <v/>
      </c>
      <c r="BM194" s="93" t="str">
        <f>IFERROR(__xludf.DUMMYFUNCTION("""COMPUTED_VALUE"""),"")</f>
        <v/>
      </c>
      <c r="BN194" s="93" t="str">
        <f>IFERROR(__xludf.DUMMYFUNCTION("""COMPUTED_VALUE"""),"")</f>
        <v/>
      </c>
      <c r="BO194" s="94" t="str">
        <f>IFERROR(__xludf.DUMMYFUNCTION("""COMPUTED_VALUE"""),"")</f>
        <v/>
      </c>
      <c r="BP194" s="93" t="str">
        <f>IFERROR(__xludf.DUMMYFUNCTION("""COMPUTED_VALUE"""),"")</f>
        <v/>
      </c>
      <c r="BQ194" s="93" t="str">
        <f>IFERROR(__xludf.DUMMYFUNCTION("""COMPUTED_VALUE"""),"")</f>
        <v/>
      </c>
      <c r="BR194" s="94" t="str">
        <f>IFERROR(__xludf.DUMMYFUNCTION("""COMPUTED_VALUE"""),"")</f>
        <v/>
      </c>
      <c r="BS194" s="93" t="str">
        <f>IFERROR(__xludf.DUMMYFUNCTION("""COMPUTED_VALUE"""),"")</f>
        <v/>
      </c>
      <c r="BT194" s="93" t="str">
        <f>IFERROR(__xludf.DUMMYFUNCTION("""COMPUTED_VALUE"""),"")</f>
        <v/>
      </c>
      <c r="BU194" s="94" t="str">
        <f>IFERROR(__xludf.DUMMYFUNCTION("""COMPUTED_VALUE"""),"")</f>
        <v/>
      </c>
      <c r="BV194" s="93">
        <f>IFERROR(__xludf.DUMMYFUNCTION("""COMPUTED_VALUE"""),71.4)</f>
        <v>71.4</v>
      </c>
      <c r="BW194" s="93" t="str">
        <f>IFERROR(__xludf.DUMMYFUNCTION("""COMPUTED_VALUE"""),"")</f>
        <v/>
      </c>
      <c r="BX194" s="94" t="str">
        <f>IFERROR(__xludf.DUMMYFUNCTION("""COMPUTED_VALUE"""),"")</f>
        <v/>
      </c>
      <c r="BY194" s="93" t="str">
        <f>IFERROR(__xludf.DUMMYFUNCTION("""COMPUTED_VALUE"""),"")</f>
        <v/>
      </c>
      <c r="BZ194" s="93" t="str">
        <f>IFERROR(__xludf.DUMMYFUNCTION("""COMPUTED_VALUE"""),"")</f>
        <v/>
      </c>
      <c r="CA194" s="94" t="str">
        <f>IFERROR(__xludf.DUMMYFUNCTION("""COMPUTED_VALUE"""),"")</f>
        <v/>
      </c>
      <c r="CB194" s="92" t="str">
        <f>IFERROR(__xludf.DUMMYFUNCTION("""COMPUTED_VALUE"""),"")</f>
        <v/>
      </c>
      <c r="CC194" s="93" t="str">
        <f>IFERROR(__xludf.DUMMYFUNCTION("""COMPUTED_VALUE"""),"")</f>
        <v/>
      </c>
      <c r="CD194" s="94" t="str">
        <f>IFERROR(__xludf.DUMMYFUNCTION("""COMPUTED_VALUE"""),"")</f>
        <v/>
      </c>
      <c r="CE194" s="93" t="str">
        <f>IFERROR(__xludf.DUMMYFUNCTION("""COMPUTED_VALUE"""),"")</f>
        <v/>
      </c>
      <c r="CF194" s="93" t="str">
        <f>IFERROR(__xludf.DUMMYFUNCTION("""COMPUTED_VALUE"""),"")</f>
        <v/>
      </c>
      <c r="CG194" s="94" t="str">
        <f>IFERROR(__xludf.DUMMYFUNCTION("""COMPUTED_VALUE"""),"")</f>
        <v/>
      </c>
      <c r="CH194" s="93" t="str">
        <f>IFERROR(__xludf.DUMMYFUNCTION("""COMPUTED_VALUE"""),"")</f>
        <v/>
      </c>
      <c r="CI194" s="93" t="str">
        <f>IFERROR(__xludf.DUMMYFUNCTION("""COMPUTED_VALUE"""),"")</f>
        <v/>
      </c>
      <c r="CJ194" s="94" t="str">
        <f>IFERROR(__xludf.DUMMYFUNCTION("""COMPUTED_VALUE"""),"")</f>
        <v/>
      </c>
      <c r="CK194" s="93" t="str">
        <f>IFERROR(__xludf.DUMMYFUNCTION("""COMPUTED_VALUE"""),"")</f>
        <v/>
      </c>
      <c r="CL194" s="93" t="str">
        <f>IFERROR(__xludf.DUMMYFUNCTION("""COMPUTED_VALUE"""),"")</f>
        <v/>
      </c>
      <c r="CM194" s="94" t="str">
        <f>IFERROR(__xludf.DUMMYFUNCTION("""COMPUTED_VALUE"""),"")</f>
        <v/>
      </c>
      <c r="CN194" s="93" t="str">
        <f>IFERROR(__xludf.DUMMYFUNCTION("""COMPUTED_VALUE"""),"")</f>
        <v/>
      </c>
      <c r="CO194" s="93" t="str">
        <f>IFERROR(__xludf.DUMMYFUNCTION("""COMPUTED_VALUE"""),"")</f>
        <v/>
      </c>
      <c r="CP194" s="94" t="str">
        <f>IFERROR(__xludf.DUMMYFUNCTION("""COMPUTED_VALUE"""),"")</f>
        <v/>
      </c>
      <c r="CQ194" s="93">
        <f>IFERROR(__xludf.DUMMYFUNCTION("""COMPUTED_VALUE"""),422.6)</f>
        <v>422.6</v>
      </c>
      <c r="CR194" s="93" t="str">
        <f>IFERROR(__xludf.DUMMYFUNCTION("""COMPUTED_VALUE"""),"")</f>
        <v/>
      </c>
      <c r="CS194" s="94"/>
      <c r="CT194" s="93"/>
      <c r="CU194" s="93"/>
      <c r="CV194" s="94"/>
      <c r="CW194" s="93"/>
      <c r="CX194" s="93"/>
      <c r="CY194" s="94"/>
      <c r="CZ194" s="93"/>
      <c r="DA194" s="93"/>
      <c r="DB194" s="94"/>
      <c r="DC194" s="93"/>
      <c r="DD194" s="93"/>
      <c r="DE194" s="94"/>
      <c r="DF194" s="93"/>
      <c r="DG194" s="93"/>
      <c r="DH194" s="94"/>
      <c r="DI194" s="93"/>
      <c r="DJ194" s="93"/>
      <c r="DK194" s="94"/>
      <c r="DL194" s="93"/>
      <c r="DM194" s="93"/>
      <c r="DN194" s="94"/>
      <c r="DO194" s="93"/>
      <c r="DP194" s="93"/>
      <c r="DQ194" s="94"/>
      <c r="DR194" s="93"/>
      <c r="DS194" s="93"/>
      <c r="DT194" s="94"/>
    </row>
    <row r="195">
      <c r="B195" s="120" t="str">
        <f>IFERROR(__xludf.DUMMYFUNCTION("""COMPUTED_VALUE"""),"ANA13")</f>
        <v>ANA13</v>
      </c>
      <c r="C195" s="82">
        <f>IFERROR(__xludf.DUMMYFUNCTION("""COMPUTED_VALUE"""),190.0)</f>
        <v>190</v>
      </c>
      <c r="D195" s="88" t="str">
        <f>IFERROR(__xludf.DUMMYFUNCTION("""COMPUTED_VALUE"""),"Base of the Great Tree")</f>
        <v>Base of the Great Tree</v>
      </c>
      <c r="E195" s="82" t="str">
        <f>IFERROR(__xludf.DUMMYFUNCTION("""COMPUTED_VALUE"""),"大樹の根元")</f>
        <v>大樹の根元</v>
      </c>
      <c r="F195" s="102">
        <f>IFERROR(__xludf.DUMMYFUNCTION("""COMPUTED_VALUE"""),21.0)</f>
        <v>21</v>
      </c>
      <c r="G195" s="82">
        <f>IFERROR(__xludf.DUMMYFUNCTION("""COMPUTED_VALUE"""),13743.0)</f>
        <v>13743</v>
      </c>
      <c r="H195" s="95" t="str">
        <f>IFERROR(__xludf.DUMMYFUNCTION("""COMPUTED_VALUE"""),"")</f>
        <v/>
      </c>
      <c r="I195" s="96" t="str">
        <f>IFERROR(__xludf.DUMMYFUNCTION("""COMPUTED_VALUE"""),"")</f>
        <v/>
      </c>
      <c r="J195" s="97" t="str">
        <f>IFERROR(__xludf.DUMMYFUNCTION("""COMPUTED_VALUE"""),"")</f>
        <v/>
      </c>
      <c r="K195" s="95" t="str">
        <f>IFERROR(__xludf.DUMMYFUNCTION("""COMPUTED_VALUE"""),"")</f>
        <v/>
      </c>
      <c r="L195" s="96" t="str">
        <f>IFERROR(__xludf.DUMMYFUNCTION("""COMPUTED_VALUE"""),"")</f>
        <v/>
      </c>
      <c r="M195" s="97" t="str">
        <f>IFERROR(__xludf.DUMMYFUNCTION("""COMPUTED_VALUE"""),"")</f>
        <v/>
      </c>
      <c r="N195" s="95" t="str">
        <f>IFERROR(__xludf.DUMMYFUNCTION("""COMPUTED_VALUE"""),"")</f>
        <v/>
      </c>
      <c r="O195" s="96" t="str">
        <f>IFERROR(__xludf.DUMMYFUNCTION("""COMPUTED_VALUE"""),"")</f>
        <v/>
      </c>
      <c r="P195" s="97" t="str">
        <f>IFERROR(__xludf.DUMMYFUNCTION("""COMPUTED_VALUE"""),"")</f>
        <v/>
      </c>
      <c r="Q195" s="95" t="str">
        <f>IFERROR(__xludf.DUMMYFUNCTION("""COMPUTED_VALUE"""),"")</f>
        <v/>
      </c>
      <c r="R195" s="96" t="str">
        <f>IFERROR(__xludf.DUMMYFUNCTION("""COMPUTED_VALUE"""),"")</f>
        <v/>
      </c>
      <c r="S195" s="97" t="str">
        <f>IFERROR(__xludf.DUMMYFUNCTION("""COMPUTED_VALUE"""),"")</f>
        <v/>
      </c>
      <c r="T195" s="95" t="str">
        <f>IFERROR(__xludf.DUMMYFUNCTION("""COMPUTED_VALUE"""),"")</f>
        <v/>
      </c>
      <c r="U195" s="96" t="str">
        <f>IFERROR(__xludf.DUMMYFUNCTION("""COMPUTED_VALUE"""),"")</f>
        <v/>
      </c>
      <c r="V195" s="97" t="str">
        <f>IFERROR(__xludf.DUMMYFUNCTION("""COMPUTED_VALUE"""),"")</f>
        <v/>
      </c>
      <c r="W195" s="95" t="str">
        <f>IFERROR(__xludf.DUMMYFUNCTION("""COMPUTED_VALUE"""),"")</f>
        <v/>
      </c>
      <c r="X195" s="96" t="str">
        <f>IFERROR(__xludf.DUMMYFUNCTION("""COMPUTED_VALUE"""),"")</f>
        <v/>
      </c>
      <c r="Y195" s="97" t="str">
        <f>IFERROR(__xludf.DUMMYFUNCTION("""COMPUTED_VALUE"""),"")</f>
        <v/>
      </c>
      <c r="Z195" s="95" t="str">
        <f>IFERROR(__xludf.DUMMYFUNCTION("""COMPUTED_VALUE"""),"")</f>
        <v/>
      </c>
      <c r="AA195" s="96" t="str">
        <f>IFERROR(__xludf.DUMMYFUNCTION("""COMPUTED_VALUE"""),"")</f>
        <v/>
      </c>
      <c r="AB195" s="97" t="str">
        <f>IFERROR(__xludf.DUMMYFUNCTION("""COMPUTED_VALUE"""),"")</f>
        <v/>
      </c>
      <c r="AC195" s="95" t="str">
        <f>IFERROR(__xludf.DUMMYFUNCTION("""COMPUTED_VALUE"""),"")</f>
        <v/>
      </c>
      <c r="AD195" s="96" t="str">
        <f>IFERROR(__xludf.DUMMYFUNCTION("""COMPUTED_VALUE"""),"")</f>
        <v/>
      </c>
      <c r="AE195" s="97" t="str">
        <f>IFERROR(__xludf.DUMMYFUNCTION("""COMPUTED_VALUE"""),"")</f>
        <v/>
      </c>
      <c r="AF195" s="95" t="str">
        <f>IFERROR(__xludf.DUMMYFUNCTION("""COMPUTED_VALUE"""),"")</f>
        <v/>
      </c>
      <c r="AG195" s="96" t="str">
        <f>IFERROR(__xludf.DUMMYFUNCTION("""COMPUTED_VALUE"""),"")</f>
        <v/>
      </c>
      <c r="AH195" s="97" t="str">
        <f>IFERROR(__xludf.DUMMYFUNCTION("""COMPUTED_VALUE"""),"")</f>
        <v/>
      </c>
      <c r="AI195" s="166" t="str">
        <f>IFERROR(__xludf.DUMMYFUNCTION("""COMPUTED_VALUE"""),"")</f>
        <v/>
      </c>
      <c r="AJ195" s="167" t="str">
        <f>IFERROR(__xludf.DUMMYFUNCTION("""COMPUTED_VALUE"""),"")</f>
        <v/>
      </c>
      <c r="AK195" s="168" t="str">
        <f>IFERROR(__xludf.DUMMYFUNCTION("""COMPUTED_VALUE"""),"")</f>
        <v/>
      </c>
      <c r="AL195" s="167">
        <f>IFERROR(__xludf.DUMMYFUNCTION("""COMPUTED_VALUE"""),104.8)</f>
        <v>104.8</v>
      </c>
      <c r="AM195" s="167" t="str">
        <f>IFERROR(__xludf.DUMMYFUNCTION("""COMPUTED_VALUE"""),"")</f>
        <v/>
      </c>
      <c r="AN195" s="168" t="str">
        <f>IFERROR(__xludf.DUMMYFUNCTION("""COMPUTED_VALUE"""),"")</f>
        <v/>
      </c>
      <c r="AO195" s="167" t="str">
        <f>IFERROR(__xludf.DUMMYFUNCTION("""COMPUTED_VALUE"""),"")</f>
        <v/>
      </c>
      <c r="AP195" s="167" t="str">
        <f>IFERROR(__xludf.DUMMYFUNCTION("""COMPUTED_VALUE"""),"")</f>
        <v/>
      </c>
      <c r="AQ195" s="168" t="str">
        <f>IFERROR(__xludf.DUMMYFUNCTION("""COMPUTED_VALUE"""),"")</f>
        <v/>
      </c>
      <c r="AR195" s="167" t="str">
        <f>IFERROR(__xludf.DUMMYFUNCTION("""COMPUTED_VALUE"""),"")</f>
        <v/>
      </c>
      <c r="AS195" s="167" t="str">
        <f>IFERROR(__xludf.DUMMYFUNCTION("""COMPUTED_VALUE"""),"")</f>
        <v/>
      </c>
      <c r="AT195" s="168" t="str">
        <f>IFERROR(__xludf.DUMMYFUNCTION("""COMPUTED_VALUE"""),"")</f>
        <v/>
      </c>
      <c r="AU195" s="167" t="str">
        <f>IFERROR(__xludf.DUMMYFUNCTION("""COMPUTED_VALUE"""),"")</f>
        <v/>
      </c>
      <c r="AV195" s="167" t="str">
        <f>IFERROR(__xludf.DUMMYFUNCTION("""COMPUTED_VALUE"""),"")</f>
        <v/>
      </c>
      <c r="AW195" s="168">
        <f>IFERROR(__xludf.DUMMYFUNCTION("""COMPUTED_VALUE"""),69.9)</f>
        <v>69.9</v>
      </c>
      <c r="AX195" s="167" t="str">
        <f>IFERROR(__xludf.DUMMYFUNCTION("""COMPUTED_VALUE"""),"")</f>
        <v/>
      </c>
      <c r="AY195" s="167">
        <f>IFERROR(__xludf.DUMMYFUNCTION("""COMPUTED_VALUE"""),71.4)</f>
        <v>71.4</v>
      </c>
      <c r="AZ195" s="168" t="str">
        <f>IFERROR(__xludf.DUMMYFUNCTION("""COMPUTED_VALUE"""),"")</f>
        <v/>
      </c>
      <c r="BA195" s="167" t="str">
        <f>IFERROR(__xludf.DUMMYFUNCTION("""COMPUTED_VALUE"""),"")</f>
        <v/>
      </c>
      <c r="BB195" s="167" t="str">
        <f>IFERROR(__xludf.DUMMYFUNCTION("""COMPUTED_VALUE"""),"")</f>
        <v/>
      </c>
      <c r="BC195" s="168" t="str">
        <f>IFERROR(__xludf.DUMMYFUNCTION("""COMPUTED_VALUE"""),"")</f>
        <v/>
      </c>
      <c r="BD195" s="167" t="str">
        <f>IFERROR(__xludf.DUMMYFUNCTION("""COMPUTED_VALUE"""),"")</f>
        <v/>
      </c>
      <c r="BE195" s="167" t="str">
        <f>IFERROR(__xludf.DUMMYFUNCTION("""COMPUTED_VALUE"""),"")</f>
        <v/>
      </c>
      <c r="BF195" s="168" t="str">
        <f>IFERROR(__xludf.DUMMYFUNCTION("""COMPUTED_VALUE"""),"")</f>
        <v/>
      </c>
      <c r="BG195" s="166" t="str">
        <f>IFERROR(__xludf.DUMMYFUNCTION("""COMPUTED_VALUE"""),"")</f>
        <v/>
      </c>
      <c r="BH195" s="167" t="str">
        <f>IFERROR(__xludf.DUMMYFUNCTION("""COMPUTED_VALUE"""),"")</f>
        <v/>
      </c>
      <c r="BI195" s="168" t="str">
        <f>IFERROR(__xludf.DUMMYFUNCTION("""COMPUTED_VALUE"""),"")</f>
        <v/>
      </c>
      <c r="BJ195" s="167" t="str">
        <f>IFERROR(__xludf.DUMMYFUNCTION("""COMPUTED_VALUE"""),"")</f>
        <v/>
      </c>
      <c r="BK195" s="167" t="str">
        <f>IFERROR(__xludf.DUMMYFUNCTION("""COMPUTED_VALUE"""),"")</f>
        <v/>
      </c>
      <c r="BL195" s="168" t="str">
        <f>IFERROR(__xludf.DUMMYFUNCTION("""COMPUTED_VALUE"""),"")</f>
        <v/>
      </c>
      <c r="BM195" s="167" t="str">
        <f>IFERROR(__xludf.DUMMYFUNCTION("""COMPUTED_VALUE"""),"")</f>
        <v/>
      </c>
      <c r="BN195" s="167" t="str">
        <f>IFERROR(__xludf.DUMMYFUNCTION("""COMPUTED_VALUE"""),"")</f>
        <v/>
      </c>
      <c r="BO195" s="168">
        <f>IFERROR(__xludf.DUMMYFUNCTION("""COMPUTED_VALUE"""),107.7)</f>
        <v>107.7</v>
      </c>
      <c r="BP195" s="167" t="str">
        <f>IFERROR(__xludf.DUMMYFUNCTION("""COMPUTED_VALUE"""),"")</f>
        <v/>
      </c>
      <c r="BQ195" s="167" t="str">
        <f>IFERROR(__xludf.DUMMYFUNCTION("""COMPUTED_VALUE"""),"")</f>
        <v/>
      </c>
      <c r="BR195" s="168" t="str">
        <f>IFERROR(__xludf.DUMMYFUNCTION("""COMPUTED_VALUE"""),"")</f>
        <v/>
      </c>
      <c r="BS195" s="167">
        <f>IFERROR(__xludf.DUMMYFUNCTION("""COMPUTED_VALUE"""),99.7)</f>
        <v>99.7</v>
      </c>
      <c r="BT195" s="167" t="str">
        <f>IFERROR(__xludf.DUMMYFUNCTION("""COMPUTED_VALUE"""),"")</f>
        <v/>
      </c>
      <c r="BU195" s="168" t="str">
        <f>IFERROR(__xludf.DUMMYFUNCTION("""COMPUTED_VALUE"""),"")</f>
        <v/>
      </c>
      <c r="BV195" s="167" t="str">
        <f>IFERROR(__xludf.DUMMYFUNCTION("""COMPUTED_VALUE"""),"")</f>
        <v/>
      </c>
      <c r="BW195" s="167" t="str">
        <f>IFERROR(__xludf.DUMMYFUNCTION("""COMPUTED_VALUE"""),"")</f>
        <v/>
      </c>
      <c r="BX195" s="168" t="str">
        <f>IFERROR(__xludf.DUMMYFUNCTION("""COMPUTED_VALUE"""),"")</f>
        <v/>
      </c>
      <c r="BY195" s="167" t="str">
        <f>IFERROR(__xludf.DUMMYFUNCTION("""COMPUTED_VALUE"""),"")</f>
        <v/>
      </c>
      <c r="BZ195" s="167" t="str">
        <f>IFERROR(__xludf.DUMMYFUNCTION("""COMPUTED_VALUE"""),"")</f>
        <v/>
      </c>
      <c r="CA195" s="168" t="str">
        <f>IFERROR(__xludf.DUMMYFUNCTION("""COMPUTED_VALUE"""),"")</f>
        <v/>
      </c>
      <c r="CB195" s="166" t="str">
        <f>IFERROR(__xludf.DUMMYFUNCTION("""COMPUTED_VALUE"""),"")</f>
        <v/>
      </c>
      <c r="CC195" s="167" t="str">
        <f>IFERROR(__xludf.DUMMYFUNCTION("""COMPUTED_VALUE"""),"")</f>
        <v/>
      </c>
      <c r="CD195" s="168" t="str">
        <f>IFERROR(__xludf.DUMMYFUNCTION("""COMPUTED_VALUE"""),"")</f>
        <v/>
      </c>
      <c r="CE195" s="167" t="str">
        <f>IFERROR(__xludf.DUMMYFUNCTION("""COMPUTED_VALUE"""),"")</f>
        <v/>
      </c>
      <c r="CF195" s="167" t="str">
        <f>IFERROR(__xludf.DUMMYFUNCTION("""COMPUTED_VALUE"""),"")</f>
        <v/>
      </c>
      <c r="CG195" s="168" t="str">
        <f>IFERROR(__xludf.DUMMYFUNCTION("""COMPUTED_VALUE"""),"")</f>
        <v/>
      </c>
      <c r="CH195" s="167" t="str">
        <f>IFERROR(__xludf.DUMMYFUNCTION("""COMPUTED_VALUE"""),"")</f>
        <v/>
      </c>
      <c r="CI195" s="167" t="str">
        <f>IFERROR(__xludf.DUMMYFUNCTION("""COMPUTED_VALUE"""),"")</f>
        <v/>
      </c>
      <c r="CJ195" s="168" t="str">
        <f>IFERROR(__xludf.DUMMYFUNCTION("""COMPUTED_VALUE"""),"")</f>
        <v/>
      </c>
      <c r="CK195" s="167" t="str">
        <f>IFERROR(__xludf.DUMMYFUNCTION("""COMPUTED_VALUE"""),"")</f>
        <v/>
      </c>
      <c r="CL195" s="167" t="str">
        <f>IFERROR(__xludf.DUMMYFUNCTION("""COMPUTED_VALUE"""),"")</f>
        <v/>
      </c>
      <c r="CM195" s="168" t="str">
        <f>IFERROR(__xludf.DUMMYFUNCTION("""COMPUTED_VALUE"""),"")</f>
        <v/>
      </c>
      <c r="CN195" s="167" t="str">
        <f>IFERROR(__xludf.DUMMYFUNCTION("""COMPUTED_VALUE"""),"")</f>
        <v/>
      </c>
      <c r="CO195" s="167" t="str">
        <f>IFERROR(__xludf.DUMMYFUNCTION("""COMPUTED_VALUE"""),"")</f>
        <v/>
      </c>
      <c r="CP195" s="168" t="str">
        <f>IFERROR(__xludf.DUMMYFUNCTION("""COMPUTED_VALUE"""),"")</f>
        <v/>
      </c>
      <c r="CQ195" s="167" t="str">
        <f>IFERROR(__xludf.DUMMYFUNCTION("""COMPUTED_VALUE"""),"")</f>
        <v/>
      </c>
      <c r="CR195" s="167" t="str">
        <f>IFERROR(__xludf.DUMMYFUNCTION("""COMPUTED_VALUE"""),"")</f>
        <v/>
      </c>
      <c r="CS195" s="168"/>
      <c r="CT195" s="167"/>
      <c r="CU195" s="167"/>
      <c r="CV195" s="168"/>
      <c r="CW195" s="167"/>
      <c r="CX195" s="167"/>
      <c r="CY195" s="168"/>
      <c r="CZ195" s="167"/>
      <c r="DA195" s="167"/>
      <c r="DB195" s="168"/>
      <c r="DC195" s="167"/>
      <c r="DD195" s="167"/>
      <c r="DE195" s="168"/>
      <c r="DF195" s="167"/>
      <c r="DG195" s="167"/>
      <c r="DH195" s="168"/>
      <c r="DI195" s="167"/>
      <c r="DJ195" s="167"/>
      <c r="DK195" s="168"/>
      <c r="DL195" s="167"/>
      <c r="DM195" s="167"/>
      <c r="DN195" s="168"/>
      <c r="DO195" s="167"/>
      <c r="DP195" s="167"/>
      <c r="DQ195" s="168"/>
      <c r="DR195" s="167"/>
      <c r="DS195" s="167"/>
      <c r="DT195" s="168"/>
    </row>
    <row r="196">
      <c r="B196" s="120" t="str">
        <f>IFERROR(__xludf.DUMMYFUNCTION("""COMPUTED_VALUE"""),"ANA14")</f>
        <v>ANA14</v>
      </c>
      <c r="C196" s="82">
        <f>IFERROR(__xludf.DUMMYFUNCTION("""COMPUTED_VALUE"""),191.0)</f>
        <v>191</v>
      </c>
      <c r="D196" s="88" t="str">
        <f>IFERROR(__xludf.DUMMYFUNCTION("""COMPUTED_VALUE"""),"Yaga Ryazan")</f>
        <v>Yaga Ryazan</v>
      </c>
      <c r="E196" s="82" t="str">
        <f>IFERROR(__xludf.DUMMYFUNCTION("""COMPUTED_VALUE"""),"ヤガ・リャザン")</f>
        <v>ヤガ・リャザン</v>
      </c>
      <c r="F196" s="102">
        <f>IFERROR(__xludf.DUMMYFUNCTION("""COMPUTED_VALUE"""),21.0)</f>
        <v>21</v>
      </c>
      <c r="G196" s="82">
        <f>IFERROR(__xludf.DUMMYFUNCTION("""COMPUTED_VALUE"""),23979.0)</f>
        <v>23979</v>
      </c>
      <c r="H196" s="95">
        <f>IFERROR(__xludf.DUMMYFUNCTION("""COMPUTED_VALUE"""),101.9)</f>
        <v>101.9</v>
      </c>
      <c r="I196" s="96" t="str">
        <f>IFERROR(__xludf.DUMMYFUNCTION("""COMPUTED_VALUE"""),"")</f>
        <v/>
      </c>
      <c r="J196" s="97" t="str">
        <f>IFERROR(__xludf.DUMMYFUNCTION("""COMPUTED_VALUE"""),"")</f>
        <v/>
      </c>
      <c r="K196" s="95" t="str">
        <f>IFERROR(__xludf.DUMMYFUNCTION("""COMPUTED_VALUE"""),"")</f>
        <v/>
      </c>
      <c r="L196" s="96" t="str">
        <f>IFERROR(__xludf.DUMMYFUNCTION("""COMPUTED_VALUE"""),"")</f>
        <v/>
      </c>
      <c r="M196" s="97" t="str">
        <f>IFERROR(__xludf.DUMMYFUNCTION("""COMPUTED_VALUE"""),"")</f>
        <v/>
      </c>
      <c r="N196" s="95" t="str">
        <f>IFERROR(__xludf.DUMMYFUNCTION("""COMPUTED_VALUE"""),"")</f>
        <v/>
      </c>
      <c r="O196" s="96" t="str">
        <f>IFERROR(__xludf.DUMMYFUNCTION("""COMPUTED_VALUE"""),"")</f>
        <v/>
      </c>
      <c r="P196" s="97" t="str">
        <f>IFERROR(__xludf.DUMMYFUNCTION("""COMPUTED_VALUE"""),"")</f>
        <v/>
      </c>
      <c r="Q196" s="95" t="str">
        <f>IFERROR(__xludf.DUMMYFUNCTION("""COMPUTED_VALUE"""),"")</f>
        <v/>
      </c>
      <c r="R196" s="96" t="str">
        <f>IFERROR(__xludf.DUMMYFUNCTION("""COMPUTED_VALUE"""),"")</f>
        <v/>
      </c>
      <c r="S196" s="97" t="str">
        <f>IFERROR(__xludf.DUMMYFUNCTION("""COMPUTED_VALUE"""),"")</f>
        <v/>
      </c>
      <c r="T196" s="95" t="str">
        <f>IFERROR(__xludf.DUMMYFUNCTION("""COMPUTED_VALUE"""),"")</f>
        <v/>
      </c>
      <c r="U196" s="96" t="str">
        <f>IFERROR(__xludf.DUMMYFUNCTION("""COMPUTED_VALUE"""),"")</f>
        <v/>
      </c>
      <c r="V196" s="97" t="str">
        <f>IFERROR(__xludf.DUMMYFUNCTION("""COMPUTED_VALUE"""),"")</f>
        <v/>
      </c>
      <c r="W196" s="95" t="str">
        <f>IFERROR(__xludf.DUMMYFUNCTION("""COMPUTED_VALUE"""),"")</f>
        <v/>
      </c>
      <c r="X196" s="96" t="str">
        <f>IFERROR(__xludf.DUMMYFUNCTION("""COMPUTED_VALUE"""),"")</f>
        <v/>
      </c>
      <c r="Y196" s="97" t="str">
        <f>IFERROR(__xludf.DUMMYFUNCTION("""COMPUTED_VALUE"""),"")</f>
        <v/>
      </c>
      <c r="Z196" s="95" t="str">
        <f>IFERROR(__xludf.DUMMYFUNCTION("""COMPUTED_VALUE"""),"")</f>
        <v/>
      </c>
      <c r="AA196" s="96" t="str">
        <f>IFERROR(__xludf.DUMMYFUNCTION("""COMPUTED_VALUE"""),"")</f>
        <v/>
      </c>
      <c r="AB196" s="97" t="str">
        <f>IFERROR(__xludf.DUMMYFUNCTION("""COMPUTED_VALUE"""),"")</f>
        <v/>
      </c>
      <c r="AC196" s="95" t="str">
        <f>IFERROR(__xludf.DUMMYFUNCTION("""COMPUTED_VALUE"""),"")</f>
        <v/>
      </c>
      <c r="AD196" s="96" t="str">
        <f>IFERROR(__xludf.DUMMYFUNCTION("""COMPUTED_VALUE"""),"")</f>
        <v/>
      </c>
      <c r="AE196" s="97" t="str">
        <f>IFERROR(__xludf.DUMMYFUNCTION("""COMPUTED_VALUE"""),"")</f>
        <v/>
      </c>
      <c r="AF196" s="95" t="str">
        <f>IFERROR(__xludf.DUMMYFUNCTION("""COMPUTED_VALUE"""),"")</f>
        <v/>
      </c>
      <c r="AG196" s="96" t="str">
        <f>IFERROR(__xludf.DUMMYFUNCTION("""COMPUTED_VALUE"""),"")</f>
        <v/>
      </c>
      <c r="AH196" s="97" t="str">
        <f>IFERROR(__xludf.DUMMYFUNCTION("""COMPUTED_VALUE"""),"")</f>
        <v/>
      </c>
      <c r="AI196" s="171" t="str">
        <f>IFERROR(__xludf.DUMMYFUNCTION("""COMPUTED_VALUE"""),"")</f>
        <v/>
      </c>
      <c r="AJ196" s="93" t="str">
        <f>IFERROR(__xludf.DUMMYFUNCTION("""COMPUTED_VALUE"""),"")</f>
        <v/>
      </c>
      <c r="AK196" s="94" t="str">
        <f>IFERROR(__xludf.DUMMYFUNCTION("""COMPUTED_VALUE"""),"")</f>
        <v/>
      </c>
      <c r="AL196" s="93">
        <f>IFERROR(__xludf.DUMMYFUNCTION("""COMPUTED_VALUE"""),84.0)</f>
        <v>84</v>
      </c>
      <c r="AM196" s="93" t="str">
        <f>IFERROR(__xludf.DUMMYFUNCTION("""COMPUTED_VALUE"""),"")</f>
        <v/>
      </c>
      <c r="AN196" s="94" t="str">
        <f>IFERROR(__xludf.DUMMYFUNCTION("""COMPUTED_VALUE"""),"")</f>
        <v/>
      </c>
      <c r="AO196" s="93" t="str">
        <f>IFERROR(__xludf.DUMMYFUNCTION("""COMPUTED_VALUE"""),"")</f>
        <v/>
      </c>
      <c r="AP196" s="93" t="str">
        <f>IFERROR(__xludf.DUMMYFUNCTION("""COMPUTED_VALUE"""),"")</f>
        <v/>
      </c>
      <c r="AQ196" s="94" t="str">
        <f>IFERROR(__xludf.DUMMYFUNCTION("""COMPUTED_VALUE"""),"")</f>
        <v/>
      </c>
      <c r="AR196" s="93" t="str">
        <f>IFERROR(__xludf.DUMMYFUNCTION("""COMPUTED_VALUE"""),"")</f>
        <v/>
      </c>
      <c r="AS196" s="93" t="str">
        <f>IFERROR(__xludf.DUMMYFUNCTION("""COMPUTED_VALUE"""),"")</f>
        <v/>
      </c>
      <c r="AT196" s="94" t="str">
        <f>IFERROR(__xludf.DUMMYFUNCTION("""COMPUTED_VALUE"""),"")</f>
        <v/>
      </c>
      <c r="AU196" s="93" t="str">
        <f>IFERROR(__xludf.DUMMYFUNCTION("""COMPUTED_VALUE"""),"")</f>
        <v/>
      </c>
      <c r="AV196" s="93" t="str">
        <f>IFERROR(__xludf.DUMMYFUNCTION("""COMPUTED_VALUE"""),"")</f>
        <v/>
      </c>
      <c r="AW196" s="94" t="str">
        <f>IFERROR(__xludf.DUMMYFUNCTION("""COMPUTED_VALUE"""),"")</f>
        <v/>
      </c>
      <c r="AX196" s="93" t="str">
        <f>IFERROR(__xludf.DUMMYFUNCTION("""COMPUTED_VALUE"""),"")</f>
        <v/>
      </c>
      <c r="AY196" s="93" t="str">
        <f>IFERROR(__xludf.DUMMYFUNCTION("""COMPUTED_VALUE"""),"")</f>
        <v/>
      </c>
      <c r="AZ196" s="94" t="str">
        <f>IFERROR(__xludf.DUMMYFUNCTION("""COMPUTED_VALUE"""),"")</f>
        <v/>
      </c>
      <c r="BA196" s="93" t="str">
        <f>IFERROR(__xludf.DUMMYFUNCTION("""COMPUTED_VALUE"""),"")</f>
        <v/>
      </c>
      <c r="BB196" s="93" t="str">
        <f>IFERROR(__xludf.DUMMYFUNCTION("""COMPUTED_VALUE"""),"")</f>
        <v/>
      </c>
      <c r="BC196" s="94" t="str">
        <f>IFERROR(__xludf.DUMMYFUNCTION("""COMPUTED_VALUE"""),"")</f>
        <v/>
      </c>
      <c r="BD196" s="93" t="str">
        <f>IFERROR(__xludf.DUMMYFUNCTION("""COMPUTED_VALUE"""),"")</f>
        <v/>
      </c>
      <c r="BE196" s="93" t="str">
        <f>IFERROR(__xludf.DUMMYFUNCTION("""COMPUTED_VALUE"""),"")</f>
        <v/>
      </c>
      <c r="BF196" s="94" t="str">
        <f>IFERROR(__xludf.DUMMYFUNCTION("""COMPUTED_VALUE"""),"")</f>
        <v/>
      </c>
      <c r="BG196" s="92" t="str">
        <f>IFERROR(__xludf.DUMMYFUNCTION("""COMPUTED_VALUE"""),"")</f>
        <v/>
      </c>
      <c r="BH196" s="93" t="str">
        <f>IFERROR(__xludf.DUMMYFUNCTION("""COMPUTED_VALUE"""),"")</f>
        <v/>
      </c>
      <c r="BI196" s="172">
        <f>IFERROR(__xludf.DUMMYFUNCTION("""COMPUTED_VALUE"""),661.3)</f>
        <v>661.3</v>
      </c>
      <c r="BJ196" s="93" t="str">
        <f>IFERROR(__xludf.DUMMYFUNCTION("""COMPUTED_VALUE"""),"")</f>
        <v/>
      </c>
      <c r="BK196" s="93" t="str">
        <f>IFERROR(__xludf.DUMMYFUNCTION("""COMPUTED_VALUE"""),"")</f>
        <v/>
      </c>
      <c r="BL196" s="94" t="str">
        <f>IFERROR(__xludf.DUMMYFUNCTION("""COMPUTED_VALUE"""),"")</f>
        <v/>
      </c>
      <c r="BM196" s="93" t="str">
        <f>IFERROR(__xludf.DUMMYFUNCTION("""COMPUTED_VALUE"""),"")</f>
        <v/>
      </c>
      <c r="BN196" s="93" t="str">
        <f>IFERROR(__xludf.DUMMYFUNCTION("""COMPUTED_VALUE"""),"")</f>
        <v/>
      </c>
      <c r="BO196" s="94">
        <f>IFERROR(__xludf.DUMMYFUNCTION("""COMPUTED_VALUE"""),59.7)</f>
        <v>59.7</v>
      </c>
      <c r="BP196" s="93" t="str">
        <f>IFERROR(__xludf.DUMMYFUNCTION("""COMPUTED_VALUE"""),"")</f>
        <v/>
      </c>
      <c r="BQ196" s="93" t="str">
        <f>IFERROR(__xludf.DUMMYFUNCTION("""COMPUTED_VALUE"""),"")</f>
        <v/>
      </c>
      <c r="BR196" s="94" t="str">
        <f>IFERROR(__xludf.DUMMYFUNCTION("""COMPUTED_VALUE"""),"")</f>
        <v/>
      </c>
      <c r="BS196" s="93" t="str">
        <f>IFERROR(__xludf.DUMMYFUNCTION("""COMPUTED_VALUE"""),"")</f>
        <v/>
      </c>
      <c r="BT196" s="93" t="str">
        <f>IFERROR(__xludf.DUMMYFUNCTION("""COMPUTED_VALUE"""),"")</f>
        <v/>
      </c>
      <c r="BU196" s="94" t="str">
        <f>IFERROR(__xludf.DUMMYFUNCTION("""COMPUTED_VALUE"""),"")</f>
        <v/>
      </c>
      <c r="BV196" s="93" t="str">
        <f>IFERROR(__xludf.DUMMYFUNCTION("""COMPUTED_VALUE"""),"")</f>
        <v/>
      </c>
      <c r="BW196" s="93" t="str">
        <f>IFERROR(__xludf.DUMMYFUNCTION("""COMPUTED_VALUE"""),"")</f>
        <v/>
      </c>
      <c r="BX196" s="94" t="str">
        <f>IFERROR(__xludf.DUMMYFUNCTION("""COMPUTED_VALUE"""),"")</f>
        <v/>
      </c>
      <c r="BY196" s="93" t="str">
        <f>IFERROR(__xludf.DUMMYFUNCTION("""COMPUTED_VALUE"""),"")</f>
        <v/>
      </c>
      <c r="BZ196" s="93" t="str">
        <f>IFERROR(__xludf.DUMMYFUNCTION("""COMPUTED_VALUE"""),"")</f>
        <v/>
      </c>
      <c r="CA196" s="94" t="str">
        <f>IFERROR(__xludf.DUMMYFUNCTION("""COMPUTED_VALUE"""),"")</f>
        <v/>
      </c>
      <c r="CB196" s="92" t="str">
        <f>IFERROR(__xludf.DUMMYFUNCTION("""COMPUTED_VALUE"""),"")</f>
        <v/>
      </c>
      <c r="CC196" s="93" t="str">
        <f>IFERROR(__xludf.DUMMYFUNCTION("""COMPUTED_VALUE"""),"")</f>
        <v/>
      </c>
      <c r="CD196" s="172" t="str">
        <f>IFERROR(__xludf.DUMMYFUNCTION("""COMPUTED_VALUE"""),"")</f>
        <v/>
      </c>
      <c r="CE196" s="93" t="str">
        <f>IFERROR(__xludf.DUMMYFUNCTION("""COMPUTED_VALUE"""),"")</f>
        <v/>
      </c>
      <c r="CF196" s="93" t="str">
        <f>IFERROR(__xludf.DUMMYFUNCTION("""COMPUTED_VALUE"""),"")</f>
        <v/>
      </c>
      <c r="CG196" s="94" t="str">
        <f>IFERROR(__xludf.DUMMYFUNCTION("""COMPUTED_VALUE"""),"")</f>
        <v/>
      </c>
      <c r="CH196" s="93" t="str">
        <f>IFERROR(__xludf.DUMMYFUNCTION("""COMPUTED_VALUE"""),"")</f>
        <v/>
      </c>
      <c r="CI196" s="93" t="str">
        <f>IFERROR(__xludf.DUMMYFUNCTION("""COMPUTED_VALUE"""),"")</f>
        <v/>
      </c>
      <c r="CJ196" s="94" t="str">
        <f>IFERROR(__xludf.DUMMYFUNCTION("""COMPUTED_VALUE"""),"")</f>
        <v/>
      </c>
      <c r="CK196" s="93" t="str">
        <f>IFERROR(__xludf.DUMMYFUNCTION("""COMPUTED_VALUE"""),"")</f>
        <v/>
      </c>
      <c r="CL196" s="93" t="str">
        <f>IFERROR(__xludf.DUMMYFUNCTION("""COMPUTED_VALUE"""),"")</f>
        <v/>
      </c>
      <c r="CM196" s="94" t="str">
        <f>IFERROR(__xludf.DUMMYFUNCTION("""COMPUTED_VALUE"""),"")</f>
        <v/>
      </c>
      <c r="CN196" s="93" t="str">
        <f>IFERROR(__xludf.DUMMYFUNCTION("""COMPUTED_VALUE"""),"")</f>
        <v/>
      </c>
      <c r="CO196" s="93" t="str">
        <f>IFERROR(__xludf.DUMMYFUNCTION("""COMPUTED_VALUE"""),"")</f>
        <v/>
      </c>
      <c r="CP196" s="94" t="str">
        <f>IFERROR(__xludf.DUMMYFUNCTION("""COMPUTED_VALUE"""),"")</f>
        <v/>
      </c>
      <c r="CQ196" s="93" t="str">
        <f>IFERROR(__xludf.DUMMYFUNCTION("""COMPUTED_VALUE"""),"")</f>
        <v/>
      </c>
      <c r="CR196" s="93">
        <f>IFERROR(__xludf.DUMMYFUNCTION("""COMPUTED_VALUE"""),433.0)</f>
        <v>433</v>
      </c>
      <c r="CS196" s="94"/>
      <c r="CT196" s="93"/>
      <c r="CU196" s="93"/>
      <c r="CV196" s="94"/>
      <c r="CW196" s="93"/>
      <c r="CX196" s="93"/>
      <c r="CY196" s="94"/>
      <c r="CZ196" s="93"/>
      <c r="DA196" s="93"/>
      <c r="DB196" s="94"/>
      <c r="DC196" s="93"/>
      <c r="DD196" s="93"/>
      <c r="DE196" s="94"/>
      <c r="DF196" s="93"/>
      <c r="DG196" s="93"/>
      <c r="DH196" s="94"/>
      <c r="DI196" s="93"/>
      <c r="DJ196" s="93"/>
      <c r="DK196" s="94"/>
      <c r="DL196" s="93"/>
      <c r="DM196" s="93"/>
      <c r="DN196" s="94"/>
      <c r="DO196" s="93"/>
      <c r="DP196" s="93"/>
      <c r="DQ196" s="94"/>
      <c r="DR196" s="93"/>
      <c r="DS196" s="93"/>
      <c r="DT196" s="94"/>
    </row>
    <row r="197" ht="16.5" customHeight="1">
      <c r="A197" s="173" t="str">
        <f>IFERROR(__xludf.DUMMYFUNCTION("""COMPUTED_VALUE"""),"GÖTTERDÄMMERUNG")</f>
        <v>GÖTTERDÄMMERUNG</v>
      </c>
      <c r="B197" s="120" t="str">
        <f>IFERROR(__xludf.DUMMYFUNCTION("""COMPUTED_VALUE"""),"GTT1")</f>
        <v>GTT1</v>
      </c>
      <c r="C197" s="82">
        <f>IFERROR(__xludf.DUMMYFUNCTION("""COMPUTED_VALUE"""),192.0)</f>
        <v>192</v>
      </c>
      <c r="D197" s="88" t="str">
        <f>IFERROR(__xludf.DUMMYFUNCTION("""COMPUTED_VALUE"""),"Landing Point")</f>
        <v>Landing Point</v>
      </c>
      <c r="E197" s="82" t="str">
        <f>IFERROR(__xludf.DUMMYFUNCTION("""COMPUTED_VALUE"""),"ランディングポイント")</f>
        <v>ランディングポイント</v>
      </c>
      <c r="F197" s="102">
        <f>IFERROR(__xludf.DUMMYFUNCTION("""COMPUTED_VALUE"""),20.0)</f>
        <v>20</v>
      </c>
      <c r="G197" s="82">
        <f>IFERROR(__xludf.DUMMYFUNCTION("""COMPUTED_VALUE"""),7996.0)</f>
        <v>7996</v>
      </c>
      <c r="H197" s="95" t="str">
        <f>IFERROR(__xludf.DUMMYFUNCTION("""COMPUTED_VALUE"""),"")</f>
        <v/>
      </c>
      <c r="I197" s="96" t="str">
        <f>IFERROR(__xludf.DUMMYFUNCTION("""COMPUTED_VALUE"""),"")</f>
        <v/>
      </c>
      <c r="J197" s="97" t="str">
        <f>IFERROR(__xludf.DUMMYFUNCTION("""COMPUTED_VALUE"""),"")</f>
        <v/>
      </c>
      <c r="K197" s="95" t="str">
        <f>IFERROR(__xludf.DUMMYFUNCTION("""COMPUTED_VALUE"""),"")</f>
        <v/>
      </c>
      <c r="L197" s="96" t="str">
        <f>IFERROR(__xludf.DUMMYFUNCTION("""COMPUTED_VALUE"""),"")</f>
        <v/>
      </c>
      <c r="M197" s="97" t="str">
        <f>IFERROR(__xludf.DUMMYFUNCTION("""COMPUTED_VALUE"""),"")</f>
        <v/>
      </c>
      <c r="N197" s="95" t="str">
        <f>IFERROR(__xludf.DUMMYFUNCTION("""COMPUTED_VALUE"""),"")</f>
        <v/>
      </c>
      <c r="O197" s="96" t="str">
        <f>IFERROR(__xludf.DUMMYFUNCTION("""COMPUTED_VALUE"""),"")</f>
        <v/>
      </c>
      <c r="P197" s="97" t="str">
        <f>IFERROR(__xludf.DUMMYFUNCTION("""COMPUTED_VALUE"""),"")</f>
        <v/>
      </c>
      <c r="Q197" s="95">
        <f>IFERROR(__xludf.DUMMYFUNCTION("""COMPUTED_VALUE"""),164.9)</f>
        <v>164.9</v>
      </c>
      <c r="R197" s="96" t="str">
        <f>IFERROR(__xludf.DUMMYFUNCTION("""COMPUTED_VALUE"""),"")</f>
        <v/>
      </c>
      <c r="S197" s="97" t="str">
        <f>IFERROR(__xludf.DUMMYFUNCTION("""COMPUTED_VALUE"""),"")</f>
        <v/>
      </c>
      <c r="T197" s="95" t="str">
        <f>IFERROR(__xludf.DUMMYFUNCTION("""COMPUTED_VALUE"""),"")</f>
        <v/>
      </c>
      <c r="U197" s="96" t="str">
        <f>IFERROR(__xludf.DUMMYFUNCTION("""COMPUTED_VALUE"""),"")</f>
        <v/>
      </c>
      <c r="V197" s="97" t="str">
        <f>IFERROR(__xludf.DUMMYFUNCTION("""COMPUTED_VALUE"""),"")</f>
        <v/>
      </c>
      <c r="W197" s="95" t="str">
        <f>IFERROR(__xludf.DUMMYFUNCTION("""COMPUTED_VALUE"""),"")</f>
        <v/>
      </c>
      <c r="X197" s="96" t="str">
        <f>IFERROR(__xludf.DUMMYFUNCTION("""COMPUTED_VALUE"""),"")</f>
        <v/>
      </c>
      <c r="Y197" s="97" t="str">
        <f>IFERROR(__xludf.DUMMYFUNCTION("""COMPUTED_VALUE"""),"")</f>
        <v/>
      </c>
      <c r="Z197" s="95">
        <f>IFERROR(__xludf.DUMMYFUNCTION("""COMPUTED_VALUE"""),77.3)</f>
        <v>77.3</v>
      </c>
      <c r="AA197" s="96" t="str">
        <f>IFERROR(__xludf.DUMMYFUNCTION("""COMPUTED_VALUE"""),"")</f>
        <v/>
      </c>
      <c r="AB197" s="97" t="str">
        <f>IFERROR(__xludf.DUMMYFUNCTION("""COMPUTED_VALUE"""),"")</f>
        <v/>
      </c>
      <c r="AC197" s="95" t="str">
        <f>IFERROR(__xludf.DUMMYFUNCTION("""COMPUTED_VALUE"""),"")</f>
        <v/>
      </c>
      <c r="AD197" s="96" t="str">
        <f>IFERROR(__xludf.DUMMYFUNCTION("""COMPUTED_VALUE"""),"")</f>
        <v/>
      </c>
      <c r="AE197" s="97" t="str">
        <f>IFERROR(__xludf.DUMMYFUNCTION("""COMPUTED_VALUE"""),"")</f>
        <v/>
      </c>
      <c r="AF197" s="95" t="str">
        <f>IFERROR(__xludf.DUMMYFUNCTION("""COMPUTED_VALUE"""),"")</f>
        <v/>
      </c>
      <c r="AG197" s="96" t="str">
        <f>IFERROR(__xludf.DUMMYFUNCTION("""COMPUTED_VALUE"""),"")</f>
        <v/>
      </c>
      <c r="AH197" s="97" t="str">
        <f>IFERROR(__xludf.DUMMYFUNCTION("""COMPUTED_VALUE"""),"")</f>
        <v/>
      </c>
      <c r="AI197" s="121" t="str">
        <f>IFERROR(__xludf.DUMMYFUNCTION("""COMPUTED_VALUE"""),"")</f>
        <v/>
      </c>
      <c r="AJ197" s="122" t="str">
        <f>IFERROR(__xludf.DUMMYFUNCTION("""COMPUTED_VALUE"""),"")</f>
        <v/>
      </c>
      <c r="AK197" s="123" t="str">
        <f>IFERROR(__xludf.DUMMYFUNCTION("""COMPUTED_VALUE"""),"")</f>
        <v/>
      </c>
      <c r="AL197" s="122" t="str">
        <f>IFERROR(__xludf.DUMMYFUNCTION("""COMPUTED_VALUE"""),"")</f>
        <v/>
      </c>
      <c r="AM197" s="122" t="str">
        <f>IFERROR(__xludf.DUMMYFUNCTION("""COMPUTED_VALUE"""),"")</f>
        <v/>
      </c>
      <c r="AN197" s="123" t="str">
        <f>IFERROR(__xludf.DUMMYFUNCTION("""COMPUTED_VALUE"""),"")</f>
        <v/>
      </c>
      <c r="AO197" s="122" t="str">
        <f>IFERROR(__xludf.DUMMYFUNCTION("""COMPUTED_VALUE"""),"")</f>
        <v/>
      </c>
      <c r="AP197" s="122" t="str">
        <f>IFERROR(__xludf.DUMMYFUNCTION("""COMPUTED_VALUE"""),"")</f>
        <v/>
      </c>
      <c r="AQ197" s="123" t="str">
        <f>IFERROR(__xludf.DUMMYFUNCTION("""COMPUTED_VALUE"""),"")</f>
        <v/>
      </c>
      <c r="AR197" s="122" t="str">
        <f>IFERROR(__xludf.DUMMYFUNCTION("""COMPUTED_VALUE"""),"")</f>
        <v/>
      </c>
      <c r="AS197" s="122" t="str">
        <f>IFERROR(__xludf.DUMMYFUNCTION("""COMPUTED_VALUE"""),"")</f>
        <v/>
      </c>
      <c r="AT197" s="123" t="str">
        <f>IFERROR(__xludf.DUMMYFUNCTION("""COMPUTED_VALUE"""),"")</f>
        <v/>
      </c>
      <c r="AU197" s="122" t="str">
        <f>IFERROR(__xludf.DUMMYFUNCTION("""COMPUTED_VALUE"""),"")</f>
        <v/>
      </c>
      <c r="AV197" s="122" t="str">
        <f>IFERROR(__xludf.DUMMYFUNCTION("""COMPUTED_VALUE"""),"")</f>
        <v/>
      </c>
      <c r="AW197" s="123">
        <f>IFERROR(__xludf.DUMMYFUNCTION("""COMPUTED_VALUE"""),65.0)</f>
        <v>65</v>
      </c>
      <c r="AX197" s="122" t="str">
        <f>IFERROR(__xludf.DUMMYFUNCTION("""COMPUTED_VALUE"""),"")</f>
        <v/>
      </c>
      <c r="AY197" s="122" t="str">
        <f>IFERROR(__xludf.DUMMYFUNCTION("""COMPUTED_VALUE"""),"")</f>
        <v/>
      </c>
      <c r="AZ197" s="123" t="str">
        <f>IFERROR(__xludf.DUMMYFUNCTION("""COMPUTED_VALUE"""),"")</f>
        <v/>
      </c>
      <c r="BA197" s="122" t="str">
        <f>IFERROR(__xludf.DUMMYFUNCTION("""COMPUTED_VALUE"""),"")</f>
        <v/>
      </c>
      <c r="BB197" s="122" t="str">
        <f>IFERROR(__xludf.DUMMYFUNCTION("""COMPUTED_VALUE"""),"")</f>
        <v/>
      </c>
      <c r="BC197" s="123" t="str">
        <f>IFERROR(__xludf.DUMMYFUNCTION("""COMPUTED_VALUE"""),"")</f>
        <v/>
      </c>
      <c r="BD197" s="122" t="str">
        <f>IFERROR(__xludf.DUMMYFUNCTION("""COMPUTED_VALUE"""),"")</f>
        <v/>
      </c>
      <c r="BE197" s="122" t="str">
        <f>IFERROR(__xludf.DUMMYFUNCTION("""COMPUTED_VALUE"""),"")</f>
        <v/>
      </c>
      <c r="BF197" s="123" t="str">
        <f>IFERROR(__xludf.DUMMYFUNCTION("""COMPUTED_VALUE"""),"")</f>
        <v/>
      </c>
      <c r="BG197" s="121" t="str">
        <f>IFERROR(__xludf.DUMMYFUNCTION("""COMPUTED_VALUE"""),"")</f>
        <v/>
      </c>
      <c r="BH197" s="122" t="str">
        <f>IFERROR(__xludf.DUMMYFUNCTION("""COMPUTED_VALUE"""),"")</f>
        <v/>
      </c>
      <c r="BI197" s="123" t="str">
        <f>IFERROR(__xludf.DUMMYFUNCTION("""COMPUTED_VALUE"""),"")</f>
        <v/>
      </c>
      <c r="BJ197" s="122" t="str">
        <f>IFERROR(__xludf.DUMMYFUNCTION("""COMPUTED_VALUE"""),"")</f>
        <v/>
      </c>
      <c r="BK197" s="122" t="str">
        <f>IFERROR(__xludf.DUMMYFUNCTION("""COMPUTED_VALUE"""),"")</f>
        <v/>
      </c>
      <c r="BL197" s="123" t="str">
        <f>IFERROR(__xludf.DUMMYFUNCTION("""COMPUTED_VALUE"""),"")</f>
        <v/>
      </c>
      <c r="BM197" s="122" t="str">
        <f>IFERROR(__xludf.DUMMYFUNCTION("""COMPUTED_VALUE"""),"")</f>
        <v/>
      </c>
      <c r="BN197" s="122" t="str">
        <f>IFERROR(__xludf.DUMMYFUNCTION("""COMPUTED_VALUE"""),"")</f>
        <v/>
      </c>
      <c r="BO197" s="123">
        <f>IFERROR(__xludf.DUMMYFUNCTION("""COMPUTED_VALUE"""),242.4)</f>
        <v>242.4</v>
      </c>
      <c r="BP197" s="122" t="str">
        <f>IFERROR(__xludf.DUMMYFUNCTION("""COMPUTED_VALUE"""),"")</f>
        <v/>
      </c>
      <c r="BQ197" s="122" t="str">
        <f>IFERROR(__xludf.DUMMYFUNCTION("""COMPUTED_VALUE"""),"")</f>
        <v/>
      </c>
      <c r="BR197" s="123" t="str">
        <f>IFERROR(__xludf.DUMMYFUNCTION("""COMPUTED_VALUE"""),"")</f>
        <v/>
      </c>
      <c r="BS197" s="122" t="str">
        <f>IFERROR(__xludf.DUMMYFUNCTION("""COMPUTED_VALUE"""),"")</f>
        <v/>
      </c>
      <c r="BT197" s="122" t="str">
        <f>IFERROR(__xludf.DUMMYFUNCTION("""COMPUTED_VALUE"""),"")</f>
        <v/>
      </c>
      <c r="BU197" s="123" t="str">
        <f>IFERROR(__xludf.DUMMYFUNCTION("""COMPUTED_VALUE"""),"")</f>
        <v/>
      </c>
      <c r="BV197" s="122">
        <f>IFERROR(__xludf.DUMMYFUNCTION("""COMPUTED_VALUE"""),41.8)</f>
        <v>41.8</v>
      </c>
      <c r="BW197" s="122" t="str">
        <f>IFERROR(__xludf.DUMMYFUNCTION("""COMPUTED_VALUE"""),"")</f>
        <v/>
      </c>
      <c r="BX197" s="123" t="str">
        <f>IFERROR(__xludf.DUMMYFUNCTION("""COMPUTED_VALUE"""),"")</f>
        <v/>
      </c>
      <c r="BY197" s="122" t="str">
        <f>IFERROR(__xludf.DUMMYFUNCTION("""COMPUTED_VALUE"""),"")</f>
        <v/>
      </c>
      <c r="BZ197" s="122" t="str">
        <f>IFERROR(__xludf.DUMMYFUNCTION("""COMPUTED_VALUE"""),"")</f>
        <v/>
      </c>
      <c r="CA197" s="123" t="str">
        <f>IFERROR(__xludf.DUMMYFUNCTION("""COMPUTED_VALUE"""),"")</f>
        <v/>
      </c>
      <c r="CB197" s="121" t="str">
        <f>IFERROR(__xludf.DUMMYFUNCTION("""COMPUTED_VALUE"""),"")</f>
        <v/>
      </c>
      <c r="CC197" s="122" t="str">
        <f>IFERROR(__xludf.DUMMYFUNCTION("""COMPUTED_VALUE"""),"")</f>
        <v/>
      </c>
      <c r="CD197" s="123" t="str">
        <f>IFERROR(__xludf.DUMMYFUNCTION("""COMPUTED_VALUE"""),"")</f>
        <v/>
      </c>
      <c r="CE197" s="122" t="str">
        <f>IFERROR(__xludf.DUMMYFUNCTION("""COMPUTED_VALUE"""),"")</f>
        <v/>
      </c>
      <c r="CF197" s="122" t="str">
        <f>IFERROR(__xludf.DUMMYFUNCTION("""COMPUTED_VALUE"""),"")</f>
        <v/>
      </c>
      <c r="CG197" s="123" t="str">
        <f>IFERROR(__xludf.DUMMYFUNCTION("""COMPUTED_VALUE"""),"")</f>
        <v/>
      </c>
      <c r="CH197" s="122" t="str">
        <f>IFERROR(__xludf.DUMMYFUNCTION("""COMPUTED_VALUE"""),"")</f>
        <v/>
      </c>
      <c r="CI197" s="122" t="str">
        <f>IFERROR(__xludf.DUMMYFUNCTION("""COMPUTED_VALUE"""),"")</f>
        <v/>
      </c>
      <c r="CJ197" s="123" t="str">
        <f>IFERROR(__xludf.DUMMYFUNCTION("""COMPUTED_VALUE"""),"")</f>
        <v/>
      </c>
      <c r="CK197" s="122" t="str">
        <f>IFERROR(__xludf.DUMMYFUNCTION("""COMPUTED_VALUE"""),"")</f>
        <v/>
      </c>
      <c r="CL197" s="122" t="str">
        <f>IFERROR(__xludf.DUMMYFUNCTION("""COMPUTED_VALUE"""),"")</f>
        <v/>
      </c>
      <c r="CM197" s="123" t="str">
        <f>IFERROR(__xludf.DUMMYFUNCTION("""COMPUTED_VALUE"""),"")</f>
        <v/>
      </c>
      <c r="CN197" s="122" t="str">
        <f>IFERROR(__xludf.DUMMYFUNCTION("""COMPUTED_VALUE"""),"")</f>
        <v/>
      </c>
      <c r="CO197" s="122" t="str">
        <f>IFERROR(__xludf.DUMMYFUNCTION("""COMPUTED_VALUE"""),"")</f>
        <v/>
      </c>
      <c r="CP197" s="123" t="str">
        <f>IFERROR(__xludf.DUMMYFUNCTION("""COMPUTED_VALUE"""),"")</f>
        <v/>
      </c>
      <c r="CQ197" s="122">
        <f>IFERROR(__xludf.DUMMYFUNCTION("""COMPUTED_VALUE"""),376.2)</f>
        <v>376.2</v>
      </c>
      <c r="CR197" s="122" t="str">
        <f>IFERROR(__xludf.DUMMYFUNCTION("""COMPUTED_VALUE"""),"")</f>
        <v/>
      </c>
      <c r="CS197" s="123"/>
      <c r="CT197" s="122"/>
      <c r="CU197" s="122"/>
      <c r="CV197" s="123"/>
      <c r="CW197" s="122"/>
      <c r="CX197" s="122"/>
      <c r="CY197" s="123"/>
      <c r="CZ197" s="122"/>
      <c r="DA197" s="122"/>
      <c r="DB197" s="123"/>
      <c r="DC197" s="122"/>
      <c r="DD197" s="122"/>
      <c r="DE197" s="123"/>
      <c r="DF197" s="122"/>
      <c r="DG197" s="122"/>
      <c r="DH197" s="123"/>
      <c r="DI197" s="122"/>
      <c r="DJ197" s="122"/>
      <c r="DK197" s="123"/>
      <c r="DL197" s="122"/>
      <c r="DM197" s="122"/>
      <c r="DN197" s="123"/>
      <c r="DO197" s="122"/>
      <c r="DP197" s="122"/>
      <c r="DQ197" s="123"/>
      <c r="DR197" s="122"/>
      <c r="DS197" s="122"/>
      <c r="DT197" s="123"/>
    </row>
    <row r="198" ht="16.5" customHeight="1">
      <c r="B198" s="120" t="str">
        <f>IFERROR(__xludf.DUMMYFUNCTION("""COMPUTED_VALUE"""),"GTT2")</f>
        <v>GTT2</v>
      </c>
      <c r="C198" s="82">
        <f>IFERROR(__xludf.DUMMYFUNCTION("""COMPUTED_VALUE"""),193.0)</f>
        <v>193</v>
      </c>
      <c r="D198" s="88" t="str">
        <f>IFERROR(__xludf.DUMMYFUNCTION("""COMPUTED_VALUE"""),"Thin Ice Hill")</f>
        <v>Thin Ice Hill</v>
      </c>
      <c r="E198" s="82" t="str">
        <f>IFERROR(__xludf.DUMMYFUNCTION("""COMPUTED_VALUE"""),"薄氷の丘")</f>
        <v>薄氷の丘</v>
      </c>
      <c r="F198" s="102">
        <f>IFERROR(__xludf.DUMMYFUNCTION("""COMPUTED_VALUE"""),20.0)</f>
        <v>20</v>
      </c>
      <c r="G198" s="82">
        <f>IFERROR(__xludf.DUMMYFUNCTION("""COMPUTED_VALUE"""),4180.0)</f>
        <v>4180</v>
      </c>
      <c r="H198" s="95" t="str">
        <f>IFERROR(__xludf.DUMMYFUNCTION("""COMPUTED_VALUE"""),"")</f>
        <v/>
      </c>
      <c r="I198" s="96" t="str">
        <f>IFERROR(__xludf.DUMMYFUNCTION("""COMPUTED_VALUE"""),"")</f>
        <v/>
      </c>
      <c r="J198" s="97" t="str">
        <f>IFERROR(__xludf.DUMMYFUNCTION("""COMPUTED_VALUE"""),"")</f>
        <v/>
      </c>
      <c r="K198" s="95" t="str">
        <f>IFERROR(__xludf.DUMMYFUNCTION("""COMPUTED_VALUE"""),"")</f>
        <v/>
      </c>
      <c r="L198" s="96" t="str">
        <f>IFERROR(__xludf.DUMMYFUNCTION("""COMPUTED_VALUE"""),"")</f>
        <v/>
      </c>
      <c r="M198" s="97" t="str">
        <f>IFERROR(__xludf.DUMMYFUNCTION("""COMPUTED_VALUE"""),"")</f>
        <v/>
      </c>
      <c r="N198" s="95" t="str">
        <f>IFERROR(__xludf.DUMMYFUNCTION("""COMPUTED_VALUE"""),"")</f>
        <v/>
      </c>
      <c r="O198" s="96" t="str">
        <f>IFERROR(__xludf.DUMMYFUNCTION("""COMPUTED_VALUE"""),"")</f>
        <v/>
      </c>
      <c r="P198" s="97" t="str">
        <f>IFERROR(__xludf.DUMMYFUNCTION("""COMPUTED_VALUE"""),"")</f>
        <v/>
      </c>
      <c r="Q198" s="95" t="str">
        <f>IFERROR(__xludf.DUMMYFUNCTION("""COMPUTED_VALUE"""),"")</f>
        <v/>
      </c>
      <c r="R198" s="96" t="str">
        <f>IFERROR(__xludf.DUMMYFUNCTION("""COMPUTED_VALUE"""),"")</f>
        <v/>
      </c>
      <c r="S198" s="97" t="str">
        <f>IFERROR(__xludf.DUMMYFUNCTION("""COMPUTED_VALUE"""),"")</f>
        <v/>
      </c>
      <c r="T198" s="95" t="str">
        <f>IFERROR(__xludf.DUMMYFUNCTION("""COMPUTED_VALUE"""),"")</f>
        <v/>
      </c>
      <c r="U198" s="96" t="str">
        <f>IFERROR(__xludf.DUMMYFUNCTION("""COMPUTED_VALUE"""),"")</f>
        <v/>
      </c>
      <c r="V198" s="97" t="str">
        <f>IFERROR(__xludf.DUMMYFUNCTION("""COMPUTED_VALUE"""),"")</f>
        <v/>
      </c>
      <c r="W198" s="95" t="str">
        <f>IFERROR(__xludf.DUMMYFUNCTION("""COMPUTED_VALUE"""),"")</f>
        <v/>
      </c>
      <c r="X198" s="96" t="str">
        <f>IFERROR(__xludf.DUMMYFUNCTION("""COMPUTED_VALUE"""),"")</f>
        <v/>
      </c>
      <c r="Y198" s="97" t="str">
        <f>IFERROR(__xludf.DUMMYFUNCTION("""COMPUTED_VALUE"""),"")</f>
        <v/>
      </c>
      <c r="Z198" s="95">
        <f>IFERROR(__xludf.DUMMYFUNCTION("""COMPUTED_VALUE"""),78.6)</f>
        <v>78.6</v>
      </c>
      <c r="AA198" s="96" t="str">
        <f>IFERROR(__xludf.DUMMYFUNCTION("""COMPUTED_VALUE"""),"")</f>
        <v/>
      </c>
      <c r="AB198" s="97" t="str">
        <f>IFERROR(__xludf.DUMMYFUNCTION("""COMPUTED_VALUE"""),"")</f>
        <v/>
      </c>
      <c r="AC198" s="95" t="str">
        <f>IFERROR(__xludf.DUMMYFUNCTION("""COMPUTED_VALUE"""),"")</f>
        <v/>
      </c>
      <c r="AD198" s="96" t="str">
        <f>IFERROR(__xludf.DUMMYFUNCTION("""COMPUTED_VALUE"""),"")</f>
        <v/>
      </c>
      <c r="AE198" s="97" t="str">
        <f>IFERROR(__xludf.DUMMYFUNCTION("""COMPUTED_VALUE"""),"")</f>
        <v/>
      </c>
      <c r="AF198" s="95" t="str">
        <f>IFERROR(__xludf.DUMMYFUNCTION("""COMPUTED_VALUE"""),"")</f>
        <v/>
      </c>
      <c r="AG198" s="96" t="str">
        <f>IFERROR(__xludf.DUMMYFUNCTION("""COMPUTED_VALUE"""),"")</f>
        <v/>
      </c>
      <c r="AH198" s="97" t="str">
        <f>IFERROR(__xludf.DUMMYFUNCTION("""COMPUTED_VALUE"""),"")</f>
        <v/>
      </c>
      <c r="AI198" s="92" t="str">
        <f>IFERROR(__xludf.DUMMYFUNCTION("""COMPUTED_VALUE"""),"")</f>
        <v/>
      </c>
      <c r="AJ198" s="93" t="str">
        <f>IFERROR(__xludf.DUMMYFUNCTION("""COMPUTED_VALUE"""),"")</f>
        <v/>
      </c>
      <c r="AK198" s="94" t="str">
        <f>IFERROR(__xludf.DUMMYFUNCTION("""COMPUTED_VALUE"""),"")</f>
        <v/>
      </c>
      <c r="AL198" s="93" t="str">
        <f>IFERROR(__xludf.DUMMYFUNCTION("""COMPUTED_VALUE"""),"")</f>
        <v/>
      </c>
      <c r="AM198" s="93">
        <f>IFERROR(__xludf.DUMMYFUNCTION("""COMPUTED_VALUE"""),79.6)</f>
        <v>79.6</v>
      </c>
      <c r="AN198" s="94" t="str">
        <f>IFERROR(__xludf.DUMMYFUNCTION("""COMPUTED_VALUE"""),"")</f>
        <v/>
      </c>
      <c r="AO198" s="93" t="str">
        <f>IFERROR(__xludf.DUMMYFUNCTION("""COMPUTED_VALUE"""),"")</f>
        <v/>
      </c>
      <c r="AP198" s="93" t="str">
        <f>IFERROR(__xludf.DUMMYFUNCTION("""COMPUTED_VALUE"""),"")</f>
        <v/>
      </c>
      <c r="AQ198" s="94" t="str">
        <f>IFERROR(__xludf.DUMMYFUNCTION("""COMPUTED_VALUE"""),"")</f>
        <v/>
      </c>
      <c r="AR198" s="93" t="str">
        <f>IFERROR(__xludf.DUMMYFUNCTION("""COMPUTED_VALUE"""),"")</f>
        <v/>
      </c>
      <c r="AS198" s="93" t="str">
        <f>IFERROR(__xludf.DUMMYFUNCTION("""COMPUTED_VALUE"""),"")</f>
        <v/>
      </c>
      <c r="AT198" s="94" t="str">
        <f>IFERROR(__xludf.DUMMYFUNCTION("""COMPUTED_VALUE"""),"")</f>
        <v/>
      </c>
      <c r="AU198" s="93" t="str">
        <f>IFERROR(__xludf.DUMMYFUNCTION("""COMPUTED_VALUE"""),"")</f>
        <v/>
      </c>
      <c r="AV198" s="93" t="str">
        <f>IFERROR(__xludf.DUMMYFUNCTION("""COMPUTED_VALUE"""),"")</f>
        <v/>
      </c>
      <c r="AW198" s="94" t="str">
        <f>IFERROR(__xludf.DUMMYFUNCTION("""COMPUTED_VALUE"""),"")</f>
        <v/>
      </c>
      <c r="AX198" s="93" t="str">
        <f>IFERROR(__xludf.DUMMYFUNCTION("""COMPUTED_VALUE"""),"")</f>
        <v/>
      </c>
      <c r="AY198" s="93" t="str">
        <f>IFERROR(__xludf.DUMMYFUNCTION("""COMPUTED_VALUE"""),"")</f>
        <v/>
      </c>
      <c r="AZ198" s="94" t="str">
        <f>IFERROR(__xludf.DUMMYFUNCTION("""COMPUTED_VALUE"""),"")</f>
        <v/>
      </c>
      <c r="BA198" s="93" t="str">
        <f>IFERROR(__xludf.DUMMYFUNCTION("""COMPUTED_VALUE"""),"")</f>
        <v/>
      </c>
      <c r="BB198" s="93" t="str">
        <f>IFERROR(__xludf.DUMMYFUNCTION("""COMPUTED_VALUE"""),"")</f>
        <v/>
      </c>
      <c r="BC198" s="94" t="str">
        <f>IFERROR(__xludf.DUMMYFUNCTION("""COMPUTED_VALUE"""),"")</f>
        <v/>
      </c>
      <c r="BD198" s="93" t="str">
        <f>IFERROR(__xludf.DUMMYFUNCTION("""COMPUTED_VALUE"""),"")</f>
        <v/>
      </c>
      <c r="BE198" s="93" t="str">
        <f>IFERROR(__xludf.DUMMYFUNCTION("""COMPUTED_VALUE"""),"")</f>
        <v/>
      </c>
      <c r="BF198" s="94" t="str">
        <f>IFERROR(__xludf.DUMMYFUNCTION("""COMPUTED_VALUE"""),"")</f>
        <v/>
      </c>
      <c r="BG198" s="92" t="str">
        <f>IFERROR(__xludf.DUMMYFUNCTION("""COMPUTED_VALUE"""),"")</f>
        <v/>
      </c>
      <c r="BH198" s="93" t="str">
        <f>IFERROR(__xludf.DUMMYFUNCTION("""COMPUTED_VALUE"""),"")</f>
        <v/>
      </c>
      <c r="BI198" s="94" t="str">
        <f>IFERROR(__xludf.DUMMYFUNCTION("""COMPUTED_VALUE"""),"")</f>
        <v/>
      </c>
      <c r="BJ198" s="114" t="str">
        <f>IFERROR(__xludf.DUMMYFUNCTION("""COMPUTED_VALUE"""),"")</f>
        <v/>
      </c>
      <c r="BK198" s="93" t="str">
        <f>IFERROR(__xludf.DUMMYFUNCTION("""COMPUTED_VALUE"""),"")</f>
        <v/>
      </c>
      <c r="BL198" s="94" t="str">
        <f>IFERROR(__xludf.DUMMYFUNCTION("""COMPUTED_VALUE"""),"")</f>
        <v/>
      </c>
      <c r="BM198" s="93" t="str">
        <f>IFERROR(__xludf.DUMMYFUNCTION("""COMPUTED_VALUE"""),"")</f>
        <v/>
      </c>
      <c r="BN198" s="93" t="str">
        <f>IFERROR(__xludf.DUMMYFUNCTION("""COMPUTED_VALUE"""),"")</f>
        <v/>
      </c>
      <c r="BO198" s="94" t="str">
        <f>IFERROR(__xludf.DUMMYFUNCTION("""COMPUTED_VALUE"""),"")</f>
        <v/>
      </c>
      <c r="BP198" s="93">
        <f>IFERROR(__xludf.DUMMYFUNCTION("""COMPUTED_VALUE"""),81.6)</f>
        <v>81.6</v>
      </c>
      <c r="BQ198" s="93" t="str">
        <f>IFERROR(__xludf.DUMMYFUNCTION("""COMPUTED_VALUE"""),"")</f>
        <v/>
      </c>
      <c r="BR198" s="94" t="str">
        <f>IFERROR(__xludf.DUMMYFUNCTION("""COMPUTED_VALUE"""),"")</f>
        <v/>
      </c>
      <c r="BS198" s="93" t="str">
        <f>IFERROR(__xludf.DUMMYFUNCTION("""COMPUTED_VALUE"""),"")</f>
        <v/>
      </c>
      <c r="BT198" s="93" t="str">
        <f>IFERROR(__xludf.DUMMYFUNCTION("""COMPUTED_VALUE"""),"")</f>
        <v/>
      </c>
      <c r="BU198" s="94" t="str">
        <f>IFERROR(__xludf.DUMMYFUNCTION("""COMPUTED_VALUE"""),"")</f>
        <v/>
      </c>
      <c r="BV198" s="93">
        <f>IFERROR(__xludf.DUMMYFUNCTION("""COMPUTED_VALUE"""),64.4)</f>
        <v>64.4</v>
      </c>
      <c r="BW198" s="93" t="str">
        <f>IFERROR(__xludf.DUMMYFUNCTION("""COMPUTED_VALUE"""),"")</f>
        <v/>
      </c>
      <c r="BX198" s="94" t="str">
        <f>IFERROR(__xludf.DUMMYFUNCTION("""COMPUTED_VALUE"""),"")</f>
        <v/>
      </c>
      <c r="BY198" s="93" t="str">
        <f>IFERROR(__xludf.DUMMYFUNCTION("""COMPUTED_VALUE"""),"")</f>
        <v/>
      </c>
      <c r="BZ198" s="93" t="str">
        <f>IFERROR(__xludf.DUMMYFUNCTION("""COMPUTED_VALUE"""),"")</f>
        <v/>
      </c>
      <c r="CA198" s="94" t="str">
        <f>IFERROR(__xludf.DUMMYFUNCTION("""COMPUTED_VALUE"""),"")</f>
        <v/>
      </c>
      <c r="CB198" s="92" t="str">
        <f>IFERROR(__xludf.DUMMYFUNCTION("""COMPUTED_VALUE"""),"")</f>
        <v/>
      </c>
      <c r="CC198" s="93" t="str">
        <f>IFERROR(__xludf.DUMMYFUNCTION("""COMPUTED_VALUE"""),"")</f>
        <v/>
      </c>
      <c r="CD198" s="94" t="str">
        <f>IFERROR(__xludf.DUMMYFUNCTION("""COMPUTED_VALUE"""),"")</f>
        <v/>
      </c>
      <c r="CE198" s="114" t="str">
        <f>IFERROR(__xludf.DUMMYFUNCTION("""COMPUTED_VALUE"""),"")</f>
        <v/>
      </c>
      <c r="CF198" s="93" t="str">
        <f>IFERROR(__xludf.DUMMYFUNCTION("""COMPUTED_VALUE"""),"")</f>
        <v/>
      </c>
      <c r="CG198" s="94" t="str">
        <f>IFERROR(__xludf.DUMMYFUNCTION("""COMPUTED_VALUE"""),"")</f>
        <v/>
      </c>
      <c r="CH198" s="93" t="str">
        <f>IFERROR(__xludf.DUMMYFUNCTION("""COMPUTED_VALUE"""),"")</f>
        <v/>
      </c>
      <c r="CI198" s="93" t="str">
        <f>IFERROR(__xludf.DUMMYFUNCTION("""COMPUTED_VALUE"""),"")</f>
        <v/>
      </c>
      <c r="CJ198" s="94" t="str">
        <f>IFERROR(__xludf.DUMMYFUNCTION("""COMPUTED_VALUE"""),"")</f>
        <v/>
      </c>
      <c r="CK198" s="93" t="str">
        <f>IFERROR(__xludf.DUMMYFUNCTION("""COMPUTED_VALUE"""),"")</f>
        <v/>
      </c>
      <c r="CL198" s="93" t="str">
        <f>IFERROR(__xludf.DUMMYFUNCTION("""COMPUTED_VALUE"""),"")</f>
        <v/>
      </c>
      <c r="CM198" s="94" t="str">
        <f>IFERROR(__xludf.DUMMYFUNCTION("""COMPUTED_VALUE"""),"")</f>
        <v/>
      </c>
      <c r="CN198" s="93" t="str">
        <f>IFERROR(__xludf.DUMMYFUNCTION("""COMPUTED_VALUE"""),"")</f>
        <v/>
      </c>
      <c r="CO198" s="93" t="str">
        <f>IFERROR(__xludf.DUMMYFUNCTION("""COMPUTED_VALUE"""),"")</f>
        <v/>
      </c>
      <c r="CP198" s="94" t="str">
        <f>IFERROR(__xludf.DUMMYFUNCTION("""COMPUTED_VALUE"""),"")</f>
        <v/>
      </c>
      <c r="CQ198" s="93" t="str">
        <f>IFERROR(__xludf.DUMMYFUNCTION("""COMPUTED_VALUE"""),"")</f>
        <v/>
      </c>
      <c r="CR198" s="93" t="str">
        <f>IFERROR(__xludf.DUMMYFUNCTION("""COMPUTED_VALUE"""),"")</f>
        <v/>
      </c>
      <c r="CS198" s="94"/>
      <c r="CT198" s="93"/>
      <c r="CU198" s="93"/>
      <c r="CV198" s="94"/>
      <c r="CW198" s="93"/>
      <c r="CX198" s="93"/>
      <c r="CY198" s="94"/>
      <c r="CZ198" s="93"/>
      <c r="DA198" s="93"/>
      <c r="DB198" s="94"/>
      <c r="DC198" s="93"/>
      <c r="DD198" s="93"/>
      <c r="DE198" s="94"/>
      <c r="DF198" s="93"/>
      <c r="DG198" s="93"/>
      <c r="DH198" s="94"/>
      <c r="DI198" s="93"/>
      <c r="DJ198" s="93"/>
      <c r="DK198" s="94"/>
      <c r="DL198" s="93"/>
      <c r="DM198" s="93"/>
      <c r="DN198" s="94"/>
      <c r="DO198" s="93"/>
      <c r="DP198" s="93"/>
      <c r="DQ198" s="94"/>
      <c r="DR198" s="93"/>
      <c r="DS198" s="93"/>
      <c r="DT198" s="94"/>
    </row>
    <row r="199" ht="16.5" customHeight="1">
      <c r="B199" s="120" t="str">
        <f>IFERROR(__xludf.DUMMYFUNCTION("""COMPUTED_VALUE"""),"GTT3")</f>
        <v>GTT3</v>
      </c>
      <c r="C199" s="82">
        <f>IFERROR(__xludf.DUMMYFUNCTION("""COMPUTED_VALUE"""),194.0)</f>
        <v>194</v>
      </c>
      <c r="D199" s="88" t="str">
        <f>IFERROR(__xludf.DUMMYFUNCTION("""COMPUTED_VALUE"""),"Giant's Flower Garden")</f>
        <v>Giant's Flower Garden</v>
      </c>
      <c r="E199" s="82" t="str">
        <f>IFERROR(__xludf.DUMMYFUNCTION("""COMPUTED_VALUE"""),"巨人の花園")</f>
        <v>巨人の花園</v>
      </c>
      <c r="F199" s="102">
        <f>IFERROR(__xludf.DUMMYFUNCTION("""COMPUTED_VALUE"""),20.0)</f>
        <v>20</v>
      </c>
      <c r="G199" s="82">
        <f>IFERROR(__xludf.DUMMYFUNCTION("""COMPUTED_VALUE"""),13798.0)</f>
        <v>13798</v>
      </c>
      <c r="H199" s="95" t="str">
        <f>IFERROR(__xludf.DUMMYFUNCTION("""COMPUTED_VALUE"""),"")</f>
        <v/>
      </c>
      <c r="I199" s="96" t="str">
        <f>IFERROR(__xludf.DUMMYFUNCTION("""COMPUTED_VALUE"""),"")</f>
        <v/>
      </c>
      <c r="J199" s="97" t="str">
        <f>IFERROR(__xludf.DUMMYFUNCTION("""COMPUTED_VALUE"""),"")</f>
        <v/>
      </c>
      <c r="K199" s="95" t="str">
        <f>IFERROR(__xludf.DUMMYFUNCTION("""COMPUTED_VALUE"""),"")</f>
        <v/>
      </c>
      <c r="L199" s="96" t="str">
        <f>IFERROR(__xludf.DUMMYFUNCTION("""COMPUTED_VALUE"""),"")</f>
        <v/>
      </c>
      <c r="M199" s="97" t="str">
        <f>IFERROR(__xludf.DUMMYFUNCTION("""COMPUTED_VALUE"""),"")</f>
        <v/>
      </c>
      <c r="N199" s="95" t="str">
        <f>IFERROR(__xludf.DUMMYFUNCTION("""COMPUTED_VALUE"""),"")</f>
        <v/>
      </c>
      <c r="O199" s="96" t="str">
        <f>IFERROR(__xludf.DUMMYFUNCTION("""COMPUTED_VALUE"""),"")</f>
        <v/>
      </c>
      <c r="P199" s="97" t="str">
        <f>IFERROR(__xludf.DUMMYFUNCTION("""COMPUTED_VALUE"""),"")</f>
        <v/>
      </c>
      <c r="Q199" s="95" t="str">
        <f>IFERROR(__xludf.DUMMYFUNCTION("""COMPUTED_VALUE"""),"")</f>
        <v/>
      </c>
      <c r="R199" s="96" t="str">
        <f>IFERROR(__xludf.DUMMYFUNCTION("""COMPUTED_VALUE"""),"")</f>
        <v/>
      </c>
      <c r="S199" s="97" t="str">
        <f>IFERROR(__xludf.DUMMYFUNCTION("""COMPUTED_VALUE"""),"")</f>
        <v/>
      </c>
      <c r="T199" s="95" t="str">
        <f>IFERROR(__xludf.DUMMYFUNCTION("""COMPUTED_VALUE"""),"")</f>
        <v/>
      </c>
      <c r="U199" s="96" t="str">
        <f>IFERROR(__xludf.DUMMYFUNCTION("""COMPUTED_VALUE"""),"")</f>
        <v/>
      </c>
      <c r="V199" s="97" t="str">
        <f>IFERROR(__xludf.DUMMYFUNCTION("""COMPUTED_VALUE"""),"")</f>
        <v/>
      </c>
      <c r="W199" s="95" t="str">
        <f>IFERROR(__xludf.DUMMYFUNCTION("""COMPUTED_VALUE"""),"")</f>
        <v/>
      </c>
      <c r="X199" s="96" t="str">
        <f>IFERROR(__xludf.DUMMYFUNCTION("""COMPUTED_VALUE"""),"")</f>
        <v/>
      </c>
      <c r="Y199" s="97" t="str">
        <f>IFERROR(__xludf.DUMMYFUNCTION("""COMPUTED_VALUE"""),"")</f>
        <v/>
      </c>
      <c r="Z199" s="95" t="str">
        <f>IFERROR(__xludf.DUMMYFUNCTION("""COMPUTED_VALUE"""),"")</f>
        <v/>
      </c>
      <c r="AA199" s="96" t="str">
        <f>IFERROR(__xludf.DUMMYFUNCTION("""COMPUTED_VALUE"""),"")</f>
        <v/>
      </c>
      <c r="AB199" s="97" t="str">
        <f>IFERROR(__xludf.DUMMYFUNCTION("""COMPUTED_VALUE"""),"")</f>
        <v/>
      </c>
      <c r="AC199" s="95" t="str">
        <f>IFERROR(__xludf.DUMMYFUNCTION("""COMPUTED_VALUE"""),"")</f>
        <v/>
      </c>
      <c r="AD199" s="96" t="str">
        <f>IFERROR(__xludf.DUMMYFUNCTION("""COMPUTED_VALUE"""),"")</f>
        <v/>
      </c>
      <c r="AE199" s="97" t="str">
        <f>IFERROR(__xludf.DUMMYFUNCTION("""COMPUTED_VALUE"""),"")</f>
        <v/>
      </c>
      <c r="AF199" s="95" t="str">
        <f>IFERROR(__xludf.DUMMYFUNCTION("""COMPUTED_VALUE"""),"")</f>
        <v/>
      </c>
      <c r="AG199" s="96" t="str">
        <f>IFERROR(__xludf.DUMMYFUNCTION("""COMPUTED_VALUE"""),"")</f>
        <v/>
      </c>
      <c r="AH199" s="97" t="str">
        <f>IFERROR(__xludf.DUMMYFUNCTION("""COMPUTED_VALUE"""),"")</f>
        <v/>
      </c>
      <c r="AI199" s="121" t="str">
        <f>IFERROR(__xludf.DUMMYFUNCTION("""COMPUTED_VALUE"""),"")</f>
        <v/>
      </c>
      <c r="AJ199" s="122" t="str">
        <f>IFERROR(__xludf.DUMMYFUNCTION("""COMPUTED_VALUE"""),"")</f>
        <v/>
      </c>
      <c r="AK199" s="123" t="str">
        <f>IFERROR(__xludf.DUMMYFUNCTION("""COMPUTED_VALUE"""),"")</f>
        <v/>
      </c>
      <c r="AL199" s="122" t="str">
        <f>IFERROR(__xludf.DUMMYFUNCTION("""COMPUTED_VALUE"""),"")</f>
        <v/>
      </c>
      <c r="AM199" s="122">
        <f>IFERROR(__xludf.DUMMYFUNCTION("""COMPUTED_VALUE"""),49.1)</f>
        <v>49.1</v>
      </c>
      <c r="AN199" s="123" t="str">
        <f>IFERROR(__xludf.DUMMYFUNCTION("""COMPUTED_VALUE"""),"")</f>
        <v/>
      </c>
      <c r="AO199" s="122" t="str">
        <f>IFERROR(__xludf.DUMMYFUNCTION("""COMPUTED_VALUE"""),"")</f>
        <v/>
      </c>
      <c r="AP199" s="122" t="str">
        <f>IFERROR(__xludf.DUMMYFUNCTION("""COMPUTED_VALUE"""),"")</f>
        <v/>
      </c>
      <c r="AQ199" s="123" t="str">
        <f>IFERROR(__xludf.DUMMYFUNCTION("""COMPUTED_VALUE"""),"")</f>
        <v/>
      </c>
      <c r="AR199" s="122" t="str">
        <f>IFERROR(__xludf.DUMMYFUNCTION("""COMPUTED_VALUE"""),"")</f>
        <v/>
      </c>
      <c r="AS199" s="122" t="str">
        <f>IFERROR(__xludf.DUMMYFUNCTION("""COMPUTED_VALUE"""),"")</f>
        <v/>
      </c>
      <c r="AT199" s="123" t="str">
        <f>IFERROR(__xludf.DUMMYFUNCTION("""COMPUTED_VALUE"""),"")</f>
        <v/>
      </c>
      <c r="AU199" s="122" t="str">
        <f>IFERROR(__xludf.DUMMYFUNCTION("""COMPUTED_VALUE"""),"")</f>
        <v/>
      </c>
      <c r="AV199" s="122" t="str">
        <f>IFERROR(__xludf.DUMMYFUNCTION("""COMPUTED_VALUE"""),"")</f>
        <v/>
      </c>
      <c r="AW199" s="123" t="str">
        <f>IFERROR(__xludf.DUMMYFUNCTION("""COMPUTED_VALUE"""),"")</f>
        <v/>
      </c>
      <c r="AX199" s="122" t="str">
        <f>IFERROR(__xludf.DUMMYFUNCTION("""COMPUTED_VALUE"""),"")</f>
        <v/>
      </c>
      <c r="AY199" s="122" t="str">
        <f>IFERROR(__xludf.DUMMYFUNCTION("""COMPUTED_VALUE"""),"")</f>
        <v/>
      </c>
      <c r="AZ199" s="123" t="str">
        <f>IFERROR(__xludf.DUMMYFUNCTION("""COMPUTED_VALUE"""),"")</f>
        <v/>
      </c>
      <c r="BA199" s="122" t="str">
        <f>IFERROR(__xludf.DUMMYFUNCTION("""COMPUTED_VALUE"""),"")</f>
        <v/>
      </c>
      <c r="BB199" s="122" t="str">
        <f>IFERROR(__xludf.DUMMYFUNCTION("""COMPUTED_VALUE"""),"")</f>
        <v/>
      </c>
      <c r="BC199" s="123" t="str">
        <f>IFERROR(__xludf.DUMMYFUNCTION("""COMPUTED_VALUE"""),"")</f>
        <v/>
      </c>
      <c r="BD199" s="122" t="str">
        <f>IFERROR(__xludf.DUMMYFUNCTION("""COMPUTED_VALUE"""),"")</f>
        <v/>
      </c>
      <c r="BE199" s="122" t="str">
        <f>IFERROR(__xludf.DUMMYFUNCTION("""COMPUTED_VALUE"""),"")</f>
        <v/>
      </c>
      <c r="BF199" s="123" t="str">
        <f>IFERROR(__xludf.DUMMYFUNCTION("""COMPUTED_VALUE"""),"")</f>
        <v/>
      </c>
      <c r="BG199" s="121" t="str">
        <f>IFERROR(__xludf.DUMMYFUNCTION("""COMPUTED_VALUE"""),"")</f>
        <v/>
      </c>
      <c r="BH199" s="122" t="str">
        <f>IFERROR(__xludf.DUMMYFUNCTION("""COMPUTED_VALUE"""),"")</f>
        <v/>
      </c>
      <c r="BI199" s="123" t="str">
        <f>IFERROR(__xludf.DUMMYFUNCTION("""COMPUTED_VALUE"""),"")</f>
        <v/>
      </c>
      <c r="BJ199" s="107" t="str">
        <f>IFERROR(__xludf.DUMMYFUNCTION("""COMPUTED_VALUE"""),"")</f>
        <v/>
      </c>
      <c r="BK199" s="122" t="str">
        <f>IFERROR(__xludf.DUMMYFUNCTION("""COMPUTED_VALUE"""),"")</f>
        <v/>
      </c>
      <c r="BL199" s="123" t="str">
        <f>IFERROR(__xludf.DUMMYFUNCTION("""COMPUTED_VALUE"""),"")</f>
        <v/>
      </c>
      <c r="BM199" s="122" t="str">
        <f>IFERROR(__xludf.DUMMYFUNCTION("""COMPUTED_VALUE"""),"")</f>
        <v/>
      </c>
      <c r="BN199" s="122" t="str">
        <f>IFERROR(__xludf.DUMMYFUNCTION("""COMPUTED_VALUE"""),"")</f>
        <v/>
      </c>
      <c r="BO199" s="123" t="str">
        <f>IFERROR(__xludf.DUMMYFUNCTION("""COMPUTED_VALUE"""),"")</f>
        <v/>
      </c>
      <c r="BP199" s="122">
        <f>IFERROR(__xludf.DUMMYFUNCTION("""COMPUTED_VALUE"""),45.5)</f>
        <v>45.5</v>
      </c>
      <c r="BQ199" s="122" t="str">
        <f>IFERROR(__xludf.DUMMYFUNCTION("""COMPUTED_VALUE"""),"")</f>
        <v/>
      </c>
      <c r="BR199" s="123" t="str">
        <f>IFERROR(__xludf.DUMMYFUNCTION("""COMPUTED_VALUE"""),"")</f>
        <v/>
      </c>
      <c r="BS199" s="122" t="str">
        <f>IFERROR(__xludf.DUMMYFUNCTION("""COMPUTED_VALUE"""),"")</f>
        <v/>
      </c>
      <c r="BT199" s="122" t="str">
        <f>IFERROR(__xludf.DUMMYFUNCTION("""COMPUTED_VALUE"""),"")</f>
        <v/>
      </c>
      <c r="BU199" s="123" t="str">
        <f>IFERROR(__xludf.DUMMYFUNCTION("""COMPUTED_VALUE"""),"")</f>
        <v/>
      </c>
      <c r="BV199" s="122" t="str">
        <f>IFERROR(__xludf.DUMMYFUNCTION("""COMPUTED_VALUE"""),"")</f>
        <v/>
      </c>
      <c r="BW199" s="122" t="str">
        <f>IFERROR(__xludf.DUMMYFUNCTION("""COMPUTED_VALUE"""),"")</f>
        <v/>
      </c>
      <c r="BX199" s="123" t="str">
        <f>IFERROR(__xludf.DUMMYFUNCTION("""COMPUTED_VALUE"""),"")</f>
        <v/>
      </c>
      <c r="BY199" s="122" t="str">
        <f>IFERROR(__xludf.DUMMYFUNCTION("""COMPUTED_VALUE"""),"")</f>
        <v/>
      </c>
      <c r="BZ199" s="122" t="str">
        <f>IFERROR(__xludf.DUMMYFUNCTION("""COMPUTED_VALUE"""),"")</f>
        <v/>
      </c>
      <c r="CA199" s="123" t="str">
        <f>IFERROR(__xludf.DUMMYFUNCTION("""COMPUTED_VALUE"""),"")</f>
        <v/>
      </c>
      <c r="CB199" s="121" t="str">
        <f>IFERROR(__xludf.DUMMYFUNCTION("""COMPUTED_VALUE"""),"")</f>
        <v/>
      </c>
      <c r="CC199" s="122" t="str">
        <f>IFERROR(__xludf.DUMMYFUNCTION("""COMPUTED_VALUE"""),"")</f>
        <v/>
      </c>
      <c r="CD199" s="123" t="str">
        <f>IFERROR(__xludf.DUMMYFUNCTION("""COMPUTED_VALUE"""),"")</f>
        <v/>
      </c>
      <c r="CE199" s="107" t="str">
        <f>IFERROR(__xludf.DUMMYFUNCTION("""COMPUTED_VALUE"""),"")</f>
        <v/>
      </c>
      <c r="CF199" s="122" t="str">
        <f>IFERROR(__xludf.DUMMYFUNCTION("""COMPUTED_VALUE"""),"")</f>
        <v/>
      </c>
      <c r="CG199" s="123" t="str">
        <f>IFERROR(__xludf.DUMMYFUNCTION("""COMPUTED_VALUE"""),"")</f>
        <v/>
      </c>
      <c r="CH199" s="122" t="str">
        <f>IFERROR(__xludf.DUMMYFUNCTION("""COMPUTED_VALUE"""),"")</f>
        <v/>
      </c>
      <c r="CI199" s="122" t="str">
        <f>IFERROR(__xludf.DUMMYFUNCTION("""COMPUTED_VALUE"""),"")</f>
        <v/>
      </c>
      <c r="CJ199" s="123" t="str">
        <f>IFERROR(__xludf.DUMMYFUNCTION("""COMPUTED_VALUE"""),"")</f>
        <v/>
      </c>
      <c r="CK199" s="122" t="str">
        <f>IFERROR(__xludf.DUMMYFUNCTION("""COMPUTED_VALUE"""),"")</f>
        <v/>
      </c>
      <c r="CL199" s="122" t="str">
        <f>IFERROR(__xludf.DUMMYFUNCTION("""COMPUTED_VALUE"""),"")</f>
        <v/>
      </c>
      <c r="CM199" s="123" t="str">
        <f>IFERROR(__xludf.DUMMYFUNCTION("""COMPUTED_VALUE"""),"")</f>
        <v/>
      </c>
      <c r="CN199" s="122" t="str">
        <f>IFERROR(__xludf.DUMMYFUNCTION("""COMPUTED_VALUE"""),"")</f>
        <v/>
      </c>
      <c r="CO199" s="122" t="str">
        <f>IFERROR(__xludf.DUMMYFUNCTION("""COMPUTED_VALUE"""),"")</f>
        <v/>
      </c>
      <c r="CP199" s="123" t="str">
        <f>IFERROR(__xludf.DUMMYFUNCTION("""COMPUTED_VALUE"""),"")</f>
        <v/>
      </c>
      <c r="CQ199" s="122" t="str">
        <f>IFERROR(__xludf.DUMMYFUNCTION("""COMPUTED_VALUE"""),"")</f>
        <v/>
      </c>
      <c r="CR199" s="122" t="str">
        <f>IFERROR(__xludf.DUMMYFUNCTION("""COMPUTED_VALUE"""),"")</f>
        <v/>
      </c>
      <c r="CS199" s="123"/>
      <c r="CT199" s="122"/>
      <c r="CU199" s="122"/>
      <c r="CV199" s="123"/>
      <c r="CW199" s="122"/>
      <c r="CX199" s="122"/>
      <c r="CY199" s="123"/>
      <c r="CZ199" s="122"/>
      <c r="DA199" s="122"/>
      <c r="DB199" s="123"/>
      <c r="DC199" s="122"/>
      <c r="DD199" s="122"/>
      <c r="DE199" s="123"/>
      <c r="DF199" s="122"/>
      <c r="DG199" s="122"/>
      <c r="DH199" s="123"/>
      <c r="DI199" s="122"/>
      <c r="DJ199" s="122"/>
      <c r="DK199" s="123"/>
      <c r="DL199" s="122"/>
      <c r="DM199" s="122"/>
      <c r="DN199" s="123"/>
      <c r="DO199" s="122"/>
      <c r="DP199" s="122"/>
      <c r="DQ199" s="123"/>
      <c r="DR199" s="122"/>
      <c r="DS199" s="122"/>
      <c r="DT199" s="123"/>
    </row>
    <row r="200" ht="16.5" customHeight="1">
      <c r="B200" s="120" t="str">
        <f>IFERROR(__xludf.DUMMYFUNCTION("""COMPUTED_VALUE"""),"GTT4")</f>
        <v>GTT4</v>
      </c>
      <c r="C200" s="82">
        <f>IFERROR(__xludf.DUMMYFUNCTION("""COMPUTED_VALUE"""),195.0)</f>
        <v>195</v>
      </c>
      <c r="D200" s="88" t="str">
        <f>IFERROR(__xludf.DUMMYFUNCTION("""COMPUTED_VALUE"""),"Village 23")</f>
        <v>Village 23</v>
      </c>
      <c r="E200" s="82" t="str">
        <f>IFERROR(__xludf.DUMMYFUNCTION("""COMPUTED_VALUE"""),"第23集落")</f>
        <v>第23集落</v>
      </c>
      <c r="F200" s="102">
        <f>IFERROR(__xludf.DUMMYFUNCTION("""COMPUTED_VALUE"""),21.0)</f>
        <v>21</v>
      </c>
      <c r="G200" s="82">
        <f>IFERROR(__xludf.DUMMYFUNCTION("""COMPUTED_VALUE"""),1100.0)</f>
        <v>1100</v>
      </c>
      <c r="H200" s="95" t="str">
        <f>IFERROR(__xludf.DUMMYFUNCTION("""COMPUTED_VALUE"""),"")</f>
        <v/>
      </c>
      <c r="I200" s="96" t="str">
        <f>IFERROR(__xludf.DUMMYFUNCTION("""COMPUTED_VALUE"""),"")</f>
        <v/>
      </c>
      <c r="J200" s="97" t="str">
        <f>IFERROR(__xludf.DUMMYFUNCTION("""COMPUTED_VALUE"""),"")</f>
        <v/>
      </c>
      <c r="K200" s="95" t="str">
        <f>IFERROR(__xludf.DUMMYFUNCTION("""COMPUTED_VALUE"""),"")</f>
        <v/>
      </c>
      <c r="L200" s="96" t="str">
        <f>IFERROR(__xludf.DUMMYFUNCTION("""COMPUTED_VALUE"""),"")</f>
        <v/>
      </c>
      <c r="M200" s="97" t="str">
        <f>IFERROR(__xludf.DUMMYFUNCTION("""COMPUTED_VALUE"""),"")</f>
        <v/>
      </c>
      <c r="N200" s="95" t="str">
        <f>IFERROR(__xludf.DUMMYFUNCTION("""COMPUTED_VALUE"""),"")</f>
        <v/>
      </c>
      <c r="O200" s="96" t="str">
        <f>IFERROR(__xludf.DUMMYFUNCTION("""COMPUTED_VALUE"""),"")</f>
        <v/>
      </c>
      <c r="P200" s="97" t="str">
        <f>IFERROR(__xludf.DUMMYFUNCTION("""COMPUTED_VALUE"""),"")</f>
        <v/>
      </c>
      <c r="Q200" s="95" t="str">
        <f>IFERROR(__xludf.DUMMYFUNCTION("""COMPUTED_VALUE"""),"")</f>
        <v/>
      </c>
      <c r="R200" s="96" t="str">
        <f>IFERROR(__xludf.DUMMYFUNCTION("""COMPUTED_VALUE"""),"")</f>
        <v/>
      </c>
      <c r="S200" s="97" t="str">
        <f>IFERROR(__xludf.DUMMYFUNCTION("""COMPUTED_VALUE"""),"")</f>
        <v/>
      </c>
      <c r="T200" s="95" t="str">
        <f>IFERROR(__xludf.DUMMYFUNCTION("""COMPUTED_VALUE"""),"")</f>
        <v/>
      </c>
      <c r="U200" s="96" t="str">
        <f>IFERROR(__xludf.DUMMYFUNCTION("""COMPUTED_VALUE"""),"")</f>
        <v/>
      </c>
      <c r="V200" s="97" t="str">
        <f>IFERROR(__xludf.DUMMYFUNCTION("""COMPUTED_VALUE"""),"")</f>
        <v/>
      </c>
      <c r="W200" s="95" t="str">
        <f>IFERROR(__xludf.DUMMYFUNCTION("""COMPUTED_VALUE"""),"")</f>
        <v/>
      </c>
      <c r="X200" s="96" t="str">
        <f>IFERROR(__xludf.DUMMYFUNCTION("""COMPUTED_VALUE"""),"")</f>
        <v/>
      </c>
      <c r="Y200" s="97" t="str">
        <f>IFERROR(__xludf.DUMMYFUNCTION("""COMPUTED_VALUE"""),"")</f>
        <v/>
      </c>
      <c r="Z200" s="95">
        <f>IFERROR(__xludf.DUMMYFUNCTION("""COMPUTED_VALUE"""),83.4)</f>
        <v>83.4</v>
      </c>
      <c r="AA200" s="96" t="str">
        <f>IFERROR(__xludf.DUMMYFUNCTION("""COMPUTED_VALUE"""),"")</f>
        <v/>
      </c>
      <c r="AB200" s="97" t="str">
        <f>IFERROR(__xludf.DUMMYFUNCTION("""COMPUTED_VALUE"""),"")</f>
        <v/>
      </c>
      <c r="AC200" s="95" t="str">
        <f>IFERROR(__xludf.DUMMYFUNCTION("""COMPUTED_VALUE"""),"")</f>
        <v/>
      </c>
      <c r="AD200" s="96" t="str">
        <f>IFERROR(__xludf.DUMMYFUNCTION("""COMPUTED_VALUE"""),"")</f>
        <v/>
      </c>
      <c r="AE200" s="97" t="str">
        <f>IFERROR(__xludf.DUMMYFUNCTION("""COMPUTED_VALUE"""),"")</f>
        <v/>
      </c>
      <c r="AF200" s="95" t="str">
        <f>IFERROR(__xludf.DUMMYFUNCTION("""COMPUTED_VALUE"""),"")</f>
        <v/>
      </c>
      <c r="AG200" s="96" t="str">
        <f>IFERROR(__xludf.DUMMYFUNCTION("""COMPUTED_VALUE"""),"")</f>
        <v/>
      </c>
      <c r="AH200" s="97" t="str">
        <f>IFERROR(__xludf.DUMMYFUNCTION("""COMPUTED_VALUE"""),"")</f>
        <v/>
      </c>
      <c r="AI200" s="92" t="str">
        <f>IFERROR(__xludf.DUMMYFUNCTION("""COMPUTED_VALUE"""),"")</f>
        <v/>
      </c>
      <c r="AJ200" s="93" t="str">
        <f>IFERROR(__xludf.DUMMYFUNCTION("""COMPUTED_VALUE"""),"")</f>
        <v/>
      </c>
      <c r="AK200" s="94" t="str">
        <f>IFERROR(__xludf.DUMMYFUNCTION("""COMPUTED_VALUE"""),"")</f>
        <v/>
      </c>
      <c r="AL200" s="93" t="str">
        <f>IFERROR(__xludf.DUMMYFUNCTION("""COMPUTED_VALUE"""),"")</f>
        <v/>
      </c>
      <c r="AM200" s="93" t="str">
        <f>IFERROR(__xludf.DUMMYFUNCTION("""COMPUTED_VALUE"""),"")</f>
        <v/>
      </c>
      <c r="AN200" s="94">
        <f>IFERROR(__xludf.DUMMYFUNCTION("""COMPUTED_VALUE"""),84.6)</f>
        <v>84.6</v>
      </c>
      <c r="AO200" s="93" t="str">
        <f>IFERROR(__xludf.DUMMYFUNCTION("""COMPUTED_VALUE"""),"")</f>
        <v/>
      </c>
      <c r="AP200" s="93" t="str">
        <f>IFERROR(__xludf.DUMMYFUNCTION("""COMPUTED_VALUE"""),"")</f>
        <v/>
      </c>
      <c r="AQ200" s="94" t="str">
        <f>IFERROR(__xludf.DUMMYFUNCTION("""COMPUTED_VALUE"""),"")</f>
        <v/>
      </c>
      <c r="AR200" s="93" t="str">
        <f>IFERROR(__xludf.DUMMYFUNCTION("""COMPUTED_VALUE"""),"")</f>
        <v/>
      </c>
      <c r="AS200" s="93" t="str">
        <f>IFERROR(__xludf.DUMMYFUNCTION("""COMPUTED_VALUE"""),"")</f>
        <v/>
      </c>
      <c r="AT200" s="94" t="str">
        <f>IFERROR(__xludf.DUMMYFUNCTION("""COMPUTED_VALUE"""),"")</f>
        <v/>
      </c>
      <c r="AU200" s="93" t="str">
        <f>IFERROR(__xludf.DUMMYFUNCTION("""COMPUTED_VALUE"""),"")</f>
        <v/>
      </c>
      <c r="AV200" s="93" t="str">
        <f>IFERROR(__xludf.DUMMYFUNCTION("""COMPUTED_VALUE"""),"")</f>
        <v/>
      </c>
      <c r="AW200" s="94" t="str">
        <f>IFERROR(__xludf.DUMMYFUNCTION("""COMPUTED_VALUE"""),"")</f>
        <v/>
      </c>
      <c r="AX200" s="93" t="str">
        <f>IFERROR(__xludf.DUMMYFUNCTION("""COMPUTED_VALUE"""),"")</f>
        <v/>
      </c>
      <c r="AY200" s="93" t="str">
        <f>IFERROR(__xludf.DUMMYFUNCTION("""COMPUTED_VALUE"""),"")</f>
        <v/>
      </c>
      <c r="AZ200" s="94" t="str">
        <f>IFERROR(__xludf.DUMMYFUNCTION("""COMPUTED_VALUE"""),"")</f>
        <v/>
      </c>
      <c r="BA200" s="93" t="str">
        <f>IFERROR(__xludf.DUMMYFUNCTION("""COMPUTED_VALUE"""),"")</f>
        <v/>
      </c>
      <c r="BB200" s="93" t="str">
        <f>IFERROR(__xludf.DUMMYFUNCTION("""COMPUTED_VALUE"""),"")</f>
        <v/>
      </c>
      <c r="BC200" s="94" t="str">
        <f>IFERROR(__xludf.DUMMYFUNCTION("""COMPUTED_VALUE"""),"")</f>
        <v/>
      </c>
      <c r="BD200" s="93" t="str">
        <f>IFERROR(__xludf.DUMMYFUNCTION("""COMPUTED_VALUE"""),"")</f>
        <v/>
      </c>
      <c r="BE200" s="93" t="str">
        <f>IFERROR(__xludf.DUMMYFUNCTION("""COMPUTED_VALUE"""),"")</f>
        <v/>
      </c>
      <c r="BF200" s="94" t="str">
        <f>IFERROR(__xludf.DUMMYFUNCTION("""COMPUTED_VALUE"""),"")</f>
        <v/>
      </c>
      <c r="BG200" s="92" t="str">
        <f>IFERROR(__xludf.DUMMYFUNCTION("""COMPUTED_VALUE"""),"")</f>
        <v/>
      </c>
      <c r="BH200" s="93" t="str">
        <f>IFERROR(__xludf.DUMMYFUNCTION("""COMPUTED_VALUE"""),"")</f>
        <v/>
      </c>
      <c r="BI200" s="94" t="str">
        <f>IFERROR(__xludf.DUMMYFUNCTION("""COMPUTED_VALUE"""),"")</f>
        <v/>
      </c>
      <c r="BJ200" s="93" t="str">
        <f>IFERROR(__xludf.DUMMYFUNCTION("""COMPUTED_VALUE"""),"")</f>
        <v/>
      </c>
      <c r="BK200" s="114" t="str">
        <f>IFERROR(__xludf.DUMMYFUNCTION("""COMPUTED_VALUE"""),"")</f>
        <v/>
      </c>
      <c r="BL200" s="94" t="str">
        <f>IFERROR(__xludf.DUMMYFUNCTION("""COMPUTED_VALUE"""),"")</f>
        <v/>
      </c>
      <c r="BM200" s="93">
        <f>IFERROR(__xludf.DUMMYFUNCTION("""COMPUTED_VALUE"""),85.6)</f>
        <v>85.6</v>
      </c>
      <c r="BN200" s="93" t="str">
        <f>IFERROR(__xludf.DUMMYFUNCTION("""COMPUTED_VALUE"""),"")</f>
        <v/>
      </c>
      <c r="BO200" s="94" t="str">
        <f>IFERROR(__xludf.DUMMYFUNCTION("""COMPUTED_VALUE"""),"")</f>
        <v/>
      </c>
      <c r="BP200" s="93" t="str">
        <f>IFERROR(__xludf.DUMMYFUNCTION("""COMPUTED_VALUE"""),"")</f>
        <v/>
      </c>
      <c r="BQ200" s="93" t="str">
        <f>IFERROR(__xludf.DUMMYFUNCTION("""COMPUTED_VALUE"""),"")</f>
        <v/>
      </c>
      <c r="BR200" s="94" t="str">
        <f>IFERROR(__xludf.DUMMYFUNCTION("""COMPUTED_VALUE"""),"")</f>
        <v/>
      </c>
      <c r="BS200" s="93" t="str">
        <f>IFERROR(__xludf.DUMMYFUNCTION("""COMPUTED_VALUE"""),"")</f>
        <v/>
      </c>
      <c r="BT200" s="93" t="str">
        <f>IFERROR(__xludf.DUMMYFUNCTION("""COMPUTED_VALUE"""),"")</f>
        <v/>
      </c>
      <c r="BU200" s="94" t="str">
        <f>IFERROR(__xludf.DUMMYFUNCTION("""COMPUTED_VALUE"""),"")</f>
        <v/>
      </c>
      <c r="BV200" s="93">
        <f>IFERROR(__xludf.DUMMYFUNCTION("""COMPUTED_VALUE"""),70.4)</f>
        <v>70.4</v>
      </c>
      <c r="BW200" s="93" t="str">
        <f>IFERROR(__xludf.DUMMYFUNCTION("""COMPUTED_VALUE"""),"")</f>
        <v/>
      </c>
      <c r="BX200" s="94" t="str">
        <f>IFERROR(__xludf.DUMMYFUNCTION("""COMPUTED_VALUE"""),"")</f>
        <v/>
      </c>
      <c r="BY200" s="93" t="str">
        <f>IFERROR(__xludf.DUMMYFUNCTION("""COMPUTED_VALUE"""),"")</f>
        <v/>
      </c>
      <c r="BZ200" s="93" t="str">
        <f>IFERROR(__xludf.DUMMYFUNCTION("""COMPUTED_VALUE"""),"")</f>
        <v/>
      </c>
      <c r="CA200" s="94" t="str">
        <f>IFERROR(__xludf.DUMMYFUNCTION("""COMPUTED_VALUE"""),"")</f>
        <v/>
      </c>
      <c r="CB200" s="92" t="str">
        <f>IFERROR(__xludf.DUMMYFUNCTION("""COMPUTED_VALUE"""),"")</f>
        <v/>
      </c>
      <c r="CC200" s="93" t="str">
        <f>IFERROR(__xludf.DUMMYFUNCTION("""COMPUTED_VALUE"""),"")</f>
        <v/>
      </c>
      <c r="CD200" s="94" t="str">
        <f>IFERROR(__xludf.DUMMYFUNCTION("""COMPUTED_VALUE"""),"")</f>
        <v/>
      </c>
      <c r="CE200" s="93" t="str">
        <f>IFERROR(__xludf.DUMMYFUNCTION("""COMPUTED_VALUE"""),"")</f>
        <v/>
      </c>
      <c r="CF200" s="114" t="str">
        <f>IFERROR(__xludf.DUMMYFUNCTION("""COMPUTED_VALUE"""),"")</f>
        <v/>
      </c>
      <c r="CG200" s="94" t="str">
        <f>IFERROR(__xludf.DUMMYFUNCTION("""COMPUTED_VALUE"""),"")</f>
        <v/>
      </c>
      <c r="CH200" s="93" t="str">
        <f>IFERROR(__xludf.DUMMYFUNCTION("""COMPUTED_VALUE"""),"")</f>
        <v/>
      </c>
      <c r="CI200" s="93" t="str">
        <f>IFERROR(__xludf.DUMMYFUNCTION("""COMPUTED_VALUE"""),"")</f>
        <v/>
      </c>
      <c r="CJ200" s="94" t="str">
        <f>IFERROR(__xludf.DUMMYFUNCTION("""COMPUTED_VALUE"""),"")</f>
        <v/>
      </c>
      <c r="CK200" s="93" t="str">
        <f>IFERROR(__xludf.DUMMYFUNCTION("""COMPUTED_VALUE"""),"")</f>
        <v/>
      </c>
      <c r="CL200" s="93" t="str">
        <f>IFERROR(__xludf.DUMMYFUNCTION("""COMPUTED_VALUE"""),"")</f>
        <v/>
      </c>
      <c r="CM200" s="94" t="str">
        <f>IFERROR(__xludf.DUMMYFUNCTION("""COMPUTED_VALUE"""),"")</f>
        <v/>
      </c>
      <c r="CN200" s="93" t="str">
        <f>IFERROR(__xludf.DUMMYFUNCTION("""COMPUTED_VALUE"""),"")</f>
        <v/>
      </c>
      <c r="CO200" s="93" t="str">
        <f>IFERROR(__xludf.DUMMYFUNCTION("""COMPUTED_VALUE"""),"")</f>
        <v/>
      </c>
      <c r="CP200" s="94" t="str">
        <f>IFERROR(__xludf.DUMMYFUNCTION("""COMPUTED_VALUE"""),"")</f>
        <v/>
      </c>
      <c r="CQ200" s="93" t="str">
        <f>IFERROR(__xludf.DUMMYFUNCTION("""COMPUTED_VALUE"""),"")</f>
        <v/>
      </c>
      <c r="CR200" s="93" t="str">
        <f>IFERROR(__xludf.DUMMYFUNCTION("""COMPUTED_VALUE"""),"")</f>
        <v/>
      </c>
      <c r="CS200" s="94"/>
      <c r="CT200" s="93"/>
      <c r="CU200" s="93"/>
      <c r="CV200" s="94"/>
      <c r="CW200" s="93"/>
      <c r="CX200" s="93"/>
      <c r="CY200" s="94"/>
      <c r="CZ200" s="93"/>
      <c r="DA200" s="93"/>
      <c r="DB200" s="94"/>
      <c r="DC200" s="93"/>
      <c r="DD200" s="93"/>
      <c r="DE200" s="94"/>
      <c r="DF200" s="93"/>
      <c r="DG200" s="93"/>
      <c r="DH200" s="94"/>
      <c r="DI200" s="93"/>
      <c r="DJ200" s="93"/>
      <c r="DK200" s="94"/>
      <c r="DL200" s="93"/>
      <c r="DM200" s="93"/>
      <c r="DN200" s="94"/>
      <c r="DO200" s="93"/>
      <c r="DP200" s="93"/>
      <c r="DQ200" s="94"/>
      <c r="DR200" s="93"/>
      <c r="DS200" s="93"/>
      <c r="DT200" s="94"/>
    </row>
    <row r="201" ht="16.5" customHeight="1">
      <c r="B201" s="120" t="str">
        <f>IFERROR(__xludf.DUMMYFUNCTION("""COMPUTED_VALUE"""),"GTT5")</f>
        <v>GTT5</v>
      </c>
      <c r="C201" s="82">
        <f>IFERROR(__xludf.DUMMYFUNCTION("""COMPUTED_VALUE"""),196.0)</f>
        <v>196</v>
      </c>
      <c r="D201" s="88" t="str">
        <f>IFERROR(__xludf.DUMMYFUNCTION("""COMPUTED_VALUE"""),"Hero's Lair")</f>
        <v>Hero's Lair</v>
      </c>
      <c r="E201" s="82" t="str">
        <f>IFERROR(__xludf.DUMMYFUNCTION("""COMPUTED_VALUE"""),"英雄の穴倉")</f>
        <v>英雄の穴倉</v>
      </c>
      <c r="F201" s="102">
        <f>IFERROR(__xludf.DUMMYFUNCTION("""COMPUTED_VALUE"""),21.0)</f>
        <v>21</v>
      </c>
      <c r="G201" s="82">
        <f>IFERROR(__xludf.DUMMYFUNCTION("""COMPUTED_VALUE"""),8524.0)</f>
        <v>8524</v>
      </c>
      <c r="H201" s="95" t="str">
        <f>IFERROR(__xludf.DUMMYFUNCTION("""COMPUTED_VALUE"""),"")</f>
        <v/>
      </c>
      <c r="I201" s="96" t="str">
        <f>IFERROR(__xludf.DUMMYFUNCTION("""COMPUTED_VALUE"""),"")</f>
        <v/>
      </c>
      <c r="J201" s="97" t="str">
        <f>IFERROR(__xludf.DUMMYFUNCTION("""COMPUTED_VALUE"""),"")</f>
        <v/>
      </c>
      <c r="K201" s="95" t="str">
        <f>IFERROR(__xludf.DUMMYFUNCTION("""COMPUTED_VALUE"""),"")</f>
        <v/>
      </c>
      <c r="L201" s="96" t="str">
        <f>IFERROR(__xludf.DUMMYFUNCTION("""COMPUTED_VALUE"""),"")</f>
        <v/>
      </c>
      <c r="M201" s="97" t="str">
        <f>IFERROR(__xludf.DUMMYFUNCTION("""COMPUTED_VALUE"""),"")</f>
        <v/>
      </c>
      <c r="N201" s="95" t="str">
        <f>IFERROR(__xludf.DUMMYFUNCTION("""COMPUTED_VALUE"""),"")</f>
        <v/>
      </c>
      <c r="O201" s="96" t="str">
        <f>IFERROR(__xludf.DUMMYFUNCTION("""COMPUTED_VALUE"""),"")</f>
        <v/>
      </c>
      <c r="P201" s="97" t="str">
        <f>IFERROR(__xludf.DUMMYFUNCTION("""COMPUTED_VALUE"""),"")</f>
        <v/>
      </c>
      <c r="Q201" s="95" t="str">
        <f>IFERROR(__xludf.DUMMYFUNCTION("""COMPUTED_VALUE"""),"")</f>
        <v/>
      </c>
      <c r="R201" s="96" t="str">
        <f>IFERROR(__xludf.DUMMYFUNCTION("""COMPUTED_VALUE"""),"")</f>
        <v/>
      </c>
      <c r="S201" s="97" t="str">
        <f>IFERROR(__xludf.DUMMYFUNCTION("""COMPUTED_VALUE"""),"")</f>
        <v/>
      </c>
      <c r="T201" s="95" t="str">
        <f>IFERROR(__xludf.DUMMYFUNCTION("""COMPUTED_VALUE"""),"")</f>
        <v/>
      </c>
      <c r="U201" s="96" t="str">
        <f>IFERROR(__xludf.DUMMYFUNCTION("""COMPUTED_VALUE"""),"")</f>
        <v/>
      </c>
      <c r="V201" s="97" t="str">
        <f>IFERROR(__xludf.DUMMYFUNCTION("""COMPUTED_VALUE"""),"")</f>
        <v/>
      </c>
      <c r="W201" s="95" t="str">
        <f>IFERROR(__xludf.DUMMYFUNCTION("""COMPUTED_VALUE"""),"")</f>
        <v/>
      </c>
      <c r="X201" s="96" t="str">
        <f>IFERROR(__xludf.DUMMYFUNCTION("""COMPUTED_VALUE"""),"")</f>
        <v/>
      </c>
      <c r="Y201" s="97" t="str">
        <f>IFERROR(__xludf.DUMMYFUNCTION("""COMPUTED_VALUE"""),"")</f>
        <v/>
      </c>
      <c r="Z201" s="95" t="str">
        <f>IFERROR(__xludf.DUMMYFUNCTION("""COMPUTED_VALUE"""),"")</f>
        <v/>
      </c>
      <c r="AA201" s="96" t="str">
        <f>IFERROR(__xludf.DUMMYFUNCTION("""COMPUTED_VALUE"""),"")</f>
        <v/>
      </c>
      <c r="AB201" s="97">
        <f>IFERROR(__xludf.DUMMYFUNCTION("""COMPUTED_VALUE"""),84.8)</f>
        <v>84.8</v>
      </c>
      <c r="AC201" s="95" t="str">
        <f>IFERROR(__xludf.DUMMYFUNCTION("""COMPUTED_VALUE"""),"")</f>
        <v/>
      </c>
      <c r="AD201" s="96" t="str">
        <f>IFERROR(__xludf.DUMMYFUNCTION("""COMPUTED_VALUE"""),"")</f>
        <v/>
      </c>
      <c r="AE201" s="97" t="str">
        <f>IFERROR(__xludf.DUMMYFUNCTION("""COMPUTED_VALUE"""),"")</f>
        <v/>
      </c>
      <c r="AF201" s="95" t="str">
        <f>IFERROR(__xludf.DUMMYFUNCTION("""COMPUTED_VALUE"""),"")</f>
        <v/>
      </c>
      <c r="AG201" s="96" t="str">
        <f>IFERROR(__xludf.DUMMYFUNCTION("""COMPUTED_VALUE"""),"")</f>
        <v/>
      </c>
      <c r="AH201" s="97" t="str">
        <f>IFERROR(__xludf.DUMMYFUNCTION("""COMPUTED_VALUE"""),"")</f>
        <v/>
      </c>
      <c r="AI201" s="121" t="str">
        <f>IFERROR(__xludf.DUMMYFUNCTION("""COMPUTED_VALUE"""),"")</f>
        <v/>
      </c>
      <c r="AJ201" s="122" t="str">
        <f>IFERROR(__xludf.DUMMYFUNCTION("""COMPUTED_VALUE"""),"")</f>
        <v/>
      </c>
      <c r="AK201" s="123" t="str">
        <f>IFERROR(__xludf.DUMMYFUNCTION("""COMPUTED_VALUE"""),"")</f>
        <v/>
      </c>
      <c r="AL201" s="122" t="str">
        <f>IFERROR(__xludf.DUMMYFUNCTION("""COMPUTED_VALUE"""),"")</f>
        <v/>
      </c>
      <c r="AM201" s="122">
        <f>IFERROR(__xludf.DUMMYFUNCTION("""COMPUTED_VALUE"""),82.1)</f>
        <v>82.1</v>
      </c>
      <c r="AN201" s="123" t="str">
        <f>IFERROR(__xludf.DUMMYFUNCTION("""COMPUTED_VALUE"""),"")</f>
        <v/>
      </c>
      <c r="AO201" s="122" t="str">
        <f>IFERROR(__xludf.DUMMYFUNCTION("""COMPUTED_VALUE"""),"")</f>
        <v/>
      </c>
      <c r="AP201" s="122" t="str">
        <f>IFERROR(__xludf.DUMMYFUNCTION("""COMPUTED_VALUE"""),"")</f>
        <v/>
      </c>
      <c r="AQ201" s="123" t="str">
        <f>IFERROR(__xludf.DUMMYFUNCTION("""COMPUTED_VALUE"""),"")</f>
        <v/>
      </c>
      <c r="AR201" s="122" t="str">
        <f>IFERROR(__xludf.DUMMYFUNCTION("""COMPUTED_VALUE"""),"")</f>
        <v/>
      </c>
      <c r="AS201" s="122" t="str">
        <f>IFERROR(__xludf.DUMMYFUNCTION("""COMPUTED_VALUE"""),"")</f>
        <v/>
      </c>
      <c r="AT201" s="123" t="str">
        <f>IFERROR(__xludf.DUMMYFUNCTION("""COMPUTED_VALUE"""),"")</f>
        <v/>
      </c>
      <c r="AU201" s="122" t="str">
        <f>IFERROR(__xludf.DUMMYFUNCTION("""COMPUTED_VALUE"""),"")</f>
        <v/>
      </c>
      <c r="AV201" s="122" t="str">
        <f>IFERROR(__xludf.DUMMYFUNCTION("""COMPUTED_VALUE"""),"")</f>
        <v/>
      </c>
      <c r="AW201" s="123" t="str">
        <f>IFERROR(__xludf.DUMMYFUNCTION("""COMPUTED_VALUE"""),"")</f>
        <v/>
      </c>
      <c r="AX201" s="122" t="str">
        <f>IFERROR(__xludf.DUMMYFUNCTION("""COMPUTED_VALUE"""),"")</f>
        <v/>
      </c>
      <c r="AY201" s="122" t="str">
        <f>IFERROR(__xludf.DUMMYFUNCTION("""COMPUTED_VALUE"""),"")</f>
        <v/>
      </c>
      <c r="AZ201" s="123" t="str">
        <f>IFERROR(__xludf.DUMMYFUNCTION("""COMPUTED_VALUE"""),"")</f>
        <v/>
      </c>
      <c r="BA201" s="122" t="str">
        <f>IFERROR(__xludf.DUMMYFUNCTION("""COMPUTED_VALUE"""),"")</f>
        <v/>
      </c>
      <c r="BB201" s="174" t="str">
        <f>IFERROR(__xludf.DUMMYFUNCTION("""COMPUTED_VALUE"""),"")</f>
        <v/>
      </c>
      <c r="BC201" s="123" t="str">
        <f>IFERROR(__xludf.DUMMYFUNCTION("""COMPUTED_VALUE"""),"")</f>
        <v/>
      </c>
      <c r="BD201" s="122" t="str">
        <f>IFERROR(__xludf.DUMMYFUNCTION("""COMPUTED_VALUE"""),"")</f>
        <v/>
      </c>
      <c r="BE201" s="122" t="str">
        <f>IFERROR(__xludf.DUMMYFUNCTION("""COMPUTED_VALUE"""),"")</f>
        <v/>
      </c>
      <c r="BF201" s="123" t="str">
        <f>IFERROR(__xludf.DUMMYFUNCTION("""COMPUTED_VALUE"""),"")</f>
        <v/>
      </c>
      <c r="BG201" s="121" t="str">
        <f>IFERROR(__xludf.DUMMYFUNCTION("""COMPUTED_VALUE"""),"")</f>
        <v/>
      </c>
      <c r="BH201" s="122" t="str">
        <f>IFERROR(__xludf.DUMMYFUNCTION("""COMPUTED_VALUE"""),"")</f>
        <v/>
      </c>
      <c r="BI201" s="123">
        <f>IFERROR(__xludf.DUMMYFUNCTION("""COMPUTED_VALUE"""),427.7)</f>
        <v>427.7</v>
      </c>
      <c r="BJ201" s="122" t="str">
        <f>IFERROR(__xludf.DUMMYFUNCTION("""COMPUTED_VALUE"""),"")</f>
        <v/>
      </c>
      <c r="BK201" s="122" t="str">
        <f>IFERROR(__xludf.DUMMYFUNCTION("""COMPUTED_VALUE"""),"")</f>
        <v/>
      </c>
      <c r="BL201" s="123" t="str">
        <f>IFERROR(__xludf.DUMMYFUNCTION("""COMPUTED_VALUE"""),"")</f>
        <v/>
      </c>
      <c r="BM201" s="122" t="str">
        <f>IFERROR(__xludf.DUMMYFUNCTION("""COMPUTED_VALUE"""),"")</f>
        <v/>
      </c>
      <c r="BN201" s="122" t="str">
        <f>IFERROR(__xludf.DUMMYFUNCTION("""COMPUTED_VALUE"""),"")</f>
        <v/>
      </c>
      <c r="BO201" s="123" t="str">
        <f>IFERROR(__xludf.DUMMYFUNCTION("""COMPUTED_VALUE"""),"")</f>
        <v/>
      </c>
      <c r="BP201" s="122">
        <f>IFERROR(__xludf.DUMMYFUNCTION("""COMPUTED_VALUE"""),67.3)</f>
        <v>67.3</v>
      </c>
      <c r="BQ201" s="122" t="str">
        <f>IFERROR(__xludf.DUMMYFUNCTION("""COMPUTED_VALUE"""),"")</f>
        <v/>
      </c>
      <c r="BR201" s="123" t="str">
        <f>IFERROR(__xludf.DUMMYFUNCTION("""COMPUTED_VALUE"""),"")</f>
        <v/>
      </c>
      <c r="BS201" s="122" t="str">
        <f>IFERROR(__xludf.DUMMYFUNCTION("""COMPUTED_VALUE"""),"")</f>
        <v/>
      </c>
      <c r="BT201" s="122" t="str">
        <f>IFERROR(__xludf.DUMMYFUNCTION("""COMPUTED_VALUE"""),"")</f>
        <v/>
      </c>
      <c r="BU201" s="123" t="str">
        <f>IFERROR(__xludf.DUMMYFUNCTION("""COMPUTED_VALUE"""),"")</f>
        <v/>
      </c>
      <c r="BV201" s="122" t="str">
        <f>IFERROR(__xludf.DUMMYFUNCTION("""COMPUTED_VALUE"""),"")</f>
        <v/>
      </c>
      <c r="BW201" s="122" t="str">
        <f>IFERROR(__xludf.DUMMYFUNCTION("""COMPUTED_VALUE"""),"")</f>
        <v/>
      </c>
      <c r="BX201" s="123" t="str">
        <f>IFERROR(__xludf.DUMMYFUNCTION("""COMPUTED_VALUE"""),"")</f>
        <v/>
      </c>
      <c r="BY201" s="122" t="str">
        <f>IFERROR(__xludf.DUMMYFUNCTION("""COMPUTED_VALUE"""),"")</f>
        <v/>
      </c>
      <c r="BZ201" s="122" t="str">
        <f>IFERROR(__xludf.DUMMYFUNCTION("""COMPUTED_VALUE"""),"")</f>
        <v/>
      </c>
      <c r="CA201" s="123" t="str">
        <f>IFERROR(__xludf.DUMMYFUNCTION("""COMPUTED_VALUE"""),"")</f>
        <v/>
      </c>
      <c r="CB201" s="121" t="str">
        <f>IFERROR(__xludf.DUMMYFUNCTION("""COMPUTED_VALUE"""),"")</f>
        <v/>
      </c>
      <c r="CC201" s="122" t="str">
        <f>IFERROR(__xludf.DUMMYFUNCTION("""COMPUTED_VALUE"""),"")</f>
        <v/>
      </c>
      <c r="CD201" s="123" t="str">
        <f>IFERROR(__xludf.DUMMYFUNCTION("""COMPUTED_VALUE"""),"")</f>
        <v/>
      </c>
      <c r="CE201" s="122" t="str">
        <f>IFERROR(__xludf.DUMMYFUNCTION("""COMPUTED_VALUE"""),"")</f>
        <v/>
      </c>
      <c r="CF201" s="122" t="str">
        <f>IFERROR(__xludf.DUMMYFUNCTION("""COMPUTED_VALUE"""),"")</f>
        <v/>
      </c>
      <c r="CG201" s="123" t="str">
        <f>IFERROR(__xludf.DUMMYFUNCTION("""COMPUTED_VALUE"""),"")</f>
        <v/>
      </c>
      <c r="CH201" s="122" t="str">
        <f>IFERROR(__xludf.DUMMYFUNCTION("""COMPUTED_VALUE"""),"")</f>
        <v/>
      </c>
      <c r="CI201" s="122" t="str">
        <f>IFERROR(__xludf.DUMMYFUNCTION("""COMPUTED_VALUE"""),"")</f>
        <v/>
      </c>
      <c r="CJ201" s="123" t="str">
        <f>IFERROR(__xludf.DUMMYFUNCTION("""COMPUTED_VALUE"""),"")</f>
        <v/>
      </c>
      <c r="CK201" s="122" t="str">
        <f>IFERROR(__xludf.DUMMYFUNCTION("""COMPUTED_VALUE"""),"")</f>
        <v/>
      </c>
      <c r="CL201" s="122" t="str">
        <f>IFERROR(__xludf.DUMMYFUNCTION("""COMPUTED_VALUE"""),"")</f>
        <v/>
      </c>
      <c r="CM201" s="123" t="str">
        <f>IFERROR(__xludf.DUMMYFUNCTION("""COMPUTED_VALUE"""),"")</f>
        <v/>
      </c>
      <c r="CN201" s="122" t="str">
        <f>IFERROR(__xludf.DUMMYFUNCTION("""COMPUTED_VALUE"""),"")</f>
        <v/>
      </c>
      <c r="CO201" s="122" t="str">
        <f>IFERROR(__xludf.DUMMYFUNCTION("""COMPUTED_VALUE"""),"")</f>
        <v/>
      </c>
      <c r="CP201" s="123" t="str">
        <f>IFERROR(__xludf.DUMMYFUNCTION("""COMPUTED_VALUE"""),"")</f>
        <v/>
      </c>
      <c r="CQ201" s="122" t="str">
        <f>IFERROR(__xludf.DUMMYFUNCTION("""COMPUTED_VALUE"""),"")</f>
        <v/>
      </c>
      <c r="CR201" s="122" t="str">
        <f>IFERROR(__xludf.DUMMYFUNCTION("""COMPUTED_VALUE"""),"")</f>
        <v/>
      </c>
      <c r="CS201" s="123"/>
      <c r="CT201" s="122"/>
      <c r="CU201" s="122"/>
      <c r="CV201" s="123"/>
      <c r="CW201" s="122"/>
      <c r="CX201" s="122"/>
      <c r="CY201" s="123"/>
      <c r="CZ201" s="122"/>
      <c r="DA201" s="122"/>
      <c r="DB201" s="123"/>
      <c r="DC201" s="122"/>
      <c r="DD201" s="122"/>
      <c r="DE201" s="123"/>
      <c r="DF201" s="122"/>
      <c r="DG201" s="122"/>
      <c r="DH201" s="123"/>
      <c r="DI201" s="122"/>
      <c r="DJ201" s="122"/>
      <c r="DK201" s="123"/>
      <c r="DL201" s="122"/>
      <c r="DM201" s="122"/>
      <c r="DN201" s="123"/>
      <c r="DO201" s="122"/>
      <c r="DP201" s="122"/>
      <c r="DQ201" s="123"/>
      <c r="DR201" s="122"/>
      <c r="DS201" s="122"/>
      <c r="DT201" s="123"/>
    </row>
    <row r="202" ht="16.5" customHeight="1">
      <c r="B202" s="120" t="str">
        <f>IFERROR(__xludf.DUMMYFUNCTION("""COMPUTED_VALUE"""),"GTT6")</f>
        <v>GTT6</v>
      </c>
      <c r="C202" s="82">
        <f>IFERROR(__xludf.DUMMYFUNCTION("""COMPUTED_VALUE"""),197.0)</f>
        <v>197</v>
      </c>
      <c r="D202" s="88" t="str">
        <f>IFERROR(__xludf.DUMMYFUNCTION("""COMPUTED_VALUE"""),"Castle of Snow and Ice")</f>
        <v>Castle of Snow and Ice</v>
      </c>
      <c r="E202" s="82" t="str">
        <f>IFERROR(__xludf.DUMMYFUNCTION("""COMPUTED_VALUE"""),"雪と氷の城")</f>
        <v>雪と氷の城</v>
      </c>
      <c r="F202" s="102">
        <f>IFERROR(__xludf.DUMMYFUNCTION("""COMPUTED_VALUE"""),21.0)</f>
        <v>21</v>
      </c>
      <c r="G202" s="82">
        <f>IFERROR(__xludf.DUMMYFUNCTION("""COMPUTED_VALUE"""),11330.0)</f>
        <v>11330</v>
      </c>
      <c r="H202" s="95" t="str">
        <f>IFERROR(__xludf.DUMMYFUNCTION("""COMPUTED_VALUE"""),"")</f>
        <v/>
      </c>
      <c r="I202" s="96" t="str">
        <f>IFERROR(__xludf.DUMMYFUNCTION("""COMPUTED_VALUE"""),"")</f>
        <v/>
      </c>
      <c r="J202" s="97" t="str">
        <f>IFERROR(__xludf.DUMMYFUNCTION("""COMPUTED_VALUE"""),"")</f>
        <v/>
      </c>
      <c r="K202" s="95" t="str">
        <f>IFERROR(__xludf.DUMMYFUNCTION("""COMPUTED_VALUE"""),"")</f>
        <v/>
      </c>
      <c r="L202" s="96" t="str">
        <f>IFERROR(__xludf.DUMMYFUNCTION("""COMPUTED_VALUE"""),"")</f>
        <v/>
      </c>
      <c r="M202" s="97" t="str">
        <f>IFERROR(__xludf.DUMMYFUNCTION("""COMPUTED_VALUE"""),"")</f>
        <v/>
      </c>
      <c r="N202" s="95" t="str">
        <f>IFERROR(__xludf.DUMMYFUNCTION("""COMPUTED_VALUE"""),"")</f>
        <v/>
      </c>
      <c r="O202" s="96" t="str">
        <f>IFERROR(__xludf.DUMMYFUNCTION("""COMPUTED_VALUE"""),"")</f>
        <v/>
      </c>
      <c r="P202" s="97" t="str">
        <f>IFERROR(__xludf.DUMMYFUNCTION("""COMPUTED_VALUE"""),"")</f>
        <v/>
      </c>
      <c r="Q202" s="95" t="str">
        <f>IFERROR(__xludf.DUMMYFUNCTION("""COMPUTED_VALUE"""),"")</f>
        <v/>
      </c>
      <c r="R202" s="96" t="str">
        <f>IFERROR(__xludf.DUMMYFUNCTION("""COMPUTED_VALUE"""),"")</f>
        <v/>
      </c>
      <c r="S202" s="97" t="str">
        <f>IFERROR(__xludf.DUMMYFUNCTION("""COMPUTED_VALUE"""),"")</f>
        <v/>
      </c>
      <c r="T202" s="95" t="str">
        <f>IFERROR(__xludf.DUMMYFUNCTION("""COMPUTED_VALUE"""),"")</f>
        <v/>
      </c>
      <c r="U202" s="96" t="str">
        <f>IFERROR(__xludf.DUMMYFUNCTION("""COMPUTED_VALUE"""),"")</f>
        <v/>
      </c>
      <c r="V202" s="97" t="str">
        <f>IFERROR(__xludf.DUMMYFUNCTION("""COMPUTED_VALUE"""),"")</f>
        <v/>
      </c>
      <c r="W202" s="95" t="str">
        <f>IFERROR(__xludf.DUMMYFUNCTION("""COMPUTED_VALUE"""),"")</f>
        <v/>
      </c>
      <c r="X202" s="96" t="str">
        <f>IFERROR(__xludf.DUMMYFUNCTION("""COMPUTED_VALUE"""),"")</f>
        <v/>
      </c>
      <c r="Y202" s="97" t="str">
        <f>IFERROR(__xludf.DUMMYFUNCTION("""COMPUTED_VALUE"""),"")</f>
        <v/>
      </c>
      <c r="Z202" s="95" t="str">
        <f>IFERROR(__xludf.DUMMYFUNCTION("""COMPUTED_VALUE"""),"")</f>
        <v/>
      </c>
      <c r="AA202" s="96" t="str">
        <f>IFERROR(__xludf.DUMMYFUNCTION("""COMPUTED_VALUE"""),"")</f>
        <v/>
      </c>
      <c r="AB202" s="97" t="str">
        <f>IFERROR(__xludf.DUMMYFUNCTION("""COMPUTED_VALUE"""),"")</f>
        <v/>
      </c>
      <c r="AC202" s="95" t="str">
        <f>IFERROR(__xludf.DUMMYFUNCTION("""COMPUTED_VALUE"""),"")</f>
        <v/>
      </c>
      <c r="AD202" s="96" t="str">
        <f>IFERROR(__xludf.DUMMYFUNCTION("""COMPUTED_VALUE"""),"")</f>
        <v/>
      </c>
      <c r="AE202" s="97" t="str">
        <f>IFERROR(__xludf.DUMMYFUNCTION("""COMPUTED_VALUE"""),"")</f>
        <v/>
      </c>
      <c r="AF202" s="95" t="str">
        <f>IFERROR(__xludf.DUMMYFUNCTION("""COMPUTED_VALUE"""),"")</f>
        <v/>
      </c>
      <c r="AG202" s="96" t="str">
        <f>IFERROR(__xludf.DUMMYFUNCTION("""COMPUTED_VALUE"""),"")</f>
        <v/>
      </c>
      <c r="AH202" s="97" t="str">
        <f>IFERROR(__xludf.DUMMYFUNCTION("""COMPUTED_VALUE"""),"")</f>
        <v/>
      </c>
      <c r="AI202" s="92" t="str">
        <f>IFERROR(__xludf.DUMMYFUNCTION("""COMPUTED_VALUE"""),"")</f>
        <v/>
      </c>
      <c r="AJ202" s="93" t="str">
        <f>IFERROR(__xludf.DUMMYFUNCTION("""COMPUTED_VALUE"""),"")</f>
        <v/>
      </c>
      <c r="AK202" s="94" t="str">
        <f>IFERROR(__xludf.DUMMYFUNCTION("""COMPUTED_VALUE"""),"")</f>
        <v/>
      </c>
      <c r="AL202" s="93" t="str">
        <f>IFERROR(__xludf.DUMMYFUNCTION("""COMPUTED_VALUE"""),"")</f>
        <v/>
      </c>
      <c r="AM202" s="93" t="str">
        <f>IFERROR(__xludf.DUMMYFUNCTION("""COMPUTED_VALUE"""),"")</f>
        <v/>
      </c>
      <c r="AN202" s="94">
        <f>IFERROR(__xludf.DUMMYFUNCTION("""COMPUTED_VALUE"""),53.7)</f>
        <v>53.7</v>
      </c>
      <c r="AO202" s="93" t="str">
        <f>IFERROR(__xludf.DUMMYFUNCTION("""COMPUTED_VALUE"""),"")</f>
        <v/>
      </c>
      <c r="AP202" s="93" t="str">
        <f>IFERROR(__xludf.DUMMYFUNCTION("""COMPUTED_VALUE"""),"")</f>
        <v/>
      </c>
      <c r="AQ202" s="94" t="str">
        <f>IFERROR(__xludf.DUMMYFUNCTION("""COMPUTED_VALUE"""),"")</f>
        <v/>
      </c>
      <c r="AR202" s="93" t="str">
        <f>IFERROR(__xludf.DUMMYFUNCTION("""COMPUTED_VALUE"""),"")</f>
        <v/>
      </c>
      <c r="AS202" s="93" t="str">
        <f>IFERROR(__xludf.DUMMYFUNCTION("""COMPUTED_VALUE"""),"")</f>
        <v/>
      </c>
      <c r="AT202" s="94" t="str">
        <f>IFERROR(__xludf.DUMMYFUNCTION("""COMPUTED_VALUE"""),"")</f>
        <v/>
      </c>
      <c r="AU202" s="93" t="str">
        <f>IFERROR(__xludf.DUMMYFUNCTION("""COMPUTED_VALUE"""),"")</f>
        <v/>
      </c>
      <c r="AV202" s="93" t="str">
        <f>IFERROR(__xludf.DUMMYFUNCTION("""COMPUTED_VALUE"""),"")</f>
        <v/>
      </c>
      <c r="AW202" s="94" t="str">
        <f>IFERROR(__xludf.DUMMYFUNCTION("""COMPUTED_VALUE"""),"")</f>
        <v/>
      </c>
      <c r="AX202" s="93" t="str">
        <f>IFERROR(__xludf.DUMMYFUNCTION("""COMPUTED_VALUE"""),"")</f>
        <v/>
      </c>
      <c r="AY202" s="93" t="str">
        <f>IFERROR(__xludf.DUMMYFUNCTION("""COMPUTED_VALUE"""),"")</f>
        <v/>
      </c>
      <c r="AZ202" s="94" t="str">
        <f>IFERROR(__xludf.DUMMYFUNCTION("""COMPUTED_VALUE"""),"")</f>
        <v/>
      </c>
      <c r="BA202" s="93" t="str">
        <f>IFERROR(__xludf.DUMMYFUNCTION("""COMPUTED_VALUE"""),"")</f>
        <v/>
      </c>
      <c r="BB202" s="93" t="str">
        <f>IFERROR(__xludf.DUMMYFUNCTION("""COMPUTED_VALUE"""),"")</f>
        <v/>
      </c>
      <c r="BC202" s="94" t="str">
        <f>IFERROR(__xludf.DUMMYFUNCTION("""COMPUTED_VALUE"""),"")</f>
        <v/>
      </c>
      <c r="BD202" s="93" t="str">
        <f>IFERROR(__xludf.DUMMYFUNCTION("""COMPUTED_VALUE"""),"")</f>
        <v/>
      </c>
      <c r="BE202" s="93" t="str">
        <f>IFERROR(__xludf.DUMMYFUNCTION("""COMPUTED_VALUE"""),"")</f>
        <v/>
      </c>
      <c r="BF202" s="94" t="str">
        <f>IFERROR(__xludf.DUMMYFUNCTION("""COMPUTED_VALUE"""),"")</f>
        <v/>
      </c>
      <c r="BG202" s="92" t="str">
        <f>IFERROR(__xludf.DUMMYFUNCTION("""COMPUTED_VALUE"""),"")</f>
        <v/>
      </c>
      <c r="BH202" s="93" t="str">
        <f>IFERROR(__xludf.DUMMYFUNCTION("""COMPUTED_VALUE"""),"")</f>
        <v/>
      </c>
      <c r="BI202" s="94" t="str">
        <f>IFERROR(__xludf.DUMMYFUNCTION("""COMPUTED_VALUE"""),"")</f>
        <v/>
      </c>
      <c r="BJ202" s="93" t="str">
        <f>IFERROR(__xludf.DUMMYFUNCTION("""COMPUTED_VALUE"""),"")</f>
        <v/>
      </c>
      <c r="BK202" s="107" t="str">
        <f>IFERROR(__xludf.DUMMYFUNCTION("""COMPUTED_VALUE"""),"")</f>
        <v/>
      </c>
      <c r="BL202" s="94" t="str">
        <f>IFERROR(__xludf.DUMMYFUNCTION("""COMPUTED_VALUE"""),"")</f>
        <v/>
      </c>
      <c r="BM202" s="93">
        <f>IFERROR(__xludf.DUMMYFUNCTION("""COMPUTED_VALUE"""),45.5)</f>
        <v>45.5</v>
      </c>
      <c r="BN202" s="93" t="str">
        <f>IFERROR(__xludf.DUMMYFUNCTION("""COMPUTED_VALUE"""),"")</f>
        <v/>
      </c>
      <c r="BO202" s="94" t="str">
        <f>IFERROR(__xludf.DUMMYFUNCTION("""COMPUTED_VALUE"""),"")</f>
        <v/>
      </c>
      <c r="BP202" s="93" t="str">
        <f>IFERROR(__xludf.DUMMYFUNCTION("""COMPUTED_VALUE"""),"")</f>
        <v/>
      </c>
      <c r="BQ202" s="93" t="str">
        <f>IFERROR(__xludf.DUMMYFUNCTION("""COMPUTED_VALUE"""),"")</f>
        <v/>
      </c>
      <c r="BR202" s="94" t="str">
        <f>IFERROR(__xludf.DUMMYFUNCTION("""COMPUTED_VALUE"""),"")</f>
        <v/>
      </c>
      <c r="BS202" s="93" t="str">
        <f>IFERROR(__xludf.DUMMYFUNCTION("""COMPUTED_VALUE"""),"")</f>
        <v/>
      </c>
      <c r="BT202" s="93" t="str">
        <f>IFERROR(__xludf.DUMMYFUNCTION("""COMPUTED_VALUE"""),"")</f>
        <v/>
      </c>
      <c r="BU202" s="94" t="str">
        <f>IFERROR(__xludf.DUMMYFUNCTION("""COMPUTED_VALUE"""),"")</f>
        <v/>
      </c>
      <c r="BV202" s="93" t="str">
        <f>IFERROR(__xludf.DUMMYFUNCTION("""COMPUTED_VALUE"""),"")</f>
        <v/>
      </c>
      <c r="BW202" s="93" t="str">
        <f>IFERROR(__xludf.DUMMYFUNCTION("""COMPUTED_VALUE"""),"")</f>
        <v/>
      </c>
      <c r="BX202" s="94" t="str">
        <f>IFERROR(__xludf.DUMMYFUNCTION("""COMPUTED_VALUE"""),"")</f>
        <v/>
      </c>
      <c r="BY202" s="93" t="str">
        <f>IFERROR(__xludf.DUMMYFUNCTION("""COMPUTED_VALUE"""),"")</f>
        <v/>
      </c>
      <c r="BZ202" s="93" t="str">
        <f>IFERROR(__xludf.DUMMYFUNCTION("""COMPUTED_VALUE"""),"")</f>
        <v/>
      </c>
      <c r="CA202" s="94" t="str">
        <f>IFERROR(__xludf.DUMMYFUNCTION("""COMPUTED_VALUE"""),"")</f>
        <v/>
      </c>
      <c r="CB202" s="92" t="str">
        <f>IFERROR(__xludf.DUMMYFUNCTION("""COMPUTED_VALUE"""),"")</f>
        <v/>
      </c>
      <c r="CC202" s="93" t="str">
        <f>IFERROR(__xludf.DUMMYFUNCTION("""COMPUTED_VALUE"""),"")</f>
        <v/>
      </c>
      <c r="CD202" s="94" t="str">
        <f>IFERROR(__xludf.DUMMYFUNCTION("""COMPUTED_VALUE"""),"")</f>
        <v/>
      </c>
      <c r="CE202" s="93" t="str">
        <f>IFERROR(__xludf.DUMMYFUNCTION("""COMPUTED_VALUE"""),"")</f>
        <v/>
      </c>
      <c r="CF202" s="107" t="str">
        <f>IFERROR(__xludf.DUMMYFUNCTION("""COMPUTED_VALUE"""),"")</f>
        <v/>
      </c>
      <c r="CG202" s="94" t="str">
        <f>IFERROR(__xludf.DUMMYFUNCTION("""COMPUTED_VALUE"""),"")</f>
        <v/>
      </c>
      <c r="CH202" s="93" t="str">
        <f>IFERROR(__xludf.DUMMYFUNCTION("""COMPUTED_VALUE"""),"")</f>
        <v/>
      </c>
      <c r="CI202" s="93" t="str">
        <f>IFERROR(__xludf.DUMMYFUNCTION("""COMPUTED_VALUE"""),"")</f>
        <v/>
      </c>
      <c r="CJ202" s="94" t="str">
        <f>IFERROR(__xludf.DUMMYFUNCTION("""COMPUTED_VALUE"""),"")</f>
        <v/>
      </c>
      <c r="CK202" s="93" t="str">
        <f>IFERROR(__xludf.DUMMYFUNCTION("""COMPUTED_VALUE"""),"")</f>
        <v/>
      </c>
      <c r="CL202" s="93" t="str">
        <f>IFERROR(__xludf.DUMMYFUNCTION("""COMPUTED_VALUE"""),"")</f>
        <v/>
      </c>
      <c r="CM202" s="94" t="str">
        <f>IFERROR(__xludf.DUMMYFUNCTION("""COMPUTED_VALUE"""),"")</f>
        <v/>
      </c>
      <c r="CN202" s="93" t="str">
        <f>IFERROR(__xludf.DUMMYFUNCTION("""COMPUTED_VALUE"""),"")</f>
        <v/>
      </c>
      <c r="CO202" s="93" t="str">
        <f>IFERROR(__xludf.DUMMYFUNCTION("""COMPUTED_VALUE"""),"")</f>
        <v/>
      </c>
      <c r="CP202" s="94" t="str">
        <f>IFERROR(__xludf.DUMMYFUNCTION("""COMPUTED_VALUE"""),"")</f>
        <v/>
      </c>
      <c r="CQ202" s="93" t="str">
        <f>IFERROR(__xludf.DUMMYFUNCTION("""COMPUTED_VALUE"""),"")</f>
        <v/>
      </c>
      <c r="CR202" s="93" t="str">
        <f>IFERROR(__xludf.DUMMYFUNCTION("""COMPUTED_VALUE"""),"")</f>
        <v/>
      </c>
      <c r="CS202" s="94"/>
      <c r="CT202" s="93"/>
      <c r="CU202" s="93"/>
      <c r="CV202" s="94"/>
      <c r="CW202" s="93"/>
      <c r="CX202" s="93"/>
      <c r="CY202" s="94"/>
      <c r="CZ202" s="93"/>
      <c r="DA202" s="93"/>
      <c r="DB202" s="94"/>
      <c r="DC202" s="93"/>
      <c r="DD202" s="93"/>
      <c r="DE202" s="94"/>
      <c r="DF202" s="93"/>
      <c r="DG202" s="93"/>
      <c r="DH202" s="94"/>
      <c r="DI202" s="93"/>
      <c r="DJ202" s="93"/>
      <c r="DK202" s="94"/>
      <c r="DL202" s="93"/>
      <c r="DM202" s="93"/>
      <c r="DN202" s="94"/>
      <c r="DO202" s="93"/>
      <c r="DP202" s="93"/>
      <c r="DQ202" s="94"/>
      <c r="DR202" s="93"/>
      <c r="DS202" s="93"/>
      <c r="DT202" s="94"/>
    </row>
    <row r="203" ht="16.5" customHeight="1">
      <c r="B203" s="120" t="str">
        <f>IFERROR(__xludf.DUMMYFUNCTION("""COMPUTED_VALUE"""),"GTT7")</f>
        <v>GTT7</v>
      </c>
      <c r="C203" s="82">
        <f>IFERROR(__xludf.DUMMYFUNCTION("""COMPUTED_VALUE"""),198.0)</f>
        <v>198</v>
      </c>
      <c r="D203" s="88" t="str">
        <f>IFERROR(__xludf.DUMMYFUNCTION("""COMPUTED_VALUE"""),"Road to the End")</f>
        <v>Road to the End</v>
      </c>
      <c r="E203" s="82" t="str">
        <f>IFERROR(__xludf.DUMMYFUNCTION("""COMPUTED_VALUE"""),"果てへと至る道")</f>
        <v>果てへと至る道</v>
      </c>
      <c r="F203" s="102">
        <f>IFERROR(__xludf.DUMMYFUNCTION("""COMPUTED_VALUE"""),21.0)</f>
        <v>21</v>
      </c>
      <c r="G203" s="82">
        <f>IFERROR(__xludf.DUMMYFUNCTION("""COMPUTED_VALUE"""),16351.0)</f>
        <v>16351</v>
      </c>
      <c r="H203" s="95" t="str">
        <f>IFERROR(__xludf.DUMMYFUNCTION("""COMPUTED_VALUE"""),"")</f>
        <v/>
      </c>
      <c r="I203" s="96" t="str">
        <f>IFERROR(__xludf.DUMMYFUNCTION("""COMPUTED_VALUE"""),"")</f>
        <v/>
      </c>
      <c r="J203" s="97" t="str">
        <f>IFERROR(__xludf.DUMMYFUNCTION("""COMPUTED_VALUE"""),"")</f>
        <v/>
      </c>
      <c r="K203" s="95" t="str">
        <f>IFERROR(__xludf.DUMMYFUNCTION("""COMPUTED_VALUE"""),"")</f>
        <v/>
      </c>
      <c r="L203" s="96" t="str">
        <f>IFERROR(__xludf.DUMMYFUNCTION("""COMPUTED_VALUE"""),"")</f>
        <v/>
      </c>
      <c r="M203" s="97" t="str">
        <f>IFERROR(__xludf.DUMMYFUNCTION("""COMPUTED_VALUE"""),"")</f>
        <v/>
      </c>
      <c r="N203" s="95" t="str">
        <f>IFERROR(__xludf.DUMMYFUNCTION("""COMPUTED_VALUE"""),"")</f>
        <v/>
      </c>
      <c r="O203" s="96" t="str">
        <f>IFERROR(__xludf.DUMMYFUNCTION("""COMPUTED_VALUE"""),"")</f>
        <v/>
      </c>
      <c r="P203" s="97" t="str">
        <f>IFERROR(__xludf.DUMMYFUNCTION("""COMPUTED_VALUE"""),"")</f>
        <v/>
      </c>
      <c r="Q203" s="95">
        <f>IFERROR(__xludf.DUMMYFUNCTION("""COMPUTED_VALUE"""),118.7)</f>
        <v>118.7</v>
      </c>
      <c r="R203" s="96" t="str">
        <f>IFERROR(__xludf.DUMMYFUNCTION("""COMPUTED_VALUE"""),"")</f>
        <v/>
      </c>
      <c r="S203" s="97" t="str">
        <f>IFERROR(__xludf.DUMMYFUNCTION("""COMPUTED_VALUE"""),"")</f>
        <v/>
      </c>
      <c r="T203" s="95" t="str">
        <f>IFERROR(__xludf.DUMMYFUNCTION("""COMPUTED_VALUE"""),"")</f>
        <v/>
      </c>
      <c r="U203" s="96" t="str">
        <f>IFERROR(__xludf.DUMMYFUNCTION("""COMPUTED_VALUE"""),"")</f>
        <v/>
      </c>
      <c r="V203" s="97" t="str">
        <f>IFERROR(__xludf.DUMMYFUNCTION("""COMPUTED_VALUE"""),"")</f>
        <v/>
      </c>
      <c r="W203" s="95" t="str">
        <f>IFERROR(__xludf.DUMMYFUNCTION("""COMPUTED_VALUE"""),"")</f>
        <v/>
      </c>
      <c r="X203" s="96" t="str">
        <f>IFERROR(__xludf.DUMMYFUNCTION("""COMPUTED_VALUE"""),"")</f>
        <v/>
      </c>
      <c r="Y203" s="97" t="str">
        <f>IFERROR(__xludf.DUMMYFUNCTION("""COMPUTED_VALUE"""),"")</f>
        <v/>
      </c>
      <c r="Z203" s="95" t="str">
        <f>IFERROR(__xludf.DUMMYFUNCTION("""COMPUTED_VALUE"""),"")</f>
        <v/>
      </c>
      <c r="AA203" s="96" t="str">
        <f>IFERROR(__xludf.DUMMYFUNCTION("""COMPUTED_VALUE"""),"")</f>
        <v/>
      </c>
      <c r="AB203" s="97" t="str">
        <f>IFERROR(__xludf.DUMMYFUNCTION("""COMPUTED_VALUE"""),"")</f>
        <v/>
      </c>
      <c r="AC203" s="95" t="str">
        <f>IFERROR(__xludf.DUMMYFUNCTION("""COMPUTED_VALUE"""),"")</f>
        <v/>
      </c>
      <c r="AD203" s="96" t="str">
        <f>IFERROR(__xludf.DUMMYFUNCTION("""COMPUTED_VALUE"""),"")</f>
        <v/>
      </c>
      <c r="AE203" s="97" t="str">
        <f>IFERROR(__xludf.DUMMYFUNCTION("""COMPUTED_VALUE"""),"")</f>
        <v/>
      </c>
      <c r="AF203" s="95" t="str">
        <f>IFERROR(__xludf.DUMMYFUNCTION("""COMPUTED_VALUE"""),"")</f>
        <v/>
      </c>
      <c r="AG203" s="96" t="str">
        <f>IFERROR(__xludf.DUMMYFUNCTION("""COMPUTED_VALUE"""),"")</f>
        <v/>
      </c>
      <c r="AH203" s="97" t="str">
        <f>IFERROR(__xludf.DUMMYFUNCTION("""COMPUTED_VALUE"""),"")</f>
        <v/>
      </c>
      <c r="AI203" s="121" t="str">
        <f>IFERROR(__xludf.DUMMYFUNCTION("""COMPUTED_VALUE"""),"")</f>
        <v/>
      </c>
      <c r="AJ203" s="122" t="str">
        <f>IFERROR(__xludf.DUMMYFUNCTION("""COMPUTED_VALUE"""),"")</f>
        <v/>
      </c>
      <c r="AK203" s="123" t="str">
        <f>IFERROR(__xludf.DUMMYFUNCTION("""COMPUTED_VALUE"""),"")</f>
        <v/>
      </c>
      <c r="AL203" s="122" t="str">
        <f>IFERROR(__xludf.DUMMYFUNCTION("""COMPUTED_VALUE"""),"")</f>
        <v/>
      </c>
      <c r="AM203" s="122">
        <f>IFERROR(__xludf.DUMMYFUNCTION("""COMPUTED_VALUE"""),84.6)</f>
        <v>84.6</v>
      </c>
      <c r="AN203" s="123" t="str">
        <f>IFERROR(__xludf.DUMMYFUNCTION("""COMPUTED_VALUE"""),"")</f>
        <v/>
      </c>
      <c r="AO203" s="122" t="str">
        <f>IFERROR(__xludf.DUMMYFUNCTION("""COMPUTED_VALUE"""),"")</f>
        <v/>
      </c>
      <c r="AP203" s="122" t="str">
        <f>IFERROR(__xludf.DUMMYFUNCTION("""COMPUTED_VALUE"""),"")</f>
        <v/>
      </c>
      <c r="AQ203" s="123" t="str">
        <f>IFERROR(__xludf.DUMMYFUNCTION("""COMPUTED_VALUE"""),"")</f>
        <v/>
      </c>
      <c r="AR203" s="140" t="str">
        <f>IFERROR(__xludf.DUMMYFUNCTION("""COMPUTED_VALUE"""),"")</f>
        <v/>
      </c>
      <c r="AS203" s="122" t="str">
        <f>IFERROR(__xludf.DUMMYFUNCTION("""COMPUTED_VALUE"""),"")</f>
        <v/>
      </c>
      <c r="AT203" s="123" t="str">
        <f>IFERROR(__xludf.DUMMYFUNCTION("""COMPUTED_VALUE"""),"")</f>
        <v/>
      </c>
      <c r="AU203" s="122" t="str">
        <f>IFERROR(__xludf.DUMMYFUNCTION("""COMPUTED_VALUE"""),"")</f>
        <v/>
      </c>
      <c r="AV203" s="122" t="str">
        <f>IFERROR(__xludf.DUMMYFUNCTION("""COMPUTED_VALUE"""),"")</f>
        <v/>
      </c>
      <c r="AW203" s="123" t="str">
        <f>IFERROR(__xludf.DUMMYFUNCTION("""COMPUTED_VALUE"""),"")</f>
        <v/>
      </c>
      <c r="AX203" s="122" t="str">
        <f>IFERROR(__xludf.DUMMYFUNCTION("""COMPUTED_VALUE"""),"")</f>
        <v/>
      </c>
      <c r="AY203" s="122" t="str">
        <f>IFERROR(__xludf.DUMMYFUNCTION("""COMPUTED_VALUE"""),"")</f>
        <v/>
      </c>
      <c r="AZ203" s="123" t="str">
        <f>IFERROR(__xludf.DUMMYFUNCTION("""COMPUTED_VALUE"""),"")</f>
        <v/>
      </c>
      <c r="BA203" s="122" t="str">
        <f>IFERROR(__xludf.DUMMYFUNCTION("""COMPUTED_VALUE"""),"")</f>
        <v/>
      </c>
      <c r="BB203" s="122" t="str">
        <f>IFERROR(__xludf.DUMMYFUNCTION("""COMPUTED_VALUE"""),"")</f>
        <v/>
      </c>
      <c r="BC203" s="123" t="str">
        <f>IFERROR(__xludf.DUMMYFUNCTION("""COMPUTED_VALUE"""),"")</f>
        <v/>
      </c>
      <c r="BD203" s="122" t="str">
        <f>IFERROR(__xludf.DUMMYFUNCTION("""COMPUTED_VALUE"""),"")</f>
        <v/>
      </c>
      <c r="BE203" s="122" t="str">
        <f>IFERROR(__xludf.DUMMYFUNCTION("""COMPUTED_VALUE"""),"")</f>
        <v/>
      </c>
      <c r="BF203" s="123" t="str">
        <f>IFERROR(__xludf.DUMMYFUNCTION("""COMPUTED_VALUE"""),"")</f>
        <v/>
      </c>
      <c r="BG203" s="121" t="str">
        <f>IFERROR(__xludf.DUMMYFUNCTION("""COMPUTED_VALUE"""),"")</f>
        <v/>
      </c>
      <c r="BH203" s="122" t="str">
        <f>IFERROR(__xludf.DUMMYFUNCTION("""COMPUTED_VALUE"""),"")</f>
        <v/>
      </c>
      <c r="BI203" s="123" t="str">
        <f>IFERROR(__xludf.DUMMYFUNCTION("""COMPUTED_VALUE"""),"")</f>
        <v/>
      </c>
      <c r="BJ203" s="122" t="str">
        <f>IFERROR(__xludf.DUMMYFUNCTION("""COMPUTED_VALUE"""),"")</f>
        <v/>
      </c>
      <c r="BK203" s="122" t="str">
        <f>IFERROR(__xludf.DUMMYFUNCTION("""COMPUTED_VALUE"""),"")</f>
        <v/>
      </c>
      <c r="BL203" s="123" t="str">
        <f>IFERROR(__xludf.DUMMYFUNCTION("""COMPUTED_VALUE"""),"")</f>
        <v/>
      </c>
      <c r="BM203" s="122" t="str">
        <f>IFERROR(__xludf.DUMMYFUNCTION("""COMPUTED_VALUE"""),"")</f>
        <v/>
      </c>
      <c r="BN203" s="122" t="str">
        <f>IFERROR(__xludf.DUMMYFUNCTION("""COMPUTED_VALUE"""),"")</f>
        <v/>
      </c>
      <c r="BO203" s="123">
        <f>IFERROR(__xludf.DUMMYFUNCTION("""COMPUTED_VALUE"""),250.0)</f>
        <v>250</v>
      </c>
      <c r="BP203" s="122">
        <f>IFERROR(__xludf.DUMMYFUNCTION("""COMPUTED_VALUE"""),52.0)</f>
        <v>52</v>
      </c>
      <c r="BQ203" s="122" t="str">
        <f>IFERROR(__xludf.DUMMYFUNCTION("""COMPUTED_VALUE"""),"")</f>
        <v/>
      </c>
      <c r="BR203" s="123" t="str">
        <f>IFERROR(__xludf.DUMMYFUNCTION("""COMPUTED_VALUE"""),"")</f>
        <v/>
      </c>
      <c r="BS203" s="122" t="str">
        <f>IFERROR(__xludf.DUMMYFUNCTION("""COMPUTED_VALUE"""),"")</f>
        <v/>
      </c>
      <c r="BT203" s="122" t="str">
        <f>IFERROR(__xludf.DUMMYFUNCTION("""COMPUTED_VALUE"""),"")</f>
        <v/>
      </c>
      <c r="BU203" s="123" t="str">
        <f>IFERROR(__xludf.DUMMYFUNCTION("""COMPUTED_VALUE"""),"")</f>
        <v/>
      </c>
      <c r="BV203" s="122" t="str">
        <f>IFERROR(__xludf.DUMMYFUNCTION("""COMPUTED_VALUE"""),"")</f>
        <v/>
      </c>
      <c r="BW203" s="122" t="str">
        <f>IFERROR(__xludf.DUMMYFUNCTION("""COMPUTED_VALUE"""),"")</f>
        <v/>
      </c>
      <c r="BX203" s="123" t="str">
        <f>IFERROR(__xludf.DUMMYFUNCTION("""COMPUTED_VALUE"""),"")</f>
        <v/>
      </c>
      <c r="BY203" s="122" t="str">
        <f>IFERROR(__xludf.DUMMYFUNCTION("""COMPUTED_VALUE"""),"")</f>
        <v/>
      </c>
      <c r="BZ203" s="122" t="str">
        <f>IFERROR(__xludf.DUMMYFUNCTION("""COMPUTED_VALUE"""),"")</f>
        <v/>
      </c>
      <c r="CA203" s="123" t="str">
        <f>IFERROR(__xludf.DUMMYFUNCTION("""COMPUTED_VALUE"""),"")</f>
        <v/>
      </c>
      <c r="CB203" s="121" t="str">
        <f>IFERROR(__xludf.DUMMYFUNCTION("""COMPUTED_VALUE"""),"")</f>
        <v/>
      </c>
      <c r="CC203" s="122" t="str">
        <f>IFERROR(__xludf.DUMMYFUNCTION("""COMPUTED_VALUE"""),"")</f>
        <v/>
      </c>
      <c r="CD203" s="123" t="str">
        <f>IFERROR(__xludf.DUMMYFUNCTION("""COMPUTED_VALUE"""),"")</f>
        <v/>
      </c>
      <c r="CE203" s="122" t="str">
        <f>IFERROR(__xludf.DUMMYFUNCTION("""COMPUTED_VALUE"""),"")</f>
        <v/>
      </c>
      <c r="CF203" s="122" t="str">
        <f>IFERROR(__xludf.DUMMYFUNCTION("""COMPUTED_VALUE"""),"")</f>
        <v/>
      </c>
      <c r="CG203" s="123" t="str">
        <f>IFERROR(__xludf.DUMMYFUNCTION("""COMPUTED_VALUE"""),"")</f>
        <v/>
      </c>
      <c r="CH203" s="122" t="str">
        <f>IFERROR(__xludf.DUMMYFUNCTION("""COMPUTED_VALUE"""),"")</f>
        <v/>
      </c>
      <c r="CI203" s="122" t="str">
        <f>IFERROR(__xludf.DUMMYFUNCTION("""COMPUTED_VALUE"""),"")</f>
        <v/>
      </c>
      <c r="CJ203" s="123" t="str">
        <f>IFERROR(__xludf.DUMMYFUNCTION("""COMPUTED_VALUE"""),"")</f>
        <v/>
      </c>
      <c r="CK203" s="122" t="str">
        <f>IFERROR(__xludf.DUMMYFUNCTION("""COMPUTED_VALUE"""),"")</f>
        <v/>
      </c>
      <c r="CL203" s="122" t="str">
        <f>IFERROR(__xludf.DUMMYFUNCTION("""COMPUTED_VALUE"""),"")</f>
        <v/>
      </c>
      <c r="CM203" s="123" t="str">
        <f>IFERROR(__xludf.DUMMYFUNCTION("""COMPUTED_VALUE"""),"")</f>
        <v/>
      </c>
      <c r="CN203" s="122" t="str">
        <f>IFERROR(__xludf.DUMMYFUNCTION("""COMPUTED_VALUE"""),"")</f>
        <v/>
      </c>
      <c r="CO203" s="122" t="str">
        <f>IFERROR(__xludf.DUMMYFUNCTION("""COMPUTED_VALUE"""),"")</f>
        <v/>
      </c>
      <c r="CP203" s="123" t="str">
        <f>IFERROR(__xludf.DUMMYFUNCTION("""COMPUTED_VALUE"""),"")</f>
        <v/>
      </c>
      <c r="CQ203" s="122">
        <f>IFERROR(__xludf.DUMMYFUNCTION("""COMPUTED_VALUE"""),435.1)</f>
        <v>435.1</v>
      </c>
      <c r="CR203" s="122" t="str">
        <f>IFERROR(__xludf.DUMMYFUNCTION("""COMPUTED_VALUE"""),"")</f>
        <v/>
      </c>
      <c r="CS203" s="123"/>
      <c r="CT203" s="122"/>
      <c r="CU203" s="122"/>
      <c r="CV203" s="123"/>
      <c r="CW203" s="122"/>
      <c r="CX203" s="122"/>
      <c r="CY203" s="123"/>
      <c r="CZ203" s="122"/>
      <c r="DA203" s="122"/>
      <c r="DB203" s="123"/>
      <c r="DC203" s="122"/>
      <c r="DD203" s="122"/>
      <c r="DE203" s="123"/>
      <c r="DF203" s="122"/>
      <c r="DG203" s="122"/>
      <c r="DH203" s="123"/>
      <c r="DI203" s="122"/>
      <c r="DJ203" s="122"/>
      <c r="DK203" s="123"/>
      <c r="DL203" s="122"/>
      <c r="DM203" s="122"/>
      <c r="DN203" s="123"/>
      <c r="DO203" s="122"/>
      <c r="DP203" s="122"/>
      <c r="DQ203" s="123"/>
      <c r="DR203" s="122"/>
      <c r="DS203" s="122"/>
      <c r="DT203" s="123"/>
    </row>
    <row r="204" ht="16.5" customHeight="1">
      <c r="B204" s="120" t="str">
        <f>IFERROR(__xludf.DUMMYFUNCTION("""COMPUTED_VALUE"""),"GTT8")</f>
        <v>GTT8</v>
      </c>
      <c r="C204" s="82">
        <f>IFERROR(__xludf.DUMMYFUNCTION("""COMPUTED_VALUE"""),199.0)</f>
        <v>199</v>
      </c>
      <c r="D204" s="88" t="str">
        <f>IFERROR(__xludf.DUMMYFUNCTION("""COMPUTED_VALUE"""),"Flaming Mansion")</f>
        <v>Flaming Mansion</v>
      </c>
      <c r="E204" s="82" t="str">
        <f>IFERROR(__xludf.DUMMYFUNCTION("""COMPUTED_VALUE"""),"炎の館")</f>
        <v>炎の館</v>
      </c>
      <c r="F204" s="102">
        <f>IFERROR(__xludf.DUMMYFUNCTION("""COMPUTED_VALUE"""),21.0)</f>
        <v>21</v>
      </c>
      <c r="G204" s="82">
        <f>IFERROR(__xludf.DUMMYFUNCTION("""COMPUTED_VALUE"""),16339.0)</f>
        <v>16339</v>
      </c>
      <c r="H204" s="95" t="str">
        <f>IFERROR(__xludf.DUMMYFUNCTION("""COMPUTED_VALUE"""),"")</f>
        <v/>
      </c>
      <c r="I204" s="96" t="str">
        <f>IFERROR(__xludf.DUMMYFUNCTION("""COMPUTED_VALUE"""),"")</f>
        <v/>
      </c>
      <c r="J204" s="97" t="str">
        <f>IFERROR(__xludf.DUMMYFUNCTION("""COMPUTED_VALUE"""),"")</f>
        <v/>
      </c>
      <c r="K204" s="95" t="str">
        <f>IFERROR(__xludf.DUMMYFUNCTION("""COMPUTED_VALUE"""),"")</f>
        <v/>
      </c>
      <c r="L204" s="96" t="str">
        <f>IFERROR(__xludf.DUMMYFUNCTION("""COMPUTED_VALUE"""),"")</f>
        <v/>
      </c>
      <c r="M204" s="97" t="str">
        <f>IFERROR(__xludf.DUMMYFUNCTION("""COMPUTED_VALUE"""),"")</f>
        <v/>
      </c>
      <c r="N204" s="95" t="str">
        <f>IFERROR(__xludf.DUMMYFUNCTION("""COMPUTED_VALUE"""),"")</f>
        <v/>
      </c>
      <c r="O204" s="96" t="str">
        <f>IFERROR(__xludf.DUMMYFUNCTION("""COMPUTED_VALUE"""),"")</f>
        <v/>
      </c>
      <c r="P204" s="97" t="str">
        <f>IFERROR(__xludf.DUMMYFUNCTION("""COMPUTED_VALUE"""),"")</f>
        <v/>
      </c>
      <c r="Q204" s="95" t="str">
        <f>IFERROR(__xludf.DUMMYFUNCTION("""COMPUTED_VALUE"""),"")</f>
        <v/>
      </c>
      <c r="R204" s="96" t="str">
        <f>IFERROR(__xludf.DUMMYFUNCTION("""COMPUTED_VALUE"""),"")</f>
        <v/>
      </c>
      <c r="S204" s="97" t="str">
        <f>IFERROR(__xludf.DUMMYFUNCTION("""COMPUTED_VALUE"""),"")</f>
        <v/>
      </c>
      <c r="T204" s="95" t="str">
        <f>IFERROR(__xludf.DUMMYFUNCTION("""COMPUTED_VALUE"""),"")</f>
        <v/>
      </c>
      <c r="U204" s="96" t="str">
        <f>IFERROR(__xludf.DUMMYFUNCTION("""COMPUTED_VALUE"""),"")</f>
        <v/>
      </c>
      <c r="V204" s="97" t="str">
        <f>IFERROR(__xludf.DUMMYFUNCTION("""COMPUTED_VALUE"""),"")</f>
        <v/>
      </c>
      <c r="W204" s="95" t="str">
        <f>IFERROR(__xludf.DUMMYFUNCTION("""COMPUTED_VALUE"""),"")</f>
        <v/>
      </c>
      <c r="X204" s="96" t="str">
        <f>IFERROR(__xludf.DUMMYFUNCTION("""COMPUTED_VALUE"""),"")</f>
        <v/>
      </c>
      <c r="Y204" s="97" t="str">
        <f>IFERROR(__xludf.DUMMYFUNCTION("""COMPUTED_VALUE"""),"")</f>
        <v/>
      </c>
      <c r="Z204" s="95" t="str">
        <f>IFERROR(__xludf.DUMMYFUNCTION("""COMPUTED_VALUE"""),"")</f>
        <v/>
      </c>
      <c r="AA204" s="96" t="str">
        <f>IFERROR(__xludf.DUMMYFUNCTION("""COMPUTED_VALUE"""),"")</f>
        <v/>
      </c>
      <c r="AB204" s="97" t="str">
        <f>IFERROR(__xludf.DUMMYFUNCTION("""COMPUTED_VALUE"""),"")</f>
        <v/>
      </c>
      <c r="AC204" s="95" t="str">
        <f>IFERROR(__xludf.DUMMYFUNCTION("""COMPUTED_VALUE"""),"")</f>
        <v/>
      </c>
      <c r="AD204" s="96" t="str">
        <f>IFERROR(__xludf.DUMMYFUNCTION("""COMPUTED_VALUE"""),"")</f>
        <v/>
      </c>
      <c r="AE204" s="97" t="str">
        <f>IFERROR(__xludf.DUMMYFUNCTION("""COMPUTED_VALUE"""),"")</f>
        <v/>
      </c>
      <c r="AF204" s="95" t="str">
        <f>IFERROR(__xludf.DUMMYFUNCTION("""COMPUTED_VALUE"""),"")</f>
        <v/>
      </c>
      <c r="AG204" s="96" t="str">
        <f>IFERROR(__xludf.DUMMYFUNCTION("""COMPUTED_VALUE"""),"")</f>
        <v/>
      </c>
      <c r="AH204" s="97" t="str">
        <f>IFERROR(__xludf.DUMMYFUNCTION("""COMPUTED_VALUE"""),"")</f>
        <v/>
      </c>
      <c r="AI204" s="92" t="str">
        <f>IFERROR(__xludf.DUMMYFUNCTION("""COMPUTED_VALUE"""),"")</f>
        <v/>
      </c>
      <c r="AJ204" s="93" t="str">
        <f>IFERROR(__xludf.DUMMYFUNCTION("""COMPUTED_VALUE"""),"")</f>
        <v/>
      </c>
      <c r="AK204" s="94" t="str">
        <f>IFERROR(__xludf.DUMMYFUNCTION("""COMPUTED_VALUE"""),"")</f>
        <v/>
      </c>
      <c r="AL204" s="93" t="str">
        <f>IFERROR(__xludf.DUMMYFUNCTION("""COMPUTED_VALUE"""),"")</f>
        <v/>
      </c>
      <c r="AM204" s="93">
        <f>IFERROR(__xludf.DUMMYFUNCTION("""COMPUTED_VALUE"""),81.2)</f>
        <v>81.2</v>
      </c>
      <c r="AN204" s="94">
        <f>IFERROR(__xludf.DUMMYFUNCTION("""COMPUTED_VALUE"""),84.7)</f>
        <v>84.7</v>
      </c>
      <c r="AO204" s="93" t="str">
        <f>IFERROR(__xludf.DUMMYFUNCTION("""COMPUTED_VALUE"""),"")</f>
        <v/>
      </c>
      <c r="AP204" s="93" t="str">
        <f>IFERROR(__xludf.DUMMYFUNCTION("""COMPUTED_VALUE"""),"")</f>
        <v/>
      </c>
      <c r="AQ204" s="94" t="str">
        <f>IFERROR(__xludf.DUMMYFUNCTION("""COMPUTED_VALUE"""),"")</f>
        <v/>
      </c>
      <c r="AR204" s="93" t="str">
        <f>IFERROR(__xludf.DUMMYFUNCTION("""COMPUTED_VALUE"""),"")</f>
        <v/>
      </c>
      <c r="AS204" s="93" t="str">
        <f>IFERROR(__xludf.DUMMYFUNCTION("""COMPUTED_VALUE"""),"")</f>
        <v/>
      </c>
      <c r="AT204" s="94" t="str">
        <f>IFERROR(__xludf.DUMMYFUNCTION("""COMPUTED_VALUE"""),"")</f>
        <v/>
      </c>
      <c r="AU204" s="93" t="str">
        <f>IFERROR(__xludf.DUMMYFUNCTION("""COMPUTED_VALUE"""),"")</f>
        <v/>
      </c>
      <c r="AV204" s="93" t="str">
        <f>IFERROR(__xludf.DUMMYFUNCTION("""COMPUTED_VALUE"""),"")</f>
        <v/>
      </c>
      <c r="AW204" s="94" t="str">
        <f>IFERROR(__xludf.DUMMYFUNCTION("""COMPUTED_VALUE"""),"")</f>
        <v/>
      </c>
      <c r="AX204" s="93" t="str">
        <f>IFERROR(__xludf.DUMMYFUNCTION("""COMPUTED_VALUE"""),"")</f>
        <v/>
      </c>
      <c r="AY204" s="93" t="str">
        <f>IFERROR(__xludf.DUMMYFUNCTION("""COMPUTED_VALUE"""),"")</f>
        <v/>
      </c>
      <c r="AZ204" s="94" t="str">
        <f>IFERROR(__xludf.DUMMYFUNCTION("""COMPUTED_VALUE"""),"")</f>
        <v/>
      </c>
      <c r="BA204" s="93" t="str">
        <f>IFERROR(__xludf.DUMMYFUNCTION("""COMPUTED_VALUE"""),"")</f>
        <v/>
      </c>
      <c r="BB204" s="93" t="str">
        <f>IFERROR(__xludf.DUMMYFUNCTION("""COMPUTED_VALUE"""),"")</f>
        <v/>
      </c>
      <c r="BC204" s="94" t="str">
        <f>IFERROR(__xludf.DUMMYFUNCTION("""COMPUTED_VALUE"""),"")</f>
        <v/>
      </c>
      <c r="BD204" s="93" t="str">
        <f>IFERROR(__xludf.DUMMYFUNCTION("""COMPUTED_VALUE"""),"")</f>
        <v/>
      </c>
      <c r="BE204" s="93" t="str">
        <f>IFERROR(__xludf.DUMMYFUNCTION("""COMPUTED_VALUE"""),"")</f>
        <v/>
      </c>
      <c r="BF204" s="94" t="str">
        <f>IFERROR(__xludf.DUMMYFUNCTION("""COMPUTED_VALUE"""),"")</f>
        <v/>
      </c>
      <c r="BG204" s="92" t="str">
        <f>IFERROR(__xludf.DUMMYFUNCTION("""COMPUTED_VALUE"""),"")</f>
        <v/>
      </c>
      <c r="BH204" s="93" t="str">
        <f>IFERROR(__xludf.DUMMYFUNCTION("""COMPUTED_VALUE"""),"")</f>
        <v/>
      </c>
      <c r="BI204" s="94" t="str">
        <f>IFERROR(__xludf.DUMMYFUNCTION("""COMPUTED_VALUE"""),"")</f>
        <v/>
      </c>
      <c r="BJ204" s="93" t="str">
        <f>IFERROR(__xludf.DUMMYFUNCTION("""COMPUTED_VALUE"""),"")</f>
        <v/>
      </c>
      <c r="BK204" s="93" t="str">
        <f>IFERROR(__xludf.DUMMYFUNCTION("""COMPUTED_VALUE"""),"")</f>
        <v/>
      </c>
      <c r="BL204" s="94" t="str">
        <f>IFERROR(__xludf.DUMMYFUNCTION("""COMPUTED_VALUE"""),"")</f>
        <v/>
      </c>
      <c r="BM204" s="93">
        <f>IFERROR(__xludf.DUMMYFUNCTION("""COMPUTED_VALUE"""),84.9)</f>
        <v>84.9</v>
      </c>
      <c r="BN204" s="93" t="str">
        <f>IFERROR(__xludf.DUMMYFUNCTION("""COMPUTED_VALUE"""),"")</f>
        <v/>
      </c>
      <c r="BO204" s="94" t="str">
        <f>IFERROR(__xludf.DUMMYFUNCTION("""COMPUTED_VALUE"""),"")</f>
        <v/>
      </c>
      <c r="BP204" s="93">
        <f>IFERROR(__xludf.DUMMYFUNCTION("""COMPUTED_VALUE"""),105.7)</f>
        <v>105.7</v>
      </c>
      <c r="BQ204" s="93" t="str">
        <f>IFERROR(__xludf.DUMMYFUNCTION("""COMPUTED_VALUE"""),"")</f>
        <v/>
      </c>
      <c r="BR204" s="94" t="str">
        <f>IFERROR(__xludf.DUMMYFUNCTION("""COMPUTED_VALUE"""),"")</f>
        <v/>
      </c>
      <c r="BS204" s="93" t="str">
        <f>IFERROR(__xludf.DUMMYFUNCTION("""COMPUTED_VALUE"""),"")</f>
        <v/>
      </c>
      <c r="BT204" s="93" t="str">
        <f>IFERROR(__xludf.DUMMYFUNCTION("""COMPUTED_VALUE"""),"")</f>
        <v/>
      </c>
      <c r="BU204" s="94" t="str">
        <f>IFERROR(__xludf.DUMMYFUNCTION("""COMPUTED_VALUE"""),"")</f>
        <v/>
      </c>
      <c r="BV204" s="93" t="str">
        <f>IFERROR(__xludf.DUMMYFUNCTION("""COMPUTED_VALUE"""),"")</f>
        <v/>
      </c>
      <c r="BW204" s="93" t="str">
        <f>IFERROR(__xludf.DUMMYFUNCTION("""COMPUTED_VALUE"""),"")</f>
        <v/>
      </c>
      <c r="BX204" s="94" t="str">
        <f>IFERROR(__xludf.DUMMYFUNCTION("""COMPUTED_VALUE"""),"")</f>
        <v/>
      </c>
      <c r="BY204" s="93" t="str">
        <f>IFERROR(__xludf.DUMMYFUNCTION("""COMPUTED_VALUE"""),"")</f>
        <v/>
      </c>
      <c r="BZ204" s="93" t="str">
        <f>IFERROR(__xludf.DUMMYFUNCTION("""COMPUTED_VALUE"""),"")</f>
        <v/>
      </c>
      <c r="CA204" s="94" t="str">
        <f>IFERROR(__xludf.DUMMYFUNCTION("""COMPUTED_VALUE"""),"")</f>
        <v/>
      </c>
      <c r="CB204" s="92" t="str">
        <f>IFERROR(__xludf.DUMMYFUNCTION("""COMPUTED_VALUE"""),"")</f>
        <v/>
      </c>
      <c r="CC204" s="93" t="str">
        <f>IFERROR(__xludf.DUMMYFUNCTION("""COMPUTED_VALUE"""),"")</f>
        <v/>
      </c>
      <c r="CD204" s="94" t="str">
        <f>IFERROR(__xludf.DUMMYFUNCTION("""COMPUTED_VALUE"""),"")</f>
        <v/>
      </c>
      <c r="CE204" s="93" t="str">
        <f>IFERROR(__xludf.DUMMYFUNCTION("""COMPUTED_VALUE"""),"")</f>
        <v/>
      </c>
      <c r="CF204" s="93" t="str">
        <f>IFERROR(__xludf.DUMMYFUNCTION("""COMPUTED_VALUE"""),"")</f>
        <v/>
      </c>
      <c r="CG204" s="94" t="str">
        <f>IFERROR(__xludf.DUMMYFUNCTION("""COMPUTED_VALUE"""),"")</f>
        <v/>
      </c>
      <c r="CH204" s="93" t="str">
        <f>IFERROR(__xludf.DUMMYFUNCTION("""COMPUTED_VALUE"""),"")</f>
        <v/>
      </c>
      <c r="CI204" s="93" t="str">
        <f>IFERROR(__xludf.DUMMYFUNCTION("""COMPUTED_VALUE"""),"")</f>
        <v/>
      </c>
      <c r="CJ204" s="94" t="str">
        <f>IFERROR(__xludf.DUMMYFUNCTION("""COMPUTED_VALUE"""),"")</f>
        <v/>
      </c>
      <c r="CK204" s="93" t="str">
        <f>IFERROR(__xludf.DUMMYFUNCTION("""COMPUTED_VALUE"""),"")</f>
        <v/>
      </c>
      <c r="CL204" s="93" t="str">
        <f>IFERROR(__xludf.DUMMYFUNCTION("""COMPUTED_VALUE"""),"")</f>
        <v/>
      </c>
      <c r="CM204" s="94" t="str">
        <f>IFERROR(__xludf.DUMMYFUNCTION("""COMPUTED_VALUE"""),"")</f>
        <v/>
      </c>
      <c r="CN204" s="93" t="str">
        <f>IFERROR(__xludf.DUMMYFUNCTION("""COMPUTED_VALUE"""),"")</f>
        <v/>
      </c>
      <c r="CO204" s="93" t="str">
        <f>IFERROR(__xludf.DUMMYFUNCTION("""COMPUTED_VALUE"""),"")</f>
        <v/>
      </c>
      <c r="CP204" s="94" t="str">
        <f>IFERROR(__xludf.DUMMYFUNCTION("""COMPUTED_VALUE"""),"")</f>
        <v/>
      </c>
      <c r="CQ204" s="93" t="str">
        <f>IFERROR(__xludf.DUMMYFUNCTION("""COMPUTED_VALUE"""),"")</f>
        <v/>
      </c>
      <c r="CR204" s="93">
        <f>IFERROR(__xludf.DUMMYFUNCTION("""COMPUTED_VALUE"""),108.5)</f>
        <v>108.5</v>
      </c>
      <c r="CS204" s="94"/>
      <c r="CT204" s="93"/>
      <c r="CU204" s="93"/>
      <c r="CV204" s="94"/>
      <c r="CW204" s="93"/>
      <c r="CX204" s="93"/>
      <c r="CY204" s="94"/>
      <c r="CZ204" s="93"/>
      <c r="DA204" s="93"/>
      <c r="DB204" s="94"/>
      <c r="DC204" s="93"/>
      <c r="DD204" s="93"/>
      <c r="DE204" s="94"/>
      <c r="DF204" s="93"/>
      <c r="DG204" s="93"/>
      <c r="DH204" s="94"/>
      <c r="DI204" s="93"/>
      <c r="DJ204" s="93"/>
      <c r="DK204" s="94"/>
      <c r="DL204" s="93"/>
      <c r="DM204" s="93"/>
      <c r="DN204" s="94"/>
      <c r="DO204" s="93"/>
      <c r="DP204" s="93"/>
      <c r="DQ204" s="94"/>
      <c r="DR204" s="93"/>
      <c r="DS204" s="93"/>
      <c r="DT204" s="94"/>
    </row>
    <row r="205" ht="16.5" customHeight="1">
      <c r="B205" s="120" t="str">
        <f>IFERROR(__xludf.DUMMYFUNCTION("""COMPUTED_VALUE"""),"GTT9")</f>
        <v>GTT9</v>
      </c>
      <c r="C205" s="82">
        <f>IFERROR(__xludf.DUMMYFUNCTION("""COMPUTED_VALUE"""),200.0)</f>
        <v>200</v>
      </c>
      <c r="D205" s="88" t="str">
        <f>IFERROR(__xludf.DUMMYFUNCTION("""COMPUTED_VALUE"""),"Village 67")</f>
        <v>Village 67</v>
      </c>
      <c r="E205" s="82" t="str">
        <f>IFERROR(__xludf.DUMMYFUNCTION("""COMPUTED_VALUE"""),"第67集落")</f>
        <v>第67集落</v>
      </c>
      <c r="F205" s="102">
        <f>IFERROR(__xludf.DUMMYFUNCTION("""COMPUTED_VALUE"""),21.0)</f>
        <v>21</v>
      </c>
      <c r="G205" s="82">
        <f>IFERROR(__xludf.DUMMYFUNCTION("""COMPUTED_VALUE"""),1113.0)</f>
        <v>1113</v>
      </c>
      <c r="H205" s="95" t="str">
        <f>IFERROR(__xludf.DUMMYFUNCTION("""COMPUTED_VALUE"""),"")</f>
        <v/>
      </c>
      <c r="I205" s="96" t="str">
        <f>IFERROR(__xludf.DUMMYFUNCTION("""COMPUTED_VALUE"""),"")</f>
        <v/>
      </c>
      <c r="J205" s="97" t="str">
        <f>IFERROR(__xludf.DUMMYFUNCTION("""COMPUTED_VALUE"""),"")</f>
        <v/>
      </c>
      <c r="K205" s="95" t="str">
        <f>IFERROR(__xludf.DUMMYFUNCTION("""COMPUTED_VALUE"""),"")</f>
        <v/>
      </c>
      <c r="L205" s="96" t="str">
        <f>IFERROR(__xludf.DUMMYFUNCTION("""COMPUTED_VALUE"""),"")</f>
        <v/>
      </c>
      <c r="M205" s="97" t="str">
        <f>IFERROR(__xludf.DUMMYFUNCTION("""COMPUTED_VALUE"""),"")</f>
        <v/>
      </c>
      <c r="N205" s="95" t="str">
        <f>IFERROR(__xludf.DUMMYFUNCTION("""COMPUTED_VALUE"""),"")</f>
        <v/>
      </c>
      <c r="O205" s="96" t="str">
        <f>IFERROR(__xludf.DUMMYFUNCTION("""COMPUTED_VALUE"""),"")</f>
        <v/>
      </c>
      <c r="P205" s="97" t="str">
        <f>IFERROR(__xludf.DUMMYFUNCTION("""COMPUTED_VALUE"""),"")</f>
        <v/>
      </c>
      <c r="Q205" s="95">
        <f>IFERROR(__xludf.DUMMYFUNCTION("""COMPUTED_VALUE"""),117.5)</f>
        <v>117.5</v>
      </c>
      <c r="R205" s="96" t="str">
        <f>IFERROR(__xludf.DUMMYFUNCTION("""COMPUTED_VALUE"""),"")</f>
        <v/>
      </c>
      <c r="S205" s="97" t="str">
        <f>IFERROR(__xludf.DUMMYFUNCTION("""COMPUTED_VALUE"""),"")</f>
        <v/>
      </c>
      <c r="T205" s="95" t="str">
        <f>IFERROR(__xludf.DUMMYFUNCTION("""COMPUTED_VALUE"""),"")</f>
        <v/>
      </c>
      <c r="U205" s="96" t="str">
        <f>IFERROR(__xludf.DUMMYFUNCTION("""COMPUTED_VALUE"""),"")</f>
        <v/>
      </c>
      <c r="V205" s="97" t="str">
        <f>IFERROR(__xludf.DUMMYFUNCTION("""COMPUTED_VALUE"""),"")</f>
        <v/>
      </c>
      <c r="W205" s="95" t="str">
        <f>IFERROR(__xludf.DUMMYFUNCTION("""COMPUTED_VALUE"""),"")</f>
        <v/>
      </c>
      <c r="X205" s="96" t="str">
        <f>IFERROR(__xludf.DUMMYFUNCTION("""COMPUTED_VALUE"""),"")</f>
        <v/>
      </c>
      <c r="Y205" s="97" t="str">
        <f>IFERROR(__xludf.DUMMYFUNCTION("""COMPUTED_VALUE"""),"")</f>
        <v/>
      </c>
      <c r="Z205" s="95" t="str">
        <f>IFERROR(__xludf.DUMMYFUNCTION("""COMPUTED_VALUE"""),"")</f>
        <v/>
      </c>
      <c r="AA205" s="96" t="str">
        <f>IFERROR(__xludf.DUMMYFUNCTION("""COMPUTED_VALUE"""),"")</f>
        <v/>
      </c>
      <c r="AB205" s="97" t="str">
        <f>IFERROR(__xludf.DUMMYFUNCTION("""COMPUTED_VALUE"""),"")</f>
        <v/>
      </c>
      <c r="AC205" s="95" t="str">
        <f>IFERROR(__xludf.DUMMYFUNCTION("""COMPUTED_VALUE"""),"")</f>
        <v/>
      </c>
      <c r="AD205" s="96" t="str">
        <f>IFERROR(__xludf.DUMMYFUNCTION("""COMPUTED_VALUE"""),"")</f>
        <v/>
      </c>
      <c r="AE205" s="97" t="str">
        <f>IFERROR(__xludf.DUMMYFUNCTION("""COMPUTED_VALUE"""),"")</f>
        <v/>
      </c>
      <c r="AF205" s="95" t="str">
        <f>IFERROR(__xludf.DUMMYFUNCTION("""COMPUTED_VALUE"""),"")</f>
        <v/>
      </c>
      <c r="AG205" s="96" t="str">
        <f>IFERROR(__xludf.DUMMYFUNCTION("""COMPUTED_VALUE"""),"")</f>
        <v/>
      </c>
      <c r="AH205" s="97" t="str">
        <f>IFERROR(__xludf.DUMMYFUNCTION("""COMPUTED_VALUE"""),"")</f>
        <v/>
      </c>
      <c r="AI205" s="121" t="str">
        <f>IFERROR(__xludf.DUMMYFUNCTION("""COMPUTED_VALUE"""),"")</f>
        <v/>
      </c>
      <c r="AJ205" s="122" t="str">
        <f>IFERROR(__xludf.DUMMYFUNCTION("""COMPUTED_VALUE"""),"")</f>
        <v/>
      </c>
      <c r="AK205" s="123" t="str">
        <f>IFERROR(__xludf.DUMMYFUNCTION("""COMPUTED_VALUE"""),"")</f>
        <v/>
      </c>
      <c r="AL205" s="122" t="str">
        <f>IFERROR(__xludf.DUMMYFUNCTION("""COMPUTED_VALUE"""),"")</f>
        <v/>
      </c>
      <c r="AM205" s="122" t="str">
        <f>IFERROR(__xludf.DUMMYFUNCTION("""COMPUTED_VALUE"""),"")</f>
        <v/>
      </c>
      <c r="AN205" s="123">
        <f>IFERROR(__xludf.DUMMYFUNCTION("""COMPUTED_VALUE"""),82.3)</f>
        <v>82.3</v>
      </c>
      <c r="AO205" s="122" t="str">
        <f>IFERROR(__xludf.DUMMYFUNCTION("""COMPUTED_VALUE"""),"")</f>
        <v/>
      </c>
      <c r="AP205" s="122" t="str">
        <f>IFERROR(__xludf.DUMMYFUNCTION("""COMPUTED_VALUE"""),"")</f>
        <v/>
      </c>
      <c r="AQ205" s="123" t="str">
        <f>IFERROR(__xludf.DUMMYFUNCTION("""COMPUTED_VALUE"""),"")</f>
        <v/>
      </c>
      <c r="AR205" s="140" t="str">
        <f>IFERROR(__xludf.DUMMYFUNCTION("""COMPUTED_VALUE"""),"")</f>
        <v/>
      </c>
      <c r="AS205" s="122" t="str">
        <f>IFERROR(__xludf.DUMMYFUNCTION("""COMPUTED_VALUE"""),"")</f>
        <v/>
      </c>
      <c r="AT205" s="123" t="str">
        <f>IFERROR(__xludf.DUMMYFUNCTION("""COMPUTED_VALUE"""),"")</f>
        <v/>
      </c>
      <c r="AU205" s="122" t="str">
        <f>IFERROR(__xludf.DUMMYFUNCTION("""COMPUTED_VALUE"""),"")</f>
        <v/>
      </c>
      <c r="AV205" s="122" t="str">
        <f>IFERROR(__xludf.DUMMYFUNCTION("""COMPUTED_VALUE"""),"")</f>
        <v/>
      </c>
      <c r="AW205" s="123" t="str">
        <f>IFERROR(__xludf.DUMMYFUNCTION("""COMPUTED_VALUE"""),"")</f>
        <v/>
      </c>
      <c r="AX205" s="122" t="str">
        <f>IFERROR(__xludf.DUMMYFUNCTION("""COMPUTED_VALUE"""),"")</f>
        <v/>
      </c>
      <c r="AY205" s="122" t="str">
        <f>IFERROR(__xludf.DUMMYFUNCTION("""COMPUTED_VALUE"""),"")</f>
        <v/>
      </c>
      <c r="AZ205" s="123" t="str">
        <f>IFERROR(__xludf.DUMMYFUNCTION("""COMPUTED_VALUE"""),"")</f>
        <v/>
      </c>
      <c r="BA205" s="122" t="str">
        <f>IFERROR(__xludf.DUMMYFUNCTION("""COMPUTED_VALUE"""),"")</f>
        <v/>
      </c>
      <c r="BB205" s="122" t="str">
        <f>IFERROR(__xludf.DUMMYFUNCTION("""COMPUTED_VALUE"""),"")</f>
        <v/>
      </c>
      <c r="BC205" s="123" t="str">
        <f>IFERROR(__xludf.DUMMYFUNCTION("""COMPUTED_VALUE"""),"")</f>
        <v/>
      </c>
      <c r="BD205" s="122" t="str">
        <f>IFERROR(__xludf.DUMMYFUNCTION("""COMPUTED_VALUE"""),"")</f>
        <v/>
      </c>
      <c r="BE205" s="122" t="str">
        <f>IFERROR(__xludf.DUMMYFUNCTION("""COMPUTED_VALUE"""),"")</f>
        <v/>
      </c>
      <c r="BF205" s="123" t="str">
        <f>IFERROR(__xludf.DUMMYFUNCTION("""COMPUTED_VALUE"""),"")</f>
        <v/>
      </c>
      <c r="BG205" s="121" t="str">
        <f>IFERROR(__xludf.DUMMYFUNCTION("""COMPUTED_VALUE"""),"")</f>
        <v/>
      </c>
      <c r="BH205" s="122" t="str">
        <f>IFERROR(__xludf.DUMMYFUNCTION("""COMPUTED_VALUE"""),"")</f>
        <v/>
      </c>
      <c r="BI205" s="123" t="str">
        <f>IFERROR(__xludf.DUMMYFUNCTION("""COMPUTED_VALUE"""),"")</f>
        <v/>
      </c>
      <c r="BJ205" s="122" t="str">
        <f>IFERROR(__xludf.DUMMYFUNCTION("""COMPUTED_VALUE"""),"")</f>
        <v/>
      </c>
      <c r="BK205" s="106" t="str">
        <f>IFERROR(__xludf.DUMMYFUNCTION("""COMPUTED_VALUE"""),"")</f>
        <v/>
      </c>
      <c r="BL205" s="123" t="str">
        <f>IFERROR(__xludf.DUMMYFUNCTION("""COMPUTED_VALUE"""),"")</f>
        <v/>
      </c>
      <c r="BM205" s="122">
        <f>IFERROR(__xludf.DUMMYFUNCTION("""COMPUTED_VALUE"""),63.5)</f>
        <v>63.5</v>
      </c>
      <c r="BN205" s="122" t="str">
        <f>IFERROR(__xludf.DUMMYFUNCTION("""COMPUTED_VALUE"""),"")</f>
        <v/>
      </c>
      <c r="BO205" s="123">
        <f>IFERROR(__xludf.DUMMYFUNCTION("""COMPUTED_VALUE"""),286.2)</f>
        <v>286.2</v>
      </c>
      <c r="BP205" s="122" t="str">
        <f>IFERROR(__xludf.DUMMYFUNCTION("""COMPUTED_VALUE"""),"")</f>
        <v/>
      </c>
      <c r="BQ205" s="122" t="str">
        <f>IFERROR(__xludf.DUMMYFUNCTION("""COMPUTED_VALUE"""),"")</f>
        <v/>
      </c>
      <c r="BR205" s="123" t="str">
        <f>IFERROR(__xludf.DUMMYFUNCTION("""COMPUTED_VALUE"""),"")</f>
        <v/>
      </c>
      <c r="BS205" s="122" t="str">
        <f>IFERROR(__xludf.DUMMYFUNCTION("""COMPUTED_VALUE"""),"")</f>
        <v/>
      </c>
      <c r="BT205" s="122" t="str">
        <f>IFERROR(__xludf.DUMMYFUNCTION("""COMPUTED_VALUE"""),"")</f>
        <v/>
      </c>
      <c r="BU205" s="123" t="str">
        <f>IFERROR(__xludf.DUMMYFUNCTION("""COMPUTED_VALUE"""),"")</f>
        <v/>
      </c>
      <c r="BV205" s="122" t="str">
        <f>IFERROR(__xludf.DUMMYFUNCTION("""COMPUTED_VALUE"""),"")</f>
        <v/>
      </c>
      <c r="BW205" s="122" t="str">
        <f>IFERROR(__xludf.DUMMYFUNCTION("""COMPUTED_VALUE"""),"")</f>
        <v/>
      </c>
      <c r="BX205" s="123" t="str">
        <f>IFERROR(__xludf.DUMMYFUNCTION("""COMPUTED_VALUE"""),"")</f>
        <v/>
      </c>
      <c r="BY205" s="122" t="str">
        <f>IFERROR(__xludf.DUMMYFUNCTION("""COMPUTED_VALUE"""),"")</f>
        <v/>
      </c>
      <c r="BZ205" s="122" t="str">
        <f>IFERROR(__xludf.DUMMYFUNCTION("""COMPUTED_VALUE"""),"")</f>
        <v/>
      </c>
      <c r="CA205" s="123" t="str">
        <f>IFERROR(__xludf.DUMMYFUNCTION("""COMPUTED_VALUE"""),"")</f>
        <v/>
      </c>
      <c r="CB205" s="121" t="str">
        <f>IFERROR(__xludf.DUMMYFUNCTION("""COMPUTED_VALUE"""),"")</f>
        <v/>
      </c>
      <c r="CC205" s="122" t="str">
        <f>IFERROR(__xludf.DUMMYFUNCTION("""COMPUTED_VALUE"""),"")</f>
        <v/>
      </c>
      <c r="CD205" s="123" t="str">
        <f>IFERROR(__xludf.DUMMYFUNCTION("""COMPUTED_VALUE"""),"")</f>
        <v/>
      </c>
      <c r="CE205" s="122" t="str">
        <f>IFERROR(__xludf.DUMMYFUNCTION("""COMPUTED_VALUE"""),"")</f>
        <v/>
      </c>
      <c r="CF205" s="106" t="str">
        <f>IFERROR(__xludf.DUMMYFUNCTION("""COMPUTED_VALUE"""),"")</f>
        <v/>
      </c>
      <c r="CG205" s="123" t="str">
        <f>IFERROR(__xludf.DUMMYFUNCTION("""COMPUTED_VALUE"""),"")</f>
        <v/>
      </c>
      <c r="CH205" s="122" t="str">
        <f>IFERROR(__xludf.DUMMYFUNCTION("""COMPUTED_VALUE"""),"")</f>
        <v/>
      </c>
      <c r="CI205" s="122" t="str">
        <f>IFERROR(__xludf.DUMMYFUNCTION("""COMPUTED_VALUE"""),"")</f>
        <v/>
      </c>
      <c r="CJ205" s="123" t="str">
        <f>IFERROR(__xludf.DUMMYFUNCTION("""COMPUTED_VALUE"""),"")</f>
        <v/>
      </c>
      <c r="CK205" s="122" t="str">
        <f>IFERROR(__xludf.DUMMYFUNCTION("""COMPUTED_VALUE"""),"")</f>
        <v/>
      </c>
      <c r="CL205" s="122" t="str">
        <f>IFERROR(__xludf.DUMMYFUNCTION("""COMPUTED_VALUE"""),"")</f>
        <v/>
      </c>
      <c r="CM205" s="123" t="str">
        <f>IFERROR(__xludf.DUMMYFUNCTION("""COMPUTED_VALUE"""),"")</f>
        <v/>
      </c>
      <c r="CN205" s="122" t="str">
        <f>IFERROR(__xludf.DUMMYFUNCTION("""COMPUTED_VALUE"""),"")</f>
        <v/>
      </c>
      <c r="CO205" s="122" t="str">
        <f>IFERROR(__xludf.DUMMYFUNCTION("""COMPUTED_VALUE"""),"")</f>
        <v/>
      </c>
      <c r="CP205" s="123" t="str">
        <f>IFERROR(__xludf.DUMMYFUNCTION("""COMPUTED_VALUE"""),"")</f>
        <v/>
      </c>
      <c r="CQ205" s="122">
        <f>IFERROR(__xludf.DUMMYFUNCTION("""COMPUTED_VALUE"""),319.6)</f>
        <v>319.6</v>
      </c>
      <c r="CR205" s="122" t="str">
        <f>IFERROR(__xludf.DUMMYFUNCTION("""COMPUTED_VALUE"""),"")</f>
        <v/>
      </c>
      <c r="CS205" s="123"/>
      <c r="CT205" s="122"/>
      <c r="CU205" s="122"/>
      <c r="CV205" s="123"/>
      <c r="CW205" s="122"/>
      <c r="CX205" s="122"/>
      <c r="CY205" s="123"/>
      <c r="CZ205" s="122"/>
      <c r="DA205" s="122"/>
      <c r="DB205" s="123"/>
      <c r="DC205" s="122"/>
      <c r="DD205" s="122"/>
      <c r="DE205" s="123"/>
      <c r="DF205" s="122"/>
      <c r="DG205" s="122"/>
      <c r="DH205" s="123"/>
      <c r="DI205" s="122"/>
      <c r="DJ205" s="122"/>
      <c r="DK205" s="123"/>
      <c r="DL205" s="122"/>
      <c r="DM205" s="122"/>
      <c r="DN205" s="123"/>
      <c r="DO205" s="122"/>
      <c r="DP205" s="122"/>
      <c r="DQ205" s="123"/>
      <c r="DR205" s="122"/>
      <c r="DS205" s="122"/>
      <c r="DT205" s="123"/>
    </row>
    <row r="206" ht="16.5" customHeight="1">
      <c r="B206" s="120" t="str">
        <f>IFERROR(__xludf.DUMMYFUNCTION("""COMPUTED_VALUE"""),"GTT10")</f>
        <v>GTT10</v>
      </c>
      <c r="C206" s="82">
        <f>IFERROR(__xludf.DUMMYFUNCTION("""COMPUTED_VALUE"""),201.0)</f>
        <v>201</v>
      </c>
      <c r="D206" s="88" t="str">
        <f>IFERROR(__xludf.DUMMYFUNCTION("""COMPUTED_VALUE"""),"North Boundary")</f>
        <v>North Boundary</v>
      </c>
      <c r="E206" s="82" t="str">
        <f>IFERROR(__xludf.DUMMYFUNCTION("""COMPUTED_VALUE"""),"北の境界")</f>
        <v>北の境界</v>
      </c>
      <c r="F206" s="102">
        <f>IFERROR(__xludf.DUMMYFUNCTION("""COMPUTED_VALUE"""),21.0)</f>
        <v>21</v>
      </c>
      <c r="G206" s="82">
        <f>IFERROR(__xludf.DUMMYFUNCTION("""COMPUTED_VALUE"""),6255.0)</f>
        <v>6255</v>
      </c>
      <c r="H206" s="95" t="str">
        <f>IFERROR(__xludf.DUMMYFUNCTION("""COMPUTED_VALUE"""),"")</f>
        <v/>
      </c>
      <c r="I206" s="96" t="str">
        <f>IFERROR(__xludf.DUMMYFUNCTION("""COMPUTED_VALUE"""),"")</f>
        <v/>
      </c>
      <c r="J206" s="97" t="str">
        <f>IFERROR(__xludf.DUMMYFUNCTION("""COMPUTED_VALUE"""),"")</f>
        <v/>
      </c>
      <c r="K206" s="95" t="str">
        <f>IFERROR(__xludf.DUMMYFUNCTION("""COMPUTED_VALUE"""),"")</f>
        <v/>
      </c>
      <c r="L206" s="96" t="str">
        <f>IFERROR(__xludf.DUMMYFUNCTION("""COMPUTED_VALUE"""),"")</f>
        <v/>
      </c>
      <c r="M206" s="97" t="str">
        <f>IFERROR(__xludf.DUMMYFUNCTION("""COMPUTED_VALUE"""),"")</f>
        <v/>
      </c>
      <c r="N206" s="95" t="str">
        <f>IFERROR(__xludf.DUMMYFUNCTION("""COMPUTED_VALUE"""),"")</f>
        <v/>
      </c>
      <c r="O206" s="96" t="str">
        <f>IFERROR(__xludf.DUMMYFUNCTION("""COMPUTED_VALUE"""),"")</f>
        <v/>
      </c>
      <c r="P206" s="97" t="str">
        <f>IFERROR(__xludf.DUMMYFUNCTION("""COMPUTED_VALUE"""),"")</f>
        <v/>
      </c>
      <c r="Q206" s="95" t="str">
        <f>IFERROR(__xludf.DUMMYFUNCTION("""COMPUTED_VALUE"""),"")</f>
        <v/>
      </c>
      <c r="R206" s="96" t="str">
        <f>IFERROR(__xludf.DUMMYFUNCTION("""COMPUTED_VALUE"""),"")</f>
        <v/>
      </c>
      <c r="S206" s="97" t="str">
        <f>IFERROR(__xludf.DUMMYFUNCTION("""COMPUTED_VALUE"""),"")</f>
        <v/>
      </c>
      <c r="T206" s="95" t="str">
        <f>IFERROR(__xludf.DUMMYFUNCTION("""COMPUTED_VALUE"""),"")</f>
        <v/>
      </c>
      <c r="U206" s="96" t="str">
        <f>IFERROR(__xludf.DUMMYFUNCTION("""COMPUTED_VALUE"""),"")</f>
        <v/>
      </c>
      <c r="V206" s="97" t="str">
        <f>IFERROR(__xludf.DUMMYFUNCTION("""COMPUTED_VALUE"""),"")</f>
        <v/>
      </c>
      <c r="W206" s="95" t="str">
        <f>IFERROR(__xludf.DUMMYFUNCTION("""COMPUTED_VALUE"""),"")</f>
        <v/>
      </c>
      <c r="X206" s="96" t="str">
        <f>IFERROR(__xludf.DUMMYFUNCTION("""COMPUTED_VALUE"""),"")</f>
        <v/>
      </c>
      <c r="Y206" s="97" t="str">
        <f>IFERROR(__xludf.DUMMYFUNCTION("""COMPUTED_VALUE"""),"")</f>
        <v/>
      </c>
      <c r="Z206" s="95" t="str">
        <f>IFERROR(__xludf.DUMMYFUNCTION("""COMPUTED_VALUE"""),"")</f>
        <v/>
      </c>
      <c r="AA206" s="96" t="str">
        <f>IFERROR(__xludf.DUMMYFUNCTION("""COMPUTED_VALUE"""),"")</f>
        <v/>
      </c>
      <c r="AB206" s="97" t="str">
        <f>IFERROR(__xludf.DUMMYFUNCTION("""COMPUTED_VALUE"""),"")</f>
        <v/>
      </c>
      <c r="AC206" s="95" t="str">
        <f>IFERROR(__xludf.DUMMYFUNCTION("""COMPUTED_VALUE"""),"")</f>
        <v/>
      </c>
      <c r="AD206" s="96" t="str">
        <f>IFERROR(__xludf.DUMMYFUNCTION("""COMPUTED_VALUE"""),"")</f>
        <v/>
      </c>
      <c r="AE206" s="97" t="str">
        <f>IFERROR(__xludf.DUMMYFUNCTION("""COMPUTED_VALUE"""),"")</f>
        <v/>
      </c>
      <c r="AF206" s="95" t="str">
        <f>IFERROR(__xludf.DUMMYFUNCTION("""COMPUTED_VALUE"""),"")</f>
        <v/>
      </c>
      <c r="AG206" s="96" t="str">
        <f>IFERROR(__xludf.DUMMYFUNCTION("""COMPUTED_VALUE"""),"")</f>
        <v/>
      </c>
      <c r="AH206" s="97" t="str">
        <f>IFERROR(__xludf.DUMMYFUNCTION("""COMPUTED_VALUE"""),"")</f>
        <v/>
      </c>
      <c r="AI206" s="92" t="str">
        <f>IFERROR(__xludf.DUMMYFUNCTION("""COMPUTED_VALUE"""),"")</f>
        <v/>
      </c>
      <c r="AJ206" s="93" t="str">
        <f>IFERROR(__xludf.DUMMYFUNCTION("""COMPUTED_VALUE"""),"")</f>
        <v/>
      </c>
      <c r="AK206" s="94" t="str">
        <f>IFERROR(__xludf.DUMMYFUNCTION("""COMPUTED_VALUE"""),"")</f>
        <v/>
      </c>
      <c r="AL206" s="93" t="str">
        <f>IFERROR(__xludf.DUMMYFUNCTION("""COMPUTED_VALUE"""),"")</f>
        <v/>
      </c>
      <c r="AM206" s="93">
        <f>IFERROR(__xludf.DUMMYFUNCTION("""COMPUTED_VALUE"""),83.9)</f>
        <v>83.9</v>
      </c>
      <c r="AN206" s="94" t="str">
        <f>IFERROR(__xludf.DUMMYFUNCTION("""COMPUTED_VALUE"""),"")</f>
        <v/>
      </c>
      <c r="AO206" s="93" t="str">
        <f>IFERROR(__xludf.DUMMYFUNCTION("""COMPUTED_VALUE"""),"")</f>
        <v/>
      </c>
      <c r="AP206" s="93" t="str">
        <f>IFERROR(__xludf.DUMMYFUNCTION("""COMPUTED_VALUE"""),"")</f>
        <v/>
      </c>
      <c r="AQ206" s="94" t="str">
        <f>IFERROR(__xludf.DUMMYFUNCTION("""COMPUTED_VALUE"""),"")</f>
        <v/>
      </c>
      <c r="AR206" s="93" t="str">
        <f>IFERROR(__xludf.DUMMYFUNCTION("""COMPUTED_VALUE"""),"")</f>
        <v/>
      </c>
      <c r="AS206" s="93" t="str">
        <f>IFERROR(__xludf.DUMMYFUNCTION("""COMPUTED_VALUE"""),"")</f>
        <v/>
      </c>
      <c r="AT206" s="94" t="str">
        <f>IFERROR(__xludf.DUMMYFUNCTION("""COMPUTED_VALUE"""),"")</f>
        <v/>
      </c>
      <c r="AU206" s="93" t="str">
        <f>IFERROR(__xludf.DUMMYFUNCTION("""COMPUTED_VALUE"""),"")</f>
        <v/>
      </c>
      <c r="AV206" s="93" t="str">
        <f>IFERROR(__xludf.DUMMYFUNCTION("""COMPUTED_VALUE"""),"")</f>
        <v/>
      </c>
      <c r="AW206" s="94">
        <f>IFERROR(__xludf.DUMMYFUNCTION("""COMPUTED_VALUE"""),69.2)</f>
        <v>69.2</v>
      </c>
      <c r="AX206" s="93" t="str">
        <f>IFERROR(__xludf.DUMMYFUNCTION("""COMPUTED_VALUE"""),"")</f>
        <v/>
      </c>
      <c r="AY206" s="93" t="str">
        <f>IFERROR(__xludf.DUMMYFUNCTION("""COMPUTED_VALUE"""),"")</f>
        <v/>
      </c>
      <c r="AZ206" s="94" t="str">
        <f>IFERROR(__xludf.DUMMYFUNCTION("""COMPUTED_VALUE"""),"")</f>
        <v/>
      </c>
      <c r="BA206" s="93" t="str">
        <f>IFERROR(__xludf.DUMMYFUNCTION("""COMPUTED_VALUE"""),"")</f>
        <v/>
      </c>
      <c r="BB206" s="93" t="str">
        <f>IFERROR(__xludf.DUMMYFUNCTION("""COMPUTED_VALUE"""),"")</f>
        <v/>
      </c>
      <c r="BC206" s="94" t="str">
        <f>IFERROR(__xludf.DUMMYFUNCTION("""COMPUTED_VALUE"""),"")</f>
        <v/>
      </c>
      <c r="BD206" s="93" t="str">
        <f>IFERROR(__xludf.DUMMYFUNCTION("""COMPUTED_VALUE"""),"")</f>
        <v/>
      </c>
      <c r="BE206" s="93" t="str">
        <f>IFERROR(__xludf.DUMMYFUNCTION("""COMPUTED_VALUE"""),"")</f>
        <v/>
      </c>
      <c r="BF206" s="94" t="str">
        <f>IFERROR(__xludf.DUMMYFUNCTION("""COMPUTED_VALUE"""),"")</f>
        <v/>
      </c>
      <c r="BG206" s="92" t="str">
        <f>IFERROR(__xludf.DUMMYFUNCTION("""COMPUTED_VALUE"""),"")</f>
        <v/>
      </c>
      <c r="BH206" s="93" t="str">
        <f>IFERROR(__xludf.DUMMYFUNCTION("""COMPUTED_VALUE"""),"")</f>
        <v/>
      </c>
      <c r="BI206" s="94" t="str">
        <f>IFERROR(__xludf.DUMMYFUNCTION("""COMPUTED_VALUE"""),"")</f>
        <v/>
      </c>
      <c r="BJ206" s="93" t="str">
        <f>IFERROR(__xludf.DUMMYFUNCTION("""COMPUTED_VALUE"""),"")</f>
        <v/>
      </c>
      <c r="BK206" s="93" t="str">
        <f>IFERROR(__xludf.DUMMYFUNCTION("""COMPUTED_VALUE"""),"")</f>
        <v/>
      </c>
      <c r="BL206" s="94" t="str">
        <f>IFERROR(__xludf.DUMMYFUNCTION("""COMPUTED_VALUE"""),"")</f>
        <v/>
      </c>
      <c r="BM206" s="93" t="str">
        <f>IFERROR(__xludf.DUMMYFUNCTION("""COMPUTED_VALUE"""),"")</f>
        <v/>
      </c>
      <c r="BN206" s="93" t="str">
        <f>IFERROR(__xludf.DUMMYFUNCTION("""COMPUTED_VALUE"""),"")</f>
        <v/>
      </c>
      <c r="BO206" s="94" t="str">
        <f>IFERROR(__xludf.DUMMYFUNCTION("""COMPUTED_VALUE"""),"")</f>
        <v/>
      </c>
      <c r="BP206" s="93">
        <f>IFERROR(__xludf.DUMMYFUNCTION("""COMPUTED_VALUE"""),51.3)</f>
        <v>51.3</v>
      </c>
      <c r="BQ206" s="93" t="str">
        <f>IFERROR(__xludf.DUMMYFUNCTION("""COMPUTED_VALUE"""),"")</f>
        <v/>
      </c>
      <c r="BR206" s="94" t="str">
        <f>IFERROR(__xludf.DUMMYFUNCTION("""COMPUTED_VALUE"""),"")</f>
        <v/>
      </c>
      <c r="BS206" s="93" t="str">
        <f>IFERROR(__xludf.DUMMYFUNCTION("""COMPUTED_VALUE"""),"")</f>
        <v/>
      </c>
      <c r="BT206" s="93" t="str">
        <f>IFERROR(__xludf.DUMMYFUNCTION("""COMPUTED_VALUE"""),"")</f>
        <v/>
      </c>
      <c r="BU206" s="94" t="str">
        <f>IFERROR(__xludf.DUMMYFUNCTION("""COMPUTED_VALUE"""),"")</f>
        <v/>
      </c>
      <c r="BV206" s="93" t="str">
        <f>IFERROR(__xludf.DUMMYFUNCTION("""COMPUTED_VALUE"""),"")</f>
        <v/>
      </c>
      <c r="BW206" s="93" t="str">
        <f>IFERROR(__xludf.DUMMYFUNCTION("""COMPUTED_VALUE"""),"")</f>
        <v/>
      </c>
      <c r="BX206" s="94" t="str">
        <f>IFERROR(__xludf.DUMMYFUNCTION("""COMPUTED_VALUE"""),"")</f>
        <v/>
      </c>
      <c r="BY206" s="93" t="str">
        <f>IFERROR(__xludf.DUMMYFUNCTION("""COMPUTED_VALUE"""),"")</f>
        <v/>
      </c>
      <c r="BZ206" s="93" t="str">
        <f>IFERROR(__xludf.DUMMYFUNCTION("""COMPUTED_VALUE"""),"")</f>
        <v/>
      </c>
      <c r="CA206" s="94" t="str">
        <f>IFERROR(__xludf.DUMMYFUNCTION("""COMPUTED_VALUE"""),"")</f>
        <v/>
      </c>
      <c r="CB206" s="92" t="str">
        <f>IFERROR(__xludf.DUMMYFUNCTION("""COMPUTED_VALUE"""),"")</f>
        <v/>
      </c>
      <c r="CC206" s="93" t="str">
        <f>IFERROR(__xludf.DUMMYFUNCTION("""COMPUTED_VALUE"""),"")</f>
        <v/>
      </c>
      <c r="CD206" s="94" t="str">
        <f>IFERROR(__xludf.DUMMYFUNCTION("""COMPUTED_VALUE"""),"")</f>
        <v/>
      </c>
      <c r="CE206" s="93" t="str">
        <f>IFERROR(__xludf.DUMMYFUNCTION("""COMPUTED_VALUE"""),"")</f>
        <v/>
      </c>
      <c r="CF206" s="93" t="str">
        <f>IFERROR(__xludf.DUMMYFUNCTION("""COMPUTED_VALUE"""),"")</f>
        <v/>
      </c>
      <c r="CG206" s="94" t="str">
        <f>IFERROR(__xludf.DUMMYFUNCTION("""COMPUTED_VALUE"""),"")</f>
        <v/>
      </c>
      <c r="CH206" s="93" t="str">
        <f>IFERROR(__xludf.DUMMYFUNCTION("""COMPUTED_VALUE"""),"")</f>
        <v/>
      </c>
      <c r="CI206" s="93" t="str">
        <f>IFERROR(__xludf.DUMMYFUNCTION("""COMPUTED_VALUE"""),"")</f>
        <v/>
      </c>
      <c r="CJ206" s="94" t="str">
        <f>IFERROR(__xludf.DUMMYFUNCTION("""COMPUTED_VALUE"""),"")</f>
        <v/>
      </c>
      <c r="CK206" s="93" t="str">
        <f>IFERROR(__xludf.DUMMYFUNCTION("""COMPUTED_VALUE"""),"")</f>
        <v/>
      </c>
      <c r="CL206" s="93" t="str">
        <f>IFERROR(__xludf.DUMMYFUNCTION("""COMPUTED_VALUE"""),"")</f>
        <v/>
      </c>
      <c r="CM206" s="94" t="str">
        <f>IFERROR(__xludf.DUMMYFUNCTION("""COMPUTED_VALUE"""),"")</f>
        <v/>
      </c>
      <c r="CN206" s="93" t="str">
        <f>IFERROR(__xludf.DUMMYFUNCTION("""COMPUTED_VALUE"""),"")</f>
        <v/>
      </c>
      <c r="CO206" s="93" t="str">
        <f>IFERROR(__xludf.DUMMYFUNCTION("""COMPUTED_VALUE"""),"")</f>
        <v/>
      </c>
      <c r="CP206" s="94" t="str">
        <f>IFERROR(__xludf.DUMMYFUNCTION("""COMPUTED_VALUE"""),"")</f>
        <v/>
      </c>
      <c r="CQ206" s="93" t="str">
        <f>IFERROR(__xludf.DUMMYFUNCTION("""COMPUTED_VALUE"""),"")</f>
        <v/>
      </c>
      <c r="CR206" s="93">
        <f>IFERROR(__xludf.DUMMYFUNCTION("""COMPUTED_VALUE"""),160.4)</f>
        <v>160.4</v>
      </c>
      <c r="CS206" s="94"/>
      <c r="CT206" s="93"/>
      <c r="CU206" s="93"/>
      <c r="CV206" s="94"/>
      <c r="CW206" s="93"/>
      <c r="CX206" s="93"/>
      <c r="CY206" s="94"/>
      <c r="CZ206" s="93"/>
      <c r="DA206" s="93"/>
      <c r="DB206" s="94"/>
      <c r="DC206" s="93"/>
      <c r="DD206" s="93"/>
      <c r="DE206" s="94"/>
      <c r="DF206" s="93"/>
      <c r="DG206" s="93"/>
      <c r="DH206" s="94"/>
      <c r="DI206" s="93"/>
      <c r="DJ206" s="93"/>
      <c r="DK206" s="94"/>
      <c r="DL206" s="93"/>
      <c r="DM206" s="93"/>
      <c r="DN206" s="94"/>
      <c r="DO206" s="93"/>
      <c r="DP206" s="93"/>
      <c r="DQ206" s="94"/>
      <c r="DR206" s="93"/>
      <c r="DS206" s="93"/>
      <c r="DT206" s="94"/>
    </row>
    <row r="207" ht="16.5" customHeight="1">
      <c r="B207" s="120" t="str">
        <f>IFERROR(__xludf.DUMMYFUNCTION("""COMPUTED_VALUE"""),"GTT11")</f>
        <v>GTT11</v>
      </c>
      <c r="C207" s="82">
        <f>IFERROR(__xludf.DUMMYFUNCTION("""COMPUTED_VALUE"""),202.0)</f>
        <v>202</v>
      </c>
      <c r="D207" s="88" t="str">
        <f>IFERROR(__xludf.DUMMYFUNCTION("""COMPUTED_VALUE"""),"Forgotten Shrine")</f>
        <v>Forgotten Shrine</v>
      </c>
      <c r="E207" s="82" t="str">
        <f>IFERROR(__xludf.DUMMYFUNCTION("""COMPUTED_VALUE"""),"忘れられた神殿")</f>
        <v>忘れられた神殿</v>
      </c>
      <c r="F207" s="102">
        <f>IFERROR(__xludf.DUMMYFUNCTION("""COMPUTED_VALUE"""),21.0)</f>
        <v>21</v>
      </c>
      <c r="G207" s="82">
        <f>IFERROR(__xludf.DUMMYFUNCTION("""COMPUTED_VALUE"""),4261.0)</f>
        <v>4261</v>
      </c>
      <c r="H207" s="95" t="str">
        <f>IFERROR(__xludf.DUMMYFUNCTION("""COMPUTED_VALUE"""),"")</f>
        <v/>
      </c>
      <c r="I207" s="96" t="str">
        <f>IFERROR(__xludf.DUMMYFUNCTION("""COMPUTED_VALUE"""),"")</f>
        <v/>
      </c>
      <c r="J207" s="97" t="str">
        <f>IFERROR(__xludf.DUMMYFUNCTION("""COMPUTED_VALUE"""),"")</f>
        <v/>
      </c>
      <c r="K207" s="95">
        <f>IFERROR(__xludf.DUMMYFUNCTION("""COMPUTED_VALUE"""),184.9)</f>
        <v>184.9</v>
      </c>
      <c r="L207" s="96" t="str">
        <f>IFERROR(__xludf.DUMMYFUNCTION("""COMPUTED_VALUE"""),"")</f>
        <v/>
      </c>
      <c r="M207" s="97" t="str">
        <f>IFERROR(__xludf.DUMMYFUNCTION("""COMPUTED_VALUE"""),"")</f>
        <v/>
      </c>
      <c r="N207" s="95" t="str">
        <f>IFERROR(__xludf.DUMMYFUNCTION("""COMPUTED_VALUE"""),"")</f>
        <v/>
      </c>
      <c r="O207" s="96" t="str">
        <f>IFERROR(__xludf.DUMMYFUNCTION("""COMPUTED_VALUE"""),"")</f>
        <v/>
      </c>
      <c r="P207" s="97" t="str">
        <f>IFERROR(__xludf.DUMMYFUNCTION("""COMPUTED_VALUE"""),"")</f>
        <v/>
      </c>
      <c r="Q207" s="95" t="str">
        <f>IFERROR(__xludf.DUMMYFUNCTION("""COMPUTED_VALUE"""),"")</f>
        <v/>
      </c>
      <c r="R207" s="96" t="str">
        <f>IFERROR(__xludf.DUMMYFUNCTION("""COMPUTED_VALUE"""),"")</f>
        <v/>
      </c>
      <c r="S207" s="97" t="str">
        <f>IFERROR(__xludf.DUMMYFUNCTION("""COMPUTED_VALUE"""),"")</f>
        <v/>
      </c>
      <c r="T207" s="95" t="str">
        <f>IFERROR(__xludf.DUMMYFUNCTION("""COMPUTED_VALUE"""),"")</f>
        <v/>
      </c>
      <c r="U207" s="96" t="str">
        <f>IFERROR(__xludf.DUMMYFUNCTION("""COMPUTED_VALUE"""),"")</f>
        <v/>
      </c>
      <c r="V207" s="97" t="str">
        <f>IFERROR(__xludf.DUMMYFUNCTION("""COMPUTED_VALUE"""),"")</f>
        <v/>
      </c>
      <c r="W207" s="95" t="str">
        <f>IFERROR(__xludf.DUMMYFUNCTION("""COMPUTED_VALUE"""),"")</f>
        <v/>
      </c>
      <c r="X207" s="96" t="str">
        <f>IFERROR(__xludf.DUMMYFUNCTION("""COMPUTED_VALUE"""),"")</f>
        <v/>
      </c>
      <c r="Y207" s="97" t="str">
        <f>IFERROR(__xludf.DUMMYFUNCTION("""COMPUTED_VALUE"""),"")</f>
        <v/>
      </c>
      <c r="Z207" s="95" t="str">
        <f>IFERROR(__xludf.DUMMYFUNCTION("""COMPUTED_VALUE"""),"")</f>
        <v/>
      </c>
      <c r="AA207" s="96" t="str">
        <f>IFERROR(__xludf.DUMMYFUNCTION("""COMPUTED_VALUE"""),"")</f>
        <v/>
      </c>
      <c r="AB207" s="97" t="str">
        <f>IFERROR(__xludf.DUMMYFUNCTION("""COMPUTED_VALUE"""),"")</f>
        <v/>
      </c>
      <c r="AC207" s="95" t="str">
        <f>IFERROR(__xludf.DUMMYFUNCTION("""COMPUTED_VALUE"""),"")</f>
        <v/>
      </c>
      <c r="AD207" s="96" t="str">
        <f>IFERROR(__xludf.DUMMYFUNCTION("""COMPUTED_VALUE"""),"")</f>
        <v/>
      </c>
      <c r="AE207" s="97" t="str">
        <f>IFERROR(__xludf.DUMMYFUNCTION("""COMPUTED_VALUE"""),"")</f>
        <v/>
      </c>
      <c r="AF207" s="95" t="str">
        <f>IFERROR(__xludf.DUMMYFUNCTION("""COMPUTED_VALUE"""),"")</f>
        <v/>
      </c>
      <c r="AG207" s="96" t="str">
        <f>IFERROR(__xludf.DUMMYFUNCTION("""COMPUTED_VALUE"""),"")</f>
        <v/>
      </c>
      <c r="AH207" s="97" t="str">
        <f>IFERROR(__xludf.DUMMYFUNCTION("""COMPUTED_VALUE"""),"")</f>
        <v/>
      </c>
      <c r="AI207" s="121" t="str">
        <f>IFERROR(__xludf.DUMMYFUNCTION("""COMPUTED_VALUE"""),"")</f>
        <v/>
      </c>
      <c r="AJ207" s="122" t="str">
        <f>IFERROR(__xludf.DUMMYFUNCTION("""COMPUTED_VALUE"""),"")</f>
        <v/>
      </c>
      <c r="AK207" s="123" t="str">
        <f>IFERROR(__xludf.DUMMYFUNCTION("""COMPUTED_VALUE"""),"")</f>
        <v/>
      </c>
      <c r="AL207" s="174" t="str">
        <f>IFERROR(__xludf.DUMMYFUNCTION("""COMPUTED_VALUE"""),"")</f>
        <v/>
      </c>
      <c r="AM207" s="122" t="str">
        <f>IFERROR(__xludf.DUMMYFUNCTION("""COMPUTED_VALUE"""),"")</f>
        <v/>
      </c>
      <c r="AN207" s="123">
        <f>IFERROR(__xludf.DUMMYFUNCTION("""COMPUTED_VALUE"""),87.3)</f>
        <v>87.3</v>
      </c>
      <c r="AO207" s="122" t="str">
        <f>IFERROR(__xludf.DUMMYFUNCTION("""COMPUTED_VALUE"""),"")</f>
        <v/>
      </c>
      <c r="AP207" s="122" t="str">
        <f>IFERROR(__xludf.DUMMYFUNCTION("""COMPUTED_VALUE"""),"")</f>
        <v/>
      </c>
      <c r="AQ207" s="123" t="str">
        <f>IFERROR(__xludf.DUMMYFUNCTION("""COMPUTED_VALUE"""),"")</f>
        <v/>
      </c>
      <c r="AR207" s="122" t="str">
        <f>IFERROR(__xludf.DUMMYFUNCTION("""COMPUTED_VALUE"""),"")</f>
        <v/>
      </c>
      <c r="AS207" s="122" t="str">
        <f>IFERROR(__xludf.DUMMYFUNCTION("""COMPUTED_VALUE"""),"")</f>
        <v/>
      </c>
      <c r="AT207" s="123" t="str">
        <f>IFERROR(__xludf.DUMMYFUNCTION("""COMPUTED_VALUE"""),"")</f>
        <v/>
      </c>
      <c r="AU207" s="122" t="str">
        <f>IFERROR(__xludf.DUMMYFUNCTION("""COMPUTED_VALUE"""),"")</f>
        <v/>
      </c>
      <c r="AV207" s="122" t="str">
        <f>IFERROR(__xludf.DUMMYFUNCTION("""COMPUTED_VALUE"""),"")</f>
        <v/>
      </c>
      <c r="AW207" s="123" t="str">
        <f>IFERROR(__xludf.DUMMYFUNCTION("""COMPUTED_VALUE"""),"")</f>
        <v/>
      </c>
      <c r="AX207" s="122" t="str">
        <f>IFERROR(__xludf.DUMMYFUNCTION("""COMPUTED_VALUE"""),"")</f>
        <v/>
      </c>
      <c r="AY207" s="122" t="str">
        <f>IFERROR(__xludf.DUMMYFUNCTION("""COMPUTED_VALUE"""),"")</f>
        <v/>
      </c>
      <c r="AZ207" s="123" t="str">
        <f>IFERROR(__xludf.DUMMYFUNCTION("""COMPUTED_VALUE"""),"")</f>
        <v/>
      </c>
      <c r="BA207" s="122" t="str">
        <f>IFERROR(__xludf.DUMMYFUNCTION("""COMPUTED_VALUE"""),"")</f>
        <v/>
      </c>
      <c r="BB207" s="122" t="str">
        <f>IFERROR(__xludf.DUMMYFUNCTION("""COMPUTED_VALUE"""),"")</f>
        <v/>
      </c>
      <c r="BC207" s="123">
        <f>IFERROR(__xludf.DUMMYFUNCTION("""COMPUTED_VALUE"""),529.9)</f>
        <v>529.9</v>
      </c>
      <c r="BD207" s="122" t="str">
        <f>IFERROR(__xludf.DUMMYFUNCTION("""COMPUTED_VALUE"""),"")</f>
        <v/>
      </c>
      <c r="BE207" s="122" t="str">
        <f>IFERROR(__xludf.DUMMYFUNCTION("""COMPUTED_VALUE"""),"")</f>
        <v/>
      </c>
      <c r="BF207" s="123" t="str">
        <f>IFERROR(__xludf.DUMMYFUNCTION("""COMPUTED_VALUE"""),"")</f>
        <v/>
      </c>
      <c r="BG207" s="121" t="str">
        <f>IFERROR(__xludf.DUMMYFUNCTION("""COMPUTED_VALUE"""),"")</f>
        <v/>
      </c>
      <c r="BH207" s="122" t="str">
        <f>IFERROR(__xludf.DUMMYFUNCTION("""COMPUTED_VALUE"""),"")</f>
        <v/>
      </c>
      <c r="BI207" s="123" t="str">
        <f>IFERROR(__xludf.DUMMYFUNCTION("""COMPUTED_VALUE"""),"")</f>
        <v/>
      </c>
      <c r="BJ207" s="122" t="str">
        <f>IFERROR(__xludf.DUMMYFUNCTION("""COMPUTED_VALUE"""),"")</f>
        <v/>
      </c>
      <c r="BK207" s="122" t="str">
        <f>IFERROR(__xludf.DUMMYFUNCTION("""COMPUTED_VALUE"""),"")</f>
        <v/>
      </c>
      <c r="BL207" s="123" t="str">
        <f>IFERROR(__xludf.DUMMYFUNCTION("""COMPUTED_VALUE"""),"")</f>
        <v/>
      </c>
      <c r="BM207" s="122">
        <f>IFERROR(__xludf.DUMMYFUNCTION("""COMPUTED_VALUE"""),52.2)</f>
        <v>52.2</v>
      </c>
      <c r="BN207" s="122" t="str">
        <f>IFERROR(__xludf.DUMMYFUNCTION("""COMPUTED_VALUE"""),"")</f>
        <v/>
      </c>
      <c r="BO207" s="123" t="str">
        <f>IFERROR(__xludf.DUMMYFUNCTION("""COMPUTED_VALUE"""),"")</f>
        <v/>
      </c>
      <c r="BP207" s="122" t="str">
        <f>IFERROR(__xludf.DUMMYFUNCTION("""COMPUTED_VALUE"""),"")</f>
        <v/>
      </c>
      <c r="BQ207" s="122" t="str">
        <f>IFERROR(__xludf.DUMMYFUNCTION("""COMPUTED_VALUE"""),"")</f>
        <v/>
      </c>
      <c r="BR207" s="123" t="str">
        <f>IFERROR(__xludf.DUMMYFUNCTION("""COMPUTED_VALUE"""),"")</f>
        <v/>
      </c>
      <c r="BS207" s="122" t="str">
        <f>IFERROR(__xludf.DUMMYFUNCTION("""COMPUTED_VALUE"""),"")</f>
        <v/>
      </c>
      <c r="BT207" s="122" t="str">
        <f>IFERROR(__xludf.DUMMYFUNCTION("""COMPUTED_VALUE"""),"")</f>
        <v/>
      </c>
      <c r="BU207" s="123" t="str">
        <f>IFERROR(__xludf.DUMMYFUNCTION("""COMPUTED_VALUE"""),"")</f>
        <v/>
      </c>
      <c r="BV207" s="122" t="str">
        <f>IFERROR(__xludf.DUMMYFUNCTION("""COMPUTED_VALUE"""),"")</f>
        <v/>
      </c>
      <c r="BW207" s="122" t="str">
        <f>IFERROR(__xludf.DUMMYFUNCTION("""COMPUTED_VALUE"""),"")</f>
        <v/>
      </c>
      <c r="BX207" s="123" t="str">
        <f>IFERROR(__xludf.DUMMYFUNCTION("""COMPUTED_VALUE"""),"")</f>
        <v/>
      </c>
      <c r="BY207" s="122" t="str">
        <f>IFERROR(__xludf.DUMMYFUNCTION("""COMPUTED_VALUE"""),"")</f>
        <v/>
      </c>
      <c r="BZ207" s="122" t="str">
        <f>IFERROR(__xludf.DUMMYFUNCTION("""COMPUTED_VALUE"""),"")</f>
        <v/>
      </c>
      <c r="CA207" s="123" t="str">
        <f>IFERROR(__xludf.DUMMYFUNCTION("""COMPUTED_VALUE"""),"")</f>
        <v/>
      </c>
      <c r="CB207" s="121" t="str">
        <f>IFERROR(__xludf.DUMMYFUNCTION("""COMPUTED_VALUE"""),"")</f>
        <v/>
      </c>
      <c r="CC207" s="122" t="str">
        <f>IFERROR(__xludf.DUMMYFUNCTION("""COMPUTED_VALUE"""),"")</f>
        <v/>
      </c>
      <c r="CD207" s="123" t="str">
        <f>IFERROR(__xludf.DUMMYFUNCTION("""COMPUTED_VALUE"""),"")</f>
        <v/>
      </c>
      <c r="CE207" s="122" t="str">
        <f>IFERROR(__xludf.DUMMYFUNCTION("""COMPUTED_VALUE"""),"")</f>
        <v/>
      </c>
      <c r="CF207" s="122" t="str">
        <f>IFERROR(__xludf.DUMMYFUNCTION("""COMPUTED_VALUE"""),"")</f>
        <v/>
      </c>
      <c r="CG207" s="123" t="str">
        <f>IFERROR(__xludf.DUMMYFUNCTION("""COMPUTED_VALUE"""),"")</f>
        <v/>
      </c>
      <c r="CH207" s="122" t="str">
        <f>IFERROR(__xludf.DUMMYFUNCTION("""COMPUTED_VALUE"""),"")</f>
        <v/>
      </c>
      <c r="CI207" s="122" t="str">
        <f>IFERROR(__xludf.DUMMYFUNCTION("""COMPUTED_VALUE"""),"")</f>
        <v/>
      </c>
      <c r="CJ207" s="123" t="str">
        <f>IFERROR(__xludf.DUMMYFUNCTION("""COMPUTED_VALUE"""),"")</f>
        <v/>
      </c>
      <c r="CK207" s="122" t="str">
        <f>IFERROR(__xludf.DUMMYFUNCTION("""COMPUTED_VALUE"""),"")</f>
        <v/>
      </c>
      <c r="CL207" s="122">
        <f>IFERROR(__xludf.DUMMYFUNCTION("""COMPUTED_VALUE"""),470.0)</f>
        <v>470</v>
      </c>
      <c r="CM207" s="123" t="str">
        <f>IFERROR(__xludf.DUMMYFUNCTION("""COMPUTED_VALUE"""),"")</f>
        <v/>
      </c>
      <c r="CN207" s="122" t="str">
        <f>IFERROR(__xludf.DUMMYFUNCTION("""COMPUTED_VALUE"""),"")</f>
        <v/>
      </c>
      <c r="CO207" s="122" t="str">
        <f>IFERROR(__xludf.DUMMYFUNCTION("""COMPUTED_VALUE"""),"")</f>
        <v/>
      </c>
      <c r="CP207" s="123" t="str">
        <f>IFERROR(__xludf.DUMMYFUNCTION("""COMPUTED_VALUE"""),"")</f>
        <v/>
      </c>
      <c r="CQ207" s="122" t="str">
        <f>IFERROR(__xludf.DUMMYFUNCTION("""COMPUTED_VALUE"""),"")</f>
        <v/>
      </c>
      <c r="CR207" s="122" t="str">
        <f>IFERROR(__xludf.DUMMYFUNCTION("""COMPUTED_VALUE"""),"")</f>
        <v/>
      </c>
      <c r="CS207" s="123"/>
      <c r="CT207" s="122"/>
      <c r="CU207" s="122"/>
      <c r="CV207" s="123"/>
      <c r="CW207" s="122"/>
      <c r="CX207" s="122"/>
      <c r="CY207" s="123"/>
      <c r="CZ207" s="122"/>
      <c r="DA207" s="122"/>
      <c r="DB207" s="123"/>
      <c r="DC207" s="122"/>
      <c r="DD207" s="122"/>
      <c r="DE207" s="123"/>
      <c r="DF207" s="122"/>
      <c r="DG207" s="122"/>
      <c r="DH207" s="123"/>
      <c r="DI207" s="122"/>
      <c r="DJ207" s="122"/>
      <c r="DK207" s="123"/>
      <c r="DL207" s="122"/>
      <c r="DM207" s="122"/>
      <c r="DN207" s="123"/>
      <c r="DO207" s="122"/>
      <c r="DP207" s="122"/>
      <c r="DQ207" s="123"/>
      <c r="DR207" s="122"/>
      <c r="DS207" s="122"/>
      <c r="DT207" s="123"/>
    </row>
    <row r="208">
      <c r="A208" s="175" t="str">
        <f>IFERROR(__xludf.DUMMYFUNCTION("""COMPUTED_VALUE"""),"SIN")</f>
        <v>SIN</v>
      </c>
      <c r="B208" s="176" t="str">
        <f>IFERROR(__xludf.DUMMYFUNCTION("""COMPUTED_VALUE"""),"SIN1")</f>
        <v>SIN1</v>
      </c>
      <c r="C208" s="177">
        <f>IFERROR(__xludf.DUMMYFUNCTION("""COMPUTED_VALUE"""),205.0)</f>
        <v>205</v>
      </c>
      <c r="D208" s="178" t="str">
        <f>IFERROR(__xludf.DUMMYFUNCTION("""COMPUTED_VALUE"""),"Seeding Point")</f>
        <v>Seeding Point</v>
      </c>
      <c r="E208" s="83" t="str">
        <f>IFERROR(__xludf.DUMMYFUNCTION("""COMPUTED_VALUE"""),"シーディングポイント")</f>
        <v>シーディングポイント</v>
      </c>
      <c r="F208" s="179">
        <f>IFERROR(__xludf.DUMMYFUNCTION("""COMPUTED_VALUE"""),20.0)</f>
        <v>20</v>
      </c>
      <c r="G208" s="83">
        <f>IFERROR(__xludf.DUMMYFUNCTION("""COMPUTED_VALUE"""),13260.0)</f>
        <v>13260</v>
      </c>
      <c r="H208" s="95" t="str">
        <f>IFERROR(__xludf.DUMMYFUNCTION("""COMPUTED_VALUE"""),"")</f>
        <v/>
      </c>
      <c r="I208" s="96" t="str">
        <f>IFERROR(__xludf.DUMMYFUNCTION("""COMPUTED_VALUE"""),"")</f>
        <v/>
      </c>
      <c r="J208" s="97" t="str">
        <f>IFERROR(__xludf.DUMMYFUNCTION("""COMPUTED_VALUE"""),"")</f>
        <v/>
      </c>
      <c r="K208" s="95" t="str">
        <f>IFERROR(__xludf.DUMMYFUNCTION("""COMPUTED_VALUE"""),"")</f>
        <v/>
      </c>
      <c r="L208" s="96" t="str">
        <f>IFERROR(__xludf.DUMMYFUNCTION("""COMPUTED_VALUE"""),"")</f>
        <v/>
      </c>
      <c r="M208" s="97" t="str">
        <f>IFERROR(__xludf.DUMMYFUNCTION("""COMPUTED_VALUE"""),"")</f>
        <v/>
      </c>
      <c r="N208" s="95" t="str">
        <f>IFERROR(__xludf.DUMMYFUNCTION("""COMPUTED_VALUE"""),"")</f>
        <v/>
      </c>
      <c r="O208" s="96" t="str">
        <f>IFERROR(__xludf.DUMMYFUNCTION("""COMPUTED_VALUE"""),"")</f>
        <v/>
      </c>
      <c r="P208" s="97" t="str">
        <f>IFERROR(__xludf.DUMMYFUNCTION("""COMPUTED_VALUE"""),"")</f>
        <v/>
      </c>
      <c r="Q208" s="95" t="str">
        <f>IFERROR(__xludf.DUMMYFUNCTION("""COMPUTED_VALUE"""),"")</f>
        <v/>
      </c>
      <c r="R208" s="96" t="str">
        <f>IFERROR(__xludf.DUMMYFUNCTION("""COMPUTED_VALUE"""),"")</f>
        <v/>
      </c>
      <c r="S208" s="97" t="str">
        <f>IFERROR(__xludf.DUMMYFUNCTION("""COMPUTED_VALUE"""),"")</f>
        <v/>
      </c>
      <c r="T208" s="95" t="str">
        <f>IFERROR(__xludf.DUMMYFUNCTION("""COMPUTED_VALUE"""),"")</f>
        <v/>
      </c>
      <c r="U208" s="96" t="str">
        <f>IFERROR(__xludf.DUMMYFUNCTION("""COMPUTED_VALUE"""),"")</f>
        <v/>
      </c>
      <c r="V208" s="97" t="str">
        <f>IFERROR(__xludf.DUMMYFUNCTION("""COMPUTED_VALUE"""),"")</f>
        <v/>
      </c>
      <c r="W208" s="95" t="str">
        <f>IFERROR(__xludf.DUMMYFUNCTION("""COMPUTED_VALUE"""),"")</f>
        <v/>
      </c>
      <c r="X208" s="96" t="str">
        <f>IFERROR(__xludf.DUMMYFUNCTION("""COMPUTED_VALUE"""),"")</f>
        <v/>
      </c>
      <c r="Y208" s="97" t="str">
        <f>IFERROR(__xludf.DUMMYFUNCTION("""COMPUTED_VALUE"""),"")</f>
        <v/>
      </c>
      <c r="Z208" s="95" t="str">
        <f>IFERROR(__xludf.DUMMYFUNCTION("""COMPUTED_VALUE"""),"")</f>
        <v/>
      </c>
      <c r="AA208" s="96" t="str">
        <f>IFERROR(__xludf.DUMMYFUNCTION("""COMPUTED_VALUE"""),"")</f>
        <v/>
      </c>
      <c r="AB208" s="97" t="str">
        <f>IFERROR(__xludf.DUMMYFUNCTION("""COMPUTED_VALUE"""),"")</f>
        <v/>
      </c>
      <c r="AC208" s="95" t="str">
        <f>IFERROR(__xludf.DUMMYFUNCTION("""COMPUTED_VALUE"""),"")</f>
        <v/>
      </c>
      <c r="AD208" s="96" t="str">
        <f>IFERROR(__xludf.DUMMYFUNCTION("""COMPUTED_VALUE"""),"")</f>
        <v/>
      </c>
      <c r="AE208" s="97">
        <f>IFERROR(__xludf.DUMMYFUNCTION("""COMPUTED_VALUE"""),66.5)</f>
        <v>66.5</v>
      </c>
      <c r="AF208" s="95" t="str">
        <f>IFERROR(__xludf.DUMMYFUNCTION("""COMPUTED_VALUE"""),"")</f>
        <v/>
      </c>
      <c r="AG208" s="96" t="str">
        <f>IFERROR(__xludf.DUMMYFUNCTION("""COMPUTED_VALUE"""),"")</f>
        <v/>
      </c>
      <c r="AH208" s="97" t="str">
        <f>IFERROR(__xludf.DUMMYFUNCTION("""COMPUTED_VALUE"""),"")</f>
        <v/>
      </c>
      <c r="AI208" s="156" t="str">
        <f>IFERROR(__xludf.DUMMYFUNCTION("""COMPUTED_VALUE"""),"")</f>
        <v/>
      </c>
      <c r="AJ208" s="157" t="str">
        <f>IFERROR(__xludf.DUMMYFUNCTION("""COMPUTED_VALUE"""),"")</f>
        <v/>
      </c>
      <c r="AK208" s="158" t="str">
        <f>IFERROR(__xludf.DUMMYFUNCTION("""COMPUTED_VALUE"""),"")</f>
        <v/>
      </c>
      <c r="AL208" s="157" t="str">
        <f>IFERROR(__xludf.DUMMYFUNCTION("""COMPUTED_VALUE"""),"")</f>
        <v/>
      </c>
      <c r="AM208" s="157" t="str">
        <f>IFERROR(__xludf.DUMMYFUNCTION("""COMPUTED_VALUE"""),"")</f>
        <v/>
      </c>
      <c r="AN208" s="158" t="str">
        <f>IFERROR(__xludf.DUMMYFUNCTION("""COMPUTED_VALUE"""),"")</f>
        <v/>
      </c>
      <c r="AO208" s="157" t="str">
        <f>IFERROR(__xludf.DUMMYFUNCTION("""COMPUTED_VALUE"""),"")</f>
        <v/>
      </c>
      <c r="AP208" s="157" t="str">
        <f>IFERROR(__xludf.DUMMYFUNCTION("""COMPUTED_VALUE"""),"")</f>
        <v/>
      </c>
      <c r="AQ208" s="158" t="str">
        <f>IFERROR(__xludf.DUMMYFUNCTION("""COMPUTED_VALUE"""),"")</f>
        <v/>
      </c>
      <c r="AR208" s="157" t="str">
        <f>IFERROR(__xludf.DUMMYFUNCTION("""COMPUTED_VALUE"""),"")</f>
        <v/>
      </c>
      <c r="AS208" s="157" t="str">
        <f>IFERROR(__xludf.DUMMYFUNCTION("""COMPUTED_VALUE"""),"")</f>
        <v/>
      </c>
      <c r="AT208" s="158" t="str">
        <f>IFERROR(__xludf.DUMMYFUNCTION("""COMPUTED_VALUE"""),"")</f>
        <v/>
      </c>
      <c r="AU208" s="157" t="str">
        <f>IFERROR(__xludf.DUMMYFUNCTION("""COMPUTED_VALUE"""),"")</f>
        <v/>
      </c>
      <c r="AV208" s="157" t="str">
        <f>IFERROR(__xludf.DUMMYFUNCTION("""COMPUTED_VALUE"""),"")</f>
        <v/>
      </c>
      <c r="AW208" s="158" t="str">
        <f>IFERROR(__xludf.DUMMYFUNCTION("""COMPUTED_VALUE"""),"")</f>
        <v/>
      </c>
      <c r="AX208" s="157" t="str">
        <f>IFERROR(__xludf.DUMMYFUNCTION("""COMPUTED_VALUE"""),"")</f>
        <v/>
      </c>
      <c r="AY208" s="157">
        <f>IFERROR(__xludf.DUMMYFUNCTION("""COMPUTED_VALUE"""),50.8)</f>
        <v>50.8</v>
      </c>
      <c r="AZ208" s="158" t="str">
        <f>IFERROR(__xludf.DUMMYFUNCTION("""COMPUTED_VALUE"""),"")</f>
        <v/>
      </c>
      <c r="BA208" s="157" t="str">
        <f>IFERROR(__xludf.DUMMYFUNCTION("""COMPUTED_VALUE"""),"")</f>
        <v/>
      </c>
      <c r="BB208" s="157" t="str">
        <f>IFERROR(__xludf.DUMMYFUNCTION("""COMPUTED_VALUE"""),"")</f>
        <v/>
      </c>
      <c r="BC208" s="158" t="str">
        <f>IFERROR(__xludf.DUMMYFUNCTION("""COMPUTED_VALUE"""),"")</f>
        <v/>
      </c>
      <c r="BD208" s="157" t="str">
        <f>IFERROR(__xludf.DUMMYFUNCTION("""COMPUTED_VALUE"""),"")</f>
        <v/>
      </c>
      <c r="BE208" s="157" t="str">
        <f>IFERROR(__xludf.DUMMYFUNCTION("""COMPUTED_VALUE"""),"")</f>
        <v/>
      </c>
      <c r="BF208" s="158" t="str">
        <f>IFERROR(__xludf.DUMMYFUNCTION("""COMPUTED_VALUE"""),"")</f>
        <v/>
      </c>
      <c r="BG208" s="156" t="str">
        <f>IFERROR(__xludf.DUMMYFUNCTION("""COMPUTED_VALUE"""),"")</f>
        <v/>
      </c>
      <c r="BH208" s="157" t="str">
        <f>IFERROR(__xludf.DUMMYFUNCTION("""COMPUTED_VALUE"""),"")</f>
        <v/>
      </c>
      <c r="BI208" s="158" t="str">
        <f>IFERROR(__xludf.DUMMYFUNCTION("""COMPUTED_VALUE"""),"")</f>
        <v/>
      </c>
      <c r="BJ208" s="157" t="str">
        <f>IFERROR(__xludf.DUMMYFUNCTION("""COMPUTED_VALUE"""),"")</f>
        <v/>
      </c>
      <c r="BK208" s="157" t="str">
        <f>IFERROR(__xludf.DUMMYFUNCTION("""COMPUTED_VALUE"""),"")</f>
        <v/>
      </c>
      <c r="BL208" s="158" t="str">
        <f>IFERROR(__xludf.DUMMYFUNCTION("""COMPUTED_VALUE"""),"")</f>
        <v/>
      </c>
      <c r="BM208" s="157" t="str">
        <f>IFERROR(__xludf.DUMMYFUNCTION("""COMPUTED_VALUE"""),"")</f>
        <v/>
      </c>
      <c r="BN208" s="157" t="str">
        <f>IFERROR(__xludf.DUMMYFUNCTION("""COMPUTED_VALUE"""),"")</f>
        <v/>
      </c>
      <c r="BO208" s="158" t="str">
        <f>IFERROR(__xludf.DUMMYFUNCTION("""COMPUTED_VALUE"""),"")</f>
        <v/>
      </c>
      <c r="BP208" s="157" t="str">
        <f>IFERROR(__xludf.DUMMYFUNCTION("""COMPUTED_VALUE"""),"")</f>
        <v/>
      </c>
      <c r="BQ208" s="157" t="str">
        <f>IFERROR(__xludf.DUMMYFUNCTION("""COMPUTED_VALUE"""),"")</f>
        <v/>
      </c>
      <c r="BR208" s="158" t="str">
        <f>IFERROR(__xludf.DUMMYFUNCTION("""COMPUTED_VALUE"""),"")</f>
        <v/>
      </c>
      <c r="BS208" s="157">
        <f>IFERROR(__xludf.DUMMYFUNCTION("""COMPUTED_VALUE"""),79.4)</f>
        <v>79.4</v>
      </c>
      <c r="BT208" s="157">
        <f>IFERROR(__xludf.DUMMYFUNCTION("""COMPUTED_VALUE"""),102.1)</f>
        <v>102.1</v>
      </c>
      <c r="BU208" s="158" t="str">
        <f>IFERROR(__xludf.DUMMYFUNCTION("""COMPUTED_VALUE"""),"")</f>
        <v/>
      </c>
      <c r="BV208" s="157" t="str">
        <f>IFERROR(__xludf.DUMMYFUNCTION("""COMPUTED_VALUE"""),"")</f>
        <v/>
      </c>
      <c r="BW208" s="157" t="str">
        <f>IFERROR(__xludf.DUMMYFUNCTION("""COMPUTED_VALUE"""),"")</f>
        <v/>
      </c>
      <c r="BX208" s="158" t="str">
        <f>IFERROR(__xludf.DUMMYFUNCTION("""COMPUTED_VALUE"""),"")</f>
        <v/>
      </c>
      <c r="BY208" s="157" t="str">
        <f>IFERROR(__xludf.DUMMYFUNCTION("""COMPUTED_VALUE"""),"")</f>
        <v/>
      </c>
      <c r="BZ208" s="157" t="str">
        <f>IFERROR(__xludf.DUMMYFUNCTION("""COMPUTED_VALUE"""),"")</f>
        <v/>
      </c>
      <c r="CA208" s="158" t="str">
        <f>IFERROR(__xludf.DUMMYFUNCTION("""COMPUTED_VALUE"""),"")</f>
        <v/>
      </c>
      <c r="CB208" s="156" t="str">
        <f>IFERROR(__xludf.DUMMYFUNCTION("""COMPUTED_VALUE"""),"")</f>
        <v/>
      </c>
      <c r="CC208" s="157" t="str">
        <f>IFERROR(__xludf.DUMMYFUNCTION("""COMPUTED_VALUE"""),"")</f>
        <v/>
      </c>
      <c r="CD208" s="158" t="str">
        <f>IFERROR(__xludf.DUMMYFUNCTION("""COMPUTED_VALUE"""),"")</f>
        <v/>
      </c>
      <c r="CE208" s="157" t="str">
        <f>IFERROR(__xludf.DUMMYFUNCTION("""COMPUTED_VALUE"""),"")</f>
        <v/>
      </c>
      <c r="CF208" s="157" t="str">
        <f>IFERROR(__xludf.DUMMYFUNCTION("""COMPUTED_VALUE"""),"")</f>
        <v/>
      </c>
      <c r="CG208" s="158" t="str">
        <f>IFERROR(__xludf.DUMMYFUNCTION("""COMPUTED_VALUE"""),"")</f>
        <v/>
      </c>
      <c r="CH208" s="157" t="str">
        <f>IFERROR(__xludf.DUMMYFUNCTION("""COMPUTED_VALUE"""),"")</f>
        <v/>
      </c>
      <c r="CI208" s="157" t="str">
        <f>IFERROR(__xludf.DUMMYFUNCTION("""COMPUTED_VALUE"""),"")</f>
        <v/>
      </c>
      <c r="CJ208" s="158" t="str">
        <f>IFERROR(__xludf.DUMMYFUNCTION("""COMPUTED_VALUE"""),"")</f>
        <v/>
      </c>
      <c r="CK208" s="157" t="str">
        <f>IFERROR(__xludf.DUMMYFUNCTION("""COMPUTED_VALUE"""),"")</f>
        <v/>
      </c>
      <c r="CL208" s="157" t="str">
        <f>IFERROR(__xludf.DUMMYFUNCTION("""COMPUTED_VALUE"""),"")</f>
        <v/>
      </c>
      <c r="CM208" s="158" t="str">
        <f>IFERROR(__xludf.DUMMYFUNCTION("""COMPUTED_VALUE"""),"")</f>
        <v/>
      </c>
      <c r="CN208" s="157" t="str">
        <f>IFERROR(__xludf.DUMMYFUNCTION("""COMPUTED_VALUE"""),"")</f>
        <v/>
      </c>
      <c r="CO208" s="157" t="str">
        <f>IFERROR(__xludf.DUMMYFUNCTION("""COMPUTED_VALUE"""),"")</f>
        <v/>
      </c>
      <c r="CP208" s="158" t="str">
        <f>IFERROR(__xludf.DUMMYFUNCTION("""COMPUTED_VALUE"""),"")</f>
        <v/>
      </c>
      <c r="CQ208" s="157" t="str">
        <f>IFERROR(__xludf.DUMMYFUNCTION("""COMPUTED_VALUE"""),"")</f>
        <v/>
      </c>
      <c r="CR208" s="157" t="str">
        <f>IFERROR(__xludf.DUMMYFUNCTION("""COMPUTED_VALUE"""),"")</f>
        <v/>
      </c>
      <c r="CS208" s="158"/>
      <c r="CT208" s="157"/>
      <c r="CU208" s="157"/>
      <c r="CV208" s="158"/>
      <c r="CW208" s="157"/>
      <c r="CX208" s="157"/>
      <c r="CY208" s="158"/>
      <c r="CZ208" s="157"/>
      <c r="DA208" s="157"/>
      <c r="DB208" s="158"/>
      <c r="DC208" s="157"/>
      <c r="DD208" s="157"/>
      <c r="DE208" s="158"/>
      <c r="DF208" s="157"/>
      <c r="DG208" s="157"/>
      <c r="DH208" s="158"/>
      <c r="DI208" s="157"/>
      <c r="DJ208" s="157"/>
      <c r="DK208" s="158"/>
      <c r="DL208" s="157"/>
      <c r="DM208" s="157"/>
      <c r="DN208" s="158"/>
      <c r="DO208" s="157"/>
      <c r="DP208" s="157"/>
      <c r="DQ208" s="158"/>
      <c r="DR208" s="157"/>
      <c r="DS208" s="157"/>
      <c r="DT208" s="158"/>
    </row>
    <row r="209">
      <c r="B209" s="180" t="str">
        <f>IFERROR(__xludf.DUMMYFUNCTION("""COMPUTED_VALUE"""),"SIN2")</f>
        <v>SIN2</v>
      </c>
      <c r="C209">
        <f>IFERROR(__xludf.DUMMYFUNCTION("""COMPUTED_VALUE"""),206.0)</f>
        <v>206</v>
      </c>
      <c r="D209" s="178" t="str">
        <f>IFERROR(__xludf.DUMMYFUNCTION("""COMPUTED_VALUE"""),"Neighboring Village")</f>
        <v>Neighboring Village</v>
      </c>
      <c r="E209" s="83" t="str">
        <f>IFERROR(__xludf.DUMMYFUNCTION("""COMPUTED_VALUE"""),"隣村")</f>
        <v>隣村</v>
      </c>
      <c r="F209" s="179">
        <f>IFERROR(__xludf.DUMMYFUNCTION("""COMPUTED_VALUE"""),20.0)</f>
        <v>20</v>
      </c>
      <c r="G209" s="83">
        <f>IFERROR(__xludf.DUMMYFUNCTION("""COMPUTED_VALUE"""),8011.0)</f>
        <v>8011</v>
      </c>
      <c r="H209" s="95" t="str">
        <f>IFERROR(__xludf.DUMMYFUNCTION("""COMPUTED_VALUE"""),"")</f>
        <v/>
      </c>
      <c r="I209" s="96" t="str">
        <f>IFERROR(__xludf.DUMMYFUNCTION("""COMPUTED_VALUE"""),"")</f>
        <v/>
      </c>
      <c r="J209" s="97" t="str">
        <f>IFERROR(__xludf.DUMMYFUNCTION("""COMPUTED_VALUE"""),"")</f>
        <v/>
      </c>
      <c r="K209" s="95" t="str">
        <f>IFERROR(__xludf.DUMMYFUNCTION("""COMPUTED_VALUE"""),"")</f>
        <v/>
      </c>
      <c r="L209" s="96" t="str">
        <f>IFERROR(__xludf.DUMMYFUNCTION("""COMPUTED_VALUE"""),"")</f>
        <v/>
      </c>
      <c r="M209" s="97" t="str">
        <f>IFERROR(__xludf.DUMMYFUNCTION("""COMPUTED_VALUE"""),"")</f>
        <v/>
      </c>
      <c r="N209" s="95" t="str">
        <f>IFERROR(__xludf.DUMMYFUNCTION("""COMPUTED_VALUE"""),"")</f>
        <v/>
      </c>
      <c r="O209" s="96" t="str">
        <f>IFERROR(__xludf.DUMMYFUNCTION("""COMPUTED_VALUE"""),"")</f>
        <v/>
      </c>
      <c r="P209" s="97" t="str">
        <f>IFERROR(__xludf.DUMMYFUNCTION("""COMPUTED_VALUE"""),"")</f>
        <v/>
      </c>
      <c r="Q209" s="95" t="str">
        <f>IFERROR(__xludf.DUMMYFUNCTION("""COMPUTED_VALUE"""),"")</f>
        <v/>
      </c>
      <c r="R209" s="96" t="str">
        <f>IFERROR(__xludf.DUMMYFUNCTION("""COMPUTED_VALUE"""),"")</f>
        <v/>
      </c>
      <c r="S209" s="97" t="str">
        <f>IFERROR(__xludf.DUMMYFUNCTION("""COMPUTED_VALUE"""),"")</f>
        <v/>
      </c>
      <c r="T209" s="95" t="str">
        <f>IFERROR(__xludf.DUMMYFUNCTION("""COMPUTED_VALUE"""),"")</f>
        <v/>
      </c>
      <c r="U209" s="96" t="str">
        <f>IFERROR(__xludf.DUMMYFUNCTION("""COMPUTED_VALUE"""),"")</f>
        <v/>
      </c>
      <c r="V209" s="97" t="str">
        <f>IFERROR(__xludf.DUMMYFUNCTION("""COMPUTED_VALUE"""),"")</f>
        <v/>
      </c>
      <c r="W209" s="95" t="str">
        <f>IFERROR(__xludf.DUMMYFUNCTION("""COMPUTED_VALUE"""),"")</f>
        <v/>
      </c>
      <c r="X209" s="96" t="str">
        <f>IFERROR(__xludf.DUMMYFUNCTION("""COMPUTED_VALUE"""),"")</f>
        <v/>
      </c>
      <c r="Y209" s="97" t="str">
        <f>IFERROR(__xludf.DUMMYFUNCTION("""COMPUTED_VALUE"""),"")</f>
        <v/>
      </c>
      <c r="Z209" s="95" t="str">
        <f>IFERROR(__xludf.DUMMYFUNCTION("""COMPUTED_VALUE"""),"")</f>
        <v/>
      </c>
      <c r="AA209" s="96" t="str">
        <f>IFERROR(__xludf.DUMMYFUNCTION("""COMPUTED_VALUE"""),"")</f>
        <v/>
      </c>
      <c r="AB209" s="97" t="str">
        <f>IFERROR(__xludf.DUMMYFUNCTION("""COMPUTED_VALUE"""),"")</f>
        <v/>
      </c>
      <c r="AC209" s="95" t="str">
        <f>IFERROR(__xludf.DUMMYFUNCTION("""COMPUTED_VALUE"""),"")</f>
        <v/>
      </c>
      <c r="AD209" s="96" t="str">
        <f>IFERROR(__xludf.DUMMYFUNCTION("""COMPUTED_VALUE"""),"")</f>
        <v/>
      </c>
      <c r="AE209" s="97" t="str">
        <f>IFERROR(__xludf.DUMMYFUNCTION("""COMPUTED_VALUE"""),"")</f>
        <v/>
      </c>
      <c r="AF209" s="95" t="str">
        <f>IFERROR(__xludf.DUMMYFUNCTION("""COMPUTED_VALUE"""),"")</f>
        <v/>
      </c>
      <c r="AG209" s="96" t="str">
        <f>IFERROR(__xludf.DUMMYFUNCTION("""COMPUTED_VALUE"""),"")</f>
        <v/>
      </c>
      <c r="AH209" s="97" t="str">
        <f>IFERROR(__xludf.DUMMYFUNCTION("""COMPUTED_VALUE"""),"")</f>
        <v/>
      </c>
      <c r="AI209" s="92" t="str">
        <f>IFERROR(__xludf.DUMMYFUNCTION("""COMPUTED_VALUE"""),"")</f>
        <v/>
      </c>
      <c r="AJ209" s="93" t="str">
        <f>IFERROR(__xludf.DUMMYFUNCTION("""COMPUTED_VALUE"""),"")</f>
        <v/>
      </c>
      <c r="AK209" s="94" t="str">
        <f>IFERROR(__xludf.DUMMYFUNCTION("""COMPUTED_VALUE"""),"")</f>
        <v/>
      </c>
      <c r="AL209" s="93" t="str">
        <f>IFERROR(__xludf.DUMMYFUNCTION("""COMPUTED_VALUE"""),"")</f>
        <v/>
      </c>
      <c r="AM209" s="93">
        <f>IFERROR(__xludf.DUMMYFUNCTION("""COMPUTED_VALUE"""),77.8)</f>
        <v>77.8</v>
      </c>
      <c r="AN209" s="94" t="str">
        <f>IFERROR(__xludf.DUMMYFUNCTION("""COMPUTED_VALUE"""),"")</f>
        <v/>
      </c>
      <c r="AO209" s="93" t="str">
        <f>IFERROR(__xludf.DUMMYFUNCTION("""COMPUTED_VALUE"""),"")</f>
        <v/>
      </c>
      <c r="AP209" s="93" t="str">
        <f>IFERROR(__xludf.DUMMYFUNCTION("""COMPUTED_VALUE"""),"")</f>
        <v/>
      </c>
      <c r="AQ209" s="94" t="str">
        <f>IFERROR(__xludf.DUMMYFUNCTION("""COMPUTED_VALUE"""),"")</f>
        <v/>
      </c>
      <c r="AR209" s="93" t="str">
        <f>IFERROR(__xludf.DUMMYFUNCTION("""COMPUTED_VALUE"""),"")</f>
        <v/>
      </c>
      <c r="AS209" s="93" t="str">
        <f>IFERROR(__xludf.DUMMYFUNCTION("""COMPUTED_VALUE"""),"")</f>
        <v/>
      </c>
      <c r="AT209" s="94" t="str">
        <f>IFERROR(__xludf.DUMMYFUNCTION("""COMPUTED_VALUE"""),"")</f>
        <v/>
      </c>
      <c r="AU209" s="93" t="str">
        <f>IFERROR(__xludf.DUMMYFUNCTION("""COMPUTED_VALUE"""),"")</f>
        <v/>
      </c>
      <c r="AV209" s="93" t="str">
        <f>IFERROR(__xludf.DUMMYFUNCTION("""COMPUTED_VALUE"""),"")</f>
        <v/>
      </c>
      <c r="AW209" s="94" t="str">
        <f>IFERROR(__xludf.DUMMYFUNCTION("""COMPUTED_VALUE"""),"")</f>
        <v/>
      </c>
      <c r="AX209" s="93" t="str">
        <f>IFERROR(__xludf.DUMMYFUNCTION("""COMPUTED_VALUE"""),"")</f>
        <v/>
      </c>
      <c r="AY209" s="93">
        <f>IFERROR(__xludf.DUMMYFUNCTION("""COMPUTED_VALUE"""),49.299999)</f>
        <v>49.299999</v>
      </c>
      <c r="AZ209" s="94" t="str">
        <f>IFERROR(__xludf.DUMMYFUNCTION("""COMPUTED_VALUE"""),"")</f>
        <v/>
      </c>
      <c r="BA209" s="93" t="str">
        <f>IFERROR(__xludf.DUMMYFUNCTION("""COMPUTED_VALUE"""),"")</f>
        <v/>
      </c>
      <c r="BB209" s="93" t="str">
        <f>IFERROR(__xludf.DUMMYFUNCTION("""COMPUTED_VALUE"""),"")</f>
        <v/>
      </c>
      <c r="BC209" s="94" t="str">
        <f>IFERROR(__xludf.DUMMYFUNCTION("""COMPUTED_VALUE"""),"")</f>
        <v/>
      </c>
      <c r="BD209" s="93" t="str">
        <f>IFERROR(__xludf.DUMMYFUNCTION("""COMPUTED_VALUE"""),"")</f>
        <v/>
      </c>
      <c r="BE209" s="93" t="str">
        <f>IFERROR(__xludf.DUMMYFUNCTION("""COMPUTED_VALUE"""),"")</f>
        <v/>
      </c>
      <c r="BF209" s="94" t="str">
        <f>IFERROR(__xludf.DUMMYFUNCTION("""COMPUTED_VALUE"""),"")</f>
        <v/>
      </c>
      <c r="BG209" s="92" t="str">
        <f>IFERROR(__xludf.DUMMYFUNCTION("""COMPUTED_VALUE"""),"")</f>
        <v/>
      </c>
      <c r="BH209" s="93" t="str">
        <f>IFERROR(__xludf.DUMMYFUNCTION("""COMPUTED_VALUE"""),"")</f>
        <v/>
      </c>
      <c r="BI209" s="94" t="str">
        <f>IFERROR(__xludf.DUMMYFUNCTION("""COMPUTED_VALUE"""),"")</f>
        <v/>
      </c>
      <c r="BJ209" s="106" t="str">
        <f>IFERROR(__xludf.DUMMYFUNCTION("""COMPUTED_VALUE"""),"")</f>
        <v/>
      </c>
      <c r="BK209" s="93" t="str">
        <f>IFERROR(__xludf.DUMMYFUNCTION("""COMPUTED_VALUE"""),"")</f>
        <v/>
      </c>
      <c r="BL209" s="94" t="str">
        <f>IFERROR(__xludf.DUMMYFUNCTION("""COMPUTED_VALUE"""),"")</f>
        <v/>
      </c>
      <c r="BM209" s="93" t="str">
        <f>IFERROR(__xludf.DUMMYFUNCTION("""COMPUTED_VALUE"""),"")</f>
        <v/>
      </c>
      <c r="BN209" s="93" t="str">
        <f>IFERROR(__xludf.DUMMYFUNCTION("""COMPUTED_VALUE"""),"")</f>
        <v/>
      </c>
      <c r="BO209" s="94" t="str">
        <f>IFERROR(__xludf.DUMMYFUNCTION("""COMPUTED_VALUE"""),"")</f>
        <v/>
      </c>
      <c r="BP209" s="93">
        <f>IFERROR(__xludf.DUMMYFUNCTION("""COMPUTED_VALUE"""),143.8)</f>
        <v>143.8</v>
      </c>
      <c r="BQ209" s="93" t="str">
        <f>IFERROR(__xludf.DUMMYFUNCTION("""COMPUTED_VALUE"""),"")</f>
        <v/>
      </c>
      <c r="BR209" s="94" t="str">
        <f>IFERROR(__xludf.DUMMYFUNCTION("""COMPUTED_VALUE"""),"")</f>
        <v/>
      </c>
      <c r="BS209" s="93">
        <f>IFERROR(__xludf.DUMMYFUNCTION("""COMPUTED_VALUE"""),78.2)</f>
        <v>78.2</v>
      </c>
      <c r="BT209" s="93" t="str">
        <f>IFERROR(__xludf.DUMMYFUNCTION("""COMPUTED_VALUE"""),"")</f>
        <v/>
      </c>
      <c r="BU209" s="94" t="str">
        <f>IFERROR(__xludf.DUMMYFUNCTION("""COMPUTED_VALUE"""),"")</f>
        <v/>
      </c>
      <c r="BV209" s="93" t="str">
        <f>IFERROR(__xludf.DUMMYFUNCTION("""COMPUTED_VALUE"""),"")</f>
        <v/>
      </c>
      <c r="BW209" s="93" t="str">
        <f>IFERROR(__xludf.DUMMYFUNCTION("""COMPUTED_VALUE"""),"")</f>
        <v/>
      </c>
      <c r="BX209" s="94" t="str">
        <f>IFERROR(__xludf.DUMMYFUNCTION("""COMPUTED_VALUE"""),"")</f>
        <v/>
      </c>
      <c r="BY209" s="93" t="str">
        <f>IFERROR(__xludf.DUMMYFUNCTION("""COMPUTED_VALUE"""),"")</f>
        <v/>
      </c>
      <c r="BZ209" s="93" t="str">
        <f>IFERROR(__xludf.DUMMYFUNCTION("""COMPUTED_VALUE"""),"")</f>
        <v/>
      </c>
      <c r="CA209" s="94" t="str">
        <f>IFERROR(__xludf.DUMMYFUNCTION("""COMPUTED_VALUE"""),"")</f>
        <v/>
      </c>
      <c r="CB209" s="92" t="str">
        <f>IFERROR(__xludf.DUMMYFUNCTION("""COMPUTED_VALUE"""),"")</f>
        <v/>
      </c>
      <c r="CC209" s="93" t="str">
        <f>IFERROR(__xludf.DUMMYFUNCTION("""COMPUTED_VALUE"""),"")</f>
        <v/>
      </c>
      <c r="CD209" s="94" t="str">
        <f>IFERROR(__xludf.DUMMYFUNCTION("""COMPUTED_VALUE"""),"")</f>
        <v/>
      </c>
      <c r="CE209" s="106" t="str">
        <f>IFERROR(__xludf.DUMMYFUNCTION("""COMPUTED_VALUE"""),"")</f>
        <v/>
      </c>
      <c r="CF209" s="93" t="str">
        <f>IFERROR(__xludf.DUMMYFUNCTION("""COMPUTED_VALUE"""),"")</f>
        <v/>
      </c>
      <c r="CG209" s="94" t="str">
        <f>IFERROR(__xludf.DUMMYFUNCTION("""COMPUTED_VALUE"""),"")</f>
        <v/>
      </c>
      <c r="CH209" s="93" t="str">
        <f>IFERROR(__xludf.DUMMYFUNCTION("""COMPUTED_VALUE"""),"")</f>
        <v/>
      </c>
      <c r="CI209" s="93" t="str">
        <f>IFERROR(__xludf.DUMMYFUNCTION("""COMPUTED_VALUE"""),"")</f>
        <v/>
      </c>
      <c r="CJ209" s="94" t="str">
        <f>IFERROR(__xludf.DUMMYFUNCTION("""COMPUTED_VALUE"""),"")</f>
        <v/>
      </c>
      <c r="CK209" s="93" t="str">
        <f>IFERROR(__xludf.DUMMYFUNCTION("""COMPUTED_VALUE"""),"")</f>
        <v/>
      </c>
      <c r="CL209" s="93" t="str">
        <f>IFERROR(__xludf.DUMMYFUNCTION("""COMPUTED_VALUE"""),"")</f>
        <v/>
      </c>
      <c r="CM209" s="94" t="str">
        <f>IFERROR(__xludf.DUMMYFUNCTION("""COMPUTED_VALUE"""),"")</f>
        <v/>
      </c>
      <c r="CN209" s="93" t="str">
        <f>IFERROR(__xludf.DUMMYFUNCTION("""COMPUTED_VALUE"""),"")</f>
        <v/>
      </c>
      <c r="CO209" s="93" t="str">
        <f>IFERROR(__xludf.DUMMYFUNCTION("""COMPUTED_VALUE"""),"")</f>
        <v/>
      </c>
      <c r="CP209" s="94" t="str">
        <f>IFERROR(__xludf.DUMMYFUNCTION("""COMPUTED_VALUE"""),"")</f>
        <v/>
      </c>
      <c r="CQ209" s="93" t="str">
        <f>IFERROR(__xludf.DUMMYFUNCTION("""COMPUTED_VALUE"""),"")</f>
        <v/>
      </c>
      <c r="CR209" s="93" t="str">
        <f>IFERROR(__xludf.DUMMYFUNCTION("""COMPUTED_VALUE"""),"")</f>
        <v/>
      </c>
      <c r="CS209" s="94"/>
      <c r="CT209" s="93"/>
      <c r="CU209" s="93"/>
      <c r="CV209" s="94"/>
      <c r="CW209" s="93"/>
      <c r="CX209" s="93"/>
      <c r="CY209" s="94"/>
      <c r="CZ209" s="93"/>
      <c r="DA209" s="93"/>
      <c r="DB209" s="94"/>
      <c r="DC209" s="93"/>
      <c r="DD209" s="93"/>
      <c r="DE209" s="94"/>
      <c r="DF209" s="93"/>
      <c r="DG209" s="93"/>
      <c r="DH209" s="94"/>
      <c r="DI209" s="93"/>
      <c r="DJ209" s="93"/>
      <c r="DK209" s="94"/>
      <c r="DL209" s="93"/>
      <c r="DM209" s="93"/>
      <c r="DN209" s="94"/>
      <c r="DO209" s="93"/>
      <c r="DP209" s="93"/>
      <c r="DQ209" s="94"/>
      <c r="DR209" s="93"/>
      <c r="DS209" s="93"/>
      <c r="DT209" s="94"/>
    </row>
    <row r="210">
      <c r="B210" s="180" t="str">
        <f>IFERROR(__xludf.DUMMYFUNCTION("""COMPUTED_VALUE"""),"SIN3")</f>
        <v>SIN3</v>
      </c>
      <c r="C210">
        <f>IFERROR(__xludf.DUMMYFUNCTION("""COMPUTED_VALUE"""),207.0)</f>
        <v>207</v>
      </c>
      <c r="D210" s="178" t="str">
        <f>IFERROR(__xludf.DUMMYFUNCTION("""COMPUTED_VALUE"""),"Icy Cave")</f>
        <v>Icy Cave</v>
      </c>
      <c r="E210" s="83" t="str">
        <f>IFERROR(__xludf.DUMMYFUNCTION("""COMPUTED_VALUE"""),"氷冷窟")</f>
        <v>氷冷窟</v>
      </c>
      <c r="F210" s="179">
        <f>IFERROR(__xludf.DUMMYFUNCTION("""COMPUTED_VALUE"""),20.0)</f>
        <v>20</v>
      </c>
      <c r="G210" s="83">
        <f>IFERROR(__xludf.DUMMYFUNCTION("""COMPUTED_VALUE"""),1872.0)</f>
        <v>1872</v>
      </c>
      <c r="H210" s="95" t="str">
        <f>IFERROR(__xludf.DUMMYFUNCTION("""COMPUTED_VALUE"""),"")</f>
        <v/>
      </c>
      <c r="I210" s="96" t="str">
        <f>IFERROR(__xludf.DUMMYFUNCTION("""COMPUTED_VALUE"""),"")</f>
        <v/>
      </c>
      <c r="J210" s="97" t="str">
        <f>IFERROR(__xludf.DUMMYFUNCTION("""COMPUTED_VALUE"""),"")</f>
        <v/>
      </c>
      <c r="K210" s="95" t="str">
        <f>IFERROR(__xludf.DUMMYFUNCTION("""COMPUTED_VALUE"""),"")</f>
        <v/>
      </c>
      <c r="L210" s="96" t="str">
        <f>IFERROR(__xludf.DUMMYFUNCTION("""COMPUTED_VALUE"""),"")</f>
        <v/>
      </c>
      <c r="M210" s="97" t="str">
        <f>IFERROR(__xludf.DUMMYFUNCTION("""COMPUTED_VALUE"""),"")</f>
        <v/>
      </c>
      <c r="N210" s="95" t="str">
        <f>IFERROR(__xludf.DUMMYFUNCTION("""COMPUTED_VALUE"""),"")</f>
        <v/>
      </c>
      <c r="O210" s="96" t="str">
        <f>IFERROR(__xludf.DUMMYFUNCTION("""COMPUTED_VALUE"""),"")</f>
        <v/>
      </c>
      <c r="P210" s="97" t="str">
        <f>IFERROR(__xludf.DUMMYFUNCTION("""COMPUTED_VALUE"""),"")</f>
        <v/>
      </c>
      <c r="Q210" s="95" t="str">
        <f>IFERROR(__xludf.DUMMYFUNCTION("""COMPUTED_VALUE"""),"")</f>
        <v/>
      </c>
      <c r="R210" s="96" t="str">
        <f>IFERROR(__xludf.DUMMYFUNCTION("""COMPUTED_VALUE"""),"")</f>
        <v/>
      </c>
      <c r="S210" s="97">
        <f>IFERROR(__xludf.DUMMYFUNCTION("""COMPUTED_VALUE"""),197.1)</f>
        <v>197.1</v>
      </c>
      <c r="T210" s="95" t="str">
        <f>IFERROR(__xludf.DUMMYFUNCTION("""COMPUTED_VALUE"""),"")</f>
        <v/>
      </c>
      <c r="U210" s="96" t="str">
        <f>IFERROR(__xludf.DUMMYFUNCTION("""COMPUTED_VALUE"""),"")</f>
        <v/>
      </c>
      <c r="V210" s="97" t="str">
        <f>IFERROR(__xludf.DUMMYFUNCTION("""COMPUTED_VALUE"""),"")</f>
        <v/>
      </c>
      <c r="W210" s="95" t="str">
        <f>IFERROR(__xludf.DUMMYFUNCTION("""COMPUTED_VALUE"""),"")</f>
        <v/>
      </c>
      <c r="X210" s="96" t="str">
        <f>IFERROR(__xludf.DUMMYFUNCTION("""COMPUTED_VALUE"""),"")</f>
        <v/>
      </c>
      <c r="Y210" s="97" t="str">
        <f>IFERROR(__xludf.DUMMYFUNCTION("""COMPUTED_VALUE"""),"")</f>
        <v/>
      </c>
      <c r="Z210" s="95">
        <f>IFERROR(__xludf.DUMMYFUNCTION("""COMPUTED_VALUE"""),60.7)</f>
        <v>60.7</v>
      </c>
      <c r="AA210" s="96" t="str">
        <f>IFERROR(__xludf.DUMMYFUNCTION("""COMPUTED_VALUE"""),"")</f>
        <v/>
      </c>
      <c r="AB210" s="97" t="str">
        <f>IFERROR(__xludf.DUMMYFUNCTION("""COMPUTED_VALUE"""),"")</f>
        <v/>
      </c>
      <c r="AC210" s="95" t="str">
        <f>IFERROR(__xludf.DUMMYFUNCTION("""COMPUTED_VALUE"""),"")</f>
        <v/>
      </c>
      <c r="AD210" s="96" t="str">
        <f>IFERROR(__xludf.DUMMYFUNCTION("""COMPUTED_VALUE"""),"")</f>
        <v/>
      </c>
      <c r="AE210" s="97" t="str">
        <f>IFERROR(__xludf.DUMMYFUNCTION("""COMPUTED_VALUE"""),"")</f>
        <v/>
      </c>
      <c r="AF210" s="95" t="str">
        <f>IFERROR(__xludf.DUMMYFUNCTION("""COMPUTED_VALUE"""),"")</f>
        <v/>
      </c>
      <c r="AG210" s="96" t="str">
        <f>IFERROR(__xludf.DUMMYFUNCTION("""COMPUTED_VALUE"""),"")</f>
        <v/>
      </c>
      <c r="AH210" s="97" t="str">
        <f>IFERROR(__xludf.DUMMYFUNCTION("""COMPUTED_VALUE"""),"")</f>
        <v/>
      </c>
      <c r="AI210" s="156" t="str">
        <f>IFERROR(__xludf.DUMMYFUNCTION("""COMPUTED_VALUE"""),"")</f>
        <v/>
      </c>
      <c r="AJ210" s="157" t="str">
        <f>IFERROR(__xludf.DUMMYFUNCTION("""COMPUTED_VALUE"""),"")</f>
        <v/>
      </c>
      <c r="AK210" s="158" t="str">
        <f>IFERROR(__xludf.DUMMYFUNCTION("""COMPUTED_VALUE"""),"")</f>
        <v/>
      </c>
      <c r="AL210" s="157" t="str">
        <f>IFERROR(__xludf.DUMMYFUNCTION("""COMPUTED_VALUE"""),"")</f>
        <v/>
      </c>
      <c r="AM210" s="157" t="str">
        <f>IFERROR(__xludf.DUMMYFUNCTION("""COMPUTED_VALUE"""),"")</f>
        <v/>
      </c>
      <c r="AN210" s="158" t="str">
        <f>IFERROR(__xludf.DUMMYFUNCTION("""COMPUTED_VALUE"""),"")</f>
        <v/>
      </c>
      <c r="AO210" s="157" t="str">
        <f>IFERROR(__xludf.DUMMYFUNCTION("""COMPUTED_VALUE"""),"")</f>
        <v/>
      </c>
      <c r="AP210" s="157" t="str">
        <f>IFERROR(__xludf.DUMMYFUNCTION("""COMPUTED_VALUE"""),"")</f>
        <v/>
      </c>
      <c r="AQ210" s="158" t="str">
        <f>IFERROR(__xludf.DUMMYFUNCTION("""COMPUTED_VALUE"""),"")</f>
        <v/>
      </c>
      <c r="AR210" s="157" t="str">
        <f>IFERROR(__xludf.DUMMYFUNCTION("""COMPUTED_VALUE"""),"")</f>
        <v/>
      </c>
      <c r="AS210" s="157" t="str">
        <f>IFERROR(__xludf.DUMMYFUNCTION("""COMPUTED_VALUE"""),"")</f>
        <v/>
      </c>
      <c r="AT210" s="181" t="str">
        <f>IFERROR(__xludf.DUMMYFUNCTION("""COMPUTED_VALUE"""),"")</f>
        <v/>
      </c>
      <c r="AU210" s="157" t="str">
        <f>IFERROR(__xludf.DUMMYFUNCTION("""COMPUTED_VALUE"""),"")</f>
        <v/>
      </c>
      <c r="AV210" s="157" t="str">
        <f>IFERROR(__xludf.DUMMYFUNCTION("""COMPUTED_VALUE"""),"")</f>
        <v/>
      </c>
      <c r="AW210" s="158" t="str">
        <f>IFERROR(__xludf.DUMMYFUNCTION("""COMPUTED_VALUE"""),"")</f>
        <v/>
      </c>
      <c r="AX210" s="157" t="str">
        <f>IFERROR(__xludf.DUMMYFUNCTION("""COMPUTED_VALUE"""),"")</f>
        <v/>
      </c>
      <c r="AY210" s="157" t="str">
        <f>IFERROR(__xludf.DUMMYFUNCTION("""COMPUTED_VALUE"""),"")</f>
        <v/>
      </c>
      <c r="AZ210" s="158" t="str">
        <f>IFERROR(__xludf.DUMMYFUNCTION("""COMPUTED_VALUE"""),"")</f>
        <v/>
      </c>
      <c r="BA210" s="157" t="str">
        <f>IFERROR(__xludf.DUMMYFUNCTION("""COMPUTED_VALUE"""),"")</f>
        <v/>
      </c>
      <c r="BB210" s="157" t="str">
        <f>IFERROR(__xludf.DUMMYFUNCTION("""COMPUTED_VALUE"""),"")</f>
        <v/>
      </c>
      <c r="BC210" s="158" t="str">
        <f>IFERROR(__xludf.DUMMYFUNCTION("""COMPUTED_VALUE"""),"")</f>
        <v/>
      </c>
      <c r="BD210" s="157" t="str">
        <f>IFERROR(__xludf.DUMMYFUNCTION("""COMPUTED_VALUE"""),"")</f>
        <v/>
      </c>
      <c r="BE210" s="157" t="str">
        <f>IFERROR(__xludf.DUMMYFUNCTION("""COMPUTED_VALUE"""),"")</f>
        <v/>
      </c>
      <c r="BF210" s="158" t="str">
        <f>IFERROR(__xludf.DUMMYFUNCTION("""COMPUTED_VALUE"""),"")</f>
        <v/>
      </c>
      <c r="BG210" s="156" t="str">
        <f>IFERROR(__xludf.DUMMYFUNCTION("""COMPUTED_VALUE"""),"")</f>
        <v/>
      </c>
      <c r="BH210" s="157">
        <f>IFERROR(__xludf.DUMMYFUNCTION("""COMPUTED_VALUE"""),558.8)</f>
        <v>558.8</v>
      </c>
      <c r="BI210" s="158" t="str">
        <f>IFERROR(__xludf.DUMMYFUNCTION("""COMPUTED_VALUE"""),"")</f>
        <v/>
      </c>
      <c r="BJ210" s="157" t="str">
        <f>IFERROR(__xludf.DUMMYFUNCTION("""COMPUTED_VALUE"""),"")</f>
        <v/>
      </c>
      <c r="BK210" s="157" t="str">
        <f>IFERROR(__xludf.DUMMYFUNCTION("""COMPUTED_VALUE"""),"")</f>
        <v/>
      </c>
      <c r="BL210" s="158" t="str">
        <f>IFERROR(__xludf.DUMMYFUNCTION("""COMPUTED_VALUE"""),"")</f>
        <v/>
      </c>
      <c r="BM210" s="157" t="str">
        <f>IFERROR(__xludf.DUMMYFUNCTION("""COMPUTED_VALUE"""),"")</f>
        <v/>
      </c>
      <c r="BN210" s="157" t="str">
        <f>IFERROR(__xludf.DUMMYFUNCTION("""COMPUTED_VALUE"""),"")</f>
        <v/>
      </c>
      <c r="BO210" s="158" t="str">
        <f>IFERROR(__xludf.DUMMYFUNCTION("""COMPUTED_VALUE"""),"")</f>
        <v/>
      </c>
      <c r="BP210" s="157" t="str">
        <f>IFERROR(__xludf.DUMMYFUNCTION("""COMPUTED_VALUE"""),"")</f>
        <v/>
      </c>
      <c r="BQ210" s="157" t="str">
        <f>IFERROR(__xludf.DUMMYFUNCTION("""COMPUTED_VALUE"""),"")</f>
        <v/>
      </c>
      <c r="BR210" s="158" t="str">
        <f>IFERROR(__xludf.DUMMYFUNCTION("""COMPUTED_VALUE"""),"")</f>
        <v/>
      </c>
      <c r="BS210" s="157" t="str">
        <f>IFERROR(__xludf.DUMMYFUNCTION("""COMPUTED_VALUE"""),"")</f>
        <v/>
      </c>
      <c r="BT210" s="157" t="str">
        <f>IFERROR(__xludf.DUMMYFUNCTION("""COMPUTED_VALUE"""),"")</f>
        <v/>
      </c>
      <c r="BU210" s="158" t="str">
        <f>IFERROR(__xludf.DUMMYFUNCTION("""COMPUTED_VALUE"""),"")</f>
        <v/>
      </c>
      <c r="BV210" s="157">
        <f>IFERROR(__xludf.DUMMYFUNCTION("""COMPUTED_VALUE"""),53.7)</f>
        <v>53.7</v>
      </c>
      <c r="BW210" s="157" t="str">
        <f>IFERROR(__xludf.DUMMYFUNCTION("""COMPUTED_VALUE"""),"")</f>
        <v/>
      </c>
      <c r="BX210" s="158" t="str">
        <f>IFERROR(__xludf.DUMMYFUNCTION("""COMPUTED_VALUE"""),"")</f>
        <v/>
      </c>
      <c r="BY210" s="157" t="str">
        <f>IFERROR(__xludf.DUMMYFUNCTION("""COMPUTED_VALUE"""),"")</f>
        <v/>
      </c>
      <c r="BZ210" s="157" t="str">
        <f>IFERROR(__xludf.DUMMYFUNCTION("""COMPUTED_VALUE"""),"")</f>
        <v/>
      </c>
      <c r="CA210" s="158" t="str">
        <f>IFERROR(__xludf.DUMMYFUNCTION("""COMPUTED_VALUE"""),"")</f>
        <v/>
      </c>
      <c r="CB210" s="156" t="str">
        <f>IFERROR(__xludf.DUMMYFUNCTION("""COMPUTED_VALUE"""),"")</f>
        <v/>
      </c>
      <c r="CC210" s="157" t="str">
        <f>IFERROR(__xludf.DUMMYFUNCTION("""COMPUTED_VALUE"""),"")</f>
        <v/>
      </c>
      <c r="CD210" s="158" t="str">
        <f>IFERROR(__xludf.DUMMYFUNCTION("""COMPUTED_VALUE"""),"")</f>
        <v/>
      </c>
      <c r="CE210" s="157" t="str">
        <f>IFERROR(__xludf.DUMMYFUNCTION("""COMPUTED_VALUE"""),"")</f>
        <v/>
      </c>
      <c r="CF210" s="157" t="str">
        <f>IFERROR(__xludf.DUMMYFUNCTION("""COMPUTED_VALUE"""),"")</f>
        <v/>
      </c>
      <c r="CG210" s="158" t="str">
        <f>IFERROR(__xludf.DUMMYFUNCTION("""COMPUTED_VALUE"""),"")</f>
        <v/>
      </c>
      <c r="CH210" s="157" t="str">
        <f>IFERROR(__xludf.DUMMYFUNCTION("""COMPUTED_VALUE"""),"")</f>
        <v/>
      </c>
      <c r="CI210" s="157" t="str">
        <f>IFERROR(__xludf.DUMMYFUNCTION("""COMPUTED_VALUE"""),"")</f>
        <v/>
      </c>
      <c r="CJ210" s="158" t="str">
        <f>IFERROR(__xludf.DUMMYFUNCTION("""COMPUTED_VALUE"""),"")</f>
        <v/>
      </c>
      <c r="CK210" s="157" t="str">
        <f>IFERROR(__xludf.DUMMYFUNCTION("""COMPUTED_VALUE"""),"")</f>
        <v/>
      </c>
      <c r="CL210" s="157" t="str">
        <f>IFERROR(__xludf.DUMMYFUNCTION("""COMPUTED_VALUE"""),"")</f>
        <v/>
      </c>
      <c r="CM210" s="158" t="str">
        <f>IFERROR(__xludf.DUMMYFUNCTION("""COMPUTED_VALUE"""),"")</f>
        <v/>
      </c>
      <c r="CN210" s="157" t="str">
        <f>IFERROR(__xludf.DUMMYFUNCTION("""COMPUTED_VALUE"""),"")</f>
        <v/>
      </c>
      <c r="CO210" s="157" t="str">
        <f>IFERROR(__xludf.DUMMYFUNCTION("""COMPUTED_VALUE"""),"")</f>
        <v/>
      </c>
      <c r="CP210" s="158" t="str">
        <f>IFERROR(__xludf.DUMMYFUNCTION("""COMPUTED_VALUE"""),"")</f>
        <v/>
      </c>
      <c r="CQ210" s="157">
        <f>IFERROR(__xludf.DUMMYFUNCTION("""COMPUTED_VALUE"""),321.4)</f>
        <v>321.4</v>
      </c>
      <c r="CR210" s="157" t="str">
        <f>IFERROR(__xludf.DUMMYFUNCTION("""COMPUTED_VALUE"""),"")</f>
        <v/>
      </c>
      <c r="CS210" s="158"/>
      <c r="CT210" s="157"/>
      <c r="CU210" s="157"/>
      <c r="CV210" s="158"/>
      <c r="CW210" s="157"/>
      <c r="CX210" s="157"/>
      <c r="CY210" s="158"/>
      <c r="CZ210" s="157"/>
      <c r="DA210" s="157"/>
      <c r="DB210" s="158"/>
      <c r="DC210" s="157"/>
      <c r="DD210" s="157"/>
      <c r="DE210" s="158"/>
      <c r="DF210" s="157"/>
      <c r="DG210" s="157"/>
      <c r="DH210" s="158"/>
      <c r="DI210" s="157"/>
      <c r="DJ210" s="157"/>
      <c r="DK210" s="158"/>
      <c r="DL210" s="157"/>
      <c r="DM210" s="157"/>
      <c r="DN210" s="158"/>
      <c r="DO210" s="157"/>
      <c r="DP210" s="157"/>
      <c r="DQ210" s="158"/>
      <c r="DR210" s="157"/>
      <c r="DS210" s="157"/>
      <c r="DT210" s="158"/>
    </row>
    <row r="211">
      <c r="B211" s="180" t="str">
        <f>IFERROR(__xludf.DUMMYFUNCTION("""COMPUTED_VALUE"""),"SIN4")</f>
        <v>SIN4</v>
      </c>
      <c r="C211">
        <f>IFERROR(__xludf.DUMMYFUNCTION("""COMPUTED_VALUE"""),208.0)</f>
        <v>208</v>
      </c>
      <c r="D211" s="178" t="str">
        <f>IFERROR(__xludf.DUMMYFUNCTION("""COMPUTED_VALUE"""),"Akuta's Camp")</f>
        <v>Akuta's Camp</v>
      </c>
      <c r="E211" s="83" t="str">
        <f>IFERROR(__xludf.DUMMYFUNCTION("""COMPUTED_VALUE"""),"芥の陣幕")</f>
        <v>芥の陣幕</v>
      </c>
      <c r="F211" s="179">
        <f>IFERROR(__xludf.DUMMYFUNCTION("""COMPUTED_VALUE"""),21.0)</f>
        <v>21</v>
      </c>
      <c r="G211" s="83">
        <f>IFERROR(__xludf.DUMMYFUNCTION("""COMPUTED_VALUE"""),2492.0)</f>
        <v>2492</v>
      </c>
      <c r="H211" s="95" t="str">
        <f>IFERROR(__xludf.DUMMYFUNCTION("""COMPUTED_VALUE"""),"")</f>
        <v/>
      </c>
      <c r="I211" s="96" t="str">
        <f>IFERROR(__xludf.DUMMYFUNCTION("""COMPUTED_VALUE"""),"")</f>
        <v/>
      </c>
      <c r="J211" s="97" t="str">
        <f>IFERROR(__xludf.DUMMYFUNCTION("""COMPUTED_VALUE"""),"")</f>
        <v/>
      </c>
      <c r="K211" s="95" t="str">
        <f>IFERROR(__xludf.DUMMYFUNCTION("""COMPUTED_VALUE"""),"")</f>
        <v/>
      </c>
      <c r="L211" s="96" t="str">
        <f>IFERROR(__xludf.DUMMYFUNCTION("""COMPUTED_VALUE"""),"")</f>
        <v/>
      </c>
      <c r="M211" s="97" t="str">
        <f>IFERROR(__xludf.DUMMYFUNCTION("""COMPUTED_VALUE"""),"")</f>
        <v/>
      </c>
      <c r="N211" s="95" t="str">
        <f>IFERROR(__xludf.DUMMYFUNCTION("""COMPUTED_VALUE"""),"")</f>
        <v/>
      </c>
      <c r="O211" s="96" t="str">
        <f>IFERROR(__xludf.DUMMYFUNCTION("""COMPUTED_VALUE"""),"")</f>
        <v/>
      </c>
      <c r="P211" s="97" t="str">
        <f>IFERROR(__xludf.DUMMYFUNCTION("""COMPUTED_VALUE"""),"")</f>
        <v/>
      </c>
      <c r="Q211" s="95" t="str">
        <f>IFERROR(__xludf.DUMMYFUNCTION("""COMPUTED_VALUE"""),"")</f>
        <v/>
      </c>
      <c r="R211" s="96" t="str">
        <f>IFERROR(__xludf.DUMMYFUNCTION("""COMPUTED_VALUE"""),"")</f>
        <v/>
      </c>
      <c r="S211" s="97" t="str">
        <f>IFERROR(__xludf.DUMMYFUNCTION("""COMPUTED_VALUE"""),"")</f>
        <v/>
      </c>
      <c r="T211" s="95" t="str">
        <f>IFERROR(__xludf.DUMMYFUNCTION("""COMPUTED_VALUE"""),"")</f>
        <v/>
      </c>
      <c r="U211" s="96" t="str">
        <f>IFERROR(__xludf.DUMMYFUNCTION("""COMPUTED_VALUE"""),"")</f>
        <v/>
      </c>
      <c r="V211" s="97" t="str">
        <f>IFERROR(__xludf.DUMMYFUNCTION("""COMPUTED_VALUE"""),"")</f>
        <v/>
      </c>
      <c r="W211" s="95" t="str">
        <f>IFERROR(__xludf.DUMMYFUNCTION("""COMPUTED_VALUE"""),"")</f>
        <v/>
      </c>
      <c r="X211" s="96" t="str">
        <f>IFERROR(__xludf.DUMMYFUNCTION("""COMPUTED_VALUE"""),"")</f>
        <v/>
      </c>
      <c r="Y211" s="97" t="str">
        <f>IFERROR(__xludf.DUMMYFUNCTION("""COMPUTED_VALUE"""),"")</f>
        <v/>
      </c>
      <c r="Z211" s="95" t="str">
        <f>IFERROR(__xludf.DUMMYFUNCTION("""COMPUTED_VALUE"""),"")</f>
        <v/>
      </c>
      <c r="AA211" s="96" t="str">
        <f>IFERROR(__xludf.DUMMYFUNCTION("""COMPUTED_VALUE"""),"")</f>
        <v/>
      </c>
      <c r="AB211" s="97" t="str">
        <f>IFERROR(__xludf.DUMMYFUNCTION("""COMPUTED_VALUE"""),"")</f>
        <v/>
      </c>
      <c r="AC211" s="95" t="str">
        <f>IFERROR(__xludf.DUMMYFUNCTION("""COMPUTED_VALUE"""),"")</f>
        <v/>
      </c>
      <c r="AD211" s="96" t="str">
        <f>IFERROR(__xludf.DUMMYFUNCTION("""COMPUTED_VALUE"""),"")</f>
        <v/>
      </c>
      <c r="AE211" s="97">
        <f>IFERROR(__xludf.DUMMYFUNCTION("""COMPUTED_VALUE"""),102.2)</f>
        <v>102.2</v>
      </c>
      <c r="AF211" s="95" t="str">
        <f>IFERROR(__xludf.DUMMYFUNCTION("""COMPUTED_VALUE"""),"")</f>
        <v/>
      </c>
      <c r="AG211" s="96" t="str">
        <f>IFERROR(__xludf.DUMMYFUNCTION("""COMPUTED_VALUE"""),"")</f>
        <v/>
      </c>
      <c r="AH211" s="97" t="str">
        <f>IFERROR(__xludf.DUMMYFUNCTION("""COMPUTED_VALUE"""),"")</f>
        <v/>
      </c>
      <c r="AI211" s="92" t="str">
        <f>IFERROR(__xludf.DUMMYFUNCTION("""COMPUTED_VALUE"""),"")</f>
        <v/>
      </c>
      <c r="AJ211" s="93" t="str">
        <f>IFERROR(__xludf.DUMMYFUNCTION("""COMPUTED_VALUE"""),"")</f>
        <v/>
      </c>
      <c r="AK211" s="94" t="str">
        <f>IFERROR(__xludf.DUMMYFUNCTION("""COMPUTED_VALUE"""),"")</f>
        <v/>
      </c>
      <c r="AL211" s="93" t="str">
        <f>IFERROR(__xludf.DUMMYFUNCTION("""COMPUTED_VALUE"""),"")</f>
        <v/>
      </c>
      <c r="AM211" s="93">
        <f>IFERROR(__xludf.DUMMYFUNCTION("""COMPUTED_VALUE"""),112.5)</f>
        <v>112.5</v>
      </c>
      <c r="AN211" s="94" t="str">
        <f>IFERROR(__xludf.DUMMYFUNCTION("""COMPUTED_VALUE"""),"")</f>
        <v/>
      </c>
      <c r="AO211" s="93" t="str">
        <f>IFERROR(__xludf.DUMMYFUNCTION("""COMPUTED_VALUE"""),"")</f>
        <v/>
      </c>
      <c r="AP211" s="93" t="str">
        <f>IFERROR(__xludf.DUMMYFUNCTION("""COMPUTED_VALUE"""),"")</f>
        <v/>
      </c>
      <c r="AQ211" s="94" t="str">
        <f>IFERROR(__xludf.DUMMYFUNCTION("""COMPUTED_VALUE"""),"")</f>
        <v/>
      </c>
      <c r="AR211" s="93" t="str">
        <f>IFERROR(__xludf.DUMMYFUNCTION("""COMPUTED_VALUE"""),"")</f>
        <v/>
      </c>
      <c r="AS211" s="93" t="str">
        <f>IFERROR(__xludf.DUMMYFUNCTION("""COMPUTED_VALUE"""),"")</f>
        <v/>
      </c>
      <c r="AT211" s="94" t="str">
        <f>IFERROR(__xludf.DUMMYFUNCTION("""COMPUTED_VALUE"""),"")</f>
        <v/>
      </c>
      <c r="AU211" s="93" t="str">
        <f>IFERROR(__xludf.DUMMYFUNCTION("""COMPUTED_VALUE"""),"")</f>
        <v/>
      </c>
      <c r="AV211" s="93" t="str">
        <f>IFERROR(__xludf.DUMMYFUNCTION("""COMPUTED_VALUE"""),"")</f>
        <v/>
      </c>
      <c r="AW211" s="94">
        <f>IFERROR(__xludf.DUMMYFUNCTION("""COMPUTED_VALUE"""),71.5)</f>
        <v>71.5</v>
      </c>
      <c r="AX211" s="93" t="str">
        <f>IFERROR(__xludf.DUMMYFUNCTION("""COMPUTED_VALUE"""),"")</f>
        <v/>
      </c>
      <c r="AY211" s="93" t="str">
        <f>IFERROR(__xludf.DUMMYFUNCTION("""COMPUTED_VALUE"""),"")</f>
        <v/>
      </c>
      <c r="AZ211" s="94" t="str">
        <f>IFERROR(__xludf.DUMMYFUNCTION("""COMPUTED_VALUE"""),"")</f>
        <v/>
      </c>
      <c r="BA211" s="93" t="str">
        <f>IFERROR(__xludf.DUMMYFUNCTION("""COMPUTED_VALUE"""),"")</f>
        <v/>
      </c>
      <c r="BB211" s="93" t="str">
        <f>IFERROR(__xludf.DUMMYFUNCTION("""COMPUTED_VALUE"""),"")</f>
        <v/>
      </c>
      <c r="BC211" s="94" t="str">
        <f>IFERROR(__xludf.DUMMYFUNCTION("""COMPUTED_VALUE"""),"")</f>
        <v/>
      </c>
      <c r="BD211" s="93" t="str">
        <f>IFERROR(__xludf.DUMMYFUNCTION("""COMPUTED_VALUE"""),"")</f>
        <v/>
      </c>
      <c r="BE211" s="93" t="str">
        <f>IFERROR(__xludf.DUMMYFUNCTION("""COMPUTED_VALUE"""),"")</f>
        <v/>
      </c>
      <c r="BF211" s="94" t="str">
        <f>IFERROR(__xludf.DUMMYFUNCTION("""COMPUTED_VALUE"""),"")</f>
        <v/>
      </c>
      <c r="BG211" s="92" t="str">
        <f>IFERROR(__xludf.DUMMYFUNCTION("""COMPUTED_VALUE"""),"")</f>
        <v/>
      </c>
      <c r="BH211" s="93" t="str">
        <f>IFERROR(__xludf.DUMMYFUNCTION("""COMPUTED_VALUE"""),"")</f>
        <v/>
      </c>
      <c r="BI211" s="94" t="str">
        <f>IFERROR(__xludf.DUMMYFUNCTION("""COMPUTED_VALUE"""),"")</f>
        <v/>
      </c>
      <c r="BJ211" s="93" t="str">
        <f>IFERROR(__xludf.DUMMYFUNCTION("""COMPUTED_VALUE"""),"")</f>
        <v/>
      </c>
      <c r="BK211" s="93" t="str">
        <f>IFERROR(__xludf.DUMMYFUNCTION("""COMPUTED_VALUE"""),"")</f>
        <v/>
      </c>
      <c r="BL211" s="94" t="str">
        <f>IFERROR(__xludf.DUMMYFUNCTION("""COMPUTED_VALUE"""),"")</f>
        <v/>
      </c>
      <c r="BM211" s="93" t="str">
        <f>IFERROR(__xludf.DUMMYFUNCTION("""COMPUTED_VALUE"""),"")</f>
        <v/>
      </c>
      <c r="BN211" s="93" t="str">
        <f>IFERROR(__xludf.DUMMYFUNCTION("""COMPUTED_VALUE"""),"")</f>
        <v/>
      </c>
      <c r="BO211" s="94" t="str">
        <f>IFERROR(__xludf.DUMMYFUNCTION("""COMPUTED_VALUE"""),"")</f>
        <v/>
      </c>
      <c r="BP211" s="93">
        <f>IFERROR(__xludf.DUMMYFUNCTION("""COMPUTED_VALUE"""),135.0)</f>
        <v>135</v>
      </c>
      <c r="BQ211" s="93" t="str">
        <f>IFERROR(__xludf.DUMMYFUNCTION("""COMPUTED_VALUE"""),"")</f>
        <v/>
      </c>
      <c r="BR211" s="94" t="str">
        <f>IFERROR(__xludf.DUMMYFUNCTION("""COMPUTED_VALUE"""),"")</f>
        <v/>
      </c>
      <c r="BS211" s="93" t="str">
        <f>IFERROR(__xludf.DUMMYFUNCTION("""COMPUTED_VALUE"""),"")</f>
        <v/>
      </c>
      <c r="BT211" s="93">
        <f>IFERROR(__xludf.DUMMYFUNCTION("""COMPUTED_VALUE"""),82.8)</f>
        <v>82.8</v>
      </c>
      <c r="BU211" s="94" t="str">
        <f>IFERROR(__xludf.DUMMYFUNCTION("""COMPUTED_VALUE"""),"")</f>
        <v/>
      </c>
      <c r="BV211" s="93" t="str">
        <f>IFERROR(__xludf.DUMMYFUNCTION("""COMPUTED_VALUE"""),"")</f>
        <v/>
      </c>
      <c r="BW211" s="93" t="str">
        <f>IFERROR(__xludf.DUMMYFUNCTION("""COMPUTED_VALUE"""),"")</f>
        <v/>
      </c>
      <c r="BX211" s="94" t="str">
        <f>IFERROR(__xludf.DUMMYFUNCTION("""COMPUTED_VALUE"""),"")</f>
        <v/>
      </c>
      <c r="BY211" s="93" t="str">
        <f>IFERROR(__xludf.DUMMYFUNCTION("""COMPUTED_VALUE"""),"")</f>
        <v/>
      </c>
      <c r="BZ211" s="93" t="str">
        <f>IFERROR(__xludf.DUMMYFUNCTION("""COMPUTED_VALUE"""),"")</f>
        <v/>
      </c>
      <c r="CA211" s="94" t="str">
        <f>IFERROR(__xludf.DUMMYFUNCTION("""COMPUTED_VALUE"""),"")</f>
        <v/>
      </c>
      <c r="CB211" s="92" t="str">
        <f>IFERROR(__xludf.DUMMYFUNCTION("""COMPUTED_VALUE"""),"")</f>
        <v/>
      </c>
      <c r="CC211" s="93" t="str">
        <f>IFERROR(__xludf.DUMMYFUNCTION("""COMPUTED_VALUE"""),"")</f>
        <v/>
      </c>
      <c r="CD211" s="94" t="str">
        <f>IFERROR(__xludf.DUMMYFUNCTION("""COMPUTED_VALUE"""),"")</f>
        <v/>
      </c>
      <c r="CE211" s="93" t="str">
        <f>IFERROR(__xludf.DUMMYFUNCTION("""COMPUTED_VALUE"""),"")</f>
        <v/>
      </c>
      <c r="CF211" s="93" t="str">
        <f>IFERROR(__xludf.DUMMYFUNCTION("""COMPUTED_VALUE"""),"")</f>
        <v/>
      </c>
      <c r="CG211" s="94" t="str">
        <f>IFERROR(__xludf.DUMMYFUNCTION("""COMPUTED_VALUE"""),"")</f>
        <v/>
      </c>
      <c r="CH211" s="93" t="str">
        <f>IFERROR(__xludf.DUMMYFUNCTION("""COMPUTED_VALUE"""),"")</f>
        <v/>
      </c>
      <c r="CI211" s="93" t="str">
        <f>IFERROR(__xludf.DUMMYFUNCTION("""COMPUTED_VALUE"""),"")</f>
        <v/>
      </c>
      <c r="CJ211" s="94" t="str">
        <f>IFERROR(__xludf.DUMMYFUNCTION("""COMPUTED_VALUE"""),"")</f>
        <v/>
      </c>
      <c r="CK211" s="93" t="str">
        <f>IFERROR(__xludf.DUMMYFUNCTION("""COMPUTED_VALUE"""),"")</f>
        <v/>
      </c>
      <c r="CL211" s="93" t="str">
        <f>IFERROR(__xludf.DUMMYFUNCTION("""COMPUTED_VALUE"""),"")</f>
        <v/>
      </c>
      <c r="CM211" s="94" t="str">
        <f>IFERROR(__xludf.DUMMYFUNCTION("""COMPUTED_VALUE"""),"")</f>
        <v/>
      </c>
      <c r="CN211" s="93" t="str">
        <f>IFERROR(__xludf.DUMMYFUNCTION("""COMPUTED_VALUE"""),"")</f>
        <v/>
      </c>
      <c r="CO211" s="93" t="str">
        <f>IFERROR(__xludf.DUMMYFUNCTION("""COMPUTED_VALUE"""),"")</f>
        <v/>
      </c>
      <c r="CP211" s="94" t="str">
        <f>IFERROR(__xludf.DUMMYFUNCTION("""COMPUTED_VALUE"""),"")</f>
        <v/>
      </c>
      <c r="CQ211" s="93" t="str">
        <f>IFERROR(__xludf.DUMMYFUNCTION("""COMPUTED_VALUE"""),"")</f>
        <v/>
      </c>
      <c r="CR211" s="93" t="str">
        <f>IFERROR(__xludf.DUMMYFUNCTION("""COMPUTED_VALUE"""),"")</f>
        <v/>
      </c>
      <c r="CS211" s="94"/>
      <c r="CT211" s="93"/>
      <c r="CU211" s="93"/>
      <c r="CV211" s="94"/>
      <c r="CW211" s="93"/>
      <c r="CX211" s="93"/>
      <c r="CY211" s="94"/>
      <c r="CZ211" s="93"/>
      <c r="DA211" s="93"/>
      <c r="DB211" s="94"/>
      <c r="DC211" s="93"/>
      <c r="DD211" s="93"/>
      <c r="DE211" s="94"/>
      <c r="DF211" s="93"/>
      <c r="DG211" s="93"/>
      <c r="DH211" s="94"/>
      <c r="DI211" s="93"/>
      <c r="DJ211" s="93"/>
      <c r="DK211" s="94"/>
      <c r="DL211" s="93"/>
      <c r="DM211" s="93"/>
      <c r="DN211" s="94"/>
      <c r="DO211" s="93"/>
      <c r="DP211" s="93"/>
      <c r="DQ211" s="94"/>
      <c r="DR211" s="93"/>
      <c r="DS211" s="93"/>
      <c r="DT211" s="94"/>
    </row>
    <row r="212">
      <c r="B212" s="180" t="str">
        <f>IFERROR(__xludf.DUMMYFUNCTION("""COMPUTED_VALUE"""),"SIN5")</f>
        <v>SIN5</v>
      </c>
      <c r="C212">
        <f>IFERROR(__xludf.DUMMYFUNCTION("""COMPUTED_VALUE"""),209.0)</f>
        <v>209</v>
      </c>
      <c r="D212" s="178" t="str">
        <f>IFERROR(__xludf.DUMMYFUNCTION("""COMPUTED_VALUE"""),"Jingyang Field")</f>
        <v>Jingyang Field</v>
      </c>
      <c r="E212" s="83" t="str">
        <f>IFERROR(__xludf.DUMMYFUNCTION("""COMPUTED_VALUE"""),"景陽原")</f>
        <v>景陽原</v>
      </c>
      <c r="F212" s="179">
        <f>IFERROR(__xludf.DUMMYFUNCTION("""COMPUTED_VALUE"""),21.0)</f>
        <v>21</v>
      </c>
      <c r="G212" s="83">
        <f>IFERROR(__xludf.DUMMYFUNCTION("""COMPUTED_VALUE"""),5852.0)</f>
        <v>5852</v>
      </c>
      <c r="H212" s="95" t="str">
        <f>IFERROR(__xludf.DUMMYFUNCTION("""COMPUTED_VALUE"""),"")</f>
        <v/>
      </c>
      <c r="I212" s="96" t="str">
        <f>IFERROR(__xludf.DUMMYFUNCTION("""COMPUTED_VALUE"""),"")</f>
        <v/>
      </c>
      <c r="J212" s="97" t="str">
        <f>IFERROR(__xludf.DUMMYFUNCTION("""COMPUTED_VALUE"""),"")</f>
        <v/>
      </c>
      <c r="K212" s="95" t="str">
        <f>IFERROR(__xludf.DUMMYFUNCTION("""COMPUTED_VALUE"""),"")</f>
        <v/>
      </c>
      <c r="L212" s="96" t="str">
        <f>IFERROR(__xludf.DUMMYFUNCTION("""COMPUTED_VALUE"""),"")</f>
        <v/>
      </c>
      <c r="M212" s="97" t="str">
        <f>IFERROR(__xludf.DUMMYFUNCTION("""COMPUTED_VALUE"""),"")</f>
        <v/>
      </c>
      <c r="N212" s="95" t="str">
        <f>IFERROR(__xludf.DUMMYFUNCTION("""COMPUTED_VALUE"""),"")</f>
        <v/>
      </c>
      <c r="O212" s="96" t="str">
        <f>IFERROR(__xludf.DUMMYFUNCTION("""COMPUTED_VALUE"""),"")</f>
        <v/>
      </c>
      <c r="P212" s="97" t="str">
        <f>IFERROR(__xludf.DUMMYFUNCTION("""COMPUTED_VALUE"""),"")</f>
        <v/>
      </c>
      <c r="Q212" s="95" t="str">
        <f>IFERROR(__xludf.DUMMYFUNCTION("""COMPUTED_VALUE"""),"")</f>
        <v/>
      </c>
      <c r="R212" s="96" t="str">
        <f>IFERROR(__xludf.DUMMYFUNCTION("""COMPUTED_VALUE"""),"")</f>
        <v/>
      </c>
      <c r="S212" s="97" t="str">
        <f>IFERROR(__xludf.DUMMYFUNCTION("""COMPUTED_VALUE"""),"")</f>
        <v/>
      </c>
      <c r="T212" s="95">
        <f>IFERROR(__xludf.DUMMYFUNCTION("""COMPUTED_VALUE"""),134.2)</f>
        <v>134.2</v>
      </c>
      <c r="U212" s="96" t="str">
        <f>IFERROR(__xludf.DUMMYFUNCTION("""COMPUTED_VALUE"""),"")</f>
        <v/>
      </c>
      <c r="V212" s="97" t="str">
        <f>IFERROR(__xludf.DUMMYFUNCTION("""COMPUTED_VALUE"""),"")</f>
        <v/>
      </c>
      <c r="W212" s="95" t="str">
        <f>IFERROR(__xludf.DUMMYFUNCTION("""COMPUTED_VALUE"""),"")</f>
        <v/>
      </c>
      <c r="X212" s="96" t="str">
        <f>IFERROR(__xludf.DUMMYFUNCTION("""COMPUTED_VALUE"""),"")</f>
        <v/>
      </c>
      <c r="Y212" s="97" t="str">
        <f>IFERROR(__xludf.DUMMYFUNCTION("""COMPUTED_VALUE"""),"")</f>
        <v/>
      </c>
      <c r="Z212" s="95" t="str">
        <f>IFERROR(__xludf.DUMMYFUNCTION("""COMPUTED_VALUE"""),"")</f>
        <v/>
      </c>
      <c r="AA212" s="96" t="str">
        <f>IFERROR(__xludf.DUMMYFUNCTION("""COMPUTED_VALUE"""),"")</f>
        <v/>
      </c>
      <c r="AB212" s="97" t="str">
        <f>IFERROR(__xludf.DUMMYFUNCTION("""COMPUTED_VALUE"""),"")</f>
        <v/>
      </c>
      <c r="AC212" s="95" t="str">
        <f>IFERROR(__xludf.DUMMYFUNCTION("""COMPUTED_VALUE"""),"")</f>
        <v/>
      </c>
      <c r="AD212" s="96" t="str">
        <f>IFERROR(__xludf.DUMMYFUNCTION("""COMPUTED_VALUE"""),"")</f>
        <v/>
      </c>
      <c r="AE212" s="97" t="str">
        <f>IFERROR(__xludf.DUMMYFUNCTION("""COMPUTED_VALUE"""),"")</f>
        <v/>
      </c>
      <c r="AF212" s="95" t="str">
        <f>IFERROR(__xludf.DUMMYFUNCTION("""COMPUTED_VALUE"""),"")</f>
        <v/>
      </c>
      <c r="AG212" s="96" t="str">
        <f>IFERROR(__xludf.DUMMYFUNCTION("""COMPUTED_VALUE"""),"")</f>
        <v/>
      </c>
      <c r="AH212" s="97" t="str">
        <f>IFERROR(__xludf.DUMMYFUNCTION("""COMPUTED_VALUE"""),"")</f>
        <v/>
      </c>
      <c r="AI212" s="156" t="str">
        <f>IFERROR(__xludf.DUMMYFUNCTION("""COMPUTED_VALUE"""),"")</f>
        <v/>
      </c>
      <c r="AJ212" s="157" t="str">
        <f>IFERROR(__xludf.DUMMYFUNCTION("""COMPUTED_VALUE"""),"")</f>
        <v/>
      </c>
      <c r="AK212" s="158" t="str">
        <f>IFERROR(__xludf.DUMMYFUNCTION("""COMPUTED_VALUE"""),"")</f>
        <v/>
      </c>
      <c r="AL212" s="157" t="str">
        <f>IFERROR(__xludf.DUMMYFUNCTION("""COMPUTED_VALUE"""),"")</f>
        <v/>
      </c>
      <c r="AM212" s="157">
        <f>IFERROR(__xludf.DUMMYFUNCTION("""COMPUTED_VALUE"""),101.6)</f>
        <v>101.6</v>
      </c>
      <c r="AN212" s="158" t="str">
        <f>IFERROR(__xludf.DUMMYFUNCTION("""COMPUTED_VALUE"""),"")</f>
        <v/>
      </c>
      <c r="AO212" s="157" t="str">
        <f>IFERROR(__xludf.DUMMYFUNCTION("""COMPUTED_VALUE"""),"")</f>
        <v/>
      </c>
      <c r="AP212" s="157" t="str">
        <f>IFERROR(__xludf.DUMMYFUNCTION("""COMPUTED_VALUE"""),"")</f>
        <v/>
      </c>
      <c r="AQ212" s="158" t="str">
        <f>IFERROR(__xludf.DUMMYFUNCTION("""COMPUTED_VALUE"""),"")</f>
        <v/>
      </c>
      <c r="AR212" s="157" t="str">
        <f>IFERROR(__xludf.DUMMYFUNCTION("""COMPUTED_VALUE"""),"")</f>
        <v/>
      </c>
      <c r="AS212" s="157" t="str">
        <f>IFERROR(__xludf.DUMMYFUNCTION("""COMPUTED_VALUE"""),"")</f>
        <v/>
      </c>
      <c r="AT212" s="158" t="str">
        <f>IFERROR(__xludf.DUMMYFUNCTION("""COMPUTED_VALUE"""),"")</f>
        <v/>
      </c>
      <c r="AU212" s="157" t="str">
        <f>IFERROR(__xludf.DUMMYFUNCTION("""COMPUTED_VALUE"""),"")</f>
        <v/>
      </c>
      <c r="AV212" s="157" t="str">
        <f>IFERROR(__xludf.DUMMYFUNCTION("""COMPUTED_VALUE"""),"")</f>
        <v/>
      </c>
      <c r="AW212" s="158">
        <f>IFERROR(__xludf.DUMMYFUNCTION("""COMPUTED_VALUE"""),65.4)</f>
        <v>65.4</v>
      </c>
      <c r="AX212" s="157" t="str">
        <f>IFERROR(__xludf.DUMMYFUNCTION("""COMPUTED_VALUE"""),"")</f>
        <v/>
      </c>
      <c r="AY212" s="157" t="str">
        <f>IFERROR(__xludf.DUMMYFUNCTION("""COMPUTED_VALUE"""),"")</f>
        <v/>
      </c>
      <c r="AZ212" s="158" t="str">
        <f>IFERROR(__xludf.DUMMYFUNCTION("""COMPUTED_VALUE"""),"")</f>
        <v/>
      </c>
      <c r="BA212" s="157" t="str">
        <f>IFERROR(__xludf.DUMMYFUNCTION("""COMPUTED_VALUE"""),"")</f>
        <v/>
      </c>
      <c r="BB212" s="157" t="str">
        <f>IFERROR(__xludf.DUMMYFUNCTION("""COMPUTED_VALUE"""),"")</f>
        <v/>
      </c>
      <c r="BC212" s="158" t="str">
        <f>IFERROR(__xludf.DUMMYFUNCTION("""COMPUTED_VALUE"""),"")</f>
        <v/>
      </c>
      <c r="BD212" s="157" t="str">
        <f>IFERROR(__xludf.DUMMYFUNCTION("""COMPUTED_VALUE"""),"")</f>
        <v/>
      </c>
      <c r="BE212" s="157" t="str">
        <f>IFERROR(__xludf.DUMMYFUNCTION("""COMPUTED_VALUE"""),"")</f>
        <v/>
      </c>
      <c r="BF212" s="158" t="str">
        <f>IFERROR(__xludf.DUMMYFUNCTION("""COMPUTED_VALUE"""),"")</f>
        <v/>
      </c>
      <c r="BG212" s="156" t="str">
        <f>IFERROR(__xludf.DUMMYFUNCTION("""COMPUTED_VALUE"""),"")</f>
        <v/>
      </c>
      <c r="BH212" s="157" t="str">
        <f>IFERROR(__xludf.DUMMYFUNCTION("""COMPUTED_VALUE"""),"")</f>
        <v/>
      </c>
      <c r="BI212" s="158" t="str">
        <f>IFERROR(__xludf.DUMMYFUNCTION("""COMPUTED_VALUE"""),"")</f>
        <v/>
      </c>
      <c r="BJ212" s="157" t="str">
        <f>IFERROR(__xludf.DUMMYFUNCTION("""COMPUTED_VALUE"""),"")</f>
        <v/>
      </c>
      <c r="BK212" s="157">
        <f>IFERROR(__xludf.DUMMYFUNCTION("""COMPUTED_VALUE"""),207.8)</f>
        <v>207.8</v>
      </c>
      <c r="BL212" s="158" t="str">
        <f>IFERROR(__xludf.DUMMYFUNCTION("""COMPUTED_VALUE"""),"")</f>
        <v/>
      </c>
      <c r="BM212" s="157" t="str">
        <f>IFERROR(__xludf.DUMMYFUNCTION("""COMPUTED_VALUE"""),"")</f>
        <v/>
      </c>
      <c r="BN212" s="157" t="str">
        <f>IFERROR(__xludf.DUMMYFUNCTION("""COMPUTED_VALUE"""),"")</f>
        <v/>
      </c>
      <c r="BO212" s="158" t="str">
        <f>IFERROR(__xludf.DUMMYFUNCTION("""COMPUTED_VALUE"""),"")</f>
        <v/>
      </c>
      <c r="BP212" s="157">
        <f>IFERROR(__xludf.DUMMYFUNCTION("""COMPUTED_VALUE"""),107.2)</f>
        <v>107.2</v>
      </c>
      <c r="BQ212" s="157" t="str">
        <f>IFERROR(__xludf.DUMMYFUNCTION("""COMPUTED_VALUE"""),"")</f>
        <v/>
      </c>
      <c r="BR212" s="158" t="str">
        <f>IFERROR(__xludf.DUMMYFUNCTION("""COMPUTED_VALUE"""),"")</f>
        <v/>
      </c>
      <c r="BS212" s="157" t="str">
        <f>IFERROR(__xludf.DUMMYFUNCTION("""COMPUTED_VALUE"""),"")</f>
        <v/>
      </c>
      <c r="BT212" s="157" t="str">
        <f>IFERROR(__xludf.DUMMYFUNCTION("""COMPUTED_VALUE"""),"")</f>
        <v/>
      </c>
      <c r="BU212" s="158" t="str">
        <f>IFERROR(__xludf.DUMMYFUNCTION("""COMPUTED_VALUE"""),"")</f>
        <v/>
      </c>
      <c r="BV212" s="157" t="str">
        <f>IFERROR(__xludf.DUMMYFUNCTION("""COMPUTED_VALUE"""),"")</f>
        <v/>
      </c>
      <c r="BW212" s="157" t="str">
        <f>IFERROR(__xludf.DUMMYFUNCTION("""COMPUTED_VALUE"""),"")</f>
        <v/>
      </c>
      <c r="BX212" s="158" t="str">
        <f>IFERROR(__xludf.DUMMYFUNCTION("""COMPUTED_VALUE"""),"")</f>
        <v/>
      </c>
      <c r="BY212" s="157" t="str">
        <f>IFERROR(__xludf.DUMMYFUNCTION("""COMPUTED_VALUE"""),"")</f>
        <v/>
      </c>
      <c r="BZ212" s="157" t="str">
        <f>IFERROR(__xludf.DUMMYFUNCTION("""COMPUTED_VALUE"""),"")</f>
        <v/>
      </c>
      <c r="CA212" s="158" t="str">
        <f>IFERROR(__xludf.DUMMYFUNCTION("""COMPUTED_VALUE"""),"")</f>
        <v/>
      </c>
      <c r="CB212" s="156" t="str">
        <f>IFERROR(__xludf.DUMMYFUNCTION("""COMPUTED_VALUE"""),"")</f>
        <v/>
      </c>
      <c r="CC212" s="157" t="str">
        <f>IFERROR(__xludf.DUMMYFUNCTION("""COMPUTED_VALUE"""),"")</f>
        <v/>
      </c>
      <c r="CD212" s="158" t="str">
        <f>IFERROR(__xludf.DUMMYFUNCTION("""COMPUTED_VALUE"""),"")</f>
        <v/>
      </c>
      <c r="CE212" s="157" t="str">
        <f>IFERROR(__xludf.DUMMYFUNCTION("""COMPUTED_VALUE"""),"")</f>
        <v/>
      </c>
      <c r="CF212" s="157" t="str">
        <f>IFERROR(__xludf.DUMMYFUNCTION("""COMPUTED_VALUE"""),"")</f>
        <v/>
      </c>
      <c r="CG212" s="158" t="str">
        <f>IFERROR(__xludf.DUMMYFUNCTION("""COMPUTED_VALUE"""),"")</f>
        <v/>
      </c>
      <c r="CH212" s="157" t="str">
        <f>IFERROR(__xludf.DUMMYFUNCTION("""COMPUTED_VALUE"""),"")</f>
        <v/>
      </c>
      <c r="CI212" s="157" t="str">
        <f>IFERROR(__xludf.DUMMYFUNCTION("""COMPUTED_VALUE"""),"")</f>
        <v/>
      </c>
      <c r="CJ212" s="158" t="str">
        <f>IFERROR(__xludf.DUMMYFUNCTION("""COMPUTED_VALUE"""),"")</f>
        <v/>
      </c>
      <c r="CK212" s="157" t="str">
        <f>IFERROR(__xludf.DUMMYFUNCTION("""COMPUTED_VALUE"""),"")</f>
        <v/>
      </c>
      <c r="CL212" s="157" t="str">
        <f>IFERROR(__xludf.DUMMYFUNCTION("""COMPUTED_VALUE"""),"")</f>
        <v/>
      </c>
      <c r="CM212" s="158" t="str">
        <f>IFERROR(__xludf.DUMMYFUNCTION("""COMPUTED_VALUE"""),"")</f>
        <v/>
      </c>
      <c r="CN212" s="157" t="str">
        <f>IFERROR(__xludf.DUMMYFUNCTION("""COMPUTED_VALUE"""),"")</f>
        <v/>
      </c>
      <c r="CO212" s="157" t="str">
        <f>IFERROR(__xludf.DUMMYFUNCTION("""COMPUTED_VALUE"""),"")</f>
        <v/>
      </c>
      <c r="CP212" s="158" t="str">
        <f>IFERROR(__xludf.DUMMYFUNCTION("""COMPUTED_VALUE"""),"")</f>
        <v/>
      </c>
      <c r="CQ212" s="157" t="str">
        <f>IFERROR(__xludf.DUMMYFUNCTION("""COMPUTED_VALUE"""),"")</f>
        <v/>
      </c>
      <c r="CR212" s="157" t="str">
        <f>IFERROR(__xludf.DUMMYFUNCTION("""COMPUTED_VALUE"""),"")</f>
        <v/>
      </c>
      <c r="CS212" s="158"/>
      <c r="CT212" s="157"/>
      <c r="CU212" s="157"/>
      <c r="CV212" s="158"/>
      <c r="CW212" s="157"/>
      <c r="CX212" s="157"/>
      <c r="CY212" s="158"/>
      <c r="CZ212" s="157"/>
      <c r="DA212" s="157"/>
      <c r="DB212" s="158"/>
      <c r="DC212" s="157"/>
      <c r="DD212" s="157"/>
      <c r="DE212" s="158"/>
      <c r="DF212" s="157"/>
      <c r="DG212" s="157"/>
      <c r="DH212" s="158"/>
      <c r="DI212" s="157"/>
      <c r="DJ212" s="157"/>
      <c r="DK212" s="158"/>
      <c r="DL212" s="157"/>
      <c r="DM212" s="157"/>
      <c r="DN212" s="158"/>
      <c r="DO212" s="157"/>
      <c r="DP212" s="157"/>
      <c r="DQ212" s="158"/>
      <c r="DR212" s="157"/>
      <c r="DS212" s="157"/>
      <c r="DT212" s="158"/>
    </row>
    <row r="213">
      <c r="B213" s="180" t="str">
        <f>IFERROR(__xludf.DUMMYFUNCTION("""COMPUTED_VALUE"""),"SIN6")</f>
        <v>SIN6</v>
      </c>
      <c r="C213">
        <f>IFERROR(__xludf.DUMMYFUNCTION("""COMPUTED_VALUE"""),210.0)</f>
        <v>210</v>
      </c>
      <c r="D213" s="178" t="str">
        <f>IFERROR(__xludf.DUMMYFUNCTION("""COMPUTED_VALUE"""),"Shanyang Hill")</f>
        <v>Shanyang Hill</v>
      </c>
      <c r="E213" s="83" t="str">
        <f>IFERROR(__xludf.DUMMYFUNCTION("""COMPUTED_VALUE"""),"山陽丘")</f>
        <v>山陽丘</v>
      </c>
      <c r="F213" s="179">
        <f>IFERROR(__xludf.DUMMYFUNCTION("""COMPUTED_VALUE"""),21.0)</f>
        <v>21</v>
      </c>
      <c r="G213" s="83">
        <f>IFERROR(__xludf.DUMMYFUNCTION("""COMPUTED_VALUE"""),5463.0)</f>
        <v>5463</v>
      </c>
      <c r="H213" s="95" t="str">
        <f>IFERROR(__xludf.DUMMYFUNCTION("""COMPUTED_VALUE"""),"")</f>
        <v/>
      </c>
      <c r="I213" s="96" t="str">
        <f>IFERROR(__xludf.DUMMYFUNCTION("""COMPUTED_VALUE"""),"")</f>
        <v/>
      </c>
      <c r="J213" s="97" t="str">
        <f>IFERROR(__xludf.DUMMYFUNCTION("""COMPUTED_VALUE"""),"")</f>
        <v/>
      </c>
      <c r="K213" s="95" t="str">
        <f>IFERROR(__xludf.DUMMYFUNCTION("""COMPUTED_VALUE"""),"")</f>
        <v/>
      </c>
      <c r="L213" s="96" t="str">
        <f>IFERROR(__xludf.DUMMYFUNCTION("""COMPUTED_VALUE"""),"")</f>
        <v/>
      </c>
      <c r="M213" s="97" t="str">
        <f>IFERROR(__xludf.DUMMYFUNCTION("""COMPUTED_VALUE"""),"")</f>
        <v/>
      </c>
      <c r="N213" s="95" t="str">
        <f>IFERROR(__xludf.DUMMYFUNCTION("""COMPUTED_VALUE"""),"")</f>
        <v/>
      </c>
      <c r="O213" s="96" t="str">
        <f>IFERROR(__xludf.DUMMYFUNCTION("""COMPUTED_VALUE"""),"")</f>
        <v/>
      </c>
      <c r="P213" s="97" t="str">
        <f>IFERROR(__xludf.DUMMYFUNCTION("""COMPUTED_VALUE"""),"")</f>
        <v/>
      </c>
      <c r="Q213" s="95" t="str">
        <f>IFERROR(__xludf.DUMMYFUNCTION("""COMPUTED_VALUE"""),"")</f>
        <v/>
      </c>
      <c r="R213" s="96" t="str">
        <f>IFERROR(__xludf.DUMMYFUNCTION("""COMPUTED_VALUE"""),"")</f>
        <v/>
      </c>
      <c r="S213" s="97" t="str">
        <f>IFERROR(__xludf.DUMMYFUNCTION("""COMPUTED_VALUE"""),"")</f>
        <v/>
      </c>
      <c r="T213" s="95">
        <f>IFERROR(__xludf.DUMMYFUNCTION("""COMPUTED_VALUE"""),138.4)</f>
        <v>138.4</v>
      </c>
      <c r="U213" s="96" t="str">
        <f>IFERROR(__xludf.DUMMYFUNCTION("""COMPUTED_VALUE"""),"")</f>
        <v/>
      </c>
      <c r="V213" s="97" t="str">
        <f>IFERROR(__xludf.DUMMYFUNCTION("""COMPUTED_VALUE"""),"")</f>
        <v/>
      </c>
      <c r="W213" s="95" t="str">
        <f>IFERROR(__xludf.DUMMYFUNCTION("""COMPUTED_VALUE"""),"")</f>
        <v/>
      </c>
      <c r="X213" s="96" t="str">
        <f>IFERROR(__xludf.DUMMYFUNCTION("""COMPUTED_VALUE"""),"")</f>
        <v/>
      </c>
      <c r="Y213" s="97" t="str">
        <f>IFERROR(__xludf.DUMMYFUNCTION("""COMPUTED_VALUE"""),"")</f>
        <v/>
      </c>
      <c r="Z213" s="95" t="str">
        <f>IFERROR(__xludf.DUMMYFUNCTION("""COMPUTED_VALUE"""),"")</f>
        <v/>
      </c>
      <c r="AA213" s="96" t="str">
        <f>IFERROR(__xludf.DUMMYFUNCTION("""COMPUTED_VALUE"""),"")</f>
        <v/>
      </c>
      <c r="AB213" s="97" t="str">
        <f>IFERROR(__xludf.DUMMYFUNCTION("""COMPUTED_VALUE"""),"")</f>
        <v/>
      </c>
      <c r="AC213" s="95" t="str">
        <f>IFERROR(__xludf.DUMMYFUNCTION("""COMPUTED_VALUE"""),"")</f>
        <v/>
      </c>
      <c r="AD213" s="96" t="str">
        <f>IFERROR(__xludf.DUMMYFUNCTION("""COMPUTED_VALUE"""),"")</f>
        <v/>
      </c>
      <c r="AE213" s="97" t="str">
        <f>IFERROR(__xludf.DUMMYFUNCTION("""COMPUTED_VALUE"""),"")</f>
        <v/>
      </c>
      <c r="AF213" s="95" t="str">
        <f>IFERROR(__xludf.DUMMYFUNCTION("""COMPUTED_VALUE"""),"")</f>
        <v/>
      </c>
      <c r="AG213" s="96" t="str">
        <f>IFERROR(__xludf.DUMMYFUNCTION("""COMPUTED_VALUE"""),"")</f>
        <v/>
      </c>
      <c r="AH213" s="97" t="str">
        <f>IFERROR(__xludf.DUMMYFUNCTION("""COMPUTED_VALUE"""),"")</f>
        <v/>
      </c>
      <c r="AI213" s="92" t="str">
        <f>IFERROR(__xludf.DUMMYFUNCTION("""COMPUTED_VALUE"""),"")</f>
        <v/>
      </c>
      <c r="AJ213" s="93" t="str">
        <f>IFERROR(__xludf.DUMMYFUNCTION("""COMPUTED_VALUE"""),"")</f>
        <v/>
      </c>
      <c r="AK213" s="94" t="str">
        <f>IFERROR(__xludf.DUMMYFUNCTION("""COMPUTED_VALUE"""),"")</f>
        <v/>
      </c>
      <c r="AL213" s="93" t="str">
        <f>IFERROR(__xludf.DUMMYFUNCTION("""COMPUTED_VALUE"""),"")</f>
        <v/>
      </c>
      <c r="AM213" s="93" t="str">
        <f>IFERROR(__xludf.DUMMYFUNCTION("""COMPUTED_VALUE"""),"")</f>
        <v/>
      </c>
      <c r="AN213" s="94" t="str">
        <f>IFERROR(__xludf.DUMMYFUNCTION("""COMPUTED_VALUE"""),"")</f>
        <v/>
      </c>
      <c r="AO213" s="93" t="str">
        <f>IFERROR(__xludf.DUMMYFUNCTION("""COMPUTED_VALUE"""),"")</f>
        <v/>
      </c>
      <c r="AP213" s="93" t="str">
        <f>IFERROR(__xludf.DUMMYFUNCTION("""COMPUTED_VALUE"""),"")</f>
        <v/>
      </c>
      <c r="AQ213" s="94" t="str">
        <f>IFERROR(__xludf.DUMMYFUNCTION("""COMPUTED_VALUE"""),"")</f>
        <v/>
      </c>
      <c r="AR213" s="93" t="str">
        <f>IFERROR(__xludf.DUMMYFUNCTION("""COMPUTED_VALUE"""),"")</f>
        <v/>
      </c>
      <c r="AS213" s="93" t="str">
        <f>IFERROR(__xludf.DUMMYFUNCTION("""COMPUTED_VALUE"""),"")</f>
        <v/>
      </c>
      <c r="AT213" s="94" t="str">
        <f>IFERROR(__xludf.DUMMYFUNCTION("""COMPUTED_VALUE"""),"")</f>
        <v/>
      </c>
      <c r="AU213" s="93" t="str">
        <f>IFERROR(__xludf.DUMMYFUNCTION("""COMPUTED_VALUE"""),"")</f>
        <v/>
      </c>
      <c r="AV213" s="93" t="str">
        <f>IFERROR(__xludf.DUMMYFUNCTION("""COMPUTED_VALUE"""),"")</f>
        <v/>
      </c>
      <c r="AW213" s="94">
        <f>IFERROR(__xludf.DUMMYFUNCTION("""COMPUTED_VALUE"""),71.9)</f>
        <v>71.9</v>
      </c>
      <c r="AX213" s="93" t="str">
        <f>IFERROR(__xludf.DUMMYFUNCTION("""COMPUTED_VALUE"""),"")</f>
        <v/>
      </c>
      <c r="AY213" s="93">
        <f>IFERROR(__xludf.DUMMYFUNCTION("""COMPUTED_VALUE"""),69.7)</f>
        <v>69.7</v>
      </c>
      <c r="AZ213" s="94" t="str">
        <f>IFERROR(__xludf.DUMMYFUNCTION("""COMPUTED_VALUE"""),"")</f>
        <v/>
      </c>
      <c r="BA213" s="93" t="str">
        <f>IFERROR(__xludf.DUMMYFUNCTION("""COMPUTED_VALUE"""),"")</f>
        <v/>
      </c>
      <c r="BB213" s="93" t="str">
        <f>IFERROR(__xludf.DUMMYFUNCTION("""COMPUTED_VALUE"""),"")</f>
        <v/>
      </c>
      <c r="BC213" s="94" t="str">
        <f>IFERROR(__xludf.DUMMYFUNCTION("""COMPUTED_VALUE"""),"")</f>
        <v/>
      </c>
      <c r="BD213" s="93" t="str">
        <f>IFERROR(__xludf.DUMMYFUNCTION("""COMPUTED_VALUE"""),"")</f>
        <v/>
      </c>
      <c r="BE213" s="93" t="str">
        <f>IFERROR(__xludf.DUMMYFUNCTION("""COMPUTED_VALUE"""),"")</f>
        <v/>
      </c>
      <c r="BF213" s="94" t="str">
        <f>IFERROR(__xludf.DUMMYFUNCTION("""COMPUTED_VALUE"""),"")</f>
        <v/>
      </c>
      <c r="BG213" s="92" t="str">
        <f>IFERROR(__xludf.DUMMYFUNCTION("""COMPUTED_VALUE"""),"")</f>
        <v/>
      </c>
      <c r="BH213" s="93" t="str">
        <f>IFERROR(__xludf.DUMMYFUNCTION("""COMPUTED_VALUE"""),"")</f>
        <v/>
      </c>
      <c r="BI213" s="94" t="str">
        <f>IFERROR(__xludf.DUMMYFUNCTION("""COMPUTED_VALUE"""),"")</f>
        <v/>
      </c>
      <c r="BJ213" s="93" t="str">
        <f>IFERROR(__xludf.DUMMYFUNCTION("""COMPUTED_VALUE"""),"")</f>
        <v/>
      </c>
      <c r="BK213" s="93">
        <f>IFERROR(__xludf.DUMMYFUNCTION("""COMPUTED_VALUE"""),172.4)</f>
        <v>172.4</v>
      </c>
      <c r="BL213" s="94" t="str">
        <f>IFERROR(__xludf.DUMMYFUNCTION("""COMPUTED_VALUE"""),"")</f>
        <v/>
      </c>
      <c r="BM213" s="93" t="str">
        <f>IFERROR(__xludf.DUMMYFUNCTION("""COMPUTED_VALUE"""),"")</f>
        <v/>
      </c>
      <c r="BN213" s="93" t="str">
        <f>IFERROR(__xludf.DUMMYFUNCTION("""COMPUTED_VALUE"""),"")</f>
        <v/>
      </c>
      <c r="BO213" s="94" t="str">
        <f>IFERROR(__xludf.DUMMYFUNCTION("""COMPUTED_VALUE"""),"")</f>
        <v/>
      </c>
      <c r="BP213" s="93" t="str">
        <f>IFERROR(__xludf.DUMMYFUNCTION("""COMPUTED_VALUE"""),"")</f>
        <v/>
      </c>
      <c r="BQ213" s="93" t="str">
        <f>IFERROR(__xludf.DUMMYFUNCTION("""COMPUTED_VALUE"""),"")</f>
        <v/>
      </c>
      <c r="BR213" s="94" t="str">
        <f>IFERROR(__xludf.DUMMYFUNCTION("""COMPUTED_VALUE"""),"")</f>
        <v/>
      </c>
      <c r="BS213" s="93">
        <f>IFERROR(__xludf.DUMMYFUNCTION("""COMPUTED_VALUE"""),82.2)</f>
        <v>82.2</v>
      </c>
      <c r="BT213" s="93" t="str">
        <f>IFERROR(__xludf.DUMMYFUNCTION("""COMPUTED_VALUE"""),"")</f>
        <v/>
      </c>
      <c r="BU213" s="94" t="str">
        <f>IFERROR(__xludf.DUMMYFUNCTION("""COMPUTED_VALUE"""),"")</f>
        <v/>
      </c>
      <c r="BV213" s="93" t="str">
        <f>IFERROR(__xludf.DUMMYFUNCTION("""COMPUTED_VALUE"""),"")</f>
        <v/>
      </c>
      <c r="BW213" s="93" t="str">
        <f>IFERROR(__xludf.DUMMYFUNCTION("""COMPUTED_VALUE"""),"")</f>
        <v/>
      </c>
      <c r="BX213" s="94" t="str">
        <f>IFERROR(__xludf.DUMMYFUNCTION("""COMPUTED_VALUE"""),"")</f>
        <v/>
      </c>
      <c r="BY213" s="93" t="str">
        <f>IFERROR(__xludf.DUMMYFUNCTION("""COMPUTED_VALUE"""),"")</f>
        <v/>
      </c>
      <c r="BZ213" s="93" t="str">
        <f>IFERROR(__xludf.DUMMYFUNCTION("""COMPUTED_VALUE"""),"")</f>
        <v/>
      </c>
      <c r="CA213" s="94" t="str">
        <f>IFERROR(__xludf.DUMMYFUNCTION("""COMPUTED_VALUE"""),"")</f>
        <v/>
      </c>
      <c r="CB213" s="92" t="str">
        <f>IFERROR(__xludf.DUMMYFUNCTION("""COMPUTED_VALUE"""),"")</f>
        <v/>
      </c>
      <c r="CC213" s="93" t="str">
        <f>IFERROR(__xludf.DUMMYFUNCTION("""COMPUTED_VALUE"""),"")</f>
        <v/>
      </c>
      <c r="CD213" s="94" t="str">
        <f>IFERROR(__xludf.DUMMYFUNCTION("""COMPUTED_VALUE"""),"")</f>
        <v/>
      </c>
      <c r="CE213" s="93" t="str">
        <f>IFERROR(__xludf.DUMMYFUNCTION("""COMPUTED_VALUE"""),"")</f>
        <v/>
      </c>
      <c r="CF213" s="93" t="str">
        <f>IFERROR(__xludf.DUMMYFUNCTION("""COMPUTED_VALUE"""),"")</f>
        <v/>
      </c>
      <c r="CG213" s="94" t="str">
        <f>IFERROR(__xludf.DUMMYFUNCTION("""COMPUTED_VALUE"""),"")</f>
        <v/>
      </c>
      <c r="CH213" s="93" t="str">
        <f>IFERROR(__xludf.DUMMYFUNCTION("""COMPUTED_VALUE"""),"")</f>
        <v/>
      </c>
      <c r="CI213" s="93" t="str">
        <f>IFERROR(__xludf.DUMMYFUNCTION("""COMPUTED_VALUE"""),"")</f>
        <v/>
      </c>
      <c r="CJ213" s="94" t="str">
        <f>IFERROR(__xludf.DUMMYFUNCTION("""COMPUTED_VALUE"""),"")</f>
        <v/>
      </c>
      <c r="CK213" s="93" t="str">
        <f>IFERROR(__xludf.DUMMYFUNCTION("""COMPUTED_VALUE"""),"")</f>
        <v/>
      </c>
      <c r="CL213" s="93" t="str">
        <f>IFERROR(__xludf.DUMMYFUNCTION("""COMPUTED_VALUE"""),"")</f>
        <v/>
      </c>
      <c r="CM213" s="94" t="str">
        <f>IFERROR(__xludf.DUMMYFUNCTION("""COMPUTED_VALUE"""),"")</f>
        <v/>
      </c>
      <c r="CN213" s="93" t="str">
        <f>IFERROR(__xludf.DUMMYFUNCTION("""COMPUTED_VALUE"""),"")</f>
        <v/>
      </c>
      <c r="CO213" s="93" t="str">
        <f>IFERROR(__xludf.DUMMYFUNCTION("""COMPUTED_VALUE"""),"")</f>
        <v/>
      </c>
      <c r="CP213" s="94" t="str">
        <f>IFERROR(__xludf.DUMMYFUNCTION("""COMPUTED_VALUE"""),"")</f>
        <v/>
      </c>
      <c r="CQ213" s="93" t="str">
        <f>IFERROR(__xludf.DUMMYFUNCTION("""COMPUTED_VALUE"""),"")</f>
        <v/>
      </c>
      <c r="CR213" s="93" t="str">
        <f>IFERROR(__xludf.DUMMYFUNCTION("""COMPUTED_VALUE"""),"")</f>
        <v/>
      </c>
      <c r="CS213" s="94"/>
      <c r="CT213" s="93"/>
      <c r="CU213" s="93"/>
      <c r="CV213" s="94"/>
      <c r="CW213" s="93"/>
      <c r="CX213" s="93"/>
      <c r="CY213" s="94"/>
      <c r="CZ213" s="93"/>
      <c r="DA213" s="93"/>
      <c r="DB213" s="94"/>
      <c r="DC213" s="93"/>
      <c r="DD213" s="93"/>
      <c r="DE213" s="94"/>
      <c r="DF213" s="93"/>
      <c r="DG213" s="93"/>
      <c r="DH213" s="94"/>
      <c r="DI213" s="93"/>
      <c r="DJ213" s="93"/>
      <c r="DK213" s="94"/>
      <c r="DL213" s="93"/>
      <c r="DM213" s="93"/>
      <c r="DN213" s="94"/>
      <c r="DO213" s="93"/>
      <c r="DP213" s="93"/>
      <c r="DQ213" s="94"/>
      <c r="DR213" s="93"/>
      <c r="DS213" s="93"/>
      <c r="DT213" s="94"/>
    </row>
    <row r="214">
      <c r="B214" s="180" t="str">
        <f>IFERROR(__xludf.DUMMYFUNCTION("""COMPUTED_VALUE"""),"SIN7")</f>
        <v>SIN7</v>
      </c>
      <c r="C214">
        <f>IFERROR(__xludf.DUMMYFUNCTION("""COMPUTED_VALUE"""),211.0)</f>
        <v>211</v>
      </c>
      <c r="D214" s="178" t="str">
        <f>IFERROR(__xludf.DUMMYFUNCTION("""COMPUTED_VALUE"""),"Prison Camp")</f>
        <v>Prison Camp</v>
      </c>
      <c r="E214" s="83" t="str">
        <f>IFERROR(__xludf.DUMMYFUNCTION("""COMPUTED_VALUE"""),"収容所")</f>
        <v>収容所</v>
      </c>
      <c r="F214" s="179">
        <f>IFERROR(__xludf.DUMMYFUNCTION("""COMPUTED_VALUE"""),21.0)</f>
        <v>21</v>
      </c>
      <c r="G214" s="83">
        <f>IFERROR(__xludf.DUMMYFUNCTION("""COMPUTED_VALUE"""),64594.0)</f>
        <v>64594</v>
      </c>
      <c r="H214" s="95" t="str">
        <f>IFERROR(__xludf.DUMMYFUNCTION("""COMPUTED_VALUE"""),"")</f>
        <v/>
      </c>
      <c r="I214" s="96" t="str">
        <f>IFERROR(__xludf.DUMMYFUNCTION("""COMPUTED_VALUE"""),"")</f>
        <v/>
      </c>
      <c r="J214" s="97" t="str">
        <f>IFERROR(__xludf.DUMMYFUNCTION("""COMPUTED_VALUE"""),"")</f>
        <v/>
      </c>
      <c r="K214" s="95" t="str">
        <f>IFERROR(__xludf.DUMMYFUNCTION("""COMPUTED_VALUE"""),"")</f>
        <v/>
      </c>
      <c r="L214" s="96" t="str">
        <f>IFERROR(__xludf.DUMMYFUNCTION("""COMPUTED_VALUE"""),"")</f>
        <v/>
      </c>
      <c r="M214" s="97" t="str">
        <f>IFERROR(__xludf.DUMMYFUNCTION("""COMPUTED_VALUE"""),"")</f>
        <v/>
      </c>
      <c r="N214" s="95" t="str">
        <f>IFERROR(__xludf.DUMMYFUNCTION("""COMPUTED_VALUE"""),"")</f>
        <v/>
      </c>
      <c r="O214" s="96" t="str">
        <f>IFERROR(__xludf.DUMMYFUNCTION("""COMPUTED_VALUE"""),"")</f>
        <v/>
      </c>
      <c r="P214" s="97" t="str">
        <f>IFERROR(__xludf.DUMMYFUNCTION("""COMPUTED_VALUE"""),"")</f>
        <v/>
      </c>
      <c r="Q214" s="95" t="str">
        <f>IFERROR(__xludf.DUMMYFUNCTION("""COMPUTED_VALUE"""),"")</f>
        <v/>
      </c>
      <c r="R214" s="96" t="str">
        <f>IFERROR(__xludf.DUMMYFUNCTION("""COMPUTED_VALUE"""),"")</f>
        <v/>
      </c>
      <c r="S214" s="97" t="str">
        <f>IFERROR(__xludf.DUMMYFUNCTION("""COMPUTED_VALUE"""),"")</f>
        <v/>
      </c>
      <c r="T214" s="95">
        <f>IFERROR(__xludf.DUMMYFUNCTION("""COMPUTED_VALUE"""),103.7)</f>
        <v>103.7</v>
      </c>
      <c r="U214" s="96" t="str">
        <f>IFERROR(__xludf.DUMMYFUNCTION("""COMPUTED_VALUE"""),"")</f>
        <v/>
      </c>
      <c r="V214" s="97" t="str">
        <f>IFERROR(__xludf.DUMMYFUNCTION("""COMPUTED_VALUE"""),"")</f>
        <v/>
      </c>
      <c r="W214" s="95" t="str">
        <f>IFERROR(__xludf.DUMMYFUNCTION("""COMPUTED_VALUE"""),"")</f>
        <v/>
      </c>
      <c r="X214" s="96" t="str">
        <f>IFERROR(__xludf.DUMMYFUNCTION("""COMPUTED_VALUE"""),"")</f>
        <v/>
      </c>
      <c r="Y214" s="97" t="str">
        <f>IFERROR(__xludf.DUMMYFUNCTION("""COMPUTED_VALUE"""),"")</f>
        <v/>
      </c>
      <c r="Z214" s="95" t="str">
        <f>IFERROR(__xludf.DUMMYFUNCTION("""COMPUTED_VALUE"""),"")</f>
        <v/>
      </c>
      <c r="AA214" s="96" t="str">
        <f>IFERROR(__xludf.DUMMYFUNCTION("""COMPUTED_VALUE"""),"")</f>
        <v/>
      </c>
      <c r="AB214" s="97" t="str">
        <f>IFERROR(__xludf.DUMMYFUNCTION("""COMPUTED_VALUE"""),"")</f>
        <v/>
      </c>
      <c r="AC214" s="95" t="str">
        <f>IFERROR(__xludf.DUMMYFUNCTION("""COMPUTED_VALUE"""),"")</f>
        <v/>
      </c>
      <c r="AD214" s="96" t="str">
        <f>IFERROR(__xludf.DUMMYFUNCTION("""COMPUTED_VALUE"""),"")</f>
        <v/>
      </c>
      <c r="AE214" s="97" t="str">
        <f>IFERROR(__xludf.DUMMYFUNCTION("""COMPUTED_VALUE"""),"")</f>
        <v/>
      </c>
      <c r="AF214" s="95" t="str">
        <f>IFERROR(__xludf.DUMMYFUNCTION("""COMPUTED_VALUE"""),"")</f>
        <v/>
      </c>
      <c r="AG214" s="96" t="str">
        <f>IFERROR(__xludf.DUMMYFUNCTION("""COMPUTED_VALUE"""),"")</f>
        <v/>
      </c>
      <c r="AH214" s="97" t="str">
        <f>IFERROR(__xludf.DUMMYFUNCTION("""COMPUTED_VALUE"""),"")</f>
        <v/>
      </c>
      <c r="AI214" s="156" t="str">
        <f>IFERROR(__xludf.DUMMYFUNCTION("""COMPUTED_VALUE"""),"")</f>
        <v/>
      </c>
      <c r="AJ214" s="157" t="str">
        <f>IFERROR(__xludf.DUMMYFUNCTION("""COMPUTED_VALUE"""),"")</f>
        <v/>
      </c>
      <c r="AK214" s="158" t="str">
        <f>IFERROR(__xludf.DUMMYFUNCTION("""COMPUTED_VALUE"""),"")</f>
        <v/>
      </c>
      <c r="AL214" s="157" t="str">
        <f>IFERROR(__xludf.DUMMYFUNCTION("""COMPUTED_VALUE"""),"")</f>
        <v/>
      </c>
      <c r="AM214" s="157" t="str">
        <f>IFERROR(__xludf.DUMMYFUNCTION("""COMPUTED_VALUE"""),"")</f>
        <v/>
      </c>
      <c r="AN214" s="158" t="str">
        <f>IFERROR(__xludf.DUMMYFUNCTION("""COMPUTED_VALUE"""),"")</f>
        <v/>
      </c>
      <c r="AO214" s="157">
        <f>IFERROR(__xludf.DUMMYFUNCTION("""COMPUTED_VALUE"""),83.1)</f>
        <v>83.1</v>
      </c>
      <c r="AP214" s="157" t="str">
        <f>IFERROR(__xludf.DUMMYFUNCTION("""COMPUTED_VALUE"""),"")</f>
        <v/>
      </c>
      <c r="AQ214" s="158" t="str">
        <f>IFERROR(__xludf.DUMMYFUNCTION("""COMPUTED_VALUE"""),"")</f>
        <v/>
      </c>
      <c r="AR214" s="157" t="str">
        <f>IFERROR(__xludf.DUMMYFUNCTION("""COMPUTED_VALUE"""),"")</f>
        <v/>
      </c>
      <c r="AS214" s="157" t="str">
        <f>IFERROR(__xludf.DUMMYFUNCTION("""COMPUTED_VALUE"""),"")</f>
        <v/>
      </c>
      <c r="AT214" s="158" t="str">
        <f>IFERROR(__xludf.DUMMYFUNCTION("""COMPUTED_VALUE"""),"")</f>
        <v/>
      </c>
      <c r="AU214" s="143" t="str">
        <f>IFERROR(__xludf.DUMMYFUNCTION("""COMPUTED_VALUE"""),"")</f>
        <v/>
      </c>
      <c r="AV214" s="157" t="str">
        <f>IFERROR(__xludf.DUMMYFUNCTION("""COMPUTED_VALUE"""),"")</f>
        <v/>
      </c>
      <c r="AW214" s="158" t="str">
        <f>IFERROR(__xludf.DUMMYFUNCTION("""COMPUTED_VALUE"""),"")</f>
        <v/>
      </c>
      <c r="AX214" s="157" t="str">
        <f>IFERROR(__xludf.DUMMYFUNCTION("""COMPUTED_VALUE"""),"")</f>
        <v/>
      </c>
      <c r="AY214" s="157" t="str">
        <f>IFERROR(__xludf.DUMMYFUNCTION("""COMPUTED_VALUE"""),"")</f>
        <v/>
      </c>
      <c r="AZ214" s="158" t="str">
        <f>IFERROR(__xludf.DUMMYFUNCTION("""COMPUTED_VALUE"""),"")</f>
        <v/>
      </c>
      <c r="BA214" s="157" t="str">
        <f>IFERROR(__xludf.DUMMYFUNCTION("""COMPUTED_VALUE"""),"")</f>
        <v/>
      </c>
      <c r="BB214" s="157" t="str">
        <f>IFERROR(__xludf.DUMMYFUNCTION("""COMPUTED_VALUE"""),"")</f>
        <v/>
      </c>
      <c r="BC214" s="158" t="str">
        <f>IFERROR(__xludf.DUMMYFUNCTION("""COMPUTED_VALUE"""),"")</f>
        <v/>
      </c>
      <c r="BD214" s="157" t="str">
        <f>IFERROR(__xludf.DUMMYFUNCTION("""COMPUTED_VALUE"""),"")</f>
        <v/>
      </c>
      <c r="BE214" s="157" t="str">
        <f>IFERROR(__xludf.DUMMYFUNCTION("""COMPUTED_VALUE"""),"")</f>
        <v/>
      </c>
      <c r="BF214" s="158" t="str">
        <f>IFERROR(__xludf.DUMMYFUNCTION("""COMPUTED_VALUE"""),"")</f>
        <v/>
      </c>
      <c r="BG214" s="156" t="str">
        <f>IFERROR(__xludf.DUMMYFUNCTION("""COMPUTED_VALUE"""),"")</f>
        <v/>
      </c>
      <c r="BH214" s="157" t="str">
        <f>IFERROR(__xludf.DUMMYFUNCTION("""COMPUTED_VALUE"""),"")</f>
        <v/>
      </c>
      <c r="BI214" s="158" t="str">
        <f>IFERROR(__xludf.DUMMYFUNCTION("""COMPUTED_VALUE"""),"")</f>
        <v/>
      </c>
      <c r="BJ214" s="157" t="str">
        <f>IFERROR(__xludf.DUMMYFUNCTION("""COMPUTED_VALUE"""),"")</f>
        <v/>
      </c>
      <c r="BK214" s="157">
        <f>IFERROR(__xludf.DUMMYFUNCTION("""COMPUTED_VALUE"""),141.0)</f>
        <v>141</v>
      </c>
      <c r="BL214" s="108" t="str">
        <f>IFERROR(__xludf.DUMMYFUNCTION("""COMPUTED_VALUE"""),"")</f>
        <v/>
      </c>
      <c r="BM214" s="157" t="str">
        <f>IFERROR(__xludf.DUMMYFUNCTION("""COMPUTED_VALUE"""),"")</f>
        <v/>
      </c>
      <c r="BN214" s="157" t="str">
        <f>IFERROR(__xludf.DUMMYFUNCTION("""COMPUTED_VALUE"""),"")</f>
        <v/>
      </c>
      <c r="BO214" s="158">
        <f>IFERROR(__xludf.DUMMYFUNCTION("""COMPUTED_VALUE"""),103.8)</f>
        <v>103.8</v>
      </c>
      <c r="BP214" s="157" t="str">
        <f>IFERROR(__xludf.DUMMYFUNCTION("""COMPUTED_VALUE"""),"")</f>
        <v/>
      </c>
      <c r="BQ214" s="157" t="str">
        <f>IFERROR(__xludf.DUMMYFUNCTION("""COMPUTED_VALUE"""),"")</f>
        <v/>
      </c>
      <c r="BR214" s="158" t="str">
        <f>IFERROR(__xludf.DUMMYFUNCTION("""COMPUTED_VALUE"""),"")</f>
        <v/>
      </c>
      <c r="BS214" s="157" t="str">
        <f>IFERROR(__xludf.DUMMYFUNCTION("""COMPUTED_VALUE"""),"")</f>
        <v/>
      </c>
      <c r="BT214" s="157" t="str">
        <f>IFERROR(__xludf.DUMMYFUNCTION("""COMPUTED_VALUE"""),"")</f>
        <v/>
      </c>
      <c r="BU214" s="158" t="str">
        <f>IFERROR(__xludf.DUMMYFUNCTION("""COMPUTED_VALUE"""),"")</f>
        <v/>
      </c>
      <c r="BV214" s="157" t="str">
        <f>IFERROR(__xludf.DUMMYFUNCTION("""COMPUTED_VALUE"""),"")</f>
        <v/>
      </c>
      <c r="BW214" s="157" t="str">
        <f>IFERROR(__xludf.DUMMYFUNCTION("""COMPUTED_VALUE"""),"")</f>
        <v/>
      </c>
      <c r="BX214" s="158" t="str">
        <f>IFERROR(__xludf.DUMMYFUNCTION("""COMPUTED_VALUE"""),"")</f>
        <v/>
      </c>
      <c r="BY214" s="157" t="str">
        <f>IFERROR(__xludf.DUMMYFUNCTION("""COMPUTED_VALUE"""),"")</f>
        <v/>
      </c>
      <c r="BZ214" s="157" t="str">
        <f>IFERROR(__xludf.DUMMYFUNCTION("""COMPUTED_VALUE"""),"")</f>
        <v/>
      </c>
      <c r="CA214" s="158" t="str">
        <f>IFERROR(__xludf.DUMMYFUNCTION("""COMPUTED_VALUE"""),"")</f>
        <v/>
      </c>
      <c r="CB214" s="156" t="str">
        <f>IFERROR(__xludf.DUMMYFUNCTION("""COMPUTED_VALUE"""),"")</f>
        <v/>
      </c>
      <c r="CC214" s="157" t="str">
        <f>IFERROR(__xludf.DUMMYFUNCTION("""COMPUTED_VALUE"""),"")</f>
        <v/>
      </c>
      <c r="CD214" s="158" t="str">
        <f>IFERROR(__xludf.DUMMYFUNCTION("""COMPUTED_VALUE"""),"")</f>
        <v/>
      </c>
      <c r="CE214" s="157" t="str">
        <f>IFERROR(__xludf.DUMMYFUNCTION("""COMPUTED_VALUE"""),"")</f>
        <v/>
      </c>
      <c r="CF214" s="157" t="str">
        <f>IFERROR(__xludf.DUMMYFUNCTION("""COMPUTED_VALUE"""),"")</f>
        <v/>
      </c>
      <c r="CG214" s="108" t="str">
        <f>IFERROR(__xludf.DUMMYFUNCTION("""COMPUTED_VALUE"""),"")</f>
        <v/>
      </c>
      <c r="CH214" s="157" t="str">
        <f>IFERROR(__xludf.DUMMYFUNCTION("""COMPUTED_VALUE"""),"")</f>
        <v/>
      </c>
      <c r="CI214" s="157" t="str">
        <f>IFERROR(__xludf.DUMMYFUNCTION("""COMPUTED_VALUE"""),"")</f>
        <v/>
      </c>
      <c r="CJ214" s="158" t="str">
        <f>IFERROR(__xludf.DUMMYFUNCTION("""COMPUTED_VALUE"""),"")</f>
        <v/>
      </c>
      <c r="CK214" s="157" t="str">
        <f>IFERROR(__xludf.DUMMYFUNCTION("""COMPUTED_VALUE"""),"")</f>
        <v/>
      </c>
      <c r="CL214" s="157" t="str">
        <f>IFERROR(__xludf.DUMMYFUNCTION("""COMPUTED_VALUE"""),"")</f>
        <v/>
      </c>
      <c r="CM214" s="158" t="str">
        <f>IFERROR(__xludf.DUMMYFUNCTION("""COMPUTED_VALUE"""),"")</f>
        <v/>
      </c>
      <c r="CN214" s="157" t="str">
        <f>IFERROR(__xludf.DUMMYFUNCTION("""COMPUTED_VALUE"""),"")</f>
        <v/>
      </c>
      <c r="CO214" s="157" t="str">
        <f>IFERROR(__xludf.DUMMYFUNCTION("""COMPUTED_VALUE"""),"")</f>
        <v/>
      </c>
      <c r="CP214" s="158" t="str">
        <f>IFERROR(__xludf.DUMMYFUNCTION("""COMPUTED_VALUE"""),"")</f>
        <v/>
      </c>
      <c r="CQ214" s="157" t="str">
        <f>IFERROR(__xludf.DUMMYFUNCTION("""COMPUTED_VALUE"""),"")</f>
        <v/>
      </c>
      <c r="CR214" s="157" t="str">
        <f>IFERROR(__xludf.DUMMYFUNCTION("""COMPUTED_VALUE"""),"")</f>
        <v/>
      </c>
      <c r="CS214" s="158"/>
      <c r="CT214" s="157"/>
      <c r="CU214" s="157"/>
      <c r="CV214" s="158"/>
      <c r="CW214" s="157"/>
      <c r="CX214" s="157"/>
      <c r="CY214" s="158"/>
      <c r="CZ214" s="157"/>
      <c r="DA214" s="157"/>
      <c r="DB214" s="158"/>
      <c r="DC214" s="157"/>
      <c r="DD214" s="157"/>
      <c r="DE214" s="158"/>
      <c r="DF214" s="157"/>
      <c r="DG214" s="157"/>
      <c r="DH214" s="158"/>
      <c r="DI214" s="157"/>
      <c r="DJ214" s="157"/>
      <c r="DK214" s="158"/>
      <c r="DL214" s="157"/>
      <c r="DM214" s="157"/>
      <c r="DN214" s="158"/>
      <c r="DO214" s="157"/>
      <c r="DP214" s="157"/>
      <c r="DQ214" s="158"/>
      <c r="DR214" s="157"/>
      <c r="DS214" s="157"/>
      <c r="DT214" s="158"/>
    </row>
    <row r="215">
      <c r="B215" s="180" t="str">
        <f>IFERROR(__xludf.DUMMYFUNCTION("""COMPUTED_VALUE"""),"SIN8")</f>
        <v>SIN8</v>
      </c>
      <c r="C215">
        <f>IFERROR(__xludf.DUMMYFUNCTION("""COMPUTED_VALUE"""),212.0)</f>
        <v>212</v>
      </c>
      <c r="D215" s="178" t="str">
        <f>IFERROR(__xludf.DUMMYFUNCTION("""COMPUTED_VALUE"""),"Shiquan Canyon")</f>
        <v>Shiquan Canyon</v>
      </c>
      <c r="E215" s="83" t="str">
        <f>IFERROR(__xludf.DUMMYFUNCTION("""COMPUTED_VALUE"""),"石泉峡")</f>
        <v>石泉峡</v>
      </c>
      <c r="F215" s="179">
        <f>IFERROR(__xludf.DUMMYFUNCTION("""COMPUTED_VALUE"""),21.0)</f>
        <v>21</v>
      </c>
      <c r="G215" s="83">
        <f>IFERROR(__xludf.DUMMYFUNCTION("""COMPUTED_VALUE"""),12318.0)</f>
        <v>12318</v>
      </c>
      <c r="H215" s="95" t="str">
        <f>IFERROR(__xludf.DUMMYFUNCTION("""COMPUTED_VALUE"""),"")</f>
        <v/>
      </c>
      <c r="I215" s="96" t="str">
        <f>IFERROR(__xludf.DUMMYFUNCTION("""COMPUTED_VALUE"""),"")</f>
        <v/>
      </c>
      <c r="J215" s="97" t="str">
        <f>IFERROR(__xludf.DUMMYFUNCTION("""COMPUTED_VALUE"""),"")</f>
        <v/>
      </c>
      <c r="K215" s="95" t="str">
        <f>IFERROR(__xludf.DUMMYFUNCTION("""COMPUTED_VALUE"""),"")</f>
        <v/>
      </c>
      <c r="L215" s="96" t="str">
        <f>IFERROR(__xludf.DUMMYFUNCTION("""COMPUTED_VALUE"""),"")</f>
        <v/>
      </c>
      <c r="M215" s="97" t="str">
        <f>IFERROR(__xludf.DUMMYFUNCTION("""COMPUTED_VALUE"""),"")</f>
        <v/>
      </c>
      <c r="N215" s="95" t="str">
        <f>IFERROR(__xludf.DUMMYFUNCTION("""COMPUTED_VALUE"""),"")</f>
        <v/>
      </c>
      <c r="O215" s="96" t="str">
        <f>IFERROR(__xludf.DUMMYFUNCTION("""COMPUTED_VALUE"""),"")</f>
        <v/>
      </c>
      <c r="P215" s="97" t="str">
        <f>IFERROR(__xludf.DUMMYFUNCTION("""COMPUTED_VALUE"""),"")</f>
        <v/>
      </c>
      <c r="Q215" s="95" t="str">
        <f>IFERROR(__xludf.DUMMYFUNCTION("""COMPUTED_VALUE"""),"")</f>
        <v/>
      </c>
      <c r="R215" s="96" t="str">
        <f>IFERROR(__xludf.DUMMYFUNCTION("""COMPUTED_VALUE"""),"")</f>
        <v/>
      </c>
      <c r="S215" s="97" t="str">
        <f>IFERROR(__xludf.DUMMYFUNCTION("""COMPUTED_VALUE"""),"")</f>
        <v/>
      </c>
      <c r="T215" s="95">
        <f>IFERROR(__xludf.DUMMYFUNCTION("""COMPUTED_VALUE"""),105.0)</f>
        <v>105</v>
      </c>
      <c r="U215" s="96" t="str">
        <f>IFERROR(__xludf.DUMMYFUNCTION("""COMPUTED_VALUE"""),"")</f>
        <v/>
      </c>
      <c r="V215" s="97" t="str">
        <f>IFERROR(__xludf.DUMMYFUNCTION("""COMPUTED_VALUE"""),"")</f>
        <v/>
      </c>
      <c r="W215" s="95" t="str">
        <f>IFERROR(__xludf.DUMMYFUNCTION("""COMPUTED_VALUE"""),"")</f>
        <v/>
      </c>
      <c r="X215" s="96" t="str">
        <f>IFERROR(__xludf.DUMMYFUNCTION("""COMPUTED_VALUE"""),"")</f>
        <v/>
      </c>
      <c r="Y215" s="97" t="str">
        <f>IFERROR(__xludf.DUMMYFUNCTION("""COMPUTED_VALUE"""),"")</f>
        <v/>
      </c>
      <c r="Z215" s="95" t="str">
        <f>IFERROR(__xludf.DUMMYFUNCTION("""COMPUTED_VALUE"""),"")</f>
        <v/>
      </c>
      <c r="AA215" s="96" t="str">
        <f>IFERROR(__xludf.DUMMYFUNCTION("""COMPUTED_VALUE"""),"")</f>
        <v/>
      </c>
      <c r="AB215" s="97" t="str">
        <f>IFERROR(__xludf.DUMMYFUNCTION("""COMPUTED_VALUE"""),"")</f>
        <v/>
      </c>
      <c r="AC215" s="95" t="str">
        <f>IFERROR(__xludf.DUMMYFUNCTION("""COMPUTED_VALUE"""),"")</f>
        <v/>
      </c>
      <c r="AD215" s="96" t="str">
        <f>IFERROR(__xludf.DUMMYFUNCTION("""COMPUTED_VALUE"""),"")</f>
        <v/>
      </c>
      <c r="AE215" s="97">
        <f>IFERROR(__xludf.DUMMYFUNCTION("""COMPUTED_VALUE"""),69.7)</f>
        <v>69.7</v>
      </c>
      <c r="AF215" s="95" t="str">
        <f>IFERROR(__xludf.DUMMYFUNCTION("""COMPUTED_VALUE"""),"")</f>
        <v/>
      </c>
      <c r="AG215" s="96" t="str">
        <f>IFERROR(__xludf.DUMMYFUNCTION("""COMPUTED_VALUE"""),"")</f>
        <v/>
      </c>
      <c r="AH215" s="97" t="str">
        <f>IFERROR(__xludf.DUMMYFUNCTION("""COMPUTED_VALUE"""),"")</f>
        <v/>
      </c>
      <c r="AI215" s="92" t="str">
        <f>IFERROR(__xludf.DUMMYFUNCTION("""COMPUTED_VALUE"""),"")</f>
        <v/>
      </c>
      <c r="AJ215" s="93" t="str">
        <f>IFERROR(__xludf.DUMMYFUNCTION("""COMPUTED_VALUE"""),"")</f>
        <v/>
      </c>
      <c r="AK215" s="94" t="str">
        <f>IFERROR(__xludf.DUMMYFUNCTION("""COMPUTED_VALUE"""),"")</f>
        <v/>
      </c>
      <c r="AL215" s="93" t="str">
        <f>IFERROR(__xludf.DUMMYFUNCTION("""COMPUTED_VALUE"""),"")</f>
        <v/>
      </c>
      <c r="AM215" s="93" t="str">
        <f>IFERROR(__xludf.DUMMYFUNCTION("""COMPUTED_VALUE"""),"")</f>
        <v/>
      </c>
      <c r="AN215" s="94" t="str">
        <f>IFERROR(__xludf.DUMMYFUNCTION("""COMPUTED_VALUE"""),"")</f>
        <v/>
      </c>
      <c r="AO215" s="93" t="str">
        <f>IFERROR(__xludf.DUMMYFUNCTION("""COMPUTED_VALUE"""),"")</f>
        <v/>
      </c>
      <c r="AP215" s="93" t="str">
        <f>IFERROR(__xludf.DUMMYFUNCTION("""COMPUTED_VALUE"""),"")</f>
        <v/>
      </c>
      <c r="AQ215" s="94" t="str">
        <f>IFERROR(__xludf.DUMMYFUNCTION("""COMPUTED_VALUE"""),"")</f>
        <v/>
      </c>
      <c r="AR215" s="93" t="str">
        <f>IFERROR(__xludf.DUMMYFUNCTION("""COMPUTED_VALUE"""),"")</f>
        <v/>
      </c>
      <c r="AS215" s="93" t="str">
        <f>IFERROR(__xludf.DUMMYFUNCTION("""COMPUTED_VALUE"""),"")</f>
        <v/>
      </c>
      <c r="AT215" s="94" t="str">
        <f>IFERROR(__xludf.DUMMYFUNCTION("""COMPUTED_VALUE"""),"")</f>
        <v/>
      </c>
      <c r="AU215" s="140" t="str">
        <f>IFERROR(__xludf.DUMMYFUNCTION("""COMPUTED_VALUE"""),"")</f>
        <v/>
      </c>
      <c r="AV215" s="93" t="str">
        <f>IFERROR(__xludf.DUMMYFUNCTION("""COMPUTED_VALUE"""),"")</f>
        <v/>
      </c>
      <c r="AW215" s="94" t="str">
        <f>IFERROR(__xludf.DUMMYFUNCTION("""COMPUTED_VALUE"""),"")</f>
        <v/>
      </c>
      <c r="AX215" s="93" t="str">
        <f>IFERROR(__xludf.DUMMYFUNCTION("""COMPUTED_VALUE"""),"")</f>
        <v/>
      </c>
      <c r="AY215" s="93" t="str">
        <f>IFERROR(__xludf.DUMMYFUNCTION("""COMPUTED_VALUE"""),"")</f>
        <v/>
      </c>
      <c r="AZ215" s="94" t="str">
        <f>IFERROR(__xludf.DUMMYFUNCTION("""COMPUTED_VALUE"""),"")</f>
        <v/>
      </c>
      <c r="BA215" s="93" t="str">
        <f>IFERROR(__xludf.DUMMYFUNCTION("""COMPUTED_VALUE"""),"")</f>
        <v/>
      </c>
      <c r="BB215" s="93" t="str">
        <f>IFERROR(__xludf.DUMMYFUNCTION("""COMPUTED_VALUE"""),"")</f>
        <v/>
      </c>
      <c r="BC215" s="94" t="str">
        <f>IFERROR(__xludf.DUMMYFUNCTION("""COMPUTED_VALUE"""),"")</f>
        <v/>
      </c>
      <c r="BD215" s="93" t="str">
        <f>IFERROR(__xludf.DUMMYFUNCTION("""COMPUTED_VALUE"""),"")</f>
        <v/>
      </c>
      <c r="BE215" s="93" t="str">
        <f>IFERROR(__xludf.DUMMYFUNCTION("""COMPUTED_VALUE"""),"")</f>
        <v/>
      </c>
      <c r="BF215" s="94" t="str">
        <f>IFERROR(__xludf.DUMMYFUNCTION("""COMPUTED_VALUE"""),"")</f>
        <v/>
      </c>
      <c r="BG215" s="92" t="str">
        <f>IFERROR(__xludf.DUMMYFUNCTION("""COMPUTED_VALUE"""),"")</f>
        <v/>
      </c>
      <c r="BH215" s="93" t="str">
        <f>IFERROR(__xludf.DUMMYFUNCTION("""COMPUTED_VALUE"""),"")</f>
        <v/>
      </c>
      <c r="BI215" s="94" t="str">
        <f>IFERROR(__xludf.DUMMYFUNCTION("""COMPUTED_VALUE"""),"")</f>
        <v/>
      </c>
      <c r="BJ215" s="93" t="str">
        <f>IFERROR(__xludf.DUMMYFUNCTION("""COMPUTED_VALUE"""),"")</f>
        <v/>
      </c>
      <c r="BK215" s="93">
        <f>IFERROR(__xludf.DUMMYFUNCTION("""COMPUTED_VALUE"""),107.8)</f>
        <v>107.8</v>
      </c>
      <c r="BL215" s="94" t="str">
        <f>IFERROR(__xludf.DUMMYFUNCTION("""COMPUTED_VALUE"""),"")</f>
        <v/>
      </c>
      <c r="BM215" s="93" t="str">
        <f>IFERROR(__xludf.DUMMYFUNCTION("""COMPUTED_VALUE"""),"")</f>
        <v/>
      </c>
      <c r="BN215" s="93" t="str">
        <f>IFERROR(__xludf.DUMMYFUNCTION("""COMPUTED_VALUE"""),"")</f>
        <v/>
      </c>
      <c r="BO215" s="94" t="str">
        <f>IFERROR(__xludf.DUMMYFUNCTION("""COMPUTED_VALUE"""),"")</f>
        <v/>
      </c>
      <c r="BP215" s="93" t="str">
        <f>IFERROR(__xludf.DUMMYFUNCTION("""COMPUTED_VALUE"""),"")</f>
        <v/>
      </c>
      <c r="BQ215" s="93" t="str">
        <f>IFERROR(__xludf.DUMMYFUNCTION("""COMPUTED_VALUE"""),"")</f>
        <v/>
      </c>
      <c r="BR215" s="94" t="str">
        <f>IFERROR(__xludf.DUMMYFUNCTION("""COMPUTED_VALUE"""),"")</f>
        <v/>
      </c>
      <c r="BS215" s="93" t="str">
        <f>IFERROR(__xludf.DUMMYFUNCTION("""COMPUTED_VALUE"""),"")</f>
        <v/>
      </c>
      <c r="BT215" s="93">
        <f>IFERROR(__xludf.DUMMYFUNCTION("""COMPUTED_VALUE"""),82.0)</f>
        <v>82</v>
      </c>
      <c r="BU215" s="94" t="str">
        <f>IFERROR(__xludf.DUMMYFUNCTION("""COMPUTED_VALUE"""),"")</f>
        <v/>
      </c>
      <c r="BV215" s="93" t="str">
        <f>IFERROR(__xludf.DUMMYFUNCTION("""COMPUTED_VALUE"""),"")</f>
        <v/>
      </c>
      <c r="BW215" s="93" t="str">
        <f>IFERROR(__xludf.DUMMYFUNCTION("""COMPUTED_VALUE"""),"")</f>
        <v/>
      </c>
      <c r="BX215" s="94" t="str">
        <f>IFERROR(__xludf.DUMMYFUNCTION("""COMPUTED_VALUE"""),"")</f>
        <v/>
      </c>
      <c r="BY215" s="93" t="str">
        <f>IFERROR(__xludf.DUMMYFUNCTION("""COMPUTED_VALUE"""),"")</f>
        <v/>
      </c>
      <c r="BZ215" s="93" t="str">
        <f>IFERROR(__xludf.DUMMYFUNCTION("""COMPUTED_VALUE"""),"")</f>
        <v/>
      </c>
      <c r="CA215" s="94" t="str">
        <f>IFERROR(__xludf.DUMMYFUNCTION("""COMPUTED_VALUE"""),"")</f>
        <v/>
      </c>
      <c r="CB215" s="92" t="str">
        <f>IFERROR(__xludf.DUMMYFUNCTION("""COMPUTED_VALUE"""),"")</f>
        <v/>
      </c>
      <c r="CC215" s="93" t="str">
        <f>IFERROR(__xludf.DUMMYFUNCTION("""COMPUTED_VALUE"""),"")</f>
        <v/>
      </c>
      <c r="CD215" s="94" t="str">
        <f>IFERROR(__xludf.DUMMYFUNCTION("""COMPUTED_VALUE"""),"")</f>
        <v/>
      </c>
      <c r="CE215" s="93" t="str">
        <f>IFERROR(__xludf.DUMMYFUNCTION("""COMPUTED_VALUE"""),"")</f>
        <v/>
      </c>
      <c r="CF215" s="93" t="str">
        <f>IFERROR(__xludf.DUMMYFUNCTION("""COMPUTED_VALUE"""),"")</f>
        <v/>
      </c>
      <c r="CG215" s="94" t="str">
        <f>IFERROR(__xludf.DUMMYFUNCTION("""COMPUTED_VALUE"""),"")</f>
        <v/>
      </c>
      <c r="CH215" s="93" t="str">
        <f>IFERROR(__xludf.DUMMYFUNCTION("""COMPUTED_VALUE"""),"")</f>
        <v/>
      </c>
      <c r="CI215" s="93" t="str">
        <f>IFERROR(__xludf.DUMMYFUNCTION("""COMPUTED_VALUE"""),"")</f>
        <v/>
      </c>
      <c r="CJ215" s="94" t="str">
        <f>IFERROR(__xludf.DUMMYFUNCTION("""COMPUTED_VALUE"""),"")</f>
        <v/>
      </c>
      <c r="CK215" s="93" t="str">
        <f>IFERROR(__xludf.DUMMYFUNCTION("""COMPUTED_VALUE"""),"")</f>
        <v/>
      </c>
      <c r="CL215" s="93" t="str">
        <f>IFERROR(__xludf.DUMMYFUNCTION("""COMPUTED_VALUE"""),"")</f>
        <v/>
      </c>
      <c r="CM215" s="94" t="str">
        <f>IFERROR(__xludf.DUMMYFUNCTION("""COMPUTED_VALUE"""),"")</f>
        <v/>
      </c>
      <c r="CN215" s="93" t="str">
        <f>IFERROR(__xludf.DUMMYFUNCTION("""COMPUTED_VALUE"""),"")</f>
        <v/>
      </c>
      <c r="CO215" s="93" t="str">
        <f>IFERROR(__xludf.DUMMYFUNCTION("""COMPUTED_VALUE"""),"")</f>
        <v/>
      </c>
      <c r="CP215" s="94" t="str">
        <f>IFERROR(__xludf.DUMMYFUNCTION("""COMPUTED_VALUE"""),"")</f>
        <v/>
      </c>
      <c r="CQ215" s="93" t="str">
        <f>IFERROR(__xludf.DUMMYFUNCTION("""COMPUTED_VALUE"""),"")</f>
        <v/>
      </c>
      <c r="CR215" s="93" t="str">
        <f>IFERROR(__xludf.DUMMYFUNCTION("""COMPUTED_VALUE"""),"")</f>
        <v/>
      </c>
      <c r="CS215" s="94"/>
      <c r="CT215" s="93"/>
      <c r="CU215" s="93"/>
      <c r="CV215" s="94"/>
      <c r="CW215" s="93"/>
      <c r="CX215" s="93"/>
      <c r="CY215" s="94"/>
      <c r="CZ215" s="93"/>
      <c r="DA215" s="93"/>
      <c r="DB215" s="94"/>
      <c r="DC215" s="93"/>
      <c r="DD215" s="93"/>
      <c r="DE215" s="94"/>
      <c r="DF215" s="93"/>
      <c r="DG215" s="93"/>
      <c r="DH215" s="94"/>
      <c r="DI215" s="93"/>
      <c r="DJ215" s="93"/>
      <c r="DK215" s="94"/>
      <c r="DL215" s="93"/>
      <c r="DM215" s="93"/>
      <c r="DN215" s="94"/>
      <c r="DO215" s="93"/>
      <c r="DP215" s="93"/>
      <c r="DQ215" s="94"/>
      <c r="DR215" s="93"/>
      <c r="DS215" s="93"/>
      <c r="DT215" s="94"/>
    </row>
    <row r="216">
      <c r="B216" s="180" t="str">
        <f>IFERROR(__xludf.DUMMYFUNCTION("""COMPUTED_VALUE"""),"SIN9")</f>
        <v>SIN9</v>
      </c>
      <c r="C216">
        <f>IFERROR(__xludf.DUMMYFUNCTION("""COMPUTED_VALUE"""),213.0)</f>
        <v>213</v>
      </c>
      <c r="D216" s="178" t="str">
        <f>IFERROR(__xludf.DUMMYFUNCTION("""COMPUTED_VALUE"""),"Daping Yu")</f>
        <v>Daping Yu</v>
      </c>
      <c r="E216" s="83" t="str">
        <f>IFERROR(__xludf.DUMMYFUNCTION("""COMPUTED_VALUE"""),"大坪峪")</f>
        <v>大坪峪</v>
      </c>
      <c r="F216" s="179">
        <f>IFERROR(__xludf.DUMMYFUNCTION("""COMPUTED_VALUE"""),21.0)</f>
        <v>21</v>
      </c>
      <c r="G216" s="83">
        <f>IFERROR(__xludf.DUMMYFUNCTION("""COMPUTED_VALUE"""),10400.0)</f>
        <v>10400</v>
      </c>
      <c r="H216" s="95" t="str">
        <f>IFERROR(__xludf.DUMMYFUNCTION("""COMPUTED_VALUE"""),"")</f>
        <v/>
      </c>
      <c r="I216" s="96" t="str">
        <f>IFERROR(__xludf.DUMMYFUNCTION("""COMPUTED_VALUE"""),"")</f>
        <v/>
      </c>
      <c r="J216" s="97" t="str">
        <f>IFERROR(__xludf.DUMMYFUNCTION("""COMPUTED_VALUE"""),"")</f>
        <v/>
      </c>
      <c r="K216" s="95" t="str">
        <f>IFERROR(__xludf.DUMMYFUNCTION("""COMPUTED_VALUE"""),"")</f>
        <v/>
      </c>
      <c r="L216" s="96" t="str">
        <f>IFERROR(__xludf.DUMMYFUNCTION("""COMPUTED_VALUE"""),"")</f>
        <v/>
      </c>
      <c r="M216" s="97" t="str">
        <f>IFERROR(__xludf.DUMMYFUNCTION("""COMPUTED_VALUE"""),"")</f>
        <v/>
      </c>
      <c r="N216" s="95" t="str">
        <f>IFERROR(__xludf.DUMMYFUNCTION("""COMPUTED_VALUE"""),"")</f>
        <v/>
      </c>
      <c r="O216" s="96" t="str">
        <f>IFERROR(__xludf.DUMMYFUNCTION("""COMPUTED_VALUE"""),"")</f>
        <v/>
      </c>
      <c r="P216" s="97" t="str">
        <f>IFERROR(__xludf.DUMMYFUNCTION("""COMPUTED_VALUE"""),"")</f>
        <v/>
      </c>
      <c r="Q216" s="95" t="str">
        <f>IFERROR(__xludf.DUMMYFUNCTION("""COMPUTED_VALUE"""),"")</f>
        <v/>
      </c>
      <c r="R216" s="96" t="str">
        <f>IFERROR(__xludf.DUMMYFUNCTION("""COMPUTED_VALUE"""),"")</f>
        <v/>
      </c>
      <c r="S216" s="97" t="str">
        <f>IFERROR(__xludf.DUMMYFUNCTION("""COMPUTED_VALUE"""),"")</f>
        <v/>
      </c>
      <c r="T216" s="95" t="str">
        <f>IFERROR(__xludf.DUMMYFUNCTION("""COMPUTED_VALUE"""),"")</f>
        <v/>
      </c>
      <c r="U216" s="96" t="str">
        <f>IFERROR(__xludf.DUMMYFUNCTION("""COMPUTED_VALUE"""),"")</f>
        <v/>
      </c>
      <c r="V216" s="97" t="str">
        <f>IFERROR(__xludf.DUMMYFUNCTION("""COMPUTED_VALUE"""),"")</f>
        <v/>
      </c>
      <c r="W216" s="95" t="str">
        <f>IFERROR(__xludf.DUMMYFUNCTION("""COMPUTED_VALUE"""),"")</f>
        <v/>
      </c>
      <c r="X216" s="96" t="str">
        <f>IFERROR(__xludf.DUMMYFUNCTION("""COMPUTED_VALUE"""),"")</f>
        <v/>
      </c>
      <c r="Y216" s="97" t="str">
        <f>IFERROR(__xludf.DUMMYFUNCTION("""COMPUTED_VALUE"""),"")</f>
        <v/>
      </c>
      <c r="Z216" s="95" t="str">
        <f>IFERROR(__xludf.DUMMYFUNCTION("""COMPUTED_VALUE"""),"")</f>
        <v/>
      </c>
      <c r="AA216" s="96" t="str">
        <f>IFERROR(__xludf.DUMMYFUNCTION("""COMPUTED_VALUE"""),"")</f>
        <v/>
      </c>
      <c r="AB216" s="97" t="str">
        <f>IFERROR(__xludf.DUMMYFUNCTION("""COMPUTED_VALUE"""),"")</f>
        <v/>
      </c>
      <c r="AC216" s="95" t="str">
        <f>IFERROR(__xludf.DUMMYFUNCTION("""COMPUTED_VALUE"""),"")</f>
        <v/>
      </c>
      <c r="AD216" s="96" t="str">
        <f>IFERROR(__xludf.DUMMYFUNCTION("""COMPUTED_VALUE"""),"")</f>
        <v/>
      </c>
      <c r="AE216" s="97">
        <f>IFERROR(__xludf.DUMMYFUNCTION("""COMPUTED_VALUE"""),72.8)</f>
        <v>72.8</v>
      </c>
      <c r="AF216" s="95" t="str">
        <f>IFERROR(__xludf.DUMMYFUNCTION("""COMPUTED_VALUE"""),"")</f>
        <v/>
      </c>
      <c r="AG216" s="96" t="str">
        <f>IFERROR(__xludf.DUMMYFUNCTION("""COMPUTED_VALUE"""),"")</f>
        <v/>
      </c>
      <c r="AH216" s="97" t="str">
        <f>IFERROR(__xludf.DUMMYFUNCTION("""COMPUTED_VALUE"""),"")</f>
        <v/>
      </c>
      <c r="AI216" s="156" t="str">
        <f>IFERROR(__xludf.DUMMYFUNCTION("""COMPUTED_VALUE"""),"")</f>
        <v/>
      </c>
      <c r="AJ216" s="157" t="str">
        <f>IFERROR(__xludf.DUMMYFUNCTION("""COMPUTED_VALUE"""),"")</f>
        <v/>
      </c>
      <c r="AK216" s="158" t="str">
        <f>IFERROR(__xludf.DUMMYFUNCTION("""COMPUTED_VALUE"""),"")</f>
        <v/>
      </c>
      <c r="AL216" s="157" t="str">
        <f>IFERROR(__xludf.DUMMYFUNCTION("""COMPUTED_VALUE"""),"")</f>
        <v/>
      </c>
      <c r="AM216" s="157" t="str">
        <f>IFERROR(__xludf.DUMMYFUNCTION("""COMPUTED_VALUE"""),"")</f>
        <v/>
      </c>
      <c r="AN216" s="158" t="str">
        <f>IFERROR(__xludf.DUMMYFUNCTION("""COMPUTED_VALUE"""),"")</f>
        <v/>
      </c>
      <c r="AO216" s="157">
        <f>IFERROR(__xludf.DUMMYFUNCTION("""COMPUTED_VALUE"""),82.8)</f>
        <v>82.8</v>
      </c>
      <c r="AP216" s="157" t="str">
        <f>IFERROR(__xludf.DUMMYFUNCTION("""COMPUTED_VALUE"""),"")</f>
        <v/>
      </c>
      <c r="AQ216" s="158" t="str">
        <f>IFERROR(__xludf.DUMMYFUNCTION("""COMPUTED_VALUE"""),"")</f>
        <v/>
      </c>
      <c r="AR216" s="157" t="str">
        <f>IFERROR(__xludf.DUMMYFUNCTION("""COMPUTED_VALUE"""),"")</f>
        <v/>
      </c>
      <c r="AS216" s="157" t="str">
        <f>IFERROR(__xludf.DUMMYFUNCTION("""COMPUTED_VALUE"""),"")</f>
        <v/>
      </c>
      <c r="AT216" s="158" t="str">
        <f>IFERROR(__xludf.DUMMYFUNCTION("""COMPUTED_VALUE"""),"")</f>
        <v/>
      </c>
      <c r="AU216" s="157" t="str">
        <f>IFERROR(__xludf.DUMMYFUNCTION("""COMPUTED_VALUE"""),"")</f>
        <v/>
      </c>
      <c r="AV216" s="157" t="str">
        <f>IFERROR(__xludf.DUMMYFUNCTION("""COMPUTED_VALUE"""),"")</f>
        <v/>
      </c>
      <c r="AW216" s="158" t="str">
        <f>IFERROR(__xludf.DUMMYFUNCTION("""COMPUTED_VALUE"""),"")</f>
        <v/>
      </c>
      <c r="AX216" s="157" t="str">
        <f>IFERROR(__xludf.DUMMYFUNCTION("""COMPUTED_VALUE"""),"")</f>
        <v/>
      </c>
      <c r="AY216" s="157" t="str">
        <f>IFERROR(__xludf.DUMMYFUNCTION("""COMPUTED_VALUE"""),"")</f>
        <v/>
      </c>
      <c r="AZ216" s="158" t="str">
        <f>IFERROR(__xludf.DUMMYFUNCTION("""COMPUTED_VALUE"""),"")</f>
        <v/>
      </c>
      <c r="BA216" s="157" t="str">
        <f>IFERROR(__xludf.DUMMYFUNCTION("""COMPUTED_VALUE"""),"")</f>
        <v/>
      </c>
      <c r="BB216" s="157" t="str">
        <f>IFERROR(__xludf.DUMMYFUNCTION("""COMPUTED_VALUE"""),"")</f>
        <v/>
      </c>
      <c r="BC216" s="158" t="str">
        <f>IFERROR(__xludf.DUMMYFUNCTION("""COMPUTED_VALUE"""),"")</f>
        <v/>
      </c>
      <c r="BD216" s="157" t="str">
        <f>IFERROR(__xludf.DUMMYFUNCTION("""COMPUTED_VALUE"""),"")</f>
        <v/>
      </c>
      <c r="BE216" s="157" t="str">
        <f>IFERROR(__xludf.DUMMYFUNCTION("""COMPUTED_VALUE"""),"")</f>
        <v/>
      </c>
      <c r="BF216" s="158" t="str">
        <f>IFERROR(__xludf.DUMMYFUNCTION("""COMPUTED_VALUE"""),"")</f>
        <v/>
      </c>
      <c r="BG216" s="156" t="str">
        <f>IFERROR(__xludf.DUMMYFUNCTION("""COMPUTED_VALUE"""),"")</f>
        <v/>
      </c>
      <c r="BH216" s="157" t="str">
        <f>IFERROR(__xludf.DUMMYFUNCTION("""COMPUTED_VALUE"""),"")</f>
        <v/>
      </c>
      <c r="BI216" s="158" t="str">
        <f>IFERROR(__xludf.DUMMYFUNCTION("""COMPUTED_VALUE"""),"")</f>
        <v/>
      </c>
      <c r="BJ216" s="157" t="str">
        <f>IFERROR(__xludf.DUMMYFUNCTION("""COMPUTED_VALUE"""),"")</f>
        <v/>
      </c>
      <c r="BK216" s="157" t="str">
        <f>IFERROR(__xludf.DUMMYFUNCTION("""COMPUTED_VALUE"""),"")</f>
        <v/>
      </c>
      <c r="BL216" s="182" t="str">
        <f>IFERROR(__xludf.DUMMYFUNCTION("""COMPUTED_VALUE"""),"")</f>
        <v/>
      </c>
      <c r="BM216" s="157" t="str">
        <f>IFERROR(__xludf.DUMMYFUNCTION("""COMPUTED_VALUE"""),"")</f>
        <v/>
      </c>
      <c r="BN216" s="157" t="str">
        <f>IFERROR(__xludf.DUMMYFUNCTION("""COMPUTED_VALUE"""),"")</f>
        <v/>
      </c>
      <c r="BO216" s="158">
        <f>IFERROR(__xludf.DUMMYFUNCTION("""COMPUTED_VALUE"""),103.4)</f>
        <v>103.4</v>
      </c>
      <c r="BP216" s="157" t="str">
        <f>IFERROR(__xludf.DUMMYFUNCTION("""COMPUTED_VALUE"""),"")</f>
        <v/>
      </c>
      <c r="BQ216" s="157" t="str">
        <f>IFERROR(__xludf.DUMMYFUNCTION("""COMPUTED_VALUE"""),"")</f>
        <v/>
      </c>
      <c r="BR216" s="158" t="str">
        <f>IFERROR(__xludf.DUMMYFUNCTION("""COMPUTED_VALUE"""),"")</f>
        <v/>
      </c>
      <c r="BS216" s="157" t="str">
        <f>IFERROR(__xludf.DUMMYFUNCTION("""COMPUTED_VALUE"""),"")</f>
        <v/>
      </c>
      <c r="BT216" s="157">
        <f>IFERROR(__xludf.DUMMYFUNCTION("""COMPUTED_VALUE"""),82.2)</f>
        <v>82.2</v>
      </c>
      <c r="BU216" s="158" t="str">
        <f>IFERROR(__xludf.DUMMYFUNCTION("""COMPUTED_VALUE"""),"")</f>
        <v/>
      </c>
      <c r="BV216" s="157" t="str">
        <f>IFERROR(__xludf.DUMMYFUNCTION("""COMPUTED_VALUE"""),"")</f>
        <v/>
      </c>
      <c r="BW216" s="157" t="str">
        <f>IFERROR(__xludf.DUMMYFUNCTION("""COMPUTED_VALUE"""),"")</f>
        <v/>
      </c>
      <c r="BX216" s="158" t="str">
        <f>IFERROR(__xludf.DUMMYFUNCTION("""COMPUTED_VALUE"""),"")</f>
        <v/>
      </c>
      <c r="BY216" s="157" t="str">
        <f>IFERROR(__xludf.DUMMYFUNCTION("""COMPUTED_VALUE"""),"")</f>
        <v/>
      </c>
      <c r="BZ216" s="157" t="str">
        <f>IFERROR(__xludf.DUMMYFUNCTION("""COMPUTED_VALUE"""),"")</f>
        <v/>
      </c>
      <c r="CA216" s="158" t="str">
        <f>IFERROR(__xludf.DUMMYFUNCTION("""COMPUTED_VALUE"""),"")</f>
        <v/>
      </c>
      <c r="CB216" s="156" t="str">
        <f>IFERROR(__xludf.DUMMYFUNCTION("""COMPUTED_VALUE"""),"")</f>
        <v/>
      </c>
      <c r="CC216" s="157" t="str">
        <f>IFERROR(__xludf.DUMMYFUNCTION("""COMPUTED_VALUE"""),"")</f>
        <v/>
      </c>
      <c r="CD216" s="158" t="str">
        <f>IFERROR(__xludf.DUMMYFUNCTION("""COMPUTED_VALUE"""),"")</f>
        <v/>
      </c>
      <c r="CE216" s="157" t="str">
        <f>IFERROR(__xludf.DUMMYFUNCTION("""COMPUTED_VALUE"""),"")</f>
        <v/>
      </c>
      <c r="CF216" s="157" t="str">
        <f>IFERROR(__xludf.DUMMYFUNCTION("""COMPUTED_VALUE"""),"")</f>
        <v/>
      </c>
      <c r="CG216" s="182" t="str">
        <f>IFERROR(__xludf.DUMMYFUNCTION("""COMPUTED_VALUE"""),"")</f>
        <v/>
      </c>
      <c r="CH216" s="157" t="str">
        <f>IFERROR(__xludf.DUMMYFUNCTION("""COMPUTED_VALUE"""),"")</f>
        <v/>
      </c>
      <c r="CI216" s="157" t="str">
        <f>IFERROR(__xludf.DUMMYFUNCTION("""COMPUTED_VALUE"""),"")</f>
        <v/>
      </c>
      <c r="CJ216" s="158" t="str">
        <f>IFERROR(__xludf.DUMMYFUNCTION("""COMPUTED_VALUE"""),"")</f>
        <v/>
      </c>
      <c r="CK216" s="157" t="str">
        <f>IFERROR(__xludf.DUMMYFUNCTION("""COMPUTED_VALUE"""),"")</f>
        <v/>
      </c>
      <c r="CL216" s="157" t="str">
        <f>IFERROR(__xludf.DUMMYFUNCTION("""COMPUTED_VALUE"""),"")</f>
        <v/>
      </c>
      <c r="CM216" s="158" t="str">
        <f>IFERROR(__xludf.DUMMYFUNCTION("""COMPUTED_VALUE"""),"")</f>
        <v/>
      </c>
      <c r="CN216" s="157" t="str">
        <f>IFERROR(__xludf.DUMMYFUNCTION("""COMPUTED_VALUE"""),"")</f>
        <v/>
      </c>
      <c r="CO216" s="157" t="str">
        <f>IFERROR(__xludf.DUMMYFUNCTION("""COMPUTED_VALUE"""),"")</f>
        <v/>
      </c>
      <c r="CP216" s="158" t="str">
        <f>IFERROR(__xludf.DUMMYFUNCTION("""COMPUTED_VALUE"""),"")</f>
        <v/>
      </c>
      <c r="CQ216" s="157" t="str">
        <f>IFERROR(__xludf.DUMMYFUNCTION("""COMPUTED_VALUE"""),"")</f>
        <v/>
      </c>
      <c r="CR216" s="157" t="str">
        <f>IFERROR(__xludf.DUMMYFUNCTION("""COMPUTED_VALUE"""),"")</f>
        <v/>
      </c>
      <c r="CS216" s="158"/>
      <c r="CT216" s="157"/>
      <c r="CU216" s="157"/>
      <c r="CV216" s="158"/>
      <c r="CW216" s="157"/>
      <c r="CX216" s="157"/>
      <c r="CY216" s="158"/>
      <c r="CZ216" s="157"/>
      <c r="DA216" s="157"/>
      <c r="DB216" s="158"/>
      <c r="DC216" s="157"/>
      <c r="DD216" s="157"/>
      <c r="DE216" s="158"/>
      <c r="DF216" s="157"/>
      <c r="DG216" s="157"/>
      <c r="DH216" s="158"/>
      <c r="DI216" s="157"/>
      <c r="DJ216" s="157"/>
      <c r="DK216" s="158"/>
      <c r="DL216" s="157"/>
      <c r="DM216" s="157"/>
      <c r="DN216" s="158"/>
      <c r="DO216" s="157"/>
      <c r="DP216" s="157"/>
      <c r="DQ216" s="158"/>
      <c r="DR216" s="157"/>
      <c r="DS216" s="157"/>
      <c r="DT216" s="158"/>
    </row>
    <row r="217">
      <c r="B217" s="180" t="str">
        <f>IFERROR(__xludf.DUMMYFUNCTION("""COMPUTED_VALUE"""),"SIN10")</f>
        <v>SIN10</v>
      </c>
      <c r="C217">
        <f>IFERROR(__xludf.DUMMYFUNCTION("""COMPUTED_VALUE"""),214.0)</f>
        <v>214</v>
      </c>
      <c r="D217" s="178" t="str">
        <f>IFERROR(__xludf.DUMMYFUNCTION("""COMPUTED_VALUE"""),"Xianyang")</f>
        <v>Xianyang</v>
      </c>
      <c r="E217" s="83" t="str">
        <f>IFERROR(__xludf.DUMMYFUNCTION("""COMPUTED_VALUE"""),"咸陽")</f>
        <v>咸陽</v>
      </c>
      <c r="F217" s="179">
        <f>IFERROR(__xludf.DUMMYFUNCTION("""COMPUTED_VALUE"""),21.0)</f>
        <v>21</v>
      </c>
      <c r="G217" s="83">
        <f>IFERROR(__xludf.DUMMYFUNCTION("""COMPUTED_VALUE"""),10327.0)</f>
        <v>10327</v>
      </c>
      <c r="H217" s="95" t="str">
        <f>IFERROR(__xludf.DUMMYFUNCTION("""COMPUTED_VALUE"""),"")</f>
        <v/>
      </c>
      <c r="I217" s="96" t="str">
        <f>IFERROR(__xludf.DUMMYFUNCTION("""COMPUTED_VALUE"""),"")</f>
        <v/>
      </c>
      <c r="J217" s="97" t="str">
        <f>IFERROR(__xludf.DUMMYFUNCTION("""COMPUTED_VALUE"""),"")</f>
        <v/>
      </c>
      <c r="K217" s="95" t="str">
        <f>IFERROR(__xludf.DUMMYFUNCTION("""COMPUTED_VALUE"""),"")</f>
        <v/>
      </c>
      <c r="L217" s="96" t="str">
        <f>IFERROR(__xludf.DUMMYFUNCTION("""COMPUTED_VALUE"""),"")</f>
        <v/>
      </c>
      <c r="M217" s="97" t="str">
        <f>IFERROR(__xludf.DUMMYFUNCTION("""COMPUTED_VALUE"""),"")</f>
        <v/>
      </c>
      <c r="N217" s="95" t="str">
        <f>IFERROR(__xludf.DUMMYFUNCTION("""COMPUTED_VALUE"""),"")</f>
        <v/>
      </c>
      <c r="O217" s="96" t="str">
        <f>IFERROR(__xludf.DUMMYFUNCTION("""COMPUTED_VALUE"""),"")</f>
        <v/>
      </c>
      <c r="P217" s="97" t="str">
        <f>IFERROR(__xludf.DUMMYFUNCTION("""COMPUTED_VALUE"""),"")</f>
        <v/>
      </c>
      <c r="Q217" s="95" t="str">
        <f>IFERROR(__xludf.DUMMYFUNCTION("""COMPUTED_VALUE"""),"")</f>
        <v/>
      </c>
      <c r="R217" s="96" t="str">
        <f>IFERROR(__xludf.DUMMYFUNCTION("""COMPUTED_VALUE"""),"")</f>
        <v/>
      </c>
      <c r="S217" s="97" t="str">
        <f>IFERROR(__xludf.DUMMYFUNCTION("""COMPUTED_VALUE"""),"")</f>
        <v/>
      </c>
      <c r="T217" s="95">
        <f>IFERROR(__xludf.DUMMYFUNCTION("""COMPUTED_VALUE"""),131.8)</f>
        <v>131.8</v>
      </c>
      <c r="U217" s="96" t="str">
        <f>IFERROR(__xludf.DUMMYFUNCTION("""COMPUTED_VALUE"""),"")</f>
        <v/>
      </c>
      <c r="V217" s="97" t="str">
        <f>IFERROR(__xludf.DUMMYFUNCTION("""COMPUTED_VALUE"""),"")</f>
        <v/>
      </c>
      <c r="W217" s="95" t="str">
        <f>IFERROR(__xludf.DUMMYFUNCTION("""COMPUTED_VALUE"""),"")</f>
        <v/>
      </c>
      <c r="X217" s="96" t="str">
        <f>IFERROR(__xludf.DUMMYFUNCTION("""COMPUTED_VALUE"""),"")</f>
        <v/>
      </c>
      <c r="Y217" s="97" t="str">
        <f>IFERROR(__xludf.DUMMYFUNCTION("""COMPUTED_VALUE"""),"")</f>
        <v/>
      </c>
      <c r="Z217" s="95" t="str">
        <f>IFERROR(__xludf.DUMMYFUNCTION("""COMPUTED_VALUE"""),"")</f>
        <v/>
      </c>
      <c r="AA217" s="96" t="str">
        <f>IFERROR(__xludf.DUMMYFUNCTION("""COMPUTED_VALUE"""),"")</f>
        <v/>
      </c>
      <c r="AB217" s="97" t="str">
        <f>IFERROR(__xludf.DUMMYFUNCTION("""COMPUTED_VALUE"""),"")</f>
        <v/>
      </c>
      <c r="AC217" s="95" t="str">
        <f>IFERROR(__xludf.DUMMYFUNCTION("""COMPUTED_VALUE"""),"")</f>
        <v/>
      </c>
      <c r="AD217" s="96" t="str">
        <f>IFERROR(__xludf.DUMMYFUNCTION("""COMPUTED_VALUE"""),"")</f>
        <v/>
      </c>
      <c r="AE217" s="97" t="str">
        <f>IFERROR(__xludf.DUMMYFUNCTION("""COMPUTED_VALUE"""),"")</f>
        <v/>
      </c>
      <c r="AF217" s="95" t="str">
        <f>IFERROR(__xludf.DUMMYFUNCTION("""COMPUTED_VALUE"""),"")</f>
        <v/>
      </c>
      <c r="AG217" s="96" t="str">
        <f>IFERROR(__xludf.DUMMYFUNCTION("""COMPUTED_VALUE"""),"")</f>
        <v/>
      </c>
      <c r="AH217" s="97" t="str">
        <f>IFERROR(__xludf.DUMMYFUNCTION("""COMPUTED_VALUE"""),"")</f>
        <v/>
      </c>
      <c r="AI217" s="92" t="str">
        <f>IFERROR(__xludf.DUMMYFUNCTION("""COMPUTED_VALUE"""),"")</f>
        <v/>
      </c>
      <c r="AJ217" s="93" t="str">
        <f>IFERROR(__xludf.DUMMYFUNCTION("""COMPUTED_VALUE"""),"")</f>
        <v/>
      </c>
      <c r="AK217" s="94" t="str">
        <f>IFERROR(__xludf.DUMMYFUNCTION("""COMPUTED_VALUE"""),"")</f>
        <v/>
      </c>
      <c r="AL217" s="93" t="str">
        <f>IFERROR(__xludf.DUMMYFUNCTION("""COMPUTED_VALUE"""),"")</f>
        <v/>
      </c>
      <c r="AM217" s="93" t="str">
        <f>IFERROR(__xludf.DUMMYFUNCTION("""COMPUTED_VALUE"""),"")</f>
        <v/>
      </c>
      <c r="AN217" s="94" t="str">
        <f>IFERROR(__xludf.DUMMYFUNCTION("""COMPUTED_VALUE"""),"")</f>
        <v/>
      </c>
      <c r="AO217" s="93">
        <f>IFERROR(__xludf.DUMMYFUNCTION("""COMPUTED_VALUE"""),105.5)</f>
        <v>105.5</v>
      </c>
      <c r="AP217" s="93" t="str">
        <f>IFERROR(__xludf.DUMMYFUNCTION("""COMPUTED_VALUE"""),"")</f>
        <v/>
      </c>
      <c r="AQ217" s="94" t="str">
        <f>IFERROR(__xludf.DUMMYFUNCTION("""COMPUTED_VALUE"""),"")</f>
        <v/>
      </c>
      <c r="AR217" s="93" t="str">
        <f>IFERROR(__xludf.DUMMYFUNCTION("""COMPUTED_VALUE"""),"")</f>
        <v/>
      </c>
      <c r="AS217" s="93" t="str">
        <f>IFERROR(__xludf.DUMMYFUNCTION("""COMPUTED_VALUE"""),"")</f>
        <v/>
      </c>
      <c r="AT217" s="94" t="str">
        <f>IFERROR(__xludf.DUMMYFUNCTION("""COMPUTED_VALUE"""),"")</f>
        <v/>
      </c>
      <c r="AU217" s="93" t="str">
        <f>IFERROR(__xludf.DUMMYFUNCTION("""COMPUTED_VALUE"""),"")</f>
        <v/>
      </c>
      <c r="AV217" s="93" t="str">
        <f>IFERROR(__xludf.DUMMYFUNCTION("""COMPUTED_VALUE"""),"")</f>
        <v/>
      </c>
      <c r="AW217" s="94">
        <f>IFERROR(__xludf.DUMMYFUNCTION("""COMPUTED_VALUE"""),70.8)</f>
        <v>70.8</v>
      </c>
      <c r="AX217" s="93" t="str">
        <f>IFERROR(__xludf.DUMMYFUNCTION("""COMPUTED_VALUE"""),"")</f>
        <v/>
      </c>
      <c r="AY217" s="93" t="str">
        <f>IFERROR(__xludf.DUMMYFUNCTION("""COMPUTED_VALUE"""),"")</f>
        <v/>
      </c>
      <c r="AZ217" s="94" t="str">
        <f>IFERROR(__xludf.DUMMYFUNCTION("""COMPUTED_VALUE"""),"")</f>
        <v/>
      </c>
      <c r="BA217" s="93" t="str">
        <f>IFERROR(__xludf.DUMMYFUNCTION("""COMPUTED_VALUE"""),"")</f>
        <v/>
      </c>
      <c r="BB217" s="93" t="str">
        <f>IFERROR(__xludf.DUMMYFUNCTION("""COMPUTED_VALUE"""),"")</f>
        <v/>
      </c>
      <c r="BC217" s="94" t="str">
        <f>IFERROR(__xludf.DUMMYFUNCTION("""COMPUTED_VALUE"""),"")</f>
        <v/>
      </c>
      <c r="BD217" s="93" t="str">
        <f>IFERROR(__xludf.DUMMYFUNCTION("""COMPUTED_VALUE"""),"")</f>
        <v/>
      </c>
      <c r="BE217" s="93" t="str">
        <f>IFERROR(__xludf.DUMMYFUNCTION("""COMPUTED_VALUE"""),"")</f>
        <v/>
      </c>
      <c r="BF217" s="94" t="str">
        <f>IFERROR(__xludf.DUMMYFUNCTION("""COMPUTED_VALUE"""),"")</f>
        <v/>
      </c>
      <c r="BG217" s="92" t="str">
        <f>IFERROR(__xludf.DUMMYFUNCTION("""COMPUTED_VALUE"""),"")</f>
        <v/>
      </c>
      <c r="BH217" s="93" t="str">
        <f>IFERROR(__xludf.DUMMYFUNCTION("""COMPUTED_VALUE"""),"")</f>
        <v/>
      </c>
      <c r="BI217" s="94" t="str">
        <f>IFERROR(__xludf.DUMMYFUNCTION("""COMPUTED_VALUE"""),"")</f>
        <v/>
      </c>
      <c r="BJ217" s="93" t="str">
        <f>IFERROR(__xludf.DUMMYFUNCTION("""COMPUTED_VALUE"""),"")</f>
        <v/>
      </c>
      <c r="BK217" s="93">
        <f>IFERROR(__xludf.DUMMYFUNCTION("""COMPUTED_VALUE"""),137.7)</f>
        <v>137.7</v>
      </c>
      <c r="BL217" s="94" t="str">
        <f>IFERROR(__xludf.DUMMYFUNCTION("""COMPUTED_VALUE"""),"")</f>
        <v/>
      </c>
      <c r="BM217" s="93" t="str">
        <f>IFERROR(__xludf.DUMMYFUNCTION("""COMPUTED_VALUE"""),"")</f>
        <v/>
      </c>
      <c r="BN217" s="93" t="str">
        <f>IFERROR(__xludf.DUMMYFUNCTION("""COMPUTED_VALUE"""),"")</f>
        <v/>
      </c>
      <c r="BO217" s="94">
        <f>IFERROR(__xludf.DUMMYFUNCTION("""COMPUTED_VALUE"""),87.8)</f>
        <v>87.8</v>
      </c>
      <c r="BP217" s="93" t="str">
        <f>IFERROR(__xludf.DUMMYFUNCTION("""COMPUTED_VALUE"""),"")</f>
        <v/>
      </c>
      <c r="BQ217" s="93" t="str">
        <f>IFERROR(__xludf.DUMMYFUNCTION("""COMPUTED_VALUE"""),"")</f>
        <v/>
      </c>
      <c r="BR217" s="94" t="str">
        <f>IFERROR(__xludf.DUMMYFUNCTION("""COMPUTED_VALUE"""),"")</f>
        <v/>
      </c>
      <c r="BS217" s="93" t="str">
        <f>IFERROR(__xludf.DUMMYFUNCTION("""COMPUTED_VALUE"""),"")</f>
        <v/>
      </c>
      <c r="BT217" s="93" t="str">
        <f>IFERROR(__xludf.DUMMYFUNCTION("""COMPUTED_VALUE"""),"")</f>
        <v/>
      </c>
      <c r="BU217" s="94" t="str">
        <f>IFERROR(__xludf.DUMMYFUNCTION("""COMPUTED_VALUE"""),"")</f>
        <v/>
      </c>
      <c r="BV217" s="93" t="str">
        <f>IFERROR(__xludf.DUMMYFUNCTION("""COMPUTED_VALUE"""),"")</f>
        <v/>
      </c>
      <c r="BW217" s="93" t="str">
        <f>IFERROR(__xludf.DUMMYFUNCTION("""COMPUTED_VALUE"""),"")</f>
        <v/>
      </c>
      <c r="BX217" s="94" t="str">
        <f>IFERROR(__xludf.DUMMYFUNCTION("""COMPUTED_VALUE"""),"")</f>
        <v/>
      </c>
      <c r="BY217" s="93" t="str">
        <f>IFERROR(__xludf.DUMMYFUNCTION("""COMPUTED_VALUE"""),"")</f>
        <v/>
      </c>
      <c r="BZ217" s="93" t="str">
        <f>IFERROR(__xludf.DUMMYFUNCTION("""COMPUTED_VALUE"""),"")</f>
        <v/>
      </c>
      <c r="CA217" s="94" t="str">
        <f>IFERROR(__xludf.DUMMYFUNCTION("""COMPUTED_VALUE"""),"")</f>
        <v/>
      </c>
      <c r="CB217" s="92" t="str">
        <f>IFERROR(__xludf.DUMMYFUNCTION("""COMPUTED_VALUE"""),"")</f>
        <v/>
      </c>
      <c r="CC217" s="93" t="str">
        <f>IFERROR(__xludf.DUMMYFUNCTION("""COMPUTED_VALUE"""),"")</f>
        <v/>
      </c>
      <c r="CD217" s="94" t="str">
        <f>IFERROR(__xludf.DUMMYFUNCTION("""COMPUTED_VALUE"""),"")</f>
        <v/>
      </c>
      <c r="CE217" s="93" t="str">
        <f>IFERROR(__xludf.DUMMYFUNCTION("""COMPUTED_VALUE"""),"")</f>
        <v/>
      </c>
      <c r="CF217" s="93" t="str">
        <f>IFERROR(__xludf.DUMMYFUNCTION("""COMPUTED_VALUE"""),"")</f>
        <v/>
      </c>
      <c r="CG217" s="94" t="str">
        <f>IFERROR(__xludf.DUMMYFUNCTION("""COMPUTED_VALUE"""),"")</f>
        <v/>
      </c>
      <c r="CH217" s="93" t="str">
        <f>IFERROR(__xludf.DUMMYFUNCTION("""COMPUTED_VALUE"""),"")</f>
        <v/>
      </c>
      <c r="CI217" s="93" t="str">
        <f>IFERROR(__xludf.DUMMYFUNCTION("""COMPUTED_VALUE"""),"")</f>
        <v/>
      </c>
      <c r="CJ217" s="94" t="str">
        <f>IFERROR(__xludf.DUMMYFUNCTION("""COMPUTED_VALUE"""),"")</f>
        <v/>
      </c>
      <c r="CK217" s="93" t="str">
        <f>IFERROR(__xludf.DUMMYFUNCTION("""COMPUTED_VALUE"""),"")</f>
        <v/>
      </c>
      <c r="CL217" s="93" t="str">
        <f>IFERROR(__xludf.DUMMYFUNCTION("""COMPUTED_VALUE"""),"")</f>
        <v/>
      </c>
      <c r="CM217" s="94" t="str">
        <f>IFERROR(__xludf.DUMMYFUNCTION("""COMPUTED_VALUE"""),"")</f>
        <v/>
      </c>
      <c r="CN217" s="93" t="str">
        <f>IFERROR(__xludf.DUMMYFUNCTION("""COMPUTED_VALUE"""),"")</f>
        <v/>
      </c>
      <c r="CO217" s="93" t="str">
        <f>IFERROR(__xludf.DUMMYFUNCTION("""COMPUTED_VALUE"""),"")</f>
        <v/>
      </c>
      <c r="CP217" s="94" t="str">
        <f>IFERROR(__xludf.DUMMYFUNCTION("""COMPUTED_VALUE"""),"")</f>
        <v/>
      </c>
      <c r="CQ217" s="93" t="str">
        <f>IFERROR(__xludf.DUMMYFUNCTION("""COMPUTED_VALUE"""),"")</f>
        <v/>
      </c>
      <c r="CR217" s="93" t="str">
        <f>IFERROR(__xludf.DUMMYFUNCTION("""COMPUTED_VALUE"""),"")</f>
        <v/>
      </c>
      <c r="CS217" s="94"/>
      <c r="CT217" s="93"/>
      <c r="CU217" s="93"/>
      <c r="CV217" s="94"/>
      <c r="CW217" s="93"/>
      <c r="CX217" s="93"/>
      <c r="CY217" s="94"/>
      <c r="CZ217" s="93"/>
      <c r="DA217" s="93"/>
      <c r="DB217" s="94"/>
      <c r="DC217" s="93"/>
      <c r="DD217" s="93"/>
      <c r="DE217" s="94"/>
      <c r="DF217" s="93"/>
      <c r="DG217" s="93"/>
      <c r="DH217" s="94"/>
      <c r="DI217" s="93"/>
      <c r="DJ217" s="93"/>
      <c r="DK217" s="94"/>
      <c r="DL217" s="93"/>
      <c r="DM217" s="93"/>
      <c r="DN217" s="94"/>
      <c r="DO217" s="93"/>
      <c r="DP217" s="93"/>
      <c r="DQ217" s="94"/>
      <c r="DR217" s="93"/>
      <c r="DS217" s="93"/>
      <c r="DT217" s="94"/>
    </row>
    <row r="218">
      <c r="B218" s="180" t="str">
        <f>IFERROR(__xludf.DUMMYFUNCTION("""COMPUTED_VALUE"""),"SIN11")</f>
        <v>SIN11</v>
      </c>
      <c r="C218">
        <f>IFERROR(__xludf.DUMMYFUNCTION("""COMPUTED_VALUE"""),215.0)</f>
        <v>215</v>
      </c>
      <c r="D218" s="178" t="str">
        <f>IFERROR(__xludf.DUMMYFUNCTION("""COMPUTED_VALUE"""),"Ba Men Cave")</f>
        <v>Ba Men Cave</v>
      </c>
      <c r="E218" s="83" t="str">
        <f>IFERROR(__xludf.DUMMYFUNCTION("""COMPUTED_VALUE"""),"八門洞")</f>
        <v>八門洞</v>
      </c>
      <c r="F218" s="179">
        <f>IFERROR(__xludf.DUMMYFUNCTION("""COMPUTED_VALUE"""),21.0)</f>
        <v>21</v>
      </c>
      <c r="G218" s="83">
        <f>IFERROR(__xludf.DUMMYFUNCTION("""COMPUTED_VALUE"""),29077.0)</f>
        <v>29077</v>
      </c>
      <c r="H218" s="95" t="str">
        <f>IFERROR(__xludf.DUMMYFUNCTION("""COMPUTED_VALUE"""),"")</f>
        <v/>
      </c>
      <c r="I218" s="96" t="str">
        <f>IFERROR(__xludf.DUMMYFUNCTION("""COMPUTED_VALUE"""),"")</f>
        <v/>
      </c>
      <c r="J218" s="97" t="str">
        <f>IFERROR(__xludf.DUMMYFUNCTION("""COMPUTED_VALUE"""),"")</f>
        <v/>
      </c>
      <c r="K218" s="95" t="str">
        <f>IFERROR(__xludf.DUMMYFUNCTION("""COMPUTED_VALUE"""),"")</f>
        <v/>
      </c>
      <c r="L218" s="96" t="str">
        <f>IFERROR(__xludf.DUMMYFUNCTION("""COMPUTED_VALUE"""),"")</f>
        <v/>
      </c>
      <c r="M218" s="97" t="str">
        <f>IFERROR(__xludf.DUMMYFUNCTION("""COMPUTED_VALUE"""),"")</f>
        <v/>
      </c>
      <c r="N218" s="95" t="str">
        <f>IFERROR(__xludf.DUMMYFUNCTION("""COMPUTED_VALUE"""),"")</f>
        <v/>
      </c>
      <c r="O218" s="96" t="str">
        <f>IFERROR(__xludf.DUMMYFUNCTION("""COMPUTED_VALUE"""),"")</f>
        <v/>
      </c>
      <c r="P218" s="97" t="str">
        <f>IFERROR(__xludf.DUMMYFUNCTION("""COMPUTED_VALUE"""),"")</f>
        <v/>
      </c>
      <c r="Q218" s="95" t="str">
        <f>IFERROR(__xludf.DUMMYFUNCTION("""COMPUTED_VALUE"""),"")</f>
        <v/>
      </c>
      <c r="R218" s="96" t="str">
        <f>IFERROR(__xludf.DUMMYFUNCTION("""COMPUTED_VALUE"""),"")</f>
        <v/>
      </c>
      <c r="S218" s="97" t="str">
        <f>IFERROR(__xludf.DUMMYFUNCTION("""COMPUTED_VALUE"""),"")</f>
        <v/>
      </c>
      <c r="T218" s="95" t="str">
        <f>IFERROR(__xludf.DUMMYFUNCTION("""COMPUTED_VALUE"""),"")</f>
        <v/>
      </c>
      <c r="U218" s="96" t="str">
        <f>IFERROR(__xludf.DUMMYFUNCTION("""COMPUTED_VALUE"""),"")</f>
        <v/>
      </c>
      <c r="V218" s="97" t="str">
        <f>IFERROR(__xludf.DUMMYFUNCTION("""COMPUTED_VALUE"""),"")</f>
        <v/>
      </c>
      <c r="W218" s="95" t="str">
        <f>IFERROR(__xludf.DUMMYFUNCTION("""COMPUTED_VALUE"""),"")</f>
        <v/>
      </c>
      <c r="X218" s="96" t="str">
        <f>IFERROR(__xludf.DUMMYFUNCTION("""COMPUTED_VALUE"""),"")</f>
        <v/>
      </c>
      <c r="Y218" s="97" t="str">
        <f>IFERROR(__xludf.DUMMYFUNCTION("""COMPUTED_VALUE"""),"")</f>
        <v/>
      </c>
      <c r="Z218" s="95" t="str">
        <f>IFERROR(__xludf.DUMMYFUNCTION("""COMPUTED_VALUE"""),"")</f>
        <v/>
      </c>
      <c r="AA218" s="96" t="str">
        <f>IFERROR(__xludf.DUMMYFUNCTION("""COMPUTED_VALUE"""),"")</f>
        <v/>
      </c>
      <c r="AB218" s="97" t="str">
        <f>IFERROR(__xludf.DUMMYFUNCTION("""COMPUTED_VALUE"""),"")</f>
        <v/>
      </c>
      <c r="AC218" s="95" t="str">
        <f>IFERROR(__xludf.DUMMYFUNCTION("""COMPUTED_VALUE"""),"")</f>
        <v/>
      </c>
      <c r="AD218" s="96" t="str">
        <f>IFERROR(__xludf.DUMMYFUNCTION("""COMPUTED_VALUE"""),"")</f>
        <v/>
      </c>
      <c r="AE218" s="97" t="str">
        <f>IFERROR(__xludf.DUMMYFUNCTION("""COMPUTED_VALUE"""),"")</f>
        <v/>
      </c>
      <c r="AF218" s="95" t="str">
        <f>IFERROR(__xludf.DUMMYFUNCTION("""COMPUTED_VALUE"""),"")</f>
        <v/>
      </c>
      <c r="AG218" s="96" t="str">
        <f>IFERROR(__xludf.DUMMYFUNCTION("""COMPUTED_VALUE"""),"")</f>
        <v/>
      </c>
      <c r="AH218" s="97" t="str">
        <f>IFERROR(__xludf.DUMMYFUNCTION("""COMPUTED_VALUE"""),"")</f>
        <v/>
      </c>
      <c r="AI218" s="156" t="str">
        <f>IFERROR(__xludf.DUMMYFUNCTION("""COMPUTED_VALUE"""),"")</f>
        <v/>
      </c>
      <c r="AJ218" s="157" t="str">
        <f>IFERROR(__xludf.DUMMYFUNCTION("""COMPUTED_VALUE"""),"")</f>
        <v/>
      </c>
      <c r="AK218" s="158" t="str">
        <f>IFERROR(__xludf.DUMMYFUNCTION("""COMPUTED_VALUE"""),"")</f>
        <v/>
      </c>
      <c r="AL218" s="157" t="str">
        <f>IFERROR(__xludf.DUMMYFUNCTION("""COMPUTED_VALUE"""),"")</f>
        <v/>
      </c>
      <c r="AM218" s="157" t="str">
        <f>IFERROR(__xludf.DUMMYFUNCTION("""COMPUTED_VALUE"""),"")</f>
        <v/>
      </c>
      <c r="AN218" s="158" t="str">
        <f>IFERROR(__xludf.DUMMYFUNCTION("""COMPUTED_VALUE"""),"")</f>
        <v/>
      </c>
      <c r="AO218" s="157">
        <f>IFERROR(__xludf.DUMMYFUNCTION("""COMPUTED_VALUE"""),53.4)</f>
        <v>53.4</v>
      </c>
      <c r="AP218" s="157" t="str">
        <f>IFERROR(__xludf.DUMMYFUNCTION("""COMPUTED_VALUE"""),"")</f>
        <v/>
      </c>
      <c r="AQ218" s="158" t="str">
        <f>IFERROR(__xludf.DUMMYFUNCTION("""COMPUTED_VALUE"""),"")</f>
        <v/>
      </c>
      <c r="AR218" s="157" t="str">
        <f>IFERROR(__xludf.DUMMYFUNCTION("""COMPUTED_VALUE"""),"")</f>
        <v/>
      </c>
      <c r="AS218" s="157" t="str">
        <f>IFERROR(__xludf.DUMMYFUNCTION("""COMPUTED_VALUE"""),"")</f>
        <v/>
      </c>
      <c r="AT218" s="158" t="str">
        <f>IFERROR(__xludf.DUMMYFUNCTION("""COMPUTED_VALUE"""),"")</f>
        <v/>
      </c>
      <c r="AU218" s="157" t="str">
        <f>IFERROR(__xludf.DUMMYFUNCTION("""COMPUTED_VALUE"""),"")</f>
        <v/>
      </c>
      <c r="AV218" s="157" t="str">
        <f>IFERROR(__xludf.DUMMYFUNCTION("""COMPUTED_VALUE"""),"")</f>
        <v/>
      </c>
      <c r="AW218" s="158" t="str">
        <f>IFERROR(__xludf.DUMMYFUNCTION("""COMPUTED_VALUE"""),"")</f>
        <v/>
      </c>
      <c r="AX218" s="157" t="str">
        <f>IFERROR(__xludf.DUMMYFUNCTION("""COMPUTED_VALUE"""),"")</f>
        <v/>
      </c>
      <c r="AY218" s="157" t="str">
        <f>IFERROR(__xludf.DUMMYFUNCTION("""COMPUTED_VALUE"""),"")</f>
        <v/>
      </c>
      <c r="AZ218" s="158" t="str">
        <f>IFERROR(__xludf.DUMMYFUNCTION("""COMPUTED_VALUE"""),"")</f>
        <v/>
      </c>
      <c r="BA218" s="157" t="str">
        <f>IFERROR(__xludf.DUMMYFUNCTION("""COMPUTED_VALUE"""),"")</f>
        <v/>
      </c>
      <c r="BB218" s="157" t="str">
        <f>IFERROR(__xludf.DUMMYFUNCTION("""COMPUTED_VALUE"""),"")</f>
        <v/>
      </c>
      <c r="BC218" s="158" t="str">
        <f>IFERROR(__xludf.DUMMYFUNCTION("""COMPUTED_VALUE"""),"")</f>
        <v/>
      </c>
      <c r="BD218" s="157" t="str">
        <f>IFERROR(__xludf.DUMMYFUNCTION("""COMPUTED_VALUE"""),"")</f>
        <v/>
      </c>
      <c r="BE218" s="157" t="str">
        <f>IFERROR(__xludf.DUMMYFUNCTION("""COMPUTED_VALUE"""),"")</f>
        <v/>
      </c>
      <c r="BF218" s="158" t="str">
        <f>IFERROR(__xludf.DUMMYFUNCTION("""COMPUTED_VALUE"""),"")</f>
        <v/>
      </c>
      <c r="BG218" s="156" t="str">
        <f>IFERROR(__xludf.DUMMYFUNCTION("""COMPUTED_VALUE"""),"")</f>
        <v/>
      </c>
      <c r="BH218" s="157" t="str">
        <f>IFERROR(__xludf.DUMMYFUNCTION("""COMPUTED_VALUE"""),"")</f>
        <v/>
      </c>
      <c r="BI218" s="158" t="str">
        <f>IFERROR(__xludf.DUMMYFUNCTION("""COMPUTED_VALUE"""),"")</f>
        <v/>
      </c>
      <c r="BJ218" s="157" t="str">
        <f>IFERROR(__xludf.DUMMYFUNCTION("""COMPUTED_VALUE"""),"")</f>
        <v/>
      </c>
      <c r="BK218" s="157" t="str">
        <f>IFERROR(__xludf.DUMMYFUNCTION("""COMPUTED_VALUE"""),"")</f>
        <v/>
      </c>
      <c r="BL218" s="109" t="str">
        <f>IFERROR(__xludf.DUMMYFUNCTION("""COMPUTED_VALUE"""),"")</f>
        <v/>
      </c>
      <c r="BM218" s="157" t="str">
        <f>IFERROR(__xludf.DUMMYFUNCTION("""COMPUTED_VALUE"""),"")</f>
        <v/>
      </c>
      <c r="BN218" s="157" t="str">
        <f>IFERROR(__xludf.DUMMYFUNCTION("""COMPUTED_VALUE"""),"")</f>
        <v/>
      </c>
      <c r="BO218" s="158">
        <f>IFERROR(__xludf.DUMMYFUNCTION("""COMPUTED_VALUE"""),46.6)</f>
        <v>46.6</v>
      </c>
      <c r="BP218" s="157" t="str">
        <f>IFERROR(__xludf.DUMMYFUNCTION("""COMPUTED_VALUE"""),"")</f>
        <v/>
      </c>
      <c r="BQ218" s="157" t="str">
        <f>IFERROR(__xludf.DUMMYFUNCTION("""COMPUTED_VALUE"""),"")</f>
        <v/>
      </c>
      <c r="BR218" s="158" t="str">
        <f>IFERROR(__xludf.DUMMYFUNCTION("""COMPUTED_VALUE"""),"")</f>
        <v/>
      </c>
      <c r="BS218" s="157" t="str">
        <f>IFERROR(__xludf.DUMMYFUNCTION("""COMPUTED_VALUE"""),"")</f>
        <v/>
      </c>
      <c r="BT218" s="157" t="str">
        <f>IFERROR(__xludf.DUMMYFUNCTION("""COMPUTED_VALUE"""),"")</f>
        <v/>
      </c>
      <c r="BU218" s="158" t="str">
        <f>IFERROR(__xludf.DUMMYFUNCTION("""COMPUTED_VALUE"""),"")</f>
        <v/>
      </c>
      <c r="BV218" s="157" t="str">
        <f>IFERROR(__xludf.DUMMYFUNCTION("""COMPUTED_VALUE"""),"")</f>
        <v/>
      </c>
      <c r="BW218" s="157" t="str">
        <f>IFERROR(__xludf.DUMMYFUNCTION("""COMPUTED_VALUE"""),"")</f>
        <v/>
      </c>
      <c r="BX218" s="158" t="str">
        <f>IFERROR(__xludf.DUMMYFUNCTION("""COMPUTED_VALUE"""),"")</f>
        <v/>
      </c>
      <c r="BY218" s="157" t="str">
        <f>IFERROR(__xludf.DUMMYFUNCTION("""COMPUTED_VALUE"""),"")</f>
        <v/>
      </c>
      <c r="BZ218" s="157" t="str">
        <f>IFERROR(__xludf.DUMMYFUNCTION("""COMPUTED_VALUE"""),"")</f>
        <v/>
      </c>
      <c r="CA218" s="158" t="str">
        <f>IFERROR(__xludf.DUMMYFUNCTION("""COMPUTED_VALUE"""),"")</f>
        <v/>
      </c>
      <c r="CB218" s="156" t="str">
        <f>IFERROR(__xludf.DUMMYFUNCTION("""COMPUTED_VALUE"""),"")</f>
        <v/>
      </c>
      <c r="CC218" s="157" t="str">
        <f>IFERROR(__xludf.DUMMYFUNCTION("""COMPUTED_VALUE"""),"")</f>
        <v/>
      </c>
      <c r="CD218" s="158" t="str">
        <f>IFERROR(__xludf.DUMMYFUNCTION("""COMPUTED_VALUE"""),"")</f>
        <v/>
      </c>
      <c r="CE218" s="157" t="str">
        <f>IFERROR(__xludf.DUMMYFUNCTION("""COMPUTED_VALUE"""),"")</f>
        <v/>
      </c>
      <c r="CF218" s="157" t="str">
        <f>IFERROR(__xludf.DUMMYFUNCTION("""COMPUTED_VALUE"""),"")</f>
        <v/>
      </c>
      <c r="CG218" s="109" t="str">
        <f>IFERROR(__xludf.DUMMYFUNCTION("""COMPUTED_VALUE"""),"")</f>
        <v/>
      </c>
      <c r="CH218" s="157" t="str">
        <f>IFERROR(__xludf.DUMMYFUNCTION("""COMPUTED_VALUE"""),"")</f>
        <v/>
      </c>
      <c r="CI218" s="157" t="str">
        <f>IFERROR(__xludf.DUMMYFUNCTION("""COMPUTED_VALUE"""),"")</f>
        <v/>
      </c>
      <c r="CJ218" s="158" t="str">
        <f>IFERROR(__xludf.DUMMYFUNCTION("""COMPUTED_VALUE"""),"")</f>
        <v/>
      </c>
      <c r="CK218" s="157" t="str">
        <f>IFERROR(__xludf.DUMMYFUNCTION("""COMPUTED_VALUE"""),"")</f>
        <v/>
      </c>
      <c r="CL218" s="157" t="str">
        <f>IFERROR(__xludf.DUMMYFUNCTION("""COMPUTED_VALUE"""),"")</f>
        <v/>
      </c>
      <c r="CM218" s="158" t="str">
        <f>IFERROR(__xludf.DUMMYFUNCTION("""COMPUTED_VALUE"""),"")</f>
        <v/>
      </c>
      <c r="CN218" s="157" t="str">
        <f>IFERROR(__xludf.DUMMYFUNCTION("""COMPUTED_VALUE"""),"")</f>
        <v/>
      </c>
      <c r="CO218" s="157" t="str">
        <f>IFERROR(__xludf.DUMMYFUNCTION("""COMPUTED_VALUE"""),"")</f>
        <v/>
      </c>
      <c r="CP218" s="158" t="str">
        <f>IFERROR(__xludf.DUMMYFUNCTION("""COMPUTED_VALUE"""),"")</f>
        <v/>
      </c>
      <c r="CQ218" s="157" t="str">
        <f>IFERROR(__xludf.DUMMYFUNCTION("""COMPUTED_VALUE"""),"")</f>
        <v/>
      </c>
      <c r="CR218" s="157" t="str">
        <f>IFERROR(__xludf.DUMMYFUNCTION("""COMPUTED_VALUE"""),"")</f>
        <v/>
      </c>
      <c r="CS218" s="158"/>
      <c r="CT218" s="157"/>
      <c r="CU218" s="157"/>
      <c r="CV218" s="158"/>
      <c r="CW218" s="157"/>
      <c r="CX218" s="157"/>
      <c r="CY218" s="158"/>
      <c r="CZ218" s="157"/>
      <c r="DA218" s="157"/>
      <c r="DB218" s="158"/>
      <c r="DC218" s="157"/>
      <c r="DD218" s="157"/>
      <c r="DE218" s="158"/>
      <c r="DF218" s="157"/>
      <c r="DG218" s="157"/>
      <c r="DH218" s="158"/>
      <c r="DI218" s="157"/>
      <c r="DJ218" s="157"/>
      <c r="DK218" s="158"/>
      <c r="DL218" s="157"/>
      <c r="DM218" s="157"/>
      <c r="DN218" s="158"/>
      <c r="DO218" s="157"/>
      <c r="DP218" s="157"/>
      <c r="DQ218" s="158"/>
      <c r="DR218" s="157"/>
      <c r="DS218" s="157"/>
      <c r="DT218" s="158"/>
    </row>
    <row r="219">
      <c r="A219" s="183" t="str">
        <f>IFERROR(__xludf.DUMMYFUNCTION("""COMPUTED_VALUE"""),"YUGA KSTRA")</f>
        <v>YUGA KSTRA</v>
      </c>
      <c r="B219" s="180" t="str">
        <f>IFERROR(__xludf.DUMMYFUNCTION("""COMPUTED_VALUE"""),"YKS1")</f>
        <v>YKS1</v>
      </c>
      <c r="C219">
        <f>IFERROR(__xludf.DUMMYFUNCTION("""COMPUTED_VALUE"""),216.0)</f>
        <v>216</v>
      </c>
      <c r="D219" s="178" t="str">
        <f>IFERROR(__xludf.DUMMYFUNCTION("""COMPUTED_VALUE"""),"Initiate Point")</f>
        <v>Initiate Point</v>
      </c>
      <c r="E219" s="83" t="str">
        <f>IFERROR(__xludf.DUMMYFUNCTION("""COMPUTED_VALUE"""),"イニシエートポイント")</f>
        <v>イニシエートポイント</v>
      </c>
      <c r="F219" s="179">
        <f>IFERROR(__xludf.DUMMYFUNCTION("""COMPUTED_VALUE"""),20.0)</f>
        <v>20</v>
      </c>
      <c r="G219" s="83">
        <f>IFERROR(__xludf.DUMMYFUNCTION("""COMPUTED_VALUE"""),4522.0)</f>
        <v>4522</v>
      </c>
      <c r="H219" s="95" t="str">
        <f>IFERROR(__xludf.DUMMYFUNCTION("""COMPUTED_VALUE"""),"")</f>
        <v/>
      </c>
      <c r="I219" s="96" t="str">
        <f>IFERROR(__xludf.DUMMYFUNCTION("""COMPUTED_VALUE"""),"")</f>
        <v/>
      </c>
      <c r="J219" s="97" t="str">
        <f>IFERROR(__xludf.DUMMYFUNCTION("""COMPUTED_VALUE"""),"")</f>
        <v/>
      </c>
      <c r="K219" s="95" t="str">
        <f>IFERROR(__xludf.DUMMYFUNCTION("""COMPUTED_VALUE"""),"")</f>
        <v/>
      </c>
      <c r="L219" s="96">
        <f>IFERROR(__xludf.DUMMYFUNCTION("""COMPUTED_VALUE"""),95.3)</f>
        <v>95.3</v>
      </c>
      <c r="M219" s="97" t="str">
        <f>IFERROR(__xludf.DUMMYFUNCTION("""COMPUTED_VALUE"""),"")</f>
        <v/>
      </c>
      <c r="N219" s="95" t="str">
        <f>IFERROR(__xludf.DUMMYFUNCTION("""COMPUTED_VALUE"""),"")</f>
        <v/>
      </c>
      <c r="O219" s="96" t="str">
        <f>IFERROR(__xludf.DUMMYFUNCTION("""COMPUTED_VALUE"""),"")</f>
        <v/>
      </c>
      <c r="P219" s="97" t="str">
        <f>IFERROR(__xludf.DUMMYFUNCTION("""COMPUTED_VALUE"""),"")</f>
        <v/>
      </c>
      <c r="Q219" s="95" t="str">
        <f>IFERROR(__xludf.DUMMYFUNCTION("""COMPUTED_VALUE"""),"")</f>
        <v/>
      </c>
      <c r="R219" s="96" t="str">
        <f>IFERROR(__xludf.DUMMYFUNCTION("""COMPUTED_VALUE"""),"")</f>
        <v/>
      </c>
      <c r="S219" s="97" t="str">
        <f>IFERROR(__xludf.DUMMYFUNCTION("""COMPUTED_VALUE"""),"")</f>
        <v/>
      </c>
      <c r="T219" s="95" t="str">
        <f>IFERROR(__xludf.DUMMYFUNCTION("""COMPUTED_VALUE"""),"")</f>
        <v/>
      </c>
      <c r="U219" s="96" t="str">
        <f>IFERROR(__xludf.DUMMYFUNCTION("""COMPUTED_VALUE"""),"")</f>
        <v/>
      </c>
      <c r="V219" s="97" t="str">
        <f>IFERROR(__xludf.DUMMYFUNCTION("""COMPUTED_VALUE"""),"")</f>
        <v/>
      </c>
      <c r="W219" s="95" t="str">
        <f>IFERROR(__xludf.DUMMYFUNCTION("""COMPUTED_VALUE"""),"")</f>
        <v/>
      </c>
      <c r="X219" s="96" t="str">
        <f>IFERROR(__xludf.DUMMYFUNCTION("""COMPUTED_VALUE"""),"")</f>
        <v/>
      </c>
      <c r="Y219" s="97" t="str">
        <f>IFERROR(__xludf.DUMMYFUNCTION("""COMPUTED_VALUE"""),"")</f>
        <v/>
      </c>
      <c r="Z219" s="95" t="str">
        <f>IFERROR(__xludf.DUMMYFUNCTION("""COMPUTED_VALUE"""),"")</f>
        <v/>
      </c>
      <c r="AA219" s="96" t="str">
        <f>IFERROR(__xludf.DUMMYFUNCTION("""COMPUTED_VALUE"""),"")</f>
        <v/>
      </c>
      <c r="AB219" s="97" t="str">
        <f>IFERROR(__xludf.DUMMYFUNCTION("""COMPUTED_VALUE"""),"")</f>
        <v/>
      </c>
      <c r="AC219" s="95" t="str">
        <f>IFERROR(__xludf.DUMMYFUNCTION("""COMPUTED_VALUE"""),"")</f>
        <v/>
      </c>
      <c r="AD219" s="96" t="str">
        <f>IFERROR(__xludf.DUMMYFUNCTION("""COMPUTED_VALUE"""),"")</f>
        <v/>
      </c>
      <c r="AE219" s="97" t="str">
        <f>IFERROR(__xludf.DUMMYFUNCTION("""COMPUTED_VALUE"""),"")</f>
        <v/>
      </c>
      <c r="AF219" s="95" t="str">
        <f>IFERROR(__xludf.DUMMYFUNCTION("""COMPUTED_VALUE"""),"")</f>
        <v/>
      </c>
      <c r="AG219" s="96" t="str">
        <f>IFERROR(__xludf.DUMMYFUNCTION("""COMPUTED_VALUE"""),"")</f>
        <v/>
      </c>
      <c r="AH219" s="97" t="str">
        <f>IFERROR(__xludf.DUMMYFUNCTION("""COMPUTED_VALUE"""),"")</f>
        <v/>
      </c>
      <c r="AI219" s="184" t="str">
        <f>IFERROR(__xludf.DUMMYFUNCTION("""COMPUTED_VALUE"""),"")</f>
        <v/>
      </c>
      <c r="AJ219" s="185" t="str">
        <f>IFERROR(__xludf.DUMMYFUNCTION("""COMPUTED_VALUE"""),"")</f>
        <v/>
      </c>
      <c r="AK219" s="186" t="str">
        <f>IFERROR(__xludf.DUMMYFUNCTION("""COMPUTED_VALUE"""),"")</f>
        <v/>
      </c>
      <c r="AL219" s="185" t="str">
        <f>IFERROR(__xludf.DUMMYFUNCTION("""COMPUTED_VALUE"""),"")</f>
        <v/>
      </c>
      <c r="AM219" s="143" t="str">
        <f>IFERROR(__xludf.DUMMYFUNCTION("""COMPUTED_VALUE"""),"")</f>
        <v/>
      </c>
      <c r="AN219" s="186" t="str">
        <f>IFERROR(__xludf.DUMMYFUNCTION("""COMPUTED_VALUE"""),"")</f>
        <v/>
      </c>
      <c r="AO219" s="185" t="str">
        <f>IFERROR(__xludf.DUMMYFUNCTION("""COMPUTED_VALUE"""),"")</f>
        <v/>
      </c>
      <c r="AP219" s="185">
        <f>IFERROR(__xludf.DUMMYFUNCTION("""COMPUTED_VALUE"""),72.2)</f>
        <v>72.2</v>
      </c>
      <c r="AQ219" s="186" t="str">
        <f>IFERROR(__xludf.DUMMYFUNCTION("""COMPUTED_VALUE"""),"")</f>
        <v/>
      </c>
      <c r="AR219" s="185" t="str">
        <f>IFERROR(__xludf.DUMMYFUNCTION("""COMPUTED_VALUE"""),"")</f>
        <v/>
      </c>
      <c r="AS219" s="185" t="str">
        <f>IFERROR(__xludf.DUMMYFUNCTION("""COMPUTED_VALUE"""),"")</f>
        <v/>
      </c>
      <c r="AT219" s="186" t="str">
        <f>IFERROR(__xludf.DUMMYFUNCTION("""COMPUTED_VALUE"""),"")</f>
        <v/>
      </c>
      <c r="AU219" s="185" t="str">
        <f>IFERROR(__xludf.DUMMYFUNCTION("""COMPUTED_VALUE"""),"")</f>
        <v/>
      </c>
      <c r="AV219" s="185" t="str">
        <f>IFERROR(__xludf.DUMMYFUNCTION("""COMPUTED_VALUE"""),"")</f>
        <v/>
      </c>
      <c r="AW219" s="186" t="str">
        <f>IFERROR(__xludf.DUMMYFUNCTION("""COMPUTED_VALUE"""),"")</f>
        <v/>
      </c>
      <c r="AX219" s="185" t="str">
        <f>IFERROR(__xludf.DUMMYFUNCTION("""COMPUTED_VALUE"""),"")</f>
        <v/>
      </c>
      <c r="AY219" s="185" t="str">
        <f>IFERROR(__xludf.DUMMYFUNCTION("""COMPUTED_VALUE"""),"")</f>
        <v/>
      </c>
      <c r="AZ219" s="186" t="str">
        <f>IFERROR(__xludf.DUMMYFUNCTION("""COMPUTED_VALUE"""),"")</f>
        <v/>
      </c>
      <c r="BA219" s="185" t="str">
        <f>IFERROR(__xludf.DUMMYFUNCTION("""COMPUTED_VALUE"""),"")</f>
        <v/>
      </c>
      <c r="BB219" s="185" t="str">
        <f>IFERROR(__xludf.DUMMYFUNCTION("""COMPUTED_VALUE"""),"")</f>
        <v/>
      </c>
      <c r="BC219" s="186" t="str">
        <f>IFERROR(__xludf.DUMMYFUNCTION("""COMPUTED_VALUE"""),"")</f>
        <v/>
      </c>
      <c r="BD219" s="185" t="str">
        <f>IFERROR(__xludf.DUMMYFUNCTION("""COMPUTED_VALUE"""),"")</f>
        <v/>
      </c>
      <c r="BE219" s="185" t="str">
        <f>IFERROR(__xludf.DUMMYFUNCTION("""COMPUTED_VALUE"""),"")</f>
        <v/>
      </c>
      <c r="BF219" s="186" t="str">
        <f>IFERROR(__xludf.DUMMYFUNCTION("""COMPUTED_VALUE"""),"")</f>
        <v/>
      </c>
      <c r="BG219" s="184" t="str">
        <f>IFERROR(__xludf.DUMMYFUNCTION("""COMPUTED_VALUE"""),"")</f>
        <v/>
      </c>
      <c r="BH219" s="185" t="str">
        <f>IFERROR(__xludf.DUMMYFUNCTION("""COMPUTED_VALUE"""),"")</f>
        <v/>
      </c>
      <c r="BI219" s="186" t="str">
        <f>IFERROR(__xludf.DUMMYFUNCTION("""COMPUTED_VALUE"""),"")</f>
        <v/>
      </c>
      <c r="BJ219" s="185" t="str">
        <f>IFERROR(__xludf.DUMMYFUNCTION("""COMPUTED_VALUE"""),"")</f>
        <v/>
      </c>
      <c r="BK219" s="185" t="str">
        <f>IFERROR(__xludf.DUMMYFUNCTION("""COMPUTED_VALUE"""),"")</f>
        <v/>
      </c>
      <c r="BL219" s="186">
        <f>IFERROR(__xludf.DUMMYFUNCTION("""COMPUTED_VALUE"""),123.8)</f>
        <v>123.8</v>
      </c>
      <c r="BM219" s="106" t="str">
        <f>IFERROR(__xludf.DUMMYFUNCTION("""COMPUTED_VALUE"""),"")</f>
        <v/>
      </c>
      <c r="BN219" s="185" t="str">
        <f>IFERROR(__xludf.DUMMYFUNCTION("""COMPUTED_VALUE"""),"")</f>
        <v/>
      </c>
      <c r="BO219" s="186" t="str">
        <f>IFERROR(__xludf.DUMMYFUNCTION("""COMPUTED_VALUE"""),"")</f>
        <v/>
      </c>
      <c r="BP219" s="185" t="str">
        <f>IFERROR(__xludf.DUMMYFUNCTION("""COMPUTED_VALUE"""),"")</f>
        <v/>
      </c>
      <c r="BQ219" s="185" t="str">
        <f>IFERROR(__xludf.DUMMYFUNCTION("""COMPUTED_VALUE"""),"")</f>
        <v/>
      </c>
      <c r="BR219" s="186" t="str">
        <f>IFERROR(__xludf.DUMMYFUNCTION("""COMPUTED_VALUE"""),"")</f>
        <v/>
      </c>
      <c r="BS219" s="185" t="str">
        <f>IFERROR(__xludf.DUMMYFUNCTION("""COMPUTED_VALUE"""),"")</f>
        <v/>
      </c>
      <c r="BT219" s="185" t="str">
        <f>IFERROR(__xludf.DUMMYFUNCTION("""COMPUTED_VALUE"""),"")</f>
        <v/>
      </c>
      <c r="BU219" s="186" t="str">
        <f>IFERROR(__xludf.DUMMYFUNCTION("""COMPUTED_VALUE"""),"")</f>
        <v/>
      </c>
      <c r="BV219" s="185" t="str">
        <f>IFERROR(__xludf.DUMMYFUNCTION("""COMPUTED_VALUE"""),"")</f>
        <v/>
      </c>
      <c r="BW219" s="185">
        <f>IFERROR(__xludf.DUMMYFUNCTION("""COMPUTED_VALUE"""),79.3)</f>
        <v>79.3</v>
      </c>
      <c r="BX219" s="186" t="str">
        <f>IFERROR(__xludf.DUMMYFUNCTION("""COMPUTED_VALUE"""),"")</f>
        <v/>
      </c>
      <c r="BY219" s="185" t="str">
        <f>IFERROR(__xludf.DUMMYFUNCTION("""COMPUTED_VALUE"""),"")</f>
        <v/>
      </c>
      <c r="BZ219" s="185" t="str">
        <f>IFERROR(__xludf.DUMMYFUNCTION("""COMPUTED_VALUE"""),"")</f>
        <v/>
      </c>
      <c r="CA219" s="186" t="str">
        <f>IFERROR(__xludf.DUMMYFUNCTION("""COMPUTED_VALUE"""),"")</f>
        <v/>
      </c>
      <c r="CB219" s="184" t="str">
        <f>IFERROR(__xludf.DUMMYFUNCTION("""COMPUTED_VALUE"""),"")</f>
        <v/>
      </c>
      <c r="CC219" s="185" t="str">
        <f>IFERROR(__xludf.DUMMYFUNCTION("""COMPUTED_VALUE"""),"")</f>
        <v/>
      </c>
      <c r="CD219" s="186" t="str">
        <f>IFERROR(__xludf.DUMMYFUNCTION("""COMPUTED_VALUE"""),"")</f>
        <v/>
      </c>
      <c r="CE219" s="185" t="str">
        <f>IFERROR(__xludf.DUMMYFUNCTION("""COMPUTED_VALUE"""),"")</f>
        <v/>
      </c>
      <c r="CF219" s="185" t="str">
        <f>IFERROR(__xludf.DUMMYFUNCTION("""COMPUTED_VALUE"""),"")</f>
        <v/>
      </c>
      <c r="CG219" s="186" t="str">
        <f>IFERROR(__xludf.DUMMYFUNCTION("""COMPUTED_VALUE"""),"")</f>
        <v/>
      </c>
      <c r="CH219" s="106" t="str">
        <f>IFERROR(__xludf.DUMMYFUNCTION("""COMPUTED_VALUE"""),"")</f>
        <v/>
      </c>
      <c r="CI219" s="185" t="str">
        <f>IFERROR(__xludf.DUMMYFUNCTION("""COMPUTED_VALUE"""),"")</f>
        <v/>
      </c>
      <c r="CJ219" s="186" t="str">
        <f>IFERROR(__xludf.DUMMYFUNCTION("""COMPUTED_VALUE"""),"")</f>
        <v/>
      </c>
      <c r="CK219" s="185" t="str">
        <f>IFERROR(__xludf.DUMMYFUNCTION("""COMPUTED_VALUE"""),"")</f>
        <v/>
      </c>
      <c r="CL219" s="185" t="str">
        <f>IFERROR(__xludf.DUMMYFUNCTION("""COMPUTED_VALUE"""),"")</f>
        <v/>
      </c>
      <c r="CM219" s="186" t="str">
        <f>IFERROR(__xludf.DUMMYFUNCTION("""COMPUTED_VALUE"""),"")</f>
        <v/>
      </c>
      <c r="CN219" s="185" t="str">
        <f>IFERROR(__xludf.DUMMYFUNCTION("""COMPUTED_VALUE"""),"")</f>
        <v/>
      </c>
      <c r="CO219" s="185" t="str">
        <f>IFERROR(__xludf.DUMMYFUNCTION("""COMPUTED_VALUE"""),"")</f>
        <v/>
      </c>
      <c r="CP219" s="186" t="str">
        <f>IFERROR(__xludf.DUMMYFUNCTION("""COMPUTED_VALUE"""),"")</f>
        <v/>
      </c>
      <c r="CQ219" s="185" t="str">
        <f>IFERROR(__xludf.DUMMYFUNCTION("""COMPUTED_VALUE"""),"")</f>
        <v/>
      </c>
      <c r="CR219" s="185" t="str">
        <f>IFERROR(__xludf.DUMMYFUNCTION("""COMPUTED_VALUE"""),"")</f>
        <v/>
      </c>
      <c r="CS219" s="186"/>
      <c r="CT219" s="185"/>
      <c r="CU219" s="185"/>
      <c r="CV219" s="186"/>
      <c r="CW219" s="185"/>
      <c r="CX219" s="185"/>
      <c r="CY219" s="186"/>
      <c r="CZ219" s="185"/>
      <c r="DA219" s="185"/>
      <c r="DB219" s="186"/>
      <c r="DC219" s="185"/>
      <c r="DD219" s="185"/>
      <c r="DE219" s="186"/>
      <c r="DF219" s="185"/>
      <c r="DG219" s="185"/>
      <c r="DH219" s="186"/>
      <c r="DI219" s="185"/>
      <c r="DJ219" s="185"/>
      <c r="DK219" s="186"/>
      <c r="DL219" s="185"/>
      <c r="DM219" s="185"/>
      <c r="DN219" s="186"/>
      <c r="DO219" s="185"/>
      <c r="DP219" s="185"/>
      <c r="DQ219" s="186"/>
      <c r="DR219" s="185"/>
      <c r="DS219" s="185"/>
      <c r="DT219" s="186"/>
    </row>
    <row r="220">
      <c r="B220" s="180" t="str">
        <f>IFERROR(__xludf.DUMMYFUNCTION("""COMPUTED_VALUE"""),"YKS2")</f>
        <v>YKS2</v>
      </c>
      <c r="C220">
        <f>IFERROR(__xludf.DUMMYFUNCTION("""COMPUTED_VALUE"""),217.0)</f>
        <v>217</v>
      </c>
      <c r="D220" s="178" t="str">
        <f>IFERROR(__xludf.DUMMYFUNCTION("""COMPUTED_VALUE"""),"Bich")</f>
        <v>Bich</v>
      </c>
      <c r="E220" s="83" t="str">
        <f>IFERROR(__xludf.DUMMYFUNCTION("""COMPUTED_VALUE"""),"ビーチュ")</f>
        <v>ビーチュ</v>
      </c>
      <c r="F220" s="179">
        <f>IFERROR(__xludf.DUMMYFUNCTION("""COMPUTED_VALUE"""),20.0)</f>
        <v>20</v>
      </c>
      <c r="G220" s="83">
        <f>IFERROR(__xludf.DUMMYFUNCTION("""COMPUTED_VALUE"""),7416.0)</f>
        <v>7416</v>
      </c>
      <c r="H220" s="95" t="str">
        <f>IFERROR(__xludf.DUMMYFUNCTION("""COMPUTED_VALUE"""),"")</f>
        <v/>
      </c>
      <c r="I220" s="96" t="str">
        <f>IFERROR(__xludf.DUMMYFUNCTION("""COMPUTED_VALUE"""),"")</f>
        <v/>
      </c>
      <c r="J220" s="97" t="str">
        <f>IFERROR(__xludf.DUMMYFUNCTION("""COMPUTED_VALUE"""),"")</f>
        <v/>
      </c>
      <c r="K220" s="95" t="str">
        <f>IFERROR(__xludf.DUMMYFUNCTION("""COMPUTED_VALUE"""),"")</f>
        <v/>
      </c>
      <c r="L220" s="96" t="str">
        <f>IFERROR(__xludf.DUMMYFUNCTION("""COMPUTED_VALUE"""),"")</f>
        <v/>
      </c>
      <c r="M220" s="97" t="str">
        <f>IFERROR(__xludf.DUMMYFUNCTION("""COMPUTED_VALUE"""),"")</f>
        <v/>
      </c>
      <c r="N220" s="95" t="str">
        <f>IFERROR(__xludf.DUMMYFUNCTION("""COMPUTED_VALUE"""),"")</f>
        <v/>
      </c>
      <c r="O220" s="96" t="str">
        <f>IFERROR(__xludf.DUMMYFUNCTION("""COMPUTED_VALUE"""),"")</f>
        <v/>
      </c>
      <c r="P220" s="97" t="str">
        <f>IFERROR(__xludf.DUMMYFUNCTION("""COMPUTED_VALUE"""),"")</f>
        <v/>
      </c>
      <c r="Q220" s="95" t="str">
        <f>IFERROR(__xludf.DUMMYFUNCTION("""COMPUTED_VALUE"""),"")</f>
        <v/>
      </c>
      <c r="R220" s="96" t="str">
        <f>IFERROR(__xludf.DUMMYFUNCTION("""COMPUTED_VALUE"""),"")</f>
        <v/>
      </c>
      <c r="S220" s="97" t="str">
        <f>IFERROR(__xludf.DUMMYFUNCTION("""COMPUTED_VALUE"""),"")</f>
        <v/>
      </c>
      <c r="T220" s="95" t="str">
        <f>IFERROR(__xludf.DUMMYFUNCTION("""COMPUTED_VALUE"""),"")</f>
        <v/>
      </c>
      <c r="U220" s="96" t="str">
        <f>IFERROR(__xludf.DUMMYFUNCTION("""COMPUTED_VALUE"""),"")</f>
        <v/>
      </c>
      <c r="V220" s="97" t="str">
        <f>IFERROR(__xludf.DUMMYFUNCTION("""COMPUTED_VALUE"""),"")</f>
        <v/>
      </c>
      <c r="W220" s="95" t="str">
        <f>IFERROR(__xludf.DUMMYFUNCTION("""COMPUTED_VALUE"""),"")</f>
        <v/>
      </c>
      <c r="X220" s="96" t="str">
        <f>IFERROR(__xludf.DUMMYFUNCTION("""COMPUTED_VALUE"""),"")</f>
        <v/>
      </c>
      <c r="Y220" s="97" t="str">
        <f>IFERROR(__xludf.DUMMYFUNCTION("""COMPUTED_VALUE"""),"")</f>
        <v/>
      </c>
      <c r="Z220" s="95" t="str">
        <f>IFERROR(__xludf.DUMMYFUNCTION("""COMPUTED_VALUE"""),"")</f>
        <v/>
      </c>
      <c r="AA220" s="96" t="str">
        <f>IFERROR(__xludf.DUMMYFUNCTION("""COMPUTED_VALUE"""),"")</f>
        <v/>
      </c>
      <c r="AB220" s="97" t="str">
        <f>IFERROR(__xludf.DUMMYFUNCTION("""COMPUTED_VALUE"""),"")</f>
        <v/>
      </c>
      <c r="AC220" s="95" t="str">
        <f>IFERROR(__xludf.DUMMYFUNCTION("""COMPUTED_VALUE"""),"")</f>
        <v/>
      </c>
      <c r="AD220" s="96">
        <f>IFERROR(__xludf.DUMMYFUNCTION("""COMPUTED_VALUE"""),131.0)</f>
        <v>131</v>
      </c>
      <c r="AE220" s="97" t="str">
        <f>IFERROR(__xludf.DUMMYFUNCTION("""COMPUTED_VALUE"""),"")</f>
        <v/>
      </c>
      <c r="AF220" s="95" t="str">
        <f>IFERROR(__xludf.DUMMYFUNCTION("""COMPUTED_VALUE"""),"")</f>
        <v/>
      </c>
      <c r="AG220" s="96" t="str">
        <f>IFERROR(__xludf.DUMMYFUNCTION("""COMPUTED_VALUE"""),"")</f>
        <v/>
      </c>
      <c r="AH220" s="97" t="str">
        <f>IFERROR(__xludf.DUMMYFUNCTION("""COMPUTED_VALUE"""),"")</f>
        <v/>
      </c>
      <c r="AI220" s="92" t="str">
        <f>IFERROR(__xludf.DUMMYFUNCTION("""COMPUTED_VALUE"""),"")</f>
        <v/>
      </c>
      <c r="AJ220" s="93" t="str">
        <f>IFERROR(__xludf.DUMMYFUNCTION("""COMPUTED_VALUE"""),"")</f>
        <v/>
      </c>
      <c r="AK220" s="94" t="str">
        <f>IFERROR(__xludf.DUMMYFUNCTION("""COMPUTED_VALUE"""),"")</f>
        <v/>
      </c>
      <c r="AL220" s="93" t="str">
        <f>IFERROR(__xludf.DUMMYFUNCTION("""COMPUTED_VALUE"""),"")</f>
        <v/>
      </c>
      <c r="AM220" s="93" t="str">
        <f>IFERROR(__xludf.DUMMYFUNCTION("""COMPUTED_VALUE"""),"")</f>
        <v/>
      </c>
      <c r="AN220" s="94" t="str">
        <f>IFERROR(__xludf.DUMMYFUNCTION("""COMPUTED_VALUE"""),"")</f>
        <v/>
      </c>
      <c r="AO220" s="93" t="str">
        <f>IFERROR(__xludf.DUMMYFUNCTION("""COMPUTED_VALUE"""),"")</f>
        <v/>
      </c>
      <c r="AP220" s="93">
        <f>IFERROR(__xludf.DUMMYFUNCTION("""COMPUTED_VALUE"""),100.8)</f>
        <v>100.8</v>
      </c>
      <c r="AQ220" s="94" t="str">
        <f>IFERROR(__xludf.DUMMYFUNCTION("""COMPUTED_VALUE"""),"")</f>
        <v/>
      </c>
      <c r="AR220" s="93" t="str">
        <f>IFERROR(__xludf.DUMMYFUNCTION("""COMPUTED_VALUE"""),"")</f>
        <v/>
      </c>
      <c r="AS220" s="93" t="str">
        <f>IFERROR(__xludf.DUMMYFUNCTION("""COMPUTED_VALUE"""),"")</f>
        <v/>
      </c>
      <c r="AT220" s="94" t="str">
        <f>IFERROR(__xludf.DUMMYFUNCTION("""COMPUTED_VALUE"""),"")</f>
        <v/>
      </c>
      <c r="AU220" s="93" t="str">
        <f>IFERROR(__xludf.DUMMYFUNCTION("""COMPUTED_VALUE"""),"")</f>
        <v/>
      </c>
      <c r="AV220" s="93" t="str">
        <f>IFERROR(__xludf.DUMMYFUNCTION("""COMPUTED_VALUE"""),"")</f>
        <v/>
      </c>
      <c r="AW220" s="94">
        <f>IFERROR(__xludf.DUMMYFUNCTION("""COMPUTED_VALUE"""),65.8)</f>
        <v>65.8</v>
      </c>
      <c r="AX220" s="93" t="str">
        <f>IFERROR(__xludf.DUMMYFUNCTION("""COMPUTED_VALUE"""),"")</f>
        <v/>
      </c>
      <c r="AY220" s="93" t="str">
        <f>IFERROR(__xludf.DUMMYFUNCTION("""COMPUTED_VALUE"""),"")</f>
        <v/>
      </c>
      <c r="AZ220" s="94" t="str">
        <f>IFERROR(__xludf.DUMMYFUNCTION("""COMPUTED_VALUE"""),"")</f>
        <v/>
      </c>
      <c r="BA220" s="93" t="str">
        <f>IFERROR(__xludf.DUMMYFUNCTION("""COMPUTED_VALUE"""),"")</f>
        <v/>
      </c>
      <c r="BB220" s="93" t="str">
        <f>IFERROR(__xludf.DUMMYFUNCTION("""COMPUTED_VALUE"""),"")</f>
        <v/>
      </c>
      <c r="BC220" s="94" t="str">
        <f>IFERROR(__xludf.DUMMYFUNCTION("""COMPUTED_VALUE"""),"")</f>
        <v/>
      </c>
      <c r="BD220" s="93" t="str">
        <f>IFERROR(__xludf.DUMMYFUNCTION("""COMPUTED_VALUE"""),"")</f>
        <v/>
      </c>
      <c r="BE220" s="93" t="str">
        <f>IFERROR(__xludf.DUMMYFUNCTION("""COMPUTED_VALUE"""),"")</f>
        <v/>
      </c>
      <c r="BF220" s="94" t="str">
        <f>IFERROR(__xludf.DUMMYFUNCTION("""COMPUTED_VALUE"""),"")</f>
        <v/>
      </c>
      <c r="BG220" s="92" t="str">
        <f>IFERROR(__xludf.DUMMYFUNCTION("""COMPUTED_VALUE"""),"")</f>
        <v/>
      </c>
      <c r="BH220" s="93" t="str">
        <f>IFERROR(__xludf.DUMMYFUNCTION("""COMPUTED_VALUE"""),"")</f>
        <v/>
      </c>
      <c r="BI220" s="94" t="str">
        <f>IFERROR(__xludf.DUMMYFUNCTION("""COMPUTED_VALUE"""),"")</f>
        <v/>
      </c>
      <c r="BJ220" s="93" t="str">
        <f>IFERROR(__xludf.DUMMYFUNCTION("""COMPUTED_VALUE"""),"")</f>
        <v/>
      </c>
      <c r="BK220" s="93" t="str">
        <f>IFERROR(__xludf.DUMMYFUNCTION("""COMPUTED_VALUE"""),"")</f>
        <v/>
      </c>
      <c r="BL220" s="94" t="str">
        <f>IFERROR(__xludf.DUMMYFUNCTION("""COMPUTED_VALUE"""),"")</f>
        <v/>
      </c>
      <c r="BM220" s="93" t="str">
        <f>IFERROR(__xludf.DUMMYFUNCTION("""COMPUTED_VALUE"""),"")</f>
        <v/>
      </c>
      <c r="BN220" s="93">
        <f>IFERROR(__xludf.DUMMYFUNCTION("""COMPUTED_VALUE"""),192.1)</f>
        <v>192.1</v>
      </c>
      <c r="BO220" s="94" t="str">
        <f>IFERROR(__xludf.DUMMYFUNCTION("""COMPUTED_VALUE"""),"")</f>
        <v/>
      </c>
      <c r="BP220" s="93" t="str">
        <f>IFERROR(__xludf.DUMMYFUNCTION("""COMPUTED_VALUE"""),"")</f>
        <v/>
      </c>
      <c r="BQ220" s="93" t="str">
        <f>IFERROR(__xludf.DUMMYFUNCTION("""COMPUTED_VALUE"""),"")</f>
        <v/>
      </c>
      <c r="BR220" s="94" t="str">
        <f>IFERROR(__xludf.DUMMYFUNCTION("""COMPUTED_VALUE"""),"")</f>
        <v/>
      </c>
      <c r="BS220" s="93" t="str">
        <f>IFERROR(__xludf.DUMMYFUNCTION("""COMPUTED_VALUE"""),"")</f>
        <v/>
      </c>
      <c r="BT220" s="93" t="str">
        <f>IFERROR(__xludf.DUMMYFUNCTION("""COMPUTED_VALUE"""),"")</f>
        <v/>
      </c>
      <c r="BU220" s="94" t="str">
        <f>IFERROR(__xludf.DUMMYFUNCTION("""COMPUTED_VALUE"""),"")</f>
        <v/>
      </c>
      <c r="BV220" s="93" t="str">
        <f>IFERROR(__xludf.DUMMYFUNCTION("""COMPUTED_VALUE"""),"")</f>
        <v/>
      </c>
      <c r="BW220" s="93">
        <f>IFERROR(__xludf.DUMMYFUNCTION("""COMPUTED_VALUE"""),66.7)</f>
        <v>66.7</v>
      </c>
      <c r="BX220" s="94" t="str">
        <f>IFERROR(__xludf.DUMMYFUNCTION("""COMPUTED_VALUE"""),"")</f>
        <v/>
      </c>
      <c r="BY220" s="93" t="str">
        <f>IFERROR(__xludf.DUMMYFUNCTION("""COMPUTED_VALUE"""),"")</f>
        <v/>
      </c>
      <c r="BZ220" s="93" t="str">
        <f>IFERROR(__xludf.DUMMYFUNCTION("""COMPUTED_VALUE"""),"")</f>
        <v/>
      </c>
      <c r="CA220" s="94" t="str">
        <f>IFERROR(__xludf.DUMMYFUNCTION("""COMPUTED_VALUE"""),"")</f>
        <v/>
      </c>
      <c r="CB220" s="92" t="str">
        <f>IFERROR(__xludf.DUMMYFUNCTION("""COMPUTED_VALUE"""),"")</f>
        <v/>
      </c>
      <c r="CC220" s="93" t="str">
        <f>IFERROR(__xludf.DUMMYFUNCTION("""COMPUTED_VALUE"""),"")</f>
        <v/>
      </c>
      <c r="CD220" s="94" t="str">
        <f>IFERROR(__xludf.DUMMYFUNCTION("""COMPUTED_VALUE"""),"")</f>
        <v/>
      </c>
      <c r="CE220" s="93" t="str">
        <f>IFERROR(__xludf.DUMMYFUNCTION("""COMPUTED_VALUE"""),"")</f>
        <v/>
      </c>
      <c r="CF220" s="93" t="str">
        <f>IFERROR(__xludf.DUMMYFUNCTION("""COMPUTED_VALUE"""),"")</f>
        <v/>
      </c>
      <c r="CG220" s="94" t="str">
        <f>IFERROR(__xludf.DUMMYFUNCTION("""COMPUTED_VALUE"""),"")</f>
        <v/>
      </c>
      <c r="CH220" s="93" t="str">
        <f>IFERROR(__xludf.DUMMYFUNCTION("""COMPUTED_VALUE"""),"")</f>
        <v/>
      </c>
      <c r="CI220" s="93" t="str">
        <f>IFERROR(__xludf.DUMMYFUNCTION("""COMPUTED_VALUE"""),"")</f>
        <v/>
      </c>
      <c r="CJ220" s="94" t="str">
        <f>IFERROR(__xludf.DUMMYFUNCTION("""COMPUTED_VALUE"""),"")</f>
        <v/>
      </c>
      <c r="CK220" s="93" t="str">
        <f>IFERROR(__xludf.DUMMYFUNCTION("""COMPUTED_VALUE"""),"")</f>
        <v/>
      </c>
      <c r="CL220" s="93" t="str">
        <f>IFERROR(__xludf.DUMMYFUNCTION("""COMPUTED_VALUE"""),"")</f>
        <v/>
      </c>
      <c r="CM220" s="94" t="str">
        <f>IFERROR(__xludf.DUMMYFUNCTION("""COMPUTED_VALUE"""),"")</f>
        <v/>
      </c>
      <c r="CN220" s="93" t="str">
        <f>IFERROR(__xludf.DUMMYFUNCTION("""COMPUTED_VALUE"""),"")</f>
        <v/>
      </c>
      <c r="CO220" s="93" t="str">
        <f>IFERROR(__xludf.DUMMYFUNCTION("""COMPUTED_VALUE"""),"")</f>
        <v/>
      </c>
      <c r="CP220" s="94">
        <f>IFERROR(__xludf.DUMMYFUNCTION("""COMPUTED_VALUE"""),221.6)</f>
        <v>221.6</v>
      </c>
      <c r="CQ220" s="93" t="str">
        <f>IFERROR(__xludf.DUMMYFUNCTION("""COMPUTED_VALUE"""),"")</f>
        <v/>
      </c>
      <c r="CR220" s="93" t="str">
        <f>IFERROR(__xludf.DUMMYFUNCTION("""COMPUTED_VALUE"""),"")</f>
        <v/>
      </c>
      <c r="CS220" s="94"/>
      <c r="CT220" s="93"/>
      <c r="CU220" s="93"/>
      <c r="CV220" s="94"/>
      <c r="CW220" s="93"/>
      <c r="CX220" s="93"/>
      <c r="CY220" s="94"/>
      <c r="CZ220" s="93"/>
      <c r="DA220" s="93"/>
      <c r="DB220" s="94"/>
      <c r="DC220" s="93"/>
      <c r="DD220" s="93"/>
      <c r="DE220" s="94"/>
      <c r="DF220" s="93"/>
      <c r="DG220" s="93"/>
      <c r="DH220" s="94"/>
      <c r="DI220" s="93"/>
      <c r="DJ220" s="93"/>
      <c r="DK220" s="94"/>
      <c r="DL220" s="93"/>
      <c r="DM220" s="93"/>
      <c r="DN220" s="94"/>
      <c r="DO220" s="93"/>
      <c r="DP220" s="93"/>
      <c r="DQ220" s="94"/>
      <c r="DR220" s="93"/>
      <c r="DS220" s="93"/>
      <c r="DT220" s="94"/>
    </row>
    <row r="221">
      <c r="B221" s="180" t="str">
        <f>IFERROR(__xludf.DUMMYFUNCTION("""COMPUTED_VALUE"""),"YKS3")</f>
        <v>YKS3</v>
      </c>
      <c r="C221">
        <f>IFERROR(__xludf.DUMMYFUNCTION("""COMPUTED_VALUE"""),218.0)</f>
        <v>218</v>
      </c>
      <c r="D221" s="178" t="str">
        <f>IFERROR(__xludf.DUMMYFUNCTION("""COMPUTED_VALUE"""),"Secluded Grotto")</f>
        <v>Secluded Grotto</v>
      </c>
      <c r="E221" s="83" t="str">
        <f>IFERROR(__xludf.DUMMYFUNCTION("""COMPUTED_VALUE"""),"隠遁窟")</f>
        <v>隠遁窟</v>
      </c>
      <c r="F221" s="179">
        <f>IFERROR(__xludf.DUMMYFUNCTION("""COMPUTED_VALUE"""),21.0)</f>
        <v>21</v>
      </c>
      <c r="G221" s="83">
        <f>IFERROR(__xludf.DUMMYFUNCTION("""COMPUTED_VALUE"""),4926.0)</f>
        <v>4926</v>
      </c>
      <c r="H221" s="95" t="str">
        <f>IFERROR(__xludf.DUMMYFUNCTION("""COMPUTED_VALUE"""),"")</f>
        <v/>
      </c>
      <c r="I221" s="96" t="str">
        <f>IFERROR(__xludf.DUMMYFUNCTION("""COMPUTED_VALUE"""),"")</f>
        <v/>
      </c>
      <c r="J221" s="97" t="str">
        <f>IFERROR(__xludf.DUMMYFUNCTION("""COMPUTED_VALUE"""),"")</f>
        <v/>
      </c>
      <c r="K221" s="95" t="str">
        <f>IFERROR(__xludf.DUMMYFUNCTION("""COMPUTED_VALUE"""),"")</f>
        <v/>
      </c>
      <c r="L221" s="96" t="str">
        <f>IFERROR(__xludf.DUMMYFUNCTION("""COMPUTED_VALUE"""),"")</f>
        <v/>
      </c>
      <c r="M221" s="97" t="str">
        <f>IFERROR(__xludf.DUMMYFUNCTION("""COMPUTED_VALUE"""),"")</f>
        <v/>
      </c>
      <c r="N221" s="95">
        <f>IFERROR(__xludf.DUMMYFUNCTION("""COMPUTED_VALUE"""),104.19999990000001)</f>
        <v>104.1999999</v>
      </c>
      <c r="O221" s="96" t="str">
        <f>IFERROR(__xludf.DUMMYFUNCTION("""COMPUTED_VALUE"""),"")</f>
        <v/>
      </c>
      <c r="P221" s="97" t="str">
        <f>IFERROR(__xludf.DUMMYFUNCTION("""COMPUTED_VALUE"""),"")</f>
        <v/>
      </c>
      <c r="Q221" s="95" t="str">
        <f>IFERROR(__xludf.DUMMYFUNCTION("""COMPUTED_VALUE"""),"")</f>
        <v/>
      </c>
      <c r="R221" s="96" t="str">
        <f>IFERROR(__xludf.DUMMYFUNCTION("""COMPUTED_VALUE"""),"")</f>
        <v/>
      </c>
      <c r="S221" s="97" t="str">
        <f>IFERROR(__xludf.DUMMYFUNCTION("""COMPUTED_VALUE"""),"")</f>
        <v/>
      </c>
      <c r="T221" s="95" t="str">
        <f>IFERROR(__xludf.DUMMYFUNCTION("""COMPUTED_VALUE"""),"")</f>
        <v/>
      </c>
      <c r="U221" s="96" t="str">
        <f>IFERROR(__xludf.DUMMYFUNCTION("""COMPUTED_VALUE"""),"")</f>
        <v/>
      </c>
      <c r="V221" s="97" t="str">
        <f>IFERROR(__xludf.DUMMYFUNCTION("""COMPUTED_VALUE"""),"")</f>
        <v/>
      </c>
      <c r="W221" s="95" t="str">
        <f>IFERROR(__xludf.DUMMYFUNCTION("""COMPUTED_VALUE"""),"")</f>
        <v/>
      </c>
      <c r="X221" s="96" t="str">
        <f>IFERROR(__xludf.DUMMYFUNCTION("""COMPUTED_VALUE"""),"")</f>
        <v/>
      </c>
      <c r="Y221" s="97" t="str">
        <f>IFERROR(__xludf.DUMMYFUNCTION("""COMPUTED_VALUE"""),"")</f>
        <v/>
      </c>
      <c r="Z221" s="95" t="str">
        <f>IFERROR(__xludf.DUMMYFUNCTION("""COMPUTED_VALUE"""),"")</f>
        <v/>
      </c>
      <c r="AA221" s="96" t="str">
        <f>IFERROR(__xludf.DUMMYFUNCTION("""COMPUTED_VALUE"""),"")</f>
        <v/>
      </c>
      <c r="AB221" s="97" t="str">
        <f>IFERROR(__xludf.DUMMYFUNCTION("""COMPUTED_VALUE"""),"")</f>
        <v/>
      </c>
      <c r="AC221" s="95" t="str">
        <f>IFERROR(__xludf.DUMMYFUNCTION("""COMPUTED_VALUE"""),"")</f>
        <v/>
      </c>
      <c r="AD221" s="96" t="str">
        <f>IFERROR(__xludf.DUMMYFUNCTION("""COMPUTED_VALUE"""),"")</f>
        <v/>
      </c>
      <c r="AE221" s="97" t="str">
        <f>IFERROR(__xludf.DUMMYFUNCTION("""COMPUTED_VALUE"""),"")</f>
        <v/>
      </c>
      <c r="AF221" s="95" t="str">
        <f>IFERROR(__xludf.DUMMYFUNCTION("""COMPUTED_VALUE"""),"")</f>
        <v/>
      </c>
      <c r="AG221" s="96" t="str">
        <f>IFERROR(__xludf.DUMMYFUNCTION("""COMPUTED_VALUE"""),"")</f>
        <v/>
      </c>
      <c r="AH221" s="97" t="str">
        <f>IFERROR(__xludf.DUMMYFUNCTION("""COMPUTED_VALUE"""),"")</f>
        <v/>
      </c>
      <c r="AI221" s="184" t="str">
        <f>IFERROR(__xludf.DUMMYFUNCTION("""COMPUTED_VALUE"""),"")</f>
        <v/>
      </c>
      <c r="AJ221" s="185" t="str">
        <f>IFERROR(__xludf.DUMMYFUNCTION("""COMPUTED_VALUE"""),"")</f>
        <v/>
      </c>
      <c r="AK221" s="186" t="str">
        <f>IFERROR(__xludf.DUMMYFUNCTION("""COMPUTED_VALUE"""),"")</f>
        <v/>
      </c>
      <c r="AL221" s="185" t="str">
        <f>IFERROR(__xludf.DUMMYFUNCTION("""COMPUTED_VALUE"""),"")</f>
        <v/>
      </c>
      <c r="AM221" s="185" t="str">
        <f>IFERROR(__xludf.DUMMYFUNCTION("""COMPUTED_VALUE"""),"")</f>
        <v/>
      </c>
      <c r="AN221" s="186" t="str">
        <f>IFERROR(__xludf.DUMMYFUNCTION("""COMPUTED_VALUE"""),"")</f>
        <v/>
      </c>
      <c r="AO221" s="143" t="str">
        <f>IFERROR(__xludf.DUMMYFUNCTION("""COMPUTED_VALUE"""),"")</f>
        <v/>
      </c>
      <c r="AP221" s="185">
        <f>IFERROR(__xludf.DUMMYFUNCTION("""COMPUTED_VALUE"""),83.4)</f>
        <v>83.4</v>
      </c>
      <c r="AQ221" s="186" t="str">
        <f>IFERROR(__xludf.DUMMYFUNCTION("""COMPUTED_VALUE"""),"")</f>
        <v/>
      </c>
      <c r="AR221" s="185" t="str">
        <f>IFERROR(__xludf.DUMMYFUNCTION("""COMPUTED_VALUE"""),"")</f>
        <v/>
      </c>
      <c r="AS221" s="185" t="str">
        <f>IFERROR(__xludf.DUMMYFUNCTION("""COMPUTED_VALUE"""),"")</f>
        <v/>
      </c>
      <c r="AT221" s="186" t="str">
        <f>IFERROR(__xludf.DUMMYFUNCTION("""COMPUTED_VALUE"""),"")</f>
        <v/>
      </c>
      <c r="AU221" s="185" t="str">
        <f>IFERROR(__xludf.DUMMYFUNCTION("""COMPUTED_VALUE"""),"")</f>
        <v/>
      </c>
      <c r="AV221" s="185" t="str">
        <f>IFERROR(__xludf.DUMMYFUNCTION("""COMPUTED_VALUE"""),"")</f>
        <v/>
      </c>
      <c r="AW221" s="186" t="str">
        <f>IFERROR(__xludf.DUMMYFUNCTION("""COMPUTED_VALUE"""),"")</f>
        <v/>
      </c>
      <c r="AX221" s="185" t="str">
        <f>IFERROR(__xludf.DUMMYFUNCTION("""COMPUTED_VALUE"""),"")</f>
        <v/>
      </c>
      <c r="AY221" s="185" t="str">
        <f>IFERROR(__xludf.DUMMYFUNCTION("""COMPUTED_VALUE"""),"")</f>
        <v/>
      </c>
      <c r="AZ221" s="186" t="str">
        <f>IFERROR(__xludf.DUMMYFUNCTION("""COMPUTED_VALUE"""),"")</f>
        <v/>
      </c>
      <c r="BA221" s="185" t="str">
        <f>IFERROR(__xludf.DUMMYFUNCTION("""COMPUTED_VALUE"""),"")</f>
        <v/>
      </c>
      <c r="BB221" s="185" t="str">
        <f>IFERROR(__xludf.DUMMYFUNCTION("""COMPUTED_VALUE"""),"")</f>
        <v/>
      </c>
      <c r="BC221" s="186" t="str">
        <f>IFERROR(__xludf.DUMMYFUNCTION("""COMPUTED_VALUE"""),"")</f>
        <v/>
      </c>
      <c r="BD221" s="185" t="str">
        <f>IFERROR(__xludf.DUMMYFUNCTION("""COMPUTED_VALUE"""),"")</f>
        <v/>
      </c>
      <c r="BE221" s="185" t="str">
        <f>IFERROR(__xludf.DUMMYFUNCTION("""COMPUTED_VALUE"""),"")</f>
        <v/>
      </c>
      <c r="BF221" s="186" t="str">
        <f>IFERROR(__xludf.DUMMYFUNCTION("""COMPUTED_VALUE"""),"")</f>
        <v/>
      </c>
      <c r="BG221" s="184" t="str">
        <f>IFERROR(__xludf.DUMMYFUNCTION("""COMPUTED_VALUE"""),"")</f>
        <v/>
      </c>
      <c r="BH221" s="185" t="str">
        <f>IFERROR(__xludf.DUMMYFUNCTION("""COMPUTED_VALUE"""),"")</f>
        <v/>
      </c>
      <c r="BI221" s="186" t="str">
        <f>IFERROR(__xludf.DUMMYFUNCTION("""COMPUTED_VALUE"""),"")</f>
        <v/>
      </c>
      <c r="BJ221" s="185" t="str">
        <f>IFERROR(__xludf.DUMMYFUNCTION("""COMPUTED_VALUE"""),"")</f>
        <v/>
      </c>
      <c r="BK221" s="185" t="str">
        <f>IFERROR(__xludf.DUMMYFUNCTION("""COMPUTED_VALUE"""),"")</f>
        <v/>
      </c>
      <c r="BL221" s="186" t="str">
        <f>IFERROR(__xludf.DUMMYFUNCTION("""COMPUTED_VALUE"""),"")</f>
        <v/>
      </c>
      <c r="BM221" s="187" t="str">
        <f>IFERROR(__xludf.DUMMYFUNCTION("""COMPUTED_VALUE"""),"")</f>
        <v/>
      </c>
      <c r="BN221" s="185" t="str">
        <f>IFERROR(__xludf.DUMMYFUNCTION("""COMPUTED_VALUE"""),"")</f>
        <v/>
      </c>
      <c r="BO221" s="186">
        <f>IFERROR(__xludf.DUMMYFUNCTION("""COMPUTED_VALUE"""),133.2)</f>
        <v>133.2</v>
      </c>
      <c r="BP221" s="185" t="str">
        <f>IFERROR(__xludf.DUMMYFUNCTION("""COMPUTED_VALUE"""),"")</f>
        <v/>
      </c>
      <c r="BQ221" s="185" t="str">
        <f>IFERROR(__xludf.DUMMYFUNCTION("""COMPUTED_VALUE"""),"")</f>
        <v/>
      </c>
      <c r="BR221" s="186" t="str">
        <f>IFERROR(__xludf.DUMMYFUNCTION("""COMPUTED_VALUE"""),"")</f>
        <v/>
      </c>
      <c r="BS221" s="185" t="str">
        <f>IFERROR(__xludf.DUMMYFUNCTION("""COMPUTED_VALUE"""),"")</f>
        <v/>
      </c>
      <c r="BT221" s="185" t="str">
        <f>IFERROR(__xludf.DUMMYFUNCTION("""COMPUTED_VALUE"""),"")</f>
        <v/>
      </c>
      <c r="BU221" s="186" t="str">
        <f>IFERROR(__xludf.DUMMYFUNCTION("""COMPUTED_VALUE"""),"")</f>
        <v/>
      </c>
      <c r="BV221" s="185" t="str">
        <f>IFERROR(__xludf.DUMMYFUNCTION("""COMPUTED_VALUE"""),"")</f>
        <v/>
      </c>
      <c r="BW221" s="185">
        <f>IFERROR(__xludf.DUMMYFUNCTION("""COMPUTED_VALUE"""),84.7)</f>
        <v>84.7</v>
      </c>
      <c r="BX221" s="186" t="str">
        <f>IFERROR(__xludf.DUMMYFUNCTION("""COMPUTED_VALUE"""),"")</f>
        <v/>
      </c>
      <c r="BY221" s="185" t="str">
        <f>IFERROR(__xludf.DUMMYFUNCTION("""COMPUTED_VALUE"""),"")</f>
        <v/>
      </c>
      <c r="BZ221" s="185" t="str">
        <f>IFERROR(__xludf.DUMMYFUNCTION("""COMPUTED_VALUE"""),"")</f>
        <v/>
      </c>
      <c r="CA221" s="186" t="str">
        <f>IFERROR(__xludf.DUMMYFUNCTION("""COMPUTED_VALUE"""),"")</f>
        <v/>
      </c>
      <c r="CB221" s="184" t="str">
        <f>IFERROR(__xludf.DUMMYFUNCTION("""COMPUTED_VALUE"""),"")</f>
        <v/>
      </c>
      <c r="CC221" s="185" t="str">
        <f>IFERROR(__xludf.DUMMYFUNCTION("""COMPUTED_VALUE"""),"")</f>
        <v/>
      </c>
      <c r="CD221" s="186" t="str">
        <f>IFERROR(__xludf.DUMMYFUNCTION("""COMPUTED_VALUE"""),"")</f>
        <v/>
      </c>
      <c r="CE221" s="185" t="str">
        <f>IFERROR(__xludf.DUMMYFUNCTION("""COMPUTED_VALUE"""),"")</f>
        <v/>
      </c>
      <c r="CF221" s="185" t="str">
        <f>IFERROR(__xludf.DUMMYFUNCTION("""COMPUTED_VALUE"""),"")</f>
        <v/>
      </c>
      <c r="CG221" s="186" t="str">
        <f>IFERROR(__xludf.DUMMYFUNCTION("""COMPUTED_VALUE"""),"")</f>
        <v/>
      </c>
      <c r="CH221" s="187" t="str">
        <f>IFERROR(__xludf.DUMMYFUNCTION("""COMPUTED_VALUE"""),"")</f>
        <v/>
      </c>
      <c r="CI221" s="185" t="str">
        <f>IFERROR(__xludf.DUMMYFUNCTION("""COMPUTED_VALUE"""),"")</f>
        <v/>
      </c>
      <c r="CJ221" s="186" t="str">
        <f>IFERROR(__xludf.DUMMYFUNCTION("""COMPUTED_VALUE"""),"")</f>
        <v/>
      </c>
      <c r="CK221" s="185" t="str">
        <f>IFERROR(__xludf.DUMMYFUNCTION("""COMPUTED_VALUE"""),"")</f>
        <v/>
      </c>
      <c r="CL221" s="185" t="str">
        <f>IFERROR(__xludf.DUMMYFUNCTION("""COMPUTED_VALUE"""),"")</f>
        <v/>
      </c>
      <c r="CM221" s="186" t="str">
        <f>IFERROR(__xludf.DUMMYFUNCTION("""COMPUTED_VALUE"""),"")</f>
        <v/>
      </c>
      <c r="CN221" s="185" t="str">
        <f>IFERROR(__xludf.DUMMYFUNCTION("""COMPUTED_VALUE"""),"")</f>
        <v/>
      </c>
      <c r="CO221" s="185" t="str">
        <f>IFERROR(__xludf.DUMMYFUNCTION("""COMPUTED_VALUE"""),"")</f>
        <v/>
      </c>
      <c r="CP221" s="186" t="str">
        <f>IFERROR(__xludf.DUMMYFUNCTION("""COMPUTED_VALUE"""),"")</f>
        <v/>
      </c>
      <c r="CQ221" s="185" t="str">
        <f>IFERROR(__xludf.DUMMYFUNCTION("""COMPUTED_VALUE"""),"")</f>
        <v/>
      </c>
      <c r="CR221" s="185" t="str">
        <f>IFERROR(__xludf.DUMMYFUNCTION("""COMPUTED_VALUE"""),"")</f>
        <v/>
      </c>
      <c r="CS221" s="186"/>
      <c r="CT221" s="185"/>
      <c r="CU221" s="185"/>
      <c r="CV221" s="186"/>
      <c r="CW221" s="185"/>
      <c r="CX221" s="185"/>
      <c r="CY221" s="186"/>
      <c r="CZ221" s="185"/>
      <c r="DA221" s="185"/>
      <c r="DB221" s="186"/>
      <c r="DC221" s="185"/>
      <c r="DD221" s="185"/>
      <c r="DE221" s="186"/>
      <c r="DF221" s="185"/>
      <c r="DG221" s="185"/>
      <c r="DH221" s="186"/>
      <c r="DI221" s="185"/>
      <c r="DJ221" s="185"/>
      <c r="DK221" s="186"/>
      <c r="DL221" s="185"/>
      <c r="DM221" s="185"/>
      <c r="DN221" s="186"/>
      <c r="DO221" s="185"/>
      <c r="DP221" s="185"/>
      <c r="DQ221" s="186"/>
      <c r="DR221" s="185"/>
      <c r="DS221" s="185"/>
      <c r="DT221" s="186"/>
    </row>
    <row r="222">
      <c r="B222" s="180" t="str">
        <f>IFERROR(__xludf.DUMMYFUNCTION("""COMPUTED_VALUE"""),"YKS4")</f>
        <v>YKS4</v>
      </c>
      <c r="C222">
        <f>IFERROR(__xludf.DUMMYFUNCTION("""COMPUTED_VALUE"""),219.0)</f>
        <v>219</v>
      </c>
      <c r="D222" s="178" t="str">
        <f>IFERROR(__xludf.DUMMYFUNCTION("""COMPUTED_VALUE"""),"Northern Sacred Mountain")</f>
        <v>Northern Sacred Mountain</v>
      </c>
      <c r="E222" s="83" t="str">
        <f>IFERROR(__xludf.DUMMYFUNCTION("""COMPUTED_VALUE"""),"北の霊峰")</f>
        <v>北の霊峰</v>
      </c>
      <c r="F222" s="179">
        <f>IFERROR(__xludf.DUMMYFUNCTION("""COMPUTED_VALUE"""),21.0)</f>
        <v>21</v>
      </c>
      <c r="G222" s="83">
        <f>IFERROR(__xludf.DUMMYFUNCTION("""COMPUTED_VALUE"""),11672.0)</f>
        <v>11672</v>
      </c>
      <c r="H222" s="95" t="str">
        <f>IFERROR(__xludf.DUMMYFUNCTION("""COMPUTED_VALUE"""),"")</f>
        <v/>
      </c>
      <c r="I222" s="96" t="str">
        <f>IFERROR(__xludf.DUMMYFUNCTION("""COMPUTED_VALUE"""),"")</f>
        <v/>
      </c>
      <c r="J222" s="97" t="str">
        <f>IFERROR(__xludf.DUMMYFUNCTION("""COMPUTED_VALUE"""),"")</f>
        <v/>
      </c>
      <c r="K222" s="95" t="str">
        <f>IFERROR(__xludf.DUMMYFUNCTION("""COMPUTED_VALUE"""),"")</f>
        <v/>
      </c>
      <c r="L222" s="96" t="str">
        <f>IFERROR(__xludf.DUMMYFUNCTION("""COMPUTED_VALUE"""),"")</f>
        <v/>
      </c>
      <c r="M222" s="97" t="str">
        <f>IFERROR(__xludf.DUMMYFUNCTION("""COMPUTED_VALUE"""),"")</f>
        <v/>
      </c>
      <c r="N222" s="95" t="str">
        <f>IFERROR(__xludf.DUMMYFUNCTION("""COMPUTED_VALUE"""),"")</f>
        <v/>
      </c>
      <c r="O222" s="96" t="str">
        <f>IFERROR(__xludf.DUMMYFUNCTION("""COMPUTED_VALUE"""),"")</f>
        <v/>
      </c>
      <c r="P222" s="97" t="str">
        <f>IFERROR(__xludf.DUMMYFUNCTION("""COMPUTED_VALUE"""),"")</f>
        <v/>
      </c>
      <c r="Q222" s="95" t="str">
        <f>IFERROR(__xludf.DUMMYFUNCTION("""COMPUTED_VALUE"""),"")</f>
        <v/>
      </c>
      <c r="R222" s="96" t="str">
        <f>IFERROR(__xludf.DUMMYFUNCTION("""COMPUTED_VALUE"""),"")</f>
        <v/>
      </c>
      <c r="S222" s="97" t="str">
        <f>IFERROR(__xludf.DUMMYFUNCTION("""COMPUTED_VALUE"""),"")</f>
        <v/>
      </c>
      <c r="T222" s="95" t="str">
        <f>IFERROR(__xludf.DUMMYFUNCTION("""COMPUTED_VALUE"""),"")</f>
        <v/>
      </c>
      <c r="U222" s="96" t="str">
        <f>IFERROR(__xludf.DUMMYFUNCTION("""COMPUTED_VALUE"""),"")</f>
        <v/>
      </c>
      <c r="V222" s="97">
        <f>IFERROR(__xludf.DUMMYFUNCTION("""COMPUTED_VALUE"""),213.5)</f>
        <v>213.5</v>
      </c>
      <c r="W222" s="95" t="str">
        <f>IFERROR(__xludf.DUMMYFUNCTION("""COMPUTED_VALUE"""),"")</f>
        <v/>
      </c>
      <c r="X222" s="96" t="str">
        <f>IFERROR(__xludf.DUMMYFUNCTION("""COMPUTED_VALUE"""),"")</f>
        <v/>
      </c>
      <c r="Y222" s="97" t="str">
        <f>IFERROR(__xludf.DUMMYFUNCTION("""COMPUTED_VALUE"""),"")</f>
        <v/>
      </c>
      <c r="Z222" s="95" t="str">
        <f>IFERROR(__xludf.DUMMYFUNCTION("""COMPUTED_VALUE"""),"")</f>
        <v/>
      </c>
      <c r="AA222" s="96" t="str">
        <f>IFERROR(__xludf.DUMMYFUNCTION("""COMPUTED_VALUE"""),"")</f>
        <v/>
      </c>
      <c r="AB222" s="97" t="str">
        <f>IFERROR(__xludf.DUMMYFUNCTION("""COMPUTED_VALUE"""),"")</f>
        <v/>
      </c>
      <c r="AC222" s="95" t="str">
        <f>IFERROR(__xludf.DUMMYFUNCTION("""COMPUTED_VALUE"""),"")</f>
        <v/>
      </c>
      <c r="AD222" s="96" t="str">
        <f>IFERROR(__xludf.DUMMYFUNCTION("""COMPUTED_VALUE"""),"")</f>
        <v/>
      </c>
      <c r="AE222" s="97" t="str">
        <f>IFERROR(__xludf.DUMMYFUNCTION("""COMPUTED_VALUE"""),"")</f>
        <v/>
      </c>
      <c r="AF222" s="95" t="str">
        <f>IFERROR(__xludf.DUMMYFUNCTION("""COMPUTED_VALUE"""),"")</f>
        <v/>
      </c>
      <c r="AG222" s="96" t="str">
        <f>IFERROR(__xludf.DUMMYFUNCTION("""COMPUTED_VALUE"""),"")</f>
        <v/>
      </c>
      <c r="AH222" s="97" t="str">
        <f>IFERROR(__xludf.DUMMYFUNCTION("""COMPUTED_VALUE"""),"")</f>
        <v/>
      </c>
      <c r="AI222" s="92" t="str">
        <f>IFERROR(__xludf.DUMMYFUNCTION("""COMPUTED_VALUE"""),"")</f>
        <v/>
      </c>
      <c r="AJ222" s="93" t="str">
        <f>IFERROR(__xludf.DUMMYFUNCTION("""COMPUTED_VALUE"""),"")</f>
        <v/>
      </c>
      <c r="AK222" s="94" t="str">
        <f>IFERROR(__xludf.DUMMYFUNCTION("""COMPUTED_VALUE"""),"")</f>
        <v/>
      </c>
      <c r="AL222" s="93" t="str">
        <f>IFERROR(__xludf.DUMMYFUNCTION("""COMPUTED_VALUE"""),"")</f>
        <v/>
      </c>
      <c r="AM222" s="93" t="str">
        <f>IFERROR(__xludf.DUMMYFUNCTION("""COMPUTED_VALUE"""),"")</f>
        <v/>
      </c>
      <c r="AN222" s="94" t="str">
        <f>IFERROR(__xludf.DUMMYFUNCTION("""COMPUTED_VALUE"""),"")</f>
        <v/>
      </c>
      <c r="AO222" s="93" t="str">
        <f>IFERROR(__xludf.DUMMYFUNCTION("""COMPUTED_VALUE"""),"")</f>
        <v/>
      </c>
      <c r="AP222" s="93" t="str">
        <f>IFERROR(__xludf.DUMMYFUNCTION("""COMPUTED_VALUE"""),"")</f>
        <v/>
      </c>
      <c r="AQ222" s="94" t="str">
        <f>IFERROR(__xludf.DUMMYFUNCTION("""COMPUTED_VALUE"""),"")</f>
        <v/>
      </c>
      <c r="AR222" s="93" t="str">
        <f>IFERROR(__xludf.DUMMYFUNCTION("""COMPUTED_VALUE"""),"")</f>
        <v/>
      </c>
      <c r="AS222" s="93" t="str">
        <f>IFERROR(__xludf.DUMMYFUNCTION("""COMPUTED_VALUE"""),"")</f>
        <v/>
      </c>
      <c r="AT222" s="94" t="str">
        <f>IFERROR(__xludf.DUMMYFUNCTION("""COMPUTED_VALUE"""),"")</f>
        <v/>
      </c>
      <c r="AU222" s="93" t="str">
        <f>IFERROR(__xludf.DUMMYFUNCTION("""COMPUTED_VALUE"""),"")</f>
        <v/>
      </c>
      <c r="AV222" s="93" t="str">
        <f>IFERROR(__xludf.DUMMYFUNCTION("""COMPUTED_VALUE"""),"")</f>
        <v/>
      </c>
      <c r="AW222" s="164">
        <f>IFERROR(__xludf.DUMMYFUNCTION("""COMPUTED_VALUE"""),70.0)</f>
        <v>70</v>
      </c>
      <c r="AX222" s="93">
        <f>IFERROR(__xludf.DUMMYFUNCTION("""COMPUTED_VALUE"""),72.8)</f>
        <v>72.8</v>
      </c>
      <c r="AY222" s="93" t="str">
        <f>IFERROR(__xludf.DUMMYFUNCTION("""COMPUTED_VALUE"""),"")</f>
        <v/>
      </c>
      <c r="AZ222" s="94" t="str">
        <f>IFERROR(__xludf.DUMMYFUNCTION("""COMPUTED_VALUE"""),"")</f>
        <v/>
      </c>
      <c r="BA222" s="93" t="str">
        <f>IFERROR(__xludf.DUMMYFUNCTION("""COMPUTED_VALUE"""),"")</f>
        <v/>
      </c>
      <c r="BB222" s="93" t="str">
        <f>IFERROR(__xludf.DUMMYFUNCTION("""COMPUTED_VALUE"""),"")</f>
        <v/>
      </c>
      <c r="BC222" s="94" t="str">
        <f>IFERROR(__xludf.DUMMYFUNCTION("""COMPUTED_VALUE"""),"")</f>
        <v/>
      </c>
      <c r="BD222" s="93" t="str">
        <f>IFERROR(__xludf.DUMMYFUNCTION("""COMPUTED_VALUE"""),"")</f>
        <v/>
      </c>
      <c r="BE222" s="93">
        <f>IFERROR(__xludf.DUMMYFUNCTION("""COMPUTED_VALUE"""),506.1)</f>
        <v>506.1</v>
      </c>
      <c r="BF222" s="94" t="str">
        <f>IFERROR(__xludf.DUMMYFUNCTION("""COMPUTED_VALUE"""),"")</f>
        <v/>
      </c>
      <c r="BG222" s="92" t="str">
        <f>IFERROR(__xludf.DUMMYFUNCTION("""COMPUTED_VALUE"""),"")</f>
        <v/>
      </c>
      <c r="BH222" s="93" t="str">
        <f>IFERROR(__xludf.DUMMYFUNCTION("""COMPUTED_VALUE"""),"")</f>
        <v/>
      </c>
      <c r="BI222" s="94" t="str">
        <f>IFERROR(__xludf.DUMMYFUNCTION("""COMPUTED_VALUE"""),"")</f>
        <v/>
      </c>
      <c r="BJ222" s="93" t="str">
        <f>IFERROR(__xludf.DUMMYFUNCTION("""COMPUTED_VALUE"""),"")</f>
        <v/>
      </c>
      <c r="BK222" s="93" t="str">
        <f>IFERROR(__xludf.DUMMYFUNCTION("""COMPUTED_VALUE"""),"")</f>
        <v/>
      </c>
      <c r="BL222" s="94" t="str">
        <f>IFERROR(__xludf.DUMMYFUNCTION("""COMPUTED_VALUE"""),"")</f>
        <v/>
      </c>
      <c r="BM222" s="93" t="str">
        <f>IFERROR(__xludf.DUMMYFUNCTION("""COMPUTED_VALUE"""),"")</f>
        <v/>
      </c>
      <c r="BN222" s="93" t="str">
        <f>IFERROR(__xludf.DUMMYFUNCTION("""COMPUTED_VALUE"""),"")</f>
        <v/>
      </c>
      <c r="BO222" s="94" t="str">
        <f>IFERROR(__xludf.DUMMYFUNCTION("""COMPUTED_VALUE"""),"")</f>
        <v/>
      </c>
      <c r="BP222" s="93" t="str">
        <f>IFERROR(__xludf.DUMMYFUNCTION("""COMPUTED_VALUE"""),"")</f>
        <v/>
      </c>
      <c r="BQ222" s="93" t="str">
        <f>IFERROR(__xludf.DUMMYFUNCTION("""COMPUTED_VALUE"""),"")</f>
        <v/>
      </c>
      <c r="BR222" s="94" t="str">
        <f>IFERROR(__xludf.DUMMYFUNCTION("""COMPUTED_VALUE"""),"")</f>
        <v/>
      </c>
      <c r="BS222" s="93" t="str">
        <f>IFERROR(__xludf.DUMMYFUNCTION("""COMPUTED_VALUE"""),"")</f>
        <v/>
      </c>
      <c r="BT222" s="93" t="str">
        <f>IFERROR(__xludf.DUMMYFUNCTION("""COMPUTED_VALUE"""),"")</f>
        <v/>
      </c>
      <c r="BU222" s="94" t="str">
        <f>IFERROR(__xludf.DUMMYFUNCTION("""COMPUTED_VALUE"""),"")</f>
        <v/>
      </c>
      <c r="BV222" s="93" t="str">
        <f>IFERROR(__xludf.DUMMYFUNCTION("""COMPUTED_VALUE"""),"")</f>
        <v/>
      </c>
      <c r="BW222" s="93">
        <f>IFERROR(__xludf.DUMMYFUNCTION("""COMPUTED_VALUE"""),84.2)</f>
        <v>84.2</v>
      </c>
      <c r="BX222" s="94" t="str">
        <f>IFERROR(__xludf.DUMMYFUNCTION("""COMPUTED_VALUE"""),"")</f>
        <v/>
      </c>
      <c r="BY222" s="93" t="str">
        <f>IFERROR(__xludf.DUMMYFUNCTION("""COMPUTED_VALUE"""),"")</f>
        <v/>
      </c>
      <c r="BZ222" s="93" t="str">
        <f>IFERROR(__xludf.DUMMYFUNCTION("""COMPUTED_VALUE"""),"")</f>
        <v/>
      </c>
      <c r="CA222" s="94" t="str">
        <f>IFERROR(__xludf.DUMMYFUNCTION("""COMPUTED_VALUE"""),"")</f>
        <v/>
      </c>
      <c r="CB222" s="92" t="str">
        <f>IFERROR(__xludf.DUMMYFUNCTION("""COMPUTED_VALUE"""),"")</f>
        <v/>
      </c>
      <c r="CC222" s="93" t="str">
        <f>IFERROR(__xludf.DUMMYFUNCTION("""COMPUTED_VALUE"""),"")</f>
        <v/>
      </c>
      <c r="CD222" s="94" t="str">
        <f>IFERROR(__xludf.DUMMYFUNCTION("""COMPUTED_VALUE"""),"")</f>
        <v/>
      </c>
      <c r="CE222" s="93" t="str">
        <f>IFERROR(__xludf.DUMMYFUNCTION("""COMPUTED_VALUE"""),"")</f>
        <v/>
      </c>
      <c r="CF222" s="93" t="str">
        <f>IFERROR(__xludf.DUMMYFUNCTION("""COMPUTED_VALUE"""),"")</f>
        <v/>
      </c>
      <c r="CG222" s="94" t="str">
        <f>IFERROR(__xludf.DUMMYFUNCTION("""COMPUTED_VALUE"""),"")</f>
        <v/>
      </c>
      <c r="CH222" s="93" t="str">
        <f>IFERROR(__xludf.DUMMYFUNCTION("""COMPUTED_VALUE"""),"")</f>
        <v/>
      </c>
      <c r="CI222" s="93" t="str">
        <f>IFERROR(__xludf.DUMMYFUNCTION("""COMPUTED_VALUE"""),"")</f>
        <v/>
      </c>
      <c r="CJ222" s="94" t="str">
        <f>IFERROR(__xludf.DUMMYFUNCTION("""COMPUTED_VALUE"""),"")</f>
        <v/>
      </c>
      <c r="CK222" s="93" t="str">
        <f>IFERROR(__xludf.DUMMYFUNCTION("""COMPUTED_VALUE"""),"")</f>
        <v/>
      </c>
      <c r="CL222" s="93" t="str">
        <f>IFERROR(__xludf.DUMMYFUNCTION("""COMPUTED_VALUE"""),"")</f>
        <v/>
      </c>
      <c r="CM222" s="94" t="str">
        <f>IFERROR(__xludf.DUMMYFUNCTION("""COMPUTED_VALUE"""),"")</f>
        <v/>
      </c>
      <c r="CN222" s="93">
        <f>IFERROR(__xludf.DUMMYFUNCTION("""COMPUTED_VALUE"""),444.7)</f>
        <v>444.7</v>
      </c>
      <c r="CO222" s="93" t="str">
        <f>IFERROR(__xludf.DUMMYFUNCTION("""COMPUTED_VALUE"""),"")</f>
        <v/>
      </c>
      <c r="CP222" s="94" t="str">
        <f>IFERROR(__xludf.DUMMYFUNCTION("""COMPUTED_VALUE"""),"")</f>
        <v/>
      </c>
      <c r="CQ222" s="93" t="str">
        <f>IFERROR(__xludf.DUMMYFUNCTION("""COMPUTED_VALUE"""),"")</f>
        <v/>
      </c>
      <c r="CR222" s="93" t="str">
        <f>IFERROR(__xludf.DUMMYFUNCTION("""COMPUTED_VALUE"""),"")</f>
        <v/>
      </c>
      <c r="CS222" s="94"/>
      <c r="CT222" s="93"/>
      <c r="CU222" s="93"/>
      <c r="CV222" s="94"/>
      <c r="CW222" s="93"/>
      <c r="CX222" s="93"/>
      <c r="CY222" s="94"/>
      <c r="CZ222" s="93"/>
      <c r="DA222" s="93"/>
      <c r="DB222" s="94"/>
      <c r="DC222" s="93"/>
      <c r="DD222" s="93"/>
      <c r="DE222" s="94"/>
      <c r="DF222" s="93"/>
      <c r="DG222" s="93"/>
      <c r="DH222" s="94"/>
      <c r="DI222" s="93"/>
      <c r="DJ222" s="93"/>
      <c r="DK222" s="94"/>
      <c r="DL222" s="93"/>
      <c r="DM222" s="93"/>
      <c r="DN222" s="94"/>
      <c r="DO222" s="93"/>
      <c r="DP222" s="93"/>
      <c r="DQ222" s="94"/>
      <c r="DR222" s="93"/>
      <c r="DS222" s="93"/>
      <c r="DT222" s="94"/>
    </row>
    <row r="223">
      <c r="B223" s="180" t="str">
        <f>IFERROR(__xludf.DUMMYFUNCTION("""COMPUTED_VALUE"""),"YKS5")</f>
        <v>YKS5</v>
      </c>
      <c r="C223">
        <f>IFERROR(__xludf.DUMMYFUNCTION("""COMPUTED_VALUE"""),220.0)</f>
        <v>220</v>
      </c>
      <c r="D223" s="178" t="str">
        <f>IFERROR(__xludf.DUMMYFUNCTION("""COMPUTED_VALUE"""),"Western Fault")</f>
        <v>Western Fault</v>
      </c>
      <c r="E223" s="83" t="str">
        <f>IFERROR(__xludf.DUMMYFUNCTION("""COMPUTED_VALUE"""),"西の断層")</f>
        <v>西の断層</v>
      </c>
      <c r="F223" s="179">
        <f>IFERROR(__xludf.DUMMYFUNCTION("""COMPUTED_VALUE"""),21.0)</f>
        <v>21</v>
      </c>
      <c r="G223" s="83">
        <f>IFERROR(__xludf.DUMMYFUNCTION("""COMPUTED_VALUE"""),12456.0)</f>
        <v>12456</v>
      </c>
      <c r="H223" s="95">
        <f>IFERROR(__xludf.DUMMYFUNCTION("""COMPUTED_VALUE"""),108.2)</f>
        <v>108.2</v>
      </c>
      <c r="I223" s="96" t="str">
        <f>IFERROR(__xludf.DUMMYFUNCTION("""COMPUTED_VALUE"""),"")</f>
        <v/>
      </c>
      <c r="J223" s="97" t="str">
        <f>IFERROR(__xludf.DUMMYFUNCTION("""COMPUTED_VALUE"""),"")</f>
        <v/>
      </c>
      <c r="K223" s="95" t="str">
        <f>IFERROR(__xludf.DUMMYFUNCTION("""COMPUTED_VALUE"""),"")</f>
        <v/>
      </c>
      <c r="L223" s="96" t="str">
        <f>IFERROR(__xludf.DUMMYFUNCTION("""COMPUTED_VALUE"""),"")</f>
        <v/>
      </c>
      <c r="M223" s="97" t="str">
        <f>IFERROR(__xludf.DUMMYFUNCTION("""COMPUTED_VALUE"""),"")</f>
        <v/>
      </c>
      <c r="N223" s="95" t="str">
        <f>IFERROR(__xludf.DUMMYFUNCTION("""COMPUTED_VALUE"""),"")</f>
        <v/>
      </c>
      <c r="O223" s="96" t="str">
        <f>IFERROR(__xludf.DUMMYFUNCTION("""COMPUTED_VALUE"""),"")</f>
        <v/>
      </c>
      <c r="P223" s="97" t="str">
        <f>IFERROR(__xludf.DUMMYFUNCTION("""COMPUTED_VALUE"""),"")</f>
        <v/>
      </c>
      <c r="Q223" s="95" t="str">
        <f>IFERROR(__xludf.DUMMYFUNCTION("""COMPUTED_VALUE"""),"")</f>
        <v/>
      </c>
      <c r="R223" s="96" t="str">
        <f>IFERROR(__xludf.DUMMYFUNCTION("""COMPUTED_VALUE"""),"")</f>
        <v/>
      </c>
      <c r="S223" s="97" t="str">
        <f>IFERROR(__xludf.DUMMYFUNCTION("""COMPUTED_VALUE"""),"")</f>
        <v/>
      </c>
      <c r="T223" s="95" t="str">
        <f>IFERROR(__xludf.DUMMYFUNCTION("""COMPUTED_VALUE"""),"")</f>
        <v/>
      </c>
      <c r="U223" s="96" t="str">
        <f>IFERROR(__xludf.DUMMYFUNCTION("""COMPUTED_VALUE"""),"")</f>
        <v/>
      </c>
      <c r="V223" s="97" t="str">
        <f>IFERROR(__xludf.DUMMYFUNCTION("""COMPUTED_VALUE"""),"")</f>
        <v/>
      </c>
      <c r="W223" s="95" t="str">
        <f>IFERROR(__xludf.DUMMYFUNCTION("""COMPUTED_VALUE"""),"")</f>
        <v/>
      </c>
      <c r="X223" s="96" t="str">
        <f>IFERROR(__xludf.DUMMYFUNCTION("""COMPUTED_VALUE"""),"")</f>
        <v/>
      </c>
      <c r="Y223" s="97" t="str">
        <f>IFERROR(__xludf.DUMMYFUNCTION("""COMPUTED_VALUE"""),"")</f>
        <v/>
      </c>
      <c r="Z223" s="95" t="str">
        <f>IFERROR(__xludf.DUMMYFUNCTION("""COMPUTED_VALUE"""),"")</f>
        <v/>
      </c>
      <c r="AA223" s="96" t="str">
        <f>IFERROR(__xludf.DUMMYFUNCTION("""COMPUTED_VALUE"""),"")</f>
        <v/>
      </c>
      <c r="AB223" s="97" t="str">
        <f>IFERROR(__xludf.DUMMYFUNCTION("""COMPUTED_VALUE"""),"")</f>
        <v/>
      </c>
      <c r="AC223" s="95" t="str">
        <f>IFERROR(__xludf.DUMMYFUNCTION("""COMPUTED_VALUE"""),"")</f>
        <v/>
      </c>
      <c r="AD223" s="96" t="str">
        <f>IFERROR(__xludf.DUMMYFUNCTION("""COMPUTED_VALUE"""),"")</f>
        <v/>
      </c>
      <c r="AE223" s="97" t="str">
        <f>IFERROR(__xludf.DUMMYFUNCTION("""COMPUTED_VALUE"""),"")</f>
        <v/>
      </c>
      <c r="AF223" s="95" t="str">
        <f>IFERROR(__xludf.DUMMYFUNCTION("""COMPUTED_VALUE"""),"")</f>
        <v/>
      </c>
      <c r="AG223" s="96" t="str">
        <f>IFERROR(__xludf.DUMMYFUNCTION("""COMPUTED_VALUE"""),"")</f>
        <v/>
      </c>
      <c r="AH223" s="97" t="str">
        <f>IFERROR(__xludf.DUMMYFUNCTION("""COMPUTED_VALUE"""),"")</f>
        <v/>
      </c>
      <c r="AI223" s="184" t="str">
        <f>IFERROR(__xludf.DUMMYFUNCTION("""COMPUTED_VALUE"""),"")</f>
        <v/>
      </c>
      <c r="AJ223" s="185" t="str">
        <f>IFERROR(__xludf.DUMMYFUNCTION("""COMPUTED_VALUE"""),"")</f>
        <v/>
      </c>
      <c r="AK223" s="186" t="str">
        <f>IFERROR(__xludf.DUMMYFUNCTION("""COMPUTED_VALUE"""),"")</f>
        <v/>
      </c>
      <c r="AL223" s="185" t="str">
        <f>IFERROR(__xludf.DUMMYFUNCTION("""COMPUTED_VALUE"""),"")</f>
        <v/>
      </c>
      <c r="AM223" s="185" t="str">
        <f>IFERROR(__xludf.DUMMYFUNCTION("""COMPUTED_VALUE"""),"")</f>
        <v/>
      </c>
      <c r="AN223" s="186" t="str">
        <f>IFERROR(__xludf.DUMMYFUNCTION("""COMPUTED_VALUE"""),"")</f>
        <v/>
      </c>
      <c r="AO223" s="185" t="str">
        <f>IFERROR(__xludf.DUMMYFUNCTION("""COMPUTED_VALUE"""),"")</f>
        <v/>
      </c>
      <c r="AP223" s="185">
        <f>IFERROR(__xludf.DUMMYFUNCTION("""COMPUTED_VALUE"""),83.5)</f>
        <v>83.5</v>
      </c>
      <c r="AQ223" s="186" t="str">
        <f>IFERROR(__xludf.DUMMYFUNCTION("""COMPUTED_VALUE"""),"")</f>
        <v/>
      </c>
      <c r="AR223" s="185" t="str">
        <f>IFERROR(__xludf.DUMMYFUNCTION("""COMPUTED_VALUE"""),"")</f>
        <v/>
      </c>
      <c r="AS223" s="185" t="str">
        <f>IFERROR(__xludf.DUMMYFUNCTION("""COMPUTED_VALUE"""),"")</f>
        <v/>
      </c>
      <c r="AT223" s="186" t="str">
        <f>IFERROR(__xludf.DUMMYFUNCTION("""COMPUTED_VALUE"""),"")</f>
        <v/>
      </c>
      <c r="AU223" s="185" t="str">
        <f>IFERROR(__xludf.DUMMYFUNCTION("""COMPUTED_VALUE"""),"")</f>
        <v/>
      </c>
      <c r="AV223" s="185" t="str">
        <f>IFERROR(__xludf.DUMMYFUNCTION("""COMPUTED_VALUE"""),"")</f>
        <v/>
      </c>
      <c r="AW223" s="186" t="str">
        <f>IFERROR(__xludf.DUMMYFUNCTION("""COMPUTED_VALUE"""),"")</f>
        <v/>
      </c>
      <c r="AX223" s="185" t="str">
        <f>IFERROR(__xludf.DUMMYFUNCTION("""COMPUTED_VALUE"""),"")</f>
        <v/>
      </c>
      <c r="AY223" s="185" t="str">
        <f>IFERROR(__xludf.DUMMYFUNCTION("""COMPUTED_VALUE"""),"")</f>
        <v/>
      </c>
      <c r="AZ223" s="186" t="str">
        <f>IFERROR(__xludf.DUMMYFUNCTION("""COMPUTED_VALUE"""),"")</f>
        <v/>
      </c>
      <c r="BA223" s="185" t="str">
        <f>IFERROR(__xludf.DUMMYFUNCTION("""COMPUTED_VALUE"""),"")</f>
        <v/>
      </c>
      <c r="BB223" s="185" t="str">
        <f>IFERROR(__xludf.DUMMYFUNCTION("""COMPUTED_VALUE"""),"")</f>
        <v/>
      </c>
      <c r="BC223" s="186" t="str">
        <f>IFERROR(__xludf.DUMMYFUNCTION("""COMPUTED_VALUE"""),"")</f>
        <v/>
      </c>
      <c r="BD223" s="185" t="str">
        <f>IFERROR(__xludf.DUMMYFUNCTION("""COMPUTED_VALUE"""),"")</f>
        <v/>
      </c>
      <c r="BE223" s="185" t="str">
        <f>IFERROR(__xludf.DUMMYFUNCTION("""COMPUTED_VALUE"""),"")</f>
        <v/>
      </c>
      <c r="BF223" s="186" t="str">
        <f>IFERROR(__xludf.DUMMYFUNCTION("""COMPUTED_VALUE"""),"")</f>
        <v/>
      </c>
      <c r="BG223" s="184" t="str">
        <f>IFERROR(__xludf.DUMMYFUNCTION("""COMPUTED_VALUE"""),"")</f>
        <v/>
      </c>
      <c r="BH223" s="185" t="str">
        <f>IFERROR(__xludf.DUMMYFUNCTION("""COMPUTED_VALUE"""),"")</f>
        <v/>
      </c>
      <c r="BI223" s="186" t="str">
        <f>IFERROR(__xludf.DUMMYFUNCTION("""COMPUTED_VALUE"""),"")</f>
        <v/>
      </c>
      <c r="BJ223" s="185" t="str">
        <f>IFERROR(__xludf.DUMMYFUNCTION("""COMPUTED_VALUE"""),"")</f>
        <v/>
      </c>
      <c r="BK223" s="185" t="str">
        <f>IFERROR(__xludf.DUMMYFUNCTION("""COMPUTED_VALUE"""),"")</f>
        <v/>
      </c>
      <c r="BL223" s="186" t="str">
        <f>IFERROR(__xludf.DUMMYFUNCTION("""COMPUTED_VALUE"""),"")</f>
        <v/>
      </c>
      <c r="BM223" s="185">
        <f>IFERROR(__xludf.DUMMYFUNCTION("""COMPUTED_VALUE"""),88.2)</f>
        <v>88.2</v>
      </c>
      <c r="BN223" s="185" t="str">
        <f>IFERROR(__xludf.DUMMYFUNCTION("""COMPUTED_VALUE"""),"")</f>
        <v/>
      </c>
      <c r="BO223" s="186" t="str">
        <f>IFERROR(__xludf.DUMMYFUNCTION("""COMPUTED_VALUE"""),"")</f>
        <v/>
      </c>
      <c r="BP223" s="185" t="str">
        <f>IFERROR(__xludf.DUMMYFUNCTION("""COMPUTED_VALUE"""),"")</f>
        <v/>
      </c>
      <c r="BQ223" s="185" t="str">
        <f>IFERROR(__xludf.DUMMYFUNCTION("""COMPUTED_VALUE"""),"")</f>
        <v/>
      </c>
      <c r="BR223" s="186" t="str">
        <f>IFERROR(__xludf.DUMMYFUNCTION("""COMPUTED_VALUE"""),"")</f>
        <v/>
      </c>
      <c r="BS223" s="185" t="str">
        <f>IFERROR(__xludf.DUMMYFUNCTION("""COMPUTED_VALUE"""),"")</f>
        <v/>
      </c>
      <c r="BT223" s="185" t="str">
        <f>IFERROR(__xludf.DUMMYFUNCTION("""COMPUTED_VALUE"""),"")</f>
        <v/>
      </c>
      <c r="BU223" s="186" t="str">
        <f>IFERROR(__xludf.DUMMYFUNCTION("""COMPUTED_VALUE"""),"")</f>
        <v/>
      </c>
      <c r="BV223" s="185" t="str">
        <f>IFERROR(__xludf.DUMMYFUNCTION("""COMPUTED_VALUE"""),"")</f>
        <v/>
      </c>
      <c r="BW223" s="185">
        <f>IFERROR(__xludf.DUMMYFUNCTION("""COMPUTED_VALUE"""),84.3)</f>
        <v>84.3</v>
      </c>
      <c r="BX223" s="186" t="str">
        <f>IFERROR(__xludf.DUMMYFUNCTION("""COMPUTED_VALUE"""),"")</f>
        <v/>
      </c>
      <c r="BY223" s="185" t="str">
        <f>IFERROR(__xludf.DUMMYFUNCTION("""COMPUTED_VALUE"""),"")</f>
        <v/>
      </c>
      <c r="BZ223" s="185" t="str">
        <f>IFERROR(__xludf.DUMMYFUNCTION("""COMPUTED_VALUE"""),"")</f>
        <v/>
      </c>
      <c r="CA223" s="186" t="str">
        <f>IFERROR(__xludf.DUMMYFUNCTION("""COMPUTED_VALUE"""),"")</f>
        <v/>
      </c>
      <c r="CB223" s="184" t="str">
        <f>IFERROR(__xludf.DUMMYFUNCTION("""COMPUTED_VALUE"""),"")</f>
        <v/>
      </c>
      <c r="CC223" s="185" t="str">
        <f>IFERROR(__xludf.DUMMYFUNCTION("""COMPUTED_VALUE"""),"")</f>
        <v/>
      </c>
      <c r="CD223" s="186" t="str">
        <f>IFERROR(__xludf.DUMMYFUNCTION("""COMPUTED_VALUE"""),"")</f>
        <v/>
      </c>
      <c r="CE223" s="185" t="str">
        <f>IFERROR(__xludf.DUMMYFUNCTION("""COMPUTED_VALUE"""),"")</f>
        <v/>
      </c>
      <c r="CF223" s="185" t="str">
        <f>IFERROR(__xludf.DUMMYFUNCTION("""COMPUTED_VALUE"""),"")</f>
        <v/>
      </c>
      <c r="CG223" s="186" t="str">
        <f>IFERROR(__xludf.DUMMYFUNCTION("""COMPUTED_VALUE"""),"")</f>
        <v/>
      </c>
      <c r="CH223" s="185" t="str">
        <f>IFERROR(__xludf.DUMMYFUNCTION("""COMPUTED_VALUE"""),"")</f>
        <v/>
      </c>
      <c r="CI223" s="185" t="str">
        <f>IFERROR(__xludf.DUMMYFUNCTION("""COMPUTED_VALUE"""),"")</f>
        <v/>
      </c>
      <c r="CJ223" s="186" t="str">
        <f>IFERROR(__xludf.DUMMYFUNCTION("""COMPUTED_VALUE"""),"")</f>
        <v/>
      </c>
      <c r="CK223" s="185" t="str">
        <f>IFERROR(__xludf.DUMMYFUNCTION("""COMPUTED_VALUE"""),"")</f>
        <v/>
      </c>
      <c r="CL223" s="185" t="str">
        <f>IFERROR(__xludf.DUMMYFUNCTION("""COMPUTED_VALUE"""),"")</f>
        <v/>
      </c>
      <c r="CM223" s="186" t="str">
        <f>IFERROR(__xludf.DUMMYFUNCTION("""COMPUTED_VALUE"""),"")</f>
        <v/>
      </c>
      <c r="CN223" s="185" t="str">
        <f>IFERROR(__xludf.DUMMYFUNCTION("""COMPUTED_VALUE"""),"")</f>
        <v/>
      </c>
      <c r="CO223" s="185">
        <f>IFERROR(__xludf.DUMMYFUNCTION("""COMPUTED_VALUE"""),156.4)</f>
        <v>156.4</v>
      </c>
      <c r="CP223" s="186" t="str">
        <f>IFERROR(__xludf.DUMMYFUNCTION("""COMPUTED_VALUE"""),"")</f>
        <v/>
      </c>
      <c r="CQ223" s="185" t="str">
        <f>IFERROR(__xludf.DUMMYFUNCTION("""COMPUTED_VALUE"""),"")</f>
        <v/>
      </c>
      <c r="CR223" s="185" t="str">
        <f>IFERROR(__xludf.DUMMYFUNCTION("""COMPUTED_VALUE"""),"")</f>
        <v/>
      </c>
      <c r="CS223" s="186"/>
      <c r="CT223" s="185"/>
      <c r="CU223" s="185"/>
      <c r="CV223" s="186"/>
      <c r="CW223" s="185"/>
      <c r="CX223" s="185"/>
      <c r="CY223" s="186"/>
      <c r="CZ223" s="185"/>
      <c r="DA223" s="185"/>
      <c r="DB223" s="186"/>
      <c r="DC223" s="185"/>
      <c r="DD223" s="185"/>
      <c r="DE223" s="186"/>
      <c r="DF223" s="185"/>
      <c r="DG223" s="185"/>
      <c r="DH223" s="186"/>
      <c r="DI223" s="185"/>
      <c r="DJ223" s="185"/>
      <c r="DK223" s="186"/>
      <c r="DL223" s="185"/>
      <c r="DM223" s="185"/>
      <c r="DN223" s="186"/>
      <c r="DO223" s="185"/>
      <c r="DP223" s="185"/>
      <c r="DQ223" s="186"/>
      <c r="DR223" s="185"/>
      <c r="DS223" s="185"/>
      <c r="DT223" s="186"/>
    </row>
    <row r="224">
      <c r="B224" s="180" t="str">
        <f>IFERROR(__xludf.DUMMYFUNCTION("""COMPUTED_VALUE"""),"YKS6")</f>
        <v>YKS6</v>
      </c>
      <c r="C224">
        <f>IFERROR(__xludf.DUMMYFUNCTION("""COMPUTED_VALUE"""),221.0)</f>
        <v>221</v>
      </c>
      <c r="D224" s="178" t="str">
        <f>IFERROR(__xludf.DUMMYFUNCTION("""COMPUTED_VALUE"""),"Deewar")</f>
        <v>Deewar</v>
      </c>
      <c r="E224" s="83" t="str">
        <f>IFERROR(__xludf.DUMMYFUNCTION("""COMPUTED_VALUE"""),"ディーヴァール")</f>
        <v>ディーヴァール</v>
      </c>
      <c r="F224" s="179">
        <f>IFERROR(__xludf.DUMMYFUNCTION("""COMPUTED_VALUE"""),21.0)</f>
        <v>21</v>
      </c>
      <c r="G224" s="83">
        <f>IFERROR(__xludf.DUMMYFUNCTION("""COMPUTED_VALUE"""),91778.0)</f>
        <v>91778</v>
      </c>
      <c r="H224" s="95" t="str">
        <f>IFERROR(__xludf.DUMMYFUNCTION("""COMPUTED_VALUE"""),"")</f>
        <v/>
      </c>
      <c r="I224" s="96" t="str">
        <f>IFERROR(__xludf.DUMMYFUNCTION("""COMPUTED_VALUE"""),"")</f>
        <v/>
      </c>
      <c r="J224" s="97" t="str">
        <f>IFERROR(__xludf.DUMMYFUNCTION("""COMPUTED_VALUE"""),"")</f>
        <v/>
      </c>
      <c r="K224" s="95" t="str">
        <f>IFERROR(__xludf.DUMMYFUNCTION("""COMPUTED_VALUE"""),"")</f>
        <v/>
      </c>
      <c r="L224" s="96" t="str">
        <f>IFERROR(__xludf.DUMMYFUNCTION("""COMPUTED_VALUE"""),"")</f>
        <v/>
      </c>
      <c r="M224" s="97" t="str">
        <f>IFERROR(__xludf.DUMMYFUNCTION("""COMPUTED_VALUE"""),"")</f>
        <v/>
      </c>
      <c r="N224" s="95" t="str">
        <f>IFERROR(__xludf.DUMMYFUNCTION("""COMPUTED_VALUE"""),"")</f>
        <v/>
      </c>
      <c r="O224" s="96" t="str">
        <f>IFERROR(__xludf.DUMMYFUNCTION("""COMPUTED_VALUE"""),"")</f>
        <v/>
      </c>
      <c r="P224" s="97" t="str">
        <f>IFERROR(__xludf.DUMMYFUNCTION("""COMPUTED_VALUE"""),"")</f>
        <v/>
      </c>
      <c r="Q224" s="95" t="str">
        <f>IFERROR(__xludf.DUMMYFUNCTION("""COMPUTED_VALUE"""),"")</f>
        <v/>
      </c>
      <c r="R224" s="96" t="str">
        <f>IFERROR(__xludf.DUMMYFUNCTION("""COMPUTED_VALUE"""),"")</f>
        <v/>
      </c>
      <c r="S224" s="97" t="str">
        <f>IFERROR(__xludf.DUMMYFUNCTION("""COMPUTED_VALUE"""),"")</f>
        <v/>
      </c>
      <c r="T224" s="95" t="str">
        <f>IFERROR(__xludf.DUMMYFUNCTION("""COMPUTED_VALUE"""),"")</f>
        <v/>
      </c>
      <c r="U224" s="96" t="str">
        <f>IFERROR(__xludf.DUMMYFUNCTION("""COMPUTED_VALUE"""),"")</f>
        <v/>
      </c>
      <c r="V224" s="97">
        <f>IFERROR(__xludf.DUMMYFUNCTION("""COMPUTED_VALUE"""),170.4)</f>
        <v>170.4</v>
      </c>
      <c r="W224" s="95" t="str">
        <f>IFERROR(__xludf.DUMMYFUNCTION("""COMPUTED_VALUE"""),"")</f>
        <v/>
      </c>
      <c r="X224" s="96" t="str">
        <f>IFERROR(__xludf.DUMMYFUNCTION("""COMPUTED_VALUE"""),"")</f>
        <v/>
      </c>
      <c r="Y224" s="97" t="str">
        <f>IFERROR(__xludf.DUMMYFUNCTION("""COMPUTED_VALUE"""),"")</f>
        <v/>
      </c>
      <c r="Z224" s="95" t="str">
        <f>IFERROR(__xludf.DUMMYFUNCTION("""COMPUTED_VALUE"""),"")</f>
        <v/>
      </c>
      <c r="AA224" s="96" t="str">
        <f>IFERROR(__xludf.DUMMYFUNCTION("""COMPUTED_VALUE"""),"")</f>
        <v/>
      </c>
      <c r="AB224" s="97" t="str">
        <f>IFERROR(__xludf.DUMMYFUNCTION("""COMPUTED_VALUE"""),"")</f>
        <v/>
      </c>
      <c r="AC224" s="95" t="str">
        <f>IFERROR(__xludf.DUMMYFUNCTION("""COMPUTED_VALUE"""),"")</f>
        <v/>
      </c>
      <c r="AD224" s="96" t="str">
        <f>IFERROR(__xludf.DUMMYFUNCTION("""COMPUTED_VALUE"""),"")</f>
        <v/>
      </c>
      <c r="AE224" s="97" t="str">
        <f>IFERROR(__xludf.DUMMYFUNCTION("""COMPUTED_VALUE"""),"")</f>
        <v/>
      </c>
      <c r="AF224" s="95" t="str">
        <f>IFERROR(__xludf.DUMMYFUNCTION("""COMPUTED_VALUE"""),"")</f>
        <v/>
      </c>
      <c r="AG224" s="96" t="str">
        <f>IFERROR(__xludf.DUMMYFUNCTION("""COMPUTED_VALUE"""),"")</f>
        <v/>
      </c>
      <c r="AH224" s="97" t="str">
        <f>IFERROR(__xludf.DUMMYFUNCTION("""COMPUTED_VALUE"""),"")</f>
        <v/>
      </c>
      <c r="AI224" s="92" t="str">
        <f>IFERROR(__xludf.DUMMYFUNCTION("""COMPUTED_VALUE"""),"")</f>
        <v/>
      </c>
      <c r="AJ224" s="93" t="str">
        <f>IFERROR(__xludf.DUMMYFUNCTION("""COMPUTED_VALUE"""),"")</f>
        <v/>
      </c>
      <c r="AK224" s="94" t="str">
        <f>IFERROR(__xludf.DUMMYFUNCTION("""COMPUTED_VALUE"""),"")</f>
        <v/>
      </c>
      <c r="AL224" s="93" t="str">
        <f>IFERROR(__xludf.DUMMYFUNCTION("""COMPUTED_VALUE"""),"")</f>
        <v/>
      </c>
      <c r="AM224" s="93" t="str">
        <f>IFERROR(__xludf.DUMMYFUNCTION("""COMPUTED_VALUE"""),"")</f>
        <v/>
      </c>
      <c r="AN224" s="94" t="str">
        <f>IFERROR(__xludf.DUMMYFUNCTION("""COMPUTED_VALUE"""),"")</f>
        <v/>
      </c>
      <c r="AO224" s="93" t="str">
        <f>IFERROR(__xludf.DUMMYFUNCTION("""COMPUTED_VALUE"""),"")</f>
        <v/>
      </c>
      <c r="AP224" s="93">
        <f>IFERROR(__xludf.DUMMYFUNCTION("""COMPUTED_VALUE"""),82.7)</f>
        <v>82.7</v>
      </c>
      <c r="AQ224" s="94" t="str">
        <f>IFERROR(__xludf.DUMMYFUNCTION("""COMPUTED_VALUE"""),"")</f>
        <v/>
      </c>
      <c r="AR224" s="93" t="str">
        <f>IFERROR(__xludf.DUMMYFUNCTION("""COMPUTED_VALUE"""),"")</f>
        <v/>
      </c>
      <c r="AS224" s="93" t="str">
        <f>IFERROR(__xludf.DUMMYFUNCTION("""COMPUTED_VALUE"""),"")</f>
        <v/>
      </c>
      <c r="AT224" s="94" t="str">
        <f>IFERROR(__xludf.DUMMYFUNCTION("""COMPUTED_VALUE"""),"")</f>
        <v/>
      </c>
      <c r="AU224" s="93" t="str">
        <f>IFERROR(__xludf.DUMMYFUNCTION("""COMPUTED_VALUE"""),"")</f>
        <v/>
      </c>
      <c r="AV224" s="93" t="str">
        <f>IFERROR(__xludf.DUMMYFUNCTION("""COMPUTED_VALUE"""),"")</f>
        <v/>
      </c>
      <c r="AW224" s="146" t="str">
        <f>IFERROR(__xludf.DUMMYFUNCTION("""COMPUTED_VALUE"""),"")</f>
        <v/>
      </c>
      <c r="AX224" s="93" t="str">
        <f>IFERROR(__xludf.DUMMYFUNCTION("""COMPUTED_VALUE"""),"")</f>
        <v/>
      </c>
      <c r="AY224" s="93" t="str">
        <f>IFERROR(__xludf.DUMMYFUNCTION("""COMPUTED_VALUE"""),"")</f>
        <v/>
      </c>
      <c r="AZ224" s="94" t="str">
        <f>IFERROR(__xludf.DUMMYFUNCTION("""COMPUTED_VALUE"""),"")</f>
        <v/>
      </c>
      <c r="BA224" s="93" t="str">
        <f>IFERROR(__xludf.DUMMYFUNCTION("""COMPUTED_VALUE"""),"")</f>
        <v/>
      </c>
      <c r="BB224" s="93" t="str">
        <f>IFERROR(__xludf.DUMMYFUNCTION("""COMPUTED_VALUE"""),"")</f>
        <v/>
      </c>
      <c r="BC224" s="94" t="str">
        <f>IFERROR(__xludf.DUMMYFUNCTION("""COMPUTED_VALUE"""),"")</f>
        <v/>
      </c>
      <c r="BD224" s="93" t="str">
        <f>IFERROR(__xludf.DUMMYFUNCTION("""COMPUTED_VALUE"""),"")</f>
        <v/>
      </c>
      <c r="BE224" s="93">
        <f>IFERROR(__xludf.DUMMYFUNCTION("""COMPUTED_VALUE"""),506.6)</f>
        <v>506.6</v>
      </c>
      <c r="BF224" s="94" t="str">
        <f>IFERROR(__xludf.DUMMYFUNCTION("""COMPUTED_VALUE"""),"")</f>
        <v/>
      </c>
      <c r="BG224" s="92" t="str">
        <f>IFERROR(__xludf.DUMMYFUNCTION("""COMPUTED_VALUE"""),"")</f>
        <v/>
      </c>
      <c r="BH224" s="93" t="str">
        <f>IFERROR(__xludf.DUMMYFUNCTION("""COMPUTED_VALUE"""),"")</f>
        <v/>
      </c>
      <c r="BI224" s="94" t="str">
        <f>IFERROR(__xludf.DUMMYFUNCTION("""COMPUTED_VALUE"""),"")</f>
        <v/>
      </c>
      <c r="BJ224" s="93" t="str">
        <f>IFERROR(__xludf.DUMMYFUNCTION("""COMPUTED_VALUE"""),"")</f>
        <v/>
      </c>
      <c r="BK224" s="93" t="str">
        <f>IFERROR(__xludf.DUMMYFUNCTION("""COMPUTED_VALUE"""),"")</f>
        <v/>
      </c>
      <c r="BL224" s="94" t="str">
        <f>IFERROR(__xludf.DUMMYFUNCTION("""COMPUTED_VALUE"""),"")</f>
        <v/>
      </c>
      <c r="BM224" s="93" t="str">
        <f>IFERROR(__xludf.DUMMYFUNCTION("""COMPUTED_VALUE"""),"")</f>
        <v/>
      </c>
      <c r="BN224" s="93" t="str">
        <f>IFERROR(__xludf.DUMMYFUNCTION("""COMPUTED_VALUE"""),"")</f>
        <v/>
      </c>
      <c r="BO224" s="94" t="str">
        <f>IFERROR(__xludf.DUMMYFUNCTION("""COMPUTED_VALUE"""),"")</f>
        <v/>
      </c>
      <c r="BP224" s="93" t="str">
        <f>IFERROR(__xludf.DUMMYFUNCTION("""COMPUTED_VALUE"""),"")</f>
        <v/>
      </c>
      <c r="BQ224" s="93" t="str">
        <f>IFERROR(__xludf.DUMMYFUNCTION("""COMPUTED_VALUE"""),"")</f>
        <v/>
      </c>
      <c r="BR224" s="94" t="str">
        <f>IFERROR(__xludf.DUMMYFUNCTION("""COMPUTED_VALUE"""),"")</f>
        <v/>
      </c>
      <c r="BS224" s="93" t="str">
        <f>IFERROR(__xludf.DUMMYFUNCTION("""COMPUTED_VALUE"""),"")</f>
        <v/>
      </c>
      <c r="BT224" s="93" t="str">
        <f>IFERROR(__xludf.DUMMYFUNCTION("""COMPUTED_VALUE"""),"")</f>
        <v/>
      </c>
      <c r="BU224" s="94" t="str">
        <f>IFERROR(__xludf.DUMMYFUNCTION("""COMPUTED_VALUE"""),"")</f>
        <v/>
      </c>
      <c r="BV224" s="93" t="str">
        <f>IFERROR(__xludf.DUMMYFUNCTION("""COMPUTED_VALUE"""),"")</f>
        <v/>
      </c>
      <c r="BW224" s="93">
        <f>IFERROR(__xludf.DUMMYFUNCTION("""COMPUTED_VALUE"""),69.7)</f>
        <v>69.7</v>
      </c>
      <c r="BX224" s="94" t="str">
        <f>IFERROR(__xludf.DUMMYFUNCTION("""COMPUTED_VALUE"""),"")</f>
        <v/>
      </c>
      <c r="BY224" s="93" t="str">
        <f>IFERROR(__xludf.DUMMYFUNCTION("""COMPUTED_VALUE"""),"")</f>
        <v/>
      </c>
      <c r="BZ224" s="93" t="str">
        <f>IFERROR(__xludf.DUMMYFUNCTION("""COMPUTED_VALUE"""),"")</f>
        <v/>
      </c>
      <c r="CA224" s="94" t="str">
        <f>IFERROR(__xludf.DUMMYFUNCTION("""COMPUTED_VALUE"""),"")</f>
        <v/>
      </c>
      <c r="CB224" s="92" t="str">
        <f>IFERROR(__xludf.DUMMYFUNCTION("""COMPUTED_VALUE"""),"")</f>
        <v/>
      </c>
      <c r="CC224" s="93" t="str">
        <f>IFERROR(__xludf.DUMMYFUNCTION("""COMPUTED_VALUE"""),"")</f>
        <v/>
      </c>
      <c r="CD224" s="94" t="str">
        <f>IFERROR(__xludf.DUMMYFUNCTION("""COMPUTED_VALUE"""),"")</f>
        <v/>
      </c>
      <c r="CE224" s="93" t="str">
        <f>IFERROR(__xludf.DUMMYFUNCTION("""COMPUTED_VALUE"""),"")</f>
        <v/>
      </c>
      <c r="CF224" s="93" t="str">
        <f>IFERROR(__xludf.DUMMYFUNCTION("""COMPUTED_VALUE"""),"")</f>
        <v/>
      </c>
      <c r="CG224" s="94" t="str">
        <f>IFERROR(__xludf.DUMMYFUNCTION("""COMPUTED_VALUE"""),"")</f>
        <v/>
      </c>
      <c r="CH224" s="93" t="str">
        <f>IFERROR(__xludf.DUMMYFUNCTION("""COMPUTED_VALUE"""),"")</f>
        <v/>
      </c>
      <c r="CI224" s="93" t="str">
        <f>IFERROR(__xludf.DUMMYFUNCTION("""COMPUTED_VALUE"""),"")</f>
        <v/>
      </c>
      <c r="CJ224" s="94" t="str">
        <f>IFERROR(__xludf.DUMMYFUNCTION("""COMPUTED_VALUE"""),"")</f>
        <v/>
      </c>
      <c r="CK224" s="93" t="str">
        <f>IFERROR(__xludf.DUMMYFUNCTION("""COMPUTED_VALUE"""),"")</f>
        <v/>
      </c>
      <c r="CL224" s="93" t="str">
        <f>IFERROR(__xludf.DUMMYFUNCTION("""COMPUTED_VALUE"""),"")</f>
        <v/>
      </c>
      <c r="CM224" s="94" t="str">
        <f>IFERROR(__xludf.DUMMYFUNCTION("""COMPUTED_VALUE"""),"")</f>
        <v/>
      </c>
      <c r="CN224" s="93">
        <f>IFERROR(__xludf.DUMMYFUNCTION("""COMPUTED_VALUE"""),461.4)</f>
        <v>461.4</v>
      </c>
      <c r="CO224" s="93" t="str">
        <f>IFERROR(__xludf.DUMMYFUNCTION("""COMPUTED_VALUE"""),"")</f>
        <v/>
      </c>
      <c r="CP224" s="94" t="str">
        <f>IFERROR(__xludf.DUMMYFUNCTION("""COMPUTED_VALUE"""),"")</f>
        <v/>
      </c>
      <c r="CQ224" s="93" t="str">
        <f>IFERROR(__xludf.DUMMYFUNCTION("""COMPUTED_VALUE"""),"")</f>
        <v/>
      </c>
      <c r="CR224" s="93" t="str">
        <f>IFERROR(__xludf.DUMMYFUNCTION("""COMPUTED_VALUE"""),"")</f>
        <v/>
      </c>
      <c r="CS224" s="94"/>
      <c r="CT224" s="93"/>
      <c r="CU224" s="93"/>
      <c r="CV224" s="94"/>
      <c r="CW224" s="93"/>
      <c r="CX224" s="93"/>
      <c r="CY224" s="94"/>
      <c r="CZ224" s="93"/>
      <c r="DA224" s="93"/>
      <c r="DB224" s="94"/>
      <c r="DC224" s="93"/>
      <c r="DD224" s="93"/>
      <c r="DE224" s="94"/>
      <c r="DF224" s="93"/>
      <c r="DG224" s="93"/>
      <c r="DH224" s="94"/>
      <c r="DI224" s="93"/>
      <c r="DJ224" s="93"/>
      <c r="DK224" s="94"/>
      <c r="DL224" s="93"/>
      <c r="DM224" s="93"/>
      <c r="DN224" s="94"/>
      <c r="DO224" s="93"/>
      <c r="DP224" s="93"/>
      <c r="DQ224" s="94"/>
      <c r="DR224" s="93"/>
      <c r="DS224" s="93"/>
      <c r="DT224" s="94"/>
    </row>
    <row r="225">
      <c r="B225" s="180" t="str">
        <f>IFERROR(__xludf.DUMMYFUNCTION("""COMPUTED_VALUE"""),"YKS7")</f>
        <v>YKS7</v>
      </c>
      <c r="C225">
        <f>IFERROR(__xludf.DUMMYFUNCTION("""COMPUTED_VALUE"""),222.0)</f>
        <v>222</v>
      </c>
      <c r="D225" s="178" t="str">
        <f>IFERROR(__xludf.DUMMYFUNCTION("""COMPUTED_VALUE"""),"Divine Sky Rock Ruins")</f>
        <v>Divine Sky Rock Ruins</v>
      </c>
      <c r="E225" s="83" t="str">
        <f>IFERROR(__xludf.DUMMYFUNCTION("""COMPUTED_VALUE"""),"神の空岩跡")</f>
        <v>神の空岩跡</v>
      </c>
      <c r="F225" s="179">
        <f>IFERROR(__xludf.DUMMYFUNCTION("""COMPUTED_VALUE"""),21.0)</f>
        <v>21</v>
      </c>
      <c r="G225" s="83">
        <f>IFERROR(__xludf.DUMMYFUNCTION("""COMPUTED_VALUE"""),6686.0)</f>
        <v>6686</v>
      </c>
      <c r="H225" s="95" t="str">
        <f>IFERROR(__xludf.DUMMYFUNCTION("""COMPUTED_VALUE"""),"")</f>
        <v/>
      </c>
      <c r="I225" s="96" t="str">
        <f>IFERROR(__xludf.DUMMYFUNCTION("""COMPUTED_VALUE"""),"")</f>
        <v/>
      </c>
      <c r="J225" s="97" t="str">
        <f>IFERROR(__xludf.DUMMYFUNCTION("""COMPUTED_VALUE"""),"")</f>
        <v/>
      </c>
      <c r="K225" s="95" t="str">
        <f>IFERROR(__xludf.DUMMYFUNCTION("""COMPUTED_VALUE"""),"")</f>
        <v/>
      </c>
      <c r="L225" s="96" t="str">
        <f>IFERROR(__xludf.DUMMYFUNCTION("""COMPUTED_VALUE"""),"")</f>
        <v/>
      </c>
      <c r="M225" s="97" t="str">
        <f>IFERROR(__xludf.DUMMYFUNCTION("""COMPUTED_VALUE"""),"")</f>
        <v/>
      </c>
      <c r="N225" s="95" t="str">
        <f>IFERROR(__xludf.DUMMYFUNCTION("""COMPUTED_VALUE"""),"")</f>
        <v/>
      </c>
      <c r="O225" s="96" t="str">
        <f>IFERROR(__xludf.DUMMYFUNCTION("""COMPUTED_VALUE"""),"")</f>
        <v/>
      </c>
      <c r="P225" s="97" t="str">
        <f>IFERROR(__xludf.DUMMYFUNCTION("""COMPUTED_VALUE"""),"")</f>
        <v/>
      </c>
      <c r="Q225" s="95" t="str">
        <f>IFERROR(__xludf.DUMMYFUNCTION("""COMPUTED_VALUE"""),"")</f>
        <v/>
      </c>
      <c r="R225" s="96" t="str">
        <f>IFERROR(__xludf.DUMMYFUNCTION("""COMPUTED_VALUE"""),"")</f>
        <v/>
      </c>
      <c r="S225" s="97" t="str">
        <f>IFERROR(__xludf.DUMMYFUNCTION("""COMPUTED_VALUE"""),"")</f>
        <v/>
      </c>
      <c r="T225" s="95" t="str">
        <f>IFERROR(__xludf.DUMMYFUNCTION("""COMPUTED_VALUE"""),"")</f>
        <v/>
      </c>
      <c r="U225" s="96" t="str">
        <f>IFERROR(__xludf.DUMMYFUNCTION("""COMPUTED_VALUE"""),"")</f>
        <v/>
      </c>
      <c r="V225" s="97" t="str">
        <f>IFERROR(__xludf.DUMMYFUNCTION("""COMPUTED_VALUE"""),"")</f>
        <v/>
      </c>
      <c r="W225" s="95" t="str">
        <f>IFERROR(__xludf.DUMMYFUNCTION("""COMPUTED_VALUE"""),"")</f>
        <v/>
      </c>
      <c r="X225" s="96" t="str">
        <f>IFERROR(__xludf.DUMMYFUNCTION("""COMPUTED_VALUE"""),"")</f>
        <v/>
      </c>
      <c r="Y225" s="97" t="str">
        <f>IFERROR(__xludf.DUMMYFUNCTION("""COMPUTED_VALUE"""),"")</f>
        <v/>
      </c>
      <c r="Z225" s="95" t="str">
        <f>IFERROR(__xludf.DUMMYFUNCTION("""COMPUTED_VALUE"""),"")</f>
        <v/>
      </c>
      <c r="AA225" s="96" t="str">
        <f>IFERROR(__xludf.DUMMYFUNCTION("""COMPUTED_VALUE"""),"")</f>
        <v/>
      </c>
      <c r="AB225" s="97" t="str">
        <f>IFERROR(__xludf.DUMMYFUNCTION("""COMPUTED_VALUE"""),"")</f>
        <v/>
      </c>
      <c r="AC225" s="95" t="str">
        <f>IFERROR(__xludf.DUMMYFUNCTION("""COMPUTED_VALUE"""),"")</f>
        <v/>
      </c>
      <c r="AD225" s="96" t="str">
        <f>IFERROR(__xludf.DUMMYFUNCTION("""COMPUTED_VALUE"""),"")</f>
        <v/>
      </c>
      <c r="AE225" s="97" t="str">
        <f>IFERROR(__xludf.DUMMYFUNCTION("""COMPUTED_VALUE"""),"")</f>
        <v/>
      </c>
      <c r="AF225" s="95" t="str">
        <f>IFERROR(__xludf.DUMMYFUNCTION("""COMPUTED_VALUE"""),"")</f>
        <v/>
      </c>
      <c r="AG225" s="96" t="str">
        <f>IFERROR(__xludf.DUMMYFUNCTION("""COMPUTED_VALUE"""),"")</f>
        <v/>
      </c>
      <c r="AH225" s="97" t="str">
        <f>IFERROR(__xludf.DUMMYFUNCTION("""COMPUTED_VALUE"""),"")</f>
        <v/>
      </c>
      <c r="AI225" s="184" t="str">
        <f>IFERROR(__xludf.DUMMYFUNCTION("""COMPUTED_VALUE"""),"")</f>
        <v/>
      </c>
      <c r="AJ225" s="185" t="str">
        <f>IFERROR(__xludf.DUMMYFUNCTION("""COMPUTED_VALUE"""),"")</f>
        <v/>
      </c>
      <c r="AK225" s="186" t="str">
        <f>IFERROR(__xludf.DUMMYFUNCTION("""COMPUTED_VALUE"""),"")</f>
        <v/>
      </c>
      <c r="AL225" s="185" t="str">
        <f>IFERROR(__xludf.DUMMYFUNCTION("""COMPUTED_VALUE"""),"")</f>
        <v/>
      </c>
      <c r="AM225" s="185" t="str">
        <f>IFERROR(__xludf.DUMMYFUNCTION("""COMPUTED_VALUE"""),"")</f>
        <v/>
      </c>
      <c r="AN225" s="186" t="str">
        <f>IFERROR(__xludf.DUMMYFUNCTION("""COMPUTED_VALUE"""),"")</f>
        <v/>
      </c>
      <c r="AO225" s="185" t="str">
        <f>IFERROR(__xludf.DUMMYFUNCTION("""COMPUTED_VALUE"""),"")</f>
        <v/>
      </c>
      <c r="AP225" s="185">
        <f>IFERROR(__xludf.DUMMYFUNCTION("""COMPUTED_VALUE"""),52.5)</f>
        <v>52.5</v>
      </c>
      <c r="AQ225" s="186" t="str">
        <f>IFERROR(__xludf.DUMMYFUNCTION("""COMPUTED_VALUE"""),"")</f>
        <v/>
      </c>
      <c r="AR225" s="185" t="str">
        <f>IFERROR(__xludf.DUMMYFUNCTION("""COMPUTED_VALUE"""),"")</f>
        <v/>
      </c>
      <c r="AS225" s="185" t="str">
        <f>IFERROR(__xludf.DUMMYFUNCTION("""COMPUTED_VALUE"""),"")</f>
        <v/>
      </c>
      <c r="AT225" s="186" t="str">
        <f>IFERROR(__xludf.DUMMYFUNCTION("""COMPUTED_VALUE"""),"")</f>
        <v/>
      </c>
      <c r="AU225" s="185" t="str">
        <f>IFERROR(__xludf.DUMMYFUNCTION("""COMPUTED_VALUE"""),"")</f>
        <v/>
      </c>
      <c r="AV225" s="185" t="str">
        <f>IFERROR(__xludf.DUMMYFUNCTION("""COMPUTED_VALUE"""),"")</f>
        <v/>
      </c>
      <c r="AW225" s="186" t="str">
        <f>IFERROR(__xludf.DUMMYFUNCTION("""COMPUTED_VALUE"""),"")</f>
        <v/>
      </c>
      <c r="AX225" s="185" t="str">
        <f>IFERROR(__xludf.DUMMYFUNCTION("""COMPUTED_VALUE"""),"")</f>
        <v/>
      </c>
      <c r="AY225" s="185" t="str">
        <f>IFERROR(__xludf.DUMMYFUNCTION("""COMPUTED_VALUE"""),"")</f>
        <v/>
      </c>
      <c r="AZ225" s="186" t="str">
        <f>IFERROR(__xludf.DUMMYFUNCTION("""COMPUTED_VALUE"""),"")</f>
        <v/>
      </c>
      <c r="BA225" s="185" t="str">
        <f>IFERROR(__xludf.DUMMYFUNCTION("""COMPUTED_VALUE"""),"")</f>
        <v/>
      </c>
      <c r="BB225" s="185" t="str">
        <f>IFERROR(__xludf.DUMMYFUNCTION("""COMPUTED_VALUE"""),"")</f>
        <v/>
      </c>
      <c r="BC225" s="186" t="str">
        <f>IFERROR(__xludf.DUMMYFUNCTION("""COMPUTED_VALUE"""),"")</f>
        <v/>
      </c>
      <c r="BD225" s="185" t="str">
        <f>IFERROR(__xludf.DUMMYFUNCTION("""COMPUTED_VALUE"""),"")</f>
        <v/>
      </c>
      <c r="BE225" s="185" t="str">
        <f>IFERROR(__xludf.DUMMYFUNCTION("""COMPUTED_VALUE"""),"")</f>
        <v/>
      </c>
      <c r="BF225" s="186" t="str">
        <f>IFERROR(__xludf.DUMMYFUNCTION("""COMPUTED_VALUE"""),"")</f>
        <v/>
      </c>
      <c r="BG225" s="184" t="str">
        <f>IFERROR(__xludf.DUMMYFUNCTION("""COMPUTED_VALUE"""),"")</f>
        <v/>
      </c>
      <c r="BH225" s="185" t="str">
        <f>IFERROR(__xludf.DUMMYFUNCTION("""COMPUTED_VALUE"""),"")</f>
        <v/>
      </c>
      <c r="BI225" s="186" t="str">
        <f>IFERROR(__xludf.DUMMYFUNCTION("""COMPUTED_VALUE"""),"")</f>
        <v/>
      </c>
      <c r="BJ225" s="185" t="str">
        <f>IFERROR(__xludf.DUMMYFUNCTION("""COMPUTED_VALUE"""),"")</f>
        <v/>
      </c>
      <c r="BK225" s="185" t="str">
        <f>IFERROR(__xludf.DUMMYFUNCTION("""COMPUTED_VALUE"""),"")</f>
        <v/>
      </c>
      <c r="BL225" s="186" t="str">
        <f>IFERROR(__xludf.DUMMYFUNCTION("""COMPUTED_VALUE"""),"")</f>
        <v/>
      </c>
      <c r="BM225" s="107" t="str">
        <f>IFERROR(__xludf.DUMMYFUNCTION("""COMPUTED_VALUE"""),"")</f>
        <v/>
      </c>
      <c r="BN225" s="185" t="str">
        <f>IFERROR(__xludf.DUMMYFUNCTION("""COMPUTED_VALUE"""),"")</f>
        <v/>
      </c>
      <c r="BO225" s="186" t="str">
        <f>IFERROR(__xludf.DUMMYFUNCTION("""COMPUTED_VALUE"""),"")</f>
        <v/>
      </c>
      <c r="BP225" s="185">
        <f>IFERROR(__xludf.DUMMYFUNCTION("""COMPUTED_VALUE"""),365.5)</f>
        <v>365.5</v>
      </c>
      <c r="BQ225" s="185" t="str">
        <f>IFERROR(__xludf.DUMMYFUNCTION("""COMPUTED_VALUE"""),"")</f>
        <v/>
      </c>
      <c r="BR225" s="186" t="str">
        <f>IFERROR(__xludf.DUMMYFUNCTION("""COMPUTED_VALUE"""),"")</f>
        <v/>
      </c>
      <c r="BS225" s="185" t="str">
        <f>IFERROR(__xludf.DUMMYFUNCTION("""COMPUTED_VALUE"""),"")</f>
        <v/>
      </c>
      <c r="BT225" s="185" t="str">
        <f>IFERROR(__xludf.DUMMYFUNCTION("""COMPUTED_VALUE"""),"")</f>
        <v/>
      </c>
      <c r="BU225" s="186" t="str">
        <f>IFERROR(__xludf.DUMMYFUNCTION("""COMPUTED_VALUE"""),"")</f>
        <v/>
      </c>
      <c r="BV225" s="185" t="str">
        <f>IFERROR(__xludf.DUMMYFUNCTION("""COMPUTED_VALUE"""),"")</f>
        <v/>
      </c>
      <c r="BW225" s="185">
        <f>IFERROR(__xludf.DUMMYFUNCTION("""COMPUTED_VALUE"""),55.1)</f>
        <v>55.1</v>
      </c>
      <c r="BX225" s="186" t="str">
        <f>IFERROR(__xludf.DUMMYFUNCTION("""COMPUTED_VALUE"""),"")</f>
        <v/>
      </c>
      <c r="BY225" s="185" t="str">
        <f>IFERROR(__xludf.DUMMYFUNCTION("""COMPUTED_VALUE"""),"")</f>
        <v/>
      </c>
      <c r="BZ225" s="185" t="str">
        <f>IFERROR(__xludf.DUMMYFUNCTION("""COMPUTED_VALUE"""),"")</f>
        <v/>
      </c>
      <c r="CA225" s="186" t="str">
        <f>IFERROR(__xludf.DUMMYFUNCTION("""COMPUTED_VALUE"""),"")</f>
        <v/>
      </c>
      <c r="CB225" s="184" t="str">
        <f>IFERROR(__xludf.DUMMYFUNCTION("""COMPUTED_VALUE"""),"")</f>
        <v/>
      </c>
      <c r="CC225" s="185" t="str">
        <f>IFERROR(__xludf.DUMMYFUNCTION("""COMPUTED_VALUE"""),"")</f>
        <v/>
      </c>
      <c r="CD225" s="186" t="str">
        <f>IFERROR(__xludf.DUMMYFUNCTION("""COMPUTED_VALUE"""),"")</f>
        <v/>
      </c>
      <c r="CE225" s="185" t="str">
        <f>IFERROR(__xludf.DUMMYFUNCTION("""COMPUTED_VALUE"""),"")</f>
        <v/>
      </c>
      <c r="CF225" s="185" t="str">
        <f>IFERROR(__xludf.DUMMYFUNCTION("""COMPUTED_VALUE"""),"")</f>
        <v/>
      </c>
      <c r="CG225" s="186" t="str">
        <f>IFERROR(__xludf.DUMMYFUNCTION("""COMPUTED_VALUE"""),"")</f>
        <v/>
      </c>
      <c r="CH225" s="107" t="str">
        <f>IFERROR(__xludf.DUMMYFUNCTION("""COMPUTED_VALUE"""),"")</f>
        <v/>
      </c>
      <c r="CI225" s="185" t="str">
        <f>IFERROR(__xludf.DUMMYFUNCTION("""COMPUTED_VALUE"""),"")</f>
        <v/>
      </c>
      <c r="CJ225" s="186" t="str">
        <f>IFERROR(__xludf.DUMMYFUNCTION("""COMPUTED_VALUE"""),"")</f>
        <v/>
      </c>
      <c r="CK225" s="185" t="str">
        <f>IFERROR(__xludf.DUMMYFUNCTION("""COMPUTED_VALUE"""),"")</f>
        <v/>
      </c>
      <c r="CL225" s="185" t="str">
        <f>IFERROR(__xludf.DUMMYFUNCTION("""COMPUTED_VALUE"""),"")</f>
        <v/>
      </c>
      <c r="CM225" s="186" t="str">
        <f>IFERROR(__xludf.DUMMYFUNCTION("""COMPUTED_VALUE"""),"")</f>
        <v/>
      </c>
      <c r="CN225" s="185" t="str">
        <f>IFERROR(__xludf.DUMMYFUNCTION("""COMPUTED_VALUE"""),"")</f>
        <v/>
      </c>
      <c r="CO225" s="185" t="str">
        <f>IFERROR(__xludf.DUMMYFUNCTION("""COMPUTED_VALUE"""),"")</f>
        <v/>
      </c>
      <c r="CP225" s="186" t="str">
        <f>IFERROR(__xludf.DUMMYFUNCTION("""COMPUTED_VALUE"""),"")</f>
        <v/>
      </c>
      <c r="CQ225" s="185" t="str">
        <f>IFERROR(__xludf.DUMMYFUNCTION("""COMPUTED_VALUE"""),"")</f>
        <v/>
      </c>
      <c r="CR225" s="185" t="str">
        <f>IFERROR(__xludf.DUMMYFUNCTION("""COMPUTED_VALUE"""),"")</f>
        <v/>
      </c>
      <c r="CS225" s="186"/>
      <c r="CT225" s="185"/>
      <c r="CU225" s="185"/>
      <c r="CV225" s="186"/>
      <c r="CW225" s="185"/>
      <c r="CX225" s="185"/>
      <c r="CY225" s="186"/>
      <c r="CZ225" s="185"/>
      <c r="DA225" s="185"/>
      <c r="DB225" s="186"/>
      <c r="DC225" s="185"/>
      <c r="DD225" s="185"/>
      <c r="DE225" s="186"/>
      <c r="DF225" s="185"/>
      <c r="DG225" s="185"/>
      <c r="DH225" s="186"/>
      <c r="DI225" s="185"/>
      <c r="DJ225" s="185"/>
      <c r="DK225" s="186"/>
      <c r="DL225" s="185"/>
      <c r="DM225" s="185"/>
      <c r="DN225" s="186"/>
      <c r="DO225" s="185"/>
      <c r="DP225" s="185"/>
      <c r="DQ225" s="186"/>
      <c r="DR225" s="185"/>
      <c r="DS225" s="185"/>
      <c r="DT225" s="186"/>
    </row>
    <row r="226">
      <c r="B226" s="180" t="str">
        <f>IFERROR(__xludf.DUMMYFUNCTION("""COMPUTED_VALUE"""),"YKS8")</f>
        <v>YKS8</v>
      </c>
      <c r="C226">
        <f>IFERROR(__xludf.DUMMYFUNCTION("""COMPUTED_VALUE"""),223.0)</f>
        <v>223</v>
      </c>
      <c r="D226" s="178" t="str">
        <f>IFERROR(__xludf.DUMMYFUNCTION("""COMPUTED_VALUE"""),"Southern Town")</f>
        <v>Southern Town</v>
      </c>
      <c r="E226" s="83" t="str">
        <f>IFERROR(__xludf.DUMMYFUNCTION("""COMPUTED_VALUE"""),"南の町")</f>
        <v>南の町</v>
      </c>
      <c r="F226" s="179">
        <f>IFERROR(__xludf.DUMMYFUNCTION("""COMPUTED_VALUE"""),21.0)</f>
        <v>21</v>
      </c>
      <c r="G226" s="83">
        <f>IFERROR(__xludf.DUMMYFUNCTION("""COMPUTED_VALUE"""),10032.0)</f>
        <v>10032</v>
      </c>
      <c r="H226" s="95" t="str">
        <f>IFERROR(__xludf.DUMMYFUNCTION("""COMPUTED_VALUE"""),"")</f>
        <v/>
      </c>
      <c r="I226" s="96" t="str">
        <f>IFERROR(__xludf.DUMMYFUNCTION("""COMPUTED_VALUE"""),"")</f>
        <v/>
      </c>
      <c r="J226" s="97" t="str">
        <f>IFERROR(__xludf.DUMMYFUNCTION("""COMPUTED_VALUE"""),"")</f>
        <v/>
      </c>
      <c r="K226" s="95" t="str">
        <f>IFERROR(__xludf.DUMMYFUNCTION("""COMPUTED_VALUE"""),"")</f>
        <v/>
      </c>
      <c r="L226" s="96" t="str">
        <f>IFERROR(__xludf.DUMMYFUNCTION("""COMPUTED_VALUE"""),"")</f>
        <v/>
      </c>
      <c r="M226" s="97" t="str">
        <f>IFERROR(__xludf.DUMMYFUNCTION("""COMPUTED_VALUE"""),"")</f>
        <v/>
      </c>
      <c r="N226" s="95" t="str">
        <f>IFERROR(__xludf.DUMMYFUNCTION("""COMPUTED_VALUE"""),"")</f>
        <v/>
      </c>
      <c r="O226" s="96" t="str">
        <f>IFERROR(__xludf.DUMMYFUNCTION("""COMPUTED_VALUE"""),"")</f>
        <v/>
      </c>
      <c r="P226" s="97" t="str">
        <f>IFERROR(__xludf.DUMMYFUNCTION("""COMPUTED_VALUE"""),"")</f>
        <v/>
      </c>
      <c r="Q226" s="95" t="str">
        <f>IFERROR(__xludf.DUMMYFUNCTION("""COMPUTED_VALUE"""),"")</f>
        <v/>
      </c>
      <c r="R226" s="96" t="str">
        <f>IFERROR(__xludf.DUMMYFUNCTION("""COMPUTED_VALUE"""),"")</f>
        <v/>
      </c>
      <c r="S226" s="97" t="str">
        <f>IFERROR(__xludf.DUMMYFUNCTION("""COMPUTED_VALUE"""),"")</f>
        <v/>
      </c>
      <c r="T226" s="95" t="str">
        <f>IFERROR(__xludf.DUMMYFUNCTION("""COMPUTED_VALUE"""),"")</f>
        <v/>
      </c>
      <c r="U226" s="96" t="str">
        <f>IFERROR(__xludf.DUMMYFUNCTION("""COMPUTED_VALUE"""),"")</f>
        <v/>
      </c>
      <c r="V226" s="97" t="str">
        <f>IFERROR(__xludf.DUMMYFUNCTION("""COMPUTED_VALUE"""),"")</f>
        <v/>
      </c>
      <c r="W226" s="95" t="str">
        <f>IFERROR(__xludf.DUMMYFUNCTION("""COMPUTED_VALUE"""),"")</f>
        <v/>
      </c>
      <c r="X226" s="96" t="str">
        <f>IFERROR(__xludf.DUMMYFUNCTION("""COMPUTED_VALUE"""),"")</f>
        <v/>
      </c>
      <c r="Y226" s="97" t="str">
        <f>IFERROR(__xludf.DUMMYFUNCTION("""COMPUTED_VALUE"""),"")</f>
        <v/>
      </c>
      <c r="Z226" s="95" t="str">
        <f>IFERROR(__xludf.DUMMYFUNCTION("""COMPUTED_VALUE"""),"")</f>
        <v/>
      </c>
      <c r="AA226" s="96" t="str">
        <f>IFERROR(__xludf.DUMMYFUNCTION("""COMPUTED_VALUE"""),"")</f>
        <v/>
      </c>
      <c r="AB226" s="97" t="str">
        <f>IFERROR(__xludf.DUMMYFUNCTION("""COMPUTED_VALUE"""),"")</f>
        <v/>
      </c>
      <c r="AC226" s="95" t="str">
        <f>IFERROR(__xludf.DUMMYFUNCTION("""COMPUTED_VALUE"""),"")</f>
        <v/>
      </c>
      <c r="AD226" s="96" t="str">
        <f>IFERROR(__xludf.DUMMYFUNCTION("""COMPUTED_VALUE"""),"")</f>
        <v/>
      </c>
      <c r="AE226" s="97" t="str">
        <f>IFERROR(__xludf.DUMMYFUNCTION("""COMPUTED_VALUE"""),"")</f>
        <v/>
      </c>
      <c r="AF226" s="95" t="str">
        <f>IFERROR(__xludf.DUMMYFUNCTION("""COMPUTED_VALUE"""),"")</f>
        <v/>
      </c>
      <c r="AG226" s="96" t="str">
        <f>IFERROR(__xludf.DUMMYFUNCTION("""COMPUTED_VALUE"""),"")</f>
        <v/>
      </c>
      <c r="AH226" s="97" t="str">
        <f>IFERROR(__xludf.DUMMYFUNCTION("""COMPUTED_VALUE"""),"")</f>
        <v/>
      </c>
      <c r="AI226" s="92" t="str">
        <f>IFERROR(__xludf.DUMMYFUNCTION("""COMPUTED_VALUE"""),"")</f>
        <v/>
      </c>
      <c r="AJ226" s="93" t="str">
        <f>IFERROR(__xludf.DUMMYFUNCTION("""COMPUTED_VALUE"""),"")</f>
        <v/>
      </c>
      <c r="AK226" s="94" t="str">
        <f>IFERROR(__xludf.DUMMYFUNCTION("""COMPUTED_VALUE"""),"")</f>
        <v/>
      </c>
      <c r="AL226" s="93" t="str">
        <f>IFERROR(__xludf.DUMMYFUNCTION("""COMPUTED_VALUE"""),"")</f>
        <v/>
      </c>
      <c r="AM226" s="93" t="str">
        <f>IFERROR(__xludf.DUMMYFUNCTION("""COMPUTED_VALUE"""),"")</f>
        <v/>
      </c>
      <c r="AN226" s="94" t="str">
        <f>IFERROR(__xludf.DUMMYFUNCTION("""COMPUTED_VALUE"""),"")</f>
        <v/>
      </c>
      <c r="AO226" s="93" t="str">
        <f>IFERROR(__xludf.DUMMYFUNCTION("""COMPUTED_VALUE"""),"")</f>
        <v/>
      </c>
      <c r="AP226" s="93">
        <f>IFERROR(__xludf.DUMMYFUNCTION("""COMPUTED_VALUE"""),113.8)</f>
        <v>113.8</v>
      </c>
      <c r="AQ226" s="94" t="str">
        <f>IFERROR(__xludf.DUMMYFUNCTION("""COMPUTED_VALUE"""),"")</f>
        <v/>
      </c>
      <c r="AR226" s="93" t="str">
        <f>IFERROR(__xludf.DUMMYFUNCTION("""COMPUTED_VALUE"""),"")</f>
        <v/>
      </c>
      <c r="AS226" s="93" t="str">
        <f>IFERROR(__xludf.DUMMYFUNCTION("""COMPUTED_VALUE"""),"")</f>
        <v/>
      </c>
      <c r="AT226" s="94" t="str">
        <f>IFERROR(__xludf.DUMMYFUNCTION("""COMPUTED_VALUE"""),"")</f>
        <v/>
      </c>
      <c r="AU226" s="93" t="str">
        <f>IFERROR(__xludf.DUMMYFUNCTION("""COMPUTED_VALUE"""),"")</f>
        <v/>
      </c>
      <c r="AV226" s="93" t="str">
        <f>IFERROR(__xludf.DUMMYFUNCTION("""COMPUTED_VALUE"""),"")</f>
        <v/>
      </c>
      <c r="AW226" s="94">
        <f>IFERROR(__xludf.DUMMYFUNCTION("""COMPUTED_VALUE"""),72.5)</f>
        <v>72.5</v>
      </c>
      <c r="AX226" s="93">
        <f>IFERROR(__xludf.DUMMYFUNCTION("""COMPUTED_VALUE"""),84.5)</f>
        <v>84.5</v>
      </c>
      <c r="AY226" s="93" t="str">
        <f>IFERROR(__xludf.DUMMYFUNCTION("""COMPUTED_VALUE"""),"")</f>
        <v/>
      </c>
      <c r="AZ226" s="94" t="str">
        <f>IFERROR(__xludf.DUMMYFUNCTION("""COMPUTED_VALUE"""),"")</f>
        <v/>
      </c>
      <c r="BA226" s="93" t="str">
        <f>IFERROR(__xludf.DUMMYFUNCTION("""COMPUTED_VALUE"""),"")</f>
        <v/>
      </c>
      <c r="BB226" s="93" t="str">
        <f>IFERROR(__xludf.DUMMYFUNCTION("""COMPUTED_VALUE"""),"")</f>
        <v/>
      </c>
      <c r="BC226" s="94" t="str">
        <f>IFERROR(__xludf.DUMMYFUNCTION("""COMPUTED_VALUE"""),"")</f>
        <v/>
      </c>
      <c r="BD226" s="93" t="str">
        <f>IFERROR(__xludf.DUMMYFUNCTION("""COMPUTED_VALUE"""),"")</f>
        <v/>
      </c>
      <c r="BE226" s="93" t="str">
        <f>IFERROR(__xludf.DUMMYFUNCTION("""COMPUTED_VALUE"""),"")</f>
        <v/>
      </c>
      <c r="BF226" s="94" t="str">
        <f>IFERROR(__xludf.DUMMYFUNCTION("""COMPUTED_VALUE"""),"")</f>
        <v/>
      </c>
      <c r="BG226" s="92" t="str">
        <f>IFERROR(__xludf.DUMMYFUNCTION("""COMPUTED_VALUE"""),"")</f>
        <v/>
      </c>
      <c r="BH226" s="93" t="str">
        <f>IFERROR(__xludf.DUMMYFUNCTION("""COMPUTED_VALUE"""),"")</f>
        <v/>
      </c>
      <c r="BI226" s="94" t="str">
        <f>IFERROR(__xludf.DUMMYFUNCTION("""COMPUTED_VALUE"""),"")</f>
        <v/>
      </c>
      <c r="BJ226" s="93" t="str">
        <f>IFERROR(__xludf.DUMMYFUNCTION("""COMPUTED_VALUE"""),"")</f>
        <v/>
      </c>
      <c r="BK226" s="93" t="str">
        <f>IFERROR(__xludf.DUMMYFUNCTION("""COMPUTED_VALUE"""),"")</f>
        <v/>
      </c>
      <c r="BL226" s="94" t="str">
        <f>IFERROR(__xludf.DUMMYFUNCTION("""COMPUTED_VALUE"""),"")</f>
        <v/>
      </c>
      <c r="BM226" s="93" t="str">
        <f>IFERROR(__xludf.DUMMYFUNCTION("""COMPUTED_VALUE"""),"")</f>
        <v/>
      </c>
      <c r="BN226" s="93" t="str">
        <f>IFERROR(__xludf.DUMMYFUNCTION("""COMPUTED_VALUE"""),"")</f>
        <v/>
      </c>
      <c r="BO226" s="94" t="str">
        <f>IFERROR(__xludf.DUMMYFUNCTION("""COMPUTED_VALUE"""),"")</f>
        <v/>
      </c>
      <c r="BP226" s="93">
        <f>IFERROR(__xludf.DUMMYFUNCTION("""COMPUTED_VALUE"""),189.5)</f>
        <v>189.5</v>
      </c>
      <c r="BQ226" s="93" t="str">
        <f>IFERROR(__xludf.DUMMYFUNCTION("""COMPUTED_VALUE"""),"")</f>
        <v/>
      </c>
      <c r="BR226" s="94" t="str">
        <f>IFERROR(__xludf.DUMMYFUNCTION("""COMPUTED_VALUE"""),"")</f>
        <v/>
      </c>
      <c r="BS226" s="93" t="str">
        <f>IFERROR(__xludf.DUMMYFUNCTION("""COMPUTED_VALUE"""),"")</f>
        <v/>
      </c>
      <c r="BT226" s="93" t="str">
        <f>IFERROR(__xludf.DUMMYFUNCTION("""COMPUTED_VALUE"""),"")</f>
        <v/>
      </c>
      <c r="BU226" s="94" t="str">
        <f>IFERROR(__xludf.DUMMYFUNCTION("""COMPUTED_VALUE"""),"")</f>
        <v/>
      </c>
      <c r="BV226" s="93" t="str">
        <f>IFERROR(__xludf.DUMMYFUNCTION("""COMPUTED_VALUE"""),"")</f>
        <v/>
      </c>
      <c r="BW226" s="93">
        <f>IFERROR(__xludf.DUMMYFUNCTION("""COMPUTED_VALUE"""),67.5)</f>
        <v>67.5</v>
      </c>
      <c r="BX226" s="94" t="str">
        <f>IFERROR(__xludf.DUMMYFUNCTION("""COMPUTED_VALUE"""),"")</f>
        <v/>
      </c>
      <c r="BY226" s="93" t="str">
        <f>IFERROR(__xludf.DUMMYFUNCTION("""COMPUTED_VALUE"""),"")</f>
        <v/>
      </c>
      <c r="BZ226" s="93" t="str">
        <f>IFERROR(__xludf.DUMMYFUNCTION("""COMPUTED_VALUE"""),"")</f>
        <v/>
      </c>
      <c r="CA226" s="94" t="str">
        <f>IFERROR(__xludf.DUMMYFUNCTION("""COMPUTED_VALUE"""),"")</f>
        <v/>
      </c>
      <c r="CB226" s="92" t="str">
        <f>IFERROR(__xludf.DUMMYFUNCTION("""COMPUTED_VALUE"""),"")</f>
        <v/>
      </c>
      <c r="CC226" s="93" t="str">
        <f>IFERROR(__xludf.DUMMYFUNCTION("""COMPUTED_VALUE"""),"")</f>
        <v/>
      </c>
      <c r="CD226" s="94" t="str">
        <f>IFERROR(__xludf.DUMMYFUNCTION("""COMPUTED_VALUE"""),"")</f>
        <v/>
      </c>
      <c r="CE226" s="93" t="str">
        <f>IFERROR(__xludf.DUMMYFUNCTION("""COMPUTED_VALUE"""),"")</f>
        <v/>
      </c>
      <c r="CF226" s="93" t="str">
        <f>IFERROR(__xludf.DUMMYFUNCTION("""COMPUTED_VALUE"""),"")</f>
        <v/>
      </c>
      <c r="CG226" s="94" t="str">
        <f>IFERROR(__xludf.DUMMYFUNCTION("""COMPUTED_VALUE"""),"")</f>
        <v/>
      </c>
      <c r="CH226" s="93" t="str">
        <f>IFERROR(__xludf.DUMMYFUNCTION("""COMPUTED_VALUE"""),"")</f>
        <v/>
      </c>
      <c r="CI226" s="93" t="str">
        <f>IFERROR(__xludf.DUMMYFUNCTION("""COMPUTED_VALUE"""),"")</f>
        <v/>
      </c>
      <c r="CJ226" s="94" t="str">
        <f>IFERROR(__xludf.DUMMYFUNCTION("""COMPUTED_VALUE"""),"")</f>
        <v/>
      </c>
      <c r="CK226" s="93" t="str">
        <f>IFERROR(__xludf.DUMMYFUNCTION("""COMPUTED_VALUE"""),"")</f>
        <v/>
      </c>
      <c r="CL226" s="93" t="str">
        <f>IFERROR(__xludf.DUMMYFUNCTION("""COMPUTED_VALUE"""),"")</f>
        <v/>
      </c>
      <c r="CM226" s="94" t="str">
        <f>IFERROR(__xludf.DUMMYFUNCTION("""COMPUTED_VALUE"""),"")</f>
        <v/>
      </c>
      <c r="CN226" s="93" t="str">
        <f>IFERROR(__xludf.DUMMYFUNCTION("""COMPUTED_VALUE"""),"")</f>
        <v/>
      </c>
      <c r="CO226" s="93" t="str">
        <f>IFERROR(__xludf.DUMMYFUNCTION("""COMPUTED_VALUE"""),"")</f>
        <v/>
      </c>
      <c r="CP226" s="94" t="str">
        <f>IFERROR(__xludf.DUMMYFUNCTION("""COMPUTED_VALUE"""),"")</f>
        <v/>
      </c>
      <c r="CQ226" s="93" t="str">
        <f>IFERROR(__xludf.DUMMYFUNCTION("""COMPUTED_VALUE"""),"")</f>
        <v/>
      </c>
      <c r="CR226" s="93" t="str">
        <f>IFERROR(__xludf.DUMMYFUNCTION("""COMPUTED_VALUE"""),"")</f>
        <v/>
      </c>
      <c r="CS226" s="94"/>
      <c r="CT226" s="93"/>
      <c r="CU226" s="93"/>
      <c r="CV226" s="94"/>
      <c r="CW226" s="93"/>
      <c r="CX226" s="93"/>
      <c r="CY226" s="94"/>
      <c r="CZ226" s="93"/>
      <c r="DA226" s="93"/>
      <c r="DB226" s="94"/>
      <c r="DC226" s="93"/>
      <c r="DD226" s="93"/>
      <c r="DE226" s="94"/>
      <c r="DF226" s="93"/>
      <c r="DG226" s="93"/>
      <c r="DH226" s="94"/>
      <c r="DI226" s="93"/>
      <c r="DJ226" s="93"/>
      <c r="DK226" s="94"/>
      <c r="DL226" s="93"/>
      <c r="DM226" s="93"/>
      <c r="DN226" s="94"/>
      <c r="DO226" s="93"/>
      <c r="DP226" s="93"/>
      <c r="DQ226" s="94"/>
      <c r="DR226" s="93"/>
      <c r="DS226" s="93"/>
      <c r="DT226" s="94"/>
    </row>
    <row r="227">
      <c r="B227" s="180" t="str">
        <f>IFERROR(__xludf.DUMMYFUNCTION("""COMPUTED_VALUE"""),"YKS9")</f>
        <v>YKS9</v>
      </c>
      <c r="C227">
        <f>IFERROR(__xludf.DUMMYFUNCTION("""COMPUTED_VALUE"""),224.0)</f>
        <v>224</v>
      </c>
      <c r="D227" s="178" t="str">
        <f>IFERROR(__xludf.DUMMYFUNCTION("""COMPUTED_VALUE"""),"Eternal Grounds")</f>
        <v>Eternal Grounds</v>
      </c>
      <c r="E227" s="83" t="str">
        <f>IFERROR(__xludf.DUMMYFUNCTION("""COMPUTED_VALUE"""),"無窮の地")</f>
        <v>無窮の地</v>
      </c>
      <c r="F227" s="179">
        <f>IFERROR(__xludf.DUMMYFUNCTION("""COMPUTED_VALUE"""),21.0)</f>
        <v>21</v>
      </c>
      <c r="G227" s="83">
        <f>IFERROR(__xludf.DUMMYFUNCTION("""COMPUTED_VALUE"""),22314.0)</f>
        <v>22314</v>
      </c>
      <c r="H227" s="95" t="str">
        <f>IFERROR(__xludf.DUMMYFUNCTION("""COMPUTED_VALUE"""),"")</f>
        <v/>
      </c>
      <c r="I227" s="96" t="str">
        <f>IFERROR(__xludf.DUMMYFUNCTION("""COMPUTED_VALUE"""),"")</f>
        <v/>
      </c>
      <c r="J227" s="97" t="str">
        <f>IFERROR(__xludf.DUMMYFUNCTION("""COMPUTED_VALUE"""),"")</f>
        <v/>
      </c>
      <c r="K227" s="95" t="str">
        <f>IFERROR(__xludf.DUMMYFUNCTION("""COMPUTED_VALUE"""),"")</f>
        <v/>
      </c>
      <c r="L227" s="96" t="str">
        <f>IFERROR(__xludf.DUMMYFUNCTION("""COMPUTED_VALUE"""),"")</f>
        <v/>
      </c>
      <c r="M227" s="97" t="str">
        <f>IFERROR(__xludf.DUMMYFUNCTION("""COMPUTED_VALUE"""),"")</f>
        <v/>
      </c>
      <c r="N227" s="95" t="str">
        <f>IFERROR(__xludf.DUMMYFUNCTION("""COMPUTED_VALUE"""),"")</f>
        <v/>
      </c>
      <c r="O227" s="96" t="str">
        <f>IFERROR(__xludf.DUMMYFUNCTION("""COMPUTED_VALUE"""),"")</f>
        <v/>
      </c>
      <c r="P227" s="97" t="str">
        <f>IFERROR(__xludf.DUMMYFUNCTION("""COMPUTED_VALUE"""),"")</f>
        <v/>
      </c>
      <c r="Q227" s="95" t="str">
        <f>IFERROR(__xludf.DUMMYFUNCTION("""COMPUTED_VALUE"""),"")</f>
        <v/>
      </c>
      <c r="R227" s="96" t="str">
        <f>IFERROR(__xludf.DUMMYFUNCTION("""COMPUTED_VALUE"""),"")</f>
        <v/>
      </c>
      <c r="S227" s="97" t="str">
        <f>IFERROR(__xludf.DUMMYFUNCTION("""COMPUTED_VALUE"""),"")</f>
        <v/>
      </c>
      <c r="T227" s="95" t="str">
        <f>IFERROR(__xludf.DUMMYFUNCTION("""COMPUTED_VALUE"""),"")</f>
        <v/>
      </c>
      <c r="U227" s="96" t="str">
        <f>IFERROR(__xludf.DUMMYFUNCTION("""COMPUTED_VALUE"""),"")</f>
        <v/>
      </c>
      <c r="V227" s="97">
        <f>IFERROR(__xludf.DUMMYFUNCTION("""COMPUTED_VALUE"""),202.8)</f>
        <v>202.8</v>
      </c>
      <c r="W227" s="95" t="str">
        <f>IFERROR(__xludf.DUMMYFUNCTION("""COMPUTED_VALUE"""),"")</f>
        <v/>
      </c>
      <c r="X227" s="96" t="str">
        <f>IFERROR(__xludf.DUMMYFUNCTION("""COMPUTED_VALUE"""),"")</f>
        <v/>
      </c>
      <c r="Y227" s="97" t="str">
        <f>IFERROR(__xludf.DUMMYFUNCTION("""COMPUTED_VALUE"""),"")</f>
        <v/>
      </c>
      <c r="Z227" s="95" t="str">
        <f>IFERROR(__xludf.DUMMYFUNCTION("""COMPUTED_VALUE"""),"")</f>
        <v/>
      </c>
      <c r="AA227" s="96" t="str">
        <f>IFERROR(__xludf.DUMMYFUNCTION("""COMPUTED_VALUE"""),"")</f>
        <v/>
      </c>
      <c r="AB227" s="97" t="str">
        <f>IFERROR(__xludf.DUMMYFUNCTION("""COMPUTED_VALUE"""),"")</f>
        <v/>
      </c>
      <c r="AC227" s="95" t="str">
        <f>IFERROR(__xludf.DUMMYFUNCTION("""COMPUTED_VALUE"""),"")</f>
        <v/>
      </c>
      <c r="AD227" s="96">
        <f>IFERROR(__xludf.DUMMYFUNCTION("""COMPUTED_VALUE"""),136.8)</f>
        <v>136.8</v>
      </c>
      <c r="AE227" s="97" t="str">
        <f>IFERROR(__xludf.DUMMYFUNCTION("""COMPUTED_VALUE"""),"")</f>
        <v/>
      </c>
      <c r="AF227" s="95" t="str">
        <f>IFERROR(__xludf.DUMMYFUNCTION("""COMPUTED_VALUE"""),"")</f>
        <v/>
      </c>
      <c r="AG227" s="96" t="str">
        <f>IFERROR(__xludf.DUMMYFUNCTION("""COMPUTED_VALUE"""),"")</f>
        <v/>
      </c>
      <c r="AH227" s="97" t="str">
        <f>IFERROR(__xludf.DUMMYFUNCTION("""COMPUTED_VALUE"""),"")</f>
        <v/>
      </c>
      <c r="AI227" s="184" t="str">
        <f>IFERROR(__xludf.DUMMYFUNCTION("""COMPUTED_VALUE"""),"")</f>
        <v/>
      </c>
      <c r="AJ227" s="185" t="str">
        <f>IFERROR(__xludf.DUMMYFUNCTION("""COMPUTED_VALUE"""),"")</f>
        <v/>
      </c>
      <c r="AK227" s="186" t="str">
        <f>IFERROR(__xludf.DUMMYFUNCTION("""COMPUTED_VALUE"""),"")</f>
        <v/>
      </c>
      <c r="AL227" s="185" t="str">
        <f>IFERROR(__xludf.DUMMYFUNCTION("""COMPUTED_VALUE"""),"")</f>
        <v/>
      </c>
      <c r="AM227" s="185" t="str">
        <f>IFERROR(__xludf.DUMMYFUNCTION("""COMPUTED_VALUE"""),"")</f>
        <v/>
      </c>
      <c r="AN227" s="186" t="str">
        <f>IFERROR(__xludf.DUMMYFUNCTION("""COMPUTED_VALUE"""),"")</f>
        <v/>
      </c>
      <c r="AO227" s="185" t="str">
        <f>IFERROR(__xludf.DUMMYFUNCTION("""COMPUTED_VALUE"""),"")</f>
        <v/>
      </c>
      <c r="AP227" s="185" t="str">
        <f>IFERROR(__xludf.DUMMYFUNCTION("""COMPUTED_VALUE"""),"")</f>
        <v/>
      </c>
      <c r="AQ227" s="186" t="str">
        <f>IFERROR(__xludf.DUMMYFUNCTION("""COMPUTED_VALUE"""),"")</f>
        <v/>
      </c>
      <c r="AR227" s="185" t="str">
        <f>IFERROR(__xludf.DUMMYFUNCTION("""COMPUTED_VALUE"""),"")</f>
        <v/>
      </c>
      <c r="AS227" s="185" t="str">
        <f>IFERROR(__xludf.DUMMYFUNCTION("""COMPUTED_VALUE"""),"")</f>
        <v/>
      </c>
      <c r="AT227" s="186" t="str">
        <f>IFERROR(__xludf.DUMMYFUNCTION("""COMPUTED_VALUE"""),"")</f>
        <v/>
      </c>
      <c r="AU227" s="185" t="str">
        <f>IFERROR(__xludf.DUMMYFUNCTION("""COMPUTED_VALUE"""),"")</f>
        <v/>
      </c>
      <c r="AV227" s="185" t="str">
        <f>IFERROR(__xludf.DUMMYFUNCTION("""COMPUTED_VALUE"""),"")</f>
        <v/>
      </c>
      <c r="AW227" s="134">
        <f>IFERROR(__xludf.DUMMYFUNCTION("""COMPUTED_VALUE"""),70.4)</f>
        <v>70.4</v>
      </c>
      <c r="AX227" s="185" t="str">
        <f>IFERROR(__xludf.DUMMYFUNCTION("""COMPUTED_VALUE"""),"")</f>
        <v/>
      </c>
      <c r="AY227" s="185" t="str">
        <f>IFERROR(__xludf.DUMMYFUNCTION("""COMPUTED_VALUE"""),"")</f>
        <v/>
      </c>
      <c r="AZ227" s="186" t="str">
        <f>IFERROR(__xludf.DUMMYFUNCTION("""COMPUTED_VALUE"""),"")</f>
        <v/>
      </c>
      <c r="BA227" s="185" t="str">
        <f>IFERROR(__xludf.DUMMYFUNCTION("""COMPUTED_VALUE"""),"")</f>
        <v/>
      </c>
      <c r="BB227" s="185" t="str">
        <f>IFERROR(__xludf.DUMMYFUNCTION("""COMPUTED_VALUE"""),"")</f>
        <v/>
      </c>
      <c r="BC227" s="186" t="str">
        <f>IFERROR(__xludf.DUMMYFUNCTION("""COMPUTED_VALUE"""),"")</f>
        <v/>
      </c>
      <c r="BD227" s="185" t="str">
        <f>IFERROR(__xludf.DUMMYFUNCTION("""COMPUTED_VALUE"""),"")</f>
        <v/>
      </c>
      <c r="BE227" s="185">
        <f>IFERROR(__xludf.DUMMYFUNCTION("""COMPUTED_VALUE"""),492.1)</f>
        <v>492.1</v>
      </c>
      <c r="BF227" s="186" t="str">
        <f>IFERROR(__xludf.DUMMYFUNCTION("""COMPUTED_VALUE"""),"")</f>
        <v/>
      </c>
      <c r="BG227" s="184" t="str">
        <f>IFERROR(__xludf.DUMMYFUNCTION("""COMPUTED_VALUE"""),"")</f>
        <v/>
      </c>
      <c r="BH227" s="185" t="str">
        <f>IFERROR(__xludf.DUMMYFUNCTION("""COMPUTED_VALUE"""),"")</f>
        <v/>
      </c>
      <c r="BI227" s="186" t="str">
        <f>IFERROR(__xludf.DUMMYFUNCTION("""COMPUTED_VALUE"""),"")</f>
        <v/>
      </c>
      <c r="BJ227" s="185" t="str">
        <f>IFERROR(__xludf.DUMMYFUNCTION("""COMPUTED_VALUE"""),"")</f>
        <v/>
      </c>
      <c r="BK227" s="185" t="str">
        <f>IFERROR(__xludf.DUMMYFUNCTION("""COMPUTED_VALUE"""),"")</f>
        <v/>
      </c>
      <c r="BL227" s="186" t="str">
        <f>IFERROR(__xludf.DUMMYFUNCTION("""COMPUTED_VALUE"""),"")</f>
        <v/>
      </c>
      <c r="BM227" s="185" t="str">
        <f>IFERROR(__xludf.DUMMYFUNCTION("""COMPUTED_VALUE"""),"")</f>
        <v/>
      </c>
      <c r="BN227" s="185">
        <f>IFERROR(__xludf.DUMMYFUNCTION("""COMPUTED_VALUE"""),141.8)</f>
        <v>141.8</v>
      </c>
      <c r="BO227" s="186" t="str">
        <f>IFERROR(__xludf.DUMMYFUNCTION("""COMPUTED_VALUE"""),"")</f>
        <v/>
      </c>
      <c r="BP227" s="185" t="str">
        <f>IFERROR(__xludf.DUMMYFUNCTION("""COMPUTED_VALUE"""),"")</f>
        <v/>
      </c>
      <c r="BQ227" s="185" t="str">
        <f>IFERROR(__xludf.DUMMYFUNCTION("""COMPUTED_VALUE"""),"")</f>
        <v/>
      </c>
      <c r="BR227" s="186" t="str">
        <f>IFERROR(__xludf.DUMMYFUNCTION("""COMPUTED_VALUE"""),"")</f>
        <v/>
      </c>
      <c r="BS227" s="185" t="str">
        <f>IFERROR(__xludf.DUMMYFUNCTION("""COMPUTED_VALUE"""),"")</f>
        <v/>
      </c>
      <c r="BT227" s="185" t="str">
        <f>IFERROR(__xludf.DUMMYFUNCTION("""COMPUTED_VALUE"""),"")</f>
        <v/>
      </c>
      <c r="BU227" s="186" t="str">
        <f>IFERROR(__xludf.DUMMYFUNCTION("""COMPUTED_VALUE"""),"")</f>
        <v/>
      </c>
      <c r="BV227" s="185" t="str">
        <f>IFERROR(__xludf.DUMMYFUNCTION("""COMPUTED_VALUE"""),"")</f>
        <v/>
      </c>
      <c r="BW227" s="185" t="str">
        <f>IFERROR(__xludf.DUMMYFUNCTION("""COMPUTED_VALUE"""),"")</f>
        <v/>
      </c>
      <c r="BX227" s="186" t="str">
        <f>IFERROR(__xludf.DUMMYFUNCTION("""COMPUTED_VALUE"""),"")</f>
        <v/>
      </c>
      <c r="BY227" s="185" t="str">
        <f>IFERROR(__xludf.DUMMYFUNCTION("""COMPUTED_VALUE"""),"")</f>
        <v/>
      </c>
      <c r="BZ227" s="185" t="str">
        <f>IFERROR(__xludf.DUMMYFUNCTION("""COMPUTED_VALUE"""),"")</f>
        <v/>
      </c>
      <c r="CA227" s="186" t="str">
        <f>IFERROR(__xludf.DUMMYFUNCTION("""COMPUTED_VALUE"""),"")</f>
        <v/>
      </c>
      <c r="CB227" s="184" t="str">
        <f>IFERROR(__xludf.DUMMYFUNCTION("""COMPUTED_VALUE"""),"")</f>
        <v/>
      </c>
      <c r="CC227" s="185" t="str">
        <f>IFERROR(__xludf.DUMMYFUNCTION("""COMPUTED_VALUE"""),"")</f>
        <v/>
      </c>
      <c r="CD227" s="186" t="str">
        <f>IFERROR(__xludf.DUMMYFUNCTION("""COMPUTED_VALUE"""),"")</f>
        <v/>
      </c>
      <c r="CE227" s="185" t="str">
        <f>IFERROR(__xludf.DUMMYFUNCTION("""COMPUTED_VALUE"""),"")</f>
        <v/>
      </c>
      <c r="CF227" s="185" t="str">
        <f>IFERROR(__xludf.DUMMYFUNCTION("""COMPUTED_VALUE"""),"")</f>
        <v/>
      </c>
      <c r="CG227" s="186" t="str">
        <f>IFERROR(__xludf.DUMMYFUNCTION("""COMPUTED_VALUE"""),"")</f>
        <v/>
      </c>
      <c r="CH227" s="185" t="str">
        <f>IFERROR(__xludf.DUMMYFUNCTION("""COMPUTED_VALUE"""),"")</f>
        <v/>
      </c>
      <c r="CI227" s="185" t="str">
        <f>IFERROR(__xludf.DUMMYFUNCTION("""COMPUTED_VALUE"""),"")</f>
        <v/>
      </c>
      <c r="CJ227" s="186" t="str">
        <f>IFERROR(__xludf.DUMMYFUNCTION("""COMPUTED_VALUE"""),"")</f>
        <v/>
      </c>
      <c r="CK227" s="185" t="str">
        <f>IFERROR(__xludf.DUMMYFUNCTION("""COMPUTED_VALUE"""),"")</f>
        <v/>
      </c>
      <c r="CL227" s="185" t="str">
        <f>IFERROR(__xludf.DUMMYFUNCTION("""COMPUTED_VALUE"""),"")</f>
        <v/>
      </c>
      <c r="CM227" s="186" t="str">
        <f>IFERROR(__xludf.DUMMYFUNCTION("""COMPUTED_VALUE"""),"")</f>
        <v/>
      </c>
      <c r="CN227" s="185">
        <f>IFERROR(__xludf.DUMMYFUNCTION("""COMPUTED_VALUE"""),462.7)</f>
        <v>462.7</v>
      </c>
      <c r="CO227" s="185" t="str">
        <f>IFERROR(__xludf.DUMMYFUNCTION("""COMPUTED_VALUE"""),"")</f>
        <v/>
      </c>
      <c r="CP227" s="186">
        <f>IFERROR(__xludf.DUMMYFUNCTION("""COMPUTED_VALUE"""),163.9)</f>
        <v>163.9</v>
      </c>
      <c r="CQ227" s="185" t="str">
        <f>IFERROR(__xludf.DUMMYFUNCTION("""COMPUTED_VALUE"""),"")</f>
        <v/>
      </c>
      <c r="CR227" s="185" t="str">
        <f>IFERROR(__xludf.DUMMYFUNCTION("""COMPUTED_VALUE"""),"")</f>
        <v/>
      </c>
      <c r="CS227" s="186"/>
      <c r="CT227" s="185"/>
      <c r="CU227" s="185"/>
      <c r="CV227" s="186"/>
      <c r="CW227" s="185"/>
      <c r="CX227" s="185"/>
      <c r="CY227" s="186"/>
      <c r="CZ227" s="185"/>
      <c r="DA227" s="185"/>
      <c r="DB227" s="186"/>
      <c r="DC227" s="185"/>
      <c r="DD227" s="185"/>
      <c r="DE227" s="186"/>
      <c r="DF227" s="185"/>
      <c r="DG227" s="185"/>
      <c r="DH227" s="186"/>
      <c r="DI227" s="185"/>
      <c r="DJ227" s="185"/>
      <c r="DK227" s="186"/>
      <c r="DL227" s="185"/>
      <c r="DM227" s="185"/>
      <c r="DN227" s="186"/>
      <c r="DO227" s="185"/>
      <c r="DP227" s="185"/>
      <c r="DQ227" s="186"/>
      <c r="DR227" s="185"/>
      <c r="DS227" s="185"/>
      <c r="DT227" s="186"/>
    </row>
    <row r="228">
      <c r="B228" s="180" t="str">
        <f>IFERROR(__xludf.DUMMYFUNCTION("""COMPUTED_VALUE"""),"YKS10")</f>
        <v>YKS10</v>
      </c>
      <c r="C228">
        <f>IFERROR(__xludf.DUMMYFUNCTION("""COMPUTED_VALUE"""),225.0)</f>
        <v>225</v>
      </c>
      <c r="D228" s="178" t="str">
        <f>IFERROR(__xludf.DUMMYFUNCTION("""COMPUTED_VALUE"""),"Eastern Flower Garden")</f>
        <v>Eastern Flower Garden</v>
      </c>
      <c r="E228" s="83" t="str">
        <f>IFERROR(__xludf.DUMMYFUNCTION("""COMPUTED_VALUE"""),"東の花園")</f>
        <v>東の花園</v>
      </c>
      <c r="F228" s="179">
        <f>IFERROR(__xludf.DUMMYFUNCTION("""COMPUTED_VALUE"""),21.0)</f>
        <v>21</v>
      </c>
      <c r="G228" s="83">
        <f>IFERROR(__xludf.DUMMYFUNCTION("""COMPUTED_VALUE"""),6018.0)</f>
        <v>6018</v>
      </c>
      <c r="H228" s="95" t="str">
        <f>IFERROR(__xludf.DUMMYFUNCTION("""COMPUTED_VALUE"""),"")</f>
        <v/>
      </c>
      <c r="I228" s="96" t="str">
        <f>IFERROR(__xludf.DUMMYFUNCTION("""COMPUTED_VALUE"""),"")</f>
        <v/>
      </c>
      <c r="J228" s="97" t="str">
        <f>IFERROR(__xludf.DUMMYFUNCTION("""COMPUTED_VALUE"""),"")</f>
        <v/>
      </c>
      <c r="K228" s="95" t="str">
        <f>IFERROR(__xludf.DUMMYFUNCTION("""COMPUTED_VALUE"""),"")</f>
        <v/>
      </c>
      <c r="L228" s="96" t="str">
        <f>IFERROR(__xludf.DUMMYFUNCTION("""COMPUTED_VALUE"""),"")</f>
        <v/>
      </c>
      <c r="M228" s="97" t="str">
        <f>IFERROR(__xludf.DUMMYFUNCTION("""COMPUTED_VALUE"""),"")</f>
        <v/>
      </c>
      <c r="N228" s="95" t="str">
        <f>IFERROR(__xludf.DUMMYFUNCTION("""COMPUTED_VALUE"""),"")</f>
        <v/>
      </c>
      <c r="O228" s="96">
        <f>IFERROR(__xludf.DUMMYFUNCTION("""COMPUTED_VALUE"""),110.9)</f>
        <v>110.9</v>
      </c>
      <c r="P228" s="97" t="str">
        <f>IFERROR(__xludf.DUMMYFUNCTION("""COMPUTED_VALUE"""),"")</f>
        <v/>
      </c>
      <c r="Q228" s="95" t="str">
        <f>IFERROR(__xludf.DUMMYFUNCTION("""COMPUTED_VALUE"""),"")</f>
        <v/>
      </c>
      <c r="R228" s="96" t="str">
        <f>IFERROR(__xludf.DUMMYFUNCTION("""COMPUTED_VALUE"""),"")</f>
        <v/>
      </c>
      <c r="S228" s="97" t="str">
        <f>IFERROR(__xludf.DUMMYFUNCTION("""COMPUTED_VALUE"""),"")</f>
        <v/>
      </c>
      <c r="T228" s="95" t="str">
        <f>IFERROR(__xludf.DUMMYFUNCTION("""COMPUTED_VALUE"""),"")</f>
        <v/>
      </c>
      <c r="U228" s="96" t="str">
        <f>IFERROR(__xludf.DUMMYFUNCTION("""COMPUTED_VALUE"""),"")</f>
        <v/>
      </c>
      <c r="V228" s="97" t="str">
        <f>IFERROR(__xludf.DUMMYFUNCTION("""COMPUTED_VALUE"""),"")</f>
        <v/>
      </c>
      <c r="W228" s="95" t="str">
        <f>IFERROR(__xludf.DUMMYFUNCTION("""COMPUTED_VALUE"""),"")</f>
        <v/>
      </c>
      <c r="X228" s="96" t="str">
        <f>IFERROR(__xludf.DUMMYFUNCTION("""COMPUTED_VALUE"""),"")</f>
        <v/>
      </c>
      <c r="Y228" s="97" t="str">
        <f>IFERROR(__xludf.DUMMYFUNCTION("""COMPUTED_VALUE"""),"")</f>
        <v/>
      </c>
      <c r="Z228" s="95" t="str">
        <f>IFERROR(__xludf.DUMMYFUNCTION("""COMPUTED_VALUE"""),"")</f>
        <v/>
      </c>
      <c r="AA228" s="96" t="str">
        <f>IFERROR(__xludf.DUMMYFUNCTION("""COMPUTED_VALUE"""),"")</f>
        <v/>
      </c>
      <c r="AB228" s="97" t="str">
        <f>IFERROR(__xludf.DUMMYFUNCTION("""COMPUTED_VALUE"""),"")</f>
        <v/>
      </c>
      <c r="AC228" s="95" t="str">
        <f>IFERROR(__xludf.DUMMYFUNCTION("""COMPUTED_VALUE"""),"")</f>
        <v/>
      </c>
      <c r="AD228" s="96">
        <f>IFERROR(__xludf.DUMMYFUNCTION("""COMPUTED_VALUE"""),106.7)</f>
        <v>106.7</v>
      </c>
      <c r="AE228" s="97" t="str">
        <f>IFERROR(__xludf.DUMMYFUNCTION("""COMPUTED_VALUE"""),"")</f>
        <v/>
      </c>
      <c r="AF228" s="95" t="str">
        <f>IFERROR(__xludf.DUMMYFUNCTION("""COMPUTED_VALUE"""),"")</f>
        <v/>
      </c>
      <c r="AG228" s="96" t="str">
        <f>IFERROR(__xludf.DUMMYFUNCTION("""COMPUTED_VALUE"""),"")</f>
        <v/>
      </c>
      <c r="AH228" s="97" t="str">
        <f>IFERROR(__xludf.DUMMYFUNCTION("""COMPUTED_VALUE"""),"")</f>
        <v/>
      </c>
      <c r="AI228" s="92" t="str">
        <f>IFERROR(__xludf.DUMMYFUNCTION("""COMPUTED_VALUE"""),"")</f>
        <v/>
      </c>
      <c r="AJ228" s="93" t="str">
        <f>IFERROR(__xludf.DUMMYFUNCTION("""COMPUTED_VALUE"""),"")</f>
        <v/>
      </c>
      <c r="AK228" s="94" t="str">
        <f>IFERROR(__xludf.DUMMYFUNCTION("""COMPUTED_VALUE"""),"")</f>
        <v/>
      </c>
      <c r="AL228" s="93" t="str">
        <f>IFERROR(__xludf.DUMMYFUNCTION("""COMPUTED_VALUE"""),"")</f>
        <v/>
      </c>
      <c r="AM228" s="93" t="str">
        <f>IFERROR(__xludf.DUMMYFUNCTION("""COMPUTED_VALUE"""),"")</f>
        <v/>
      </c>
      <c r="AN228" s="94" t="str">
        <f>IFERROR(__xludf.DUMMYFUNCTION("""COMPUTED_VALUE"""),"")</f>
        <v/>
      </c>
      <c r="AO228" s="93" t="str">
        <f>IFERROR(__xludf.DUMMYFUNCTION("""COMPUTED_VALUE"""),"")</f>
        <v/>
      </c>
      <c r="AP228" s="140" t="str">
        <f>IFERROR(__xludf.DUMMYFUNCTION("""COMPUTED_VALUE"""),"")</f>
        <v/>
      </c>
      <c r="AQ228" s="94" t="str">
        <f>IFERROR(__xludf.DUMMYFUNCTION("""COMPUTED_VALUE"""),"")</f>
        <v/>
      </c>
      <c r="AR228" s="93" t="str">
        <f>IFERROR(__xludf.DUMMYFUNCTION("""COMPUTED_VALUE"""),"")</f>
        <v/>
      </c>
      <c r="AS228" s="93" t="str">
        <f>IFERROR(__xludf.DUMMYFUNCTION("""COMPUTED_VALUE"""),"")</f>
        <v/>
      </c>
      <c r="AT228" s="94" t="str">
        <f>IFERROR(__xludf.DUMMYFUNCTION("""COMPUTED_VALUE"""),"")</f>
        <v/>
      </c>
      <c r="AU228" s="93" t="str">
        <f>IFERROR(__xludf.DUMMYFUNCTION("""COMPUTED_VALUE"""),"")</f>
        <v/>
      </c>
      <c r="AV228" s="93" t="str">
        <f>IFERROR(__xludf.DUMMYFUNCTION("""COMPUTED_VALUE"""),"")</f>
        <v/>
      </c>
      <c r="AW228" s="94" t="str">
        <f>IFERROR(__xludf.DUMMYFUNCTION("""COMPUTED_VALUE"""),"")</f>
        <v/>
      </c>
      <c r="AX228" s="93" t="str">
        <f>IFERROR(__xludf.DUMMYFUNCTION("""COMPUTED_VALUE"""),"")</f>
        <v/>
      </c>
      <c r="AY228" s="93" t="str">
        <f>IFERROR(__xludf.DUMMYFUNCTION("""COMPUTED_VALUE"""),"")</f>
        <v/>
      </c>
      <c r="AZ228" s="94" t="str">
        <f>IFERROR(__xludf.DUMMYFUNCTION("""COMPUTED_VALUE"""),"")</f>
        <v/>
      </c>
      <c r="BA228" s="93" t="str">
        <f>IFERROR(__xludf.DUMMYFUNCTION("""COMPUTED_VALUE"""),"")</f>
        <v/>
      </c>
      <c r="BB228" s="93" t="str">
        <f>IFERROR(__xludf.DUMMYFUNCTION("""COMPUTED_VALUE"""),"")</f>
        <v/>
      </c>
      <c r="BC228" s="94" t="str">
        <f>IFERROR(__xludf.DUMMYFUNCTION("""COMPUTED_VALUE"""),"")</f>
        <v/>
      </c>
      <c r="BD228" s="93" t="str">
        <f>IFERROR(__xludf.DUMMYFUNCTION("""COMPUTED_VALUE"""),"")</f>
        <v/>
      </c>
      <c r="BE228" s="93" t="str">
        <f>IFERROR(__xludf.DUMMYFUNCTION("""COMPUTED_VALUE"""),"")</f>
        <v/>
      </c>
      <c r="BF228" s="94" t="str">
        <f>IFERROR(__xludf.DUMMYFUNCTION("""COMPUTED_VALUE"""),"")</f>
        <v/>
      </c>
      <c r="BG228" s="92" t="str">
        <f>IFERROR(__xludf.DUMMYFUNCTION("""COMPUTED_VALUE"""),"")</f>
        <v/>
      </c>
      <c r="BH228" s="93" t="str">
        <f>IFERROR(__xludf.DUMMYFUNCTION("""COMPUTED_VALUE"""),"")</f>
        <v/>
      </c>
      <c r="BI228" s="94" t="str">
        <f>IFERROR(__xludf.DUMMYFUNCTION("""COMPUTED_VALUE"""),"")</f>
        <v/>
      </c>
      <c r="BJ228" s="93" t="str">
        <f>IFERROR(__xludf.DUMMYFUNCTION("""COMPUTED_VALUE"""),"")</f>
        <v/>
      </c>
      <c r="BK228" s="93" t="str">
        <f>IFERROR(__xludf.DUMMYFUNCTION("""COMPUTED_VALUE"""),"")</f>
        <v/>
      </c>
      <c r="BL228" s="94" t="str">
        <f>IFERROR(__xludf.DUMMYFUNCTION("""COMPUTED_VALUE"""),"")</f>
        <v/>
      </c>
      <c r="BM228" s="93" t="str">
        <f>IFERROR(__xludf.DUMMYFUNCTION("""COMPUTED_VALUE"""),"")</f>
        <v/>
      </c>
      <c r="BN228" s="93">
        <f>IFERROR(__xludf.DUMMYFUNCTION("""COMPUTED_VALUE"""),51.7)</f>
        <v>51.7</v>
      </c>
      <c r="BO228" s="94" t="str">
        <f>IFERROR(__xludf.DUMMYFUNCTION("""COMPUTED_VALUE"""),"")</f>
        <v/>
      </c>
      <c r="BP228" s="93" t="str">
        <f>IFERROR(__xludf.DUMMYFUNCTION("""COMPUTED_VALUE"""),"")</f>
        <v/>
      </c>
      <c r="BQ228" s="93" t="str">
        <f>IFERROR(__xludf.DUMMYFUNCTION("""COMPUTED_VALUE"""),"")</f>
        <v/>
      </c>
      <c r="BR228" s="94" t="str">
        <f>IFERROR(__xludf.DUMMYFUNCTION("""COMPUTED_VALUE"""),"")</f>
        <v/>
      </c>
      <c r="BS228" s="93" t="str">
        <f>IFERROR(__xludf.DUMMYFUNCTION("""COMPUTED_VALUE"""),"")</f>
        <v/>
      </c>
      <c r="BT228" s="93" t="str">
        <f>IFERROR(__xludf.DUMMYFUNCTION("""COMPUTED_VALUE"""),"")</f>
        <v/>
      </c>
      <c r="BU228" s="94" t="str">
        <f>IFERROR(__xludf.DUMMYFUNCTION("""COMPUTED_VALUE"""),"")</f>
        <v/>
      </c>
      <c r="BV228" s="93" t="str">
        <f>IFERROR(__xludf.DUMMYFUNCTION("""COMPUTED_VALUE"""),"")</f>
        <v/>
      </c>
      <c r="BW228" s="93" t="str">
        <f>IFERROR(__xludf.DUMMYFUNCTION("""COMPUTED_VALUE"""),"")</f>
        <v/>
      </c>
      <c r="BX228" s="94" t="str">
        <f>IFERROR(__xludf.DUMMYFUNCTION("""COMPUTED_VALUE"""),"")</f>
        <v/>
      </c>
      <c r="BY228" s="93" t="str">
        <f>IFERROR(__xludf.DUMMYFUNCTION("""COMPUTED_VALUE"""),"")</f>
        <v/>
      </c>
      <c r="BZ228" s="93" t="str">
        <f>IFERROR(__xludf.DUMMYFUNCTION("""COMPUTED_VALUE"""),"")</f>
        <v/>
      </c>
      <c r="CA228" s="94" t="str">
        <f>IFERROR(__xludf.DUMMYFUNCTION("""COMPUTED_VALUE"""),"")</f>
        <v/>
      </c>
      <c r="CB228" s="92" t="str">
        <f>IFERROR(__xludf.DUMMYFUNCTION("""COMPUTED_VALUE"""),"")</f>
        <v/>
      </c>
      <c r="CC228" s="93" t="str">
        <f>IFERROR(__xludf.DUMMYFUNCTION("""COMPUTED_VALUE"""),"")</f>
        <v/>
      </c>
      <c r="CD228" s="94" t="str">
        <f>IFERROR(__xludf.DUMMYFUNCTION("""COMPUTED_VALUE"""),"")</f>
        <v/>
      </c>
      <c r="CE228" s="93" t="str">
        <f>IFERROR(__xludf.DUMMYFUNCTION("""COMPUTED_VALUE"""),"")</f>
        <v/>
      </c>
      <c r="CF228" s="93" t="str">
        <f>IFERROR(__xludf.DUMMYFUNCTION("""COMPUTED_VALUE"""),"")</f>
        <v/>
      </c>
      <c r="CG228" s="94" t="str">
        <f>IFERROR(__xludf.DUMMYFUNCTION("""COMPUTED_VALUE"""),"")</f>
        <v/>
      </c>
      <c r="CH228" s="93" t="str">
        <f>IFERROR(__xludf.DUMMYFUNCTION("""COMPUTED_VALUE"""),"")</f>
        <v/>
      </c>
      <c r="CI228" s="93" t="str">
        <f>IFERROR(__xludf.DUMMYFUNCTION("""COMPUTED_VALUE"""),"")</f>
        <v/>
      </c>
      <c r="CJ228" s="94" t="str">
        <f>IFERROR(__xludf.DUMMYFUNCTION("""COMPUTED_VALUE"""),"")</f>
        <v/>
      </c>
      <c r="CK228" s="93" t="str">
        <f>IFERROR(__xludf.DUMMYFUNCTION("""COMPUTED_VALUE"""),"")</f>
        <v/>
      </c>
      <c r="CL228" s="93" t="str">
        <f>IFERROR(__xludf.DUMMYFUNCTION("""COMPUTED_VALUE"""),"")</f>
        <v/>
      </c>
      <c r="CM228" s="94" t="str">
        <f>IFERROR(__xludf.DUMMYFUNCTION("""COMPUTED_VALUE"""),"")</f>
        <v/>
      </c>
      <c r="CN228" s="93" t="str">
        <f>IFERROR(__xludf.DUMMYFUNCTION("""COMPUTED_VALUE"""),"")</f>
        <v/>
      </c>
      <c r="CO228" s="93" t="str">
        <f>IFERROR(__xludf.DUMMYFUNCTION("""COMPUTED_VALUE"""),"")</f>
        <v/>
      </c>
      <c r="CP228" s="94">
        <f>IFERROR(__xludf.DUMMYFUNCTION("""COMPUTED_VALUE"""),63.8)</f>
        <v>63.8</v>
      </c>
      <c r="CQ228" s="93" t="str">
        <f>IFERROR(__xludf.DUMMYFUNCTION("""COMPUTED_VALUE"""),"")</f>
        <v/>
      </c>
      <c r="CR228" s="93" t="str">
        <f>IFERROR(__xludf.DUMMYFUNCTION("""COMPUTED_VALUE"""),"")</f>
        <v/>
      </c>
      <c r="CS228" s="94"/>
      <c r="CT228" s="93"/>
      <c r="CU228" s="93"/>
      <c r="CV228" s="94"/>
      <c r="CW228" s="93"/>
      <c r="CX228" s="93"/>
      <c r="CY228" s="94"/>
      <c r="CZ228" s="93"/>
      <c r="DA228" s="93"/>
      <c r="DB228" s="94"/>
      <c r="DC228" s="93"/>
      <c r="DD228" s="93"/>
      <c r="DE228" s="94"/>
      <c r="DF228" s="93"/>
      <c r="DG228" s="93"/>
      <c r="DH228" s="94"/>
      <c r="DI228" s="93"/>
      <c r="DJ228" s="93"/>
      <c r="DK228" s="94"/>
      <c r="DL228" s="93"/>
      <c r="DM228" s="93"/>
      <c r="DN228" s="94"/>
      <c r="DO228" s="93"/>
      <c r="DP228" s="93"/>
      <c r="DQ228" s="94"/>
      <c r="DR228" s="93"/>
      <c r="DS228" s="93"/>
      <c r="DT228" s="94"/>
    </row>
    <row r="229">
      <c r="A229" s="188" t="str">
        <f>IFERROR(__xludf.DUMMYFUNCTION("""COMPUTED_VALUE"""),"ATLANTIS")</f>
        <v>ATLANTIS</v>
      </c>
      <c r="B229" s="189" t="str">
        <f>IFERROR(__xludf.DUMMYFUNCTION("""COMPUTED_VALUE"""),"ATL1")</f>
        <v>ATL1</v>
      </c>
      <c r="C229" s="190">
        <f>IFERROR(__xludf.DUMMYFUNCTION("""COMPUTED_VALUE"""),228.0)</f>
        <v>228</v>
      </c>
      <c r="D229" s="191" t="str">
        <f>IFERROR(__xludf.DUMMYFUNCTION("""COMPUTED_VALUE"""),"Sailing Point")</f>
        <v>Sailing Point</v>
      </c>
      <c r="E229" s="192" t="str">
        <f>IFERROR(__xludf.DUMMYFUNCTION("""COMPUTED_VALUE"""),"セーリングポイント")</f>
        <v>セーリングポイント</v>
      </c>
      <c r="F229" s="193">
        <f>IFERROR(__xludf.DUMMYFUNCTION("""COMPUTED_VALUE"""),21.0)</f>
        <v>21</v>
      </c>
      <c r="G229" s="192">
        <f>IFERROR(__xludf.DUMMYFUNCTION("""COMPUTED_VALUE"""),53983.0)</f>
        <v>53983</v>
      </c>
      <c r="H229" s="194" t="str">
        <f>IFERROR(__xludf.DUMMYFUNCTION("""COMPUTED_VALUE"""),"")</f>
        <v/>
      </c>
      <c r="I229" s="195" t="str">
        <f>IFERROR(__xludf.DUMMYFUNCTION("""COMPUTED_VALUE"""),"")</f>
        <v/>
      </c>
      <c r="J229" s="196" t="str">
        <f>IFERROR(__xludf.DUMMYFUNCTION("""COMPUTED_VALUE"""),"")</f>
        <v/>
      </c>
      <c r="K229" s="194" t="str">
        <f>IFERROR(__xludf.DUMMYFUNCTION("""COMPUTED_VALUE"""),"")</f>
        <v/>
      </c>
      <c r="L229" s="195" t="str">
        <f>IFERROR(__xludf.DUMMYFUNCTION("""COMPUTED_VALUE"""),"")</f>
        <v/>
      </c>
      <c r="M229" s="196" t="str">
        <f>IFERROR(__xludf.DUMMYFUNCTION("""COMPUTED_VALUE"""),"")</f>
        <v/>
      </c>
      <c r="N229" s="194" t="str">
        <f>IFERROR(__xludf.DUMMYFUNCTION("""COMPUTED_VALUE"""),"")</f>
        <v/>
      </c>
      <c r="O229" s="195" t="str">
        <f>IFERROR(__xludf.DUMMYFUNCTION("""COMPUTED_VALUE"""),"")</f>
        <v/>
      </c>
      <c r="P229" s="196" t="str">
        <f>IFERROR(__xludf.DUMMYFUNCTION("""COMPUTED_VALUE"""),"")</f>
        <v/>
      </c>
      <c r="Q229" s="194" t="str">
        <f>IFERROR(__xludf.DUMMYFUNCTION("""COMPUTED_VALUE"""),"")</f>
        <v/>
      </c>
      <c r="R229" s="195" t="str">
        <f>IFERROR(__xludf.DUMMYFUNCTION("""COMPUTED_VALUE"""),"")</f>
        <v/>
      </c>
      <c r="S229" s="196" t="str">
        <f>IFERROR(__xludf.DUMMYFUNCTION("""COMPUTED_VALUE"""),"")</f>
        <v/>
      </c>
      <c r="T229" s="194" t="str">
        <f>IFERROR(__xludf.DUMMYFUNCTION("""COMPUTED_VALUE"""),"")</f>
        <v/>
      </c>
      <c r="U229" s="195" t="str">
        <f>IFERROR(__xludf.DUMMYFUNCTION("""COMPUTED_VALUE"""),"")</f>
        <v/>
      </c>
      <c r="V229" s="196" t="str">
        <f>IFERROR(__xludf.DUMMYFUNCTION("""COMPUTED_VALUE"""),"")</f>
        <v/>
      </c>
      <c r="W229" s="194">
        <f>IFERROR(__xludf.DUMMYFUNCTION("""COMPUTED_VALUE"""),178.3)</f>
        <v>178.3</v>
      </c>
      <c r="X229" s="195" t="str">
        <f>IFERROR(__xludf.DUMMYFUNCTION("""COMPUTED_VALUE"""),"")</f>
        <v/>
      </c>
      <c r="Y229" s="196" t="str">
        <f>IFERROR(__xludf.DUMMYFUNCTION("""COMPUTED_VALUE"""),"")</f>
        <v/>
      </c>
      <c r="Z229" s="194" t="str">
        <f>IFERROR(__xludf.DUMMYFUNCTION("""COMPUTED_VALUE"""),"")</f>
        <v/>
      </c>
      <c r="AA229" s="195" t="str">
        <f>IFERROR(__xludf.DUMMYFUNCTION("""COMPUTED_VALUE"""),"")</f>
        <v/>
      </c>
      <c r="AB229" s="196" t="str">
        <f>IFERROR(__xludf.DUMMYFUNCTION("""COMPUTED_VALUE"""),"")</f>
        <v/>
      </c>
      <c r="AC229" s="194" t="str">
        <f>IFERROR(__xludf.DUMMYFUNCTION("""COMPUTED_VALUE"""),"")</f>
        <v/>
      </c>
      <c r="AD229" s="195" t="str">
        <f>IFERROR(__xludf.DUMMYFUNCTION("""COMPUTED_VALUE"""),"")</f>
        <v/>
      </c>
      <c r="AE229" s="196" t="str">
        <f>IFERROR(__xludf.DUMMYFUNCTION("""COMPUTED_VALUE"""),"")</f>
        <v/>
      </c>
      <c r="AF229" s="194" t="str">
        <f>IFERROR(__xludf.DUMMYFUNCTION("""COMPUTED_VALUE"""),"")</f>
        <v/>
      </c>
      <c r="AG229" s="195" t="str">
        <f>IFERROR(__xludf.DUMMYFUNCTION("""COMPUTED_VALUE"""),"")</f>
        <v/>
      </c>
      <c r="AH229" s="196" t="str">
        <f>IFERROR(__xludf.DUMMYFUNCTION("""COMPUTED_VALUE"""),"")</f>
        <v/>
      </c>
      <c r="AI229" s="197" t="str">
        <f>IFERROR(__xludf.DUMMYFUNCTION("""COMPUTED_VALUE"""),"")</f>
        <v/>
      </c>
      <c r="AJ229" s="198">
        <f>IFERROR(__xludf.DUMMYFUNCTION("""COMPUTED_VALUE"""),82.5)</f>
        <v>82.5</v>
      </c>
      <c r="AK229" s="199" t="str">
        <f>IFERROR(__xludf.DUMMYFUNCTION("""COMPUTED_VALUE"""),"")</f>
        <v/>
      </c>
      <c r="AL229" s="198" t="str">
        <f>IFERROR(__xludf.DUMMYFUNCTION("""COMPUTED_VALUE"""),"")</f>
        <v/>
      </c>
      <c r="AM229" s="198" t="str">
        <f>IFERROR(__xludf.DUMMYFUNCTION("""COMPUTED_VALUE"""),"")</f>
        <v/>
      </c>
      <c r="AN229" s="199" t="str">
        <f>IFERROR(__xludf.DUMMYFUNCTION("""COMPUTED_VALUE"""),"")</f>
        <v/>
      </c>
      <c r="AO229" s="198" t="str">
        <f>IFERROR(__xludf.DUMMYFUNCTION("""COMPUTED_VALUE"""),"")</f>
        <v/>
      </c>
      <c r="AP229" s="198" t="str">
        <f>IFERROR(__xludf.DUMMYFUNCTION("""COMPUTED_VALUE"""),"")</f>
        <v/>
      </c>
      <c r="AQ229" s="199" t="str">
        <f>IFERROR(__xludf.DUMMYFUNCTION("""COMPUTED_VALUE"""),"")</f>
        <v/>
      </c>
      <c r="AR229" s="198" t="str">
        <f>IFERROR(__xludf.DUMMYFUNCTION("""COMPUTED_VALUE"""),"")</f>
        <v/>
      </c>
      <c r="AS229" s="198" t="str">
        <f>IFERROR(__xludf.DUMMYFUNCTION("""COMPUTED_VALUE"""),"")</f>
        <v/>
      </c>
      <c r="AT229" s="199" t="str">
        <f>IFERROR(__xludf.DUMMYFUNCTION("""COMPUTED_VALUE"""),"")</f>
        <v/>
      </c>
      <c r="AU229" s="198" t="str">
        <f>IFERROR(__xludf.DUMMYFUNCTION("""COMPUTED_VALUE"""),"")</f>
        <v/>
      </c>
      <c r="AV229" s="198" t="str">
        <f>IFERROR(__xludf.DUMMYFUNCTION("""COMPUTED_VALUE"""),"")</f>
        <v/>
      </c>
      <c r="AW229" s="199" t="str">
        <f>IFERROR(__xludf.DUMMYFUNCTION("""COMPUTED_VALUE"""),"")</f>
        <v/>
      </c>
      <c r="AX229" s="200" t="str">
        <f>IFERROR(__xludf.DUMMYFUNCTION("""COMPUTED_VALUE"""),"")</f>
        <v/>
      </c>
      <c r="AY229" s="198" t="str">
        <f>IFERROR(__xludf.DUMMYFUNCTION("""COMPUTED_VALUE"""),"")</f>
        <v/>
      </c>
      <c r="AZ229" s="199" t="str">
        <f>IFERROR(__xludf.DUMMYFUNCTION("""COMPUTED_VALUE"""),"")</f>
        <v/>
      </c>
      <c r="BA229" s="198" t="str">
        <f>IFERROR(__xludf.DUMMYFUNCTION("""COMPUTED_VALUE"""),"")</f>
        <v/>
      </c>
      <c r="BB229" s="198" t="str">
        <f>IFERROR(__xludf.DUMMYFUNCTION("""COMPUTED_VALUE"""),"")</f>
        <v/>
      </c>
      <c r="BC229" s="199" t="str">
        <f>IFERROR(__xludf.DUMMYFUNCTION("""COMPUTED_VALUE"""),"")</f>
        <v/>
      </c>
      <c r="BD229" s="198" t="str">
        <f>IFERROR(__xludf.DUMMYFUNCTION("""COMPUTED_VALUE"""),"")</f>
        <v/>
      </c>
      <c r="BE229" s="198" t="str">
        <f>IFERROR(__xludf.DUMMYFUNCTION("""COMPUTED_VALUE"""),"")</f>
        <v/>
      </c>
      <c r="BF229" s="199">
        <f>IFERROR(__xludf.DUMMYFUNCTION("""COMPUTED_VALUE"""),521.9)</f>
        <v>521.9</v>
      </c>
      <c r="BG229" s="197" t="str">
        <f>IFERROR(__xludf.DUMMYFUNCTION("""COMPUTED_VALUE"""),"")</f>
        <v/>
      </c>
      <c r="BH229" s="198" t="str">
        <f>IFERROR(__xludf.DUMMYFUNCTION("""COMPUTED_VALUE"""),"")</f>
        <v/>
      </c>
      <c r="BI229" s="199" t="str">
        <f>IFERROR(__xludf.DUMMYFUNCTION("""COMPUTED_VALUE"""),"")</f>
        <v/>
      </c>
      <c r="BJ229" s="198" t="str">
        <f>IFERROR(__xludf.DUMMYFUNCTION("""COMPUTED_VALUE"""),"")</f>
        <v/>
      </c>
      <c r="BK229" s="198" t="str">
        <f>IFERROR(__xludf.DUMMYFUNCTION("""COMPUTED_VALUE"""),"")</f>
        <v/>
      </c>
      <c r="BL229" s="199" t="str">
        <f>IFERROR(__xludf.DUMMYFUNCTION("""COMPUTED_VALUE"""),"")</f>
        <v/>
      </c>
      <c r="BM229" s="198" t="str">
        <f>IFERROR(__xludf.DUMMYFUNCTION("""COMPUTED_VALUE"""),"")</f>
        <v/>
      </c>
      <c r="BN229" s="198" t="str">
        <f>IFERROR(__xludf.DUMMYFUNCTION("""COMPUTED_VALUE"""),"")</f>
        <v/>
      </c>
      <c r="BO229" s="199" t="str">
        <f>IFERROR(__xludf.DUMMYFUNCTION("""COMPUTED_VALUE"""),"")</f>
        <v/>
      </c>
      <c r="BP229" s="198" t="str">
        <f>IFERROR(__xludf.DUMMYFUNCTION("""COMPUTED_VALUE"""),"")</f>
        <v/>
      </c>
      <c r="BQ229" s="198">
        <f>IFERROR(__xludf.DUMMYFUNCTION("""COMPUTED_VALUE"""),58.4)</f>
        <v>58.4</v>
      </c>
      <c r="BR229" s="199" t="str">
        <f>IFERROR(__xludf.DUMMYFUNCTION("""COMPUTED_VALUE"""),"")</f>
        <v/>
      </c>
      <c r="BS229" s="198" t="str">
        <f>IFERROR(__xludf.DUMMYFUNCTION("""COMPUTED_VALUE"""),"")</f>
        <v/>
      </c>
      <c r="BT229" s="198" t="str">
        <f>IFERROR(__xludf.DUMMYFUNCTION("""COMPUTED_VALUE"""),"")</f>
        <v/>
      </c>
      <c r="BU229" s="199" t="str">
        <f>IFERROR(__xludf.DUMMYFUNCTION("""COMPUTED_VALUE"""),"")</f>
        <v/>
      </c>
      <c r="BV229" s="198" t="str">
        <f>IFERROR(__xludf.DUMMYFUNCTION("""COMPUTED_VALUE"""),"")</f>
        <v/>
      </c>
      <c r="BW229" s="198" t="str">
        <f>IFERROR(__xludf.DUMMYFUNCTION("""COMPUTED_VALUE"""),"")</f>
        <v/>
      </c>
      <c r="BX229" s="199" t="str">
        <f>IFERROR(__xludf.DUMMYFUNCTION("""COMPUTED_VALUE"""),"")</f>
        <v/>
      </c>
      <c r="BY229" s="198" t="str">
        <f>IFERROR(__xludf.DUMMYFUNCTION("""COMPUTED_VALUE"""),"")</f>
        <v/>
      </c>
      <c r="BZ229" s="198" t="str">
        <f>IFERROR(__xludf.DUMMYFUNCTION("""COMPUTED_VALUE"""),"")</f>
        <v/>
      </c>
      <c r="CA229" s="199" t="str">
        <f>IFERROR(__xludf.DUMMYFUNCTION("""COMPUTED_VALUE"""),"")</f>
        <v/>
      </c>
      <c r="CB229" s="197" t="str">
        <f>IFERROR(__xludf.DUMMYFUNCTION("""COMPUTED_VALUE"""),"")</f>
        <v/>
      </c>
      <c r="CC229" s="198" t="str">
        <f>IFERROR(__xludf.DUMMYFUNCTION("""COMPUTED_VALUE"""),"")</f>
        <v/>
      </c>
      <c r="CD229" s="199" t="str">
        <f>IFERROR(__xludf.DUMMYFUNCTION("""COMPUTED_VALUE"""),"")</f>
        <v/>
      </c>
      <c r="CE229" s="198" t="str">
        <f>IFERROR(__xludf.DUMMYFUNCTION("""COMPUTED_VALUE"""),"")</f>
        <v/>
      </c>
      <c r="CF229" s="198" t="str">
        <f>IFERROR(__xludf.DUMMYFUNCTION("""COMPUTED_VALUE"""),"")</f>
        <v/>
      </c>
      <c r="CG229" s="199" t="str">
        <f>IFERROR(__xludf.DUMMYFUNCTION("""COMPUTED_VALUE"""),"")</f>
        <v/>
      </c>
      <c r="CH229" s="198" t="str">
        <f>IFERROR(__xludf.DUMMYFUNCTION("""COMPUTED_VALUE"""),"")</f>
        <v/>
      </c>
      <c r="CI229" s="198" t="str">
        <f>IFERROR(__xludf.DUMMYFUNCTION("""COMPUTED_VALUE"""),"")</f>
        <v/>
      </c>
      <c r="CJ229" s="199" t="str">
        <f>IFERROR(__xludf.DUMMYFUNCTION("""COMPUTED_VALUE"""),"")</f>
        <v/>
      </c>
      <c r="CK229" s="198" t="str">
        <f>IFERROR(__xludf.DUMMYFUNCTION("""COMPUTED_VALUE"""),"")</f>
        <v/>
      </c>
      <c r="CL229" s="198" t="str">
        <f>IFERROR(__xludf.DUMMYFUNCTION("""COMPUTED_VALUE"""),"")</f>
        <v/>
      </c>
      <c r="CM229" s="199" t="str">
        <f>IFERROR(__xludf.DUMMYFUNCTION("""COMPUTED_VALUE"""),"")</f>
        <v/>
      </c>
      <c r="CN229" s="198" t="str">
        <f>IFERROR(__xludf.DUMMYFUNCTION("""COMPUTED_VALUE"""),"")</f>
        <v/>
      </c>
      <c r="CO229" s="198">
        <f>IFERROR(__xludf.DUMMYFUNCTION("""COMPUTED_VALUE"""),445.7)</f>
        <v>445.7</v>
      </c>
      <c r="CP229" s="199" t="str">
        <f>IFERROR(__xludf.DUMMYFUNCTION("""COMPUTED_VALUE"""),"")</f>
        <v/>
      </c>
      <c r="CQ229" s="198" t="str">
        <f>IFERROR(__xludf.DUMMYFUNCTION("""COMPUTED_VALUE"""),"")</f>
        <v/>
      </c>
      <c r="CR229" s="198" t="str">
        <f>IFERROR(__xludf.DUMMYFUNCTION("""COMPUTED_VALUE"""),"")</f>
        <v/>
      </c>
      <c r="CS229" s="199"/>
      <c r="CT229" s="198"/>
      <c r="CU229" s="198"/>
      <c r="CV229" s="199"/>
      <c r="CW229" s="198"/>
      <c r="CX229" s="198"/>
      <c r="CY229" s="199"/>
      <c r="CZ229" s="198"/>
      <c r="DA229" s="198"/>
      <c r="DB229" s="199"/>
      <c r="DC229" s="198"/>
      <c r="DD229" s="198"/>
      <c r="DE229" s="199"/>
      <c r="DF229" s="198"/>
      <c r="DG229" s="198"/>
      <c r="DH229" s="199"/>
      <c r="DI229" s="198"/>
      <c r="DJ229" s="198"/>
      <c r="DK229" s="199"/>
      <c r="DL229" s="198"/>
      <c r="DM229" s="198"/>
      <c r="DN229" s="199"/>
      <c r="DO229" s="198"/>
      <c r="DP229" s="198"/>
      <c r="DQ229" s="199"/>
      <c r="DR229" s="198"/>
      <c r="DS229" s="198"/>
      <c r="DT229" s="199"/>
    </row>
    <row r="230">
      <c r="B230" s="201" t="str">
        <f>IFERROR(__xludf.DUMMYFUNCTION("""COMPUTED_VALUE"""),"ATL2")</f>
        <v>ATL2</v>
      </c>
      <c r="C230" s="68">
        <f>IFERROR(__xludf.DUMMYFUNCTION("""COMPUTED_VALUE"""),229.0)</f>
        <v>229</v>
      </c>
      <c r="D230" s="202" t="str">
        <f>IFERROR(__xludf.DUMMYFUNCTION("""COMPUTED_VALUE"""),"Hestia Island")</f>
        <v>Hestia Island</v>
      </c>
      <c r="E230" s="69" t="str">
        <f>IFERROR(__xludf.DUMMYFUNCTION("""COMPUTED_VALUE"""),"ヘスティア島")</f>
        <v>ヘスティア島</v>
      </c>
      <c r="F230" s="203">
        <f>IFERROR(__xludf.DUMMYFUNCTION("""COMPUTED_VALUE"""),21.0)</f>
        <v>21</v>
      </c>
      <c r="G230" s="69">
        <f>IFERROR(__xludf.DUMMYFUNCTION("""COMPUTED_VALUE"""),3235.0)</f>
        <v>3235</v>
      </c>
      <c r="H230" s="204" t="str">
        <f>IFERROR(__xludf.DUMMYFUNCTION("""COMPUTED_VALUE"""),"")</f>
        <v/>
      </c>
      <c r="I230" s="205" t="str">
        <f>IFERROR(__xludf.DUMMYFUNCTION("""COMPUTED_VALUE"""),"")</f>
        <v/>
      </c>
      <c r="J230" s="206" t="str">
        <f>IFERROR(__xludf.DUMMYFUNCTION("""COMPUTED_VALUE"""),"")</f>
        <v/>
      </c>
      <c r="K230" s="204" t="str">
        <f>IFERROR(__xludf.DUMMYFUNCTION("""COMPUTED_VALUE"""),"")</f>
        <v/>
      </c>
      <c r="L230" s="205" t="str">
        <f>IFERROR(__xludf.DUMMYFUNCTION("""COMPUTED_VALUE"""),"")</f>
        <v/>
      </c>
      <c r="M230" s="206" t="str">
        <f>IFERROR(__xludf.DUMMYFUNCTION("""COMPUTED_VALUE"""),"")</f>
        <v/>
      </c>
      <c r="N230" s="204" t="str">
        <f>IFERROR(__xludf.DUMMYFUNCTION("""COMPUTED_VALUE"""),"")</f>
        <v/>
      </c>
      <c r="O230" s="205" t="str">
        <f>IFERROR(__xludf.DUMMYFUNCTION("""COMPUTED_VALUE"""),"")</f>
        <v/>
      </c>
      <c r="P230" s="206" t="str">
        <f>IFERROR(__xludf.DUMMYFUNCTION("""COMPUTED_VALUE"""),"")</f>
        <v/>
      </c>
      <c r="Q230" s="204" t="str">
        <f>IFERROR(__xludf.DUMMYFUNCTION("""COMPUTED_VALUE"""),"")</f>
        <v/>
      </c>
      <c r="R230" s="205" t="str">
        <f>IFERROR(__xludf.DUMMYFUNCTION("""COMPUTED_VALUE"""),"")</f>
        <v/>
      </c>
      <c r="S230" s="206">
        <f>IFERROR(__xludf.DUMMYFUNCTION("""COMPUTED_VALUE"""),178.3)</f>
        <v>178.3</v>
      </c>
      <c r="T230" s="204" t="str">
        <f>IFERROR(__xludf.DUMMYFUNCTION("""COMPUTED_VALUE"""),"")</f>
        <v/>
      </c>
      <c r="U230" s="205" t="str">
        <f>IFERROR(__xludf.DUMMYFUNCTION("""COMPUTED_VALUE"""),"")</f>
        <v/>
      </c>
      <c r="V230" s="206" t="str">
        <f>IFERROR(__xludf.DUMMYFUNCTION("""COMPUTED_VALUE"""),"")</f>
        <v/>
      </c>
      <c r="W230" s="204" t="str">
        <f>IFERROR(__xludf.DUMMYFUNCTION("""COMPUTED_VALUE"""),"")</f>
        <v/>
      </c>
      <c r="X230" s="205" t="str">
        <f>IFERROR(__xludf.DUMMYFUNCTION("""COMPUTED_VALUE"""),"")</f>
        <v/>
      </c>
      <c r="Y230" s="206" t="str">
        <f>IFERROR(__xludf.DUMMYFUNCTION("""COMPUTED_VALUE"""),"")</f>
        <v/>
      </c>
      <c r="Z230" s="204" t="str">
        <f>IFERROR(__xludf.DUMMYFUNCTION("""COMPUTED_VALUE"""),"")</f>
        <v/>
      </c>
      <c r="AA230" s="205" t="str">
        <f>IFERROR(__xludf.DUMMYFUNCTION("""COMPUTED_VALUE"""),"")</f>
        <v/>
      </c>
      <c r="AB230" s="206" t="str">
        <f>IFERROR(__xludf.DUMMYFUNCTION("""COMPUTED_VALUE"""),"")</f>
        <v/>
      </c>
      <c r="AC230" s="204" t="str">
        <f>IFERROR(__xludf.DUMMYFUNCTION("""COMPUTED_VALUE"""),"")</f>
        <v/>
      </c>
      <c r="AD230" s="205" t="str">
        <f>IFERROR(__xludf.DUMMYFUNCTION("""COMPUTED_VALUE"""),"")</f>
        <v/>
      </c>
      <c r="AE230" s="206" t="str">
        <f>IFERROR(__xludf.DUMMYFUNCTION("""COMPUTED_VALUE"""),"")</f>
        <v/>
      </c>
      <c r="AF230" s="204" t="str">
        <f>IFERROR(__xludf.DUMMYFUNCTION("""COMPUTED_VALUE"""),"")</f>
        <v/>
      </c>
      <c r="AG230" s="205" t="str">
        <f>IFERROR(__xludf.DUMMYFUNCTION("""COMPUTED_VALUE"""),"")</f>
        <v/>
      </c>
      <c r="AH230" s="206" t="str">
        <f>IFERROR(__xludf.DUMMYFUNCTION("""COMPUTED_VALUE"""),"")</f>
        <v/>
      </c>
      <c r="AI230" s="207" t="str">
        <f>IFERROR(__xludf.DUMMYFUNCTION("""COMPUTED_VALUE"""),"")</f>
        <v/>
      </c>
      <c r="AJ230" s="208" t="str">
        <f>IFERROR(__xludf.DUMMYFUNCTION("""COMPUTED_VALUE"""),"")</f>
        <v/>
      </c>
      <c r="AK230" s="209" t="str">
        <f>IFERROR(__xludf.DUMMYFUNCTION("""COMPUTED_VALUE"""),"")</f>
        <v/>
      </c>
      <c r="AL230" s="208" t="str">
        <f>IFERROR(__xludf.DUMMYFUNCTION("""COMPUTED_VALUE"""),"")</f>
        <v/>
      </c>
      <c r="AM230" s="208" t="str">
        <f>IFERROR(__xludf.DUMMYFUNCTION("""COMPUTED_VALUE"""),"")</f>
        <v/>
      </c>
      <c r="AN230" s="209" t="str">
        <f>IFERROR(__xludf.DUMMYFUNCTION("""COMPUTED_VALUE"""),"")</f>
        <v/>
      </c>
      <c r="AO230" s="208" t="str">
        <f>IFERROR(__xludf.DUMMYFUNCTION("""COMPUTED_VALUE"""),"")</f>
        <v/>
      </c>
      <c r="AP230" s="208" t="str">
        <f>IFERROR(__xludf.DUMMYFUNCTION("""COMPUTED_VALUE"""),"")</f>
        <v/>
      </c>
      <c r="AQ230" s="209">
        <f>IFERROR(__xludf.DUMMYFUNCTION("""COMPUTED_VALUE"""),83.9)</f>
        <v>83.9</v>
      </c>
      <c r="AR230" s="208" t="str">
        <f>IFERROR(__xludf.DUMMYFUNCTION("""COMPUTED_VALUE"""),"")</f>
        <v/>
      </c>
      <c r="AS230" s="208" t="str">
        <f>IFERROR(__xludf.DUMMYFUNCTION("""COMPUTED_VALUE"""),"")</f>
        <v/>
      </c>
      <c r="AT230" s="210" t="str">
        <f>IFERROR(__xludf.DUMMYFUNCTION("""COMPUTED_VALUE"""),"")</f>
        <v/>
      </c>
      <c r="AU230" s="208" t="str">
        <f>IFERROR(__xludf.DUMMYFUNCTION("""COMPUTED_VALUE"""),"")</f>
        <v/>
      </c>
      <c r="AV230" s="208" t="str">
        <f>IFERROR(__xludf.DUMMYFUNCTION("""COMPUTED_VALUE"""),"")</f>
        <v/>
      </c>
      <c r="AW230" s="209" t="str">
        <f>IFERROR(__xludf.DUMMYFUNCTION("""COMPUTED_VALUE"""),"")</f>
        <v/>
      </c>
      <c r="AX230" s="208" t="str">
        <f>IFERROR(__xludf.DUMMYFUNCTION("""COMPUTED_VALUE"""),"")</f>
        <v/>
      </c>
      <c r="AY230" s="208" t="str">
        <f>IFERROR(__xludf.DUMMYFUNCTION("""COMPUTED_VALUE"""),"")</f>
        <v/>
      </c>
      <c r="AZ230" s="209" t="str">
        <f>IFERROR(__xludf.DUMMYFUNCTION("""COMPUTED_VALUE"""),"")</f>
        <v/>
      </c>
      <c r="BA230" s="208" t="str">
        <f>IFERROR(__xludf.DUMMYFUNCTION("""COMPUTED_VALUE"""),"")</f>
        <v/>
      </c>
      <c r="BB230" s="208" t="str">
        <f>IFERROR(__xludf.DUMMYFUNCTION("""COMPUTED_VALUE"""),"")</f>
        <v/>
      </c>
      <c r="BC230" s="209" t="str">
        <f>IFERROR(__xludf.DUMMYFUNCTION("""COMPUTED_VALUE"""),"")</f>
        <v/>
      </c>
      <c r="BD230" s="208">
        <f>IFERROR(__xludf.DUMMYFUNCTION("""COMPUTED_VALUE"""),534.6)</f>
        <v>534.6</v>
      </c>
      <c r="BE230" s="208" t="str">
        <f>IFERROR(__xludf.DUMMYFUNCTION("""COMPUTED_VALUE"""),"")</f>
        <v/>
      </c>
      <c r="BF230" s="209" t="str">
        <f>IFERROR(__xludf.DUMMYFUNCTION("""COMPUTED_VALUE"""),"")</f>
        <v/>
      </c>
      <c r="BG230" s="207" t="str">
        <f>IFERROR(__xludf.DUMMYFUNCTION("""COMPUTED_VALUE"""),"")</f>
        <v/>
      </c>
      <c r="BH230" s="208" t="str">
        <f>IFERROR(__xludf.DUMMYFUNCTION("""COMPUTED_VALUE"""),"")</f>
        <v/>
      </c>
      <c r="BI230" s="209" t="str">
        <f>IFERROR(__xludf.DUMMYFUNCTION("""COMPUTED_VALUE"""),"")</f>
        <v/>
      </c>
      <c r="BJ230" s="208" t="str">
        <f>IFERROR(__xludf.DUMMYFUNCTION("""COMPUTED_VALUE"""),"")</f>
        <v/>
      </c>
      <c r="BK230" s="208" t="str">
        <f>IFERROR(__xludf.DUMMYFUNCTION("""COMPUTED_VALUE"""),"")</f>
        <v/>
      </c>
      <c r="BL230" s="209" t="str">
        <f>IFERROR(__xludf.DUMMYFUNCTION("""COMPUTED_VALUE"""),"")</f>
        <v/>
      </c>
      <c r="BM230" s="208" t="str">
        <f>IFERROR(__xludf.DUMMYFUNCTION("""COMPUTED_VALUE"""),"")</f>
        <v/>
      </c>
      <c r="BN230" s="208" t="str">
        <f>IFERROR(__xludf.DUMMYFUNCTION("""COMPUTED_VALUE"""),"")</f>
        <v/>
      </c>
      <c r="BO230" s="209">
        <f>IFERROR(__xludf.DUMMYFUNCTION("""COMPUTED_VALUE"""),104.6)</f>
        <v>104.6</v>
      </c>
      <c r="BP230" s="208">
        <f>IFERROR(__xludf.DUMMYFUNCTION("""COMPUTED_VALUE"""),104.2)</f>
        <v>104.2</v>
      </c>
      <c r="BQ230" s="208" t="str">
        <f>IFERROR(__xludf.DUMMYFUNCTION("""COMPUTED_VALUE"""),"")</f>
        <v/>
      </c>
      <c r="BR230" s="209" t="str">
        <f>IFERROR(__xludf.DUMMYFUNCTION("""COMPUTED_VALUE"""),"")</f>
        <v/>
      </c>
      <c r="BS230" s="208" t="str">
        <f>IFERROR(__xludf.DUMMYFUNCTION("""COMPUTED_VALUE"""),"")</f>
        <v/>
      </c>
      <c r="BT230" s="208" t="str">
        <f>IFERROR(__xludf.DUMMYFUNCTION("""COMPUTED_VALUE"""),"")</f>
        <v/>
      </c>
      <c r="BU230" s="209" t="str">
        <f>IFERROR(__xludf.DUMMYFUNCTION("""COMPUTED_VALUE"""),"")</f>
        <v/>
      </c>
      <c r="BV230" s="208" t="str">
        <f>IFERROR(__xludf.DUMMYFUNCTION("""COMPUTED_VALUE"""),"")</f>
        <v/>
      </c>
      <c r="BW230" s="208" t="str">
        <f>IFERROR(__xludf.DUMMYFUNCTION("""COMPUTED_VALUE"""),"")</f>
        <v/>
      </c>
      <c r="BX230" s="209" t="str">
        <f>IFERROR(__xludf.DUMMYFUNCTION("""COMPUTED_VALUE"""),"")</f>
        <v/>
      </c>
      <c r="BY230" s="208" t="str">
        <f>IFERROR(__xludf.DUMMYFUNCTION("""COMPUTED_VALUE"""),"")</f>
        <v/>
      </c>
      <c r="BZ230" s="208" t="str">
        <f>IFERROR(__xludf.DUMMYFUNCTION("""COMPUTED_VALUE"""),"")</f>
        <v/>
      </c>
      <c r="CA230" s="209" t="str">
        <f>IFERROR(__xludf.DUMMYFUNCTION("""COMPUTED_VALUE"""),"")</f>
        <v/>
      </c>
      <c r="CB230" s="207" t="str">
        <f>IFERROR(__xludf.DUMMYFUNCTION("""COMPUTED_VALUE"""),"")</f>
        <v/>
      </c>
      <c r="CC230" s="208" t="str">
        <f>IFERROR(__xludf.DUMMYFUNCTION("""COMPUTED_VALUE"""),"")</f>
        <v/>
      </c>
      <c r="CD230" s="209" t="str">
        <f>IFERROR(__xludf.DUMMYFUNCTION("""COMPUTED_VALUE"""),"")</f>
        <v/>
      </c>
      <c r="CE230" s="208" t="str">
        <f>IFERROR(__xludf.DUMMYFUNCTION("""COMPUTED_VALUE"""),"")</f>
        <v/>
      </c>
      <c r="CF230" s="208" t="str">
        <f>IFERROR(__xludf.DUMMYFUNCTION("""COMPUTED_VALUE"""),"")</f>
        <v/>
      </c>
      <c r="CG230" s="209" t="str">
        <f>IFERROR(__xludf.DUMMYFUNCTION("""COMPUTED_VALUE"""),"")</f>
        <v/>
      </c>
      <c r="CH230" s="208" t="str">
        <f>IFERROR(__xludf.DUMMYFUNCTION("""COMPUTED_VALUE"""),"")</f>
        <v/>
      </c>
      <c r="CI230" s="208" t="str">
        <f>IFERROR(__xludf.DUMMYFUNCTION("""COMPUTED_VALUE"""),"")</f>
        <v/>
      </c>
      <c r="CJ230" s="209" t="str">
        <f>IFERROR(__xludf.DUMMYFUNCTION("""COMPUTED_VALUE"""),"")</f>
        <v/>
      </c>
      <c r="CK230" s="208" t="str">
        <f>IFERROR(__xludf.DUMMYFUNCTION("""COMPUTED_VALUE"""),"")</f>
        <v/>
      </c>
      <c r="CL230" s="208" t="str">
        <f>IFERROR(__xludf.DUMMYFUNCTION("""COMPUTED_VALUE"""),"")</f>
        <v/>
      </c>
      <c r="CM230" s="209">
        <f>IFERROR(__xludf.DUMMYFUNCTION("""COMPUTED_VALUE"""),423.5)</f>
        <v>423.5</v>
      </c>
      <c r="CN230" s="208" t="str">
        <f>IFERROR(__xludf.DUMMYFUNCTION("""COMPUTED_VALUE"""),"")</f>
        <v/>
      </c>
      <c r="CO230" s="208" t="str">
        <f>IFERROR(__xludf.DUMMYFUNCTION("""COMPUTED_VALUE"""),"")</f>
        <v/>
      </c>
      <c r="CP230" s="209" t="str">
        <f>IFERROR(__xludf.DUMMYFUNCTION("""COMPUTED_VALUE"""),"")</f>
        <v/>
      </c>
      <c r="CQ230" s="208" t="str">
        <f>IFERROR(__xludf.DUMMYFUNCTION("""COMPUTED_VALUE"""),"")</f>
        <v/>
      </c>
      <c r="CR230" s="208" t="str">
        <f>IFERROR(__xludf.DUMMYFUNCTION("""COMPUTED_VALUE"""),"")</f>
        <v/>
      </c>
      <c r="CS230" s="209"/>
      <c r="CT230" s="208"/>
      <c r="CU230" s="208"/>
      <c r="CV230" s="209"/>
      <c r="CW230" s="208"/>
      <c r="CX230" s="208"/>
      <c r="CY230" s="209"/>
      <c r="CZ230" s="208"/>
      <c r="DA230" s="208"/>
      <c r="DB230" s="209"/>
      <c r="DC230" s="208"/>
      <c r="DD230" s="208"/>
      <c r="DE230" s="209"/>
      <c r="DF230" s="208"/>
      <c r="DG230" s="208"/>
      <c r="DH230" s="209"/>
      <c r="DI230" s="208"/>
      <c r="DJ230" s="208"/>
      <c r="DK230" s="209"/>
      <c r="DL230" s="208"/>
      <c r="DM230" s="208"/>
      <c r="DN230" s="209"/>
      <c r="DO230" s="208"/>
      <c r="DP230" s="208"/>
      <c r="DQ230" s="209"/>
      <c r="DR230" s="208"/>
      <c r="DS230" s="208"/>
      <c r="DT230" s="209"/>
    </row>
    <row r="231">
      <c r="B231" s="189" t="str">
        <f>IFERROR(__xludf.DUMMYFUNCTION("""COMPUTED_VALUE"""),"ATL3")</f>
        <v>ATL3</v>
      </c>
      <c r="C231" s="190">
        <f>IFERROR(__xludf.DUMMYFUNCTION("""COMPUTED_VALUE"""),230.0)</f>
        <v>230</v>
      </c>
      <c r="D231" s="191" t="str">
        <f>IFERROR(__xludf.DUMMYFUNCTION("""COMPUTED_VALUE"""),"Hecate Island")</f>
        <v>Hecate Island</v>
      </c>
      <c r="E231" s="192" t="str">
        <f>IFERROR(__xludf.DUMMYFUNCTION("""COMPUTED_VALUE"""),"ヘカテ島")</f>
        <v>ヘカテ島</v>
      </c>
      <c r="F231" s="193">
        <f>IFERROR(__xludf.DUMMYFUNCTION("""COMPUTED_VALUE"""),21.0)</f>
        <v>21</v>
      </c>
      <c r="G231" s="192">
        <f>IFERROR(__xludf.DUMMYFUNCTION("""COMPUTED_VALUE"""),5012.0)</f>
        <v>5012</v>
      </c>
      <c r="H231" s="194">
        <f>IFERROR(__xludf.DUMMYFUNCTION("""COMPUTED_VALUE"""),107.4)</f>
        <v>107.4</v>
      </c>
      <c r="I231" s="195" t="str">
        <f>IFERROR(__xludf.DUMMYFUNCTION("""COMPUTED_VALUE"""),"")</f>
        <v/>
      </c>
      <c r="J231" s="196" t="str">
        <f>IFERROR(__xludf.DUMMYFUNCTION("""COMPUTED_VALUE"""),"")</f>
        <v/>
      </c>
      <c r="K231" s="194" t="str">
        <f>IFERROR(__xludf.DUMMYFUNCTION("""COMPUTED_VALUE"""),"")</f>
        <v/>
      </c>
      <c r="L231" s="195" t="str">
        <f>IFERROR(__xludf.DUMMYFUNCTION("""COMPUTED_VALUE"""),"")</f>
        <v/>
      </c>
      <c r="M231" s="196" t="str">
        <f>IFERROR(__xludf.DUMMYFUNCTION("""COMPUTED_VALUE"""),"")</f>
        <v/>
      </c>
      <c r="N231" s="194" t="str">
        <f>IFERROR(__xludf.DUMMYFUNCTION("""COMPUTED_VALUE"""),"")</f>
        <v/>
      </c>
      <c r="O231" s="195" t="str">
        <f>IFERROR(__xludf.DUMMYFUNCTION("""COMPUTED_VALUE"""),"")</f>
        <v/>
      </c>
      <c r="P231" s="196" t="str">
        <f>IFERROR(__xludf.DUMMYFUNCTION("""COMPUTED_VALUE"""),"")</f>
        <v/>
      </c>
      <c r="Q231" s="194" t="str">
        <f>IFERROR(__xludf.DUMMYFUNCTION("""COMPUTED_VALUE"""),"")</f>
        <v/>
      </c>
      <c r="R231" s="195" t="str">
        <f>IFERROR(__xludf.DUMMYFUNCTION("""COMPUTED_VALUE"""),"")</f>
        <v/>
      </c>
      <c r="S231" s="196" t="str">
        <f>IFERROR(__xludf.DUMMYFUNCTION("""COMPUTED_VALUE"""),"")</f>
        <v/>
      </c>
      <c r="T231" s="194" t="str">
        <f>IFERROR(__xludf.DUMMYFUNCTION("""COMPUTED_VALUE"""),"")</f>
        <v/>
      </c>
      <c r="U231" s="195" t="str">
        <f>IFERROR(__xludf.DUMMYFUNCTION("""COMPUTED_VALUE"""),"")</f>
        <v/>
      </c>
      <c r="V231" s="196" t="str">
        <f>IFERROR(__xludf.DUMMYFUNCTION("""COMPUTED_VALUE"""),"")</f>
        <v/>
      </c>
      <c r="W231" s="194" t="str">
        <f>IFERROR(__xludf.DUMMYFUNCTION("""COMPUTED_VALUE"""),"")</f>
        <v/>
      </c>
      <c r="X231" s="195" t="str">
        <f>IFERROR(__xludf.DUMMYFUNCTION("""COMPUTED_VALUE"""),"")</f>
        <v/>
      </c>
      <c r="Y231" s="196" t="str">
        <f>IFERROR(__xludf.DUMMYFUNCTION("""COMPUTED_VALUE"""),"")</f>
        <v/>
      </c>
      <c r="Z231" s="194" t="str">
        <f>IFERROR(__xludf.DUMMYFUNCTION("""COMPUTED_VALUE"""),"")</f>
        <v/>
      </c>
      <c r="AA231" s="195" t="str">
        <f>IFERROR(__xludf.DUMMYFUNCTION("""COMPUTED_VALUE"""),"")</f>
        <v/>
      </c>
      <c r="AB231" s="196" t="str">
        <f>IFERROR(__xludf.DUMMYFUNCTION("""COMPUTED_VALUE"""),"")</f>
        <v/>
      </c>
      <c r="AC231" s="194" t="str">
        <f>IFERROR(__xludf.DUMMYFUNCTION("""COMPUTED_VALUE"""),"")</f>
        <v/>
      </c>
      <c r="AD231" s="195" t="str">
        <f>IFERROR(__xludf.DUMMYFUNCTION("""COMPUTED_VALUE"""),"")</f>
        <v/>
      </c>
      <c r="AE231" s="196" t="str">
        <f>IFERROR(__xludf.DUMMYFUNCTION("""COMPUTED_VALUE"""),"")</f>
        <v/>
      </c>
      <c r="AF231" s="194" t="str">
        <f>IFERROR(__xludf.DUMMYFUNCTION("""COMPUTED_VALUE"""),"")</f>
        <v/>
      </c>
      <c r="AG231" s="195" t="str">
        <f>IFERROR(__xludf.DUMMYFUNCTION("""COMPUTED_VALUE"""),"")</f>
        <v/>
      </c>
      <c r="AH231" s="196" t="str">
        <f>IFERROR(__xludf.DUMMYFUNCTION("""COMPUTED_VALUE"""),"")</f>
        <v/>
      </c>
      <c r="AI231" s="197" t="str">
        <f>IFERROR(__xludf.DUMMYFUNCTION("""COMPUTED_VALUE"""),"")</f>
        <v/>
      </c>
      <c r="AJ231" s="198" t="str">
        <f>IFERROR(__xludf.DUMMYFUNCTION("""COMPUTED_VALUE"""),"")</f>
        <v/>
      </c>
      <c r="AK231" s="199" t="str">
        <f>IFERROR(__xludf.DUMMYFUNCTION("""COMPUTED_VALUE"""),"")</f>
        <v/>
      </c>
      <c r="AL231" s="198" t="str">
        <f>IFERROR(__xludf.DUMMYFUNCTION("""COMPUTED_VALUE"""),"")</f>
        <v/>
      </c>
      <c r="AM231" s="198" t="str">
        <f>IFERROR(__xludf.DUMMYFUNCTION("""COMPUTED_VALUE"""),"")</f>
        <v/>
      </c>
      <c r="AN231" s="199" t="str">
        <f>IFERROR(__xludf.DUMMYFUNCTION("""COMPUTED_VALUE"""),"")</f>
        <v/>
      </c>
      <c r="AO231" s="198" t="str">
        <f>IFERROR(__xludf.DUMMYFUNCTION("""COMPUTED_VALUE"""),"")</f>
        <v/>
      </c>
      <c r="AP231" s="198" t="str">
        <f>IFERROR(__xludf.DUMMYFUNCTION("""COMPUTED_VALUE"""),"")</f>
        <v/>
      </c>
      <c r="AQ231" s="199">
        <f>IFERROR(__xludf.DUMMYFUNCTION("""COMPUTED_VALUE"""),83.9)</f>
        <v>83.9</v>
      </c>
      <c r="AR231" s="198" t="str">
        <f>IFERROR(__xludf.DUMMYFUNCTION("""COMPUTED_VALUE"""),"")</f>
        <v/>
      </c>
      <c r="AS231" s="198" t="str">
        <f>IFERROR(__xludf.DUMMYFUNCTION("""COMPUTED_VALUE"""),"")</f>
        <v/>
      </c>
      <c r="AT231" s="199" t="str">
        <f>IFERROR(__xludf.DUMMYFUNCTION("""COMPUTED_VALUE"""),"")</f>
        <v/>
      </c>
      <c r="AU231" s="198" t="str">
        <f>IFERROR(__xludf.DUMMYFUNCTION("""COMPUTED_VALUE"""),"")</f>
        <v/>
      </c>
      <c r="AV231" s="198" t="str">
        <f>IFERROR(__xludf.DUMMYFUNCTION("""COMPUTED_VALUE"""),"")</f>
        <v/>
      </c>
      <c r="AW231" s="199" t="str">
        <f>IFERROR(__xludf.DUMMYFUNCTION("""COMPUTED_VALUE"""),"")</f>
        <v/>
      </c>
      <c r="AX231" s="198" t="str">
        <f>IFERROR(__xludf.DUMMYFUNCTION("""COMPUTED_VALUE"""),"")</f>
        <v/>
      </c>
      <c r="AY231" s="198" t="str">
        <f>IFERROR(__xludf.DUMMYFUNCTION("""COMPUTED_VALUE"""),"")</f>
        <v/>
      </c>
      <c r="AZ231" s="199" t="str">
        <f>IFERROR(__xludf.DUMMYFUNCTION("""COMPUTED_VALUE"""),"")</f>
        <v/>
      </c>
      <c r="BA231" s="198" t="str">
        <f>IFERROR(__xludf.DUMMYFUNCTION("""COMPUTED_VALUE"""),"")</f>
        <v/>
      </c>
      <c r="BB231" s="198" t="str">
        <f>IFERROR(__xludf.DUMMYFUNCTION("""COMPUTED_VALUE"""),"")</f>
        <v/>
      </c>
      <c r="BC231" s="199" t="str">
        <f>IFERROR(__xludf.DUMMYFUNCTION("""COMPUTED_VALUE"""),"")</f>
        <v/>
      </c>
      <c r="BD231" s="198" t="str">
        <f>IFERROR(__xludf.DUMMYFUNCTION("""COMPUTED_VALUE"""),"")</f>
        <v/>
      </c>
      <c r="BE231" s="198" t="str">
        <f>IFERROR(__xludf.DUMMYFUNCTION("""COMPUTED_VALUE"""),"")</f>
        <v/>
      </c>
      <c r="BF231" s="199" t="str">
        <f>IFERROR(__xludf.DUMMYFUNCTION("""COMPUTED_VALUE"""),"")</f>
        <v/>
      </c>
      <c r="BG231" s="197" t="str">
        <f>IFERROR(__xludf.DUMMYFUNCTION("""COMPUTED_VALUE"""),"")</f>
        <v/>
      </c>
      <c r="BH231" s="198" t="str">
        <f>IFERROR(__xludf.DUMMYFUNCTION("""COMPUTED_VALUE"""),"")</f>
        <v/>
      </c>
      <c r="BI231" s="199" t="str">
        <f>IFERROR(__xludf.DUMMYFUNCTION("""COMPUTED_VALUE"""),"")</f>
        <v/>
      </c>
      <c r="BJ231" s="198" t="str">
        <f>IFERROR(__xludf.DUMMYFUNCTION("""COMPUTED_VALUE"""),"")</f>
        <v/>
      </c>
      <c r="BK231" s="198" t="str">
        <f>IFERROR(__xludf.DUMMYFUNCTION("""COMPUTED_VALUE"""),"")</f>
        <v/>
      </c>
      <c r="BL231" s="199" t="str">
        <f>IFERROR(__xludf.DUMMYFUNCTION("""COMPUTED_VALUE"""),"")</f>
        <v/>
      </c>
      <c r="BM231" s="198" t="str">
        <f>IFERROR(__xludf.DUMMYFUNCTION("""COMPUTED_VALUE"""),"")</f>
        <v/>
      </c>
      <c r="BN231" s="198" t="str">
        <f>IFERROR(__xludf.DUMMYFUNCTION("""COMPUTED_VALUE"""),"")</f>
        <v/>
      </c>
      <c r="BO231" s="199" t="str">
        <f>IFERROR(__xludf.DUMMYFUNCTION("""COMPUTED_VALUE"""),"")</f>
        <v/>
      </c>
      <c r="BP231" s="198">
        <f>IFERROR(__xludf.DUMMYFUNCTION("""COMPUTED_VALUE"""),43.4)</f>
        <v>43.4</v>
      </c>
      <c r="BQ231" s="198" t="str">
        <f>IFERROR(__xludf.DUMMYFUNCTION("""COMPUTED_VALUE"""),"")</f>
        <v/>
      </c>
      <c r="BR231" s="199" t="str">
        <f>IFERROR(__xludf.DUMMYFUNCTION("""COMPUTED_VALUE"""),"")</f>
        <v/>
      </c>
      <c r="BS231" s="198" t="str">
        <f>IFERROR(__xludf.DUMMYFUNCTION("""COMPUTED_VALUE"""),"")</f>
        <v/>
      </c>
      <c r="BT231" s="198" t="str">
        <f>IFERROR(__xludf.DUMMYFUNCTION("""COMPUTED_VALUE"""),"")</f>
        <v/>
      </c>
      <c r="BU231" s="199" t="str">
        <f>IFERROR(__xludf.DUMMYFUNCTION("""COMPUTED_VALUE"""),"")</f>
        <v/>
      </c>
      <c r="BV231" s="198" t="str">
        <f>IFERROR(__xludf.DUMMYFUNCTION("""COMPUTED_VALUE"""),"")</f>
        <v/>
      </c>
      <c r="BW231" s="198" t="str">
        <f>IFERROR(__xludf.DUMMYFUNCTION("""COMPUTED_VALUE"""),"")</f>
        <v/>
      </c>
      <c r="BX231" s="199" t="str">
        <f>IFERROR(__xludf.DUMMYFUNCTION("""COMPUTED_VALUE"""),"")</f>
        <v/>
      </c>
      <c r="BY231" s="198" t="str">
        <f>IFERROR(__xludf.DUMMYFUNCTION("""COMPUTED_VALUE"""),"")</f>
        <v/>
      </c>
      <c r="BZ231" s="198" t="str">
        <f>IFERROR(__xludf.DUMMYFUNCTION("""COMPUTED_VALUE"""),"")</f>
        <v/>
      </c>
      <c r="CA231" s="199" t="str">
        <f>IFERROR(__xludf.DUMMYFUNCTION("""COMPUTED_VALUE"""),"")</f>
        <v/>
      </c>
      <c r="CB231" s="197" t="str">
        <f>IFERROR(__xludf.DUMMYFUNCTION("""COMPUTED_VALUE"""),"")</f>
        <v/>
      </c>
      <c r="CC231" s="198" t="str">
        <f>IFERROR(__xludf.DUMMYFUNCTION("""COMPUTED_VALUE"""),"")</f>
        <v/>
      </c>
      <c r="CD231" s="199" t="str">
        <f>IFERROR(__xludf.DUMMYFUNCTION("""COMPUTED_VALUE"""),"")</f>
        <v/>
      </c>
      <c r="CE231" s="198" t="str">
        <f>IFERROR(__xludf.DUMMYFUNCTION("""COMPUTED_VALUE"""),"")</f>
        <v/>
      </c>
      <c r="CF231" s="198" t="str">
        <f>IFERROR(__xludf.DUMMYFUNCTION("""COMPUTED_VALUE"""),"")</f>
        <v/>
      </c>
      <c r="CG231" s="199" t="str">
        <f>IFERROR(__xludf.DUMMYFUNCTION("""COMPUTED_VALUE"""),"")</f>
        <v/>
      </c>
      <c r="CH231" s="198" t="str">
        <f>IFERROR(__xludf.DUMMYFUNCTION("""COMPUTED_VALUE"""),"")</f>
        <v/>
      </c>
      <c r="CI231" s="198" t="str">
        <f>IFERROR(__xludf.DUMMYFUNCTION("""COMPUTED_VALUE"""),"")</f>
        <v/>
      </c>
      <c r="CJ231" s="199" t="str">
        <f>IFERROR(__xludf.DUMMYFUNCTION("""COMPUTED_VALUE"""),"")</f>
        <v/>
      </c>
      <c r="CK231" s="198" t="str">
        <f>IFERROR(__xludf.DUMMYFUNCTION("""COMPUTED_VALUE"""),"")</f>
        <v/>
      </c>
      <c r="CL231" s="198" t="str">
        <f>IFERROR(__xludf.DUMMYFUNCTION("""COMPUTED_VALUE"""),"")</f>
        <v/>
      </c>
      <c r="CM231" s="199" t="str">
        <f>IFERROR(__xludf.DUMMYFUNCTION("""COMPUTED_VALUE"""),"")</f>
        <v/>
      </c>
      <c r="CN231" s="198" t="str">
        <f>IFERROR(__xludf.DUMMYFUNCTION("""COMPUTED_VALUE"""),"")</f>
        <v/>
      </c>
      <c r="CO231" s="198" t="str">
        <f>IFERROR(__xludf.DUMMYFUNCTION("""COMPUTED_VALUE"""),"")</f>
        <v/>
      </c>
      <c r="CP231" s="199" t="str">
        <f>IFERROR(__xludf.DUMMYFUNCTION("""COMPUTED_VALUE"""),"")</f>
        <v/>
      </c>
      <c r="CQ231" s="198" t="str">
        <f>IFERROR(__xludf.DUMMYFUNCTION("""COMPUTED_VALUE"""),"")</f>
        <v/>
      </c>
      <c r="CR231" s="198">
        <f>IFERROR(__xludf.DUMMYFUNCTION("""COMPUTED_VALUE"""),519.2)</f>
        <v>519.2</v>
      </c>
      <c r="CS231" s="199"/>
      <c r="CT231" s="198"/>
      <c r="CU231" s="198"/>
      <c r="CV231" s="199"/>
      <c r="CW231" s="198"/>
      <c r="CX231" s="198"/>
      <c r="CY231" s="199"/>
      <c r="CZ231" s="198"/>
      <c r="DA231" s="198"/>
      <c r="DB231" s="199"/>
      <c r="DC231" s="198"/>
      <c r="DD231" s="198"/>
      <c r="DE231" s="199"/>
      <c r="DF231" s="198"/>
      <c r="DG231" s="198"/>
      <c r="DH231" s="199"/>
      <c r="DI231" s="198"/>
      <c r="DJ231" s="198"/>
      <c r="DK231" s="199"/>
      <c r="DL231" s="198"/>
      <c r="DM231" s="198"/>
      <c r="DN231" s="199"/>
      <c r="DO231" s="198"/>
      <c r="DP231" s="198"/>
      <c r="DQ231" s="199"/>
      <c r="DR231" s="198"/>
      <c r="DS231" s="198"/>
      <c r="DT231" s="199"/>
    </row>
    <row r="232">
      <c r="B232" s="201" t="str">
        <f>IFERROR(__xludf.DUMMYFUNCTION("""COMPUTED_VALUE"""),"ATL4")</f>
        <v>ATL4</v>
      </c>
      <c r="C232" s="68">
        <f>IFERROR(__xludf.DUMMYFUNCTION("""COMPUTED_VALUE"""),231.0)</f>
        <v>231</v>
      </c>
      <c r="D232" s="202" t="str">
        <f>IFERROR(__xludf.DUMMYFUNCTION("""COMPUTED_VALUE"""),"Deimos Island")</f>
        <v>Deimos Island</v>
      </c>
      <c r="E232" s="69" t="str">
        <f>IFERROR(__xludf.DUMMYFUNCTION("""COMPUTED_VALUE"""),"デイモス島")</f>
        <v>デイモス島</v>
      </c>
      <c r="F232" s="203">
        <f>IFERROR(__xludf.DUMMYFUNCTION("""COMPUTED_VALUE"""),21.0)</f>
        <v>21</v>
      </c>
      <c r="G232" s="69">
        <f>IFERROR(__xludf.DUMMYFUNCTION("""COMPUTED_VALUE"""),6220.0)</f>
        <v>6220</v>
      </c>
      <c r="H232" s="204" t="str">
        <f>IFERROR(__xludf.DUMMYFUNCTION("""COMPUTED_VALUE"""),"")</f>
        <v/>
      </c>
      <c r="I232" s="205" t="str">
        <f>IFERROR(__xludf.DUMMYFUNCTION("""COMPUTED_VALUE"""),"")</f>
        <v/>
      </c>
      <c r="J232" s="206" t="str">
        <f>IFERROR(__xludf.DUMMYFUNCTION("""COMPUTED_VALUE"""),"")</f>
        <v/>
      </c>
      <c r="K232" s="204" t="str">
        <f>IFERROR(__xludf.DUMMYFUNCTION("""COMPUTED_VALUE"""),"")</f>
        <v/>
      </c>
      <c r="L232" s="205" t="str">
        <f>IFERROR(__xludf.DUMMYFUNCTION("""COMPUTED_VALUE"""),"")</f>
        <v/>
      </c>
      <c r="M232" s="206" t="str">
        <f>IFERROR(__xludf.DUMMYFUNCTION("""COMPUTED_VALUE"""),"")</f>
        <v/>
      </c>
      <c r="N232" s="204" t="str">
        <f>IFERROR(__xludf.DUMMYFUNCTION("""COMPUTED_VALUE"""),"")</f>
        <v/>
      </c>
      <c r="O232" s="205" t="str">
        <f>IFERROR(__xludf.DUMMYFUNCTION("""COMPUTED_VALUE"""),"")</f>
        <v/>
      </c>
      <c r="P232" s="206">
        <f>IFERROR(__xludf.DUMMYFUNCTION("""COMPUTED_VALUE"""),175.3)</f>
        <v>175.3</v>
      </c>
      <c r="Q232" s="204" t="str">
        <f>IFERROR(__xludf.DUMMYFUNCTION("""COMPUTED_VALUE"""),"")</f>
        <v/>
      </c>
      <c r="R232" s="205" t="str">
        <f>IFERROR(__xludf.DUMMYFUNCTION("""COMPUTED_VALUE"""),"")</f>
        <v/>
      </c>
      <c r="S232" s="206" t="str">
        <f>IFERROR(__xludf.DUMMYFUNCTION("""COMPUTED_VALUE"""),"")</f>
        <v/>
      </c>
      <c r="T232" s="204" t="str">
        <f>IFERROR(__xludf.DUMMYFUNCTION("""COMPUTED_VALUE"""),"")</f>
        <v/>
      </c>
      <c r="U232" s="205" t="str">
        <f>IFERROR(__xludf.DUMMYFUNCTION("""COMPUTED_VALUE"""),"")</f>
        <v/>
      </c>
      <c r="V232" s="206" t="str">
        <f>IFERROR(__xludf.DUMMYFUNCTION("""COMPUTED_VALUE"""),"")</f>
        <v/>
      </c>
      <c r="W232" s="204" t="str">
        <f>IFERROR(__xludf.DUMMYFUNCTION("""COMPUTED_VALUE"""),"")</f>
        <v/>
      </c>
      <c r="X232" s="205" t="str">
        <f>IFERROR(__xludf.DUMMYFUNCTION("""COMPUTED_VALUE"""),"")</f>
        <v/>
      </c>
      <c r="Y232" s="206" t="str">
        <f>IFERROR(__xludf.DUMMYFUNCTION("""COMPUTED_VALUE"""),"")</f>
        <v/>
      </c>
      <c r="Z232" s="204" t="str">
        <f>IFERROR(__xludf.DUMMYFUNCTION("""COMPUTED_VALUE"""),"")</f>
        <v/>
      </c>
      <c r="AA232" s="205" t="str">
        <f>IFERROR(__xludf.DUMMYFUNCTION("""COMPUTED_VALUE"""),"")</f>
        <v/>
      </c>
      <c r="AB232" s="206" t="str">
        <f>IFERROR(__xludf.DUMMYFUNCTION("""COMPUTED_VALUE"""),"")</f>
        <v/>
      </c>
      <c r="AC232" s="204" t="str">
        <f>IFERROR(__xludf.DUMMYFUNCTION("""COMPUTED_VALUE"""),"")</f>
        <v/>
      </c>
      <c r="AD232" s="205" t="str">
        <f>IFERROR(__xludf.DUMMYFUNCTION("""COMPUTED_VALUE"""),"")</f>
        <v/>
      </c>
      <c r="AE232" s="206" t="str">
        <f>IFERROR(__xludf.DUMMYFUNCTION("""COMPUTED_VALUE"""),"")</f>
        <v/>
      </c>
      <c r="AF232" s="204" t="str">
        <f>IFERROR(__xludf.DUMMYFUNCTION("""COMPUTED_VALUE"""),"")</f>
        <v/>
      </c>
      <c r="AG232" s="205" t="str">
        <f>IFERROR(__xludf.DUMMYFUNCTION("""COMPUTED_VALUE"""),"")</f>
        <v/>
      </c>
      <c r="AH232" s="206" t="str">
        <f>IFERROR(__xludf.DUMMYFUNCTION("""COMPUTED_VALUE"""),"")</f>
        <v/>
      </c>
      <c r="AI232" s="207" t="str">
        <f>IFERROR(__xludf.DUMMYFUNCTION("""COMPUTED_VALUE"""),"")</f>
        <v/>
      </c>
      <c r="AJ232" s="208" t="str">
        <f>IFERROR(__xludf.DUMMYFUNCTION("""COMPUTED_VALUE"""),"")</f>
        <v/>
      </c>
      <c r="AK232" s="209" t="str">
        <f>IFERROR(__xludf.DUMMYFUNCTION("""COMPUTED_VALUE"""),"")</f>
        <v/>
      </c>
      <c r="AL232" s="208" t="str">
        <f>IFERROR(__xludf.DUMMYFUNCTION("""COMPUTED_VALUE"""),"")</f>
        <v/>
      </c>
      <c r="AM232" s="208" t="str">
        <f>IFERROR(__xludf.DUMMYFUNCTION("""COMPUTED_VALUE"""),"")</f>
        <v/>
      </c>
      <c r="AN232" s="209" t="str">
        <f>IFERROR(__xludf.DUMMYFUNCTION("""COMPUTED_VALUE"""),"")</f>
        <v/>
      </c>
      <c r="AO232" s="208" t="str">
        <f>IFERROR(__xludf.DUMMYFUNCTION("""COMPUTED_VALUE"""),"")</f>
        <v/>
      </c>
      <c r="AP232" s="208" t="str">
        <f>IFERROR(__xludf.DUMMYFUNCTION("""COMPUTED_VALUE"""),"")</f>
        <v/>
      </c>
      <c r="AQ232" s="210">
        <f>IFERROR(__xludf.DUMMYFUNCTION("""COMPUTED_VALUE"""),79.6)</f>
        <v>79.6</v>
      </c>
      <c r="AR232" s="208" t="str">
        <f>IFERROR(__xludf.DUMMYFUNCTION("""COMPUTED_VALUE"""),"")</f>
        <v/>
      </c>
      <c r="AS232" s="208" t="str">
        <f>IFERROR(__xludf.DUMMYFUNCTION("""COMPUTED_VALUE"""),"")</f>
        <v/>
      </c>
      <c r="AT232" s="209" t="str">
        <f>IFERROR(__xludf.DUMMYFUNCTION("""COMPUTED_VALUE"""),"")</f>
        <v/>
      </c>
      <c r="AU232" s="208" t="str">
        <f>IFERROR(__xludf.DUMMYFUNCTION("""COMPUTED_VALUE"""),"")</f>
        <v/>
      </c>
      <c r="AV232" s="208" t="str">
        <f>IFERROR(__xludf.DUMMYFUNCTION("""COMPUTED_VALUE"""),"")</f>
        <v/>
      </c>
      <c r="AW232" s="209" t="str">
        <f>IFERROR(__xludf.DUMMYFUNCTION("""COMPUTED_VALUE"""),"")</f>
        <v/>
      </c>
      <c r="AX232" s="208" t="str">
        <f>IFERROR(__xludf.DUMMYFUNCTION("""COMPUTED_VALUE"""),"")</f>
        <v/>
      </c>
      <c r="AY232" s="208" t="str">
        <f>IFERROR(__xludf.DUMMYFUNCTION("""COMPUTED_VALUE"""),"")</f>
        <v/>
      </c>
      <c r="AZ232" s="209" t="str">
        <f>IFERROR(__xludf.DUMMYFUNCTION("""COMPUTED_VALUE"""),"")</f>
        <v/>
      </c>
      <c r="BA232" s="208" t="str">
        <f>IFERROR(__xludf.DUMMYFUNCTION("""COMPUTED_VALUE"""),"")</f>
        <v/>
      </c>
      <c r="BB232" s="208" t="str">
        <f>IFERROR(__xludf.DUMMYFUNCTION("""COMPUTED_VALUE"""),"")</f>
        <v/>
      </c>
      <c r="BC232" s="209" t="str">
        <f>IFERROR(__xludf.DUMMYFUNCTION("""COMPUTED_VALUE"""),"")</f>
        <v/>
      </c>
      <c r="BD232" s="208" t="str">
        <f>IFERROR(__xludf.DUMMYFUNCTION("""COMPUTED_VALUE"""),"")</f>
        <v/>
      </c>
      <c r="BE232" s="208" t="str">
        <f>IFERROR(__xludf.DUMMYFUNCTION("""COMPUTED_VALUE"""),"")</f>
        <v/>
      </c>
      <c r="BF232" s="209" t="str">
        <f>IFERROR(__xludf.DUMMYFUNCTION("""COMPUTED_VALUE"""),"")</f>
        <v/>
      </c>
      <c r="BG232" s="207">
        <f>IFERROR(__xludf.DUMMYFUNCTION("""COMPUTED_VALUE"""),365.4)</f>
        <v>365.4</v>
      </c>
      <c r="BH232" s="208" t="str">
        <f>IFERROR(__xludf.DUMMYFUNCTION("""COMPUTED_VALUE"""),"")</f>
        <v/>
      </c>
      <c r="BI232" s="209" t="str">
        <f>IFERROR(__xludf.DUMMYFUNCTION("""COMPUTED_VALUE"""),"")</f>
        <v/>
      </c>
      <c r="BJ232" s="208">
        <f>IFERROR(__xludf.DUMMYFUNCTION("""COMPUTED_VALUE"""),60.7)</f>
        <v>60.7</v>
      </c>
      <c r="BK232" s="208" t="str">
        <f>IFERROR(__xludf.DUMMYFUNCTION("""COMPUTED_VALUE"""),"")</f>
        <v/>
      </c>
      <c r="BL232" s="209" t="str">
        <f>IFERROR(__xludf.DUMMYFUNCTION("""COMPUTED_VALUE"""),"")</f>
        <v/>
      </c>
      <c r="BM232" s="208" t="str">
        <f>IFERROR(__xludf.DUMMYFUNCTION("""COMPUTED_VALUE"""),"")</f>
        <v/>
      </c>
      <c r="BN232" s="211" t="str">
        <f>IFERROR(__xludf.DUMMYFUNCTION("""COMPUTED_VALUE"""),"")</f>
        <v/>
      </c>
      <c r="BO232" s="209" t="str">
        <f>IFERROR(__xludf.DUMMYFUNCTION("""COMPUTED_VALUE"""),"")</f>
        <v/>
      </c>
      <c r="BP232" s="208" t="str">
        <f>IFERROR(__xludf.DUMMYFUNCTION("""COMPUTED_VALUE"""),"")</f>
        <v/>
      </c>
      <c r="BQ232" s="208" t="str">
        <f>IFERROR(__xludf.DUMMYFUNCTION("""COMPUTED_VALUE"""),"")</f>
        <v/>
      </c>
      <c r="BR232" s="209" t="str">
        <f>IFERROR(__xludf.DUMMYFUNCTION("""COMPUTED_VALUE"""),"")</f>
        <v/>
      </c>
      <c r="BS232" s="208" t="str">
        <f>IFERROR(__xludf.DUMMYFUNCTION("""COMPUTED_VALUE"""),"")</f>
        <v/>
      </c>
      <c r="BT232" s="208" t="str">
        <f>IFERROR(__xludf.DUMMYFUNCTION("""COMPUTED_VALUE"""),"")</f>
        <v/>
      </c>
      <c r="BU232" s="209" t="str">
        <f>IFERROR(__xludf.DUMMYFUNCTION("""COMPUTED_VALUE"""),"")</f>
        <v/>
      </c>
      <c r="BV232" s="208" t="str">
        <f>IFERROR(__xludf.DUMMYFUNCTION("""COMPUTED_VALUE"""),"")</f>
        <v/>
      </c>
      <c r="BW232" s="208" t="str">
        <f>IFERROR(__xludf.DUMMYFUNCTION("""COMPUTED_VALUE"""),"")</f>
        <v/>
      </c>
      <c r="BX232" s="209" t="str">
        <f>IFERROR(__xludf.DUMMYFUNCTION("""COMPUTED_VALUE"""),"")</f>
        <v/>
      </c>
      <c r="BY232" s="208" t="str">
        <f>IFERROR(__xludf.DUMMYFUNCTION("""COMPUTED_VALUE"""),"")</f>
        <v/>
      </c>
      <c r="BZ232" s="208" t="str">
        <f>IFERROR(__xludf.DUMMYFUNCTION("""COMPUTED_VALUE"""),"")</f>
        <v/>
      </c>
      <c r="CA232" s="209" t="str">
        <f>IFERROR(__xludf.DUMMYFUNCTION("""COMPUTED_VALUE"""),"")</f>
        <v/>
      </c>
      <c r="CB232" s="207" t="str">
        <f>IFERROR(__xludf.DUMMYFUNCTION("""COMPUTED_VALUE"""),"")</f>
        <v/>
      </c>
      <c r="CC232" s="208" t="str">
        <f>IFERROR(__xludf.DUMMYFUNCTION("""COMPUTED_VALUE"""),"")</f>
        <v/>
      </c>
      <c r="CD232" s="209" t="str">
        <f>IFERROR(__xludf.DUMMYFUNCTION("""COMPUTED_VALUE"""),"")</f>
        <v/>
      </c>
      <c r="CE232" s="208" t="str">
        <f>IFERROR(__xludf.DUMMYFUNCTION("""COMPUTED_VALUE"""),"")</f>
        <v/>
      </c>
      <c r="CF232" s="208" t="str">
        <f>IFERROR(__xludf.DUMMYFUNCTION("""COMPUTED_VALUE"""),"")</f>
        <v/>
      </c>
      <c r="CG232" s="209" t="str">
        <f>IFERROR(__xludf.DUMMYFUNCTION("""COMPUTED_VALUE"""),"")</f>
        <v/>
      </c>
      <c r="CH232" s="208" t="str">
        <f>IFERROR(__xludf.DUMMYFUNCTION("""COMPUTED_VALUE"""),"")</f>
        <v/>
      </c>
      <c r="CI232" s="211" t="str">
        <f>IFERROR(__xludf.DUMMYFUNCTION("""COMPUTED_VALUE"""),"")</f>
        <v/>
      </c>
      <c r="CJ232" s="209" t="str">
        <f>IFERROR(__xludf.DUMMYFUNCTION("""COMPUTED_VALUE"""),"")</f>
        <v/>
      </c>
      <c r="CK232" s="208" t="str">
        <f>IFERROR(__xludf.DUMMYFUNCTION("""COMPUTED_VALUE"""),"")</f>
        <v/>
      </c>
      <c r="CL232" s="208" t="str">
        <f>IFERROR(__xludf.DUMMYFUNCTION("""COMPUTED_VALUE"""),"")</f>
        <v/>
      </c>
      <c r="CM232" s="209" t="str">
        <f>IFERROR(__xludf.DUMMYFUNCTION("""COMPUTED_VALUE"""),"")</f>
        <v/>
      </c>
      <c r="CN232" s="208" t="str">
        <f>IFERROR(__xludf.DUMMYFUNCTION("""COMPUTED_VALUE"""),"")</f>
        <v/>
      </c>
      <c r="CO232" s="208" t="str">
        <f>IFERROR(__xludf.DUMMYFUNCTION("""COMPUTED_VALUE"""),"")</f>
        <v/>
      </c>
      <c r="CP232" s="209">
        <f>IFERROR(__xludf.DUMMYFUNCTION("""COMPUTED_VALUE"""),247.0)</f>
        <v>247</v>
      </c>
      <c r="CQ232" s="208" t="str">
        <f>IFERROR(__xludf.DUMMYFUNCTION("""COMPUTED_VALUE"""),"")</f>
        <v/>
      </c>
      <c r="CR232" s="208" t="str">
        <f>IFERROR(__xludf.DUMMYFUNCTION("""COMPUTED_VALUE"""),"")</f>
        <v/>
      </c>
      <c r="CS232" s="209"/>
      <c r="CT232" s="208"/>
      <c r="CU232" s="208"/>
      <c r="CV232" s="209"/>
      <c r="CW232" s="208"/>
      <c r="CX232" s="208"/>
      <c r="CY232" s="209"/>
      <c r="CZ232" s="208"/>
      <c r="DA232" s="208"/>
      <c r="DB232" s="209"/>
      <c r="DC232" s="208"/>
      <c r="DD232" s="208"/>
      <c r="DE232" s="209"/>
      <c r="DF232" s="208"/>
      <c r="DG232" s="208"/>
      <c r="DH232" s="209"/>
      <c r="DI232" s="208"/>
      <c r="DJ232" s="208"/>
      <c r="DK232" s="209"/>
      <c r="DL232" s="208"/>
      <c r="DM232" s="208"/>
      <c r="DN232" s="209"/>
      <c r="DO232" s="208"/>
      <c r="DP232" s="208"/>
      <c r="DQ232" s="209"/>
      <c r="DR232" s="208"/>
      <c r="DS232" s="208"/>
      <c r="DT232" s="209"/>
    </row>
    <row r="233">
      <c r="B233" s="189" t="str">
        <f>IFERROR(__xludf.DUMMYFUNCTION("""COMPUTED_VALUE"""),"ATL5")</f>
        <v>ATL5</v>
      </c>
      <c r="C233" s="190">
        <f>IFERROR(__xludf.DUMMYFUNCTION("""COMPUTED_VALUE"""),232.0)</f>
        <v>232</v>
      </c>
      <c r="D233" s="191" t="str">
        <f>IFERROR(__xludf.DUMMYFUNCTION("""COMPUTED_VALUE"""),"Astraea Island")</f>
        <v>Astraea Island</v>
      </c>
      <c r="E233" s="192" t="str">
        <f>IFERROR(__xludf.DUMMYFUNCTION("""COMPUTED_VALUE"""),"アストライア島")</f>
        <v>アストライア島</v>
      </c>
      <c r="F233" s="193">
        <f>IFERROR(__xludf.DUMMYFUNCTION("""COMPUTED_VALUE"""),21.0)</f>
        <v>21</v>
      </c>
      <c r="G233" s="192">
        <f>IFERROR(__xludf.DUMMYFUNCTION("""COMPUTED_VALUE"""),34644.0)</f>
        <v>34644</v>
      </c>
      <c r="H233" s="194" t="str">
        <f>IFERROR(__xludf.DUMMYFUNCTION("""COMPUTED_VALUE"""),"")</f>
        <v/>
      </c>
      <c r="I233" s="195" t="str">
        <f>IFERROR(__xludf.DUMMYFUNCTION("""COMPUTED_VALUE"""),"")</f>
        <v/>
      </c>
      <c r="J233" s="196" t="str">
        <f>IFERROR(__xludf.DUMMYFUNCTION("""COMPUTED_VALUE"""),"")</f>
        <v/>
      </c>
      <c r="K233" s="194">
        <f>IFERROR(__xludf.DUMMYFUNCTION("""COMPUTED_VALUE"""),207.6)</f>
        <v>207.6</v>
      </c>
      <c r="L233" s="195" t="str">
        <f>IFERROR(__xludf.DUMMYFUNCTION("""COMPUTED_VALUE"""),"")</f>
        <v/>
      </c>
      <c r="M233" s="196" t="str">
        <f>IFERROR(__xludf.DUMMYFUNCTION("""COMPUTED_VALUE"""),"")</f>
        <v/>
      </c>
      <c r="N233" s="194" t="str">
        <f>IFERROR(__xludf.DUMMYFUNCTION("""COMPUTED_VALUE"""),"")</f>
        <v/>
      </c>
      <c r="O233" s="195" t="str">
        <f>IFERROR(__xludf.DUMMYFUNCTION("""COMPUTED_VALUE"""),"")</f>
        <v/>
      </c>
      <c r="P233" s="196" t="str">
        <f>IFERROR(__xludf.DUMMYFUNCTION("""COMPUTED_VALUE"""),"")</f>
        <v/>
      </c>
      <c r="Q233" s="194" t="str">
        <f>IFERROR(__xludf.DUMMYFUNCTION("""COMPUTED_VALUE"""),"")</f>
        <v/>
      </c>
      <c r="R233" s="195" t="str">
        <f>IFERROR(__xludf.DUMMYFUNCTION("""COMPUTED_VALUE"""),"")</f>
        <v/>
      </c>
      <c r="S233" s="196" t="str">
        <f>IFERROR(__xludf.DUMMYFUNCTION("""COMPUTED_VALUE"""),"")</f>
        <v/>
      </c>
      <c r="T233" s="194" t="str">
        <f>IFERROR(__xludf.DUMMYFUNCTION("""COMPUTED_VALUE"""),"")</f>
        <v/>
      </c>
      <c r="U233" s="195" t="str">
        <f>IFERROR(__xludf.DUMMYFUNCTION("""COMPUTED_VALUE"""),"")</f>
        <v/>
      </c>
      <c r="V233" s="196" t="str">
        <f>IFERROR(__xludf.DUMMYFUNCTION("""COMPUTED_VALUE"""),"")</f>
        <v/>
      </c>
      <c r="W233" s="194" t="str">
        <f>IFERROR(__xludf.DUMMYFUNCTION("""COMPUTED_VALUE"""),"")</f>
        <v/>
      </c>
      <c r="X233" s="195" t="str">
        <f>IFERROR(__xludf.DUMMYFUNCTION("""COMPUTED_VALUE"""),"")</f>
        <v/>
      </c>
      <c r="Y233" s="196" t="str">
        <f>IFERROR(__xludf.DUMMYFUNCTION("""COMPUTED_VALUE"""),"")</f>
        <v/>
      </c>
      <c r="Z233" s="194" t="str">
        <f>IFERROR(__xludf.DUMMYFUNCTION("""COMPUTED_VALUE"""),"")</f>
        <v/>
      </c>
      <c r="AA233" s="195" t="str">
        <f>IFERROR(__xludf.DUMMYFUNCTION("""COMPUTED_VALUE"""),"")</f>
        <v/>
      </c>
      <c r="AB233" s="196" t="str">
        <f>IFERROR(__xludf.DUMMYFUNCTION("""COMPUTED_VALUE"""),"")</f>
        <v/>
      </c>
      <c r="AC233" s="194" t="str">
        <f>IFERROR(__xludf.DUMMYFUNCTION("""COMPUTED_VALUE"""),"")</f>
        <v/>
      </c>
      <c r="AD233" s="195" t="str">
        <f>IFERROR(__xludf.DUMMYFUNCTION("""COMPUTED_VALUE"""),"")</f>
        <v/>
      </c>
      <c r="AE233" s="196" t="str">
        <f>IFERROR(__xludf.DUMMYFUNCTION("""COMPUTED_VALUE"""),"")</f>
        <v/>
      </c>
      <c r="AF233" s="194" t="str">
        <f>IFERROR(__xludf.DUMMYFUNCTION("""COMPUTED_VALUE"""),"")</f>
        <v/>
      </c>
      <c r="AG233" s="195" t="str">
        <f>IFERROR(__xludf.DUMMYFUNCTION("""COMPUTED_VALUE"""),"")</f>
        <v/>
      </c>
      <c r="AH233" s="196" t="str">
        <f>IFERROR(__xludf.DUMMYFUNCTION("""COMPUTED_VALUE"""),"")</f>
        <v/>
      </c>
      <c r="AI233" s="197" t="str">
        <f>IFERROR(__xludf.DUMMYFUNCTION("""COMPUTED_VALUE"""),"")</f>
        <v/>
      </c>
      <c r="AJ233" s="198" t="str">
        <f>IFERROR(__xludf.DUMMYFUNCTION("""COMPUTED_VALUE"""),"")</f>
        <v/>
      </c>
      <c r="AK233" s="199" t="str">
        <f>IFERROR(__xludf.DUMMYFUNCTION("""COMPUTED_VALUE"""),"")</f>
        <v/>
      </c>
      <c r="AL233" s="198" t="str">
        <f>IFERROR(__xludf.DUMMYFUNCTION("""COMPUTED_VALUE"""),"")</f>
        <v/>
      </c>
      <c r="AM233" s="198" t="str">
        <f>IFERROR(__xludf.DUMMYFUNCTION("""COMPUTED_VALUE"""),"")</f>
        <v/>
      </c>
      <c r="AN233" s="199" t="str">
        <f>IFERROR(__xludf.DUMMYFUNCTION("""COMPUTED_VALUE"""),"")</f>
        <v/>
      </c>
      <c r="AO233" s="198" t="str">
        <f>IFERROR(__xludf.DUMMYFUNCTION("""COMPUTED_VALUE"""),"")</f>
        <v/>
      </c>
      <c r="AP233" s="198" t="str">
        <f>IFERROR(__xludf.DUMMYFUNCTION("""COMPUTED_VALUE"""),"")</f>
        <v/>
      </c>
      <c r="AQ233" s="199">
        <f>IFERROR(__xludf.DUMMYFUNCTION("""COMPUTED_VALUE"""),105.2)</f>
        <v>105.2</v>
      </c>
      <c r="AR233" s="198" t="str">
        <f>IFERROR(__xludf.DUMMYFUNCTION("""COMPUTED_VALUE"""),"")</f>
        <v/>
      </c>
      <c r="AS233" s="198" t="str">
        <f>IFERROR(__xludf.DUMMYFUNCTION("""COMPUTED_VALUE"""),"")</f>
        <v/>
      </c>
      <c r="AT233" s="199" t="str">
        <f>IFERROR(__xludf.DUMMYFUNCTION("""COMPUTED_VALUE"""),"")</f>
        <v/>
      </c>
      <c r="AU233" s="198" t="str">
        <f>IFERROR(__xludf.DUMMYFUNCTION("""COMPUTED_VALUE"""),"")</f>
        <v/>
      </c>
      <c r="AV233" s="198" t="str">
        <f>IFERROR(__xludf.DUMMYFUNCTION("""COMPUTED_VALUE"""),"")</f>
        <v/>
      </c>
      <c r="AW233" s="199">
        <f>IFERROR(__xludf.DUMMYFUNCTION("""COMPUTED_VALUE"""),69.6)</f>
        <v>69.6</v>
      </c>
      <c r="AX233" s="198" t="str">
        <f>IFERROR(__xludf.DUMMYFUNCTION("""COMPUTED_VALUE"""),"")</f>
        <v/>
      </c>
      <c r="AY233" s="198" t="str">
        <f>IFERROR(__xludf.DUMMYFUNCTION("""COMPUTED_VALUE"""),"")</f>
        <v/>
      </c>
      <c r="AZ233" s="199" t="str">
        <f>IFERROR(__xludf.DUMMYFUNCTION("""COMPUTED_VALUE"""),"")</f>
        <v/>
      </c>
      <c r="BA233" s="198" t="str">
        <f>IFERROR(__xludf.DUMMYFUNCTION("""COMPUTED_VALUE"""),"")</f>
        <v/>
      </c>
      <c r="BB233" s="198" t="str">
        <f>IFERROR(__xludf.DUMMYFUNCTION("""COMPUTED_VALUE"""),"")</f>
        <v/>
      </c>
      <c r="BC233" s="199">
        <f>IFERROR(__xludf.DUMMYFUNCTION("""COMPUTED_VALUE"""),645.8)</f>
        <v>645.8</v>
      </c>
      <c r="BD233" s="198" t="str">
        <f>IFERROR(__xludf.DUMMYFUNCTION("""COMPUTED_VALUE"""),"")</f>
        <v/>
      </c>
      <c r="BE233" s="198" t="str">
        <f>IFERROR(__xludf.DUMMYFUNCTION("""COMPUTED_VALUE"""),"")</f>
        <v/>
      </c>
      <c r="BF233" s="199" t="str">
        <f>IFERROR(__xludf.DUMMYFUNCTION("""COMPUTED_VALUE"""),"")</f>
        <v/>
      </c>
      <c r="BG233" s="197" t="str">
        <f>IFERROR(__xludf.DUMMYFUNCTION("""COMPUTED_VALUE"""),"")</f>
        <v/>
      </c>
      <c r="BH233" s="198" t="str">
        <f>IFERROR(__xludf.DUMMYFUNCTION("""COMPUTED_VALUE"""),"")</f>
        <v/>
      </c>
      <c r="BI233" s="199" t="str">
        <f>IFERROR(__xludf.DUMMYFUNCTION("""COMPUTED_VALUE"""),"")</f>
        <v/>
      </c>
      <c r="BJ233" s="198">
        <f>IFERROR(__xludf.DUMMYFUNCTION("""COMPUTED_VALUE"""),69.2)</f>
        <v>69.2</v>
      </c>
      <c r="BK233" s="198" t="str">
        <f>IFERROR(__xludf.DUMMYFUNCTION("""COMPUTED_VALUE"""),"")</f>
        <v/>
      </c>
      <c r="BL233" s="199" t="str">
        <f>IFERROR(__xludf.DUMMYFUNCTION("""COMPUTED_VALUE"""),"")</f>
        <v/>
      </c>
      <c r="BM233" s="198" t="str">
        <f>IFERROR(__xludf.DUMMYFUNCTION("""COMPUTED_VALUE"""),"")</f>
        <v/>
      </c>
      <c r="BN233" s="198" t="str">
        <f>IFERROR(__xludf.DUMMYFUNCTION("""COMPUTED_VALUE"""),"")</f>
        <v/>
      </c>
      <c r="BO233" s="199" t="str">
        <f>IFERROR(__xludf.DUMMYFUNCTION("""COMPUTED_VALUE"""),"")</f>
        <v/>
      </c>
      <c r="BP233" s="198" t="str">
        <f>IFERROR(__xludf.DUMMYFUNCTION("""COMPUTED_VALUE"""),"")</f>
        <v/>
      </c>
      <c r="BQ233" s="198" t="str">
        <f>IFERROR(__xludf.DUMMYFUNCTION("""COMPUTED_VALUE"""),"")</f>
        <v/>
      </c>
      <c r="BR233" s="199" t="str">
        <f>IFERROR(__xludf.DUMMYFUNCTION("""COMPUTED_VALUE"""),"")</f>
        <v/>
      </c>
      <c r="BS233" s="198" t="str">
        <f>IFERROR(__xludf.DUMMYFUNCTION("""COMPUTED_VALUE"""),"")</f>
        <v/>
      </c>
      <c r="BT233" s="198" t="str">
        <f>IFERROR(__xludf.DUMMYFUNCTION("""COMPUTED_VALUE"""),"")</f>
        <v/>
      </c>
      <c r="BU233" s="199" t="str">
        <f>IFERROR(__xludf.DUMMYFUNCTION("""COMPUTED_VALUE"""),"")</f>
        <v/>
      </c>
      <c r="BV233" s="198" t="str">
        <f>IFERROR(__xludf.DUMMYFUNCTION("""COMPUTED_VALUE"""),"")</f>
        <v/>
      </c>
      <c r="BW233" s="198" t="str">
        <f>IFERROR(__xludf.DUMMYFUNCTION("""COMPUTED_VALUE"""),"")</f>
        <v/>
      </c>
      <c r="BX233" s="199" t="str">
        <f>IFERROR(__xludf.DUMMYFUNCTION("""COMPUTED_VALUE"""),"")</f>
        <v/>
      </c>
      <c r="BY233" s="198" t="str">
        <f>IFERROR(__xludf.DUMMYFUNCTION("""COMPUTED_VALUE"""),"")</f>
        <v/>
      </c>
      <c r="BZ233" s="198" t="str">
        <f>IFERROR(__xludf.DUMMYFUNCTION("""COMPUTED_VALUE"""),"")</f>
        <v/>
      </c>
      <c r="CA233" s="199" t="str">
        <f>IFERROR(__xludf.DUMMYFUNCTION("""COMPUTED_VALUE"""),"")</f>
        <v/>
      </c>
      <c r="CB233" s="197" t="str">
        <f>IFERROR(__xludf.DUMMYFUNCTION("""COMPUTED_VALUE"""),"")</f>
        <v/>
      </c>
      <c r="CC233" s="198" t="str">
        <f>IFERROR(__xludf.DUMMYFUNCTION("""COMPUTED_VALUE"""),"")</f>
        <v/>
      </c>
      <c r="CD233" s="199" t="str">
        <f>IFERROR(__xludf.DUMMYFUNCTION("""COMPUTED_VALUE"""),"")</f>
        <v/>
      </c>
      <c r="CE233" s="198" t="str">
        <f>IFERROR(__xludf.DUMMYFUNCTION("""COMPUTED_VALUE"""),"")</f>
        <v/>
      </c>
      <c r="CF233" s="198" t="str">
        <f>IFERROR(__xludf.DUMMYFUNCTION("""COMPUTED_VALUE"""),"")</f>
        <v/>
      </c>
      <c r="CG233" s="199" t="str">
        <f>IFERROR(__xludf.DUMMYFUNCTION("""COMPUTED_VALUE"""),"")</f>
        <v/>
      </c>
      <c r="CH233" s="198" t="str">
        <f>IFERROR(__xludf.DUMMYFUNCTION("""COMPUTED_VALUE"""),"")</f>
        <v/>
      </c>
      <c r="CI233" s="198" t="str">
        <f>IFERROR(__xludf.DUMMYFUNCTION("""COMPUTED_VALUE"""),"")</f>
        <v/>
      </c>
      <c r="CJ233" s="199" t="str">
        <f>IFERROR(__xludf.DUMMYFUNCTION("""COMPUTED_VALUE"""),"")</f>
        <v/>
      </c>
      <c r="CK233" s="198" t="str">
        <f>IFERROR(__xludf.DUMMYFUNCTION("""COMPUTED_VALUE"""),"")</f>
        <v/>
      </c>
      <c r="CL233" s="198">
        <f>IFERROR(__xludf.DUMMYFUNCTION("""COMPUTED_VALUE"""),428.6)</f>
        <v>428.6</v>
      </c>
      <c r="CM233" s="199" t="str">
        <f>IFERROR(__xludf.DUMMYFUNCTION("""COMPUTED_VALUE"""),"")</f>
        <v/>
      </c>
      <c r="CN233" s="198" t="str">
        <f>IFERROR(__xludf.DUMMYFUNCTION("""COMPUTED_VALUE"""),"")</f>
        <v/>
      </c>
      <c r="CO233" s="198" t="str">
        <f>IFERROR(__xludf.DUMMYFUNCTION("""COMPUTED_VALUE"""),"")</f>
        <v/>
      </c>
      <c r="CP233" s="199" t="str">
        <f>IFERROR(__xludf.DUMMYFUNCTION("""COMPUTED_VALUE"""),"")</f>
        <v/>
      </c>
      <c r="CQ233" s="198" t="str">
        <f>IFERROR(__xludf.DUMMYFUNCTION("""COMPUTED_VALUE"""),"")</f>
        <v/>
      </c>
      <c r="CR233" s="198" t="str">
        <f>IFERROR(__xludf.DUMMYFUNCTION("""COMPUTED_VALUE"""),"")</f>
        <v/>
      </c>
      <c r="CS233" s="199"/>
      <c r="CT233" s="198"/>
      <c r="CU233" s="198"/>
      <c r="CV233" s="199"/>
      <c r="CW233" s="198"/>
      <c r="CX233" s="198"/>
      <c r="CY233" s="199"/>
      <c r="CZ233" s="198"/>
      <c r="DA233" s="198"/>
      <c r="DB233" s="199"/>
      <c r="DC233" s="198"/>
      <c r="DD233" s="198"/>
      <c r="DE233" s="199"/>
      <c r="DF233" s="198"/>
      <c r="DG233" s="198"/>
      <c r="DH233" s="199"/>
      <c r="DI233" s="198"/>
      <c r="DJ233" s="198"/>
      <c r="DK233" s="199"/>
      <c r="DL233" s="198"/>
      <c r="DM233" s="198"/>
      <c r="DN233" s="199"/>
      <c r="DO233" s="198"/>
      <c r="DP233" s="198"/>
      <c r="DQ233" s="199"/>
      <c r="DR233" s="198"/>
      <c r="DS233" s="198"/>
      <c r="DT233" s="199"/>
    </row>
    <row r="234">
      <c r="B234" s="201" t="str">
        <f>IFERROR(__xludf.DUMMYFUNCTION("""COMPUTED_VALUE"""),"ATL6")</f>
        <v>ATL6</v>
      </c>
      <c r="C234" s="68">
        <f>IFERROR(__xludf.DUMMYFUNCTION("""COMPUTED_VALUE"""),233.0)</f>
        <v>233</v>
      </c>
      <c r="D234" s="202" t="str">
        <f>IFERROR(__xludf.DUMMYFUNCTION("""COMPUTED_VALUE"""),"Thetis Island")</f>
        <v>Thetis Island</v>
      </c>
      <c r="E234" s="69" t="str">
        <f>IFERROR(__xludf.DUMMYFUNCTION("""COMPUTED_VALUE"""),"テティス島")</f>
        <v>テティス島</v>
      </c>
      <c r="F234" s="203">
        <f>IFERROR(__xludf.DUMMYFUNCTION("""COMPUTED_VALUE"""),21.0)</f>
        <v>21</v>
      </c>
      <c r="G234" s="69">
        <f>IFERROR(__xludf.DUMMYFUNCTION("""COMPUTED_VALUE"""),1367.0)</f>
        <v>1367</v>
      </c>
      <c r="H234" s="204" t="str">
        <f>IFERROR(__xludf.DUMMYFUNCTION("""COMPUTED_VALUE"""),"")</f>
        <v/>
      </c>
      <c r="I234" s="205" t="str">
        <f>IFERROR(__xludf.DUMMYFUNCTION("""COMPUTED_VALUE"""),"")</f>
        <v/>
      </c>
      <c r="J234" s="206" t="str">
        <f>IFERROR(__xludf.DUMMYFUNCTION("""COMPUTED_VALUE"""),"")</f>
        <v/>
      </c>
      <c r="K234" s="204" t="str">
        <f>IFERROR(__xludf.DUMMYFUNCTION("""COMPUTED_VALUE"""),"")</f>
        <v/>
      </c>
      <c r="L234" s="205" t="str">
        <f>IFERROR(__xludf.DUMMYFUNCTION("""COMPUTED_VALUE"""),"")</f>
        <v/>
      </c>
      <c r="M234" s="206" t="str">
        <f>IFERROR(__xludf.DUMMYFUNCTION("""COMPUTED_VALUE"""),"")</f>
        <v/>
      </c>
      <c r="N234" s="204" t="str">
        <f>IFERROR(__xludf.DUMMYFUNCTION("""COMPUTED_VALUE"""),"")</f>
        <v/>
      </c>
      <c r="O234" s="205" t="str">
        <f>IFERROR(__xludf.DUMMYFUNCTION("""COMPUTED_VALUE"""),"")</f>
        <v/>
      </c>
      <c r="P234" s="206" t="str">
        <f>IFERROR(__xludf.DUMMYFUNCTION("""COMPUTED_VALUE"""),"")</f>
        <v/>
      </c>
      <c r="Q234" s="204" t="str">
        <f>IFERROR(__xludf.DUMMYFUNCTION("""COMPUTED_VALUE"""),"")</f>
        <v/>
      </c>
      <c r="R234" s="205" t="str">
        <f>IFERROR(__xludf.DUMMYFUNCTION("""COMPUTED_VALUE"""),"")</f>
        <v/>
      </c>
      <c r="S234" s="206" t="str">
        <f>IFERROR(__xludf.DUMMYFUNCTION("""COMPUTED_VALUE"""),"")</f>
        <v/>
      </c>
      <c r="T234" s="204">
        <f>IFERROR(__xludf.DUMMYFUNCTION("""COMPUTED_VALUE"""),118.6)</f>
        <v>118.6</v>
      </c>
      <c r="U234" s="205" t="str">
        <f>IFERROR(__xludf.DUMMYFUNCTION("""COMPUTED_VALUE"""),"")</f>
        <v/>
      </c>
      <c r="V234" s="206" t="str">
        <f>IFERROR(__xludf.DUMMYFUNCTION("""COMPUTED_VALUE"""),"")</f>
        <v/>
      </c>
      <c r="W234" s="204" t="str">
        <f>IFERROR(__xludf.DUMMYFUNCTION("""COMPUTED_VALUE"""),"")</f>
        <v/>
      </c>
      <c r="X234" s="205" t="str">
        <f>IFERROR(__xludf.DUMMYFUNCTION("""COMPUTED_VALUE"""),"")</f>
        <v/>
      </c>
      <c r="Y234" s="206" t="str">
        <f>IFERROR(__xludf.DUMMYFUNCTION("""COMPUTED_VALUE"""),"")</f>
        <v/>
      </c>
      <c r="Z234" s="204" t="str">
        <f>IFERROR(__xludf.DUMMYFUNCTION("""COMPUTED_VALUE"""),"")</f>
        <v/>
      </c>
      <c r="AA234" s="205" t="str">
        <f>IFERROR(__xludf.DUMMYFUNCTION("""COMPUTED_VALUE"""),"")</f>
        <v/>
      </c>
      <c r="AB234" s="206" t="str">
        <f>IFERROR(__xludf.DUMMYFUNCTION("""COMPUTED_VALUE"""),"")</f>
        <v/>
      </c>
      <c r="AC234" s="204">
        <f>IFERROR(__xludf.DUMMYFUNCTION("""COMPUTED_VALUE"""),87.5)</f>
        <v>87.5</v>
      </c>
      <c r="AD234" s="205" t="str">
        <f>IFERROR(__xludf.DUMMYFUNCTION("""COMPUTED_VALUE"""),"")</f>
        <v/>
      </c>
      <c r="AE234" s="206" t="str">
        <f>IFERROR(__xludf.DUMMYFUNCTION("""COMPUTED_VALUE"""),"")</f>
        <v/>
      </c>
      <c r="AF234" s="204" t="str">
        <f>IFERROR(__xludf.DUMMYFUNCTION("""COMPUTED_VALUE"""),"")</f>
        <v/>
      </c>
      <c r="AG234" s="205" t="str">
        <f>IFERROR(__xludf.DUMMYFUNCTION("""COMPUTED_VALUE"""),"")</f>
        <v/>
      </c>
      <c r="AH234" s="206" t="str">
        <f>IFERROR(__xludf.DUMMYFUNCTION("""COMPUTED_VALUE"""),"")</f>
        <v/>
      </c>
      <c r="AI234" s="207" t="str">
        <f>IFERROR(__xludf.DUMMYFUNCTION("""COMPUTED_VALUE"""),"")</f>
        <v/>
      </c>
      <c r="AJ234" s="208" t="str">
        <f>IFERROR(__xludf.DUMMYFUNCTION("""COMPUTED_VALUE"""),"")</f>
        <v/>
      </c>
      <c r="AK234" s="209" t="str">
        <f>IFERROR(__xludf.DUMMYFUNCTION("""COMPUTED_VALUE"""),"")</f>
        <v/>
      </c>
      <c r="AL234" s="208" t="str">
        <f>IFERROR(__xludf.DUMMYFUNCTION("""COMPUTED_VALUE"""),"")</f>
        <v/>
      </c>
      <c r="AM234" s="208" t="str">
        <f>IFERROR(__xludf.DUMMYFUNCTION("""COMPUTED_VALUE"""),"")</f>
        <v/>
      </c>
      <c r="AN234" s="209" t="str">
        <f>IFERROR(__xludf.DUMMYFUNCTION("""COMPUTED_VALUE"""),"")</f>
        <v/>
      </c>
      <c r="AO234" s="208" t="str">
        <f>IFERROR(__xludf.DUMMYFUNCTION("""COMPUTED_VALUE"""),"")</f>
        <v/>
      </c>
      <c r="AP234" s="208" t="str">
        <f>IFERROR(__xludf.DUMMYFUNCTION("""COMPUTED_VALUE"""),"")</f>
        <v/>
      </c>
      <c r="AQ234" s="209" t="str">
        <f>IFERROR(__xludf.DUMMYFUNCTION("""COMPUTED_VALUE"""),"")</f>
        <v/>
      </c>
      <c r="AR234" s="208" t="str">
        <f>IFERROR(__xludf.DUMMYFUNCTION("""COMPUTED_VALUE"""),"")</f>
        <v/>
      </c>
      <c r="AS234" s="208" t="str">
        <f>IFERROR(__xludf.DUMMYFUNCTION("""COMPUTED_VALUE"""),"")</f>
        <v/>
      </c>
      <c r="AT234" s="209" t="str">
        <f>IFERROR(__xludf.DUMMYFUNCTION("""COMPUTED_VALUE"""),"")</f>
        <v/>
      </c>
      <c r="AU234" s="212" t="str">
        <f>IFERROR(__xludf.DUMMYFUNCTION("""COMPUTED_VALUE"""),"")</f>
        <v/>
      </c>
      <c r="AV234" s="208" t="str">
        <f>IFERROR(__xludf.DUMMYFUNCTION("""COMPUTED_VALUE"""),"")</f>
        <v/>
      </c>
      <c r="AW234" s="209" t="str">
        <f>IFERROR(__xludf.DUMMYFUNCTION("""COMPUTED_VALUE"""),"")</f>
        <v/>
      </c>
      <c r="AX234" s="208" t="str">
        <f>IFERROR(__xludf.DUMMYFUNCTION("""COMPUTED_VALUE"""),"")</f>
        <v/>
      </c>
      <c r="AY234" s="208" t="str">
        <f>IFERROR(__xludf.DUMMYFUNCTION("""COMPUTED_VALUE"""),"")</f>
        <v/>
      </c>
      <c r="AZ234" s="209" t="str">
        <f>IFERROR(__xludf.DUMMYFUNCTION("""COMPUTED_VALUE"""),"")</f>
        <v/>
      </c>
      <c r="BA234" s="208" t="str">
        <f>IFERROR(__xludf.DUMMYFUNCTION("""COMPUTED_VALUE"""),"")</f>
        <v/>
      </c>
      <c r="BB234" s="208" t="str">
        <f>IFERROR(__xludf.DUMMYFUNCTION("""COMPUTED_VALUE"""),"")</f>
        <v/>
      </c>
      <c r="BC234" s="210" t="str">
        <f>IFERROR(__xludf.DUMMYFUNCTION("""COMPUTED_VALUE"""),"")</f>
        <v/>
      </c>
      <c r="BD234" s="208" t="str">
        <f>IFERROR(__xludf.DUMMYFUNCTION("""COMPUTED_VALUE"""),"")</f>
        <v/>
      </c>
      <c r="BE234" s="208" t="str">
        <f>IFERROR(__xludf.DUMMYFUNCTION("""COMPUTED_VALUE"""),"")</f>
        <v/>
      </c>
      <c r="BF234" s="209" t="str">
        <f>IFERROR(__xludf.DUMMYFUNCTION("""COMPUTED_VALUE"""),"")</f>
        <v/>
      </c>
      <c r="BG234" s="207" t="str">
        <f>IFERROR(__xludf.DUMMYFUNCTION("""COMPUTED_VALUE"""),"")</f>
        <v/>
      </c>
      <c r="BH234" s="208" t="str">
        <f>IFERROR(__xludf.DUMMYFUNCTION("""COMPUTED_VALUE"""),"")</f>
        <v/>
      </c>
      <c r="BI234" s="209" t="str">
        <f>IFERROR(__xludf.DUMMYFUNCTION("""COMPUTED_VALUE"""),"")</f>
        <v/>
      </c>
      <c r="BJ234" s="208" t="str">
        <f>IFERROR(__xludf.DUMMYFUNCTION("""COMPUTED_VALUE"""),"")</f>
        <v/>
      </c>
      <c r="BK234" s="208" t="str">
        <f>IFERROR(__xludf.DUMMYFUNCTION("""COMPUTED_VALUE"""),"")</f>
        <v/>
      </c>
      <c r="BL234" s="209">
        <f>IFERROR(__xludf.DUMMYFUNCTION("""COMPUTED_VALUE"""),176.1)</f>
        <v>176.1</v>
      </c>
      <c r="BM234" s="208" t="str">
        <f>IFERROR(__xludf.DUMMYFUNCTION("""COMPUTED_VALUE"""),"")</f>
        <v/>
      </c>
      <c r="BN234" s="208">
        <f>IFERROR(__xludf.DUMMYFUNCTION("""COMPUTED_VALUE"""),46.0)</f>
        <v>46</v>
      </c>
      <c r="BO234" s="209" t="str">
        <f>IFERROR(__xludf.DUMMYFUNCTION("""COMPUTED_VALUE"""),"")</f>
        <v/>
      </c>
      <c r="BP234" s="208" t="str">
        <f>IFERROR(__xludf.DUMMYFUNCTION("""COMPUTED_VALUE"""),"")</f>
        <v/>
      </c>
      <c r="BQ234" s="208" t="str">
        <f>IFERROR(__xludf.DUMMYFUNCTION("""COMPUTED_VALUE"""),"")</f>
        <v/>
      </c>
      <c r="BR234" s="209" t="str">
        <f>IFERROR(__xludf.DUMMYFUNCTION("""COMPUTED_VALUE"""),"")</f>
        <v/>
      </c>
      <c r="BS234" s="208" t="str">
        <f>IFERROR(__xludf.DUMMYFUNCTION("""COMPUTED_VALUE"""),"")</f>
        <v/>
      </c>
      <c r="BT234" s="208" t="str">
        <f>IFERROR(__xludf.DUMMYFUNCTION("""COMPUTED_VALUE"""),"")</f>
        <v/>
      </c>
      <c r="BU234" s="209" t="str">
        <f>IFERROR(__xludf.DUMMYFUNCTION("""COMPUTED_VALUE"""),"")</f>
        <v/>
      </c>
      <c r="BV234" s="208" t="str">
        <f>IFERROR(__xludf.DUMMYFUNCTION("""COMPUTED_VALUE"""),"")</f>
        <v/>
      </c>
      <c r="BW234" s="208" t="str">
        <f>IFERROR(__xludf.DUMMYFUNCTION("""COMPUTED_VALUE"""),"")</f>
        <v/>
      </c>
      <c r="BX234" s="209" t="str">
        <f>IFERROR(__xludf.DUMMYFUNCTION("""COMPUTED_VALUE"""),"")</f>
        <v/>
      </c>
      <c r="BY234" s="208" t="str">
        <f>IFERROR(__xludf.DUMMYFUNCTION("""COMPUTED_VALUE"""),"")</f>
        <v/>
      </c>
      <c r="BZ234" s="208" t="str">
        <f>IFERROR(__xludf.DUMMYFUNCTION("""COMPUTED_VALUE"""),"")</f>
        <v/>
      </c>
      <c r="CA234" s="209" t="str">
        <f>IFERROR(__xludf.DUMMYFUNCTION("""COMPUTED_VALUE"""),"")</f>
        <v/>
      </c>
      <c r="CB234" s="207" t="str">
        <f>IFERROR(__xludf.DUMMYFUNCTION("""COMPUTED_VALUE"""),"")</f>
        <v/>
      </c>
      <c r="CC234" s="208" t="str">
        <f>IFERROR(__xludf.DUMMYFUNCTION("""COMPUTED_VALUE"""),"")</f>
        <v/>
      </c>
      <c r="CD234" s="209" t="str">
        <f>IFERROR(__xludf.DUMMYFUNCTION("""COMPUTED_VALUE"""),"")</f>
        <v/>
      </c>
      <c r="CE234" s="208" t="str">
        <f>IFERROR(__xludf.DUMMYFUNCTION("""COMPUTED_VALUE"""),"")</f>
        <v/>
      </c>
      <c r="CF234" s="208" t="str">
        <f>IFERROR(__xludf.DUMMYFUNCTION("""COMPUTED_VALUE"""),"")</f>
        <v/>
      </c>
      <c r="CG234" s="209" t="str">
        <f>IFERROR(__xludf.DUMMYFUNCTION("""COMPUTED_VALUE"""),"")</f>
        <v/>
      </c>
      <c r="CH234" s="208" t="str">
        <f>IFERROR(__xludf.DUMMYFUNCTION("""COMPUTED_VALUE"""),"")</f>
        <v/>
      </c>
      <c r="CI234" s="208" t="str">
        <f>IFERROR(__xludf.DUMMYFUNCTION("""COMPUTED_VALUE"""),"")</f>
        <v/>
      </c>
      <c r="CJ234" s="209" t="str">
        <f>IFERROR(__xludf.DUMMYFUNCTION("""COMPUTED_VALUE"""),"")</f>
        <v/>
      </c>
      <c r="CK234" s="208" t="str">
        <f>IFERROR(__xludf.DUMMYFUNCTION("""COMPUTED_VALUE"""),"")</f>
        <v/>
      </c>
      <c r="CL234" s="208" t="str">
        <f>IFERROR(__xludf.DUMMYFUNCTION("""COMPUTED_VALUE"""),"")</f>
        <v/>
      </c>
      <c r="CM234" s="209" t="str">
        <f>IFERROR(__xludf.DUMMYFUNCTION("""COMPUTED_VALUE"""),"")</f>
        <v/>
      </c>
      <c r="CN234" s="208">
        <f>IFERROR(__xludf.DUMMYFUNCTION("""COMPUTED_VALUE"""),422.5)</f>
        <v>422.5</v>
      </c>
      <c r="CO234" s="208" t="str">
        <f>IFERROR(__xludf.DUMMYFUNCTION("""COMPUTED_VALUE"""),"")</f>
        <v/>
      </c>
      <c r="CP234" s="209" t="str">
        <f>IFERROR(__xludf.DUMMYFUNCTION("""COMPUTED_VALUE"""),"")</f>
        <v/>
      </c>
      <c r="CQ234" s="208" t="str">
        <f>IFERROR(__xludf.DUMMYFUNCTION("""COMPUTED_VALUE"""),"")</f>
        <v/>
      </c>
      <c r="CR234" s="208" t="str">
        <f>IFERROR(__xludf.DUMMYFUNCTION("""COMPUTED_VALUE"""),"")</f>
        <v/>
      </c>
      <c r="CS234" s="209"/>
      <c r="CT234" s="208"/>
      <c r="CU234" s="208"/>
      <c r="CV234" s="209"/>
      <c r="CW234" s="208"/>
      <c r="CX234" s="208"/>
      <c r="CY234" s="209"/>
      <c r="CZ234" s="208"/>
      <c r="DA234" s="208"/>
      <c r="DB234" s="209"/>
      <c r="DC234" s="208"/>
      <c r="DD234" s="208"/>
      <c r="DE234" s="209"/>
      <c r="DF234" s="208"/>
      <c r="DG234" s="208"/>
      <c r="DH234" s="209"/>
      <c r="DI234" s="208"/>
      <c r="DJ234" s="208"/>
      <c r="DK234" s="209"/>
      <c r="DL234" s="208"/>
      <c r="DM234" s="208"/>
      <c r="DN234" s="209"/>
      <c r="DO234" s="208"/>
      <c r="DP234" s="208"/>
      <c r="DQ234" s="209"/>
      <c r="DR234" s="208"/>
      <c r="DS234" s="208"/>
      <c r="DT234" s="209"/>
    </row>
    <row r="235">
      <c r="B235" s="189" t="str">
        <f>IFERROR(__xludf.DUMMYFUNCTION("""COMPUTED_VALUE"""),"ATL7")</f>
        <v>ATL7</v>
      </c>
      <c r="C235" s="190">
        <f>IFERROR(__xludf.DUMMYFUNCTION("""COMPUTED_VALUE"""),234.0)</f>
        <v>234</v>
      </c>
      <c r="D235" s="191" t="str">
        <f>IFERROR(__xludf.DUMMYFUNCTION("""COMPUTED_VALUE"""),"Eris Island")</f>
        <v>Eris Island</v>
      </c>
      <c r="E235" s="192" t="str">
        <f>IFERROR(__xludf.DUMMYFUNCTION("""COMPUTED_VALUE"""),"エリス島")</f>
        <v>エリス島</v>
      </c>
      <c r="F235" s="193">
        <f>IFERROR(__xludf.DUMMYFUNCTION("""COMPUTED_VALUE"""),21.0)</f>
        <v>21</v>
      </c>
      <c r="G235" s="192">
        <f>IFERROR(__xludf.DUMMYFUNCTION("""COMPUTED_VALUE"""),4175.0)</f>
        <v>4175</v>
      </c>
      <c r="H235" s="194" t="str">
        <f>IFERROR(__xludf.DUMMYFUNCTION("""COMPUTED_VALUE"""),"")</f>
        <v/>
      </c>
      <c r="I235" s="195" t="str">
        <f>IFERROR(__xludf.DUMMYFUNCTION("""COMPUTED_VALUE"""),"")</f>
        <v/>
      </c>
      <c r="J235" s="196" t="str">
        <f>IFERROR(__xludf.DUMMYFUNCTION("""COMPUTED_VALUE"""),"")</f>
        <v/>
      </c>
      <c r="K235" s="194" t="str">
        <f>IFERROR(__xludf.DUMMYFUNCTION("""COMPUTED_VALUE"""),"")</f>
        <v/>
      </c>
      <c r="L235" s="195" t="str">
        <f>IFERROR(__xludf.DUMMYFUNCTION("""COMPUTED_VALUE"""),"")</f>
        <v/>
      </c>
      <c r="M235" s="196" t="str">
        <f>IFERROR(__xludf.DUMMYFUNCTION("""COMPUTED_VALUE"""),"")</f>
        <v/>
      </c>
      <c r="N235" s="194" t="str">
        <f>IFERROR(__xludf.DUMMYFUNCTION("""COMPUTED_VALUE"""),"")</f>
        <v/>
      </c>
      <c r="O235" s="195" t="str">
        <f>IFERROR(__xludf.DUMMYFUNCTION("""COMPUTED_VALUE"""),"")</f>
        <v/>
      </c>
      <c r="P235" s="196" t="str">
        <f>IFERROR(__xludf.DUMMYFUNCTION("""COMPUTED_VALUE"""),"")</f>
        <v/>
      </c>
      <c r="Q235" s="194" t="str">
        <f>IFERROR(__xludf.DUMMYFUNCTION("""COMPUTED_VALUE"""),"")</f>
        <v/>
      </c>
      <c r="R235" s="195" t="str">
        <f>IFERROR(__xludf.DUMMYFUNCTION("""COMPUTED_VALUE"""),"")</f>
        <v/>
      </c>
      <c r="S235" s="196" t="str">
        <f>IFERROR(__xludf.DUMMYFUNCTION("""COMPUTED_VALUE"""),"")</f>
        <v/>
      </c>
      <c r="T235" s="194">
        <f>IFERROR(__xludf.DUMMYFUNCTION("""COMPUTED_VALUE"""),136.1)</f>
        <v>136.1</v>
      </c>
      <c r="U235" s="195" t="str">
        <f>IFERROR(__xludf.DUMMYFUNCTION("""COMPUTED_VALUE"""),"")</f>
        <v/>
      </c>
      <c r="V235" s="196" t="str">
        <f>IFERROR(__xludf.DUMMYFUNCTION("""COMPUTED_VALUE"""),"")</f>
        <v/>
      </c>
      <c r="W235" s="194" t="str">
        <f>IFERROR(__xludf.DUMMYFUNCTION("""COMPUTED_VALUE"""),"")</f>
        <v/>
      </c>
      <c r="X235" s="195" t="str">
        <f>IFERROR(__xludf.DUMMYFUNCTION("""COMPUTED_VALUE"""),"")</f>
        <v/>
      </c>
      <c r="Y235" s="196" t="str">
        <f>IFERROR(__xludf.DUMMYFUNCTION("""COMPUTED_VALUE"""),"")</f>
        <v/>
      </c>
      <c r="Z235" s="194" t="str">
        <f>IFERROR(__xludf.DUMMYFUNCTION("""COMPUTED_VALUE"""),"")</f>
        <v/>
      </c>
      <c r="AA235" s="195" t="str">
        <f>IFERROR(__xludf.DUMMYFUNCTION("""COMPUTED_VALUE"""),"")</f>
        <v/>
      </c>
      <c r="AB235" s="196" t="str">
        <f>IFERROR(__xludf.DUMMYFUNCTION("""COMPUTED_VALUE"""),"")</f>
        <v/>
      </c>
      <c r="AC235" s="194" t="str">
        <f>IFERROR(__xludf.DUMMYFUNCTION("""COMPUTED_VALUE"""),"")</f>
        <v/>
      </c>
      <c r="AD235" s="195" t="str">
        <f>IFERROR(__xludf.DUMMYFUNCTION("""COMPUTED_VALUE"""),"")</f>
        <v/>
      </c>
      <c r="AE235" s="196" t="str">
        <f>IFERROR(__xludf.DUMMYFUNCTION("""COMPUTED_VALUE"""),"")</f>
        <v/>
      </c>
      <c r="AF235" s="194" t="str">
        <f>IFERROR(__xludf.DUMMYFUNCTION("""COMPUTED_VALUE"""),"")</f>
        <v/>
      </c>
      <c r="AG235" s="195" t="str">
        <f>IFERROR(__xludf.DUMMYFUNCTION("""COMPUTED_VALUE"""),"")</f>
        <v/>
      </c>
      <c r="AH235" s="196" t="str">
        <f>IFERROR(__xludf.DUMMYFUNCTION("""COMPUTED_VALUE"""),"")</f>
        <v/>
      </c>
      <c r="AI235" s="197" t="str">
        <f>IFERROR(__xludf.DUMMYFUNCTION("""COMPUTED_VALUE"""),"")</f>
        <v/>
      </c>
      <c r="AJ235" s="198" t="str">
        <f>IFERROR(__xludf.DUMMYFUNCTION("""COMPUTED_VALUE"""),"")</f>
        <v/>
      </c>
      <c r="AK235" s="199" t="str">
        <f>IFERROR(__xludf.DUMMYFUNCTION("""COMPUTED_VALUE"""),"")</f>
        <v/>
      </c>
      <c r="AL235" s="198" t="str">
        <f>IFERROR(__xludf.DUMMYFUNCTION("""COMPUTED_VALUE"""),"")</f>
        <v/>
      </c>
      <c r="AM235" s="198" t="str">
        <f>IFERROR(__xludf.DUMMYFUNCTION("""COMPUTED_VALUE"""),"")</f>
        <v/>
      </c>
      <c r="AN235" s="199" t="str">
        <f>IFERROR(__xludf.DUMMYFUNCTION("""COMPUTED_VALUE"""),"")</f>
        <v/>
      </c>
      <c r="AO235" s="198" t="str">
        <f>IFERROR(__xludf.DUMMYFUNCTION("""COMPUTED_VALUE"""),"")</f>
        <v/>
      </c>
      <c r="AP235" s="198" t="str">
        <f>IFERROR(__xludf.DUMMYFUNCTION("""COMPUTED_VALUE"""),"")</f>
        <v/>
      </c>
      <c r="AQ235" s="199">
        <f>IFERROR(__xludf.DUMMYFUNCTION("""COMPUTED_VALUE"""),105.3)</f>
        <v>105.3</v>
      </c>
      <c r="AR235" s="198" t="str">
        <f>IFERROR(__xludf.DUMMYFUNCTION("""COMPUTED_VALUE"""),"")</f>
        <v/>
      </c>
      <c r="AS235" s="198" t="str">
        <f>IFERROR(__xludf.DUMMYFUNCTION("""COMPUTED_VALUE"""),"")</f>
        <v/>
      </c>
      <c r="AT235" s="199" t="str">
        <f>IFERROR(__xludf.DUMMYFUNCTION("""COMPUTED_VALUE"""),"")</f>
        <v/>
      </c>
      <c r="AU235" s="198" t="str">
        <f>IFERROR(__xludf.DUMMYFUNCTION("""COMPUTED_VALUE"""),"")</f>
        <v/>
      </c>
      <c r="AV235" s="198" t="str">
        <f>IFERROR(__xludf.DUMMYFUNCTION("""COMPUTED_VALUE"""),"")</f>
        <v/>
      </c>
      <c r="AW235" s="199">
        <f>IFERROR(__xludf.DUMMYFUNCTION("""COMPUTED_VALUE"""),69.2)</f>
        <v>69.2</v>
      </c>
      <c r="AX235" s="198" t="str">
        <f>IFERROR(__xludf.DUMMYFUNCTION("""COMPUTED_VALUE"""),"")</f>
        <v/>
      </c>
      <c r="AY235" s="198" t="str">
        <f>IFERROR(__xludf.DUMMYFUNCTION("""COMPUTED_VALUE"""),"")</f>
        <v/>
      </c>
      <c r="AZ235" s="199" t="str">
        <f>IFERROR(__xludf.DUMMYFUNCTION("""COMPUTED_VALUE"""),"")</f>
        <v/>
      </c>
      <c r="BA235" s="198" t="str">
        <f>IFERROR(__xludf.DUMMYFUNCTION("""COMPUTED_VALUE"""),"")</f>
        <v/>
      </c>
      <c r="BB235" s="198" t="str">
        <f>IFERROR(__xludf.DUMMYFUNCTION("""COMPUTED_VALUE"""),"")</f>
        <v/>
      </c>
      <c r="BC235" s="199" t="str">
        <f>IFERROR(__xludf.DUMMYFUNCTION("""COMPUTED_VALUE"""),"")</f>
        <v/>
      </c>
      <c r="BD235" s="198" t="str">
        <f>IFERROR(__xludf.DUMMYFUNCTION("""COMPUTED_VALUE"""),"")</f>
        <v/>
      </c>
      <c r="BE235" s="198" t="str">
        <f>IFERROR(__xludf.DUMMYFUNCTION("""COMPUTED_VALUE"""),"")</f>
        <v/>
      </c>
      <c r="BF235" s="199" t="str">
        <f>IFERROR(__xludf.DUMMYFUNCTION("""COMPUTED_VALUE"""),"")</f>
        <v/>
      </c>
      <c r="BG235" s="197" t="str">
        <f>IFERROR(__xludf.DUMMYFUNCTION("""COMPUTED_VALUE"""),"")</f>
        <v/>
      </c>
      <c r="BH235" s="198" t="str">
        <f>IFERROR(__xludf.DUMMYFUNCTION("""COMPUTED_VALUE"""),"")</f>
        <v/>
      </c>
      <c r="BI235" s="199" t="str">
        <f>IFERROR(__xludf.DUMMYFUNCTION("""COMPUTED_VALUE"""),"")</f>
        <v/>
      </c>
      <c r="BJ235" s="198" t="str">
        <f>IFERROR(__xludf.DUMMYFUNCTION("""COMPUTED_VALUE"""),"")</f>
        <v/>
      </c>
      <c r="BK235" s="198" t="str">
        <f>IFERROR(__xludf.DUMMYFUNCTION("""COMPUTED_VALUE"""),"")</f>
        <v/>
      </c>
      <c r="BL235" s="199">
        <f>IFERROR(__xludf.DUMMYFUNCTION("""COMPUTED_VALUE"""),254.8)</f>
        <v>254.8</v>
      </c>
      <c r="BM235" s="198" t="str">
        <f>IFERROR(__xludf.DUMMYFUNCTION("""COMPUTED_VALUE"""),"")</f>
        <v/>
      </c>
      <c r="BN235" s="198" t="str">
        <f>IFERROR(__xludf.DUMMYFUNCTION("""COMPUTED_VALUE"""),"")</f>
        <v/>
      </c>
      <c r="BO235" s="199" t="str">
        <f>IFERROR(__xludf.DUMMYFUNCTION("""COMPUTED_VALUE"""),"")</f>
        <v/>
      </c>
      <c r="BP235" s="198">
        <f>IFERROR(__xludf.DUMMYFUNCTION("""COMPUTED_VALUE"""),75.4)</f>
        <v>75.4</v>
      </c>
      <c r="BQ235" s="198" t="str">
        <f>IFERROR(__xludf.DUMMYFUNCTION("""COMPUTED_VALUE"""),"")</f>
        <v/>
      </c>
      <c r="BR235" s="199" t="str">
        <f>IFERROR(__xludf.DUMMYFUNCTION("""COMPUTED_VALUE"""),"")</f>
        <v/>
      </c>
      <c r="BS235" s="198" t="str">
        <f>IFERROR(__xludf.DUMMYFUNCTION("""COMPUTED_VALUE"""),"")</f>
        <v/>
      </c>
      <c r="BT235" s="198" t="str">
        <f>IFERROR(__xludf.DUMMYFUNCTION("""COMPUTED_VALUE"""),"")</f>
        <v/>
      </c>
      <c r="BU235" s="199" t="str">
        <f>IFERROR(__xludf.DUMMYFUNCTION("""COMPUTED_VALUE"""),"")</f>
        <v/>
      </c>
      <c r="BV235" s="198" t="str">
        <f>IFERROR(__xludf.DUMMYFUNCTION("""COMPUTED_VALUE"""),"")</f>
        <v/>
      </c>
      <c r="BW235" s="198" t="str">
        <f>IFERROR(__xludf.DUMMYFUNCTION("""COMPUTED_VALUE"""),"")</f>
        <v/>
      </c>
      <c r="BX235" s="199" t="str">
        <f>IFERROR(__xludf.DUMMYFUNCTION("""COMPUTED_VALUE"""),"")</f>
        <v/>
      </c>
      <c r="BY235" s="198" t="str">
        <f>IFERROR(__xludf.DUMMYFUNCTION("""COMPUTED_VALUE"""),"")</f>
        <v/>
      </c>
      <c r="BZ235" s="198" t="str">
        <f>IFERROR(__xludf.DUMMYFUNCTION("""COMPUTED_VALUE"""),"")</f>
        <v/>
      </c>
      <c r="CA235" s="199" t="str">
        <f>IFERROR(__xludf.DUMMYFUNCTION("""COMPUTED_VALUE"""),"")</f>
        <v/>
      </c>
      <c r="CB235" s="197" t="str">
        <f>IFERROR(__xludf.DUMMYFUNCTION("""COMPUTED_VALUE"""),"")</f>
        <v/>
      </c>
      <c r="CC235" s="198" t="str">
        <f>IFERROR(__xludf.DUMMYFUNCTION("""COMPUTED_VALUE"""),"")</f>
        <v/>
      </c>
      <c r="CD235" s="199" t="str">
        <f>IFERROR(__xludf.DUMMYFUNCTION("""COMPUTED_VALUE"""),"")</f>
        <v/>
      </c>
      <c r="CE235" s="198" t="str">
        <f>IFERROR(__xludf.DUMMYFUNCTION("""COMPUTED_VALUE"""),"")</f>
        <v/>
      </c>
      <c r="CF235" s="198" t="str">
        <f>IFERROR(__xludf.DUMMYFUNCTION("""COMPUTED_VALUE"""),"")</f>
        <v/>
      </c>
      <c r="CG235" s="199" t="str">
        <f>IFERROR(__xludf.DUMMYFUNCTION("""COMPUTED_VALUE"""),"")</f>
        <v/>
      </c>
      <c r="CH235" s="198" t="str">
        <f>IFERROR(__xludf.DUMMYFUNCTION("""COMPUTED_VALUE"""),"")</f>
        <v/>
      </c>
      <c r="CI235" s="198" t="str">
        <f>IFERROR(__xludf.DUMMYFUNCTION("""COMPUTED_VALUE"""),"")</f>
        <v/>
      </c>
      <c r="CJ235" s="199" t="str">
        <f>IFERROR(__xludf.DUMMYFUNCTION("""COMPUTED_VALUE"""),"")</f>
        <v/>
      </c>
      <c r="CK235" s="198" t="str">
        <f>IFERROR(__xludf.DUMMYFUNCTION("""COMPUTED_VALUE"""),"")</f>
        <v/>
      </c>
      <c r="CL235" s="198" t="str">
        <f>IFERROR(__xludf.DUMMYFUNCTION("""COMPUTED_VALUE"""),"")</f>
        <v/>
      </c>
      <c r="CM235" s="199" t="str">
        <f>IFERROR(__xludf.DUMMYFUNCTION("""COMPUTED_VALUE"""),"")</f>
        <v/>
      </c>
      <c r="CN235" s="198">
        <f>IFERROR(__xludf.DUMMYFUNCTION("""COMPUTED_VALUE"""),478.1)</f>
        <v>478.1</v>
      </c>
      <c r="CO235" s="198" t="str">
        <f>IFERROR(__xludf.DUMMYFUNCTION("""COMPUTED_VALUE"""),"")</f>
        <v/>
      </c>
      <c r="CP235" s="199" t="str">
        <f>IFERROR(__xludf.DUMMYFUNCTION("""COMPUTED_VALUE"""),"")</f>
        <v/>
      </c>
      <c r="CQ235" s="198" t="str">
        <f>IFERROR(__xludf.DUMMYFUNCTION("""COMPUTED_VALUE"""),"")</f>
        <v/>
      </c>
      <c r="CR235" s="198" t="str">
        <f>IFERROR(__xludf.DUMMYFUNCTION("""COMPUTED_VALUE"""),"")</f>
        <v/>
      </c>
      <c r="CS235" s="199"/>
      <c r="CT235" s="198"/>
      <c r="CU235" s="198"/>
      <c r="CV235" s="199"/>
      <c r="CW235" s="198"/>
      <c r="CX235" s="198"/>
      <c r="CY235" s="199"/>
      <c r="CZ235" s="198"/>
      <c r="DA235" s="198"/>
      <c r="DB235" s="199"/>
      <c r="DC235" s="198"/>
      <c r="DD235" s="198"/>
      <c r="DE235" s="199"/>
      <c r="DF235" s="198"/>
      <c r="DG235" s="198"/>
      <c r="DH235" s="199"/>
      <c r="DI235" s="198"/>
      <c r="DJ235" s="198"/>
      <c r="DK235" s="199"/>
      <c r="DL235" s="198"/>
      <c r="DM235" s="198"/>
      <c r="DN235" s="199"/>
      <c r="DO235" s="198"/>
      <c r="DP235" s="198"/>
      <c r="DQ235" s="199"/>
      <c r="DR235" s="198"/>
      <c r="DS235" s="198"/>
      <c r="DT235" s="199"/>
    </row>
    <row r="236">
      <c r="B236" s="201" t="str">
        <f>IFERROR(__xludf.DUMMYFUNCTION("""COMPUTED_VALUE"""),"ATL8")</f>
        <v>ATL8</v>
      </c>
      <c r="C236" s="68">
        <f>IFERROR(__xludf.DUMMYFUNCTION("""COMPUTED_VALUE"""),235.0)</f>
        <v>235</v>
      </c>
      <c r="D236" s="202" t="str">
        <f>IFERROR(__xludf.DUMMYFUNCTION("""COMPUTED_VALUE"""),"Nemesis Island")</f>
        <v>Nemesis Island</v>
      </c>
      <c r="E236" s="69" t="str">
        <f>IFERROR(__xludf.DUMMYFUNCTION("""COMPUTED_VALUE"""),"ネメシス島")</f>
        <v>ネメシス島</v>
      </c>
      <c r="F236" s="203">
        <f>IFERROR(__xludf.DUMMYFUNCTION("""COMPUTED_VALUE"""),21.0)</f>
        <v>21</v>
      </c>
      <c r="G236" s="69">
        <f>IFERROR(__xludf.DUMMYFUNCTION("""COMPUTED_VALUE"""),93630.0)</f>
        <v>93630</v>
      </c>
      <c r="H236" s="204" t="str">
        <f>IFERROR(__xludf.DUMMYFUNCTION("""COMPUTED_VALUE"""),"")</f>
        <v/>
      </c>
      <c r="I236" s="205" t="str">
        <f>IFERROR(__xludf.DUMMYFUNCTION("""COMPUTED_VALUE"""),"")</f>
        <v/>
      </c>
      <c r="J236" s="206" t="str">
        <f>IFERROR(__xludf.DUMMYFUNCTION("""COMPUTED_VALUE"""),"")</f>
        <v/>
      </c>
      <c r="K236" s="204" t="str">
        <f>IFERROR(__xludf.DUMMYFUNCTION("""COMPUTED_VALUE"""),"")</f>
        <v/>
      </c>
      <c r="L236" s="205" t="str">
        <f>IFERROR(__xludf.DUMMYFUNCTION("""COMPUTED_VALUE"""),"")</f>
        <v/>
      </c>
      <c r="M236" s="206" t="str">
        <f>IFERROR(__xludf.DUMMYFUNCTION("""COMPUTED_VALUE"""),"")</f>
        <v/>
      </c>
      <c r="N236" s="204" t="str">
        <f>IFERROR(__xludf.DUMMYFUNCTION("""COMPUTED_VALUE"""),"")</f>
        <v/>
      </c>
      <c r="O236" s="205" t="str">
        <f>IFERROR(__xludf.DUMMYFUNCTION("""COMPUTED_VALUE"""),"")</f>
        <v/>
      </c>
      <c r="P236" s="206" t="str">
        <f>IFERROR(__xludf.DUMMYFUNCTION("""COMPUTED_VALUE"""),"")</f>
        <v/>
      </c>
      <c r="Q236" s="204" t="str">
        <f>IFERROR(__xludf.DUMMYFUNCTION("""COMPUTED_VALUE"""),"")</f>
        <v/>
      </c>
      <c r="R236" s="205" t="str">
        <f>IFERROR(__xludf.DUMMYFUNCTION("""COMPUTED_VALUE"""),"")</f>
        <v/>
      </c>
      <c r="S236" s="206" t="str">
        <f>IFERROR(__xludf.DUMMYFUNCTION("""COMPUTED_VALUE"""),"")</f>
        <v/>
      </c>
      <c r="T236" s="204" t="str">
        <f>IFERROR(__xludf.DUMMYFUNCTION("""COMPUTED_VALUE"""),"")</f>
        <v/>
      </c>
      <c r="U236" s="205" t="str">
        <f>IFERROR(__xludf.DUMMYFUNCTION("""COMPUTED_VALUE"""),"")</f>
        <v/>
      </c>
      <c r="V236" s="206" t="str">
        <f>IFERROR(__xludf.DUMMYFUNCTION("""COMPUTED_VALUE"""),"")</f>
        <v/>
      </c>
      <c r="W236" s="204">
        <f>IFERROR(__xludf.DUMMYFUNCTION("""COMPUTED_VALUE"""),174.3)</f>
        <v>174.3</v>
      </c>
      <c r="X236" s="205" t="str">
        <f>IFERROR(__xludf.DUMMYFUNCTION("""COMPUTED_VALUE"""),"")</f>
        <v/>
      </c>
      <c r="Y236" s="206" t="str">
        <f>IFERROR(__xludf.DUMMYFUNCTION("""COMPUTED_VALUE"""),"")</f>
        <v/>
      </c>
      <c r="Z236" s="204" t="str">
        <f>IFERROR(__xludf.DUMMYFUNCTION("""COMPUTED_VALUE"""),"")</f>
        <v/>
      </c>
      <c r="AA236" s="205" t="str">
        <f>IFERROR(__xludf.DUMMYFUNCTION("""COMPUTED_VALUE"""),"")</f>
        <v/>
      </c>
      <c r="AB236" s="206" t="str">
        <f>IFERROR(__xludf.DUMMYFUNCTION("""COMPUTED_VALUE"""),"")</f>
        <v/>
      </c>
      <c r="AC236" s="204" t="str">
        <f>IFERROR(__xludf.DUMMYFUNCTION("""COMPUTED_VALUE"""),"")</f>
        <v/>
      </c>
      <c r="AD236" s="205" t="str">
        <f>IFERROR(__xludf.DUMMYFUNCTION("""COMPUTED_VALUE"""),"")</f>
        <v/>
      </c>
      <c r="AE236" s="206" t="str">
        <f>IFERROR(__xludf.DUMMYFUNCTION("""COMPUTED_VALUE"""),"")</f>
        <v/>
      </c>
      <c r="AF236" s="204" t="str">
        <f>IFERROR(__xludf.DUMMYFUNCTION("""COMPUTED_VALUE"""),"")</f>
        <v/>
      </c>
      <c r="AG236" s="205" t="str">
        <f>IFERROR(__xludf.DUMMYFUNCTION("""COMPUTED_VALUE"""),"")</f>
        <v/>
      </c>
      <c r="AH236" s="206" t="str">
        <f>IFERROR(__xludf.DUMMYFUNCTION("""COMPUTED_VALUE"""),"")</f>
        <v/>
      </c>
      <c r="AI236" s="207" t="str">
        <f>IFERROR(__xludf.DUMMYFUNCTION("""COMPUTED_VALUE"""),"")</f>
        <v/>
      </c>
      <c r="AJ236" s="208" t="str">
        <f>IFERROR(__xludf.DUMMYFUNCTION("""COMPUTED_VALUE"""),"")</f>
        <v/>
      </c>
      <c r="AK236" s="209" t="str">
        <f>IFERROR(__xludf.DUMMYFUNCTION("""COMPUTED_VALUE"""),"")</f>
        <v/>
      </c>
      <c r="AL236" s="208" t="str">
        <f>IFERROR(__xludf.DUMMYFUNCTION("""COMPUTED_VALUE"""),"")</f>
        <v/>
      </c>
      <c r="AM236" s="208" t="str">
        <f>IFERROR(__xludf.DUMMYFUNCTION("""COMPUTED_VALUE"""),"")</f>
        <v/>
      </c>
      <c r="AN236" s="209" t="str">
        <f>IFERROR(__xludf.DUMMYFUNCTION("""COMPUTED_VALUE"""),"")</f>
        <v/>
      </c>
      <c r="AO236" s="208" t="str">
        <f>IFERROR(__xludf.DUMMYFUNCTION("""COMPUTED_VALUE"""),"")</f>
        <v/>
      </c>
      <c r="AP236" s="208" t="str">
        <f>IFERROR(__xludf.DUMMYFUNCTION("""COMPUTED_VALUE"""),"")</f>
        <v/>
      </c>
      <c r="AQ236" s="209">
        <f>IFERROR(__xludf.DUMMYFUNCTION("""COMPUTED_VALUE"""),82.5)</f>
        <v>82.5</v>
      </c>
      <c r="AR236" s="208" t="str">
        <f>IFERROR(__xludf.DUMMYFUNCTION("""COMPUTED_VALUE"""),"")</f>
        <v/>
      </c>
      <c r="AS236" s="208" t="str">
        <f>IFERROR(__xludf.DUMMYFUNCTION("""COMPUTED_VALUE"""),"")</f>
        <v/>
      </c>
      <c r="AT236" s="209" t="str">
        <f>IFERROR(__xludf.DUMMYFUNCTION("""COMPUTED_VALUE"""),"")</f>
        <v/>
      </c>
      <c r="AU236" s="208" t="str">
        <f>IFERROR(__xludf.DUMMYFUNCTION("""COMPUTED_VALUE"""),"")</f>
        <v/>
      </c>
      <c r="AV236" s="208" t="str">
        <f>IFERROR(__xludf.DUMMYFUNCTION("""COMPUTED_VALUE"""),"")</f>
        <v/>
      </c>
      <c r="AW236" s="209" t="str">
        <f>IFERROR(__xludf.DUMMYFUNCTION("""COMPUTED_VALUE"""),"")</f>
        <v/>
      </c>
      <c r="AX236" s="212" t="str">
        <f>IFERROR(__xludf.DUMMYFUNCTION("""COMPUTED_VALUE"""),"")</f>
        <v/>
      </c>
      <c r="AY236" s="208" t="str">
        <f>IFERROR(__xludf.DUMMYFUNCTION("""COMPUTED_VALUE"""),"")</f>
        <v/>
      </c>
      <c r="AZ236" s="209" t="str">
        <f>IFERROR(__xludf.DUMMYFUNCTION("""COMPUTED_VALUE"""),"")</f>
        <v/>
      </c>
      <c r="BA236" s="208" t="str">
        <f>IFERROR(__xludf.DUMMYFUNCTION("""COMPUTED_VALUE"""),"")</f>
        <v/>
      </c>
      <c r="BB236" s="208" t="str">
        <f>IFERROR(__xludf.DUMMYFUNCTION("""COMPUTED_VALUE"""),"")</f>
        <v/>
      </c>
      <c r="BC236" s="209" t="str">
        <f>IFERROR(__xludf.DUMMYFUNCTION("""COMPUTED_VALUE"""),"")</f>
        <v/>
      </c>
      <c r="BD236" s="208" t="str">
        <f>IFERROR(__xludf.DUMMYFUNCTION("""COMPUTED_VALUE"""),"")</f>
        <v/>
      </c>
      <c r="BE236" s="208" t="str">
        <f>IFERROR(__xludf.DUMMYFUNCTION("""COMPUTED_VALUE"""),"")</f>
        <v/>
      </c>
      <c r="BF236" s="209">
        <f>IFERROR(__xludf.DUMMYFUNCTION("""COMPUTED_VALUE"""),527.0)</f>
        <v>527</v>
      </c>
      <c r="BG236" s="207" t="str">
        <f>IFERROR(__xludf.DUMMYFUNCTION("""COMPUTED_VALUE"""),"")</f>
        <v/>
      </c>
      <c r="BH236" s="208" t="str">
        <f>IFERROR(__xludf.DUMMYFUNCTION("""COMPUTED_VALUE"""),"")</f>
        <v/>
      </c>
      <c r="BI236" s="209" t="str">
        <f>IFERROR(__xludf.DUMMYFUNCTION("""COMPUTED_VALUE"""),"")</f>
        <v/>
      </c>
      <c r="BJ236" s="208" t="str">
        <f>IFERROR(__xludf.DUMMYFUNCTION("""COMPUTED_VALUE"""),"")</f>
        <v/>
      </c>
      <c r="BK236" s="208" t="str">
        <f>IFERROR(__xludf.DUMMYFUNCTION("""COMPUTED_VALUE"""),"")</f>
        <v/>
      </c>
      <c r="BL236" s="209" t="str">
        <f>IFERROR(__xludf.DUMMYFUNCTION("""COMPUTED_VALUE"""),"")</f>
        <v/>
      </c>
      <c r="BM236" s="208" t="str">
        <f>IFERROR(__xludf.DUMMYFUNCTION("""COMPUTED_VALUE"""),"")</f>
        <v/>
      </c>
      <c r="BN236" s="211" t="str">
        <f>IFERROR(__xludf.DUMMYFUNCTION("""COMPUTED_VALUE"""),"")</f>
        <v/>
      </c>
      <c r="BO236" s="209" t="str">
        <f>IFERROR(__xludf.DUMMYFUNCTION("""COMPUTED_VALUE"""),"")</f>
        <v/>
      </c>
      <c r="BP236" s="208">
        <f>IFERROR(__xludf.DUMMYFUNCTION("""COMPUTED_VALUE"""),60.1)</f>
        <v>60.1</v>
      </c>
      <c r="BQ236" s="208" t="str">
        <f>IFERROR(__xludf.DUMMYFUNCTION("""COMPUTED_VALUE"""),"")</f>
        <v/>
      </c>
      <c r="BR236" s="209" t="str">
        <f>IFERROR(__xludf.DUMMYFUNCTION("""COMPUTED_VALUE"""),"")</f>
        <v/>
      </c>
      <c r="BS236" s="208" t="str">
        <f>IFERROR(__xludf.DUMMYFUNCTION("""COMPUTED_VALUE"""),"")</f>
        <v/>
      </c>
      <c r="BT236" s="208" t="str">
        <f>IFERROR(__xludf.DUMMYFUNCTION("""COMPUTED_VALUE"""),"")</f>
        <v/>
      </c>
      <c r="BU236" s="209" t="str">
        <f>IFERROR(__xludf.DUMMYFUNCTION("""COMPUTED_VALUE"""),"")</f>
        <v/>
      </c>
      <c r="BV236" s="208" t="str">
        <f>IFERROR(__xludf.DUMMYFUNCTION("""COMPUTED_VALUE"""),"")</f>
        <v/>
      </c>
      <c r="BW236" s="208" t="str">
        <f>IFERROR(__xludf.DUMMYFUNCTION("""COMPUTED_VALUE"""),"")</f>
        <v/>
      </c>
      <c r="BX236" s="209" t="str">
        <f>IFERROR(__xludf.DUMMYFUNCTION("""COMPUTED_VALUE"""),"")</f>
        <v/>
      </c>
      <c r="BY236" s="208" t="str">
        <f>IFERROR(__xludf.DUMMYFUNCTION("""COMPUTED_VALUE"""),"")</f>
        <v/>
      </c>
      <c r="BZ236" s="208" t="str">
        <f>IFERROR(__xludf.DUMMYFUNCTION("""COMPUTED_VALUE"""),"")</f>
        <v/>
      </c>
      <c r="CA236" s="209" t="str">
        <f>IFERROR(__xludf.DUMMYFUNCTION("""COMPUTED_VALUE"""),"")</f>
        <v/>
      </c>
      <c r="CB236" s="207" t="str">
        <f>IFERROR(__xludf.DUMMYFUNCTION("""COMPUTED_VALUE"""),"")</f>
        <v/>
      </c>
      <c r="CC236" s="208" t="str">
        <f>IFERROR(__xludf.DUMMYFUNCTION("""COMPUTED_VALUE"""),"")</f>
        <v/>
      </c>
      <c r="CD236" s="209" t="str">
        <f>IFERROR(__xludf.DUMMYFUNCTION("""COMPUTED_VALUE"""),"")</f>
        <v/>
      </c>
      <c r="CE236" s="208" t="str">
        <f>IFERROR(__xludf.DUMMYFUNCTION("""COMPUTED_VALUE"""),"")</f>
        <v/>
      </c>
      <c r="CF236" s="208" t="str">
        <f>IFERROR(__xludf.DUMMYFUNCTION("""COMPUTED_VALUE"""),"")</f>
        <v/>
      </c>
      <c r="CG236" s="209" t="str">
        <f>IFERROR(__xludf.DUMMYFUNCTION("""COMPUTED_VALUE"""),"")</f>
        <v/>
      </c>
      <c r="CH236" s="208" t="str">
        <f>IFERROR(__xludf.DUMMYFUNCTION("""COMPUTED_VALUE"""),"")</f>
        <v/>
      </c>
      <c r="CI236" s="211" t="str">
        <f>IFERROR(__xludf.DUMMYFUNCTION("""COMPUTED_VALUE"""),"")</f>
        <v/>
      </c>
      <c r="CJ236" s="209" t="str">
        <f>IFERROR(__xludf.DUMMYFUNCTION("""COMPUTED_VALUE"""),"")</f>
        <v/>
      </c>
      <c r="CK236" s="208" t="str">
        <f>IFERROR(__xludf.DUMMYFUNCTION("""COMPUTED_VALUE"""),"")</f>
        <v/>
      </c>
      <c r="CL236" s="208" t="str">
        <f>IFERROR(__xludf.DUMMYFUNCTION("""COMPUTED_VALUE"""),"")</f>
        <v/>
      </c>
      <c r="CM236" s="209" t="str">
        <f>IFERROR(__xludf.DUMMYFUNCTION("""COMPUTED_VALUE"""),"")</f>
        <v/>
      </c>
      <c r="CN236" s="208" t="str">
        <f>IFERROR(__xludf.DUMMYFUNCTION("""COMPUTED_VALUE"""),"")</f>
        <v/>
      </c>
      <c r="CO236" s="208">
        <f>IFERROR(__xludf.DUMMYFUNCTION("""COMPUTED_VALUE"""),481.7)</f>
        <v>481.7</v>
      </c>
      <c r="CP236" s="209" t="str">
        <f>IFERROR(__xludf.DUMMYFUNCTION("""COMPUTED_VALUE"""),"")</f>
        <v/>
      </c>
      <c r="CQ236" s="208" t="str">
        <f>IFERROR(__xludf.DUMMYFUNCTION("""COMPUTED_VALUE"""),"")</f>
        <v/>
      </c>
      <c r="CR236" s="208" t="str">
        <f>IFERROR(__xludf.DUMMYFUNCTION("""COMPUTED_VALUE"""),"")</f>
        <v/>
      </c>
      <c r="CS236" s="209"/>
      <c r="CT236" s="208"/>
      <c r="CU236" s="208"/>
      <c r="CV236" s="209"/>
      <c r="CW236" s="208"/>
      <c r="CX236" s="208"/>
      <c r="CY236" s="209"/>
      <c r="CZ236" s="208"/>
      <c r="DA236" s="208"/>
      <c r="DB236" s="209"/>
      <c r="DC236" s="208"/>
      <c r="DD236" s="208"/>
      <c r="DE236" s="209"/>
      <c r="DF236" s="208"/>
      <c r="DG236" s="208"/>
      <c r="DH236" s="209"/>
      <c r="DI236" s="208"/>
      <c r="DJ236" s="208"/>
      <c r="DK236" s="209"/>
      <c r="DL236" s="208"/>
      <c r="DM236" s="208"/>
      <c r="DN236" s="209"/>
      <c r="DO236" s="208"/>
      <c r="DP236" s="208"/>
      <c r="DQ236" s="209"/>
      <c r="DR236" s="208"/>
      <c r="DS236" s="208"/>
      <c r="DT236" s="209"/>
    </row>
    <row r="237">
      <c r="B237" s="189" t="str">
        <f>IFERROR(__xludf.DUMMYFUNCTION("""COMPUTED_VALUE"""),"ATL9")</f>
        <v>ATL9</v>
      </c>
      <c r="C237" s="190">
        <f>IFERROR(__xludf.DUMMYFUNCTION("""COMPUTED_VALUE"""),236.0)</f>
        <v>236</v>
      </c>
      <c r="D237" s="191" t="str">
        <f>IFERROR(__xludf.DUMMYFUNCTION("""COMPUTED_VALUE"""),"Thanatos Island")</f>
        <v>Thanatos Island</v>
      </c>
      <c r="E237" s="192" t="str">
        <f>IFERROR(__xludf.DUMMYFUNCTION("""COMPUTED_VALUE"""),"タナトス島")</f>
        <v>タナトス島</v>
      </c>
      <c r="F237" s="193">
        <f>IFERROR(__xludf.DUMMYFUNCTION("""COMPUTED_VALUE"""),21.0)</f>
        <v>21</v>
      </c>
      <c r="G237" s="192">
        <f>IFERROR(__xludf.DUMMYFUNCTION("""COMPUTED_VALUE"""),3912.0)</f>
        <v>3912</v>
      </c>
      <c r="H237" s="194" t="str">
        <f>IFERROR(__xludf.DUMMYFUNCTION("""COMPUTED_VALUE"""),"")</f>
        <v/>
      </c>
      <c r="I237" s="195" t="str">
        <f>IFERROR(__xludf.DUMMYFUNCTION("""COMPUTED_VALUE"""),"")</f>
        <v/>
      </c>
      <c r="J237" s="196" t="str">
        <f>IFERROR(__xludf.DUMMYFUNCTION("""COMPUTED_VALUE"""),"")</f>
        <v/>
      </c>
      <c r="K237" s="194" t="str">
        <f>IFERROR(__xludf.DUMMYFUNCTION("""COMPUTED_VALUE"""),"")</f>
        <v/>
      </c>
      <c r="L237" s="195" t="str">
        <f>IFERROR(__xludf.DUMMYFUNCTION("""COMPUTED_VALUE"""),"")</f>
        <v/>
      </c>
      <c r="M237" s="196" t="str">
        <f>IFERROR(__xludf.DUMMYFUNCTION("""COMPUTED_VALUE"""),"")</f>
        <v/>
      </c>
      <c r="N237" s="194" t="str">
        <f>IFERROR(__xludf.DUMMYFUNCTION("""COMPUTED_VALUE"""),"")</f>
        <v/>
      </c>
      <c r="O237" s="195" t="str">
        <f>IFERROR(__xludf.DUMMYFUNCTION("""COMPUTED_VALUE"""),"")</f>
        <v/>
      </c>
      <c r="P237" s="196" t="str">
        <f>IFERROR(__xludf.DUMMYFUNCTION("""COMPUTED_VALUE"""),"")</f>
        <v/>
      </c>
      <c r="Q237" s="194" t="str">
        <f>IFERROR(__xludf.DUMMYFUNCTION("""COMPUTED_VALUE"""),"")</f>
        <v/>
      </c>
      <c r="R237" s="195" t="str">
        <f>IFERROR(__xludf.DUMMYFUNCTION("""COMPUTED_VALUE"""),"")</f>
        <v/>
      </c>
      <c r="S237" s="196" t="str">
        <f>IFERROR(__xludf.DUMMYFUNCTION("""COMPUTED_VALUE"""),"")</f>
        <v/>
      </c>
      <c r="T237" s="194" t="str">
        <f>IFERROR(__xludf.DUMMYFUNCTION("""COMPUTED_VALUE"""),"")</f>
        <v/>
      </c>
      <c r="U237" s="195" t="str">
        <f>IFERROR(__xludf.DUMMYFUNCTION("""COMPUTED_VALUE"""),"")</f>
        <v/>
      </c>
      <c r="V237" s="196" t="str">
        <f>IFERROR(__xludf.DUMMYFUNCTION("""COMPUTED_VALUE"""),"")</f>
        <v/>
      </c>
      <c r="W237" s="194" t="str">
        <f>IFERROR(__xludf.DUMMYFUNCTION("""COMPUTED_VALUE"""),"")</f>
        <v/>
      </c>
      <c r="X237" s="195" t="str">
        <f>IFERROR(__xludf.DUMMYFUNCTION("""COMPUTED_VALUE"""),"")</f>
        <v/>
      </c>
      <c r="Y237" s="196" t="str">
        <f>IFERROR(__xludf.DUMMYFUNCTION("""COMPUTED_VALUE"""),"")</f>
        <v/>
      </c>
      <c r="Z237" s="194" t="str">
        <f>IFERROR(__xludf.DUMMYFUNCTION("""COMPUTED_VALUE"""),"")</f>
        <v/>
      </c>
      <c r="AA237" s="195" t="str">
        <f>IFERROR(__xludf.DUMMYFUNCTION("""COMPUTED_VALUE"""),"")</f>
        <v/>
      </c>
      <c r="AB237" s="196" t="str">
        <f>IFERROR(__xludf.DUMMYFUNCTION("""COMPUTED_VALUE"""),"")</f>
        <v/>
      </c>
      <c r="AC237" s="194" t="str">
        <f>IFERROR(__xludf.DUMMYFUNCTION("""COMPUTED_VALUE"""),"")</f>
        <v/>
      </c>
      <c r="AD237" s="195" t="str">
        <f>IFERROR(__xludf.DUMMYFUNCTION("""COMPUTED_VALUE"""),"")</f>
        <v/>
      </c>
      <c r="AE237" s="196" t="str">
        <f>IFERROR(__xludf.DUMMYFUNCTION("""COMPUTED_VALUE"""),"")</f>
        <v/>
      </c>
      <c r="AF237" s="194" t="str">
        <f>IFERROR(__xludf.DUMMYFUNCTION("""COMPUTED_VALUE"""),"")</f>
        <v/>
      </c>
      <c r="AG237" s="195" t="str">
        <f>IFERROR(__xludf.DUMMYFUNCTION("""COMPUTED_VALUE"""),"")</f>
        <v/>
      </c>
      <c r="AH237" s="196" t="str">
        <f>IFERROR(__xludf.DUMMYFUNCTION("""COMPUTED_VALUE"""),"")</f>
        <v/>
      </c>
      <c r="AI237" s="197" t="str">
        <f>IFERROR(__xludf.DUMMYFUNCTION("""COMPUTED_VALUE"""),"")</f>
        <v/>
      </c>
      <c r="AJ237" s="198" t="str">
        <f>IFERROR(__xludf.DUMMYFUNCTION("""COMPUTED_VALUE"""),"")</f>
        <v/>
      </c>
      <c r="AK237" s="199" t="str">
        <f>IFERROR(__xludf.DUMMYFUNCTION("""COMPUTED_VALUE"""),"")</f>
        <v/>
      </c>
      <c r="AL237" s="198" t="str">
        <f>IFERROR(__xludf.DUMMYFUNCTION("""COMPUTED_VALUE"""),"")</f>
        <v/>
      </c>
      <c r="AM237" s="198" t="str">
        <f>IFERROR(__xludf.DUMMYFUNCTION("""COMPUTED_VALUE"""),"")</f>
        <v/>
      </c>
      <c r="AN237" s="199" t="str">
        <f>IFERROR(__xludf.DUMMYFUNCTION("""COMPUTED_VALUE"""),"")</f>
        <v/>
      </c>
      <c r="AO237" s="198" t="str">
        <f>IFERROR(__xludf.DUMMYFUNCTION("""COMPUTED_VALUE"""),"")</f>
        <v/>
      </c>
      <c r="AP237" s="198" t="str">
        <f>IFERROR(__xludf.DUMMYFUNCTION("""COMPUTED_VALUE"""),"")</f>
        <v/>
      </c>
      <c r="AQ237" s="199">
        <f>IFERROR(__xludf.DUMMYFUNCTION("""COMPUTED_VALUE"""),53.9)</f>
        <v>53.9</v>
      </c>
      <c r="AR237" s="198" t="str">
        <f>IFERROR(__xludf.DUMMYFUNCTION("""COMPUTED_VALUE"""),"")</f>
        <v/>
      </c>
      <c r="AS237" s="198" t="str">
        <f>IFERROR(__xludf.DUMMYFUNCTION("""COMPUTED_VALUE"""),"")</f>
        <v/>
      </c>
      <c r="AT237" s="199" t="str">
        <f>IFERROR(__xludf.DUMMYFUNCTION("""COMPUTED_VALUE"""),"")</f>
        <v/>
      </c>
      <c r="AU237" s="198" t="str">
        <f>IFERROR(__xludf.DUMMYFUNCTION("""COMPUTED_VALUE"""),"")</f>
        <v/>
      </c>
      <c r="AV237" s="198" t="str">
        <f>IFERROR(__xludf.DUMMYFUNCTION("""COMPUTED_VALUE"""),"")</f>
        <v/>
      </c>
      <c r="AW237" s="199" t="str">
        <f>IFERROR(__xludf.DUMMYFUNCTION("""COMPUTED_VALUE"""),"")</f>
        <v/>
      </c>
      <c r="AX237" s="198" t="str">
        <f>IFERROR(__xludf.DUMMYFUNCTION("""COMPUTED_VALUE"""),"")</f>
        <v/>
      </c>
      <c r="AY237" s="198" t="str">
        <f>IFERROR(__xludf.DUMMYFUNCTION("""COMPUTED_VALUE"""),"")</f>
        <v/>
      </c>
      <c r="AZ237" s="199" t="str">
        <f>IFERROR(__xludf.DUMMYFUNCTION("""COMPUTED_VALUE"""),"")</f>
        <v/>
      </c>
      <c r="BA237" s="198" t="str">
        <f>IFERROR(__xludf.DUMMYFUNCTION("""COMPUTED_VALUE"""),"")</f>
        <v/>
      </c>
      <c r="BB237" s="198" t="str">
        <f>IFERROR(__xludf.DUMMYFUNCTION("""COMPUTED_VALUE"""),"")</f>
        <v/>
      </c>
      <c r="BC237" s="199" t="str">
        <f>IFERROR(__xludf.DUMMYFUNCTION("""COMPUTED_VALUE"""),"")</f>
        <v/>
      </c>
      <c r="BD237" s="198" t="str">
        <f>IFERROR(__xludf.DUMMYFUNCTION("""COMPUTED_VALUE"""),"")</f>
        <v/>
      </c>
      <c r="BE237" s="198" t="str">
        <f>IFERROR(__xludf.DUMMYFUNCTION("""COMPUTED_VALUE"""),"")</f>
        <v/>
      </c>
      <c r="BF237" s="199" t="str">
        <f>IFERROR(__xludf.DUMMYFUNCTION("""COMPUTED_VALUE"""),"")</f>
        <v/>
      </c>
      <c r="BG237" s="197" t="str">
        <f>IFERROR(__xludf.DUMMYFUNCTION("""COMPUTED_VALUE"""),"")</f>
        <v/>
      </c>
      <c r="BH237" s="198" t="str">
        <f>IFERROR(__xludf.DUMMYFUNCTION("""COMPUTED_VALUE"""),"")</f>
        <v/>
      </c>
      <c r="BI237" s="199" t="str">
        <f>IFERROR(__xludf.DUMMYFUNCTION("""COMPUTED_VALUE"""),"")</f>
        <v/>
      </c>
      <c r="BJ237" s="198">
        <f>IFERROR(__xludf.DUMMYFUNCTION("""COMPUTED_VALUE"""),153.2)</f>
        <v>153.2</v>
      </c>
      <c r="BK237" s="198" t="str">
        <f>IFERROR(__xludf.DUMMYFUNCTION("""COMPUTED_VALUE"""),"")</f>
        <v/>
      </c>
      <c r="BL237" s="199" t="str">
        <f>IFERROR(__xludf.DUMMYFUNCTION("""COMPUTED_VALUE"""),"")</f>
        <v/>
      </c>
      <c r="BM237" s="198" t="str">
        <f>IFERROR(__xludf.DUMMYFUNCTION("""COMPUTED_VALUE"""),"")</f>
        <v/>
      </c>
      <c r="BN237" s="213" t="str">
        <f>IFERROR(__xludf.DUMMYFUNCTION("""COMPUTED_VALUE"""),"")</f>
        <v/>
      </c>
      <c r="BO237" s="199">
        <f>IFERROR(__xludf.DUMMYFUNCTION("""COMPUTED_VALUE"""),149.9)</f>
        <v>149.9</v>
      </c>
      <c r="BP237" s="198">
        <f>IFERROR(__xludf.DUMMYFUNCTION("""COMPUTED_VALUE"""),139.9)</f>
        <v>139.9</v>
      </c>
      <c r="BQ237" s="198" t="str">
        <f>IFERROR(__xludf.DUMMYFUNCTION("""COMPUTED_VALUE"""),"")</f>
        <v/>
      </c>
      <c r="BR237" s="199" t="str">
        <f>IFERROR(__xludf.DUMMYFUNCTION("""COMPUTED_VALUE"""),"")</f>
        <v/>
      </c>
      <c r="BS237" s="198" t="str">
        <f>IFERROR(__xludf.DUMMYFUNCTION("""COMPUTED_VALUE"""),"")</f>
        <v/>
      </c>
      <c r="BT237" s="198" t="str">
        <f>IFERROR(__xludf.DUMMYFUNCTION("""COMPUTED_VALUE"""),"")</f>
        <v/>
      </c>
      <c r="BU237" s="199" t="str">
        <f>IFERROR(__xludf.DUMMYFUNCTION("""COMPUTED_VALUE"""),"")</f>
        <v/>
      </c>
      <c r="BV237" s="198" t="str">
        <f>IFERROR(__xludf.DUMMYFUNCTION("""COMPUTED_VALUE"""),"")</f>
        <v/>
      </c>
      <c r="BW237" s="198" t="str">
        <f>IFERROR(__xludf.DUMMYFUNCTION("""COMPUTED_VALUE"""),"")</f>
        <v/>
      </c>
      <c r="BX237" s="199" t="str">
        <f>IFERROR(__xludf.DUMMYFUNCTION("""COMPUTED_VALUE"""),"")</f>
        <v/>
      </c>
      <c r="BY237" s="198" t="str">
        <f>IFERROR(__xludf.DUMMYFUNCTION("""COMPUTED_VALUE"""),"")</f>
        <v/>
      </c>
      <c r="BZ237" s="198" t="str">
        <f>IFERROR(__xludf.DUMMYFUNCTION("""COMPUTED_VALUE"""),"")</f>
        <v/>
      </c>
      <c r="CA237" s="199" t="str">
        <f>IFERROR(__xludf.DUMMYFUNCTION("""COMPUTED_VALUE"""),"")</f>
        <v/>
      </c>
      <c r="CB237" s="197" t="str">
        <f>IFERROR(__xludf.DUMMYFUNCTION("""COMPUTED_VALUE"""),"")</f>
        <v/>
      </c>
      <c r="CC237" s="198" t="str">
        <f>IFERROR(__xludf.DUMMYFUNCTION("""COMPUTED_VALUE"""),"")</f>
        <v/>
      </c>
      <c r="CD237" s="199" t="str">
        <f>IFERROR(__xludf.DUMMYFUNCTION("""COMPUTED_VALUE"""),"")</f>
        <v/>
      </c>
      <c r="CE237" s="198" t="str">
        <f>IFERROR(__xludf.DUMMYFUNCTION("""COMPUTED_VALUE"""),"")</f>
        <v/>
      </c>
      <c r="CF237" s="198" t="str">
        <f>IFERROR(__xludf.DUMMYFUNCTION("""COMPUTED_VALUE"""),"")</f>
        <v/>
      </c>
      <c r="CG237" s="199" t="str">
        <f>IFERROR(__xludf.DUMMYFUNCTION("""COMPUTED_VALUE"""),"")</f>
        <v/>
      </c>
      <c r="CH237" s="198" t="str">
        <f>IFERROR(__xludf.DUMMYFUNCTION("""COMPUTED_VALUE"""),"")</f>
        <v/>
      </c>
      <c r="CI237" s="213" t="str">
        <f>IFERROR(__xludf.DUMMYFUNCTION("""COMPUTED_VALUE"""),"")</f>
        <v/>
      </c>
      <c r="CJ237" s="199" t="str">
        <f>IFERROR(__xludf.DUMMYFUNCTION("""COMPUTED_VALUE"""),"")</f>
        <v/>
      </c>
      <c r="CK237" s="198" t="str">
        <f>IFERROR(__xludf.DUMMYFUNCTION("""COMPUTED_VALUE"""),"")</f>
        <v/>
      </c>
      <c r="CL237" s="198" t="str">
        <f>IFERROR(__xludf.DUMMYFUNCTION("""COMPUTED_VALUE"""),"")</f>
        <v/>
      </c>
      <c r="CM237" s="199" t="str">
        <f>IFERROR(__xludf.DUMMYFUNCTION("""COMPUTED_VALUE"""),"")</f>
        <v/>
      </c>
      <c r="CN237" s="198" t="str">
        <f>IFERROR(__xludf.DUMMYFUNCTION("""COMPUTED_VALUE"""),"")</f>
        <v/>
      </c>
      <c r="CO237" s="198" t="str">
        <f>IFERROR(__xludf.DUMMYFUNCTION("""COMPUTED_VALUE"""),"")</f>
        <v/>
      </c>
      <c r="CP237" s="199" t="str">
        <f>IFERROR(__xludf.DUMMYFUNCTION("""COMPUTED_VALUE"""),"")</f>
        <v/>
      </c>
      <c r="CQ237" s="198" t="str">
        <f>IFERROR(__xludf.DUMMYFUNCTION("""COMPUTED_VALUE"""),"")</f>
        <v/>
      </c>
      <c r="CR237" s="198" t="str">
        <f>IFERROR(__xludf.DUMMYFUNCTION("""COMPUTED_VALUE"""),"")</f>
        <v/>
      </c>
      <c r="CS237" s="199"/>
      <c r="CT237" s="198"/>
      <c r="CU237" s="198"/>
      <c r="CV237" s="199"/>
      <c r="CW237" s="198"/>
      <c r="CX237" s="198"/>
      <c r="CY237" s="199"/>
      <c r="CZ237" s="198"/>
      <c r="DA237" s="198"/>
      <c r="DB237" s="199"/>
      <c r="DC237" s="198"/>
      <c r="DD237" s="198"/>
      <c r="DE237" s="199"/>
      <c r="DF237" s="198"/>
      <c r="DG237" s="198"/>
      <c r="DH237" s="199"/>
      <c r="DI237" s="198"/>
      <c r="DJ237" s="198"/>
      <c r="DK237" s="199"/>
      <c r="DL237" s="198"/>
      <c r="DM237" s="198"/>
      <c r="DN237" s="199"/>
      <c r="DO237" s="198"/>
      <c r="DP237" s="198"/>
      <c r="DQ237" s="199"/>
      <c r="DR237" s="198"/>
      <c r="DS237" s="198"/>
      <c r="DT237" s="199"/>
    </row>
    <row r="238">
      <c r="A238" s="214" t="str">
        <f>IFERROR(__xludf.DUMMYFUNCTION("""COMPUTED_VALUE"""),"Olympus")</f>
        <v>Olympus</v>
      </c>
      <c r="B238" s="180" t="str">
        <f>IFERROR(__xludf.DUMMYFUNCTION("""COMPUTED_VALUE"""),"OLP1")</f>
        <v>OLP1</v>
      </c>
      <c r="C238">
        <f>IFERROR(__xludf.DUMMYFUNCTION("""COMPUTED_VALUE"""),237.0)</f>
        <v>237</v>
      </c>
      <c r="D238" s="178" t="str">
        <f>IFERROR(__xludf.DUMMYFUNCTION("""COMPUTED_VALUE"""),"Gliding Point")</f>
        <v>Gliding Point</v>
      </c>
      <c r="E238" s="215" t="str">
        <f>IFERROR(__xludf.DUMMYFUNCTION("""COMPUTED_VALUE"""),"グライディングポイント")</f>
        <v>グライディングポイント</v>
      </c>
      <c r="F238" s="179">
        <f>IFERROR(__xludf.DUMMYFUNCTION("""COMPUTED_VALUE"""),21.0)</f>
        <v>21</v>
      </c>
      <c r="G238" s="83">
        <f>IFERROR(__xludf.DUMMYFUNCTION("""COMPUTED_VALUE"""),8211.0)</f>
        <v>8211</v>
      </c>
      <c r="H238" s="95">
        <f>IFERROR(__xludf.DUMMYFUNCTION("""COMPUTED_VALUE"""),102.3)</f>
        <v>102.3</v>
      </c>
      <c r="I238" s="96" t="str">
        <f>IFERROR(__xludf.DUMMYFUNCTION("""COMPUTED_VALUE"""),"")</f>
        <v/>
      </c>
      <c r="J238" s="97" t="str">
        <f>IFERROR(__xludf.DUMMYFUNCTION("""COMPUTED_VALUE"""),"")</f>
        <v/>
      </c>
      <c r="K238" s="95" t="str">
        <f>IFERROR(__xludf.DUMMYFUNCTION("""COMPUTED_VALUE"""),"")</f>
        <v/>
      </c>
      <c r="L238" s="96" t="str">
        <f>IFERROR(__xludf.DUMMYFUNCTION("""COMPUTED_VALUE"""),"")</f>
        <v/>
      </c>
      <c r="M238" s="97" t="str">
        <f>IFERROR(__xludf.DUMMYFUNCTION("""COMPUTED_VALUE"""),"")</f>
        <v/>
      </c>
      <c r="N238" s="95" t="str">
        <f>IFERROR(__xludf.DUMMYFUNCTION("""COMPUTED_VALUE"""),"")</f>
        <v/>
      </c>
      <c r="O238" s="96" t="str">
        <f>IFERROR(__xludf.DUMMYFUNCTION("""COMPUTED_VALUE"""),"")</f>
        <v/>
      </c>
      <c r="P238" s="97" t="str">
        <f>IFERROR(__xludf.DUMMYFUNCTION("""COMPUTED_VALUE"""),"")</f>
        <v/>
      </c>
      <c r="Q238" s="95" t="str">
        <f>IFERROR(__xludf.DUMMYFUNCTION("""COMPUTED_VALUE"""),"")</f>
        <v/>
      </c>
      <c r="R238" s="96" t="str">
        <f>IFERROR(__xludf.DUMMYFUNCTION("""COMPUTED_VALUE"""),"")</f>
        <v/>
      </c>
      <c r="S238" s="97" t="str">
        <f>IFERROR(__xludf.DUMMYFUNCTION("""COMPUTED_VALUE"""),"")</f>
        <v/>
      </c>
      <c r="T238" s="95" t="str">
        <f>IFERROR(__xludf.DUMMYFUNCTION("""COMPUTED_VALUE"""),"")</f>
        <v/>
      </c>
      <c r="U238" s="96" t="str">
        <f>IFERROR(__xludf.DUMMYFUNCTION("""COMPUTED_VALUE"""),"")</f>
        <v/>
      </c>
      <c r="V238" s="97" t="str">
        <f>IFERROR(__xludf.DUMMYFUNCTION("""COMPUTED_VALUE"""),"")</f>
        <v/>
      </c>
      <c r="W238" s="95" t="str">
        <f>IFERROR(__xludf.DUMMYFUNCTION("""COMPUTED_VALUE"""),"")</f>
        <v/>
      </c>
      <c r="X238" s="96" t="str">
        <f>IFERROR(__xludf.DUMMYFUNCTION("""COMPUTED_VALUE"""),"")</f>
        <v/>
      </c>
      <c r="Y238" s="97" t="str">
        <f>IFERROR(__xludf.DUMMYFUNCTION("""COMPUTED_VALUE"""),"")</f>
        <v/>
      </c>
      <c r="Z238" s="95" t="str">
        <f>IFERROR(__xludf.DUMMYFUNCTION("""COMPUTED_VALUE"""),"")</f>
        <v/>
      </c>
      <c r="AA238" s="96" t="str">
        <f>IFERROR(__xludf.DUMMYFUNCTION("""COMPUTED_VALUE"""),"")</f>
        <v/>
      </c>
      <c r="AB238" s="97" t="str">
        <f>IFERROR(__xludf.DUMMYFUNCTION("""COMPUTED_VALUE"""),"")</f>
        <v/>
      </c>
      <c r="AC238" s="95">
        <f>IFERROR(__xludf.DUMMYFUNCTION("""COMPUTED_VALUE"""),81.3)</f>
        <v>81.3</v>
      </c>
      <c r="AD238" s="96" t="str">
        <f>IFERROR(__xludf.DUMMYFUNCTION("""COMPUTED_VALUE"""),"")</f>
        <v/>
      </c>
      <c r="AE238" s="97" t="str">
        <f>IFERROR(__xludf.DUMMYFUNCTION("""COMPUTED_VALUE"""),"")</f>
        <v/>
      </c>
      <c r="AF238" s="95" t="str">
        <f>IFERROR(__xludf.DUMMYFUNCTION("""COMPUTED_VALUE"""),"")</f>
        <v/>
      </c>
      <c r="AG238" s="96" t="str">
        <f>IFERROR(__xludf.DUMMYFUNCTION("""COMPUTED_VALUE"""),"")</f>
        <v/>
      </c>
      <c r="AH238" s="97" t="str">
        <f>IFERROR(__xludf.DUMMYFUNCTION("""COMPUTED_VALUE"""),"")</f>
        <v/>
      </c>
      <c r="AI238" s="216" t="str">
        <f>IFERROR(__xludf.DUMMYFUNCTION("""COMPUTED_VALUE"""),"")</f>
        <v/>
      </c>
      <c r="AJ238" s="217" t="str">
        <f>IFERROR(__xludf.DUMMYFUNCTION("""COMPUTED_VALUE"""),"")</f>
        <v/>
      </c>
      <c r="AK238" s="218" t="str">
        <f>IFERROR(__xludf.DUMMYFUNCTION("""COMPUTED_VALUE"""),"")</f>
        <v/>
      </c>
      <c r="AL238" s="217" t="str">
        <f>IFERROR(__xludf.DUMMYFUNCTION("""COMPUTED_VALUE"""),"")</f>
        <v/>
      </c>
      <c r="AM238" s="217" t="str">
        <f>IFERROR(__xludf.DUMMYFUNCTION("""COMPUTED_VALUE"""),"")</f>
        <v/>
      </c>
      <c r="AN238" s="218" t="str">
        <f>IFERROR(__xludf.DUMMYFUNCTION("""COMPUTED_VALUE"""),"")</f>
        <v/>
      </c>
      <c r="AO238" s="217" t="str">
        <f>IFERROR(__xludf.DUMMYFUNCTION("""COMPUTED_VALUE"""),"")</f>
        <v/>
      </c>
      <c r="AP238" s="217" t="str">
        <f>IFERROR(__xludf.DUMMYFUNCTION("""COMPUTED_VALUE"""),"")</f>
        <v/>
      </c>
      <c r="AQ238" s="218" t="str">
        <f>IFERROR(__xludf.DUMMYFUNCTION("""COMPUTED_VALUE"""),"")</f>
        <v/>
      </c>
      <c r="AR238" s="217" t="str">
        <f>IFERROR(__xludf.DUMMYFUNCTION("""COMPUTED_VALUE"""),"")</f>
        <v/>
      </c>
      <c r="AS238" s="217" t="str">
        <f>IFERROR(__xludf.DUMMYFUNCTION("""COMPUTED_VALUE"""),"")</f>
        <v/>
      </c>
      <c r="AT238" s="218" t="str">
        <f>IFERROR(__xludf.DUMMYFUNCTION("""COMPUTED_VALUE"""),"")</f>
        <v/>
      </c>
      <c r="AU238" s="217" t="str">
        <f>IFERROR(__xludf.DUMMYFUNCTION("""COMPUTED_VALUE"""),"")</f>
        <v/>
      </c>
      <c r="AV238" s="217" t="str">
        <f>IFERROR(__xludf.DUMMYFUNCTION("""COMPUTED_VALUE"""),"")</f>
        <v/>
      </c>
      <c r="AW238" s="218" t="str">
        <f>IFERROR(__xludf.DUMMYFUNCTION("""COMPUTED_VALUE"""),"")</f>
        <v/>
      </c>
      <c r="AX238" s="217" t="str">
        <f>IFERROR(__xludf.DUMMYFUNCTION("""COMPUTED_VALUE"""),"")</f>
        <v/>
      </c>
      <c r="AY238" s="217" t="str">
        <f>IFERROR(__xludf.DUMMYFUNCTION("""COMPUTED_VALUE"""),"")</f>
        <v/>
      </c>
      <c r="AZ238" s="218" t="str">
        <f>IFERROR(__xludf.DUMMYFUNCTION("""COMPUTED_VALUE"""),"")</f>
        <v/>
      </c>
      <c r="BA238" s="217" t="str">
        <f>IFERROR(__xludf.DUMMYFUNCTION("""COMPUTED_VALUE"""),"")</f>
        <v/>
      </c>
      <c r="BB238" s="217" t="str">
        <f>IFERROR(__xludf.DUMMYFUNCTION("""COMPUTED_VALUE"""),"")</f>
        <v/>
      </c>
      <c r="BC238" s="218" t="str">
        <f>IFERROR(__xludf.DUMMYFUNCTION("""COMPUTED_VALUE"""),"")</f>
        <v/>
      </c>
      <c r="BD238" s="217" t="str">
        <f>IFERROR(__xludf.DUMMYFUNCTION("""COMPUTED_VALUE"""),"")</f>
        <v/>
      </c>
      <c r="BE238" s="217" t="str">
        <f>IFERROR(__xludf.DUMMYFUNCTION("""COMPUTED_VALUE"""),"")</f>
        <v/>
      </c>
      <c r="BF238" s="218" t="str">
        <f>IFERROR(__xludf.DUMMYFUNCTION("""COMPUTED_VALUE"""),"")</f>
        <v/>
      </c>
      <c r="BG238" s="216" t="str">
        <f>IFERROR(__xludf.DUMMYFUNCTION("""COMPUTED_VALUE"""),"")</f>
        <v/>
      </c>
      <c r="BH238" s="217" t="str">
        <f>IFERROR(__xludf.DUMMYFUNCTION("""COMPUTED_VALUE"""),"")</f>
        <v/>
      </c>
      <c r="BI238" s="218" t="str">
        <f>IFERROR(__xludf.DUMMYFUNCTION("""COMPUTED_VALUE"""),"")</f>
        <v/>
      </c>
      <c r="BJ238" s="217" t="str">
        <f>IFERROR(__xludf.DUMMYFUNCTION("""COMPUTED_VALUE"""),"")</f>
        <v/>
      </c>
      <c r="BK238" s="217" t="str">
        <f>IFERROR(__xludf.DUMMYFUNCTION("""COMPUTED_VALUE"""),"")</f>
        <v/>
      </c>
      <c r="BL238" s="218" t="str">
        <f>IFERROR(__xludf.DUMMYFUNCTION("""COMPUTED_VALUE"""),"")</f>
        <v/>
      </c>
      <c r="BM238" s="217" t="str">
        <f>IFERROR(__xludf.DUMMYFUNCTION("""COMPUTED_VALUE"""),"")</f>
        <v/>
      </c>
      <c r="BN238" s="217">
        <f>IFERROR(__xludf.DUMMYFUNCTION("""COMPUTED_VALUE"""),38.2)</f>
        <v>38.2</v>
      </c>
      <c r="BO238" s="218" t="str">
        <f>IFERROR(__xludf.DUMMYFUNCTION("""COMPUTED_VALUE"""),"")</f>
        <v/>
      </c>
      <c r="BP238" s="217">
        <f>IFERROR(__xludf.DUMMYFUNCTION("""COMPUTED_VALUE"""),294.2)</f>
        <v>294.2</v>
      </c>
      <c r="BQ238" s="217" t="str">
        <f>IFERROR(__xludf.DUMMYFUNCTION("""COMPUTED_VALUE"""),"")</f>
        <v/>
      </c>
      <c r="BR238" s="218" t="str">
        <f>IFERROR(__xludf.DUMMYFUNCTION("""COMPUTED_VALUE"""),"")</f>
        <v/>
      </c>
      <c r="BS238" s="217" t="str">
        <f>IFERROR(__xludf.DUMMYFUNCTION("""COMPUTED_VALUE"""),"")</f>
        <v/>
      </c>
      <c r="BT238" s="217" t="str">
        <f>IFERROR(__xludf.DUMMYFUNCTION("""COMPUTED_VALUE"""),"")</f>
        <v/>
      </c>
      <c r="BU238" s="218" t="str">
        <f>IFERROR(__xludf.DUMMYFUNCTION("""COMPUTED_VALUE"""),"")</f>
        <v/>
      </c>
      <c r="BV238" s="217" t="str">
        <f>IFERROR(__xludf.DUMMYFUNCTION("""COMPUTED_VALUE"""),"")</f>
        <v/>
      </c>
      <c r="BW238" s="217" t="str">
        <f>IFERROR(__xludf.DUMMYFUNCTION("""COMPUTED_VALUE"""),"")</f>
        <v/>
      </c>
      <c r="BX238" s="218" t="str">
        <f>IFERROR(__xludf.DUMMYFUNCTION("""COMPUTED_VALUE"""),"")</f>
        <v/>
      </c>
      <c r="BY238" s="217" t="str">
        <f>IFERROR(__xludf.DUMMYFUNCTION("""COMPUTED_VALUE"""),"")</f>
        <v/>
      </c>
      <c r="BZ238" s="217" t="str">
        <f>IFERROR(__xludf.DUMMYFUNCTION("""COMPUTED_VALUE"""),"")</f>
        <v/>
      </c>
      <c r="CA238" s="218" t="str">
        <f>IFERROR(__xludf.DUMMYFUNCTION("""COMPUTED_VALUE"""),"")</f>
        <v/>
      </c>
      <c r="CB238" s="216" t="str">
        <f>IFERROR(__xludf.DUMMYFUNCTION("""COMPUTED_VALUE"""),"")</f>
        <v/>
      </c>
      <c r="CC238" s="217" t="str">
        <f>IFERROR(__xludf.DUMMYFUNCTION("""COMPUTED_VALUE"""),"")</f>
        <v/>
      </c>
      <c r="CD238" s="218" t="str">
        <f>IFERROR(__xludf.DUMMYFUNCTION("""COMPUTED_VALUE"""),"")</f>
        <v/>
      </c>
      <c r="CE238" s="217" t="str">
        <f>IFERROR(__xludf.DUMMYFUNCTION("""COMPUTED_VALUE"""),"")</f>
        <v/>
      </c>
      <c r="CF238" s="217" t="str">
        <f>IFERROR(__xludf.DUMMYFUNCTION("""COMPUTED_VALUE"""),"")</f>
        <v/>
      </c>
      <c r="CG238" s="218" t="str">
        <f>IFERROR(__xludf.DUMMYFUNCTION("""COMPUTED_VALUE"""),"")</f>
        <v/>
      </c>
      <c r="CH238" s="217" t="str">
        <f>IFERROR(__xludf.DUMMYFUNCTION("""COMPUTED_VALUE"""),"")</f>
        <v/>
      </c>
      <c r="CI238" s="217" t="str">
        <f>IFERROR(__xludf.DUMMYFUNCTION("""COMPUTED_VALUE"""),"")</f>
        <v/>
      </c>
      <c r="CJ238" s="218" t="str">
        <f>IFERROR(__xludf.DUMMYFUNCTION("""COMPUTED_VALUE"""),"")</f>
        <v/>
      </c>
      <c r="CK238" s="217" t="str">
        <f>IFERROR(__xludf.DUMMYFUNCTION("""COMPUTED_VALUE"""),"")</f>
        <v/>
      </c>
      <c r="CL238" s="217" t="str">
        <f>IFERROR(__xludf.DUMMYFUNCTION("""COMPUTED_VALUE"""),"")</f>
        <v/>
      </c>
      <c r="CM238" s="218" t="str">
        <f>IFERROR(__xludf.DUMMYFUNCTION("""COMPUTED_VALUE"""),"")</f>
        <v/>
      </c>
      <c r="CN238" s="217" t="str">
        <f>IFERROR(__xludf.DUMMYFUNCTION("""COMPUTED_VALUE"""),"")</f>
        <v/>
      </c>
      <c r="CO238" s="217" t="str">
        <f>IFERROR(__xludf.DUMMYFUNCTION("""COMPUTED_VALUE"""),"")</f>
        <v/>
      </c>
      <c r="CP238" s="218" t="str">
        <f>IFERROR(__xludf.DUMMYFUNCTION("""COMPUTED_VALUE"""),"")</f>
        <v/>
      </c>
      <c r="CQ238" s="219" t="str">
        <f>IFERROR(__xludf.DUMMYFUNCTION("""COMPUTED_VALUE"""),"")</f>
        <v/>
      </c>
      <c r="CR238" s="219">
        <f>IFERROR(__xludf.DUMMYFUNCTION("""COMPUTED_VALUE"""),490.1)</f>
        <v>490.1</v>
      </c>
      <c r="CS238" s="220"/>
      <c r="CT238" s="219"/>
      <c r="CU238" s="219"/>
      <c r="CV238" s="220"/>
      <c r="CW238" s="219"/>
      <c r="CX238" s="219"/>
      <c r="CY238" s="220"/>
      <c r="CZ238" s="219"/>
      <c r="DA238" s="219"/>
      <c r="DB238" s="220"/>
      <c r="DC238" s="219"/>
      <c r="DD238" s="219"/>
      <c r="DE238" s="220"/>
      <c r="DF238" s="219"/>
      <c r="DG238" s="219"/>
      <c r="DH238" s="220"/>
      <c r="DI238" s="219"/>
      <c r="DJ238" s="219"/>
      <c r="DK238" s="220"/>
      <c r="DL238" s="219"/>
      <c r="DM238" s="219"/>
      <c r="DN238" s="220"/>
      <c r="DO238" s="219"/>
      <c r="DP238" s="219"/>
      <c r="DQ238" s="220"/>
      <c r="DR238" s="219"/>
      <c r="DS238" s="219"/>
      <c r="DT238" s="220"/>
    </row>
    <row r="239">
      <c r="B239" s="180" t="str">
        <f>IFERROR(__xludf.DUMMYFUNCTION("""COMPUTED_VALUE"""),"OLP2")</f>
        <v>OLP2</v>
      </c>
      <c r="C239">
        <f>IFERROR(__xludf.DUMMYFUNCTION("""COMPUTED_VALUE"""),238.0)</f>
        <v>238</v>
      </c>
      <c r="D239" s="178" t="str">
        <f>IFERROR(__xludf.DUMMYFUNCTION("""COMPUTED_VALUE"""),"Interstellar City: West")</f>
        <v>Interstellar City: West</v>
      </c>
      <c r="E239" s="215" t="str">
        <f>IFERROR(__xludf.DUMMYFUNCTION("""COMPUTED_VALUE"""),"星間都市西部")</f>
        <v>星間都市西部</v>
      </c>
      <c r="F239" s="179">
        <f>IFERROR(__xludf.DUMMYFUNCTION("""COMPUTED_VALUE"""),21.0)</f>
        <v>21</v>
      </c>
      <c r="G239" s="83">
        <f>IFERROR(__xludf.DUMMYFUNCTION("""COMPUTED_VALUE"""),12319.0)</f>
        <v>12319</v>
      </c>
      <c r="H239" s="95" t="str">
        <f>IFERROR(__xludf.DUMMYFUNCTION("""COMPUTED_VALUE"""),"")</f>
        <v/>
      </c>
      <c r="I239" s="96" t="str">
        <f>IFERROR(__xludf.DUMMYFUNCTION("""COMPUTED_VALUE"""),"")</f>
        <v/>
      </c>
      <c r="J239" s="97" t="str">
        <f>IFERROR(__xludf.DUMMYFUNCTION("""COMPUTED_VALUE"""),"")</f>
        <v/>
      </c>
      <c r="K239" s="95" t="str">
        <f>IFERROR(__xludf.DUMMYFUNCTION("""COMPUTED_VALUE"""),"")</f>
        <v/>
      </c>
      <c r="L239" s="96" t="str">
        <f>IFERROR(__xludf.DUMMYFUNCTION("""COMPUTED_VALUE"""),"")</f>
        <v/>
      </c>
      <c r="M239" s="97" t="str">
        <f>IFERROR(__xludf.DUMMYFUNCTION("""COMPUTED_VALUE"""),"")</f>
        <v/>
      </c>
      <c r="N239" s="95" t="str">
        <f>IFERROR(__xludf.DUMMYFUNCTION("""COMPUTED_VALUE"""),"")</f>
        <v/>
      </c>
      <c r="O239" s="96" t="str">
        <f>IFERROR(__xludf.DUMMYFUNCTION("""COMPUTED_VALUE"""),"")</f>
        <v/>
      </c>
      <c r="P239" s="97" t="str">
        <f>IFERROR(__xludf.DUMMYFUNCTION("""COMPUTED_VALUE"""),"")</f>
        <v/>
      </c>
      <c r="Q239" s="95" t="str">
        <f>IFERROR(__xludf.DUMMYFUNCTION("""COMPUTED_VALUE"""),"")</f>
        <v/>
      </c>
      <c r="R239" s="96" t="str">
        <f>IFERROR(__xludf.DUMMYFUNCTION("""COMPUTED_VALUE"""),"")</f>
        <v/>
      </c>
      <c r="S239" s="97" t="str">
        <f>IFERROR(__xludf.DUMMYFUNCTION("""COMPUTED_VALUE"""),"")</f>
        <v/>
      </c>
      <c r="T239" s="95">
        <f>IFERROR(__xludf.DUMMYFUNCTION("""COMPUTED_VALUE"""),104.7)</f>
        <v>104.7</v>
      </c>
      <c r="U239" s="96" t="str">
        <f>IFERROR(__xludf.DUMMYFUNCTION("""COMPUTED_VALUE"""),"")</f>
        <v/>
      </c>
      <c r="V239" s="97" t="str">
        <f>IFERROR(__xludf.DUMMYFUNCTION("""COMPUTED_VALUE"""),"")</f>
        <v/>
      </c>
      <c r="W239" s="95" t="str">
        <f>IFERROR(__xludf.DUMMYFUNCTION("""COMPUTED_VALUE"""),"")</f>
        <v/>
      </c>
      <c r="X239" s="96">
        <f>IFERROR(__xludf.DUMMYFUNCTION("""COMPUTED_VALUE"""),105.4)</f>
        <v>105.4</v>
      </c>
      <c r="Y239" s="97" t="str">
        <f>IFERROR(__xludf.DUMMYFUNCTION("""COMPUTED_VALUE"""),"")</f>
        <v/>
      </c>
      <c r="Z239" s="95" t="str">
        <f>IFERROR(__xludf.DUMMYFUNCTION("""COMPUTED_VALUE"""),"")</f>
        <v/>
      </c>
      <c r="AA239" s="96" t="str">
        <f>IFERROR(__xludf.DUMMYFUNCTION("""COMPUTED_VALUE"""),"")</f>
        <v/>
      </c>
      <c r="AB239" s="97" t="str">
        <f>IFERROR(__xludf.DUMMYFUNCTION("""COMPUTED_VALUE"""),"")</f>
        <v/>
      </c>
      <c r="AC239" s="95" t="str">
        <f>IFERROR(__xludf.DUMMYFUNCTION("""COMPUTED_VALUE"""),"")</f>
        <v/>
      </c>
      <c r="AD239" s="96" t="str">
        <f>IFERROR(__xludf.DUMMYFUNCTION("""COMPUTED_VALUE"""),"")</f>
        <v/>
      </c>
      <c r="AE239" s="97" t="str">
        <f>IFERROR(__xludf.DUMMYFUNCTION("""COMPUTED_VALUE"""),"")</f>
        <v/>
      </c>
      <c r="AF239" s="95" t="str">
        <f>IFERROR(__xludf.DUMMYFUNCTION("""COMPUTED_VALUE"""),"")</f>
        <v/>
      </c>
      <c r="AG239" s="96" t="str">
        <f>IFERROR(__xludf.DUMMYFUNCTION("""COMPUTED_VALUE"""),"")</f>
        <v/>
      </c>
      <c r="AH239" s="97" t="str">
        <f>IFERROR(__xludf.DUMMYFUNCTION("""COMPUTED_VALUE"""),"")</f>
        <v/>
      </c>
      <c r="AI239" s="216" t="str">
        <f>IFERROR(__xludf.DUMMYFUNCTION("""COMPUTED_VALUE"""),"")</f>
        <v/>
      </c>
      <c r="AJ239" s="217" t="str">
        <f>IFERROR(__xludf.DUMMYFUNCTION("""COMPUTED_VALUE"""),"")</f>
        <v/>
      </c>
      <c r="AK239" s="218" t="str">
        <f>IFERROR(__xludf.DUMMYFUNCTION("""COMPUTED_VALUE"""),"")</f>
        <v/>
      </c>
      <c r="AL239" s="217" t="str">
        <f>IFERROR(__xludf.DUMMYFUNCTION("""COMPUTED_VALUE"""),"")</f>
        <v/>
      </c>
      <c r="AM239" s="217" t="str">
        <f>IFERROR(__xludf.DUMMYFUNCTION("""COMPUTED_VALUE"""),"")</f>
        <v/>
      </c>
      <c r="AN239" s="218" t="str">
        <f>IFERROR(__xludf.DUMMYFUNCTION("""COMPUTED_VALUE"""),"")</f>
        <v/>
      </c>
      <c r="AO239" s="217" t="str">
        <f>IFERROR(__xludf.DUMMYFUNCTION("""COMPUTED_VALUE"""),"")</f>
        <v/>
      </c>
      <c r="AP239" s="217" t="str">
        <f>IFERROR(__xludf.DUMMYFUNCTION("""COMPUTED_VALUE"""),"")</f>
        <v/>
      </c>
      <c r="AQ239" s="218" t="str">
        <f>IFERROR(__xludf.DUMMYFUNCTION("""COMPUTED_VALUE"""),"")</f>
        <v/>
      </c>
      <c r="AR239" s="217" t="str">
        <f>IFERROR(__xludf.DUMMYFUNCTION("""COMPUTED_VALUE"""),"")</f>
        <v/>
      </c>
      <c r="AS239" s="217" t="str">
        <f>IFERROR(__xludf.DUMMYFUNCTION("""COMPUTED_VALUE"""),"")</f>
        <v/>
      </c>
      <c r="AT239" s="218" t="str">
        <f>IFERROR(__xludf.DUMMYFUNCTION("""COMPUTED_VALUE"""),"")</f>
        <v/>
      </c>
      <c r="AU239" s="217" t="str">
        <f>IFERROR(__xludf.DUMMYFUNCTION("""COMPUTED_VALUE"""),"")</f>
        <v/>
      </c>
      <c r="AV239" s="217" t="str">
        <f>IFERROR(__xludf.DUMMYFUNCTION("""COMPUTED_VALUE"""),"")</f>
        <v/>
      </c>
      <c r="AW239" s="218" t="str">
        <f>IFERROR(__xludf.DUMMYFUNCTION("""COMPUTED_VALUE"""),"")</f>
        <v/>
      </c>
      <c r="AX239" s="217" t="str">
        <f>IFERROR(__xludf.DUMMYFUNCTION("""COMPUTED_VALUE"""),"")</f>
        <v/>
      </c>
      <c r="AY239" s="217" t="str">
        <f>IFERROR(__xludf.DUMMYFUNCTION("""COMPUTED_VALUE"""),"")</f>
        <v/>
      </c>
      <c r="AZ239" s="218" t="str">
        <f>IFERROR(__xludf.DUMMYFUNCTION("""COMPUTED_VALUE"""),"")</f>
        <v/>
      </c>
      <c r="BA239" s="217" t="str">
        <f>IFERROR(__xludf.DUMMYFUNCTION("""COMPUTED_VALUE"""),"")</f>
        <v/>
      </c>
      <c r="BB239" s="217" t="str">
        <f>IFERROR(__xludf.DUMMYFUNCTION("""COMPUTED_VALUE"""),"")</f>
        <v/>
      </c>
      <c r="BC239" s="218" t="str">
        <f>IFERROR(__xludf.DUMMYFUNCTION("""COMPUTED_VALUE"""),"")</f>
        <v/>
      </c>
      <c r="BD239" s="217" t="str">
        <f>IFERROR(__xludf.DUMMYFUNCTION("""COMPUTED_VALUE"""),"")</f>
        <v/>
      </c>
      <c r="BE239" s="217" t="str">
        <f>IFERROR(__xludf.DUMMYFUNCTION("""COMPUTED_VALUE"""),"")</f>
        <v/>
      </c>
      <c r="BF239" s="218" t="str">
        <f>IFERROR(__xludf.DUMMYFUNCTION("""COMPUTED_VALUE"""),"")</f>
        <v/>
      </c>
      <c r="BG239" s="216" t="str">
        <f>IFERROR(__xludf.DUMMYFUNCTION("""COMPUTED_VALUE"""),"")</f>
        <v/>
      </c>
      <c r="BH239" s="217" t="str">
        <f>IFERROR(__xludf.DUMMYFUNCTION("""COMPUTED_VALUE"""),"")</f>
        <v/>
      </c>
      <c r="BI239" s="218" t="str">
        <f>IFERROR(__xludf.DUMMYFUNCTION("""COMPUTED_VALUE"""),"")</f>
        <v/>
      </c>
      <c r="BJ239" s="217" t="str">
        <f>IFERROR(__xludf.DUMMYFUNCTION("""COMPUTED_VALUE"""),"")</f>
        <v/>
      </c>
      <c r="BK239" s="217" t="str">
        <f>IFERROR(__xludf.DUMMYFUNCTION("""COMPUTED_VALUE"""),"")</f>
        <v/>
      </c>
      <c r="BL239" s="218">
        <f>IFERROR(__xludf.DUMMYFUNCTION("""COMPUTED_VALUE"""),65.7)</f>
        <v>65.7</v>
      </c>
      <c r="BM239" s="217" t="str">
        <f>IFERROR(__xludf.DUMMYFUNCTION("""COMPUTED_VALUE"""),"")</f>
        <v/>
      </c>
      <c r="BN239" s="217" t="str">
        <f>IFERROR(__xludf.DUMMYFUNCTION("""COMPUTED_VALUE"""),"")</f>
        <v/>
      </c>
      <c r="BO239" s="218" t="str">
        <f>IFERROR(__xludf.DUMMYFUNCTION("""COMPUTED_VALUE"""),"")</f>
        <v/>
      </c>
      <c r="BP239" s="217" t="str">
        <f>IFERROR(__xludf.DUMMYFUNCTION("""COMPUTED_VALUE"""),"")</f>
        <v/>
      </c>
      <c r="BQ239" s="217" t="str">
        <f>IFERROR(__xludf.DUMMYFUNCTION("""COMPUTED_VALUE"""),"")</f>
        <v/>
      </c>
      <c r="BR239" s="218" t="str">
        <f>IFERROR(__xludf.DUMMYFUNCTION("""COMPUTED_VALUE"""),"")</f>
        <v/>
      </c>
      <c r="BS239" s="217" t="str">
        <f>IFERROR(__xludf.DUMMYFUNCTION("""COMPUTED_VALUE"""),"")</f>
        <v/>
      </c>
      <c r="BT239" s="217" t="str">
        <f>IFERROR(__xludf.DUMMYFUNCTION("""COMPUTED_VALUE"""),"")</f>
        <v/>
      </c>
      <c r="BU239" s="218" t="str">
        <f>IFERROR(__xludf.DUMMYFUNCTION("""COMPUTED_VALUE"""),"")</f>
        <v/>
      </c>
      <c r="BV239" s="217" t="str">
        <f>IFERROR(__xludf.DUMMYFUNCTION("""COMPUTED_VALUE"""),"")</f>
        <v/>
      </c>
      <c r="BW239" s="217" t="str">
        <f>IFERROR(__xludf.DUMMYFUNCTION("""COMPUTED_VALUE"""),"")</f>
        <v/>
      </c>
      <c r="BX239" s="218" t="str">
        <f>IFERROR(__xludf.DUMMYFUNCTION("""COMPUTED_VALUE"""),"")</f>
        <v/>
      </c>
      <c r="BY239" s="217" t="str">
        <f>IFERROR(__xludf.DUMMYFUNCTION("""COMPUTED_VALUE"""),"")</f>
        <v/>
      </c>
      <c r="BZ239" s="217" t="str">
        <f>IFERROR(__xludf.DUMMYFUNCTION("""COMPUTED_VALUE"""),"")</f>
        <v/>
      </c>
      <c r="CA239" s="218" t="str">
        <f>IFERROR(__xludf.DUMMYFUNCTION("""COMPUTED_VALUE"""),"")</f>
        <v/>
      </c>
      <c r="CB239" s="216" t="str">
        <f>IFERROR(__xludf.DUMMYFUNCTION("""COMPUTED_VALUE"""),"")</f>
        <v/>
      </c>
      <c r="CC239" s="217" t="str">
        <f>IFERROR(__xludf.DUMMYFUNCTION("""COMPUTED_VALUE"""),"")</f>
        <v/>
      </c>
      <c r="CD239" s="218" t="str">
        <f>IFERROR(__xludf.DUMMYFUNCTION("""COMPUTED_VALUE"""),"")</f>
        <v/>
      </c>
      <c r="CE239" s="217" t="str">
        <f>IFERROR(__xludf.DUMMYFUNCTION("""COMPUTED_VALUE"""),"")</f>
        <v/>
      </c>
      <c r="CF239" s="217" t="str">
        <f>IFERROR(__xludf.DUMMYFUNCTION("""COMPUTED_VALUE"""),"")</f>
        <v/>
      </c>
      <c r="CG239" s="218" t="str">
        <f>IFERROR(__xludf.DUMMYFUNCTION("""COMPUTED_VALUE"""),"")</f>
        <v/>
      </c>
      <c r="CH239" s="217" t="str">
        <f>IFERROR(__xludf.DUMMYFUNCTION("""COMPUTED_VALUE"""),"")</f>
        <v/>
      </c>
      <c r="CI239" s="217" t="str">
        <f>IFERROR(__xludf.DUMMYFUNCTION("""COMPUTED_VALUE"""),"")</f>
        <v/>
      </c>
      <c r="CJ239" s="218" t="str">
        <f>IFERROR(__xludf.DUMMYFUNCTION("""COMPUTED_VALUE"""),"")</f>
        <v/>
      </c>
      <c r="CK239" s="217" t="str">
        <f>IFERROR(__xludf.DUMMYFUNCTION("""COMPUTED_VALUE"""),"")</f>
        <v/>
      </c>
      <c r="CL239" s="217" t="str">
        <f>IFERROR(__xludf.DUMMYFUNCTION("""COMPUTED_VALUE"""),"")</f>
        <v/>
      </c>
      <c r="CM239" s="218" t="str">
        <f>IFERROR(__xludf.DUMMYFUNCTION("""COMPUTED_VALUE"""),"")</f>
        <v/>
      </c>
      <c r="CN239" s="217">
        <f>IFERROR(__xludf.DUMMYFUNCTION("""COMPUTED_VALUE"""),116.1)</f>
        <v>116.1</v>
      </c>
      <c r="CO239" s="217" t="str">
        <f>IFERROR(__xludf.DUMMYFUNCTION("""COMPUTED_VALUE"""),"")</f>
        <v/>
      </c>
      <c r="CP239" s="218" t="str">
        <f>IFERROR(__xludf.DUMMYFUNCTION("""COMPUTED_VALUE"""),"")</f>
        <v/>
      </c>
      <c r="CQ239" s="93" t="str">
        <f>IFERROR(__xludf.DUMMYFUNCTION("""COMPUTED_VALUE"""),"")</f>
        <v/>
      </c>
      <c r="CR239" s="93" t="str">
        <f>IFERROR(__xludf.DUMMYFUNCTION("""COMPUTED_VALUE"""),"")</f>
        <v/>
      </c>
      <c r="CS239" s="94"/>
      <c r="CT239" s="93"/>
      <c r="CU239" s="93"/>
      <c r="CV239" s="94"/>
      <c r="CW239" s="93"/>
      <c r="CX239" s="93"/>
      <c r="CY239" s="94"/>
      <c r="CZ239" s="93"/>
      <c r="DA239" s="93"/>
      <c r="DB239" s="94"/>
      <c r="DC239" s="93"/>
      <c r="DD239" s="93"/>
      <c r="DE239" s="94"/>
      <c r="DF239" s="93"/>
      <c r="DG239" s="93"/>
      <c r="DH239" s="94"/>
      <c r="DI239" s="93"/>
      <c r="DJ239" s="93"/>
      <c r="DK239" s="94"/>
      <c r="DL239" s="93"/>
      <c r="DM239" s="93"/>
      <c r="DN239" s="94"/>
      <c r="DO239" s="93"/>
      <c r="DP239" s="93"/>
      <c r="DQ239" s="94"/>
      <c r="DR239" s="93"/>
      <c r="DS239" s="93"/>
      <c r="DT239" s="94"/>
    </row>
    <row r="240">
      <c r="B240" s="180" t="str">
        <f>IFERROR(__xludf.DUMMYFUNCTION("""COMPUTED_VALUE"""),"OLP3")</f>
        <v>OLP3</v>
      </c>
      <c r="C240">
        <f>IFERROR(__xludf.DUMMYFUNCTION("""COMPUTED_VALUE"""),239.0)</f>
        <v>239</v>
      </c>
      <c r="D240" s="178" t="str">
        <f>IFERROR(__xludf.DUMMYFUNCTION("""COMPUTED_VALUE"""),"Interstellar City: South")</f>
        <v>Interstellar City: South</v>
      </c>
      <c r="E240" s="215" t="str">
        <f>IFERROR(__xludf.DUMMYFUNCTION("""COMPUTED_VALUE"""),"星間都市南部")</f>
        <v>星間都市南部</v>
      </c>
      <c r="F240" s="179">
        <f>IFERROR(__xludf.DUMMYFUNCTION("""COMPUTED_VALUE"""),21.0)</f>
        <v>21</v>
      </c>
      <c r="G240" s="83">
        <f>IFERROR(__xludf.DUMMYFUNCTION("""COMPUTED_VALUE"""),65354.0)</f>
        <v>65354</v>
      </c>
      <c r="H240" s="95" t="str">
        <f>IFERROR(__xludf.DUMMYFUNCTION("""COMPUTED_VALUE"""),"")</f>
        <v/>
      </c>
      <c r="I240" s="96" t="str">
        <f>IFERROR(__xludf.DUMMYFUNCTION("""COMPUTED_VALUE"""),"")</f>
        <v/>
      </c>
      <c r="J240" s="97" t="str">
        <f>IFERROR(__xludf.DUMMYFUNCTION("""COMPUTED_VALUE"""),"")</f>
        <v/>
      </c>
      <c r="K240" s="95" t="str">
        <f>IFERROR(__xludf.DUMMYFUNCTION("""COMPUTED_VALUE"""),"")</f>
        <v/>
      </c>
      <c r="L240" s="96" t="str">
        <f>IFERROR(__xludf.DUMMYFUNCTION("""COMPUTED_VALUE"""),"")</f>
        <v/>
      </c>
      <c r="M240" s="97" t="str">
        <f>IFERROR(__xludf.DUMMYFUNCTION("""COMPUTED_VALUE"""),"")</f>
        <v/>
      </c>
      <c r="N240" s="95" t="str">
        <f>IFERROR(__xludf.DUMMYFUNCTION("""COMPUTED_VALUE"""),"")</f>
        <v/>
      </c>
      <c r="O240" s="96" t="str">
        <f>IFERROR(__xludf.DUMMYFUNCTION("""COMPUTED_VALUE"""),"")</f>
        <v/>
      </c>
      <c r="P240" s="97" t="str">
        <f>IFERROR(__xludf.DUMMYFUNCTION("""COMPUTED_VALUE"""),"")</f>
        <v/>
      </c>
      <c r="Q240" s="95" t="str">
        <f>IFERROR(__xludf.DUMMYFUNCTION("""COMPUTED_VALUE"""),"")</f>
        <v/>
      </c>
      <c r="R240" s="96" t="str">
        <f>IFERROR(__xludf.DUMMYFUNCTION("""COMPUTED_VALUE"""),"")</f>
        <v/>
      </c>
      <c r="S240" s="97" t="str">
        <f>IFERROR(__xludf.DUMMYFUNCTION("""COMPUTED_VALUE"""),"")</f>
        <v/>
      </c>
      <c r="T240" s="95" t="str">
        <f>IFERROR(__xludf.DUMMYFUNCTION("""COMPUTED_VALUE"""),"")</f>
        <v/>
      </c>
      <c r="U240" s="96" t="str">
        <f>IFERROR(__xludf.DUMMYFUNCTION("""COMPUTED_VALUE"""),"")</f>
        <v/>
      </c>
      <c r="V240" s="97" t="str">
        <f>IFERROR(__xludf.DUMMYFUNCTION("""COMPUTED_VALUE"""),"")</f>
        <v/>
      </c>
      <c r="W240" s="95" t="str">
        <f>IFERROR(__xludf.DUMMYFUNCTION("""COMPUTED_VALUE"""),"")</f>
        <v/>
      </c>
      <c r="X240" s="96">
        <f>IFERROR(__xludf.DUMMYFUNCTION("""COMPUTED_VALUE"""),104.6)</f>
        <v>104.6</v>
      </c>
      <c r="Y240" s="97" t="str">
        <f>IFERROR(__xludf.DUMMYFUNCTION("""COMPUTED_VALUE"""),"")</f>
        <v/>
      </c>
      <c r="Z240" s="95" t="str">
        <f>IFERROR(__xludf.DUMMYFUNCTION("""COMPUTED_VALUE"""),"")</f>
        <v/>
      </c>
      <c r="AA240" s="96" t="str">
        <f>IFERROR(__xludf.DUMMYFUNCTION("""COMPUTED_VALUE"""),"")</f>
        <v/>
      </c>
      <c r="AB240" s="97" t="str">
        <f>IFERROR(__xludf.DUMMYFUNCTION("""COMPUTED_VALUE"""),"")</f>
        <v/>
      </c>
      <c r="AC240" s="95" t="str">
        <f>IFERROR(__xludf.DUMMYFUNCTION("""COMPUTED_VALUE"""),"")</f>
        <v/>
      </c>
      <c r="AD240" s="96" t="str">
        <f>IFERROR(__xludf.DUMMYFUNCTION("""COMPUTED_VALUE"""),"")</f>
        <v/>
      </c>
      <c r="AE240" s="97" t="str">
        <f>IFERROR(__xludf.DUMMYFUNCTION("""COMPUTED_VALUE"""),"")</f>
        <v/>
      </c>
      <c r="AF240" s="95" t="str">
        <f>IFERROR(__xludf.DUMMYFUNCTION("""COMPUTED_VALUE"""),"")</f>
        <v/>
      </c>
      <c r="AG240" s="96" t="str">
        <f>IFERROR(__xludf.DUMMYFUNCTION("""COMPUTED_VALUE"""),"")</f>
        <v/>
      </c>
      <c r="AH240" s="97" t="str">
        <f>IFERROR(__xludf.DUMMYFUNCTION("""COMPUTED_VALUE"""),"")</f>
        <v/>
      </c>
      <c r="AI240" s="216" t="str">
        <f>IFERROR(__xludf.DUMMYFUNCTION("""COMPUTED_VALUE"""),"")</f>
        <v/>
      </c>
      <c r="AJ240" s="217" t="str">
        <f>IFERROR(__xludf.DUMMYFUNCTION("""COMPUTED_VALUE"""),"")</f>
        <v/>
      </c>
      <c r="AK240" s="218" t="str">
        <f>IFERROR(__xludf.DUMMYFUNCTION("""COMPUTED_VALUE"""),"")</f>
        <v/>
      </c>
      <c r="AL240" s="217" t="str">
        <f>IFERROR(__xludf.DUMMYFUNCTION("""COMPUTED_VALUE"""),"")</f>
        <v/>
      </c>
      <c r="AM240" s="217" t="str">
        <f>IFERROR(__xludf.DUMMYFUNCTION("""COMPUTED_VALUE"""),"")</f>
        <v/>
      </c>
      <c r="AN240" s="218" t="str">
        <f>IFERROR(__xludf.DUMMYFUNCTION("""COMPUTED_VALUE"""),"")</f>
        <v/>
      </c>
      <c r="AO240" s="217" t="str">
        <f>IFERROR(__xludf.DUMMYFUNCTION("""COMPUTED_VALUE"""),"")</f>
        <v/>
      </c>
      <c r="AP240" s="217" t="str">
        <f>IFERROR(__xludf.DUMMYFUNCTION("""COMPUTED_VALUE"""),"")</f>
        <v/>
      </c>
      <c r="AQ240" s="218" t="str">
        <f>IFERROR(__xludf.DUMMYFUNCTION("""COMPUTED_VALUE"""),"")</f>
        <v/>
      </c>
      <c r="AR240" s="217">
        <f>IFERROR(__xludf.DUMMYFUNCTION("""COMPUTED_VALUE"""),83.1)</f>
        <v>83.1</v>
      </c>
      <c r="AS240" s="217" t="str">
        <f>IFERROR(__xludf.DUMMYFUNCTION("""COMPUTED_VALUE"""),"")</f>
        <v/>
      </c>
      <c r="AT240" s="218" t="str">
        <f>IFERROR(__xludf.DUMMYFUNCTION("""COMPUTED_VALUE"""),"")</f>
        <v/>
      </c>
      <c r="AU240" s="217" t="str">
        <f>IFERROR(__xludf.DUMMYFUNCTION("""COMPUTED_VALUE"""),"")</f>
        <v/>
      </c>
      <c r="AV240" s="217" t="str">
        <f>IFERROR(__xludf.DUMMYFUNCTION("""COMPUTED_VALUE"""),"")</f>
        <v/>
      </c>
      <c r="AW240" s="218" t="str">
        <f>IFERROR(__xludf.DUMMYFUNCTION("""COMPUTED_VALUE"""),"")</f>
        <v/>
      </c>
      <c r="AX240" s="217" t="str">
        <f>IFERROR(__xludf.DUMMYFUNCTION("""COMPUTED_VALUE"""),"")</f>
        <v/>
      </c>
      <c r="AY240" s="217" t="str">
        <f>IFERROR(__xludf.DUMMYFUNCTION("""COMPUTED_VALUE"""),"")</f>
        <v/>
      </c>
      <c r="AZ240" s="218" t="str">
        <f>IFERROR(__xludf.DUMMYFUNCTION("""COMPUTED_VALUE"""),"")</f>
        <v/>
      </c>
      <c r="BA240" s="217" t="str">
        <f>IFERROR(__xludf.DUMMYFUNCTION("""COMPUTED_VALUE"""),"")</f>
        <v/>
      </c>
      <c r="BB240" s="217" t="str">
        <f>IFERROR(__xludf.DUMMYFUNCTION("""COMPUTED_VALUE"""),"")</f>
        <v/>
      </c>
      <c r="BC240" s="218" t="str">
        <f>IFERROR(__xludf.DUMMYFUNCTION("""COMPUTED_VALUE"""),"")</f>
        <v/>
      </c>
      <c r="BD240" s="217" t="str">
        <f>IFERROR(__xludf.DUMMYFUNCTION("""COMPUTED_VALUE"""),"")</f>
        <v/>
      </c>
      <c r="BE240" s="217" t="str">
        <f>IFERROR(__xludf.DUMMYFUNCTION("""COMPUTED_VALUE"""),"")</f>
        <v/>
      </c>
      <c r="BF240" s="218" t="str">
        <f>IFERROR(__xludf.DUMMYFUNCTION("""COMPUTED_VALUE"""),"")</f>
        <v/>
      </c>
      <c r="BG240" s="216" t="str">
        <f>IFERROR(__xludf.DUMMYFUNCTION("""COMPUTED_VALUE"""),"")</f>
        <v/>
      </c>
      <c r="BH240" s="217" t="str">
        <f>IFERROR(__xludf.DUMMYFUNCTION("""COMPUTED_VALUE"""),"")</f>
        <v/>
      </c>
      <c r="BI240" s="218" t="str">
        <f>IFERROR(__xludf.DUMMYFUNCTION("""COMPUTED_VALUE"""),"")</f>
        <v/>
      </c>
      <c r="BJ240" s="217" t="str">
        <f>IFERROR(__xludf.DUMMYFUNCTION("""COMPUTED_VALUE"""),"")</f>
        <v/>
      </c>
      <c r="BK240" s="217" t="str">
        <f>IFERROR(__xludf.DUMMYFUNCTION("""COMPUTED_VALUE"""),"")</f>
        <v/>
      </c>
      <c r="BL240" s="218">
        <f>IFERROR(__xludf.DUMMYFUNCTION("""COMPUTED_VALUE"""),135.5)</f>
        <v>135.5</v>
      </c>
      <c r="BM240" s="217" t="str">
        <f>IFERROR(__xludf.DUMMYFUNCTION("""COMPUTED_VALUE"""),"")</f>
        <v/>
      </c>
      <c r="BN240" s="217" t="str">
        <f>IFERROR(__xludf.DUMMYFUNCTION("""COMPUTED_VALUE"""),"")</f>
        <v/>
      </c>
      <c r="BO240" s="218">
        <f>IFERROR(__xludf.DUMMYFUNCTION("""COMPUTED_VALUE"""),62.8)</f>
        <v>62.8</v>
      </c>
      <c r="BP240" s="217" t="str">
        <f>IFERROR(__xludf.DUMMYFUNCTION("""COMPUTED_VALUE"""),"")</f>
        <v/>
      </c>
      <c r="BQ240" s="217" t="str">
        <f>IFERROR(__xludf.DUMMYFUNCTION("""COMPUTED_VALUE"""),"")</f>
        <v/>
      </c>
      <c r="BR240" s="218" t="str">
        <f>IFERROR(__xludf.DUMMYFUNCTION("""COMPUTED_VALUE"""),"")</f>
        <v/>
      </c>
      <c r="BS240" s="217" t="str">
        <f>IFERROR(__xludf.DUMMYFUNCTION("""COMPUTED_VALUE"""),"")</f>
        <v/>
      </c>
      <c r="BT240" s="217" t="str">
        <f>IFERROR(__xludf.DUMMYFUNCTION("""COMPUTED_VALUE"""),"")</f>
        <v/>
      </c>
      <c r="BU240" s="218" t="str">
        <f>IFERROR(__xludf.DUMMYFUNCTION("""COMPUTED_VALUE"""),"")</f>
        <v/>
      </c>
      <c r="BV240" s="217" t="str">
        <f>IFERROR(__xludf.DUMMYFUNCTION("""COMPUTED_VALUE"""),"")</f>
        <v/>
      </c>
      <c r="BW240" s="217" t="str">
        <f>IFERROR(__xludf.DUMMYFUNCTION("""COMPUTED_VALUE"""),"")</f>
        <v/>
      </c>
      <c r="BX240" s="218" t="str">
        <f>IFERROR(__xludf.DUMMYFUNCTION("""COMPUTED_VALUE"""),"")</f>
        <v/>
      </c>
      <c r="BY240" s="217" t="str">
        <f>IFERROR(__xludf.DUMMYFUNCTION("""COMPUTED_VALUE"""),"")</f>
        <v/>
      </c>
      <c r="BZ240" s="217" t="str">
        <f>IFERROR(__xludf.DUMMYFUNCTION("""COMPUTED_VALUE"""),"")</f>
        <v/>
      </c>
      <c r="CA240" s="218" t="str">
        <f>IFERROR(__xludf.DUMMYFUNCTION("""COMPUTED_VALUE"""),"")</f>
        <v/>
      </c>
      <c r="CB240" s="216" t="str">
        <f>IFERROR(__xludf.DUMMYFUNCTION("""COMPUTED_VALUE"""),"")</f>
        <v/>
      </c>
      <c r="CC240" s="217" t="str">
        <f>IFERROR(__xludf.DUMMYFUNCTION("""COMPUTED_VALUE"""),"")</f>
        <v/>
      </c>
      <c r="CD240" s="218" t="str">
        <f>IFERROR(__xludf.DUMMYFUNCTION("""COMPUTED_VALUE"""),"")</f>
        <v/>
      </c>
      <c r="CE240" s="217" t="str">
        <f>IFERROR(__xludf.DUMMYFUNCTION("""COMPUTED_VALUE"""),"")</f>
        <v/>
      </c>
      <c r="CF240" s="217" t="str">
        <f>IFERROR(__xludf.DUMMYFUNCTION("""COMPUTED_VALUE"""),"")</f>
        <v/>
      </c>
      <c r="CG240" s="218" t="str">
        <f>IFERROR(__xludf.DUMMYFUNCTION("""COMPUTED_VALUE"""),"")</f>
        <v/>
      </c>
      <c r="CH240" s="217" t="str">
        <f>IFERROR(__xludf.DUMMYFUNCTION("""COMPUTED_VALUE"""),"")</f>
        <v/>
      </c>
      <c r="CI240" s="217" t="str">
        <f>IFERROR(__xludf.DUMMYFUNCTION("""COMPUTED_VALUE"""),"")</f>
        <v/>
      </c>
      <c r="CJ240" s="218" t="str">
        <f>IFERROR(__xludf.DUMMYFUNCTION("""COMPUTED_VALUE"""),"")</f>
        <v/>
      </c>
      <c r="CK240" s="217" t="str">
        <f>IFERROR(__xludf.DUMMYFUNCTION("""COMPUTED_VALUE"""),"")</f>
        <v/>
      </c>
      <c r="CL240" s="217" t="str">
        <f>IFERROR(__xludf.DUMMYFUNCTION("""COMPUTED_VALUE"""),"")</f>
        <v/>
      </c>
      <c r="CM240" s="218" t="str">
        <f>IFERROR(__xludf.DUMMYFUNCTION("""COMPUTED_VALUE"""),"")</f>
        <v/>
      </c>
      <c r="CN240" s="217">
        <f>IFERROR(__xludf.DUMMYFUNCTION("""COMPUTED_VALUE"""),254.0)</f>
        <v>254</v>
      </c>
      <c r="CO240" s="217" t="str">
        <f>IFERROR(__xludf.DUMMYFUNCTION("""COMPUTED_VALUE"""),"")</f>
        <v/>
      </c>
      <c r="CP240" s="218" t="str">
        <f>IFERROR(__xludf.DUMMYFUNCTION("""COMPUTED_VALUE"""),"")</f>
        <v/>
      </c>
      <c r="CQ240" s="219" t="str">
        <f>IFERROR(__xludf.DUMMYFUNCTION("""COMPUTED_VALUE"""),"")</f>
        <v/>
      </c>
      <c r="CR240" s="219" t="str">
        <f>IFERROR(__xludf.DUMMYFUNCTION("""COMPUTED_VALUE"""),"")</f>
        <v/>
      </c>
      <c r="CS240" s="220"/>
      <c r="CT240" s="219"/>
      <c r="CU240" s="219"/>
      <c r="CV240" s="220"/>
      <c r="CW240" s="219"/>
      <c r="CX240" s="219"/>
      <c r="CY240" s="220"/>
      <c r="CZ240" s="219"/>
      <c r="DA240" s="219"/>
      <c r="DB240" s="220"/>
      <c r="DC240" s="219"/>
      <c r="DD240" s="219"/>
      <c r="DE240" s="220"/>
      <c r="DF240" s="219"/>
      <c r="DG240" s="219"/>
      <c r="DH240" s="220"/>
      <c r="DI240" s="219"/>
      <c r="DJ240" s="219"/>
      <c r="DK240" s="220"/>
      <c r="DL240" s="219"/>
      <c r="DM240" s="219"/>
      <c r="DN240" s="220"/>
      <c r="DO240" s="219"/>
      <c r="DP240" s="219"/>
      <c r="DQ240" s="220"/>
      <c r="DR240" s="219"/>
      <c r="DS240" s="219"/>
      <c r="DT240" s="220"/>
    </row>
    <row r="241">
      <c r="B241" s="180" t="str">
        <f>IFERROR(__xludf.DUMMYFUNCTION("""COMPUTED_VALUE"""),"OLP4")</f>
        <v>OLP4</v>
      </c>
      <c r="C241">
        <f>IFERROR(__xludf.DUMMYFUNCTION("""COMPUTED_VALUE"""),240.0)</f>
        <v>240</v>
      </c>
      <c r="D241" s="178" t="str">
        <f>IFERROR(__xludf.DUMMYFUNCTION("""COMPUTED_VALUE"""),"Interstellar City: East")</f>
        <v>Interstellar City: East</v>
      </c>
      <c r="E241" s="215" t="str">
        <f>IFERROR(__xludf.DUMMYFUNCTION("""COMPUTED_VALUE"""),"星間都市東部")</f>
        <v>星間都市東部</v>
      </c>
      <c r="F241" s="179">
        <f>IFERROR(__xludf.DUMMYFUNCTION("""COMPUTED_VALUE"""),21.0)</f>
        <v>21</v>
      </c>
      <c r="G241" s="83">
        <f>IFERROR(__xludf.DUMMYFUNCTION("""COMPUTED_VALUE"""),3293.0)</f>
        <v>3293</v>
      </c>
      <c r="H241" s="95" t="str">
        <f>IFERROR(__xludf.DUMMYFUNCTION("""COMPUTED_VALUE"""),"")</f>
        <v/>
      </c>
      <c r="I241" s="96" t="str">
        <f>IFERROR(__xludf.DUMMYFUNCTION("""COMPUTED_VALUE"""),"")</f>
        <v/>
      </c>
      <c r="J241" s="97" t="str">
        <f>IFERROR(__xludf.DUMMYFUNCTION("""COMPUTED_VALUE"""),"")</f>
        <v/>
      </c>
      <c r="K241" s="95" t="str">
        <f>IFERROR(__xludf.DUMMYFUNCTION("""COMPUTED_VALUE"""),"")</f>
        <v/>
      </c>
      <c r="L241" s="96" t="str">
        <f>IFERROR(__xludf.DUMMYFUNCTION("""COMPUTED_VALUE"""),"")</f>
        <v/>
      </c>
      <c r="M241" s="97" t="str">
        <f>IFERROR(__xludf.DUMMYFUNCTION("""COMPUTED_VALUE"""),"")</f>
        <v/>
      </c>
      <c r="N241" s="95" t="str">
        <f>IFERROR(__xludf.DUMMYFUNCTION("""COMPUTED_VALUE"""),"")</f>
        <v/>
      </c>
      <c r="O241" s="96" t="str">
        <f>IFERROR(__xludf.DUMMYFUNCTION("""COMPUTED_VALUE"""),"")</f>
        <v/>
      </c>
      <c r="P241" s="97" t="str">
        <f>IFERROR(__xludf.DUMMYFUNCTION("""COMPUTED_VALUE"""),"")</f>
        <v/>
      </c>
      <c r="Q241" s="95" t="str">
        <f>IFERROR(__xludf.DUMMYFUNCTION("""COMPUTED_VALUE"""),"")</f>
        <v/>
      </c>
      <c r="R241" s="96" t="str">
        <f>IFERROR(__xludf.DUMMYFUNCTION("""COMPUTED_VALUE"""),"")</f>
        <v/>
      </c>
      <c r="S241" s="97" t="str">
        <f>IFERROR(__xludf.DUMMYFUNCTION("""COMPUTED_VALUE"""),"")</f>
        <v/>
      </c>
      <c r="T241" s="95" t="str">
        <f>IFERROR(__xludf.DUMMYFUNCTION("""COMPUTED_VALUE"""),"")</f>
        <v/>
      </c>
      <c r="U241" s="96" t="str">
        <f>IFERROR(__xludf.DUMMYFUNCTION("""COMPUTED_VALUE"""),"")</f>
        <v/>
      </c>
      <c r="V241" s="97" t="str">
        <f>IFERROR(__xludf.DUMMYFUNCTION("""COMPUTED_VALUE"""),"")</f>
        <v/>
      </c>
      <c r="W241" s="95" t="str">
        <f>IFERROR(__xludf.DUMMYFUNCTION("""COMPUTED_VALUE"""),"")</f>
        <v/>
      </c>
      <c r="X241" s="96">
        <f>IFERROR(__xludf.DUMMYFUNCTION("""COMPUTED_VALUE"""),107.4)</f>
        <v>107.4</v>
      </c>
      <c r="Y241" s="97" t="str">
        <f>IFERROR(__xludf.DUMMYFUNCTION("""COMPUTED_VALUE"""),"")</f>
        <v/>
      </c>
      <c r="Z241" s="95" t="str">
        <f>IFERROR(__xludf.DUMMYFUNCTION("""COMPUTED_VALUE"""),"")</f>
        <v/>
      </c>
      <c r="AA241" s="96" t="str">
        <f>IFERROR(__xludf.DUMMYFUNCTION("""COMPUTED_VALUE"""),"")</f>
        <v/>
      </c>
      <c r="AB241" s="97">
        <f>IFERROR(__xludf.DUMMYFUNCTION("""COMPUTED_VALUE"""),84.1)</f>
        <v>84.1</v>
      </c>
      <c r="AC241" s="95" t="str">
        <f>IFERROR(__xludf.DUMMYFUNCTION("""COMPUTED_VALUE"""),"")</f>
        <v/>
      </c>
      <c r="AD241" s="96" t="str">
        <f>IFERROR(__xludf.DUMMYFUNCTION("""COMPUTED_VALUE"""),"")</f>
        <v/>
      </c>
      <c r="AE241" s="97" t="str">
        <f>IFERROR(__xludf.DUMMYFUNCTION("""COMPUTED_VALUE"""),"")</f>
        <v/>
      </c>
      <c r="AF241" s="95" t="str">
        <f>IFERROR(__xludf.DUMMYFUNCTION("""COMPUTED_VALUE"""),"")</f>
        <v/>
      </c>
      <c r="AG241" s="96" t="str">
        <f>IFERROR(__xludf.DUMMYFUNCTION("""COMPUTED_VALUE"""),"")</f>
        <v/>
      </c>
      <c r="AH241" s="97" t="str">
        <f>IFERROR(__xludf.DUMMYFUNCTION("""COMPUTED_VALUE"""),"")</f>
        <v/>
      </c>
      <c r="AI241" s="216" t="str">
        <f>IFERROR(__xludf.DUMMYFUNCTION("""COMPUTED_VALUE"""),"")</f>
        <v/>
      </c>
      <c r="AJ241" s="217" t="str">
        <f>IFERROR(__xludf.DUMMYFUNCTION("""COMPUTED_VALUE"""),"")</f>
        <v/>
      </c>
      <c r="AK241" s="218" t="str">
        <f>IFERROR(__xludf.DUMMYFUNCTION("""COMPUTED_VALUE"""),"")</f>
        <v/>
      </c>
      <c r="AL241" s="217" t="str">
        <f>IFERROR(__xludf.DUMMYFUNCTION("""COMPUTED_VALUE"""),"")</f>
        <v/>
      </c>
      <c r="AM241" s="217" t="str">
        <f>IFERROR(__xludf.DUMMYFUNCTION("""COMPUTED_VALUE"""),"")</f>
        <v/>
      </c>
      <c r="AN241" s="218" t="str">
        <f>IFERROR(__xludf.DUMMYFUNCTION("""COMPUTED_VALUE"""),"")</f>
        <v/>
      </c>
      <c r="AO241" s="217" t="str">
        <f>IFERROR(__xludf.DUMMYFUNCTION("""COMPUTED_VALUE"""),"")</f>
        <v/>
      </c>
      <c r="AP241" s="217" t="str">
        <f>IFERROR(__xludf.DUMMYFUNCTION("""COMPUTED_VALUE"""),"")</f>
        <v/>
      </c>
      <c r="AQ241" s="218" t="str">
        <f>IFERROR(__xludf.DUMMYFUNCTION("""COMPUTED_VALUE"""),"")</f>
        <v/>
      </c>
      <c r="AR241" s="217" t="str">
        <f>IFERROR(__xludf.DUMMYFUNCTION("""COMPUTED_VALUE"""),"")</f>
        <v/>
      </c>
      <c r="AS241" s="217" t="str">
        <f>IFERROR(__xludf.DUMMYFUNCTION("""COMPUTED_VALUE"""),"")</f>
        <v/>
      </c>
      <c r="AT241" s="218" t="str">
        <f>IFERROR(__xludf.DUMMYFUNCTION("""COMPUTED_VALUE"""),"")</f>
        <v/>
      </c>
      <c r="AU241" s="217" t="str">
        <f>IFERROR(__xludf.DUMMYFUNCTION("""COMPUTED_VALUE"""),"")</f>
        <v/>
      </c>
      <c r="AV241" s="217" t="str">
        <f>IFERROR(__xludf.DUMMYFUNCTION("""COMPUTED_VALUE"""),"")</f>
        <v/>
      </c>
      <c r="AW241" s="218" t="str">
        <f>IFERROR(__xludf.DUMMYFUNCTION("""COMPUTED_VALUE"""),"")</f>
        <v/>
      </c>
      <c r="AX241" s="217" t="str">
        <f>IFERROR(__xludf.DUMMYFUNCTION("""COMPUTED_VALUE"""),"")</f>
        <v/>
      </c>
      <c r="AY241" s="217" t="str">
        <f>IFERROR(__xludf.DUMMYFUNCTION("""COMPUTED_VALUE"""),"")</f>
        <v/>
      </c>
      <c r="AZ241" s="218" t="str">
        <f>IFERROR(__xludf.DUMMYFUNCTION("""COMPUTED_VALUE"""),"")</f>
        <v/>
      </c>
      <c r="BA241" s="217" t="str">
        <f>IFERROR(__xludf.DUMMYFUNCTION("""COMPUTED_VALUE"""),"")</f>
        <v/>
      </c>
      <c r="BB241" s="217" t="str">
        <f>IFERROR(__xludf.DUMMYFUNCTION("""COMPUTED_VALUE"""),"")</f>
        <v/>
      </c>
      <c r="BC241" s="218" t="str">
        <f>IFERROR(__xludf.DUMMYFUNCTION("""COMPUTED_VALUE"""),"")</f>
        <v/>
      </c>
      <c r="BD241" s="217" t="str">
        <f>IFERROR(__xludf.DUMMYFUNCTION("""COMPUTED_VALUE"""),"")</f>
        <v/>
      </c>
      <c r="BE241" s="217" t="str">
        <f>IFERROR(__xludf.DUMMYFUNCTION("""COMPUTED_VALUE"""),"")</f>
        <v/>
      </c>
      <c r="BF241" s="218" t="str">
        <f>IFERROR(__xludf.DUMMYFUNCTION("""COMPUTED_VALUE"""),"")</f>
        <v/>
      </c>
      <c r="BG241" s="216" t="str">
        <f>IFERROR(__xludf.DUMMYFUNCTION("""COMPUTED_VALUE"""),"")</f>
        <v/>
      </c>
      <c r="BH241" s="217" t="str">
        <f>IFERROR(__xludf.DUMMYFUNCTION("""COMPUTED_VALUE"""),"")</f>
        <v/>
      </c>
      <c r="BI241" s="218">
        <f>IFERROR(__xludf.DUMMYFUNCTION("""COMPUTED_VALUE"""),398.9)</f>
        <v>398.9</v>
      </c>
      <c r="BJ241" s="217" t="str">
        <f>IFERROR(__xludf.DUMMYFUNCTION("""COMPUTED_VALUE"""),"")</f>
        <v/>
      </c>
      <c r="BK241" s="217" t="str">
        <f>IFERROR(__xludf.DUMMYFUNCTION("""COMPUTED_VALUE"""),"")</f>
        <v/>
      </c>
      <c r="BL241" s="218">
        <f>IFERROR(__xludf.DUMMYFUNCTION("""COMPUTED_VALUE"""),153.7)</f>
        <v>153.7</v>
      </c>
      <c r="BM241" s="217" t="str">
        <f>IFERROR(__xludf.DUMMYFUNCTION("""COMPUTED_VALUE"""),"")</f>
        <v/>
      </c>
      <c r="BN241" s="217" t="str">
        <f>IFERROR(__xludf.DUMMYFUNCTION("""COMPUTED_VALUE"""),"")</f>
        <v/>
      </c>
      <c r="BO241" s="218" t="str">
        <f>IFERROR(__xludf.DUMMYFUNCTION("""COMPUTED_VALUE"""),"")</f>
        <v/>
      </c>
      <c r="BP241" s="217" t="str">
        <f>IFERROR(__xludf.DUMMYFUNCTION("""COMPUTED_VALUE"""),"")</f>
        <v/>
      </c>
      <c r="BQ241" s="217" t="str">
        <f>IFERROR(__xludf.DUMMYFUNCTION("""COMPUTED_VALUE"""),"")</f>
        <v/>
      </c>
      <c r="BR241" s="218" t="str">
        <f>IFERROR(__xludf.DUMMYFUNCTION("""COMPUTED_VALUE"""),"")</f>
        <v/>
      </c>
      <c r="BS241" s="217" t="str">
        <f>IFERROR(__xludf.DUMMYFUNCTION("""COMPUTED_VALUE"""),"")</f>
        <v/>
      </c>
      <c r="BT241" s="217" t="str">
        <f>IFERROR(__xludf.DUMMYFUNCTION("""COMPUTED_VALUE"""),"")</f>
        <v/>
      </c>
      <c r="BU241" s="218" t="str">
        <f>IFERROR(__xludf.DUMMYFUNCTION("""COMPUTED_VALUE"""),"")</f>
        <v/>
      </c>
      <c r="BV241" s="217" t="str">
        <f>IFERROR(__xludf.DUMMYFUNCTION("""COMPUTED_VALUE"""),"")</f>
        <v/>
      </c>
      <c r="BW241" s="217">
        <f>IFERROR(__xludf.DUMMYFUNCTION("""COMPUTED_VALUE"""),102.3)</f>
        <v>102.3</v>
      </c>
      <c r="BX241" s="218" t="str">
        <f>IFERROR(__xludf.DUMMYFUNCTION("""COMPUTED_VALUE"""),"")</f>
        <v/>
      </c>
      <c r="BY241" s="217" t="str">
        <f>IFERROR(__xludf.DUMMYFUNCTION("""COMPUTED_VALUE"""),"")</f>
        <v/>
      </c>
      <c r="BZ241" s="217" t="str">
        <f>IFERROR(__xludf.DUMMYFUNCTION("""COMPUTED_VALUE"""),"")</f>
        <v/>
      </c>
      <c r="CA241" s="218" t="str">
        <f>IFERROR(__xludf.DUMMYFUNCTION("""COMPUTED_VALUE"""),"")</f>
        <v/>
      </c>
      <c r="CB241" s="216" t="str">
        <f>IFERROR(__xludf.DUMMYFUNCTION("""COMPUTED_VALUE"""),"")</f>
        <v/>
      </c>
      <c r="CC241" s="217" t="str">
        <f>IFERROR(__xludf.DUMMYFUNCTION("""COMPUTED_VALUE"""),"")</f>
        <v/>
      </c>
      <c r="CD241" s="218" t="str">
        <f>IFERROR(__xludf.DUMMYFUNCTION("""COMPUTED_VALUE"""),"")</f>
        <v/>
      </c>
      <c r="CE241" s="217" t="str">
        <f>IFERROR(__xludf.DUMMYFUNCTION("""COMPUTED_VALUE"""),"")</f>
        <v/>
      </c>
      <c r="CF241" s="217" t="str">
        <f>IFERROR(__xludf.DUMMYFUNCTION("""COMPUTED_VALUE"""),"")</f>
        <v/>
      </c>
      <c r="CG241" s="218" t="str">
        <f>IFERROR(__xludf.DUMMYFUNCTION("""COMPUTED_VALUE"""),"")</f>
        <v/>
      </c>
      <c r="CH241" s="217" t="str">
        <f>IFERROR(__xludf.DUMMYFUNCTION("""COMPUTED_VALUE"""),"")</f>
        <v/>
      </c>
      <c r="CI241" s="217" t="str">
        <f>IFERROR(__xludf.DUMMYFUNCTION("""COMPUTED_VALUE"""),"")</f>
        <v/>
      </c>
      <c r="CJ241" s="218" t="str">
        <f>IFERROR(__xludf.DUMMYFUNCTION("""COMPUTED_VALUE"""),"")</f>
        <v/>
      </c>
      <c r="CK241" s="217" t="str">
        <f>IFERROR(__xludf.DUMMYFUNCTION("""COMPUTED_VALUE"""),"")</f>
        <v/>
      </c>
      <c r="CL241" s="217" t="str">
        <f>IFERROR(__xludf.DUMMYFUNCTION("""COMPUTED_VALUE"""),"")</f>
        <v/>
      </c>
      <c r="CM241" s="218" t="str">
        <f>IFERROR(__xludf.DUMMYFUNCTION("""COMPUTED_VALUE"""),"")</f>
        <v/>
      </c>
      <c r="CN241" s="217">
        <f>IFERROR(__xludf.DUMMYFUNCTION("""COMPUTED_VALUE"""),368.1)</f>
        <v>368.1</v>
      </c>
      <c r="CO241" s="217" t="str">
        <f>IFERROR(__xludf.DUMMYFUNCTION("""COMPUTED_VALUE"""),"")</f>
        <v/>
      </c>
      <c r="CP241" s="218" t="str">
        <f>IFERROR(__xludf.DUMMYFUNCTION("""COMPUTED_VALUE"""),"")</f>
        <v/>
      </c>
      <c r="CQ241" s="93" t="str">
        <f>IFERROR(__xludf.DUMMYFUNCTION("""COMPUTED_VALUE"""),"")</f>
        <v/>
      </c>
      <c r="CR241" s="93" t="str">
        <f>IFERROR(__xludf.DUMMYFUNCTION("""COMPUTED_VALUE"""),"")</f>
        <v/>
      </c>
      <c r="CS241" s="94"/>
      <c r="CT241" s="93"/>
      <c r="CU241" s="93"/>
      <c r="CV241" s="94"/>
      <c r="CW241" s="93"/>
      <c r="CX241" s="93"/>
      <c r="CY241" s="94"/>
      <c r="CZ241" s="93"/>
      <c r="DA241" s="93"/>
      <c r="DB241" s="94"/>
      <c r="DC241" s="93"/>
      <c r="DD241" s="93"/>
      <c r="DE241" s="94"/>
      <c r="DF241" s="93"/>
      <c r="DG241" s="93"/>
      <c r="DH241" s="94"/>
      <c r="DI241" s="93"/>
      <c r="DJ241" s="93"/>
      <c r="DK241" s="94"/>
      <c r="DL241" s="93"/>
      <c r="DM241" s="93"/>
      <c r="DN241" s="94"/>
      <c r="DO241" s="93"/>
      <c r="DP241" s="93"/>
      <c r="DQ241" s="94"/>
      <c r="DR241" s="93"/>
      <c r="DS241" s="93"/>
      <c r="DT241" s="94"/>
    </row>
    <row r="242">
      <c r="B242" s="180" t="str">
        <f>IFERROR(__xludf.DUMMYFUNCTION("""COMPUTED_VALUE"""),"OLP5")</f>
        <v>OLP5</v>
      </c>
      <c r="C242">
        <f>IFERROR(__xludf.DUMMYFUNCTION("""COMPUTED_VALUE"""),241.0)</f>
        <v>241</v>
      </c>
      <c r="D242" s="178" t="str">
        <f>IFERROR(__xludf.DUMMYFUNCTION("""COMPUTED_VALUE"""),"Grand Workshop")</f>
        <v>Grand Workshop</v>
      </c>
      <c r="E242" s="215" t="str">
        <f>IFERROR(__xludf.DUMMYFUNCTION("""COMPUTED_VALUE"""),"大工房")</f>
        <v>大工房</v>
      </c>
      <c r="F242" s="179">
        <f>IFERROR(__xludf.DUMMYFUNCTION("""COMPUTED_VALUE"""),21.0)</f>
        <v>21</v>
      </c>
      <c r="G242" s="83">
        <f>IFERROR(__xludf.DUMMYFUNCTION("""COMPUTED_VALUE"""),4719.0)</f>
        <v>4719</v>
      </c>
      <c r="H242" s="95" t="str">
        <f>IFERROR(__xludf.DUMMYFUNCTION("""COMPUTED_VALUE"""),"")</f>
        <v/>
      </c>
      <c r="I242" s="96" t="str">
        <f>IFERROR(__xludf.DUMMYFUNCTION("""COMPUTED_VALUE"""),"")</f>
        <v/>
      </c>
      <c r="J242" s="97" t="str">
        <f>IFERROR(__xludf.DUMMYFUNCTION("""COMPUTED_VALUE"""),"")</f>
        <v/>
      </c>
      <c r="K242" s="95" t="str">
        <f>IFERROR(__xludf.DUMMYFUNCTION("""COMPUTED_VALUE"""),"")</f>
        <v/>
      </c>
      <c r="L242" s="96" t="str">
        <f>IFERROR(__xludf.DUMMYFUNCTION("""COMPUTED_VALUE"""),"")</f>
        <v/>
      </c>
      <c r="M242" s="97" t="str">
        <f>IFERROR(__xludf.DUMMYFUNCTION("""COMPUTED_VALUE"""),"")</f>
        <v/>
      </c>
      <c r="N242" s="95" t="str">
        <f>IFERROR(__xludf.DUMMYFUNCTION("""COMPUTED_VALUE"""),"")</f>
        <v/>
      </c>
      <c r="O242" s="96" t="str">
        <f>IFERROR(__xludf.DUMMYFUNCTION("""COMPUTED_VALUE"""),"")</f>
        <v/>
      </c>
      <c r="P242" s="97" t="str">
        <f>IFERROR(__xludf.DUMMYFUNCTION("""COMPUTED_VALUE"""),"")</f>
        <v/>
      </c>
      <c r="Q242" s="95" t="str">
        <f>IFERROR(__xludf.DUMMYFUNCTION("""COMPUTED_VALUE"""),"")</f>
        <v/>
      </c>
      <c r="R242" s="96" t="str">
        <f>IFERROR(__xludf.DUMMYFUNCTION("""COMPUTED_VALUE"""),"")</f>
        <v/>
      </c>
      <c r="S242" s="97">
        <f>IFERROR(__xludf.DUMMYFUNCTION("""COMPUTED_VALUE"""),209.1)</f>
        <v>209.1</v>
      </c>
      <c r="T242" s="95" t="str">
        <f>IFERROR(__xludf.DUMMYFUNCTION("""COMPUTED_VALUE"""),"")</f>
        <v/>
      </c>
      <c r="U242" s="96" t="str">
        <f>IFERROR(__xludf.DUMMYFUNCTION("""COMPUTED_VALUE"""),"")</f>
        <v/>
      </c>
      <c r="V242" s="97" t="str">
        <f>IFERROR(__xludf.DUMMYFUNCTION("""COMPUTED_VALUE"""),"")</f>
        <v/>
      </c>
      <c r="W242" s="95" t="str">
        <f>IFERROR(__xludf.DUMMYFUNCTION("""COMPUTED_VALUE"""),"")</f>
        <v/>
      </c>
      <c r="X242" s="96" t="str">
        <f>IFERROR(__xludf.DUMMYFUNCTION("""COMPUTED_VALUE"""),"")</f>
        <v/>
      </c>
      <c r="Y242" s="97" t="str">
        <f>IFERROR(__xludf.DUMMYFUNCTION("""COMPUTED_VALUE"""),"")</f>
        <v/>
      </c>
      <c r="Z242" s="95" t="str">
        <f>IFERROR(__xludf.DUMMYFUNCTION("""COMPUTED_VALUE"""),"")</f>
        <v/>
      </c>
      <c r="AA242" s="96" t="str">
        <f>IFERROR(__xludf.DUMMYFUNCTION("""COMPUTED_VALUE"""),"")</f>
        <v/>
      </c>
      <c r="AB242" s="97" t="str">
        <f>IFERROR(__xludf.DUMMYFUNCTION("""COMPUTED_VALUE"""),"")</f>
        <v/>
      </c>
      <c r="AC242" s="95" t="str">
        <f>IFERROR(__xludf.DUMMYFUNCTION("""COMPUTED_VALUE"""),"")</f>
        <v/>
      </c>
      <c r="AD242" s="96" t="str">
        <f>IFERROR(__xludf.DUMMYFUNCTION("""COMPUTED_VALUE"""),"")</f>
        <v/>
      </c>
      <c r="AE242" s="97" t="str">
        <f>IFERROR(__xludf.DUMMYFUNCTION("""COMPUTED_VALUE"""),"")</f>
        <v/>
      </c>
      <c r="AF242" s="95" t="str">
        <f>IFERROR(__xludf.DUMMYFUNCTION("""COMPUTED_VALUE"""),"")</f>
        <v/>
      </c>
      <c r="AG242" s="96" t="str">
        <f>IFERROR(__xludf.DUMMYFUNCTION("""COMPUTED_VALUE"""),"")</f>
        <v/>
      </c>
      <c r="AH242" s="97" t="str">
        <f>IFERROR(__xludf.DUMMYFUNCTION("""COMPUTED_VALUE"""),"")</f>
        <v/>
      </c>
      <c r="AI242" s="216" t="str">
        <f>IFERROR(__xludf.DUMMYFUNCTION("""COMPUTED_VALUE"""),"")</f>
        <v/>
      </c>
      <c r="AJ242" s="217" t="str">
        <f>IFERROR(__xludf.DUMMYFUNCTION("""COMPUTED_VALUE"""),"")</f>
        <v/>
      </c>
      <c r="AK242" s="218" t="str">
        <f>IFERROR(__xludf.DUMMYFUNCTION("""COMPUTED_VALUE"""),"")</f>
        <v/>
      </c>
      <c r="AL242" s="217" t="str">
        <f>IFERROR(__xludf.DUMMYFUNCTION("""COMPUTED_VALUE"""),"")</f>
        <v/>
      </c>
      <c r="AM242" s="217" t="str">
        <f>IFERROR(__xludf.DUMMYFUNCTION("""COMPUTED_VALUE"""),"")</f>
        <v/>
      </c>
      <c r="AN242" s="218" t="str">
        <f>IFERROR(__xludf.DUMMYFUNCTION("""COMPUTED_VALUE"""),"")</f>
        <v/>
      </c>
      <c r="AO242" s="217" t="str">
        <f>IFERROR(__xludf.DUMMYFUNCTION("""COMPUTED_VALUE"""),"")</f>
        <v/>
      </c>
      <c r="AP242" s="217" t="str">
        <f>IFERROR(__xludf.DUMMYFUNCTION("""COMPUTED_VALUE"""),"")</f>
        <v/>
      </c>
      <c r="AQ242" s="218" t="str">
        <f>IFERROR(__xludf.DUMMYFUNCTION("""COMPUTED_VALUE"""),"")</f>
        <v/>
      </c>
      <c r="AR242" s="217">
        <f>IFERROR(__xludf.DUMMYFUNCTION("""COMPUTED_VALUE"""),112.0)</f>
        <v>112</v>
      </c>
      <c r="AS242" s="217" t="str">
        <f>IFERROR(__xludf.DUMMYFUNCTION("""COMPUTED_VALUE"""),"")</f>
        <v/>
      </c>
      <c r="AT242" s="218" t="str">
        <f>IFERROR(__xludf.DUMMYFUNCTION("""COMPUTED_VALUE"""),"")</f>
        <v/>
      </c>
      <c r="AU242" s="217" t="str">
        <f>IFERROR(__xludf.DUMMYFUNCTION("""COMPUTED_VALUE"""),"")</f>
        <v/>
      </c>
      <c r="AV242" s="217" t="str">
        <f>IFERROR(__xludf.DUMMYFUNCTION("""COMPUTED_VALUE"""),"")</f>
        <v/>
      </c>
      <c r="AW242" s="218">
        <f>IFERROR(__xludf.DUMMYFUNCTION("""COMPUTED_VALUE"""),70.2)</f>
        <v>70.2</v>
      </c>
      <c r="AX242" s="217" t="str">
        <f>IFERROR(__xludf.DUMMYFUNCTION("""COMPUTED_VALUE"""),"")</f>
        <v/>
      </c>
      <c r="AY242" s="217" t="str">
        <f>IFERROR(__xludf.DUMMYFUNCTION("""COMPUTED_VALUE"""),"")</f>
        <v/>
      </c>
      <c r="AZ242" s="218" t="str">
        <f>IFERROR(__xludf.DUMMYFUNCTION("""COMPUTED_VALUE"""),"")</f>
        <v/>
      </c>
      <c r="BA242" s="217" t="str">
        <f>IFERROR(__xludf.DUMMYFUNCTION("""COMPUTED_VALUE"""),"")</f>
        <v/>
      </c>
      <c r="BB242" s="217" t="str">
        <f>IFERROR(__xludf.DUMMYFUNCTION("""COMPUTED_VALUE"""),"")</f>
        <v/>
      </c>
      <c r="BC242" s="218" t="str">
        <f>IFERROR(__xludf.DUMMYFUNCTION("""COMPUTED_VALUE"""),"")</f>
        <v/>
      </c>
      <c r="BD242" s="217">
        <f>IFERROR(__xludf.DUMMYFUNCTION("""COMPUTED_VALUE"""),510.2)</f>
        <v>510.2</v>
      </c>
      <c r="BE242" s="217" t="str">
        <f>IFERROR(__xludf.DUMMYFUNCTION("""COMPUTED_VALUE"""),"")</f>
        <v/>
      </c>
      <c r="BF242" s="218" t="str">
        <f>IFERROR(__xludf.DUMMYFUNCTION("""COMPUTED_VALUE"""),"")</f>
        <v/>
      </c>
      <c r="BG242" s="216" t="str">
        <f>IFERROR(__xludf.DUMMYFUNCTION("""COMPUTED_VALUE"""),"")</f>
        <v/>
      </c>
      <c r="BH242" s="217" t="str">
        <f>IFERROR(__xludf.DUMMYFUNCTION("""COMPUTED_VALUE"""),"")</f>
        <v/>
      </c>
      <c r="BI242" s="218" t="str">
        <f>IFERROR(__xludf.DUMMYFUNCTION("""COMPUTED_VALUE"""),"")</f>
        <v/>
      </c>
      <c r="BJ242" s="217" t="str">
        <f>IFERROR(__xludf.DUMMYFUNCTION("""COMPUTED_VALUE"""),"")</f>
        <v/>
      </c>
      <c r="BK242" s="217" t="str">
        <f>IFERROR(__xludf.DUMMYFUNCTION("""COMPUTED_VALUE"""),"")</f>
        <v/>
      </c>
      <c r="BL242" s="218" t="str">
        <f>IFERROR(__xludf.DUMMYFUNCTION("""COMPUTED_VALUE"""),"")</f>
        <v/>
      </c>
      <c r="BM242" s="217" t="str">
        <f>IFERROR(__xludf.DUMMYFUNCTION("""COMPUTED_VALUE"""),"")</f>
        <v/>
      </c>
      <c r="BN242" s="217" t="str">
        <f>IFERROR(__xludf.DUMMYFUNCTION("""COMPUTED_VALUE"""),"")</f>
        <v/>
      </c>
      <c r="BO242" s="218">
        <f>IFERROR(__xludf.DUMMYFUNCTION("""COMPUTED_VALUE"""),67.5)</f>
        <v>67.5</v>
      </c>
      <c r="BP242" s="217" t="str">
        <f>IFERROR(__xludf.DUMMYFUNCTION("""COMPUTED_VALUE"""),"")</f>
        <v/>
      </c>
      <c r="BQ242" s="217" t="str">
        <f>IFERROR(__xludf.DUMMYFUNCTION("""COMPUTED_VALUE"""),"")</f>
        <v/>
      </c>
      <c r="BR242" s="218" t="str">
        <f>IFERROR(__xludf.DUMMYFUNCTION("""COMPUTED_VALUE"""),"")</f>
        <v/>
      </c>
      <c r="BS242" s="217" t="str">
        <f>IFERROR(__xludf.DUMMYFUNCTION("""COMPUTED_VALUE"""),"")</f>
        <v/>
      </c>
      <c r="BT242" s="217" t="str">
        <f>IFERROR(__xludf.DUMMYFUNCTION("""COMPUTED_VALUE"""),"")</f>
        <v/>
      </c>
      <c r="BU242" s="218" t="str">
        <f>IFERROR(__xludf.DUMMYFUNCTION("""COMPUTED_VALUE"""),"")</f>
        <v/>
      </c>
      <c r="BV242" s="217" t="str">
        <f>IFERROR(__xludf.DUMMYFUNCTION("""COMPUTED_VALUE"""),"")</f>
        <v/>
      </c>
      <c r="BW242" s="217" t="str">
        <f>IFERROR(__xludf.DUMMYFUNCTION("""COMPUTED_VALUE"""),"")</f>
        <v/>
      </c>
      <c r="BX242" s="218" t="str">
        <f>IFERROR(__xludf.DUMMYFUNCTION("""COMPUTED_VALUE"""),"")</f>
        <v/>
      </c>
      <c r="BY242" s="217" t="str">
        <f>IFERROR(__xludf.DUMMYFUNCTION("""COMPUTED_VALUE"""),"")</f>
        <v/>
      </c>
      <c r="BZ242" s="217" t="str">
        <f>IFERROR(__xludf.DUMMYFUNCTION("""COMPUTED_VALUE"""),"")</f>
        <v/>
      </c>
      <c r="CA242" s="218" t="str">
        <f>IFERROR(__xludf.DUMMYFUNCTION("""COMPUTED_VALUE"""),"")</f>
        <v/>
      </c>
      <c r="CB242" s="216" t="str">
        <f>IFERROR(__xludf.DUMMYFUNCTION("""COMPUTED_VALUE"""),"")</f>
        <v/>
      </c>
      <c r="CC242" s="217" t="str">
        <f>IFERROR(__xludf.DUMMYFUNCTION("""COMPUTED_VALUE"""),"")</f>
        <v/>
      </c>
      <c r="CD242" s="218" t="str">
        <f>IFERROR(__xludf.DUMMYFUNCTION("""COMPUTED_VALUE"""),"")</f>
        <v/>
      </c>
      <c r="CE242" s="217" t="str">
        <f>IFERROR(__xludf.DUMMYFUNCTION("""COMPUTED_VALUE"""),"")</f>
        <v/>
      </c>
      <c r="CF242" s="217" t="str">
        <f>IFERROR(__xludf.DUMMYFUNCTION("""COMPUTED_VALUE"""),"")</f>
        <v/>
      </c>
      <c r="CG242" s="218" t="str">
        <f>IFERROR(__xludf.DUMMYFUNCTION("""COMPUTED_VALUE"""),"")</f>
        <v/>
      </c>
      <c r="CH242" s="217" t="str">
        <f>IFERROR(__xludf.DUMMYFUNCTION("""COMPUTED_VALUE"""),"")</f>
        <v/>
      </c>
      <c r="CI242" s="217" t="str">
        <f>IFERROR(__xludf.DUMMYFUNCTION("""COMPUTED_VALUE"""),"")</f>
        <v/>
      </c>
      <c r="CJ242" s="218" t="str">
        <f>IFERROR(__xludf.DUMMYFUNCTION("""COMPUTED_VALUE"""),"")</f>
        <v/>
      </c>
      <c r="CK242" s="217" t="str">
        <f>IFERROR(__xludf.DUMMYFUNCTION("""COMPUTED_VALUE"""),"")</f>
        <v/>
      </c>
      <c r="CL242" s="217" t="str">
        <f>IFERROR(__xludf.DUMMYFUNCTION("""COMPUTED_VALUE"""),"")</f>
        <v/>
      </c>
      <c r="CM242" s="218">
        <f>IFERROR(__xludf.DUMMYFUNCTION("""COMPUTED_VALUE"""),438.7)</f>
        <v>438.7</v>
      </c>
      <c r="CN242" s="217" t="str">
        <f>IFERROR(__xludf.DUMMYFUNCTION("""COMPUTED_VALUE"""),"")</f>
        <v/>
      </c>
      <c r="CO242" s="217" t="str">
        <f>IFERROR(__xludf.DUMMYFUNCTION("""COMPUTED_VALUE"""),"")</f>
        <v/>
      </c>
      <c r="CP242" s="218" t="str">
        <f>IFERROR(__xludf.DUMMYFUNCTION("""COMPUTED_VALUE"""),"")</f>
        <v/>
      </c>
      <c r="CQ242" s="219" t="str">
        <f>IFERROR(__xludf.DUMMYFUNCTION("""COMPUTED_VALUE"""),"")</f>
        <v/>
      </c>
      <c r="CR242" s="219" t="str">
        <f>IFERROR(__xludf.DUMMYFUNCTION("""COMPUTED_VALUE"""),"")</f>
        <v/>
      </c>
      <c r="CS242" s="220"/>
      <c r="CT242" s="219"/>
      <c r="CU242" s="219"/>
      <c r="CV242" s="220"/>
      <c r="CW242" s="219"/>
      <c r="CX242" s="219"/>
      <c r="CY242" s="220"/>
      <c r="CZ242" s="219"/>
      <c r="DA242" s="219"/>
      <c r="DB242" s="220"/>
      <c r="DC242" s="219"/>
      <c r="DD242" s="219"/>
      <c r="DE242" s="220"/>
      <c r="DF242" s="219"/>
      <c r="DG242" s="219"/>
      <c r="DH242" s="220"/>
      <c r="DI242" s="219"/>
      <c r="DJ242" s="219"/>
      <c r="DK242" s="220"/>
      <c r="DL242" s="219"/>
      <c r="DM242" s="219"/>
      <c r="DN242" s="220"/>
      <c r="DO242" s="219"/>
      <c r="DP242" s="219"/>
      <c r="DQ242" s="220"/>
      <c r="DR242" s="219"/>
      <c r="DS242" s="219"/>
      <c r="DT242" s="220"/>
    </row>
    <row r="243">
      <c r="B243" s="180" t="str">
        <f>IFERROR(__xludf.DUMMYFUNCTION("""COMPUTED_VALUE"""),"OLP6")</f>
        <v>OLP6</v>
      </c>
      <c r="C243">
        <f>IFERROR(__xludf.DUMMYFUNCTION("""COMPUTED_VALUE"""),242.0)</f>
        <v>242</v>
      </c>
      <c r="D243" s="178" t="str">
        <f>IFERROR(__xludf.DUMMYFUNCTION("""COMPUTED_VALUE"""),"God Slayers League Base")</f>
        <v>God Slayers League Base</v>
      </c>
      <c r="E243" s="215" t="str">
        <f>IFERROR(__xludf.DUMMYFUNCTION("""COMPUTED_VALUE"""),"破神同盟基地")</f>
        <v>破神同盟基地</v>
      </c>
      <c r="F243" s="179">
        <f>IFERROR(__xludf.DUMMYFUNCTION("""COMPUTED_VALUE"""),21.0)</f>
        <v>21</v>
      </c>
      <c r="G243" s="83">
        <f>IFERROR(__xludf.DUMMYFUNCTION("""COMPUTED_VALUE"""),3244.0)</f>
        <v>3244</v>
      </c>
      <c r="H243" s="95" t="str">
        <f>IFERROR(__xludf.DUMMYFUNCTION("""COMPUTED_VALUE"""),"")</f>
        <v/>
      </c>
      <c r="I243" s="96" t="str">
        <f>IFERROR(__xludf.DUMMYFUNCTION("""COMPUTED_VALUE"""),"")</f>
        <v/>
      </c>
      <c r="J243" s="97" t="str">
        <f>IFERROR(__xludf.DUMMYFUNCTION("""COMPUTED_VALUE"""),"")</f>
        <v/>
      </c>
      <c r="K243" s="95" t="str">
        <f>IFERROR(__xludf.DUMMYFUNCTION("""COMPUTED_VALUE"""),"")</f>
        <v/>
      </c>
      <c r="L243" s="96" t="str">
        <f>IFERROR(__xludf.DUMMYFUNCTION("""COMPUTED_VALUE"""),"")</f>
        <v/>
      </c>
      <c r="M243" s="97" t="str">
        <f>IFERROR(__xludf.DUMMYFUNCTION("""COMPUTED_VALUE"""),"")</f>
        <v/>
      </c>
      <c r="N243" s="95" t="str">
        <f>IFERROR(__xludf.DUMMYFUNCTION("""COMPUTED_VALUE"""),"")</f>
        <v/>
      </c>
      <c r="O243" s="96" t="str">
        <f>IFERROR(__xludf.DUMMYFUNCTION("""COMPUTED_VALUE"""),"")</f>
        <v/>
      </c>
      <c r="P243" s="97" t="str">
        <f>IFERROR(__xludf.DUMMYFUNCTION("""COMPUTED_VALUE"""),"")</f>
        <v/>
      </c>
      <c r="Q243" s="95" t="str">
        <f>IFERROR(__xludf.DUMMYFUNCTION("""COMPUTED_VALUE"""),"")</f>
        <v/>
      </c>
      <c r="R243" s="96" t="str">
        <f>IFERROR(__xludf.DUMMYFUNCTION("""COMPUTED_VALUE"""),"")</f>
        <v/>
      </c>
      <c r="S243" s="97" t="str">
        <f>IFERROR(__xludf.DUMMYFUNCTION("""COMPUTED_VALUE"""),"")</f>
        <v/>
      </c>
      <c r="T243" s="95">
        <f>IFERROR(__xludf.DUMMYFUNCTION("""COMPUTED_VALUE"""),105.5)</f>
        <v>105.5</v>
      </c>
      <c r="U243" s="96" t="str">
        <f>IFERROR(__xludf.DUMMYFUNCTION("""COMPUTED_VALUE"""),"")</f>
        <v/>
      </c>
      <c r="V243" s="97" t="str">
        <f>IFERROR(__xludf.DUMMYFUNCTION("""COMPUTED_VALUE"""),"")</f>
        <v/>
      </c>
      <c r="W243" s="95" t="str">
        <f>IFERROR(__xludf.DUMMYFUNCTION("""COMPUTED_VALUE"""),"")</f>
        <v/>
      </c>
      <c r="X243" s="96" t="str">
        <f>IFERROR(__xludf.DUMMYFUNCTION("""COMPUTED_VALUE"""),"")</f>
        <v/>
      </c>
      <c r="Y243" s="97" t="str">
        <f>IFERROR(__xludf.DUMMYFUNCTION("""COMPUTED_VALUE"""),"")</f>
        <v/>
      </c>
      <c r="Z243" s="95" t="str">
        <f>IFERROR(__xludf.DUMMYFUNCTION("""COMPUTED_VALUE"""),"")</f>
        <v/>
      </c>
      <c r="AA243" s="96" t="str">
        <f>IFERROR(__xludf.DUMMYFUNCTION("""COMPUTED_VALUE"""),"")</f>
        <v/>
      </c>
      <c r="AB243" s="97" t="str">
        <f>IFERROR(__xludf.DUMMYFUNCTION("""COMPUTED_VALUE"""),"")</f>
        <v/>
      </c>
      <c r="AC243" s="95" t="str">
        <f>IFERROR(__xludf.DUMMYFUNCTION("""COMPUTED_VALUE"""),"")</f>
        <v/>
      </c>
      <c r="AD243" s="96" t="str">
        <f>IFERROR(__xludf.DUMMYFUNCTION("""COMPUTED_VALUE"""),"")</f>
        <v/>
      </c>
      <c r="AE243" s="97" t="str">
        <f>IFERROR(__xludf.DUMMYFUNCTION("""COMPUTED_VALUE"""),"")</f>
        <v/>
      </c>
      <c r="AF243" s="95" t="str">
        <f>IFERROR(__xludf.DUMMYFUNCTION("""COMPUTED_VALUE"""),"")</f>
        <v/>
      </c>
      <c r="AG243" s="96" t="str">
        <f>IFERROR(__xludf.DUMMYFUNCTION("""COMPUTED_VALUE"""),"")</f>
        <v/>
      </c>
      <c r="AH243" s="97" t="str">
        <f>IFERROR(__xludf.DUMMYFUNCTION("""COMPUTED_VALUE"""),"")</f>
        <v/>
      </c>
      <c r="AI243" s="216" t="str">
        <f>IFERROR(__xludf.DUMMYFUNCTION("""COMPUTED_VALUE"""),"")</f>
        <v/>
      </c>
      <c r="AJ243" s="217" t="str">
        <f>IFERROR(__xludf.DUMMYFUNCTION("""COMPUTED_VALUE"""),"")</f>
        <v/>
      </c>
      <c r="AK243" s="218" t="str">
        <f>IFERROR(__xludf.DUMMYFUNCTION("""COMPUTED_VALUE"""),"")</f>
        <v/>
      </c>
      <c r="AL243" s="217" t="str">
        <f>IFERROR(__xludf.DUMMYFUNCTION("""COMPUTED_VALUE"""),"")</f>
        <v/>
      </c>
      <c r="AM243" s="217" t="str">
        <f>IFERROR(__xludf.DUMMYFUNCTION("""COMPUTED_VALUE"""),"")</f>
        <v/>
      </c>
      <c r="AN243" s="218" t="str">
        <f>IFERROR(__xludf.DUMMYFUNCTION("""COMPUTED_VALUE"""),"")</f>
        <v/>
      </c>
      <c r="AO243" s="217" t="str">
        <f>IFERROR(__xludf.DUMMYFUNCTION("""COMPUTED_VALUE"""),"")</f>
        <v/>
      </c>
      <c r="AP243" s="217" t="str">
        <f>IFERROR(__xludf.DUMMYFUNCTION("""COMPUTED_VALUE"""),"")</f>
        <v/>
      </c>
      <c r="AQ243" s="218" t="str">
        <f>IFERROR(__xludf.DUMMYFUNCTION("""COMPUTED_VALUE"""),"")</f>
        <v/>
      </c>
      <c r="AR243" s="217">
        <f>IFERROR(__xludf.DUMMYFUNCTION("""COMPUTED_VALUE"""),85.8)</f>
        <v>85.8</v>
      </c>
      <c r="AS243" s="217" t="str">
        <f>IFERROR(__xludf.DUMMYFUNCTION("""COMPUTED_VALUE"""),"")</f>
        <v/>
      </c>
      <c r="AT243" s="218" t="str">
        <f>IFERROR(__xludf.DUMMYFUNCTION("""COMPUTED_VALUE"""),"")</f>
        <v/>
      </c>
      <c r="AU243" s="217" t="str">
        <f>IFERROR(__xludf.DUMMYFUNCTION("""COMPUTED_VALUE"""),"")</f>
        <v/>
      </c>
      <c r="AV243" s="217" t="str">
        <f>IFERROR(__xludf.DUMMYFUNCTION("""COMPUTED_VALUE"""),"")</f>
        <v/>
      </c>
      <c r="AW243" s="218" t="str">
        <f>IFERROR(__xludf.DUMMYFUNCTION("""COMPUTED_VALUE"""),"")</f>
        <v/>
      </c>
      <c r="AX243" s="217" t="str">
        <f>IFERROR(__xludf.DUMMYFUNCTION("""COMPUTED_VALUE"""),"")</f>
        <v/>
      </c>
      <c r="AY243" s="217" t="str">
        <f>IFERROR(__xludf.DUMMYFUNCTION("""COMPUTED_VALUE"""),"")</f>
        <v/>
      </c>
      <c r="AZ243" s="218" t="str">
        <f>IFERROR(__xludf.DUMMYFUNCTION("""COMPUTED_VALUE"""),"")</f>
        <v/>
      </c>
      <c r="BA243" s="217" t="str">
        <f>IFERROR(__xludf.DUMMYFUNCTION("""COMPUTED_VALUE"""),"")</f>
        <v/>
      </c>
      <c r="BB243" s="217" t="str">
        <f>IFERROR(__xludf.DUMMYFUNCTION("""COMPUTED_VALUE"""),"")</f>
        <v/>
      </c>
      <c r="BC243" s="218" t="str">
        <f>IFERROR(__xludf.DUMMYFUNCTION("""COMPUTED_VALUE"""),"")</f>
        <v/>
      </c>
      <c r="BD243" s="217" t="str">
        <f>IFERROR(__xludf.DUMMYFUNCTION("""COMPUTED_VALUE"""),"")</f>
        <v/>
      </c>
      <c r="BE243" s="217" t="str">
        <f>IFERROR(__xludf.DUMMYFUNCTION("""COMPUTED_VALUE"""),"")</f>
        <v/>
      </c>
      <c r="BF243" s="218" t="str">
        <f>IFERROR(__xludf.DUMMYFUNCTION("""COMPUTED_VALUE"""),"")</f>
        <v/>
      </c>
      <c r="BG243" s="216" t="str">
        <f>IFERROR(__xludf.DUMMYFUNCTION("""COMPUTED_VALUE"""),"")</f>
        <v/>
      </c>
      <c r="BH243" s="217" t="str">
        <f>IFERROR(__xludf.DUMMYFUNCTION("""COMPUTED_VALUE"""),"")</f>
        <v/>
      </c>
      <c r="BI243" s="218" t="str">
        <f>IFERROR(__xludf.DUMMYFUNCTION("""COMPUTED_VALUE"""),"")</f>
        <v/>
      </c>
      <c r="BJ243" s="217" t="str">
        <f>IFERROR(__xludf.DUMMYFUNCTION("""COMPUTED_VALUE"""),"")</f>
        <v/>
      </c>
      <c r="BK243" s="217" t="str">
        <f>IFERROR(__xludf.DUMMYFUNCTION("""COMPUTED_VALUE"""),"")</f>
        <v/>
      </c>
      <c r="BL243" s="218">
        <f>IFERROR(__xludf.DUMMYFUNCTION("""COMPUTED_VALUE"""),285.5)</f>
        <v>285.5</v>
      </c>
      <c r="BM243" s="217" t="str">
        <f>IFERROR(__xludf.DUMMYFUNCTION("""COMPUTED_VALUE"""),"")</f>
        <v/>
      </c>
      <c r="BN243" s="217" t="str">
        <f>IFERROR(__xludf.DUMMYFUNCTION("""COMPUTED_VALUE"""),"")</f>
        <v/>
      </c>
      <c r="BO243" s="218">
        <f>IFERROR(__xludf.DUMMYFUNCTION("""COMPUTED_VALUE"""),60.2)</f>
        <v>60.2</v>
      </c>
      <c r="BP243" s="217" t="str">
        <f>IFERROR(__xludf.DUMMYFUNCTION("""COMPUTED_VALUE"""),"")</f>
        <v/>
      </c>
      <c r="BQ243" s="217" t="str">
        <f>IFERROR(__xludf.DUMMYFUNCTION("""COMPUTED_VALUE"""),"")</f>
        <v/>
      </c>
      <c r="BR243" s="218" t="str">
        <f>IFERROR(__xludf.DUMMYFUNCTION("""COMPUTED_VALUE"""),"")</f>
        <v/>
      </c>
      <c r="BS243" s="217" t="str">
        <f>IFERROR(__xludf.DUMMYFUNCTION("""COMPUTED_VALUE"""),"")</f>
        <v/>
      </c>
      <c r="BT243" s="217" t="str">
        <f>IFERROR(__xludf.DUMMYFUNCTION("""COMPUTED_VALUE"""),"")</f>
        <v/>
      </c>
      <c r="BU243" s="218" t="str">
        <f>IFERROR(__xludf.DUMMYFUNCTION("""COMPUTED_VALUE"""),"")</f>
        <v/>
      </c>
      <c r="BV243" s="217" t="str">
        <f>IFERROR(__xludf.DUMMYFUNCTION("""COMPUTED_VALUE"""),"")</f>
        <v/>
      </c>
      <c r="BW243" s="217" t="str">
        <f>IFERROR(__xludf.DUMMYFUNCTION("""COMPUTED_VALUE"""),"")</f>
        <v/>
      </c>
      <c r="BX243" s="218" t="str">
        <f>IFERROR(__xludf.DUMMYFUNCTION("""COMPUTED_VALUE"""),"")</f>
        <v/>
      </c>
      <c r="BY243" s="217" t="str">
        <f>IFERROR(__xludf.DUMMYFUNCTION("""COMPUTED_VALUE"""),"")</f>
        <v/>
      </c>
      <c r="BZ243" s="217" t="str">
        <f>IFERROR(__xludf.DUMMYFUNCTION("""COMPUTED_VALUE"""),"")</f>
        <v/>
      </c>
      <c r="CA243" s="218" t="str">
        <f>IFERROR(__xludf.DUMMYFUNCTION("""COMPUTED_VALUE"""),"")</f>
        <v/>
      </c>
      <c r="CB243" s="216" t="str">
        <f>IFERROR(__xludf.DUMMYFUNCTION("""COMPUTED_VALUE"""),"")</f>
        <v/>
      </c>
      <c r="CC243" s="217" t="str">
        <f>IFERROR(__xludf.DUMMYFUNCTION("""COMPUTED_VALUE"""),"")</f>
        <v/>
      </c>
      <c r="CD243" s="218" t="str">
        <f>IFERROR(__xludf.DUMMYFUNCTION("""COMPUTED_VALUE"""),"")</f>
        <v/>
      </c>
      <c r="CE243" s="217" t="str">
        <f>IFERROR(__xludf.DUMMYFUNCTION("""COMPUTED_VALUE"""),"")</f>
        <v/>
      </c>
      <c r="CF243" s="217" t="str">
        <f>IFERROR(__xludf.DUMMYFUNCTION("""COMPUTED_VALUE"""),"")</f>
        <v/>
      </c>
      <c r="CG243" s="218" t="str">
        <f>IFERROR(__xludf.DUMMYFUNCTION("""COMPUTED_VALUE"""),"")</f>
        <v/>
      </c>
      <c r="CH243" s="217" t="str">
        <f>IFERROR(__xludf.DUMMYFUNCTION("""COMPUTED_VALUE"""),"")</f>
        <v/>
      </c>
      <c r="CI243" s="217" t="str">
        <f>IFERROR(__xludf.DUMMYFUNCTION("""COMPUTED_VALUE"""),"")</f>
        <v/>
      </c>
      <c r="CJ243" s="218" t="str">
        <f>IFERROR(__xludf.DUMMYFUNCTION("""COMPUTED_VALUE"""),"")</f>
        <v/>
      </c>
      <c r="CK243" s="217" t="str">
        <f>IFERROR(__xludf.DUMMYFUNCTION("""COMPUTED_VALUE"""),"")</f>
        <v/>
      </c>
      <c r="CL243" s="217" t="str">
        <f>IFERROR(__xludf.DUMMYFUNCTION("""COMPUTED_VALUE"""),"")</f>
        <v/>
      </c>
      <c r="CM243" s="218" t="str">
        <f>IFERROR(__xludf.DUMMYFUNCTION("""COMPUTED_VALUE"""),"")</f>
        <v/>
      </c>
      <c r="CN243" s="217">
        <f>IFERROR(__xludf.DUMMYFUNCTION("""COMPUTED_VALUE"""),582.5)</f>
        <v>582.5</v>
      </c>
      <c r="CO243" s="217" t="str">
        <f>IFERROR(__xludf.DUMMYFUNCTION("""COMPUTED_VALUE"""),"")</f>
        <v/>
      </c>
      <c r="CP243" s="218" t="str">
        <f>IFERROR(__xludf.DUMMYFUNCTION("""COMPUTED_VALUE"""),"")</f>
        <v/>
      </c>
      <c r="CQ243" s="93" t="str">
        <f>IFERROR(__xludf.DUMMYFUNCTION("""COMPUTED_VALUE"""),"")</f>
        <v/>
      </c>
      <c r="CR243" s="93" t="str">
        <f>IFERROR(__xludf.DUMMYFUNCTION("""COMPUTED_VALUE"""),"")</f>
        <v/>
      </c>
      <c r="CS243" s="94"/>
      <c r="CT243" s="93"/>
      <c r="CU243" s="93"/>
      <c r="CV243" s="94"/>
      <c r="CW243" s="93"/>
      <c r="CX243" s="93"/>
      <c r="CY243" s="94"/>
      <c r="CZ243" s="93"/>
      <c r="DA243" s="93"/>
      <c r="DB243" s="94"/>
      <c r="DC243" s="93"/>
      <c r="DD243" s="93"/>
      <c r="DE243" s="94"/>
      <c r="DF243" s="93"/>
      <c r="DG243" s="93"/>
      <c r="DH243" s="94"/>
      <c r="DI243" s="93"/>
      <c r="DJ243" s="93"/>
      <c r="DK243" s="94"/>
      <c r="DL243" s="93"/>
      <c r="DM243" s="93"/>
      <c r="DN243" s="94"/>
      <c r="DO243" s="93"/>
      <c r="DP243" s="93"/>
      <c r="DQ243" s="94"/>
      <c r="DR243" s="93"/>
      <c r="DS243" s="93"/>
      <c r="DT243" s="94"/>
    </row>
    <row r="244">
      <c r="B244" s="180" t="str">
        <f>IFERROR(__xludf.DUMMYFUNCTION("""COMPUTED_VALUE"""),"OLP7")</f>
        <v>OLP7</v>
      </c>
      <c r="C244">
        <f>IFERROR(__xludf.DUMMYFUNCTION("""COMPUTED_VALUE"""),243.0)</f>
        <v>243</v>
      </c>
      <c r="D244" s="178" t="str">
        <f>IFERROR(__xludf.DUMMYFUNCTION("""COMPUTED_VALUE"""),"Altar District")</f>
        <v>Altar District</v>
      </c>
      <c r="E244" s="215" t="str">
        <f>IFERROR(__xludf.DUMMYFUNCTION("""COMPUTED_VALUE"""),"祭壇街")</f>
        <v>祭壇街</v>
      </c>
      <c r="F244" s="179">
        <f>IFERROR(__xludf.DUMMYFUNCTION("""COMPUTED_VALUE"""),21.0)</f>
        <v>21</v>
      </c>
      <c r="G244" s="83">
        <f>IFERROR(__xludf.DUMMYFUNCTION("""COMPUTED_VALUE"""),3474.0)</f>
        <v>3474</v>
      </c>
      <c r="H244" s="95" t="str">
        <f>IFERROR(__xludf.DUMMYFUNCTION("""COMPUTED_VALUE"""),"")</f>
        <v/>
      </c>
      <c r="I244" s="96" t="str">
        <f>IFERROR(__xludf.DUMMYFUNCTION("""COMPUTED_VALUE"""),"")</f>
        <v/>
      </c>
      <c r="J244" s="97" t="str">
        <f>IFERROR(__xludf.DUMMYFUNCTION("""COMPUTED_VALUE"""),"")</f>
        <v/>
      </c>
      <c r="K244" s="95" t="str">
        <f>IFERROR(__xludf.DUMMYFUNCTION("""COMPUTED_VALUE"""),"")</f>
        <v/>
      </c>
      <c r="L244" s="96" t="str">
        <f>IFERROR(__xludf.DUMMYFUNCTION("""COMPUTED_VALUE"""),"")</f>
        <v/>
      </c>
      <c r="M244" s="97" t="str">
        <f>IFERROR(__xludf.DUMMYFUNCTION("""COMPUTED_VALUE"""),"")</f>
        <v/>
      </c>
      <c r="N244" s="95" t="str">
        <f>IFERROR(__xludf.DUMMYFUNCTION("""COMPUTED_VALUE"""),"")</f>
        <v/>
      </c>
      <c r="O244" s="96" t="str">
        <f>IFERROR(__xludf.DUMMYFUNCTION("""COMPUTED_VALUE"""),"")</f>
        <v/>
      </c>
      <c r="P244" s="97" t="str">
        <f>IFERROR(__xludf.DUMMYFUNCTION("""COMPUTED_VALUE"""),"")</f>
        <v/>
      </c>
      <c r="Q244" s="95" t="str">
        <f>IFERROR(__xludf.DUMMYFUNCTION("""COMPUTED_VALUE"""),"")</f>
        <v/>
      </c>
      <c r="R244" s="96" t="str">
        <f>IFERROR(__xludf.DUMMYFUNCTION("""COMPUTED_VALUE"""),"")</f>
        <v/>
      </c>
      <c r="S244" s="97" t="str">
        <f>IFERROR(__xludf.DUMMYFUNCTION("""COMPUTED_VALUE"""),"")</f>
        <v/>
      </c>
      <c r="T244" s="95" t="str">
        <f>IFERROR(__xludf.DUMMYFUNCTION("""COMPUTED_VALUE"""),"")</f>
        <v/>
      </c>
      <c r="U244" s="96" t="str">
        <f>IFERROR(__xludf.DUMMYFUNCTION("""COMPUTED_VALUE"""),"")</f>
        <v/>
      </c>
      <c r="V244" s="97" t="str">
        <f>IFERROR(__xludf.DUMMYFUNCTION("""COMPUTED_VALUE"""),"")</f>
        <v/>
      </c>
      <c r="W244" s="95" t="str">
        <f>IFERROR(__xludf.DUMMYFUNCTION("""COMPUTED_VALUE"""),"")</f>
        <v/>
      </c>
      <c r="X244" s="96">
        <f>IFERROR(__xludf.DUMMYFUNCTION("""COMPUTED_VALUE"""),129.8)</f>
        <v>129.8</v>
      </c>
      <c r="Y244" s="97" t="str">
        <f>IFERROR(__xludf.DUMMYFUNCTION("""COMPUTED_VALUE"""),"")</f>
        <v/>
      </c>
      <c r="Z244" s="95" t="str">
        <f>IFERROR(__xludf.DUMMYFUNCTION("""COMPUTED_VALUE"""),"")</f>
        <v/>
      </c>
      <c r="AA244" s="96" t="str">
        <f>IFERROR(__xludf.DUMMYFUNCTION("""COMPUTED_VALUE"""),"")</f>
        <v/>
      </c>
      <c r="AB244" s="97" t="str">
        <f>IFERROR(__xludf.DUMMYFUNCTION("""COMPUTED_VALUE"""),"")</f>
        <v/>
      </c>
      <c r="AC244" s="95">
        <f>IFERROR(__xludf.DUMMYFUNCTION("""COMPUTED_VALUE"""),84.2)</f>
        <v>84.2</v>
      </c>
      <c r="AD244" s="96" t="str">
        <f>IFERROR(__xludf.DUMMYFUNCTION("""COMPUTED_VALUE"""),"")</f>
        <v/>
      </c>
      <c r="AE244" s="97" t="str">
        <f>IFERROR(__xludf.DUMMYFUNCTION("""COMPUTED_VALUE"""),"")</f>
        <v/>
      </c>
      <c r="AF244" s="95" t="str">
        <f>IFERROR(__xludf.DUMMYFUNCTION("""COMPUTED_VALUE"""),"")</f>
        <v/>
      </c>
      <c r="AG244" s="96" t="str">
        <f>IFERROR(__xludf.DUMMYFUNCTION("""COMPUTED_VALUE"""),"")</f>
        <v/>
      </c>
      <c r="AH244" s="97" t="str">
        <f>IFERROR(__xludf.DUMMYFUNCTION("""COMPUTED_VALUE"""),"")</f>
        <v/>
      </c>
      <c r="AI244" s="216" t="str">
        <f>IFERROR(__xludf.DUMMYFUNCTION("""COMPUTED_VALUE"""),"")</f>
        <v/>
      </c>
      <c r="AJ244" s="217" t="str">
        <f>IFERROR(__xludf.DUMMYFUNCTION("""COMPUTED_VALUE"""),"")</f>
        <v/>
      </c>
      <c r="AK244" s="218" t="str">
        <f>IFERROR(__xludf.DUMMYFUNCTION("""COMPUTED_VALUE"""),"")</f>
        <v/>
      </c>
      <c r="AL244" s="217" t="str">
        <f>IFERROR(__xludf.DUMMYFUNCTION("""COMPUTED_VALUE"""),"")</f>
        <v/>
      </c>
      <c r="AM244" s="217" t="str">
        <f>IFERROR(__xludf.DUMMYFUNCTION("""COMPUTED_VALUE"""),"")</f>
        <v/>
      </c>
      <c r="AN244" s="218" t="str">
        <f>IFERROR(__xludf.DUMMYFUNCTION("""COMPUTED_VALUE"""),"")</f>
        <v/>
      </c>
      <c r="AO244" s="217" t="str">
        <f>IFERROR(__xludf.DUMMYFUNCTION("""COMPUTED_VALUE"""),"")</f>
        <v/>
      </c>
      <c r="AP244" s="217" t="str">
        <f>IFERROR(__xludf.DUMMYFUNCTION("""COMPUTED_VALUE"""),"")</f>
        <v/>
      </c>
      <c r="AQ244" s="218" t="str">
        <f>IFERROR(__xludf.DUMMYFUNCTION("""COMPUTED_VALUE"""),"")</f>
        <v/>
      </c>
      <c r="AR244" s="217" t="str">
        <f>IFERROR(__xludf.DUMMYFUNCTION("""COMPUTED_VALUE"""),"")</f>
        <v/>
      </c>
      <c r="AS244" s="217" t="str">
        <f>IFERROR(__xludf.DUMMYFUNCTION("""COMPUTED_VALUE"""),"")</f>
        <v/>
      </c>
      <c r="AT244" s="218" t="str">
        <f>IFERROR(__xludf.DUMMYFUNCTION("""COMPUTED_VALUE"""),"")</f>
        <v/>
      </c>
      <c r="AU244" s="217" t="str">
        <f>IFERROR(__xludf.DUMMYFUNCTION("""COMPUTED_VALUE"""),"")</f>
        <v/>
      </c>
      <c r="AV244" s="217" t="str">
        <f>IFERROR(__xludf.DUMMYFUNCTION("""COMPUTED_VALUE"""),"")</f>
        <v/>
      </c>
      <c r="AW244" s="218" t="str">
        <f>IFERROR(__xludf.DUMMYFUNCTION("""COMPUTED_VALUE"""),"")</f>
        <v/>
      </c>
      <c r="AX244" s="217" t="str">
        <f>IFERROR(__xludf.DUMMYFUNCTION("""COMPUTED_VALUE"""),"")</f>
        <v/>
      </c>
      <c r="AY244" s="217" t="str">
        <f>IFERROR(__xludf.DUMMYFUNCTION("""COMPUTED_VALUE"""),"")</f>
        <v/>
      </c>
      <c r="AZ244" s="218" t="str">
        <f>IFERROR(__xludf.DUMMYFUNCTION("""COMPUTED_VALUE"""),"")</f>
        <v/>
      </c>
      <c r="BA244" s="217" t="str">
        <f>IFERROR(__xludf.DUMMYFUNCTION("""COMPUTED_VALUE"""),"")</f>
        <v/>
      </c>
      <c r="BB244" s="217" t="str">
        <f>IFERROR(__xludf.DUMMYFUNCTION("""COMPUTED_VALUE"""),"")</f>
        <v/>
      </c>
      <c r="BC244" s="218" t="str">
        <f>IFERROR(__xludf.DUMMYFUNCTION("""COMPUTED_VALUE"""),"")</f>
        <v/>
      </c>
      <c r="BD244" s="217" t="str">
        <f>IFERROR(__xludf.DUMMYFUNCTION("""COMPUTED_VALUE"""),"")</f>
        <v/>
      </c>
      <c r="BE244" s="217" t="str">
        <f>IFERROR(__xludf.DUMMYFUNCTION("""COMPUTED_VALUE"""),"")</f>
        <v/>
      </c>
      <c r="BF244" s="218" t="str">
        <f>IFERROR(__xludf.DUMMYFUNCTION("""COMPUTED_VALUE"""),"")</f>
        <v/>
      </c>
      <c r="BG244" s="216" t="str">
        <f>IFERROR(__xludf.DUMMYFUNCTION("""COMPUTED_VALUE"""),"")</f>
        <v/>
      </c>
      <c r="BH244" s="217" t="str">
        <f>IFERROR(__xludf.DUMMYFUNCTION("""COMPUTED_VALUE"""),"")</f>
        <v/>
      </c>
      <c r="BI244" s="218" t="str">
        <f>IFERROR(__xludf.DUMMYFUNCTION("""COMPUTED_VALUE"""),"")</f>
        <v/>
      </c>
      <c r="BJ244" s="217" t="str">
        <f>IFERROR(__xludf.DUMMYFUNCTION("""COMPUTED_VALUE"""),"")</f>
        <v/>
      </c>
      <c r="BK244" s="217" t="str">
        <f>IFERROR(__xludf.DUMMYFUNCTION("""COMPUTED_VALUE"""),"")</f>
        <v/>
      </c>
      <c r="BL244" s="218">
        <f>IFERROR(__xludf.DUMMYFUNCTION("""COMPUTED_VALUE"""),191.5)</f>
        <v>191.5</v>
      </c>
      <c r="BM244" s="217" t="str">
        <f>IFERROR(__xludf.DUMMYFUNCTION("""COMPUTED_VALUE"""),"")</f>
        <v/>
      </c>
      <c r="BN244" s="217">
        <f>IFERROR(__xludf.DUMMYFUNCTION("""COMPUTED_VALUE"""),44.3)</f>
        <v>44.3</v>
      </c>
      <c r="BO244" s="218" t="str">
        <f>IFERROR(__xludf.DUMMYFUNCTION("""COMPUTED_VALUE"""),"")</f>
        <v/>
      </c>
      <c r="BP244" s="217" t="str">
        <f>IFERROR(__xludf.DUMMYFUNCTION("""COMPUTED_VALUE"""),"")</f>
        <v/>
      </c>
      <c r="BQ244" s="217" t="str">
        <f>IFERROR(__xludf.DUMMYFUNCTION("""COMPUTED_VALUE"""),"")</f>
        <v/>
      </c>
      <c r="BR244" s="218" t="str">
        <f>IFERROR(__xludf.DUMMYFUNCTION("""COMPUTED_VALUE"""),"")</f>
        <v/>
      </c>
      <c r="BS244" s="217" t="str">
        <f>IFERROR(__xludf.DUMMYFUNCTION("""COMPUTED_VALUE"""),"")</f>
        <v/>
      </c>
      <c r="BT244" s="217" t="str">
        <f>IFERROR(__xludf.DUMMYFUNCTION("""COMPUTED_VALUE"""),"")</f>
        <v/>
      </c>
      <c r="BU244" s="218" t="str">
        <f>IFERROR(__xludf.DUMMYFUNCTION("""COMPUTED_VALUE"""),"")</f>
        <v/>
      </c>
      <c r="BV244" s="217" t="str">
        <f>IFERROR(__xludf.DUMMYFUNCTION("""COMPUTED_VALUE"""),"")</f>
        <v/>
      </c>
      <c r="BW244" s="217" t="str">
        <f>IFERROR(__xludf.DUMMYFUNCTION("""COMPUTED_VALUE"""),"")</f>
        <v/>
      </c>
      <c r="BX244" s="218" t="str">
        <f>IFERROR(__xludf.DUMMYFUNCTION("""COMPUTED_VALUE"""),"")</f>
        <v/>
      </c>
      <c r="BY244" s="217" t="str">
        <f>IFERROR(__xludf.DUMMYFUNCTION("""COMPUTED_VALUE"""),"")</f>
        <v/>
      </c>
      <c r="BZ244" s="217" t="str">
        <f>IFERROR(__xludf.DUMMYFUNCTION("""COMPUTED_VALUE"""),"")</f>
        <v/>
      </c>
      <c r="CA244" s="218" t="str">
        <f>IFERROR(__xludf.DUMMYFUNCTION("""COMPUTED_VALUE"""),"")</f>
        <v/>
      </c>
      <c r="CB244" s="216" t="str">
        <f>IFERROR(__xludf.DUMMYFUNCTION("""COMPUTED_VALUE"""),"")</f>
        <v/>
      </c>
      <c r="CC244" s="217" t="str">
        <f>IFERROR(__xludf.DUMMYFUNCTION("""COMPUTED_VALUE"""),"")</f>
        <v/>
      </c>
      <c r="CD244" s="218" t="str">
        <f>IFERROR(__xludf.DUMMYFUNCTION("""COMPUTED_VALUE"""),"")</f>
        <v/>
      </c>
      <c r="CE244" s="217" t="str">
        <f>IFERROR(__xludf.DUMMYFUNCTION("""COMPUTED_VALUE"""),"")</f>
        <v/>
      </c>
      <c r="CF244" s="217" t="str">
        <f>IFERROR(__xludf.DUMMYFUNCTION("""COMPUTED_VALUE"""),"")</f>
        <v/>
      </c>
      <c r="CG244" s="218" t="str">
        <f>IFERROR(__xludf.DUMMYFUNCTION("""COMPUTED_VALUE"""),"")</f>
        <v/>
      </c>
      <c r="CH244" s="217" t="str">
        <f>IFERROR(__xludf.DUMMYFUNCTION("""COMPUTED_VALUE"""),"")</f>
        <v/>
      </c>
      <c r="CI244" s="217" t="str">
        <f>IFERROR(__xludf.DUMMYFUNCTION("""COMPUTED_VALUE"""),"")</f>
        <v/>
      </c>
      <c r="CJ244" s="218" t="str">
        <f>IFERROR(__xludf.DUMMYFUNCTION("""COMPUTED_VALUE"""),"")</f>
        <v/>
      </c>
      <c r="CK244" s="217" t="str">
        <f>IFERROR(__xludf.DUMMYFUNCTION("""COMPUTED_VALUE"""),"")</f>
        <v/>
      </c>
      <c r="CL244" s="217" t="str">
        <f>IFERROR(__xludf.DUMMYFUNCTION("""COMPUTED_VALUE"""),"")</f>
        <v/>
      </c>
      <c r="CM244" s="218" t="str">
        <f>IFERROR(__xludf.DUMMYFUNCTION("""COMPUTED_VALUE"""),"")</f>
        <v/>
      </c>
      <c r="CN244" s="217">
        <f>IFERROR(__xludf.DUMMYFUNCTION("""COMPUTED_VALUE"""),196.7)</f>
        <v>196.7</v>
      </c>
      <c r="CO244" s="217" t="str">
        <f>IFERROR(__xludf.DUMMYFUNCTION("""COMPUTED_VALUE"""),"")</f>
        <v/>
      </c>
      <c r="CP244" s="218" t="str">
        <f>IFERROR(__xludf.DUMMYFUNCTION("""COMPUTED_VALUE"""),"")</f>
        <v/>
      </c>
      <c r="CQ244" s="219" t="str">
        <f>IFERROR(__xludf.DUMMYFUNCTION("""COMPUTED_VALUE"""),"")</f>
        <v/>
      </c>
      <c r="CR244" s="219" t="str">
        <f>IFERROR(__xludf.DUMMYFUNCTION("""COMPUTED_VALUE"""),"")</f>
        <v/>
      </c>
      <c r="CS244" s="220"/>
      <c r="CT244" s="219"/>
      <c r="CU244" s="219"/>
      <c r="CV244" s="220"/>
      <c r="CW244" s="219"/>
      <c r="CX244" s="219"/>
      <c r="CY244" s="220"/>
      <c r="CZ244" s="219"/>
      <c r="DA244" s="219"/>
      <c r="DB244" s="220"/>
      <c r="DC244" s="219"/>
      <c r="DD244" s="219"/>
      <c r="DE244" s="220"/>
      <c r="DF244" s="219"/>
      <c r="DG244" s="219"/>
      <c r="DH244" s="220"/>
      <c r="DI244" s="219"/>
      <c r="DJ244" s="219"/>
      <c r="DK244" s="220"/>
      <c r="DL244" s="219"/>
      <c r="DM244" s="219"/>
      <c r="DN244" s="220"/>
      <c r="DO244" s="219"/>
      <c r="DP244" s="219"/>
      <c r="DQ244" s="220"/>
      <c r="DR244" s="219"/>
      <c r="DS244" s="219"/>
      <c r="DT244" s="220"/>
    </row>
    <row r="245">
      <c r="B245" s="180" t="str">
        <f>IFERROR(__xludf.DUMMYFUNCTION("""COMPUTED_VALUE"""),"OLP8")</f>
        <v>OLP8</v>
      </c>
      <c r="C245">
        <f>IFERROR(__xludf.DUMMYFUNCTION("""COMPUTED_VALUE"""),244.0)</f>
        <v>244</v>
      </c>
      <c r="D245" s="178" t="str">
        <f>IFERROR(__xludf.DUMMYFUNCTION("""COMPUTED_VALUE"""),"Aerial Garden")</f>
        <v>Aerial Garden</v>
      </c>
      <c r="E245" s="215" t="str">
        <f>IFERROR(__xludf.DUMMYFUNCTION("""COMPUTED_VALUE"""),"空中庭園")</f>
        <v>空中庭園</v>
      </c>
      <c r="F245" s="179">
        <f>IFERROR(__xludf.DUMMYFUNCTION("""COMPUTED_VALUE"""),21.0)</f>
        <v>21</v>
      </c>
      <c r="G245" s="83">
        <f>IFERROR(__xludf.DUMMYFUNCTION("""COMPUTED_VALUE"""),39476.0)</f>
        <v>39476</v>
      </c>
      <c r="H245" s="95" t="str">
        <f>IFERROR(__xludf.DUMMYFUNCTION("""COMPUTED_VALUE"""),"")</f>
        <v/>
      </c>
      <c r="I245" s="96" t="str">
        <f>IFERROR(__xludf.DUMMYFUNCTION("""COMPUTED_VALUE"""),"")</f>
        <v/>
      </c>
      <c r="J245" s="97" t="str">
        <f>IFERROR(__xludf.DUMMYFUNCTION("""COMPUTED_VALUE"""),"")</f>
        <v/>
      </c>
      <c r="K245" s="95" t="str">
        <f>IFERROR(__xludf.DUMMYFUNCTION("""COMPUTED_VALUE"""),"")</f>
        <v/>
      </c>
      <c r="L245" s="96" t="str">
        <f>IFERROR(__xludf.DUMMYFUNCTION("""COMPUTED_VALUE"""),"")</f>
        <v/>
      </c>
      <c r="M245" s="97" t="str">
        <f>IFERROR(__xludf.DUMMYFUNCTION("""COMPUTED_VALUE"""),"")</f>
        <v/>
      </c>
      <c r="N245" s="95" t="str">
        <f>IFERROR(__xludf.DUMMYFUNCTION("""COMPUTED_VALUE"""),"")</f>
        <v/>
      </c>
      <c r="O245" s="96" t="str">
        <f>IFERROR(__xludf.DUMMYFUNCTION("""COMPUTED_VALUE"""),"")</f>
        <v/>
      </c>
      <c r="P245" s="97" t="str">
        <f>IFERROR(__xludf.DUMMYFUNCTION("""COMPUTED_VALUE"""),"")</f>
        <v/>
      </c>
      <c r="Q245" s="95" t="str">
        <f>IFERROR(__xludf.DUMMYFUNCTION("""COMPUTED_VALUE"""),"")</f>
        <v/>
      </c>
      <c r="R245" s="96" t="str">
        <f>IFERROR(__xludf.DUMMYFUNCTION("""COMPUTED_VALUE"""),"")</f>
        <v/>
      </c>
      <c r="S245" s="97" t="str">
        <f>IFERROR(__xludf.DUMMYFUNCTION("""COMPUTED_VALUE"""),"")</f>
        <v/>
      </c>
      <c r="T245" s="95" t="str">
        <f>IFERROR(__xludf.DUMMYFUNCTION("""COMPUTED_VALUE"""),"")</f>
        <v/>
      </c>
      <c r="U245" s="96" t="str">
        <f>IFERROR(__xludf.DUMMYFUNCTION("""COMPUTED_VALUE"""),"")</f>
        <v/>
      </c>
      <c r="V245" s="97" t="str">
        <f>IFERROR(__xludf.DUMMYFUNCTION("""COMPUTED_VALUE"""),"")</f>
        <v/>
      </c>
      <c r="W245" s="95">
        <f>IFERROR(__xludf.DUMMYFUNCTION("""COMPUTED_VALUE"""),173.8)</f>
        <v>173.8</v>
      </c>
      <c r="X245" s="96" t="str">
        <f>IFERROR(__xludf.DUMMYFUNCTION("""COMPUTED_VALUE"""),"")</f>
        <v/>
      </c>
      <c r="Y245" s="97" t="str">
        <f>IFERROR(__xludf.DUMMYFUNCTION("""COMPUTED_VALUE"""),"")</f>
        <v/>
      </c>
      <c r="Z245" s="95" t="str">
        <f>IFERROR(__xludf.DUMMYFUNCTION("""COMPUTED_VALUE"""),"")</f>
        <v/>
      </c>
      <c r="AA245" s="96" t="str">
        <f>IFERROR(__xludf.DUMMYFUNCTION("""COMPUTED_VALUE"""),"")</f>
        <v/>
      </c>
      <c r="AB245" s="97" t="str">
        <f>IFERROR(__xludf.DUMMYFUNCTION("""COMPUTED_VALUE"""),"")</f>
        <v/>
      </c>
      <c r="AC245" s="95" t="str">
        <f>IFERROR(__xludf.DUMMYFUNCTION("""COMPUTED_VALUE"""),"")</f>
        <v/>
      </c>
      <c r="AD245" s="96" t="str">
        <f>IFERROR(__xludf.DUMMYFUNCTION("""COMPUTED_VALUE"""),"")</f>
        <v/>
      </c>
      <c r="AE245" s="97" t="str">
        <f>IFERROR(__xludf.DUMMYFUNCTION("""COMPUTED_VALUE"""),"")</f>
        <v/>
      </c>
      <c r="AF245" s="95" t="str">
        <f>IFERROR(__xludf.DUMMYFUNCTION("""COMPUTED_VALUE"""),"")</f>
        <v/>
      </c>
      <c r="AG245" s="96" t="str">
        <f>IFERROR(__xludf.DUMMYFUNCTION("""COMPUTED_VALUE"""),"")</f>
        <v/>
      </c>
      <c r="AH245" s="97" t="str">
        <f>IFERROR(__xludf.DUMMYFUNCTION("""COMPUTED_VALUE"""),"")</f>
        <v/>
      </c>
      <c r="AI245" s="216" t="str">
        <f>IFERROR(__xludf.DUMMYFUNCTION("""COMPUTED_VALUE"""),"")</f>
        <v/>
      </c>
      <c r="AJ245" s="217" t="str">
        <f>IFERROR(__xludf.DUMMYFUNCTION("""COMPUTED_VALUE"""),"")</f>
        <v/>
      </c>
      <c r="AK245" s="218" t="str">
        <f>IFERROR(__xludf.DUMMYFUNCTION("""COMPUTED_VALUE"""),"")</f>
        <v/>
      </c>
      <c r="AL245" s="217" t="str">
        <f>IFERROR(__xludf.DUMMYFUNCTION("""COMPUTED_VALUE"""),"")</f>
        <v/>
      </c>
      <c r="AM245" s="217" t="str">
        <f>IFERROR(__xludf.DUMMYFUNCTION("""COMPUTED_VALUE"""),"")</f>
        <v/>
      </c>
      <c r="AN245" s="218" t="str">
        <f>IFERROR(__xludf.DUMMYFUNCTION("""COMPUTED_VALUE"""),"")</f>
        <v/>
      </c>
      <c r="AO245" s="217" t="str">
        <f>IFERROR(__xludf.DUMMYFUNCTION("""COMPUTED_VALUE"""),"")</f>
        <v/>
      </c>
      <c r="AP245" s="217" t="str">
        <f>IFERROR(__xludf.DUMMYFUNCTION("""COMPUTED_VALUE"""),"")</f>
        <v/>
      </c>
      <c r="AQ245" s="218" t="str">
        <f>IFERROR(__xludf.DUMMYFUNCTION("""COMPUTED_VALUE"""),"")</f>
        <v/>
      </c>
      <c r="AR245" s="217">
        <f>IFERROR(__xludf.DUMMYFUNCTION("""COMPUTED_VALUE"""),83.3)</f>
        <v>83.3</v>
      </c>
      <c r="AS245" s="217" t="str">
        <f>IFERROR(__xludf.DUMMYFUNCTION("""COMPUTED_VALUE"""),"")</f>
        <v/>
      </c>
      <c r="AT245" s="218" t="str">
        <f>IFERROR(__xludf.DUMMYFUNCTION("""COMPUTED_VALUE"""),"")</f>
        <v/>
      </c>
      <c r="AU245" s="217" t="str">
        <f>IFERROR(__xludf.DUMMYFUNCTION("""COMPUTED_VALUE"""),"")</f>
        <v/>
      </c>
      <c r="AV245" s="217" t="str">
        <f>IFERROR(__xludf.DUMMYFUNCTION("""COMPUTED_VALUE"""),"")</f>
        <v/>
      </c>
      <c r="AW245" s="218" t="str">
        <f>IFERROR(__xludf.DUMMYFUNCTION("""COMPUTED_VALUE"""),"")</f>
        <v/>
      </c>
      <c r="AX245" s="217" t="str">
        <f>IFERROR(__xludf.DUMMYFUNCTION("""COMPUTED_VALUE"""),"")</f>
        <v/>
      </c>
      <c r="AY245" s="217" t="str">
        <f>IFERROR(__xludf.DUMMYFUNCTION("""COMPUTED_VALUE"""),"")</f>
        <v/>
      </c>
      <c r="AZ245" s="218" t="str">
        <f>IFERROR(__xludf.DUMMYFUNCTION("""COMPUTED_VALUE"""),"")</f>
        <v/>
      </c>
      <c r="BA245" s="217" t="str">
        <f>IFERROR(__xludf.DUMMYFUNCTION("""COMPUTED_VALUE"""),"")</f>
        <v/>
      </c>
      <c r="BB245" s="217" t="str">
        <f>IFERROR(__xludf.DUMMYFUNCTION("""COMPUTED_VALUE"""),"")</f>
        <v/>
      </c>
      <c r="BC245" s="218" t="str">
        <f>IFERROR(__xludf.DUMMYFUNCTION("""COMPUTED_VALUE"""),"")</f>
        <v/>
      </c>
      <c r="BD245" s="217" t="str">
        <f>IFERROR(__xludf.DUMMYFUNCTION("""COMPUTED_VALUE"""),"")</f>
        <v/>
      </c>
      <c r="BE245" s="217" t="str">
        <f>IFERROR(__xludf.DUMMYFUNCTION("""COMPUTED_VALUE"""),"")</f>
        <v/>
      </c>
      <c r="BF245" s="218">
        <f>IFERROR(__xludf.DUMMYFUNCTION("""COMPUTED_VALUE"""),511.1)</f>
        <v>511.1</v>
      </c>
      <c r="BG245" s="216" t="str">
        <f>IFERROR(__xludf.DUMMYFUNCTION("""COMPUTED_VALUE"""),"")</f>
        <v/>
      </c>
      <c r="BH245" s="217" t="str">
        <f>IFERROR(__xludf.DUMMYFUNCTION("""COMPUTED_VALUE"""),"")</f>
        <v/>
      </c>
      <c r="BI245" s="218" t="str">
        <f>IFERROR(__xludf.DUMMYFUNCTION("""COMPUTED_VALUE"""),"")</f>
        <v/>
      </c>
      <c r="BJ245" s="217" t="str">
        <f>IFERROR(__xludf.DUMMYFUNCTION("""COMPUTED_VALUE"""),"")</f>
        <v/>
      </c>
      <c r="BK245" s="217" t="str">
        <f>IFERROR(__xludf.DUMMYFUNCTION("""COMPUTED_VALUE"""),"")</f>
        <v/>
      </c>
      <c r="BL245" s="218" t="str">
        <f>IFERROR(__xludf.DUMMYFUNCTION("""COMPUTED_VALUE"""),"")</f>
        <v/>
      </c>
      <c r="BM245" s="217" t="str">
        <f>IFERROR(__xludf.DUMMYFUNCTION("""COMPUTED_VALUE"""),"")</f>
        <v/>
      </c>
      <c r="BN245" s="217" t="str">
        <f>IFERROR(__xludf.DUMMYFUNCTION("""COMPUTED_VALUE"""),"")</f>
        <v/>
      </c>
      <c r="BO245" s="218">
        <f>IFERROR(__xludf.DUMMYFUNCTION("""COMPUTED_VALUE"""),62.1)</f>
        <v>62.1</v>
      </c>
      <c r="BP245" s="217" t="str">
        <f>IFERROR(__xludf.DUMMYFUNCTION("""COMPUTED_VALUE"""),"")</f>
        <v/>
      </c>
      <c r="BQ245" s="217" t="str">
        <f>IFERROR(__xludf.DUMMYFUNCTION("""COMPUTED_VALUE"""),"")</f>
        <v/>
      </c>
      <c r="BR245" s="218" t="str">
        <f>IFERROR(__xludf.DUMMYFUNCTION("""COMPUTED_VALUE"""),"")</f>
        <v/>
      </c>
      <c r="BS245" s="217" t="str">
        <f>IFERROR(__xludf.DUMMYFUNCTION("""COMPUTED_VALUE"""),"")</f>
        <v/>
      </c>
      <c r="BT245" s="217" t="str">
        <f>IFERROR(__xludf.DUMMYFUNCTION("""COMPUTED_VALUE"""),"")</f>
        <v/>
      </c>
      <c r="BU245" s="218" t="str">
        <f>IFERROR(__xludf.DUMMYFUNCTION("""COMPUTED_VALUE"""),"")</f>
        <v/>
      </c>
      <c r="BV245" s="217" t="str">
        <f>IFERROR(__xludf.DUMMYFUNCTION("""COMPUTED_VALUE"""),"")</f>
        <v/>
      </c>
      <c r="BW245" s="217" t="str">
        <f>IFERROR(__xludf.DUMMYFUNCTION("""COMPUTED_VALUE"""),"")</f>
        <v/>
      </c>
      <c r="BX245" s="218" t="str">
        <f>IFERROR(__xludf.DUMMYFUNCTION("""COMPUTED_VALUE"""),"")</f>
        <v/>
      </c>
      <c r="BY245" s="217" t="str">
        <f>IFERROR(__xludf.DUMMYFUNCTION("""COMPUTED_VALUE"""),"")</f>
        <v/>
      </c>
      <c r="BZ245" s="217" t="str">
        <f>IFERROR(__xludf.DUMMYFUNCTION("""COMPUTED_VALUE"""),"")</f>
        <v/>
      </c>
      <c r="CA245" s="218" t="str">
        <f>IFERROR(__xludf.DUMMYFUNCTION("""COMPUTED_VALUE"""),"")</f>
        <v/>
      </c>
      <c r="CB245" s="216" t="str">
        <f>IFERROR(__xludf.DUMMYFUNCTION("""COMPUTED_VALUE"""),"")</f>
        <v/>
      </c>
      <c r="CC245" s="217" t="str">
        <f>IFERROR(__xludf.DUMMYFUNCTION("""COMPUTED_VALUE"""),"")</f>
        <v/>
      </c>
      <c r="CD245" s="218" t="str">
        <f>IFERROR(__xludf.DUMMYFUNCTION("""COMPUTED_VALUE"""),"")</f>
        <v/>
      </c>
      <c r="CE245" s="217" t="str">
        <f>IFERROR(__xludf.DUMMYFUNCTION("""COMPUTED_VALUE"""),"")</f>
        <v/>
      </c>
      <c r="CF245" s="217" t="str">
        <f>IFERROR(__xludf.DUMMYFUNCTION("""COMPUTED_VALUE"""),"")</f>
        <v/>
      </c>
      <c r="CG245" s="218" t="str">
        <f>IFERROR(__xludf.DUMMYFUNCTION("""COMPUTED_VALUE"""),"")</f>
        <v/>
      </c>
      <c r="CH245" s="217" t="str">
        <f>IFERROR(__xludf.DUMMYFUNCTION("""COMPUTED_VALUE"""),"")</f>
        <v/>
      </c>
      <c r="CI245" s="217" t="str">
        <f>IFERROR(__xludf.DUMMYFUNCTION("""COMPUTED_VALUE"""),"")</f>
        <v/>
      </c>
      <c r="CJ245" s="218" t="str">
        <f>IFERROR(__xludf.DUMMYFUNCTION("""COMPUTED_VALUE"""),"")</f>
        <v/>
      </c>
      <c r="CK245" s="217" t="str">
        <f>IFERROR(__xludf.DUMMYFUNCTION("""COMPUTED_VALUE"""),"")</f>
        <v/>
      </c>
      <c r="CL245" s="217" t="str">
        <f>IFERROR(__xludf.DUMMYFUNCTION("""COMPUTED_VALUE"""),"")</f>
        <v/>
      </c>
      <c r="CM245" s="218" t="str">
        <f>IFERROR(__xludf.DUMMYFUNCTION("""COMPUTED_VALUE"""),"")</f>
        <v/>
      </c>
      <c r="CN245" s="217" t="str">
        <f>IFERROR(__xludf.DUMMYFUNCTION("""COMPUTED_VALUE"""),"")</f>
        <v/>
      </c>
      <c r="CO245" s="217">
        <f>IFERROR(__xludf.DUMMYFUNCTION("""COMPUTED_VALUE"""),534.3)</f>
        <v>534.3</v>
      </c>
      <c r="CP245" s="218" t="str">
        <f>IFERROR(__xludf.DUMMYFUNCTION("""COMPUTED_VALUE"""),"")</f>
        <v/>
      </c>
      <c r="CQ245" s="93" t="str">
        <f>IFERROR(__xludf.DUMMYFUNCTION("""COMPUTED_VALUE"""),"")</f>
        <v/>
      </c>
      <c r="CR245" s="93" t="str">
        <f>IFERROR(__xludf.DUMMYFUNCTION("""COMPUTED_VALUE"""),"")</f>
        <v/>
      </c>
      <c r="CS245" s="94"/>
      <c r="CT245" s="93"/>
      <c r="CU245" s="93"/>
      <c r="CV245" s="94"/>
      <c r="CW245" s="93"/>
      <c r="CX245" s="93"/>
      <c r="CY245" s="94"/>
      <c r="CZ245" s="93"/>
      <c r="DA245" s="93"/>
      <c r="DB245" s="94"/>
      <c r="DC245" s="93"/>
      <c r="DD245" s="93"/>
      <c r="DE245" s="94"/>
      <c r="DF245" s="93"/>
      <c r="DG245" s="93"/>
      <c r="DH245" s="94"/>
      <c r="DI245" s="93"/>
      <c r="DJ245" s="93"/>
      <c r="DK245" s="94"/>
      <c r="DL245" s="93"/>
      <c r="DM245" s="93"/>
      <c r="DN245" s="94"/>
      <c r="DO245" s="93"/>
      <c r="DP245" s="93"/>
      <c r="DQ245" s="94"/>
      <c r="DR245" s="93"/>
      <c r="DS245" s="93"/>
      <c r="DT245" s="94"/>
    </row>
    <row r="246">
      <c r="B246" s="180" t="str">
        <f>IFERROR(__xludf.DUMMYFUNCTION("""COMPUTED_VALUE"""),"OLP9")</f>
        <v>OLP9</v>
      </c>
      <c r="C246">
        <f>IFERROR(__xludf.DUMMYFUNCTION("""COMPUTED_VALUE"""),245.0)</f>
        <v>245</v>
      </c>
      <c r="D246" s="178" t="str">
        <f>IFERROR(__xludf.DUMMYFUNCTION("""COMPUTED_VALUE"""),"Machine God's Cloister")</f>
        <v>Machine God's Cloister</v>
      </c>
      <c r="E246" s="215" t="str">
        <f>IFERROR(__xludf.DUMMYFUNCTION("""COMPUTED_VALUE"""),"機神回廊")</f>
        <v>機神回廊</v>
      </c>
      <c r="F246" s="179">
        <f>IFERROR(__xludf.DUMMYFUNCTION("""COMPUTED_VALUE"""),21.0)</f>
        <v>21</v>
      </c>
      <c r="G246" s="83">
        <f>IFERROR(__xludf.DUMMYFUNCTION("""COMPUTED_VALUE"""),3310.0)</f>
        <v>3310</v>
      </c>
      <c r="H246" s="95" t="str">
        <f>IFERROR(__xludf.DUMMYFUNCTION("""COMPUTED_VALUE"""),"")</f>
        <v/>
      </c>
      <c r="I246" s="96" t="str">
        <f>IFERROR(__xludf.DUMMYFUNCTION("""COMPUTED_VALUE"""),"")</f>
        <v/>
      </c>
      <c r="J246" s="97" t="str">
        <f>IFERROR(__xludf.DUMMYFUNCTION("""COMPUTED_VALUE"""),"")</f>
        <v/>
      </c>
      <c r="K246" s="95" t="str">
        <f>IFERROR(__xludf.DUMMYFUNCTION("""COMPUTED_VALUE"""),"")</f>
        <v/>
      </c>
      <c r="L246" s="96" t="str">
        <f>IFERROR(__xludf.DUMMYFUNCTION("""COMPUTED_VALUE"""),"")</f>
        <v/>
      </c>
      <c r="M246" s="97" t="str">
        <f>IFERROR(__xludf.DUMMYFUNCTION("""COMPUTED_VALUE"""),"")</f>
        <v/>
      </c>
      <c r="N246" s="95" t="str">
        <f>IFERROR(__xludf.DUMMYFUNCTION("""COMPUTED_VALUE"""),"")</f>
        <v/>
      </c>
      <c r="O246" s="96" t="str">
        <f>IFERROR(__xludf.DUMMYFUNCTION("""COMPUTED_VALUE"""),"")</f>
        <v/>
      </c>
      <c r="P246" s="97" t="str">
        <f>IFERROR(__xludf.DUMMYFUNCTION("""COMPUTED_VALUE"""),"")</f>
        <v/>
      </c>
      <c r="Q246" s="95" t="str">
        <f>IFERROR(__xludf.DUMMYFUNCTION("""COMPUTED_VALUE"""),"")</f>
        <v/>
      </c>
      <c r="R246" s="96" t="str">
        <f>IFERROR(__xludf.DUMMYFUNCTION("""COMPUTED_VALUE"""),"")</f>
        <v/>
      </c>
      <c r="S246" s="97" t="str">
        <f>IFERROR(__xludf.DUMMYFUNCTION("""COMPUTED_VALUE"""),"")</f>
        <v/>
      </c>
      <c r="T246" s="95" t="str">
        <f>IFERROR(__xludf.DUMMYFUNCTION("""COMPUTED_VALUE"""),"")</f>
        <v/>
      </c>
      <c r="U246" s="96" t="str">
        <f>IFERROR(__xludf.DUMMYFUNCTION("""COMPUTED_VALUE"""),"")</f>
        <v/>
      </c>
      <c r="V246" s="97" t="str">
        <f>IFERROR(__xludf.DUMMYFUNCTION("""COMPUTED_VALUE"""),"")</f>
        <v/>
      </c>
      <c r="W246" s="95">
        <f>IFERROR(__xludf.DUMMYFUNCTION("""COMPUTED_VALUE"""),167.9)</f>
        <v>167.9</v>
      </c>
      <c r="X246" s="96" t="str">
        <f>IFERROR(__xludf.DUMMYFUNCTION("""COMPUTED_VALUE"""),"")</f>
        <v/>
      </c>
      <c r="Y246" s="97" t="str">
        <f>IFERROR(__xludf.DUMMYFUNCTION("""COMPUTED_VALUE"""),"")</f>
        <v/>
      </c>
      <c r="Z246" s="95" t="str">
        <f>IFERROR(__xludf.DUMMYFUNCTION("""COMPUTED_VALUE"""),"")</f>
        <v/>
      </c>
      <c r="AA246" s="96" t="str">
        <f>IFERROR(__xludf.DUMMYFUNCTION("""COMPUTED_VALUE"""),"")</f>
        <v/>
      </c>
      <c r="AB246" s="97" t="str">
        <f>IFERROR(__xludf.DUMMYFUNCTION("""COMPUTED_VALUE"""),"")</f>
        <v/>
      </c>
      <c r="AC246" s="95">
        <f>IFERROR(__xludf.DUMMYFUNCTION("""COMPUTED_VALUE"""),80.7)</f>
        <v>80.7</v>
      </c>
      <c r="AD246" s="96" t="str">
        <f>IFERROR(__xludf.DUMMYFUNCTION("""COMPUTED_VALUE"""),"")</f>
        <v/>
      </c>
      <c r="AE246" s="97" t="str">
        <f>IFERROR(__xludf.DUMMYFUNCTION("""COMPUTED_VALUE"""),"")</f>
        <v/>
      </c>
      <c r="AF246" s="95" t="str">
        <f>IFERROR(__xludf.DUMMYFUNCTION("""COMPUTED_VALUE"""),"")</f>
        <v/>
      </c>
      <c r="AG246" s="96" t="str">
        <f>IFERROR(__xludf.DUMMYFUNCTION("""COMPUTED_VALUE"""),"")</f>
        <v/>
      </c>
      <c r="AH246" s="97" t="str">
        <f>IFERROR(__xludf.DUMMYFUNCTION("""COMPUTED_VALUE"""),"")</f>
        <v/>
      </c>
      <c r="AI246" s="216" t="str">
        <f>IFERROR(__xludf.DUMMYFUNCTION("""COMPUTED_VALUE"""),"")</f>
        <v/>
      </c>
      <c r="AJ246" s="217" t="str">
        <f>IFERROR(__xludf.DUMMYFUNCTION("""COMPUTED_VALUE"""),"")</f>
        <v/>
      </c>
      <c r="AK246" s="218" t="str">
        <f>IFERROR(__xludf.DUMMYFUNCTION("""COMPUTED_VALUE"""),"")</f>
        <v/>
      </c>
      <c r="AL246" s="217" t="str">
        <f>IFERROR(__xludf.DUMMYFUNCTION("""COMPUTED_VALUE"""),"")</f>
        <v/>
      </c>
      <c r="AM246" s="217" t="str">
        <f>IFERROR(__xludf.DUMMYFUNCTION("""COMPUTED_VALUE"""),"")</f>
        <v/>
      </c>
      <c r="AN246" s="218" t="str">
        <f>IFERROR(__xludf.DUMMYFUNCTION("""COMPUTED_VALUE"""),"")</f>
        <v/>
      </c>
      <c r="AO246" s="217" t="str">
        <f>IFERROR(__xludf.DUMMYFUNCTION("""COMPUTED_VALUE"""),"")</f>
        <v/>
      </c>
      <c r="AP246" s="217" t="str">
        <f>IFERROR(__xludf.DUMMYFUNCTION("""COMPUTED_VALUE"""),"")</f>
        <v/>
      </c>
      <c r="AQ246" s="218" t="str">
        <f>IFERROR(__xludf.DUMMYFUNCTION("""COMPUTED_VALUE"""),"")</f>
        <v/>
      </c>
      <c r="AR246" s="217" t="str">
        <f>IFERROR(__xludf.DUMMYFUNCTION("""COMPUTED_VALUE"""),"")</f>
        <v/>
      </c>
      <c r="AS246" s="217" t="str">
        <f>IFERROR(__xludf.DUMMYFUNCTION("""COMPUTED_VALUE"""),"")</f>
        <v/>
      </c>
      <c r="AT246" s="218" t="str">
        <f>IFERROR(__xludf.DUMMYFUNCTION("""COMPUTED_VALUE"""),"")</f>
        <v/>
      </c>
      <c r="AU246" s="217" t="str">
        <f>IFERROR(__xludf.DUMMYFUNCTION("""COMPUTED_VALUE"""),"")</f>
        <v/>
      </c>
      <c r="AV246" s="217" t="str">
        <f>IFERROR(__xludf.DUMMYFUNCTION("""COMPUTED_VALUE"""),"")</f>
        <v/>
      </c>
      <c r="AW246" s="218" t="str">
        <f>IFERROR(__xludf.DUMMYFUNCTION("""COMPUTED_VALUE"""),"")</f>
        <v/>
      </c>
      <c r="AX246" s="217" t="str">
        <f>IFERROR(__xludf.DUMMYFUNCTION("""COMPUTED_VALUE"""),"")</f>
        <v/>
      </c>
      <c r="AY246" s="217" t="str">
        <f>IFERROR(__xludf.DUMMYFUNCTION("""COMPUTED_VALUE"""),"")</f>
        <v/>
      </c>
      <c r="AZ246" s="218" t="str">
        <f>IFERROR(__xludf.DUMMYFUNCTION("""COMPUTED_VALUE"""),"")</f>
        <v/>
      </c>
      <c r="BA246" s="217" t="str">
        <f>IFERROR(__xludf.DUMMYFUNCTION("""COMPUTED_VALUE"""),"")</f>
        <v/>
      </c>
      <c r="BB246" s="217" t="str">
        <f>IFERROR(__xludf.DUMMYFUNCTION("""COMPUTED_VALUE"""),"")</f>
        <v/>
      </c>
      <c r="BC246" s="218" t="str">
        <f>IFERROR(__xludf.DUMMYFUNCTION("""COMPUTED_VALUE"""),"")</f>
        <v/>
      </c>
      <c r="BD246" s="217" t="str">
        <f>IFERROR(__xludf.DUMMYFUNCTION("""COMPUTED_VALUE"""),"")</f>
        <v/>
      </c>
      <c r="BE246" s="217" t="str">
        <f>IFERROR(__xludf.DUMMYFUNCTION("""COMPUTED_VALUE"""),"")</f>
        <v/>
      </c>
      <c r="BF246" s="218">
        <f>IFERROR(__xludf.DUMMYFUNCTION("""COMPUTED_VALUE"""),471.7)</f>
        <v>471.7</v>
      </c>
      <c r="BG246" s="216" t="str">
        <f>IFERROR(__xludf.DUMMYFUNCTION("""COMPUTED_VALUE"""),"")</f>
        <v/>
      </c>
      <c r="BH246" s="217" t="str">
        <f>IFERROR(__xludf.DUMMYFUNCTION("""COMPUTED_VALUE"""),"")</f>
        <v/>
      </c>
      <c r="BI246" s="218" t="str">
        <f>IFERROR(__xludf.DUMMYFUNCTION("""COMPUTED_VALUE"""),"")</f>
        <v/>
      </c>
      <c r="BJ246" s="217" t="str">
        <f>IFERROR(__xludf.DUMMYFUNCTION("""COMPUTED_VALUE"""),"")</f>
        <v/>
      </c>
      <c r="BK246" s="217" t="str">
        <f>IFERROR(__xludf.DUMMYFUNCTION("""COMPUTED_VALUE"""),"")</f>
        <v/>
      </c>
      <c r="BL246" s="218" t="str">
        <f>IFERROR(__xludf.DUMMYFUNCTION("""COMPUTED_VALUE"""),"")</f>
        <v/>
      </c>
      <c r="BM246" s="217" t="str">
        <f>IFERROR(__xludf.DUMMYFUNCTION("""COMPUTED_VALUE"""),"")</f>
        <v/>
      </c>
      <c r="BN246" s="217">
        <f>IFERROR(__xludf.DUMMYFUNCTION("""COMPUTED_VALUE"""),37.9)</f>
        <v>37.9</v>
      </c>
      <c r="BO246" s="218" t="str">
        <f>IFERROR(__xludf.DUMMYFUNCTION("""COMPUTED_VALUE"""),"")</f>
        <v/>
      </c>
      <c r="BP246" s="217" t="str">
        <f>IFERROR(__xludf.DUMMYFUNCTION("""COMPUTED_VALUE"""),"")</f>
        <v/>
      </c>
      <c r="BQ246" s="217" t="str">
        <f>IFERROR(__xludf.DUMMYFUNCTION("""COMPUTED_VALUE"""),"")</f>
        <v/>
      </c>
      <c r="BR246" s="218" t="str">
        <f>IFERROR(__xludf.DUMMYFUNCTION("""COMPUTED_VALUE"""),"")</f>
        <v/>
      </c>
      <c r="BS246" s="217" t="str">
        <f>IFERROR(__xludf.DUMMYFUNCTION("""COMPUTED_VALUE"""),"")</f>
        <v/>
      </c>
      <c r="BT246" s="217" t="str">
        <f>IFERROR(__xludf.DUMMYFUNCTION("""COMPUTED_VALUE"""),"")</f>
        <v/>
      </c>
      <c r="BU246" s="218" t="str">
        <f>IFERROR(__xludf.DUMMYFUNCTION("""COMPUTED_VALUE"""),"")</f>
        <v/>
      </c>
      <c r="BV246" s="217" t="str">
        <f>IFERROR(__xludf.DUMMYFUNCTION("""COMPUTED_VALUE"""),"")</f>
        <v/>
      </c>
      <c r="BW246" s="217" t="str">
        <f>IFERROR(__xludf.DUMMYFUNCTION("""COMPUTED_VALUE"""),"")</f>
        <v/>
      </c>
      <c r="BX246" s="218" t="str">
        <f>IFERROR(__xludf.DUMMYFUNCTION("""COMPUTED_VALUE"""),"")</f>
        <v/>
      </c>
      <c r="BY246" s="217" t="str">
        <f>IFERROR(__xludf.DUMMYFUNCTION("""COMPUTED_VALUE"""),"")</f>
        <v/>
      </c>
      <c r="BZ246" s="217" t="str">
        <f>IFERROR(__xludf.DUMMYFUNCTION("""COMPUTED_VALUE"""),"")</f>
        <v/>
      </c>
      <c r="CA246" s="218" t="str">
        <f>IFERROR(__xludf.DUMMYFUNCTION("""COMPUTED_VALUE"""),"")</f>
        <v/>
      </c>
      <c r="CB246" s="216" t="str">
        <f>IFERROR(__xludf.DUMMYFUNCTION("""COMPUTED_VALUE"""),"")</f>
        <v/>
      </c>
      <c r="CC246" s="217" t="str">
        <f>IFERROR(__xludf.DUMMYFUNCTION("""COMPUTED_VALUE"""),"")</f>
        <v/>
      </c>
      <c r="CD246" s="218" t="str">
        <f>IFERROR(__xludf.DUMMYFUNCTION("""COMPUTED_VALUE"""),"")</f>
        <v/>
      </c>
      <c r="CE246" s="217" t="str">
        <f>IFERROR(__xludf.DUMMYFUNCTION("""COMPUTED_VALUE"""),"")</f>
        <v/>
      </c>
      <c r="CF246" s="217" t="str">
        <f>IFERROR(__xludf.DUMMYFUNCTION("""COMPUTED_VALUE"""),"")</f>
        <v/>
      </c>
      <c r="CG246" s="218" t="str">
        <f>IFERROR(__xludf.DUMMYFUNCTION("""COMPUTED_VALUE"""),"")</f>
        <v/>
      </c>
      <c r="CH246" s="217" t="str">
        <f>IFERROR(__xludf.DUMMYFUNCTION("""COMPUTED_VALUE"""),"")</f>
        <v/>
      </c>
      <c r="CI246" s="217" t="str">
        <f>IFERROR(__xludf.DUMMYFUNCTION("""COMPUTED_VALUE"""),"")</f>
        <v/>
      </c>
      <c r="CJ246" s="218" t="str">
        <f>IFERROR(__xludf.DUMMYFUNCTION("""COMPUTED_VALUE"""),"")</f>
        <v/>
      </c>
      <c r="CK246" s="217" t="str">
        <f>IFERROR(__xludf.DUMMYFUNCTION("""COMPUTED_VALUE"""),"")</f>
        <v/>
      </c>
      <c r="CL246" s="217" t="str">
        <f>IFERROR(__xludf.DUMMYFUNCTION("""COMPUTED_VALUE"""),"")</f>
        <v/>
      </c>
      <c r="CM246" s="218" t="str">
        <f>IFERROR(__xludf.DUMMYFUNCTION("""COMPUTED_VALUE"""),"")</f>
        <v/>
      </c>
      <c r="CN246" s="217" t="str">
        <f>IFERROR(__xludf.DUMMYFUNCTION("""COMPUTED_VALUE"""),"")</f>
        <v/>
      </c>
      <c r="CO246" s="217">
        <f>IFERROR(__xludf.DUMMYFUNCTION("""COMPUTED_VALUE"""),600.8)</f>
        <v>600.8</v>
      </c>
      <c r="CP246" s="218" t="str">
        <f>IFERROR(__xludf.DUMMYFUNCTION("""COMPUTED_VALUE"""),"")</f>
        <v/>
      </c>
      <c r="CQ246" s="219" t="str">
        <f>IFERROR(__xludf.DUMMYFUNCTION("""COMPUTED_VALUE"""),"")</f>
        <v/>
      </c>
      <c r="CR246" s="219" t="str">
        <f>IFERROR(__xludf.DUMMYFUNCTION("""COMPUTED_VALUE"""),"")</f>
        <v/>
      </c>
      <c r="CS246" s="220"/>
      <c r="CT246" s="219"/>
      <c r="CU246" s="219"/>
      <c r="CV246" s="220"/>
      <c r="CW246" s="219"/>
      <c r="CX246" s="219"/>
      <c r="CY246" s="220"/>
      <c r="CZ246" s="219"/>
      <c r="DA246" s="219"/>
      <c r="DB246" s="220"/>
      <c r="DC246" s="219"/>
      <c r="DD246" s="219"/>
      <c r="DE246" s="220"/>
      <c r="DF246" s="219"/>
      <c r="DG246" s="219"/>
      <c r="DH246" s="220"/>
      <c r="DI246" s="219"/>
      <c r="DJ246" s="219"/>
      <c r="DK246" s="220"/>
      <c r="DL246" s="219"/>
      <c r="DM246" s="219"/>
      <c r="DN246" s="220"/>
      <c r="DO246" s="219"/>
      <c r="DP246" s="219"/>
      <c r="DQ246" s="220"/>
      <c r="DR246" s="219"/>
      <c r="DS246" s="219"/>
      <c r="DT246" s="220"/>
    </row>
    <row r="247">
      <c r="B247" s="180" t="str">
        <f>IFERROR(__xludf.DUMMYFUNCTION("""COMPUTED_VALUE"""),"OLP10")</f>
        <v>OLP10</v>
      </c>
      <c r="C247">
        <f>IFERROR(__xludf.DUMMYFUNCTION("""COMPUTED_VALUE"""),246.0)</f>
        <v>246</v>
      </c>
      <c r="D247" s="178" t="str">
        <f>IFERROR(__xludf.DUMMYFUNCTION("""COMPUTED_VALUE"""),"Grand Altar")</f>
        <v>Grand Altar</v>
      </c>
      <c r="E247" s="215" t="str">
        <f>IFERROR(__xludf.DUMMYFUNCTION("""COMPUTED_VALUE"""),"大祭壇")</f>
        <v>大祭壇</v>
      </c>
      <c r="F247" s="179">
        <f>IFERROR(__xludf.DUMMYFUNCTION("""COMPUTED_VALUE"""),21.0)</f>
        <v>21</v>
      </c>
      <c r="G247" s="83">
        <f>IFERROR(__xludf.DUMMYFUNCTION("""COMPUTED_VALUE"""),1624.0)</f>
        <v>1624</v>
      </c>
      <c r="H247" s="95" t="str">
        <f>IFERROR(__xludf.DUMMYFUNCTION("""COMPUTED_VALUE"""),"")</f>
        <v/>
      </c>
      <c r="I247" s="96" t="str">
        <f>IFERROR(__xludf.DUMMYFUNCTION("""COMPUTED_VALUE"""),"")</f>
        <v/>
      </c>
      <c r="J247" s="97" t="str">
        <f>IFERROR(__xludf.DUMMYFUNCTION("""COMPUTED_VALUE"""),"")</f>
        <v/>
      </c>
      <c r="K247" s="95" t="str">
        <f>IFERROR(__xludf.DUMMYFUNCTION("""COMPUTED_VALUE"""),"")</f>
        <v/>
      </c>
      <c r="L247" s="96" t="str">
        <f>IFERROR(__xludf.DUMMYFUNCTION("""COMPUTED_VALUE"""),"")</f>
        <v/>
      </c>
      <c r="M247" s="97" t="str">
        <f>IFERROR(__xludf.DUMMYFUNCTION("""COMPUTED_VALUE"""),"")</f>
        <v/>
      </c>
      <c r="N247" s="95" t="str">
        <f>IFERROR(__xludf.DUMMYFUNCTION("""COMPUTED_VALUE"""),"")</f>
        <v/>
      </c>
      <c r="O247" s="96" t="str">
        <f>IFERROR(__xludf.DUMMYFUNCTION("""COMPUTED_VALUE"""),"")</f>
        <v/>
      </c>
      <c r="P247" s="97" t="str">
        <f>IFERROR(__xludf.DUMMYFUNCTION("""COMPUTED_VALUE"""),"")</f>
        <v/>
      </c>
      <c r="Q247" s="95" t="str">
        <f>IFERROR(__xludf.DUMMYFUNCTION("""COMPUTED_VALUE"""),"")</f>
        <v/>
      </c>
      <c r="R247" s="96" t="str">
        <f>IFERROR(__xludf.DUMMYFUNCTION("""COMPUTED_VALUE"""),"")</f>
        <v/>
      </c>
      <c r="S247" s="97" t="str">
        <f>IFERROR(__xludf.DUMMYFUNCTION("""COMPUTED_VALUE"""),"")</f>
        <v/>
      </c>
      <c r="T247" s="95" t="str">
        <f>IFERROR(__xludf.DUMMYFUNCTION("""COMPUTED_VALUE"""),"")</f>
        <v/>
      </c>
      <c r="U247" s="96" t="str">
        <f>IFERROR(__xludf.DUMMYFUNCTION("""COMPUTED_VALUE"""),"")</f>
        <v/>
      </c>
      <c r="V247" s="97" t="str">
        <f>IFERROR(__xludf.DUMMYFUNCTION("""COMPUTED_VALUE"""),"")</f>
        <v/>
      </c>
      <c r="W247" s="95" t="str">
        <f>IFERROR(__xludf.DUMMYFUNCTION("""COMPUTED_VALUE"""),"")</f>
        <v/>
      </c>
      <c r="X247" s="96" t="str">
        <f>IFERROR(__xludf.DUMMYFUNCTION("""COMPUTED_VALUE"""),"")</f>
        <v/>
      </c>
      <c r="Y247" s="97" t="str">
        <f>IFERROR(__xludf.DUMMYFUNCTION("""COMPUTED_VALUE"""),"")</f>
        <v/>
      </c>
      <c r="Z247" s="95" t="str">
        <f>IFERROR(__xludf.DUMMYFUNCTION("""COMPUTED_VALUE"""),"")</f>
        <v/>
      </c>
      <c r="AA247" s="96" t="str">
        <f>IFERROR(__xludf.DUMMYFUNCTION("""COMPUTED_VALUE"""),"")</f>
        <v/>
      </c>
      <c r="AB247" s="97" t="str">
        <f>IFERROR(__xludf.DUMMYFUNCTION("""COMPUTED_VALUE"""),"")</f>
        <v/>
      </c>
      <c r="AC247" s="95">
        <f>IFERROR(__xludf.DUMMYFUNCTION("""COMPUTED_VALUE"""),99.7)</f>
        <v>99.7</v>
      </c>
      <c r="AD247" s="96" t="str">
        <f>IFERROR(__xludf.DUMMYFUNCTION("""COMPUTED_VALUE"""),"")</f>
        <v/>
      </c>
      <c r="AE247" s="97" t="str">
        <f>IFERROR(__xludf.DUMMYFUNCTION("""COMPUTED_VALUE"""),"")</f>
        <v/>
      </c>
      <c r="AF247" s="95" t="str">
        <f>IFERROR(__xludf.DUMMYFUNCTION("""COMPUTED_VALUE"""),"")</f>
        <v/>
      </c>
      <c r="AG247" s="96" t="str">
        <f>IFERROR(__xludf.DUMMYFUNCTION("""COMPUTED_VALUE"""),"")</f>
        <v/>
      </c>
      <c r="AH247" s="97" t="str">
        <f>IFERROR(__xludf.DUMMYFUNCTION("""COMPUTED_VALUE"""),"")</f>
        <v/>
      </c>
      <c r="AI247" s="216" t="str">
        <f>IFERROR(__xludf.DUMMYFUNCTION("""COMPUTED_VALUE"""),"")</f>
        <v/>
      </c>
      <c r="AJ247" s="217" t="str">
        <f>IFERROR(__xludf.DUMMYFUNCTION("""COMPUTED_VALUE"""),"")</f>
        <v/>
      </c>
      <c r="AK247" s="218" t="str">
        <f>IFERROR(__xludf.DUMMYFUNCTION("""COMPUTED_VALUE"""),"")</f>
        <v/>
      </c>
      <c r="AL247" s="217" t="str">
        <f>IFERROR(__xludf.DUMMYFUNCTION("""COMPUTED_VALUE"""),"")</f>
        <v/>
      </c>
      <c r="AM247" s="217" t="str">
        <f>IFERROR(__xludf.DUMMYFUNCTION("""COMPUTED_VALUE"""),"")</f>
        <v/>
      </c>
      <c r="AN247" s="218" t="str">
        <f>IFERROR(__xludf.DUMMYFUNCTION("""COMPUTED_VALUE"""),"")</f>
        <v/>
      </c>
      <c r="AO247" s="217" t="str">
        <f>IFERROR(__xludf.DUMMYFUNCTION("""COMPUTED_VALUE"""),"")</f>
        <v/>
      </c>
      <c r="AP247" s="217" t="str">
        <f>IFERROR(__xludf.DUMMYFUNCTION("""COMPUTED_VALUE"""),"")</f>
        <v/>
      </c>
      <c r="AQ247" s="218" t="str">
        <f>IFERROR(__xludf.DUMMYFUNCTION("""COMPUTED_VALUE"""),"")</f>
        <v/>
      </c>
      <c r="AR247" s="217">
        <f>IFERROR(__xludf.DUMMYFUNCTION("""COMPUTED_VALUE"""),110.4)</f>
        <v>110.4</v>
      </c>
      <c r="AS247" s="217" t="str">
        <f>IFERROR(__xludf.DUMMYFUNCTION("""COMPUTED_VALUE"""),"")</f>
        <v/>
      </c>
      <c r="AT247" s="218" t="str">
        <f>IFERROR(__xludf.DUMMYFUNCTION("""COMPUTED_VALUE"""),"")</f>
        <v/>
      </c>
      <c r="AU247" s="217" t="str">
        <f>IFERROR(__xludf.DUMMYFUNCTION("""COMPUTED_VALUE"""),"")</f>
        <v/>
      </c>
      <c r="AV247" s="217" t="str">
        <f>IFERROR(__xludf.DUMMYFUNCTION("""COMPUTED_VALUE"""),"")</f>
        <v/>
      </c>
      <c r="AW247" s="218">
        <f>IFERROR(__xludf.DUMMYFUNCTION("""COMPUTED_VALUE"""),66.0)</f>
        <v>66</v>
      </c>
      <c r="AX247" s="217" t="str">
        <f>IFERROR(__xludf.DUMMYFUNCTION("""COMPUTED_VALUE"""),"")</f>
        <v/>
      </c>
      <c r="AY247" s="217" t="str">
        <f>IFERROR(__xludf.DUMMYFUNCTION("""COMPUTED_VALUE"""),"")</f>
        <v/>
      </c>
      <c r="AZ247" s="218" t="str">
        <f>IFERROR(__xludf.DUMMYFUNCTION("""COMPUTED_VALUE"""),"")</f>
        <v/>
      </c>
      <c r="BA247" s="217" t="str">
        <f>IFERROR(__xludf.DUMMYFUNCTION("""COMPUTED_VALUE"""),"")</f>
        <v/>
      </c>
      <c r="BB247" s="217" t="str">
        <f>IFERROR(__xludf.DUMMYFUNCTION("""COMPUTED_VALUE"""),"")</f>
        <v/>
      </c>
      <c r="BC247" s="218" t="str">
        <f>IFERROR(__xludf.DUMMYFUNCTION("""COMPUTED_VALUE"""),"")</f>
        <v/>
      </c>
      <c r="BD247" s="217" t="str">
        <f>IFERROR(__xludf.DUMMYFUNCTION("""COMPUTED_VALUE"""),"")</f>
        <v/>
      </c>
      <c r="BE247" s="217" t="str">
        <f>IFERROR(__xludf.DUMMYFUNCTION("""COMPUTED_VALUE"""),"")</f>
        <v/>
      </c>
      <c r="BF247" s="218" t="str">
        <f>IFERROR(__xludf.DUMMYFUNCTION("""COMPUTED_VALUE"""),"")</f>
        <v/>
      </c>
      <c r="BG247" s="216" t="str">
        <f>IFERROR(__xludf.DUMMYFUNCTION("""COMPUTED_VALUE"""),"")</f>
        <v/>
      </c>
      <c r="BH247" s="217" t="str">
        <f>IFERROR(__xludf.DUMMYFUNCTION("""COMPUTED_VALUE"""),"")</f>
        <v/>
      </c>
      <c r="BI247" s="218" t="str">
        <f>IFERROR(__xludf.DUMMYFUNCTION("""COMPUTED_VALUE"""),"")</f>
        <v/>
      </c>
      <c r="BJ247" s="217" t="str">
        <f>IFERROR(__xludf.DUMMYFUNCTION("""COMPUTED_VALUE"""),"")</f>
        <v/>
      </c>
      <c r="BK247" s="217" t="str">
        <f>IFERROR(__xludf.DUMMYFUNCTION("""COMPUTED_VALUE"""),"")</f>
        <v/>
      </c>
      <c r="BL247" s="218" t="str">
        <f>IFERROR(__xludf.DUMMYFUNCTION("""COMPUTED_VALUE"""),"")</f>
        <v/>
      </c>
      <c r="BM247" s="217" t="str">
        <f>IFERROR(__xludf.DUMMYFUNCTION("""COMPUTED_VALUE"""),"")</f>
        <v/>
      </c>
      <c r="BN247" s="217">
        <f>IFERROR(__xludf.DUMMYFUNCTION("""COMPUTED_VALUE"""),131.2)</f>
        <v>131.2</v>
      </c>
      <c r="BO247" s="218">
        <f>IFERROR(__xludf.DUMMYFUNCTION("""COMPUTED_VALUE"""),69.7)</f>
        <v>69.7</v>
      </c>
      <c r="BP247" s="217" t="str">
        <f>IFERROR(__xludf.DUMMYFUNCTION("""COMPUTED_VALUE"""),"")</f>
        <v/>
      </c>
      <c r="BQ247" s="217" t="str">
        <f>IFERROR(__xludf.DUMMYFUNCTION("""COMPUTED_VALUE"""),"")</f>
        <v/>
      </c>
      <c r="BR247" s="218" t="str">
        <f>IFERROR(__xludf.DUMMYFUNCTION("""COMPUTED_VALUE"""),"")</f>
        <v/>
      </c>
      <c r="BS247" s="217" t="str">
        <f>IFERROR(__xludf.DUMMYFUNCTION("""COMPUTED_VALUE"""),"")</f>
        <v/>
      </c>
      <c r="BT247" s="217" t="str">
        <f>IFERROR(__xludf.DUMMYFUNCTION("""COMPUTED_VALUE"""),"")</f>
        <v/>
      </c>
      <c r="BU247" s="218" t="str">
        <f>IFERROR(__xludf.DUMMYFUNCTION("""COMPUTED_VALUE"""),"")</f>
        <v/>
      </c>
      <c r="BV247" s="217" t="str">
        <f>IFERROR(__xludf.DUMMYFUNCTION("""COMPUTED_VALUE"""),"")</f>
        <v/>
      </c>
      <c r="BW247" s="217" t="str">
        <f>IFERROR(__xludf.DUMMYFUNCTION("""COMPUTED_VALUE"""),"")</f>
        <v/>
      </c>
      <c r="BX247" s="218" t="str">
        <f>IFERROR(__xludf.DUMMYFUNCTION("""COMPUTED_VALUE"""),"")</f>
        <v/>
      </c>
      <c r="BY247" s="217" t="str">
        <f>IFERROR(__xludf.DUMMYFUNCTION("""COMPUTED_VALUE"""),"")</f>
        <v/>
      </c>
      <c r="BZ247" s="217" t="str">
        <f>IFERROR(__xludf.DUMMYFUNCTION("""COMPUTED_VALUE"""),"")</f>
        <v/>
      </c>
      <c r="CA247" s="218" t="str">
        <f>IFERROR(__xludf.DUMMYFUNCTION("""COMPUTED_VALUE"""),"")</f>
        <v/>
      </c>
      <c r="CB247" s="216" t="str">
        <f>IFERROR(__xludf.DUMMYFUNCTION("""COMPUTED_VALUE"""),"")</f>
        <v/>
      </c>
      <c r="CC247" s="217" t="str">
        <f>IFERROR(__xludf.DUMMYFUNCTION("""COMPUTED_VALUE"""),"")</f>
        <v/>
      </c>
      <c r="CD247" s="218" t="str">
        <f>IFERROR(__xludf.DUMMYFUNCTION("""COMPUTED_VALUE"""),"")</f>
        <v/>
      </c>
      <c r="CE247" s="217" t="str">
        <f>IFERROR(__xludf.DUMMYFUNCTION("""COMPUTED_VALUE"""),"")</f>
        <v/>
      </c>
      <c r="CF247" s="217" t="str">
        <f>IFERROR(__xludf.DUMMYFUNCTION("""COMPUTED_VALUE"""),"")</f>
        <v/>
      </c>
      <c r="CG247" s="218" t="str">
        <f>IFERROR(__xludf.DUMMYFUNCTION("""COMPUTED_VALUE"""),"")</f>
        <v/>
      </c>
      <c r="CH247" s="217" t="str">
        <f>IFERROR(__xludf.DUMMYFUNCTION("""COMPUTED_VALUE"""),"")</f>
        <v/>
      </c>
      <c r="CI247" s="217" t="str">
        <f>IFERROR(__xludf.DUMMYFUNCTION("""COMPUTED_VALUE"""),"")</f>
        <v/>
      </c>
      <c r="CJ247" s="218" t="str">
        <f>IFERROR(__xludf.DUMMYFUNCTION("""COMPUTED_VALUE"""),"")</f>
        <v/>
      </c>
      <c r="CK247" s="217" t="str">
        <f>IFERROR(__xludf.DUMMYFUNCTION("""COMPUTED_VALUE"""),"")</f>
        <v/>
      </c>
      <c r="CL247" s="217" t="str">
        <f>IFERROR(__xludf.DUMMYFUNCTION("""COMPUTED_VALUE"""),"")</f>
        <v/>
      </c>
      <c r="CM247" s="218" t="str">
        <f>IFERROR(__xludf.DUMMYFUNCTION("""COMPUTED_VALUE"""),"")</f>
        <v/>
      </c>
      <c r="CN247" s="217" t="str">
        <f>IFERROR(__xludf.DUMMYFUNCTION("""COMPUTED_VALUE"""),"")</f>
        <v/>
      </c>
      <c r="CO247" s="217" t="str">
        <f>IFERROR(__xludf.DUMMYFUNCTION("""COMPUTED_VALUE"""),"")</f>
        <v/>
      </c>
      <c r="CP247" s="218" t="str">
        <f>IFERROR(__xludf.DUMMYFUNCTION("""COMPUTED_VALUE"""),"")</f>
        <v/>
      </c>
      <c r="CQ247" s="93" t="str">
        <f>IFERROR(__xludf.DUMMYFUNCTION("""COMPUTED_VALUE"""),"")</f>
        <v/>
      </c>
      <c r="CR247" s="93" t="str">
        <f>IFERROR(__xludf.DUMMYFUNCTION("""COMPUTED_VALUE"""),"")</f>
        <v/>
      </c>
      <c r="CS247" s="94"/>
      <c r="CT247" s="93"/>
      <c r="CU247" s="93"/>
      <c r="CV247" s="94"/>
      <c r="CW247" s="93"/>
      <c r="CX247" s="93"/>
      <c r="CY247" s="94"/>
      <c r="CZ247" s="93"/>
      <c r="DA247" s="93"/>
      <c r="DB247" s="94"/>
      <c r="DC247" s="93"/>
      <c r="DD247" s="93"/>
      <c r="DE247" s="94"/>
      <c r="DF247" s="93"/>
      <c r="DG247" s="93"/>
      <c r="DH247" s="94"/>
      <c r="DI247" s="93"/>
      <c r="DJ247" s="93"/>
      <c r="DK247" s="94"/>
      <c r="DL247" s="93"/>
      <c r="DM247" s="93"/>
      <c r="DN247" s="94"/>
      <c r="DO247" s="93"/>
      <c r="DP247" s="93"/>
      <c r="DQ247" s="94"/>
      <c r="DR247" s="93"/>
      <c r="DS247" s="93"/>
      <c r="DT247" s="94"/>
    </row>
    <row r="248">
      <c r="B248" s="180" t="str">
        <f>IFERROR(__xludf.DUMMYFUNCTION("""COMPUTED_VALUE"""),"OLP11")</f>
        <v>OLP11</v>
      </c>
      <c r="C248">
        <f>IFERROR(__xludf.DUMMYFUNCTION("""COMPUTED_VALUE"""),247.0)</f>
        <v>247</v>
      </c>
      <c r="D248" s="178" t="str">
        <f>IFERROR(__xludf.DUMMYFUNCTION("""COMPUTED_VALUE"""),"Underground Belt Mechanism - Outer Region")</f>
        <v>Underground Belt Mechanism - Outer Region</v>
      </c>
      <c r="E248" s="215" t="str">
        <f>IFERROR(__xludf.DUMMYFUNCTION("""COMPUTED_VALUE"""),"地下機構帯・外周部")</f>
        <v>地下機構帯・外周部</v>
      </c>
      <c r="F248" s="179">
        <f>IFERROR(__xludf.DUMMYFUNCTION("""COMPUTED_VALUE"""),21.0)</f>
        <v>21</v>
      </c>
      <c r="G248" s="83">
        <f>IFERROR(__xludf.DUMMYFUNCTION("""COMPUTED_VALUE"""),8377.0)</f>
        <v>8377</v>
      </c>
      <c r="H248" s="95" t="str">
        <f>IFERROR(__xludf.DUMMYFUNCTION("""COMPUTED_VALUE"""),"")</f>
        <v/>
      </c>
      <c r="I248" s="96" t="str">
        <f>IFERROR(__xludf.DUMMYFUNCTION("""COMPUTED_VALUE"""),"")</f>
        <v/>
      </c>
      <c r="J248" s="97" t="str">
        <f>IFERROR(__xludf.DUMMYFUNCTION("""COMPUTED_VALUE"""),"")</f>
        <v/>
      </c>
      <c r="K248" s="95" t="str">
        <f>IFERROR(__xludf.DUMMYFUNCTION("""COMPUTED_VALUE"""),"")</f>
        <v/>
      </c>
      <c r="L248" s="96" t="str">
        <f>IFERROR(__xludf.DUMMYFUNCTION("""COMPUTED_VALUE"""),"")</f>
        <v/>
      </c>
      <c r="M248" s="97" t="str">
        <f>IFERROR(__xludf.DUMMYFUNCTION("""COMPUTED_VALUE"""),"")</f>
        <v/>
      </c>
      <c r="N248" s="95" t="str">
        <f>IFERROR(__xludf.DUMMYFUNCTION("""COMPUTED_VALUE"""),"")</f>
        <v/>
      </c>
      <c r="O248" s="96" t="str">
        <f>IFERROR(__xludf.DUMMYFUNCTION("""COMPUTED_VALUE"""),"")</f>
        <v/>
      </c>
      <c r="P248" s="97" t="str">
        <f>IFERROR(__xludf.DUMMYFUNCTION("""COMPUTED_VALUE"""),"")</f>
        <v/>
      </c>
      <c r="Q248" s="95" t="str">
        <f>IFERROR(__xludf.DUMMYFUNCTION("""COMPUTED_VALUE"""),"")</f>
        <v/>
      </c>
      <c r="R248" s="96" t="str">
        <f>IFERROR(__xludf.DUMMYFUNCTION("""COMPUTED_VALUE"""),"")</f>
        <v/>
      </c>
      <c r="S248" s="97" t="str">
        <f>IFERROR(__xludf.DUMMYFUNCTION("""COMPUTED_VALUE"""),"")</f>
        <v/>
      </c>
      <c r="T248" s="95" t="str">
        <f>IFERROR(__xludf.DUMMYFUNCTION("""COMPUTED_VALUE"""),"")</f>
        <v/>
      </c>
      <c r="U248" s="96" t="str">
        <f>IFERROR(__xludf.DUMMYFUNCTION("""COMPUTED_VALUE"""),"")</f>
        <v/>
      </c>
      <c r="V248" s="97" t="str">
        <f>IFERROR(__xludf.DUMMYFUNCTION("""COMPUTED_VALUE"""),"")</f>
        <v/>
      </c>
      <c r="W248" s="95" t="str">
        <f>IFERROR(__xludf.DUMMYFUNCTION("""COMPUTED_VALUE"""),"")</f>
        <v/>
      </c>
      <c r="X248" s="96" t="str">
        <f>IFERROR(__xludf.DUMMYFUNCTION("""COMPUTED_VALUE"""),"")</f>
        <v/>
      </c>
      <c r="Y248" s="97" t="str">
        <f>IFERROR(__xludf.DUMMYFUNCTION("""COMPUTED_VALUE"""),"")</f>
        <v/>
      </c>
      <c r="Z248" s="95" t="str">
        <f>IFERROR(__xludf.DUMMYFUNCTION("""COMPUTED_VALUE"""),"")</f>
        <v/>
      </c>
      <c r="AA248" s="96" t="str">
        <f>IFERROR(__xludf.DUMMYFUNCTION("""COMPUTED_VALUE"""),"")</f>
        <v/>
      </c>
      <c r="AB248" s="97" t="str">
        <f>IFERROR(__xludf.DUMMYFUNCTION("""COMPUTED_VALUE"""),"")</f>
        <v/>
      </c>
      <c r="AC248" s="95" t="str">
        <f>IFERROR(__xludf.DUMMYFUNCTION("""COMPUTED_VALUE"""),"")</f>
        <v/>
      </c>
      <c r="AD248" s="96" t="str">
        <f>IFERROR(__xludf.DUMMYFUNCTION("""COMPUTED_VALUE"""),"")</f>
        <v/>
      </c>
      <c r="AE248" s="97" t="str">
        <f>IFERROR(__xludf.DUMMYFUNCTION("""COMPUTED_VALUE"""),"")</f>
        <v/>
      </c>
      <c r="AF248" s="95" t="str">
        <f>IFERROR(__xludf.DUMMYFUNCTION("""COMPUTED_VALUE"""),"")</f>
        <v/>
      </c>
      <c r="AG248" s="96" t="str">
        <f>IFERROR(__xludf.DUMMYFUNCTION("""COMPUTED_VALUE"""),"")</f>
        <v/>
      </c>
      <c r="AH248" s="97" t="str">
        <f>IFERROR(__xludf.DUMMYFUNCTION("""COMPUTED_VALUE"""),"")</f>
        <v/>
      </c>
      <c r="AI248" s="216" t="str">
        <f>IFERROR(__xludf.DUMMYFUNCTION("""COMPUTED_VALUE"""),"")</f>
        <v/>
      </c>
      <c r="AJ248" s="217" t="str">
        <f>IFERROR(__xludf.DUMMYFUNCTION("""COMPUTED_VALUE"""),"")</f>
        <v/>
      </c>
      <c r="AK248" s="218" t="str">
        <f>IFERROR(__xludf.DUMMYFUNCTION("""COMPUTED_VALUE"""),"")</f>
        <v/>
      </c>
      <c r="AL248" s="217" t="str">
        <f>IFERROR(__xludf.DUMMYFUNCTION("""COMPUTED_VALUE"""),"")</f>
        <v/>
      </c>
      <c r="AM248" s="217" t="str">
        <f>IFERROR(__xludf.DUMMYFUNCTION("""COMPUTED_VALUE"""),"")</f>
        <v/>
      </c>
      <c r="AN248" s="218" t="str">
        <f>IFERROR(__xludf.DUMMYFUNCTION("""COMPUTED_VALUE"""),"")</f>
        <v/>
      </c>
      <c r="AO248" s="217" t="str">
        <f>IFERROR(__xludf.DUMMYFUNCTION("""COMPUTED_VALUE"""),"")</f>
        <v/>
      </c>
      <c r="AP248" s="217" t="str">
        <f>IFERROR(__xludf.DUMMYFUNCTION("""COMPUTED_VALUE"""),"")</f>
        <v/>
      </c>
      <c r="AQ248" s="218" t="str">
        <f>IFERROR(__xludf.DUMMYFUNCTION("""COMPUTED_VALUE"""),"")</f>
        <v/>
      </c>
      <c r="AR248" s="217">
        <f>IFERROR(__xludf.DUMMYFUNCTION("""COMPUTED_VALUE"""),53.3)</f>
        <v>53.3</v>
      </c>
      <c r="AS248" s="217" t="str">
        <f>IFERROR(__xludf.DUMMYFUNCTION("""COMPUTED_VALUE"""),"")</f>
        <v/>
      </c>
      <c r="AT248" s="218" t="str">
        <f>IFERROR(__xludf.DUMMYFUNCTION("""COMPUTED_VALUE"""),"")</f>
        <v/>
      </c>
      <c r="AU248" s="217" t="str">
        <f>IFERROR(__xludf.DUMMYFUNCTION("""COMPUTED_VALUE"""),"")</f>
        <v/>
      </c>
      <c r="AV248" s="217" t="str">
        <f>IFERROR(__xludf.DUMMYFUNCTION("""COMPUTED_VALUE"""),"")</f>
        <v/>
      </c>
      <c r="AW248" s="218" t="str">
        <f>IFERROR(__xludf.DUMMYFUNCTION("""COMPUTED_VALUE"""),"")</f>
        <v/>
      </c>
      <c r="AX248" s="217" t="str">
        <f>IFERROR(__xludf.DUMMYFUNCTION("""COMPUTED_VALUE"""),"")</f>
        <v/>
      </c>
      <c r="AY248" s="217" t="str">
        <f>IFERROR(__xludf.DUMMYFUNCTION("""COMPUTED_VALUE"""),"")</f>
        <v/>
      </c>
      <c r="AZ248" s="218" t="str">
        <f>IFERROR(__xludf.DUMMYFUNCTION("""COMPUTED_VALUE"""),"")</f>
        <v/>
      </c>
      <c r="BA248" s="217" t="str">
        <f>IFERROR(__xludf.DUMMYFUNCTION("""COMPUTED_VALUE"""),"")</f>
        <v/>
      </c>
      <c r="BB248" s="217" t="str">
        <f>IFERROR(__xludf.DUMMYFUNCTION("""COMPUTED_VALUE"""),"")</f>
        <v/>
      </c>
      <c r="BC248" s="218" t="str">
        <f>IFERROR(__xludf.DUMMYFUNCTION("""COMPUTED_VALUE"""),"")</f>
        <v/>
      </c>
      <c r="BD248" s="217" t="str">
        <f>IFERROR(__xludf.DUMMYFUNCTION("""COMPUTED_VALUE"""),"")</f>
        <v/>
      </c>
      <c r="BE248" s="217" t="str">
        <f>IFERROR(__xludf.DUMMYFUNCTION("""COMPUTED_VALUE"""),"")</f>
        <v/>
      </c>
      <c r="BF248" s="218" t="str">
        <f>IFERROR(__xludf.DUMMYFUNCTION("""COMPUTED_VALUE"""),"")</f>
        <v/>
      </c>
      <c r="BG248" s="216" t="str">
        <f>IFERROR(__xludf.DUMMYFUNCTION("""COMPUTED_VALUE"""),"")</f>
        <v/>
      </c>
      <c r="BH248" s="217" t="str">
        <f>IFERROR(__xludf.DUMMYFUNCTION("""COMPUTED_VALUE"""),"")</f>
        <v/>
      </c>
      <c r="BI248" s="218" t="str">
        <f>IFERROR(__xludf.DUMMYFUNCTION("""COMPUTED_VALUE"""),"")</f>
        <v/>
      </c>
      <c r="BJ248" s="217" t="str">
        <f>IFERROR(__xludf.DUMMYFUNCTION("""COMPUTED_VALUE"""),"")</f>
        <v/>
      </c>
      <c r="BK248" s="217" t="str">
        <f>IFERROR(__xludf.DUMMYFUNCTION("""COMPUTED_VALUE"""),"")</f>
        <v/>
      </c>
      <c r="BL248" s="218" t="str">
        <f>IFERROR(__xludf.DUMMYFUNCTION("""COMPUTED_VALUE"""),"")</f>
        <v/>
      </c>
      <c r="BM248" s="217" t="str">
        <f>IFERROR(__xludf.DUMMYFUNCTION("""COMPUTED_VALUE"""),"")</f>
        <v/>
      </c>
      <c r="BN248" s="217" t="str">
        <f>IFERROR(__xludf.DUMMYFUNCTION("""COMPUTED_VALUE"""),"")</f>
        <v/>
      </c>
      <c r="BO248" s="218">
        <f>IFERROR(__xludf.DUMMYFUNCTION("""COMPUTED_VALUE"""),48.8)</f>
        <v>48.8</v>
      </c>
      <c r="BP248" s="217" t="str">
        <f>IFERROR(__xludf.DUMMYFUNCTION("""COMPUTED_VALUE"""),"")</f>
        <v/>
      </c>
      <c r="BQ248" s="217" t="str">
        <f>IFERROR(__xludf.DUMMYFUNCTION("""COMPUTED_VALUE"""),"")</f>
        <v/>
      </c>
      <c r="BR248" s="218" t="str">
        <f>IFERROR(__xludf.DUMMYFUNCTION("""COMPUTED_VALUE"""),"")</f>
        <v/>
      </c>
      <c r="BS248" s="217" t="str">
        <f>IFERROR(__xludf.DUMMYFUNCTION("""COMPUTED_VALUE"""),"")</f>
        <v/>
      </c>
      <c r="BT248" s="217" t="str">
        <f>IFERROR(__xludf.DUMMYFUNCTION("""COMPUTED_VALUE"""),"")</f>
        <v/>
      </c>
      <c r="BU248" s="218" t="str">
        <f>IFERROR(__xludf.DUMMYFUNCTION("""COMPUTED_VALUE"""),"")</f>
        <v/>
      </c>
      <c r="BV248" s="217" t="str">
        <f>IFERROR(__xludf.DUMMYFUNCTION("""COMPUTED_VALUE"""),"")</f>
        <v/>
      </c>
      <c r="BW248" s="217" t="str">
        <f>IFERROR(__xludf.DUMMYFUNCTION("""COMPUTED_VALUE"""),"")</f>
        <v/>
      </c>
      <c r="BX248" s="218" t="str">
        <f>IFERROR(__xludf.DUMMYFUNCTION("""COMPUTED_VALUE"""),"")</f>
        <v/>
      </c>
      <c r="BY248" s="217" t="str">
        <f>IFERROR(__xludf.DUMMYFUNCTION("""COMPUTED_VALUE"""),"")</f>
        <v/>
      </c>
      <c r="BZ248" s="217" t="str">
        <f>IFERROR(__xludf.DUMMYFUNCTION("""COMPUTED_VALUE"""),"")</f>
        <v/>
      </c>
      <c r="CA248" s="218" t="str">
        <f>IFERROR(__xludf.DUMMYFUNCTION("""COMPUTED_VALUE"""),"")</f>
        <v/>
      </c>
      <c r="CB248" s="216" t="str">
        <f>IFERROR(__xludf.DUMMYFUNCTION("""COMPUTED_VALUE"""),"")</f>
        <v/>
      </c>
      <c r="CC248" s="217" t="str">
        <f>IFERROR(__xludf.DUMMYFUNCTION("""COMPUTED_VALUE"""),"")</f>
        <v/>
      </c>
      <c r="CD248" s="218" t="str">
        <f>IFERROR(__xludf.DUMMYFUNCTION("""COMPUTED_VALUE"""),"")</f>
        <v/>
      </c>
      <c r="CE248" s="217" t="str">
        <f>IFERROR(__xludf.DUMMYFUNCTION("""COMPUTED_VALUE"""),"")</f>
        <v/>
      </c>
      <c r="CF248" s="217" t="str">
        <f>IFERROR(__xludf.DUMMYFUNCTION("""COMPUTED_VALUE"""),"")</f>
        <v/>
      </c>
      <c r="CG248" s="218" t="str">
        <f>IFERROR(__xludf.DUMMYFUNCTION("""COMPUTED_VALUE"""),"")</f>
        <v/>
      </c>
      <c r="CH248" s="217" t="str">
        <f>IFERROR(__xludf.DUMMYFUNCTION("""COMPUTED_VALUE"""),"")</f>
        <v/>
      </c>
      <c r="CI248" s="217" t="str">
        <f>IFERROR(__xludf.DUMMYFUNCTION("""COMPUTED_VALUE"""),"")</f>
        <v/>
      </c>
      <c r="CJ248" s="218" t="str">
        <f>IFERROR(__xludf.DUMMYFUNCTION("""COMPUTED_VALUE"""),"")</f>
        <v/>
      </c>
      <c r="CK248" s="217" t="str">
        <f>IFERROR(__xludf.DUMMYFUNCTION("""COMPUTED_VALUE"""),"")</f>
        <v/>
      </c>
      <c r="CL248" s="217" t="str">
        <f>IFERROR(__xludf.DUMMYFUNCTION("""COMPUTED_VALUE"""),"")</f>
        <v/>
      </c>
      <c r="CM248" s="218" t="str">
        <f>IFERROR(__xludf.DUMMYFUNCTION("""COMPUTED_VALUE"""),"")</f>
        <v/>
      </c>
      <c r="CN248" s="217" t="str">
        <f>IFERROR(__xludf.DUMMYFUNCTION("""COMPUTED_VALUE"""),"")</f>
        <v/>
      </c>
      <c r="CO248" s="217" t="str">
        <f>IFERROR(__xludf.DUMMYFUNCTION("""COMPUTED_VALUE"""),"")</f>
        <v/>
      </c>
      <c r="CP248" s="218" t="str">
        <f>IFERROR(__xludf.DUMMYFUNCTION("""COMPUTED_VALUE"""),"")</f>
        <v/>
      </c>
      <c r="CQ248" s="219" t="str">
        <f>IFERROR(__xludf.DUMMYFUNCTION("""COMPUTED_VALUE"""),"")</f>
        <v/>
      </c>
      <c r="CR248" s="219" t="str">
        <f>IFERROR(__xludf.DUMMYFUNCTION("""COMPUTED_VALUE"""),"")</f>
        <v/>
      </c>
      <c r="CS248" s="220"/>
      <c r="CT248" s="219"/>
      <c r="CU248" s="219"/>
      <c r="CV248" s="220"/>
      <c r="CW248" s="219"/>
      <c r="CX248" s="219"/>
      <c r="CY248" s="220"/>
      <c r="CZ248" s="219"/>
      <c r="DA248" s="219"/>
      <c r="DB248" s="220"/>
      <c r="DC248" s="219"/>
      <c r="DD248" s="219"/>
      <c r="DE248" s="220"/>
      <c r="DF248" s="219"/>
      <c r="DG248" s="219"/>
      <c r="DH248" s="220"/>
      <c r="DI248" s="219"/>
      <c r="DJ248" s="219"/>
      <c r="DK248" s="220"/>
      <c r="DL248" s="219"/>
      <c r="DM248" s="219"/>
      <c r="DN248" s="220"/>
      <c r="DO248" s="219"/>
      <c r="DP248" s="219"/>
      <c r="DQ248" s="220"/>
      <c r="DR248" s="219"/>
      <c r="DS248" s="219"/>
      <c r="DT248" s="220"/>
    </row>
    <row r="249">
      <c r="A249" s="221" t="str">
        <f>IFERROR(__xludf.DUMMYFUNCTION("""COMPUTED_VALUE"""),"Heian-Kyo")</f>
        <v>Heian-Kyo</v>
      </c>
      <c r="B249" s="180" t="str">
        <f>IFERROR(__xludf.DUMMYFUNCTION("""COMPUTED_VALUE"""),"HEA1")</f>
        <v>HEA1</v>
      </c>
      <c r="C249">
        <f>IFERROR(__xludf.DUMMYFUNCTION("""COMPUTED_VALUE"""),250.0)</f>
        <v>250</v>
      </c>
      <c r="D249" s="88" t="str">
        <f>IFERROR(__xludf.DUMMYFUNCTION("""COMPUTED_VALUE"""),"Jō Seven, Bō Four")</f>
        <v>Jō Seven, Bō Four</v>
      </c>
      <c r="E249" s="215" t="str">
        <f>IFERROR(__xludf.DUMMYFUNCTION("""COMPUTED_VALUE"""),"七条四坊")</f>
        <v>七条四坊</v>
      </c>
      <c r="F249" s="179">
        <f>IFERROR(__xludf.DUMMYFUNCTION("""COMPUTED_VALUE"""),21.0)</f>
        <v>21</v>
      </c>
      <c r="G249" s="83">
        <f>IFERROR(__xludf.DUMMYFUNCTION("""COMPUTED_VALUE"""),1250.0)</f>
        <v>1250</v>
      </c>
      <c r="H249" s="95" t="str">
        <f>IFERROR(__xludf.DUMMYFUNCTION("""COMPUTED_VALUE"""),"")</f>
        <v/>
      </c>
      <c r="I249" s="96" t="str">
        <f>IFERROR(__xludf.DUMMYFUNCTION("""COMPUTED_VALUE"""),"")</f>
        <v/>
      </c>
      <c r="J249" s="97" t="str">
        <f>IFERROR(__xludf.DUMMYFUNCTION("""COMPUTED_VALUE"""),"")</f>
        <v/>
      </c>
      <c r="K249" s="95" t="str">
        <f>IFERROR(__xludf.DUMMYFUNCTION("""COMPUTED_VALUE"""),"")</f>
        <v/>
      </c>
      <c r="L249" s="96" t="str">
        <f>IFERROR(__xludf.DUMMYFUNCTION("""COMPUTED_VALUE"""),"")</f>
        <v/>
      </c>
      <c r="M249" s="97" t="str">
        <f>IFERROR(__xludf.DUMMYFUNCTION("""COMPUTED_VALUE"""),"")</f>
        <v/>
      </c>
      <c r="N249" s="95" t="str">
        <f>IFERROR(__xludf.DUMMYFUNCTION("""COMPUTED_VALUE"""),"")</f>
        <v/>
      </c>
      <c r="O249" s="96" t="str">
        <f>IFERROR(__xludf.DUMMYFUNCTION("""COMPUTED_VALUE"""),"")</f>
        <v/>
      </c>
      <c r="P249" s="97" t="str">
        <f>IFERROR(__xludf.DUMMYFUNCTION("""COMPUTED_VALUE"""),"")</f>
        <v/>
      </c>
      <c r="Q249" s="95" t="str">
        <f>IFERROR(__xludf.DUMMYFUNCTION("""COMPUTED_VALUE"""),"")</f>
        <v/>
      </c>
      <c r="R249" s="96" t="str">
        <f>IFERROR(__xludf.DUMMYFUNCTION("""COMPUTED_VALUE"""),"")</f>
        <v/>
      </c>
      <c r="S249" s="97" t="str">
        <f>IFERROR(__xludf.DUMMYFUNCTION("""COMPUTED_VALUE"""),"")</f>
        <v/>
      </c>
      <c r="T249" s="95" t="str">
        <f>IFERROR(__xludf.DUMMYFUNCTION("""COMPUTED_VALUE"""),"")</f>
        <v/>
      </c>
      <c r="U249" s="96">
        <f>IFERROR(__xludf.DUMMYFUNCTION("""COMPUTED_VALUE"""),161.0)</f>
        <v>161</v>
      </c>
      <c r="V249" s="97" t="str">
        <f>IFERROR(__xludf.DUMMYFUNCTION("""COMPUTED_VALUE"""),"")</f>
        <v/>
      </c>
      <c r="W249" s="95" t="str">
        <f>IFERROR(__xludf.DUMMYFUNCTION("""COMPUTED_VALUE"""),"")</f>
        <v/>
      </c>
      <c r="X249" s="96" t="str">
        <f>IFERROR(__xludf.DUMMYFUNCTION("""COMPUTED_VALUE"""),"")</f>
        <v/>
      </c>
      <c r="Y249" s="97" t="str">
        <f>IFERROR(__xludf.DUMMYFUNCTION("""COMPUTED_VALUE"""),"")</f>
        <v/>
      </c>
      <c r="Z249" s="95" t="str">
        <f>IFERROR(__xludf.DUMMYFUNCTION("""COMPUTED_VALUE"""),"")</f>
        <v/>
      </c>
      <c r="AA249" s="96" t="str">
        <f>IFERROR(__xludf.DUMMYFUNCTION("""COMPUTED_VALUE"""),"")</f>
        <v/>
      </c>
      <c r="AB249" s="97" t="str">
        <f>IFERROR(__xludf.DUMMYFUNCTION("""COMPUTED_VALUE"""),"")</f>
        <v/>
      </c>
      <c r="AC249" s="95" t="str">
        <f>IFERROR(__xludf.DUMMYFUNCTION("""COMPUTED_VALUE"""),"")</f>
        <v/>
      </c>
      <c r="AD249" s="96" t="str">
        <f>IFERROR(__xludf.DUMMYFUNCTION("""COMPUTED_VALUE"""),"")</f>
        <v/>
      </c>
      <c r="AE249" s="97" t="str">
        <f>IFERROR(__xludf.DUMMYFUNCTION("""COMPUTED_VALUE"""),"")</f>
        <v/>
      </c>
      <c r="AF249" s="95" t="str">
        <f>IFERROR(__xludf.DUMMYFUNCTION("""COMPUTED_VALUE"""),"")</f>
        <v/>
      </c>
      <c r="AG249" s="96" t="str">
        <f>IFERROR(__xludf.DUMMYFUNCTION("""COMPUTED_VALUE"""),"")</f>
        <v/>
      </c>
      <c r="AH249" s="97" t="str">
        <f>IFERROR(__xludf.DUMMYFUNCTION("""COMPUTED_VALUE"""),"")</f>
        <v/>
      </c>
      <c r="AI249" s="216" t="str">
        <f>IFERROR(__xludf.DUMMYFUNCTION("""COMPUTED_VALUE"""),"")</f>
        <v/>
      </c>
      <c r="AJ249" s="217" t="str">
        <f>IFERROR(__xludf.DUMMYFUNCTION("""COMPUTED_VALUE"""),"")</f>
        <v/>
      </c>
      <c r="AK249" s="218" t="str">
        <f>IFERROR(__xludf.DUMMYFUNCTION("""COMPUTED_VALUE"""),"")</f>
        <v/>
      </c>
      <c r="AL249" s="217" t="str">
        <f>IFERROR(__xludf.DUMMYFUNCTION("""COMPUTED_VALUE"""),"")</f>
        <v/>
      </c>
      <c r="AM249" s="217" t="str">
        <f>IFERROR(__xludf.DUMMYFUNCTION("""COMPUTED_VALUE"""),"")</f>
        <v/>
      </c>
      <c r="AN249" s="218" t="str">
        <f>IFERROR(__xludf.DUMMYFUNCTION("""COMPUTED_VALUE"""),"")</f>
        <v/>
      </c>
      <c r="AO249" s="217" t="str">
        <f>IFERROR(__xludf.DUMMYFUNCTION("""COMPUTED_VALUE"""),"")</f>
        <v/>
      </c>
      <c r="AP249" s="217" t="str">
        <f>IFERROR(__xludf.DUMMYFUNCTION("""COMPUTED_VALUE"""),"")</f>
        <v/>
      </c>
      <c r="AQ249" s="218" t="str">
        <f>IFERROR(__xludf.DUMMYFUNCTION("""COMPUTED_VALUE"""),"")</f>
        <v/>
      </c>
      <c r="AR249" s="217" t="str">
        <f>IFERROR(__xludf.DUMMYFUNCTION("""COMPUTED_VALUE"""),"")</f>
        <v/>
      </c>
      <c r="AS249" s="217">
        <f>IFERROR(__xludf.DUMMYFUNCTION("""COMPUTED_VALUE"""),91.5)</f>
        <v>91.5</v>
      </c>
      <c r="AT249" s="218" t="str">
        <f>IFERROR(__xludf.DUMMYFUNCTION("""COMPUTED_VALUE"""),"")</f>
        <v/>
      </c>
      <c r="AU249" s="217" t="str">
        <f>IFERROR(__xludf.DUMMYFUNCTION("""COMPUTED_VALUE"""),"")</f>
        <v/>
      </c>
      <c r="AV249" s="217" t="str">
        <f>IFERROR(__xludf.DUMMYFUNCTION("""COMPUTED_VALUE"""),"")</f>
        <v/>
      </c>
      <c r="AW249" s="218" t="str">
        <f>IFERROR(__xludf.DUMMYFUNCTION("""COMPUTED_VALUE"""),"")</f>
        <v/>
      </c>
      <c r="AX249" s="217" t="str">
        <f>IFERROR(__xludf.DUMMYFUNCTION("""COMPUTED_VALUE"""),"")</f>
        <v/>
      </c>
      <c r="AY249" s="217" t="str">
        <f>IFERROR(__xludf.DUMMYFUNCTION("""COMPUTED_VALUE"""),"")</f>
        <v/>
      </c>
      <c r="AZ249" s="218" t="str">
        <f>IFERROR(__xludf.DUMMYFUNCTION("""COMPUTED_VALUE"""),"")</f>
        <v/>
      </c>
      <c r="BA249" s="217" t="str">
        <f>IFERROR(__xludf.DUMMYFUNCTION("""COMPUTED_VALUE"""),"")</f>
        <v/>
      </c>
      <c r="BB249" s="217" t="str">
        <f>IFERROR(__xludf.DUMMYFUNCTION("""COMPUTED_VALUE"""),"")</f>
        <v/>
      </c>
      <c r="BC249" s="218" t="str">
        <f>IFERROR(__xludf.DUMMYFUNCTION("""COMPUTED_VALUE"""),"")</f>
        <v/>
      </c>
      <c r="BD249" s="217" t="str">
        <f>IFERROR(__xludf.DUMMYFUNCTION("""COMPUTED_VALUE"""),"")</f>
        <v/>
      </c>
      <c r="BE249" s="217" t="str">
        <f>IFERROR(__xludf.DUMMYFUNCTION("""COMPUTED_VALUE"""),"")</f>
        <v/>
      </c>
      <c r="BF249" s="218" t="str">
        <f>IFERROR(__xludf.DUMMYFUNCTION("""COMPUTED_VALUE"""),"")</f>
        <v/>
      </c>
      <c r="BG249" s="216" t="str">
        <f>IFERROR(__xludf.DUMMYFUNCTION("""COMPUTED_VALUE"""),"")</f>
        <v/>
      </c>
      <c r="BH249" s="217">
        <f>IFERROR(__xludf.DUMMYFUNCTION("""COMPUTED_VALUE"""),690.8)</f>
        <v>690.8</v>
      </c>
      <c r="BI249" s="218" t="str">
        <f>IFERROR(__xludf.DUMMYFUNCTION("""COMPUTED_VALUE"""),"")</f>
        <v/>
      </c>
      <c r="BJ249" s="217" t="str">
        <f>IFERROR(__xludf.DUMMYFUNCTION("""COMPUTED_VALUE"""),"")</f>
        <v/>
      </c>
      <c r="BK249" s="217" t="str">
        <f>IFERROR(__xludf.DUMMYFUNCTION("""COMPUTED_VALUE"""),"")</f>
        <v/>
      </c>
      <c r="BL249" s="218">
        <f>IFERROR(__xludf.DUMMYFUNCTION("""COMPUTED_VALUE"""),70.0)</f>
        <v>70</v>
      </c>
      <c r="BM249" s="217" t="str">
        <f>IFERROR(__xludf.DUMMYFUNCTION("""COMPUTED_VALUE"""),"")</f>
        <v/>
      </c>
      <c r="BN249" s="217" t="str">
        <f>IFERROR(__xludf.DUMMYFUNCTION("""COMPUTED_VALUE"""),"")</f>
        <v/>
      </c>
      <c r="BO249" s="218" t="str">
        <f>IFERROR(__xludf.DUMMYFUNCTION("""COMPUTED_VALUE"""),"")</f>
        <v/>
      </c>
      <c r="BP249" s="217" t="str">
        <f>IFERROR(__xludf.DUMMYFUNCTION("""COMPUTED_VALUE"""),"")</f>
        <v/>
      </c>
      <c r="BQ249" s="217" t="str">
        <f>IFERROR(__xludf.DUMMYFUNCTION("""COMPUTED_VALUE"""),"")</f>
        <v/>
      </c>
      <c r="BR249" s="218" t="str">
        <f>IFERROR(__xludf.DUMMYFUNCTION("""COMPUTED_VALUE"""),"")</f>
        <v/>
      </c>
      <c r="BS249" s="217" t="str">
        <f>IFERROR(__xludf.DUMMYFUNCTION("""COMPUTED_VALUE"""),"")</f>
        <v/>
      </c>
      <c r="BT249" s="217" t="str">
        <f>IFERROR(__xludf.DUMMYFUNCTION("""COMPUTED_VALUE"""),"")</f>
        <v/>
      </c>
      <c r="BU249" s="218" t="str">
        <f>IFERROR(__xludf.DUMMYFUNCTION("""COMPUTED_VALUE"""),"")</f>
        <v/>
      </c>
      <c r="BV249" s="217" t="str">
        <f>IFERROR(__xludf.DUMMYFUNCTION("""COMPUTED_VALUE"""),"")</f>
        <v/>
      </c>
      <c r="BW249" s="217" t="str">
        <f>IFERROR(__xludf.DUMMYFUNCTION("""COMPUTED_VALUE"""),"")</f>
        <v/>
      </c>
      <c r="BX249" s="218" t="str">
        <f>IFERROR(__xludf.DUMMYFUNCTION("""COMPUTED_VALUE"""),"")</f>
        <v/>
      </c>
      <c r="BY249" s="217" t="str">
        <f>IFERROR(__xludf.DUMMYFUNCTION("""COMPUTED_VALUE"""),"")</f>
        <v/>
      </c>
      <c r="BZ249" s="217" t="str">
        <f>IFERROR(__xludf.DUMMYFUNCTION("""COMPUTED_VALUE"""),"")</f>
        <v/>
      </c>
      <c r="CA249" s="218" t="str">
        <f>IFERROR(__xludf.DUMMYFUNCTION("""COMPUTED_VALUE"""),"")</f>
        <v/>
      </c>
      <c r="CB249" s="216" t="str">
        <f>IFERROR(__xludf.DUMMYFUNCTION("""COMPUTED_VALUE"""),"")</f>
        <v/>
      </c>
      <c r="CC249" s="217" t="str">
        <f>IFERROR(__xludf.DUMMYFUNCTION("""COMPUTED_VALUE"""),"")</f>
        <v/>
      </c>
      <c r="CD249" s="218" t="str">
        <f>IFERROR(__xludf.DUMMYFUNCTION("""COMPUTED_VALUE"""),"")</f>
        <v/>
      </c>
      <c r="CE249" s="217" t="str">
        <f>IFERROR(__xludf.DUMMYFUNCTION("""COMPUTED_VALUE"""),"")</f>
        <v/>
      </c>
      <c r="CF249" s="217" t="str">
        <f>IFERROR(__xludf.DUMMYFUNCTION("""COMPUTED_VALUE"""),"")</f>
        <v/>
      </c>
      <c r="CG249" s="218" t="str">
        <f>IFERROR(__xludf.DUMMYFUNCTION("""COMPUTED_VALUE"""),"")</f>
        <v/>
      </c>
      <c r="CH249" s="217" t="str">
        <f>IFERROR(__xludf.DUMMYFUNCTION("""COMPUTED_VALUE"""),"")</f>
        <v/>
      </c>
      <c r="CI249" s="217" t="str">
        <f>IFERROR(__xludf.DUMMYFUNCTION("""COMPUTED_VALUE"""),"")</f>
        <v/>
      </c>
      <c r="CJ249" s="218" t="str">
        <f>IFERROR(__xludf.DUMMYFUNCTION("""COMPUTED_VALUE"""),"")</f>
        <v/>
      </c>
      <c r="CK249" s="217" t="str">
        <f>IFERROR(__xludf.DUMMYFUNCTION("""COMPUTED_VALUE"""),"")</f>
        <v/>
      </c>
      <c r="CL249" s="217" t="str">
        <f>IFERROR(__xludf.DUMMYFUNCTION("""COMPUTED_VALUE"""),"")</f>
        <v/>
      </c>
      <c r="CM249" s="218" t="str">
        <f>IFERROR(__xludf.DUMMYFUNCTION("""COMPUTED_VALUE"""),"")</f>
        <v/>
      </c>
      <c r="CN249" s="217" t="str">
        <f>IFERROR(__xludf.DUMMYFUNCTION("""COMPUTED_VALUE"""),"")</f>
        <v/>
      </c>
      <c r="CO249" s="217" t="str">
        <f>IFERROR(__xludf.DUMMYFUNCTION("""COMPUTED_VALUE"""),"")</f>
        <v/>
      </c>
      <c r="CP249" s="218" t="str">
        <f>IFERROR(__xludf.DUMMYFUNCTION("""COMPUTED_VALUE"""),"")</f>
        <v/>
      </c>
      <c r="CQ249" s="219">
        <f>IFERROR(__xludf.DUMMYFUNCTION("""COMPUTED_VALUE"""),472.5)</f>
        <v>472.5</v>
      </c>
      <c r="CR249" s="219" t="str">
        <f>IFERROR(__xludf.DUMMYFUNCTION("""COMPUTED_VALUE"""),"")</f>
        <v/>
      </c>
      <c r="CS249" s="220"/>
      <c r="CT249" s="219"/>
      <c r="CU249" s="219"/>
      <c r="CV249" s="220"/>
      <c r="CW249" s="219"/>
      <c r="CX249" s="219"/>
      <c r="CY249" s="220"/>
      <c r="CZ249" s="219"/>
      <c r="DA249" s="219"/>
      <c r="DB249" s="220"/>
      <c r="DC249" s="219"/>
      <c r="DD249" s="219"/>
      <c r="DE249" s="220"/>
      <c r="DF249" s="219"/>
      <c r="DG249" s="219"/>
      <c r="DH249" s="220"/>
      <c r="DI249" s="219"/>
      <c r="DJ249" s="219"/>
      <c r="DK249" s="220"/>
      <c r="DL249" s="219"/>
      <c r="DM249" s="219"/>
      <c r="DN249" s="220"/>
      <c r="DO249" s="219"/>
      <c r="DP249" s="219"/>
      <c r="DQ249" s="220"/>
      <c r="DR249" s="219"/>
      <c r="DS249" s="219"/>
      <c r="DT249" s="220"/>
    </row>
    <row r="250">
      <c r="B250" s="180" t="str">
        <f>IFERROR(__xludf.DUMMYFUNCTION("""COMPUTED_VALUE"""),"HEA2")</f>
        <v>HEA2</v>
      </c>
      <c r="C250">
        <f>IFERROR(__xludf.DUMMYFUNCTION("""COMPUTED_VALUE"""),251.0)</f>
        <v>251</v>
      </c>
      <c r="D250" s="88" t="str">
        <f>IFERROR(__xludf.DUMMYFUNCTION("""COMPUTED_VALUE"""),"Jō Seven, Bō Two")</f>
        <v>Jō Seven, Bō Two</v>
      </c>
      <c r="E250" s="215" t="str">
        <f>IFERROR(__xludf.DUMMYFUNCTION("""COMPUTED_VALUE"""),"七条二坊")</f>
        <v>七条二坊</v>
      </c>
      <c r="F250" s="179">
        <f>IFERROR(__xludf.DUMMYFUNCTION("""COMPUTED_VALUE"""),21.0)</f>
        <v>21</v>
      </c>
      <c r="G250" s="83">
        <f>IFERROR(__xludf.DUMMYFUNCTION("""COMPUTED_VALUE"""),1000.0)</f>
        <v>1000</v>
      </c>
      <c r="H250" s="95" t="str">
        <f>IFERROR(__xludf.DUMMYFUNCTION("""COMPUTED_VALUE"""),"")</f>
        <v/>
      </c>
      <c r="I250" s="96" t="str">
        <f>IFERROR(__xludf.DUMMYFUNCTION("""COMPUTED_VALUE"""),"")</f>
        <v/>
      </c>
      <c r="J250" s="97" t="str">
        <f>IFERROR(__xludf.DUMMYFUNCTION("""COMPUTED_VALUE"""),"")</f>
        <v/>
      </c>
      <c r="K250" s="95" t="str">
        <f>IFERROR(__xludf.DUMMYFUNCTION("""COMPUTED_VALUE"""),"")</f>
        <v/>
      </c>
      <c r="L250" s="96" t="str">
        <f>IFERROR(__xludf.DUMMYFUNCTION("""COMPUTED_VALUE"""),"")</f>
        <v/>
      </c>
      <c r="M250" s="97" t="str">
        <f>IFERROR(__xludf.DUMMYFUNCTION("""COMPUTED_VALUE"""),"")</f>
        <v/>
      </c>
      <c r="N250" s="95">
        <f>IFERROR(__xludf.DUMMYFUNCTION("""COMPUTED_VALUE"""),151.1)</f>
        <v>151.1</v>
      </c>
      <c r="O250" s="96" t="str">
        <f>IFERROR(__xludf.DUMMYFUNCTION("""COMPUTED_VALUE"""),"")</f>
        <v/>
      </c>
      <c r="P250" s="97" t="str">
        <f>IFERROR(__xludf.DUMMYFUNCTION("""COMPUTED_VALUE"""),"")</f>
        <v/>
      </c>
      <c r="Q250" s="95" t="str">
        <f>IFERROR(__xludf.DUMMYFUNCTION("""COMPUTED_VALUE"""),"")</f>
        <v/>
      </c>
      <c r="R250" s="96" t="str">
        <f>IFERROR(__xludf.DUMMYFUNCTION("""COMPUTED_VALUE"""),"")</f>
        <v/>
      </c>
      <c r="S250" s="97" t="str">
        <f>IFERROR(__xludf.DUMMYFUNCTION("""COMPUTED_VALUE"""),"")</f>
        <v/>
      </c>
      <c r="T250" s="95" t="str">
        <f>IFERROR(__xludf.DUMMYFUNCTION("""COMPUTED_VALUE"""),"")</f>
        <v/>
      </c>
      <c r="U250" s="96" t="str">
        <f>IFERROR(__xludf.DUMMYFUNCTION("""COMPUTED_VALUE"""),"")</f>
        <v/>
      </c>
      <c r="V250" s="97" t="str">
        <f>IFERROR(__xludf.DUMMYFUNCTION("""COMPUTED_VALUE"""),"")</f>
        <v/>
      </c>
      <c r="W250" s="95" t="str">
        <f>IFERROR(__xludf.DUMMYFUNCTION("""COMPUTED_VALUE"""),"")</f>
        <v/>
      </c>
      <c r="X250" s="96" t="str">
        <f>IFERROR(__xludf.DUMMYFUNCTION("""COMPUTED_VALUE"""),"")</f>
        <v/>
      </c>
      <c r="Y250" s="97" t="str">
        <f>IFERROR(__xludf.DUMMYFUNCTION("""COMPUTED_VALUE"""),"")</f>
        <v/>
      </c>
      <c r="Z250" s="95" t="str">
        <f>IFERROR(__xludf.DUMMYFUNCTION("""COMPUTED_VALUE"""),"")</f>
        <v/>
      </c>
      <c r="AA250" s="96" t="str">
        <f>IFERROR(__xludf.DUMMYFUNCTION("""COMPUTED_VALUE"""),"")</f>
        <v/>
      </c>
      <c r="AB250" s="97" t="str">
        <f>IFERROR(__xludf.DUMMYFUNCTION("""COMPUTED_VALUE"""),"")</f>
        <v/>
      </c>
      <c r="AC250" s="95" t="str">
        <f>IFERROR(__xludf.DUMMYFUNCTION("""COMPUTED_VALUE"""),"")</f>
        <v/>
      </c>
      <c r="AD250" s="96" t="str">
        <f>IFERROR(__xludf.DUMMYFUNCTION("""COMPUTED_VALUE"""),"")</f>
        <v/>
      </c>
      <c r="AE250" s="97" t="str">
        <f>IFERROR(__xludf.DUMMYFUNCTION("""COMPUTED_VALUE"""),"")</f>
        <v/>
      </c>
      <c r="AF250" s="95" t="str">
        <f>IFERROR(__xludf.DUMMYFUNCTION("""COMPUTED_VALUE"""),"")</f>
        <v/>
      </c>
      <c r="AG250" s="96" t="str">
        <f>IFERROR(__xludf.DUMMYFUNCTION("""COMPUTED_VALUE"""),"")</f>
        <v/>
      </c>
      <c r="AH250" s="97" t="str">
        <f>IFERROR(__xludf.DUMMYFUNCTION("""COMPUTED_VALUE"""),"")</f>
        <v/>
      </c>
      <c r="AI250" s="216" t="str">
        <f>IFERROR(__xludf.DUMMYFUNCTION("""COMPUTED_VALUE"""),"")</f>
        <v/>
      </c>
      <c r="AJ250" s="217" t="str">
        <f>IFERROR(__xludf.DUMMYFUNCTION("""COMPUTED_VALUE"""),"")</f>
        <v/>
      </c>
      <c r="AK250" s="218" t="str">
        <f>IFERROR(__xludf.DUMMYFUNCTION("""COMPUTED_VALUE"""),"")</f>
        <v/>
      </c>
      <c r="AL250" s="217" t="str">
        <f>IFERROR(__xludf.DUMMYFUNCTION("""COMPUTED_VALUE"""),"")</f>
        <v/>
      </c>
      <c r="AM250" s="217" t="str">
        <f>IFERROR(__xludf.DUMMYFUNCTION("""COMPUTED_VALUE"""),"")</f>
        <v/>
      </c>
      <c r="AN250" s="218" t="str">
        <f>IFERROR(__xludf.DUMMYFUNCTION("""COMPUTED_VALUE"""),"")</f>
        <v/>
      </c>
      <c r="AO250" s="217" t="str">
        <f>IFERROR(__xludf.DUMMYFUNCTION("""COMPUTED_VALUE"""),"")</f>
        <v/>
      </c>
      <c r="AP250" s="217" t="str">
        <f>IFERROR(__xludf.DUMMYFUNCTION("""COMPUTED_VALUE"""),"")</f>
        <v/>
      </c>
      <c r="AQ250" s="218" t="str">
        <f>IFERROR(__xludf.DUMMYFUNCTION("""COMPUTED_VALUE"""),"")</f>
        <v/>
      </c>
      <c r="AR250" s="217" t="str">
        <f>IFERROR(__xludf.DUMMYFUNCTION("""COMPUTED_VALUE"""),"")</f>
        <v/>
      </c>
      <c r="AS250" s="217">
        <f>IFERROR(__xludf.DUMMYFUNCTION("""COMPUTED_VALUE"""),102.9)</f>
        <v>102.9</v>
      </c>
      <c r="AT250" s="218" t="str">
        <f>IFERROR(__xludf.DUMMYFUNCTION("""COMPUTED_VALUE"""),"")</f>
        <v/>
      </c>
      <c r="AU250" s="217" t="str">
        <f>IFERROR(__xludf.DUMMYFUNCTION("""COMPUTED_VALUE"""),"")</f>
        <v/>
      </c>
      <c r="AV250" s="217" t="str">
        <f>IFERROR(__xludf.DUMMYFUNCTION("""COMPUTED_VALUE"""),"")</f>
        <v/>
      </c>
      <c r="AW250" s="218">
        <f>IFERROR(__xludf.DUMMYFUNCTION("""COMPUTED_VALUE"""),73.7)</f>
        <v>73.7</v>
      </c>
      <c r="AX250" s="217" t="str">
        <f>IFERROR(__xludf.DUMMYFUNCTION("""COMPUTED_VALUE"""),"")</f>
        <v/>
      </c>
      <c r="AY250" s="217" t="str">
        <f>IFERROR(__xludf.DUMMYFUNCTION("""COMPUTED_VALUE"""),"")</f>
        <v/>
      </c>
      <c r="AZ250" s="218" t="str">
        <f>IFERROR(__xludf.DUMMYFUNCTION("""COMPUTED_VALUE"""),"")</f>
        <v/>
      </c>
      <c r="BA250" s="217" t="str">
        <f>IFERROR(__xludf.DUMMYFUNCTION("""COMPUTED_VALUE"""),"")</f>
        <v/>
      </c>
      <c r="BB250" s="217" t="str">
        <f>IFERROR(__xludf.DUMMYFUNCTION("""COMPUTED_VALUE"""),"")</f>
        <v/>
      </c>
      <c r="BC250" s="218" t="str">
        <f>IFERROR(__xludf.DUMMYFUNCTION("""COMPUTED_VALUE"""),"")</f>
        <v/>
      </c>
      <c r="BD250" s="217" t="str">
        <f>IFERROR(__xludf.DUMMYFUNCTION("""COMPUTED_VALUE"""),"")</f>
        <v/>
      </c>
      <c r="BE250" s="217" t="str">
        <f>IFERROR(__xludf.DUMMYFUNCTION("""COMPUTED_VALUE"""),"")</f>
        <v/>
      </c>
      <c r="BF250" s="218" t="str">
        <f>IFERROR(__xludf.DUMMYFUNCTION("""COMPUTED_VALUE"""),"")</f>
        <v/>
      </c>
      <c r="BG250" s="216" t="str">
        <f>IFERROR(__xludf.DUMMYFUNCTION("""COMPUTED_VALUE"""),"")</f>
        <v/>
      </c>
      <c r="BH250" s="217" t="str">
        <f>IFERROR(__xludf.DUMMYFUNCTION("""COMPUTED_VALUE"""),"")</f>
        <v/>
      </c>
      <c r="BI250" s="218" t="str">
        <f>IFERROR(__xludf.DUMMYFUNCTION("""COMPUTED_VALUE"""),"")</f>
        <v/>
      </c>
      <c r="BJ250" s="217" t="str">
        <f>IFERROR(__xludf.DUMMYFUNCTION("""COMPUTED_VALUE"""),"")</f>
        <v/>
      </c>
      <c r="BK250" s="217" t="str">
        <f>IFERROR(__xludf.DUMMYFUNCTION("""COMPUTED_VALUE"""),"")</f>
        <v/>
      </c>
      <c r="BL250" s="218">
        <f>IFERROR(__xludf.DUMMYFUNCTION("""COMPUTED_VALUE"""),82.7)</f>
        <v>82.7</v>
      </c>
      <c r="BM250" s="217" t="str">
        <f>IFERROR(__xludf.DUMMYFUNCTION("""COMPUTED_VALUE"""),"")</f>
        <v/>
      </c>
      <c r="BN250" s="217" t="str">
        <f>IFERROR(__xludf.DUMMYFUNCTION("""COMPUTED_VALUE"""),"")</f>
        <v/>
      </c>
      <c r="BO250" s="218">
        <f>IFERROR(__xludf.DUMMYFUNCTION("""COMPUTED_VALUE"""),236.3)</f>
        <v>236.3</v>
      </c>
      <c r="BP250" s="217" t="str">
        <f>IFERROR(__xludf.DUMMYFUNCTION("""COMPUTED_VALUE"""),"")</f>
        <v/>
      </c>
      <c r="BQ250" s="217" t="str">
        <f>IFERROR(__xludf.DUMMYFUNCTION("""COMPUTED_VALUE"""),"")</f>
        <v/>
      </c>
      <c r="BR250" s="218" t="str">
        <f>IFERROR(__xludf.DUMMYFUNCTION("""COMPUTED_VALUE"""),"")</f>
        <v/>
      </c>
      <c r="BS250" s="217" t="str">
        <f>IFERROR(__xludf.DUMMYFUNCTION("""COMPUTED_VALUE"""),"")</f>
        <v/>
      </c>
      <c r="BT250" s="217" t="str">
        <f>IFERROR(__xludf.DUMMYFUNCTION("""COMPUTED_VALUE"""),"")</f>
        <v/>
      </c>
      <c r="BU250" s="218" t="str">
        <f>IFERROR(__xludf.DUMMYFUNCTION("""COMPUTED_VALUE"""),"")</f>
        <v/>
      </c>
      <c r="BV250" s="217" t="str">
        <f>IFERROR(__xludf.DUMMYFUNCTION("""COMPUTED_VALUE"""),"")</f>
        <v/>
      </c>
      <c r="BW250" s="217" t="str">
        <f>IFERROR(__xludf.DUMMYFUNCTION("""COMPUTED_VALUE"""),"")</f>
        <v/>
      </c>
      <c r="BX250" s="218" t="str">
        <f>IFERROR(__xludf.DUMMYFUNCTION("""COMPUTED_VALUE"""),"")</f>
        <v/>
      </c>
      <c r="BY250" s="217" t="str">
        <f>IFERROR(__xludf.DUMMYFUNCTION("""COMPUTED_VALUE"""),"")</f>
        <v/>
      </c>
      <c r="BZ250" s="217" t="str">
        <f>IFERROR(__xludf.DUMMYFUNCTION("""COMPUTED_VALUE"""),"")</f>
        <v/>
      </c>
      <c r="CA250" s="218" t="str">
        <f>IFERROR(__xludf.DUMMYFUNCTION("""COMPUTED_VALUE"""),"")</f>
        <v/>
      </c>
      <c r="CB250" s="216" t="str">
        <f>IFERROR(__xludf.DUMMYFUNCTION("""COMPUTED_VALUE"""),"")</f>
        <v/>
      </c>
      <c r="CC250" s="217" t="str">
        <f>IFERROR(__xludf.DUMMYFUNCTION("""COMPUTED_VALUE"""),"")</f>
        <v/>
      </c>
      <c r="CD250" s="218" t="str">
        <f>IFERROR(__xludf.DUMMYFUNCTION("""COMPUTED_VALUE"""),"")</f>
        <v/>
      </c>
      <c r="CE250" s="217" t="str">
        <f>IFERROR(__xludf.DUMMYFUNCTION("""COMPUTED_VALUE"""),"")</f>
        <v/>
      </c>
      <c r="CF250" s="217" t="str">
        <f>IFERROR(__xludf.DUMMYFUNCTION("""COMPUTED_VALUE"""),"")</f>
        <v/>
      </c>
      <c r="CG250" s="218" t="str">
        <f>IFERROR(__xludf.DUMMYFUNCTION("""COMPUTED_VALUE"""),"")</f>
        <v/>
      </c>
      <c r="CH250" s="217" t="str">
        <f>IFERROR(__xludf.DUMMYFUNCTION("""COMPUTED_VALUE"""),"")</f>
        <v/>
      </c>
      <c r="CI250" s="217" t="str">
        <f>IFERROR(__xludf.DUMMYFUNCTION("""COMPUTED_VALUE"""),"")</f>
        <v/>
      </c>
      <c r="CJ250" s="218" t="str">
        <f>IFERROR(__xludf.DUMMYFUNCTION("""COMPUTED_VALUE"""),"")</f>
        <v/>
      </c>
      <c r="CK250" s="217" t="str">
        <f>IFERROR(__xludf.DUMMYFUNCTION("""COMPUTED_VALUE"""),"")</f>
        <v/>
      </c>
      <c r="CL250" s="217" t="str">
        <f>IFERROR(__xludf.DUMMYFUNCTION("""COMPUTED_VALUE"""),"")</f>
        <v/>
      </c>
      <c r="CM250" s="218" t="str">
        <f>IFERROR(__xludf.DUMMYFUNCTION("""COMPUTED_VALUE"""),"")</f>
        <v/>
      </c>
      <c r="CN250" s="217" t="str">
        <f>IFERROR(__xludf.DUMMYFUNCTION("""COMPUTED_VALUE"""),"")</f>
        <v/>
      </c>
      <c r="CO250" s="217" t="str">
        <f>IFERROR(__xludf.DUMMYFUNCTION("""COMPUTED_VALUE"""),"")</f>
        <v/>
      </c>
      <c r="CP250" s="218" t="str">
        <f>IFERROR(__xludf.DUMMYFUNCTION("""COMPUTED_VALUE"""),"")</f>
        <v/>
      </c>
      <c r="CQ250" s="219" t="str">
        <f>IFERROR(__xludf.DUMMYFUNCTION("""COMPUTED_VALUE"""),"")</f>
        <v/>
      </c>
      <c r="CR250" s="219" t="str">
        <f>IFERROR(__xludf.DUMMYFUNCTION("""COMPUTED_VALUE"""),"")</f>
        <v/>
      </c>
      <c r="CS250" s="220"/>
      <c r="CT250" s="219"/>
      <c r="CU250" s="219"/>
      <c r="CV250" s="220"/>
      <c r="CW250" s="219"/>
      <c r="CX250" s="219"/>
      <c r="CY250" s="220"/>
      <c r="CZ250" s="219"/>
      <c r="DA250" s="219"/>
      <c r="DB250" s="220"/>
      <c r="DC250" s="219"/>
      <c r="DD250" s="219"/>
      <c r="DE250" s="220"/>
      <c r="DF250" s="219"/>
      <c r="DG250" s="219"/>
      <c r="DH250" s="220"/>
      <c r="DI250" s="219"/>
      <c r="DJ250" s="219"/>
      <c r="DK250" s="220"/>
      <c r="DL250" s="219"/>
      <c r="DM250" s="219"/>
      <c r="DN250" s="220"/>
      <c r="DO250" s="219"/>
      <c r="DP250" s="219"/>
      <c r="DQ250" s="220"/>
      <c r="DR250" s="219"/>
      <c r="DS250" s="219"/>
      <c r="DT250" s="220"/>
    </row>
    <row r="251">
      <c r="B251" s="180" t="str">
        <f>IFERROR(__xludf.DUMMYFUNCTION("""COMPUTED_VALUE"""),"HEA3")</f>
        <v>HEA3</v>
      </c>
      <c r="C251">
        <f>IFERROR(__xludf.DUMMYFUNCTION("""COMPUTED_VALUE"""),252.0)</f>
        <v>252</v>
      </c>
      <c r="D251" s="88" t="str">
        <f>IFERROR(__xludf.DUMMYFUNCTION("""COMPUTED_VALUE"""),"Jō Six, Main Street")</f>
        <v>Jō Six, Main Street</v>
      </c>
      <c r="E251" s="215" t="str">
        <f>IFERROR(__xludf.DUMMYFUNCTION("""COMPUTED_VALUE"""),"六条大路")</f>
        <v>六条大路</v>
      </c>
      <c r="F251" s="179">
        <f>IFERROR(__xludf.DUMMYFUNCTION("""COMPUTED_VALUE"""),21.0)</f>
        <v>21</v>
      </c>
      <c r="G251" s="83">
        <f>IFERROR(__xludf.DUMMYFUNCTION("""COMPUTED_VALUE"""),1792.0)</f>
        <v>1792</v>
      </c>
      <c r="H251" s="95" t="str">
        <f>IFERROR(__xludf.DUMMYFUNCTION("""COMPUTED_VALUE"""),"")</f>
        <v/>
      </c>
      <c r="I251" s="96" t="str">
        <f>IFERROR(__xludf.DUMMYFUNCTION("""COMPUTED_VALUE"""),"")</f>
        <v/>
      </c>
      <c r="J251" s="97" t="str">
        <f>IFERROR(__xludf.DUMMYFUNCTION("""COMPUTED_VALUE"""),"")</f>
        <v/>
      </c>
      <c r="K251" s="95" t="str">
        <f>IFERROR(__xludf.DUMMYFUNCTION("""COMPUTED_VALUE"""),"")</f>
        <v/>
      </c>
      <c r="L251" s="96" t="str">
        <f>IFERROR(__xludf.DUMMYFUNCTION("""COMPUTED_VALUE"""),"")</f>
        <v/>
      </c>
      <c r="M251" s="97" t="str">
        <f>IFERROR(__xludf.DUMMYFUNCTION("""COMPUTED_VALUE"""),"")</f>
        <v/>
      </c>
      <c r="N251" s="95" t="str">
        <f>IFERROR(__xludf.DUMMYFUNCTION("""COMPUTED_VALUE"""),"")</f>
        <v/>
      </c>
      <c r="O251" s="96" t="str">
        <f>IFERROR(__xludf.DUMMYFUNCTION("""COMPUTED_VALUE"""),"")</f>
        <v/>
      </c>
      <c r="P251" s="97" t="str">
        <f>IFERROR(__xludf.DUMMYFUNCTION("""COMPUTED_VALUE"""),"")</f>
        <v/>
      </c>
      <c r="Q251" s="95" t="str">
        <f>IFERROR(__xludf.DUMMYFUNCTION("""COMPUTED_VALUE"""),"")</f>
        <v/>
      </c>
      <c r="R251" s="96" t="str">
        <f>IFERROR(__xludf.DUMMYFUNCTION("""COMPUTED_VALUE"""),"")</f>
        <v/>
      </c>
      <c r="S251" s="97" t="str">
        <f>IFERROR(__xludf.DUMMYFUNCTION("""COMPUTED_VALUE"""),"")</f>
        <v/>
      </c>
      <c r="T251" s="95" t="str">
        <f>IFERROR(__xludf.DUMMYFUNCTION("""COMPUTED_VALUE"""),"")</f>
        <v/>
      </c>
      <c r="U251" s="96" t="str">
        <f>IFERROR(__xludf.DUMMYFUNCTION("""COMPUTED_VALUE"""),"")</f>
        <v/>
      </c>
      <c r="V251" s="97" t="str">
        <f>IFERROR(__xludf.DUMMYFUNCTION("""COMPUTED_VALUE"""),"")</f>
        <v/>
      </c>
      <c r="W251" s="95" t="str">
        <f>IFERROR(__xludf.DUMMYFUNCTION("""COMPUTED_VALUE"""),"")</f>
        <v/>
      </c>
      <c r="X251" s="96" t="str">
        <f>IFERROR(__xludf.DUMMYFUNCTION("""COMPUTED_VALUE"""),"")</f>
        <v/>
      </c>
      <c r="Y251" s="97" t="str">
        <f>IFERROR(__xludf.DUMMYFUNCTION("""COMPUTED_VALUE"""),"")</f>
        <v/>
      </c>
      <c r="Z251" s="95" t="str">
        <f>IFERROR(__xludf.DUMMYFUNCTION("""COMPUTED_VALUE"""),"")</f>
        <v/>
      </c>
      <c r="AA251" s="96" t="str">
        <f>IFERROR(__xludf.DUMMYFUNCTION("""COMPUTED_VALUE"""),"")</f>
        <v/>
      </c>
      <c r="AB251" s="97" t="str">
        <f>IFERROR(__xludf.DUMMYFUNCTION("""COMPUTED_VALUE"""),"")</f>
        <v/>
      </c>
      <c r="AC251" s="95" t="str">
        <f>IFERROR(__xludf.DUMMYFUNCTION("""COMPUTED_VALUE"""),"")</f>
        <v/>
      </c>
      <c r="AD251" s="96" t="str">
        <f>IFERROR(__xludf.DUMMYFUNCTION("""COMPUTED_VALUE"""),"")</f>
        <v/>
      </c>
      <c r="AE251" s="97" t="str">
        <f>IFERROR(__xludf.DUMMYFUNCTION("""COMPUTED_VALUE"""),"")</f>
        <v/>
      </c>
      <c r="AF251" s="95" t="str">
        <f>IFERROR(__xludf.DUMMYFUNCTION("""COMPUTED_VALUE"""),"")</f>
        <v/>
      </c>
      <c r="AG251" s="96" t="str">
        <f>IFERROR(__xludf.DUMMYFUNCTION("""COMPUTED_VALUE"""),"")</f>
        <v/>
      </c>
      <c r="AH251" s="97" t="str">
        <f>IFERROR(__xludf.DUMMYFUNCTION("""COMPUTED_VALUE"""),"")</f>
        <v/>
      </c>
      <c r="AI251" s="216" t="str">
        <f>IFERROR(__xludf.DUMMYFUNCTION("""COMPUTED_VALUE"""),"")</f>
        <v/>
      </c>
      <c r="AJ251" s="217" t="str">
        <f>IFERROR(__xludf.DUMMYFUNCTION("""COMPUTED_VALUE"""),"")</f>
        <v/>
      </c>
      <c r="AK251" s="218">
        <f>IFERROR(__xludf.DUMMYFUNCTION("""COMPUTED_VALUE"""),76.0)</f>
        <v>76</v>
      </c>
      <c r="AL251" s="217" t="str">
        <f>IFERROR(__xludf.DUMMYFUNCTION("""COMPUTED_VALUE"""),"")</f>
        <v/>
      </c>
      <c r="AM251" s="217" t="str">
        <f>IFERROR(__xludf.DUMMYFUNCTION("""COMPUTED_VALUE"""),"")</f>
        <v/>
      </c>
      <c r="AN251" s="218" t="str">
        <f>IFERROR(__xludf.DUMMYFUNCTION("""COMPUTED_VALUE"""),"")</f>
        <v/>
      </c>
      <c r="AO251" s="217" t="str">
        <f>IFERROR(__xludf.DUMMYFUNCTION("""COMPUTED_VALUE"""),"")</f>
        <v/>
      </c>
      <c r="AP251" s="217" t="str">
        <f>IFERROR(__xludf.DUMMYFUNCTION("""COMPUTED_VALUE"""),"")</f>
        <v/>
      </c>
      <c r="AQ251" s="218" t="str">
        <f>IFERROR(__xludf.DUMMYFUNCTION("""COMPUTED_VALUE"""),"")</f>
        <v/>
      </c>
      <c r="AR251" s="217" t="str">
        <f>IFERROR(__xludf.DUMMYFUNCTION("""COMPUTED_VALUE"""),"")</f>
        <v/>
      </c>
      <c r="AS251" s="217">
        <f>IFERROR(__xludf.DUMMYFUNCTION("""COMPUTED_VALUE"""),82.2)</f>
        <v>82.2</v>
      </c>
      <c r="AT251" s="218" t="str">
        <f>IFERROR(__xludf.DUMMYFUNCTION("""COMPUTED_VALUE"""),"")</f>
        <v/>
      </c>
      <c r="AU251" s="217" t="str">
        <f>IFERROR(__xludf.DUMMYFUNCTION("""COMPUTED_VALUE"""),"")</f>
        <v/>
      </c>
      <c r="AV251" s="217" t="str">
        <f>IFERROR(__xludf.DUMMYFUNCTION("""COMPUTED_VALUE"""),"")</f>
        <v/>
      </c>
      <c r="AW251" s="218" t="str">
        <f>IFERROR(__xludf.DUMMYFUNCTION("""COMPUTED_VALUE"""),"")</f>
        <v/>
      </c>
      <c r="AX251" s="217" t="str">
        <f>IFERROR(__xludf.DUMMYFUNCTION("""COMPUTED_VALUE"""),"")</f>
        <v/>
      </c>
      <c r="AY251" s="217" t="str">
        <f>IFERROR(__xludf.DUMMYFUNCTION("""COMPUTED_VALUE"""),"")</f>
        <v/>
      </c>
      <c r="AZ251" s="218" t="str">
        <f>IFERROR(__xludf.DUMMYFUNCTION("""COMPUTED_VALUE"""),"")</f>
        <v/>
      </c>
      <c r="BA251" s="217" t="str">
        <f>IFERROR(__xludf.DUMMYFUNCTION("""COMPUTED_VALUE"""),"")</f>
        <v/>
      </c>
      <c r="BB251" s="217" t="str">
        <f>IFERROR(__xludf.DUMMYFUNCTION("""COMPUTED_VALUE"""),"")</f>
        <v/>
      </c>
      <c r="BC251" s="218" t="str">
        <f>IFERROR(__xludf.DUMMYFUNCTION("""COMPUTED_VALUE"""),"")</f>
        <v/>
      </c>
      <c r="BD251" s="217" t="str">
        <f>IFERROR(__xludf.DUMMYFUNCTION("""COMPUTED_VALUE"""),"")</f>
        <v/>
      </c>
      <c r="BE251" s="217" t="str">
        <f>IFERROR(__xludf.DUMMYFUNCTION("""COMPUTED_VALUE"""),"")</f>
        <v/>
      </c>
      <c r="BF251" s="218" t="str">
        <f>IFERROR(__xludf.DUMMYFUNCTION("""COMPUTED_VALUE"""),"")</f>
        <v/>
      </c>
      <c r="BG251" s="216" t="str">
        <f>IFERROR(__xludf.DUMMYFUNCTION("""COMPUTED_VALUE"""),"")</f>
        <v/>
      </c>
      <c r="BH251" s="217" t="str">
        <f>IFERROR(__xludf.DUMMYFUNCTION("""COMPUTED_VALUE"""),"")</f>
        <v/>
      </c>
      <c r="BI251" s="218" t="str">
        <f>IFERROR(__xludf.DUMMYFUNCTION("""COMPUTED_VALUE"""),"")</f>
        <v/>
      </c>
      <c r="BJ251" s="217">
        <f>IFERROR(__xludf.DUMMYFUNCTION("""COMPUTED_VALUE"""),91.6)</f>
        <v>91.6</v>
      </c>
      <c r="BK251" s="217" t="str">
        <f>IFERROR(__xludf.DUMMYFUNCTION("""COMPUTED_VALUE"""),"")</f>
        <v/>
      </c>
      <c r="BL251" s="218">
        <f>IFERROR(__xludf.DUMMYFUNCTION("""COMPUTED_VALUE"""),113.7)</f>
        <v>113.7</v>
      </c>
      <c r="BM251" s="217" t="str">
        <f>IFERROR(__xludf.DUMMYFUNCTION("""COMPUTED_VALUE"""),"")</f>
        <v/>
      </c>
      <c r="BN251" s="217" t="str">
        <f>IFERROR(__xludf.DUMMYFUNCTION("""COMPUTED_VALUE"""),"")</f>
        <v/>
      </c>
      <c r="BO251" s="218" t="str">
        <f>IFERROR(__xludf.DUMMYFUNCTION("""COMPUTED_VALUE"""),"")</f>
        <v/>
      </c>
      <c r="BP251" s="217" t="str">
        <f>IFERROR(__xludf.DUMMYFUNCTION("""COMPUTED_VALUE"""),"")</f>
        <v/>
      </c>
      <c r="BQ251" s="217" t="str">
        <f>IFERROR(__xludf.DUMMYFUNCTION("""COMPUTED_VALUE"""),"")</f>
        <v/>
      </c>
      <c r="BR251" s="218" t="str">
        <f>IFERROR(__xludf.DUMMYFUNCTION("""COMPUTED_VALUE"""),"")</f>
        <v/>
      </c>
      <c r="BS251" s="217" t="str">
        <f>IFERROR(__xludf.DUMMYFUNCTION("""COMPUTED_VALUE"""),"")</f>
        <v/>
      </c>
      <c r="BT251" s="217" t="str">
        <f>IFERROR(__xludf.DUMMYFUNCTION("""COMPUTED_VALUE"""),"")</f>
        <v/>
      </c>
      <c r="BU251" s="218" t="str">
        <f>IFERROR(__xludf.DUMMYFUNCTION("""COMPUTED_VALUE"""),"")</f>
        <v/>
      </c>
      <c r="BV251" s="217" t="str">
        <f>IFERROR(__xludf.DUMMYFUNCTION("""COMPUTED_VALUE"""),"")</f>
        <v/>
      </c>
      <c r="BW251" s="217" t="str">
        <f>IFERROR(__xludf.DUMMYFUNCTION("""COMPUTED_VALUE"""),"")</f>
        <v/>
      </c>
      <c r="BX251" s="218" t="str">
        <f>IFERROR(__xludf.DUMMYFUNCTION("""COMPUTED_VALUE"""),"")</f>
        <v/>
      </c>
      <c r="BY251" s="217" t="str">
        <f>IFERROR(__xludf.DUMMYFUNCTION("""COMPUTED_VALUE"""),"")</f>
        <v/>
      </c>
      <c r="BZ251" s="217" t="str">
        <f>IFERROR(__xludf.DUMMYFUNCTION("""COMPUTED_VALUE"""),"")</f>
        <v/>
      </c>
      <c r="CA251" s="218" t="str">
        <f>IFERROR(__xludf.DUMMYFUNCTION("""COMPUTED_VALUE"""),"")</f>
        <v/>
      </c>
      <c r="CB251" s="216" t="str">
        <f>IFERROR(__xludf.DUMMYFUNCTION("""COMPUTED_VALUE"""),"")</f>
        <v/>
      </c>
      <c r="CC251" s="217" t="str">
        <f>IFERROR(__xludf.DUMMYFUNCTION("""COMPUTED_VALUE"""),"")</f>
        <v/>
      </c>
      <c r="CD251" s="218" t="str">
        <f>IFERROR(__xludf.DUMMYFUNCTION("""COMPUTED_VALUE"""),"")</f>
        <v/>
      </c>
      <c r="CE251" s="217" t="str">
        <f>IFERROR(__xludf.DUMMYFUNCTION("""COMPUTED_VALUE"""),"")</f>
        <v/>
      </c>
      <c r="CF251" s="217" t="str">
        <f>IFERROR(__xludf.DUMMYFUNCTION("""COMPUTED_VALUE"""),"")</f>
        <v/>
      </c>
      <c r="CG251" s="218" t="str">
        <f>IFERROR(__xludf.DUMMYFUNCTION("""COMPUTED_VALUE"""),"")</f>
        <v/>
      </c>
      <c r="CH251" s="217" t="str">
        <f>IFERROR(__xludf.DUMMYFUNCTION("""COMPUTED_VALUE"""),"")</f>
        <v/>
      </c>
      <c r="CI251" s="217" t="str">
        <f>IFERROR(__xludf.DUMMYFUNCTION("""COMPUTED_VALUE"""),"")</f>
        <v/>
      </c>
      <c r="CJ251" s="218" t="str">
        <f>IFERROR(__xludf.DUMMYFUNCTION("""COMPUTED_VALUE"""),"")</f>
        <v/>
      </c>
      <c r="CK251" s="217" t="str">
        <f>IFERROR(__xludf.DUMMYFUNCTION("""COMPUTED_VALUE"""),"")</f>
        <v/>
      </c>
      <c r="CL251" s="217">
        <f>IFERROR(__xludf.DUMMYFUNCTION("""COMPUTED_VALUE"""),102.4)</f>
        <v>102.4</v>
      </c>
      <c r="CM251" s="218" t="str">
        <f>IFERROR(__xludf.DUMMYFUNCTION("""COMPUTED_VALUE"""),"")</f>
        <v/>
      </c>
      <c r="CN251" s="217" t="str">
        <f>IFERROR(__xludf.DUMMYFUNCTION("""COMPUTED_VALUE"""),"")</f>
        <v/>
      </c>
      <c r="CO251" s="217" t="str">
        <f>IFERROR(__xludf.DUMMYFUNCTION("""COMPUTED_VALUE"""),"")</f>
        <v/>
      </c>
      <c r="CP251" s="218" t="str">
        <f>IFERROR(__xludf.DUMMYFUNCTION("""COMPUTED_VALUE"""),"")</f>
        <v/>
      </c>
      <c r="CQ251" s="219" t="str">
        <f>IFERROR(__xludf.DUMMYFUNCTION("""COMPUTED_VALUE"""),"")</f>
        <v/>
      </c>
      <c r="CR251" s="219" t="str">
        <f>IFERROR(__xludf.DUMMYFUNCTION("""COMPUTED_VALUE"""),"")</f>
        <v/>
      </c>
      <c r="CS251" s="220"/>
      <c r="CT251" s="219"/>
      <c r="CU251" s="219"/>
      <c r="CV251" s="220"/>
      <c r="CW251" s="219"/>
      <c r="CX251" s="219"/>
      <c r="CY251" s="220"/>
      <c r="CZ251" s="219"/>
      <c r="DA251" s="219"/>
      <c r="DB251" s="220"/>
      <c r="DC251" s="219"/>
      <c r="DD251" s="219"/>
      <c r="DE251" s="220"/>
      <c r="DF251" s="219"/>
      <c r="DG251" s="219"/>
      <c r="DH251" s="220"/>
      <c r="DI251" s="219"/>
      <c r="DJ251" s="219"/>
      <c r="DK251" s="220"/>
      <c r="DL251" s="219"/>
      <c r="DM251" s="219"/>
      <c r="DN251" s="220"/>
      <c r="DO251" s="219"/>
      <c r="DP251" s="219"/>
      <c r="DQ251" s="220"/>
      <c r="DR251" s="219"/>
      <c r="DS251" s="219"/>
      <c r="DT251" s="220"/>
    </row>
    <row r="252">
      <c r="B252" s="180" t="str">
        <f>IFERROR(__xludf.DUMMYFUNCTION("""COMPUTED_VALUE"""),"HEA4")</f>
        <v>HEA4</v>
      </c>
      <c r="C252">
        <f>IFERROR(__xludf.DUMMYFUNCTION("""COMPUTED_VALUE"""),253.0)</f>
        <v>253</v>
      </c>
      <c r="D252" s="88" t="str">
        <f>IFERROR(__xludf.DUMMYFUNCTION("""COMPUTED_VALUE"""),"Aristocrat's Residence")</f>
        <v>Aristocrat's Residence</v>
      </c>
      <c r="E252" s="215" t="str">
        <f>IFERROR(__xludf.DUMMYFUNCTION("""COMPUTED_VALUE"""),"貴族邸")</f>
        <v>貴族邸</v>
      </c>
      <c r="F252" s="179">
        <f>IFERROR(__xludf.DUMMYFUNCTION("""COMPUTED_VALUE"""),21.0)</f>
        <v>21</v>
      </c>
      <c r="G252" s="83">
        <f>IFERROR(__xludf.DUMMYFUNCTION("""COMPUTED_VALUE"""),1400.0)</f>
        <v>1400</v>
      </c>
      <c r="H252" s="95" t="str">
        <f>IFERROR(__xludf.DUMMYFUNCTION("""COMPUTED_VALUE"""),"")</f>
        <v/>
      </c>
      <c r="I252" s="96" t="str">
        <f>IFERROR(__xludf.DUMMYFUNCTION("""COMPUTED_VALUE"""),"")</f>
        <v/>
      </c>
      <c r="J252" s="97" t="str">
        <f>IFERROR(__xludf.DUMMYFUNCTION("""COMPUTED_VALUE"""),"")</f>
        <v/>
      </c>
      <c r="K252" s="95" t="str">
        <f>IFERROR(__xludf.DUMMYFUNCTION("""COMPUTED_VALUE"""),"")</f>
        <v/>
      </c>
      <c r="L252" s="96" t="str">
        <f>IFERROR(__xludf.DUMMYFUNCTION("""COMPUTED_VALUE"""),"")</f>
        <v/>
      </c>
      <c r="M252" s="97" t="str">
        <f>IFERROR(__xludf.DUMMYFUNCTION("""COMPUTED_VALUE"""),"")</f>
        <v/>
      </c>
      <c r="N252" s="95" t="str">
        <f>IFERROR(__xludf.DUMMYFUNCTION("""COMPUTED_VALUE"""),"")</f>
        <v/>
      </c>
      <c r="O252" s="96" t="str">
        <f>IFERROR(__xludf.DUMMYFUNCTION("""COMPUTED_VALUE"""),"")</f>
        <v/>
      </c>
      <c r="P252" s="97" t="str">
        <f>IFERROR(__xludf.DUMMYFUNCTION("""COMPUTED_VALUE"""),"")</f>
        <v/>
      </c>
      <c r="Q252" s="95" t="str">
        <f>IFERROR(__xludf.DUMMYFUNCTION("""COMPUTED_VALUE"""),"")</f>
        <v/>
      </c>
      <c r="R252" s="96" t="str">
        <f>IFERROR(__xludf.DUMMYFUNCTION("""COMPUTED_VALUE"""),"")</f>
        <v/>
      </c>
      <c r="S252" s="97" t="str">
        <f>IFERROR(__xludf.DUMMYFUNCTION("""COMPUTED_VALUE"""),"")</f>
        <v/>
      </c>
      <c r="T252" s="95" t="str">
        <f>IFERROR(__xludf.DUMMYFUNCTION("""COMPUTED_VALUE"""),"")</f>
        <v/>
      </c>
      <c r="U252" s="96">
        <f>IFERROR(__xludf.DUMMYFUNCTION("""COMPUTED_VALUE"""),169.0)</f>
        <v>169</v>
      </c>
      <c r="V252" s="97" t="str">
        <f>IFERROR(__xludf.DUMMYFUNCTION("""COMPUTED_VALUE"""),"")</f>
        <v/>
      </c>
      <c r="W252" s="95" t="str">
        <f>IFERROR(__xludf.DUMMYFUNCTION("""COMPUTED_VALUE"""),"")</f>
        <v/>
      </c>
      <c r="X252" s="96" t="str">
        <f>IFERROR(__xludf.DUMMYFUNCTION("""COMPUTED_VALUE"""),"")</f>
        <v/>
      </c>
      <c r="Y252" s="97" t="str">
        <f>IFERROR(__xludf.DUMMYFUNCTION("""COMPUTED_VALUE"""),"")</f>
        <v/>
      </c>
      <c r="Z252" s="95" t="str">
        <f>IFERROR(__xludf.DUMMYFUNCTION("""COMPUTED_VALUE"""),"")</f>
        <v/>
      </c>
      <c r="AA252" s="96" t="str">
        <f>IFERROR(__xludf.DUMMYFUNCTION("""COMPUTED_VALUE"""),"")</f>
        <v/>
      </c>
      <c r="AB252" s="97" t="str">
        <f>IFERROR(__xludf.DUMMYFUNCTION("""COMPUTED_VALUE"""),"")</f>
        <v/>
      </c>
      <c r="AC252" s="95" t="str">
        <f>IFERROR(__xludf.DUMMYFUNCTION("""COMPUTED_VALUE"""),"")</f>
        <v/>
      </c>
      <c r="AD252" s="96" t="str">
        <f>IFERROR(__xludf.DUMMYFUNCTION("""COMPUTED_VALUE"""),"")</f>
        <v/>
      </c>
      <c r="AE252" s="97" t="str">
        <f>IFERROR(__xludf.DUMMYFUNCTION("""COMPUTED_VALUE"""),"")</f>
        <v/>
      </c>
      <c r="AF252" s="95">
        <f>IFERROR(__xludf.DUMMYFUNCTION("""COMPUTED_VALUE"""),86.0)</f>
        <v>86</v>
      </c>
      <c r="AG252" s="96" t="str">
        <f>IFERROR(__xludf.DUMMYFUNCTION("""COMPUTED_VALUE"""),"")</f>
        <v/>
      </c>
      <c r="AH252" s="97" t="str">
        <f>IFERROR(__xludf.DUMMYFUNCTION("""COMPUTED_VALUE"""),"")</f>
        <v/>
      </c>
      <c r="AI252" s="216" t="str">
        <f>IFERROR(__xludf.DUMMYFUNCTION("""COMPUTED_VALUE"""),"")</f>
        <v/>
      </c>
      <c r="AJ252" s="217" t="str">
        <f>IFERROR(__xludf.DUMMYFUNCTION("""COMPUTED_VALUE"""),"")</f>
        <v/>
      </c>
      <c r="AK252" s="218" t="str">
        <f>IFERROR(__xludf.DUMMYFUNCTION("""COMPUTED_VALUE"""),"")</f>
        <v/>
      </c>
      <c r="AL252" s="217" t="str">
        <f>IFERROR(__xludf.DUMMYFUNCTION("""COMPUTED_VALUE"""),"")</f>
        <v/>
      </c>
      <c r="AM252" s="217" t="str">
        <f>IFERROR(__xludf.DUMMYFUNCTION("""COMPUTED_VALUE"""),"")</f>
        <v/>
      </c>
      <c r="AN252" s="218" t="str">
        <f>IFERROR(__xludf.DUMMYFUNCTION("""COMPUTED_VALUE"""),"")</f>
        <v/>
      </c>
      <c r="AO252" s="217" t="str">
        <f>IFERROR(__xludf.DUMMYFUNCTION("""COMPUTED_VALUE"""),"")</f>
        <v/>
      </c>
      <c r="AP252" s="217" t="str">
        <f>IFERROR(__xludf.DUMMYFUNCTION("""COMPUTED_VALUE"""),"")</f>
        <v/>
      </c>
      <c r="AQ252" s="218" t="str">
        <f>IFERROR(__xludf.DUMMYFUNCTION("""COMPUTED_VALUE"""),"")</f>
        <v/>
      </c>
      <c r="AR252" s="217" t="str">
        <f>IFERROR(__xludf.DUMMYFUNCTION("""COMPUTED_VALUE"""),"")</f>
        <v/>
      </c>
      <c r="AS252" s="217" t="str">
        <f>IFERROR(__xludf.DUMMYFUNCTION("""COMPUTED_VALUE"""),"")</f>
        <v/>
      </c>
      <c r="AT252" s="218" t="str">
        <f>IFERROR(__xludf.DUMMYFUNCTION("""COMPUTED_VALUE"""),"")</f>
        <v/>
      </c>
      <c r="AU252" s="217" t="str">
        <f>IFERROR(__xludf.DUMMYFUNCTION("""COMPUTED_VALUE"""),"")</f>
        <v/>
      </c>
      <c r="AV252" s="217" t="str">
        <f>IFERROR(__xludf.DUMMYFUNCTION("""COMPUTED_VALUE"""),"")</f>
        <v/>
      </c>
      <c r="AW252" s="218" t="str">
        <f>IFERROR(__xludf.DUMMYFUNCTION("""COMPUTED_VALUE"""),"")</f>
        <v/>
      </c>
      <c r="AX252" s="217" t="str">
        <f>IFERROR(__xludf.DUMMYFUNCTION("""COMPUTED_VALUE"""),"")</f>
        <v/>
      </c>
      <c r="AY252" s="217" t="str">
        <f>IFERROR(__xludf.DUMMYFUNCTION("""COMPUTED_VALUE"""),"")</f>
        <v/>
      </c>
      <c r="AZ252" s="218" t="str">
        <f>IFERROR(__xludf.DUMMYFUNCTION("""COMPUTED_VALUE"""),"")</f>
        <v/>
      </c>
      <c r="BA252" s="217" t="str">
        <f>IFERROR(__xludf.DUMMYFUNCTION("""COMPUTED_VALUE"""),"")</f>
        <v/>
      </c>
      <c r="BB252" s="217" t="str">
        <f>IFERROR(__xludf.DUMMYFUNCTION("""COMPUTED_VALUE"""),"")</f>
        <v/>
      </c>
      <c r="BC252" s="218" t="str">
        <f>IFERROR(__xludf.DUMMYFUNCTION("""COMPUTED_VALUE"""),"")</f>
        <v/>
      </c>
      <c r="BD252" s="217" t="str">
        <f>IFERROR(__xludf.DUMMYFUNCTION("""COMPUTED_VALUE"""),"")</f>
        <v/>
      </c>
      <c r="BE252" s="217" t="str">
        <f>IFERROR(__xludf.DUMMYFUNCTION("""COMPUTED_VALUE"""),"")</f>
        <v/>
      </c>
      <c r="BF252" s="218" t="str">
        <f>IFERROR(__xludf.DUMMYFUNCTION("""COMPUTED_VALUE"""),"")</f>
        <v/>
      </c>
      <c r="BG252" s="216" t="str">
        <f>IFERROR(__xludf.DUMMYFUNCTION("""COMPUTED_VALUE"""),"")</f>
        <v/>
      </c>
      <c r="BH252" s="217">
        <f>IFERROR(__xludf.DUMMYFUNCTION("""COMPUTED_VALUE"""),515.1)</f>
        <v>515.1</v>
      </c>
      <c r="BI252" s="218" t="str">
        <f>IFERROR(__xludf.DUMMYFUNCTION("""COMPUTED_VALUE"""),"")</f>
        <v/>
      </c>
      <c r="BJ252" s="217" t="str">
        <f>IFERROR(__xludf.DUMMYFUNCTION("""COMPUTED_VALUE"""),"")</f>
        <v/>
      </c>
      <c r="BK252" s="217" t="str">
        <f>IFERROR(__xludf.DUMMYFUNCTION("""COMPUTED_VALUE"""),"")</f>
        <v/>
      </c>
      <c r="BL252" s="218" t="str">
        <f>IFERROR(__xludf.DUMMYFUNCTION("""COMPUTED_VALUE"""),"")</f>
        <v/>
      </c>
      <c r="BM252" s="217" t="str">
        <f>IFERROR(__xludf.DUMMYFUNCTION("""COMPUTED_VALUE"""),"")</f>
        <v/>
      </c>
      <c r="BN252" s="217">
        <f>IFERROR(__xludf.DUMMYFUNCTION("""COMPUTED_VALUE"""),48.8)</f>
        <v>48.8</v>
      </c>
      <c r="BO252" s="218" t="str">
        <f>IFERROR(__xludf.DUMMYFUNCTION("""COMPUTED_VALUE"""),"")</f>
        <v/>
      </c>
      <c r="BP252" s="217" t="str">
        <f>IFERROR(__xludf.DUMMYFUNCTION("""COMPUTED_VALUE"""),"")</f>
        <v/>
      </c>
      <c r="BQ252" s="217" t="str">
        <f>IFERROR(__xludf.DUMMYFUNCTION("""COMPUTED_VALUE"""),"")</f>
        <v/>
      </c>
      <c r="BR252" s="218" t="str">
        <f>IFERROR(__xludf.DUMMYFUNCTION("""COMPUTED_VALUE"""),"")</f>
        <v/>
      </c>
      <c r="BS252" s="217" t="str">
        <f>IFERROR(__xludf.DUMMYFUNCTION("""COMPUTED_VALUE"""),"")</f>
        <v/>
      </c>
      <c r="BT252" s="217" t="str">
        <f>IFERROR(__xludf.DUMMYFUNCTION("""COMPUTED_VALUE"""),"")</f>
        <v/>
      </c>
      <c r="BU252" s="218" t="str">
        <f>IFERROR(__xludf.DUMMYFUNCTION("""COMPUTED_VALUE"""),"")</f>
        <v/>
      </c>
      <c r="BV252" s="217" t="str">
        <f>IFERROR(__xludf.DUMMYFUNCTION("""COMPUTED_VALUE"""),"")</f>
        <v/>
      </c>
      <c r="BW252" s="217" t="str">
        <f>IFERROR(__xludf.DUMMYFUNCTION("""COMPUTED_VALUE"""),"")</f>
        <v/>
      </c>
      <c r="BX252" s="218" t="str">
        <f>IFERROR(__xludf.DUMMYFUNCTION("""COMPUTED_VALUE"""),"")</f>
        <v/>
      </c>
      <c r="BY252" s="217" t="str">
        <f>IFERROR(__xludf.DUMMYFUNCTION("""COMPUTED_VALUE"""),"")</f>
        <v/>
      </c>
      <c r="BZ252" s="217" t="str">
        <f>IFERROR(__xludf.DUMMYFUNCTION("""COMPUTED_VALUE"""),"")</f>
        <v/>
      </c>
      <c r="CA252" s="218" t="str">
        <f>IFERROR(__xludf.DUMMYFUNCTION("""COMPUTED_VALUE"""),"")</f>
        <v/>
      </c>
      <c r="CB252" s="216" t="str">
        <f>IFERROR(__xludf.DUMMYFUNCTION("""COMPUTED_VALUE"""),"")</f>
        <v/>
      </c>
      <c r="CC252" s="217" t="str">
        <f>IFERROR(__xludf.DUMMYFUNCTION("""COMPUTED_VALUE"""),"")</f>
        <v/>
      </c>
      <c r="CD252" s="218" t="str">
        <f>IFERROR(__xludf.DUMMYFUNCTION("""COMPUTED_VALUE"""),"")</f>
        <v/>
      </c>
      <c r="CE252" s="217" t="str">
        <f>IFERROR(__xludf.DUMMYFUNCTION("""COMPUTED_VALUE"""),"")</f>
        <v/>
      </c>
      <c r="CF252" s="217" t="str">
        <f>IFERROR(__xludf.DUMMYFUNCTION("""COMPUTED_VALUE"""),"")</f>
        <v/>
      </c>
      <c r="CG252" s="218" t="str">
        <f>IFERROR(__xludf.DUMMYFUNCTION("""COMPUTED_VALUE"""),"")</f>
        <v/>
      </c>
      <c r="CH252" s="217" t="str">
        <f>IFERROR(__xludf.DUMMYFUNCTION("""COMPUTED_VALUE"""),"")</f>
        <v/>
      </c>
      <c r="CI252" s="217" t="str">
        <f>IFERROR(__xludf.DUMMYFUNCTION("""COMPUTED_VALUE"""),"")</f>
        <v/>
      </c>
      <c r="CJ252" s="218" t="str">
        <f>IFERROR(__xludf.DUMMYFUNCTION("""COMPUTED_VALUE"""),"")</f>
        <v/>
      </c>
      <c r="CK252" s="217" t="str">
        <f>IFERROR(__xludf.DUMMYFUNCTION("""COMPUTED_VALUE"""),"")</f>
        <v/>
      </c>
      <c r="CL252" s="217" t="str">
        <f>IFERROR(__xludf.DUMMYFUNCTION("""COMPUTED_VALUE"""),"")</f>
        <v/>
      </c>
      <c r="CM252" s="218" t="str">
        <f>IFERROR(__xludf.DUMMYFUNCTION("""COMPUTED_VALUE"""),"")</f>
        <v/>
      </c>
      <c r="CN252" s="217" t="str">
        <f>IFERROR(__xludf.DUMMYFUNCTION("""COMPUTED_VALUE"""),"")</f>
        <v/>
      </c>
      <c r="CO252" s="217" t="str">
        <f>IFERROR(__xludf.DUMMYFUNCTION("""COMPUTED_VALUE"""),"")</f>
        <v/>
      </c>
      <c r="CP252" s="218" t="str">
        <f>IFERROR(__xludf.DUMMYFUNCTION("""COMPUTED_VALUE"""),"")</f>
        <v/>
      </c>
      <c r="CQ252" s="219">
        <f>IFERROR(__xludf.DUMMYFUNCTION("""COMPUTED_VALUE"""),341.9)</f>
        <v>341.9</v>
      </c>
      <c r="CR252" s="219" t="str">
        <f>IFERROR(__xludf.DUMMYFUNCTION("""COMPUTED_VALUE"""),"")</f>
        <v/>
      </c>
      <c r="CS252" s="220"/>
      <c r="CT252" s="219"/>
      <c r="CU252" s="219"/>
      <c r="CV252" s="220"/>
      <c r="CW252" s="219"/>
      <c r="CX252" s="219"/>
      <c r="CY252" s="220"/>
      <c r="CZ252" s="219"/>
      <c r="DA252" s="219"/>
      <c r="DB252" s="220"/>
      <c r="DC252" s="219"/>
      <c r="DD252" s="219"/>
      <c r="DE252" s="220"/>
      <c r="DF252" s="219"/>
      <c r="DG252" s="219"/>
      <c r="DH252" s="220"/>
      <c r="DI252" s="219"/>
      <c r="DJ252" s="219"/>
      <c r="DK252" s="220"/>
      <c r="DL252" s="219"/>
      <c r="DM252" s="219"/>
      <c r="DN252" s="220"/>
      <c r="DO252" s="219"/>
      <c r="DP252" s="219"/>
      <c r="DQ252" s="220"/>
      <c r="DR252" s="219"/>
      <c r="DS252" s="219"/>
      <c r="DT252" s="220"/>
    </row>
    <row r="253">
      <c r="B253" s="180" t="str">
        <f>IFERROR(__xludf.DUMMYFUNCTION("""COMPUTED_VALUE"""),"HEA5")</f>
        <v>HEA5</v>
      </c>
      <c r="C253">
        <f>IFERROR(__xludf.DUMMYFUNCTION("""COMPUTED_VALUE"""),254.0)</f>
        <v>254</v>
      </c>
      <c r="D253" s="88" t="str">
        <f>IFERROR(__xludf.DUMMYFUNCTION("""COMPUTED_VALUE"""),"Suzakumon")</f>
        <v>Suzakumon</v>
      </c>
      <c r="E253" s="215" t="str">
        <f>IFERROR(__xludf.DUMMYFUNCTION("""COMPUTED_VALUE"""),"朱雀門")</f>
        <v>朱雀門</v>
      </c>
      <c r="F253" s="179">
        <f>IFERROR(__xludf.DUMMYFUNCTION("""COMPUTED_VALUE"""),21.0)</f>
        <v>21</v>
      </c>
      <c r="G253" s="83">
        <f>IFERROR(__xludf.DUMMYFUNCTION("""COMPUTED_VALUE"""),11136.0)</f>
        <v>11136</v>
      </c>
      <c r="H253" s="95" t="str">
        <f>IFERROR(__xludf.DUMMYFUNCTION("""COMPUTED_VALUE"""),"")</f>
        <v/>
      </c>
      <c r="I253" s="96" t="str">
        <f>IFERROR(__xludf.DUMMYFUNCTION("""COMPUTED_VALUE"""),"")</f>
        <v/>
      </c>
      <c r="J253" s="97" t="str">
        <f>IFERROR(__xludf.DUMMYFUNCTION("""COMPUTED_VALUE"""),"")</f>
        <v/>
      </c>
      <c r="K253" s="95" t="str">
        <f>IFERROR(__xludf.DUMMYFUNCTION("""COMPUTED_VALUE"""),"")</f>
        <v/>
      </c>
      <c r="L253" s="96" t="str">
        <f>IFERROR(__xludf.DUMMYFUNCTION("""COMPUTED_VALUE"""),"")</f>
        <v/>
      </c>
      <c r="M253" s="97" t="str">
        <f>IFERROR(__xludf.DUMMYFUNCTION("""COMPUTED_VALUE"""),"")</f>
        <v/>
      </c>
      <c r="N253" s="95" t="str">
        <f>IFERROR(__xludf.DUMMYFUNCTION("""COMPUTED_VALUE"""),"")</f>
        <v/>
      </c>
      <c r="O253" s="96" t="str">
        <f>IFERROR(__xludf.DUMMYFUNCTION("""COMPUTED_VALUE"""),"")</f>
        <v/>
      </c>
      <c r="P253" s="97" t="str">
        <f>IFERROR(__xludf.DUMMYFUNCTION("""COMPUTED_VALUE"""),"")</f>
        <v/>
      </c>
      <c r="Q253" s="95" t="str">
        <f>IFERROR(__xludf.DUMMYFUNCTION("""COMPUTED_VALUE"""),"")</f>
        <v/>
      </c>
      <c r="R253" s="96" t="str">
        <f>IFERROR(__xludf.DUMMYFUNCTION("""COMPUTED_VALUE"""),"")</f>
        <v/>
      </c>
      <c r="S253" s="97" t="str">
        <f>IFERROR(__xludf.DUMMYFUNCTION("""COMPUTED_VALUE"""),"")</f>
        <v/>
      </c>
      <c r="T253" s="95" t="str">
        <f>IFERROR(__xludf.DUMMYFUNCTION("""COMPUTED_VALUE"""),"")</f>
        <v/>
      </c>
      <c r="U253" s="96" t="str">
        <f>IFERROR(__xludf.DUMMYFUNCTION("""COMPUTED_VALUE"""),"")</f>
        <v/>
      </c>
      <c r="V253" s="97" t="str">
        <f>IFERROR(__xludf.DUMMYFUNCTION("""COMPUTED_VALUE"""),"")</f>
        <v/>
      </c>
      <c r="W253" s="95" t="str">
        <f>IFERROR(__xludf.DUMMYFUNCTION("""COMPUTED_VALUE"""),"")</f>
        <v/>
      </c>
      <c r="X253" s="96" t="str">
        <f>IFERROR(__xludf.DUMMYFUNCTION("""COMPUTED_VALUE"""),"")</f>
        <v/>
      </c>
      <c r="Y253" s="97">
        <f>IFERROR(__xludf.DUMMYFUNCTION("""COMPUTED_VALUE"""),171.1)</f>
        <v>171.1</v>
      </c>
      <c r="Z253" s="95" t="str">
        <f>IFERROR(__xludf.DUMMYFUNCTION("""COMPUTED_VALUE"""),"")</f>
        <v/>
      </c>
      <c r="AA253" s="96" t="str">
        <f>IFERROR(__xludf.DUMMYFUNCTION("""COMPUTED_VALUE"""),"")</f>
        <v/>
      </c>
      <c r="AB253" s="97" t="str">
        <f>IFERROR(__xludf.DUMMYFUNCTION("""COMPUTED_VALUE"""),"")</f>
        <v/>
      </c>
      <c r="AC253" s="95" t="str">
        <f>IFERROR(__xludf.DUMMYFUNCTION("""COMPUTED_VALUE"""),"")</f>
        <v/>
      </c>
      <c r="AD253" s="96" t="str">
        <f>IFERROR(__xludf.DUMMYFUNCTION("""COMPUTED_VALUE"""),"")</f>
        <v/>
      </c>
      <c r="AE253" s="97" t="str">
        <f>IFERROR(__xludf.DUMMYFUNCTION("""COMPUTED_VALUE"""),"")</f>
        <v/>
      </c>
      <c r="AF253" s="95" t="str">
        <f>IFERROR(__xludf.DUMMYFUNCTION("""COMPUTED_VALUE"""),"")</f>
        <v/>
      </c>
      <c r="AG253" s="96" t="str">
        <f>IFERROR(__xludf.DUMMYFUNCTION("""COMPUTED_VALUE"""),"")</f>
        <v/>
      </c>
      <c r="AH253" s="97" t="str">
        <f>IFERROR(__xludf.DUMMYFUNCTION("""COMPUTED_VALUE"""),"")</f>
        <v/>
      </c>
      <c r="AI253" s="216" t="str">
        <f>IFERROR(__xludf.DUMMYFUNCTION("""COMPUTED_VALUE"""),"")</f>
        <v/>
      </c>
      <c r="AJ253" s="217" t="str">
        <f>IFERROR(__xludf.DUMMYFUNCTION("""COMPUTED_VALUE"""),"")</f>
        <v/>
      </c>
      <c r="AK253" s="218">
        <f>IFERROR(__xludf.DUMMYFUNCTION("""COMPUTED_VALUE"""),82.0)</f>
        <v>82</v>
      </c>
      <c r="AL253" s="217" t="str">
        <f>IFERROR(__xludf.DUMMYFUNCTION("""COMPUTED_VALUE"""),"")</f>
        <v/>
      </c>
      <c r="AM253" s="217" t="str">
        <f>IFERROR(__xludf.DUMMYFUNCTION("""COMPUTED_VALUE"""),"")</f>
        <v/>
      </c>
      <c r="AN253" s="218" t="str">
        <f>IFERROR(__xludf.DUMMYFUNCTION("""COMPUTED_VALUE"""),"")</f>
        <v/>
      </c>
      <c r="AO253" s="217" t="str">
        <f>IFERROR(__xludf.DUMMYFUNCTION("""COMPUTED_VALUE"""),"")</f>
        <v/>
      </c>
      <c r="AP253" s="217" t="str">
        <f>IFERROR(__xludf.DUMMYFUNCTION("""COMPUTED_VALUE"""),"")</f>
        <v/>
      </c>
      <c r="AQ253" s="218" t="str">
        <f>IFERROR(__xludf.DUMMYFUNCTION("""COMPUTED_VALUE"""),"")</f>
        <v/>
      </c>
      <c r="AR253" s="217" t="str">
        <f>IFERROR(__xludf.DUMMYFUNCTION("""COMPUTED_VALUE"""),"")</f>
        <v/>
      </c>
      <c r="AS253" s="217" t="str">
        <f>IFERROR(__xludf.DUMMYFUNCTION("""COMPUTED_VALUE"""),"")</f>
        <v/>
      </c>
      <c r="AT253" s="218" t="str">
        <f>IFERROR(__xludf.DUMMYFUNCTION("""COMPUTED_VALUE"""),"")</f>
        <v/>
      </c>
      <c r="AU253" s="217" t="str">
        <f>IFERROR(__xludf.DUMMYFUNCTION("""COMPUTED_VALUE"""),"")</f>
        <v/>
      </c>
      <c r="AV253" s="217" t="str">
        <f>IFERROR(__xludf.DUMMYFUNCTION("""COMPUTED_VALUE"""),"")</f>
        <v/>
      </c>
      <c r="AW253" s="218" t="str">
        <f>IFERROR(__xludf.DUMMYFUNCTION("""COMPUTED_VALUE"""),"")</f>
        <v/>
      </c>
      <c r="AX253" s="217" t="str">
        <f>IFERROR(__xludf.DUMMYFUNCTION("""COMPUTED_VALUE"""),"")</f>
        <v/>
      </c>
      <c r="AY253" s="217" t="str">
        <f>IFERROR(__xludf.DUMMYFUNCTION("""COMPUTED_VALUE"""),"")</f>
        <v/>
      </c>
      <c r="AZ253" s="218" t="str">
        <f>IFERROR(__xludf.DUMMYFUNCTION("""COMPUTED_VALUE"""),"")</f>
        <v/>
      </c>
      <c r="BA253" s="217" t="str">
        <f>IFERROR(__xludf.DUMMYFUNCTION("""COMPUTED_VALUE"""),"")</f>
        <v/>
      </c>
      <c r="BB253" s="217" t="str">
        <f>IFERROR(__xludf.DUMMYFUNCTION("""COMPUTED_VALUE"""),"")</f>
        <v/>
      </c>
      <c r="BC253" s="218" t="str">
        <f>IFERROR(__xludf.DUMMYFUNCTION("""COMPUTED_VALUE"""),"")</f>
        <v/>
      </c>
      <c r="BD253" s="217" t="str">
        <f>IFERROR(__xludf.DUMMYFUNCTION("""COMPUTED_VALUE"""),"")</f>
        <v/>
      </c>
      <c r="BE253" s="217" t="str">
        <f>IFERROR(__xludf.DUMMYFUNCTION("""COMPUTED_VALUE"""),"")</f>
        <v/>
      </c>
      <c r="BF253" s="218" t="str">
        <f>IFERROR(__xludf.DUMMYFUNCTION("""COMPUTED_VALUE"""),"")</f>
        <v/>
      </c>
      <c r="BG253" s="216" t="str">
        <f>IFERROR(__xludf.DUMMYFUNCTION("""COMPUTED_VALUE"""),"")</f>
        <v/>
      </c>
      <c r="BH253" s="217" t="str">
        <f>IFERROR(__xludf.DUMMYFUNCTION("""COMPUTED_VALUE"""),"")</f>
        <v/>
      </c>
      <c r="BI253" s="218">
        <f>IFERROR(__xludf.DUMMYFUNCTION("""COMPUTED_VALUE"""),510.0)</f>
        <v>510</v>
      </c>
      <c r="BJ253" s="217">
        <f>IFERROR(__xludf.DUMMYFUNCTION("""COMPUTED_VALUE"""),58.6)</f>
        <v>58.6</v>
      </c>
      <c r="BK253" s="217" t="str">
        <f>IFERROR(__xludf.DUMMYFUNCTION("""COMPUTED_VALUE"""),"")</f>
        <v/>
      </c>
      <c r="BL253" s="218" t="str">
        <f>IFERROR(__xludf.DUMMYFUNCTION("""COMPUTED_VALUE"""),"")</f>
        <v/>
      </c>
      <c r="BM253" s="217" t="str">
        <f>IFERROR(__xludf.DUMMYFUNCTION("""COMPUTED_VALUE"""),"")</f>
        <v/>
      </c>
      <c r="BN253" s="217" t="str">
        <f>IFERROR(__xludf.DUMMYFUNCTION("""COMPUTED_VALUE"""),"")</f>
        <v/>
      </c>
      <c r="BO253" s="218" t="str">
        <f>IFERROR(__xludf.DUMMYFUNCTION("""COMPUTED_VALUE"""),"")</f>
        <v/>
      </c>
      <c r="BP253" s="217" t="str">
        <f>IFERROR(__xludf.DUMMYFUNCTION("""COMPUTED_VALUE"""),"")</f>
        <v/>
      </c>
      <c r="BQ253" s="217" t="str">
        <f>IFERROR(__xludf.DUMMYFUNCTION("""COMPUTED_VALUE"""),"")</f>
        <v/>
      </c>
      <c r="BR253" s="218" t="str">
        <f>IFERROR(__xludf.DUMMYFUNCTION("""COMPUTED_VALUE"""),"")</f>
        <v/>
      </c>
      <c r="BS253" s="217" t="str">
        <f>IFERROR(__xludf.DUMMYFUNCTION("""COMPUTED_VALUE"""),"")</f>
        <v/>
      </c>
      <c r="BT253" s="217" t="str">
        <f>IFERROR(__xludf.DUMMYFUNCTION("""COMPUTED_VALUE"""),"")</f>
        <v/>
      </c>
      <c r="BU253" s="218" t="str">
        <f>IFERROR(__xludf.DUMMYFUNCTION("""COMPUTED_VALUE"""),"")</f>
        <v/>
      </c>
      <c r="BV253" s="217" t="str">
        <f>IFERROR(__xludf.DUMMYFUNCTION("""COMPUTED_VALUE"""),"")</f>
        <v/>
      </c>
      <c r="BW253" s="217" t="str">
        <f>IFERROR(__xludf.DUMMYFUNCTION("""COMPUTED_VALUE"""),"")</f>
        <v/>
      </c>
      <c r="BX253" s="218" t="str">
        <f>IFERROR(__xludf.DUMMYFUNCTION("""COMPUTED_VALUE"""),"")</f>
        <v/>
      </c>
      <c r="BY253" s="217" t="str">
        <f>IFERROR(__xludf.DUMMYFUNCTION("""COMPUTED_VALUE"""),"")</f>
        <v/>
      </c>
      <c r="BZ253" s="217" t="str">
        <f>IFERROR(__xludf.DUMMYFUNCTION("""COMPUTED_VALUE"""),"")</f>
        <v/>
      </c>
      <c r="CA253" s="218" t="str">
        <f>IFERROR(__xludf.DUMMYFUNCTION("""COMPUTED_VALUE"""),"")</f>
        <v/>
      </c>
      <c r="CB253" s="216" t="str">
        <f>IFERROR(__xludf.DUMMYFUNCTION("""COMPUTED_VALUE"""),"")</f>
        <v/>
      </c>
      <c r="CC253" s="217" t="str">
        <f>IFERROR(__xludf.DUMMYFUNCTION("""COMPUTED_VALUE"""),"")</f>
        <v/>
      </c>
      <c r="CD253" s="218" t="str">
        <f>IFERROR(__xludf.DUMMYFUNCTION("""COMPUTED_VALUE"""),"")</f>
        <v/>
      </c>
      <c r="CE253" s="217" t="str">
        <f>IFERROR(__xludf.DUMMYFUNCTION("""COMPUTED_VALUE"""),"")</f>
        <v/>
      </c>
      <c r="CF253" s="217" t="str">
        <f>IFERROR(__xludf.DUMMYFUNCTION("""COMPUTED_VALUE"""),"")</f>
        <v/>
      </c>
      <c r="CG253" s="218" t="str">
        <f>IFERROR(__xludf.DUMMYFUNCTION("""COMPUTED_VALUE"""),"")</f>
        <v/>
      </c>
      <c r="CH253" s="217" t="str">
        <f>IFERROR(__xludf.DUMMYFUNCTION("""COMPUTED_VALUE"""),"")</f>
        <v/>
      </c>
      <c r="CI253" s="217" t="str">
        <f>IFERROR(__xludf.DUMMYFUNCTION("""COMPUTED_VALUE"""),"")</f>
        <v/>
      </c>
      <c r="CJ253" s="218" t="str">
        <f>IFERROR(__xludf.DUMMYFUNCTION("""COMPUTED_VALUE"""),"")</f>
        <v/>
      </c>
      <c r="CK253" s="217" t="str">
        <f>IFERROR(__xludf.DUMMYFUNCTION("""COMPUTED_VALUE"""),"")</f>
        <v/>
      </c>
      <c r="CL253" s="217">
        <f>IFERROR(__xludf.DUMMYFUNCTION("""COMPUTED_VALUE"""),89.1)</f>
        <v>89.1</v>
      </c>
      <c r="CM253" s="218" t="str">
        <f>IFERROR(__xludf.DUMMYFUNCTION("""COMPUTED_VALUE"""),"")</f>
        <v/>
      </c>
      <c r="CN253" s="217" t="str">
        <f>IFERROR(__xludf.DUMMYFUNCTION("""COMPUTED_VALUE"""),"")</f>
        <v/>
      </c>
      <c r="CO253" s="217" t="str">
        <f>IFERROR(__xludf.DUMMYFUNCTION("""COMPUTED_VALUE"""),"")</f>
        <v/>
      </c>
      <c r="CP253" s="218" t="str">
        <f>IFERROR(__xludf.DUMMYFUNCTION("""COMPUTED_VALUE"""),"")</f>
        <v/>
      </c>
      <c r="CQ253" s="219" t="str">
        <f>IFERROR(__xludf.DUMMYFUNCTION("""COMPUTED_VALUE"""),"")</f>
        <v/>
      </c>
      <c r="CR253" s="219">
        <f>IFERROR(__xludf.DUMMYFUNCTION("""COMPUTED_VALUE"""),397.4)</f>
        <v>397.4</v>
      </c>
      <c r="CS253" s="220"/>
      <c r="CT253" s="219"/>
      <c r="CU253" s="219"/>
      <c r="CV253" s="220"/>
      <c r="CW253" s="219"/>
      <c r="CX253" s="219"/>
      <c r="CY253" s="220"/>
      <c r="CZ253" s="219"/>
      <c r="DA253" s="219"/>
      <c r="DB253" s="220"/>
      <c r="DC253" s="219"/>
      <c r="DD253" s="219"/>
      <c r="DE253" s="220"/>
      <c r="DF253" s="219"/>
      <c r="DG253" s="219"/>
      <c r="DH253" s="220"/>
      <c r="DI253" s="219"/>
      <c r="DJ253" s="219"/>
      <c r="DK253" s="220"/>
      <c r="DL253" s="219"/>
      <c r="DM253" s="219"/>
      <c r="DN253" s="220"/>
      <c r="DO253" s="219"/>
      <c r="DP253" s="219"/>
      <c r="DQ253" s="220"/>
      <c r="DR253" s="219"/>
      <c r="DS253" s="219"/>
      <c r="DT253" s="220"/>
    </row>
    <row r="254">
      <c r="B254" s="180" t="str">
        <f>IFERROR(__xludf.DUMMYFUNCTION("""COMPUTED_VALUE"""),"HEA6")</f>
        <v>HEA6</v>
      </c>
      <c r="C254">
        <f>IFERROR(__xludf.DUMMYFUNCTION("""COMPUTED_VALUE"""),255.0)</f>
        <v>255</v>
      </c>
      <c r="D254" s="88" t="str">
        <f>IFERROR(__xludf.DUMMYFUNCTION("""COMPUTED_VALUE"""),"Heian Imperial Palace")</f>
        <v>Heian Imperial Palace</v>
      </c>
      <c r="E254" s="215" t="str">
        <f>IFERROR(__xludf.DUMMYFUNCTION("""COMPUTED_VALUE"""),"平安宮")</f>
        <v>平安宮</v>
      </c>
      <c r="F254" s="179">
        <f>IFERROR(__xludf.DUMMYFUNCTION("""COMPUTED_VALUE"""),21.0)</f>
        <v>21</v>
      </c>
      <c r="G254" s="83">
        <f>IFERROR(__xludf.DUMMYFUNCTION("""COMPUTED_VALUE"""),4753.0)</f>
        <v>4753</v>
      </c>
      <c r="H254" s="95" t="str">
        <f>IFERROR(__xludf.DUMMYFUNCTION("""COMPUTED_VALUE"""),"")</f>
        <v/>
      </c>
      <c r="I254" s="96" t="str">
        <f>IFERROR(__xludf.DUMMYFUNCTION("""COMPUTED_VALUE"""),"")</f>
        <v/>
      </c>
      <c r="J254" s="97" t="str">
        <f>IFERROR(__xludf.DUMMYFUNCTION("""COMPUTED_VALUE"""),"")</f>
        <v/>
      </c>
      <c r="K254" s="95" t="str">
        <f>IFERROR(__xludf.DUMMYFUNCTION("""COMPUTED_VALUE"""),"")</f>
        <v/>
      </c>
      <c r="L254" s="96" t="str">
        <f>IFERROR(__xludf.DUMMYFUNCTION("""COMPUTED_VALUE"""),"")</f>
        <v/>
      </c>
      <c r="M254" s="97" t="str">
        <f>IFERROR(__xludf.DUMMYFUNCTION("""COMPUTED_VALUE"""),"")</f>
        <v/>
      </c>
      <c r="N254" s="95" t="str">
        <f>IFERROR(__xludf.DUMMYFUNCTION("""COMPUTED_VALUE"""),"")</f>
        <v/>
      </c>
      <c r="O254" s="96" t="str">
        <f>IFERROR(__xludf.DUMMYFUNCTION("""COMPUTED_VALUE"""),"")</f>
        <v/>
      </c>
      <c r="P254" s="97" t="str">
        <f>IFERROR(__xludf.DUMMYFUNCTION("""COMPUTED_VALUE"""),"")</f>
        <v/>
      </c>
      <c r="Q254" s="95" t="str">
        <f>IFERROR(__xludf.DUMMYFUNCTION("""COMPUTED_VALUE"""),"")</f>
        <v/>
      </c>
      <c r="R254" s="96" t="str">
        <f>IFERROR(__xludf.DUMMYFUNCTION("""COMPUTED_VALUE"""),"")</f>
        <v/>
      </c>
      <c r="S254" s="97" t="str">
        <f>IFERROR(__xludf.DUMMYFUNCTION("""COMPUTED_VALUE"""),"")</f>
        <v/>
      </c>
      <c r="T254" s="95" t="str">
        <f>IFERROR(__xludf.DUMMYFUNCTION("""COMPUTED_VALUE"""),"")</f>
        <v/>
      </c>
      <c r="U254" s="96">
        <f>IFERROR(__xludf.DUMMYFUNCTION("""COMPUTED_VALUE"""),186.6)</f>
        <v>186.6</v>
      </c>
      <c r="V254" s="97" t="str">
        <f>IFERROR(__xludf.DUMMYFUNCTION("""COMPUTED_VALUE"""),"")</f>
        <v/>
      </c>
      <c r="W254" s="95" t="str">
        <f>IFERROR(__xludf.DUMMYFUNCTION("""COMPUTED_VALUE"""),"")</f>
        <v/>
      </c>
      <c r="X254" s="96" t="str">
        <f>IFERROR(__xludf.DUMMYFUNCTION("""COMPUTED_VALUE"""),"")</f>
        <v/>
      </c>
      <c r="Y254" s="97" t="str">
        <f>IFERROR(__xludf.DUMMYFUNCTION("""COMPUTED_VALUE"""),"")</f>
        <v/>
      </c>
      <c r="Z254" s="95" t="str">
        <f>IFERROR(__xludf.DUMMYFUNCTION("""COMPUTED_VALUE"""),"")</f>
        <v/>
      </c>
      <c r="AA254" s="96" t="str">
        <f>IFERROR(__xludf.DUMMYFUNCTION("""COMPUTED_VALUE"""),"")</f>
        <v/>
      </c>
      <c r="AB254" s="97" t="str">
        <f>IFERROR(__xludf.DUMMYFUNCTION("""COMPUTED_VALUE"""),"")</f>
        <v/>
      </c>
      <c r="AC254" s="95" t="str">
        <f>IFERROR(__xludf.DUMMYFUNCTION("""COMPUTED_VALUE"""),"")</f>
        <v/>
      </c>
      <c r="AD254" s="96" t="str">
        <f>IFERROR(__xludf.DUMMYFUNCTION("""COMPUTED_VALUE"""),"")</f>
        <v/>
      </c>
      <c r="AE254" s="97" t="str">
        <f>IFERROR(__xludf.DUMMYFUNCTION("""COMPUTED_VALUE"""),"")</f>
        <v/>
      </c>
      <c r="AF254" s="95" t="str">
        <f>IFERROR(__xludf.DUMMYFUNCTION("""COMPUTED_VALUE"""),"")</f>
        <v/>
      </c>
      <c r="AG254" s="96" t="str">
        <f>IFERROR(__xludf.DUMMYFUNCTION("""COMPUTED_VALUE"""),"")</f>
        <v/>
      </c>
      <c r="AH254" s="97" t="str">
        <f>IFERROR(__xludf.DUMMYFUNCTION("""COMPUTED_VALUE"""),"")</f>
        <v/>
      </c>
      <c r="AI254" s="216" t="str">
        <f>IFERROR(__xludf.DUMMYFUNCTION("""COMPUTED_VALUE"""),"")</f>
        <v/>
      </c>
      <c r="AJ254" s="217" t="str">
        <f>IFERROR(__xludf.DUMMYFUNCTION("""COMPUTED_VALUE"""),"")</f>
        <v/>
      </c>
      <c r="AK254" s="218">
        <f>IFERROR(__xludf.DUMMYFUNCTION("""COMPUTED_VALUE"""),85.9)</f>
        <v>85.9</v>
      </c>
      <c r="AL254" s="217" t="str">
        <f>IFERROR(__xludf.DUMMYFUNCTION("""COMPUTED_VALUE"""),"")</f>
        <v/>
      </c>
      <c r="AM254" s="217" t="str">
        <f>IFERROR(__xludf.DUMMYFUNCTION("""COMPUTED_VALUE"""),"")</f>
        <v/>
      </c>
      <c r="AN254" s="218" t="str">
        <f>IFERROR(__xludf.DUMMYFUNCTION("""COMPUTED_VALUE"""),"")</f>
        <v/>
      </c>
      <c r="AO254" s="217" t="str">
        <f>IFERROR(__xludf.DUMMYFUNCTION("""COMPUTED_VALUE"""),"")</f>
        <v/>
      </c>
      <c r="AP254" s="217" t="str">
        <f>IFERROR(__xludf.DUMMYFUNCTION("""COMPUTED_VALUE"""),"")</f>
        <v/>
      </c>
      <c r="AQ254" s="218" t="str">
        <f>IFERROR(__xludf.DUMMYFUNCTION("""COMPUTED_VALUE"""),"")</f>
        <v/>
      </c>
      <c r="AR254" s="217" t="str">
        <f>IFERROR(__xludf.DUMMYFUNCTION("""COMPUTED_VALUE"""),"")</f>
        <v/>
      </c>
      <c r="AS254" s="217" t="str">
        <f>IFERROR(__xludf.DUMMYFUNCTION("""COMPUTED_VALUE"""),"")</f>
        <v/>
      </c>
      <c r="AT254" s="218" t="str">
        <f>IFERROR(__xludf.DUMMYFUNCTION("""COMPUTED_VALUE"""),"")</f>
        <v/>
      </c>
      <c r="AU254" s="217" t="str">
        <f>IFERROR(__xludf.DUMMYFUNCTION("""COMPUTED_VALUE"""),"")</f>
        <v/>
      </c>
      <c r="AV254" s="217" t="str">
        <f>IFERROR(__xludf.DUMMYFUNCTION("""COMPUTED_VALUE"""),"")</f>
        <v/>
      </c>
      <c r="AW254" s="218" t="str">
        <f>IFERROR(__xludf.DUMMYFUNCTION("""COMPUTED_VALUE"""),"")</f>
        <v/>
      </c>
      <c r="AX254" s="217" t="str">
        <f>IFERROR(__xludf.DUMMYFUNCTION("""COMPUTED_VALUE"""),"")</f>
        <v/>
      </c>
      <c r="AY254" s="217" t="str">
        <f>IFERROR(__xludf.DUMMYFUNCTION("""COMPUTED_VALUE"""),"")</f>
        <v/>
      </c>
      <c r="AZ254" s="218" t="str">
        <f>IFERROR(__xludf.DUMMYFUNCTION("""COMPUTED_VALUE"""),"")</f>
        <v/>
      </c>
      <c r="BA254" s="217" t="str">
        <f>IFERROR(__xludf.DUMMYFUNCTION("""COMPUTED_VALUE"""),"")</f>
        <v/>
      </c>
      <c r="BB254" s="217" t="str">
        <f>IFERROR(__xludf.DUMMYFUNCTION("""COMPUTED_VALUE"""),"")</f>
        <v/>
      </c>
      <c r="BC254" s="218" t="str">
        <f>IFERROR(__xludf.DUMMYFUNCTION("""COMPUTED_VALUE"""),"")</f>
        <v/>
      </c>
      <c r="BD254" s="217" t="str">
        <f>IFERROR(__xludf.DUMMYFUNCTION("""COMPUTED_VALUE"""),"")</f>
        <v/>
      </c>
      <c r="BE254" s="217" t="str">
        <f>IFERROR(__xludf.DUMMYFUNCTION("""COMPUTED_VALUE"""),"")</f>
        <v/>
      </c>
      <c r="BF254" s="218" t="str">
        <f>IFERROR(__xludf.DUMMYFUNCTION("""COMPUTED_VALUE"""),"")</f>
        <v/>
      </c>
      <c r="BG254" s="216" t="str">
        <f>IFERROR(__xludf.DUMMYFUNCTION("""COMPUTED_VALUE"""),"")</f>
        <v/>
      </c>
      <c r="BH254" s="217">
        <f>IFERROR(__xludf.DUMMYFUNCTION("""COMPUTED_VALUE"""),603.1)</f>
        <v>603.1</v>
      </c>
      <c r="BI254" s="218" t="str">
        <f>IFERROR(__xludf.DUMMYFUNCTION("""COMPUTED_VALUE"""),"")</f>
        <v/>
      </c>
      <c r="BJ254" s="217">
        <f>IFERROR(__xludf.DUMMYFUNCTION("""COMPUTED_VALUE"""),53.7)</f>
        <v>53.7</v>
      </c>
      <c r="BK254" s="217" t="str">
        <f>IFERROR(__xludf.DUMMYFUNCTION("""COMPUTED_VALUE"""),"")</f>
        <v/>
      </c>
      <c r="BL254" s="218" t="str">
        <f>IFERROR(__xludf.DUMMYFUNCTION("""COMPUTED_VALUE"""),"")</f>
        <v/>
      </c>
      <c r="BM254" s="217" t="str">
        <f>IFERROR(__xludf.DUMMYFUNCTION("""COMPUTED_VALUE"""),"")</f>
        <v/>
      </c>
      <c r="BN254" s="217" t="str">
        <f>IFERROR(__xludf.DUMMYFUNCTION("""COMPUTED_VALUE"""),"")</f>
        <v/>
      </c>
      <c r="BO254" s="218" t="str">
        <f>IFERROR(__xludf.DUMMYFUNCTION("""COMPUTED_VALUE"""),"")</f>
        <v/>
      </c>
      <c r="BP254" s="217" t="str">
        <f>IFERROR(__xludf.DUMMYFUNCTION("""COMPUTED_VALUE"""),"")</f>
        <v/>
      </c>
      <c r="BQ254" s="217" t="str">
        <f>IFERROR(__xludf.DUMMYFUNCTION("""COMPUTED_VALUE"""),"")</f>
        <v/>
      </c>
      <c r="BR254" s="218" t="str">
        <f>IFERROR(__xludf.DUMMYFUNCTION("""COMPUTED_VALUE"""),"")</f>
        <v/>
      </c>
      <c r="BS254" s="217" t="str">
        <f>IFERROR(__xludf.DUMMYFUNCTION("""COMPUTED_VALUE"""),"")</f>
        <v/>
      </c>
      <c r="BT254" s="217" t="str">
        <f>IFERROR(__xludf.DUMMYFUNCTION("""COMPUTED_VALUE"""),"")</f>
        <v/>
      </c>
      <c r="BU254" s="218" t="str">
        <f>IFERROR(__xludf.DUMMYFUNCTION("""COMPUTED_VALUE"""),"")</f>
        <v/>
      </c>
      <c r="BV254" s="217" t="str">
        <f>IFERROR(__xludf.DUMMYFUNCTION("""COMPUTED_VALUE"""),"")</f>
        <v/>
      </c>
      <c r="BW254" s="217" t="str">
        <f>IFERROR(__xludf.DUMMYFUNCTION("""COMPUTED_VALUE"""),"")</f>
        <v/>
      </c>
      <c r="BX254" s="218" t="str">
        <f>IFERROR(__xludf.DUMMYFUNCTION("""COMPUTED_VALUE"""),"")</f>
        <v/>
      </c>
      <c r="BY254" s="217" t="str">
        <f>IFERROR(__xludf.DUMMYFUNCTION("""COMPUTED_VALUE"""),"")</f>
        <v/>
      </c>
      <c r="BZ254" s="217" t="str">
        <f>IFERROR(__xludf.DUMMYFUNCTION("""COMPUTED_VALUE"""),"")</f>
        <v/>
      </c>
      <c r="CA254" s="218" t="str">
        <f>IFERROR(__xludf.DUMMYFUNCTION("""COMPUTED_VALUE"""),"")</f>
        <v/>
      </c>
      <c r="CB254" s="216" t="str">
        <f>IFERROR(__xludf.DUMMYFUNCTION("""COMPUTED_VALUE"""),"")</f>
        <v/>
      </c>
      <c r="CC254" s="217" t="str">
        <f>IFERROR(__xludf.DUMMYFUNCTION("""COMPUTED_VALUE"""),"")</f>
        <v/>
      </c>
      <c r="CD254" s="218" t="str">
        <f>IFERROR(__xludf.DUMMYFUNCTION("""COMPUTED_VALUE"""),"")</f>
        <v/>
      </c>
      <c r="CE254" s="217" t="str">
        <f>IFERROR(__xludf.DUMMYFUNCTION("""COMPUTED_VALUE"""),"")</f>
        <v/>
      </c>
      <c r="CF254" s="217" t="str">
        <f>IFERROR(__xludf.DUMMYFUNCTION("""COMPUTED_VALUE"""),"")</f>
        <v/>
      </c>
      <c r="CG254" s="218" t="str">
        <f>IFERROR(__xludf.DUMMYFUNCTION("""COMPUTED_VALUE"""),"")</f>
        <v/>
      </c>
      <c r="CH254" s="217" t="str">
        <f>IFERROR(__xludf.DUMMYFUNCTION("""COMPUTED_VALUE"""),"")</f>
        <v/>
      </c>
      <c r="CI254" s="217" t="str">
        <f>IFERROR(__xludf.DUMMYFUNCTION("""COMPUTED_VALUE"""),"")</f>
        <v/>
      </c>
      <c r="CJ254" s="218" t="str">
        <f>IFERROR(__xludf.DUMMYFUNCTION("""COMPUTED_VALUE"""),"")</f>
        <v/>
      </c>
      <c r="CK254" s="217" t="str">
        <f>IFERROR(__xludf.DUMMYFUNCTION("""COMPUTED_VALUE"""),"")</f>
        <v/>
      </c>
      <c r="CL254" s="217">
        <f>IFERROR(__xludf.DUMMYFUNCTION("""COMPUTED_VALUE"""),118.3)</f>
        <v>118.3</v>
      </c>
      <c r="CM254" s="218" t="str">
        <f>IFERROR(__xludf.DUMMYFUNCTION("""COMPUTED_VALUE"""),"")</f>
        <v/>
      </c>
      <c r="CN254" s="217" t="str">
        <f>IFERROR(__xludf.DUMMYFUNCTION("""COMPUTED_VALUE"""),"")</f>
        <v/>
      </c>
      <c r="CO254" s="217" t="str">
        <f>IFERROR(__xludf.DUMMYFUNCTION("""COMPUTED_VALUE"""),"")</f>
        <v/>
      </c>
      <c r="CP254" s="218" t="str">
        <f>IFERROR(__xludf.DUMMYFUNCTION("""COMPUTED_VALUE"""),"")</f>
        <v/>
      </c>
      <c r="CQ254" s="219">
        <f>IFERROR(__xludf.DUMMYFUNCTION("""COMPUTED_VALUE"""),616.1)</f>
        <v>616.1</v>
      </c>
      <c r="CR254" s="219" t="str">
        <f>IFERROR(__xludf.DUMMYFUNCTION("""COMPUTED_VALUE"""),"")</f>
        <v/>
      </c>
      <c r="CS254" s="220"/>
      <c r="CT254" s="219"/>
      <c r="CU254" s="219"/>
      <c r="CV254" s="220"/>
      <c r="CW254" s="219"/>
      <c r="CX254" s="219"/>
      <c r="CY254" s="220"/>
      <c r="CZ254" s="219"/>
      <c r="DA254" s="219"/>
      <c r="DB254" s="220"/>
      <c r="DC254" s="219"/>
      <c r="DD254" s="219"/>
      <c r="DE254" s="220"/>
      <c r="DF254" s="219"/>
      <c r="DG254" s="219"/>
      <c r="DH254" s="220"/>
      <c r="DI254" s="219"/>
      <c r="DJ254" s="219"/>
      <c r="DK254" s="220"/>
      <c r="DL254" s="219"/>
      <c r="DM254" s="219"/>
      <c r="DN254" s="220"/>
      <c r="DO254" s="219"/>
      <c r="DP254" s="219"/>
      <c r="DQ254" s="220"/>
      <c r="DR254" s="219"/>
      <c r="DS254" s="219"/>
      <c r="DT254" s="220"/>
    </row>
    <row r="255">
      <c r="B255" s="180" t="str">
        <f>IFERROR(__xludf.DUMMYFUNCTION("""COMPUTED_VALUE"""),"HEA7")</f>
        <v>HEA7</v>
      </c>
      <c r="C255">
        <f>IFERROR(__xludf.DUMMYFUNCTION("""COMPUTED_VALUE"""),256.0)</f>
        <v>256</v>
      </c>
      <c r="D255" s="88" t="str">
        <f>IFERROR(__xludf.DUMMYFUNCTION("""COMPUTED_VALUE"""),"Suzaku Main Street")</f>
        <v>Suzaku Main Street</v>
      </c>
      <c r="E255" s="215" t="str">
        <f>IFERROR(__xludf.DUMMYFUNCTION("""COMPUTED_VALUE"""),"朱雀大路")</f>
        <v>朱雀大路</v>
      </c>
      <c r="F255" s="179">
        <f>IFERROR(__xludf.DUMMYFUNCTION("""COMPUTED_VALUE"""),21.0)</f>
        <v>21</v>
      </c>
      <c r="G255" s="83">
        <f>IFERROR(__xludf.DUMMYFUNCTION("""COMPUTED_VALUE"""),1655.0)</f>
        <v>1655</v>
      </c>
      <c r="H255" s="95" t="str">
        <f>IFERROR(__xludf.DUMMYFUNCTION("""COMPUTED_VALUE"""),"")</f>
        <v/>
      </c>
      <c r="I255" s="96" t="str">
        <f>IFERROR(__xludf.DUMMYFUNCTION("""COMPUTED_VALUE"""),"")</f>
        <v/>
      </c>
      <c r="J255" s="97" t="str">
        <f>IFERROR(__xludf.DUMMYFUNCTION("""COMPUTED_VALUE"""),"")</f>
        <v/>
      </c>
      <c r="K255" s="95" t="str">
        <f>IFERROR(__xludf.DUMMYFUNCTION("""COMPUTED_VALUE"""),"")</f>
        <v/>
      </c>
      <c r="L255" s="96" t="str">
        <f>IFERROR(__xludf.DUMMYFUNCTION("""COMPUTED_VALUE"""),"")</f>
        <v/>
      </c>
      <c r="M255" s="97" t="str">
        <f>IFERROR(__xludf.DUMMYFUNCTION("""COMPUTED_VALUE"""),"")</f>
        <v/>
      </c>
      <c r="N255" s="95" t="str">
        <f>IFERROR(__xludf.DUMMYFUNCTION("""COMPUTED_VALUE"""),"")</f>
        <v/>
      </c>
      <c r="O255" s="96" t="str">
        <f>IFERROR(__xludf.DUMMYFUNCTION("""COMPUTED_VALUE"""),"")</f>
        <v/>
      </c>
      <c r="P255" s="97" t="str">
        <f>IFERROR(__xludf.DUMMYFUNCTION("""COMPUTED_VALUE"""),"")</f>
        <v/>
      </c>
      <c r="Q255" s="95" t="str">
        <f>IFERROR(__xludf.DUMMYFUNCTION("""COMPUTED_VALUE"""),"")</f>
        <v/>
      </c>
      <c r="R255" s="96" t="str">
        <f>IFERROR(__xludf.DUMMYFUNCTION("""COMPUTED_VALUE"""),"")</f>
        <v/>
      </c>
      <c r="S255" s="97" t="str">
        <f>IFERROR(__xludf.DUMMYFUNCTION("""COMPUTED_VALUE"""),"")</f>
        <v/>
      </c>
      <c r="T255" s="95" t="str">
        <f>IFERROR(__xludf.DUMMYFUNCTION("""COMPUTED_VALUE"""),"")</f>
        <v/>
      </c>
      <c r="U255" s="96" t="str">
        <f>IFERROR(__xludf.DUMMYFUNCTION("""COMPUTED_VALUE"""),"")</f>
        <v/>
      </c>
      <c r="V255" s="97" t="str">
        <f>IFERROR(__xludf.DUMMYFUNCTION("""COMPUTED_VALUE"""),"")</f>
        <v/>
      </c>
      <c r="W255" s="95" t="str">
        <f>IFERROR(__xludf.DUMMYFUNCTION("""COMPUTED_VALUE"""),"")</f>
        <v/>
      </c>
      <c r="X255" s="96" t="str">
        <f>IFERROR(__xludf.DUMMYFUNCTION("""COMPUTED_VALUE"""),"")</f>
        <v/>
      </c>
      <c r="Y255" s="97" t="str">
        <f>IFERROR(__xludf.DUMMYFUNCTION("""COMPUTED_VALUE"""),"")</f>
        <v/>
      </c>
      <c r="Z255" s="95" t="str">
        <f>IFERROR(__xludf.DUMMYFUNCTION("""COMPUTED_VALUE"""),"")</f>
        <v/>
      </c>
      <c r="AA255" s="96">
        <f>IFERROR(__xludf.DUMMYFUNCTION("""COMPUTED_VALUE"""),80.0)</f>
        <v>80</v>
      </c>
      <c r="AB255" s="97" t="str">
        <f>IFERROR(__xludf.DUMMYFUNCTION("""COMPUTED_VALUE"""),"")</f>
        <v/>
      </c>
      <c r="AC255" s="95" t="str">
        <f>IFERROR(__xludf.DUMMYFUNCTION("""COMPUTED_VALUE"""),"")</f>
        <v/>
      </c>
      <c r="AD255" s="96" t="str">
        <f>IFERROR(__xludf.DUMMYFUNCTION("""COMPUTED_VALUE"""),"")</f>
        <v/>
      </c>
      <c r="AE255" s="97" t="str">
        <f>IFERROR(__xludf.DUMMYFUNCTION("""COMPUTED_VALUE"""),"")</f>
        <v/>
      </c>
      <c r="AF255" s="95" t="str">
        <f>IFERROR(__xludf.DUMMYFUNCTION("""COMPUTED_VALUE"""),"")</f>
        <v/>
      </c>
      <c r="AG255" s="96" t="str">
        <f>IFERROR(__xludf.DUMMYFUNCTION("""COMPUTED_VALUE"""),"")</f>
        <v/>
      </c>
      <c r="AH255" s="97" t="str">
        <f>IFERROR(__xludf.DUMMYFUNCTION("""COMPUTED_VALUE"""),"")</f>
        <v/>
      </c>
      <c r="AI255" s="216" t="str">
        <f>IFERROR(__xludf.DUMMYFUNCTION("""COMPUTED_VALUE"""),"")</f>
        <v/>
      </c>
      <c r="AJ255" s="217" t="str">
        <f>IFERROR(__xludf.DUMMYFUNCTION("""COMPUTED_VALUE"""),"")</f>
        <v/>
      </c>
      <c r="AK255" s="218" t="str">
        <f>IFERROR(__xludf.DUMMYFUNCTION("""COMPUTED_VALUE"""),"")</f>
        <v/>
      </c>
      <c r="AL255" s="217" t="str">
        <f>IFERROR(__xludf.DUMMYFUNCTION("""COMPUTED_VALUE"""),"")</f>
        <v/>
      </c>
      <c r="AM255" s="217" t="str">
        <f>IFERROR(__xludf.DUMMYFUNCTION("""COMPUTED_VALUE"""),"")</f>
        <v/>
      </c>
      <c r="AN255" s="218" t="str">
        <f>IFERROR(__xludf.DUMMYFUNCTION("""COMPUTED_VALUE"""),"")</f>
        <v/>
      </c>
      <c r="AO255" s="217" t="str">
        <f>IFERROR(__xludf.DUMMYFUNCTION("""COMPUTED_VALUE"""),"")</f>
        <v/>
      </c>
      <c r="AP255" s="217" t="str">
        <f>IFERROR(__xludf.DUMMYFUNCTION("""COMPUTED_VALUE"""),"")</f>
        <v/>
      </c>
      <c r="AQ255" s="218" t="str">
        <f>IFERROR(__xludf.DUMMYFUNCTION("""COMPUTED_VALUE"""),"")</f>
        <v/>
      </c>
      <c r="AR255" s="217" t="str">
        <f>IFERROR(__xludf.DUMMYFUNCTION("""COMPUTED_VALUE"""),"")</f>
        <v/>
      </c>
      <c r="AS255" s="217">
        <f>IFERROR(__xludf.DUMMYFUNCTION("""COMPUTED_VALUE"""),81.6)</f>
        <v>81.6</v>
      </c>
      <c r="AT255" s="218" t="str">
        <f>IFERROR(__xludf.DUMMYFUNCTION("""COMPUTED_VALUE"""),"")</f>
        <v/>
      </c>
      <c r="AU255" s="217" t="str">
        <f>IFERROR(__xludf.DUMMYFUNCTION("""COMPUTED_VALUE"""),"")</f>
        <v/>
      </c>
      <c r="AV255" s="217" t="str">
        <f>IFERROR(__xludf.DUMMYFUNCTION("""COMPUTED_VALUE"""),"")</f>
        <v/>
      </c>
      <c r="AW255" s="218" t="str">
        <f>IFERROR(__xludf.DUMMYFUNCTION("""COMPUTED_VALUE"""),"")</f>
        <v/>
      </c>
      <c r="AX255" s="217" t="str">
        <f>IFERROR(__xludf.DUMMYFUNCTION("""COMPUTED_VALUE"""),"")</f>
        <v/>
      </c>
      <c r="AY255" s="217" t="str">
        <f>IFERROR(__xludf.DUMMYFUNCTION("""COMPUTED_VALUE"""),"")</f>
        <v/>
      </c>
      <c r="AZ255" s="218" t="str">
        <f>IFERROR(__xludf.DUMMYFUNCTION("""COMPUTED_VALUE"""),"")</f>
        <v/>
      </c>
      <c r="BA255" s="217" t="str">
        <f>IFERROR(__xludf.DUMMYFUNCTION("""COMPUTED_VALUE"""),"")</f>
        <v/>
      </c>
      <c r="BB255" s="217" t="str">
        <f>IFERROR(__xludf.DUMMYFUNCTION("""COMPUTED_VALUE"""),"")</f>
        <v/>
      </c>
      <c r="BC255" s="218" t="str">
        <f>IFERROR(__xludf.DUMMYFUNCTION("""COMPUTED_VALUE"""),"")</f>
        <v/>
      </c>
      <c r="BD255" s="217" t="str">
        <f>IFERROR(__xludf.DUMMYFUNCTION("""COMPUTED_VALUE"""),"")</f>
        <v/>
      </c>
      <c r="BE255" s="217" t="str">
        <f>IFERROR(__xludf.DUMMYFUNCTION("""COMPUTED_VALUE"""),"")</f>
        <v/>
      </c>
      <c r="BF255" s="218" t="str">
        <f>IFERROR(__xludf.DUMMYFUNCTION("""COMPUTED_VALUE"""),"")</f>
        <v/>
      </c>
      <c r="BG255" s="216" t="str">
        <f>IFERROR(__xludf.DUMMYFUNCTION("""COMPUTED_VALUE"""),"")</f>
        <v/>
      </c>
      <c r="BH255" s="217" t="str">
        <f>IFERROR(__xludf.DUMMYFUNCTION("""COMPUTED_VALUE"""),"")</f>
        <v/>
      </c>
      <c r="BI255" s="218" t="str">
        <f>IFERROR(__xludf.DUMMYFUNCTION("""COMPUTED_VALUE"""),"")</f>
        <v/>
      </c>
      <c r="BJ255" s="217" t="str">
        <f>IFERROR(__xludf.DUMMYFUNCTION("""COMPUTED_VALUE"""),"")</f>
        <v/>
      </c>
      <c r="BK255" s="217" t="str">
        <f>IFERROR(__xludf.DUMMYFUNCTION("""COMPUTED_VALUE"""),"")</f>
        <v/>
      </c>
      <c r="BL255" s="218">
        <f>IFERROR(__xludf.DUMMYFUNCTION("""COMPUTED_VALUE"""),112.5)</f>
        <v>112.5</v>
      </c>
      <c r="BM255" s="217" t="str">
        <f>IFERROR(__xludf.DUMMYFUNCTION("""COMPUTED_VALUE"""),"")</f>
        <v/>
      </c>
      <c r="BN255" s="217" t="str">
        <f>IFERROR(__xludf.DUMMYFUNCTION("""COMPUTED_VALUE"""),"")</f>
        <v/>
      </c>
      <c r="BO255" s="218" t="str">
        <f>IFERROR(__xludf.DUMMYFUNCTION("""COMPUTED_VALUE"""),"")</f>
        <v/>
      </c>
      <c r="BP255" s="217" t="str">
        <f>IFERROR(__xludf.DUMMYFUNCTION("""COMPUTED_VALUE"""),"")</f>
        <v/>
      </c>
      <c r="BQ255" s="217" t="str">
        <f>IFERROR(__xludf.DUMMYFUNCTION("""COMPUTED_VALUE"""),"")</f>
        <v/>
      </c>
      <c r="BR255" s="218" t="str">
        <f>IFERROR(__xludf.DUMMYFUNCTION("""COMPUTED_VALUE"""),"")</f>
        <v/>
      </c>
      <c r="BS255" s="217" t="str">
        <f>IFERROR(__xludf.DUMMYFUNCTION("""COMPUTED_VALUE"""),"")</f>
        <v/>
      </c>
      <c r="BT255" s="217" t="str">
        <f>IFERROR(__xludf.DUMMYFUNCTION("""COMPUTED_VALUE"""),"")</f>
        <v/>
      </c>
      <c r="BU255" s="218" t="str">
        <f>IFERROR(__xludf.DUMMYFUNCTION("""COMPUTED_VALUE"""),"")</f>
        <v/>
      </c>
      <c r="BV255" s="217">
        <f>IFERROR(__xludf.DUMMYFUNCTION("""COMPUTED_VALUE"""),51.9)</f>
        <v>51.9</v>
      </c>
      <c r="BW255" s="217" t="str">
        <f>IFERROR(__xludf.DUMMYFUNCTION("""COMPUTED_VALUE"""),"")</f>
        <v/>
      </c>
      <c r="BX255" s="218" t="str">
        <f>IFERROR(__xludf.DUMMYFUNCTION("""COMPUTED_VALUE"""),"")</f>
        <v/>
      </c>
      <c r="BY255" s="217" t="str">
        <f>IFERROR(__xludf.DUMMYFUNCTION("""COMPUTED_VALUE"""),"")</f>
        <v/>
      </c>
      <c r="BZ255" s="217" t="str">
        <f>IFERROR(__xludf.DUMMYFUNCTION("""COMPUTED_VALUE"""),"")</f>
        <v/>
      </c>
      <c r="CA255" s="218" t="str">
        <f>IFERROR(__xludf.DUMMYFUNCTION("""COMPUTED_VALUE"""),"")</f>
        <v/>
      </c>
      <c r="CB255" s="216" t="str">
        <f>IFERROR(__xludf.DUMMYFUNCTION("""COMPUTED_VALUE"""),"")</f>
        <v/>
      </c>
      <c r="CC255" s="217" t="str">
        <f>IFERROR(__xludf.DUMMYFUNCTION("""COMPUTED_VALUE"""),"")</f>
        <v/>
      </c>
      <c r="CD255" s="218" t="str">
        <f>IFERROR(__xludf.DUMMYFUNCTION("""COMPUTED_VALUE"""),"")</f>
        <v/>
      </c>
      <c r="CE255" s="217" t="str">
        <f>IFERROR(__xludf.DUMMYFUNCTION("""COMPUTED_VALUE"""),"")</f>
        <v/>
      </c>
      <c r="CF255" s="217" t="str">
        <f>IFERROR(__xludf.DUMMYFUNCTION("""COMPUTED_VALUE"""),"")</f>
        <v/>
      </c>
      <c r="CG255" s="218" t="str">
        <f>IFERROR(__xludf.DUMMYFUNCTION("""COMPUTED_VALUE"""),"")</f>
        <v/>
      </c>
      <c r="CH255" s="217" t="str">
        <f>IFERROR(__xludf.DUMMYFUNCTION("""COMPUTED_VALUE"""),"")</f>
        <v/>
      </c>
      <c r="CI255" s="217" t="str">
        <f>IFERROR(__xludf.DUMMYFUNCTION("""COMPUTED_VALUE"""),"")</f>
        <v/>
      </c>
      <c r="CJ255" s="218" t="str">
        <f>IFERROR(__xludf.DUMMYFUNCTION("""COMPUTED_VALUE"""),"")</f>
        <v/>
      </c>
      <c r="CK255" s="217" t="str">
        <f>IFERROR(__xludf.DUMMYFUNCTION("""COMPUTED_VALUE"""),"")</f>
        <v/>
      </c>
      <c r="CL255" s="217" t="str">
        <f>IFERROR(__xludf.DUMMYFUNCTION("""COMPUTED_VALUE"""),"")</f>
        <v/>
      </c>
      <c r="CM255" s="218" t="str">
        <f>IFERROR(__xludf.DUMMYFUNCTION("""COMPUTED_VALUE"""),"")</f>
        <v/>
      </c>
      <c r="CN255" s="217" t="str">
        <f>IFERROR(__xludf.DUMMYFUNCTION("""COMPUTED_VALUE"""),"")</f>
        <v/>
      </c>
      <c r="CO255" s="217" t="str">
        <f>IFERROR(__xludf.DUMMYFUNCTION("""COMPUTED_VALUE"""),"")</f>
        <v/>
      </c>
      <c r="CP255" s="218" t="str">
        <f>IFERROR(__xludf.DUMMYFUNCTION("""COMPUTED_VALUE"""),"")</f>
        <v/>
      </c>
      <c r="CQ255" s="219" t="str">
        <f>IFERROR(__xludf.DUMMYFUNCTION("""COMPUTED_VALUE"""),"")</f>
        <v/>
      </c>
      <c r="CR255" s="219" t="str">
        <f>IFERROR(__xludf.DUMMYFUNCTION("""COMPUTED_VALUE"""),"")</f>
        <v/>
      </c>
      <c r="CS255" s="220"/>
      <c r="CT255" s="219"/>
      <c r="CU255" s="219"/>
      <c r="CV255" s="220"/>
      <c r="CW255" s="219"/>
      <c r="CX255" s="219"/>
      <c r="CY255" s="220"/>
      <c r="CZ255" s="219"/>
      <c r="DA255" s="219"/>
      <c r="DB255" s="220"/>
      <c r="DC255" s="219"/>
      <c r="DD255" s="219"/>
      <c r="DE255" s="220"/>
      <c r="DF255" s="219"/>
      <c r="DG255" s="219"/>
      <c r="DH255" s="220"/>
      <c r="DI255" s="219"/>
      <c r="DJ255" s="219"/>
      <c r="DK255" s="220"/>
      <c r="DL255" s="219"/>
      <c r="DM255" s="219"/>
      <c r="DN255" s="220"/>
      <c r="DO255" s="219"/>
      <c r="DP255" s="219"/>
      <c r="DQ255" s="220"/>
      <c r="DR255" s="219"/>
      <c r="DS255" s="219"/>
      <c r="DT255" s="220"/>
    </row>
    <row r="256">
      <c r="B256" s="180" t="str">
        <f>IFERROR(__xludf.DUMMYFUNCTION("""COMPUTED_VALUE"""),"HEA8")</f>
        <v>HEA8</v>
      </c>
      <c r="C256">
        <f>IFERROR(__xludf.DUMMYFUNCTION("""COMPUTED_VALUE"""),257.0)</f>
        <v>257</v>
      </c>
      <c r="D256" s="88" t="str">
        <f>IFERROR(__xludf.DUMMYFUNCTION("""COMPUTED_VALUE"""),"Inari Shrine")</f>
        <v>Inari Shrine</v>
      </c>
      <c r="E256" s="215" t="str">
        <f>IFERROR(__xludf.DUMMYFUNCTION("""COMPUTED_VALUE"""),"稲荷神社")</f>
        <v>稲荷神社</v>
      </c>
      <c r="F256" s="179">
        <f>IFERROR(__xludf.DUMMYFUNCTION("""COMPUTED_VALUE"""),21.0)</f>
        <v>21</v>
      </c>
      <c r="G256" s="83">
        <f>IFERROR(__xludf.DUMMYFUNCTION("""COMPUTED_VALUE"""),1003.0)</f>
        <v>1003</v>
      </c>
      <c r="H256" s="95" t="str">
        <f>IFERROR(__xludf.DUMMYFUNCTION("""COMPUTED_VALUE"""),"")</f>
        <v/>
      </c>
      <c r="I256" s="96" t="str">
        <f>IFERROR(__xludf.DUMMYFUNCTION("""COMPUTED_VALUE"""),"")</f>
        <v/>
      </c>
      <c r="J256" s="97" t="str">
        <f>IFERROR(__xludf.DUMMYFUNCTION("""COMPUTED_VALUE"""),"")</f>
        <v/>
      </c>
      <c r="K256" s="95" t="str">
        <f>IFERROR(__xludf.DUMMYFUNCTION("""COMPUTED_VALUE"""),"")</f>
        <v/>
      </c>
      <c r="L256" s="96" t="str">
        <f>IFERROR(__xludf.DUMMYFUNCTION("""COMPUTED_VALUE"""),"")</f>
        <v/>
      </c>
      <c r="M256" s="97" t="str">
        <f>IFERROR(__xludf.DUMMYFUNCTION("""COMPUTED_VALUE"""),"")</f>
        <v/>
      </c>
      <c r="N256" s="95" t="str">
        <f>IFERROR(__xludf.DUMMYFUNCTION("""COMPUTED_VALUE"""),"")</f>
        <v/>
      </c>
      <c r="O256" s="96" t="str">
        <f>IFERROR(__xludf.DUMMYFUNCTION("""COMPUTED_VALUE"""),"")</f>
        <v/>
      </c>
      <c r="P256" s="97" t="str">
        <f>IFERROR(__xludf.DUMMYFUNCTION("""COMPUTED_VALUE"""),"")</f>
        <v/>
      </c>
      <c r="Q256" s="95" t="str">
        <f>IFERROR(__xludf.DUMMYFUNCTION("""COMPUTED_VALUE"""),"")</f>
        <v/>
      </c>
      <c r="R256" s="96" t="str">
        <f>IFERROR(__xludf.DUMMYFUNCTION("""COMPUTED_VALUE"""),"")</f>
        <v/>
      </c>
      <c r="S256" s="97" t="str">
        <f>IFERROR(__xludf.DUMMYFUNCTION("""COMPUTED_VALUE"""),"")</f>
        <v/>
      </c>
      <c r="T256" s="95" t="str">
        <f>IFERROR(__xludf.DUMMYFUNCTION("""COMPUTED_VALUE"""),"")</f>
        <v/>
      </c>
      <c r="U256" s="96" t="str">
        <f>IFERROR(__xludf.DUMMYFUNCTION("""COMPUTED_VALUE"""),"")</f>
        <v/>
      </c>
      <c r="V256" s="97">
        <f>IFERROR(__xludf.DUMMYFUNCTION("""COMPUTED_VALUE"""),164.6)</f>
        <v>164.6</v>
      </c>
      <c r="W256" s="95" t="str">
        <f>IFERROR(__xludf.DUMMYFUNCTION("""COMPUTED_VALUE"""),"")</f>
        <v/>
      </c>
      <c r="X256" s="96" t="str">
        <f>IFERROR(__xludf.DUMMYFUNCTION("""COMPUTED_VALUE"""),"")</f>
        <v/>
      </c>
      <c r="Y256" s="97" t="str">
        <f>IFERROR(__xludf.DUMMYFUNCTION("""COMPUTED_VALUE"""),"")</f>
        <v/>
      </c>
      <c r="Z256" s="95" t="str">
        <f>IFERROR(__xludf.DUMMYFUNCTION("""COMPUTED_VALUE"""),"")</f>
        <v/>
      </c>
      <c r="AA256" s="96" t="str">
        <f>IFERROR(__xludf.DUMMYFUNCTION("""COMPUTED_VALUE"""),"")</f>
        <v/>
      </c>
      <c r="AB256" s="97" t="str">
        <f>IFERROR(__xludf.DUMMYFUNCTION("""COMPUTED_VALUE"""),"")</f>
        <v/>
      </c>
      <c r="AC256" s="95" t="str">
        <f>IFERROR(__xludf.DUMMYFUNCTION("""COMPUTED_VALUE"""),"")</f>
        <v/>
      </c>
      <c r="AD256" s="96" t="str">
        <f>IFERROR(__xludf.DUMMYFUNCTION("""COMPUTED_VALUE"""),"")</f>
        <v/>
      </c>
      <c r="AE256" s="97">
        <f>IFERROR(__xludf.DUMMYFUNCTION("""COMPUTED_VALUE"""),89.6)</f>
        <v>89.6</v>
      </c>
      <c r="AF256" s="95" t="str">
        <f>IFERROR(__xludf.DUMMYFUNCTION("""COMPUTED_VALUE"""),"")</f>
        <v/>
      </c>
      <c r="AG256" s="96" t="str">
        <f>IFERROR(__xludf.DUMMYFUNCTION("""COMPUTED_VALUE"""),"")</f>
        <v/>
      </c>
      <c r="AH256" s="97" t="str">
        <f>IFERROR(__xludf.DUMMYFUNCTION("""COMPUTED_VALUE"""),"")</f>
        <v/>
      </c>
      <c r="AI256" s="216" t="str">
        <f>IFERROR(__xludf.DUMMYFUNCTION("""COMPUTED_VALUE"""),"")</f>
        <v/>
      </c>
      <c r="AJ256" s="217" t="str">
        <f>IFERROR(__xludf.DUMMYFUNCTION("""COMPUTED_VALUE"""),"")</f>
        <v/>
      </c>
      <c r="AK256" s="218" t="str">
        <f>IFERROR(__xludf.DUMMYFUNCTION("""COMPUTED_VALUE"""),"")</f>
        <v/>
      </c>
      <c r="AL256" s="217" t="str">
        <f>IFERROR(__xludf.DUMMYFUNCTION("""COMPUTED_VALUE"""),"")</f>
        <v/>
      </c>
      <c r="AM256" s="217" t="str">
        <f>IFERROR(__xludf.DUMMYFUNCTION("""COMPUTED_VALUE"""),"")</f>
        <v/>
      </c>
      <c r="AN256" s="218" t="str">
        <f>IFERROR(__xludf.DUMMYFUNCTION("""COMPUTED_VALUE"""),"")</f>
        <v/>
      </c>
      <c r="AO256" s="217" t="str">
        <f>IFERROR(__xludf.DUMMYFUNCTION("""COMPUTED_VALUE"""),"")</f>
        <v/>
      </c>
      <c r="AP256" s="217" t="str">
        <f>IFERROR(__xludf.DUMMYFUNCTION("""COMPUTED_VALUE"""),"")</f>
        <v/>
      </c>
      <c r="AQ256" s="218" t="str">
        <f>IFERROR(__xludf.DUMMYFUNCTION("""COMPUTED_VALUE"""),"")</f>
        <v/>
      </c>
      <c r="AR256" s="217" t="str">
        <f>IFERROR(__xludf.DUMMYFUNCTION("""COMPUTED_VALUE"""),"")</f>
        <v/>
      </c>
      <c r="AS256" s="217" t="str">
        <f>IFERROR(__xludf.DUMMYFUNCTION("""COMPUTED_VALUE"""),"")</f>
        <v/>
      </c>
      <c r="AT256" s="218" t="str">
        <f>IFERROR(__xludf.DUMMYFUNCTION("""COMPUTED_VALUE"""),"")</f>
        <v/>
      </c>
      <c r="AU256" s="217" t="str">
        <f>IFERROR(__xludf.DUMMYFUNCTION("""COMPUTED_VALUE"""),"")</f>
        <v/>
      </c>
      <c r="AV256" s="217" t="str">
        <f>IFERROR(__xludf.DUMMYFUNCTION("""COMPUTED_VALUE"""),"")</f>
        <v/>
      </c>
      <c r="AW256" s="218" t="str">
        <f>IFERROR(__xludf.DUMMYFUNCTION("""COMPUTED_VALUE"""),"")</f>
        <v/>
      </c>
      <c r="AX256" s="217" t="str">
        <f>IFERROR(__xludf.DUMMYFUNCTION("""COMPUTED_VALUE"""),"")</f>
        <v/>
      </c>
      <c r="AY256" s="217" t="str">
        <f>IFERROR(__xludf.DUMMYFUNCTION("""COMPUTED_VALUE"""),"")</f>
        <v/>
      </c>
      <c r="AZ256" s="218" t="str">
        <f>IFERROR(__xludf.DUMMYFUNCTION("""COMPUTED_VALUE"""),"")</f>
        <v/>
      </c>
      <c r="BA256" s="217" t="str">
        <f>IFERROR(__xludf.DUMMYFUNCTION("""COMPUTED_VALUE"""),"")</f>
        <v/>
      </c>
      <c r="BB256" s="217" t="str">
        <f>IFERROR(__xludf.DUMMYFUNCTION("""COMPUTED_VALUE"""),"")</f>
        <v/>
      </c>
      <c r="BC256" s="218" t="str">
        <f>IFERROR(__xludf.DUMMYFUNCTION("""COMPUTED_VALUE"""),"")</f>
        <v/>
      </c>
      <c r="BD256" s="217" t="str">
        <f>IFERROR(__xludf.DUMMYFUNCTION("""COMPUTED_VALUE"""),"")</f>
        <v/>
      </c>
      <c r="BE256" s="217">
        <f>IFERROR(__xludf.DUMMYFUNCTION("""COMPUTED_VALUE"""),752.3)</f>
        <v>752.3</v>
      </c>
      <c r="BF256" s="218" t="str">
        <f>IFERROR(__xludf.DUMMYFUNCTION("""COMPUTED_VALUE"""),"")</f>
        <v/>
      </c>
      <c r="BG256" s="216" t="str">
        <f>IFERROR(__xludf.DUMMYFUNCTION("""COMPUTED_VALUE"""),"")</f>
        <v/>
      </c>
      <c r="BH256" s="217" t="str">
        <f>IFERROR(__xludf.DUMMYFUNCTION("""COMPUTED_VALUE"""),"")</f>
        <v/>
      </c>
      <c r="BI256" s="218" t="str">
        <f>IFERROR(__xludf.DUMMYFUNCTION("""COMPUTED_VALUE"""),"")</f>
        <v/>
      </c>
      <c r="BJ256" s="217">
        <f>IFERROR(__xludf.DUMMYFUNCTION("""COMPUTED_VALUE"""),114.5)</f>
        <v>114.5</v>
      </c>
      <c r="BK256" s="217" t="str">
        <f>IFERROR(__xludf.DUMMYFUNCTION("""COMPUTED_VALUE"""),"")</f>
        <v/>
      </c>
      <c r="BL256" s="218" t="str">
        <f>IFERROR(__xludf.DUMMYFUNCTION("""COMPUTED_VALUE"""),"")</f>
        <v/>
      </c>
      <c r="BM256" s="217" t="str">
        <f>IFERROR(__xludf.DUMMYFUNCTION("""COMPUTED_VALUE"""),"")</f>
        <v/>
      </c>
      <c r="BN256" s="217" t="str">
        <f>IFERROR(__xludf.DUMMYFUNCTION("""COMPUTED_VALUE"""),"")</f>
        <v/>
      </c>
      <c r="BO256" s="218" t="str">
        <f>IFERROR(__xludf.DUMMYFUNCTION("""COMPUTED_VALUE"""),"")</f>
        <v/>
      </c>
      <c r="BP256" s="217" t="str">
        <f>IFERROR(__xludf.DUMMYFUNCTION("""COMPUTED_VALUE"""),"")</f>
        <v/>
      </c>
      <c r="BQ256" s="217">
        <f>IFERROR(__xludf.DUMMYFUNCTION("""COMPUTED_VALUE"""),89.3)</f>
        <v>89.3</v>
      </c>
      <c r="BR256" s="218" t="str">
        <f>IFERROR(__xludf.DUMMYFUNCTION("""COMPUTED_VALUE"""),"")</f>
        <v/>
      </c>
      <c r="BS256" s="217" t="str">
        <f>IFERROR(__xludf.DUMMYFUNCTION("""COMPUTED_VALUE"""),"")</f>
        <v/>
      </c>
      <c r="BT256" s="217" t="str">
        <f>IFERROR(__xludf.DUMMYFUNCTION("""COMPUTED_VALUE"""),"")</f>
        <v/>
      </c>
      <c r="BU256" s="218" t="str">
        <f>IFERROR(__xludf.DUMMYFUNCTION("""COMPUTED_VALUE"""),"")</f>
        <v/>
      </c>
      <c r="BV256" s="217" t="str">
        <f>IFERROR(__xludf.DUMMYFUNCTION("""COMPUTED_VALUE"""),"")</f>
        <v/>
      </c>
      <c r="BW256" s="217" t="str">
        <f>IFERROR(__xludf.DUMMYFUNCTION("""COMPUTED_VALUE"""),"")</f>
        <v/>
      </c>
      <c r="BX256" s="218" t="str">
        <f>IFERROR(__xludf.DUMMYFUNCTION("""COMPUTED_VALUE"""),"")</f>
        <v/>
      </c>
      <c r="BY256" s="217" t="str">
        <f>IFERROR(__xludf.DUMMYFUNCTION("""COMPUTED_VALUE"""),"")</f>
        <v/>
      </c>
      <c r="BZ256" s="217" t="str">
        <f>IFERROR(__xludf.DUMMYFUNCTION("""COMPUTED_VALUE"""),"")</f>
        <v/>
      </c>
      <c r="CA256" s="218" t="str">
        <f>IFERROR(__xludf.DUMMYFUNCTION("""COMPUTED_VALUE"""),"")</f>
        <v/>
      </c>
      <c r="CB256" s="216" t="str">
        <f>IFERROR(__xludf.DUMMYFUNCTION("""COMPUTED_VALUE"""),"")</f>
        <v/>
      </c>
      <c r="CC256" s="217" t="str">
        <f>IFERROR(__xludf.DUMMYFUNCTION("""COMPUTED_VALUE"""),"")</f>
        <v/>
      </c>
      <c r="CD256" s="218" t="str">
        <f>IFERROR(__xludf.DUMMYFUNCTION("""COMPUTED_VALUE"""),"")</f>
        <v/>
      </c>
      <c r="CE256" s="217" t="str">
        <f>IFERROR(__xludf.DUMMYFUNCTION("""COMPUTED_VALUE"""),"")</f>
        <v/>
      </c>
      <c r="CF256" s="217" t="str">
        <f>IFERROR(__xludf.DUMMYFUNCTION("""COMPUTED_VALUE"""),"")</f>
        <v/>
      </c>
      <c r="CG256" s="218" t="str">
        <f>IFERROR(__xludf.DUMMYFUNCTION("""COMPUTED_VALUE"""),"")</f>
        <v/>
      </c>
      <c r="CH256" s="217" t="str">
        <f>IFERROR(__xludf.DUMMYFUNCTION("""COMPUTED_VALUE"""),"")</f>
        <v/>
      </c>
      <c r="CI256" s="217" t="str">
        <f>IFERROR(__xludf.DUMMYFUNCTION("""COMPUTED_VALUE"""),"")</f>
        <v/>
      </c>
      <c r="CJ256" s="218" t="str">
        <f>IFERROR(__xludf.DUMMYFUNCTION("""COMPUTED_VALUE"""),"")</f>
        <v/>
      </c>
      <c r="CK256" s="217" t="str">
        <f>IFERROR(__xludf.DUMMYFUNCTION("""COMPUTED_VALUE"""),"")</f>
        <v/>
      </c>
      <c r="CL256" s="217" t="str">
        <f>IFERROR(__xludf.DUMMYFUNCTION("""COMPUTED_VALUE"""),"")</f>
        <v/>
      </c>
      <c r="CM256" s="218" t="str">
        <f>IFERROR(__xludf.DUMMYFUNCTION("""COMPUTED_VALUE"""),"")</f>
        <v/>
      </c>
      <c r="CN256" s="217">
        <f>IFERROR(__xludf.DUMMYFUNCTION("""COMPUTED_VALUE"""),287.3)</f>
        <v>287.3</v>
      </c>
      <c r="CO256" s="217" t="str">
        <f>IFERROR(__xludf.DUMMYFUNCTION("""COMPUTED_VALUE"""),"")</f>
        <v/>
      </c>
      <c r="CP256" s="218" t="str">
        <f>IFERROR(__xludf.DUMMYFUNCTION("""COMPUTED_VALUE"""),"")</f>
        <v/>
      </c>
      <c r="CQ256" s="219" t="str">
        <f>IFERROR(__xludf.DUMMYFUNCTION("""COMPUTED_VALUE"""),"")</f>
        <v/>
      </c>
      <c r="CR256" s="219" t="str">
        <f>IFERROR(__xludf.DUMMYFUNCTION("""COMPUTED_VALUE"""),"")</f>
        <v/>
      </c>
      <c r="CS256" s="220"/>
      <c r="CT256" s="219"/>
      <c r="CU256" s="219"/>
      <c r="CV256" s="220"/>
      <c r="CW256" s="219"/>
      <c r="CX256" s="219"/>
      <c r="CY256" s="220"/>
      <c r="CZ256" s="219"/>
      <c r="DA256" s="219"/>
      <c r="DB256" s="220"/>
      <c r="DC256" s="219"/>
      <c r="DD256" s="219"/>
      <c r="DE256" s="220"/>
      <c r="DF256" s="219"/>
      <c r="DG256" s="219"/>
      <c r="DH256" s="220"/>
      <c r="DI256" s="219"/>
      <c r="DJ256" s="219"/>
      <c r="DK256" s="220"/>
      <c r="DL256" s="219"/>
      <c r="DM256" s="219"/>
      <c r="DN256" s="220"/>
      <c r="DO256" s="219"/>
      <c r="DP256" s="219"/>
      <c r="DQ256" s="220"/>
      <c r="DR256" s="219"/>
      <c r="DS256" s="219"/>
      <c r="DT256" s="220"/>
    </row>
    <row r="257">
      <c r="B257" s="180" t="str">
        <f>IFERROR(__xludf.DUMMYFUNCTION("""COMPUTED_VALUE"""),"HEA9")</f>
        <v>HEA9</v>
      </c>
      <c r="C257">
        <f>IFERROR(__xludf.DUMMYFUNCTION("""COMPUTED_VALUE"""),258.0)</f>
        <v>258</v>
      </c>
      <c r="D257" s="88" t="str">
        <f>IFERROR(__xludf.DUMMYFUNCTION("""COMPUTED_VALUE"""),"Imperial Palace Main Street")</f>
        <v>Imperial Palace Main Street</v>
      </c>
      <c r="E257" s="215" t="str">
        <f>IFERROR(__xludf.DUMMYFUNCTION("""COMPUTED_VALUE"""),"大宮大路")</f>
        <v>大宮大路</v>
      </c>
      <c r="F257" s="179">
        <f>IFERROR(__xludf.DUMMYFUNCTION("""COMPUTED_VALUE"""),21.0)</f>
        <v>21</v>
      </c>
      <c r="G257" s="83">
        <f>IFERROR(__xludf.DUMMYFUNCTION("""COMPUTED_VALUE"""),7620.0)</f>
        <v>7620</v>
      </c>
      <c r="H257" s="95" t="str">
        <f>IFERROR(__xludf.DUMMYFUNCTION("""COMPUTED_VALUE"""),"")</f>
        <v/>
      </c>
      <c r="I257" s="96" t="str">
        <f>IFERROR(__xludf.DUMMYFUNCTION("""COMPUTED_VALUE"""),"")</f>
        <v/>
      </c>
      <c r="J257" s="97" t="str">
        <f>IFERROR(__xludf.DUMMYFUNCTION("""COMPUTED_VALUE"""),"")</f>
        <v/>
      </c>
      <c r="K257" s="95" t="str">
        <f>IFERROR(__xludf.DUMMYFUNCTION("""COMPUTED_VALUE"""),"")</f>
        <v/>
      </c>
      <c r="L257" s="96" t="str">
        <f>IFERROR(__xludf.DUMMYFUNCTION("""COMPUTED_VALUE"""),"")</f>
        <v/>
      </c>
      <c r="M257" s="97" t="str">
        <f>IFERROR(__xludf.DUMMYFUNCTION("""COMPUTED_VALUE"""),"")</f>
        <v/>
      </c>
      <c r="N257" s="95" t="str">
        <f>IFERROR(__xludf.DUMMYFUNCTION("""COMPUTED_VALUE"""),"")</f>
        <v/>
      </c>
      <c r="O257" s="96" t="str">
        <f>IFERROR(__xludf.DUMMYFUNCTION("""COMPUTED_VALUE"""),"")</f>
        <v/>
      </c>
      <c r="P257" s="97" t="str">
        <f>IFERROR(__xludf.DUMMYFUNCTION("""COMPUTED_VALUE"""),"")</f>
        <v/>
      </c>
      <c r="Q257" s="95" t="str">
        <f>IFERROR(__xludf.DUMMYFUNCTION("""COMPUTED_VALUE"""),"")</f>
        <v/>
      </c>
      <c r="R257" s="96" t="str">
        <f>IFERROR(__xludf.DUMMYFUNCTION("""COMPUTED_VALUE"""),"")</f>
        <v/>
      </c>
      <c r="S257" s="97" t="str">
        <f>IFERROR(__xludf.DUMMYFUNCTION("""COMPUTED_VALUE"""),"")</f>
        <v/>
      </c>
      <c r="T257" s="95" t="str">
        <f>IFERROR(__xludf.DUMMYFUNCTION("""COMPUTED_VALUE"""),"")</f>
        <v/>
      </c>
      <c r="U257" s="96" t="str">
        <f>IFERROR(__xludf.DUMMYFUNCTION("""COMPUTED_VALUE"""),"")</f>
        <v/>
      </c>
      <c r="V257" s="97" t="str">
        <f>IFERROR(__xludf.DUMMYFUNCTION("""COMPUTED_VALUE"""),"")</f>
        <v/>
      </c>
      <c r="W257" s="95" t="str">
        <f>IFERROR(__xludf.DUMMYFUNCTION("""COMPUTED_VALUE"""),"")</f>
        <v/>
      </c>
      <c r="X257" s="96" t="str">
        <f>IFERROR(__xludf.DUMMYFUNCTION("""COMPUTED_VALUE"""),"")</f>
        <v/>
      </c>
      <c r="Y257" s="97">
        <f>IFERROR(__xludf.DUMMYFUNCTION("""COMPUTED_VALUE"""),195.6)</f>
        <v>195.6</v>
      </c>
      <c r="Z257" s="95" t="str">
        <f>IFERROR(__xludf.DUMMYFUNCTION("""COMPUTED_VALUE"""),"")</f>
        <v/>
      </c>
      <c r="AA257" s="96" t="str">
        <f>IFERROR(__xludf.DUMMYFUNCTION("""COMPUTED_VALUE"""),"")</f>
        <v/>
      </c>
      <c r="AB257" s="97" t="str">
        <f>IFERROR(__xludf.DUMMYFUNCTION("""COMPUTED_VALUE"""),"")</f>
        <v/>
      </c>
      <c r="AC257" s="95" t="str">
        <f>IFERROR(__xludf.DUMMYFUNCTION("""COMPUTED_VALUE"""),"")</f>
        <v/>
      </c>
      <c r="AD257" s="96" t="str">
        <f>IFERROR(__xludf.DUMMYFUNCTION("""COMPUTED_VALUE"""),"")</f>
        <v/>
      </c>
      <c r="AE257" s="97" t="str">
        <f>IFERROR(__xludf.DUMMYFUNCTION("""COMPUTED_VALUE"""),"")</f>
        <v/>
      </c>
      <c r="AF257" s="95" t="str">
        <f>IFERROR(__xludf.DUMMYFUNCTION("""COMPUTED_VALUE"""),"")</f>
        <v/>
      </c>
      <c r="AG257" s="96" t="str">
        <f>IFERROR(__xludf.DUMMYFUNCTION("""COMPUTED_VALUE"""),"")</f>
        <v/>
      </c>
      <c r="AH257" s="97" t="str">
        <f>IFERROR(__xludf.DUMMYFUNCTION("""COMPUTED_VALUE"""),"")</f>
        <v/>
      </c>
      <c r="AI257" s="216" t="str">
        <f>IFERROR(__xludf.DUMMYFUNCTION("""COMPUTED_VALUE"""),"")</f>
        <v/>
      </c>
      <c r="AJ257" s="217" t="str">
        <f>IFERROR(__xludf.DUMMYFUNCTION("""COMPUTED_VALUE"""),"")</f>
        <v/>
      </c>
      <c r="AK257" s="218" t="str">
        <f>IFERROR(__xludf.DUMMYFUNCTION("""COMPUTED_VALUE"""),"")</f>
        <v/>
      </c>
      <c r="AL257" s="217" t="str">
        <f>IFERROR(__xludf.DUMMYFUNCTION("""COMPUTED_VALUE"""),"")</f>
        <v/>
      </c>
      <c r="AM257" s="217" t="str">
        <f>IFERROR(__xludf.DUMMYFUNCTION("""COMPUTED_VALUE"""),"")</f>
        <v/>
      </c>
      <c r="AN257" s="218" t="str">
        <f>IFERROR(__xludf.DUMMYFUNCTION("""COMPUTED_VALUE"""),"")</f>
        <v/>
      </c>
      <c r="AO257" s="217" t="str">
        <f>IFERROR(__xludf.DUMMYFUNCTION("""COMPUTED_VALUE"""),"")</f>
        <v/>
      </c>
      <c r="AP257" s="217" t="str">
        <f>IFERROR(__xludf.DUMMYFUNCTION("""COMPUTED_VALUE"""),"")</f>
        <v/>
      </c>
      <c r="AQ257" s="218" t="str">
        <f>IFERROR(__xludf.DUMMYFUNCTION("""COMPUTED_VALUE"""),"")</f>
        <v/>
      </c>
      <c r="AR257" s="217" t="str">
        <f>IFERROR(__xludf.DUMMYFUNCTION("""COMPUTED_VALUE"""),"")</f>
        <v/>
      </c>
      <c r="AS257" s="217" t="str">
        <f>IFERROR(__xludf.DUMMYFUNCTION("""COMPUTED_VALUE"""),"")</f>
        <v/>
      </c>
      <c r="AT257" s="218" t="str">
        <f>IFERROR(__xludf.DUMMYFUNCTION("""COMPUTED_VALUE"""),"")</f>
        <v/>
      </c>
      <c r="AU257" s="217">
        <f>IFERROR(__xludf.DUMMYFUNCTION("""COMPUTED_VALUE"""),68.6)</f>
        <v>68.6</v>
      </c>
      <c r="AV257" s="217" t="str">
        <f>IFERROR(__xludf.DUMMYFUNCTION("""COMPUTED_VALUE"""),"")</f>
        <v/>
      </c>
      <c r="AW257" s="218">
        <f>IFERROR(__xludf.DUMMYFUNCTION("""COMPUTED_VALUE"""),69.6)</f>
        <v>69.6</v>
      </c>
      <c r="AX257" s="217" t="str">
        <f>IFERROR(__xludf.DUMMYFUNCTION("""COMPUTED_VALUE"""),"")</f>
        <v/>
      </c>
      <c r="AY257" s="217" t="str">
        <f>IFERROR(__xludf.DUMMYFUNCTION("""COMPUTED_VALUE"""),"")</f>
        <v/>
      </c>
      <c r="AZ257" s="218" t="str">
        <f>IFERROR(__xludf.DUMMYFUNCTION("""COMPUTED_VALUE"""),"")</f>
        <v/>
      </c>
      <c r="BA257" s="217" t="str">
        <f>IFERROR(__xludf.DUMMYFUNCTION("""COMPUTED_VALUE"""),"")</f>
        <v/>
      </c>
      <c r="BB257" s="217" t="str">
        <f>IFERROR(__xludf.DUMMYFUNCTION("""COMPUTED_VALUE"""),"")</f>
        <v/>
      </c>
      <c r="BC257" s="218" t="str">
        <f>IFERROR(__xludf.DUMMYFUNCTION("""COMPUTED_VALUE"""),"")</f>
        <v/>
      </c>
      <c r="BD257" s="217" t="str">
        <f>IFERROR(__xludf.DUMMYFUNCTION("""COMPUTED_VALUE"""),"")</f>
        <v/>
      </c>
      <c r="BE257" s="217" t="str">
        <f>IFERROR(__xludf.DUMMYFUNCTION("""COMPUTED_VALUE"""),"")</f>
        <v/>
      </c>
      <c r="BF257" s="218" t="str">
        <f>IFERROR(__xludf.DUMMYFUNCTION("""COMPUTED_VALUE"""),"")</f>
        <v/>
      </c>
      <c r="BG257" s="216" t="str">
        <f>IFERROR(__xludf.DUMMYFUNCTION("""COMPUTED_VALUE"""),"")</f>
        <v/>
      </c>
      <c r="BH257" s="217" t="str">
        <f>IFERROR(__xludf.DUMMYFUNCTION("""COMPUTED_VALUE"""),"")</f>
        <v/>
      </c>
      <c r="BI257" s="218">
        <f>IFERROR(__xludf.DUMMYFUNCTION("""COMPUTED_VALUE"""),527.9)</f>
        <v>527.9</v>
      </c>
      <c r="BJ257" s="217" t="str">
        <f>IFERROR(__xludf.DUMMYFUNCTION("""COMPUTED_VALUE"""),"")</f>
        <v/>
      </c>
      <c r="BK257" s="217" t="str">
        <f>IFERROR(__xludf.DUMMYFUNCTION("""COMPUTED_VALUE"""),"")</f>
        <v/>
      </c>
      <c r="BL257" s="218" t="str">
        <f>IFERROR(__xludf.DUMMYFUNCTION("""COMPUTED_VALUE"""),"")</f>
        <v/>
      </c>
      <c r="BM257" s="217" t="str">
        <f>IFERROR(__xludf.DUMMYFUNCTION("""COMPUTED_VALUE"""),"")</f>
        <v/>
      </c>
      <c r="BN257" s="217" t="str">
        <f>IFERROR(__xludf.DUMMYFUNCTION("""COMPUTED_VALUE"""),"")</f>
        <v/>
      </c>
      <c r="BO257" s="218" t="str">
        <f>IFERROR(__xludf.DUMMYFUNCTION("""COMPUTED_VALUE"""),"")</f>
        <v/>
      </c>
      <c r="BP257" s="217" t="str">
        <f>IFERROR(__xludf.DUMMYFUNCTION("""COMPUTED_VALUE"""),"")</f>
        <v/>
      </c>
      <c r="BQ257" s="217" t="str">
        <f>IFERROR(__xludf.DUMMYFUNCTION("""COMPUTED_VALUE"""),"")</f>
        <v/>
      </c>
      <c r="BR257" s="218" t="str">
        <f>IFERROR(__xludf.DUMMYFUNCTION("""COMPUTED_VALUE"""),"")</f>
        <v/>
      </c>
      <c r="BS257" s="217" t="str">
        <f>IFERROR(__xludf.DUMMYFUNCTION("""COMPUTED_VALUE"""),"")</f>
        <v/>
      </c>
      <c r="BT257" s="217" t="str">
        <f>IFERROR(__xludf.DUMMYFUNCTION("""COMPUTED_VALUE"""),"")</f>
        <v/>
      </c>
      <c r="BU257" s="218" t="str">
        <f>IFERROR(__xludf.DUMMYFUNCTION("""COMPUTED_VALUE"""),"")</f>
        <v/>
      </c>
      <c r="BV257" s="217" t="str">
        <f>IFERROR(__xludf.DUMMYFUNCTION("""COMPUTED_VALUE"""),"")</f>
        <v/>
      </c>
      <c r="BW257" s="217">
        <f>IFERROR(__xludf.DUMMYFUNCTION("""COMPUTED_VALUE"""),139.0)</f>
        <v>139</v>
      </c>
      <c r="BX257" s="218" t="str">
        <f>IFERROR(__xludf.DUMMYFUNCTION("""COMPUTED_VALUE"""),"")</f>
        <v/>
      </c>
      <c r="BY257" s="217" t="str">
        <f>IFERROR(__xludf.DUMMYFUNCTION("""COMPUTED_VALUE"""),"")</f>
        <v/>
      </c>
      <c r="BZ257" s="217" t="str">
        <f>IFERROR(__xludf.DUMMYFUNCTION("""COMPUTED_VALUE"""),"")</f>
        <v/>
      </c>
      <c r="CA257" s="218" t="str">
        <f>IFERROR(__xludf.DUMMYFUNCTION("""COMPUTED_VALUE"""),"")</f>
        <v/>
      </c>
      <c r="CB257" s="216" t="str">
        <f>IFERROR(__xludf.DUMMYFUNCTION("""COMPUTED_VALUE"""),"")</f>
        <v/>
      </c>
      <c r="CC257" s="217" t="str">
        <f>IFERROR(__xludf.DUMMYFUNCTION("""COMPUTED_VALUE"""),"")</f>
        <v/>
      </c>
      <c r="CD257" s="218" t="str">
        <f>IFERROR(__xludf.DUMMYFUNCTION("""COMPUTED_VALUE"""),"")</f>
        <v/>
      </c>
      <c r="CE257" s="217" t="str">
        <f>IFERROR(__xludf.DUMMYFUNCTION("""COMPUTED_VALUE"""),"")</f>
        <v/>
      </c>
      <c r="CF257" s="217" t="str">
        <f>IFERROR(__xludf.DUMMYFUNCTION("""COMPUTED_VALUE"""),"")</f>
        <v/>
      </c>
      <c r="CG257" s="218" t="str">
        <f>IFERROR(__xludf.DUMMYFUNCTION("""COMPUTED_VALUE"""),"")</f>
        <v/>
      </c>
      <c r="CH257" s="217" t="str">
        <f>IFERROR(__xludf.DUMMYFUNCTION("""COMPUTED_VALUE"""),"")</f>
        <v/>
      </c>
      <c r="CI257" s="217" t="str">
        <f>IFERROR(__xludf.DUMMYFUNCTION("""COMPUTED_VALUE"""),"")</f>
        <v/>
      </c>
      <c r="CJ257" s="218" t="str">
        <f>IFERROR(__xludf.DUMMYFUNCTION("""COMPUTED_VALUE"""),"")</f>
        <v/>
      </c>
      <c r="CK257" s="217" t="str">
        <f>IFERROR(__xludf.DUMMYFUNCTION("""COMPUTED_VALUE"""),"")</f>
        <v/>
      </c>
      <c r="CL257" s="217" t="str">
        <f>IFERROR(__xludf.DUMMYFUNCTION("""COMPUTED_VALUE"""),"")</f>
        <v/>
      </c>
      <c r="CM257" s="218" t="str">
        <f>IFERROR(__xludf.DUMMYFUNCTION("""COMPUTED_VALUE"""),"")</f>
        <v/>
      </c>
      <c r="CN257" s="217" t="str">
        <f>IFERROR(__xludf.DUMMYFUNCTION("""COMPUTED_VALUE"""),"")</f>
        <v/>
      </c>
      <c r="CO257" s="217" t="str">
        <f>IFERROR(__xludf.DUMMYFUNCTION("""COMPUTED_VALUE"""),"")</f>
        <v/>
      </c>
      <c r="CP257" s="218" t="str">
        <f>IFERROR(__xludf.DUMMYFUNCTION("""COMPUTED_VALUE"""),"")</f>
        <v/>
      </c>
      <c r="CQ257" s="219" t="str">
        <f>IFERROR(__xludf.DUMMYFUNCTION("""COMPUTED_VALUE"""),"")</f>
        <v/>
      </c>
      <c r="CR257" s="219">
        <f>IFERROR(__xludf.DUMMYFUNCTION("""COMPUTED_VALUE"""),396.8)</f>
        <v>396.8</v>
      </c>
      <c r="CS257" s="220"/>
      <c r="CT257" s="219"/>
      <c r="CU257" s="219"/>
      <c r="CV257" s="220"/>
      <c r="CW257" s="219"/>
      <c r="CX257" s="219"/>
      <c r="CY257" s="220"/>
      <c r="CZ257" s="219"/>
      <c r="DA257" s="219"/>
      <c r="DB257" s="220"/>
      <c r="DC257" s="219"/>
      <c r="DD257" s="219"/>
      <c r="DE257" s="220"/>
      <c r="DF257" s="219"/>
      <c r="DG257" s="219"/>
      <c r="DH257" s="220"/>
      <c r="DI257" s="219"/>
      <c r="DJ257" s="219"/>
      <c r="DK257" s="220"/>
      <c r="DL257" s="219"/>
      <c r="DM257" s="219"/>
      <c r="DN257" s="220"/>
      <c r="DO257" s="219"/>
      <c r="DP257" s="219"/>
      <c r="DQ257" s="220"/>
      <c r="DR257" s="219"/>
      <c r="DS257" s="219"/>
      <c r="DT257" s="220"/>
    </row>
    <row r="258">
      <c r="B258" s="180" t="str">
        <f>IFERROR(__xludf.DUMMYFUNCTION("""COMPUTED_VALUE"""),"HEA10")</f>
        <v>HEA10</v>
      </c>
      <c r="C258">
        <f>IFERROR(__xludf.DUMMYFUNCTION("""COMPUTED_VALUE"""),259.0)</f>
        <v>259</v>
      </c>
      <c r="D258" s="88" t="str">
        <f>IFERROR(__xludf.DUMMYFUNCTION("""COMPUTED_VALUE"""),"Raikou's Residence")</f>
        <v>Raikou's Residence</v>
      </c>
      <c r="E258" s="215" t="str">
        <f>IFERROR(__xludf.DUMMYFUNCTION("""COMPUTED_VALUE"""),"頼光の屋敷")</f>
        <v>頼光の屋敷</v>
      </c>
      <c r="F258" s="179">
        <f>IFERROR(__xludf.DUMMYFUNCTION("""COMPUTED_VALUE"""),21.0)</f>
        <v>21</v>
      </c>
      <c r="G258" s="83">
        <f>IFERROR(__xludf.DUMMYFUNCTION("""COMPUTED_VALUE"""),1605.0)</f>
        <v>1605</v>
      </c>
      <c r="H258" s="95" t="str">
        <f>IFERROR(__xludf.DUMMYFUNCTION("""COMPUTED_VALUE"""),"")</f>
        <v/>
      </c>
      <c r="I258" s="96" t="str">
        <f>IFERROR(__xludf.DUMMYFUNCTION("""COMPUTED_VALUE"""),"")</f>
        <v/>
      </c>
      <c r="J258" s="97" t="str">
        <f>IFERROR(__xludf.DUMMYFUNCTION("""COMPUTED_VALUE"""),"")</f>
        <v/>
      </c>
      <c r="K258" s="95" t="str">
        <f>IFERROR(__xludf.DUMMYFUNCTION("""COMPUTED_VALUE"""),"")</f>
        <v/>
      </c>
      <c r="L258" s="96" t="str">
        <f>IFERROR(__xludf.DUMMYFUNCTION("""COMPUTED_VALUE"""),"")</f>
        <v/>
      </c>
      <c r="M258" s="97" t="str">
        <f>IFERROR(__xludf.DUMMYFUNCTION("""COMPUTED_VALUE"""),"")</f>
        <v/>
      </c>
      <c r="N258" s="95" t="str">
        <f>IFERROR(__xludf.DUMMYFUNCTION("""COMPUTED_VALUE"""),"")</f>
        <v/>
      </c>
      <c r="O258" s="96" t="str">
        <f>IFERROR(__xludf.DUMMYFUNCTION("""COMPUTED_VALUE"""),"")</f>
        <v/>
      </c>
      <c r="P258" s="97" t="str">
        <f>IFERROR(__xludf.DUMMYFUNCTION("""COMPUTED_VALUE"""),"")</f>
        <v/>
      </c>
      <c r="Q258" s="95" t="str">
        <f>IFERROR(__xludf.DUMMYFUNCTION("""COMPUTED_VALUE"""),"")</f>
        <v/>
      </c>
      <c r="R258" s="96" t="str">
        <f>IFERROR(__xludf.DUMMYFUNCTION("""COMPUTED_VALUE"""),"")</f>
        <v/>
      </c>
      <c r="S258" s="97" t="str">
        <f>IFERROR(__xludf.DUMMYFUNCTION("""COMPUTED_VALUE"""),"")</f>
        <v/>
      </c>
      <c r="T258" s="95" t="str">
        <f>IFERROR(__xludf.DUMMYFUNCTION("""COMPUTED_VALUE"""),"")</f>
        <v/>
      </c>
      <c r="U258" s="96">
        <f>IFERROR(__xludf.DUMMYFUNCTION("""COMPUTED_VALUE"""),166.9)</f>
        <v>166.9</v>
      </c>
      <c r="V258" s="97" t="str">
        <f>IFERROR(__xludf.DUMMYFUNCTION("""COMPUTED_VALUE"""),"")</f>
        <v/>
      </c>
      <c r="W258" s="95" t="str">
        <f>IFERROR(__xludf.DUMMYFUNCTION("""COMPUTED_VALUE"""),"")</f>
        <v/>
      </c>
      <c r="X258" s="96" t="str">
        <f>IFERROR(__xludf.DUMMYFUNCTION("""COMPUTED_VALUE"""),"")</f>
        <v/>
      </c>
      <c r="Y258" s="97" t="str">
        <f>IFERROR(__xludf.DUMMYFUNCTION("""COMPUTED_VALUE"""),"")</f>
        <v/>
      </c>
      <c r="Z258" s="95" t="str">
        <f>IFERROR(__xludf.DUMMYFUNCTION("""COMPUTED_VALUE"""),"")</f>
        <v/>
      </c>
      <c r="AA258" s="96" t="str">
        <f>IFERROR(__xludf.DUMMYFUNCTION("""COMPUTED_VALUE"""),"")</f>
        <v/>
      </c>
      <c r="AB258" s="97" t="str">
        <f>IFERROR(__xludf.DUMMYFUNCTION("""COMPUTED_VALUE"""),"")</f>
        <v/>
      </c>
      <c r="AC258" s="95" t="str">
        <f>IFERROR(__xludf.DUMMYFUNCTION("""COMPUTED_VALUE"""),"")</f>
        <v/>
      </c>
      <c r="AD258" s="96" t="str">
        <f>IFERROR(__xludf.DUMMYFUNCTION("""COMPUTED_VALUE"""),"")</f>
        <v/>
      </c>
      <c r="AE258" s="97" t="str">
        <f>IFERROR(__xludf.DUMMYFUNCTION("""COMPUTED_VALUE"""),"")</f>
        <v/>
      </c>
      <c r="AF258" s="95" t="str">
        <f>IFERROR(__xludf.DUMMYFUNCTION("""COMPUTED_VALUE"""),"")</f>
        <v/>
      </c>
      <c r="AG258" s="96" t="str">
        <f>IFERROR(__xludf.DUMMYFUNCTION("""COMPUTED_VALUE"""),"")</f>
        <v/>
      </c>
      <c r="AH258" s="97" t="str">
        <f>IFERROR(__xludf.DUMMYFUNCTION("""COMPUTED_VALUE"""),"")</f>
        <v/>
      </c>
      <c r="AI258" s="216" t="str">
        <f>IFERROR(__xludf.DUMMYFUNCTION("""COMPUTED_VALUE"""),"")</f>
        <v/>
      </c>
      <c r="AJ258" s="217" t="str">
        <f>IFERROR(__xludf.DUMMYFUNCTION("""COMPUTED_VALUE"""),"")</f>
        <v/>
      </c>
      <c r="AK258" s="218" t="str">
        <f>IFERROR(__xludf.DUMMYFUNCTION("""COMPUTED_VALUE"""),"")</f>
        <v/>
      </c>
      <c r="AL258" s="217" t="str">
        <f>IFERROR(__xludf.DUMMYFUNCTION("""COMPUTED_VALUE"""),"")</f>
        <v/>
      </c>
      <c r="AM258" s="217" t="str">
        <f>IFERROR(__xludf.DUMMYFUNCTION("""COMPUTED_VALUE"""),"")</f>
        <v/>
      </c>
      <c r="AN258" s="218" t="str">
        <f>IFERROR(__xludf.DUMMYFUNCTION("""COMPUTED_VALUE"""),"")</f>
        <v/>
      </c>
      <c r="AO258" s="217" t="str">
        <f>IFERROR(__xludf.DUMMYFUNCTION("""COMPUTED_VALUE"""),"")</f>
        <v/>
      </c>
      <c r="AP258" s="217" t="str">
        <f>IFERROR(__xludf.DUMMYFUNCTION("""COMPUTED_VALUE"""),"")</f>
        <v/>
      </c>
      <c r="AQ258" s="218" t="str">
        <f>IFERROR(__xludf.DUMMYFUNCTION("""COMPUTED_VALUE"""),"")</f>
        <v/>
      </c>
      <c r="AR258" s="217" t="str">
        <f>IFERROR(__xludf.DUMMYFUNCTION("""COMPUTED_VALUE"""),"")</f>
        <v/>
      </c>
      <c r="AS258" s="217" t="str">
        <f>IFERROR(__xludf.DUMMYFUNCTION("""COMPUTED_VALUE"""),"")</f>
        <v/>
      </c>
      <c r="AT258" s="218" t="str">
        <f>IFERROR(__xludf.DUMMYFUNCTION("""COMPUTED_VALUE"""),"")</f>
        <v/>
      </c>
      <c r="AU258" s="217" t="str">
        <f>IFERROR(__xludf.DUMMYFUNCTION("""COMPUTED_VALUE"""),"")</f>
        <v/>
      </c>
      <c r="AV258" s="217">
        <f>IFERROR(__xludf.DUMMYFUNCTION("""COMPUTED_VALUE"""),51.9)</f>
        <v>51.9</v>
      </c>
      <c r="AW258" s="218" t="str">
        <f>IFERROR(__xludf.DUMMYFUNCTION("""COMPUTED_VALUE"""),"")</f>
        <v/>
      </c>
      <c r="AX258" s="217" t="str">
        <f>IFERROR(__xludf.DUMMYFUNCTION("""COMPUTED_VALUE"""),"")</f>
        <v/>
      </c>
      <c r="AY258" s="217" t="str">
        <f>IFERROR(__xludf.DUMMYFUNCTION("""COMPUTED_VALUE"""),"")</f>
        <v/>
      </c>
      <c r="AZ258" s="218" t="str">
        <f>IFERROR(__xludf.DUMMYFUNCTION("""COMPUTED_VALUE"""),"")</f>
        <v/>
      </c>
      <c r="BA258" s="217" t="str">
        <f>IFERROR(__xludf.DUMMYFUNCTION("""COMPUTED_VALUE"""),"")</f>
        <v/>
      </c>
      <c r="BB258" s="217" t="str">
        <f>IFERROR(__xludf.DUMMYFUNCTION("""COMPUTED_VALUE"""),"")</f>
        <v/>
      </c>
      <c r="BC258" s="218" t="str">
        <f>IFERROR(__xludf.DUMMYFUNCTION("""COMPUTED_VALUE"""),"")</f>
        <v/>
      </c>
      <c r="BD258" s="217" t="str">
        <f>IFERROR(__xludf.DUMMYFUNCTION("""COMPUTED_VALUE"""),"")</f>
        <v/>
      </c>
      <c r="BE258" s="217" t="str">
        <f>IFERROR(__xludf.DUMMYFUNCTION("""COMPUTED_VALUE"""),"")</f>
        <v/>
      </c>
      <c r="BF258" s="218" t="str">
        <f>IFERROR(__xludf.DUMMYFUNCTION("""COMPUTED_VALUE"""),"")</f>
        <v/>
      </c>
      <c r="BG258" s="216" t="str">
        <f>IFERROR(__xludf.DUMMYFUNCTION("""COMPUTED_VALUE"""),"")</f>
        <v/>
      </c>
      <c r="BH258" s="217">
        <f>IFERROR(__xludf.DUMMYFUNCTION("""COMPUTED_VALUE"""),548.6)</f>
        <v>548.6</v>
      </c>
      <c r="BI258" s="218" t="str">
        <f>IFERROR(__xludf.DUMMYFUNCTION("""COMPUTED_VALUE"""),"")</f>
        <v/>
      </c>
      <c r="BJ258" s="217" t="str">
        <f>IFERROR(__xludf.DUMMYFUNCTION("""COMPUTED_VALUE"""),"")</f>
        <v/>
      </c>
      <c r="BK258" s="217" t="str">
        <f>IFERROR(__xludf.DUMMYFUNCTION("""COMPUTED_VALUE"""),"")</f>
        <v/>
      </c>
      <c r="BL258" s="218" t="str">
        <f>IFERROR(__xludf.DUMMYFUNCTION("""COMPUTED_VALUE"""),"")</f>
        <v/>
      </c>
      <c r="BM258" s="217" t="str">
        <f>IFERROR(__xludf.DUMMYFUNCTION("""COMPUTED_VALUE"""),"")</f>
        <v/>
      </c>
      <c r="BN258" s="217" t="str">
        <f>IFERROR(__xludf.DUMMYFUNCTION("""COMPUTED_VALUE"""),"")</f>
        <v/>
      </c>
      <c r="BO258" s="218" t="str">
        <f>IFERROR(__xludf.DUMMYFUNCTION("""COMPUTED_VALUE"""),"")</f>
        <v/>
      </c>
      <c r="BP258" s="217" t="str">
        <f>IFERROR(__xludf.DUMMYFUNCTION("""COMPUTED_VALUE"""),"")</f>
        <v/>
      </c>
      <c r="BQ258" s="217" t="str">
        <f>IFERROR(__xludf.DUMMYFUNCTION("""COMPUTED_VALUE"""),"")</f>
        <v/>
      </c>
      <c r="BR258" s="218" t="str">
        <f>IFERROR(__xludf.DUMMYFUNCTION("""COMPUTED_VALUE"""),"")</f>
        <v/>
      </c>
      <c r="BS258" s="217" t="str">
        <f>IFERROR(__xludf.DUMMYFUNCTION("""COMPUTED_VALUE"""),"")</f>
        <v/>
      </c>
      <c r="BT258" s="217" t="str">
        <f>IFERROR(__xludf.DUMMYFUNCTION("""COMPUTED_VALUE"""),"")</f>
        <v/>
      </c>
      <c r="BU258" s="218" t="str">
        <f>IFERROR(__xludf.DUMMYFUNCTION("""COMPUTED_VALUE"""),"")</f>
        <v/>
      </c>
      <c r="BV258" s="217">
        <f>IFERROR(__xludf.DUMMYFUNCTION("""COMPUTED_VALUE"""),55.4)</f>
        <v>55.4</v>
      </c>
      <c r="BW258" s="217" t="str">
        <f>IFERROR(__xludf.DUMMYFUNCTION("""COMPUTED_VALUE"""),"")</f>
        <v/>
      </c>
      <c r="BX258" s="218" t="str">
        <f>IFERROR(__xludf.DUMMYFUNCTION("""COMPUTED_VALUE"""),"")</f>
        <v/>
      </c>
      <c r="BY258" s="217" t="str">
        <f>IFERROR(__xludf.DUMMYFUNCTION("""COMPUTED_VALUE"""),"")</f>
        <v/>
      </c>
      <c r="BZ258" s="217" t="str">
        <f>IFERROR(__xludf.DUMMYFUNCTION("""COMPUTED_VALUE"""),"")</f>
        <v/>
      </c>
      <c r="CA258" s="218" t="str">
        <f>IFERROR(__xludf.DUMMYFUNCTION("""COMPUTED_VALUE"""),"")</f>
        <v/>
      </c>
      <c r="CB258" s="216" t="str">
        <f>IFERROR(__xludf.DUMMYFUNCTION("""COMPUTED_VALUE"""),"")</f>
        <v/>
      </c>
      <c r="CC258" s="217" t="str">
        <f>IFERROR(__xludf.DUMMYFUNCTION("""COMPUTED_VALUE"""),"")</f>
        <v/>
      </c>
      <c r="CD258" s="218" t="str">
        <f>IFERROR(__xludf.DUMMYFUNCTION("""COMPUTED_VALUE"""),"")</f>
        <v/>
      </c>
      <c r="CE258" s="217" t="str">
        <f>IFERROR(__xludf.DUMMYFUNCTION("""COMPUTED_VALUE"""),"")</f>
        <v/>
      </c>
      <c r="CF258" s="217" t="str">
        <f>IFERROR(__xludf.DUMMYFUNCTION("""COMPUTED_VALUE"""),"")</f>
        <v/>
      </c>
      <c r="CG258" s="218" t="str">
        <f>IFERROR(__xludf.DUMMYFUNCTION("""COMPUTED_VALUE"""),"")</f>
        <v/>
      </c>
      <c r="CH258" s="217" t="str">
        <f>IFERROR(__xludf.DUMMYFUNCTION("""COMPUTED_VALUE"""),"")</f>
        <v/>
      </c>
      <c r="CI258" s="217" t="str">
        <f>IFERROR(__xludf.DUMMYFUNCTION("""COMPUTED_VALUE"""),"")</f>
        <v/>
      </c>
      <c r="CJ258" s="218" t="str">
        <f>IFERROR(__xludf.DUMMYFUNCTION("""COMPUTED_VALUE"""),"")</f>
        <v/>
      </c>
      <c r="CK258" s="217" t="str">
        <f>IFERROR(__xludf.DUMMYFUNCTION("""COMPUTED_VALUE"""),"")</f>
        <v/>
      </c>
      <c r="CL258" s="217" t="str">
        <f>IFERROR(__xludf.DUMMYFUNCTION("""COMPUTED_VALUE"""),"")</f>
        <v/>
      </c>
      <c r="CM258" s="218" t="str">
        <f>IFERROR(__xludf.DUMMYFUNCTION("""COMPUTED_VALUE"""),"")</f>
        <v/>
      </c>
      <c r="CN258" s="217" t="str">
        <f>IFERROR(__xludf.DUMMYFUNCTION("""COMPUTED_VALUE"""),"")</f>
        <v/>
      </c>
      <c r="CO258" s="217" t="str">
        <f>IFERROR(__xludf.DUMMYFUNCTION("""COMPUTED_VALUE"""),"")</f>
        <v/>
      </c>
      <c r="CP258" s="218" t="str">
        <f>IFERROR(__xludf.DUMMYFUNCTION("""COMPUTED_VALUE"""),"")</f>
        <v/>
      </c>
      <c r="CQ258" s="219">
        <f>IFERROR(__xludf.DUMMYFUNCTION("""COMPUTED_VALUE"""),450.5)</f>
        <v>450.5</v>
      </c>
      <c r="CR258" s="219" t="str">
        <f>IFERROR(__xludf.DUMMYFUNCTION("""COMPUTED_VALUE"""),"")</f>
        <v/>
      </c>
      <c r="CS258" s="220"/>
      <c r="CT258" s="219"/>
      <c r="CU258" s="219"/>
      <c r="CV258" s="220"/>
      <c r="CW258" s="219"/>
      <c r="CX258" s="219"/>
      <c r="CY258" s="220"/>
      <c r="CZ258" s="219"/>
      <c r="DA258" s="219"/>
      <c r="DB258" s="220"/>
      <c r="DC258" s="219"/>
      <c r="DD258" s="219"/>
      <c r="DE258" s="220"/>
      <c r="DF258" s="219"/>
      <c r="DG258" s="219"/>
      <c r="DH258" s="220"/>
      <c r="DI258" s="219"/>
      <c r="DJ258" s="219"/>
      <c r="DK258" s="220"/>
      <c r="DL258" s="219"/>
      <c r="DM258" s="219"/>
      <c r="DN258" s="220"/>
      <c r="DO258" s="219"/>
      <c r="DP258" s="219"/>
      <c r="DQ258" s="220"/>
      <c r="DR258" s="219"/>
      <c r="DS258" s="219"/>
      <c r="DT258" s="220"/>
    </row>
    <row r="259">
      <c r="B259" s="180" t="str">
        <f>IFERROR(__xludf.DUMMYFUNCTION("""COMPUTED_VALUE"""),"HEA11")</f>
        <v>HEA11</v>
      </c>
      <c r="C259">
        <f>IFERROR(__xludf.DUMMYFUNCTION("""COMPUTED_VALUE"""),260.0)</f>
        <v>260</v>
      </c>
      <c r="D259" s="88" t="str">
        <f>IFERROR(__xludf.DUMMYFUNCTION("""COMPUTED_VALUE"""),"Gojō Bridge")</f>
        <v>Gojō Bridge</v>
      </c>
      <c r="E259" s="215" t="str">
        <f>IFERROR(__xludf.DUMMYFUNCTION("""COMPUTED_VALUE"""),"五条の橋")</f>
        <v>五条の橋</v>
      </c>
      <c r="F259" s="179">
        <f>IFERROR(__xludf.DUMMYFUNCTION("""COMPUTED_VALUE"""),21.0)</f>
        <v>21</v>
      </c>
      <c r="G259" s="83">
        <f>IFERROR(__xludf.DUMMYFUNCTION("""COMPUTED_VALUE"""),1522.0)</f>
        <v>1522</v>
      </c>
      <c r="H259" s="95" t="str">
        <f>IFERROR(__xludf.DUMMYFUNCTION("""COMPUTED_VALUE"""),"")</f>
        <v/>
      </c>
      <c r="I259" s="96" t="str">
        <f>IFERROR(__xludf.DUMMYFUNCTION("""COMPUTED_VALUE"""),"")</f>
        <v/>
      </c>
      <c r="J259" s="97" t="str">
        <f>IFERROR(__xludf.DUMMYFUNCTION("""COMPUTED_VALUE"""),"")</f>
        <v/>
      </c>
      <c r="K259" s="95" t="str">
        <f>IFERROR(__xludf.DUMMYFUNCTION("""COMPUTED_VALUE"""),"")</f>
        <v/>
      </c>
      <c r="L259" s="96" t="str">
        <f>IFERROR(__xludf.DUMMYFUNCTION("""COMPUTED_VALUE"""),"")</f>
        <v/>
      </c>
      <c r="M259" s="97" t="str">
        <f>IFERROR(__xludf.DUMMYFUNCTION("""COMPUTED_VALUE"""),"")</f>
        <v/>
      </c>
      <c r="N259" s="95" t="str">
        <f>IFERROR(__xludf.DUMMYFUNCTION("""COMPUTED_VALUE"""),"")</f>
        <v/>
      </c>
      <c r="O259" s="96" t="str">
        <f>IFERROR(__xludf.DUMMYFUNCTION("""COMPUTED_VALUE"""),"")</f>
        <v/>
      </c>
      <c r="P259" s="97" t="str">
        <f>IFERROR(__xludf.DUMMYFUNCTION("""COMPUTED_VALUE"""),"")</f>
        <v/>
      </c>
      <c r="Q259" s="95" t="str">
        <f>IFERROR(__xludf.DUMMYFUNCTION("""COMPUTED_VALUE"""),"")</f>
        <v/>
      </c>
      <c r="R259" s="96" t="str">
        <f>IFERROR(__xludf.DUMMYFUNCTION("""COMPUTED_VALUE"""),"")</f>
        <v/>
      </c>
      <c r="S259" s="97" t="str">
        <f>IFERROR(__xludf.DUMMYFUNCTION("""COMPUTED_VALUE"""),"")</f>
        <v/>
      </c>
      <c r="T259" s="95" t="str">
        <f>IFERROR(__xludf.DUMMYFUNCTION("""COMPUTED_VALUE"""),"")</f>
        <v/>
      </c>
      <c r="U259" s="96" t="str">
        <f>IFERROR(__xludf.DUMMYFUNCTION("""COMPUTED_VALUE"""),"")</f>
        <v/>
      </c>
      <c r="V259" s="97" t="str">
        <f>IFERROR(__xludf.DUMMYFUNCTION("""COMPUTED_VALUE"""),"")</f>
        <v/>
      </c>
      <c r="W259" s="95" t="str">
        <f>IFERROR(__xludf.DUMMYFUNCTION("""COMPUTED_VALUE"""),"")</f>
        <v/>
      </c>
      <c r="X259" s="96" t="str">
        <f>IFERROR(__xludf.DUMMYFUNCTION("""COMPUTED_VALUE"""),"")</f>
        <v/>
      </c>
      <c r="Y259" s="97" t="str">
        <f>IFERROR(__xludf.DUMMYFUNCTION("""COMPUTED_VALUE"""),"")</f>
        <v/>
      </c>
      <c r="Z259" s="95" t="str">
        <f>IFERROR(__xludf.DUMMYFUNCTION("""COMPUTED_VALUE"""),"")</f>
        <v/>
      </c>
      <c r="AA259" s="96" t="str">
        <f>IFERROR(__xludf.DUMMYFUNCTION("""COMPUTED_VALUE"""),"")</f>
        <v/>
      </c>
      <c r="AB259" s="97" t="str">
        <f>IFERROR(__xludf.DUMMYFUNCTION("""COMPUTED_VALUE"""),"")</f>
        <v/>
      </c>
      <c r="AC259" s="95" t="str">
        <f>IFERROR(__xludf.DUMMYFUNCTION("""COMPUTED_VALUE"""),"")</f>
        <v/>
      </c>
      <c r="AD259" s="96" t="str">
        <f>IFERROR(__xludf.DUMMYFUNCTION("""COMPUTED_VALUE"""),"")</f>
        <v/>
      </c>
      <c r="AE259" s="97" t="str">
        <f>IFERROR(__xludf.DUMMYFUNCTION("""COMPUTED_VALUE"""),"")</f>
        <v/>
      </c>
      <c r="AF259" s="95" t="str">
        <f>IFERROR(__xludf.DUMMYFUNCTION("""COMPUTED_VALUE"""),"")</f>
        <v/>
      </c>
      <c r="AG259" s="96" t="str">
        <f>IFERROR(__xludf.DUMMYFUNCTION("""COMPUTED_VALUE"""),"")</f>
        <v/>
      </c>
      <c r="AH259" s="97" t="str">
        <f>IFERROR(__xludf.DUMMYFUNCTION("""COMPUTED_VALUE"""),"")</f>
        <v/>
      </c>
      <c r="AI259" s="216" t="str">
        <f>IFERROR(__xludf.DUMMYFUNCTION("""COMPUTED_VALUE"""),"")</f>
        <v/>
      </c>
      <c r="AJ259" s="217" t="str">
        <f>IFERROR(__xludf.DUMMYFUNCTION("""COMPUTED_VALUE"""),"")</f>
        <v/>
      </c>
      <c r="AK259" s="218" t="str">
        <f>IFERROR(__xludf.DUMMYFUNCTION("""COMPUTED_VALUE"""),"")</f>
        <v/>
      </c>
      <c r="AL259" s="217" t="str">
        <f>IFERROR(__xludf.DUMMYFUNCTION("""COMPUTED_VALUE"""),"")</f>
        <v/>
      </c>
      <c r="AM259" s="217" t="str">
        <f>IFERROR(__xludf.DUMMYFUNCTION("""COMPUTED_VALUE"""),"")</f>
        <v/>
      </c>
      <c r="AN259" s="218" t="str">
        <f>IFERROR(__xludf.DUMMYFUNCTION("""COMPUTED_VALUE"""),"")</f>
        <v/>
      </c>
      <c r="AO259" s="217" t="str">
        <f>IFERROR(__xludf.DUMMYFUNCTION("""COMPUTED_VALUE"""),"")</f>
        <v/>
      </c>
      <c r="AP259" s="217" t="str">
        <f>IFERROR(__xludf.DUMMYFUNCTION("""COMPUTED_VALUE"""),"")</f>
        <v/>
      </c>
      <c r="AQ259" s="218" t="str">
        <f>IFERROR(__xludf.DUMMYFUNCTION("""COMPUTED_VALUE"""),"")</f>
        <v/>
      </c>
      <c r="AR259" s="217" t="str">
        <f>IFERROR(__xludf.DUMMYFUNCTION("""COMPUTED_VALUE"""),"")</f>
        <v/>
      </c>
      <c r="AS259" s="217">
        <f>IFERROR(__xludf.DUMMYFUNCTION("""COMPUTED_VALUE"""),52.2)</f>
        <v>52.2</v>
      </c>
      <c r="AT259" s="218" t="str">
        <f>IFERROR(__xludf.DUMMYFUNCTION("""COMPUTED_VALUE"""),"")</f>
        <v/>
      </c>
      <c r="AU259" s="217" t="str">
        <f>IFERROR(__xludf.DUMMYFUNCTION("""COMPUTED_VALUE"""),"")</f>
        <v/>
      </c>
      <c r="AV259" s="217" t="str">
        <f>IFERROR(__xludf.DUMMYFUNCTION("""COMPUTED_VALUE"""),"")</f>
        <v/>
      </c>
      <c r="AW259" s="218" t="str">
        <f>IFERROR(__xludf.DUMMYFUNCTION("""COMPUTED_VALUE"""),"")</f>
        <v/>
      </c>
      <c r="AX259" s="217" t="str">
        <f>IFERROR(__xludf.DUMMYFUNCTION("""COMPUTED_VALUE"""),"")</f>
        <v/>
      </c>
      <c r="AY259" s="217" t="str">
        <f>IFERROR(__xludf.DUMMYFUNCTION("""COMPUTED_VALUE"""),"")</f>
        <v/>
      </c>
      <c r="AZ259" s="218" t="str">
        <f>IFERROR(__xludf.DUMMYFUNCTION("""COMPUTED_VALUE"""),"")</f>
        <v/>
      </c>
      <c r="BA259" s="217" t="str">
        <f>IFERROR(__xludf.DUMMYFUNCTION("""COMPUTED_VALUE"""),"")</f>
        <v/>
      </c>
      <c r="BB259" s="217" t="str">
        <f>IFERROR(__xludf.DUMMYFUNCTION("""COMPUTED_VALUE"""),"")</f>
        <v/>
      </c>
      <c r="BC259" s="218" t="str">
        <f>IFERROR(__xludf.DUMMYFUNCTION("""COMPUTED_VALUE"""),"")</f>
        <v/>
      </c>
      <c r="BD259" s="217" t="str">
        <f>IFERROR(__xludf.DUMMYFUNCTION("""COMPUTED_VALUE"""),"")</f>
        <v/>
      </c>
      <c r="BE259" s="217" t="str">
        <f>IFERROR(__xludf.DUMMYFUNCTION("""COMPUTED_VALUE"""),"")</f>
        <v/>
      </c>
      <c r="BF259" s="218" t="str">
        <f>IFERROR(__xludf.DUMMYFUNCTION("""COMPUTED_VALUE"""),"")</f>
        <v/>
      </c>
      <c r="BG259" s="216" t="str">
        <f>IFERROR(__xludf.DUMMYFUNCTION("""COMPUTED_VALUE"""),"")</f>
        <v/>
      </c>
      <c r="BH259" s="217" t="str">
        <f>IFERROR(__xludf.DUMMYFUNCTION("""COMPUTED_VALUE"""),"")</f>
        <v/>
      </c>
      <c r="BI259" s="218" t="str">
        <f>IFERROR(__xludf.DUMMYFUNCTION("""COMPUTED_VALUE"""),"")</f>
        <v/>
      </c>
      <c r="BJ259" s="217" t="str">
        <f>IFERROR(__xludf.DUMMYFUNCTION("""COMPUTED_VALUE"""),"")</f>
        <v/>
      </c>
      <c r="BK259" s="217" t="str">
        <f>IFERROR(__xludf.DUMMYFUNCTION("""COMPUTED_VALUE"""),"")</f>
        <v/>
      </c>
      <c r="BL259" s="218">
        <f>IFERROR(__xludf.DUMMYFUNCTION("""COMPUTED_VALUE"""),46.4)</f>
        <v>46.4</v>
      </c>
      <c r="BM259" s="217" t="str">
        <f>IFERROR(__xludf.DUMMYFUNCTION("""COMPUTED_VALUE"""),"")</f>
        <v/>
      </c>
      <c r="BN259" s="217" t="str">
        <f>IFERROR(__xludf.DUMMYFUNCTION("""COMPUTED_VALUE"""),"")</f>
        <v/>
      </c>
      <c r="BO259" s="218" t="str">
        <f>IFERROR(__xludf.DUMMYFUNCTION("""COMPUTED_VALUE"""),"")</f>
        <v/>
      </c>
      <c r="BP259" s="217" t="str">
        <f>IFERROR(__xludf.DUMMYFUNCTION("""COMPUTED_VALUE"""),"")</f>
        <v/>
      </c>
      <c r="BQ259" s="217" t="str">
        <f>IFERROR(__xludf.DUMMYFUNCTION("""COMPUTED_VALUE"""),"")</f>
        <v/>
      </c>
      <c r="BR259" s="218" t="str">
        <f>IFERROR(__xludf.DUMMYFUNCTION("""COMPUTED_VALUE"""),"")</f>
        <v/>
      </c>
      <c r="BS259" s="217" t="str">
        <f>IFERROR(__xludf.DUMMYFUNCTION("""COMPUTED_VALUE"""),"")</f>
        <v/>
      </c>
      <c r="BT259" s="217" t="str">
        <f>IFERROR(__xludf.DUMMYFUNCTION("""COMPUTED_VALUE"""),"")</f>
        <v/>
      </c>
      <c r="BU259" s="218" t="str">
        <f>IFERROR(__xludf.DUMMYFUNCTION("""COMPUTED_VALUE"""),"")</f>
        <v/>
      </c>
      <c r="BV259" s="217" t="str">
        <f>IFERROR(__xludf.DUMMYFUNCTION("""COMPUTED_VALUE"""),"")</f>
        <v/>
      </c>
      <c r="BW259" s="217" t="str">
        <f>IFERROR(__xludf.DUMMYFUNCTION("""COMPUTED_VALUE"""),"")</f>
        <v/>
      </c>
      <c r="BX259" s="218" t="str">
        <f>IFERROR(__xludf.DUMMYFUNCTION("""COMPUTED_VALUE"""),"")</f>
        <v/>
      </c>
      <c r="BY259" s="217" t="str">
        <f>IFERROR(__xludf.DUMMYFUNCTION("""COMPUTED_VALUE"""),"")</f>
        <v/>
      </c>
      <c r="BZ259" s="217" t="str">
        <f>IFERROR(__xludf.DUMMYFUNCTION("""COMPUTED_VALUE"""),"")</f>
        <v/>
      </c>
      <c r="CA259" s="218" t="str">
        <f>IFERROR(__xludf.DUMMYFUNCTION("""COMPUTED_VALUE"""),"")</f>
        <v/>
      </c>
      <c r="CB259" s="216" t="str">
        <f>IFERROR(__xludf.DUMMYFUNCTION("""COMPUTED_VALUE"""),"")</f>
        <v/>
      </c>
      <c r="CC259" s="217" t="str">
        <f>IFERROR(__xludf.DUMMYFUNCTION("""COMPUTED_VALUE"""),"")</f>
        <v/>
      </c>
      <c r="CD259" s="218" t="str">
        <f>IFERROR(__xludf.DUMMYFUNCTION("""COMPUTED_VALUE"""),"")</f>
        <v/>
      </c>
      <c r="CE259" s="217" t="str">
        <f>IFERROR(__xludf.DUMMYFUNCTION("""COMPUTED_VALUE"""),"")</f>
        <v/>
      </c>
      <c r="CF259" s="217" t="str">
        <f>IFERROR(__xludf.DUMMYFUNCTION("""COMPUTED_VALUE"""),"")</f>
        <v/>
      </c>
      <c r="CG259" s="218" t="str">
        <f>IFERROR(__xludf.DUMMYFUNCTION("""COMPUTED_VALUE"""),"")</f>
        <v/>
      </c>
      <c r="CH259" s="217" t="str">
        <f>IFERROR(__xludf.DUMMYFUNCTION("""COMPUTED_VALUE"""),"")</f>
        <v/>
      </c>
      <c r="CI259" s="217" t="str">
        <f>IFERROR(__xludf.DUMMYFUNCTION("""COMPUTED_VALUE"""),"")</f>
        <v/>
      </c>
      <c r="CJ259" s="218" t="str">
        <f>IFERROR(__xludf.DUMMYFUNCTION("""COMPUTED_VALUE"""),"")</f>
        <v/>
      </c>
      <c r="CK259" s="217" t="str">
        <f>IFERROR(__xludf.DUMMYFUNCTION("""COMPUTED_VALUE"""),"")</f>
        <v/>
      </c>
      <c r="CL259" s="217" t="str">
        <f>IFERROR(__xludf.DUMMYFUNCTION("""COMPUTED_VALUE"""),"")</f>
        <v/>
      </c>
      <c r="CM259" s="218" t="str">
        <f>IFERROR(__xludf.DUMMYFUNCTION("""COMPUTED_VALUE"""),"")</f>
        <v/>
      </c>
      <c r="CN259" s="217" t="str">
        <f>IFERROR(__xludf.DUMMYFUNCTION("""COMPUTED_VALUE"""),"")</f>
        <v/>
      </c>
      <c r="CO259" s="217" t="str">
        <f>IFERROR(__xludf.DUMMYFUNCTION("""COMPUTED_VALUE"""),"")</f>
        <v/>
      </c>
      <c r="CP259" s="218" t="str">
        <f>IFERROR(__xludf.DUMMYFUNCTION("""COMPUTED_VALUE"""),"")</f>
        <v/>
      </c>
      <c r="CQ259" s="219" t="str">
        <f>IFERROR(__xludf.DUMMYFUNCTION("""COMPUTED_VALUE"""),"")</f>
        <v/>
      </c>
      <c r="CR259" s="219" t="str">
        <f>IFERROR(__xludf.DUMMYFUNCTION("""COMPUTED_VALUE"""),"")</f>
        <v/>
      </c>
      <c r="CS259" s="220"/>
      <c r="CT259" s="219"/>
      <c r="CU259" s="219"/>
      <c r="CV259" s="220"/>
      <c r="CW259" s="219"/>
      <c r="CX259" s="219"/>
      <c r="CY259" s="220"/>
      <c r="CZ259" s="219"/>
      <c r="DA259" s="219"/>
      <c r="DB259" s="220"/>
      <c r="DC259" s="219"/>
      <c r="DD259" s="219"/>
      <c r="DE259" s="220"/>
      <c r="DF259" s="219"/>
      <c r="DG259" s="219"/>
      <c r="DH259" s="220"/>
      <c r="DI259" s="219"/>
      <c r="DJ259" s="219"/>
      <c r="DK259" s="220"/>
      <c r="DL259" s="219"/>
      <c r="DM259" s="219"/>
      <c r="DN259" s="220"/>
      <c r="DO259" s="219"/>
      <c r="DP259" s="219"/>
      <c r="DQ259" s="220"/>
      <c r="DR259" s="219"/>
      <c r="DS259" s="219"/>
      <c r="DT259" s="220"/>
    </row>
    <row r="260">
      <c r="B260" s="180" t="str">
        <f>IFERROR(__xludf.DUMMYFUNCTION("""COMPUTED_VALUE"""),"HEA12")</f>
        <v>HEA12</v>
      </c>
      <c r="C260">
        <f>IFERROR(__xludf.DUMMYFUNCTION("""COMPUTED_VALUE"""),261.0)</f>
        <v>261</v>
      </c>
      <c r="D260" s="88" t="str">
        <f>IFERROR(__xludf.DUMMYFUNCTION("""COMPUTED_VALUE"""),"Mount Ōe")</f>
        <v>Mount Ōe</v>
      </c>
      <c r="E260" s="215" t="str">
        <f>IFERROR(__xludf.DUMMYFUNCTION("""COMPUTED_VALUE"""),"大江山")</f>
        <v>大江山</v>
      </c>
      <c r="F260" s="179">
        <f>IFERROR(__xludf.DUMMYFUNCTION("""COMPUTED_VALUE"""),21.0)</f>
        <v>21</v>
      </c>
      <c r="G260" s="83">
        <f>IFERROR(__xludf.DUMMYFUNCTION("""COMPUTED_VALUE"""),4207.0)</f>
        <v>4207</v>
      </c>
      <c r="H260" s="95" t="str">
        <f>IFERROR(__xludf.DUMMYFUNCTION("""COMPUTED_VALUE"""),"")</f>
        <v/>
      </c>
      <c r="I260" s="96" t="str">
        <f>IFERROR(__xludf.DUMMYFUNCTION("""COMPUTED_VALUE"""),"")</f>
        <v/>
      </c>
      <c r="J260" s="97" t="str">
        <f>IFERROR(__xludf.DUMMYFUNCTION("""COMPUTED_VALUE"""),"")</f>
        <v/>
      </c>
      <c r="K260" s="95" t="str">
        <f>IFERROR(__xludf.DUMMYFUNCTION("""COMPUTED_VALUE"""),"")</f>
        <v/>
      </c>
      <c r="L260" s="96" t="str">
        <f>IFERROR(__xludf.DUMMYFUNCTION("""COMPUTED_VALUE"""),"")</f>
        <v/>
      </c>
      <c r="M260" s="97" t="str">
        <f>IFERROR(__xludf.DUMMYFUNCTION("""COMPUTED_VALUE"""),"")</f>
        <v/>
      </c>
      <c r="N260" s="95" t="str">
        <f>IFERROR(__xludf.DUMMYFUNCTION("""COMPUTED_VALUE"""),"")</f>
        <v/>
      </c>
      <c r="O260" s="96" t="str">
        <f>IFERROR(__xludf.DUMMYFUNCTION("""COMPUTED_VALUE"""),"")</f>
        <v/>
      </c>
      <c r="P260" s="97" t="str">
        <f>IFERROR(__xludf.DUMMYFUNCTION("""COMPUTED_VALUE"""),"")</f>
        <v/>
      </c>
      <c r="Q260" s="95" t="str">
        <f>IFERROR(__xludf.DUMMYFUNCTION("""COMPUTED_VALUE"""),"")</f>
        <v/>
      </c>
      <c r="R260" s="96" t="str">
        <f>IFERROR(__xludf.DUMMYFUNCTION("""COMPUTED_VALUE"""),"")</f>
        <v/>
      </c>
      <c r="S260" s="97" t="str">
        <f>IFERROR(__xludf.DUMMYFUNCTION("""COMPUTED_VALUE"""),"")</f>
        <v/>
      </c>
      <c r="T260" s="95" t="str">
        <f>IFERROR(__xludf.DUMMYFUNCTION("""COMPUTED_VALUE"""),"")</f>
        <v/>
      </c>
      <c r="U260" s="96" t="str">
        <f>IFERROR(__xludf.DUMMYFUNCTION("""COMPUTED_VALUE"""),"")</f>
        <v/>
      </c>
      <c r="V260" s="97" t="str">
        <f>IFERROR(__xludf.DUMMYFUNCTION("""COMPUTED_VALUE"""),"")</f>
        <v/>
      </c>
      <c r="W260" s="95" t="str">
        <f>IFERROR(__xludf.DUMMYFUNCTION("""COMPUTED_VALUE"""),"")</f>
        <v/>
      </c>
      <c r="X260" s="96" t="str">
        <f>IFERROR(__xludf.DUMMYFUNCTION("""COMPUTED_VALUE"""),"")</f>
        <v/>
      </c>
      <c r="Y260" s="97">
        <f>IFERROR(__xludf.DUMMYFUNCTION("""COMPUTED_VALUE"""),185.1)</f>
        <v>185.1</v>
      </c>
      <c r="Z260" s="95" t="str">
        <f>IFERROR(__xludf.DUMMYFUNCTION("""COMPUTED_VALUE"""),"")</f>
        <v/>
      </c>
      <c r="AA260" s="96" t="str">
        <f>IFERROR(__xludf.DUMMYFUNCTION("""COMPUTED_VALUE"""),"")</f>
        <v/>
      </c>
      <c r="AB260" s="97" t="str">
        <f>IFERROR(__xludf.DUMMYFUNCTION("""COMPUTED_VALUE"""),"")</f>
        <v/>
      </c>
      <c r="AC260" s="95" t="str">
        <f>IFERROR(__xludf.DUMMYFUNCTION("""COMPUTED_VALUE"""),"")</f>
        <v/>
      </c>
      <c r="AD260" s="96" t="str">
        <f>IFERROR(__xludf.DUMMYFUNCTION("""COMPUTED_VALUE"""),"")</f>
        <v/>
      </c>
      <c r="AE260" s="97" t="str">
        <f>IFERROR(__xludf.DUMMYFUNCTION("""COMPUTED_VALUE"""),"")</f>
        <v/>
      </c>
      <c r="AF260" s="95" t="str">
        <f>IFERROR(__xludf.DUMMYFUNCTION("""COMPUTED_VALUE"""),"")</f>
        <v/>
      </c>
      <c r="AG260" s="96" t="str">
        <f>IFERROR(__xludf.DUMMYFUNCTION("""COMPUTED_VALUE"""),"")</f>
        <v/>
      </c>
      <c r="AH260" s="97" t="str">
        <f>IFERROR(__xludf.DUMMYFUNCTION("""COMPUTED_VALUE"""),"")</f>
        <v/>
      </c>
      <c r="AI260" s="216" t="str">
        <f>IFERROR(__xludf.DUMMYFUNCTION("""COMPUTED_VALUE"""),"")</f>
        <v/>
      </c>
      <c r="AJ260" s="217" t="str">
        <f>IFERROR(__xludf.DUMMYFUNCTION("""COMPUTED_VALUE"""),"")</f>
        <v/>
      </c>
      <c r="AK260" s="218" t="str">
        <f>IFERROR(__xludf.DUMMYFUNCTION("""COMPUTED_VALUE"""),"")</f>
        <v/>
      </c>
      <c r="AL260" s="217" t="str">
        <f>IFERROR(__xludf.DUMMYFUNCTION("""COMPUTED_VALUE"""),"")</f>
        <v/>
      </c>
      <c r="AM260" s="217" t="str">
        <f>IFERROR(__xludf.DUMMYFUNCTION("""COMPUTED_VALUE"""),"")</f>
        <v/>
      </c>
      <c r="AN260" s="218" t="str">
        <f>IFERROR(__xludf.DUMMYFUNCTION("""COMPUTED_VALUE"""),"")</f>
        <v/>
      </c>
      <c r="AO260" s="217" t="str">
        <f>IFERROR(__xludf.DUMMYFUNCTION("""COMPUTED_VALUE"""),"")</f>
        <v/>
      </c>
      <c r="AP260" s="217" t="str">
        <f>IFERROR(__xludf.DUMMYFUNCTION("""COMPUTED_VALUE"""),"")</f>
        <v/>
      </c>
      <c r="AQ260" s="218" t="str">
        <f>IFERROR(__xludf.DUMMYFUNCTION("""COMPUTED_VALUE"""),"")</f>
        <v/>
      </c>
      <c r="AR260" s="217" t="str">
        <f>IFERROR(__xludf.DUMMYFUNCTION("""COMPUTED_VALUE"""),"")</f>
        <v/>
      </c>
      <c r="AS260" s="217" t="str">
        <f>IFERROR(__xludf.DUMMYFUNCTION("""COMPUTED_VALUE"""),"")</f>
        <v/>
      </c>
      <c r="AT260" s="218" t="str">
        <f>IFERROR(__xludf.DUMMYFUNCTION("""COMPUTED_VALUE"""),"")</f>
        <v/>
      </c>
      <c r="AU260" s="217">
        <f>IFERROR(__xludf.DUMMYFUNCTION("""COMPUTED_VALUE"""),51.7)</f>
        <v>51.7</v>
      </c>
      <c r="AV260" s="217" t="str">
        <f>IFERROR(__xludf.DUMMYFUNCTION("""COMPUTED_VALUE"""),"")</f>
        <v/>
      </c>
      <c r="AW260" s="218" t="str">
        <f>IFERROR(__xludf.DUMMYFUNCTION("""COMPUTED_VALUE"""),"")</f>
        <v/>
      </c>
      <c r="AX260" s="217" t="str">
        <f>IFERROR(__xludf.DUMMYFUNCTION("""COMPUTED_VALUE"""),"")</f>
        <v/>
      </c>
      <c r="AY260" s="217" t="str">
        <f>IFERROR(__xludf.DUMMYFUNCTION("""COMPUTED_VALUE"""),"")</f>
        <v/>
      </c>
      <c r="AZ260" s="218" t="str">
        <f>IFERROR(__xludf.DUMMYFUNCTION("""COMPUTED_VALUE"""),"")</f>
        <v/>
      </c>
      <c r="BA260" s="217" t="str">
        <f>IFERROR(__xludf.DUMMYFUNCTION("""COMPUTED_VALUE"""),"")</f>
        <v/>
      </c>
      <c r="BB260" s="217" t="str">
        <f>IFERROR(__xludf.DUMMYFUNCTION("""COMPUTED_VALUE"""),"")</f>
        <v/>
      </c>
      <c r="BC260" s="218" t="str">
        <f>IFERROR(__xludf.DUMMYFUNCTION("""COMPUTED_VALUE"""),"")</f>
        <v/>
      </c>
      <c r="BD260" s="217" t="str">
        <f>IFERROR(__xludf.DUMMYFUNCTION("""COMPUTED_VALUE"""),"")</f>
        <v/>
      </c>
      <c r="BE260" s="217" t="str">
        <f>IFERROR(__xludf.DUMMYFUNCTION("""COMPUTED_VALUE"""),"")</f>
        <v/>
      </c>
      <c r="BF260" s="218" t="str">
        <f>IFERROR(__xludf.DUMMYFUNCTION("""COMPUTED_VALUE"""),"")</f>
        <v/>
      </c>
      <c r="BG260" s="216" t="str">
        <f>IFERROR(__xludf.DUMMYFUNCTION("""COMPUTED_VALUE"""),"")</f>
        <v/>
      </c>
      <c r="BH260" s="217" t="str">
        <f>IFERROR(__xludf.DUMMYFUNCTION("""COMPUTED_VALUE"""),"")</f>
        <v/>
      </c>
      <c r="BI260" s="218">
        <f>IFERROR(__xludf.DUMMYFUNCTION("""COMPUTED_VALUE"""),488.0)</f>
        <v>488</v>
      </c>
      <c r="BJ260" s="217" t="str">
        <f>IFERROR(__xludf.DUMMYFUNCTION("""COMPUTED_VALUE"""),"")</f>
        <v/>
      </c>
      <c r="BK260" s="217" t="str">
        <f>IFERROR(__xludf.DUMMYFUNCTION("""COMPUTED_VALUE"""),"")</f>
        <v/>
      </c>
      <c r="BL260" s="218" t="str">
        <f>IFERROR(__xludf.DUMMYFUNCTION("""COMPUTED_VALUE"""),"")</f>
        <v/>
      </c>
      <c r="BM260" s="217" t="str">
        <f>IFERROR(__xludf.DUMMYFUNCTION("""COMPUTED_VALUE"""),"")</f>
        <v/>
      </c>
      <c r="BN260" s="217" t="str">
        <f>IFERROR(__xludf.DUMMYFUNCTION("""COMPUTED_VALUE"""),"")</f>
        <v/>
      </c>
      <c r="BO260" s="218" t="str">
        <f>IFERROR(__xludf.DUMMYFUNCTION("""COMPUTED_VALUE"""),"")</f>
        <v/>
      </c>
      <c r="BP260" s="217" t="str">
        <f>IFERROR(__xludf.DUMMYFUNCTION("""COMPUTED_VALUE"""),"")</f>
        <v/>
      </c>
      <c r="BQ260" s="217" t="str">
        <f>IFERROR(__xludf.DUMMYFUNCTION("""COMPUTED_VALUE"""),"")</f>
        <v/>
      </c>
      <c r="BR260" s="218" t="str">
        <f>IFERROR(__xludf.DUMMYFUNCTION("""COMPUTED_VALUE"""),"")</f>
        <v/>
      </c>
      <c r="BS260" s="217" t="str">
        <f>IFERROR(__xludf.DUMMYFUNCTION("""COMPUTED_VALUE"""),"")</f>
        <v/>
      </c>
      <c r="BT260" s="217" t="str">
        <f>IFERROR(__xludf.DUMMYFUNCTION("""COMPUTED_VALUE"""),"")</f>
        <v/>
      </c>
      <c r="BU260" s="218" t="str">
        <f>IFERROR(__xludf.DUMMYFUNCTION("""COMPUTED_VALUE"""),"")</f>
        <v/>
      </c>
      <c r="BV260" s="217" t="str">
        <f>IFERROR(__xludf.DUMMYFUNCTION("""COMPUTED_VALUE"""),"")</f>
        <v/>
      </c>
      <c r="BW260" s="217">
        <f>IFERROR(__xludf.DUMMYFUNCTION("""COMPUTED_VALUE"""),68.9)</f>
        <v>68.9</v>
      </c>
      <c r="BX260" s="218" t="str">
        <f>IFERROR(__xludf.DUMMYFUNCTION("""COMPUTED_VALUE"""),"")</f>
        <v/>
      </c>
      <c r="BY260" s="217" t="str">
        <f>IFERROR(__xludf.DUMMYFUNCTION("""COMPUTED_VALUE"""),"")</f>
        <v/>
      </c>
      <c r="BZ260" s="217" t="str">
        <f>IFERROR(__xludf.DUMMYFUNCTION("""COMPUTED_VALUE"""),"")</f>
        <v/>
      </c>
      <c r="CA260" s="218" t="str">
        <f>IFERROR(__xludf.DUMMYFUNCTION("""COMPUTED_VALUE"""),"")</f>
        <v/>
      </c>
      <c r="CB260" s="216" t="str">
        <f>IFERROR(__xludf.DUMMYFUNCTION("""COMPUTED_VALUE"""),"")</f>
        <v/>
      </c>
      <c r="CC260" s="217" t="str">
        <f>IFERROR(__xludf.DUMMYFUNCTION("""COMPUTED_VALUE"""),"")</f>
        <v/>
      </c>
      <c r="CD260" s="218" t="str">
        <f>IFERROR(__xludf.DUMMYFUNCTION("""COMPUTED_VALUE"""),"")</f>
        <v/>
      </c>
      <c r="CE260" s="217" t="str">
        <f>IFERROR(__xludf.DUMMYFUNCTION("""COMPUTED_VALUE"""),"")</f>
        <v/>
      </c>
      <c r="CF260" s="217" t="str">
        <f>IFERROR(__xludf.DUMMYFUNCTION("""COMPUTED_VALUE"""),"")</f>
        <v/>
      </c>
      <c r="CG260" s="218" t="str">
        <f>IFERROR(__xludf.DUMMYFUNCTION("""COMPUTED_VALUE"""),"")</f>
        <v/>
      </c>
      <c r="CH260" s="217" t="str">
        <f>IFERROR(__xludf.DUMMYFUNCTION("""COMPUTED_VALUE"""),"")</f>
        <v/>
      </c>
      <c r="CI260" s="217" t="str">
        <f>IFERROR(__xludf.DUMMYFUNCTION("""COMPUTED_VALUE"""),"")</f>
        <v/>
      </c>
      <c r="CJ260" s="218" t="str">
        <f>IFERROR(__xludf.DUMMYFUNCTION("""COMPUTED_VALUE"""),"")</f>
        <v/>
      </c>
      <c r="CK260" s="217" t="str">
        <f>IFERROR(__xludf.DUMMYFUNCTION("""COMPUTED_VALUE"""),"")</f>
        <v/>
      </c>
      <c r="CL260" s="217" t="str">
        <f>IFERROR(__xludf.DUMMYFUNCTION("""COMPUTED_VALUE"""),"")</f>
        <v/>
      </c>
      <c r="CM260" s="218" t="str">
        <f>IFERROR(__xludf.DUMMYFUNCTION("""COMPUTED_VALUE"""),"")</f>
        <v/>
      </c>
      <c r="CN260" s="217" t="str">
        <f>IFERROR(__xludf.DUMMYFUNCTION("""COMPUTED_VALUE"""),"")</f>
        <v/>
      </c>
      <c r="CO260" s="217" t="str">
        <f>IFERROR(__xludf.DUMMYFUNCTION("""COMPUTED_VALUE"""),"")</f>
        <v/>
      </c>
      <c r="CP260" s="218" t="str">
        <f>IFERROR(__xludf.DUMMYFUNCTION("""COMPUTED_VALUE"""),"")</f>
        <v/>
      </c>
      <c r="CQ260" s="219" t="str">
        <f>IFERROR(__xludf.DUMMYFUNCTION("""COMPUTED_VALUE"""),"")</f>
        <v/>
      </c>
      <c r="CR260" s="219">
        <f>IFERROR(__xludf.DUMMYFUNCTION("""COMPUTED_VALUE"""),711.4)</f>
        <v>711.4</v>
      </c>
      <c r="CS260" s="220"/>
      <c r="CT260" s="219"/>
      <c r="CU260" s="219"/>
      <c r="CV260" s="220"/>
      <c r="CW260" s="219"/>
      <c r="CX260" s="219"/>
      <c r="CY260" s="220"/>
      <c r="CZ260" s="219"/>
      <c r="DA260" s="219"/>
      <c r="DB260" s="220"/>
      <c r="DC260" s="219"/>
      <c r="DD260" s="219"/>
      <c r="DE260" s="220"/>
      <c r="DF260" s="219"/>
      <c r="DG260" s="219"/>
      <c r="DH260" s="220"/>
      <c r="DI260" s="219"/>
      <c r="DJ260" s="219"/>
      <c r="DK260" s="220"/>
      <c r="DL260" s="219"/>
      <c r="DM260" s="219"/>
      <c r="DN260" s="220"/>
      <c r="DO260" s="219"/>
      <c r="DP260" s="219"/>
      <c r="DQ260" s="220"/>
      <c r="DR260" s="219"/>
      <c r="DS260" s="219"/>
      <c r="DT260" s="220"/>
    </row>
    <row r="261">
      <c r="B261" s="180" t="str">
        <f>IFERROR(__xludf.DUMMYFUNCTION("""COMPUTED_VALUE"""),"HEA13")</f>
        <v>HEA13</v>
      </c>
      <c r="C261">
        <f>IFERROR(__xludf.DUMMYFUNCTION("""COMPUTED_VALUE"""),262.0)</f>
        <v>262</v>
      </c>
      <c r="D261" s="88" t="str">
        <f>IFERROR(__xludf.DUMMYFUNCTION("""COMPUTED_VALUE"""),"Jō Three, Bō Three")</f>
        <v>Jō Three, Bō Three</v>
      </c>
      <c r="E261" s="215" t="str">
        <f>IFERROR(__xludf.DUMMYFUNCTION("""COMPUTED_VALUE"""),"三条三坊")</f>
        <v>三条三坊</v>
      </c>
      <c r="F261" s="179">
        <f>IFERROR(__xludf.DUMMYFUNCTION("""COMPUTED_VALUE"""),21.0)</f>
        <v>21</v>
      </c>
      <c r="G261" s="83">
        <f>IFERROR(__xludf.DUMMYFUNCTION("""COMPUTED_VALUE"""),116296.0)</f>
        <v>116296</v>
      </c>
      <c r="H261" s="95" t="str">
        <f>IFERROR(__xludf.DUMMYFUNCTION("""COMPUTED_VALUE"""),"")</f>
        <v/>
      </c>
      <c r="I261" s="96" t="str">
        <f>IFERROR(__xludf.DUMMYFUNCTION("""COMPUTED_VALUE"""),"")</f>
        <v/>
      </c>
      <c r="J261" s="97" t="str">
        <f>IFERROR(__xludf.DUMMYFUNCTION("""COMPUTED_VALUE"""),"")</f>
        <v/>
      </c>
      <c r="K261" s="95" t="str">
        <f>IFERROR(__xludf.DUMMYFUNCTION("""COMPUTED_VALUE"""),"")</f>
        <v/>
      </c>
      <c r="L261" s="96" t="str">
        <f>IFERROR(__xludf.DUMMYFUNCTION("""COMPUTED_VALUE"""),"")</f>
        <v/>
      </c>
      <c r="M261" s="97" t="str">
        <f>IFERROR(__xludf.DUMMYFUNCTION("""COMPUTED_VALUE"""),"")</f>
        <v/>
      </c>
      <c r="N261" s="95" t="str">
        <f>IFERROR(__xludf.DUMMYFUNCTION("""COMPUTED_VALUE"""),"")</f>
        <v/>
      </c>
      <c r="O261" s="96" t="str">
        <f>IFERROR(__xludf.DUMMYFUNCTION("""COMPUTED_VALUE"""),"")</f>
        <v/>
      </c>
      <c r="P261" s="97" t="str">
        <f>IFERROR(__xludf.DUMMYFUNCTION("""COMPUTED_VALUE"""),"")</f>
        <v/>
      </c>
      <c r="Q261" s="95" t="str">
        <f>IFERROR(__xludf.DUMMYFUNCTION("""COMPUTED_VALUE"""),"")</f>
        <v/>
      </c>
      <c r="R261" s="96" t="str">
        <f>IFERROR(__xludf.DUMMYFUNCTION("""COMPUTED_VALUE"""),"")</f>
        <v/>
      </c>
      <c r="S261" s="97" t="str">
        <f>IFERROR(__xludf.DUMMYFUNCTION("""COMPUTED_VALUE"""),"")</f>
        <v/>
      </c>
      <c r="T261" s="95" t="str">
        <f>IFERROR(__xludf.DUMMYFUNCTION("""COMPUTED_VALUE"""),"")</f>
        <v/>
      </c>
      <c r="U261" s="96" t="str">
        <f>IFERROR(__xludf.DUMMYFUNCTION("""COMPUTED_VALUE"""),"")</f>
        <v/>
      </c>
      <c r="V261" s="97" t="str">
        <f>IFERROR(__xludf.DUMMYFUNCTION("""COMPUTED_VALUE"""),"")</f>
        <v/>
      </c>
      <c r="W261" s="95" t="str">
        <f>IFERROR(__xludf.DUMMYFUNCTION("""COMPUTED_VALUE"""),"")</f>
        <v/>
      </c>
      <c r="X261" s="96" t="str">
        <f>IFERROR(__xludf.DUMMYFUNCTION("""COMPUTED_VALUE"""),"")</f>
        <v/>
      </c>
      <c r="Y261" s="97">
        <f>IFERROR(__xludf.DUMMYFUNCTION("""COMPUTED_VALUE"""),172.5)</f>
        <v>172.5</v>
      </c>
      <c r="Z261" s="95" t="str">
        <f>IFERROR(__xludf.DUMMYFUNCTION("""COMPUTED_VALUE"""),"")</f>
        <v/>
      </c>
      <c r="AA261" s="96" t="str">
        <f>IFERROR(__xludf.DUMMYFUNCTION("""COMPUTED_VALUE"""),"")</f>
        <v/>
      </c>
      <c r="AB261" s="97" t="str">
        <f>IFERROR(__xludf.DUMMYFUNCTION("""COMPUTED_VALUE"""),"")</f>
        <v/>
      </c>
      <c r="AC261" s="95" t="str">
        <f>IFERROR(__xludf.DUMMYFUNCTION("""COMPUTED_VALUE"""),"")</f>
        <v/>
      </c>
      <c r="AD261" s="96" t="str">
        <f>IFERROR(__xludf.DUMMYFUNCTION("""COMPUTED_VALUE"""),"")</f>
        <v/>
      </c>
      <c r="AE261" s="97" t="str">
        <f>IFERROR(__xludf.DUMMYFUNCTION("""COMPUTED_VALUE"""),"")</f>
        <v/>
      </c>
      <c r="AF261" s="95" t="str">
        <f>IFERROR(__xludf.DUMMYFUNCTION("""COMPUTED_VALUE"""),"")</f>
        <v/>
      </c>
      <c r="AG261" s="96" t="str">
        <f>IFERROR(__xludf.DUMMYFUNCTION("""COMPUTED_VALUE"""),"")</f>
        <v/>
      </c>
      <c r="AH261" s="97" t="str">
        <f>IFERROR(__xludf.DUMMYFUNCTION("""COMPUTED_VALUE"""),"")</f>
        <v/>
      </c>
      <c r="AI261" s="216" t="str">
        <f>IFERROR(__xludf.DUMMYFUNCTION("""COMPUTED_VALUE"""),"")</f>
        <v/>
      </c>
      <c r="AJ261" s="217" t="str">
        <f>IFERROR(__xludf.DUMMYFUNCTION("""COMPUTED_VALUE"""),"")</f>
        <v/>
      </c>
      <c r="AK261" s="218" t="str">
        <f>IFERROR(__xludf.DUMMYFUNCTION("""COMPUTED_VALUE"""),"")</f>
        <v/>
      </c>
      <c r="AL261" s="217" t="str">
        <f>IFERROR(__xludf.DUMMYFUNCTION("""COMPUTED_VALUE"""),"")</f>
        <v/>
      </c>
      <c r="AM261" s="217" t="str">
        <f>IFERROR(__xludf.DUMMYFUNCTION("""COMPUTED_VALUE"""),"")</f>
        <v/>
      </c>
      <c r="AN261" s="218" t="str">
        <f>IFERROR(__xludf.DUMMYFUNCTION("""COMPUTED_VALUE"""),"")</f>
        <v/>
      </c>
      <c r="AO261" s="217" t="str">
        <f>IFERROR(__xludf.DUMMYFUNCTION("""COMPUTED_VALUE"""),"")</f>
        <v/>
      </c>
      <c r="AP261" s="217" t="str">
        <f>IFERROR(__xludf.DUMMYFUNCTION("""COMPUTED_VALUE"""),"")</f>
        <v/>
      </c>
      <c r="AQ261" s="218" t="str">
        <f>IFERROR(__xludf.DUMMYFUNCTION("""COMPUTED_VALUE"""),"")</f>
        <v/>
      </c>
      <c r="AR261" s="217" t="str">
        <f>IFERROR(__xludf.DUMMYFUNCTION("""COMPUTED_VALUE"""),"")</f>
        <v/>
      </c>
      <c r="AS261" s="217">
        <f>IFERROR(__xludf.DUMMYFUNCTION("""COMPUTED_VALUE"""),83.0)</f>
        <v>83</v>
      </c>
      <c r="AT261" s="218" t="str">
        <f>IFERROR(__xludf.DUMMYFUNCTION("""COMPUTED_VALUE"""),"")</f>
        <v/>
      </c>
      <c r="AU261" s="217" t="str">
        <f>IFERROR(__xludf.DUMMYFUNCTION("""COMPUTED_VALUE"""),"")</f>
        <v/>
      </c>
      <c r="AV261" s="217" t="str">
        <f>IFERROR(__xludf.DUMMYFUNCTION("""COMPUTED_VALUE"""),"")</f>
        <v/>
      </c>
      <c r="AW261" s="218" t="str">
        <f>IFERROR(__xludf.DUMMYFUNCTION("""COMPUTED_VALUE"""),"")</f>
        <v/>
      </c>
      <c r="AX261" s="217" t="str">
        <f>IFERROR(__xludf.DUMMYFUNCTION("""COMPUTED_VALUE"""),"")</f>
        <v/>
      </c>
      <c r="AY261" s="217" t="str">
        <f>IFERROR(__xludf.DUMMYFUNCTION("""COMPUTED_VALUE"""),"")</f>
        <v/>
      </c>
      <c r="AZ261" s="218" t="str">
        <f>IFERROR(__xludf.DUMMYFUNCTION("""COMPUTED_VALUE"""),"")</f>
        <v/>
      </c>
      <c r="BA261" s="217" t="str">
        <f>IFERROR(__xludf.DUMMYFUNCTION("""COMPUTED_VALUE"""),"")</f>
        <v/>
      </c>
      <c r="BB261" s="217" t="str">
        <f>IFERROR(__xludf.DUMMYFUNCTION("""COMPUTED_VALUE"""),"")</f>
        <v/>
      </c>
      <c r="BC261" s="218" t="str">
        <f>IFERROR(__xludf.DUMMYFUNCTION("""COMPUTED_VALUE"""),"")</f>
        <v/>
      </c>
      <c r="BD261" s="217" t="str">
        <f>IFERROR(__xludf.DUMMYFUNCTION("""COMPUTED_VALUE"""),"")</f>
        <v/>
      </c>
      <c r="BE261" s="217" t="str">
        <f>IFERROR(__xludf.DUMMYFUNCTION("""COMPUTED_VALUE"""),"")</f>
        <v/>
      </c>
      <c r="BF261" s="218" t="str">
        <f>IFERROR(__xludf.DUMMYFUNCTION("""COMPUTED_VALUE"""),"")</f>
        <v/>
      </c>
      <c r="BG261" s="216" t="str">
        <f>IFERROR(__xludf.DUMMYFUNCTION("""COMPUTED_VALUE"""),"")</f>
        <v/>
      </c>
      <c r="BH261" s="217" t="str">
        <f>IFERROR(__xludf.DUMMYFUNCTION("""COMPUTED_VALUE"""),"")</f>
        <v/>
      </c>
      <c r="BI261" s="218">
        <f>IFERROR(__xludf.DUMMYFUNCTION("""COMPUTED_VALUE"""),500.1)</f>
        <v>500.1</v>
      </c>
      <c r="BJ261" s="217" t="str">
        <f>IFERROR(__xludf.DUMMYFUNCTION("""COMPUTED_VALUE"""),"")</f>
        <v/>
      </c>
      <c r="BK261" s="217" t="str">
        <f>IFERROR(__xludf.DUMMYFUNCTION("""COMPUTED_VALUE"""),"")</f>
        <v/>
      </c>
      <c r="BL261" s="218">
        <f>IFERROR(__xludf.DUMMYFUNCTION("""COMPUTED_VALUE"""),69.3)</f>
        <v>69.3</v>
      </c>
      <c r="BM261" s="217" t="str">
        <f>IFERROR(__xludf.DUMMYFUNCTION("""COMPUTED_VALUE"""),"")</f>
        <v/>
      </c>
      <c r="BN261" s="217" t="str">
        <f>IFERROR(__xludf.DUMMYFUNCTION("""COMPUTED_VALUE"""),"")</f>
        <v/>
      </c>
      <c r="BO261" s="218" t="str">
        <f>IFERROR(__xludf.DUMMYFUNCTION("""COMPUTED_VALUE"""),"")</f>
        <v/>
      </c>
      <c r="BP261" s="217" t="str">
        <f>IFERROR(__xludf.DUMMYFUNCTION("""COMPUTED_VALUE"""),"")</f>
        <v/>
      </c>
      <c r="BQ261" s="217" t="str">
        <f>IFERROR(__xludf.DUMMYFUNCTION("""COMPUTED_VALUE"""),"")</f>
        <v/>
      </c>
      <c r="BR261" s="218" t="str">
        <f>IFERROR(__xludf.DUMMYFUNCTION("""COMPUTED_VALUE"""),"")</f>
        <v/>
      </c>
      <c r="BS261" s="217" t="str">
        <f>IFERROR(__xludf.DUMMYFUNCTION("""COMPUTED_VALUE"""),"")</f>
        <v/>
      </c>
      <c r="BT261" s="217" t="str">
        <f>IFERROR(__xludf.DUMMYFUNCTION("""COMPUTED_VALUE"""),"")</f>
        <v/>
      </c>
      <c r="BU261" s="218" t="str">
        <f>IFERROR(__xludf.DUMMYFUNCTION("""COMPUTED_VALUE"""),"")</f>
        <v/>
      </c>
      <c r="BV261" s="217" t="str">
        <f>IFERROR(__xludf.DUMMYFUNCTION("""COMPUTED_VALUE"""),"")</f>
        <v/>
      </c>
      <c r="BW261" s="217" t="str">
        <f>IFERROR(__xludf.DUMMYFUNCTION("""COMPUTED_VALUE"""),"")</f>
        <v/>
      </c>
      <c r="BX261" s="218" t="str">
        <f>IFERROR(__xludf.DUMMYFUNCTION("""COMPUTED_VALUE"""),"")</f>
        <v/>
      </c>
      <c r="BY261" s="217" t="str">
        <f>IFERROR(__xludf.DUMMYFUNCTION("""COMPUTED_VALUE"""),"")</f>
        <v/>
      </c>
      <c r="BZ261" s="217" t="str">
        <f>IFERROR(__xludf.DUMMYFUNCTION("""COMPUTED_VALUE"""),"")</f>
        <v/>
      </c>
      <c r="CA261" s="218" t="str">
        <f>IFERROR(__xludf.DUMMYFUNCTION("""COMPUTED_VALUE"""),"")</f>
        <v/>
      </c>
      <c r="CB261" s="216" t="str">
        <f>IFERROR(__xludf.DUMMYFUNCTION("""COMPUTED_VALUE"""),"")</f>
        <v/>
      </c>
      <c r="CC261" s="217" t="str">
        <f>IFERROR(__xludf.DUMMYFUNCTION("""COMPUTED_VALUE"""),"")</f>
        <v/>
      </c>
      <c r="CD261" s="218" t="str">
        <f>IFERROR(__xludf.DUMMYFUNCTION("""COMPUTED_VALUE"""),"")</f>
        <v/>
      </c>
      <c r="CE261" s="217" t="str">
        <f>IFERROR(__xludf.DUMMYFUNCTION("""COMPUTED_VALUE"""),"")</f>
        <v/>
      </c>
      <c r="CF261" s="217" t="str">
        <f>IFERROR(__xludf.DUMMYFUNCTION("""COMPUTED_VALUE"""),"")</f>
        <v/>
      </c>
      <c r="CG261" s="218" t="str">
        <f>IFERROR(__xludf.DUMMYFUNCTION("""COMPUTED_VALUE"""),"")</f>
        <v/>
      </c>
      <c r="CH261" s="217" t="str">
        <f>IFERROR(__xludf.DUMMYFUNCTION("""COMPUTED_VALUE"""),"")</f>
        <v/>
      </c>
      <c r="CI261" s="217" t="str">
        <f>IFERROR(__xludf.DUMMYFUNCTION("""COMPUTED_VALUE"""),"")</f>
        <v/>
      </c>
      <c r="CJ261" s="218" t="str">
        <f>IFERROR(__xludf.DUMMYFUNCTION("""COMPUTED_VALUE"""),"")</f>
        <v/>
      </c>
      <c r="CK261" s="217" t="str">
        <f>IFERROR(__xludf.DUMMYFUNCTION("""COMPUTED_VALUE"""),"")</f>
        <v/>
      </c>
      <c r="CL261" s="217" t="str">
        <f>IFERROR(__xludf.DUMMYFUNCTION("""COMPUTED_VALUE"""),"")</f>
        <v/>
      </c>
      <c r="CM261" s="218" t="str">
        <f>IFERROR(__xludf.DUMMYFUNCTION("""COMPUTED_VALUE"""),"")</f>
        <v/>
      </c>
      <c r="CN261" s="217" t="str">
        <f>IFERROR(__xludf.DUMMYFUNCTION("""COMPUTED_VALUE"""),"")</f>
        <v/>
      </c>
      <c r="CO261" s="217" t="str">
        <f>IFERROR(__xludf.DUMMYFUNCTION("""COMPUTED_VALUE"""),"")</f>
        <v/>
      </c>
      <c r="CP261" s="218" t="str">
        <f>IFERROR(__xludf.DUMMYFUNCTION("""COMPUTED_VALUE"""),"")</f>
        <v/>
      </c>
      <c r="CQ261" s="219" t="str">
        <f>IFERROR(__xludf.DUMMYFUNCTION("""COMPUTED_VALUE"""),"")</f>
        <v/>
      </c>
      <c r="CR261" s="219">
        <f>IFERROR(__xludf.DUMMYFUNCTION("""COMPUTED_VALUE"""),257.7)</f>
        <v>257.7</v>
      </c>
      <c r="CS261" s="220"/>
      <c r="CT261" s="219"/>
      <c r="CU261" s="219"/>
      <c r="CV261" s="220"/>
      <c r="CW261" s="219"/>
      <c r="CX261" s="219"/>
      <c r="CY261" s="220"/>
      <c r="CZ261" s="219"/>
      <c r="DA261" s="219"/>
      <c r="DB261" s="220"/>
      <c r="DC261" s="219"/>
      <c r="DD261" s="219"/>
      <c r="DE261" s="220"/>
      <c r="DF261" s="219"/>
      <c r="DG261" s="219"/>
      <c r="DH261" s="220"/>
      <c r="DI261" s="219"/>
      <c r="DJ261" s="219"/>
      <c r="DK261" s="220"/>
      <c r="DL261" s="219"/>
      <c r="DM261" s="219"/>
      <c r="DN261" s="220"/>
      <c r="DO261" s="219"/>
      <c r="DP261" s="219"/>
      <c r="DQ261" s="220"/>
      <c r="DR261" s="219"/>
      <c r="DS261" s="219"/>
      <c r="DT261" s="220"/>
    </row>
    <row r="262" hidden="1">
      <c r="B262" s="180"/>
      <c r="H262" s="222"/>
      <c r="I262" s="74"/>
      <c r="J262" s="74"/>
      <c r="K262" s="222"/>
      <c r="L262" s="74"/>
      <c r="M262" s="74"/>
      <c r="N262" s="222"/>
      <c r="O262" s="74"/>
      <c r="P262" s="74"/>
      <c r="Q262" s="222"/>
      <c r="R262" s="74"/>
      <c r="S262" s="74"/>
      <c r="T262" s="222"/>
      <c r="U262" s="74"/>
      <c r="V262" s="74"/>
      <c r="W262" s="222"/>
      <c r="X262" s="74"/>
      <c r="Y262" s="74"/>
      <c r="Z262" s="222"/>
      <c r="AA262" s="74"/>
      <c r="AB262" s="74"/>
      <c r="AC262" s="222"/>
      <c r="AD262" s="74"/>
      <c r="AE262" s="74"/>
      <c r="AF262" s="222"/>
      <c r="AG262" s="74"/>
      <c r="AH262" s="74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76"/>
      <c r="BS262" s="76"/>
      <c r="BT262" s="76"/>
      <c r="BU262" s="76"/>
      <c r="BV262" s="76"/>
      <c r="BW262" s="76"/>
      <c r="BX262" s="76"/>
      <c r="BY262" s="76"/>
      <c r="BZ262" s="76"/>
      <c r="CA262" s="76"/>
      <c r="CB262" s="76"/>
      <c r="CC262" s="76"/>
      <c r="CD262" s="76"/>
      <c r="CE262" s="76"/>
      <c r="CF262" s="76"/>
      <c r="CG262" s="76"/>
      <c r="CH262" s="76"/>
      <c r="CI262" s="76"/>
      <c r="CJ262" s="76"/>
      <c r="CK262" s="76"/>
      <c r="CL262" s="76"/>
      <c r="CM262" s="76"/>
      <c r="CN262" s="76"/>
      <c r="CO262" s="76"/>
      <c r="CP262" s="76"/>
      <c r="CQ262" s="76"/>
      <c r="CR262" s="76"/>
      <c r="CS262" s="76"/>
      <c r="CT262" s="76"/>
      <c r="CU262" s="76"/>
      <c r="CV262" s="76"/>
      <c r="CW262" s="76"/>
      <c r="CX262" s="76"/>
      <c r="CY262" s="76"/>
      <c r="CZ262" s="76"/>
      <c r="DA262" s="76"/>
      <c r="DB262" s="76"/>
      <c r="DC262" s="76"/>
      <c r="DD262" s="76"/>
      <c r="DE262" s="76"/>
      <c r="DF262" s="76"/>
      <c r="DG262" s="76"/>
      <c r="DH262" s="76"/>
      <c r="DI262" s="76"/>
      <c r="DJ262" s="76"/>
      <c r="DK262" s="76"/>
      <c r="DL262" s="76"/>
      <c r="DM262" s="76"/>
      <c r="DN262" s="76"/>
      <c r="DO262" s="76"/>
      <c r="DP262" s="76"/>
      <c r="DQ262" s="76"/>
      <c r="DR262" s="76"/>
      <c r="DS262" s="76"/>
      <c r="DT262" s="76"/>
    </row>
    <row r="263" hidden="1">
      <c r="B263" s="180"/>
      <c r="H263" s="222"/>
      <c r="I263" s="74"/>
      <c r="J263" s="74"/>
      <c r="K263" s="222"/>
      <c r="L263" s="74"/>
      <c r="M263" s="74"/>
      <c r="N263" s="222"/>
      <c r="O263" s="74"/>
      <c r="P263" s="74"/>
      <c r="Q263" s="222"/>
      <c r="R263" s="74"/>
      <c r="S263" s="74"/>
      <c r="T263" s="222"/>
      <c r="U263" s="74"/>
      <c r="V263" s="74"/>
      <c r="W263" s="222"/>
      <c r="X263" s="74"/>
      <c r="Y263" s="74"/>
      <c r="Z263" s="222"/>
      <c r="AA263" s="74"/>
      <c r="AB263" s="74"/>
      <c r="AC263" s="222"/>
      <c r="AD263" s="74"/>
      <c r="AE263" s="74"/>
      <c r="AF263" s="222"/>
      <c r="AG263" s="74"/>
      <c r="AH263" s="74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/>
      <c r="BQ263" s="76"/>
      <c r="BR263" s="76"/>
      <c r="BS263" s="76"/>
      <c r="BT263" s="76"/>
      <c r="BU263" s="76"/>
      <c r="BV263" s="76"/>
      <c r="BW263" s="76"/>
      <c r="BX263" s="76"/>
      <c r="BY263" s="76"/>
      <c r="BZ263" s="76"/>
      <c r="CA263" s="76"/>
      <c r="CB263" s="76"/>
      <c r="CC263" s="76"/>
      <c r="CD263" s="76"/>
      <c r="CE263" s="76"/>
      <c r="CF263" s="76"/>
      <c r="CG263" s="76"/>
      <c r="CH263" s="76"/>
      <c r="CI263" s="76"/>
      <c r="CJ263" s="76"/>
      <c r="CK263" s="76"/>
      <c r="CL263" s="76"/>
      <c r="CM263" s="76"/>
      <c r="CN263" s="76"/>
      <c r="CO263" s="76"/>
      <c r="CP263" s="76"/>
      <c r="CQ263" s="76"/>
      <c r="CR263" s="76"/>
      <c r="CS263" s="76"/>
      <c r="CT263" s="76"/>
      <c r="CU263" s="76"/>
      <c r="CV263" s="76"/>
      <c r="CW263" s="76"/>
      <c r="CX263" s="76"/>
      <c r="CY263" s="76"/>
      <c r="CZ263" s="76"/>
      <c r="DA263" s="76"/>
      <c r="DB263" s="76"/>
      <c r="DC263" s="76"/>
      <c r="DD263" s="76"/>
      <c r="DE263" s="76"/>
      <c r="DF263" s="76"/>
      <c r="DG263" s="76"/>
      <c r="DH263" s="76"/>
      <c r="DI263" s="76"/>
      <c r="DJ263" s="76"/>
      <c r="DK263" s="76"/>
      <c r="DL263" s="76"/>
      <c r="DM263" s="76"/>
      <c r="DN263" s="76"/>
      <c r="DO263" s="76"/>
      <c r="DP263" s="76"/>
      <c r="DQ263" s="76"/>
      <c r="DR263" s="76"/>
      <c r="DS263" s="76"/>
      <c r="DT263" s="76"/>
    </row>
    <row r="264" hidden="1">
      <c r="B264" s="180"/>
      <c r="H264" s="222"/>
      <c r="I264" s="74"/>
      <c r="J264" s="74"/>
      <c r="K264" s="222"/>
      <c r="L264" s="74"/>
      <c r="M264" s="74"/>
      <c r="N264" s="222"/>
      <c r="O264" s="74"/>
      <c r="P264" s="74"/>
      <c r="Q264" s="222"/>
      <c r="R264" s="74"/>
      <c r="S264" s="74"/>
      <c r="T264" s="222"/>
      <c r="U264" s="74"/>
      <c r="V264" s="74"/>
      <c r="W264" s="222"/>
      <c r="X264" s="74"/>
      <c r="Y264" s="74"/>
      <c r="Z264" s="222"/>
      <c r="AA264" s="74"/>
      <c r="AB264" s="74"/>
      <c r="AC264" s="222"/>
      <c r="AD264" s="74"/>
      <c r="AE264" s="74"/>
      <c r="AF264" s="222"/>
      <c r="AG264" s="74"/>
      <c r="AH264" s="74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6"/>
      <c r="BQ264" s="76"/>
      <c r="BR264" s="76"/>
      <c r="BS264" s="76"/>
      <c r="BT264" s="76"/>
      <c r="BU264" s="76"/>
      <c r="BV264" s="76"/>
      <c r="BW264" s="76"/>
      <c r="BX264" s="76"/>
      <c r="BY264" s="76"/>
      <c r="BZ264" s="76"/>
      <c r="CA264" s="76"/>
      <c r="CB264" s="76"/>
      <c r="CC264" s="76"/>
      <c r="CD264" s="76"/>
      <c r="CE264" s="76"/>
      <c r="CF264" s="76"/>
      <c r="CG264" s="76"/>
      <c r="CH264" s="76"/>
      <c r="CI264" s="76"/>
      <c r="CJ264" s="76"/>
      <c r="CK264" s="76"/>
      <c r="CL264" s="76"/>
      <c r="CM264" s="76"/>
      <c r="CN264" s="76"/>
      <c r="CO264" s="76"/>
      <c r="CP264" s="76"/>
      <c r="CQ264" s="76"/>
      <c r="CR264" s="76"/>
      <c r="CS264" s="76"/>
      <c r="CT264" s="76"/>
      <c r="CU264" s="76"/>
      <c r="CV264" s="76"/>
      <c r="CW264" s="76"/>
      <c r="CX264" s="76"/>
      <c r="CY264" s="76"/>
      <c r="CZ264" s="76"/>
      <c r="DA264" s="76"/>
      <c r="DB264" s="76"/>
      <c r="DC264" s="76"/>
      <c r="DD264" s="76"/>
      <c r="DE264" s="76"/>
      <c r="DF264" s="76"/>
      <c r="DG264" s="76"/>
      <c r="DH264" s="76"/>
      <c r="DI264" s="76"/>
      <c r="DJ264" s="76"/>
      <c r="DK264" s="76"/>
      <c r="DL264" s="76"/>
      <c r="DM264" s="76"/>
      <c r="DN264" s="76"/>
      <c r="DO264" s="76"/>
      <c r="DP264" s="76"/>
      <c r="DQ264" s="76"/>
      <c r="DR264" s="76"/>
      <c r="DS264" s="76"/>
      <c r="DT264" s="76"/>
    </row>
    <row r="265" hidden="1">
      <c r="B265" s="180"/>
      <c r="H265" s="222"/>
      <c r="I265" s="74"/>
      <c r="J265" s="74"/>
      <c r="K265" s="222"/>
      <c r="L265" s="74"/>
      <c r="M265" s="74"/>
      <c r="N265" s="222"/>
      <c r="O265" s="74"/>
      <c r="P265" s="74"/>
      <c r="Q265" s="222"/>
      <c r="R265" s="74"/>
      <c r="S265" s="74"/>
      <c r="T265" s="222"/>
      <c r="U265" s="74"/>
      <c r="V265" s="74"/>
      <c r="W265" s="222"/>
      <c r="X265" s="74"/>
      <c r="Y265" s="74"/>
      <c r="Z265" s="222"/>
      <c r="AA265" s="74"/>
      <c r="AB265" s="74"/>
      <c r="AC265" s="222"/>
      <c r="AD265" s="74"/>
      <c r="AE265" s="74"/>
      <c r="AF265" s="222"/>
      <c r="AG265" s="74"/>
      <c r="AH265" s="74"/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  <c r="AZ265" s="76"/>
      <c r="BA265" s="76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  <c r="BP265" s="76"/>
      <c r="BQ265" s="76"/>
      <c r="BR265" s="76"/>
      <c r="BS265" s="76"/>
      <c r="BT265" s="76"/>
      <c r="BU265" s="76"/>
      <c r="BV265" s="76"/>
      <c r="BW265" s="76"/>
      <c r="BX265" s="76"/>
      <c r="BY265" s="76"/>
      <c r="BZ265" s="76"/>
      <c r="CA265" s="76"/>
      <c r="CB265" s="76"/>
      <c r="CC265" s="76"/>
      <c r="CD265" s="76"/>
      <c r="CE265" s="76"/>
      <c r="CF265" s="76"/>
      <c r="CG265" s="76"/>
      <c r="CH265" s="76"/>
      <c r="CI265" s="76"/>
      <c r="CJ265" s="76"/>
      <c r="CK265" s="76"/>
      <c r="CL265" s="76"/>
      <c r="CM265" s="76"/>
      <c r="CN265" s="76"/>
      <c r="CO265" s="76"/>
      <c r="CP265" s="76"/>
      <c r="CQ265" s="76"/>
      <c r="CR265" s="76"/>
      <c r="CS265" s="76"/>
      <c r="CT265" s="76"/>
      <c r="CU265" s="76"/>
      <c r="CV265" s="76"/>
      <c r="CW265" s="76"/>
      <c r="CX265" s="76"/>
      <c r="CY265" s="76"/>
      <c r="CZ265" s="76"/>
      <c r="DA265" s="76"/>
      <c r="DB265" s="76"/>
      <c r="DC265" s="76"/>
      <c r="DD265" s="76"/>
      <c r="DE265" s="76"/>
      <c r="DF265" s="76"/>
      <c r="DG265" s="76"/>
      <c r="DH265" s="76"/>
      <c r="DI265" s="76"/>
      <c r="DJ265" s="76"/>
      <c r="DK265" s="76"/>
      <c r="DL265" s="76"/>
      <c r="DM265" s="76"/>
      <c r="DN265" s="76"/>
      <c r="DO265" s="76"/>
      <c r="DP265" s="76"/>
      <c r="DQ265" s="76"/>
      <c r="DR265" s="76"/>
      <c r="DS265" s="76"/>
      <c r="DT265" s="76"/>
    </row>
    <row r="266" hidden="1">
      <c r="B266" s="180"/>
      <c r="H266" s="222"/>
      <c r="I266" s="74"/>
      <c r="J266" s="74"/>
      <c r="K266" s="222"/>
      <c r="L266" s="74"/>
      <c r="M266" s="74"/>
      <c r="N266" s="222"/>
      <c r="O266" s="74"/>
      <c r="P266" s="74"/>
      <c r="Q266" s="222"/>
      <c r="R266" s="74"/>
      <c r="S266" s="74"/>
      <c r="T266" s="222"/>
      <c r="U266" s="74"/>
      <c r="V266" s="74"/>
      <c r="W266" s="222"/>
      <c r="X266" s="74"/>
      <c r="Y266" s="74"/>
      <c r="Z266" s="222"/>
      <c r="AA266" s="74"/>
      <c r="AB266" s="74"/>
      <c r="AC266" s="222"/>
      <c r="AD266" s="74"/>
      <c r="AE266" s="74"/>
      <c r="AF266" s="222"/>
      <c r="AG266" s="74"/>
      <c r="AH266" s="74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6"/>
      <c r="BS266" s="76"/>
      <c r="BT266" s="76"/>
      <c r="BU266" s="76"/>
      <c r="BV266" s="76"/>
      <c r="BW266" s="76"/>
      <c r="BX266" s="76"/>
      <c r="BY266" s="76"/>
      <c r="BZ266" s="76"/>
      <c r="CA266" s="76"/>
      <c r="CB266" s="76"/>
      <c r="CC266" s="76"/>
      <c r="CD266" s="76"/>
      <c r="CE266" s="76"/>
      <c r="CF266" s="76"/>
      <c r="CG266" s="76"/>
      <c r="CH266" s="76"/>
      <c r="CI266" s="76"/>
      <c r="CJ266" s="76"/>
      <c r="CK266" s="76"/>
      <c r="CL266" s="76"/>
      <c r="CM266" s="76"/>
      <c r="CN266" s="76"/>
      <c r="CO266" s="76"/>
      <c r="CP266" s="76"/>
      <c r="CQ266" s="76"/>
      <c r="CR266" s="76"/>
      <c r="CS266" s="76"/>
      <c r="CT266" s="76"/>
      <c r="CU266" s="76"/>
      <c r="CV266" s="76"/>
      <c r="CW266" s="76"/>
      <c r="CX266" s="76"/>
      <c r="CY266" s="76"/>
      <c r="CZ266" s="76"/>
      <c r="DA266" s="76"/>
      <c r="DB266" s="76"/>
      <c r="DC266" s="76"/>
      <c r="DD266" s="76"/>
      <c r="DE266" s="76"/>
      <c r="DF266" s="76"/>
      <c r="DG266" s="76"/>
      <c r="DH266" s="76"/>
      <c r="DI266" s="76"/>
      <c r="DJ266" s="76"/>
      <c r="DK266" s="76"/>
      <c r="DL266" s="76"/>
      <c r="DM266" s="76"/>
      <c r="DN266" s="76"/>
      <c r="DO266" s="76"/>
      <c r="DP266" s="76"/>
      <c r="DQ266" s="76"/>
      <c r="DR266" s="76"/>
      <c r="DS266" s="76"/>
      <c r="DT266" s="76"/>
    </row>
    <row r="267" hidden="1">
      <c r="B267" s="180"/>
      <c r="H267" s="222"/>
      <c r="I267" s="74"/>
      <c r="J267" s="74"/>
      <c r="K267" s="222"/>
      <c r="L267" s="74"/>
      <c r="M267" s="74"/>
      <c r="N267" s="222"/>
      <c r="O267" s="74"/>
      <c r="P267" s="74"/>
      <c r="Q267" s="222"/>
      <c r="R267" s="74"/>
      <c r="S267" s="74"/>
      <c r="T267" s="222"/>
      <c r="U267" s="74"/>
      <c r="V267" s="74"/>
      <c r="W267" s="222"/>
      <c r="X267" s="74"/>
      <c r="Y267" s="74"/>
      <c r="Z267" s="222"/>
      <c r="AA267" s="74"/>
      <c r="AB267" s="74"/>
      <c r="AC267" s="222"/>
      <c r="AD267" s="74"/>
      <c r="AE267" s="74"/>
      <c r="AF267" s="222"/>
      <c r="AG267" s="74"/>
      <c r="AH267" s="74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6"/>
      <c r="BS267" s="76"/>
      <c r="BT267" s="76"/>
      <c r="BU267" s="76"/>
      <c r="BV267" s="76"/>
      <c r="BW267" s="76"/>
      <c r="BX267" s="76"/>
      <c r="BY267" s="76"/>
      <c r="BZ267" s="76"/>
      <c r="CA267" s="76"/>
      <c r="CB267" s="76"/>
      <c r="CC267" s="76"/>
      <c r="CD267" s="76"/>
      <c r="CE267" s="76"/>
      <c r="CF267" s="76"/>
      <c r="CG267" s="76"/>
      <c r="CH267" s="76"/>
      <c r="CI267" s="76"/>
      <c r="CJ267" s="76"/>
      <c r="CK267" s="76"/>
      <c r="CL267" s="76"/>
      <c r="CM267" s="76"/>
      <c r="CN267" s="76"/>
      <c r="CO267" s="76"/>
      <c r="CP267" s="76"/>
      <c r="CQ267" s="76"/>
      <c r="CR267" s="76"/>
      <c r="CS267" s="76"/>
      <c r="CT267" s="76"/>
      <c r="CU267" s="76"/>
      <c r="CV267" s="76"/>
      <c r="CW267" s="76"/>
      <c r="CX267" s="76"/>
      <c r="CY267" s="76"/>
      <c r="CZ267" s="76"/>
      <c r="DA267" s="76"/>
      <c r="DB267" s="76"/>
      <c r="DC267" s="76"/>
      <c r="DD267" s="76"/>
      <c r="DE267" s="76"/>
      <c r="DF267" s="76"/>
      <c r="DG267" s="76"/>
      <c r="DH267" s="76"/>
      <c r="DI267" s="76"/>
      <c r="DJ267" s="76"/>
      <c r="DK267" s="76"/>
      <c r="DL267" s="76"/>
      <c r="DM267" s="76"/>
      <c r="DN267" s="76"/>
      <c r="DO267" s="76"/>
      <c r="DP267" s="76"/>
      <c r="DQ267" s="76"/>
      <c r="DR267" s="76"/>
      <c r="DS267" s="76"/>
      <c r="DT267" s="76"/>
    </row>
    <row r="268" hidden="1">
      <c r="B268" s="180"/>
      <c r="H268" s="222"/>
      <c r="I268" s="74"/>
      <c r="J268" s="74"/>
      <c r="K268" s="222"/>
      <c r="L268" s="74"/>
      <c r="M268" s="74"/>
      <c r="N268" s="222"/>
      <c r="O268" s="74"/>
      <c r="P268" s="74"/>
      <c r="Q268" s="222"/>
      <c r="R268" s="74"/>
      <c r="S268" s="74"/>
      <c r="T268" s="222"/>
      <c r="U268" s="74"/>
      <c r="V268" s="74"/>
      <c r="W268" s="222"/>
      <c r="X268" s="74"/>
      <c r="Y268" s="74"/>
      <c r="Z268" s="222"/>
      <c r="AA268" s="74"/>
      <c r="AB268" s="74"/>
      <c r="AC268" s="222"/>
      <c r="AD268" s="74"/>
      <c r="AE268" s="74"/>
      <c r="AF268" s="222"/>
      <c r="AG268" s="74"/>
      <c r="AH268" s="74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6"/>
      <c r="BS268" s="76"/>
      <c r="BT268" s="76"/>
      <c r="BU268" s="76"/>
      <c r="BV268" s="76"/>
      <c r="BW268" s="76"/>
      <c r="BX268" s="76"/>
      <c r="BY268" s="76"/>
      <c r="BZ268" s="76"/>
      <c r="CA268" s="76"/>
      <c r="CB268" s="76"/>
      <c r="CC268" s="76"/>
      <c r="CD268" s="76"/>
      <c r="CE268" s="76"/>
      <c r="CF268" s="76"/>
      <c r="CG268" s="76"/>
      <c r="CH268" s="76"/>
      <c r="CI268" s="76"/>
      <c r="CJ268" s="76"/>
      <c r="CK268" s="76"/>
      <c r="CL268" s="76"/>
      <c r="CM268" s="76"/>
      <c r="CN268" s="76"/>
      <c r="CO268" s="76"/>
      <c r="CP268" s="76"/>
      <c r="CQ268" s="76"/>
      <c r="CR268" s="76"/>
      <c r="CS268" s="76"/>
      <c r="CT268" s="76"/>
      <c r="CU268" s="76"/>
      <c r="CV268" s="76"/>
      <c r="CW268" s="76"/>
      <c r="CX268" s="76"/>
      <c r="CY268" s="76"/>
      <c r="CZ268" s="76"/>
      <c r="DA268" s="76"/>
      <c r="DB268" s="76"/>
      <c r="DC268" s="76"/>
      <c r="DD268" s="76"/>
      <c r="DE268" s="76"/>
      <c r="DF268" s="76"/>
      <c r="DG268" s="76"/>
      <c r="DH268" s="76"/>
      <c r="DI268" s="76"/>
      <c r="DJ268" s="76"/>
      <c r="DK268" s="76"/>
      <c r="DL268" s="76"/>
      <c r="DM268" s="76"/>
      <c r="DN268" s="76"/>
      <c r="DO268" s="76"/>
      <c r="DP268" s="76"/>
      <c r="DQ268" s="76"/>
      <c r="DR268" s="76"/>
      <c r="DS268" s="76"/>
      <c r="DT268" s="76"/>
    </row>
    <row r="269" hidden="1">
      <c r="B269" s="180"/>
      <c r="H269" s="222"/>
      <c r="I269" s="74"/>
      <c r="J269" s="74"/>
      <c r="K269" s="222"/>
      <c r="L269" s="74"/>
      <c r="M269" s="74"/>
      <c r="N269" s="222"/>
      <c r="O269" s="74"/>
      <c r="P269" s="74"/>
      <c r="Q269" s="222"/>
      <c r="R269" s="74"/>
      <c r="S269" s="74"/>
      <c r="T269" s="222"/>
      <c r="U269" s="74"/>
      <c r="V269" s="74"/>
      <c r="W269" s="222"/>
      <c r="X269" s="74"/>
      <c r="Y269" s="74"/>
      <c r="Z269" s="222"/>
      <c r="AA269" s="74"/>
      <c r="AB269" s="74"/>
      <c r="AC269" s="222"/>
      <c r="AD269" s="74"/>
      <c r="AE269" s="74"/>
      <c r="AF269" s="222"/>
      <c r="AG269" s="74"/>
      <c r="AH269" s="74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6"/>
      <c r="BQ269" s="76"/>
      <c r="BR269" s="76"/>
      <c r="BS269" s="76"/>
      <c r="BT269" s="76"/>
      <c r="BU269" s="76"/>
      <c r="BV269" s="76"/>
      <c r="BW269" s="76"/>
      <c r="BX269" s="76"/>
      <c r="BY269" s="76"/>
      <c r="BZ269" s="76"/>
      <c r="CA269" s="76"/>
      <c r="CB269" s="76"/>
      <c r="CC269" s="76"/>
      <c r="CD269" s="76"/>
      <c r="CE269" s="76"/>
      <c r="CF269" s="76"/>
      <c r="CG269" s="76"/>
      <c r="CH269" s="76"/>
      <c r="CI269" s="76"/>
      <c r="CJ269" s="76"/>
      <c r="CK269" s="76"/>
      <c r="CL269" s="76"/>
      <c r="CM269" s="76"/>
      <c r="CN269" s="76"/>
      <c r="CO269" s="76"/>
      <c r="CP269" s="76"/>
      <c r="CQ269" s="76"/>
      <c r="CR269" s="76"/>
      <c r="CS269" s="76"/>
      <c r="CT269" s="76"/>
      <c r="CU269" s="76"/>
      <c r="CV269" s="76"/>
      <c r="CW269" s="76"/>
      <c r="CX269" s="76"/>
      <c r="CY269" s="76"/>
      <c r="CZ269" s="76"/>
      <c r="DA269" s="76"/>
      <c r="DB269" s="76"/>
      <c r="DC269" s="76"/>
      <c r="DD269" s="76"/>
      <c r="DE269" s="76"/>
      <c r="DF269" s="76"/>
      <c r="DG269" s="76"/>
      <c r="DH269" s="76"/>
      <c r="DI269" s="76"/>
      <c r="DJ269" s="76"/>
      <c r="DK269" s="76"/>
      <c r="DL269" s="76"/>
      <c r="DM269" s="76"/>
      <c r="DN269" s="76"/>
      <c r="DO269" s="76"/>
      <c r="DP269" s="76"/>
      <c r="DQ269" s="76"/>
      <c r="DR269" s="76"/>
      <c r="DS269" s="76"/>
      <c r="DT269" s="76"/>
    </row>
    <row r="270" hidden="1">
      <c r="B270" s="180"/>
      <c r="H270" s="222"/>
      <c r="I270" s="74"/>
      <c r="J270" s="74"/>
      <c r="K270" s="222"/>
      <c r="L270" s="74"/>
      <c r="M270" s="74"/>
      <c r="N270" s="222"/>
      <c r="O270" s="74"/>
      <c r="P270" s="74"/>
      <c r="Q270" s="222"/>
      <c r="R270" s="74"/>
      <c r="S270" s="74"/>
      <c r="T270" s="222"/>
      <c r="U270" s="74"/>
      <c r="V270" s="74"/>
      <c r="W270" s="222"/>
      <c r="X270" s="74"/>
      <c r="Y270" s="74"/>
      <c r="Z270" s="222"/>
      <c r="AA270" s="74"/>
      <c r="AB270" s="74"/>
      <c r="AC270" s="222"/>
      <c r="AD270" s="74"/>
      <c r="AE270" s="74"/>
      <c r="AF270" s="222"/>
      <c r="AG270" s="74"/>
      <c r="AH270" s="74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  <c r="BP270" s="76"/>
      <c r="BQ270" s="76"/>
      <c r="BR270" s="76"/>
      <c r="BS270" s="76"/>
      <c r="BT270" s="76"/>
      <c r="BU270" s="76"/>
      <c r="BV270" s="76"/>
      <c r="BW270" s="76"/>
      <c r="BX270" s="76"/>
      <c r="BY270" s="76"/>
      <c r="BZ270" s="76"/>
      <c r="CA270" s="76"/>
      <c r="CB270" s="76"/>
      <c r="CC270" s="76"/>
      <c r="CD270" s="76"/>
      <c r="CE270" s="76"/>
      <c r="CF270" s="76"/>
      <c r="CG270" s="76"/>
      <c r="CH270" s="76"/>
      <c r="CI270" s="76"/>
      <c r="CJ270" s="76"/>
      <c r="CK270" s="76"/>
      <c r="CL270" s="76"/>
      <c r="CM270" s="76"/>
      <c r="CN270" s="76"/>
      <c r="CO270" s="76"/>
      <c r="CP270" s="76"/>
      <c r="CQ270" s="76"/>
      <c r="CR270" s="76"/>
      <c r="CS270" s="76"/>
      <c r="CT270" s="76"/>
      <c r="CU270" s="76"/>
      <c r="CV270" s="76"/>
      <c r="CW270" s="76"/>
      <c r="CX270" s="76"/>
      <c r="CY270" s="76"/>
      <c r="CZ270" s="76"/>
      <c r="DA270" s="76"/>
      <c r="DB270" s="76"/>
      <c r="DC270" s="76"/>
      <c r="DD270" s="76"/>
      <c r="DE270" s="76"/>
      <c r="DF270" s="76"/>
      <c r="DG270" s="76"/>
      <c r="DH270" s="76"/>
      <c r="DI270" s="76"/>
      <c r="DJ270" s="76"/>
      <c r="DK270" s="76"/>
      <c r="DL270" s="76"/>
      <c r="DM270" s="76"/>
      <c r="DN270" s="76"/>
      <c r="DO270" s="76"/>
      <c r="DP270" s="76"/>
      <c r="DQ270" s="76"/>
      <c r="DR270" s="76"/>
      <c r="DS270" s="76"/>
      <c r="DT270" s="76"/>
    </row>
    <row r="271" hidden="1">
      <c r="B271" s="180"/>
      <c r="H271" s="222"/>
      <c r="I271" s="74"/>
      <c r="J271" s="74"/>
      <c r="K271" s="222"/>
      <c r="L271" s="74"/>
      <c r="M271" s="74"/>
      <c r="N271" s="222"/>
      <c r="O271" s="74"/>
      <c r="P271" s="74"/>
      <c r="Q271" s="222"/>
      <c r="R271" s="74"/>
      <c r="S271" s="74"/>
      <c r="T271" s="222"/>
      <c r="U271" s="74"/>
      <c r="V271" s="74"/>
      <c r="W271" s="222"/>
      <c r="X271" s="74"/>
      <c r="Y271" s="74"/>
      <c r="Z271" s="222"/>
      <c r="AA271" s="74"/>
      <c r="AB271" s="74"/>
      <c r="AC271" s="222"/>
      <c r="AD271" s="74"/>
      <c r="AE271" s="74"/>
      <c r="AF271" s="222"/>
      <c r="AG271" s="74"/>
      <c r="AH271" s="74"/>
      <c r="AI271" s="76"/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  <c r="AZ271" s="76"/>
      <c r="BA271" s="76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/>
      <c r="BP271" s="76"/>
      <c r="BQ271" s="76"/>
      <c r="BR271" s="76"/>
      <c r="BS271" s="76"/>
      <c r="BT271" s="76"/>
      <c r="BU271" s="76"/>
      <c r="BV271" s="76"/>
      <c r="BW271" s="76"/>
      <c r="BX271" s="76"/>
      <c r="BY271" s="76"/>
      <c r="BZ271" s="76"/>
      <c r="CA271" s="76"/>
      <c r="CB271" s="76"/>
      <c r="CC271" s="76"/>
      <c r="CD271" s="76"/>
      <c r="CE271" s="76"/>
      <c r="CF271" s="76"/>
      <c r="CG271" s="76"/>
      <c r="CH271" s="76"/>
      <c r="CI271" s="76"/>
      <c r="CJ271" s="76"/>
      <c r="CK271" s="76"/>
      <c r="CL271" s="76"/>
      <c r="CM271" s="76"/>
      <c r="CN271" s="76"/>
      <c r="CO271" s="76"/>
      <c r="CP271" s="76"/>
      <c r="CQ271" s="76"/>
      <c r="CR271" s="76"/>
      <c r="CS271" s="76"/>
      <c r="CT271" s="76"/>
      <c r="CU271" s="76"/>
      <c r="CV271" s="76"/>
      <c r="CW271" s="76"/>
      <c r="CX271" s="76"/>
      <c r="CY271" s="76"/>
      <c r="CZ271" s="76"/>
      <c r="DA271" s="76"/>
      <c r="DB271" s="76"/>
      <c r="DC271" s="76"/>
      <c r="DD271" s="76"/>
      <c r="DE271" s="76"/>
      <c r="DF271" s="76"/>
      <c r="DG271" s="76"/>
      <c r="DH271" s="76"/>
      <c r="DI271" s="76"/>
      <c r="DJ271" s="76"/>
      <c r="DK271" s="76"/>
      <c r="DL271" s="76"/>
      <c r="DM271" s="76"/>
      <c r="DN271" s="76"/>
      <c r="DO271" s="76"/>
      <c r="DP271" s="76"/>
      <c r="DQ271" s="76"/>
      <c r="DR271" s="76"/>
      <c r="DS271" s="76"/>
      <c r="DT271" s="76"/>
    </row>
    <row r="272" hidden="1">
      <c r="B272" s="180"/>
      <c r="H272" s="222"/>
      <c r="I272" s="74"/>
      <c r="J272" s="74"/>
      <c r="K272" s="222"/>
      <c r="L272" s="74"/>
      <c r="M272" s="74"/>
      <c r="N272" s="222"/>
      <c r="O272" s="74"/>
      <c r="P272" s="74"/>
      <c r="Q272" s="222"/>
      <c r="R272" s="74"/>
      <c r="S272" s="74"/>
      <c r="T272" s="222"/>
      <c r="U272" s="74"/>
      <c r="V272" s="74"/>
      <c r="W272" s="222"/>
      <c r="X272" s="74"/>
      <c r="Y272" s="74"/>
      <c r="Z272" s="222"/>
      <c r="AA272" s="74"/>
      <c r="AB272" s="74"/>
      <c r="AC272" s="222"/>
      <c r="AD272" s="74"/>
      <c r="AE272" s="74"/>
      <c r="AF272" s="222"/>
      <c r="AG272" s="74"/>
      <c r="AH272" s="74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/>
      <c r="BP272" s="76"/>
      <c r="BQ272" s="76"/>
      <c r="BR272" s="76"/>
      <c r="BS272" s="76"/>
      <c r="BT272" s="76"/>
      <c r="BU272" s="76"/>
      <c r="BV272" s="76"/>
      <c r="BW272" s="76"/>
      <c r="BX272" s="76"/>
      <c r="BY272" s="76"/>
      <c r="BZ272" s="76"/>
      <c r="CA272" s="76"/>
      <c r="CB272" s="76"/>
      <c r="CC272" s="76"/>
      <c r="CD272" s="76"/>
      <c r="CE272" s="76"/>
      <c r="CF272" s="76"/>
      <c r="CG272" s="76"/>
      <c r="CH272" s="76"/>
      <c r="CI272" s="76"/>
      <c r="CJ272" s="76"/>
      <c r="CK272" s="76"/>
      <c r="CL272" s="76"/>
      <c r="CM272" s="76"/>
      <c r="CN272" s="76"/>
      <c r="CO272" s="76"/>
      <c r="CP272" s="76"/>
      <c r="CQ272" s="76"/>
      <c r="CR272" s="76"/>
      <c r="CS272" s="76"/>
      <c r="CT272" s="76"/>
      <c r="CU272" s="76"/>
      <c r="CV272" s="76"/>
      <c r="CW272" s="76"/>
      <c r="CX272" s="76"/>
      <c r="CY272" s="76"/>
      <c r="CZ272" s="76"/>
      <c r="DA272" s="76"/>
      <c r="DB272" s="76"/>
      <c r="DC272" s="76"/>
      <c r="DD272" s="76"/>
      <c r="DE272" s="76"/>
      <c r="DF272" s="76"/>
      <c r="DG272" s="76"/>
      <c r="DH272" s="76"/>
      <c r="DI272" s="76"/>
      <c r="DJ272" s="76"/>
      <c r="DK272" s="76"/>
      <c r="DL272" s="76"/>
      <c r="DM272" s="76"/>
      <c r="DN272" s="76"/>
      <c r="DO272" s="76"/>
      <c r="DP272" s="76"/>
      <c r="DQ272" s="76"/>
      <c r="DR272" s="76"/>
      <c r="DS272" s="76"/>
      <c r="DT272" s="76"/>
    </row>
    <row r="273" hidden="1">
      <c r="B273" s="180"/>
      <c r="H273" s="222"/>
      <c r="I273" s="74"/>
      <c r="J273" s="74"/>
      <c r="K273" s="222"/>
      <c r="L273" s="74"/>
      <c r="M273" s="74"/>
      <c r="N273" s="222"/>
      <c r="O273" s="74"/>
      <c r="P273" s="74"/>
      <c r="Q273" s="222"/>
      <c r="R273" s="74"/>
      <c r="S273" s="74"/>
      <c r="T273" s="222"/>
      <c r="U273" s="74"/>
      <c r="V273" s="74"/>
      <c r="W273" s="222"/>
      <c r="X273" s="74"/>
      <c r="Y273" s="74"/>
      <c r="Z273" s="222"/>
      <c r="AA273" s="74"/>
      <c r="AB273" s="74"/>
      <c r="AC273" s="222"/>
      <c r="AD273" s="74"/>
      <c r="AE273" s="74"/>
      <c r="AF273" s="222"/>
      <c r="AG273" s="74"/>
      <c r="AH273" s="74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6"/>
      <c r="BQ273" s="76"/>
      <c r="BR273" s="76"/>
      <c r="BS273" s="76"/>
      <c r="BT273" s="76"/>
      <c r="BU273" s="76"/>
      <c r="BV273" s="76"/>
      <c r="BW273" s="76"/>
      <c r="BX273" s="76"/>
      <c r="BY273" s="76"/>
      <c r="BZ273" s="76"/>
      <c r="CA273" s="76"/>
      <c r="CB273" s="76"/>
      <c r="CC273" s="76"/>
      <c r="CD273" s="76"/>
      <c r="CE273" s="76"/>
      <c r="CF273" s="76"/>
      <c r="CG273" s="76"/>
      <c r="CH273" s="76"/>
      <c r="CI273" s="76"/>
      <c r="CJ273" s="76"/>
      <c r="CK273" s="76"/>
      <c r="CL273" s="76"/>
      <c r="CM273" s="76"/>
      <c r="CN273" s="76"/>
      <c r="CO273" s="76"/>
      <c r="CP273" s="76"/>
      <c r="CQ273" s="76"/>
      <c r="CR273" s="76"/>
      <c r="CS273" s="76"/>
      <c r="CT273" s="76"/>
      <c r="CU273" s="76"/>
      <c r="CV273" s="76"/>
      <c r="CW273" s="76"/>
      <c r="CX273" s="76"/>
      <c r="CY273" s="76"/>
      <c r="CZ273" s="76"/>
      <c r="DA273" s="76"/>
      <c r="DB273" s="76"/>
      <c r="DC273" s="76"/>
      <c r="DD273" s="76"/>
      <c r="DE273" s="76"/>
      <c r="DF273" s="76"/>
      <c r="DG273" s="76"/>
      <c r="DH273" s="76"/>
      <c r="DI273" s="76"/>
      <c r="DJ273" s="76"/>
      <c r="DK273" s="76"/>
      <c r="DL273" s="76"/>
      <c r="DM273" s="76"/>
      <c r="DN273" s="76"/>
      <c r="DO273" s="76"/>
      <c r="DP273" s="76"/>
      <c r="DQ273" s="76"/>
      <c r="DR273" s="76"/>
      <c r="DS273" s="76"/>
      <c r="DT273" s="76"/>
    </row>
    <row r="274" hidden="1">
      <c r="B274" s="180"/>
      <c r="H274" s="222"/>
      <c r="I274" s="74"/>
      <c r="J274" s="74"/>
      <c r="K274" s="222"/>
      <c r="L274" s="74"/>
      <c r="M274" s="74"/>
      <c r="N274" s="222"/>
      <c r="O274" s="74"/>
      <c r="P274" s="74"/>
      <c r="Q274" s="222"/>
      <c r="R274" s="74"/>
      <c r="S274" s="74"/>
      <c r="T274" s="222"/>
      <c r="U274" s="74"/>
      <c r="V274" s="74"/>
      <c r="W274" s="222"/>
      <c r="X274" s="74"/>
      <c r="Y274" s="74"/>
      <c r="Z274" s="222"/>
      <c r="AA274" s="74"/>
      <c r="AB274" s="74"/>
      <c r="AC274" s="222"/>
      <c r="AD274" s="74"/>
      <c r="AE274" s="74"/>
      <c r="AF274" s="222"/>
      <c r="AG274" s="74"/>
      <c r="AH274" s="74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6"/>
      <c r="BS274" s="76"/>
      <c r="BT274" s="76"/>
      <c r="BU274" s="76"/>
      <c r="BV274" s="76"/>
      <c r="BW274" s="76"/>
      <c r="BX274" s="76"/>
      <c r="BY274" s="76"/>
      <c r="BZ274" s="76"/>
      <c r="CA274" s="76"/>
      <c r="CB274" s="76"/>
      <c r="CC274" s="76"/>
      <c r="CD274" s="76"/>
      <c r="CE274" s="76"/>
      <c r="CF274" s="76"/>
      <c r="CG274" s="76"/>
      <c r="CH274" s="76"/>
      <c r="CI274" s="76"/>
      <c r="CJ274" s="76"/>
      <c r="CK274" s="76"/>
      <c r="CL274" s="76"/>
      <c r="CM274" s="76"/>
      <c r="CN274" s="76"/>
      <c r="CO274" s="76"/>
      <c r="CP274" s="76"/>
      <c r="CQ274" s="76"/>
      <c r="CR274" s="76"/>
      <c r="CS274" s="76"/>
      <c r="CT274" s="76"/>
      <c r="CU274" s="76"/>
      <c r="CV274" s="76"/>
      <c r="CW274" s="76"/>
      <c r="CX274" s="76"/>
      <c r="CY274" s="76"/>
      <c r="CZ274" s="76"/>
      <c r="DA274" s="76"/>
      <c r="DB274" s="76"/>
      <c r="DC274" s="76"/>
      <c r="DD274" s="76"/>
      <c r="DE274" s="76"/>
      <c r="DF274" s="76"/>
      <c r="DG274" s="76"/>
      <c r="DH274" s="76"/>
      <c r="DI274" s="76"/>
      <c r="DJ274" s="76"/>
      <c r="DK274" s="76"/>
      <c r="DL274" s="76"/>
      <c r="DM274" s="76"/>
      <c r="DN274" s="76"/>
      <c r="DO274" s="76"/>
      <c r="DP274" s="76"/>
      <c r="DQ274" s="76"/>
      <c r="DR274" s="76"/>
      <c r="DS274" s="76"/>
      <c r="DT274" s="76"/>
    </row>
    <row r="275" hidden="1">
      <c r="B275" s="180"/>
      <c r="H275" s="222"/>
      <c r="I275" s="74"/>
      <c r="J275" s="74"/>
      <c r="K275" s="222"/>
      <c r="L275" s="74"/>
      <c r="M275" s="74"/>
      <c r="N275" s="222"/>
      <c r="O275" s="74"/>
      <c r="P275" s="74"/>
      <c r="Q275" s="222"/>
      <c r="R275" s="74"/>
      <c r="S275" s="74"/>
      <c r="T275" s="222"/>
      <c r="U275" s="74"/>
      <c r="V275" s="74"/>
      <c r="W275" s="222"/>
      <c r="X275" s="74"/>
      <c r="Y275" s="74"/>
      <c r="Z275" s="222"/>
      <c r="AA275" s="74"/>
      <c r="AB275" s="74"/>
      <c r="AC275" s="222"/>
      <c r="AD275" s="74"/>
      <c r="AE275" s="74"/>
      <c r="AF275" s="222"/>
      <c r="AG275" s="74"/>
      <c r="AH275" s="74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6"/>
      <c r="BQ275" s="76"/>
      <c r="BR275" s="76"/>
      <c r="BS275" s="76"/>
      <c r="BT275" s="76"/>
      <c r="BU275" s="76"/>
      <c r="BV275" s="76"/>
      <c r="BW275" s="76"/>
      <c r="BX275" s="76"/>
      <c r="BY275" s="76"/>
      <c r="BZ275" s="76"/>
      <c r="CA275" s="76"/>
      <c r="CB275" s="76"/>
      <c r="CC275" s="76"/>
      <c r="CD275" s="76"/>
      <c r="CE275" s="76"/>
      <c r="CF275" s="76"/>
      <c r="CG275" s="76"/>
      <c r="CH275" s="76"/>
      <c r="CI275" s="76"/>
      <c r="CJ275" s="76"/>
      <c r="CK275" s="76"/>
      <c r="CL275" s="76"/>
      <c r="CM275" s="76"/>
      <c r="CN275" s="76"/>
      <c r="CO275" s="76"/>
      <c r="CP275" s="76"/>
      <c r="CQ275" s="76"/>
      <c r="CR275" s="76"/>
      <c r="CS275" s="76"/>
      <c r="CT275" s="76"/>
      <c r="CU275" s="76"/>
      <c r="CV275" s="76"/>
      <c r="CW275" s="76"/>
      <c r="CX275" s="76"/>
      <c r="CY275" s="76"/>
      <c r="CZ275" s="76"/>
      <c r="DA275" s="76"/>
      <c r="DB275" s="76"/>
      <c r="DC275" s="76"/>
      <c r="DD275" s="76"/>
      <c r="DE275" s="76"/>
      <c r="DF275" s="76"/>
      <c r="DG275" s="76"/>
      <c r="DH275" s="76"/>
      <c r="DI275" s="76"/>
      <c r="DJ275" s="76"/>
      <c r="DK275" s="76"/>
      <c r="DL275" s="76"/>
      <c r="DM275" s="76"/>
      <c r="DN275" s="76"/>
      <c r="DO275" s="76"/>
      <c r="DP275" s="76"/>
      <c r="DQ275" s="76"/>
      <c r="DR275" s="76"/>
      <c r="DS275" s="76"/>
      <c r="DT275" s="76"/>
    </row>
    <row r="276" hidden="1">
      <c r="B276" s="180"/>
      <c r="H276" s="222"/>
      <c r="I276" s="74"/>
      <c r="J276" s="74"/>
      <c r="K276" s="222"/>
      <c r="L276" s="74"/>
      <c r="M276" s="74"/>
      <c r="N276" s="222"/>
      <c r="O276" s="74"/>
      <c r="P276" s="74"/>
      <c r="Q276" s="222"/>
      <c r="R276" s="74"/>
      <c r="S276" s="74"/>
      <c r="T276" s="222"/>
      <c r="U276" s="74"/>
      <c r="V276" s="74"/>
      <c r="W276" s="222"/>
      <c r="X276" s="74"/>
      <c r="Y276" s="74"/>
      <c r="Z276" s="222"/>
      <c r="AA276" s="74"/>
      <c r="AB276" s="74"/>
      <c r="AC276" s="222"/>
      <c r="AD276" s="74"/>
      <c r="AE276" s="74"/>
      <c r="AF276" s="222"/>
      <c r="AG276" s="74"/>
      <c r="AH276" s="74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6"/>
      <c r="BQ276" s="76"/>
      <c r="BR276" s="76"/>
      <c r="BS276" s="76"/>
      <c r="BT276" s="76"/>
      <c r="BU276" s="76"/>
      <c r="BV276" s="76"/>
      <c r="BW276" s="76"/>
      <c r="BX276" s="76"/>
      <c r="BY276" s="76"/>
      <c r="BZ276" s="76"/>
      <c r="CA276" s="76"/>
      <c r="CB276" s="76"/>
      <c r="CC276" s="76"/>
      <c r="CD276" s="76"/>
      <c r="CE276" s="76"/>
      <c r="CF276" s="76"/>
      <c r="CG276" s="76"/>
      <c r="CH276" s="76"/>
      <c r="CI276" s="76"/>
      <c r="CJ276" s="76"/>
      <c r="CK276" s="76"/>
      <c r="CL276" s="76"/>
      <c r="CM276" s="76"/>
      <c r="CN276" s="76"/>
      <c r="CO276" s="76"/>
      <c r="CP276" s="76"/>
      <c r="CQ276" s="76"/>
      <c r="CR276" s="76"/>
      <c r="CS276" s="76"/>
      <c r="CT276" s="76"/>
      <c r="CU276" s="76"/>
      <c r="CV276" s="76"/>
      <c r="CW276" s="76"/>
      <c r="CX276" s="76"/>
      <c r="CY276" s="76"/>
      <c r="CZ276" s="76"/>
      <c r="DA276" s="76"/>
      <c r="DB276" s="76"/>
      <c r="DC276" s="76"/>
      <c r="DD276" s="76"/>
      <c r="DE276" s="76"/>
      <c r="DF276" s="76"/>
      <c r="DG276" s="76"/>
      <c r="DH276" s="76"/>
      <c r="DI276" s="76"/>
      <c r="DJ276" s="76"/>
      <c r="DK276" s="76"/>
      <c r="DL276" s="76"/>
      <c r="DM276" s="76"/>
      <c r="DN276" s="76"/>
      <c r="DO276" s="76"/>
      <c r="DP276" s="76"/>
      <c r="DQ276" s="76"/>
      <c r="DR276" s="76"/>
      <c r="DS276" s="76"/>
      <c r="DT276" s="76"/>
    </row>
    <row r="277" hidden="1">
      <c r="B277" s="180"/>
      <c r="H277" s="222"/>
      <c r="I277" s="74"/>
      <c r="J277" s="74"/>
      <c r="K277" s="222"/>
      <c r="L277" s="74"/>
      <c r="M277" s="74"/>
      <c r="N277" s="222"/>
      <c r="O277" s="74"/>
      <c r="P277" s="74"/>
      <c r="Q277" s="222"/>
      <c r="R277" s="74"/>
      <c r="S277" s="74"/>
      <c r="T277" s="222"/>
      <c r="U277" s="74"/>
      <c r="V277" s="74"/>
      <c r="W277" s="222"/>
      <c r="X277" s="74"/>
      <c r="Y277" s="74"/>
      <c r="Z277" s="222"/>
      <c r="AA277" s="74"/>
      <c r="AB277" s="74"/>
      <c r="AC277" s="222"/>
      <c r="AD277" s="74"/>
      <c r="AE277" s="74"/>
      <c r="AF277" s="222"/>
      <c r="AG277" s="74"/>
      <c r="AH277" s="74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  <c r="AZ277" s="76"/>
      <c r="BA277" s="76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6"/>
      <c r="BQ277" s="76"/>
      <c r="BR277" s="76"/>
      <c r="BS277" s="76"/>
      <c r="BT277" s="76"/>
      <c r="BU277" s="76"/>
      <c r="BV277" s="76"/>
      <c r="BW277" s="76"/>
      <c r="BX277" s="76"/>
      <c r="BY277" s="76"/>
      <c r="BZ277" s="76"/>
      <c r="CA277" s="76"/>
      <c r="CB277" s="76"/>
      <c r="CC277" s="76"/>
      <c r="CD277" s="76"/>
      <c r="CE277" s="76"/>
      <c r="CF277" s="76"/>
      <c r="CG277" s="76"/>
      <c r="CH277" s="76"/>
      <c r="CI277" s="76"/>
      <c r="CJ277" s="76"/>
      <c r="CK277" s="76"/>
      <c r="CL277" s="76"/>
      <c r="CM277" s="76"/>
      <c r="CN277" s="76"/>
      <c r="CO277" s="76"/>
      <c r="CP277" s="76"/>
      <c r="CQ277" s="76"/>
      <c r="CR277" s="76"/>
      <c r="CS277" s="76"/>
      <c r="CT277" s="76"/>
      <c r="CU277" s="76"/>
      <c r="CV277" s="76"/>
      <c r="CW277" s="76"/>
      <c r="CX277" s="76"/>
      <c r="CY277" s="76"/>
      <c r="CZ277" s="76"/>
      <c r="DA277" s="76"/>
      <c r="DB277" s="76"/>
      <c r="DC277" s="76"/>
      <c r="DD277" s="76"/>
      <c r="DE277" s="76"/>
      <c r="DF277" s="76"/>
      <c r="DG277" s="76"/>
      <c r="DH277" s="76"/>
      <c r="DI277" s="76"/>
      <c r="DJ277" s="76"/>
      <c r="DK277" s="76"/>
      <c r="DL277" s="76"/>
      <c r="DM277" s="76"/>
      <c r="DN277" s="76"/>
      <c r="DO277" s="76"/>
      <c r="DP277" s="76"/>
      <c r="DQ277" s="76"/>
      <c r="DR277" s="76"/>
      <c r="DS277" s="76"/>
      <c r="DT277" s="76"/>
    </row>
    <row r="278" hidden="1">
      <c r="B278" s="180"/>
      <c r="H278" s="222"/>
      <c r="I278" s="74"/>
      <c r="J278" s="74"/>
      <c r="K278" s="222"/>
      <c r="L278" s="74"/>
      <c r="M278" s="74"/>
      <c r="N278" s="222"/>
      <c r="O278" s="74"/>
      <c r="P278" s="74"/>
      <c r="Q278" s="222"/>
      <c r="R278" s="74"/>
      <c r="S278" s="74"/>
      <c r="T278" s="222"/>
      <c r="U278" s="74"/>
      <c r="V278" s="74"/>
      <c r="W278" s="222"/>
      <c r="X278" s="74"/>
      <c r="Y278" s="74"/>
      <c r="Z278" s="222"/>
      <c r="AA278" s="74"/>
      <c r="AB278" s="74"/>
      <c r="AC278" s="222"/>
      <c r="AD278" s="74"/>
      <c r="AE278" s="74"/>
      <c r="AF278" s="222"/>
      <c r="AG278" s="74"/>
      <c r="AH278" s="74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6"/>
      <c r="BQ278" s="76"/>
      <c r="BR278" s="76"/>
      <c r="BS278" s="76"/>
      <c r="BT278" s="76"/>
      <c r="BU278" s="76"/>
      <c r="BV278" s="76"/>
      <c r="BW278" s="76"/>
      <c r="BX278" s="76"/>
      <c r="BY278" s="76"/>
      <c r="BZ278" s="76"/>
      <c r="CA278" s="76"/>
      <c r="CB278" s="76"/>
      <c r="CC278" s="76"/>
      <c r="CD278" s="76"/>
      <c r="CE278" s="76"/>
      <c r="CF278" s="76"/>
      <c r="CG278" s="76"/>
      <c r="CH278" s="76"/>
      <c r="CI278" s="76"/>
      <c r="CJ278" s="76"/>
      <c r="CK278" s="76"/>
      <c r="CL278" s="76"/>
      <c r="CM278" s="76"/>
      <c r="CN278" s="76"/>
      <c r="CO278" s="76"/>
      <c r="CP278" s="76"/>
      <c r="CQ278" s="76"/>
      <c r="CR278" s="76"/>
      <c r="CS278" s="76"/>
      <c r="CT278" s="76"/>
      <c r="CU278" s="76"/>
      <c r="CV278" s="76"/>
      <c r="CW278" s="76"/>
      <c r="CX278" s="76"/>
      <c r="CY278" s="76"/>
      <c r="CZ278" s="76"/>
      <c r="DA278" s="76"/>
      <c r="DB278" s="76"/>
      <c r="DC278" s="76"/>
      <c r="DD278" s="76"/>
      <c r="DE278" s="76"/>
      <c r="DF278" s="76"/>
      <c r="DG278" s="76"/>
      <c r="DH278" s="76"/>
      <c r="DI278" s="76"/>
      <c r="DJ278" s="76"/>
      <c r="DK278" s="76"/>
      <c r="DL278" s="76"/>
      <c r="DM278" s="76"/>
      <c r="DN278" s="76"/>
      <c r="DO278" s="76"/>
      <c r="DP278" s="76"/>
      <c r="DQ278" s="76"/>
      <c r="DR278" s="76"/>
      <c r="DS278" s="76"/>
      <c r="DT278" s="76"/>
    </row>
    <row r="279" hidden="1">
      <c r="B279" s="180"/>
      <c r="H279" s="222"/>
      <c r="I279" s="74"/>
      <c r="J279" s="74"/>
      <c r="K279" s="222"/>
      <c r="L279" s="74"/>
      <c r="M279" s="74"/>
      <c r="N279" s="222"/>
      <c r="O279" s="74"/>
      <c r="P279" s="74"/>
      <c r="Q279" s="222"/>
      <c r="R279" s="74"/>
      <c r="S279" s="74"/>
      <c r="T279" s="222"/>
      <c r="U279" s="74"/>
      <c r="V279" s="74"/>
      <c r="W279" s="222"/>
      <c r="X279" s="74"/>
      <c r="Y279" s="74"/>
      <c r="Z279" s="222"/>
      <c r="AA279" s="74"/>
      <c r="AB279" s="74"/>
      <c r="AC279" s="222"/>
      <c r="AD279" s="74"/>
      <c r="AE279" s="74"/>
      <c r="AF279" s="222"/>
      <c r="AG279" s="74"/>
      <c r="AH279" s="74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  <c r="AZ279" s="76"/>
      <c r="BA279" s="76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  <c r="BP279" s="76"/>
      <c r="BQ279" s="76"/>
      <c r="BR279" s="76"/>
      <c r="BS279" s="76"/>
      <c r="BT279" s="76"/>
      <c r="BU279" s="76"/>
      <c r="BV279" s="76"/>
      <c r="BW279" s="76"/>
      <c r="BX279" s="76"/>
      <c r="BY279" s="76"/>
      <c r="BZ279" s="76"/>
      <c r="CA279" s="76"/>
      <c r="CB279" s="76"/>
      <c r="CC279" s="76"/>
      <c r="CD279" s="76"/>
      <c r="CE279" s="76"/>
      <c r="CF279" s="76"/>
      <c r="CG279" s="76"/>
      <c r="CH279" s="76"/>
      <c r="CI279" s="76"/>
      <c r="CJ279" s="76"/>
      <c r="CK279" s="76"/>
      <c r="CL279" s="76"/>
      <c r="CM279" s="76"/>
      <c r="CN279" s="76"/>
      <c r="CO279" s="76"/>
      <c r="CP279" s="76"/>
      <c r="CQ279" s="76"/>
      <c r="CR279" s="76"/>
      <c r="CS279" s="76"/>
      <c r="CT279" s="76"/>
      <c r="CU279" s="76"/>
      <c r="CV279" s="76"/>
      <c r="CW279" s="76"/>
      <c r="CX279" s="76"/>
      <c r="CY279" s="76"/>
      <c r="CZ279" s="76"/>
      <c r="DA279" s="76"/>
      <c r="DB279" s="76"/>
      <c r="DC279" s="76"/>
      <c r="DD279" s="76"/>
      <c r="DE279" s="76"/>
      <c r="DF279" s="76"/>
      <c r="DG279" s="76"/>
      <c r="DH279" s="76"/>
      <c r="DI279" s="76"/>
      <c r="DJ279" s="76"/>
      <c r="DK279" s="76"/>
      <c r="DL279" s="76"/>
      <c r="DM279" s="76"/>
      <c r="DN279" s="76"/>
      <c r="DO279" s="76"/>
      <c r="DP279" s="76"/>
      <c r="DQ279" s="76"/>
      <c r="DR279" s="76"/>
      <c r="DS279" s="76"/>
      <c r="DT279" s="76"/>
    </row>
    <row r="280" hidden="1">
      <c r="B280" s="180"/>
      <c r="H280" s="222"/>
      <c r="I280" s="74"/>
      <c r="J280" s="74"/>
      <c r="K280" s="222"/>
      <c r="L280" s="74"/>
      <c r="M280" s="74"/>
      <c r="N280" s="222"/>
      <c r="O280" s="74"/>
      <c r="P280" s="74"/>
      <c r="Q280" s="222"/>
      <c r="R280" s="74"/>
      <c r="S280" s="74"/>
      <c r="T280" s="222"/>
      <c r="U280" s="74"/>
      <c r="V280" s="74"/>
      <c r="W280" s="222"/>
      <c r="X280" s="74"/>
      <c r="Y280" s="74"/>
      <c r="Z280" s="222"/>
      <c r="AA280" s="74"/>
      <c r="AB280" s="74"/>
      <c r="AC280" s="222"/>
      <c r="AD280" s="74"/>
      <c r="AE280" s="74"/>
      <c r="AF280" s="222"/>
      <c r="AG280" s="74"/>
      <c r="AH280" s="74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  <c r="BP280" s="76"/>
      <c r="BQ280" s="76"/>
      <c r="BR280" s="76"/>
      <c r="BS280" s="76"/>
      <c r="BT280" s="76"/>
      <c r="BU280" s="76"/>
      <c r="BV280" s="76"/>
      <c r="BW280" s="76"/>
      <c r="BX280" s="76"/>
      <c r="BY280" s="76"/>
      <c r="BZ280" s="76"/>
      <c r="CA280" s="76"/>
      <c r="CB280" s="76"/>
      <c r="CC280" s="76"/>
      <c r="CD280" s="76"/>
      <c r="CE280" s="76"/>
      <c r="CF280" s="76"/>
      <c r="CG280" s="76"/>
      <c r="CH280" s="76"/>
      <c r="CI280" s="76"/>
      <c r="CJ280" s="76"/>
      <c r="CK280" s="76"/>
      <c r="CL280" s="76"/>
      <c r="CM280" s="76"/>
      <c r="CN280" s="76"/>
      <c r="CO280" s="76"/>
      <c r="CP280" s="76"/>
      <c r="CQ280" s="76"/>
      <c r="CR280" s="76"/>
      <c r="CS280" s="76"/>
      <c r="CT280" s="76"/>
      <c r="CU280" s="76"/>
      <c r="CV280" s="76"/>
      <c r="CW280" s="76"/>
      <c r="CX280" s="76"/>
      <c r="CY280" s="76"/>
      <c r="CZ280" s="76"/>
      <c r="DA280" s="76"/>
      <c r="DB280" s="76"/>
      <c r="DC280" s="76"/>
      <c r="DD280" s="76"/>
      <c r="DE280" s="76"/>
      <c r="DF280" s="76"/>
      <c r="DG280" s="76"/>
      <c r="DH280" s="76"/>
      <c r="DI280" s="76"/>
      <c r="DJ280" s="76"/>
      <c r="DK280" s="76"/>
      <c r="DL280" s="76"/>
      <c r="DM280" s="76"/>
      <c r="DN280" s="76"/>
      <c r="DO280" s="76"/>
      <c r="DP280" s="76"/>
      <c r="DQ280" s="76"/>
      <c r="DR280" s="76"/>
      <c r="DS280" s="76"/>
      <c r="DT280" s="76"/>
    </row>
    <row r="281" hidden="1">
      <c r="B281" s="180"/>
      <c r="H281" s="222"/>
      <c r="I281" s="74"/>
      <c r="J281" s="74"/>
      <c r="K281" s="222"/>
      <c r="L281" s="74"/>
      <c r="M281" s="74"/>
      <c r="N281" s="222"/>
      <c r="O281" s="74"/>
      <c r="P281" s="74"/>
      <c r="Q281" s="222"/>
      <c r="R281" s="74"/>
      <c r="S281" s="74"/>
      <c r="T281" s="222"/>
      <c r="U281" s="74"/>
      <c r="V281" s="74"/>
      <c r="W281" s="222"/>
      <c r="X281" s="74"/>
      <c r="Y281" s="74"/>
      <c r="Z281" s="222"/>
      <c r="AA281" s="74"/>
      <c r="AB281" s="74"/>
      <c r="AC281" s="222"/>
      <c r="AD281" s="74"/>
      <c r="AE281" s="74"/>
      <c r="AF281" s="222"/>
      <c r="AG281" s="74"/>
      <c r="AH281" s="74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  <c r="AZ281" s="76"/>
      <c r="BA281" s="76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6"/>
      <c r="BQ281" s="76"/>
      <c r="BR281" s="76"/>
      <c r="BS281" s="76"/>
      <c r="BT281" s="76"/>
      <c r="BU281" s="76"/>
      <c r="BV281" s="76"/>
      <c r="BW281" s="76"/>
      <c r="BX281" s="76"/>
      <c r="BY281" s="76"/>
      <c r="BZ281" s="76"/>
      <c r="CA281" s="76"/>
      <c r="CB281" s="76"/>
      <c r="CC281" s="76"/>
      <c r="CD281" s="76"/>
      <c r="CE281" s="76"/>
      <c r="CF281" s="76"/>
      <c r="CG281" s="76"/>
      <c r="CH281" s="76"/>
      <c r="CI281" s="76"/>
      <c r="CJ281" s="76"/>
      <c r="CK281" s="76"/>
      <c r="CL281" s="76"/>
      <c r="CM281" s="76"/>
      <c r="CN281" s="76"/>
      <c r="CO281" s="76"/>
      <c r="CP281" s="76"/>
      <c r="CQ281" s="76"/>
      <c r="CR281" s="76"/>
      <c r="CS281" s="76"/>
      <c r="CT281" s="76"/>
      <c r="CU281" s="76"/>
      <c r="CV281" s="76"/>
      <c r="CW281" s="76"/>
      <c r="CX281" s="76"/>
      <c r="CY281" s="76"/>
      <c r="CZ281" s="76"/>
      <c r="DA281" s="76"/>
      <c r="DB281" s="76"/>
      <c r="DC281" s="76"/>
      <c r="DD281" s="76"/>
      <c r="DE281" s="76"/>
      <c r="DF281" s="76"/>
      <c r="DG281" s="76"/>
      <c r="DH281" s="76"/>
      <c r="DI281" s="76"/>
      <c r="DJ281" s="76"/>
      <c r="DK281" s="76"/>
      <c r="DL281" s="76"/>
      <c r="DM281" s="76"/>
      <c r="DN281" s="76"/>
      <c r="DO281" s="76"/>
      <c r="DP281" s="76"/>
      <c r="DQ281" s="76"/>
      <c r="DR281" s="76"/>
      <c r="DS281" s="76"/>
      <c r="DT281" s="76"/>
    </row>
    <row r="282" hidden="1">
      <c r="B282" s="180"/>
      <c r="H282" s="222"/>
      <c r="I282" s="74"/>
      <c r="J282" s="74"/>
      <c r="K282" s="222"/>
      <c r="L282" s="74"/>
      <c r="M282" s="74"/>
      <c r="N282" s="222"/>
      <c r="O282" s="74"/>
      <c r="P282" s="74"/>
      <c r="Q282" s="222"/>
      <c r="R282" s="74"/>
      <c r="S282" s="74"/>
      <c r="T282" s="222"/>
      <c r="U282" s="74"/>
      <c r="V282" s="74"/>
      <c r="W282" s="222"/>
      <c r="X282" s="74"/>
      <c r="Y282" s="74"/>
      <c r="Z282" s="222"/>
      <c r="AA282" s="74"/>
      <c r="AB282" s="74"/>
      <c r="AC282" s="222"/>
      <c r="AD282" s="74"/>
      <c r="AE282" s="74"/>
      <c r="AF282" s="222"/>
      <c r="AG282" s="74"/>
      <c r="AH282" s="74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6"/>
      <c r="BQ282" s="76"/>
      <c r="BR282" s="76"/>
      <c r="BS282" s="76"/>
      <c r="BT282" s="76"/>
      <c r="BU282" s="76"/>
      <c r="BV282" s="76"/>
      <c r="BW282" s="76"/>
      <c r="BX282" s="76"/>
      <c r="BY282" s="76"/>
      <c r="BZ282" s="76"/>
      <c r="CA282" s="76"/>
      <c r="CB282" s="76"/>
      <c r="CC282" s="76"/>
      <c r="CD282" s="76"/>
      <c r="CE282" s="76"/>
      <c r="CF282" s="76"/>
      <c r="CG282" s="76"/>
      <c r="CH282" s="76"/>
      <c r="CI282" s="76"/>
      <c r="CJ282" s="76"/>
      <c r="CK282" s="76"/>
      <c r="CL282" s="76"/>
      <c r="CM282" s="76"/>
      <c r="CN282" s="76"/>
      <c r="CO282" s="76"/>
      <c r="CP282" s="76"/>
      <c r="CQ282" s="76"/>
      <c r="CR282" s="76"/>
      <c r="CS282" s="76"/>
      <c r="CT282" s="76"/>
      <c r="CU282" s="76"/>
      <c r="CV282" s="76"/>
      <c r="CW282" s="76"/>
      <c r="CX282" s="76"/>
      <c r="CY282" s="76"/>
      <c r="CZ282" s="76"/>
      <c r="DA282" s="76"/>
      <c r="DB282" s="76"/>
      <c r="DC282" s="76"/>
      <c r="DD282" s="76"/>
      <c r="DE282" s="76"/>
      <c r="DF282" s="76"/>
      <c r="DG282" s="76"/>
      <c r="DH282" s="76"/>
      <c r="DI282" s="76"/>
      <c r="DJ282" s="76"/>
      <c r="DK282" s="76"/>
      <c r="DL282" s="76"/>
      <c r="DM282" s="76"/>
      <c r="DN282" s="76"/>
      <c r="DO282" s="76"/>
      <c r="DP282" s="76"/>
      <c r="DQ282" s="76"/>
      <c r="DR282" s="76"/>
      <c r="DS282" s="76"/>
      <c r="DT282" s="76"/>
    </row>
  </sheetData>
  <mergeCells count="21">
    <mergeCell ref="A5:A20"/>
    <mergeCell ref="A21:A48"/>
    <mergeCell ref="A49:A56"/>
    <mergeCell ref="A57:A66"/>
    <mergeCell ref="A67:A77"/>
    <mergeCell ref="A78:A89"/>
    <mergeCell ref="A90:A98"/>
    <mergeCell ref="A183:A196"/>
    <mergeCell ref="A197:A207"/>
    <mergeCell ref="A208:A218"/>
    <mergeCell ref="A219:A228"/>
    <mergeCell ref="A229:A237"/>
    <mergeCell ref="A238:A248"/>
    <mergeCell ref="A249:A261"/>
    <mergeCell ref="A99:A112"/>
    <mergeCell ref="A113:A126"/>
    <mergeCell ref="A127:A140"/>
    <mergeCell ref="A141:A150"/>
    <mergeCell ref="A151:A162"/>
    <mergeCell ref="A163:A170"/>
    <mergeCell ref="A172:A182"/>
  </mergeCells>
  <conditionalFormatting sqref="AR1:BO282 CB1:CJ282 AF2:AQ282 H5:AE282 BP5:CA282 CK5:DT282">
    <cfRule type="expression" dxfId="0" priority="1">
      <formula>AR1=SMALL(AR$5:AR282,1)</formula>
    </cfRule>
  </conditionalFormatting>
  <conditionalFormatting sqref="AR1:BO282 CB1:CJ282 AF2:AQ282 H5:AE282 BP5:CA282 CK5:DT282">
    <cfRule type="expression" dxfId="1" priority="2">
      <formula>AND(AR1=SMALL(AR$5:AR282,2),AR1&lt;2*SMALL(AR$5:AR282,1))</formula>
    </cfRule>
  </conditionalFormatting>
  <conditionalFormatting sqref="AR1:BO282 CB1:CJ282 AF2:AQ282 H5:AE282 BP5:CA282 CK5:DT282">
    <cfRule type="expression" dxfId="2" priority="3">
      <formula>AND(AR1=SMALL(AR$5:AR282,3),AR1&lt;2*SMALL(AR$5:AR282,1))</formula>
    </cfRule>
  </conditionalFormatting>
  <hyperlinks>
    <hyperlink r:id="rId1" location="Ember_Gathering_.28Lances.2FKilling.29" ref="D5"/>
    <hyperlink r:id="rId2" location="Ember_Gathering_.28Lances.2FKilling.29" ref="D6"/>
    <hyperlink r:id="rId3" location="Ember_Gathering_.28Lances.2FKilling.29" ref="D7"/>
    <hyperlink r:id="rId4" location="Ember_Gathering_.28Lances.2FKilling.29" ref="D8"/>
    <hyperlink r:id="rId5" location="Ember_Gathering_.28Swords.2FCavalry.29" ref="D9"/>
    <hyperlink r:id="rId6" location="Ember_Gathering_.28Swords.2FCavalry.29" ref="D10"/>
    <hyperlink r:id="rId7" location="Ember_Gathering_.28Swords.2FCavalry.29" ref="D11"/>
    <hyperlink r:id="rId8" location="Ember_Gathering_.28Swords.2FCavalry.29" ref="D12"/>
    <hyperlink r:id="rId9" location="Ember_Gathering_.28Bows.2FSpells.29" ref="D13"/>
    <hyperlink r:id="rId10" location="Ember_Gathering_.28Bows.2FSpells.29" ref="D14"/>
    <hyperlink r:id="rId11" location="Ember_Gathering_.28Bows.2FSpells.29" ref="D15"/>
    <hyperlink r:id="rId12" location="Ember_Gathering_.28Bows.2FSpells.29" ref="D16"/>
    <hyperlink r:id="rId13" location="Ember_Gathering_.28ALL_Class.29" ref="D17"/>
    <hyperlink r:id="rId14" location="Ember_Gathering_.28ALL_Class.29" ref="D18"/>
    <hyperlink r:id="rId15" location="Ember_Gathering_.28ALL_Class.29" ref="D19"/>
    <hyperlink r:id="rId16" location="Ember_Gathering_.28ALL_Class.29" ref="D20"/>
    <hyperlink r:id="rId17" location="Archery_Training_Field" ref="D21"/>
    <hyperlink r:id="rId18" location="Archery_Training_Field" ref="D22"/>
    <hyperlink r:id="rId19" location="Archery_Training_Field" ref="D23"/>
    <hyperlink r:id="rId20" location="Archery_Training_Field" ref="D24"/>
    <hyperlink r:id="rId21" location="Spear_Training_Field" ref="D25"/>
    <hyperlink r:id="rId22" location="Spear_Training_Field" ref="D26"/>
    <hyperlink r:id="rId23" location="Spear_Training_Field" ref="D27"/>
    <hyperlink r:id="rId24" location="Spear_Training_Field" ref="D28"/>
    <hyperlink r:id="rId25" location="Mad_Training_Field" ref="D29"/>
    <hyperlink r:id="rId26" location="Mad_Training_Field" ref="D30"/>
    <hyperlink r:id="rId27" location="Mad_Training_Field" ref="D31"/>
    <hyperlink r:id="rId28" location="Mad_Training_Field" ref="D32"/>
    <hyperlink r:id="rId29" location="Cavalry_Training_Field" ref="D33"/>
    <hyperlink r:id="rId30" location="Cavalry_Training_Field" ref="D34"/>
    <hyperlink r:id="rId31" location="Cavalry_Training_Field" ref="D35"/>
    <hyperlink r:id="rId32" location="Cavalry_Training_Field" ref="D36"/>
    <hyperlink r:id="rId33" location="Magic_Training_Field" ref="D37"/>
    <hyperlink r:id="rId34" location="Magic_Training_Field" ref="D38"/>
    <hyperlink r:id="rId35" location="Magic_Training_Field" ref="D39"/>
    <hyperlink r:id="rId36" location="Magic_Training_Field" ref="D40"/>
    <hyperlink r:id="rId37" location="Killing_Training_Field" ref="D41"/>
    <hyperlink r:id="rId38" location="Killing_Training_Field" ref="D42"/>
    <hyperlink r:id="rId39" location="Killing_Training_Field" ref="D43"/>
    <hyperlink r:id="rId40" location="Killing_Training_Field" ref="D44"/>
    <hyperlink r:id="rId41" location="Sword_Training_Field" ref="D45"/>
    <hyperlink r:id="rId42" location="Sword_Training_Field" ref="D46"/>
    <hyperlink r:id="rId43" location="Sword_Training_Field" ref="D47"/>
    <hyperlink r:id="rId44" location="Sword_Training_Field" ref="D48"/>
    <hyperlink r:id="rId45" location="Unknown_Coordinates_X-A" ref="D49"/>
    <hyperlink r:id="rId46" location="Unknown_Coordinates_X-B" ref="D50"/>
    <hyperlink r:id="rId47" location="Unknown_Coordinates_X-C" ref="D51"/>
    <hyperlink r:id="rId48" location="Unknown_Coordinates_X-D" ref="D52"/>
    <hyperlink r:id="rId49" location="Unknown_Coordinates_X-E" ref="D53"/>
    <hyperlink r:id="rId50" location="Unknown_Coordinates_X-F" ref="D54"/>
    <hyperlink r:id="rId51" location="Unknown_Coordinates_X-G" ref="D55"/>
    <hyperlink r:id="rId52" location="Mobile_Coordinates.2C_Point_0" ref="D56"/>
    <hyperlink r:id="rId53" location="Domr.C3.A9my" ref="D57"/>
    <hyperlink r:id="rId54" location="Vaucouleurs" ref="D58"/>
    <hyperlink r:id="rId55" location="La_Charit.C3.A9" ref="D59"/>
    <hyperlink r:id="rId56" location="Jura" ref="D60"/>
    <hyperlink r:id="rId57" location="Lyon" ref="D61"/>
    <hyperlink r:id="rId58" location="Marseille" ref="D62"/>
    <hyperlink r:id="rId59" location="Thiers" ref="D63"/>
    <hyperlink r:id="rId60" location="Bordeaux" ref="D64"/>
    <hyperlink r:id="rId61" location="Orleans" ref="D65"/>
    <hyperlink r:id="rId62" location="Paris" ref="D66"/>
    <hyperlink r:id="rId63" location="Appia_Road" ref="D67"/>
    <hyperlink r:id="rId64" location="Rome" ref="D68"/>
    <hyperlink r:id="rId65" location="Mt._Etna" ref="D69"/>
    <hyperlink r:id="rId66" location="Florence" ref="D70"/>
    <hyperlink r:id="rId67" location="Mediolanum" ref="D71"/>
    <hyperlink r:id="rId68" location="Germania" ref="D72"/>
    <hyperlink r:id="rId69" location="Massilia" ref="D73"/>
    <hyperlink r:id="rId70" location="Gaul" ref="D74"/>
    <hyperlink r:id="rId71" location="Britannia" ref="D75"/>
    <hyperlink r:id="rId72" location="Shaped_Isle" ref="D76"/>
    <hyperlink r:id="rId73" location="Alliance_Capital" ref="D77"/>
    <hyperlink r:id="rId74" location="Pirate_Ship" ref="D78"/>
    <hyperlink r:id="rId75" location="Pirate_Island" ref="D79"/>
    <hyperlink r:id="rId76" location="King.27s_Abode_Island" ref="D80"/>
    <hyperlink r:id="rId77" location="Mapped_Island" ref="D81"/>
    <hyperlink r:id="rId78" location="Sunken_Rock_Seas" ref="D82"/>
    <hyperlink r:id="rId79" location="Two-Current_Sea" ref="D83"/>
    <hyperlink r:id="rId80" location="Island_of_Wyverns" ref="D84"/>
    <hyperlink r:id="rId81" location="Caldera_Island" ref="D85"/>
    <hyperlink r:id="rId82" location="Stormy_Seas" ref="D86"/>
    <hyperlink r:id="rId83" location="Archipelago" ref="D87"/>
    <hyperlink r:id="rId84" location="Archipelago" ref="D88"/>
    <hyperlink r:id="rId85" location="Bountiful_Sea" ref="D89"/>
    <hyperlink r:id="rId86" location="Old_Street" ref="D90"/>
    <hyperlink r:id="rId87" location="Whitechapel" ref="D91"/>
    <hyperlink r:id="rId88" location="City_Of_London" ref="D92"/>
    <hyperlink r:id="rId89" location="SOHO" ref="D93"/>
    <hyperlink r:id="rId90" location="Westminster_.2F_City_of_Westminster" ref="D94"/>
    <hyperlink r:id="rId91" location="Regent_Park" ref="D95"/>
    <hyperlink r:id="rId92" location="Clerkenwell" ref="D96"/>
    <hyperlink r:id="rId93" location="Southwark_.2F_Borough_of_Southwark" ref="D97"/>
    <hyperlink r:id="rId94" location="Hyde_Park" ref="D98"/>
    <hyperlink r:id="rId95" location="Black_Hills" ref="D99"/>
    <hyperlink r:id="rId96" location="Riverton" ref="D100"/>
    <hyperlink r:id="rId97" location="Denver" ref="D101"/>
    <hyperlink r:id="rId98" location="Deming" ref="D102"/>
    <hyperlink r:id="rId99" location="Dallas" ref="D103"/>
    <hyperlink r:id="rId100" location="Alcatraz" ref="D104"/>
    <hyperlink r:id="rId101" location="Des_Moines" ref="D105"/>
    <hyperlink r:id="rId102" location="Montgomery" ref="D106"/>
    <hyperlink r:id="rId103" location="Lubbock" ref="D107"/>
    <hyperlink r:id="rId104" location="Alexandria" ref="D108"/>
    <hyperlink r:id="rId105" location="Kearney" ref="D109"/>
    <hyperlink r:id="rId106" location="Charlotte" ref="D110"/>
    <hyperlink r:id="rId107" location="Washington" ref="D111"/>
    <hyperlink r:id="rId108" location="Chicago" ref="D112"/>
    <hyperlink r:id="rId109" location="Desert_Sandstorm" ref="D113"/>
    <hyperlink r:id="rId110" location="Dunes_of_Daybreak" ref="D114"/>
    <hyperlink r:id="rId111" location="Wilderness_of_Death" ref="D115"/>
    <hyperlink r:id="rId112" location="Eastern_Village" ref="D116"/>
    <hyperlink r:id="rId113" location="Round_Table_Fortress" ref="D117"/>
    <hyperlink r:id="rId114" location="Evening_Bell_Mausoleum" ref="D118"/>
    <hyperlink r:id="rId115" location="Remnants_of_Western_Village" ref="D119"/>
    <hyperlink r:id="rId116" location="Atlas_Academy" ref="D120"/>
    <hyperlink r:id="rId117" location="Holy_City_Main_Entrance" ref="D121"/>
    <hyperlink r:id="rId118" location="Holy_City_Districts" ref="D122"/>
    <hyperlink r:id="rId119" location="Concealed_Village" ref="D123"/>
    <hyperlink r:id="rId120" location="Sovereign_Castle" ref="D124"/>
    <hyperlink r:id="rId121" location="Vast_Land_of_Nothingness" ref="D125"/>
    <hyperlink r:id="rId122" location="Great_Temple" ref="D126"/>
    <hyperlink r:id="rId123" location="Abolished_Metropolis_Babylon" ref="D127"/>
    <hyperlink r:id="rId124" location="Northern_Hill" ref="D128"/>
    <hyperlink r:id="rId125" location="Black_Cedar_Forest" ref="D129"/>
    <hyperlink r:id="rId126" location="Plateau" ref="D130"/>
    <hyperlink r:id="rId127" location="Marshland.2FBog" ref="D131"/>
    <hyperlink r:id="rId128" location="Ur" ref="D132"/>
    <hyperlink r:id="rId129" location="Eridu" ref="D133"/>
    <hyperlink r:id="rId130" location="Observatory" ref="D134"/>
    <hyperlink r:id="rId131" location="Phragmites_Prairie_.2F_Field_of_Reeds" ref="D135"/>
    <hyperlink r:id="rId132" location="Cuthah" ref="D136"/>
    <hyperlink r:id="rId133" location="Northern_Wall" ref="D137"/>
    <hyperlink r:id="rId134" location="Nippur" ref="D138"/>
    <hyperlink r:id="rId135" location="Mount_Ahv.C4.81z" ref="D139"/>
    <hyperlink r:id="rId136" location="Blood_Fort_Andromeda" ref="D140"/>
    <hyperlink r:id="rId137" location="Yoyogi_2-chome" ref="D141"/>
    <hyperlink r:id="rId138" location="Japan_National_Route_20" ref="D142"/>
    <hyperlink r:id="rId139" location="Shinjuku_Station" ref="D143"/>
    <hyperlink r:id="rId140" location="Shinjuku_4-chome" ref="D144"/>
    <hyperlink r:id="rId141" location="Kabukich.C5.8D" ref="D145"/>
    <hyperlink r:id="rId142" location="Barrel_Tower" ref="D146"/>
    <hyperlink r:id="rId143" location="Party_Hall" ref="D147"/>
    <hyperlink r:id="rId144" location="Tower.27s_Top_Floor" ref="D148"/>
    <hyperlink r:id="rId145" location="Shinjuku_Imperial_Garden" ref="D149"/>
    <hyperlink r:id="rId146" location="Shinjuku_2-chome" ref="D150"/>
    <hyperlink r:id="rId147" location="Underground_Plains" ref="D151"/>
    <hyperlink r:id="rId148" location="Camping_Ground" ref="D152"/>
    <hyperlink r:id="rId149" location="Riverside_Town" ref="D153"/>
    <hyperlink r:id="rId150" location="Peach_Blossom_Shangri-La" ref="D154"/>
    <hyperlink r:id="rId151" location="Ys" ref="D155"/>
    <hyperlink r:id="rId152" location="Northern_Cliffs" ref="D156"/>
    <hyperlink r:id="rId153" location="Nightless_City" ref="D157"/>
    <hyperlink r:id="rId154" location="Foothills_Jungle" ref="D158"/>
    <hyperlink r:id="rId155" location="Dragon_Palace" ref="D159"/>
    <hyperlink r:id="rId156" location="Great_Underground_River" ref="D160"/>
    <hyperlink r:id="rId157" location="El_Dorado" ref="D161"/>
    <hyperlink r:id="rId158" location="Chasm_in_the_Earth" ref="D162"/>
    <hyperlink r:id="rId159" location="Rice_Field" ref="D163"/>
    <hyperlink r:id="rId160" location="Village" ref="D164"/>
    <hyperlink r:id="rId161" location="Monastery" ref="D165"/>
    <hyperlink r:id="rId162" location="Castle_Town" ref="D166"/>
    <hyperlink r:id="rId163" location="Battlefield" ref="D167"/>
    <hyperlink r:id="rId164" location="Toke_Castle" ref="D168"/>
    <hyperlink r:id="rId165" location="Rear_Mountain" ref="D169"/>
    <hyperlink r:id="rId166" location="Arakawa_Prairie" ref="D170"/>
    <hyperlink r:id="rId167" location="Rear_Mountain" ref="D171"/>
    <hyperlink r:id="rId168" location="Quiet_Forest" ref="D172"/>
    <hyperlink r:id="rId169" location="Carter_House" ref="D173"/>
    <hyperlink r:id="rId170" location="Town_Hall" ref="D174"/>
    <hyperlink r:id="rId171" location="Quay" ref="D175"/>
    <hyperlink r:id="rId172" location="Whateley_House" ref="D176"/>
    <hyperlink r:id="rId173" location="Suburb_Mansion" ref="D177"/>
    <hyperlink r:id="rId174" location="Gallow_Hill" ref="D178"/>
    <hyperlink r:id="rId175" location="Meadows" ref="D179"/>
    <hyperlink r:id="rId176" location="Vacant_House" ref="D180"/>
    <hyperlink r:id="rId177" location="Refuge" ref="D181"/>
    <hyperlink r:id="rId178" location="Jail" ref="D182"/>
    <hyperlink r:id="rId179" location="Anchor_Point" ref="D183"/>
    <hyperlink r:id="rId180" location="Yaga_Smolensk" ref="D184"/>
    <hyperlink r:id="rId181" location="Icicles_Grotto" ref="D185"/>
    <hyperlink r:id="rId182" location="Rebellion_Army.27s_Stronghold" ref="D186"/>
    <hyperlink r:id="rId183" location="Yaga_Sychyovka" ref="D187"/>
    <hyperlink r:id="rId184" location="Devastated_Village" ref="D188"/>
    <hyperlink r:id="rId185" location="Yaga_Vyazma" ref="D189"/>
    <hyperlink r:id="rId186" location="Yaga_Demensk" ref="D190"/>
    <hyperlink r:id="rId187" location="Yaga_Tula" ref="D191"/>
    <hyperlink r:id="rId188" location="Trampled_Village" ref="D192"/>
    <hyperlink r:id="rId189" location="Yaga_Moscow" ref="D193"/>
    <hyperlink r:id="rId190" location="Great_Valley_Stronghold" ref="D194"/>
    <hyperlink r:id="rId191" location="Foundation_of_a_Giant_Tree" ref="D195"/>
    <hyperlink r:id="rId192" location="Yaga_Ryazan" ref="D196"/>
    <hyperlink r:id="rId193" location="Landing_Point" ref="D197"/>
    <hyperlink r:id="rId194" location="Knoll_of_Thin_Ice" ref="D198"/>
    <hyperlink r:id="rId195" location="Giants.27_Flower_Patio" ref="D199"/>
    <hyperlink r:id="rId196" location="23rd_Settlement" ref="D200"/>
    <hyperlink r:id="rId197" location="Heroes.27_Cellar" ref="D201"/>
    <hyperlink r:id="rId198" location="Castle_of_Ice_and_Snow" ref="D202"/>
    <hyperlink r:id="rId199" location="Pathway_Towards_The_Peak" ref="D203"/>
    <hyperlink r:id="rId200" location="Ablazed_Mansion" ref="D204"/>
    <hyperlink r:id="rId201" location="67th_Settlement" ref="D205"/>
    <hyperlink r:id="rId202" location="Northern_Boundary" ref="D206"/>
    <hyperlink r:id="rId203" location="Forgotten_Temple" ref="D207"/>
    <hyperlink r:id="rId204" location="Seeding_Point" ref="D208"/>
    <hyperlink r:id="rId205" location="Neighbouring_Village" ref="D209"/>
    <hyperlink r:id="rId206" location="Icy_Cold_Grotto" ref="D210"/>
    <hyperlink r:id="rId207" location="Akuta.27s_Encampment" ref="D211"/>
    <hyperlink r:id="rId208" location="Jing_Yangyuan" ref="D212"/>
    <hyperlink r:id="rId209" location="Shanyang_Knoll" ref="D213"/>
    <hyperlink r:id="rId210" location="Detention_Centre" ref="D214"/>
    <hyperlink r:id="rId211" location="Shiquan_Gorge" ref="D215"/>
    <hyperlink r:id="rId212" location="Dapingyu" ref="D216"/>
    <hyperlink r:id="rId213" location="Xianyang" ref="D217"/>
    <hyperlink r:id="rId214" location="Eight_Gates_Cave" ref="D218"/>
    <hyperlink r:id="rId215" location="Initiate_Point" ref="D219"/>
    <hyperlink r:id="rId216" location="Bich" ref="D220"/>
    <hyperlink r:id="rId217" location="Secluded_Grotto" ref="D221"/>
    <hyperlink r:id="rId218" location="Northern_Sacred_Mountain" ref="D222"/>
    <hyperlink r:id="rId219" location="Western_Fault" ref="D223"/>
    <hyperlink r:id="rId220" location="Dewar" ref="D224"/>
    <hyperlink r:id="rId221" location="Remains_of_the_Divine_Floating_Rock" ref="D225"/>
    <hyperlink r:id="rId222" location="Southern_Street" ref="D226"/>
    <hyperlink r:id="rId223" location="Infinitude_Territory" ref="D227"/>
    <hyperlink r:id="rId224" location="Eastern_Puspavatika" ref="D228"/>
    <hyperlink r:id="rId225" location="Sailing_Point" ref="D229"/>
    <hyperlink r:id="rId226" location="Hestia_Island" ref="D230"/>
    <hyperlink r:id="rId227" location="Hecate_Island" ref="D231"/>
    <hyperlink r:id="rId228" location="Deimos_Island" ref="D232"/>
    <hyperlink r:id="rId229" location="Astraea_Island" ref="D233"/>
    <hyperlink r:id="rId230" location="Tethys_Island" ref="D234"/>
    <hyperlink r:id="rId231" location="Eris_Island" ref="D235"/>
    <hyperlink r:id="rId232" location="Nemesis_Island" ref="D236"/>
    <hyperlink r:id="rId233" location="Thanatos_Island" ref="D237"/>
    <hyperlink r:id="rId234" location="Gliding_Point" ref="D238"/>
    <hyperlink r:id="rId235" location="Interstellar_City:_West" ref="D239"/>
    <hyperlink r:id="rId236" location="Interstellar_City:_South" ref="D240"/>
    <hyperlink r:id="rId237" location="Interstellar_City:_East" ref="D241"/>
    <hyperlink r:id="rId238" location="Grand_Workshop" ref="D242"/>
    <hyperlink r:id="rId239" location="God_Slayers_League_Base" ref="D243"/>
    <hyperlink r:id="rId240" location="Altar_District" ref="D244"/>
    <hyperlink r:id="rId241" location="Aerial_Garden" ref="D245"/>
    <hyperlink r:id="rId242" location="Machine_God.27s_Cloister" ref="D246"/>
    <hyperlink r:id="rId243" location="Grand_Altar" ref="D247"/>
    <hyperlink r:id="rId244" location="Underground_Organization_Region:_Outer_Circumference" ref="D248"/>
    <hyperlink r:id="rId245" location="J.C5.8D_Seven.2C_B.C5.8D_Four" ref="D249"/>
    <hyperlink r:id="rId246" location="J.C5.8D_Seven.2C_B.C5.8D_Two" ref="D250"/>
    <hyperlink r:id="rId247" location="J.C5.8D_Six.2C_Main_Street" ref="D251"/>
    <hyperlink r:id="rId248" location="Aristocrat.27s_Residence" ref="D252"/>
    <hyperlink r:id="rId249" location="Suzakumon" ref="D253"/>
    <hyperlink r:id="rId250" location="Heian_Imperial_Palace" ref="D254"/>
    <hyperlink r:id="rId251" location="Suzaku_Main_Street" ref="D255"/>
    <hyperlink r:id="rId252" location="Inari_Shrine" ref="D256"/>
    <hyperlink r:id="rId253" location="Imperial_Palace_Main_Street" ref="D257"/>
    <hyperlink r:id="rId254" location="Raik.C5.8D.27s_Residence" ref="D258"/>
    <hyperlink r:id="rId255" location="Goj.C5.8D_Bridge" ref="D259"/>
    <hyperlink r:id="rId256" location="Mount_.C5.8Ce" ref="D260"/>
    <hyperlink r:id="rId257" location="J.C5.8D_Three.2C_B.C5.8D_Three" ref="D261"/>
  </hyperlinks>
  <drawing r:id="rId258"/>
  <tableParts count="22">
    <tablePart r:id="rId281"/>
    <tablePart r:id="rId282"/>
    <tablePart r:id="rId283"/>
    <tablePart r:id="rId284"/>
    <tablePart r:id="rId285"/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  <tablePart r:id="rId299"/>
    <tablePart r:id="rId300"/>
    <tablePart r:id="rId301"/>
    <tablePart r:id="rId30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4.43" defaultRowHeight="15.75"/>
  <cols>
    <col customWidth="1" min="1" max="1" width="3.43"/>
    <col customWidth="1" hidden="1" min="2" max="2" width="7.71"/>
    <col customWidth="1" hidden="1" min="3" max="3" width="6.14"/>
    <col customWidth="1" min="4" max="4" width="32.29"/>
    <col customWidth="1" min="5" max="5" width="22.57"/>
    <col customWidth="1" min="6" max="7" width="6.29"/>
    <col customWidth="1" min="8" max="96" width="7.29"/>
    <col customWidth="1" hidden="1" min="97" max="122" width="7.29"/>
  </cols>
  <sheetData>
    <row r="1" hidden="1">
      <c r="A1" t="str">
        <f>IFERROR(__xludf.DUMMYFUNCTION("IMPORTRANGE('Setup Sheet'!C2,'Setup Sheet'!C7&amp;""!""&amp;'Setup Sheet'!F7)"),"")</f>
        <v/>
      </c>
      <c r="B1" t="str">
        <f>IFERROR(__xludf.DUMMYFUNCTION("""COMPUTED_VALUE"""),"ID")</f>
        <v>ID</v>
      </c>
      <c r="H1" s="73" t="str">
        <f>IFERROR(__xludf.DUMMYFUNCTION("""COMPUTED_VALUE"""),"A101")</f>
        <v>A101</v>
      </c>
      <c r="I1" t="str">
        <f>IFERROR(__xludf.DUMMYFUNCTION("""COMPUTED_VALUE"""),"A102")</f>
        <v>A102</v>
      </c>
      <c r="J1" t="str">
        <f>IFERROR(__xludf.DUMMYFUNCTION("""COMPUTED_VALUE"""),"A103")</f>
        <v>A103</v>
      </c>
      <c r="K1" t="str">
        <f>IFERROR(__xludf.DUMMYFUNCTION("""COMPUTED_VALUE"""),"A104")</f>
        <v>A104</v>
      </c>
      <c r="L1" t="str">
        <f>IFERROR(__xludf.DUMMYFUNCTION("""COMPUTED_VALUE"""),"A105")</f>
        <v>A105</v>
      </c>
      <c r="M1" t="str">
        <f>IFERROR(__xludf.DUMMYFUNCTION("""COMPUTED_VALUE"""),"A106")</f>
        <v>A106</v>
      </c>
      <c r="N1" t="str">
        <f>IFERROR(__xludf.DUMMYFUNCTION("""COMPUTED_VALUE"""),"A107")</f>
        <v>A107</v>
      </c>
      <c r="O1" t="str">
        <f>IFERROR(__xludf.DUMMYFUNCTION("""COMPUTED_VALUE"""),"A108")</f>
        <v>A108</v>
      </c>
      <c r="P1" t="str">
        <f>IFERROR(__xludf.DUMMYFUNCTION("""COMPUTED_VALUE"""),"A109")</f>
        <v>A109</v>
      </c>
      <c r="Q1" t="str">
        <f>IFERROR(__xludf.DUMMYFUNCTION("""COMPUTED_VALUE"""),"A110")</f>
        <v>A110</v>
      </c>
      <c r="R1" t="str">
        <f>IFERROR(__xludf.DUMMYFUNCTION("""COMPUTED_VALUE"""),"A111")</f>
        <v>A111</v>
      </c>
      <c r="S1" t="str">
        <f>IFERROR(__xludf.DUMMYFUNCTION("""COMPUTED_VALUE"""),"A112")</f>
        <v>A112</v>
      </c>
      <c r="T1" t="str">
        <f>IFERROR(__xludf.DUMMYFUNCTION("""COMPUTED_VALUE"""),"A113")</f>
        <v>A113</v>
      </c>
      <c r="U1" t="str">
        <f>IFERROR(__xludf.DUMMYFUNCTION("""COMPUTED_VALUE"""),"A114")</f>
        <v>A114</v>
      </c>
      <c r="V1" t="str">
        <f>IFERROR(__xludf.DUMMYFUNCTION("""COMPUTED_VALUE"""),"A115")</f>
        <v>A115</v>
      </c>
      <c r="W1" t="str">
        <f>IFERROR(__xludf.DUMMYFUNCTION("""COMPUTED_VALUE"""),"A116")</f>
        <v>A116</v>
      </c>
      <c r="X1" t="str">
        <f>IFERROR(__xludf.DUMMYFUNCTION("""COMPUTED_VALUE"""),"A117")</f>
        <v>A117</v>
      </c>
      <c r="Y1" t="str">
        <f>IFERROR(__xludf.DUMMYFUNCTION("""COMPUTED_VALUE"""),"A118")</f>
        <v>A118</v>
      </c>
      <c r="Z1" t="str">
        <f>IFERROR(__xludf.DUMMYFUNCTION("""COMPUTED_VALUE"""),"A201")</f>
        <v>A201</v>
      </c>
      <c r="AA1" t="str">
        <f>IFERROR(__xludf.DUMMYFUNCTION("""COMPUTED_VALUE"""),"A202")</f>
        <v>A202</v>
      </c>
      <c r="AB1" t="str">
        <f>IFERROR(__xludf.DUMMYFUNCTION("""COMPUTED_VALUE"""),"A203")</f>
        <v>A203</v>
      </c>
      <c r="AC1" t="str">
        <f>IFERROR(__xludf.DUMMYFUNCTION("""COMPUTED_VALUE"""),"A204")</f>
        <v>A204</v>
      </c>
      <c r="AD1" t="str">
        <f>IFERROR(__xludf.DUMMYFUNCTION("""COMPUTED_VALUE"""),"A205")</f>
        <v>A205</v>
      </c>
      <c r="AE1" t="str">
        <f>IFERROR(__xludf.DUMMYFUNCTION("""COMPUTED_VALUE"""),"A206")</f>
        <v>A206</v>
      </c>
      <c r="AF1" t="str">
        <f>IFERROR(__xludf.DUMMYFUNCTION("""COMPUTED_VALUE"""),"A207")</f>
        <v>A207</v>
      </c>
      <c r="AG1" t="str">
        <f>IFERROR(__xludf.DUMMYFUNCTION("""COMPUTED_VALUE"""),"A208")</f>
        <v>A208</v>
      </c>
      <c r="AH1" t="str">
        <f>IFERROR(__xludf.DUMMYFUNCTION("""COMPUTED_VALUE"""),"A209")</f>
        <v>A209</v>
      </c>
      <c r="AI1" t="str">
        <f>IFERROR(__xludf.DUMMYFUNCTION("""COMPUTED_VALUE"""),"A210")</f>
        <v>A210</v>
      </c>
      <c r="AJ1" t="str">
        <f>IFERROR(__xludf.DUMMYFUNCTION("""COMPUTED_VALUE"""),"A211")</f>
        <v>A211</v>
      </c>
      <c r="AK1" t="str">
        <f>IFERROR(__xludf.DUMMYFUNCTION("""COMPUTED_VALUE"""),"A212")</f>
        <v>A212</v>
      </c>
      <c r="AL1" t="str">
        <f>IFERROR(__xludf.DUMMYFUNCTION("""COMPUTED_VALUE"""),"A213")</f>
        <v>A213</v>
      </c>
      <c r="AM1" t="str">
        <f>IFERROR(__xludf.DUMMYFUNCTION("""COMPUTED_VALUE"""),"A214")</f>
        <v>A214</v>
      </c>
      <c r="AN1" t="str">
        <f>IFERROR(__xludf.DUMMYFUNCTION("""COMPUTED_VALUE"""),"A215")</f>
        <v>A215</v>
      </c>
      <c r="AO1" t="str">
        <f>IFERROR(__xludf.DUMMYFUNCTION("""COMPUTED_VALUE"""),"A216")</f>
        <v>A216</v>
      </c>
      <c r="AP1" t="str">
        <f>IFERROR(__xludf.DUMMYFUNCTION("""COMPUTED_VALUE"""),"A217")</f>
        <v>A217</v>
      </c>
      <c r="AQ1" t="str">
        <f>IFERROR(__xludf.DUMMYFUNCTION("""COMPUTED_VALUE"""),"A218")</f>
        <v>A218</v>
      </c>
      <c r="AR1" t="str">
        <f>IFERROR(__xludf.DUMMYFUNCTION("""COMPUTED_VALUE"""),"A219")</f>
        <v>A219</v>
      </c>
      <c r="AS1" t="str">
        <f>IFERROR(__xludf.DUMMYFUNCTION("""COMPUTED_VALUE"""),"A220")</f>
        <v>A220</v>
      </c>
      <c r="AT1" t="str">
        <f>IFERROR(__xludf.DUMMYFUNCTION("""COMPUTED_VALUE"""),"A301")</f>
        <v>A301</v>
      </c>
      <c r="AU1" t="str">
        <f>IFERROR(__xludf.DUMMYFUNCTION("""COMPUTED_VALUE"""),"A302")</f>
        <v>A302</v>
      </c>
      <c r="AV1" t="str">
        <f>IFERROR(__xludf.DUMMYFUNCTION("""COMPUTED_VALUE"""),"A303")</f>
        <v>A303</v>
      </c>
      <c r="AW1" t="str">
        <f>IFERROR(__xludf.DUMMYFUNCTION("""COMPUTED_VALUE"""),"A304")</f>
        <v>A304</v>
      </c>
      <c r="AX1" t="str">
        <f>IFERROR(__xludf.DUMMYFUNCTION("""COMPUTED_VALUE"""),"A305")</f>
        <v>A305</v>
      </c>
      <c r="AY1" t="str">
        <f>IFERROR(__xludf.DUMMYFUNCTION("""COMPUTED_VALUE"""),"A306")</f>
        <v>A306</v>
      </c>
      <c r="AZ1" s="223" t="str">
        <f>IFERROR(__xludf.DUMMYFUNCTION("""COMPUTED_VALUE"""),"A307")</f>
        <v>A307</v>
      </c>
      <c r="BA1" s="223" t="str">
        <f>IFERROR(__xludf.DUMMYFUNCTION("""COMPUTED_VALUE"""),"A308")</f>
        <v>A308</v>
      </c>
      <c r="BB1" s="223" t="str">
        <f>IFERROR(__xludf.DUMMYFUNCTION("""COMPUTED_VALUE"""),"A309")</f>
        <v>A309</v>
      </c>
      <c r="BC1" s="223" t="str">
        <f>IFERROR(__xludf.DUMMYFUNCTION("""COMPUTED_VALUE"""),"B101")</f>
        <v>B101</v>
      </c>
      <c r="BD1" s="224" t="str">
        <f>IFERROR(__xludf.DUMMYFUNCTION("""COMPUTED_VALUE"""),"B102")</f>
        <v>B102</v>
      </c>
      <c r="BE1" t="str">
        <f>IFERROR(__xludf.DUMMYFUNCTION("""COMPUTED_VALUE"""),"B103")</f>
        <v>B103</v>
      </c>
      <c r="BF1" t="str">
        <f>IFERROR(__xludf.DUMMYFUNCTION("""COMPUTED_VALUE"""),"B104")</f>
        <v>B104</v>
      </c>
      <c r="BG1" s="223" t="str">
        <f>IFERROR(__xludf.DUMMYFUNCTION("""COMPUTED_VALUE"""),"B105")</f>
        <v>B105</v>
      </c>
      <c r="BH1" s="223" t="str">
        <f>IFERROR(__xludf.DUMMYFUNCTION("""COMPUTED_VALUE"""),"B106")</f>
        <v>B106</v>
      </c>
      <c r="BI1" s="225" t="str">
        <f>IFERROR(__xludf.DUMMYFUNCTION("""COMPUTED_VALUE"""),"B107")</f>
        <v>B107</v>
      </c>
      <c r="BJ1" s="223" t="str">
        <f>IFERROR(__xludf.DUMMYFUNCTION("""COMPUTED_VALUE"""),"B111")</f>
        <v>B111</v>
      </c>
      <c r="BK1" s="224" t="str">
        <f>IFERROR(__xludf.DUMMYFUNCTION("""COMPUTED_VALUE"""),"B112")</f>
        <v>B112</v>
      </c>
      <c r="BL1" s="223" t="str">
        <f>IFERROR(__xludf.DUMMYFUNCTION("""COMPUTED_VALUE"""),"B113")</f>
        <v>B113</v>
      </c>
      <c r="BM1" t="str">
        <f>IFERROR(__xludf.DUMMYFUNCTION("""COMPUTED_VALUE"""),"B114")</f>
        <v>B114</v>
      </c>
      <c r="BN1" s="223" t="str">
        <f>IFERROR(__xludf.DUMMYFUNCTION("""COMPUTED_VALUE"""),"B115")</f>
        <v>B115</v>
      </c>
      <c r="BO1" s="223" t="str">
        <f>IFERROR(__xludf.DUMMYFUNCTION("""COMPUTED_VALUE"""),"B116")</f>
        <v>B116</v>
      </c>
      <c r="BP1" s="225" t="str">
        <f>IFERROR(__xludf.DUMMYFUNCTION("""COMPUTED_VALUE"""),"B117")</f>
        <v>B117</v>
      </c>
      <c r="BQ1" s="223" t="str">
        <f>IFERROR(__xludf.DUMMYFUNCTION("""COMPUTED_VALUE"""),"B121")</f>
        <v>B121</v>
      </c>
      <c r="BR1" s="224" t="str">
        <f>IFERROR(__xludf.DUMMYFUNCTION("""COMPUTED_VALUE"""),"B122")</f>
        <v>B122</v>
      </c>
      <c r="BS1" s="223" t="str">
        <f>IFERROR(__xludf.DUMMYFUNCTION("""COMPUTED_VALUE"""),"B123")</f>
        <v>B123</v>
      </c>
      <c r="BT1" t="str">
        <f>IFERROR(__xludf.DUMMYFUNCTION("""COMPUTED_VALUE"""),"B124")</f>
        <v>B124</v>
      </c>
      <c r="BU1" s="223" t="str">
        <f>IFERROR(__xludf.DUMMYFUNCTION("""COMPUTED_VALUE"""),"B125")</f>
        <v>B125</v>
      </c>
      <c r="BV1" s="223" t="str">
        <f>IFERROR(__xludf.DUMMYFUNCTION("""COMPUTED_VALUE"""),"B126")</f>
        <v>B126</v>
      </c>
      <c r="BW1" s="223" t="str">
        <f>IFERROR(__xludf.DUMMYFUNCTION("""COMPUTED_VALUE"""),"B127")</f>
        <v>B127</v>
      </c>
      <c r="BX1" s="223" t="str">
        <f>IFERROR(__xludf.DUMMYFUNCTION("""COMPUTED_VALUE"""),"B201")</f>
        <v>B201</v>
      </c>
      <c r="BY1" s="224" t="str">
        <f>IFERROR(__xludf.DUMMYFUNCTION("""COMPUTED_VALUE"""),"B202")</f>
        <v>B202</v>
      </c>
      <c r="BZ1" s="223" t="str">
        <f>IFERROR(__xludf.DUMMYFUNCTION("""COMPUTED_VALUE"""),"B203")</f>
        <v>B203</v>
      </c>
      <c r="CA1" s="226" t="str">
        <f>IFERROR(__xludf.DUMMYFUNCTION("""COMPUTED_VALUE"""),"B204")</f>
        <v>B204</v>
      </c>
      <c r="CB1" s="226" t="str">
        <f>IFERROR(__xludf.DUMMYFUNCTION("""COMPUTED_VALUE"""),"B205")</f>
        <v>B205</v>
      </c>
      <c r="CC1" s="226" t="str">
        <f>IFERROR(__xludf.DUMMYFUNCTION("""COMPUTED_VALUE"""),"B206")</f>
        <v>B206</v>
      </c>
      <c r="CD1" s="226" t="str">
        <f>IFERROR(__xludf.DUMMYFUNCTION("""COMPUTED_VALUE"""),"B207")</f>
        <v>B207</v>
      </c>
      <c r="CE1" s="227" t="str">
        <f>IFERROR(__xludf.DUMMYFUNCTION("""COMPUTED_VALUE"""),"B211")</f>
        <v>B211</v>
      </c>
      <c r="CF1" s="227" t="str">
        <f>IFERROR(__xludf.DUMMYFUNCTION("""COMPUTED_VALUE"""),"B212")</f>
        <v>B212</v>
      </c>
      <c r="CG1" s="227" t="str">
        <f>IFERROR(__xludf.DUMMYFUNCTION("""COMPUTED_VALUE"""),"B213")</f>
        <v>B213</v>
      </c>
      <c r="CH1" s="227" t="str">
        <f>IFERROR(__xludf.DUMMYFUNCTION("""COMPUTED_VALUE"""),"B214")</f>
        <v>B214</v>
      </c>
      <c r="CI1" s="227" t="str">
        <f>IFERROR(__xludf.DUMMYFUNCTION("""COMPUTED_VALUE"""),"B215")</f>
        <v>B215</v>
      </c>
      <c r="CJ1" s="227" t="str">
        <f>IFERROR(__xludf.DUMMYFUNCTION("""COMPUTED_VALUE"""),"B216")</f>
        <v>B216</v>
      </c>
      <c r="CK1" t="str">
        <f>IFERROR(__xludf.DUMMYFUNCTION("""COMPUTED_VALUE"""),"B217")</f>
        <v>B217</v>
      </c>
      <c r="CL1" t="str">
        <f>IFERROR(__xludf.DUMMYFUNCTION("""COMPUTED_VALUE"""),"B321")</f>
        <v>B321</v>
      </c>
      <c r="CM1" t="str">
        <f>IFERROR(__xludf.DUMMYFUNCTION("""COMPUTED_VALUE"""),"B322")</f>
        <v>B322</v>
      </c>
      <c r="CN1" t="str">
        <f>IFERROR(__xludf.DUMMYFUNCTION("""COMPUTED_VALUE"""),"B323")</f>
        <v>B323</v>
      </c>
      <c r="CO1" t="str">
        <f>IFERROR(__xludf.DUMMYFUNCTION("""COMPUTED_VALUE"""),"B324")</f>
        <v>B324</v>
      </c>
      <c r="CP1" t="str">
        <f>IFERROR(__xludf.DUMMYFUNCTION("""COMPUTED_VALUE"""),"B325")</f>
        <v>B325</v>
      </c>
      <c r="CQ1" t="str">
        <f>IFERROR(__xludf.DUMMYFUNCTION("""COMPUTED_VALUE"""),"B326")</f>
        <v>B326</v>
      </c>
      <c r="CR1" t="str">
        <f>IFERROR(__xludf.DUMMYFUNCTION("""COMPUTED_VALUE"""),"B327")</f>
        <v>B327</v>
      </c>
      <c r="CS1" t="str">
        <f>IFERROR(__xludf.DUMMYFUNCTION("""COMPUTED_VALUE"""),"B328")</f>
        <v>B328</v>
      </c>
      <c r="CT1" t="str">
        <f>IFERROR(__xludf.DUMMYFUNCTION("""COMPUTED_VALUE"""),"B331")</f>
        <v>B331</v>
      </c>
      <c r="CU1" t="str">
        <f>IFERROR(__xludf.DUMMYFUNCTION("""COMPUTED_VALUE"""),"B332")</f>
        <v>B332</v>
      </c>
      <c r="CV1" t="str">
        <f>IFERROR(__xludf.DUMMYFUNCTION("""COMPUTED_VALUE"""),"B333")</f>
        <v>B333</v>
      </c>
      <c r="CW1" t="str">
        <f>IFERROR(__xludf.DUMMYFUNCTION("""COMPUTED_VALUE"""),"B334")</f>
        <v>B334</v>
      </c>
      <c r="CX1" t="str">
        <f>IFERROR(__xludf.DUMMYFUNCTION("""COMPUTED_VALUE"""),"B335")</f>
        <v>B335</v>
      </c>
      <c r="CY1" t="str">
        <f>IFERROR(__xludf.DUMMYFUNCTION("""COMPUTED_VALUE"""),"B336")</f>
        <v>B336</v>
      </c>
      <c r="CZ1" t="str">
        <f>IFERROR(__xludf.DUMMYFUNCTION("""COMPUTED_VALUE"""),"B337")</f>
        <v>B337</v>
      </c>
      <c r="DA1" t="str">
        <f>IFERROR(__xludf.DUMMYFUNCTION("""COMPUTED_VALUE"""),"B338")</f>
        <v>B338</v>
      </c>
      <c r="DB1" t="str">
        <f>IFERROR(__xludf.DUMMYFUNCTION("""COMPUTED_VALUE"""),"B341")</f>
        <v>B341</v>
      </c>
      <c r="DC1" t="str">
        <f>IFERROR(__xludf.DUMMYFUNCTION("""COMPUTED_VALUE"""),"B342")</f>
        <v>B342</v>
      </c>
      <c r="DD1" t="str">
        <f>IFERROR(__xludf.DUMMYFUNCTION("""COMPUTED_VALUE"""),"B343")</f>
        <v>B343</v>
      </c>
      <c r="DE1" t="str">
        <f>IFERROR(__xludf.DUMMYFUNCTION("""COMPUTED_VALUE"""),"B344")</f>
        <v>B344</v>
      </c>
      <c r="DF1" t="str">
        <f>IFERROR(__xludf.DUMMYFUNCTION("""COMPUTED_VALUE"""),"B345")</f>
        <v>B345</v>
      </c>
      <c r="DG1" t="str">
        <f>IFERROR(__xludf.DUMMYFUNCTION("""COMPUTED_VALUE"""),"B346")</f>
        <v>B346</v>
      </c>
      <c r="DH1" t="str">
        <f>IFERROR(__xludf.DUMMYFUNCTION("""COMPUTED_VALUE"""),"B347")</f>
        <v>B347</v>
      </c>
      <c r="DI1" t="str">
        <f>IFERROR(__xludf.DUMMYFUNCTION("""COMPUTED_VALUE"""),"B348")</f>
        <v>B348</v>
      </c>
      <c r="DJ1" t="str">
        <f>IFERROR(__xludf.DUMMYFUNCTION("""COMPUTED_VALUE"""),"B351")</f>
        <v>B351</v>
      </c>
      <c r="DK1" t="str">
        <f>IFERROR(__xludf.DUMMYFUNCTION("""COMPUTED_VALUE"""),"B352")</f>
        <v>B352</v>
      </c>
      <c r="DL1" t="str">
        <f>IFERROR(__xludf.DUMMYFUNCTION("""COMPUTED_VALUE"""),"B353")</f>
        <v>B353</v>
      </c>
      <c r="DM1" t="str">
        <f>IFERROR(__xludf.DUMMYFUNCTION("""COMPUTED_VALUE"""),"B354")</f>
        <v>B354</v>
      </c>
      <c r="DN1" t="str">
        <f>IFERROR(__xludf.DUMMYFUNCTION("""COMPUTED_VALUE"""),"B355")</f>
        <v>B355</v>
      </c>
      <c r="DO1" t="str">
        <f>IFERROR(__xludf.DUMMYFUNCTION("""COMPUTED_VALUE"""),"B356")</f>
        <v>B356</v>
      </c>
      <c r="DP1" t="str">
        <f>IFERROR(__xludf.DUMMYFUNCTION("""COMPUTED_VALUE"""),"B357")</f>
        <v>B357</v>
      </c>
      <c r="DQ1" t="str">
        <f>IFERROR(__xludf.DUMMYFUNCTION("""COMPUTED_VALUE"""),"B358")</f>
        <v>B358</v>
      </c>
    </row>
    <row r="2" hidden="1">
      <c r="B2" t="str">
        <f>IFERROR(__xludf.DUMMYFUNCTION("""COMPUTED_VALUE"""),"Material")</f>
        <v>Material</v>
      </c>
      <c r="H2" s="73" t="str">
        <f>IFERROR(__xludf.DUMMYFUNCTION("""COMPUTED_VALUE"""),"爪")</f>
        <v>爪</v>
      </c>
      <c r="I2" t="str">
        <f>IFERROR(__xludf.DUMMYFUNCTION("""COMPUTED_VALUE"""),"心臓")</f>
        <v>心臓</v>
      </c>
      <c r="J2" t="str">
        <f>IFERROR(__xludf.DUMMYFUNCTION("""COMPUTED_VALUE"""),"逆鱗")</f>
        <v>逆鱗</v>
      </c>
      <c r="K2" t="str">
        <f>IFERROR(__xludf.DUMMYFUNCTION("""COMPUTED_VALUE"""),"根")</f>
        <v>根</v>
      </c>
      <c r="L2" t="str">
        <f>IFERROR(__xludf.DUMMYFUNCTION("""COMPUTED_VALUE"""),"幼角")</f>
        <v>幼角</v>
      </c>
      <c r="M2" t="str">
        <f>IFERROR(__xludf.DUMMYFUNCTION("""COMPUTED_VALUE"""),"涙石")</f>
        <v>涙石</v>
      </c>
      <c r="N2" t="str">
        <f>IFERROR(__xludf.DUMMYFUNCTION("""COMPUTED_VALUE"""),"脂")</f>
        <v>脂</v>
      </c>
      <c r="O2" t="str">
        <f>IFERROR(__xludf.DUMMYFUNCTION("""COMPUTED_VALUE"""),"ﾗﾝﾌﾟ")</f>
        <v>ﾗﾝﾌﾟ</v>
      </c>
      <c r="P2" t="str">
        <f>IFERROR(__xludf.DUMMYFUNCTION("""COMPUTED_VALUE"""),"ｽｶﾗﾍﾞ")</f>
        <v>ｽｶﾗﾍﾞ</v>
      </c>
      <c r="Q2" t="str">
        <f>IFERROR(__xludf.DUMMYFUNCTION("""COMPUTED_VALUE"""),"産毛")</f>
        <v>産毛</v>
      </c>
      <c r="R2" t="str">
        <f>IFERROR(__xludf.DUMMYFUNCTION("""COMPUTED_VALUE"""),"胆石")</f>
        <v>胆石</v>
      </c>
      <c r="S2" t="str">
        <f>IFERROR(__xludf.DUMMYFUNCTION("""COMPUTED_VALUE"""),"神酒")</f>
        <v>神酒</v>
      </c>
      <c r="T2" t="str">
        <f>IFERROR(__xludf.DUMMYFUNCTION("""COMPUTED_VALUE"""),"炉心")</f>
        <v>炉心</v>
      </c>
      <c r="U2" t="str">
        <f>IFERROR(__xludf.DUMMYFUNCTION("""COMPUTED_VALUE"""),"鏡")</f>
        <v>鏡</v>
      </c>
      <c r="V2" t="str">
        <f>IFERROR(__xludf.DUMMYFUNCTION("""COMPUTED_VALUE"""),"卵")</f>
        <v>卵</v>
      </c>
      <c r="W2" t="str">
        <f>IFERROR(__xludf.DUMMYFUNCTION("""COMPUTED_VALUE"""),"カケラ")</f>
        <v>カケラ</v>
      </c>
      <c r="X2" t="str">
        <f>IFERROR(__xludf.DUMMYFUNCTION("""COMPUTED_VALUE"""),"実")</f>
        <v>実</v>
      </c>
      <c r="Y2" t="str">
        <f>IFERROR(__xludf.DUMMYFUNCTION("""COMPUTED_VALUE"""),"鬼灯")</f>
        <v>鬼灯</v>
      </c>
      <c r="Z2" t="str">
        <f>IFERROR(__xludf.DUMMYFUNCTION("""COMPUTED_VALUE"""),"種")</f>
        <v>種</v>
      </c>
      <c r="AA2" t="str">
        <f>IFERROR(__xludf.DUMMYFUNCTION("""COMPUTED_VALUE"""),"ﾗﾝﾀﾝ")</f>
        <v>ﾗﾝﾀﾝ</v>
      </c>
      <c r="AB2" t="str">
        <f>IFERROR(__xludf.DUMMYFUNCTION("""COMPUTED_VALUE"""),"八連")</f>
        <v>八連</v>
      </c>
      <c r="AC2" t="str">
        <f>IFERROR(__xludf.DUMMYFUNCTION("""COMPUTED_VALUE"""),"蛇玉")</f>
        <v>蛇玉</v>
      </c>
      <c r="AD2" t="str">
        <f>IFERROR(__xludf.DUMMYFUNCTION("""COMPUTED_VALUE"""),"羽根")</f>
        <v>羽根</v>
      </c>
      <c r="AE2" t="str">
        <f>IFERROR(__xludf.DUMMYFUNCTION("""COMPUTED_VALUE"""),"歯車")</f>
        <v>歯車</v>
      </c>
      <c r="AF2" t="str">
        <f>IFERROR(__xludf.DUMMYFUNCTION("""COMPUTED_VALUE"""),"頁")</f>
        <v>頁</v>
      </c>
      <c r="AG2" t="str">
        <f>IFERROR(__xludf.DUMMYFUNCTION("""COMPUTED_VALUE"""),"ホム")</f>
        <v>ホム</v>
      </c>
      <c r="AH2" t="str">
        <f>IFERROR(__xludf.DUMMYFUNCTION("""COMPUTED_VALUE"""),"蹄鉄")</f>
        <v>蹄鉄</v>
      </c>
      <c r="AI2" t="str">
        <f>IFERROR(__xludf.DUMMYFUNCTION("""COMPUTED_VALUE"""),"勲章")</f>
        <v>勲章</v>
      </c>
      <c r="AJ2" t="str">
        <f>IFERROR(__xludf.DUMMYFUNCTION("""COMPUTED_VALUE"""),"貝殻")</f>
        <v>貝殻</v>
      </c>
      <c r="AK2" t="str">
        <f>IFERROR(__xludf.DUMMYFUNCTION("""COMPUTED_VALUE"""),"勾玉")</f>
        <v>勾玉</v>
      </c>
      <c r="AL2" t="str">
        <f>IFERROR(__xludf.DUMMYFUNCTION("""COMPUTED_VALUE"""),"結氷")</f>
        <v>結氷</v>
      </c>
      <c r="AM2" t="str">
        <f>IFERROR(__xludf.DUMMYFUNCTION("""COMPUTED_VALUE"""),"指輪")</f>
        <v>指輪</v>
      </c>
      <c r="AN2" t="str">
        <f>IFERROR(__xludf.DUMMYFUNCTION("""COMPUTED_VALUE"""),"ｵｰﾛﾗ")</f>
        <v>ｵｰﾛﾗ</v>
      </c>
      <c r="AO2" t="str">
        <f>IFERROR(__xludf.DUMMYFUNCTION("""COMPUTED_VALUE"""),"鈴")</f>
        <v>鈴</v>
      </c>
      <c r="AP2" t="str">
        <f>IFERROR(__xludf.DUMMYFUNCTION("""COMPUTED_VALUE"""),"矢尻")</f>
        <v>矢尻</v>
      </c>
      <c r="AQ2" t="str">
        <f>IFERROR(__xludf.DUMMYFUNCTION("""COMPUTED_VALUE"""),"冠")</f>
        <v>冠</v>
      </c>
      <c r="AR2" t="str">
        <f>IFERROR(__xludf.DUMMYFUNCTION("""COMPUTED_VALUE"""),"霊子")</f>
        <v>霊子</v>
      </c>
      <c r="AS2" t="str">
        <f>IFERROR(__xludf.DUMMYFUNCTION("""COMPUTED_VALUE"""),"糸玉")</f>
        <v>糸玉</v>
      </c>
      <c r="AT2" t="str">
        <f>IFERROR(__xludf.DUMMYFUNCTION("""COMPUTED_VALUE"""),"証")</f>
        <v>証</v>
      </c>
      <c r="AU2" t="str">
        <f>IFERROR(__xludf.DUMMYFUNCTION("""COMPUTED_VALUE"""),"骨")</f>
        <v>骨</v>
      </c>
      <c r="AV2" t="str">
        <f>IFERROR(__xludf.DUMMYFUNCTION("""COMPUTED_VALUE"""),"牙")</f>
        <v>牙</v>
      </c>
      <c r="AW2" t="str">
        <f>IFERROR(__xludf.DUMMYFUNCTION("""COMPUTED_VALUE"""),"塵")</f>
        <v>塵</v>
      </c>
      <c r="AX2" t="str">
        <f>IFERROR(__xludf.DUMMYFUNCTION("""COMPUTED_VALUE"""),"鎖")</f>
        <v>鎖</v>
      </c>
      <c r="AY2" t="str">
        <f>IFERROR(__xludf.DUMMYFUNCTION("""COMPUTED_VALUE"""),"毒針")</f>
        <v>毒針</v>
      </c>
      <c r="AZ2" s="223" t="str">
        <f>IFERROR(__xludf.DUMMYFUNCTION("""COMPUTED_VALUE"""),"髄液")</f>
        <v>髄液</v>
      </c>
      <c r="BA2" s="223" t="str">
        <f>IFERROR(__xludf.DUMMYFUNCTION("""COMPUTED_VALUE"""),"鉄杭")</f>
        <v>鉄杭</v>
      </c>
      <c r="BB2" s="223" t="str">
        <f>IFERROR(__xludf.DUMMYFUNCTION("""COMPUTED_VALUE"""),"火薬")</f>
        <v>火薬</v>
      </c>
      <c r="BC2" s="223" t="str">
        <f>IFERROR(__xludf.DUMMYFUNCTION("""COMPUTED_VALUE"""),"剣秘")</f>
        <v>剣秘</v>
      </c>
      <c r="BD2" s="224" t="str">
        <f>IFERROR(__xludf.DUMMYFUNCTION("""COMPUTED_VALUE"""),"弓秘")</f>
        <v>弓秘</v>
      </c>
      <c r="BE2" t="str">
        <f>IFERROR(__xludf.DUMMYFUNCTION("""COMPUTED_VALUE"""),"槍秘")</f>
        <v>槍秘</v>
      </c>
      <c r="BF2" t="str">
        <f>IFERROR(__xludf.DUMMYFUNCTION("""COMPUTED_VALUE"""),"騎秘")</f>
        <v>騎秘</v>
      </c>
      <c r="BG2" s="223" t="str">
        <f>IFERROR(__xludf.DUMMYFUNCTION("""COMPUTED_VALUE"""),"術秘")</f>
        <v>術秘</v>
      </c>
      <c r="BH2" s="223" t="str">
        <f>IFERROR(__xludf.DUMMYFUNCTION("""COMPUTED_VALUE"""),"殺秘")</f>
        <v>殺秘</v>
      </c>
      <c r="BI2" s="225" t="str">
        <f>IFERROR(__xludf.DUMMYFUNCTION("""COMPUTED_VALUE"""),"狂秘")</f>
        <v>狂秘</v>
      </c>
      <c r="BJ2" s="223" t="str">
        <f>IFERROR(__xludf.DUMMYFUNCTION("""COMPUTED_VALUE"""),"剣魔")</f>
        <v>剣魔</v>
      </c>
      <c r="BK2" s="224" t="str">
        <f>IFERROR(__xludf.DUMMYFUNCTION("""COMPUTED_VALUE"""),"弓魔")</f>
        <v>弓魔</v>
      </c>
      <c r="BL2" s="223" t="str">
        <f>IFERROR(__xludf.DUMMYFUNCTION("""COMPUTED_VALUE"""),"槍魔")</f>
        <v>槍魔</v>
      </c>
      <c r="BM2" t="str">
        <f>IFERROR(__xludf.DUMMYFUNCTION("""COMPUTED_VALUE"""),"騎魔")</f>
        <v>騎魔</v>
      </c>
      <c r="BN2" s="223" t="str">
        <f>IFERROR(__xludf.DUMMYFUNCTION("""COMPUTED_VALUE"""),"術魔")</f>
        <v>術魔</v>
      </c>
      <c r="BO2" s="223" t="str">
        <f>IFERROR(__xludf.DUMMYFUNCTION("""COMPUTED_VALUE"""),"殺魔")</f>
        <v>殺魔</v>
      </c>
      <c r="BP2" s="225" t="str">
        <f>IFERROR(__xludf.DUMMYFUNCTION("""COMPUTED_VALUE"""),"狂魔")</f>
        <v>狂魔</v>
      </c>
      <c r="BQ2" s="223" t="str">
        <f>IFERROR(__xludf.DUMMYFUNCTION("""COMPUTED_VALUE"""),"剣輝")</f>
        <v>剣輝</v>
      </c>
      <c r="BR2" s="224" t="str">
        <f>IFERROR(__xludf.DUMMYFUNCTION("""COMPUTED_VALUE"""),"弓輝")</f>
        <v>弓輝</v>
      </c>
      <c r="BS2" s="223" t="str">
        <f>IFERROR(__xludf.DUMMYFUNCTION("""COMPUTED_VALUE"""),"槍輝")</f>
        <v>槍輝</v>
      </c>
      <c r="BT2" t="str">
        <f>IFERROR(__xludf.DUMMYFUNCTION("""COMPUTED_VALUE"""),"騎輝")</f>
        <v>騎輝</v>
      </c>
      <c r="BU2" s="223" t="str">
        <f>IFERROR(__xludf.DUMMYFUNCTION("""COMPUTED_VALUE"""),"術輝")</f>
        <v>術輝</v>
      </c>
      <c r="BV2" s="223" t="str">
        <f>IFERROR(__xludf.DUMMYFUNCTION("""COMPUTED_VALUE"""),"殺輝")</f>
        <v>殺輝</v>
      </c>
      <c r="BW2" s="223" t="str">
        <f>IFERROR(__xludf.DUMMYFUNCTION("""COMPUTED_VALUE"""),"狂輝")</f>
        <v>狂輝</v>
      </c>
      <c r="BX2" s="223" t="str">
        <f>IFERROR(__xludf.DUMMYFUNCTION("""COMPUTED_VALUE"""),"剣モ")</f>
        <v>剣モ</v>
      </c>
      <c r="BY2" s="224" t="str">
        <f>IFERROR(__xludf.DUMMYFUNCTION("""COMPUTED_VALUE"""),"弓モ")</f>
        <v>弓モ</v>
      </c>
      <c r="BZ2" s="223" t="str">
        <f>IFERROR(__xludf.DUMMYFUNCTION("""COMPUTED_VALUE"""),"槍モ")</f>
        <v>槍モ</v>
      </c>
      <c r="CA2" s="226" t="str">
        <f>IFERROR(__xludf.DUMMYFUNCTION("""COMPUTED_VALUE"""),"騎モ")</f>
        <v>騎モ</v>
      </c>
      <c r="CB2" s="226" t="str">
        <f>IFERROR(__xludf.DUMMYFUNCTION("""COMPUTED_VALUE"""),"術モ")</f>
        <v>術モ</v>
      </c>
      <c r="CC2" s="226" t="str">
        <f>IFERROR(__xludf.DUMMYFUNCTION("""COMPUTED_VALUE"""),"殺モ")</f>
        <v>殺モ</v>
      </c>
      <c r="CD2" s="226" t="str">
        <f>IFERROR(__xludf.DUMMYFUNCTION("""COMPUTED_VALUE"""),"狂モ")</f>
        <v>狂モ</v>
      </c>
      <c r="CE2" s="227" t="str">
        <f>IFERROR(__xludf.DUMMYFUNCTION("""COMPUTED_VALUE"""),"剣ピ")</f>
        <v>剣ピ</v>
      </c>
      <c r="CF2" s="227" t="str">
        <f>IFERROR(__xludf.DUMMYFUNCTION("""COMPUTED_VALUE"""),"弓ピ")</f>
        <v>弓ピ</v>
      </c>
      <c r="CG2" s="227" t="str">
        <f>IFERROR(__xludf.DUMMYFUNCTION("""COMPUTED_VALUE"""),"槍ピ")</f>
        <v>槍ピ</v>
      </c>
      <c r="CH2" s="227" t="str">
        <f>IFERROR(__xludf.DUMMYFUNCTION("""COMPUTED_VALUE"""),"騎ピ")</f>
        <v>騎ピ</v>
      </c>
      <c r="CI2" s="227" t="str">
        <f>IFERROR(__xludf.DUMMYFUNCTION("""COMPUTED_VALUE"""),"術ピ")</f>
        <v>術ピ</v>
      </c>
      <c r="CJ2" s="227" t="str">
        <f>IFERROR(__xludf.DUMMYFUNCTION("""COMPUTED_VALUE"""),"殺ピ")</f>
        <v>殺ピ</v>
      </c>
      <c r="CK2" t="str">
        <f>IFERROR(__xludf.DUMMYFUNCTION("""COMPUTED_VALUE"""),"狂ピ")</f>
        <v>狂ピ</v>
      </c>
      <c r="CL2" t="str">
        <f>IFERROR(__xludf.DUMMYFUNCTION("""COMPUTED_VALUE"""),"猛剣")</f>
        <v>猛剣</v>
      </c>
      <c r="CM2" t="str">
        <f>IFERROR(__xludf.DUMMYFUNCTION("""COMPUTED_VALUE"""),"猛弓")</f>
        <v>猛弓</v>
      </c>
      <c r="CN2" t="str">
        <f>IFERROR(__xludf.DUMMYFUNCTION("""COMPUTED_VALUE"""),"猛槍")</f>
        <v>猛槍</v>
      </c>
      <c r="CO2" t="str">
        <f>IFERROR(__xludf.DUMMYFUNCTION("""COMPUTED_VALUE"""),"猛騎")</f>
        <v>猛騎</v>
      </c>
      <c r="CP2" t="str">
        <f>IFERROR(__xludf.DUMMYFUNCTION("""COMPUTED_VALUE"""),"猛術")</f>
        <v>猛術</v>
      </c>
      <c r="CQ2" t="str">
        <f>IFERROR(__xludf.DUMMYFUNCTION("""COMPUTED_VALUE"""),"猛殺")</f>
        <v>猛殺</v>
      </c>
      <c r="CR2" t="str">
        <f>IFERROR(__xludf.DUMMYFUNCTION("""COMPUTED_VALUE"""),"猛狂")</f>
        <v>猛狂</v>
      </c>
      <c r="CT2" t="str">
        <f>IFERROR(__xludf.DUMMYFUNCTION("""COMPUTED_VALUE"""),"大剣")</f>
        <v>大剣</v>
      </c>
      <c r="CU2" t="str">
        <f>IFERROR(__xludf.DUMMYFUNCTION("""COMPUTED_VALUE"""),"大弓")</f>
        <v>大弓</v>
      </c>
      <c r="CV2" t="str">
        <f>IFERROR(__xludf.DUMMYFUNCTION("""COMPUTED_VALUE"""),"大槍")</f>
        <v>大槍</v>
      </c>
      <c r="CW2" t="str">
        <f>IFERROR(__xludf.DUMMYFUNCTION("""COMPUTED_VALUE"""),"大騎")</f>
        <v>大騎</v>
      </c>
      <c r="CX2" t="str">
        <f>IFERROR(__xludf.DUMMYFUNCTION("""COMPUTED_VALUE"""),"大術")</f>
        <v>大術</v>
      </c>
      <c r="CY2" t="str">
        <f>IFERROR(__xludf.DUMMYFUNCTION("""COMPUTED_VALUE"""),"大殺")</f>
        <v>大殺</v>
      </c>
      <c r="CZ2" t="str">
        <f>IFERROR(__xludf.DUMMYFUNCTION("""COMPUTED_VALUE"""),"大狂")</f>
        <v>大狂</v>
      </c>
      <c r="DB2" t="str">
        <f>IFERROR(__xludf.DUMMYFUNCTION("""COMPUTED_VALUE"""),"灯剣")</f>
        <v>灯剣</v>
      </c>
      <c r="DC2" t="str">
        <f>IFERROR(__xludf.DUMMYFUNCTION("""COMPUTED_VALUE"""),"灯弓")</f>
        <v>灯弓</v>
      </c>
      <c r="DD2" t="str">
        <f>IFERROR(__xludf.DUMMYFUNCTION("""COMPUTED_VALUE"""),"灯槍")</f>
        <v>灯槍</v>
      </c>
      <c r="DE2" t="str">
        <f>IFERROR(__xludf.DUMMYFUNCTION("""COMPUTED_VALUE"""),"灯騎")</f>
        <v>灯騎</v>
      </c>
      <c r="DF2" t="str">
        <f>IFERROR(__xludf.DUMMYFUNCTION("""COMPUTED_VALUE"""),"灯術")</f>
        <v>灯術</v>
      </c>
      <c r="DG2" t="str">
        <f>IFERROR(__xludf.DUMMYFUNCTION("""COMPUTED_VALUE"""),"灯殺")</f>
        <v>灯殺</v>
      </c>
      <c r="DH2" t="str">
        <f>IFERROR(__xludf.DUMMYFUNCTION("""COMPUTED_VALUE"""),"灯狂")</f>
        <v>灯狂</v>
      </c>
      <c r="DJ2" t="str">
        <f>IFERROR(__xludf.DUMMYFUNCTION("""COMPUTED_VALUE"""),"種剣")</f>
        <v>種剣</v>
      </c>
      <c r="DK2" t="str">
        <f>IFERROR(__xludf.DUMMYFUNCTION("""COMPUTED_VALUE"""),"種弓")</f>
        <v>種弓</v>
      </c>
      <c r="DL2" t="str">
        <f>IFERROR(__xludf.DUMMYFUNCTION("""COMPUTED_VALUE"""),"種槍")</f>
        <v>種槍</v>
      </c>
      <c r="DM2" t="str">
        <f>IFERROR(__xludf.DUMMYFUNCTION("""COMPUTED_VALUE"""),"種騎")</f>
        <v>種騎</v>
      </c>
      <c r="DN2" t="str">
        <f>IFERROR(__xludf.DUMMYFUNCTION("""COMPUTED_VALUE"""),"種術")</f>
        <v>種術</v>
      </c>
      <c r="DO2" t="str">
        <f>IFERROR(__xludf.DUMMYFUNCTION("""COMPUTED_VALUE"""),"種殺")</f>
        <v>種殺</v>
      </c>
      <c r="DP2" t="str">
        <f>IFERROR(__xludf.DUMMYFUNCTION("""COMPUTED_VALUE"""),"種狂")</f>
        <v>種狂</v>
      </c>
    </row>
    <row r="3" hidden="1">
      <c r="H3" s="73">
        <f>IFERROR(__xludf.DUMMYFUNCTION("""COMPUTED_VALUE"""),36.0)</f>
        <v>36</v>
      </c>
      <c r="I3" s="73">
        <f>IFERROR(__xludf.DUMMYFUNCTION("""COMPUTED_VALUE"""),37.0)</f>
        <v>37</v>
      </c>
      <c r="J3" s="73">
        <f>IFERROR(__xludf.DUMMYFUNCTION("""COMPUTED_VALUE"""),38.0)</f>
        <v>38</v>
      </c>
      <c r="K3" s="73">
        <f>IFERROR(__xludf.DUMMYFUNCTION("""COMPUTED_VALUE"""),39.0)</f>
        <v>39</v>
      </c>
      <c r="L3" s="73">
        <f>IFERROR(__xludf.DUMMYFUNCTION("""COMPUTED_VALUE"""),40.0)</f>
        <v>40</v>
      </c>
      <c r="M3" s="73">
        <f>IFERROR(__xludf.DUMMYFUNCTION("""COMPUTED_VALUE"""),41.0)</f>
        <v>41</v>
      </c>
      <c r="N3" s="73">
        <f>IFERROR(__xludf.DUMMYFUNCTION("""COMPUTED_VALUE"""),42.0)</f>
        <v>42</v>
      </c>
      <c r="O3" s="73">
        <f>IFERROR(__xludf.DUMMYFUNCTION("""COMPUTED_VALUE"""),43.0)</f>
        <v>43</v>
      </c>
      <c r="P3" s="73">
        <f>IFERROR(__xludf.DUMMYFUNCTION("""COMPUTED_VALUE"""),44.0)</f>
        <v>44</v>
      </c>
      <c r="Q3" s="73">
        <f>IFERROR(__xludf.DUMMYFUNCTION("""COMPUTED_VALUE"""),45.0)</f>
        <v>45</v>
      </c>
      <c r="R3" s="73">
        <f>IFERROR(__xludf.DUMMYFUNCTION("""COMPUTED_VALUE"""),46.0)</f>
        <v>46</v>
      </c>
      <c r="S3" s="73">
        <f>IFERROR(__xludf.DUMMYFUNCTION("""COMPUTED_VALUE"""),47.0)</f>
        <v>47</v>
      </c>
      <c r="T3" s="73">
        <f>IFERROR(__xludf.DUMMYFUNCTION("""COMPUTED_VALUE"""),48.0)</f>
        <v>48</v>
      </c>
      <c r="U3" s="73">
        <f>IFERROR(__xludf.DUMMYFUNCTION("""COMPUTED_VALUE"""),49.0)</f>
        <v>49</v>
      </c>
      <c r="V3" s="73">
        <f>IFERROR(__xludf.DUMMYFUNCTION("""COMPUTED_VALUE"""),50.0)</f>
        <v>50</v>
      </c>
      <c r="W3" s="73">
        <f>IFERROR(__xludf.DUMMYFUNCTION("""COMPUTED_VALUE"""),51.0)</f>
        <v>51</v>
      </c>
      <c r="X3" s="73">
        <f>IFERROR(__xludf.DUMMYFUNCTION("""COMPUTED_VALUE"""),52.0)</f>
        <v>52</v>
      </c>
      <c r="Y3" s="73">
        <f>IFERROR(__xludf.DUMMYFUNCTION("""COMPUTED_VALUE"""),53.0)</f>
        <v>53</v>
      </c>
      <c r="Z3" s="73">
        <f>IFERROR(__xludf.DUMMYFUNCTION("""COMPUTED_VALUE"""),15.0)</f>
        <v>15</v>
      </c>
      <c r="AA3" s="73">
        <f>IFERROR(__xludf.DUMMYFUNCTION("""COMPUTED_VALUE"""),16.0)</f>
        <v>16</v>
      </c>
      <c r="AB3" s="73">
        <f>IFERROR(__xludf.DUMMYFUNCTION("""COMPUTED_VALUE"""),17.0)</f>
        <v>17</v>
      </c>
      <c r="AC3" s="73">
        <f>IFERROR(__xludf.DUMMYFUNCTION("""COMPUTED_VALUE"""),18.0)</f>
        <v>18</v>
      </c>
      <c r="AD3" s="73">
        <f>IFERROR(__xludf.DUMMYFUNCTION("""COMPUTED_VALUE"""),19.0)</f>
        <v>19</v>
      </c>
      <c r="AE3" s="73">
        <f>IFERROR(__xludf.DUMMYFUNCTION("""COMPUTED_VALUE"""),20.0)</f>
        <v>20</v>
      </c>
      <c r="AF3" s="73">
        <f>IFERROR(__xludf.DUMMYFUNCTION("""COMPUTED_VALUE"""),21.0)</f>
        <v>21</v>
      </c>
      <c r="AG3" s="73">
        <f>IFERROR(__xludf.DUMMYFUNCTION("""COMPUTED_VALUE"""),22.0)</f>
        <v>22</v>
      </c>
      <c r="AH3" s="73">
        <f>IFERROR(__xludf.DUMMYFUNCTION("""COMPUTED_VALUE"""),23.0)</f>
        <v>23</v>
      </c>
      <c r="AI3" s="73">
        <f>IFERROR(__xludf.DUMMYFUNCTION("""COMPUTED_VALUE"""),24.0)</f>
        <v>24</v>
      </c>
      <c r="AJ3" s="73">
        <f>IFERROR(__xludf.DUMMYFUNCTION("""COMPUTED_VALUE"""),25.0)</f>
        <v>25</v>
      </c>
      <c r="AK3" s="73">
        <f>IFERROR(__xludf.DUMMYFUNCTION("""COMPUTED_VALUE"""),26.0)</f>
        <v>26</v>
      </c>
      <c r="AL3" s="73">
        <f>IFERROR(__xludf.DUMMYFUNCTION("""COMPUTED_VALUE"""),27.0)</f>
        <v>27</v>
      </c>
      <c r="AM3" s="73">
        <f>IFERROR(__xludf.DUMMYFUNCTION("""COMPUTED_VALUE"""),28.0)</f>
        <v>28</v>
      </c>
      <c r="AN3" s="73">
        <f>IFERROR(__xludf.DUMMYFUNCTION("""COMPUTED_VALUE"""),29.0)</f>
        <v>29</v>
      </c>
      <c r="AO3" s="73">
        <f>IFERROR(__xludf.DUMMYFUNCTION("""COMPUTED_VALUE"""),30.0)</f>
        <v>30</v>
      </c>
      <c r="AP3" s="73">
        <f>IFERROR(__xludf.DUMMYFUNCTION("""COMPUTED_VALUE"""),31.0)</f>
        <v>31</v>
      </c>
      <c r="AQ3" s="73">
        <f>IFERROR(__xludf.DUMMYFUNCTION("""COMPUTED_VALUE"""),32.0)</f>
        <v>32</v>
      </c>
      <c r="AR3" s="73">
        <f>IFERROR(__xludf.DUMMYFUNCTION("""COMPUTED_VALUE"""),33.0)</f>
        <v>33</v>
      </c>
      <c r="AS3" s="73">
        <f>IFERROR(__xludf.DUMMYFUNCTION("""COMPUTED_VALUE"""),34.0)</f>
        <v>34</v>
      </c>
      <c r="AT3" s="73">
        <f>IFERROR(__xludf.DUMMYFUNCTION("""COMPUTED_VALUE"""),5.0)</f>
        <v>5</v>
      </c>
      <c r="AU3" s="73">
        <f>IFERROR(__xludf.DUMMYFUNCTION("""COMPUTED_VALUE"""),6.0)</f>
        <v>6</v>
      </c>
      <c r="AV3" s="73">
        <f>IFERROR(__xludf.DUMMYFUNCTION("""COMPUTED_VALUE"""),7.0)</f>
        <v>7</v>
      </c>
      <c r="AW3" s="73">
        <f>IFERROR(__xludf.DUMMYFUNCTION("""COMPUTED_VALUE"""),8.0)</f>
        <v>8</v>
      </c>
      <c r="AX3" s="73">
        <f>IFERROR(__xludf.DUMMYFUNCTION("""COMPUTED_VALUE"""),9.0)</f>
        <v>9</v>
      </c>
      <c r="AY3" s="73">
        <f>IFERROR(__xludf.DUMMYFUNCTION("""COMPUTED_VALUE"""),10.0)</f>
        <v>10</v>
      </c>
      <c r="AZ3" s="73">
        <f>IFERROR(__xludf.DUMMYFUNCTION("""COMPUTED_VALUE"""),11.0)</f>
        <v>11</v>
      </c>
      <c r="BA3" s="73">
        <f>IFERROR(__xludf.DUMMYFUNCTION("""COMPUTED_VALUE"""),12.0)</f>
        <v>12</v>
      </c>
      <c r="BB3" s="73">
        <f>IFERROR(__xludf.DUMMYFUNCTION("""COMPUTED_VALUE"""),13.0)</f>
        <v>13</v>
      </c>
      <c r="BC3" s="73">
        <f>IFERROR(__xludf.DUMMYFUNCTION("""COMPUTED_VALUE"""),71.0)</f>
        <v>71</v>
      </c>
      <c r="BD3" s="73">
        <f>IFERROR(__xludf.DUMMYFUNCTION("""COMPUTED_VALUE"""),72.0)</f>
        <v>72</v>
      </c>
      <c r="BE3" s="73">
        <f>IFERROR(__xludf.DUMMYFUNCTION("""COMPUTED_VALUE"""),73.0)</f>
        <v>73</v>
      </c>
      <c r="BF3" s="73">
        <f>IFERROR(__xludf.DUMMYFUNCTION("""COMPUTED_VALUE"""),74.0)</f>
        <v>74</v>
      </c>
      <c r="BG3" s="73">
        <f>IFERROR(__xludf.DUMMYFUNCTION("""COMPUTED_VALUE"""),75.0)</f>
        <v>75</v>
      </c>
      <c r="BH3" s="73">
        <f>IFERROR(__xludf.DUMMYFUNCTION("""COMPUTED_VALUE"""),76.0)</f>
        <v>76</v>
      </c>
      <c r="BI3" s="73">
        <f>IFERROR(__xludf.DUMMYFUNCTION("""COMPUTED_VALUE"""),77.0)</f>
        <v>77</v>
      </c>
      <c r="BJ3" s="73">
        <f>IFERROR(__xludf.DUMMYFUNCTION("""COMPUTED_VALUE"""),63.0)</f>
        <v>63</v>
      </c>
      <c r="BK3" s="73">
        <f>IFERROR(__xludf.DUMMYFUNCTION("""COMPUTED_VALUE"""),64.0)</f>
        <v>64</v>
      </c>
      <c r="BL3" s="73">
        <f>IFERROR(__xludf.DUMMYFUNCTION("""COMPUTED_VALUE"""),65.0)</f>
        <v>65</v>
      </c>
      <c r="BM3" s="73">
        <f>IFERROR(__xludf.DUMMYFUNCTION("""COMPUTED_VALUE"""),66.0)</f>
        <v>66</v>
      </c>
      <c r="BN3" s="73">
        <f>IFERROR(__xludf.DUMMYFUNCTION("""COMPUTED_VALUE"""),67.0)</f>
        <v>67</v>
      </c>
      <c r="BO3" s="73">
        <f>IFERROR(__xludf.DUMMYFUNCTION("""COMPUTED_VALUE"""),68.0)</f>
        <v>68</v>
      </c>
      <c r="BP3" s="73">
        <f>IFERROR(__xludf.DUMMYFUNCTION("""COMPUTED_VALUE"""),69.0)</f>
        <v>69</v>
      </c>
      <c r="BQ3" s="73">
        <f>IFERROR(__xludf.DUMMYFUNCTION("""COMPUTED_VALUE"""),55.0)</f>
        <v>55</v>
      </c>
      <c r="BR3" s="73">
        <f>IFERROR(__xludf.DUMMYFUNCTION("""COMPUTED_VALUE"""),56.0)</f>
        <v>56</v>
      </c>
      <c r="BS3" s="73">
        <f>IFERROR(__xludf.DUMMYFUNCTION("""COMPUTED_VALUE"""),57.0)</f>
        <v>57</v>
      </c>
      <c r="BT3" s="73">
        <f>IFERROR(__xludf.DUMMYFUNCTION("""COMPUTED_VALUE"""),58.0)</f>
        <v>58</v>
      </c>
      <c r="BU3" s="73">
        <f>IFERROR(__xludf.DUMMYFUNCTION("""COMPUTED_VALUE"""),59.0)</f>
        <v>59</v>
      </c>
      <c r="BV3" s="73">
        <f>IFERROR(__xludf.DUMMYFUNCTION("""COMPUTED_VALUE"""),60.0)</f>
        <v>60</v>
      </c>
      <c r="BW3" s="73">
        <f>IFERROR(__xludf.DUMMYFUNCTION("""COMPUTED_VALUE"""),61.0)</f>
        <v>61</v>
      </c>
      <c r="BX3" s="73">
        <f>IFERROR(__xludf.DUMMYFUNCTION("""COMPUTED_VALUE"""),87.0)</f>
        <v>87</v>
      </c>
      <c r="BY3" s="73">
        <f>IFERROR(__xludf.DUMMYFUNCTION("""COMPUTED_VALUE"""),88.0)</f>
        <v>88</v>
      </c>
      <c r="BZ3" s="73">
        <f>IFERROR(__xludf.DUMMYFUNCTION("""COMPUTED_VALUE"""),89.0)</f>
        <v>89</v>
      </c>
      <c r="CA3" s="73">
        <f>IFERROR(__xludf.DUMMYFUNCTION("""COMPUTED_VALUE"""),90.0)</f>
        <v>90</v>
      </c>
      <c r="CB3" s="73">
        <f>IFERROR(__xludf.DUMMYFUNCTION("""COMPUTED_VALUE"""),91.0)</f>
        <v>91</v>
      </c>
      <c r="CC3" s="73">
        <f>IFERROR(__xludf.DUMMYFUNCTION("""COMPUTED_VALUE"""),92.0)</f>
        <v>92</v>
      </c>
      <c r="CD3" s="73">
        <f>IFERROR(__xludf.DUMMYFUNCTION("""COMPUTED_VALUE"""),93.0)</f>
        <v>93</v>
      </c>
      <c r="CE3" s="228">
        <f>IFERROR(__xludf.DUMMYFUNCTION("""COMPUTED_VALUE"""),79.0)</f>
        <v>79</v>
      </c>
      <c r="CF3" s="228">
        <f>IFERROR(__xludf.DUMMYFUNCTION("""COMPUTED_VALUE"""),80.0)</f>
        <v>80</v>
      </c>
      <c r="CG3" s="228">
        <f>IFERROR(__xludf.DUMMYFUNCTION("""COMPUTED_VALUE"""),81.0)</f>
        <v>81</v>
      </c>
      <c r="CH3" s="228">
        <f>IFERROR(__xludf.DUMMYFUNCTION("""COMPUTED_VALUE"""),82.0)</f>
        <v>82</v>
      </c>
      <c r="CI3" s="228">
        <f>IFERROR(__xludf.DUMMYFUNCTION("""COMPUTED_VALUE"""),83.0)</f>
        <v>83</v>
      </c>
      <c r="CJ3" s="228">
        <f>IFERROR(__xludf.DUMMYFUNCTION("""COMPUTED_VALUE"""),84.0)</f>
        <v>84</v>
      </c>
      <c r="CK3">
        <f>IFERROR(__xludf.DUMMYFUNCTION("""COMPUTED_VALUE"""),85.0)</f>
        <v>85</v>
      </c>
      <c r="CL3">
        <f>IFERROR(__xludf.DUMMYFUNCTION("""COMPUTED_VALUE"""),95.0)</f>
        <v>95</v>
      </c>
      <c r="CM3">
        <f>IFERROR(__xludf.DUMMYFUNCTION("""COMPUTED_VALUE"""),96.0)</f>
        <v>96</v>
      </c>
      <c r="CN3">
        <f>IFERROR(__xludf.DUMMYFUNCTION("""COMPUTED_VALUE"""),97.0)</f>
        <v>97</v>
      </c>
      <c r="CO3">
        <f>IFERROR(__xludf.DUMMYFUNCTION("""COMPUTED_VALUE"""),98.0)</f>
        <v>98</v>
      </c>
      <c r="CP3">
        <f>IFERROR(__xludf.DUMMYFUNCTION("""COMPUTED_VALUE"""),99.0)</f>
        <v>99</v>
      </c>
      <c r="CQ3">
        <f>IFERROR(__xludf.DUMMYFUNCTION("""COMPUTED_VALUE"""),100.0)</f>
        <v>100</v>
      </c>
      <c r="CR3">
        <f>IFERROR(__xludf.DUMMYFUNCTION("""COMPUTED_VALUE"""),101.0)</f>
        <v>101</v>
      </c>
      <c r="CS3" t="str">
        <f>IFERROR(__xludf.DUMMYFUNCTION("""COMPUTED_VALUE"""),"#REF!")</f>
        <v>#REF!</v>
      </c>
      <c r="CT3" t="str">
        <f>IFERROR(__xludf.DUMMYFUNCTION("""COMPUTED_VALUE"""),"#REF!")</f>
        <v>#REF!</v>
      </c>
      <c r="CU3" t="str">
        <f>IFERROR(__xludf.DUMMYFUNCTION("""COMPUTED_VALUE"""),"#REF!")</f>
        <v>#REF!</v>
      </c>
      <c r="CV3" t="str">
        <f>IFERROR(__xludf.DUMMYFUNCTION("""COMPUTED_VALUE"""),"#REF!")</f>
        <v>#REF!</v>
      </c>
      <c r="CW3" t="str">
        <f>IFERROR(__xludf.DUMMYFUNCTION("""COMPUTED_VALUE"""),"#REF!")</f>
        <v>#REF!</v>
      </c>
      <c r="CX3" t="str">
        <f>IFERROR(__xludf.DUMMYFUNCTION("""COMPUTED_VALUE"""),"#REF!")</f>
        <v>#REF!</v>
      </c>
      <c r="CY3" t="str">
        <f>IFERROR(__xludf.DUMMYFUNCTION("""COMPUTED_VALUE"""),"#REF!")</f>
        <v>#REF!</v>
      </c>
      <c r="CZ3" t="str">
        <f>IFERROR(__xludf.DUMMYFUNCTION("""COMPUTED_VALUE"""),"#REF!")</f>
        <v>#REF!</v>
      </c>
      <c r="DA3" t="str">
        <f>IFERROR(__xludf.DUMMYFUNCTION("""COMPUTED_VALUE"""),"#REF!")</f>
        <v>#REF!</v>
      </c>
      <c r="DB3" t="str">
        <f>IFERROR(__xludf.DUMMYFUNCTION("""COMPUTED_VALUE"""),"#REF!")</f>
        <v>#REF!</v>
      </c>
      <c r="DC3" t="str">
        <f>IFERROR(__xludf.DUMMYFUNCTION("""COMPUTED_VALUE"""),"#REF!")</f>
        <v>#REF!</v>
      </c>
      <c r="DD3" t="str">
        <f>IFERROR(__xludf.DUMMYFUNCTION("""COMPUTED_VALUE"""),"#REF!")</f>
        <v>#REF!</v>
      </c>
      <c r="DE3" t="str">
        <f>IFERROR(__xludf.DUMMYFUNCTION("""COMPUTED_VALUE"""),"#REF!")</f>
        <v>#REF!</v>
      </c>
      <c r="DF3" t="str">
        <f>IFERROR(__xludf.DUMMYFUNCTION("""COMPUTED_VALUE"""),"#REF!")</f>
        <v>#REF!</v>
      </c>
      <c r="DG3" t="str">
        <f>IFERROR(__xludf.DUMMYFUNCTION("""COMPUTED_VALUE"""),"#REF!")</f>
        <v>#REF!</v>
      </c>
      <c r="DH3" t="str">
        <f>IFERROR(__xludf.DUMMYFUNCTION("""COMPUTED_VALUE"""),"#REF!")</f>
        <v>#REF!</v>
      </c>
      <c r="DI3" t="str">
        <f>IFERROR(__xludf.DUMMYFUNCTION("""COMPUTED_VALUE"""),"#REF!")</f>
        <v>#REF!</v>
      </c>
      <c r="DJ3" t="str">
        <f>IFERROR(__xludf.DUMMYFUNCTION("""COMPUTED_VALUE"""),"#REF!")</f>
        <v>#REF!</v>
      </c>
      <c r="DK3" t="str">
        <f>IFERROR(__xludf.DUMMYFUNCTION("""COMPUTED_VALUE"""),"#REF!")</f>
        <v>#REF!</v>
      </c>
      <c r="DL3" t="str">
        <f>IFERROR(__xludf.DUMMYFUNCTION("""COMPUTED_VALUE"""),"#REF!")</f>
        <v>#REF!</v>
      </c>
      <c r="DM3" t="str">
        <f>IFERROR(__xludf.DUMMYFUNCTION("""COMPUTED_VALUE"""),"#REF!")</f>
        <v>#REF!</v>
      </c>
      <c r="DN3" t="str">
        <f>IFERROR(__xludf.DUMMYFUNCTION("""COMPUTED_VALUE"""),"#REF!")</f>
        <v>#REF!</v>
      </c>
      <c r="DO3" t="str">
        <f>IFERROR(__xludf.DUMMYFUNCTION("""COMPUTED_VALUE"""),"#REF!")</f>
        <v>#REF!</v>
      </c>
      <c r="DP3" t="str">
        <f>IFERROR(__xludf.DUMMYFUNCTION("""COMPUTED_VALUE"""),"#REF!")</f>
        <v>#REF!</v>
      </c>
      <c r="DQ3" t="str">
        <f>IFERROR(__xludf.DUMMYFUNCTION("""COMPUTED_VALUE"""),"#N/A")</f>
        <v>#N/A</v>
      </c>
    </row>
    <row r="4" ht="41.25" customHeight="1">
      <c r="A4" s="82"/>
      <c r="B4" s="83" t="str">
        <f>IFERROR(__xludf.DUMMYFUNCTION("""COMPUTED_VALUE"""),"String")</f>
        <v>String</v>
      </c>
      <c r="C4" s="83" t="str">
        <f>IFERROR(__xludf.DUMMYFUNCTION("""COMPUTED_VALUE"""),"Match")</f>
        <v>Match</v>
      </c>
      <c r="D4" s="83" t="str">
        <f>IFERROR(__xludf.DUMMYFUNCTION("""COMPUTED_VALUE"""),"Name")</f>
        <v>Name</v>
      </c>
      <c r="E4" s="83" t="str">
        <f>IFERROR(__xludf.DUMMYFUNCTION("""COMPUTED_VALUE"""),"JP Name")</f>
        <v>JP Name</v>
      </c>
      <c r="F4" s="83" t="str">
        <f>IFERROR(__xludf.DUMMYFUNCTION("""COMPUTED_VALUE"""),"AP")</f>
        <v>AP</v>
      </c>
      <c r="G4" s="83" t="str">
        <f>IFERROR(__xludf.DUMMYFUNCTION("""COMPUTED_VALUE"""),"Runs")</f>
        <v>Runs</v>
      </c>
      <c r="H4" s="229" t="str">
        <f>IFERROR(__xludf.DUMMYFUNCTION("""COMPUTED_VALUE"""),"")</f>
        <v/>
      </c>
      <c r="I4" s="229" t="str">
        <f>IFERROR(__xludf.DUMMYFUNCTION("""COMPUTED_VALUE"""),"")</f>
        <v/>
      </c>
      <c r="J4" s="229" t="str">
        <f>IFERROR(__xludf.DUMMYFUNCTION("""COMPUTED_VALUE"""),"")</f>
        <v/>
      </c>
      <c r="K4" s="229" t="str">
        <f>IFERROR(__xludf.DUMMYFUNCTION("""COMPUTED_VALUE"""),"")</f>
        <v/>
      </c>
      <c r="L4" s="229" t="str">
        <f>IFERROR(__xludf.DUMMYFUNCTION("""COMPUTED_VALUE"""),"")</f>
        <v/>
      </c>
      <c r="M4" s="229" t="str">
        <f>IFERROR(__xludf.DUMMYFUNCTION("""COMPUTED_VALUE"""),"")</f>
        <v/>
      </c>
      <c r="N4" s="229" t="str">
        <f>IFERROR(__xludf.DUMMYFUNCTION("""COMPUTED_VALUE"""),"")</f>
        <v/>
      </c>
      <c r="O4" s="229" t="str">
        <f>IFERROR(__xludf.DUMMYFUNCTION("""COMPUTED_VALUE"""),"")</f>
        <v/>
      </c>
      <c r="P4" s="229" t="str">
        <f>IFERROR(__xludf.DUMMYFUNCTION("""COMPUTED_VALUE"""),"")</f>
        <v/>
      </c>
      <c r="Q4" s="229" t="str">
        <f>IFERROR(__xludf.DUMMYFUNCTION("""COMPUTED_VALUE"""),"")</f>
        <v/>
      </c>
      <c r="R4" s="229" t="str">
        <f>IFERROR(__xludf.DUMMYFUNCTION("""COMPUTED_VALUE"""),"")</f>
        <v/>
      </c>
      <c r="S4" s="229" t="str">
        <f>IFERROR(__xludf.DUMMYFUNCTION("""COMPUTED_VALUE"""),"")</f>
        <v/>
      </c>
      <c r="T4" s="229" t="str">
        <f>IFERROR(__xludf.DUMMYFUNCTION("""COMPUTED_VALUE"""),"")</f>
        <v/>
      </c>
      <c r="U4" s="229" t="str">
        <f>IFERROR(__xludf.DUMMYFUNCTION("""COMPUTED_VALUE"""),"")</f>
        <v/>
      </c>
      <c r="V4" s="229" t="str">
        <f>IFERROR(__xludf.DUMMYFUNCTION("""COMPUTED_VALUE"""),"")</f>
        <v/>
      </c>
      <c r="W4" s="229" t="str">
        <f>IFERROR(__xludf.DUMMYFUNCTION("""COMPUTED_VALUE"""),"")</f>
        <v/>
      </c>
      <c r="X4" s="229" t="str">
        <f>IFERROR(__xludf.DUMMYFUNCTION("""COMPUTED_VALUE"""),"")</f>
        <v/>
      </c>
      <c r="Y4" s="229" t="str">
        <f>IFERROR(__xludf.DUMMYFUNCTION("""COMPUTED_VALUE"""),"")</f>
        <v/>
      </c>
      <c r="Z4" s="229" t="str">
        <f>IFERROR(__xludf.DUMMYFUNCTION("""COMPUTED_VALUE"""),"")</f>
        <v/>
      </c>
      <c r="AA4" s="229" t="str">
        <f>IFERROR(__xludf.DUMMYFUNCTION("""COMPUTED_VALUE"""),"")</f>
        <v/>
      </c>
      <c r="AB4" s="229" t="str">
        <f>IFERROR(__xludf.DUMMYFUNCTION("""COMPUTED_VALUE"""),"")</f>
        <v/>
      </c>
      <c r="AC4" s="229" t="str">
        <f>IFERROR(__xludf.DUMMYFUNCTION("""COMPUTED_VALUE"""),"")</f>
        <v/>
      </c>
      <c r="AD4" s="229" t="str">
        <f>IFERROR(__xludf.DUMMYFUNCTION("""COMPUTED_VALUE"""),"")</f>
        <v/>
      </c>
      <c r="AE4" s="229" t="str">
        <f>IFERROR(__xludf.DUMMYFUNCTION("""COMPUTED_VALUE"""),"")</f>
        <v/>
      </c>
      <c r="AF4" s="229" t="str">
        <f>IFERROR(__xludf.DUMMYFUNCTION("""COMPUTED_VALUE"""),"")</f>
        <v/>
      </c>
      <c r="AG4" s="229" t="str">
        <f>IFERROR(__xludf.DUMMYFUNCTION("""COMPUTED_VALUE"""),"")</f>
        <v/>
      </c>
      <c r="AH4" s="229" t="str">
        <f>IFERROR(__xludf.DUMMYFUNCTION("""COMPUTED_VALUE"""),"")</f>
        <v/>
      </c>
      <c r="AI4" s="229" t="str">
        <f>IFERROR(__xludf.DUMMYFUNCTION("""COMPUTED_VALUE"""),"")</f>
        <v/>
      </c>
      <c r="AJ4" s="229" t="str">
        <f>IFERROR(__xludf.DUMMYFUNCTION("""COMPUTED_VALUE"""),"")</f>
        <v/>
      </c>
      <c r="AK4" s="229" t="str">
        <f>IFERROR(__xludf.DUMMYFUNCTION("""COMPUTED_VALUE"""),"")</f>
        <v/>
      </c>
      <c r="AL4" s="229" t="str">
        <f>IFERROR(__xludf.DUMMYFUNCTION("""COMPUTED_VALUE"""),"")</f>
        <v/>
      </c>
      <c r="AM4" s="229" t="str">
        <f>IFERROR(__xludf.DUMMYFUNCTION("""COMPUTED_VALUE"""),"")</f>
        <v/>
      </c>
      <c r="AN4" s="229" t="str">
        <f>IFERROR(__xludf.DUMMYFUNCTION("""COMPUTED_VALUE"""),"")</f>
        <v/>
      </c>
      <c r="AO4" s="229" t="str">
        <f>IFERROR(__xludf.DUMMYFUNCTION("""COMPUTED_VALUE"""),"")</f>
        <v/>
      </c>
      <c r="AP4" s="229" t="str">
        <f>IFERROR(__xludf.DUMMYFUNCTION("""COMPUTED_VALUE"""),"")</f>
        <v/>
      </c>
      <c r="AQ4" s="229" t="str">
        <f>IFERROR(__xludf.DUMMYFUNCTION("""COMPUTED_VALUE"""),"")</f>
        <v/>
      </c>
      <c r="AR4" s="229" t="str">
        <f>IFERROR(__xludf.DUMMYFUNCTION("""COMPUTED_VALUE"""),"")</f>
        <v/>
      </c>
      <c r="AS4" s="229" t="str">
        <f>IFERROR(__xludf.DUMMYFUNCTION("""COMPUTED_VALUE"""),"")</f>
        <v/>
      </c>
      <c r="AT4" s="229" t="str">
        <f>IFERROR(__xludf.DUMMYFUNCTION("""COMPUTED_VALUE"""),"")</f>
        <v/>
      </c>
      <c r="AU4" s="229" t="str">
        <f>IFERROR(__xludf.DUMMYFUNCTION("""COMPUTED_VALUE"""),"")</f>
        <v/>
      </c>
      <c r="AV4" s="229" t="str">
        <f>IFERROR(__xludf.DUMMYFUNCTION("""COMPUTED_VALUE"""),"")</f>
        <v/>
      </c>
      <c r="AW4" s="229" t="str">
        <f>IFERROR(__xludf.DUMMYFUNCTION("""COMPUTED_VALUE"""),"")</f>
        <v/>
      </c>
      <c r="AX4" s="229" t="str">
        <f>IFERROR(__xludf.DUMMYFUNCTION("""COMPUTED_VALUE"""),"")</f>
        <v/>
      </c>
      <c r="AY4" s="229" t="str">
        <f>IFERROR(__xludf.DUMMYFUNCTION("""COMPUTED_VALUE"""),"")</f>
        <v/>
      </c>
      <c r="AZ4" s="229" t="str">
        <f>IFERROR(__xludf.DUMMYFUNCTION("""COMPUTED_VALUE"""),"")</f>
        <v/>
      </c>
      <c r="BA4" s="229" t="str">
        <f>IFERROR(__xludf.DUMMYFUNCTION("""COMPUTED_VALUE"""),"")</f>
        <v/>
      </c>
      <c r="BB4" s="229" t="str">
        <f>IFERROR(__xludf.DUMMYFUNCTION("""COMPUTED_VALUE"""),"")</f>
        <v/>
      </c>
      <c r="BC4" s="229" t="str">
        <f>IFERROR(__xludf.DUMMYFUNCTION("""COMPUTED_VALUE"""),"")</f>
        <v/>
      </c>
      <c r="BD4" s="229" t="str">
        <f>IFERROR(__xludf.DUMMYFUNCTION("""COMPUTED_VALUE"""),"")</f>
        <v/>
      </c>
      <c r="BE4" s="229" t="str">
        <f>IFERROR(__xludf.DUMMYFUNCTION("""COMPUTED_VALUE"""),"")</f>
        <v/>
      </c>
      <c r="BF4" s="229" t="str">
        <f>IFERROR(__xludf.DUMMYFUNCTION("""COMPUTED_VALUE"""),"")</f>
        <v/>
      </c>
      <c r="BG4" s="229" t="str">
        <f>IFERROR(__xludf.DUMMYFUNCTION("""COMPUTED_VALUE"""),"")</f>
        <v/>
      </c>
      <c r="BH4" s="229" t="str">
        <f>IFERROR(__xludf.DUMMYFUNCTION("""COMPUTED_VALUE"""),"")</f>
        <v/>
      </c>
      <c r="BI4" s="229" t="str">
        <f>IFERROR(__xludf.DUMMYFUNCTION("""COMPUTED_VALUE"""),"")</f>
        <v/>
      </c>
      <c r="BJ4" s="229" t="str">
        <f>IFERROR(__xludf.DUMMYFUNCTION("""COMPUTED_VALUE"""),"")</f>
        <v/>
      </c>
      <c r="BK4" s="229" t="str">
        <f>IFERROR(__xludf.DUMMYFUNCTION("""COMPUTED_VALUE"""),"")</f>
        <v/>
      </c>
      <c r="BL4" s="229" t="str">
        <f>IFERROR(__xludf.DUMMYFUNCTION("""COMPUTED_VALUE"""),"")</f>
        <v/>
      </c>
      <c r="BM4" s="229" t="str">
        <f>IFERROR(__xludf.DUMMYFUNCTION("""COMPUTED_VALUE"""),"")</f>
        <v/>
      </c>
      <c r="BN4" s="229" t="str">
        <f>IFERROR(__xludf.DUMMYFUNCTION("""COMPUTED_VALUE"""),"")</f>
        <v/>
      </c>
      <c r="BO4" s="229" t="str">
        <f>IFERROR(__xludf.DUMMYFUNCTION("""COMPUTED_VALUE"""),"")</f>
        <v/>
      </c>
      <c r="BP4" s="229" t="str">
        <f>IFERROR(__xludf.DUMMYFUNCTION("""COMPUTED_VALUE"""),"")</f>
        <v/>
      </c>
      <c r="BQ4" s="229" t="str">
        <f>IFERROR(__xludf.DUMMYFUNCTION("""COMPUTED_VALUE"""),"")</f>
        <v/>
      </c>
      <c r="BR4" s="229" t="str">
        <f>IFERROR(__xludf.DUMMYFUNCTION("""COMPUTED_VALUE"""),"")</f>
        <v/>
      </c>
      <c r="BS4" s="229" t="str">
        <f>IFERROR(__xludf.DUMMYFUNCTION("""COMPUTED_VALUE"""),"")</f>
        <v/>
      </c>
      <c r="BT4" s="229" t="str">
        <f>IFERROR(__xludf.DUMMYFUNCTION("""COMPUTED_VALUE"""),"")</f>
        <v/>
      </c>
      <c r="BU4" s="229" t="str">
        <f>IFERROR(__xludf.DUMMYFUNCTION("""COMPUTED_VALUE"""),"")</f>
        <v/>
      </c>
      <c r="BV4" s="229" t="str">
        <f>IFERROR(__xludf.DUMMYFUNCTION("""COMPUTED_VALUE"""),"")</f>
        <v/>
      </c>
      <c r="BW4" s="229" t="str">
        <f>IFERROR(__xludf.DUMMYFUNCTION("""COMPUTED_VALUE"""),"")</f>
        <v/>
      </c>
      <c r="BX4" s="229" t="str">
        <f>IFERROR(__xludf.DUMMYFUNCTION("""COMPUTED_VALUE"""),"")</f>
        <v/>
      </c>
      <c r="BY4" s="229" t="str">
        <f>IFERROR(__xludf.DUMMYFUNCTION("""COMPUTED_VALUE"""),"")</f>
        <v/>
      </c>
      <c r="BZ4" s="229" t="str">
        <f>IFERROR(__xludf.DUMMYFUNCTION("""COMPUTED_VALUE"""),"")</f>
        <v/>
      </c>
      <c r="CA4" s="229" t="str">
        <f>IFERROR(__xludf.DUMMYFUNCTION("""COMPUTED_VALUE"""),"")</f>
        <v/>
      </c>
      <c r="CB4" s="229" t="str">
        <f>IFERROR(__xludf.DUMMYFUNCTION("""COMPUTED_VALUE"""),"")</f>
        <v/>
      </c>
      <c r="CC4" s="229" t="str">
        <f>IFERROR(__xludf.DUMMYFUNCTION("""COMPUTED_VALUE"""),"")</f>
        <v/>
      </c>
      <c r="CD4" s="229" t="str">
        <f>IFERROR(__xludf.DUMMYFUNCTION("""COMPUTED_VALUE"""),"")</f>
        <v/>
      </c>
      <c r="CE4" s="230" t="str">
        <f>IFERROR(__xludf.DUMMYFUNCTION("""COMPUTED_VALUE"""),"")</f>
        <v/>
      </c>
      <c r="CF4" s="230" t="str">
        <f>IFERROR(__xludf.DUMMYFUNCTION("""COMPUTED_VALUE"""),"")</f>
        <v/>
      </c>
      <c r="CG4" s="230" t="str">
        <f>IFERROR(__xludf.DUMMYFUNCTION("""COMPUTED_VALUE"""),"")</f>
        <v/>
      </c>
      <c r="CH4" s="230" t="str">
        <f>IFERROR(__xludf.DUMMYFUNCTION("""COMPUTED_VALUE"""),"")</f>
        <v/>
      </c>
      <c r="CI4" s="230" t="str">
        <f>IFERROR(__xludf.DUMMYFUNCTION("""COMPUTED_VALUE"""),"")</f>
        <v/>
      </c>
      <c r="CJ4" s="230" t="str">
        <f>IFERROR(__xludf.DUMMYFUNCTION("""COMPUTED_VALUE"""),"")</f>
        <v/>
      </c>
      <c r="CK4" s="229" t="str">
        <f>IFERROR(__xludf.DUMMYFUNCTION("""COMPUTED_VALUE"""),"")</f>
        <v/>
      </c>
      <c r="CL4" s="229" t="str">
        <f>IFERROR(__xludf.DUMMYFUNCTION("""COMPUTED_VALUE"""),"")</f>
        <v/>
      </c>
      <c r="CM4" s="229" t="str">
        <f>IFERROR(__xludf.DUMMYFUNCTION("""COMPUTED_VALUE"""),"")</f>
        <v/>
      </c>
      <c r="CN4" s="229" t="str">
        <f>IFERROR(__xludf.DUMMYFUNCTION("""COMPUTED_VALUE"""),"")</f>
        <v/>
      </c>
      <c r="CO4" s="229" t="str">
        <f>IFERROR(__xludf.DUMMYFUNCTION("""COMPUTED_VALUE"""),"")</f>
        <v/>
      </c>
      <c r="CP4" s="229" t="str">
        <f>IFERROR(__xludf.DUMMYFUNCTION("""COMPUTED_VALUE"""),"")</f>
        <v/>
      </c>
      <c r="CQ4" s="229" t="str">
        <f>IFERROR(__xludf.DUMMYFUNCTION("""COMPUTED_VALUE"""),"")</f>
        <v/>
      </c>
      <c r="CR4" s="229" t="str">
        <f>IFERROR(__xludf.DUMMYFUNCTION("""COMPUTED_VALUE"""),"")</f>
        <v/>
      </c>
      <c r="CS4" s="229" t="str">
        <f>IFERROR(__xludf.DUMMYFUNCTION("""COMPUTED_VALUE"""),"")</f>
        <v/>
      </c>
      <c r="CT4" s="229" t="str">
        <f>IFERROR(__xludf.DUMMYFUNCTION("""COMPUTED_VALUE"""),"")</f>
        <v/>
      </c>
      <c r="CU4" s="229" t="str">
        <f>IFERROR(__xludf.DUMMYFUNCTION("""COMPUTED_VALUE"""),"")</f>
        <v/>
      </c>
      <c r="CV4" s="229" t="str">
        <f>IFERROR(__xludf.DUMMYFUNCTION("""COMPUTED_VALUE"""),"")</f>
        <v/>
      </c>
      <c r="CW4" s="229" t="str">
        <f>IFERROR(__xludf.DUMMYFUNCTION("""COMPUTED_VALUE"""),"")</f>
        <v/>
      </c>
      <c r="CX4" s="229" t="str">
        <f>IFERROR(__xludf.DUMMYFUNCTION("""COMPUTED_VALUE"""),"")</f>
        <v/>
      </c>
      <c r="CY4" s="229" t="str">
        <f>IFERROR(__xludf.DUMMYFUNCTION("""COMPUTED_VALUE"""),"")</f>
        <v/>
      </c>
      <c r="CZ4" s="229" t="str">
        <f>IFERROR(__xludf.DUMMYFUNCTION("""COMPUTED_VALUE"""),"")</f>
        <v/>
      </c>
      <c r="DA4" s="229" t="str">
        <f>IFERROR(__xludf.DUMMYFUNCTION("""COMPUTED_VALUE"""),"")</f>
        <v/>
      </c>
      <c r="DB4" s="229" t="str">
        <f>IFERROR(__xludf.DUMMYFUNCTION("""COMPUTED_VALUE"""),"")</f>
        <v/>
      </c>
      <c r="DC4" s="229" t="str">
        <f>IFERROR(__xludf.DUMMYFUNCTION("""COMPUTED_VALUE"""),"")</f>
        <v/>
      </c>
      <c r="DD4" s="229" t="str">
        <f>IFERROR(__xludf.DUMMYFUNCTION("""COMPUTED_VALUE"""),"")</f>
        <v/>
      </c>
      <c r="DE4" s="229" t="str">
        <f>IFERROR(__xludf.DUMMYFUNCTION("""COMPUTED_VALUE"""),"")</f>
        <v/>
      </c>
      <c r="DF4" s="229" t="str">
        <f>IFERROR(__xludf.DUMMYFUNCTION("""COMPUTED_VALUE"""),"")</f>
        <v/>
      </c>
      <c r="DG4" s="229" t="str">
        <f>IFERROR(__xludf.DUMMYFUNCTION("""COMPUTED_VALUE"""),"")</f>
        <v/>
      </c>
      <c r="DH4" s="229" t="str">
        <f>IFERROR(__xludf.DUMMYFUNCTION("""COMPUTED_VALUE"""),"")</f>
        <v/>
      </c>
      <c r="DI4" s="229" t="str">
        <f>IFERROR(__xludf.DUMMYFUNCTION("""COMPUTED_VALUE"""),"")</f>
        <v/>
      </c>
      <c r="DJ4" s="229" t="str">
        <f>IFERROR(__xludf.DUMMYFUNCTION("""COMPUTED_VALUE"""),"")</f>
        <v/>
      </c>
      <c r="DK4" s="229" t="str">
        <f>IFERROR(__xludf.DUMMYFUNCTION("""COMPUTED_VALUE"""),"")</f>
        <v/>
      </c>
      <c r="DL4" s="229" t="str">
        <f>IFERROR(__xludf.DUMMYFUNCTION("""COMPUTED_VALUE"""),"")</f>
        <v/>
      </c>
      <c r="DM4" s="229" t="str">
        <f>IFERROR(__xludf.DUMMYFUNCTION("""COMPUTED_VALUE"""),"")</f>
        <v/>
      </c>
      <c r="DN4" s="229" t="str">
        <f>IFERROR(__xludf.DUMMYFUNCTION("""COMPUTED_VALUE"""),"")</f>
        <v/>
      </c>
      <c r="DO4" s="229" t="str">
        <f>IFERROR(__xludf.DUMMYFUNCTION("""COMPUTED_VALUE"""),"")</f>
        <v/>
      </c>
      <c r="DP4" s="229" t="str">
        <f>IFERROR(__xludf.DUMMYFUNCTION("""COMPUTED_VALUE"""),"")</f>
        <v/>
      </c>
      <c r="DQ4" s="229"/>
      <c r="DR4" s="229"/>
    </row>
    <row r="5" hidden="1">
      <c r="A5" s="87" t="str">
        <f>IFERROR(__xludf.DUMMYFUNCTION("""COMPUTED_VALUE"""),"EMBER GATHERING")</f>
        <v>EMBER GATHERING</v>
      </c>
      <c r="B5" s="83" t="str">
        <f>IFERROR(__xludf.DUMMYFUNCTION("""COMPUTED_VALUE"""),"EMB1")</f>
        <v>EMB1</v>
      </c>
      <c r="C5" s="82"/>
      <c r="D5" s="88" t="str">
        <f>IFERROR(__xludf.DUMMYFUNCTION("""COMPUTED_VALUE"""),"Monday/Thursday- Novice")</f>
        <v>Monday/Thursday- Novice</v>
      </c>
      <c r="E5" s="82"/>
      <c r="F5" s="82"/>
      <c r="G5" s="82"/>
      <c r="H5" s="89"/>
      <c r="I5" s="90"/>
      <c r="J5" s="91"/>
      <c r="K5" s="89"/>
      <c r="L5" s="90"/>
      <c r="M5" s="91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230"/>
      <c r="CF5" s="230"/>
      <c r="CG5" s="230"/>
      <c r="CH5" s="230"/>
      <c r="CI5" s="230"/>
      <c r="CJ5" s="230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96"/>
      <c r="CY5" s="96"/>
      <c r="CZ5" s="96"/>
      <c r="DA5" s="96"/>
      <c r="DB5" s="96"/>
      <c r="DC5" s="96"/>
      <c r="DD5" s="96"/>
      <c r="DE5" s="96"/>
      <c r="DF5" s="96"/>
      <c r="DG5" s="96"/>
      <c r="DH5" s="96"/>
      <c r="DI5" s="96"/>
      <c r="DJ5" s="96"/>
      <c r="DK5" s="96"/>
      <c r="DL5" s="96"/>
      <c r="DM5" s="96"/>
      <c r="DN5" s="96"/>
      <c r="DO5" s="96"/>
      <c r="DP5" s="96"/>
      <c r="DQ5" s="96"/>
      <c r="DR5" s="96"/>
    </row>
    <row r="6" hidden="1">
      <c r="B6" s="83" t="str">
        <f>IFERROR(__xludf.DUMMYFUNCTION("""COMPUTED_VALUE"""),"EMB2")</f>
        <v>EMB2</v>
      </c>
      <c r="C6" s="82"/>
      <c r="D6" s="88" t="str">
        <f>IFERROR(__xludf.DUMMYFUNCTION("""COMPUTED_VALUE"""),"Monday/Thursday- Intermediate")</f>
        <v>Monday/Thursday- Intermediate</v>
      </c>
      <c r="E6" s="82"/>
      <c r="F6" s="82"/>
      <c r="G6" s="82"/>
      <c r="H6" s="95"/>
      <c r="I6" s="96"/>
      <c r="J6" s="97"/>
      <c r="K6" s="95"/>
      <c r="L6" s="96"/>
      <c r="M6" s="97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230"/>
      <c r="CF6" s="230"/>
      <c r="CG6" s="230"/>
      <c r="CH6" s="230"/>
      <c r="CI6" s="230"/>
      <c r="CJ6" s="230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</row>
    <row r="7" hidden="1">
      <c r="B7" s="83" t="str">
        <f>IFERROR(__xludf.DUMMYFUNCTION("""COMPUTED_VALUE"""),"EMB3")</f>
        <v>EMB3</v>
      </c>
      <c r="C7" s="82"/>
      <c r="D7" s="88" t="str">
        <f>IFERROR(__xludf.DUMMYFUNCTION("""COMPUTED_VALUE"""),"Monday/Thursday- Advanced")</f>
        <v>Monday/Thursday- Advanced</v>
      </c>
      <c r="E7" s="82"/>
      <c r="F7" s="82"/>
      <c r="G7" s="82"/>
      <c r="H7" s="95"/>
      <c r="I7" s="96"/>
      <c r="J7" s="97"/>
      <c r="K7" s="95"/>
      <c r="L7" s="96"/>
      <c r="M7" s="97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230"/>
      <c r="CF7" s="230"/>
      <c r="CG7" s="230"/>
      <c r="CH7" s="230"/>
      <c r="CI7" s="230"/>
      <c r="CJ7" s="230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96"/>
      <c r="DO7" s="96"/>
      <c r="DP7" s="96"/>
      <c r="DQ7" s="96"/>
      <c r="DR7" s="96"/>
    </row>
    <row r="8" hidden="1">
      <c r="B8" s="83" t="str">
        <f>IFERROR(__xludf.DUMMYFUNCTION("""COMPUTED_VALUE"""),"EMB4")</f>
        <v>EMB4</v>
      </c>
      <c r="C8" s="82"/>
      <c r="D8" s="88" t="str">
        <f>IFERROR(__xludf.DUMMYFUNCTION("""COMPUTED_VALUE"""),"Monday/Thursday- Expert")</f>
        <v>Monday/Thursday- Expert</v>
      </c>
      <c r="E8" s="82"/>
      <c r="F8" s="82"/>
      <c r="G8" s="82"/>
      <c r="H8" s="95"/>
      <c r="I8" s="96"/>
      <c r="J8" s="97"/>
      <c r="K8" s="95"/>
      <c r="L8" s="96"/>
      <c r="M8" s="97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230"/>
      <c r="CF8" s="230"/>
      <c r="CG8" s="230"/>
      <c r="CH8" s="230"/>
      <c r="CI8" s="230"/>
      <c r="CJ8" s="230"/>
      <c r="CK8" s="96"/>
      <c r="CL8" s="96"/>
      <c r="CM8" s="96"/>
      <c r="CN8" s="96"/>
      <c r="CO8" s="96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6"/>
      <c r="DA8" s="96"/>
      <c r="DB8" s="96"/>
      <c r="DC8" s="96"/>
      <c r="DD8" s="96"/>
      <c r="DE8" s="96"/>
      <c r="DF8" s="96"/>
      <c r="DG8" s="96"/>
      <c r="DH8" s="96"/>
      <c r="DI8" s="96"/>
      <c r="DJ8" s="96"/>
      <c r="DK8" s="96"/>
      <c r="DL8" s="96"/>
      <c r="DM8" s="96"/>
      <c r="DN8" s="96"/>
      <c r="DO8" s="96"/>
      <c r="DP8" s="96"/>
      <c r="DQ8" s="96"/>
      <c r="DR8" s="96"/>
    </row>
    <row r="9" hidden="1">
      <c r="B9" s="83" t="str">
        <f>IFERROR(__xludf.DUMMYFUNCTION("""COMPUTED_VALUE"""),"EMB5")</f>
        <v>EMB5</v>
      </c>
      <c r="C9" s="82"/>
      <c r="D9" s="88" t="str">
        <f>IFERROR(__xludf.DUMMYFUNCTION("""COMPUTED_VALUE"""),"Tuesday/Friday- Novice")</f>
        <v>Tuesday/Friday- Novice</v>
      </c>
      <c r="E9" s="82"/>
      <c r="F9" s="82"/>
      <c r="G9" s="82"/>
      <c r="H9" s="95"/>
      <c r="I9" s="96"/>
      <c r="J9" s="97"/>
      <c r="K9" s="95"/>
      <c r="L9" s="96"/>
      <c r="M9" s="97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230"/>
      <c r="CF9" s="230"/>
      <c r="CG9" s="230"/>
      <c r="CH9" s="230"/>
      <c r="CI9" s="230"/>
      <c r="CJ9" s="230"/>
      <c r="CK9" s="96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96"/>
      <c r="CX9" s="96"/>
      <c r="CY9" s="96"/>
      <c r="CZ9" s="96"/>
      <c r="DA9" s="96"/>
      <c r="DB9" s="96"/>
      <c r="DC9" s="96"/>
      <c r="DD9" s="96"/>
      <c r="DE9" s="96"/>
      <c r="DF9" s="96"/>
      <c r="DG9" s="96"/>
      <c r="DH9" s="96"/>
      <c r="DI9" s="96"/>
      <c r="DJ9" s="96"/>
      <c r="DK9" s="96"/>
      <c r="DL9" s="96"/>
      <c r="DM9" s="96"/>
      <c r="DN9" s="96"/>
      <c r="DO9" s="96"/>
      <c r="DP9" s="96"/>
      <c r="DQ9" s="96"/>
      <c r="DR9" s="96"/>
    </row>
    <row r="10" hidden="1">
      <c r="B10" s="83" t="str">
        <f>IFERROR(__xludf.DUMMYFUNCTION("""COMPUTED_VALUE"""),"EMB6")</f>
        <v>EMB6</v>
      </c>
      <c r="C10" s="82"/>
      <c r="D10" s="88" t="str">
        <f>IFERROR(__xludf.DUMMYFUNCTION("""COMPUTED_VALUE"""),"Tuesday/Friday- Intermediate")</f>
        <v>Tuesday/Friday- Intermediate</v>
      </c>
      <c r="E10" s="82"/>
      <c r="F10" s="82"/>
      <c r="G10" s="82"/>
      <c r="H10" s="95"/>
      <c r="I10" s="96"/>
      <c r="J10" s="97"/>
      <c r="K10" s="95"/>
      <c r="L10" s="96"/>
      <c r="M10" s="97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230"/>
      <c r="CF10" s="230"/>
      <c r="CG10" s="230"/>
      <c r="CH10" s="230"/>
      <c r="CI10" s="230"/>
      <c r="CJ10" s="230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</row>
    <row r="11" hidden="1">
      <c r="B11" s="83" t="str">
        <f>IFERROR(__xludf.DUMMYFUNCTION("""COMPUTED_VALUE"""),"EMB7")</f>
        <v>EMB7</v>
      </c>
      <c r="C11" s="82"/>
      <c r="D11" s="88" t="str">
        <f>IFERROR(__xludf.DUMMYFUNCTION("""COMPUTED_VALUE"""),"Tuesday/Friday- Advanced")</f>
        <v>Tuesday/Friday- Advanced</v>
      </c>
      <c r="E11" s="82"/>
      <c r="F11" s="82"/>
      <c r="G11" s="82"/>
      <c r="H11" s="95"/>
      <c r="I11" s="96"/>
      <c r="J11" s="97"/>
      <c r="K11" s="95"/>
      <c r="L11" s="96"/>
      <c r="M11" s="97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230"/>
      <c r="CF11" s="230"/>
      <c r="CG11" s="230"/>
      <c r="CH11" s="230"/>
      <c r="CI11" s="230"/>
      <c r="CJ11" s="230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6"/>
      <c r="DA11" s="96"/>
      <c r="DB11" s="96"/>
      <c r="DC11" s="96"/>
      <c r="DD11" s="96"/>
      <c r="DE11" s="96"/>
      <c r="DF11" s="96"/>
      <c r="DG11" s="96"/>
      <c r="DH11" s="96"/>
      <c r="DI11" s="96"/>
      <c r="DJ11" s="96"/>
      <c r="DK11" s="96"/>
      <c r="DL11" s="96"/>
      <c r="DM11" s="96"/>
      <c r="DN11" s="96"/>
      <c r="DO11" s="96"/>
      <c r="DP11" s="96"/>
      <c r="DQ11" s="96"/>
      <c r="DR11" s="96"/>
    </row>
    <row r="12" hidden="1">
      <c r="B12" s="83" t="str">
        <f>IFERROR(__xludf.DUMMYFUNCTION("""COMPUTED_VALUE"""),"EMB8")</f>
        <v>EMB8</v>
      </c>
      <c r="C12" s="82"/>
      <c r="D12" s="88" t="str">
        <f>IFERROR(__xludf.DUMMYFUNCTION("""COMPUTED_VALUE"""),"Tuesday/Friday- Expert")</f>
        <v>Tuesday/Friday- Expert</v>
      </c>
      <c r="E12" s="82"/>
      <c r="F12" s="82"/>
      <c r="G12" s="82"/>
      <c r="H12" s="95"/>
      <c r="I12" s="96"/>
      <c r="J12" s="97"/>
      <c r="K12" s="95"/>
      <c r="L12" s="96"/>
      <c r="M12" s="97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230"/>
      <c r="CF12" s="230"/>
      <c r="CG12" s="230"/>
      <c r="CH12" s="230"/>
      <c r="CI12" s="230"/>
      <c r="CJ12" s="230"/>
      <c r="CK12" s="96"/>
      <c r="CL12" s="96"/>
      <c r="CM12" s="96"/>
      <c r="CN12" s="96"/>
      <c r="CO12" s="96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96"/>
      <c r="DA12" s="96"/>
      <c r="DB12" s="96"/>
      <c r="DC12" s="96"/>
      <c r="DD12" s="96"/>
      <c r="DE12" s="96"/>
      <c r="DF12" s="96"/>
      <c r="DG12" s="96"/>
      <c r="DH12" s="96"/>
      <c r="DI12" s="96"/>
      <c r="DJ12" s="96"/>
      <c r="DK12" s="96"/>
      <c r="DL12" s="96"/>
      <c r="DM12" s="96"/>
      <c r="DN12" s="96"/>
      <c r="DO12" s="96"/>
      <c r="DP12" s="96"/>
      <c r="DQ12" s="96"/>
      <c r="DR12" s="96"/>
    </row>
    <row r="13" hidden="1">
      <c r="B13" s="83" t="str">
        <f>IFERROR(__xludf.DUMMYFUNCTION("""COMPUTED_VALUE"""),"EMB9")</f>
        <v>EMB9</v>
      </c>
      <c r="C13" s="82"/>
      <c r="D13" s="88" t="str">
        <f>IFERROR(__xludf.DUMMYFUNCTION("""COMPUTED_VALUE"""),"Wednesday/Saturday- Novice")</f>
        <v>Wednesday/Saturday- Novice</v>
      </c>
      <c r="E13" s="82"/>
      <c r="F13" s="82"/>
      <c r="G13" s="82"/>
      <c r="H13" s="95"/>
      <c r="I13" s="96"/>
      <c r="J13" s="97"/>
      <c r="K13" s="95"/>
      <c r="L13" s="96"/>
      <c r="M13" s="97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230"/>
      <c r="CF13" s="230"/>
      <c r="CG13" s="230"/>
      <c r="CH13" s="230"/>
      <c r="CI13" s="230"/>
      <c r="CJ13" s="230"/>
      <c r="CK13" s="96"/>
      <c r="CL13" s="96"/>
      <c r="CM13" s="96"/>
      <c r="CN13" s="96"/>
      <c r="CO13" s="96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6"/>
      <c r="DA13" s="96"/>
      <c r="DB13" s="96"/>
      <c r="DC13" s="96"/>
      <c r="DD13" s="96"/>
      <c r="DE13" s="96"/>
      <c r="DF13" s="96"/>
      <c r="DG13" s="96"/>
      <c r="DH13" s="96"/>
      <c r="DI13" s="96"/>
      <c r="DJ13" s="96"/>
      <c r="DK13" s="96"/>
      <c r="DL13" s="96"/>
      <c r="DM13" s="96"/>
      <c r="DN13" s="96"/>
      <c r="DO13" s="96"/>
      <c r="DP13" s="96"/>
      <c r="DQ13" s="96"/>
      <c r="DR13" s="96"/>
    </row>
    <row r="14" hidden="1">
      <c r="B14" s="83" t="str">
        <f>IFERROR(__xludf.DUMMYFUNCTION("""COMPUTED_VALUE"""),"EMB10")</f>
        <v>EMB10</v>
      </c>
      <c r="C14" s="82"/>
      <c r="D14" s="88" t="str">
        <f>IFERROR(__xludf.DUMMYFUNCTION("""COMPUTED_VALUE"""),"Wednesday/Saturday- Intermediate")</f>
        <v>Wednesday/Saturday- Intermediate</v>
      </c>
      <c r="E14" s="82"/>
      <c r="F14" s="82"/>
      <c r="G14" s="82"/>
      <c r="H14" s="95"/>
      <c r="I14" s="96"/>
      <c r="J14" s="97"/>
      <c r="K14" s="95"/>
      <c r="L14" s="96"/>
      <c r="M14" s="97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230"/>
      <c r="CF14" s="230"/>
      <c r="CG14" s="230"/>
      <c r="CH14" s="230"/>
      <c r="CI14" s="230"/>
      <c r="CJ14" s="230"/>
      <c r="CK14" s="96"/>
      <c r="CL14" s="96"/>
      <c r="CM14" s="96"/>
      <c r="CN14" s="96"/>
      <c r="CO14" s="96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96"/>
      <c r="DA14" s="96"/>
      <c r="DB14" s="96"/>
      <c r="DC14" s="96"/>
      <c r="DD14" s="96"/>
      <c r="DE14" s="96"/>
      <c r="DF14" s="96"/>
      <c r="DG14" s="96"/>
      <c r="DH14" s="96"/>
      <c r="DI14" s="96"/>
      <c r="DJ14" s="96"/>
      <c r="DK14" s="96"/>
      <c r="DL14" s="96"/>
      <c r="DM14" s="96"/>
      <c r="DN14" s="96"/>
      <c r="DO14" s="96"/>
      <c r="DP14" s="96"/>
      <c r="DQ14" s="96"/>
      <c r="DR14" s="96"/>
    </row>
    <row r="15" hidden="1">
      <c r="B15" s="83" t="str">
        <f>IFERROR(__xludf.DUMMYFUNCTION("""COMPUTED_VALUE"""),"EMB11")</f>
        <v>EMB11</v>
      </c>
      <c r="C15" s="82"/>
      <c r="D15" s="88" t="str">
        <f>IFERROR(__xludf.DUMMYFUNCTION("""COMPUTED_VALUE"""),"Wednesday/Saturday- Advanced")</f>
        <v>Wednesday/Saturday- Advanced</v>
      </c>
      <c r="E15" s="82"/>
      <c r="F15" s="82"/>
      <c r="G15" s="82"/>
      <c r="H15" s="95"/>
      <c r="I15" s="96"/>
      <c r="J15" s="97"/>
      <c r="K15" s="95"/>
      <c r="L15" s="96"/>
      <c r="M15" s="97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230"/>
      <c r="CF15" s="230"/>
      <c r="CG15" s="230"/>
      <c r="CH15" s="230"/>
      <c r="CI15" s="230"/>
      <c r="CJ15" s="230"/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6"/>
      <c r="DA15" s="96"/>
      <c r="DB15" s="96"/>
      <c r="DC15" s="96"/>
      <c r="DD15" s="96"/>
      <c r="DE15" s="96"/>
      <c r="DF15" s="96"/>
      <c r="DG15" s="96"/>
      <c r="DH15" s="96"/>
      <c r="DI15" s="96"/>
      <c r="DJ15" s="96"/>
      <c r="DK15" s="96"/>
      <c r="DL15" s="96"/>
      <c r="DM15" s="96"/>
      <c r="DN15" s="96"/>
      <c r="DO15" s="96"/>
      <c r="DP15" s="96"/>
      <c r="DQ15" s="96"/>
      <c r="DR15" s="96"/>
    </row>
    <row r="16" hidden="1">
      <c r="B16" s="83" t="str">
        <f>IFERROR(__xludf.DUMMYFUNCTION("""COMPUTED_VALUE"""),"EMB12")</f>
        <v>EMB12</v>
      </c>
      <c r="C16" s="82"/>
      <c r="D16" s="88" t="str">
        <f>IFERROR(__xludf.DUMMYFUNCTION("""COMPUTED_VALUE"""),"Wednesday/Saturday- Expert")</f>
        <v>Wednesday/Saturday- Expert</v>
      </c>
      <c r="E16" s="82"/>
      <c r="F16" s="82"/>
      <c r="G16" s="82"/>
      <c r="H16" s="95"/>
      <c r="I16" s="96"/>
      <c r="J16" s="97"/>
      <c r="K16" s="95"/>
      <c r="L16" s="96"/>
      <c r="M16" s="97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230"/>
      <c r="CF16" s="230"/>
      <c r="CG16" s="230"/>
      <c r="CH16" s="230"/>
      <c r="CI16" s="230"/>
      <c r="CJ16" s="230"/>
      <c r="CK16" s="96"/>
      <c r="CL16" s="96"/>
      <c r="CM16" s="96"/>
      <c r="CN16" s="96"/>
      <c r="CO16" s="96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6"/>
      <c r="DA16" s="96"/>
      <c r="DB16" s="96"/>
      <c r="DC16" s="96"/>
      <c r="DD16" s="96"/>
      <c r="DE16" s="96"/>
      <c r="DF16" s="96"/>
      <c r="DG16" s="96"/>
      <c r="DH16" s="96"/>
      <c r="DI16" s="96"/>
      <c r="DJ16" s="96"/>
      <c r="DK16" s="96"/>
      <c r="DL16" s="96"/>
      <c r="DM16" s="96"/>
      <c r="DN16" s="96"/>
      <c r="DO16" s="96"/>
      <c r="DP16" s="96"/>
      <c r="DQ16" s="96"/>
      <c r="DR16" s="96"/>
    </row>
    <row r="17" hidden="1">
      <c r="B17" s="83" t="str">
        <f>IFERROR(__xludf.DUMMYFUNCTION("""COMPUTED_VALUE"""),"EMB13")</f>
        <v>EMB13</v>
      </c>
      <c r="C17" s="82"/>
      <c r="D17" s="88" t="str">
        <f>IFERROR(__xludf.DUMMYFUNCTION("""COMPUTED_VALUE"""),"Sunday- Novice")</f>
        <v>Sunday- Novice</v>
      </c>
      <c r="E17" s="82"/>
      <c r="F17" s="82"/>
      <c r="G17" s="82"/>
      <c r="H17" s="95"/>
      <c r="I17" s="96"/>
      <c r="J17" s="97"/>
      <c r="K17" s="95"/>
      <c r="L17" s="96"/>
      <c r="M17" s="97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230"/>
      <c r="CF17" s="230"/>
      <c r="CG17" s="230"/>
      <c r="CH17" s="230"/>
      <c r="CI17" s="230"/>
      <c r="CJ17" s="230"/>
      <c r="CK17" s="96"/>
      <c r="CL17" s="96"/>
      <c r="CM17" s="96"/>
      <c r="CN17" s="96"/>
      <c r="CO17" s="96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6"/>
      <c r="DA17" s="96"/>
      <c r="DB17" s="96"/>
      <c r="DC17" s="96"/>
      <c r="DD17" s="96"/>
      <c r="DE17" s="96"/>
      <c r="DF17" s="96"/>
      <c r="DG17" s="96"/>
      <c r="DH17" s="96"/>
      <c r="DI17" s="96"/>
      <c r="DJ17" s="96"/>
      <c r="DK17" s="96"/>
      <c r="DL17" s="96"/>
      <c r="DM17" s="96"/>
      <c r="DN17" s="96"/>
      <c r="DO17" s="96"/>
      <c r="DP17" s="96"/>
      <c r="DQ17" s="96"/>
      <c r="DR17" s="96"/>
    </row>
    <row r="18" hidden="1">
      <c r="B18" s="83" t="str">
        <f>IFERROR(__xludf.DUMMYFUNCTION("""COMPUTED_VALUE"""),"EMB14")</f>
        <v>EMB14</v>
      </c>
      <c r="C18" s="82"/>
      <c r="D18" s="88" t="str">
        <f>IFERROR(__xludf.DUMMYFUNCTION("""COMPUTED_VALUE"""),"Sunday- Intermediate")</f>
        <v>Sunday- Intermediate</v>
      </c>
      <c r="E18" s="82"/>
      <c r="F18" s="82"/>
      <c r="G18" s="82"/>
      <c r="H18" s="95"/>
      <c r="I18" s="96"/>
      <c r="J18" s="97"/>
      <c r="K18" s="95"/>
      <c r="L18" s="96"/>
      <c r="M18" s="97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230"/>
      <c r="CF18" s="230"/>
      <c r="CG18" s="230"/>
      <c r="CH18" s="230"/>
      <c r="CI18" s="230"/>
      <c r="CJ18" s="230"/>
      <c r="CK18" s="96"/>
      <c r="CL18" s="96"/>
      <c r="CM18" s="96"/>
      <c r="CN18" s="96"/>
      <c r="CO18" s="96"/>
      <c r="CP18" s="96"/>
      <c r="CQ18" s="96"/>
      <c r="CR18" s="96"/>
      <c r="CS18" s="96"/>
      <c r="CT18" s="96"/>
      <c r="CU18" s="96"/>
      <c r="CV18" s="96"/>
      <c r="CW18" s="96"/>
      <c r="CX18" s="96"/>
      <c r="CY18" s="96"/>
      <c r="CZ18" s="96"/>
      <c r="DA18" s="96"/>
      <c r="DB18" s="96"/>
      <c r="DC18" s="96"/>
      <c r="DD18" s="96"/>
      <c r="DE18" s="96"/>
      <c r="DF18" s="96"/>
      <c r="DG18" s="96"/>
      <c r="DH18" s="96"/>
      <c r="DI18" s="96"/>
      <c r="DJ18" s="96"/>
      <c r="DK18" s="96"/>
      <c r="DL18" s="96"/>
      <c r="DM18" s="96"/>
      <c r="DN18" s="96"/>
      <c r="DO18" s="96"/>
      <c r="DP18" s="96"/>
      <c r="DQ18" s="96"/>
      <c r="DR18" s="96"/>
    </row>
    <row r="19" hidden="1">
      <c r="B19" s="83" t="str">
        <f>IFERROR(__xludf.DUMMYFUNCTION("""COMPUTED_VALUE"""),"EMB15")</f>
        <v>EMB15</v>
      </c>
      <c r="C19" s="82"/>
      <c r="D19" s="88" t="str">
        <f>IFERROR(__xludf.DUMMYFUNCTION("""COMPUTED_VALUE"""),"Sunday- Advanced")</f>
        <v>Sunday- Advanced</v>
      </c>
      <c r="E19" s="82"/>
      <c r="F19" s="82"/>
      <c r="G19" s="82"/>
      <c r="H19" s="95"/>
      <c r="I19" s="96"/>
      <c r="J19" s="97"/>
      <c r="K19" s="95"/>
      <c r="L19" s="96"/>
      <c r="M19" s="97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230"/>
      <c r="CF19" s="230"/>
      <c r="CG19" s="230"/>
      <c r="CH19" s="230"/>
      <c r="CI19" s="230"/>
      <c r="CJ19" s="230"/>
      <c r="CK19" s="96"/>
      <c r="CL19" s="96"/>
      <c r="CM19" s="96"/>
      <c r="CN19" s="96"/>
      <c r="CO19" s="96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6"/>
      <c r="DA19" s="96"/>
      <c r="DB19" s="96"/>
      <c r="DC19" s="96"/>
      <c r="DD19" s="96"/>
      <c r="DE19" s="96"/>
      <c r="DF19" s="96"/>
      <c r="DG19" s="96"/>
      <c r="DH19" s="96"/>
      <c r="DI19" s="96"/>
      <c r="DJ19" s="96"/>
      <c r="DK19" s="96"/>
      <c r="DL19" s="96"/>
      <c r="DM19" s="96"/>
      <c r="DN19" s="96"/>
      <c r="DO19" s="96"/>
      <c r="DP19" s="96"/>
      <c r="DQ19" s="96"/>
      <c r="DR19" s="96"/>
    </row>
    <row r="20" hidden="1">
      <c r="B20" s="83" t="str">
        <f>IFERROR(__xludf.DUMMYFUNCTION("""COMPUTED_VALUE"""),"EMB16")</f>
        <v>EMB16</v>
      </c>
      <c r="C20" s="82"/>
      <c r="D20" s="88" t="str">
        <f>IFERROR(__xludf.DUMMYFUNCTION("""COMPUTED_VALUE"""),"Sunday- Expert")</f>
        <v>Sunday- Expert</v>
      </c>
      <c r="E20" s="82"/>
      <c r="F20" s="82"/>
      <c r="G20" s="82"/>
      <c r="H20" s="95"/>
      <c r="I20" s="96"/>
      <c r="J20" s="97"/>
      <c r="K20" s="95"/>
      <c r="L20" s="96"/>
      <c r="M20" s="97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230"/>
      <c r="CF20" s="230"/>
      <c r="CG20" s="230"/>
      <c r="CH20" s="230"/>
      <c r="CI20" s="230"/>
      <c r="CJ20" s="230"/>
      <c r="CK20" s="96"/>
      <c r="CL20" s="96"/>
      <c r="CM20" s="96"/>
      <c r="CN20" s="96"/>
      <c r="CO20" s="96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96"/>
      <c r="DA20" s="96"/>
      <c r="DB20" s="96"/>
      <c r="DC20" s="96"/>
      <c r="DD20" s="96"/>
      <c r="DE20" s="96"/>
      <c r="DF20" s="96"/>
      <c r="DG20" s="96"/>
      <c r="DH20" s="96"/>
      <c r="DI20" s="96"/>
      <c r="DJ20" s="96"/>
      <c r="DK20" s="96"/>
      <c r="DL20" s="96"/>
      <c r="DM20" s="96"/>
      <c r="DN20" s="96"/>
      <c r="DO20" s="96"/>
      <c r="DP20" s="96"/>
      <c r="DQ20" s="96"/>
      <c r="DR20" s="96"/>
    </row>
    <row r="21">
      <c r="A21" s="101" t="str">
        <f>IFERROR(__xludf.DUMMYFUNCTION("""COMPUTED_VALUE"""),"TRAINING FIELD")</f>
        <v>TRAINING FIELD</v>
      </c>
      <c r="B21" s="83" t="str">
        <f>IFERROR(__xludf.DUMMYFUNCTION("""COMPUTED_VALUE"""),"TRF1")</f>
        <v>TRF1</v>
      </c>
      <c r="C21" s="82">
        <f>IFERROR(__xludf.DUMMYFUNCTION("""COMPUTED_VALUE"""),7.0)</f>
        <v>7</v>
      </c>
      <c r="D21" s="88" t="str">
        <f>IFERROR(__xludf.DUMMYFUNCTION("""COMPUTED_VALUE"""),"MON Archer Training Ground- Nov")</f>
        <v>MON Archer Training Ground- Nov</v>
      </c>
      <c r="E21" s="82" t="str">
        <f>IFERROR(__xludf.DUMMYFUNCTION("""COMPUTED_VALUE"""),"弓初級")</f>
        <v>弓初級</v>
      </c>
      <c r="F21" s="102">
        <f>IFERROR(__xludf.DUMMYFUNCTION("""COMPUTED_VALUE"""),10.0)</f>
        <v>10</v>
      </c>
      <c r="G21" s="82">
        <f>IFERROR(__xludf.DUMMYFUNCTION("""COMPUTED_VALUE"""),1610.0)</f>
        <v>1610</v>
      </c>
      <c r="H21" s="231" t="str">
        <f>IFERROR(__xludf.DUMMYFUNCTION("""COMPUTED_VALUE"""),"")</f>
        <v/>
      </c>
      <c r="I21" s="232" t="str">
        <f>IFERROR(__xludf.DUMMYFUNCTION("""COMPUTED_VALUE"""),"")</f>
        <v/>
      </c>
      <c r="J21" s="233" t="str">
        <f>IFERROR(__xludf.DUMMYFUNCTION("""COMPUTED_VALUE"""),"")</f>
        <v/>
      </c>
      <c r="K21" s="231" t="str">
        <f>IFERROR(__xludf.DUMMYFUNCTION("""COMPUTED_VALUE"""),"")</f>
        <v/>
      </c>
      <c r="L21" s="232" t="str">
        <f>IFERROR(__xludf.DUMMYFUNCTION("""COMPUTED_VALUE"""),"")</f>
        <v/>
      </c>
      <c r="M21" s="233" t="str">
        <f>IFERROR(__xludf.DUMMYFUNCTION("""COMPUTED_VALUE"""),"")</f>
        <v/>
      </c>
      <c r="N21" s="231" t="str">
        <f>IFERROR(__xludf.DUMMYFUNCTION("""COMPUTED_VALUE"""),"")</f>
        <v/>
      </c>
      <c r="O21" s="232" t="str">
        <f>IFERROR(__xludf.DUMMYFUNCTION("""COMPUTED_VALUE"""),"")</f>
        <v/>
      </c>
      <c r="P21" s="233" t="str">
        <f>IFERROR(__xludf.DUMMYFUNCTION("""COMPUTED_VALUE"""),"")</f>
        <v/>
      </c>
      <c r="Q21" s="231" t="str">
        <f>IFERROR(__xludf.DUMMYFUNCTION("""COMPUTED_VALUE"""),"")</f>
        <v/>
      </c>
      <c r="R21" s="232" t="str">
        <f>IFERROR(__xludf.DUMMYFUNCTION("""COMPUTED_VALUE"""),"")</f>
        <v/>
      </c>
      <c r="S21" s="233" t="str">
        <f>IFERROR(__xludf.DUMMYFUNCTION("""COMPUTED_VALUE"""),"")</f>
        <v/>
      </c>
      <c r="T21" s="231" t="str">
        <f>IFERROR(__xludf.DUMMYFUNCTION("""COMPUTED_VALUE"""),"")</f>
        <v/>
      </c>
      <c r="U21" s="232" t="str">
        <f>IFERROR(__xludf.DUMMYFUNCTION("""COMPUTED_VALUE"""),"")</f>
        <v/>
      </c>
      <c r="V21" s="233" t="str">
        <f>IFERROR(__xludf.DUMMYFUNCTION("""COMPUTED_VALUE"""),"")</f>
        <v/>
      </c>
      <c r="W21" s="231" t="str">
        <f>IFERROR(__xludf.DUMMYFUNCTION("""COMPUTED_VALUE"""),"")</f>
        <v/>
      </c>
      <c r="X21" s="232" t="str">
        <f>IFERROR(__xludf.DUMMYFUNCTION("""COMPUTED_VALUE"""),"")</f>
        <v/>
      </c>
      <c r="Y21" s="233" t="str">
        <f>IFERROR(__xludf.DUMMYFUNCTION("""COMPUTED_VALUE"""),"")</f>
        <v/>
      </c>
      <c r="Z21" s="231" t="str">
        <f>IFERROR(__xludf.DUMMYFUNCTION("""COMPUTED_VALUE"""),"")</f>
        <v/>
      </c>
      <c r="AA21" s="232" t="str">
        <f>IFERROR(__xludf.DUMMYFUNCTION("""COMPUTED_VALUE"""),"")</f>
        <v/>
      </c>
      <c r="AB21" s="233" t="str">
        <f>IFERROR(__xludf.DUMMYFUNCTION("""COMPUTED_VALUE"""),"")</f>
        <v/>
      </c>
      <c r="AC21" s="231" t="str">
        <f>IFERROR(__xludf.DUMMYFUNCTION("""COMPUTED_VALUE"""),"")</f>
        <v/>
      </c>
      <c r="AD21" s="232" t="str">
        <f>IFERROR(__xludf.DUMMYFUNCTION("""COMPUTED_VALUE"""),"")</f>
        <v/>
      </c>
      <c r="AE21" s="233" t="str">
        <f>IFERROR(__xludf.DUMMYFUNCTION("""COMPUTED_VALUE"""),"")</f>
        <v/>
      </c>
      <c r="AF21" s="231" t="str">
        <f>IFERROR(__xludf.DUMMYFUNCTION("""COMPUTED_VALUE"""),"")</f>
        <v/>
      </c>
      <c r="AG21" s="232" t="str">
        <f>IFERROR(__xludf.DUMMYFUNCTION("""COMPUTED_VALUE"""),"")</f>
        <v/>
      </c>
      <c r="AH21" s="233">
        <f>IFERROR(__xludf.DUMMYFUNCTION("""COMPUTED_VALUE"""),5.1)</f>
        <v>5.1</v>
      </c>
      <c r="AI21" s="231" t="str">
        <f>IFERROR(__xludf.DUMMYFUNCTION("""COMPUTED_VALUE"""),"")</f>
        <v/>
      </c>
      <c r="AJ21" s="232" t="str">
        <f>IFERROR(__xludf.DUMMYFUNCTION("""COMPUTED_VALUE"""),"")</f>
        <v/>
      </c>
      <c r="AK21" s="233" t="str">
        <f>IFERROR(__xludf.DUMMYFUNCTION("""COMPUTED_VALUE"""),"")</f>
        <v/>
      </c>
      <c r="AL21" s="231" t="str">
        <f>IFERROR(__xludf.DUMMYFUNCTION("""COMPUTED_VALUE"""),"")</f>
        <v/>
      </c>
      <c r="AM21" s="232" t="str">
        <f>IFERROR(__xludf.DUMMYFUNCTION("""COMPUTED_VALUE"""),"")</f>
        <v/>
      </c>
      <c r="AN21" s="233" t="str">
        <f>IFERROR(__xludf.DUMMYFUNCTION("""COMPUTED_VALUE"""),"")</f>
        <v/>
      </c>
      <c r="AO21" s="231" t="str">
        <f>IFERROR(__xludf.DUMMYFUNCTION("""COMPUTED_VALUE"""),"")</f>
        <v/>
      </c>
      <c r="AP21" s="232" t="str">
        <f>IFERROR(__xludf.DUMMYFUNCTION("""COMPUTED_VALUE"""),"")</f>
        <v/>
      </c>
      <c r="AQ21" s="233" t="str">
        <f>IFERROR(__xludf.DUMMYFUNCTION("""COMPUTED_VALUE"""),"")</f>
        <v/>
      </c>
      <c r="AR21" s="231" t="str">
        <f>IFERROR(__xludf.DUMMYFUNCTION("""COMPUTED_VALUE"""),"")</f>
        <v/>
      </c>
      <c r="AS21" s="232" t="str">
        <f>IFERROR(__xludf.DUMMYFUNCTION("""COMPUTED_VALUE"""),"")</f>
        <v/>
      </c>
      <c r="AT21" s="233">
        <f>IFERROR(__xludf.DUMMYFUNCTION("""COMPUTED_VALUE"""),10.8)</f>
        <v>10.8</v>
      </c>
      <c r="AU21" s="231">
        <f>IFERROR(__xludf.DUMMYFUNCTION("""COMPUTED_VALUE"""),24.3)</f>
        <v>24.3</v>
      </c>
      <c r="AV21" s="232">
        <f>IFERROR(__xludf.DUMMYFUNCTION("""COMPUTED_VALUE"""),3.7)</f>
        <v>3.7</v>
      </c>
      <c r="AW21" s="233">
        <f>IFERROR(__xludf.DUMMYFUNCTION("""COMPUTED_VALUE"""),5.3)</f>
        <v>5.3</v>
      </c>
      <c r="AX21" s="231" t="str">
        <f>IFERROR(__xludf.DUMMYFUNCTION("""COMPUTED_VALUE"""),"")</f>
        <v/>
      </c>
      <c r="AY21" s="232" t="str">
        <f>IFERROR(__xludf.DUMMYFUNCTION("""COMPUTED_VALUE"""),"")</f>
        <v/>
      </c>
      <c r="AZ21" s="233" t="str">
        <f>IFERROR(__xludf.DUMMYFUNCTION("""COMPUTED_VALUE"""),"")</f>
        <v/>
      </c>
      <c r="BA21" s="231" t="str">
        <f>IFERROR(__xludf.DUMMYFUNCTION("""COMPUTED_VALUE"""),"")</f>
        <v/>
      </c>
      <c r="BB21" s="232" t="str">
        <f>IFERROR(__xludf.DUMMYFUNCTION("""COMPUTED_VALUE"""),"")</f>
        <v/>
      </c>
      <c r="BC21" s="233" t="str">
        <f>IFERROR(__xludf.DUMMYFUNCTION("""COMPUTED_VALUE"""),"")</f>
        <v/>
      </c>
      <c r="BD21" s="231" t="str">
        <f>IFERROR(__xludf.DUMMYFUNCTION("""COMPUTED_VALUE"""),"")</f>
        <v/>
      </c>
      <c r="BE21" s="232" t="str">
        <f>IFERROR(__xludf.DUMMYFUNCTION("""COMPUTED_VALUE"""),"")</f>
        <v/>
      </c>
      <c r="BF21" s="233" t="str">
        <f>IFERROR(__xludf.DUMMYFUNCTION("""COMPUTED_VALUE"""),"")</f>
        <v/>
      </c>
      <c r="BG21" s="231" t="str">
        <f>IFERROR(__xludf.DUMMYFUNCTION("""COMPUTED_VALUE"""),"")</f>
        <v/>
      </c>
      <c r="BH21" s="232" t="str">
        <f>IFERROR(__xludf.DUMMYFUNCTION("""COMPUTED_VALUE"""),"")</f>
        <v/>
      </c>
      <c r="BI21" s="233" t="str">
        <f>IFERROR(__xludf.DUMMYFUNCTION("""COMPUTED_VALUE"""),"")</f>
        <v/>
      </c>
      <c r="BJ21" s="231" t="str">
        <f>IFERROR(__xludf.DUMMYFUNCTION("""COMPUTED_VALUE"""),"")</f>
        <v/>
      </c>
      <c r="BK21" s="232" t="str">
        <f>IFERROR(__xludf.DUMMYFUNCTION("""COMPUTED_VALUE"""),"")</f>
        <v/>
      </c>
      <c r="BL21" s="233" t="str">
        <f>IFERROR(__xludf.DUMMYFUNCTION("""COMPUTED_VALUE"""),"")</f>
        <v/>
      </c>
      <c r="BM21" s="231" t="str">
        <f>IFERROR(__xludf.DUMMYFUNCTION("""COMPUTED_VALUE"""),"")</f>
        <v/>
      </c>
      <c r="BN21" s="232" t="str">
        <f>IFERROR(__xludf.DUMMYFUNCTION("""COMPUTED_VALUE"""),"")</f>
        <v/>
      </c>
      <c r="BO21" s="233" t="str">
        <f>IFERROR(__xludf.DUMMYFUNCTION("""COMPUTED_VALUE"""),"")</f>
        <v/>
      </c>
      <c r="BP21" s="231" t="str">
        <f>IFERROR(__xludf.DUMMYFUNCTION("""COMPUTED_VALUE"""),"")</f>
        <v/>
      </c>
      <c r="BQ21" s="232" t="str">
        <f>IFERROR(__xludf.DUMMYFUNCTION("""COMPUTED_VALUE"""),"")</f>
        <v/>
      </c>
      <c r="BR21" s="233">
        <f>IFERROR(__xludf.DUMMYFUNCTION("""COMPUTED_VALUE"""),134.5)</f>
        <v>134.5</v>
      </c>
      <c r="BS21" s="231" t="str">
        <f>IFERROR(__xludf.DUMMYFUNCTION("""COMPUTED_VALUE"""),"")</f>
        <v/>
      </c>
      <c r="BT21" s="232" t="str">
        <f>IFERROR(__xludf.DUMMYFUNCTION("""COMPUTED_VALUE"""),"")</f>
        <v/>
      </c>
      <c r="BU21" s="233" t="str">
        <f>IFERROR(__xludf.DUMMYFUNCTION("""COMPUTED_VALUE"""),"")</f>
        <v/>
      </c>
      <c r="BV21" s="231" t="str">
        <f>IFERROR(__xludf.DUMMYFUNCTION("""COMPUTED_VALUE"""),"")</f>
        <v/>
      </c>
      <c r="BW21" s="232" t="str">
        <f>IFERROR(__xludf.DUMMYFUNCTION("""COMPUTED_VALUE"""),"")</f>
        <v/>
      </c>
      <c r="BX21" s="233" t="str">
        <f>IFERROR(__xludf.DUMMYFUNCTION("""COMPUTED_VALUE"""),"")</f>
        <v/>
      </c>
      <c r="BY21" s="231">
        <f>IFERROR(__xludf.DUMMYFUNCTION("""COMPUTED_VALUE"""),1.9)</f>
        <v>1.9</v>
      </c>
      <c r="BZ21" s="232" t="str">
        <f>IFERROR(__xludf.DUMMYFUNCTION("""COMPUTED_VALUE"""),"")</f>
        <v/>
      </c>
      <c r="CA21" s="233" t="str">
        <f>IFERROR(__xludf.DUMMYFUNCTION("""COMPUTED_VALUE"""),"")</f>
        <v/>
      </c>
      <c r="CB21" s="231" t="str">
        <f>IFERROR(__xludf.DUMMYFUNCTION("""COMPUTED_VALUE"""),"")</f>
        <v/>
      </c>
      <c r="CC21" s="232" t="str">
        <f>IFERROR(__xludf.DUMMYFUNCTION("""COMPUTED_VALUE"""),"")</f>
        <v/>
      </c>
      <c r="CD21" s="233" t="str">
        <f>IFERROR(__xludf.DUMMYFUNCTION("""COMPUTED_VALUE"""),"")</f>
        <v/>
      </c>
      <c r="CE21" s="234" t="str">
        <f>IFERROR(__xludf.DUMMYFUNCTION("""COMPUTED_VALUE"""),"")</f>
        <v/>
      </c>
      <c r="CF21" s="230">
        <f>IFERROR(__xludf.DUMMYFUNCTION("""COMPUTED_VALUE"""),22.7)</f>
        <v>22.7</v>
      </c>
      <c r="CG21" s="235" t="str">
        <f>IFERROR(__xludf.DUMMYFUNCTION("""COMPUTED_VALUE"""),"")</f>
        <v/>
      </c>
      <c r="CH21" s="234" t="str">
        <f>IFERROR(__xludf.DUMMYFUNCTION("""COMPUTED_VALUE"""),"")</f>
        <v/>
      </c>
      <c r="CI21" s="230" t="str">
        <f>IFERROR(__xludf.DUMMYFUNCTION("""COMPUTED_VALUE"""),"")</f>
        <v/>
      </c>
      <c r="CJ21" s="235" t="str">
        <f>IFERROR(__xludf.DUMMYFUNCTION("""COMPUTED_VALUE"""),"")</f>
        <v/>
      </c>
      <c r="CK21" s="95" t="str">
        <f>IFERROR(__xludf.DUMMYFUNCTION("""COMPUTED_VALUE"""),"")</f>
        <v/>
      </c>
      <c r="CL21" s="96" t="str">
        <f>IFERROR(__xludf.DUMMYFUNCTION("""COMPUTED_VALUE"""),"")</f>
        <v/>
      </c>
      <c r="CM21" s="97" t="str">
        <f>IFERROR(__xludf.DUMMYFUNCTION("""COMPUTED_VALUE"""),"")</f>
        <v/>
      </c>
      <c r="CN21" s="95" t="str">
        <f>IFERROR(__xludf.DUMMYFUNCTION("""COMPUTED_VALUE"""),"")</f>
        <v/>
      </c>
      <c r="CO21" s="96" t="str">
        <f>IFERROR(__xludf.DUMMYFUNCTION("""COMPUTED_VALUE"""),"")</f>
        <v/>
      </c>
      <c r="CP21" s="97" t="str">
        <f>IFERROR(__xludf.DUMMYFUNCTION("""COMPUTED_VALUE"""),"")</f>
        <v/>
      </c>
      <c r="CQ21" s="95" t="str">
        <f>IFERROR(__xludf.DUMMYFUNCTION("""COMPUTED_VALUE"""),"")</f>
        <v/>
      </c>
      <c r="CR21" s="96" t="str">
        <f>IFERROR(__xludf.DUMMYFUNCTION("""COMPUTED_VALUE"""),"")</f>
        <v/>
      </c>
      <c r="CS21" s="97" t="str">
        <f>IFERROR(__xludf.DUMMYFUNCTION("""COMPUTED_VALUE"""),"#REF!")</f>
        <v>#REF!</v>
      </c>
      <c r="CT21" s="95" t="str">
        <f>IFERROR(__xludf.DUMMYFUNCTION("""COMPUTED_VALUE"""),"#REF!")</f>
        <v>#REF!</v>
      </c>
      <c r="CU21" s="96" t="str">
        <f>IFERROR(__xludf.DUMMYFUNCTION("""COMPUTED_VALUE"""),"#REF!")</f>
        <v>#REF!</v>
      </c>
      <c r="CV21" s="97" t="str">
        <f>IFERROR(__xludf.DUMMYFUNCTION("""COMPUTED_VALUE"""),"#REF!")</f>
        <v>#REF!</v>
      </c>
      <c r="CW21" s="95" t="str">
        <f>IFERROR(__xludf.DUMMYFUNCTION("""COMPUTED_VALUE"""),"#REF!")</f>
        <v>#REF!</v>
      </c>
      <c r="CX21" s="96" t="str">
        <f>IFERROR(__xludf.DUMMYFUNCTION("""COMPUTED_VALUE"""),"#REF!")</f>
        <v>#REF!</v>
      </c>
      <c r="CY21" s="97" t="str">
        <f>IFERROR(__xludf.DUMMYFUNCTION("""COMPUTED_VALUE"""),"#REF!")</f>
        <v>#REF!</v>
      </c>
      <c r="CZ21" s="95" t="str">
        <f>IFERROR(__xludf.DUMMYFUNCTION("""COMPUTED_VALUE"""),"#REF!")</f>
        <v>#REF!</v>
      </c>
      <c r="DA21" s="96" t="str">
        <f>IFERROR(__xludf.DUMMYFUNCTION("""COMPUTED_VALUE"""),"#REF!")</f>
        <v>#REF!</v>
      </c>
      <c r="DB21" s="97" t="str">
        <f>IFERROR(__xludf.DUMMYFUNCTION("""COMPUTED_VALUE"""),"#REF!")</f>
        <v>#REF!</v>
      </c>
      <c r="DC21" s="95" t="str">
        <f>IFERROR(__xludf.DUMMYFUNCTION("""COMPUTED_VALUE"""),"#REF!")</f>
        <v>#REF!</v>
      </c>
      <c r="DD21" s="96" t="str">
        <f>IFERROR(__xludf.DUMMYFUNCTION("""COMPUTED_VALUE"""),"#REF!")</f>
        <v>#REF!</v>
      </c>
      <c r="DE21" s="97" t="str">
        <f>IFERROR(__xludf.DUMMYFUNCTION("""COMPUTED_VALUE"""),"#REF!")</f>
        <v>#REF!</v>
      </c>
      <c r="DF21" s="95" t="str">
        <f>IFERROR(__xludf.DUMMYFUNCTION("""COMPUTED_VALUE"""),"#REF!")</f>
        <v>#REF!</v>
      </c>
      <c r="DG21" s="96" t="str">
        <f>IFERROR(__xludf.DUMMYFUNCTION("""COMPUTED_VALUE"""),"#REF!")</f>
        <v>#REF!</v>
      </c>
      <c r="DH21" s="97" t="str">
        <f>IFERROR(__xludf.DUMMYFUNCTION("""COMPUTED_VALUE"""),"#REF!")</f>
        <v>#REF!</v>
      </c>
      <c r="DI21" s="95" t="str">
        <f>IFERROR(__xludf.DUMMYFUNCTION("""COMPUTED_VALUE"""),"#REF!")</f>
        <v>#REF!</v>
      </c>
      <c r="DJ21" s="96" t="str">
        <f>IFERROR(__xludf.DUMMYFUNCTION("""COMPUTED_VALUE"""),"#REF!")</f>
        <v>#REF!</v>
      </c>
      <c r="DK21" s="97" t="str">
        <f>IFERROR(__xludf.DUMMYFUNCTION("""COMPUTED_VALUE"""),"#REF!")</f>
        <v>#REF!</v>
      </c>
      <c r="DL21" s="95" t="str">
        <f>IFERROR(__xludf.DUMMYFUNCTION("""COMPUTED_VALUE"""),"#REF!")</f>
        <v>#REF!</v>
      </c>
      <c r="DM21" s="96" t="str">
        <f>IFERROR(__xludf.DUMMYFUNCTION("""COMPUTED_VALUE"""),"#REF!")</f>
        <v>#REF!</v>
      </c>
      <c r="DN21" s="97" t="str">
        <f>IFERROR(__xludf.DUMMYFUNCTION("""COMPUTED_VALUE"""),"#REF!")</f>
        <v>#REF!</v>
      </c>
      <c r="DO21" s="95" t="str">
        <f>IFERROR(__xludf.DUMMYFUNCTION("""COMPUTED_VALUE"""),"#REF!")</f>
        <v>#REF!</v>
      </c>
      <c r="DP21" s="96" t="str">
        <f>IFERROR(__xludf.DUMMYFUNCTION("""COMPUTED_VALUE"""),"#REF!")</f>
        <v>#REF!</v>
      </c>
      <c r="DQ21" s="97"/>
      <c r="DR21" s="95"/>
    </row>
    <row r="22">
      <c r="B22" s="83" t="str">
        <f>IFERROR(__xludf.DUMMYFUNCTION("""COMPUTED_VALUE"""),"TRF2")</f>
        <v>TRF2</v>
      </c>
      <c r="C22" s="82">
        <f>IFERROR(__xludf.DUMMYFUNCTION("""COMPUTED_VALUE"""),6.0)</f>
        <v>6</v>
      </c>
      <c r="D22" s="88" t="str">
        <f>IFERROR(__xludf.DUMMYFUNCTION("""COMPUTED_VALUE"""),"MON Archer Training Ground- Int")</f>
        <v>MON Archer Training Ground- Int</v>
      </c>
      <c r="E22" s="82" t="str">
        <f>IFERROR(__xludf.DUMMYFUNCTION("""COMPUTED_VALUE"""),"弓中級")</f>
        <v>弓中級</v>
      </c>
      <c r="F22" s="102">
        <f>IFERROR(__xludf.DUMMYFUNCTION("""COMPUTED_VALUE"""),20.0)</f>
        <v>20</v>
      </c>
      <c r="G22" s="82">
        <f>IFERROR(__xludf.DUMMYFUNCTION("""COMPUTED_VALUE"""),1126.0)</f>
        <v>1126</v>
      </c>
      <c r="H22" s="231" t="str">
        <f>IFERROR(__xludf.DUMMYFUNCTION("""COMPUTED_VALUE"""),"")</f>
        <v/>
      </c>
      <c r="I22" s="232" t="str">
        <f>IFERROR(__xludf.DUMMYFUNCTION("""COMPUTED_VALUE"""),"")</f>
        <v/>
      </c>
      <c r="J22" s="233" t="str">
        <f>IFERROR(__xludf.DUMMYFUNCTION("""COMPUTED_VALUE"""),"")</f>
        <v/>
      </c>
      <c r="K22" s="231" t="str">
        <f>IFERROR(__xludf.DUMMYFUNCTION("""COMPUTED_VALUE"""),"")</f>
        <v/>
      </c>
      <c r="L22" s="232" t="str">
        <f>IFERROR(__xludf.DUMMYFUNCTION("""COMPUTED_VALUE"""),"")</f>
        <v/>
      </c>
      <c r="M22" s="233" t="str">
        <f>IFERROR(__xludf.DUMMYFUNCTION("""COMPUTED_VALUE"""),"")</f>
        <v/>
      </c>
      <c r="N22" s="231" t="str">
        <f>IFERROR(__xludf.DUMMYFUNCTION("""COMPUTED_VALUE"""),"")</f>
        <v/>
      </c>
      <c r="O22" s="232" t="str">
        <f>IFERROR(__xludf.DUMMYFUNCTION("""COMPUTED_VALUE"""),"")</f>
        <v/>
      </c>
      <c r="P22" s="233" t="str">
        <f>IFERROR(__xludf.DUMMYFUNCTION("""COMPUTED_VALUE"""),"")</f>
        <v/>
      </c>
      <c r="Q22" s="231" t="str">
        <f>IFERROR(__xludf.DUMMYFUNCTION("""COMPUTED_VALUE"""),"")</f>
        <v/>
      </c>
      <c r="R22" s="232" t="str">
        <f>IFERROR(__xludf.DUMMYFUNCTION("""COMPUTED_VALUE"""),"")</f>
        <v/>
      </c>
      <c r="S22" s="233" t="str">
        <f>IFERROR(__xludf.DUMMYFUNCTION("""COMPUTED_VALUE"""),"")</f>
        <v/>
      </c>
      <c r="T22" s="231" t="str">
        <f>IFERROR(__xludf.DUMMYFUNCTION("""COMPUTED_VALUE"""),"")</f>
        <v/>
      </c>
      <c r="U22" s="232" t="str">
        <f>IFERROR(__xludf.DUMMYFUNCTION("""COMPUTED_VALUE"""),"")</f>
        <v/>
      </c>
      <c r="V22" s="233" t="str">
        <f>IFERROR(__xludf.DUMMYFUNCTION("""COMPUTED_VALUE"""),"")</f>
        <v/>
      </c>
      <c r="W22" s="231" t="str">
        <f>IFERROR(__xludf.DUMMYFUNCTION("""COMPUTED_VALUE"""),"")</f>
        <v/>
      </c>
      <c r="X22" s="232" t="str">
        <f>IFERROR(__xludf.DUMMYFUNCTION("""COMPUTED_VALUE"""),"")</f>
        <v/>
      </c>
      <c r="Y22" s="233" t="str">
        <f>IFERROR(__xludf.DUMMYFUNCTION("""COMPUTED_VALUE"""),"")</f>
        <v/>
      </c>
      <c r="Z22" s="231">
        <f>IFERROR(__xludf.DUMMYFUNCTION("""COMPUTED_VALUE"""),15.1)</f>
        <v>15.1</v>
      </c>
      <c r="AA22" s="232" t="str">
        <f>IFERROR(__xludf.DUMMYFUNCTION("""COMPUTED_VALUE"""),"")</f>
        <v/>
      </c>
      <c r="AB22" s="233" t="str">
        <f>IFERROR(__xludf.DUMMYFUNCTION("""COMPUTED_VALUE"""),"")</f>
        <v/>
      </c>
      <c r="AC22" s="231" t="str">
        <f>IFERROR(__xludf.DUMMYFUNCTION("""COMPUTED_VALUE"""),"")</f>
        <v/>
      </c>
      <c r="AD22" s="232">
        <f>IFERROR(__xludf.DUMMYFUNCTION("""COMPUTED_VALUE"""),0.7)</f>
        <v>0.7</v>
      </c>
      <c r="AE22" s="233" t="str">
        <f>IFERROR(__xludf.DUMMYFUNCTION("""COMPUTED_VALUE"""),"")</f>
        <v/>
      </c>
      <c r="AF22" s="231" t="str">
        <f>IFERROR(__xludf.DUMMYFUNCTION("""COMPUTED_VALUE"""),"")</f>
        <v/>
      </c>
      <c r="AG22" s="232" t="str">
        <f>IFERROR(__xludf.DUMMYFUNCTION("""COMPUTED_VALUE"""),"")</f>
        <v/>
      </c>
      <c r="AH22" s="233">
        <f>IFERROR(__xludf.DUMMYFUNCTION("""COMPUTED_VALUE"""),10.4)</f>
        <v>10.4</v>
      </c>
      <c r="AI22" s="231" t="str">
        <f>IFERROR(__xludf.DUMMYFUNCTION("""COMPUTED_VALUE"""),"")</f>
        <v/>
      </c>
      <c r="AJ22" s="232" t="str">
        <f>IFERROR(__xludf.DUMMYFUNCTION("""COMPUTED_VALUE"""),"")</f>
        <v/>
      </c>
      <c r="AK22" s="233" t="str">
        <f>IFERROR(__xludf.DUMMYFUNCTION("""COMPUTED_VALUE"""),"")</f>
        <v/>
      </c>
      <c r="AL22" s="231" t="str">
        <f>IFERROR(__xludf.DUMMYFUNCTION("""COMPUTED_VALUE"""),"")</f>
        <v/>
      </c>
      <c r="AM22" s="232" t="str">
        <f>IFERROR(__xludf.DUMMYFUNCTION("""COMPUTED_VALUE"""),"")</f>
        <v/>
      </c>
      <c r="AN22" s="233" t="str">
        <f>IFERROR(__xludf.DUMMYFUNCTION("""COMPUTED_VALUE"""),"")</f>
        <v/>
      </c>
      <c r="AO22" s="231" t="str">
        <f>IFERROR(__xludf.DUMMYFUNCTION("""COMPUTED_VALUE"""),"")</f>
        <v/>
      </c>
      <c r="AP22" s="232" t="str">
        <f>IFERROR(__xludf.DUMMYFUNCTION("""COMPUTED_VALUE"""),"")</f>
        <v/>
      </c>
      <c r="AQ22" s="233" t="str">
        <f>IFERROR(__xludf.DUMMYFUNCTION("""COMPUTED_VALUE"""),"")</f>
        <v/>
      </c>
      <c r="AR22" s="231" t="str">
        <f>IFERROR(__xludf.DUMMYFUNCTION("""COMPUTED_VALUE"""),"")</f>
        <v/>
      </c>
      <c r="AS22" s="232" t="str">
        <f>IFERROR(__xludf.DUMMYFUNCTION("""COMPUTED_VALUE"""),"")</f>
        <v/>
      </c>
      <c r="AT22" s="233">
        <f>IFERROR(__xludf.DUMMYFUNCTION("""COMPUTED_VALUE"""),8.0)</f>
        <v>8</v>
      </c>
      <c r="AU22" s="231">
        <f>IFERROR(__xludf.DUMMYFUNCTION("""COMPUTED_VALUE"""),30.5)</f>
        <v>30.5</v>
      </c>
      <c r="AV22" s="232">
        <f>IFERROR(__xludf.DUMMYFUNCTION("""COMPUTED_VALUE"""),1.3)</f>
        <v>1.3</v>
      </c>
      <c r="AW22" s="233">
        <f>IFERROR(__xludf.DUMMYFUNCTION("""COMPUTED_VALUE"""),14.8)</f>
        <v>14.8</v>
      </c>
      <c r="AX22" s="231" t="str">
        <f>IFERROR(__xludf.DUMMYFUNCTION("""COMPUTED_VALUE"""),"")</f>
        <v/>
      </c>
      <c r="AY22" s="232" t="str">
        <f>IFERROR(__xludf.DUMMYFUNCTION("""COMPUTED_VALUE"""),"")</f>
        <v/>
      </c>
      <c r="AZ22" s="233" t="str">
        <f>IFERROR(__xludf.DUMMYFUNCTION("""COMPUTED_VALUE"""),"")</f>
        <v/>
      </c>
      <c r="BA22" s="231" t="str">
        <f>IFERROR(__xludf.DUMMYFUNCTION("""COMPUTED_VALUE"""),"")</f>
        <v/>
      </c>
      <c r="BB22" s="232" t="str">
        <f>IFERROR(__xludf.DUMMYFUNCTION("""COMPUTED_VALUE"""),"")</f>
        <v/>
      </c>
      <c r="BC22" s="233" t="str">
        <f>IFERROR(__xludf.DUMMYFUNCTION("""COMPUTED_VALUE"""),"")</f>
        <v/>
      </c>
      <c r="BD22" s="231" t="str">
        <f>IFERROR(__xludf.DUMMYFUNCTION("""COMPUTED_VALUE"""),"")</f>
        <v/>
      </c>
      <c r="BE22" s="232" t="str">
        <f>IFERROR(__xludf.DUMMYFUNCTION("""COMPUTED_VALUE"""),"")</f>
        <v/>
      </c>
      <c r="BF22" s="233" t="str">
        <f>IFERROR(__xludf.DUMMYFUNCTION("""COMPUTED_VALUE"""),"")</f>
        <v/>
      </c>
      <c r="BG22" s="231" t="str">
        <f>IFERROR(__xludf.DUMMYFUNCTION("""COMPUTED_VALUE"""),"")</f>
        <v/>
      </c>
      <c r="BH22" s="232" t="str">
        <f>IFERROR(__xludf.DUMMYFUNCTION("""COMPUTED_VALUE"""),"")</f>
        <v/>
      </c>
      <c r="BI22" s="233" t="str">
        <f>IFERROR(__xludf.DUMMYFUNCTION("""COMPUTED_VALUE"""),"")</f>
        <v/>
      </c>
      <c r="BJ22" s="231" t="str">
        <f>IFERROR(__xludf.DUMMYFUNCTION("""COMPUTED_VALUE"""),"")</f>
        <v/>
      </c>
      <c r="BK22" s="232">
        <f>IFERROR(__xludf.DUMMYFUNCTION("""COMPUTED_VALUE"""),37.7)</f>
        <v>37.7</v>
      </c>
      <c r="BL22" s="233" t="str">
        <f>IFERROR(__xludf.DUMMYFUNCTION("""COMPUTED_VALUE"""),"")</f>
        <v/>
      </c>
      <c r="BM22" s="231" t="str">
        <f>IFERROR(__xludf.DUMMYFUNCTION("""COMPUTED_VALUE"""),"")</f>
        <v/>
      </c>
      <c r="BN22" s="232" t="str">
        <f>IFERROR(__xludf.DUMMYFUNCTION("""COMPUTED_VALUE"""),"")</f>
        <v/>
      </c>
      <c r="BO22" s="233" t="str">
        <f>IFERROR(__xludf.DUMMYFUNCTION("""COMPUTED_VALUE"""),"")</f>
        <v/>
      </c>
      <c r="BP22" s="231" t="str">
        <f>IFERROR(__xludf.DUMMYFUNCTION("""COMPUTED_VALUE"""),"")</f>
        <v/>
      </c>
      <c r="BQ22" s="232" t="str">
        <f>IFERROR(__xludf.DUMMYFUNCTION("""COMPUTED_VALUE"""),"")</f>
        <v/>
      </c>
      <c r="BR22" s="233">
        <f>IFERROR(__xludf.DUMMYFUNCTION("""COMPUTED_VALUE"""),135.7)</f>
        <v>135.7</v>
      </c>
      <c r="BS22" s="231" t="str">
        <f>IFERROR(__xludf.DUMMYFUNCTION("""COMPUTED_VALUE"""),"")</f>
        <v/>
      </c>
      <c r="BT22" s="232" t="str">
        <f>IFERROR(__xludf.DUMMYFUNCTION("""COMPUTED_VALUE"""),"")</f>
        <v/>
      </c>
      <c r="BU22" s="233" t="str">
        <f>IFERROR(__xludf.DUMMYFUNCTION("""COMPUTED_VALUE"""),"")</f>
        <v/>
      </c>
      <c r="BV22" s="231" t="str">
        <f>IFERROR(__xludf.DUMMYFUNCTION("""COMPUTED_VALUE"""),"")</f>
        <v/>
      </c>
      <c r="BW22" s="232" t="str">
        <f>IFERROR(__xludf.DUMMYFUNCTION("""COMPUTED_VALUE"""),"")</f>
        <v/>
      </c>
      <c r="BX22" s="233" t="str">
        <f>IFERROR(__xludf.DUMMYFUNCTION("""COMPUTED_VALUE"""),"")</f>
        <v/>
      </c>
      <c r="BY22" s="231">
        <f>IFERROR(__xludf.DUMMYFUNCTION("""COMPUTED_VALUE"""),6.6)</f>
        <v>6.6</v>
      </c>
      <c r="BZ22" s="232" t="str">
        <f>IFERROR(__xludf.DUMMYFUNCTION("""COMPUTED_VALUE"""),"")</f>
        <v/>
      </c>
      <c r="CA22" s="233" t="str">
        <f>IFERROR(__xludf.DUMMYFUNCTION("""COMPUTED_VALUE"""),"")</f>
        <v/>
      </c>
      <c r="CB22" s="231" t="str">
        <f>IFERROR(__xludf.DUMMYFUNCTION("""COMPUTED_VALUE"""),"")</f>
        <v/>
      </c>
      <c r="CC22" s="232" t="str">
        <f>IFERROR(__xludf.DUMMYFUNCTION("""COMPUTED_VALUE"""),"")</f>
        <v/>
      </c>
      <c r="CD22" s="233" t="str">
        <f>IFERROR(__xludf.DUMMYFUNCTION("""COMPUTED_VALUE"""),"")</f>
        <v/>
      </c>
      <c r="CE22" s="234" t="str">
        <f>IFERROR(__xludf.DUMMYFUNCTION("""COMPUTED_VALUE"""),"")</f>
        <v/>
      </c>
      <c r="CF22" s="230">
        <f>IFERROR(__xludf.DUMMYFUNCTION("""COMPUTED_VALUE"""),67.8)</f>
        <v>67.8</v>
      </c>
      <c r="CG22" s="235" t="str">
        <f>IFERROR(__xludf.DUMMYFUNCTION("""COMPUTED_VALUE"""),"")</f>
        <v/>
      </c>
      <c r="CH22" s="234" t="str">
        <f>IFERROR(__xludf.DUMMYFUNCTION("""COMPUTED_VALUE"""),"")</f>
        <v/>
      </c>
      <c r="CI22" s="230" t="str">
        <f>IFERROR(__xludf.DUMMYFUNCTION("""COMPUTED_VALUE"""),"")</f>
        <v/>
      </c>
      <c r="CJ22" s="235" t="str">
        <f>IFERROR(__xludf.DUMMYFUNCTION("""COMPUTED_VALUE"""),"")</f>
        <v/>
      </c>
      <c r="CK22" s="95" t="str">
        <f>IFERROR(__xludf.DUMMYFUNCTION("""COMPUTED_VALUE"""),"")</f>
        <v/>
      </c>
      <c r="CL22" s="96" t="str">
        <f>IFERROR(__xludf.DUMMYFUNCTION("""COMPUTED_VALUE"""),"")</f>
        <v/>
      </c>
      <c r="CM22" s="97" t="str">
        <f>IFERROR(__xludf.DUMMYFUNCTION("""COMPUTED_VALUE"""),"")</f>
        <v/>
      </c>
      <c r="CN22" s="95" t="str">
        <f>IFERROR(__xludf.DUMMYFUNCTION("""COMPUTED_VALUE"""),"")</f>
        <v/>
      </c>
      <c r="CO22" s="96" t="str">
        <f>IFERROR(__xludf.DUMMYFUNCTION("""COMPUTED_VALUE"""),"")</f>
        <v/>
      </c>
      <c r="CP22" s="97" t="str">
        <f>IFERROR(__xludf.DUMMYFUNCTION("""COMPUTED_VALUE"""),"")</f>
        <v/>
      </c>
      <c r="CQ22" s="95" t="str">
        <f>IFERROR(__xludf.DUMMYFUNCTION("""COMPUTED_VALUE"""),"")</f>
        <v/>
      </c>
      <c r="CR22" s="96" t="str">
        <f>IFERROR(__xludf.DUMMYFUNCTION("""COMPUTED_VALUE"""),"")</f>
        <v/>
      </c>
      <c r="CS22" s="97" t="str">
        <f>IFERROR(__xludf.DUMMYFUNCTION("""COMPUTED_VALUE"""),"#REF!")</f>
        <v>#REF!</v>
      </c>
      <c r="CT22" s="95" t="str">
        <f>IFERROR(__xludf.DUMMYFUNCTION("""COMPUTED_VALUE"""),"#REF!")</f>
        <v>#REF!</v>
      </c>
      <c r="CU22" s="96" t="str">
        <f>IFERROR(__xludf.DUMMYFUNCTION("""COMPUTED_VALUE"""),"#REF!")</f>
        <v>#REF!</v>
      </c>
      <c r="CV22" s="97" t="str">
        <f>IFERROR(__xludf.DUMMYFUNCTION("""COMPUTED_VALUE"""),"#REF!")</f>
        <v>#REF!</v>
      </c>
      <c r="CW22" s="95" t="str">
        <f>IFERROR(__xludf.DUMMYFUNCTION("""COMPUTED_VALUE"""),"#REF!")</f>
        <v>#REF!</v>
      </c>
      <c r="CX22" s="96" t="str">
        <f>IFERROR(__xludf.DUMMYFUNCTION("""COMPUTED_VALUE"""),"#REF!")</f>
        <v>#REF!</v>
      </c>
      <c r="CY22" s="97" t="str">
        <f>IFERROR(__xludf.DUMMYFUNCTION("""COMPUTED_VALUE"""),"#REF!")</f>
        <v>#REF!</v>
      </c>
      <c r="CZ22" s="95" t="str">
        <f>IFERROR(__xludf.DUMMYFUNCTION("""COMPUTED_VALUE"""),"#REF!")</f>
        <v>#REF!</v>
      </c>
      <c r="DA22" s="96" t="str">
        <f>IFERROR(__xludf.DUMMYFUNCTION("""COMPUTED_VALUE"""),"#REF!")</f>
        <v>#REF!</v>
      </c>
      <c r="DB22" s="97" t="str">
        <f>IFERROR(__xludf.DUMMYFUNCTION("""COMPUTED_VALUE"""),"#REF!")</f>
        <v>#REF!</v>
      </c>
      <c r="DC22" s="95" t="str">
        <f>IFERROR(__xludf.DUMMYFUNCTION("""COMPUTED_VALUE"""),"#REF!")</f>
        <v>#REF!</v>
      </c>
      <c r="DD22" s="96" t="str">
        <f>IFERROR(__xludf.DUMMYFUNCTION("""COMPUTED_VALUE"""),"#REF!")</f>
        <v>#REF!</v>
      </c>
      <c r="DE22" s="97" t="str">
        <f>IFERROR(__xludf.DUMMYFUNCTION("""COMPUTED_VALUE"""),"#REF!")</f>
        <v>#REF!</v>
      </c>
      <c r="DF22" s="95" t="str">
        <f>IFERROR(__xludf.DUMMYFUNCTION("""COMPUTED_VALUE"""),"#REF!")</f>
        <v>#REF!</v>
      </c>
      <c r="DG22" s="96" t="str">
        <f>IFERROR(__xludf.DUMMYFUNCTION("""COMPUTED_VALUE"""),"#REF!")</f>
        <v>#REF!</v>
      </c>
      <c r="DH22" s="97" t="str">
        <f>IFERROR(__xludf.DUMMYFUNCTION("""COMPUTED_VALUE"""),"#REF!")</f>
        <v>#REF!</v>
      </c>
      <c r="DI22" s="95" t="str">
        <f>IFERROR(__xludf.DUMMYFUNCTION("""COMPUTED_VALUE"""),"#REF!")</f>
        <v>#REF!</v>
      </c>
      <c r="DJ22" s="96" t="str">
        <f>IFERROR(__xludf.DUMMYFUNCTION("""COMPUTED_VALUE"""),"#REF!")</f>
        <v>#REF!</v>
      </c>
      <c r="DK22" s="97" t="str">
        <f>IFERROR(__xludf.DUMMYFUNCTION("""COMPUTED_VALUE"""),"#REF!")</f>
        <v>#REF!</v>
      </c>
      <c r="DL22" s="95" t="str">
        <f>IFERROR(__xludf.DUMMYFUNCTION("""COMPUTED_VALUE"""),"#REF!")</f>
        <v>#REF!</v>
      </c>
      <c r="DM22" s="96" t="str">
        <f>IFERROR(__xludf.DUMMYFUNCTION("""COMPUTED_VALUE"""),"#REF!")</f>
        <v>#REF!</v>
      </c>
      <c r="DN22" s="97" t="str">
        <f>IFERROR(__xludf.DUMMYFUNCTION("""COMPUTED_VALUE"""),"#REF!")</f>
        <v>#REF!</v>
      </c>
      <c r="DO22" s="95" t="str">
        <f>IFERROR(__xludf.DUMMYFUNCTION("""COMPUTED_VALUE"""),"#REF!")</f>
        <v>#REF!</v>
      </c>
      <c r="DP22" s="96" t="str">
        <f>IFERROR(__xludf.DUMMYFUNCTION("""COMPUTED_VALUE"""),"#REF!")</f>
        <v>#REF!</v>
      </c>
      <c r="DQ22" s="97"/>
      <c r="DR22" s="95"/>
    </row>
    <row r="23">
      <c r="B23" s="83" t="str">
        <f>IFERROR(__xludf.DUMMYFUNCTION("""COMPUTED_VALUE"""),"TRF3")</f>
        <v>TRF3</v>
      </c>
      <c r="C23" s="82">
        <f>IFERROR(__xludf.DUMMYFUNCTION("""COMPUTED_VALUE"""),5.0)</f>
        <v>5</v>
      </c>
      <c r="D23" s="88" t="str">
        <f>IFERROR(__xludf.DUMMYFUNCTION("""COMPUTED_VALUE"""),"MON Archer Training Ground- Adv")</f>
        <v>MON Archer Training Ground- Adv</v>
      </c>
      <c r="E23" s="82" t="str">
        <f>IFERROR(__xludf.DUMMYFUNCTION("""COMPUTED_VALUE"""),"弓上級")</f>
        <v>弓上級</v>
      </c>
      <c r="F23" s="102">
        <f>IFERROR(__xludf.DUMMYFUNCTION("""COMPUTED_VALUE"""),30.0)</f>
        <v>30</v>
      </c>
      <c r="G23" s="82">
        <f>IFERROR(__xludf.DUMMYFUNCTION("""COMPUTED_VALUE"""),1260.0)</f>
        <v>1260</v>
      </c>
      <c r="H23" s="231" t="str">
        <f>IFERROR(__xludf.DUMMYFUNCTION("""COMPUTED_VALUE"""),"")</f>
        <v/>
      </c>
      <c r="I23" s="232" t="str">
        <f>IFERROR(__xludf.DUMMYFUNCTION("""COMPUTED_VALUE"""),"")</f>
        <v/>
      </c>
      <c r="J23" s="233" t="str">
        <f>IFERROR(__xludf.DUMMYFUNCTION("""COMPUTED_VALUE"""),"")</f>
        <v/>
      </c>
      <c r="K23" s="231" t="str">
        <f>IFERROR(__xludf.DUMMYFUNCTION("""COMPUTED_VALUE"""),"")</f>
        <v/>
      </c>
      <c r="L23" s="232" t="str">
        <f>IFERROR(__xludf.DUMMYFUNCTION("""COMPUTED_VALUE"""),"")</f>
        <v/>
      </c>
      <c r="M23" s="233">
        <f>IFERROR(__xludf.DUMMYFUNCTION("""COMPUTED_VALUE"""),5.5)</f>
        <v>5.5</v>
      </c>
      <c r="N23" s="231" t="str">
        <f>IFERROR(__xludf.DUMMYFUNCTION("""COMPUTED_VALUE"""),"")</f>
        <v/>
      </c>
      <c r="O23" s="232" t="str">
        <f>IFERROR(__xludf.DUMMYFUNCTION("""COMPUTED_VALUE"""),"")</f>
        <v/>
      </c>
      <c r="P23" s="233" t="str">
        <f>IFERROR(__xludf.DUMMYFUNCTION("""COMPUTED_VALUE"""),"")</f>
        <v/>
      </c>
      <c r="Q23" s="231" t="str">
        <f>IFERROR(__xludf.DUMMYFUNCTION("""COMPUTED_VALUE"""),"")</f>
        <v/>
      </c>
      <c r="R23" s="232" t="str">
        <f>IFERROR(__xludf.DUMMYFUNCTION("""COMPUTED_VALUE"""),"")</f>
        <v/>
      </c>
      <c r="S23" s="233" t="str">
        <f>IFERROR(__xludf.DUMMYFUNCTION("""COMPUTED_VALUE"""),"")</f>
        <v/>
      </c>
      <c r="T23" s="231" t="str">
        <f>IFERROR(__xludf.DUMMYFUNCTION("""COMPUTED_VALUE"""),"")</f>
        <v/>
      </c>
      <c r="U23" s="232" t="str">
        <f>IFERROR(__xludf.DUMMYFUNCTION("""COMPUTED_VALUE"""),"")</f>
        <v/>
      </c>
      <c r="V23" s="233" t="str">
        <f>IFERROR(__xludf.DUMMYFUNCTION("""COMPUTED_VALUE"""),"")</f>
        <v/>
      </c>
      <c r="W23" s="231" t="str">
        <f>IFERROR(__xludf.DUMMYFUNCTION("""COMPUTED_VALUE"""),"")</f>
        <v/>
      </c>
      <c r="X23" s="232" t="str">
        <f>IFERROR(__xludf.DUMMYFUNCTION("""COMPUTED_VALUE"""),"")</f>
        <v/>
      </c>
      <c r="Y23" s="233" t="str">
        <f>IFERROR(__xludf.DUMMYFUNCTION("""COMPUTED_VALUE"""),"")</f>
        <v/>
      </c>
      <c r="Z23" s="231">
        <f>IFERROR(__xludf.DUMMYFUNCTION("""COMPUTED_VALUE"""),14.9)</f>
        <v>14.9</v>
      </c>
      <c r="AA23" s="232" t="str">
        <f>IFERROR(__xludf.DUMMYFUNCTION("""COMPUTED_VALUE"""),"")</f>
        <v/>
      </c>
      <c r="AB23" s="233" t="str">
        <f>IFERROR(__xludf.DUMMYFUNCTION("""COMPUTED_VALUE"""),"")</f>
        <v/>
      </c>
      <c r="AC23" s="231" t="str">
        <f>IFERROR(__xludf.DUMMYFUNCTION("""COMPUTED_VALUE"""),"")</f>
        <v/>
      </c>
      <c r="AD23" s="232">
        <f>IFERROR(__xludf.DUMMYFUNCTION("""COMPUTED_VALUE"""),9.1)</f>
        <v>9.1</v>
      </c>
      <c r="AE23" s="233" t="str">
        <f>IFERROR(__xludf.DUMMYFUNCTION("""COMPUTED_VALUE"""),"")</f>
        <v/>
      </c>
      <c r="AF23" s="231" t="str">
        <f>IFERROR(__xludf.DUMMYFUNCTION("""COMPUTED_VALUE"""),"")</f>
        <v/>
      </c>
      <c r="AG23" s="232" t="str">
        <f>IFERROR(__xludf.DUMMYFUNCTION("""COMPUTED_VALUE"""),"")</f>
        <v/>
      </c>
      <c r="AH23" s="233">
        <f>IFERROR(__xludf.DUMMYFUNCTION("""COMPUTED_VALUE"""),13.4)</f>
        <v>13.4</v>
      </c>
      <c r="AI23" s="231" t="str">
        <f>IFERROR(__xludf.DUMMYFUNCTION("""COMPUTED_VALUE"""),"")</f>
        <v/>
      </c>
      <c r="AJ23" s="232" t="str">
        <f>IFERROR(__xludf.DUMMYFUNCTION("""COMPUTED_VALUE"""),"")</f>
        <v/>
      </c>
      <c r="AK23" s="233" t="str">
        <f>IFERROR(__xludf.DUMMYFUNCTION("""COMPUTED_VALUE"""),"")</f>
        <v/>
      </c>
      <c r="AL23" s="231" t="str">
        <f>IFERROR(__xludf.DUMMYFUNCTION("""COMPUTED_VALUE"""),"")</f>
        <v/>
      </c>
      <c r="AM23" s="232" t="str">
        <f>IFERROR(__xludf.DUMMYFUNCTION("""COMPUTED_VALUE"""),"")</f>
        <v/>
      </c>
      <c r="AN23" s="233" t="str">
        <f>IFERROR(__xludf.DUMMYFUNCTION("""COMPUTED_VALUE"""),"")</f>
        <v/>
      </c>
      <c r="AO23" s="231" t="str">
        <f>IFERROR(__xludf.DUMMYFUNCTION("""COMPUTED_VALUE"""),"")</f>
        <v/>
      </c>
      <c r="AP23" s="232" t="str">
        <f>IFERROR(__xludf.DUMMYFUNCTION("""COMPUTED_VALUE"""),"")</f>
        <v/>
      </c>
      <c r="AQ23" s="233" t="str">
        <f>IFERROR(__xludf.DUMMYFUNCTION("""COMPUTED_VALUE"""),"")</f>
        <v/>
      </c>
      <c r="AR23" s="231" t="str">
        <f>IFERROR(__xludf.DUMMYFUNCTION("""COMPUTED_VALUE"""),"")</f>
        <v/>
      </c>
      <c r="AS23" s="232" t="str">
        <f>IFERROR(__xludf.DUMMYFUNCTION("""COMPUTED_VALUE"""),"")</f>
        <v/>
      </c>
      <c r="AT23" s="233">
        <f>IFERROR(__xludf.DUMMYFUNCTION("""COMPUTED_VALUE"""),11.6)</f>
        <v>11.6</v>
      </c>
      <c r="AU23" s="231" t="str">
        <f>IFERROR(__xludf.DUMMYFUNCTION("""COMPUTED_VALUE"""),"")</f>
        <v/>
      </c>
      <c r="AV23" s="232" t="str">
        <f>IFERROR(__xludf.DUMMYFUNCTION("""COMPUTED_VALUE"""),"")</f>
        <v/>
      </c>
      <c r="AW23" s="233">
        <f>IFERROR(__xludf.DUMMYFUNCTION("""COMPUTED_VALUE"""),20.5)</f>
        <v>20.5</v>
      </c>
      <c r="AX23" s="231" t="str">
        <f>IFERROR(__xludf.DUMMYFUNCTION("""COMPUTED_VALUE"""),"")</f>
        <v/>
      </c>
      <c r="AY23" s="232" t="str">
        <f>IFERROR(__xludf.DUMMYFUNCTION("""COMPUTED_VALUE"""),"")</f>
        <v/>
      </c>
      <c r="AZ23" s="233" t="str">
        <f>IFERROR(__xludf.DUMMYFUNCTION("""COMPUTED_VALUE"""),"")</f>
        <v/>
      </c>
      <c r="BA23" s="231" t="str">
        <f>IFERROR(__xludf.DUMMYFUNCTION("""COMPUTED_VALUE"""),"")</f>
        <v/>
      </c>
      <c r="BB23" s="232" t="str">
        <f>IFERROR(__xludf.DUMMYFUNCTION("""COMPUTED_VALUE"""),"")</f>
        <v/>
      </c>
      <c r="BC23" s="233" t="str">
        <f>IFERROR(__xludf.DUMMYFUNCTION("""COMPUTED_VALUE"""),"")</f>
        <v/>
      </c>
      <c r="BD23" s="231">
        <f>IFERROR(__xludf.DUMMYFUNCTION("""COMPUTED_VALUE"""),15.0)</f>
        <v>15</v>
      </c>
      <c r="BE23" s="232" t="str">
        <f>IFERROR(__xludf.DUMMYFUNCTION("""COMPUTED_VALUE"""),"")</f>
        <v/>
      </c>
      <c r="BF23" s="233" t="str">
        <f>IFERROR(__xludf.DUMMYFUNCTION("""COMPUTED_VALUE"""),"")</f>
        <v/>
      </c>
      <c r="BG23" s="231" t="str">
        <f>IFERROR(__xludf.DUMMYFUNCTION("""COMPUTED_VALUE"""),"")</f>
        <v/>
      </c>
      <c r="BH23" s="232" t="str">
        <f>IFERROR(__xludf.DUMMYFUNCTION("""COMPUTED_VALUE"""),"")</f>
        <v/>
      </c>
      <c r="BI23" s="233" t="str">
        <f>IFERROR(__xludf.DUMMYFUNCTION("""COMPUTED_VALUE"""),"")</f>
        <v/>
      </c>
      <c r="BJ23" s="231" t="str">
        <f>IFERROR(__xludf.DUMMYFUNCTION("""COMPUTED_VALUE"""),"")</f>
        <v/>
      </c>
      <c r="BK23" s="232">
        <f>IFERROR(__xludf.DUMMYFUNCTION("""COMPUTED_VALUE"""),153.3)</f>
        <v>153.3</v>
      </c>
      <c r="BL23" s="233" t="str">
        <f>IFERROR(__xludf.DUMMYFUNCTION("""COMPUTED_VALUE"""),"")</f>
        <v/>
      </c>
      <c r="BM23" s="231" t="str">
        <f>IFERROR(__xludf.DUMMYFUNCTION("""COMPUTED_VALUE"""),"")</f>
        <v/>
      </c>
      <c r="BN23" s="232" t="str">
        <f>IFERROR(__xludf.DUMMYFUNCTION("""COMPUTED_VALUE"""),"")</f>
        <v/>
      </c>
      <c r="BO23" s="233" t="str">
        <f>IFERROR(__xludf.DUMMYFUNCTION("""COMPUTED_VALUE"""),"")</f>
        <v/>
      </c>
      <c r="BP23" s="231" t="str">
        <f>IFERROR(__xludf.DUMMYFUNCTION("""COMPUTED_VALUE"""),"")</f>
        <v/>
      </c>
      <c r="BQ23" s="232" t="str">
        <f>IFERROR(__xludf.DUMMYFUNCTION("""COMPUTED_VALUE"""),"")</f>
        <v/>
      </c>
      <c r="BR23" s="233">
        <f>IFERROR(__xludf.DUMMYFUNCTION("""COMPUTED_VALUE"""),19.5)</f>
        <v>19.5</v>
      </c>
      <c r="BS23" s="231" t="str">
        <f>IFERROR(__xludf.DUMMYFUNCTION("""COMPUTED_VALUE"""),"")</f>
        <v/>
      </c>
      <c r="BT23" s="232" t="str">
        <f>IFERROR(__xludf.DUMMYFUNCTION("""COMPUTED_VALUE"""),"")</f>
        <v/>
      </c>
      <c r="BU23" s="233" t="str">
        <f>IFERROR(__xludf.DUMMYFUNCTION("""COMPUTED_VALUE"""),"")</f>
        <v/>
      </c>
      <c r="BV23" s="231" t="str">
        <f>IFERROR(__xludf.DUMMYFUNCTION("""COMPUTED_VALUE"""),"")</f>
        <v/>
      </c>
      <c r="BW23" s="232" t="str">
        <f>IFERROR(__xludf.DUMMYFUNCTION("""COMPUTED_VALUE"""),"")</f>
        <v/>
      </c>
      <c r="BX23" s="233" t="str">
        <f>IFERROR(__xludf.DUMMYFUNCTION("""COMPUTED_VALUE"""),"")</f>
        <v/>
      </c>
      <c r="BY23" s="231">
        <f>IFERROR(__xludf.DUMMYFUNCTION("""COMPUTED_VALUE"""),34.2)</f>
        <v>34.2</v>
      </c>
      <c r="BZ23" s="232" t="str">
        <f>IFERROR(__xludf.DUMMYFUNCTION("""COMPUTED_VALUE"""),"")</f>
        <v/>
      </c>
      <c r="CA23" s="233" t="str">
        <f>IFERROR(__xludf.DUMMYFUNCTION("""COMPUTED_VALUE"""),"")</f>
        <v/>
      </c>
      <c r="CB23" s="231" t="str">
        <f>IFERROR(__xludf.DUMMYFUNCTION("""COMPUTED_VALUE"""),"")</f>
        <v/>
      </c>
      <c r="CC23" s="232" t="str">
        <f>IFERROR(__xludf.DUMMYFUNCTION("""COMPUTED_VALUE"""),"")</f>
        <v/>
      </c>
      <c r="CD23" s="233" t="str">
        <f>IFERROR(__xludf.DUMMYFUNCTION("""COMPUTED_VALUE"""),"")</f>
        <v/>
      </c>
      <c r="CE23" s="234" t="str">
        <f>IFERROR(__xludf.DUMMYFUNCTION("""COMPUTED_VALUE"""),"")</f>
        <v/>
      </c>
      <c r="CF23" s="230">
        <f>IFERROR(__xludf.DUMMYFUNCTION("""COMPUTED_VALUE"""),106.8)</f>
        <v>106.8</v>
      </c>
      <c r="CG23" s="235" t="str">
        <f>IFERROR(__xludf.DUMMYFUNCTION("""COMPUTED_VALUE"""),"")</f>
        <v/>
      </c>
      <c r="CH23" s="234" t="str">
        <f>IFERROR(__xludf.DUMMYFUNCTION("""COMPUTED_VALUE"""),"")</f>
        <v/>
      </c>
      <c r="CI23" s="230" t="str">
        <f>IFERROR(__xludf.DUMMYFUNCTION("""COMPUTED_VALUE"""),"")</f>
        <v/>
      </c>
      <c r="CJ23" s="235" t="str">
        <f>IFERROR(__xludf.DUMMYFUNCTION("""COMPUTED_VALUE"""),"")</f>
        <v/>
      </c>
      <c r="CK23" s="95" t="str">
        <f>IFERROR(__xludf.DUMMYFUNCTION("""COMPUTED_VALUE"""),"")</f>
        <v/>
      </c>
      <c r="CL23" s="96" t="str">
        <f>IFERROR(__xludf.DUMMYFUNCTION("""COMPUTED_VALUE"""),"")</f>
        <v/>
      </c>
      <c r="CM23" s="97" t="str">
        <f>IFERROR(__xludf.DUMMYFUNCTION("""COMPUTED_VALUE"""),"")</f>
        <v/>
      </c>
      <c r="CN23" s="95" t="str">
        <f>IFERROR(__xludf.DUMMYFUNCTION("""COMPUTED_VALUE"""),"")</f>
        <v/>
      </c>
      <c r="CO23" s="96" t="str">
        <f>IFERROR(__xludf.DUMMYFUNCTION("""COMPUTED_VALUE"""),"")</f>
        <v/>
      </c>
      <c r="CP23" s="97" t="str">
        <f>IFERROR(__xludf.DUMMYFUNCTION("""COMPUTED_VALUE"""),"")</f>
        <v/>
      </c>
      <c r="CQ23" s="95" t="str">
        <f>IFERROR(__xludf.DUMMYFUNCTION("""COMPUTED_VALUE"""),"")</f>
        <v/>
      </c>
      <c r="CR23" s="96" t="str">
        <f>IFERROR(__xludf.DUMMYFUNCTION("""COMPUTED_VALUE"""),"")</f>
        <v/>
      </c>
      <c r="CS23" s="97" t="str">
        <f>IFERROR(__xludf.DUMMYFUNCTION("""COMPUTED_VALUE"""),"#REF!")</f>
        <v>#REF!</v>
      </c>
      <c r="CT23" s="95" t="str">
        <f>IFERROR(__xludf.DUMMYFUNCTION("""COMPUTED_VALUE"""),"#REF!")</f>
        <v>#REF!</v>
      </c>
      <c r="CU23" s="96" t="str">
        <f>IFERROR(__xludf.DUMMYFUNCTION("""COMPUTED_VALUE"""),"#REF!")</f>
        <v>#REF!</v>
      </c>
      <c r="CV23" s="97" t="str">
        <f>IFERROR(__xludf.DUMMYFUNCTION("""COMPUTED_VALUE"""),"#REF!")</f>
        <v>#REF!</v>
      </c>
      <c r="CW23" s="95" t="str">
        <f>IFERROR(__xludf.DUMMYFUNCTION("""COMPUTED_VALUE"""),"#REF!")</f>
        <v>#REF!</v>
      </c>
      <c r="CX23" s="96" t="str">
        <f>IFERROR(__xludf.DUMMYFUNCTION("""COMPUTED_VALUE"""),"#REF!")</f>
        <v>#REF!</v>
      </c>
      <c r="CY23" s="97" t="str">
        <f>IFERROR(__xludf.DUMMYFUNCTION("""COMPUTED_VALUE"""),"#REF!")</f>
        <v>#REF!</v>
      </c>
      <c r="CZ23" s="95" t="str">
        <f>IFERROR(__xludf.DUMMYFUNCTION("""COMPUTED_VALUE"""),"#REF!")</f>
        <v>#REF!</v>
      </c>
      <c r="DA23" s="96" t="str">
        <f>IFERROR(__xludf.DUMMYFUNCTION("""COMPUTED_VALUE"""),"#REF!")</f>
        <v>#REF!</v>
      </c>
      <c r="DB23" s="97" t="str">
        <f>IFERROR(__xludf.DUMMYFUNCTION("""COMPUTED_VALUE"""),"#REF!")</f>
        <v>#REF!</v>
      </c>
      <c r="DC23" s="95" t="str">
        <f>IFERROR(__xludf.DUMMYFUNCTION("""COMPUTED_VALUE"""),"#REF!")</f>
        <v>#REF!</v>
      </c>
      <c r="DD23" s="96" t="str">
        <f>IFERROR(__xludf.DUMMYFUNCTION("""COMPUTED_VALUE"""),"#REF!")</f>
        <v>#REF!</v>
      </c>
      <c r="DE23" s="97" t="str">
        <f>IFERROR(__xludf.DUMMYFUNCTION("""COMPUTED_VALUE"""),"#REF!")</f>
        <v>#REF!</v>
      </c>
      <c r="DF23" s="95" t="str">
        <f>IFERROR(__xludf.DUMMYFUNCTION("""COMPUTED_VALUE"""),"#REF!")</f>
        <v>#REF!</v>
      </c>
      <c r="DG23" s="96" t="str">
        <f>IFERROR(__xludf.DUMMYFUNCTION("""COMPUTED_VALUE"""),"#REF!")</f>
        <v>#REF!</v>
      </c>
      <c r="DH23" s="97" t="str">
        <f>IFERROR(__xludf.DUMMYFUNCTION("""COMPUTED_VALUE"""),"#REF!")</f>
        <v>#REF!</v>
      </c>
      <c r="DI23" s="95" t="str">
        <f>IFERROR(__xludf.DUMMYFUNCTION("""COMPUTED_VALUE"""),"#REF!")</f>
        <v>#REF!</v>
      </c>
      <c r="DJ23" s="96" t="str">
        <f>IFERROR(__xludf.DUMMYFUNCTION("""COMPUTED_VALUE"""),"#REF!")</f>
        <v>#REF!</v>
      </c>
      <c r="DK23" s="97" t="str">
        <f>IFERROR(__xludf.DUMMYFUNCTION("""COMPUTED_VALUE"""),"#REF!")</f>
        <v>#REF!</v>
      </c>
      <c r="DL23" s="95" t="str">
        <f>IFERROR(__xludf.DUMMYFUNCTION("""COMPUTED_VALUE"""),"#REF!")</f>
        <v>#REF!</v>
      </c>
      <c r="DM23" s="96" t="str">
        <f>IFERROR(__xludf.DUMMYFUNCTION("""COMPUTED_VALUE"""),"#REF!")</f>
        <v>#REF!</v>
      </c>
      <c r="DN23" s="97" t="str">
        <f>IFERROR(__xludf.DUMMYFUNCTION("""COMPUTED_VALUE"""),"#REF!")</f>
        <v>#REF!</v>
      </c>
      <c r="DO23" s="95" t="str">
        <f>IFERROR(__xludf.DUMMYFUNCTION("""COMPUTED_VALUE"""),"#REF!")</f>
        <v>#REF!</v>
      </c>
      <c r="DP23" s="96" t="str">
        <f>IFERROR(__xludf.DUMMYFUNCTION("""COMPUTED_VALUE"""),"#REF!")</f>
        <v>#REF!</v>
      </c>
      <c r="DQ23" s="97"/>
      <c r="DR23" s="95"/>
    </row>
    <row r="24">
      <c r="B24" s="83" t="str">
        <f>IFERROR(__xludf.DUMMYFUNCTION("""COMPUTED_VALUE"""),"TRF4")</f>
        <v>TRF4</v>
      </c>
      <c r="C24" s="82">
        <f>IFERROR(__xludf.DUMMYFUNCTION("""COMPUTED_VALUE"""),4.0)</f>
        <v>4</v>
      </c>
      <c r="D24" s="88" t="str">
        <f>IFERROR(__xludf.DUMMYFUNCTION("""COMPUTED_VALUE"""),"MON Archer Training Ground- Exp")</f>
        <v>MON Archer Training Ground- Exp</v>
      </c>
      <c r="E24" s="82" t="str">
        <f>IFERROR(__xludf.DUMMYFUNCTION("""COMPUTED_VALUE"""),"弓超級")</f>
        <v>弓超級</v>
      </c>
      <c r="F24" s="102">
        <f>IFERROR(__xludf.DUMMYFUNCTION("""COMPUTED_VALUE"""),40.0)</f>
        <v>40</v>
      </c>
      <c r="G24" s="82">
        <f>IFERROR(__xludf.DUMMYFUNCTION("""COMPUTED_VALUE"""),10115.0)</f>
        <v>10115</v>
      </c>
      <c r="H24" s="231" t="str">
        <f>IFERROR(__xludf.DUMMYFUNCTION("""COMPUTED_VALUE"""),"")</f>
        <v/>
      </c>
      <c r="I24" s="232" t="str">
        <f>IFERROR(__xludf.DUMMYFUNCTION("""COMPUTED_VALUE"""),"")</f>
        <v/>
      </c>
      <c r="J24" s="233" t="str">
        <f>IFERROR(__xludf.DUMMYFUNCTION("""COMPUTED_VALUE"""),"")</f>
        <v/>
      </c>
      <c r="K24" s="231" t="str">
        <f>IFERROR(__xludf.DUMMYFUNCTION("""COMPUTED_VALUE"""),"")</f>
        <v/>
      </c>
      <c r="L24" s="232" t="str">
        <f>IFERROR(__xludf.DUMMYFUNCTION("""COMPUTED_VALUE"""),"")</f>
        <v/>
      </c>
      <c r="M24" s="233">
        <f>IFERROR(__xludf.DUMMYFUNCTION("""COMPUTED_VALUE"""),12.7)</f>
        <v>12.7</v>
      </c>
      <c r="N24" s="231" t="str">
        <f>IFERROR(__xludf.DUMMYFUNCTION("""COMPUTED_VALUE"""),"")</f>
        <v/>
      </c>
      <c r="O24" s="232" t="str">
        <f>IFERROR(__xludf.DUMMYFUNCTION("""COMPUTED_VALUE"""),"")</f>
        <v/>
      </c>
      <c r="P24" s="233" t="str">
        <f>IFERROR(__xludf.DUMMYFUNCTION("""COMPUTED_VALUE"""),"")</f>
        <v/>
      </c>
      <c r="Q24" s="231" t="str">
        <f>IFERROR(__xludf.DUMMYFUNCTION("""COMPUTED_VALUE"""),"")</f>
        <v/>
      </c>
      <c r="R24" s="232" t="str">
        <f>IFERROR(__xludf.DUMMYFUNCTION("""COMPUTED_VALUE"""),"")</f>
        <v/>
      </c>
      <c r="S24" s="233" t="str">
        <f>IFERROR(__xludf.DUMMYFUNCTION("""COMPUTED_VALUE"""),"")</f>
        <v/>
      </c>
      <c r="T24" s="231" t="str">
        <f>IFERROR(__xludf.DUMMYFUNCTION("""COMPUTED_VALUE"""),"")</f>
        <v/>
      </c>
      <c r="U24" s="232" t="str">
        <f>IFERROR(__xludf.DUMMYFUNCTION("""COMPUTED_VALUE"""),"")</f>
        <v/>
      </c>
      <c r="V24" s="233" t="str">
        <f>IFERROR(__xludf.DUMMYFUNCTION("""COMPUTED_VALUE"""),"")</f>
        <v/>
      </c>
      <c r="W24" s="231" t="str">
        <f>IFERROR(__xludf.DUMMYFUNCTION("""COMPUTED_VALUE"""),"")</f>
        <v/>
      </c>
      <c r="X24" s="232" t="str">
        <f>IFERROR(__xludf.DUMMYFUNCTION("""COMPUTED_VALUE"""),"")</f>
        <v/>
      </c>
      <c r="Y24" s="233" t="str">
        <f>IFERROR(__xludf.DUMMYFUNCTION("""COMPUTED_VALUE"""),"")</f>
        <v/>
      </c>
      <c r="Z24" s="231">
        <f>IFERROR(__xludf.DUMMYFUNCTION("""COMPUTED_VALUE"""),18.9)</f>
        <v>18.9</v>
      </c>
      <c r="AA24" s="232" t="str">
        <f>IFERROR(__xludf.DUMMYFUNCTION("""COMPUTED_VALUE"""),"")</f>
        <v/>
      </c>
      <c r="AB24" s="233" t="str">
        <f>IFERROR(__xludf.DUMMYFUNCTION("""COMPUTED_VALUE"""),"")</f>
        <v/>
      </c>
      <c r="AC24" s="231" t="str">
        <f>IFERROR(__xludf.DUMMYFUNCTION("""COMPUTED_VALUE"""),"")</f>
        <v/>
      </c>
      <c r="AD24" s="232">
        <f>IFERROR(__xludf.DUMMYFUNCTION("""COMPUTED_VALUE"""),20.1)</f>
        <v>20.1</v>
      </c>
      <c r="AE24" s="233" t="str">
        <f>IFERROR(__xludf.DUMMYFUNCTION("""COMPUTED_VALUE"""),"")</f>
        <v/>
      </c>
      <c r="AF24" s="231" t="str">
        <f>IFERROR(__xludf.DUMMYFUNCTION("""COMPUTED_VALUE"""),"")</f>
        <v/>
      </c>
      <c r="AG24" s="232" t="str">
        <f>IFERROR(__xludf.DUMMYFUNCTION("""COMPUTED_VALUE"""),"")</f>
        <v/>
      </c>
      <c r="AH24" s="233">
        <f>IFERROR(__xludf.DUMMYFUNCTION("""COMPUTED_VALUE"""),19.2)</f>
        <v>19.2</v>
      </c>
      <c r="AI24" s="231" t="str">
        <f>IFERROR(__xludf.DUMMYFUNCTION("""COMPUTED_VALUE"""),"")</f>
        <v/>
      </c>
      <c r="AJ24" s="232" t="str">
        <f>IFERROR(__xludf.DUMMYFUNCTION("""COMPUTED_VALUE"""),"")</f>
        <v/>
      </c>
      <c r="AK24" s="233" t="str">
        <f>IFERROR(__xludf.DUMMYFUNCTION("""COMPUTED_VALUE"""),"")</f>
        <v/>
      </c>
      <c r="AL24" s="231" t="str">
        <f>IFERROR(__xludf.DUMMYFUNCTION("""COMPUTED_VALUE"""),"")</f>
        <v/>
      </c>
      <c r="AM24" s="232" t="str">
        <f>IFERROR(__xludf.DUMMYFUNCTION("""COMPUTED_VALUE"""),"")</f>
        <v/>
      </c>
      <c r="AN24" s="233" t="str">
        <f>IFERROR(__xludf.DUMMYFUNCTION("""COMPUTED_VALUE"""),"")</f>
        <v/>
      </c>
      <c r="AO24" s="231" t="str">
        <f>IFERROR(__xludf.DUMMYFUNCTION("""COMPUTED_VALUE"""),"")</f>
        <v/>
      </c>
      <c r="AP24" s="232" t="str">
        <f>IFERROR(__xludf.DUMMYFUNCTION("""COMPUTED_VALUE"""),"")</f>
        <v/>
      </c>
      <c r="AQ24" s="233" t="str">
        <f>IFERROR(__xludf.DUMMYFUNCTION("""COMPUTED_VALUE"""),"")</f>
        <v/>
      </c>
      <c r="AR24" s="231" t="str">
        <f>IFERROR(__xludf.DUMMYFUNCTION("""COMPUTED_VALUE"""),"")</f>
        <v/>
      </c>
      <c r="AS24" s="232" t="str">
        <f>IFERROR(__xludf.DUMMYFUNCTION("""COMPUTED_VALUE"""),"")</f>
        <v/>
      </c>
      <c r="AT24" s="233">
        <f>IFERROR(__xludf.DUMMYFUNCTION("""COMPUTED_VALUE"""),18.0)</f>
        <v>18</v>
      </c>
      <c r="AU24" s="231" t="str">
        <f>IFERROR(__xludf.DUMMYFUNCTION("""COMPUTED_VALUE"""),"")</f>
        <v/>
      </c>
      <c r="AV24" s="232" t="str">
        <f>IFERROR(__xludf.DUMMYFUNCTION("""COMPUTED_VALUE"""),"")</f>
        <v/>
      </c>
      <c r="AW24" s="233">
        <f>IFERROR(__xludf.DUMMYFUNCTION("""COMPUTED_VALUE"""),24.1)</f>
        <v>24.1</v>
      </c>
      <c r="AX24" s="231" t="str">
        <f>IFERROR(__xludf.DUMMYFUNCTION("""COMPUTED_VALUE"""),"")</f>
        <v/>
      </c>
      <c r="AY24" s="232" t="str">
        <f>IFERROR(__xludf.DUMMYFUNCTION("""COMPUTED_VALUE"""),"")</f>
        <v/>
      </c>
      <c r="AZ24" s="233" t="str">
        <f>IFERROR(__xludf.DUMMYFUNCTION("""COMPUTED_VALUE"""),"")</f>
        <v/>
      </c>
      <c r="BA24" s="231" t="str">
        <f>IFERROR(__xludf.DUMMYFUNCTION("""COMPUTED_VALUE"""),"")</f>
        <v/>
      </c>
      <c r="BB24" s="232" t="str">
        <f>IFERROR(__xludf.DUMMYFUNCTION("""COMPUTED_VALUE"""),"")</f>
        <v/>
      </c>
      <c r="BC24" s="233" t="str">
        <f>IFERROR(__xludf.DUMMYFUNCTION("""COMPUTED_VALUE"""),"")</f>
        <v/>
      </c>
      <c r="BD24" s="231">
        <f>IFERROR(__xludf.DUMMYFUNCTION("""COMPUTED_VALUE"""),29.7)</f>
        <v>29.7</v>
      </c>
      <c r="BE24" s="232" t="str">
        <f>IFERROR(__xludf.DUMMYFUNCTION("""COMPUTED_VALUE"""),"")</f>
        <v/>
      </c>
      <c r="BF24" s="233" t="str">
        <f>IFERROR(__xludf.DUMMYFUNCTION("""COMPUTED_VALUE"""),"")</f>
        <v/>
      </c>
      <c r="BG24" s="231" t="str">
        <f>IFERROR(__xludf.DUMMYFUNCTION("""COMPUTED_VALUE"""),"")</f>
        <v/>
      </c>
      <c r="BH24" s="232" t="str">
        <f>IFERROR(__xludf.DUMMYFUNCTION("""COMPUTED_VALUE"""),"")</f>
        <v/>
      </c>
      <c r="BI24" s="233" t="str">
        <f>IFERROR(__xludf.DUMMYFUNCTION("""COMPUTED_VALUE"""),"")</f>
        <v/>
      </c>
      <c r="BJ24" s="231" t="str">
        <f>IFERROR(__xludf.DUMMYFUNCTION("""COMPUTED_VALUE"""),"")</f>
        <v/>
      </c>
      <c r="BK24" s="232">
        <f>IFERROR(__xludf.DUMMYFUNCTION("""COMPUTED_VALUE"""),119.8)</f>
        <v>119.8</v>
      </c>
      <c r="BL24" s="233" t="str">
        <f>IFERROR(__xludf.DUMMYFUNCTION("""COMPUTED_VALUE"""),"")</f>
        <v/>
      </c>
      <c r="BM24" s="231" t="str">
        <f>IFERROR(__xludf.DUMMYFUNCTION("""COMPUTED_VALUE"""),"")</f>
        <v/>
      </c>
      <c r="BN24" s="232" t="str">
        <f>IFERROR(__xludf.DUMMYFUNCTION("""COMPUTED_VALUE"""),"")</f>
        <v/>
      </c>
      <c r="BO24" s="233" t="str">
        <f>IFERROR(__xludf.DUMMYFUNCTION("""COMPUTED_VALUE"""),"")</f>
        <v/>
      </c>
      <c r="BP24" s="231" t="str">
        <f>IFERROR(__xludf.DUMMYFUNCTION("""COMPUTED_VALUE"""),"")</f>
        <v/>
      </c>
      <c r="BQ24" s="232" t="str">
        <f>IFERROR(__xludf.DUMMYFUNCTION("""COMPUTED_VALUE"""),"")</f>
        <v/>
      </c>
      <c r="BR24" s="233">
        <f>IFERROR(__xludf.DUMMYFUNCTION("""COMPUTED_VALUE"""),19.1)</f>
        <v>19.1</v>
      </c>
      <c r="BS24" s="231" t="str">
        <f>IFERROR(__xludf.DUMMYFUNCTION("""COMPUTED_VALUE"""),"")</f>
        <v/>
      </c>
      <c r="BT24" s="232" t="str">
        <f>IFERROR(__xludf.DUMMYFUNCTION("""COMPUTED_VALUE"""),"")</f>
        <v/>
      </c>
      <c r="BU24" s="233" t="str">
        <f>IFERROR(__xludf.DUMMYFUNCTION("""COMPUTED_VALUE"""),"")</f>
        <v/>
      </c>
      <c r="BV24" s="231" t="str">
        <f>IFERROR(__xludf.DUMMYFUNCTION("""COMPUTED_VALUE"""),"")</f>
        <v/>
      </c>
      <c r="BW24" s="232" t="str">
        <f>IFERROR(__xludf.DUMMYFUNCTION("""COMPUTED_VALUE"""),"")</f>
        <v/>
      </c>
      <c r="BX24" s="233" t="str">
        <f>IFERROR(__xludf.DUMMYFUNCTION("""COMPUTED_VALUE"""),"")</f>
        <v/>
      </c>
      <c r="BY24" s="231">
        <f>IFERROR(__xludf.DUMMYFUNCTION("""COMPUTED_VALUE"""),57.8)</f>
        <v>57.8</v>
      </c>
      <c r="BZ24" s="232" t="str">
        <f>IFERROR(__xludf.DUMMYFUNCTION("""COMPUTED_VALUE"""),"")</f>
        <v/>
      </c>
      <c r="CA24" s="233" t="str">
        <f>IFERROR(__xludf.DUMMYFUNCTION("""COMPUTED_VALUE"""),"")</f>
        <v/>
      </c>
      <c r="CB24" s="231" t="str">
        <f>IFERROR(__xludf.DUMMYFUNCTION("""COMPUTED_VALUE"""),"")</f>
        <v/>
      </c>
      <c r="CC24" s="232" t="str">
        <f>IFERROR(__xludf.DUMMYFUNCTION("""COMPUTED_VALUE"""),"")</f>
        <v/>
      </c>
      <c r="CD24" s="233" t="str">
        <f>IFERROR(__xludf.DUMMYFUNCTION("""COMPUTED_VALUE"""),"")</f>
        <v/>
      </c>
      <c r="CE24" s="234" t="str">
        <f>IFERROR(__xludf.DUMMYFUNCTION("""COMPUTED_VALUE"""),"")</f>
        <v/>
      </c>
      <c r="CF24" s="230">
        <f>IFERROR(__xludf.DUMMYFUNCTION("""COMPUTED_VALUE"""),81.1)</f>
        <v>81.1</v>
      </c>
      <c r="CG24" s="235" t="str">
        <f>IFERROR(__xludf.DUMMYFUNCTION("""COMPUTED_VALUE"""),"")</f>
        <v/>
      </c>
      <c r="CH24" s="234" t="str">
        <f>IFERROR(__xludf.DUMMYFUNCTION("""COMPUTED_VALUE"""),"")</f>
        <v/>
      </c>
      <c r="CI24" s="230" t="str">
        <f>IFERROR(__xludf.DUMMYFUNCTION("""COMPUTED_VALUE"""),"")</f>
        <v/>
      </c>
      <c r="CJ24" s="235" t="str">
        <f>IFERROR(__xludf.DUMMYFUNCTION("""COMPUTED_VALUE"""),"")</f>
        <v/>
      </c>
      <c r="CK24" s="95" t="str">
        <f>IFERROR(__xludf.DUMMYFUNCTION("""COMPUTED_VALUE"""),"")</f>
        <v/>
      </c>
      <c r="CL24" s="96" t="str">
        <f>IFERROR(__xludf.DUMMYFUNCTION("""COMPUTED_VALUE"""),"")</f>
        <v/>
      </c>
      <c r="CM24" s="97" t="str">
        <f>IFERROR(__xludf.DUMMYFUNCTION("""COMPUTED_VALUE"""),"")</f>
        <v/>
      </c>
      <c r="CN24" s="95" t="str">
        <f>IFERROR(__xludf.DUMMYFUNCTION("""COMPUTED_VALUE"""),"")</f>
        <v/>
      </c>
      <c r="CO24" s="96" t="str">
        <f>IFERROR(__xludf.DUMMYFUNCTION("""COMPUTED_VALUE"""),"")</f>
        <v/>
      </c>
      <c r="CP24" s="97" t="str">
        <f>IFERROR(__xludf.DUMMYFUNCTION("""COMPUTED_VALUE"""),"")</f>
        <v/>
      </c>
      <c r="CQ24" s="95" t="str">
        <f>IFERROR(__xludf.DUMMYFUNCTION("""COMPUTED_VALUE"""),"")</f>
        <v/>
      </c>
      <c r="CR24" s="96" t="str">
        <f>IFERROR(__xludf.DUMMYFUNCTION("""COMPUTED_VALUE"""),"")</f>
        <v/>
      </c>
      <c r="CS24" s="97" t="str">
        <f>IFERROR(__xludf.DUMMYFUNCTION("""COMPUTED_VALUE"""),"#REF!")</f>
        <v>#REF!</v>
      </c>
      <c r="CT24" s="95" t="str">
        <f>IFERROR(__xludf.DUMMYFUNCTION("""COMPUTED_VALUE"""),"#REF!")</f>
        <v>#REF!</v>
      </c>
      <c r="CU24" s="96" t="str">
        <f>IFERROR(__xludf.DUMMYFUNCTION("""COMPUTED_VALUE"""),"#REF!")</f>
        <v>#REF!</v>
      </c>
      <c r="CV24" s="97" t="str">
        <f>IFERROR(__xludf.DUMMYFUNCTION("""COMPUTED_VALUE"""),"#REF!")</f>
        <v>#REF!</v>
      </c>
      <c r="CW24" s="95" t="str">
        <f>IFERROR(__xludf.DUMMYFUNCTION("""COMPUTED_VALUE"""),"#REF!")</f>
        <v>#REF!</v>
      </c>
      <c r="CX24" s="96" t="str">
        <f>IFERROR(__xludf.DUMMYFUNCTION("""COMPUTED_VALUE"""),"#REF!")</f>
        <v>#REF!</v>
      </c>
      <c r="CY24" s="97" t="str">
        <f>IFERROR(__xludf.DUMMYFUNCTION("""COMPUTED_VALUE"""),"#REF!")</f>
        <v>#REF!</v>
      </c>
      <c r="CZ24" s="95" t="str">
        <f>IFERROR(__xludf.DUMMYFUNCTION("""COMPUTED_VALUE"""),"#REF!")</f>
        <v>#REF!</v>
      </c>
      <c r="DA24" s="96" t="str">
        <f>IFERROR(__xludf.DUMMYFUNCTION("""COMPUTED_VALUE"""),"#REF!")</f>
        <v>#REF!</v>
      </c>
      <c r="DB24" s="97" t="str">
        <f>IFERROR(__xludf.DUMMYFUNCTION("""COMPUTED_VALUE"""),"#REF!")</f>
        <v>#REF!</v>
      </c>
      <c r="DC24" s="95" t="str">
        <f>IFERROR(__xludf.DUMMYFUNCTION("""COMPUTED_VALUE"""),"#REF!")</f>
        <v>#REF!</v>
      </c>
      <c r="DD24" s="96" t="str">
        <f>IFERROR(__xludf.DUMMYFUNCTION("""COMPUTED_VALUE"""),"#REF!")</f>
        <v>#REF!</v>
      </c>
      <c r="DE24" s="97" t="str">
        <f>IFERROR(__xludf.DUMMYFUNCTION("""COMPUTED_VALUE"""),"#REF!")</f>
        <v>#REF!</v>
      </c>
      <c r="DF24" s="95" t="str">
        <f>IFERROR(__xludf.DUMMYFUNCTION("""COMPUTED_VALUE"""),"#REF!")</f>
        <v>#REF!</v>
      </c>
      <c r="DG24" s="96" t="str">
        <f>IFERROR(__xludf.DUMMYFUNCTION("""COMPUTED_VALUE"""),"#REF!")</f>
        <v>#REF!</v>
      </c>
      <c r="DH24" s="97" t="str">
        <f>IFERROR(__xludf.DUMMYFUNCTION("""COMPUTED_VALUE"""),"#REF!")</f>
        <v>#REF!</v>
      </c>
      <c r="DI24" s="95" t="str">
        <f>IFERROR(__xludf.DUMMYFUNCTION("""COMPUTED_VALUE"""),"#REF!")</f>
        <v>#REF!</v>
      </c>
      <c r="DJ24" s="96" t="str">
        <f>IFERROR(__xludf.DUMMYFUNCTION("""COMPUTED_VALUE"""),"#REF!")</f>
        <v>#REF!</v>
      </c>
      <c r="DK24" s="97" t="str">
        <f>IFERROR(__xludf.DUMMYFUNCTION("""COMPUTED_VALUE"""),"#REF!")</f>
        <v>#REF!</v>
      </c>
      <c r="DL24" s="95" t="str">
        <f>IFERROR(__xludf.DUMMYFUNCTION("""COMPUTED_VALUE"""),"#REF!")</f>
        <v>#REF!</v>
      </c>
      <c r="DM24" s="96" t="str">
        <f>IFERROR(__xludf.DUMMYFUNCTION("""COMPUTED_VALUE"""),"#REF!")</f>
        <v>#REF!</v>
      </c>
      <c r="DN24" s="97" t="str">
        <f>IFERROR(__xludf.DUMMYFUNCTION("""COMPUTED_VALUE"""),"#REF!")</f>
        <v>#REF!</v>
      </c>
      <c r="DO24" s="95" t="str">
        <f>IFERROR(__xludf.DUMMYFUNCTION("""COMPUTED_VALUE"""),"#REF!")</f>
        <v>#REF!</v>
      </c>
      <c r="DP24" s="96" t="str">
        <f>IFERROR(__xludf.DUMMYFUNCTION("""COMPUTED_VALUE"""),"#REF!")</f>
        <v>#REF!</v>
      </c>
      <c r="DQ24" s="97"/>
      <c r="DR24" s="95"/>
    </row>
    <row r="25">
      <c r="B25" s="83" t="str">
        <f>IFERROR(__xludf.DUMMYFUNCTION("""COMPUTED_VALUE"""),"TRF5")</f>
        <v>TRF5</v>
      </c>
      <c r="C25" s="82">
        <f>IFERROR(__xludf.DUMMYFUNCTION("""COMPUTED_VALUE"""),11.0)</f>
        <v>11</v>
      </c>
      <c r="D25" s="88" t="str">
        <f>IFERROR(__xludf.DUMMYFUNCTION("""COMPUTED_VALUE"""),"TUE Lancer Training Ground- Nov")</f>
        <v>TUE Lancer Training Ground- Nov</v>
      </c>
      <c r="E25" s="82" t="str">
        <f>IFERROR(__xludf.DUMMYFUNCTION("""COMPUTED_VALUE"""),"槍初級")</f>
        <v>槍初級</v>
      </c>
      <c r="F25" s="102">
        <f>IFERROR(__xludf.DUMMYFUNCTION("""COMPUTED_VALUE"""),10.0)</f>
        <v>10</v>
      </c>
      <c r="G25" s="82">
        <f>IFERROR(__xludf.DUMMYFUNCTION("""COMPUTED_VALUE"""),1961.0)</f>
        <v>1961</v>
      </c>
      <c r="H25" s="231" t="str">
        <f>IFERROR(__xludf.DUMMYFUNCTION("""COMPUTED_VALUE"""),"")</f>
        <v/>
      </c>
      <c r="I25" s="232" t="str">
        <f>IFERROR(__xludf.DUMMYFUNCTION("""COMPUTED_VALUE"""),"")</f>
        <v/>
      </c>
      <c r="J25" s="233" t="str">
        <f>IFERROR(__xludf.DUMMYFUNCTION("""COMPUTED_VALUE"""),"")</f>
        <v/>
      </c>
      <c r="K25" s="231" t="str">
        <f>IFERROR(__xludf.DUMMYFUNCTION("""COMPUTED_VALUE"""),"")</f>
        <v/>
      </c>
      <c r="L25" s="232" t="str">
        <f>IFERROR(__xludf.DUMMYFUNCTION("""COMPUTED_VALUE"""),"")</f>
        <v/>
      </c>
      <c r="M25" s="233" t="str">
        <f>IFERROR(__xludf.DUMMYFUNCTION("""COMPUTED_VALUE"""),"")</f>
        <v/>
      </c>
      <c r="N25" s="231" t="str">
        <f>IFERROR(__xludf.DUMMYFUNCTION("""COMPUTED_VALUE"""),"")</f>
        <v/>
      </c>
      <c r="O25" s="232" t="str">
        <f>IFERROR(__xludf.DUMMYFUNCTION("""COMPUTED_VALUE"""),"")</f>
        <v/>
      </c>
      <c r="P25" s="233" t="str">
        <f>IFERROR(__xludf.DUMMYFUNCTION("""COMPUTED_VALUE"""),"")</f>
        <v/>
      </c>
      <c r="Q25" s="231" t="str">
        <f>IFERROR(__xludf.DUMMYFUNCTION("""COMPUTED_VALUE"""),"")</f>
        <v/>
      </c>
      <c r="R25" s="232" t="str">
        <f>IFERROR(__xludf.DUMMYFUNCTION("""COMPUTED_VALUE"""),"")</f>
        <v/>
      </c>
      <c r="S25" s="233" t="str">
        <f>IFERROR(__xludf.DUMMYFUNCTION("""COMPUTED_VALUE"""),"")</f>
        <v/>
      </c>
      <c r="T25" s="231" t="str">
        <f>IFERROR(__xludf.DUMMYFUNCTION("""COMPUTED_VALUE"""),"")</f>
        <v/>
      </c>
      <c r="U25" s="232" t="str">
        <f>IFERROR(__xludf.DUMMYFUNCTION("""COMPUTED_VALUE"""),"")</f>
        <v/>
      </c>
      <c r="V25" s="233" t="str">
        <f>IFERROR(__xludf.DUMMYFUNCTION("""COMPUTED_VALUE"""),"")</f>
        <v/>
      </c>
      <c r="W25" s="231" t="str">
        <f>IFERROR(__xludf.DUMMYFUNCTION("""COMPUTED_VALUE"""),"")</f>
        <v/>
      </c>
      <c r="X25" s="232" t="str">
        <f>IFERROR(__xludf.DUMMYFUNCTION("""COMPUTED_VALUE"""),"")</f>
        <v/>
      </c>
      <c r="Y25" s="233" t="str">
        <f>IFERROR(__xludf.DUMMYFUNCTION("""COMPUTED_VALUE"""),"")</f>
        <v/>
      </c>
      <c r="Z25" s="231" t="str">
        <f>IFERROR(__xludf.DUMMYFUNCTION("""COMPUTED_VALUE"""),"")</f>
        <v/>
      </c>
      <c r="AA25" s="232" t="str">
        <f>IFERROR(__xludf.DUMMYFUNCTION("""COMPUTED_VALUE"""),"")</f>
        <v/>
      </c>
      <c r="AB25" s="233" t="str">
        <f>IFERROR(__xludf.DUMMYFUNCTION("""COMPUTED_VALUE"""),"")</f>
        <v/>
      </c>
      <c r="AC25" s="231" t="str">
        <f>IFERROR(__xludf.DUMMYFUNCTION("""COMPUTED_VALUE"""),"")</f>
        <v/>
      </c>
      <c r="AD25" s="232" t="str">
        <f>IFERROR(__xludf.DUMMYFUNCTION("""COMPUTED_VALUE"""),"")</f>
        <v/>
      </c>
      <c r="AE25" s="233" t="str">
        <f>IFERROR(__xludf.DUMMYFUNCTION("""COMPUTED_VALUE"""),"")</f>
        <v/>
      </c>
      <c r="AF25" s="231" t="str">
        <f>IFERROR(__xludf.DUMMYFUNCTION("""COMPUTED_VALUE"""),"")</f>
        <v/>
      </c>
      <c r="AG25" s="232">
        <f>IFERROR(__xludf.DUMMYFUNCTION("""COMPUTED_VALUE"""),4.9)</f>
        <v>4.9</v>
      </c>
      <c r="AH25" s="233" t="str">
        <f>IFERROR(__xludf.DUMMYFUNCTION("""COMPUTED_VALUE"""),"")</f>
        <v/>
      </c>
      <c r="AI25" s="231" t="str">
        <f>IFERROR(__xludf.DUMMYFUNCTION("""COMPUTED_VALUE"""),"")</f>
        <v/>
      </c>
      <c r="AJ25" s="232" t="str">
        <f>IFERROR(__xludf.DUMMYFUNCTION("""COMPUTED_VALUE"""),"")</f>
        <v/>
      </c>
      <c r="AK25" s="233" t="str">
        <f>IFERROR(__xludf.DUMMYFUNCTION("""COMPUTED_VALUE"""),"")</f>
        <v/>
      </c>
      <c r="AL25" s="231" t="str">
        <f>IFERROR(__xludf.DUMMYFUNCTION("""COMPUTED_VALUE"""),"")</f>
        <v/>
      </c>
      <c r="AM25" s="232" t="str">
        <f>IFERROR(__xludf.DUMMYFUNCTION("""COMPUTED_VALUE"""),"")</f>
        <v/>
      </c>
      <c r="AN25" s="233" t="str">
        <f>IFERROR(__xludf.DUMMYFUNCTION("""COMPUTED_VALUE"""),"")</f>
        <v/>
      </c>
      <c r="AO25" s="231" t="str">
        <f>IFERROR(__xludf.DUMMYFUNCTION("""COMPUTED_VALUE"""),"")</f>
        <v/>
      </c>
      <c r="AP25" s="232" t="str">
        <f>IFERROR(__xludf.DUMMYFUNCTION("""COMPUTED_VALUE"""),"")</f>
        <v/>
      </c>
      <c r="AQ25" s="233" t="str">
        <f>IFERROR(__xludf.DUMMYFUNCTION("""COMPUTED_VALUE"""),"")</f>
        <v/>
      </c>
      <c r="AR25" s="231" t="str">
        <f>IFERROR(__xludf.DUMMYFUNCTION("""COMPUTED_VALUE"""),"")</f>
        <v/>
      </c>
      <c r="AS25" s="232" t="str">
        <f>IFERROR(__xludf.DUMMYFUNCTION("""COMPUTED_VALUE"""),"")</f>
        <v/>
      </c>
      <c r="AT25" s="233">
        <f>IFERROR(__xludf.DUMMYFUNCTION("""COMPUTED_VALUE"""),11.9)</f>
        <v>11.9</v>
      </c>
      <c r="AU25" s="231">
        <f>IFERROR(__xludf.DUMMYFUNCTION("""COMPUTED_VALUE"""),26.5)</f>
        <v>26.5</v>
      </c>
      <c r="AV25" s="232" t="str">
        <f>IFERROR(__xludf.DUMMYFUNCTION("""COMPUTED_VALUE"""),"")</f>
        <v/>
      </c>
      <c r="AW25" s="233">
        <f>IFERROR(__xludf.DUMMYFUNCTION("""COMPUTED_VALUE"""),5.4)</f>
        <v>5.4</v>
      </c>
      <c r="AX25" s="231" t="str">
        <f>IFERROR(__xludf.DUMMYFUNCTION("""COMPUTED_VALUE"""),"")</f>
        <v/>
      </c>
      <c r="AY25" s="232" t="str">
        <f>IFERROR(__xludf.DUMMYFUNCTION("""COMPUTED_VALUE"""),"")</f>
        <v/>
      </c>
      <c r="AZ25" s="233" t="str">
        <f>IFERROR(__xludf.DUMMYFUNCTION("""COMPUTED_VALUE"""),"")</f>
        <v/>
      </c>
      <c r="BA25" s="231" t="str">
        <f>IFERROR(__xludf.DUMMYFUNCTION("""COMPUTED_VALUE"""),"")</f>
        <v/>
      </c>
      <c r="BB25" s="232" t="str">
        <f>IFERROR(__xludf.DUMMYFUNCTION("""COMPUTED_VALUE"""),"")</f>
        <v/>
      </c>
      <c r="BC25" s="233" t="str">
        <f>IFERROR(__xludf.DUMMYFUNCTION("""COMPUTED_VALUE"""),"")</f>
        <v/>
      </c>
      <c r="BD25" s="231" t="str">
        <f>IFERROR(__xludf.DUMMYFUNCTION("""COMPUTED_VALUE"""),"")</f>
        <v/>
      </c>
      <c r="BE25" s="232" t="str">
        <f>IFERROR(__xludf.DUMMYFUNCTION("""COMPUTED_VALUE"""),"")</f>
        <v/>
      </c>
      <c r="BF25" s="233" t="str">
        <f>IFERROR(__xludf.DUMMYFUNCTION("""COMPUTED_VALUE"""),"")</f>
        <v/>
      </c>
      <c r="BG25" s="231" t="str">
        <f>IFERROR(__xludf.DUMMYFUNCTION("""COMPUTED_VALUE"""),"")</f>
        <v/>
      </c>
      <c r="BH25" s="232" t="str">
        <f>IFERROR(__xludf.DUMMYFUNCTION("""COMPUTED_VALUE"""),"")</f>
        <v/>
      </c>
      <c r="BI25" s="233" t="str">
        <f>IFERROR(__xludf.DUMMYFUNCTION("""COMPUTED_VALUE"""),"")</f>
        <v/>
      </c>
      <c r="BJ25" s="231" t="str">
        <f>IFERROR(__xludf.DUMMYFUNCTION("""COMPUTED_VALUE"""),"")</f>
        <v/>
      </c>
      <c r="BK25" s="232" t="str">
        <f>IFERROR(__xludf.DUMMYFUNCTION("""COMPUTED_VALUE"""),"")</f>
        <v/>
      </c>
      <c r="BL25" s="233" t="str">
        <f>IFERROR(__xludf.DUMMYFUNCTION("""COMPUTED_VALUE"""),"")</f>
        <v/>
      </c>
      <c r="BM25" s="231" t="str">
        <f>IFERROR(__xludf.DUMMYFUNCTION("""COMPUTED_VALUE"""),"")</f>
        <v/>
      </c>
      <c r="BN25" s="232" t="str">
        <f>IFERROR(__xludf.DUMMYFUNCTION("""COMPUTED_VALUE"""),"")</f>
        <v/>
      </c>
      <c r="BO25" s="233" t="str">
        <f>IFERROR(__xludf.DUMMYFUNCTION("""COMPUTED_VALUE"""),"")</f>
        <v/>
      </c>
      <c r="BP25" s="231" t="str">
        <f>IFERROR(__xludf.DUMMYFUNCTION("""COMPUTED_VALUE"""),"")</f>
        <v/>
      </c>
      <c r="BQ25" s="232" t="str">
        <f>IFERROR(__xludf.DUMMYFUNCTION("""COMPUTED_VALUE"""),"")</f>
        <v/>
      </c>
      <c r="BR25" s="233" t="str">
        <f>IFERROR(__xludf.DUMMYFUNCTION("""COMPUTED_VALUE"""),"")</f>
        <v/>
      </c>
      <c r="BS25" s="231">
        <f>IFERROR(__xludf.DUMMYFUNCTION("""COMPUTED_VALUE"""),117.7)</f>
        <v>117.7</v>
      </c>
      <c r="BT25" s="232" t="str">
        <f>IFERROR(__xludf.DUMMYFUNCTION("""COMPUTED_VALUE"""),"")</f>
        <v/>
      </c>
      <c r="BU25" s="233" t="str">
        <f>IFERROR(__xludf.DUMMYFUNCTION("""COMPUTED_VALUE"""),"")</f>
        <v/>
      </c>
      <c r="BV25" s="231" t="str">
        <f>IFERROR(__xludf.DUMMYFUNCTION("""COMPUTED_VALUE"""),"")</f>
        <v/>
      </c>
      <c r="BW25" s="232" t="str">
        <f>IFERROR(__xludf.DUMMYFUNCTION("""COMPUTED_VALUE"""),"")</f>
        <v/>
      </c>
      <c r="BX25" s="233" t="str">
        <f>IFERROR(__xludf.DUMMYFUNCTION("""COMPUTED_VALUE"""),"")</f>
        <v/>
      </c>
      <c r="BY25" s="231" t="str">
        <f>IFERROR(__xludf.DUMMYFUNCTION("""COMPUTED_VALUE"""),"")</f>
        <v/>
      </c>
      <c r="BZ25" s="232">
        <f>IFERROR(__xludf.DUMMYFUNCTION("""COMPUTED_VALUE"""),2.4)</f>
        <v>2.4</v>
      </c>
      <c r="CA25" s="233" t="str">
        <f>IFERROR(__xludf.DUMMYFUNCTION("""COMPUTED_VALUE"""),"")</f>
        <v/>
      </c>
      <c r="CB25" s="231" t="str">
        <f>IFERROR(__xludf.DUMMYFUNCTION("""COMPUTED_VALUE"""),"")</f>
        <v/>
      </c>
      <c r="CC25" s="232" t="str">
        <f>IFERROR(__xludf.DUMMYFUNCTION("""COMPUTED_VALUE"""),"")</f>
        <v/>
      </c>
      <c r="CD25" s="233" t="str">
        <f>IFERROR(__xludf.DUMMYFUNCTION("""COMPUTED_VALUE"""),"")</f>
        <v/>
      </c>
      <c r="CE25" s="234" t="str">
        <f>IFERROR(__xludf.DUMMYFUNCTION("""COMPUTED_VALUE"""),"")</f>
        <v/>
      </c>
      <c r="CF25" s="230" t="str">
        <f>IFERROR(__xludf.DUMMYFUNCTION("""COMPUTED_VALUE"""),"")</f>
        <v/>
      </c>
      <c r="CG25" s="235">
        <f>IFERROR(__xludf.DUMMYFUNCTION("""COMPUTED_VALUE"""),23.5)</f>
        <v>23.5</v>
      </c>
      <c r="CH25" s="234" t="str">
        <f>IFERROR(__xludf.DUMMYFUNCTION("""COMPUTED_VALUE"""),"")</f>
        <v/>
      </c>
      <c r="CI25" s="230" t="str">
        <f>IFERROR(__xludf.DUMMYFUNCTION("""COMPUTED_VALUE"""),"")</f>
        <v/>
      </c>
      <c r="CJ25" s="235" t="str">
        <f>IFERROR(__xludf.DUMMYFUNCTION("""COMPUTED_VALUE"""),"")</f>
        <v/>
      </c>
      <c r="CK25" s="95" t="str">
        <f>IFERROR(__xludf.DUMMYFUNCTION("""COMPUTED_VALUE"""),"")</f>
        <v/>
      </c>
      <c r="CL25" s="96" t="str">
        <f>IFERROR(__xludf.DUMMYFUNCTION("""COMPUTED_VALUE"""),"")</f>
        <v/>
      </c>
      <c r="CM25" s="97" t="str">
        <f>IFERROR(__xludf.DUMMYFUNCTION("""COMPUTED_VALUE"""),"")</f>
        <v/>
      </c>
      <c r="CN25" s="95" t="str">
        <f>IFERROR(__xludf.DUMMYFUNCTION("""COMPUTED_VALUE"""),"")</f>
        <v/>
      </c>
      <c r="CO25" s="96" t="str">
        <f>IFERROR(__xludf.DUMMYFUNCTION("""COMPUTED_VALUE"""),"")</f>
        <v/>
      </c>
      <c r="CP25" s="97" t="str">
        <f>IFERROR(__xludf.DUMMYFUNCTION("""COMPUTED_VALUE"""),"")</f>
        <v/>
      </c>
      <c r="CQ25" s="95" t="str">
        <f>IFERROR(__xludf.DUMMYFUNCTION("""COMPUTED_VALUE"""),"")</f>
        <v/>
      </c>
      <c r="CR25" s="96" t="str">
        <f>IFERROR(__xludf.DUMMYFUNCTION("""COMPUTED_VALUE"""),"")</f>
        <v/>
      </c>
      <c r="CS25" s="97" t="str">
        <f>IFERROR(__xludf.DUMMYFUNCTION("""COMPUTED_VALUE"""),"#REF!")</f>
        <v>#REF!</v>
      </c>
      <c r="CT25" s="95" t="str">
        <f>IFERROR(__xludf.DUMMYFUNCTION("""COMPUTED_VALUE"""),"#REF!")</f>
        <v>#REF!</v>
      </c>
      <c r="CU25" s="96" t="str">
        <f>IFERROR(__xludf.DUMMYFUNCTION("""COMPUTED_VALUE"""),"#REF!")</f>
        <v>#REF!</v>
      </c>
      <c r="CV25" s="97" t="str">
        <f>IFERROR(__xludf.DUMMYFUNCTION("""COMPUTED_VALUE"""),"#REF!")</f>
        <v>#REF!</v>
      </c>
      <c r="CW25" s="95" t="str">
        <f>IFERROR(__xludf.DUMMYFUNCTION("""COMPUTED_VALUE"""),"#REF!")</f>
        <v>#REF!</v>
      </c>
      <c r="CX25" s="96" t="str">
        <f>IFERROR(__xludf.DUMMYFUNCTION("""COMPUTED_VALUE"""),"#REF!")</f>
        <v>#REF!</v>
      </c>
      <c r="CY25" s="97" t="str">
        <f>IFERROR(__xludf.DUMMYFUNCTION("""COMPUTED_VALUE"""),"#REF!")</f>
        <v>#REF!</v>
      </c>
      <c r="CZ25" s="95" t="str">
        <f>IFERROR(__xludf.DUMMYFUNCTION("""COMPUTED_VALUE"""),"#REF!")</f>
        <v>#REF!</v>
      </c>
      <c r="DA25" s="96" t="str">
        <f>IFERROR(__xludf.DUMMYFUNCTION("""COMPUTED_VALUE"""),"#REF!")</f>
        <v>#REF!</v>
      </c>
      <c r="DB25" s="97" t="str">
        <f>IFERROR(__xludf.DUMMYFUNCTION("""COMPUTED_VALUE"""),"#REF!")</f>
        <v>#REF!</v>
      </c>
      <c r="DC25" s="95" t="str">
        <f>IFERROR(__xludf.DUMMYFUNCTION("""COMPUTED_VALUE"""),"#REF!")</f>
        <v>#REF!</v>
      </c>
      <c r="DD25" s="96" t="str">
        <f>IFERROR(__xludf.DUMMYFUNCTION("""COMPUTED_VALUE"""),"#REF!")</f>
        <v>#REF!</v>
      </c>
      <c r="DE25" s="97" t="str">
        <f>IFERROR(__xludf.DUMMYFUNCTION("""COMPUTED_VALUE"""),"#REF!")</f>
        <v>#REF!</v>
      </c>
      <c r="DF25" s="95" t="str">
        <f>IFERROR(__xludf.DUMMYFUNCTION("""COMPUTED_VALUE"""),"#REF!")</f>
        <v>#REF!</v>
      </c>
      <c r="DG25" s="96" t="str">
        <f>IFERROR(__xludf.DUMMYFUNCTION("""COMPUTED_VALUE"""),"#REF!")</f>
        <v>#REF!</v>
      </c>
      <c r="DH25" s="97" t="str">
        <f>IFERROR(__xludf.DUMMYFUNCTION("""COMPUTED_VALUE"""),"#REF!")</f>
        <v>#REF!</v>
      </c>
      <c r="DI25" s="95" t="str">
        <f>IFERROR(__xludf.DUMMYFUNCTION("""COMPUTED_VALUE"""),"#REF!")</f>
        <v>#REF!</v>
      </c>
      <c r="DJ25" s="96" t="str">
        <f>IFERROR(__xludf.DUMMYFUNCTION("""COMPUTED_VALUE"""),"#REF!")</f>
        <v>#REF!</v>
      </c>
      <c r="DK25" s="97" t="str">
        <f>IFERROR(__xludf.DUMMYFUNCTION("""COMPUTED_VALUE"""),"#REF!")</f>
        <v>#REF!</v>
      </c>
      <c r="DL25" s="95" t="str">
        <f>IFERROR(__xludf.DUMMYFUNCTION("""COMPUTED_VALUE"""),"#REF!")</f>
        <v>#REF!</v>
      </c>
      <c r="DM25" s="96" t="str">
        <f>IFERROR(__xludf.DUMMYFUNCTION("""COMPUTED_VALUE"""),"#REF!")</f>
        <v>#REF!</v>
      </c>
      <c r="DN25" s="97" t="str">
        <f>IFERROR(__xludf.DUMMYFUNCTION("""COMPUTED_VALUE"""),"#REF!")</f>
        <v>#REF!</v>
      </c>
      <c r="DO25" s="95" t="str">
        <f>IFERROR(__xludf.DUMMYFUNCTION("""COMPUTED_VALUE"""),"#REF!")</f>
        <v>#REF!</v>
      </c>
      <c r="DP25" s="96" t="str">
        <f>IFERROR(__xludf.DUMMYFUNCTION("""COMPUTED_VALUE"""),"#REF!")</f>
        <v>#REF!</v>
      </c>
      <c r="DQ25" s="97"/>
      <c r="DR25" s="95"/>
    </row>
    <row r="26">
      <c r="B26" s="83" t="str">
        <f>IFERROR(__xludf.DUMMYFUNCTION("""COMPUTED_VALUE"""),"TRF6")</f>
        <v>TRF6</v>
      </c>
      <c r="C26" s="82">
        <f>IFERROR(__xludf.DUMMYFUNCTION("""COMPUTED_VALUE"""),10.0)</f>
        <v>10</v>
      </c>
      <c r="D26" s="88" t="str">
        <f>IFERROR(__xludf.DUMMYFUNCTION("""COMPUTED_VALUE"""),"TUE Lancer Training Ground- Int")</f>
        <v>TUE Lancer Training Ground- Int</v>
      </c>
      <c r="E26" s="82" t="str">
        <f>IFERROR(__xludf.DUMMYFUNCTION("""COMPUTED_VALUE"""),"槍中級")</f>
        <v>槍中級</v>
      </c>
      <c r="F26" s="102">
        <f>IFERROR(__xludf.DUMMYFUNCTION("""COMPUTED_VALUE"""),20.0)</f>
        <v>20</v>
      </c>
      <c r="G26" s="82">
        <f>IFERROR(__xludf.DUMMYFUNCTION("""COMPUTED_VALUE"""),1051.0)</f>
        <v>1051</v>
      </c>
      <c r="H26" s="231" t="str">
        <f>IFERROR(__xludf.DUMMYFUNCTION("""COMPUTED_VALUE"""),"")</f>
        <v/>
      </c>
      <c r="I26" s="232" t="str">
        <f>IFERROR(__xludf.DUMMYFUNCTION("""COMPUTED_VALUE"""),"")</f>
        <v/>
      </c>
      <c r="J26" s="233" t="str">
        <f>IFERROR(__xludf.DUMMYFUNCTION("""COMPUTED_VALUE"""),"")</f>
        <v/>
      </c>
      <c r="K26" s="231" t="str">
        <f>IFERROR(__xludf.DUMMYFUNCTION("""COMPUTED_VALUE"""),"")</f>
        <v/>
      </c>
      <c r="L26" s="232" t="str">
        <f>IFERROR(__xludf.DUMMYFUNCTION("""COMPUTED_VALUE"""),"")</f>
        <v/>
      </c>
      <c r="M26" s="233" t="str">
        <f>IFERROR(__xludf.DUMMYFUNCTION("""COMPUTED_VALUE"""),"")</f>
        <v/>
      </c>
      <c r="N26" s="231" t="str">
        <f>IFERROR(__xludf.DUMMYFUNCTION("""COMPUTED_VALUE"""),"")</f>
        <v/>
      </c>
      <c r="O26" s="232" t="str">
        <f>IFERROR(__xludf.DUMMYFUNCTION("""COMPUTED_VALUE"""),"")</f>
        <v/>
      </c>
      <c r="P26" s="233" t="str">
        <f>IFERROR(__xludf.DUMMYFUNCTION("""COMPUTED_VALUE"""),"")</f>
        <v/>
      </c>
      <c r="Q26" s="231" t="str">
        <f>IFERROR(__xludf.DUMMYFUNCTION("""COMPUTED_VALUE"""),"")</f>
        <v/>
      </c>
      <c r="R26" s="232" t="str">
        <f>IFERROR(__xludf.DUMMYFUNCTION("""COMPUTED_VALUE"""),"")</f>
        <v/>
      </c>
      <c r="S26" s="233" t="str">
        <f>IFERROR(__xludf.DUMMYFUNCTION("""COMPUTED_VALUE"""),"")</f>
        <v/>
      </c>
      <c r="T26" s="231" t="str">
        <f>IFERROR(__xludf.DUMMYFUNCTION("""COMPUTED_VALUE"""),"")</f>
        <v/>
      </c>
      <c r="U26" s="232" t="str">
        <f>IFERROR(__xludf.DUMMYFUNCTION("""COMPUTED_VALUE"""),"")</f>
        <v/>
      </c>
      <c r="V26" s="233" t="str">
        <f>IFERROR(__xludf.DUMMYFUNCTION("""COMPUTED_VALUE"""),"")</f>
        <v/>
      </c>
      <c r="W26" s="231" t="str">
        <f>IFERROR(__xludf.DUMMYFUNCTION("""COMPUTED_VALUE"""),"")</f>
        <v/>
      </c>
      <c r="X26" s="232" t="str">
        <f>IFERROR(__xludf.DUMMYFUNCTION("""COMPUTED_VALUE"""),"")</f>
        <v/>
      </c>
      <c r="Y26" s="233" t="str">
        <f>IFERROR(__xludf.DUMMYFUNCTION("""COMPUTED_VALUE"""),"")</f>
        <v/>
      </c>
      <c r="Z26" s="231">
        <f>IFERROR(__xludf.DUMMYFUNCTION("""COMPUTED_VALUE"""),12.1)</f>
        <v>12.1</v>
      </c>
      <c r="AA26" s="232" t="str">
        <f>IFERROR(__xludf.DUMMYFUNCTION("""COMPUTED_VALUE"""),"")</f>
        <v/>
      </c>
      <c r="AB26" s="233" t="str">
        <f>IFERROR(__xludf.DUMMYFUNCTION("""COMPUTED_VALUE"""),"")</f>
        <v/>
      </c>
      <c r="AC26" s="231" t="str">
        <f>IFERROR(__xludf.DUMMYFUNCTION("""COMPUTED_VALUE"""),"")</f>
        <v/>
      </c>
      <c r="AD26" s="232" t="str">
        <f>IFERROR(__xludf.DUMMYFUNCTION("""COMPUTED_VALUE"""),"")</f>
        <v/>
      </c>
      <c r="AE26" s="233" t="str">
        <f>IFERROR(__xludf.DUMMYFUNCTION("""COMPUTED_VALUE"""),"")</f>
        <v/>
      </c>
      <c r="AF26" s="231" t="str">
        <f>IFERROR(__xludf.DUMMYFUNCTION("""COMPUTED_VALUE"""),"")</f>
        <v/>
      </c>
      <c r="AG26" s="232">
        <f>IFERROR(__xludf.DUMMYFUNCTION("""COMPUTED_VALUE"""),10.1)</f>
        <v>10.1</v>
      </c>
      <c r="AH26" s="233" t="str">
        <f>IFERROR(__xludf.DUMMYFUNCTION("""COMPUTED_VALUE"""),"")</f>
        <v/>
      </c>
      <c r="AI26" s="231" t="str">
        <f>IFERROR(__xludf.DUMMYFUNCTION("""COMPUTED_VALUE"""),"")</f>
        <v/>
      </c>
      <c r="AJ26" s="232" t="str">
        <f>IFERROR(__xludf.DUMMYFUNCTION("""COMPUTED_VALUE"""),"")</f>
        <v/>
      </c>
      <c r="AK26" s="233" t="str">
        <f>IFERROR(__xludf.DUMMYFUNCTION("""COMPUTED_VALUE"""),"")</f>
        <v/>
      </c>
      <c r="AL26" s="231" t="str">
        <f>IFERROR(__xludf.DUMMYFUNCTION("""COMPUTED_VALUE"""),"")</f>
        <v/>
      </c>
      <c r="AM26" s="232" t="str">
        <f>IFERROR(__xludf.DUMMYFUNCTION("""COMPUTED_VALUE"""),"")</f>
        <v/>
      </c>
      <c r="AN26" s="233" t="str">
        <f>IFERROR(__xludf.DUMMYFUNCTION("""COMPUTED_VALUE"""),"")</f>
        <v/>
      </c>
      <c r="AO26" s="231" t="str">
        <f>IFERROR(__xludf.DUMMYFUNCTION("""COMPUTED_VALUE"""),"")</f>
        <v/>
      </c>
      <c r="AP26" s="232" t="str">
        <f>IFERROR(__xludf.DUMMYFUNCTION("""COMPUTED_VALUE"""),"")</f>
        <v/>
      </c>
      <c r="AQ26" s="233" t="str">
        <f>IFERROR(__xludf.DUMMYFUNCTION("""COMPUTED_VALUE"""),"")</f>
        <v/>
      </c>
      <c r="AR26" s="231" t="str">
        <f>IFERROR(__xludf.DUMMYFUNCTION("""COMPUTED_VALUE"""),"")</f>
        <v/>
      </c>
      <c r="AS26" s="232" t="str">
        <f>IFERROR(__xludf.DUMMYFUNCTION("""COMPUTED_VALUE"""),"")</f>
        <v/>
      </c>
      <c r="AT26" s="233">
        <f>IFERROR(__xludf.DUMMYFUNCTION("""COMPUTED_VALUE"""),7.9)</f>
        <v>7.9</v>
      </c>
      <c r="AU26" s="231">
        <f>IFERROR(__xludf.DUMMYFUNCTION("""COMPUTED_VALUE"""),18.6)</f>
        <v>18.6</v>
      </c>
      <c r="AV26" s="232" t="str">
        <f>IFERROR(__xludf.DUMMYFUNCTION("""COMPUTED_VALUE"""),"")</f>
        <v/>
      </c>
      <c r="AW26" s="233">
        <f>IFERROR(__xludf.DUMMYFUNCTION("""COMPUTED_VALUE"""),15.1)</f>
        <v>15.1</v>
      </c>
      <c r="AX26" s="231" t="str">
        <f>IFERROR(__xludf.DUMMYFUNCTION("""COMPUTED_VALUE"""),"")</f>
        <v/>
      </c>
      <c r="AY26" s="232" t="str">
        <f>IFERROR(__xludf.DUMMYFUNCTION("""COMPUTED_VALUE"""),"")</f>
        <v/>
      </c>
      <c r="AZ26" s="233" t="str">
        <f>IFERROR(__xludf.DUMMYFUNCTION("""COMPUTED_VALUE"""),"")</f>
        <v/>
      </c>
      <c r="BA26" s="231" t="str">
        <f>IFERROR(__xludf.DUMMYFUNCTION("""COMPUTED_VALUE"""),"")</f>
        <v/>
      </c>
      <c r="BB26" s="232" t="str">
        <f>IFERROR(__xludf.DUMMYFUNCTION("""COMPUTED_VALUE"""),"")</f>
        <v/>
      </c>
      <c r="BC26" s="233" t="str">
        <f>IFERROR(__xludf.DUMMYFUNCTION("""COMPUTED_VALUE"""),"")</f>
        <v/>
      </c>
      <c r="BD26" s="231" t="str">
        <f>IFERROR(__xludf.DUMMYFUNCTION("""COMPUTED_VALUE"""),"")</f>
        <v/>
      </c>
      <c r="BE26" s="232" t="str">
        <f>IFERROR(__xludf.DUMMYFUNCTION("""COMPUTED_VALUE"""),"")</f>
        <v/>
      </c>
      <c r="BF26" s="233" t="str">
        <f>IFERROR(__xludf.DUMMYFUNCTION("""COMPUTED_VALUE"""),"")</f>
        <v/>
      </c>
      <c r="BG26" s="231" t="str">
        <f>IFERROR(__xludf.DUMMYFUNCTION("""COMPUTED_VALUE"""),"")</f>
        <v/>
      </c>
      <c r="BH26" s="232" t="str">
        <f>IFERROR(__xludf.DUMMYFUNCTION("""COMPUTED_VALUE"""),"")</f>
        <v/>
      </c>
      <c r="BI26" s="233" t="str">
        <f>IFERROR(__xludf.DUMMYFUNCTION("""COMPUTED_VALUE"""),"")</f>
        <v/>
      </c>
      <c r="BJ26" s="231" t="str">
        <f>IFERROR(__xludf.DUMMYFUNCTION("""COMPUTED_VALUE"""),"")</f>
        <v/>
      </c>
      <c r="BK26" s="232" t="str">
        <f>IFERROR(__xludf.DUMMYFUNCTION("""COMPUTED_VALUE"""),"")</f>
        <v/>
      </c>
      <c r="BL26" s="233">
        <f>IFERROR(__xludf.DUMMYFUNCTION("""COMPUTED_VALUE"""),59.7)</f>
        <v>59.7</v>
      </c>
      <c r="BM26" s="231" t="str">
        <f>IFERROR(__xludf.DUMMYFUNCTION("""COMPUTED_VALUE"""),"")</f>
        <v/>
      </c>
      <c r="BN26" s="232" t="str">
        <f>IFERROR(__xludf.DUMMYFUNCTION("""COMPUTED_VALUE"""),"")</f>
        <v/>
      </c>
      <c r="BO26" s="233" t="str">
        <f>IFERROR(__xludf.DUMMYFUNCTION("""COMPUTED_VALUE"""),"")</f>
        <v/>
      </c>
      <c r="BP26" s="231" t="str">
        <f>IFERROR(__xludf.DUMMYFUNCTION("""COMPUTED_VALUE"""),"")</f>
        <v/>
      </c>
      <c r="BQ26" s="232" t="str">
        <f>IFERROR(__xludf.DUMMYFUNCTION("""COMPUTED_VALUE"""),"")</f>
        <v/>
      </c>
      <c r="BR26" s="233" t="str">
        <f>IFERROR(__xludf.DUMMYFUNCTION("""COMPUTED_VALUE"""),"")</f>
        <v/>
      </c>
      <c r="BS26" s="231">
        <f>IFERROR(__xludf.DUMMYFUNCTION("""COMPUTED_VALUE"""),116.2)</f>
        <v>116.2</v>
      </c>
      <c r="BT26" s="232" t="str">
        <f>IFERROR(__xludf.DUMMYFUNCTION("""COMPUTED_VALUE"""),"")</f>
        <v/>
      </c>
      <c r="BU26" s="233" t="str">
        <f>IFERROR(__xludf.DUMMYFUNCTION("""COMPUTED_VALUE"""),"")</f>
        <v/>
      </c>
      <c r="BV26" s="231" t="str">
        <f>IFERROR(__xludf.DUMMYFUNCTION("""COMPUTED_VALUE"""),"")</f>
        <v/>
      </c>
      <c r="BW26" s="232" t="str">
        <f>IFERROR(__xludf.DUMMYFUNCTION("""COMPUTED_VALUE"""),"")</f>
        <v/>
      </c>
      <c r="BX26" s="233" t="str">
        <f>IFERROR(__xludf.DUMMYFUNCTION("""COMPUTED_VALUE"""),"")</f>
        <v/>
      </c>
      <c r="BY26" s="231" t="str">
        <f>IFERROR(__xludf.DUMMYFUNCTION("""COMPUTED_VALUE"""),"")</f>
        <v/>
      </c>
      <c r="BZ26" s="232">
        <f>IFERROR(__xludf.DUMMYFUNCTION("""COMPUTED_VALUE"""),8.3)</f>
        <v>8.3</v>
      </c>
      <c r="CA26" s="233" t="str">
        <f>IFERROR(__xludf.DUMMYFUNCTION("""COMPUTED_VALUE"""),"")</f>
        <v/>
      </c>
      <c r="CB26" s="231" t="str">
        <f>IFERROR(__xludf.DUMMYFUNCTION("""COMPUTED_VALUE"""),"")</f>
        <v/>
      </c>
      <c r="CC26" s="232" t="str">
        <f>IFERROR(__xludf.DUMMYFUNCTION("""COMPUTED_VALUE"""),"")</f>
        <v/>
      </c>
      <c r="CD26" s="233" t="str">
        <f>IFERROR(__xludf.DUMMYFUNCTION("""COMPUTED_VALUE"""),"")</f>
        <v/>
      </c>
      <c r="CE26" s="234" t="str">
        <f>IFERROR(__xludf.DUMMYFUNCTION("""COMPUTED_VALUE"""),"")</f>
        <v/>
      </c>
      <c r="CF26" s="230" t="str">
        <f>IFERROR(__xludf.DUMMYFUNCTION("""COMPUTED_VALUE"""),"")</f>
        <v/>
      </c>
      <c r="CG26" s="235">
        <f>IFERROR(__xludf.DUMMYFUNCTION("""COMPUTED_VALUE"""),71.0)</f>
        <v>71</v>
      </c>
      <c r="CH26" s="234" t="str">
        <f>IFERROR(__xludf.DUMMYFUNCTION("""COMPUTED_VALUE"""),"")</f>
        <v/>
      </c>
      <c r="CI26" s="230" t="str">
        <f>IFERROR(__xludf.DUMMYFUNCTION("""COMPUTED_VALUE"""),"")</f>
        <v/>
      </c>
      <c r="CJ26" s="235" t="str">
        <f>IFERROR(__xludf.DUMMYFUNCTION("""COMPUTED_VALUE"""),"")</f>
        <v/>
      </c>
      <c r="CK26" s="95" t="str">
        <f>IFERROR(__xludf.DUMMYFUNCTION("""COMPUTED_VALUE"""),"")</f>
        <v/>
      </c>
      <c r="CL26" s="96" t="str">
        <f>IFERROR(__xludf.DUMMYFUNCTION("""COMPUTED_VALUE"""),"")</f>
        <v/>
      </c>
      <c r="CM26" s="97" t="str">
        <f>IFERROR(__xludf.DUMMYFUNCTION("""COMPUTED_VALUE"""),"")</f>
        <v/>
      </c>
      <c r="CN26" s="95" t="str">
        <f>IFERROR(__xludf.DUMMYFUNCTION("""COMPUTED_VALUE"""),"")</f>
        <v/>
      </c>
      <c r="CO26" s="96" t="str">
        <f>IFERROR(__xludf.DUMMYFUNCTION("""COMPUTED_VALUE"""),"")</f>
        <v/>
      </c>
      <c r="CP26" s="97" t="str">
        <f>IFERROR(__xludf.DUMMYFUNCTION("""COMPUTED_VALUE"""),"")</f>
        <v/>
      </c>
      <c r="CQ26" s="95" t="str">
        <f>IFERROR(__xludf.DUMMYFUNCTION("""COMPUTED_VALUE"""),"")</f>
        <v/>
      </c>
      <c r="CR26" s="96" t="str">
        <f>IFERROR(__xludf.DUMMYFUNCTION("""COMPUTED_VALUE"""),"")</f>
        <v/>
      </c>
      <c r="CS26" s="97" t="str">
        <f>IFERROR(__xludf.DUMMYFUNCTION("""COMPUTED_VALUE"""),"#REF!")</f>
        <v>#REF!</v>
      </c>
      <c r="CT26" s="95" t="str">
        <f>IFERROR(__xludf.DUMMYFUNCTION("""COMPUTED_VALUE"""),"#REF!")</f>
        <v>#REF!</v>
      </c>
      <c r="CU26" s="96" t="str">
        <f>IFERROR(__xludf.DUMMYFUNCTION("""COMPUTED_VALUE"""),"#REF!")</f>
        <v>#REF!</v>
      </c>
      <c r="CV26" s="97" t="str">
        <f>IFERROR(__xludf.DUMMYFUNCTION("""COMPUTED_VALUE"""),"#REF!")</f>
        <v>#REF!</v>
      </c>
      <c r="CW26" s="95" t="str">
        <f>IFERROR(__xludf.DUMMYFUNCTION("""COMPUTED_VALUE"""),"#REF!")</f>
        <v>#REF!</v>
      </c>
      <c r="CX26" s="96" t="str">
        <f>IFERROR(__xludf.DUMMYFUNCTION("""COMPUTED_VALUE"""),"#REF!")</f>
        <v>#REF!</v>
      </c>
      <c r="CY26" s="97" t="str">
        <f>IFERROR(__xludf.DUMMYFUNCTION("""COMPUTED_VALUE"""),"#REF!")</f>
        <v>#REF!</v>
      </c>
      <c r="CZ26" s="95" t="str">
        <f>IFERROR(__xludf.DUMMYFUNCTION("""COMPUTED_VALUE"""),"#REF!")</f>
        <v>#REF!</v>
      </c>
      <c r="DA26" s="96" t="str">
        <f>IFERROR(__xludf.DUMMYFUNCTION("""COMPUTED_VALUE"""),"#REF!")</f>
        <v>#REF!</v>
      </c>
      <c r="DB26" s="97" t="str">
        <f>IFERROR(__xludf.DUMMYFUNCTION("""COMPUTED_VALUE"""),"#REF!")</f>
        <v>#REF!</v>
      </c>
      <c r="DC26" s="95" t="str">
        <f>IFERROR(__xludf.DUMMYFUNCTION("""COMPUTED_VALUE"""),"#REF!")</f>
        <v>#REF!</v>
      </c>
      <c r="DD26" s="96" t="str">
        <f>IFERROR(__xludf.DUMMYFUNCTION("""COMPUTED_VALUE"""),"#REF!")</f>
        <v>#REF!</v>
      </c>
      <c r="DE26" s="97" t="str">
        <f>IFERROR(__xludf.DUMMYFUNCTION("""COMPUTED_VALUE"""),"#REF!")</f>
        <v>#REF!</v>
      </c>
      <c r="DF26" s="95" t="str">
        <f>IFERROR(__xludf.DUMMYFUNCTION("""COMPUTED_VALUE"""),"#REF!")</f>
        <v>#REF!</v>
      </c>
      <c r="DG26" s="96" t="str">
        <f>IFERROR(__xludf.DUMMYFUNCTION("""COMPUTED_VALUE"""),"#REF!")</f>
        <v>#REF!</v>
      </c>
      <c r="DH26" s="97" t="str">
        <f>IFERROR(__xludf.DUMMYFUNCTION("""COMPUTED_VALUE"""),"#REF!")</f>
        <v>#REF!</v>
      </c>
      <c r="DI26" s="95" t="str">
        <f>IFERROR(__xludf.DUMMYFUNCTION("""COMPUTED_VALUE"""),"#REF!")</f>
        <v>#REF!</v>
      </c>
      <c r="DJ26" s="96" t="str">
        <f>IFERROR(__xludf.DUMMYFUNCTION("""COMPUTED_VALUE"""),"#REF!")</f>
        <v>#REF!</v>
      </c>
      <c r="DK26" s="97" t="str">
        <f>IFERROR(__xludf.DUMMYFUNCTION("""COMPUTED_VALUE"""),"#REF!")</f>
        <v>#REF!</v>
      </c>
      <c r="DL26" s="95" t="str">
        <f>IFERROR(__xludf.DUMMYFUNCTION("""COMPUTED_VALUE"""),"#REF!")</f>
        <v>#REF!</v>
      </c>
      <c r="DM26" s="96" t="str">
        <f>IFERROR(__xludf.DUMMYFUNCTION("""COMPUTED_VALUE"""),"#REF!")</f>
        <v>#REF!</v>
      </c>
      <c r="DN26" s="97" t="str">
        <f>IFERROR(__xludf.DUMMYFUNCTION("""COMPUTED_VALUE"""),"#REF!")</f>
        <v>#REF!</v>
      </c>
      <c r="DO26" s="95" t="str">
        <f>IFERROR(__xludf.DUMMYFUNCTION("""COMPUTED_VALUE"""),"#REF!")</f>
        <v>#REF!</v>
      </c>
      <c r="DP26" s="96" t="str">
        <f>IFERROR(__xludf.DUMMYFUNCTION("""COMPUTED_VALUE"""),"#REF!")</f>
        <v>#REF!</v>
      </c>
      <c r="DQ26" s="97"/>
      <c r="DR26" s="95"/>
    </row>
    <row r="27">
      <c r="B27" s="83" t="str">
        <f>IFERROR(__xludf.DUMMYFUNCTION("""COMPUTED_VALUE"""),"TRF7")</f>
        <v>TRF7</v>
      </c>
      <c r="C27" s="82">
        <f>IFERROR(__xludf.DUMMYFUNCTION("""COMPUTED_VALUE"""),9.0)</f>
        <v>9</v>
      </c>
      <c r="D27" s="88" t="str">
        <f>IFERROR(__xludf.DUMMYFUNCTION("""COMPUTED_VALUE"""),"TUE Lancer Training Ground- Adv")</f>
        <v>TUE Lancer Training Ground- Adv</v>
      </c>
      <c r="E27" s="82" t="str">
        <f>IFERROR(__xludf.DUMMYFUNCTION("""COMPUTED_VALUE"""),"槍上級")</f>
        <v>槍上級</v>
      </c>
      <c r="F27" s="102">
        <f>IFERROR(__xludf.DUMMYFUNCTION("""COMPUTED_VALUE"""),30.0)</f>
        <v>30</v>
      </c>
      <c r="G27" s="82">
        <f>IFERROR(__xludf.DUMMYFUNCTION("""COMPUTED_VALUE"""),1073.0)</f>
        <v>1073</v>
      </c>
      <c r="H27" s="231" t="str">
        <f>IFERROR(__xludf.DUMMYFUNCTION("""COMPUTED_VALUE"""),"")</f>
        <v/>
      </c>
      <c r="I27" s="232" t="str">
        <f>IFERROR(__xludf.DUMMYFUNCTION("""COMPUTED_VALUE"""),"")</f>
        <v/>
      </c>
      <c r="J27" s="233" t="str">
        <f>IFERROR(__xludf.DUMMYFUNCTION("""COMPUTED_VALUE"""),"")</f>
        <v/>
      </c>
      <c r="K27" s="231" t="str">
        <f>IFERROR(__xludf.DUMMYFUNCTION("""COMPUTED_VALUE"""),"")</f>
        <v/>
      </c>
      <c r="L27" s="232">
        <f>IFERROR(__xludf.DUMMYFUNCTION("""COMPUTED_VALUE"""),5.9)</f>
        <v>5.9</v>
      </c>
      <c r="M27" s="233" t="str">
        <f>IFERROR(__xludf.DUMMYFUNCTION("""COMPUTED_VALUE"""),"")</f>
        <v/>
      </c>
      <c r="N27" s="231" t="str">
        <f>IFERROR(__xludf.DUMMYFUNCTION("""COMPUTED_VALUE"""),"")</f>
        <v/>
      </c>
      <c r="O27" s="232" t="str">
        <f>IFERROR(__xludf.DUMMYFUNCTION("""COMPUTED_VALUE"""),"")</f>
        <v/>
      </c>
      <c r="P27" s="233" t="str">
        <f>IFERROR(__xludf.DUMMYFUNCTION("""COMPUTED_VALUE"""),"")</f>
        <v/>
      </c>
      <c r="Q27" s="231" t="str">
        <f>IFERROR(__xludf.DUMMYFUNCTION("""COMPUTED_VALUE"""),"")</f>
        <v/>
      </c>
      <c r="R27" s="232" t="str">
        <f>IFERROR(__xludf.DUMMYFUNCTION("""COMPUTED_VALUE"""),"")</f>
        <v/>
      </c>
      <c r="S27" s="233" t="str">
        <f>IFERROR(__xludf.DUMMYFUNCTION("""COMPUTED_VALUE"""),"")</f>
        <v/>
      </c>
      <c r="T27" s="231" t="str">
        <f>IFERROR(__xludf.DUMMYFUNCTION("""COMPUTED_VALUE"""),"")</f>
        <v/>
      </c>
      <c r="U27" s="232" t="str">
        <f>IFERROR(__xludf.DUMMYFUNCTION("""COMPUTED_VALUE"""),"")</f>
        <v/>
      </c>
      <c r="V27" s="233" t="str">
        <f>IFERROR(__xludf.DUMMYFUNCTION("""COMPUTED_VALUE"""),"")</f>
        <v/>
      </c>
      <c r="W27" s="231" t="str">
        <f>IFERROR(__xludf.DUMMYFUNCTION("""COMPUTED_VALUE"""),"")</f>
        <v/>
      </c>
      <c r="X27" s="232" t="str">
        <f>IFERROR(__xludf.DUMMYFUNCTION("""COMPUTED_VALUE"""),"")</f>
        <v/>
      </c>
      <c r="Y27" s="233" t="str">
        <f>IFERROR(__xludf.DUMMYFUNCTION("""COMPUTED_VALUE"""),"")</f>
        <v/>
      </c>
      <c r="Z27" s="231">
        <f>IFERROR(__xludf.DUMMYFUNCTION("""COMPUTED_VALUE"""),19.1)</f>
        <v>19.1</v>
      </c>
      <c r="AA27" s="232" t="str">
        <f>IFERROR(__xludf.DUMMYFUNCTION("""COMPUTED_VALUE"""),"")</f>
        <v/>
      </c>
      <c r="AB27" s="233" t="str">
        <f>IFERROR(__xludf.DUMMYFUNCTION("""COMPUTED_VALUE"""),"")</f>
        <v/>
      </c>
      <c r="AC27" s="231" t="str">
        <f>IFERROR(__xludf.DUMMYFUNCTION("""COMPUTED_VALUE"""),"")</f>
        <v/>
      </c>
      <c r="AD27" s="232">
        <f>IFERROR(__xludf.DUMMYFUNCTION("""COMPUTED_VALUE"""),8.6)</f>
        <v>8.6</v>
      </c>
      <c r="AE27" s="233" t="str">
        <f>IFERROR(__xludf.DUMMYFUNCTION("""COMPUTED_VALUE"""),"")</f>
        <v/>
      </c>
      <c r="AF27" s="231" t="str">
        <f>IFERROR(__xludf.DUMMYFUNCTION("""COMPUTED_VALUE"""),"")</f>
        <v/>
      </c>
      <c r="AG27" s="232">
        <f>IFERROR(__xludf.DUMMYFUNCTION("""COMPUTED_VALUE"""),18.0)</f>
        <v>18</v>
      </c>
      <c r="AH27" s="233" t="str">
        <f>IFERROR(__xludf.DUMMYFUNCTION("""COMPUTED_VALUE"""),"")</f>
        <v/>
      </c>
      <c r="AI27" s="231" t="str">
        <f>IFERROR(__xludf.DUMMYFUNCTION("""COMPUTED_VALUE"""),"")</f>
        <v/>
      </c>
      <c r="AJ27" s="232" t="str">
        <f>IFERROR(__xludf.DUMMYFUNCTION("""COMPUTED_VALUE"""),"")</f>
        <v/>
      </c>
      <c r="AK27" s="233" t="str">
        <f>IFERROR(__xludf.DUMMYFUNCTION("""COMPUTED_VALUE"""),"")</f>
        <v/>
      </c>
      <c r="AL27" s="231" t="str">
        <f>IFERROR(__xludf.DUMMYFUNCTION("""COMPUTED_VALUE"""),"")</f>
        <v/>
      </c>
      <c r="AM27" s="232" t="str">
        <f>IFERROR(__xludf.DUMMYFUNCTION("""COMPUTED_VALUE"""),"")</f>
        <v/>
      </c>
      <c r="AN27" s="233" t="str">
        <f>IFERROR(__xludf.DUMMYFUNCTION("""COMPUTED_VALUE"""),"")</f>
        <v/>
      </c>
      <c r="AO27" s="231" t="str">
        <f>IFERROR(__xludf.DUMMYFUNCTION("""COMPUTED_VALUE"""),"")</f>
        <v/>
      </c>
      <c r="AP27" s="232" t="str">
        <f>IFERROR(__xludf.DUMMYFUNCTION("""COMPUTED_VALUE"""),"")</f>
        <v/>
      </c>
      <c r="AQ27" s="233" t="str">
        <f>IFERROR(__xludf.DUMMYFUNCTION("""COMPUTED_VALUE"""),"")</f>
        <v/>
      </c>
      <c r="AR27" s="231" t="str">
        <f>IFERROR(__xludf.DUMMYFUNCTION("""COMPUTED_VALUE"""),"")</f>
        <v/>
      </c>
      <c r="AS27" s="232" t="str">
        <f>IFERROR(__xludf.DUMMYFUNCTION("""COMPUTED_VALUE"""),"")</f>
        <v/>
      </c>
      <c r="AT27" s="233">
        <f>IFERROR(__xludf.DUMMYFUNCTION("""COMPUTED_VALUE"""),15.9)</f>
        <v>15.9</v>
      </c>
      <c r="AU27" s="231" t="str">
        <f>IFERROR(__xludf.DUMMYFUNCTION("""COMPUTED_VALUE"""),"")</f>
        <v/>
      </c>
      <c r="AV27" s="232" t="str">
        <f>IFERROR(__xludf.DUMMYFUNCTION("""COMPUTED_VALUE"""),"")</f>
        <v/>
      </c>
      <c r="AW27" s="233">
        <f>IFERROR(__xludf.DUMMYFUNCTION("""COMPUTED_VALUE"""),20.9)</f>
        <v>20.9</v>
      </c>
      <c r="AX27" s="231" t="str">
        <f>IFERROR(__xludf.DUMMYFUNCTION("""COMPUTED_VALUE"""),"")</f>
        <v/>
      </c>
      <c r="AY27" s="232" t="str">
        <f>IFERROR(__xludf.DUMMYFUNCTION("""COMPUTED_VALUE"""),"")</f>
        <v/>
      </c>
      <c r="AZ27" s="233" t="str">
        <f>IFERROR(__xludf.DUMMYFUNCTION("""COMPUTED_VALUE"""),"")</f>
        <v/>
      </c>
      <c r="BA27" s="231" t="str">
        <f>IFERROR(__xludf.DUMMYFUNCTION("""COMPUTED_VALUE"""),"")</f>
        <v/>
      </c>
      <c r="BB27" s="232" t="str">
        <f>IFERROR(__xludf.DUMMYFUNCTION("""COMPUTED_VALUE"""),"")</f>
        <v/>
      </c>
      <c r="BC27" s="233" t="str">
        <f>IFERROR(__xludf.DUMMYFUNCTION("""COMPUTED_VALUE"""),"")</f>
        <v/>
      </c>
      <c r="BD27" s="231" t="str">
        <f>IFERROR(__xludf.DUMMYFUNCTION("""COMPUTED_VALUE"""),"")</f>
        <v/>
      </c>
      <c r="BE27" s="232">
        <f>IFERROR(__xludf.DUMMYFUNCTION("""COMPUTED_VALUE"""),16.6)</f>
        <v>16.6</v>
      </c>
      <c r="BF27" s="233" t="str">
        <f>IFERROR(__xludf.DUMMYFUNCTION("""COMPUTED_VALUE"""),"")</f>
        <v/>
      </c>
      <c r="BG27" s="231" t="str">
        <f>IFERROR(__xludf.DUMMYFUNCTION("""COMPUTED_VALUE"""),"")</f>
        <v/>
      </c>
      <c r="BH27" s="232" t="str">
        <f>IFERROR(__xludf.DUMMYFUNCTION("""COMPUTED_VALUE"""),"")</f>
        <v/>
      </c>
      <c r="BI27" s="233" t="str">
        <f>IFERROR(__xludf.DUMMYFUNCTION("""COMPUTED_VALUE"""),"")</f>
        <v/>
      </c>
      <c r="BJ27" s="231" t="str">
        <f>IFERROR(__xludf.DUMMYFUNCTION("""COMPUTED_VALUE"""),"")</f>
        <v/>
      </c>
      <c r="BK27" s="232" t="str">
        <f>IFERROR(__xludf.DUMMYFUNCTION("""COMPUTED_VALUE"""),"")</f>
        <v/>
      </c>
      <c r="BL27" s="233">
        <f>IFERROR(__xludf.DUMMYFUNCTION("""COMPUTED_VALUE"""),148.9)</f>
        <v>148.9</v>
      </c>
      <c r="BM27" s="231" t="str">
        <f>IFERROR(__xludf.DUMMYFUNCTION("""COMPUTED_VALUE"""),"")</f>
        <v/>
      </c>
      <c r="BN27" s="232" t="str">
        <f>IFERROR(__xludf.DUMMYFUNCTION("""COMPUTED_VALUE"""),"")</f>
        <v/>
      </c>
      <c r="BO27" s="233" t="str">
        <f>IFERROR(__xludf.DUMMYFUNCTION("""COMPUTED_VALUE"""),"")</f>
        <v/>
      </c>
      <c r="BP27" s="231" t="str">
        <f>IFERROR(__xludf.DUMMYFUNCTION("""COMPUTED_VALUE"""),"")</f>
        <v/>
      </c>
      <c r="BQ27" s="232" t="str">
        <f>IFERROR(__xludf.DUMMYFUNCTION("""COMPUTED_VALUE"""),"")</f>
        <v/>
      </c>
      <c r="BR27" s="233" t="str">
        <f>IFERROR(__xludf.DUMMYFUNCTION("""COMPUTED_VALUE"""),"")</f>
        <v/>
      </c>
      <c r="BS27" s="231">
        <f>IFERROR(__xludf.DUMMYFUNCTION("""COMPUTED_VALUE"""),17.4)</f>
        <v>17.4</v>
      </c>
      <c r="BT27" s="232" t="str">
        <f>IFERROR(__xludf.DUMMYFUNCTION("""COMPUTED_VALUE"""),"")</f>
        <v/>
      </c>
      <c r="BU27" s="233" t="str">
        <f>IFERROR(__xludf.DUMMYFUNCTION("""COMPUTED_VALUE"""),"")</f>
        <v/>
      </c>
      <c r="BV27" s="231" t="str">
        <f>IFERROR(__xludf.DUMMYFUNCTION("""COMPUTED_VALUE"""),"")</f>
        <v/>
      </c>
      <c r="BW27" s="232" t="str">
        <f>IFERROR(__xludf.DUMMYFUNCTION("""COMPUTED_VALUE"""),"")</f>
        <v/>
      </c>
      <c r="BX27" s="233" t="str">
        <f>IFERROR(__xludf.DUMMYFUNCTION("""COMPUTED_VALUE"""),"")</f>
        <v/>
      </c>
      <c r="BY27" s="231" t="str">
        <f>IFERROR(__xludf.DUMMYFUNCTION("""COMPUTED_VALUE"""),"")</f>
        <v/>
      </c>
      <c r="BZ27" s="232">
        <f>IFERROR(__xludf.DUMMYFUNCTION("""COMPUTED_VALUE"""),34.5)</f>
        <v>34.5</v>
      </c>
      <c r="CA27" s="233" t="str">
        <f>IFERROR(__xludf.DUMMYFUNCTION("""COMPUTED_VALUE"""),"")</f>
        <v/>
      </c>
      <c r="CB27" s="231" t="str">
        <f>IFERROR(__xludf.DUMMYFUNCTION("""COMPUTED_VALUE"""),"")</f>
        <v/>
      </c>
      <c r="CC27" s="232" t="str">
        <f>IFERROR(__xludf.DUMMYFUNCTION("""COMPUTED_VALUE"""),"")</f>
        <v/>
      </c>
      <c r="CD27" s="233" t="str">
        <f>IFERROR(__xludf.DUMMYFUNCTION("""COMPUTED_VALUE"""),"")</f>
        <v/>
      </c>
      <c r="CE27" s="234" t="str">
        <f>IFERROR(__xludf.DUMMYFUNCTION("""COMPUTED_VALUE"""),"")</f>
        <v/>
      </c>
      <c r="CF27" s="230" t="str">
        <f>IFERROR(__xludf.DUMMYFUNCTION("""COMPUTED_VALUE"""),"")</f>
        <v/>
      </c>
      <c r="CG27" s="235">
        <f>IFERROR(__xludf.DUMMYFUNCTION("""COMPUTED_VALUE"""),99.1)</f>
        <v>99.1</v>
      </c>
      <c r="CH27" s="234" t="str">
        <f>IFERROR(__xludf.DUMMYFUNCTION("""COMPUTED_VALUE"""),"")</f>
        <v/>
      </c>
      <c r="CI27" s="230" t="str">
        <f>IFERROR(__xludf.DUMMYFUNCTION("""COMPUTED_VALUE"""),"")</f>
        <v/>
      </c>
      <c r="CJ27" s="235" t="str">
        <f>IFERROR(__xludf.DUMMYFUNCTION("""COMPUTED_VALUE"""),"")</f>
        <v/>
      </c>
      <c r="CK27" s="95" t="str">
        <f>IFERROR(__xludf.DUMMYFUNCTION("""COMPUTED_VALUE"""),"")</f>
        <v/>
      </c>
      <c r="CL27" s="96" t="str">
        <f>IFERROR(__xludf.DUMMYFUNCTION("""COMPUTED_VALUE"""),"")</f>
        <v/>
      </c>
      <c r="CM27" s="97" t="str">
        <f>IFERROR(__xludf.DUMMYFUNCTION("""COMPUTED_VALUE"""),"")</f>
        <v/>
      </c>
      <c r="CN27" s="95" t="str">
        <f>IFERROR(__xludf.DUMMYFUNCTION("""COMPUTED_VALUE"""),"")</f>
        <v/>
      </c>
      <c r="CO27" s="96" t="str">
        <f>IFERROR(__xludf.DUMMYFUNCTION("""COMPUTED_VALUE"""),"")</f>
        <v/>
      </c>
      <c r="CP27" s="97" t="str">
        <f>IFERROR(__xludf.DUMMYFUNCTION("""COMPUTED_VALUE"""),"")</f>
        <v/>
      </c>
      <c r="CQ27" s="95" t="str">
        <f>IFERROR(__xludf.DUMMYFUNCTION("""COMPUTED_VALUE"""),"")</f>
        <v/>
      </c>
      <c r="CR27" s="96" t="str">
        <f>IFERROR(__xludf.DUMMYFUNCTION("""COMPUTED_VALUE"""),"")</f>
        <v/>
      </c>
      <c r="CS27" s="97" t="str">
        <f>IFERROR(__xludf.DUMMYFUNCTION("""COMPUTED_VALUE"""),"#REF!")</f>
        <v>#REF!</v>
      </c>
      <c r="CT27" s="95" t="str">
        <f>IFERROR(__xludf.DUMMYFUNCTION("""COMPUTED_VALUE"""),"#REF!")</f>
        <v>#REF!</v>
      </c>
      <c r="CU27" s="96" t="str">
        <f>IFERROR(__xludf.DUMMYFUNCTION("""COMPUTED_VALUE"""),"#REF!")</f>
        <v>#REF!</v>
      </c>
      <c r="CV27" s="97" t="str">
        <f>IFERROR(__xludf.DUMMYFUNCTION("""COMPUTED_VALUE"""),"#REF!")</f>
        <v>#REF!</v>
      </c>
      <c r="CW27" s="95" t="str">
        <f>IFERROR(__xludf.DUMMYFUNCTION("""COMPUTED_VALUE"""),"#REF!")</f>
        <v>#REF!</v>
      </c>
      <c r="CX27" s="96" t="str">
        <f>IFERROR(__xludf.DUMMYFUNCTION("""COMPUTED_VALUE"""),"#REF!")</f>
        <v>#REF!</v>
      </c>
      <c r="CY27" s="97" t="str">
        <f>IFERROR(__xludf.DUMMYFUNCTION("""COMPUTED_VALUE"""),"#REF!")</f>
        <v>#REF!</v>
      </c>
      <c r="CZ27" s="95" t="str">
        <f>IFERROR(__xludf.DUMMYFUNCTION("""COMPUTED_VALUE"""),"#REF!")</f>
        <v>#REF!</v>
      </c>
      <c r="DA27" s="96" t="str">
        <f>IFERROR(__xludf.DUMMYFUNCTION("""COMPUTED_VALUE"""),"#REF!")</f>
        <v>#REF!</v>
      </c>
      <c r="DB27" s="97" t="str">
        <f>IFERROR(__xludf.DUMMYFUNCTION("""COMPUTED_VALUE"""),"#REF!")</f>
        <v>#REF!</v>
      </c>
      <c r="DC27" s="95" t="str">
        <f>IFERROR(__xludf.DUMMYFUNCTION("""COMPUTED_VALUE"""),"#REF!")</f>
        <v>#REF!</v>
      </c>
      <c r="DD27" s="96" t="str">
        <f>IFERROR(__xludf.DUMMYFUNCTION("""COMPUTED_VALUE"""),"#REF!")</f>
        <v>#REF!</v>
      </c>
      <c r="DE27" s="97" t="str">
        <f>IFERROR(__xludf.DUMMYFUNCTION("""COMPUTED_VALUE"""),"#REF!")</f>
        <v>#REF!</v>
      </c>
      <c r="DF27" s="95" t="str">
        <f>IFERROR(__xludf.DUMMYFUNCTION("""COMPUTED_VALUE"""),"#REF!")</f>
        <v>#REF!</v>
      </c>
      <c r="DG27" s="96" t="str">
        <f>IFERROR(__xludf.DUMMYFUNCTION("""COMPUTED_VALUE"""),"#REF!")</f>
        <v>#REF!</v>
      </c>
      <c r="DH27" s="97" t="str">
        <f>IFERROR(__xludf.DUMMYFUNCTION("""COMPUTED_VALUE"""),"#REF!")</f>
        <v>#REF!</v>
      </c>
      <c r="DI27" s="95" t="str">
        <f>IFERROR(__xludf.DUMMYFUNCTION("""COMPUTED_VALUE"""),"#REF!")</f>
        <v>#REF!</v>
      </c>
      <c r="DJ27" s="96" t="str">
        <f>IFERROR(__xludf.DUMMYFUNCTION("""COMPUTED_VALUE"""),"#REF!")</f>
        <v>#REF!</v>
      </c>
      <c r="DK27" s="97" t="str">
        <f>IFERROR(__xludf.DUMMYFUNCTION("""COMPUTED_VALUE"""),"#REF!")</f>
        <v>#REF!</v>
      </c>
      <c r="DL27" s="95" t="str">
        <f>IFERROR(__xludf.DUMMYFUNCTION("""COMPUTED_VALUE"""),"#REF!")</f>
        <v>#REF!</v>
      </c>
      <c r="DM27" s="96" t="str">
        <f>IFERROR(__xludf.DUMMYFUNCTION("""COMPUTED_VALUE"""),"#REF!")</f>
        <v>#REF!</v>
      </c>
      <c r="DN27" s="97" t="str">
        <f>IFERROR(__xludf.DUMMYFUNCTION("""COMPUTED_VALUE"""),"#REF!")</f>
        <v>#REF!</v>
      </c>
      <c r="DO27" s="95" t="str">
        <f>IFERROR(__xludf.DUMMYFUNCTION("""COMPUTED_VALUE"""),"#REF!")</f>
        <v>#REF!</v>
      </c>
      <c r="DP27" s="96" t="str">
        <f>IFERROR(__xludf.DUMMYFUNCTION("""COMPUTED_VALUE"""),"#REF!")</f>
        <v>#REF!</v>
      </c>
      <c r="DQ27" s="97"/>
      <c r="DR27" s="95"/>
    </row>
    <row r="28">
      <c r="B28" s="83" t="str">
        <f>IFERROR(__xludf.DUMMYFUNCTION("""COMPUTED_VALUE"""),"TRF8")</f>
        <v>TRF8</v>
      </c>
      <c r="C28" s="82">
        <f>IFERROR(__xludf.DUMMYFUNCTION("""COMPUTED_VALUE"""),8.0)</f>
        <v>8</v>
      </c>
      <c r="D28" s="88" t="str">
        <f>IFERROR(__xludf.DUMMYFUNCTION("""COMPUTED_VALUE"""),"TUE Lancer Training Ground- Exp")</f>
        <v>TUE Lancer Training Ground- Exp</v>
      </c>
      <c r="E28" s="82" t="str">
        <f>IFERROR(__xludf.DUMMYFUNCTION("""COMPUTED_VALUE"""),"槍超級")</f>
        <v>槍超級</v>
      </c>
      <c r="F28" s="102">
        <f>IFERROR(__xludf.DUMMYFUNCTION("""COMPUTED_VALUE"""),40.0)</f>
        <v>40</v>
      </c>
      <c r="G28" s="82">
        <f>IFERROR(__xludf.DUMMYFUNCTION("""COMPUTED_VALUE"""),6290.0)</f>
        <v>6290</v>
      </c>
      <c r="H28" s="231" t="str">
        <f>IFERROR(__xludf.DUMMYFUNCTION("""COMPUTED_VALUE"""),"")</f>
        <v/>
      </c>
      <c r="I28" s="232" t="str">
        <f>IFERROR(__xludf.DUMMYFUNCTION("""COMPUTED_VALUE"""),"")</f>
        <v/>
      </c>
      <c r="J28" s="233" t="str">
        <f>IFERROR(__xludf.DUMMYFUNCTION("""COMPUTED_VALUE"""),"")</f>
        <v/>
      </c>
      <c r="K28" s="231" t="str">
        <f>IFERROR(__xludf.DUMMYFUNCTION("""COMPUTED_VALUE"""),"")</f>
        <v/>
      </c>
      <c r="L28" s="232">
        <f>IFERROR(__xludf.DUMMYFUNCTION("""COMPUTED_VALUE"""),12.8)</f>
        <v>12.8</v>
      </c>
      <c r="M28" s="233" t="str">
        <f>IFERROR(__xludf.DUMMYFUNCTION("""COMPUTED_VALUE"""),"")</f>
        <v/>
      </c>
      <c r="N28" s="231" t="str">
        <f>IFERROR(__xludf.DUMMYFUNCTION("""COMPUTED_VALUE"""),"")</f>
        <v/>
      </c>
      <c r="O28" s="232" t="str">
        <f>IFERROR(__xludf.DUMMYFUNCTION("""COMPUTED_VALUE"""),"")</f>
        <v/>
      </c>
      <c r="P28" s="233" t="str">
        <f>IFERROR(__xludf.DUMMYFUNCTION("""COMPUTED_VALUE"""),"")</f>
        <v/>
      </c>
      <c r="Q28" s="231" t="str">
        <f>IFERROR(__xludf.DUMMYFUNCTION("""COMPUTED_VALUE"""),"")</f>
        <v/>
      </c>
      <c r="R28" s="232" t="str">
        <f>IFERROR(__xludf.DUMMYFUNCTION("""COMPUTED_VALUE"""),"")</f>
        <v/>
      </c>
      <c r="S28" s="233" t="str">
        <f>IFERROR(__xludf.DUMMYFUNCTION("""COMPUTED_VALUE"""),"")</f>
        <v/>
      </c>
      <c r="T28" s="231" t="str">
        <f>IFERROR(__xludf.DUMMYFUNCTION("""COMPUTED_VALUE"""),"")</f>
        <v/>
      </c>
      <c r="U28" s="232" t="str">
        <f>IFERROR(__xludf.DUMMYFUNCTION("""COMPUTED_VALUE"""),"")</f>
        <v/>
      </c>
      <c r="V28" s="233" t="str">
        <f>IFERROR(__xludf.DUMMYFUNCTION("""COMPUTED_VALUE"""),"")</f>
        <v/>
      </c>
      <c r="W28" s="231" t="str">
        <f>IFERROR(__xludf.DUMMYFUNCTION("""COMPUTED_VALUE"""),"")</f>
        <v/>
      </c>
      <c r="X28" s="232" t="str">
        <f>IFERROR(__xludf.DUMMYFUNCTION("""COMPUTED_VALUE"""),"")</f>
        <v/>
      </c>
      <c r="Y28" s="233" t="str">
        <f>IFERROR(__xludf.DUMMYFUNCTION("""COMPUTED_VALUE"""),"")</f>
        <v/>
      </c>
      <c r="Z28" s="231">
        <f>IFERROR(__xludf.DUMMYFUNCTION("""COMPUTED_VALUE"""),25.7)</f>
        <v>25.7</v>
      </c>
      <c r="AA28" s="232" t="str">
        <f>IFERROR(__xludf.DUMMYFUNCTION("""COMPUTED_VALUE"""),"")</f>
        <v/>
      </c>
      <c r="AB28" s="233" t="str">
        <f>IFERROR(__xludf.DUMMYFUNCTION("""COMPUTED_VALUE"""),"")</f>
        <v/>
      </c>
      <c r="AC28" s="231" t="str">
        <f>IFERROR(__xludf.DUMMYFUNCTION("""COMPUTED_VALUE"""),"")</f>
        <v/>
      </c>
      <c r="AD28" s="232">
        <f>IFERROR(__xludf.DUMMYFUNCTION("""COMPUTED_VALUE"""),11.0)</f>
        <v>11</v>
      </c>
      <c r="AE28" s="233" t="str">
        <f>IFERROR(__xludf.DUMMYFUNCTION("""COMPUTED_VALUE"""),"")</f>
        <v/>
      </c>
      <c r="AF28" s="231" t="str">
        <f>IFERROR(__xludf.DUMMYFUNCTION("""COMPUTED_VALUE"""),"")</f>
        <v/>
      </c>
      <c r="AG28" s="232">
        <f>IFERROR(__xludf.DUMMYFUNCTION("""COMPUTED_VALUE"""),21.1)</f>
        <v>21.1</v>
      </c>
      <c r="AH28" s="233" t="str">
        <f>IFERROR(__xludf.DUMMYFUNCTION("""COMPUTED_VALUE"""),"")</f>
        <v/>
      </c>
      <c r="AI28" s="231" t="str">
        <f>IFERROR(__xludf.DUMMYFUNCTION("""COMPUTED_VALUE"""),"")</f>
        <v/>
      </c>
      <c r="AJ28" s="232" t="str">
        <f>IFERROR(__xludf.DUMMYFUNCTION("""COMPUTED_VALUE"""),"")</f>
        <v/>
      </c>
      <c r="AK28" s="233" t="str">
        <f>IFERROR(__xludf.DUMMYFUNCTION("""COMPUTED_VALUE"""),"")</f>
        <v/>
      </c>
      <c r="AL28" s="231" t="str">
        <f>IFERROR(__xludf.DUMMYFUNCTION("""COMPUTED_VALUE"""),"")</f>
        <v/>
      </c>
      <c r="AM28" s="232" t="str">
        <f>IFERROR(__xludf.DUMMYFUNCTION("""COMPUTED_VALUE"""),"")</f>
        <v/>
      </c>
      <c r="AN28" s="233" t="str">
        <f>IFERROR(__xludf.DUMMYFUNCTION("""COMPUTED_VALUE"""),"")</f>
        <v/>
      </c>
      <c r="AO28" s="231" t="str">
        <f>IFERROR(__xludf.DUMMYFUNCTION("""COMPUTED_VALUE"""),"")</f>
        <v/>
      </c>
      <c r="AP28" s="232" t="str">
        <f>IFERROR(__xludf.DUMMYFUNCTION("""COMPUTED_VALUE"""),"")</f>
        <v/>
      </c>
      <c r="AQ28" s="233" t="str">
        <f>IFERROR(__xludf.DUMMYFUNCTION("""COMPUTED_VALUE"""),"")</f>
        <v/>
      </c>
      <c r="AR28" s="231" t="str">
        <f>IFERROR(__xludf.DUMMYFUNCTION("""COMPUTED_VALUE"""),"")</f>
        <v/>
      </c>
      <c r="AS28" s="232" t="str">
        <f>IFERROR(__xludf.DUMMYFUNCTION("""COMPUTED_VALUE"""),"")</f>
        <v/>
      </c>
      <c r="AT28" s="233">
        <f>IFERROR(__xludf.DUMMYFUNCTION("""COMPUTED_VALUE"""),19.4)</f>
        <v>19.4</v>
      </c>
      <c r="AU28" s="231" t="str">
        <f>IFERROR(__xludf.DUMMYFUNCTION("""COMPUTED_VALUE"""),"")</f>
        <v/>
      </c>
      <c r="AV28" s="232" t="str">
        <f>IFERROR(__xludf.DUMMYFUNCTION("""COMPUTED_VALUE"""),"")</f>
        <v/>
      </c>
      <c r="AW28" s="233">
        <f>IFERROR(__xludf.DUMMYFUNCTION("""COMPUTED_VALUE"""),23.4)</f>
        <v>23.4</v>
      </c>
      <c r="AX28" s="231" t="str">
        <f>IFERROR(__xludf.DUMMYFUNCTION("""COMPUTED_VALUE"""),"")</f>
        <v/>
      </c>
      <c r="AY28" s="232" t="str">
        <f>IFERROR(__xludf.DUMMYFUNCTION("""COMPUTED_VALUE"""),"")</f>
        <v/>
      </c>
      <c r="AZ28" s="233" t="str">
        <f>IFERROR(__xludf.DUMMYFUNCTION("""COMPUTED_VALUE"""),"")</f>
        <v/>
      </c>
      <c r="BA28" s="231" t="str">
        <f>IFERROR(__xludf.DUMMYFUNCTION("""COMPUTED_VALUE"""),"")</f>
        <v/>
      </c>
      <c r="BB28" s="232" t="str">
        <f>IFERROR(__xludf.DUMMYFUNCTION("""COMPUTED_VALUE"""),"")</f>
        <v/>
      </c>
      <c r="BC28" s="233" t="str">
        <f>IFERROR(__xludf.DUMMYFUNCTION("""COMPUTED_VALUE"""),"")</f>
        <v/>
      </c>
      <c r="BD28" s="231" t="str">
        <f>IFERROR(__xludf.DUMMYFUNCTION("""COMPUTED_VALUE"""),"")</f>
        <v/>
      </c>
      <c r="BE28" s="232">
        <f>IFERROR(__xludf.DUMMYFUNCTION("""COMPUTED_VALUE"""),27.3)</f>
        <v>27.3</v>
      </c>
      <c r="BF28" s="233" t="str">
        <f>IFERROR(__xludf.DUMMYFUNCTION("""COMPUTED_VALUE"""),"")</f>
        <v/>
      </c>
      <c r="BG28" s="231" t="str">
        <f>IFERROR(__xludf.DUMMYFUNCTION("""COMPUTED_VALUE"""),"")</f>
        <v/>
      </c>
      <c r="BH28" s="232" t="str">
        <f>IFERROR(__xludf.DUMMYFUNCTION("""COMPUTED_VALUE"""),"")</f>
        <v/>
      </c>
      <c r="BI28" s="233" t="str">
        <f>IFERROR(__xludf.DUMMYFUNCTION("""COMPUTED_VALUE"""),"")</f>
        <v/>
      </c>
      <c r="BJ28" s="231" t="str">
        <f>IFERROR(__xludf.DUMMYFUNCTION("""COMPUTED_VALUE"""),"")</f>
        <v/>
      </c>
      <c r="BK28" s="232" t="str">
        <f>IFERROR(__xludf.DUMMYFUNCTION("""COMPUTED_VALUE"""),"")</f>
        <v/>
      </c>
      <c r="BL28" s="233">
        <f>IFERROR(__xludf.DUMMYFUNCTION("""COMPUTED_VALUE"""),118.9)</f>
        <v>118.9</v>
      </c>
      <c r="BM28" s="231" t="str">
        <f>IFERROR(__xludf.DUMMYFUNCTION("""COMPUTED_VALUE"""),"")</f>
        <v/>
      </c>
      <c r="BN28" s="232" t="str">
        <f>IFERROR(__xludf.DUMMYFUNCTION("""COMPUTED_VALUE"""),"")</f>
        <v/>
      </c>
      <c r="BO28" s="233" t="str">
        <f>IFERROR(__xludf.DUMMYFUNCTION("""COMPUTED_VALUE"""),"")</f>
        <v/>
      </c>
      <c r="BP28" s="231" t="str">
        <f>IFERROR(__xludf.DUMMYFUNCTION("""COMPUTED_VALUE"""),"")</f>
        <v/>
      </c>
      <c r="BQ28" s="232" t="str">
        <f>IFERROR(__xludf.DUMMYFUNCTION("""COMPUTED_VALUE"""),"")</f>
        <v/>
      </c>
      <c r="BR28" s="233" t="str">
        <f>IFERROR(__xludf.DUMMYFUNCTION("""COMPUTED_VALUE"""),"")</f>
        <v/>
      </c>
      <c r="BS28" s="231">
        <f>IFERROR(__xludf.DUMMYFUNCTION("""COMPUTED_VALUE"""),18.5)</f>
        <v>18.5</v>
      </c>
      <c r="BT28" s="232" t="str">
        <f>IFERROR(__xludf.DUMMYFUNCTION("""COMPUTED_VALUE"""),"")</f>
        <v/>
      </c>
      <c r="BU28" s="233" t="str">
        <f>IFERROR(__xludf.DUMMYFUNCTION("""COMPUTED_VALUE"""),"")</f>
        <v/>
      </c>
      <c r="BV28" s="231" t="str">
        <f>IFERROR(__xludf.DUMMYFUNCTION("""COMPUTED_VALUE"""),"")</f>
        <v/>
      </c>
      <c r="BW28" s="232" t="str">
        <f>IFERROR(__xludf.DUMMYFUNCTION("""COMPUTED_VALUE"""),"")</f>
        <v/>
      </c>
      <c r="BX28" s="233" t="str">
        <f>IFERROR(__xludf.DUMMYFUNCTION("""COMPUTED_VALUE"""),"")</f>
        <v/>
      </c>
      <c r="BY28" s="231" t="str">
        <f>IFERROR(__xludf.DUMMYFUNCTION("""COMPUTED_VALUE"""),"")</f>
        <v/>
      </c>
      <c r="BZ28" s="232">
        <f>IFERROR(__xludf.DUMMYFUNCTION("""COMPUTED_VALUE"""),55.0)</f>
        <v>55</v>
      </c>
      <c r="CA28" s="233" t="str">
        <f>IFERROR(__xludf.DUMMYFUNCTION("""COMPUTED_VALUE"""),"")</f>
        <v/>
      </c>
      <c r="CB28" s="231" t="str">
        <f>IFERROR(__xludf.DUMMYFUNCTION("""COMPUTED_VALUE"""),"")</f>
        <v/>
      </c>
      <c r="CC28" s="232" t="str">
        <f>IFERROR(__xludf.DUMMYFUNCTION("""COMPUTED_VALUE"""),"")</f>
        <v/>
      </c>
      <c r="CD28" s="233" t="str">
        <f>IFERROR(__xludf.DUMMYFUNCTION("""COMPUTED_VALUE"""),"")</f>
        <v/>
      </c>
      <c r="CE28" s="234" t="str">
        <f>IFERROR(__xludf.DUMMYFUNCTION("""COMPUTED_VALUE"""),"")</f>
        <v/>
      </c>
      <c r="CF28" s="230" t="str">
        <f>IFERROR(__xludf.DUMMYFUNCTION("""COMPUTED_VALUE"""),"")</f>
        <v/>
      </c>
      <c r="CG28" s="235">
        <f>IFERROR(__xludf.DUMMYFUNCTION("""COMPUTED_VALUE"""),77.7)</f>
        <v>77.7</v>
      </c>
      <c r="CH28" s="234" t="str">
        <f>IFERROR(__xludf.DUMMYFUNCTION("""COMPUTED_VALUE"""),"")</f>
        <v/>
      </c>
      <c r="CI28" s="230" t="str">
        <f>IFERROR(__xludf.DUMMYFUNCTION("""COMPUTED_VALUE"""),"")</f>
        <v/>
      </c>
      <c r="CJ28" s="235" t="str">
        <f>IFERROR(__xludf.DUMMYFUNCTION("""COMPUTED_VALUE"""),"")</f>
        <v/>
      </c>
      <c r="CK28" s="95" t="str">
        <f>IFERROR(__xludf.DUMMYFUNCTION("""COMPUTED_VALUE"""),"")</f>
        <v/>
      </c>
      <c r="CL28" s="96" t="str">
        <f>IFERROR(__xludf.DUMMYFUNCTION("""COMPUTED_VALUE"""),"")</f>
        <v/>
      </c>
      <c r="CM28" s="97" t="str">
        <f>IFERROR(__xludf.DUMMYFUNCTION("""COMPUTED_VALUE"""),"")</f>
        <v/>
      </c>
      <c r="CN28" s="95" t="str">
        <f>IFERROR(__xludf.DUMMYFUNCTION("""COMPUTED_VALUE"""),"")</f>
        <v/>
      </c>
      <c r="CO28" s="96" t="str">
        <f>IFERROR(__xludf.DUMMYFUNCTION("""COMPUTED_VALUE"""),"")</f>
        <v/>
      </c>
      <c r="CP28" s="97" t="str">
        <f>IFERROR(__xludf.DUMMYFUNCTION("""COMPUTED_VALUE"""),"")</f>
        <v/>
      </c>
      <c r="CQ28" s="95" t="str">
        <f>IFERROR(__xludf.DUMMYFUNCTION("""COMPUTED_VALUE"""),"")</f>
        <v/>
      </c>
      <c r="CR28" s="96" t="str">
        <f>IFERROR(__xludf.DUMMYFUNCTION("""COMPUTED_VALUE"""),"")</f>
        <v/>
      </c>
      <c r="CS28" s="97" t="str">
        <f>IFERROR(__xludf.DUMMYFUNCTION("""COMPUTED_VALUE"""),"#REF!")</f>
        <v>#REF!</v>
      </c>
      <c r="CT28" s="95" t="str">
        <f>IFERROR(__xludf.DUMMYFUNCTION("""COMPUTED_VALUE"""),"#REF!")</f>
        <v>#REF!</v>
      </c>
      <c r="CU28" s="96" t="str">
        <f>IFERROR(__xludf.DUMMYFUNCTION("""COMPUTED_VALUE"""),"#REF!")</f>
        <v>#REF!</v>
      </c>
      <c r="CV28" s="97" t="str">
        <f>IFERROR(__xludf.DUMMYFUNCTION("""COMPUTED_VALUE"""),"#REF!")</f>
        <v>#REF!</v>
      </c>
      <c r="CW28" s="95" t="str">
        <f>IFERROR(__xludf.DUMMYFUNCTION("""COMPUTED_VALUE"""),"#REF!")</f>
        <v>#REF!</v>
      </c>
      <c r="CX28" s="96" t="str">
        <f>IFERROR(__xludf.DUMMYFUNCTION("""COMPUTED_VALUE"""),"#REF!")</f>
        <v>#REF!</v>
      </c>
      <c r="CY28" s="97" t="str">
        <f>IFERROR(__xludf.DUMMYFUNCTION("""COMPUTED_VALUE"""),"#REF!")</f>
        <v>#REF!</v>
      </c>
      <c r="CZ28" s="95" t="str">
        <f>IFERROR(__xludf.DUMMYFUNCTION("""COMPUTED_VALUE"""),"#REF!")</f>
        <v>#REF!</v>
      </c>
      <c r="DA28" s="96" t="str">
        <f>IFERROR(__xludf.DUMMYFUNCTION("""COMPUTED_VALUE"""),"#REF!")</f>
        <v>#REF!</v>
      </c>
      <c r="DB28" s="97" t="str">
        <f>IFERROR(__xludf.DUMMYFUNCTION("""COMPUTED_VALUE"""),"#REF!")</f>
        <v>#REF!</v>
      </c>
      <c r="DC28" s="95" t="str">
        <f>IFERROR(__xludf.DUMMYFUNCTION("""COMPUTED_VALUE"""),"#REF!")</f>
        <v>#REF!</v>
      </c>
      <c r="DD28" s="96" t="str">
        <f>IFERROR(__xludf.DUMMYFUNCTION("""COMPUTED_VALUE"""),"#REF!")</f>
        <v>#REF!</v>
      </c>
      <c r="DE28" s="97" t="str">
        <f>IFERROR(__xludf.DUMMYFUNCTION("""COMPUTED_VALUE"""),"#REF!")</f>
        <v>#REF!</v>
      </c>
      <c r="DF28" s="95" t="str">
        <f>IFERROR(__xludf.DUMMYFUNCTION("""COMPUTED_VALUE"""),"#REF!")</f>
        <v>#REF!</v>
      </c>
      <c r="DG28" s="96" t="str">
        <f>IFERROR(__xludf.DUMMYFUNCTION("""COMPUTED_VALUE"""),"#REF!")</f>
        <v>#REF!</v>
      </c>
      <c r="DH28" s="97" t="str">
        <f>IFERROR(__xludf.DUMMYFUNCTION("""COMPUTED_VALUE"""),"#REF!")</f>
        <v>#REF!</v>
      </c>
      <c r="DI28" s="95" t="str">
        <f>IFERROR(__xludf.DUMMYFUNCTION("""COMPUTED_VALUE"""),"#REF!")</f>
        <v>#REF!</v>
      </c>
      <c r="DJ28" s="96" t="str">
        <f>IFERROR(__xludf.DUMMYFUNCTION("""COMPUTED_VALUE"""),"#REF!")</f>
        <v>#REF!</v>
      </c>
      <c r="DK28" s="97" t="str">
        <f>IFERROR(__xludf.DUMMYFUNCTION("""COMPUTED_VALUE"""),"#REF!")</f>
        <v>#REF!</v>
      </c>
      <c r="DL28" s="95" t="str">
        <f>IFERROR(__xludf.DUMMYFUNCTION("""COMPUTED_VALUE"""),"#REF!")</f>
        <v>#REF!</v>
      </c>
      <c r="DM28" s="96" t="str">
        <f>IFERROR(__xludf.DUMMYFUNCTION("""COMPUTED_VALUE"""),"#REF!")</f>
        <v>#REF!</v>
      </c>
      <c r="DN28" s="97" t="str">
        <f>IFERROR(__xludf.DUMMYFUNCTION("""COMPUTED_VALUE"""),"#REF!")</f>
        <v>#REF!</v>
      </c>
      <c r="DO28" s="95" t="str">
        <f>IFERROR(__xludf.DUMMYFUNCTION("""COMPUTED_VALUE"""),"#REF!")</f>
        <v>#REF!</v>
      </c>
      <c r="DP28" s="96" t="str">
        <f>IFERROR(__xludf.DUMMYFUNCTION("""COMPUTED_VALUE"""),"#REF!")</f>
        <v>#REF!</v>
      </c>
      <c r="DQ28" s="97"/>
      <c r="DR28" s="95"/>
    </row>
    <row r="29">
      <c r="B29" s="83" t="str">
        <f>IFERROR(__xludf.DUMMYFUNCTION("""COMPUTED_VALUE"""),"TRF9")</f>
        <v>TRF9</v>
      </c>
      <c r="C29" s="82">
        <f>IFERROR(__xludf.DUMMYFUNCTION("""COMPUTED_VALUE"""),15.0)</f>
        <v>15</v>
      </c>
      <c r="D29" s="88" t="str">
        <f>IFERROR(__xludf.DUMMYFUNCTION("""COMPUTED_VALUE"""),"WED Berserker Training Ground- Nov")</f>
        <v>WED Berserker Training Ground- Nov</v>
      </c>
      <c r="E29" s="82" t="str">
        <f>IFERROR(__xludf.DUMMYFUNCTION("""COMPUTED_VALUE"""),"狂初級")</f>
        <v>狂初級</v>
      </c>
      <c r="F29" s="102">
        <f>IFERROR(__xludf.DUMMYFUNCTION("""COMPUTED_VALUE"""),10.0)</f>
        <v>10</v>
      </c>
      <c r="G29" s="82">
        <f>IFERROR(__xludf.DUMMYFUNCTION("""COMPUTED_VALUE"""),1000.0)</f>
        <v>1000</v>
      </c>
      <c r="H29" s="231" t="str">
        <f>IFERROR(__xludf.DUMMYFUNCTION("""COMPUTED_VALUE"""),"")</f>
        <v/>
      </c>
      <c r="I29" s="232" t="str">
        <f>IFERROR(__xludf.DUMMYFUNCTION("""COMPUTED_VALUE"""),"")</f>
        <v/>
      </c>
      <c r="J29" s="233" t="str">
        <f>IFERROR(__xludf.DUMMYFUNCTION("""COMPUTED_VALUE"""),"")</f>
        <v/>
      </c>
      <c r="K29" s="231" t="str">
        <f>IFERROR(__xludf.DUMMYFUNCTION("""COMPUTED_VALUE"""),"")</f>
        <v/>
      </c>
      <c r="L29" s="232" t="str">
        <f>IFERROR(__xludf.DUMMYFUNCTION("""COMPUTED_VALUE"""),"")</f>
        <v/>
      </c>
      <c r="M29" s="233" t="str">
        <f>IFERROR(__xludf.DUMMYFUNCTION("""COMPUTED_VALUE"""),"")</f>
        <v/>
      </c>
      <c r="N29" s="231" t="str">
        <f>IFERROR(__xludf.DUMMYFUNCTION("""COMPUTED_VALUE"""),"")</f>
        <v/>
      </c>
      <c r="O29" s="232" t="str">
        <f>IFERROR(__xludf.DUMMYFUNCTION("""COMPUTED_VALUE"""),"")</f>
        <v/>
      </c>
      <c r="P29" s="233" t="str">
        <f>IFERROR(__xludf.DUMMYFUNCTION("""COMPUTED_VALUE"""),"")</f>
        <v/>
      </c>
      <c r="Q29" s="231" t="str">
        <f>IFERROR(__xludf.DUMMYFUNCTION("""COMPUTED_VALUE"""),"")</f>
        <v/>
      </c>
      <c r="R29" s="232" t="str">
        <f>IFERROR(__xludf.DUMMYFUNCTION("""COMPUTED_VALUE"""),"")</f>
        <v/>
      </c>
      <c r="S29" s="233" t="str">
        <f>IFERROR(__xludf.DUMMYFUNCTION("""COMPUTED_VALUE"""),"")</f>
        <v/>
      </c>
      <c r="T29" s="231" t="str">
        <f>IFERROR(__xludf.DUMMYFUNCTION("""COMPUTED_VALUE"""),"")</f>
        <v/>
      </c>
      <c r="U29" s="232" t="str">
        <f>IFERROR(__xludf.DUMMYFUNCTION("""COMPUTED_VALUE"""),"")</f>
        <v/>
      </c>
      <c r="V29" s="233" t="str">
        <f>IFERROR(__xludf.DUMMYFUNCTION("""COMPUTED_VALUE"""),"")</f>
        <v/>
      </c>
      <c r="W29" s="231" t="str">
        <f>IFERROR(__xludf.DUMMYFUNCTION("""COMPUTED_VALUE"""),"")</f>
        <v/>
      </c>
      <c r="X29" s="232" t="str">
        <f>IFERROR(__xludf.DUMMYFUNCTION("""COMPUTED_VALUE"""),"")</f>
        <v/>
      </c>
      <c r="Y29" s="233" t="str">
        <f>IFERROR(__xludf.DUMMYFUNCTION("""COMPUTED_VALUE"""),"")</f>
        <v/>
      </c>
      <c r="Z29" s="231" t="str">
        <f>IFERROR(__xludf.DUMMYFUNCTION("""COMPUTED_VALUE"""),"")</f>
        <v/>
      </c>
      <c r="AA29" s="232" t="str">
        <f>IFERROR(__xludf.DUMMYFUNCTION("""COMPUTED_VALUE"""),"")</f>
        <v/>
      </c>
      <c r="AB29" s="233">
        <f>IFERROR(__xludf.DUMMYFUNCTION("""COMPUTED_VALUE"""),5.3)</f>
        <v>5.3</v>
      </c>
      <c r="AC29" s="231" t="str">
        <f>IFERROR(__xludf.DUMMYFUNCTION("""COMPUTED_VALUE"""),"")</f>
        <v/>
      </c>
      <c r="AD29" s="232" t="str">
        <f>IFERROR(__xludf.DUMMYFUNCTION("""COMPUTED_VALUE"""),"")</f>
        <v/>
      </c>
      <c r="AE29" s="233" t="str">
        <f>IFERROR(__xludf.DUMMYFUNCTION("""COMPUTED_VALUE"""),"")</f>
        <v/>
      </c>
      <c r="AF29" s="231" t="str">
        <f>IFERROR(__xludf.DUMMYFUNCTION("""COMPUTED_VALUE"""),"")</f>
        <v/>
      </c>
      <c r="AG29" s="232" t="str">
        <f>IFERROR(__xludf.DUMMYFUNCTION("""COMPUTED_VALUE"""),"")</f>
        <v/>
      </c>
      <c r="AH29" s="233" t="str">
        <f>IFERROR(__xludf.DUMMYFUNCTION("""COMPUTED_VALUE"""),"")</f>
        <v/>
      </c>
      <c r="AI29" s="231" t="str">
        <f>IFERROR(__xludf.DUMMYFUNCTION("""COMPUTED_VALUE"""),"")</f>
        <v/>
      </c>
      <c r="AJ29" s="232" t="str">
        <f>IFERROR(__xludf.DUMMYFUNCTION("""COMPUTED_VALUE"""),"")</f>
        <v/>
      </c>
      <c r="AK29" s="233" t="str">
        <f>IFERROR(__xludf.DUMMYFUNCTION("""COMPUTED_VALUE"""),"")</f>
        <v/>
      </c>
      <c r="AL29" s="231" t="str">
        <f>IFERROR(__xludf.DUMMYFUNCTION("""COMPUTED_VALUE"""),"")</f>
        <v/>
      </c>
      <c r="AM29" s="232" t="str">
        <f>IFERROR(__xludf.DUMMYFUNCTION("""COMPUTED_VALUE"""),"")</f>
        <v/>
      </c>
      <c r="AN29" s="233" t="str">
        <f>IFERROR(__xludf.DUMMYFUNCTION("""COMPUTED_VALUE"""),"")</f>
        <v/>
      </c>
      <c r="AO29" s="231" t="str">
        <f>IFERROR(__xludf.DUMMYFUNCTION("""COMPUTED_VALUE"""),"")</f>
        <v/>
      </c>
      <c r="AP29" s="232" t="str">
        <f>IFERROR(__xludf.DUMMYFUNCTION("""COMPUTED_VALUE"""),"")</f>
        <v/>
      </c>
      <c r="AQ29" s="233" t="str">
        <f>IFERROR(__xludf.DUMMYFUNCTION("""COMPUTED_VALUE"""),"")</f>
        <v/>
      </c>
      <c r="AR29" s="231" t="str">
        <f>IFERROR(__xludf.DUMMYFUNCTION("""COMPUTED_VALUE"""),"")</f>
        <v/>
      </c>
      <c r="AS29" s="232" t="str">
        <f>IFERROR(__xludf.DUMMYFUNCTION("""COMPUTED_VALUE"""),"")</f>
        <v/>
      </c>
      <c r="AT29" s="233">
        <f>IFERROR(__xludf.DUMMYFUNCTION("""COMPUTED_VALUE"""),11.1)</f>
        <v>11.1</v>
      </c>
      <c r="AU29" s="231" t="str">
        <f>IFERROR(__xludf.DUMMYFUNCTION("""COMPUTED_VALUE"""),"")</f>
        <v/>
      </c>
      <c r="AV29" s="232" t="str">
        <f>IFERROR(__xludf.DUMMYFUNCTION("""COMPUTED_VALUE"""),"")</f>
        <v/>
      </c>
      <c r="AW29" s="233">
        <f>IFERROR(__xludf.DUMMYFUNCTION("""COMPUTED_VALUE"""),3.8)</f>
        <v>3.8</v>
      </c>
      <c r="AX29" s="231" t="str">
        <f>IFERROR(__xludf.DUMMYFUNCTION("""COMPUTED_VALUE"""),"")</f>
        <v/>
      </c>
      <c r="AY29" s="232" t="str">
        <f>IFERROR(__xludf.DUMMYFUNCTION("""COMPUTED_VALUE"""),"")</f>
        <v/>
      </c>
      <c r="AZ29" s="233" t="str">
        <f>IFERROR(__xludf.DUMMYFUNCTION("""COMPUTED_VALUE"""),"")</f>
        <v/>
      </c>
      <c r="BA29" s="231" t="str">
        <f>IFERROR(__xludf.DUMMYFUNCTION("""COMPUTED_VALUE"""),"")</f>
        <v/>
      </c>
      <c r="BB29" s="232" t="str">
        <f>IFERROR(__xludf.DUMMYFUNCTION("""COMPUTED_VALUE"""),"")</f>
        <v/>
      </c>
      <c r="BC29" s="233" t="str">
        <f>IFERROR(__xludf.DUMMYFUNCTION("""COMPUTED_VALUE"""),"")</f>
        <v/>
      </c>
      <c r="BD29" s="231" t="str">
        <f>IFERROR(__xludf.DUMMYFUNCTION("""COMPUTED_VALUE"""),"")</f>
        <v/>
      </c>
      <c r="BE29" s="232" t="str">
        <f>IFERROR(__xludf.DUMMYFUNCTION("""COMPUTED_VALUE"""),"")</f>
        <v/>
      </c>
      <c r="BF29" s="233" t="str">
        <f>IFERROR(__xludf.DUMMYFUNCTION("""COMPUTED_VALUE"""),"")</f>
        <v/>
      </c>
      <c r="BG29" s="231" t="str">
        <f>IFERROR(__xludf.DUMMYFUNCTION("""COMPUTED_VALUE"""),"")</f>
        <v/>
      </c>
      <c r="BH29" s="232" t="str">
        <f>IFERROR(__xludf.DUMMYFUNCTION("""COMPUTED_VALUE"""),"")</f>
        <v/>
      </c>
      <c r="BI29" s="233" t="str">
        <f>IFERROR(__xludf.DUMMYFUNCTION("""COMPUTED_VALUE"""),"")</f>
        <v/>
      </c>
      <c r="BJ29" s="231" t="str">
        <f>IFERROR(__xludf.DUMMYFUNCTION("""COMPUTED_VALUE"""),"")</f>
        <v/>
      </c>
      <c r="BK29" s="232" t="str">
        <f>IFERROR(__xludf.DUMMYFUNCTION("""COMPUTED_VALUE"""),"")</f>
        <v/>
      </c>
      <c r="BL29" s="233" t="str">
        <f>IFERROR(__xludf.DUMMYFUNCTION("""COMPUTED_VALUE"""),"")</f>
        <v/>
      </c>
      <c r="BM29" s="231" t="str">
        <f>IFERROR(__xludf.DUMMYFUNCTION("""COMPUTED_VALUE"""),"")</f>
        <v/>
      </c>
      <c r="BN29" s="232" t="str">
        <f>IFERROR(__xludf.DUMMYFUNCTION("""COMPUTED_VALUE"""),"")</f>
        <v/>
      </c>
      <c r="BO29" s="233" t="str">
        <f>IFERROR(__xludf.DUMMYFUNCTION("""COMPUTED_VALUE"""),"")</f>
        <v/>
      </c>
      <c r="BP29" s="231" t="str">
        <f>IFERROR(__xludf.DUMMYFUNCTION("""COMPUTED_VALUE"""),"")</f>
        <v/>
      </c>
      <c r="BQ29" s="232" t="str">
        <f>IFERROR(__xludf.DUMMYFUNCTION("""COMPUTED_VALUE"""),"")</f>
        <v/>
      </c>
      <c r="BR29" s="233" t="str">
        <f>IFERROR(__xludf.DUMMYFUNCTION("""COMPUTED_VALUE"""),"")</f>
        <v/>
      </c>
      <c r="BS29" s="231" t="str">
        <f>IFERROR(__xludf.DUMMYFUNCTION("""COMPUTED_VALUE"""),"")</f>
        <v/>
      </c>
      <c r="BT29" s="232" t="str">
        <f>IFERROR(__xludf.DUMMYFUNCTION("""COMPUTED_VALUE"""),"")</f>
        <v/>
      </c>
      <c r="BU29" s="233" t="str">
        <f>IFERROR(__xludf.DUMMYFUNCTION("""COMPUTED_VALUE"""),"")</f>
        <v/>
      </c>
      <c r="BV29" s="231" t="str">
        <f>IFERROR(__xludf.DUMMYFUNCTION("""COMPUTED_VALUE"""),"")</f>
        <v/>
      </c>
      <c r="BW29" s="232">
        <f>IFERROR(__xludf.DUMMYFUNCTION("""COMPUTED_VALUE"""),134.1)</f>
        <v>134.1</v>
      </c>
      <c r="BX29" s="233" t="str">
        <f>IFERROR(__xludf.DUMMYFUNCTION("""COMPUTED_VALUE"""),"")</f>
        <v/>
      </c>
      <c r="BY29" s="231" t="str">
        <f>IFERROR(__xludf.DUMMYFUNCTION("""COMPUTED_VALUE"""),"")</f>
        <v/>
      </c>
      <c r="BZ29" s="232" t="str">
        <f>IFERROR(__xludf.DUMMYFUNCTION("""COMPUTED_VALUE"""),"")</f>
        <v/>
      </c>
      <c r="CA29" s="233" t="str">
        <f>IFERROR(__xludf.DUMMYFUNCTION("""COMPUTED_VALUE"""),"")</f>
        <v/>
      </c>
      <c r="CB29" s="231" t="str">
        <f>IFERROR(__xludf.DUMMYFUNCTION("""COMPUTED_VALUE"""),"")</f>
        <v/>
      </c>
      <c r="CC29" s="232" t="str">
        <f>IFERROR(__xludf.DUMMYFUNCTION("""COMPUTED_VALUE"""),"")</f>
        <v/>
      </c>
      <c r="CD29" s="233">
        <f>IFERROR(__xludf.DUMMYFUNCTION("""COMPUTED_VALUE"""),1.6)</f>
        <v>1.6</v>
      </c>
      <c r="CE29" s="234" t="str">
        <f>IFERROR(__xludf.DUMMYFUNCTION("""COMPUTED_VALUE"""),"")</f>
        <v/>
      </c>
      <c r="CF29" s="230" t="str">
        <f>IFERROR(__xludf.DUMMYFUNCTION("""COMPUTED_VALUE"""),"")</f>
        <v/>
      </c>
      <c r="CG29" s="235" t="str">
        <f>IFERROR(__xludf.DUMMYFUNCTION("""COMPUTED_VALUE"""),"")</f>
        <v/>
      </c>
      <c r="CH29" s="234" t="str">
        <f>IFERROR(__xludf.DUMMYFUNCTION("""COMPUTED_VALUE"""),"")</f>
        <v/>
      </c>
      <c r="CI29" s="230" t="str">
        <f>IFERROR(__xludf.DUMMYFUNCTION("""COMPUTED_VALUE"""),"")</f>
        <v/>
      </c>
      <c r="CJ29" s="235" t="str">
        <f>IFERROR(__xludf.DUMMYFUNCTION("""COMPUTED_VALUE"""),"")</f>
        <v/>
      </c>
      <c r="CK29" s="95">
        <f>IFERROR(__xludf.DUMMYFUNCTION("""COMPUTED_VALUE"""),18.8)</f>
        <v>18.8</v>
      </c>
      <c r="CL29" s="96" t="str">
        <f>IFERROR(__xludf.DUMMYFUNCTION("""COMPUTED_VALUE"""),"")</f>
        <v/>
      </c>
      <c r="CM29" s="97" t="str">
        <f>IFERROR(__xludf.DUMMYFUNCTION("""COMPUTED_VALUE"""),"")</f>
        <v/>
      </c>
      <c r="CN29" s="95" t="str">
        <f>IFERROR(__xludf.DUMMYFUNCTION("""COMPUTED_VALUE"""),"")</f>
        <v/>
      </c>
      <c r="CO29" s="96" t="str">
        <f>IFERROR(__xludf.DUMMYFUNCTION("""COMPUTED_VALUE"""),"")</f>
        <v/>
      </c>
      <c r="CP29" s="97" t="str">
        <f>IFERROR(__xludf.DUMMYFUNCTION("""COMPUTED_VALUE"""),"")</f>
        <v/>
      </c>
      <c r="CQ29" s="95" t="str">
        <f>IFERROR(__xludf.DUMMYFUNCTION("""COMPUTED_VALUE"""),"")</f>
        <v/>
      </c>
      <c r="CR29" s="96" t="str">
        <f>IFERROR(__xludf.DUMMYFUNCTION("""COMPUTED_VALUE"""),"")</f>
        <v/>
      </c>
      <c r="CS29" s="97" t="str">
        <f>IFERROR(__xludf.DUMMYFUNCTION("""COMPUTED_VALUE"""),"#REF!")</f>
        <v>#REF!</v>
      </c>
      <c r="CT29" s="95" t="str">
        <f>IFERROR(__xludf.DUMMYFUNCTION("""COMPUTED_VALUE"""),"#REF!")</f>
        <v>#REF!</v>
      </c>
      <c r="CU29" s="96" t="str">
        <f>IFERROR(__xludf.DUMMYFUNCTION("""COMPUTED_VALUE"""),"#REF!")</f>
        <v>#REF!</v>
      </c>
      <c r="CV29" s="97" t="str">
        <f>IFERROR(__xludf.DUMMYFUNCTION("""COMPUTED_VALUE"""),"#REF!")</f>
        <v>#REF!</v>
      </c>
      <c r="CW29" s="95" t="str">
        <f>IFERROR(__xludf.DUMMYFUNCTION("""COMPUTED_VALUE"""),"#REF!")</f>
        <v>#REF!</v>
      </c>
      <c r="CX29" s="96" t="str">
        <f>IFERROR(__xludf.DUMMYFUNCTION("""COMPUTED_VALUE"""),"#REF!")</f>
        <v>#REF!</v>
      </c>
      <c r="CY29" s="97" t="str">
        <f>IFERROR(__xludf.DUMMYFUNCTION("""COMPUTED_VALUE"""),"#REF!")</f>
        <v>#REF!</v>
      </c>
      <c r="CZ29" s="95" t="str">
        <f>IFERROR(__xludf.DUMMYFUNCTION("""COMPUTED_VALUE"""),"#REF!")</f>
        <v>#REF!</v>
      </c>
      <c r="DA29" s="96" t="str">
        <f>IFERROR(__xludf.DUMMYFUNCTION("""COMPUTED_VALUE"""),"#REF!")</f>
        <v>#REF!</v>
      </c>
      <c r="DB29" s="97" t="str">
        <f>IFERROR(__xludf.DUMMYFUNCTION("""COMPUTED_VALUE"""),"#REF!")</f>
        <v>#REF!</v>
      </c>
      <c r="DC29" s="95" t="str">
        <f>IFERROR(__xludf.DUMMYFUNCTION("""COMPUTED_VALUE"""),"#REF!")</f>
        <v>#REF!</v>
      </c>
      <c r="DD29" s="96" t="str">
        <f>IFERROR(__xludf.DUMMYFUNCTION("""COMPUTED_VALUE"""),"#REF!")</f>
        <v>#REF!</v>
      </c>
      <c r="DE29" s="97" t="str">
        <f>IFERROR(__xludf.DUMMYFUNCTION("""COMPUTED_VALUE"""),"#REF!")</f>
        <v>#REF!</v>
      </c>
      <c r="DF29" s="95" t="str">
        <f>IFERROR(__xludf.DUMMYFUNCTION("""COMPUTED_VALUE"""),"#REF!")</f>
        <v>#REF!</v>
      </c>
      <c r="DG29" s="96" t="str">
        <f>IFERROR(__xludf.DUMMYFUNCTION("""COMPUTED_VALUE"""),"#REF!")</f>
        <v>#REF!</v>
      </c>
      <c r="DH29" s="97" t="str">
        <f>IFERROR(__xludf.DUMMYFUNCTION("""COMPUTED_VALUE"""),"#REF!")</f>
        <v>#REF!</v>
      </c>
      <c r="DI29" s="95" t="str">
        <f>IFERROR(__xludf.DUMMYFUNCTION("""COMPUTED_VALUE"""),"#REF!")</f>
        <v>#REF!</v>
      </c>
      <c r="DJ29" s="96" t="str">
        <f>IFERROR(__xludf.DUMMYFUNCTION("""COMPUTED_VALUE"""),"#REF!")</f>
        <v>#REF!</v>
      </c>
      <c r="DK29" s="97" t="str">
        <f>IFERROR(__xludf.DUMMYFUNCTION("""COMPUTED_VALUE"""),"#REF!")</f>
        <v>#REF!</v>
      </c>
      <c r="DL29" s="95" t="str">
        <f>IFERROR(__xludf.DUMMYFUNCTION("""COMPUTED_VALUE"""),"#REF!")</f>
        <v>#REF!</v>
      </c>
      <c r="DM29" s="96" t="str">
        <f>IFERROR(__xludf.DUMMYFUNCTION("""COMPUTED_VALUE"""),"#REF!")</f>
        <v>#REF!</v>
      </c>
      <c r="DN29" s="97" t="str">
        <f>IFERROR(__xludf.DUMMYFUNCTION("""COMPUTED_VALUE"""),"#REF!")</f>
        <v>#REF!</v>
      </c>
      <c r="DO29" s="95" t="str">
        <f>IFERROR(__xludf.DUMMYFUNCTION("""COMPUTED_VALUE"""),"#REF!")</f>
        <v>#REF!</v>
      </c>
      <c r="DP29" s="96" t="str">
        <f>IFERROR(__xludf.DUMMYFUNCTION("""COMPUTED_VALUE"""),"#REF!")</f>
        <v>#REF!</v>
      </c>
      <c r="DQ29" s="97"/>
      <c r="DR29" s="95"/>
    </row>
    <row r="30">
      <c r="B30" s="83" t="str">
        <f>IFERROR(__xludf.DUMMYFUNCTION("""COMPUTED_VALUE"""),"TRF10")</f>
        <v>TRF10</v>
      </c>
      <c r="C30" s="82">
        <f>IFERROR(__xludf.DUMMYFUNCTION("""COMPUTED_VALUE"""),14.0)</f>
        <v>14</v>
      </c>
      <c r="D30" s="88" t="str">
        <f>IFERROR(__xludf.DUMMYFUNCTION("""COMPUTED_VALUE"""),"WED Berserker Training Ground- Int")</f>
        <v>WED Berserker Training Ground- Int</v>
      </c>
      <c r="E30" s="82" t="str">
        <f>IFERROR(__xludf.DUMMYFUNCTION("""COMPUTED_VALUE"""),"狂中級")</f>
        <v>狂中級</v>
      </c>
      <c r="F30" s="102">
        <f>IFERROR(__xludf.DUMMYFUNCTION("""COMPUTED_VALUE"""),20.0)</f>
        <v>20</v>
      </c>
      <c r="G30" s="82">
        <f>IFERROR(__xludf.DUMMYFUNCTION("""COMPUTED_VALUE"""),1018.0)</f>
        <v>1018</v>
      </c>
      <c r="H30" s="231">
        <f>IFERROR(__xludf.DUMMYFUNCTION("""COMPUTED_VALUE"""),3.3)</f>
        <v>3.3</v>
      </c>
      <c r="I30" s="232" t="str">
        <f>IFERROR(__xludf.DUMMYFUNCTION("""COMPUTED_VALUE"""),"")</f>
        <v/>
      </c>
      <c r="J30" s="233" t="str">
        <f>IFERROR(__xludf.DUMMYFUNCTION("""COMPUTED_VALUE"""),"")</f>
        <v/>
      </c>
      <c r="K30" s="231" t="str">
        <f>IFERROR(__xludf.DUMMYFUNCTION("""COMPUTED_VALUE"""),"")</f>
        <v/>
      </c>
      <c r="L30" s="232" t="str">
        <f>IFERROR(__xludf.DUMMYFUNCTION("""COMPUTED_VALUE"""),"")</f>
        <v/>
      </c>
      <c r="M30" s="233" t="str">
        <f>IFERROR(__xludf.DUMMYFUNCTION("""COMPUTED_VALUE"""),"")</f>
        <v/>
      </c>
      <c r="N30" s="231" t="str">
        <f>IFERROR(__xludf.DUMMYFUNCTION("""COMPUTED_VALUE"""),"")</f>
        <v/>
      </c>
      <c r="O30" s="232" t="str">
        <f>IFERROR(__xludf.DUMMYFUNCTION("""COMPUTED_VALUE"""),"")</f>
        <v/>
      </c>
      <c r="P30" s="233" t="str">
        <f>IFERROR(__xludf.DUMMYFUNCTION("""COMPUTED_VALUE"""),"")</f>
        <v/>
      </c>
      <c r="Q30" s="231" t="str">
        <f>IFERROR(__xludf.DUMMYFUNCTION("""COMPUTED_VALUE"""),"")</f>
        <v/>
      </c>
      <c r="R30" s="232" t="str">
        <f>IFERROR(__xludf.DUMMYFUNCTION("""COMPUTED_VALUE"""),"")</f>
        <v/>
      </c>
      <c r="S30" s="233" t="str">
        <f>IFERROR(__xludf.DUMMYFUNCTION("""COMPUTED_VALUE"""),"")</f>
        <v/>
      </c>
      <c r="T30" s="231" t="str">
        <f>IFERROR(__xludf.DUMMYFUNCTION("""COMPUTED_VALUE"""),"")</f>
        <v/>
      </c>
      <c r="U30" s="232" t="str">
        <f>IFERROR(__xludf.DUMMYFUNCTION("""COMPUTED_VALUE"""),"")</f>
        <v/>
      </c>
      <c r="V30" s="233" t="str">
        <f>IFERROR(__xludf.DUMMYFUNCTION("""COMPUTED_VALUE"""),"")</f>
        <v/>
      </c>
      <c r="W30" s="231" t="str">
        <f>IFERROR(__xludf.DUMMYFUNCTION("""COMPUTED_VALUE"""),"")</f>
        <v/>
      </c>
      <c r="X30" s="232" t="str">
        <f>IFERROR(__xludf.DUMMYFUNCTION("""COMPUTED_VALUE"""),"")</f>
        <v/>
      </c>
      <c r="Y30" s="233" t="str">
        <f>IFERROR(__xludf.DUMMYFUNCTION("""COMPUTED_VALUE"""),"")</f>
        <v/>
      </c>
      <c r="Z30" s="231" t="str">
        <f>IFERROR(__xludf.DUMMYFUNCTION("""COMPUTED_VALUE"""),"")</f>
        <v/>
      </c>
      <c r="AA30" s="232" t="str">
        <f>IFERROR(__xludf.DUMMYFUNCTION("""COMPUTED_VALUE"""),"")</f>
        <v/>
      </c>
      <c r="AB30" s="233">
        <f>IFERROR(__xludf.DUMMYFUNCTION("""COMPUTED_VALUE"""),11.6)</f>
        <v>11.6</v>
      </c>
      <c r="AC30" s="231" t="str">
        <f>IFERROR(__xludf.DUMMYFUNCTION("""COMPUTED_VALUE"""),"")</f>
        <v/>
      </c>
      <c r="AD30" s="232" t="str">
        <f>IFERROR(__xludf.DUMMYFUNCTION("""COMPUTED_VALUE"""),"")</f>
        <v/>
      </c>
      <c r="AE30" s="233" t="str">
        <f>IFERROR(__xludf.DUMMYFUNCTION("""COMPUTED_VALUE"""),"")</f>
        <v/>
      </c>
      <c r="AF30" s="231" t="str">
        <f>IFERROR(__xludf.DUMMYFUNCTION("""COMPUTED_VALUE"""),"")</f>
        <v/>
      </c>
      <c r="AG30" s="232" t="str">
        <f>IFERROR(__xludf.DUMMYFUNCTION("""COMPUTED_VALUE"""),"")</f>
        <v/>
      </c>
      <c r="AH30" s="233" t="str">
        <f>IFERROR(__xludf.DUMMYFUNCTION("""COMPUTED_VALUE"""),"")</f>
        <v/>
      </c>
      <c r="AI30" s="231" t="str">
        <f>IFERROR(__xludf.DUMMYFUNCTION("""COMPUTED_VALUE"""),"")</f>
        <v/>
      </c>
      <c r="AJ30" s="232" t="str">
        <f>IFERROR(__xludf.DUMMYFUNCTION("""COMPUTED_VALUE"""),"")</f>
        <v/>
      </c>
      <c r="AK30" s="233" t="str">
        <f>IFERROR(__xludf.DUMMYFUNCTION("""COMPUTED_VALUE"""),"")</f>
        <v/>
      </c>
      <c r="AL30" s="231" t="str">
        <f>IFERROR(__xludf.DUMMYFUNCTION("""COMPUTED_VALUE"""),"")</f>
        <v/>
      </c>
      <c r="AM30" s="232" t="str">
        <f>IFERROR(__xludf.DUMMYFUNCTION("""COMPUTED_VALUE"""),"")</f>
        <v/>
      </c>
      <c r="AN30" s="233" t="str">
        <f>IFERROR(__xludf.DUMMYFUNCTION("""COMPUTED_VALUE"""),"")</f>
        <v/>
      </c>
      <c r="AO30" s="231" t="str">
        <f>IFERROR(__xludf.DUMMYFUNCTION("""COMPUTED_VALUE"""),"")</f>
        <v/>
      </c>
      <c r="AP30" s="232" t="str">
        <f>IFERROR(__xludf.DUMMYFUNCTION("""COMPUTED_VALUE"""),"")</f>
        <v/>
      </c>
      <c r="AQ30" s="233" t="str">
        <f>IFERROR(__xludf.DUMMYFUNCTION("""COMPUTED_VALUE"""),"")</f>
        <v/>
      </c>
      <c r="AR30" s="231" t="str">
        <f>IFERROR(__xludf.DUMMYFUNCTION("""COMPUTED_VALUE"""),"")</f>
        <v/>
      </c>
      <c r="AS30" s="232" t="str">
        <f>IFERROR(__xludf.DUMMYFUNCTION("""COMPUTED_VALUE"""),"")</f>
        <v/>
      </c>
      <c r="AT30" s="233">
        <f>IFERROR(__xludf.DUMMYFUNCTION("""COMPUTED_VALUE"""),6.0)</f>
        <v>6</v>
      </c>
      <c r="AU30" s="231" t="str">
        <f>IFERROR(__xludf.DUMMYFUNCTION("""COMPUTED_VALUE"""),"")</f>
        <v/>
      </c>
      <c r="AV30" s="232" t="str">
        <f>IFERROR(__xludf.DUMMYFUNCTION("""COMPUTED_VALUE"""),"")</f>
        <v/>
      </c>
      <c r="AW30" s="233">
        <f>IFERROR(__xludf.DUMMYFUNCTION("""COMPUTED_VALUE"""),19.0)</f>
        <v>19</v>
      </c>
      <c r="AX30" s="231" t="str">
        <f>IFERROR(__xludf.DUMMYFUNCTION("""COMPUTED_VALUE"""),"")</f>
        <v/>
      </c>
      <c r="AY30" s="232" t="str">
        <f>IFERROR(__xludf.DUMMYFUNCTION("""COMPUTED_VALUE"""),"")</f>
        <v/>
      </c>
      <c r="AZ30" s="233" t="str">
        <f>IFERROR(__xludf.DUMMYFUNCTION("""COMPUTED_VALUE"""),"")</f>
        <v/>
      </c>
      <c r="BA30" s="231" t="str">
        <f>IFERROR(__xludf.DUMMYFUNCTION("""COMPUTED_VALUE"""),"")</f>
        <v/>
      </c>
      <c r="BB30" s="232" t="str">
        <f>IFERROR(__xludf.DUMMYFUNCTION("""COMPUTED_VALUE"""),"")</f>
        <v/>
      </c>
      <c r="BC30" s="233" t="str">
        <f>IFERROR(__xludf.DUMMYFUNCTION("""COMPUTED_VALUE"""),"")</f>
        <v/>
      </c>
      <c r="BD30" s="231" t="str">
        <f>IFERROR(__xludf.DUMMYFUNCTION("""COMPUTED_VALUE"""),"")</f>
        <v/>
      </c>
      <c r="BE30" s="232" t="str">
        <f>IFERROR(__xludf.DUMMYFUNCTION("""COMPUTED_VALUE"""),"")</f>
        <v/>
      </c>
      <c r="BF30" s="233" t="str">
        <f>IFERROR(__xludf.DUMMYFUNCTION("""COMPUTED_VALUE"""),"")</f>
        <v/>
      </c>
      <c r="BG30" s="231" t="str">
        <f>IFERROR(__xludf.DUMMYFUNCTION("""COMPUTED_VALUE"""),"")</f>
        <v/>
      </c>
      <c r="BH30" s="232" t="str">
        <f>IFERROR(__xludf.DUMMYFUNCTION("""COMPUTED_VALUE"""),"")</f>
        <v/>
      </c>
      <c r="BI30" s="233" t="str">
        <f>IFERROR(__xludf.DUMMYFUNCTION("""COMPUTED_VALUE"""),"")</f>
        <v/>
      </c>
      <c r="BJ30" s="231" t="str">
        <f>IFERROR(__xludf.DUMMYFUNCTION("""COMPUTED_VALUE"""),"")</f>
        <v/>
      </c>
      <c r="BK30" s="232" t="str">
        <f>IFERROR(__xludf.DUMMYFUNCTION("""COMPUTED_VALUE"""),"")</f>
        <v/>
      </c>
      <c r="BL30" s="233" t="str">
        <f>IFERROR(__xludf.DUMMYFUNCTION("""COMPUTED_VALUE"""),"")</f>
        <v/>
      </c>
      <c r="BM30" s="231" t="str">
        <f>IFERROR(__xludf.DUMMYFUNCTION("""COMPUTED_VALUE"""),"")</f>
        <v/>
      </c>
      <c r="BN30" s="232" t="str">
        <f>IFERROR(__xludf.DUMMYFUNCTION("""COMPUTED_VALUE"""),"")</f>
        <v/>
      </c>
      <c r="BO30" s="233" t="str">
        <f>IFERROR(__xludf.DUMMYFUNCTION("""COMPUTED_VALUE"""),"")</f>
        <v/>
      </c>
      <c r="BP30" s="231">
        <f>IFERROR(__xludf.DUMMYFUNCTION("""COMPUTED_VALUE"""),63.1)</f>
        <v>63.1</v>
      </c>
      <c r="BQ30" s="232" t="str">
        <f>IFERROR(__xludf.DUMMYFUNCTION("""COMPUTED_VALUE"""),"")</f>
        <v/>
      </c>
      <c r="BR30" s="233" t="str">
        <f>IFERROR(__xludf.DUMMYFUNCTION("""COMPUTED_VALUE"""),"")</f>
        <v/>
      </c>
      <c r="BS30" s="231" t="str">
        <f>IFERROR(__xludf.DUMMYFUNCTION("""COMPUTED_VALUE"""),"")</f>
        <v/>
      </c>
      <c r="BT30" s="232" t="str">
        <f>IFERROR(__xludf.DUMMYFUNCTION("""COMPUTED_VALUE"""),"")</f>
        <v/>
      </c>
      <c r="BU30" s="233" t="str">
        <f>IFERROR(__xludf.DUMMYFUNCTION("""COMPUTED_VALUE"""),"")</f>
        <v/>
      </c>
      <c r="BV30" s="231" t="str">
        <f>IFERROR(__xludf.DUMMYFUNCTION("""COMPUTED_VALUE"""),"")</f>
        <v/>
      </c>
      <c r="BW30" s="232">
        <f>IFERROR(__xludf.DUMMYFUNCTION("""COMPUTED_VALUE"""),127.2)</f>
        <v>127.2</v>
      </c>
      <c r="BX30" s="233" t="str">
        <f>IFERROR(__xludf.DUMMYFUNCTION("""COMPUTED_VALUE"""),"")</f>
        <v/>
      </c>
      <c r="BY30" s="231" t="str">
        <f>IFERROR(__xludf.DUMMYFUNCTION("""COMPUTED_VALUE"""),"")</f>
        <v/>
      </c>
      <c r="BZ30" s="232" t="str">
        <f>IFERROR(__xludf.DUMMYFUNCTION("""COMPUTED_VALUE"""),"")</f>
        <v/>
      </c>
      <c r="CA30" s="233" t="str">
        <f>IFERROR(__xludf.DUMMYFUNCTION("""COMPUTED_VALUE"""),"")</f>
        <v/>
      </c>
      <c r="CB30" s="231" t="str">
        <f>IFERROR(__xludf.DUMMYFUNCTION("""COMPUTED_VALUE"""),"")</f>
        <v/>
      </c>
      <c r="CC30" s="232" t="str">
        <f>IFERROR(__xludf.DUMMYFUNCTION("""COMPUTED_VALUE"""),"")</f>
        <v/>
      </c>
      <c r="CD30" s="233">
        <f>IFERROR(__xludf.DUMMYFUNCTION("""COMPUTED_VALUE"""),8.0)</f>
        <v>8</v>
      </c>
      <c r="CE30" s="234" t="str">
        <f>IFERROR(__xludf.DUMMYFUNCTION("""COMPUTED_VALUE"""),"")</f>
        <v/>
      </c>
      <c r="CF30" s="230" t="str">
        <f>IFERROR(__xludf.DUMMYFUNCTION("""COMPUTED_VALUE"""),"")</f>
        <v/>
      </c>
      <c r="CG30" s="235" t="str">
        <f>IFERROR(__xludf.DUMMYFUNCTION("""COMPUTED_VALUE"""),"")</f>
        <v/>
      </c>
      <c r="CH30" s="234" t="str">
        <f>IFERROR(__xludf.DUMMYFUNCTION("""COMPUTED_VALUE"""),"")</f>
        <v/>
      </c>
      <c r="CI30" s="230" t="str">
        <f>IFERROR(__xludf.DUMMYFUNCTION("""COMPUTED_VALUE"""),"")</f>
        <v/>
      </c>
      <c r="CJ30" s="235" t="str">
        <f>IFERROR(__xludf.DUMMYFUNCTION("""COMPUTED_VALUE"""),"")</f>
        <v/>
      </c>
      <c r="CK30" s="95">
        <f>IFERROR(__xludf.DUMMYFUNCTION("""COMPUTED_VALUE"""),69.4)</f>
        <v>69.4</v>
      </c>
      <c r="CL30" s="96" t="str">
        <f>IFERROR(__xludf.DUMMYFUNCTION("""COMPUTED_VALUE"""),"")</f>
        <v/>
      </c>
      <c r="CM30" s="97" t="str">
        <f>IFERROR(__xludf.DUMMYFUNCTION("""COMPUTED_VALUE"""),"")</f>
        <v/>
      </c>
      <c r="CN30" s="95" t="str">
        <f>IFERROR(__xludf.DUMMYFUNCTION("""COMPUTED_VALUE"""),"")</f>
        <v/>
      </c>
      <c r="CO30" s="96" t="str">
        <f>IFERROR(__xludf.DUMMYFUNCTION("""COMPUTED_VALUE"""),"")</f>
        <v/>
      </c>
      <c r="CP30" s="97" t="str">
        <f>IFERROR(__xludf.DUMMYFUNCTION("""COMPUTED_VALUE"""),"")</f>
        <v/>
      </c>
      <c r="CQ30" s="95" t="str">
        <f>IFERROR(__xludf.DUMMYFUNCTION("""COMPUTED_VALUE"""),"")</f>
        <v/>
      </c>
      <c r="CR30" s="96" t="str">
        <f>IFERROR(__xludf.DUMMYFUNCTION("""COMPUTED_VALUE"""),"")</f>
        <v/>
      </c>
      <c r="CS30" s="97" t="str">
        <f>IFERROR(__xludf.DUMMYFUNCTION("""COMPUTED_VALUE"""),"#REF!")</f>
        <v>#REF!</v>
      </c>
      <c r="CT30" s="95" t="str">
        <f>IFERROR(__xludf.DUMMYFUNCTION("""COMPUTED_VALUE"""),"#REF!")</f>
        <v>#REF!</v>
      </c>
      <c r="CU30" s="96" t="str">
        <f>IFERROR(__xludf.DUMMYFUNCTION("""COMPUTED_VALUE"""),"#REF!")</f>
        <v>#REF!</v>
      </c>
      <c r="CV30" s="97" t="str">
        <f>IFERROR(__xludf.DUMMYFUNCTION("""COMPUTED_VALUE"""),"#REF!")</f>
        <v>#REF!</v>
      </c>
      <c r="CW30" s="95" t="str">
        <f>IFERROR(__xludf.DUMMYFUNCTION("""COMPUTED_VALUE"""),"#REF!")</f>
        <v>#REF!</v>
      </c>
      <c r="CX30" s="96" t="str">
        <f>IFERROR(__xludf.DUMMYFUNCTION("""COMPUTED_VALUE"""),"#REF!")</f>
        <v>#REF!</v>
      </c>
      <c r="CY30" s="97" t="str">
        <f>IFERROR(__xludf.DUMMYFUNCTION("""COMPUTED_VALUE"""),"#REF!")</f>
        <v>#REF!</v>
      </c>
      <c r="CZ30" s="95" t="str">
        <f>IFERROR(__xludf.DUMMYFUNCTION("""COMPUTED_VALUE"""),"#REF!")</f>
        <v>#REF!</v>
      </c>
      <c r="DA30" s="96" t="str">
        <f>IFERROR(__xludf.DUMMYFUNCTION("""COMPUTED_VALUE"""),"#REF!")</f>
        <v>#REF!</v>
      </c>
      <c r="DB30" s="97" t="str">
        <f>IFERROR(__xludf.DUMMYFUNCTION("""COMPUTED_VALUE"""),"#REF!")</f>
        <v>#REF!</v>
      </c>
      <c r="DC30" s="95" t="str">
        <f>IFERROR(__xludf.DUMMYFUNCTION("""COMPUTED_VALUE"""),"#REF!")</f>
        <v>#REF!</v>
      </c>
      <c r="DD30" s="96" t="str">
        <f>IFERROR(__xludf.DUMMYFUNCTION("""COMPUTED_VALUE"""),"#REF!")</f>
        <v>#REF!</v>
      </c>
      <c r="DE30" s="97" t="str">
        <f>IFERROR(__xludf.DUMMYFUNCTION("""COMPUTED_VALUE"""),"#REF!")</f>
        <v>#REF!</v>
      </c>
      <c r="DF30" s="95" t="str">
        <f>IFERROR(__xludf.DUMMYFUNCTION("""COMPUTED_VALUE"""),"#REF!")</f>
        <v>#REF!</v>
      </c>
      <c r="DG30" s="96" t="str">
        <f>IFERROR(__xludf.DUMMYFUNCTION("""COMPUTED_VALUE"""),"#REF!")</f>
        <v>#REF!</v>
      </c>
      <c r="DH30" s="97" t="str">
        <f>IFERROR(__xludf.DUMMYFUNCTION("""COMPUTED_VALUE"""),"#REF!")</f>
        <v>#REF!</v>
      </c>
      <c r="DI30" s="95" t="str">
        <f>IFERROR(__xludf.DUMMYFUNCTION("""COMPUTED_VALUE"""),"#REF!")</f>
        <v>#REF!</v>
      </c>
      <c r="DJ30" s="96" t="str">
        <f>IFERROR(__xludf.DUMMYFUNCTION("""COMPUTED_VALUE"""),"#REF!")</f>
        <v>#REF!</v>
      </c>
      <c r="DK30" s="97" t="str">
        <f>IFERROR(__xludf.DUMMYFUNCTION("""COMPUTED_VALUE"""),"#REF!")</f>
        <v>#REF!</v>
      </c>
      <c r="DL30" s="95" t="str">
        <f>IFERROR(__xludf.DUMMYFUNCTION("""COMPUTED_VALUE"""),"#REF!")</f>
        <v>#REF!</v>
      </c>
      <c r="DM30" s="96" t="str">
        <f>IFERROR(__xludf.DUMMYFUNCTION("""COMPUTED_VALUE"""),"#REF!")</f>
        <v>#REF!</v>
      </c>
      <c r="DN30" s="97" t="str">
        <f>IFERROR(__xludf.DUMMYFUNCTION("""COMPUTED_VALUE"""),"#REF!")</f>
        <v>#REF!</v>
      </c>
      <c r="DO30" s="95" t="str">
        <f>IFERROR(__xludf.DUMMYFUNCTION("""COMPUTED_VALUE"""),"#REF!")</f>
        <v>#REF!</v>
      </c>
      <c r="DP30" s="96" t="str">
        <f>IFERROR(__xludf.DUMMYFUNCTION("""COMPUTED_VALUE"""),"#REF!")</f>
        <v>#REF!</v>
      </c>
      <c r="DQ30" s="97"/>
      <c r="DR30" s="95"/>
    </row>
    <row r="31">
      <c r="B31" s="83" t="str">
        <f>IFERROR(__xludf.DUMMYFUNCTION("""COMPUTED_VALUE"""),"TRF11")</f>
        <v>TRF11</v>
      </c>
      <c r="C31" s="82">
        <f>IFERROR(__xludf.DUMMYFUNCTION("""COMPUTED_VALUE"""),13.0)</f>
        <v>13</v>
      </c>
      <c r="D31" s="88" t="str">
        <f>IFERROR(__xludf.DUMMYFUNCTION("""COMPUTED_VALUE"""),"WED Berserker Training Ground- Adv")</f>
        <v>WED Berserker Training Ground- Adv</v>
      </c>
      <c r="E31" s="82" t="str">
        <f>IFERROR(__xludf.DUMMYFUNCTION("""COMPUTED_VALUE"""),"狂上級")</f>
        <v>狂上級</v>
      </c>
      <c r="F31" s="102">
        <f>IFERROR(__xludf.DUMMYFUNCTION("""COMPUTED_VALUE"""),30.0)</f>
        <v>30</v>
      </c>
      <c r="G31" s="82">
        <f>IFERROR(__xludf.DUMMYFUNCTION("""COMPUTED_VALUE"""),1000.0)</f>
        <v>1000</v>
      </c>
      <c r="H31" s="231">
        <f>IFERROR(__xludf.DUMMYFUNCTION("""COMPUTED_VALUE"""),7.7)</f>
        <v>7.7</v>
      </c>
      <c r="I31" s="232" t="str">
        <f>IFERROR(__xludf.DUMMYFUNCTION("""COMPUTED_VALUE"""),"")</f>
        <v/>
      </c>
      <c r="J31" s="233" t="str">
        <f>IFERROR(__xludf.DUMMYFUNCTION("""COMPUTED_VALUE"""),"")</f>
        <v/>
      </c>
      <c r="K31" s="231" t="str">
        <f>IFERROR(__xludf.DUMMYFUNCTION("""COMPUTED_VALUE"""),"")</f>
        <v/>
      </c>
      <c r="L31" s="232" t="str">
        <f>IFERROR(__xludf.DUMMYFUNCTION("""COMPUTED_VALUE"""),"")</f>
        <v/>
      </c>
      <c r="M31" s="233" t="str">
        <f>IFERROR(__xludf.DUMMYFUNCTION("""COMPUTED_VALUE"""),"")</f>
        <v/>
      </c>
      <c r="N31" s="231" t="str">
        <f>IFERROR(__xludf.DUMMYFUNCTION("""COMPUTED_VALUE"""),"")</f>
        <v/>
      </c>
      <c r="O31" s="232" t="str">
        <f>IFERROR(__xludf.DUMMYFUNCTION("""COMPUTED_VALUE"""),"")</f>
        <v/>
      </c>
      <c r="P31" s="233" t="str">
        <f>IFERROR(__xludf.DUMMYFUNCTION("""COMPUTED_VALUE"""),"")</f>
        <v/>
      </c>
      <c r="Q31" s="231" t="str">
        <f>IFERROR(__xludf.DUMMYFUNCTION("""COMPUTED_VALUE"""),"")</f>
        <v/>
      </c>
      <c r="R31" s="232" t="str">
        <f>IFERROR(__xludf.DUMMYFUNCTION("""COMPUTED_VALUE"""),"")</f>
        <v/>
      </c>
      <c r="S31" s="233" t="str">
        <f>IFERROR(__xludf.DUMMYFUNCTION("""COMPUTED_VALUE"""),"")</f>
        <v/>
      </c>
      <c r="T31" s="231" t="str">
        <f>IFERROR(__xludf.DUMMYFUNCTION("""COMPUTED_VALUE"""),"")</f>
        <v/>
      </c>
      <c r="U31" s="232" t="str">
        <f>IFERROR(__xludf.DUMMYFUNCTION("""COMPUTED_VALUE"""),"")</f>
        <v/>
      </c>
      <c r="V31" s="233" t="str">
        <f>IFERROR(__xludf.DUMMYFUNCTION("""COMPUTED_VALUE"""),"")</f>
        <v/>
      </c>
      <c r="W31" s="231" t="str">
        <f>IFERROR(__xludf.DUMMYFUNCTION("""COMPUTED_VALUE"""),"")</f>
        <v/>
      </c>
      <c r="X31" s="232" t="str">
        <f>IFERROR(__xludf.DUMMYFUNCTION("""COMPUTED_VALUE"""),"")</f>
        <v/>
      </c>
      <c r="Y31" s="233" t="str">
        <f>IFERROR(__xludf.DUMMYFUNCTION("""COMPUTED_VALUE"""),"")</f>
        <v/>
      </c>
      <c r="Z31" s="231" t="str">
        <f>IFERROR(__xludf.DUMMYFUNCTION("""COMPUTED_VALUE"""),"")</f>
        <v/>
      </c>
      <c r="AA31" s="232" t="str">
        <f>IFERROR(__xludf.DUMMYFUNCTION("""COMPUTED_VALUE"""),"")</f>
        <v/>
      </c>
      <c r="AB31" s="233">
        <f>IFERROR(__xludf.DUMMYFUNCTION("""COMPUTED_VALUE"""),13.4)</f>
        <v>13.4</v>
      </c>
      <c r="AC31" s="231" t="str">
        <f>IFERROR(__xludf.DUMMYFUNCTION("""COMPUTED_VALUE"""),"")</f>
        <v/>
      </c>
      <c r="AD31" s="232" t="str">
        <f>IFERROR(__xludf.DUMMYFUNCTION("""COMPUTED_VALUE"""),"")</f>
        <v/>
      </c>
      <c r="AE31" s="233" t="str">
        <f>IFERROR(__xludf.DUMMYFUNCTION("""COMPUTED_VALUE"""),"")</f>
        <v/>
      </c>
      <c r="AF31" s="231" t="str">
        <f>IFERROR(__xludf.DUMMYFUNCTION("""COMPUTED_VALUE"""),"")</f>
        <v/>
      </c>
      <c r="AG31" s="232" t="str">
        <f>IFERROR(__xludf.DUMMYFUNCTION("""COMPUTED_VALUE"""),"")</f>
        <v/>
      </c>
      <c r="AH31" s="233" t="str">
        <f>IFERROR(__xludf.DUMMYFUNCTION("""COMPUTED_VALUE"""),"")</f>
        <v/>
      </c>
      <c r="AI31" s="231" t="str">
        <f>IFERROR(__xludf.DUMMYFUNCTION("""COMPUTED_VALUE"""),"")</f>
        <v/>
      </c>
      <c r="AJ31" s="232" t="str">
        <f>IFERROR(__xludf.DUMMYFUNCTION("""COMPUTED_VALUE"""),"")</f>
        <v/>
      </c>
      <c r="AK31" s="233" t="str">
        <f>IFERROR(__xludf.DUMMYFUNCTION("""COMPUTED_VALUE"""),"")</f>
        <v/>
      </c>
      <c r="AL31" s="231" t="str">
        <f>IFERROR(__xludf.DUMMYFUNCTION("""COMPUTED_VALUE"""),"")</f>
        <v/>
      </c>
      <c r="AM31" s="232" t="str">
        <f>IFERROR(__xludf.DUMMYFUNCTION("""COMPUTED_VALUE"""),"")</f>
        <v/>
      </c>
      <c r="AN31" s="233" t="str">
        <f>IFERROR(__xludf.DUMMYFUNCTION("""COMPUTED_VALUE"""),"")</f>
        <v/>
      </c>
      <c r="AO31" s="231" t="str">
        <f>IFERROR(__xludf.DUMMYFUNCTION("""COMPUTED_VALUE"""),"")</f>
        <v/>
      </c>
      <c r="AP31" s="232" t="str">
        <f>IFERROR(__xludf.DUMMYFUNCTION("""COMPUTED_VALUE"""),"")</f>
        <v/>
      </c>
      <c r="AQ31" s="233" t="str">
        <f>IFERROR(__xludf.DUMMYFUNCTION("""COMPUTED_VALUE"""),"")</f>
        <v/>
      </c>
      <c r="AR31" s="231" t="str">
        <f>IFERROR(__xludf.DUMMYFUNCTION("""COMPUTED_VALUE"""),"")</f>
        <v/>
      </c>
      <c r="AS31" s="232" t="str">
        <f>IFERROR(__xludf.DUMMYFUNCTION("""COMPUTED_VALUE"""),"")</f>
        <v/>
      </c>
      <c r="AT31" s="233">
        <f>IFERROR(__xludf.DUMMYFUNCTION("""COMPUTED_VALUE"""),13.4)</f>
        <v>13.4</v>
      </c>
      <c r="AU31" s="231" t="str">
        <f>IFERROR(__xludf.DUMMYFUNCTION("""COMPUTED_VALUE"""),"")</f>
        <v/>
      </c>
      <c r="AV31" s="232" t="str">
        <f>IFERROR(__xludf.DUMMYFUNCTION("""COMPUTED_VALUE"""),"")</f>
        <v/>
      </c>
      <c r="AW31" s="233">
        <f>IFERROR(__xludf.DUMMYFUNCTION("""COMPUTED_VALUE"""),19.5)</f>
        <v>19.5</v>
      </c>
      <c r="AX31" s="231" t="str">
        <f>IFERROR(__xludf.DUMMYFUNCTION("""COMPUTED_VALUE"""),"")</f>
        <v/>
      </c>
      <c r="AY31" s="232" t="str">
        <f>IFERROR(__xludf.DUMMYFUNCTION("""COMPUTED_VALUE"""),"")</f>
        <v/>
      </c>
      <c r="AZ31" s="233" t="str">
        <f>IFERROR(__xludf.DUMMYFUNCTION("""COMPUTED_VALUE"""),"")</f>
        <v/>
      </c>
      <c r="BA31" s="231" t="str">
        <f>IFERROR(__xludf.DUMMYFUNCTION("""COMPUTED_VALUE"""),"")</f>
        <v/>
      </c>
      <c r="BB31" s="232" t="str">
        <f>IFERROR(__xludf.DUMMYFUNCTION("""COMPUTED_VALUE"""),"")</f>
        <v/>
      </c>
      <c r="BC31" s="233" t="str">
        <f>IFERROR(__xludf.DUMMYFUNCTION("""COMPUTED_VALUE"""),"")</f>
        <v/>
      </c>
      <c r="BD31" s="231" t="str">
        <f>IFERROR(__xludf.DUMMYFUNCTION("""COMPUTED_VALUE"""),"")</f>
        <v/>
      </c>
      <c r="BE31" s="232" t="str">
        <f>IFERROR(__xludf.DUMMYFUNCTION("""COMPUTED_VALUE"""),"")</f>
        <v/>
      </c>
      <c r="BF31" s="233" t="str">
        <f>IFERROR(__xludf.DUMMYFUNCTION("""COMPUTED_VALUE"""),"")</f>
        <v/>
      </c>
      <c r="BG31" s="231" t="str">
        <f>IFERROR(__xludf.DUMMYFUNCTION("""COMPUTED_VALUE"""),"")</f>
        <v/>
      </c>
      <c r="BH31" s="232" t="str">
        <f>IFERROR(__xludf.DUMMYFUNCTION("""COMPUTED_VALUE"""),"")</f>
        <v/>
      </c>
      <c r="BI31" s="233">
        <f>IFERROR(__xludf.DUMMYFUNCTION("""COMPUTED_VALUE"""),12.6)</f>
        <v>12.6</v>
      </c>
      <c r="BJ31" s="231" t="str">
        <f>IFERROR(__xludf.DUMMYFUNCTION("""COMPUTED_VALUE"""),"")</f>
        <v/>
      </c>
      <c r="BK31" s="232" t="str">
        <f>IFERROR(__xludf.DUMMYFUNCTION("""COMPUTED_VALUE"""),"")</f>
        <v/>
      </c>
      <c r="BL31" s="233" t="str">
        <f>IFERROR(__xludf.DUMMYFUNCTION("""COMPUTED_VALUE"""),"")</f>
        <v/>
      </c>
      <c r="BM31" s="231" t="str">
        <f>IFERROR(__xludf.DUMMYFUNCTION("""COMPUTED_VALUE"""),"")</f>
        <v/>
      </c>
      <c r="BN31" s="232" t="str">
        <f>IFERROR(__xludf.DUMMYFUNCTION("""COMPUTED_VALUE"""),"")</f>
        <v/>
      </c>
      <c r="BO31" s="233" t="str">
        <f>IFERROR(__xludf.DUMMYFUNCTION("""COMPUTED_VALUE"""),"")</f>
        <v/>
      </c>
      <c r="BP31" s="231">
        <f>IFERROR(__xludf.DUMMYFUNCTION("""COMPUTED_VALUE"""),136.2)</f>
        <v>136.2</v>
      </c>
      <c r="BQ31" s="232" t="str">
        <f>IFERROR(__xludf.DUMMYFUNCTION("""COMPUTED_VALUE"""),"")</f>
        <v/>
      </c>
      <c r="BR31" s="233" t="str">
        <f>IFERROR(__xludf.DUMMYFUNCTION("""COMPUTED_VALUE"""),"")</f>
        <v/>
      </c>
      <c r="BS31" s="231" t="str">
        <f>IFERROR(__xludf.DUMMYFUNCTION("""COMPUTED_VALUE"""),"")</f>
        <v/>
      </c>
      <c r="BT31" s="232" t="str">
        <f>IFERROR(__xludf.DUMMYFUNCTION("""COMPUTED_VALUE"""),"")</f>
        <v/>
      </c>
      <c r="BU31" s="233" t="str">
        <f>IFERROR(__xludf.DUMMYFUNCTION("""COMPUTED_VALUE"""),"")</f>
        <v/>
      </c>
      <c r="BV31" s="231" t="str">
        <f>IFERROR(__xludf.DUMMYFUNCTION("""COMPUTED_VALUE"""),"")</f>
        <v/>
      </c>
      <c r="BW31" s="232">
        <f>IFERROR(__xludf.DUMMYFUNCTION("""COMPUTED_VALUE"""),16.4)</f>
        <v>16.4</v>
      </c>
      <c r="BX31" s="233" t="str">
        <f>IFERROR(__xludf.DUMMYFUNCTION("""COMPUTED_VALUE"""),"")</f>
        <v/>
      </c>
      <c r="BY31" s="231" t="str">
        <f>IFERROR(__xludf.DUMMYFUNCTION("""COMPUTED_VALUE"""),"")</f>
        <v/>
      </c>
      <c r="BZ31" s="232" t="str">
        <f>IFERROR(__xludf.DUMMYFUNCTION("""COMPUTED_VALUE"""),"")</f>
        <v/>
      </c>
      <c r="CA31" s="233" t="str">
        <f>IFERROR(__xludf.DUMMYFUNCTION("""COMPUTED_VALUE"""),"")</f>
        <v/>
      </c>
      <c r="CB31" s="231" t="str">
        <f>IFERROR(__xludf.DUMMYFUNCTION("""COMPUTED_VALUE"""),"")</f>
        <v/>
      </c>
      <c r="CC31" s="232" t="str">
        <f>IFERROR(__xludf.DUMMYFUNCTION("""COMPUTED_VALUE"""),"")</f>
        <v/>
      </c>
      <c r="CD31" s="233">
        <f>IFERROR(__xludf.DUMMYFUNCTION("""COMPUTED_VALUE"""),39.4)</f>
        <v>39.4</v>
      </c>
      <c r="CE31" s="234" t="str">
        <f>IFERROR(__xludf.DUMMYFUNCTION("""COMPUTED_VALUE"""),"")</f>
        <v/>
      </c>
      <c r="CF31" s="230" t="str">
        <f>IFERROR(__xludf.DUMMYFUNCTION("""COMPUTED_VALUE"""),"")</f>
        <v/>
      </c>
      <c r="CG31" s="235" t="str">
        <f>IFERROR(__xludf.DUMMYFUNCTION("""COMPUTED_VALUE"""),"")</f>
        <v/>
      </c>
      <c r="CH31" s="234" t="str">
        <f>IFERROR(__xludf.DUMMYFUNCTION("""COMPUTED_VALUE"""),"")</f>
        <v/>
      </c>
      <c r="CI31" s="230" t="str">
        <f>IFERROR(__xludf.DUMMYFUNCTION("""COMPUTED_VALUE"""),"")</f>
        <v/>
      </c>
      <c r="CJ31" s="235" t="str">
        <f>IFERROR(__xludf.DUMMYFUNCTION("""COMPUTED_VALUE"""),"")</f>
        <v/>
      </c>
      <c r="CK31" s="95">
        <f>IFERROR(__xludf.DUMMYFUNCTION("""COMPUTED_VALUE"""),103.3)</f>
        <v>103.3</v>
      </c>
      <c r="CL31" s="96" t="str">
        <f>IFERROR(__xludf.DUMMYFUNCTION("""COMPUTED_VALUE"""),"")</f>
        <v/>
      </c>
      <c r="CM31" s="97" t="str">
        <f>IFERROR(__xludf.DUMMYFUNCTION("""COMPUTED_VALUE"""),"")</f>
        <v/>
      </c>
      <c r="CN31" s="95" t="str">
        <f>IFERROR(__xludf.DUMMYFUNCTION("""COMPUTED_VALUE"""),"")</f>
        <v/>
      </c>
      <c r="CO31" s="96" t="str">
        <f>IFERROR(__xludf.DUMMYFUNCTION("""COMPUTED_VALUE"""),"")</f>
        <v/>
      </c>
      <c r="CP31" s="97" t="str">
        <f>IFERROR(__xludf.DUMMYFUNCTION("""COMPUTED_VALUE"""),"")</f>
        <v/>
      </c>
      <c r="CQ31" s="95" t="str">
        <f>IFERROR(__xludf.DUMMYFUNCTION("""COMPUTED_VALUE"""),"")</f>
        <v/>
      </c>
      <c r="CR31" s="96" t="str">
        <f>IFERROR(__xludf.DUMMYFUNCTION("""COMPUTED_VALUE"""),"")</f>
        <v/>
      </c>
      <c r="CS31" s="97" t="str">
        <f>IFERROR(__xludf.DUMMYFUNCTION("""COMPUTED_VALUE"""),"#REF!")</f>
        <v>#REF!</v>
      </c>
      <c r="CT31" s="95" t="str">
        <f>IFERROR(__xludf.DUMMYFUNCTION("""COMPUTED_VALUE"""),"#REF!")</f>
        <v>#REF!</v>
      </c>
      <c r="CU31" s="96" t="str">
        <f>IFERROR(__xludf.DUMMYFUNCTION("""COMPUTED_VALUE"""),"#REF!")</f>
        <v>#REF!</v>
      </c>
      <c r="CV31" s="97" t="str">
        <f>IFERROR(__xludf.DUMMYFUNCTION("""COMPUTED_VALUE"""),"#REF!")</f>
        <v>#REF!</v>
      </c>
      <c r="CW31" s="95" t="str">
        <f>IFERROR(__xludf.DUMMYFUNCTION("""COMPUTED_VALUE"""),"#REF!")</f>
        <v>#REF!</v>
      </c>
      <c r="CX31" s="96" t="str">
        <f>IFERROR(__xludf.DUMMYFUNCTION("""COMPUTED_VALUE"""),"#REF!")</f>
        <v>#REF!</v>
      </c>
      <c r="CY31" s="97" t="str">
        <f>IFERROR(__xludf.DUMMYFUNCTION("""COMPUTED_VALUE"""),"#REF!")</f>
        <v>#REF!</v>
      </c>
      <c r="CZ31" s="95" t="str">
        <f>IFERROR(__xludf.DUMMYFUNCTION("""COMPUTED_VALUE"""),"#REF!")</f>
        <v>#REF!</v>
      </c>
      <c r="DA31" s="96" t="str">
        <f>IFERROR(__xludf.DUMMYFUNCTION("""COMPUTED_VALUE"""),"#REF!")</f>
        <v>#REF!</v>
      </c>
      <c r="DB31" s="97" t="str">
        <f>IFERROR(__xludf.DUMMYFUNCTION("""COMPUTED_VALUE"""),"#REF!")</f>
        <v>#REF!</v>
      </c>
      <c r="DC31" s="95" t="str">
        <f>IFERROR(__xludf.DUMMYFUNCTION("""COMPUTED_VALUE"""),"#REF!")</f>
        <v>#REF!</v>
      </c>
      <c r="DD31" s="96" t="str">
        <f>IFERROR(__xludf.DUMMYFUNCTION("""COMPUTED_VALUE"""),"#REF!")</f>
        <v>#REF!</v>
      </c>
      <c r="DE31" s="97" t="str">
        <f>IFERROR(__xludf.DUMMYFUNCTION("""COMPUTED_VALUE"""),"#REF!")</f>
        <v>#REF!</v>
      </c>
      <c r="DF31" s="95" t="str">
        <f>IFERROR(__xludf.DUMMYFUNCTION("""COMPUTED_VALUE"""),"#REF!")</f>
        <v>#REF!</v>
      </c>
      <c r="DG31" s="96" t="str">
        <f>IFERROR(__xludf.DUMMYFUNCTION("""COMPUTED_VALUE"""),"#REF!")</f>
        <v>#REF!</v>
      </c>
      <c r="DH31" s="97" t="str">
        <f>IFERROR(__xludf.DUMMYFUNCTION("""COMPUTED_VALUE"""),"#REF!")</f>
        <v>#REF!</v>
      </c>
      <c r="DI31" s="95" t="str">
        <f>IFERROR(__xludf.DUMMYFUNCTION("""COMPUTED_VALUE"""),"#REF!")</f>
        <v>#REF!</v>
      </c>
      <c r="DJ31" s="96" t="str">
        <f>IFERROR(__xludf.DUMMYFUNCTION("""COMPUTED_VALUE"""),"#REF!")</f>
        <v>#REF!</v>
      </c>
      <c r="DK31" s="97" t="str">
        <f>IFERROR(__xludf.DUMMYFUNCTION("""COMPUTED_VALUE"""),"#REF!")</f>
        <v>#REF!</v>
      </c>
      <c r="DL31" s="95" t="str">
        <f>IFERROR(__xludf.DUMMYFUNCTION("""COMPUTED_VALUE"""),"#REF!")</f>
        <v>#REF!</v>
      </c>
      <c r="DM31" s="96" t="str">
        <f>IFERROR(__xludf.DUMMYFUNCTION("""COMPUTED_VALUE"""),"#REF!")</f>
        <v>#REF!</v>
      </c>
      <c r="DN31" s="97" t="str">
        <f>IFERROR(__xludf.DUMMYFUNCTION("""COMPUTED_VALUE"""),"#REF!")</f>
        <v>#REF!</v>
      </c>
      <c r="DO31" s="95" t="str">
        <f>IFERROR(__xludf.DUMMYFUNCTION("""COMPUTED_VALUE"""),"#REF!")</f>
        <v>#REF!</v>
      </c>
      <c r="DP31" s="96" t="str">
        <f>IFERROR(__xludf.DUMMYFUNCTION("""COMPUTED_VALUE"""),"#REF!")</f>
        <v>#REF!</v>
      </c>
      <c r="DQ31" s="97"/>
      <c r="DR31" s="95"/>
    </row>
    <row r="32">
      <c r="B32" s="83" t="str">
        <f>IFERROR(__xludf.DUMMYFUNCTION("""COMPUTED_VALUE"""),"TRF12")</f>
        <v>TRF12</v>
      </c>
      <c r="C32" s="82">
        <f>IFERROR(__xludf.DUMMYFUNCTION("""COMPUTED_VALUE"""),12.0)</f>
        <v>12</v>
      </c>
      <c r="D32" s="88" t="str">
        <f>IFERROR(__xludf.DUMMYFUNCTION("""COMPUTED_VALUE"""),"WED Berserker Training Ground- Exp")</f>
        <v>WED Berserker Training Ground- Exp</v>
      </c>
      <c r="E32" s="82" t="str">
        <f>IFERROR(__xludf.DUMMYFUNCTION("""COMPUTED_VALUE"""),"狂超級")</f>
        <v>狂超級</v>
      </c>
      <c r="F32" s="102">
        <f>IFERROR(__xludf.DUMMYFUNCTION("""COMPUTED_VALUE"""),40.0)</f>
        <v>40</v>
      </c>
      <c r="G32" s="82">
        <f>IFERROR(__xludf.DUMMYFUNCTION("""COMPUTED_VALUE"""),3145.0)</f>
        <v>3145</v>
      </c>
      <c r="H32" s="231">
        <f>IFERROR(__xludf.DUMMYFUNCTION("""COMPUTED_VALUE"""),8.2)</f>
        <v>8.2</v>
      </c>
      <c r="I32" s="232" t="str">
        <f>IFERROR(__xludf.DUMMYFUNCTION("""COMPUTED_VALUE"""),"")</f>
        <v/>
      </c>
      <c r="J32" s="233" t="str">
        <f>IFERROR(__xludf.DUMMYFUNCTION("""COMPUTED_VALUE"""),"")</f>
        <v/>
      </c>
      <c r="K32" s="231" t="str">
        <f>IFERROR(__xludf.DUMMYFUNCTION("""COMPUTED_VALUE"""),"")</f>
        <v/>
      </c>
      <c r="L32" s="232" t="str">
        <f>IFERROR(__xludf.DUMMYFUNCTION("""COMPUTED_VALUE"""),"")</f>
        <v/>
      </c>
      <c r="M32" s="233" t="str">
        <f>IFERROR(__xludf.DUMMYFUNCTION("""COMPUTED_VALUE"""),"")</f>
        <v/>
      </c>
      <c r="N32" s="231" t="str">
        <f>IFERROR(__xludf.DUMMYFUNCTION("""COMPUTED_VALUE"""),"")</f>
        <v/>
      </c>
      <c r="O32" s="232" t="str">
        <f>IFERROR(__xludf.DUMMYFUNCTION("""COMPUTED_VALUE"""),"")</f>
        <v/>
      </c>
      <c r="P32" s="233" t="str">
        <f>IFERROR(__xludf.DUMMYFUNCTION("""COMPUTED_VALUE"""),"")</f>
        <v/>
      </c>
      <c r="Q32" s="231" t="str">
        <f>IFERROR(__xludf.DUMMYFUNCTION("""COMPUTED_VALUE"""),"")</f>
        <v/>
      </c>
      <c r="R32" s="232" t="str">
        <f>IFERROR(__xludf.DUMMYFUNCTION("""COMPUTED_VALUE"""),"")</f>
        <v/>
      </c>
      <c r="S32" s="233" t="str">
        <f>IFERROR(__xludf.DUMMYFUNCTION("""COMPUTED_VALUE"""),"")</f>
        <v/>
      </c>
      <c r="T32" s="231" t="str">
        <f>IFERROR(__xludf.DUMMYFUNCTION("""COMPUTED_VALUE"""),"")</f>
        <v/>
      </c>
      <c r="U32" s="232" t="str">
        <f>IFERROR(__xludf.DUMMYFUNCTION("""COMPUTED_VALUE"""),"")</f>
        <v/>
      </c>
      <c r="V32" s="233" t="str">
        <f>IFERROR(__xludf.DUMMYFUNCTION("""COMPUTED_VALUE"""),"")</f>
        <v/>
      </c>
      <c r="W32" s="231" t="str">
        <f>IFERROR(__xludf.DUMMYFUNCTION("""COMPUTED_VALUE"""),"")</f>
        <v/>
      </c>
      <c r="X32" s="232" t="str">
        <f>IFERROR(__xludf.DUMMYFUNCTION("""COMPUTED_VALUE"""),"")</f>
        <v/>
      </c>
      <c r="Y32" s="233" t="str">
        <f>IFERROR(__xludf.DUMMYFUNCTION("""COMPUTED_VALUE"""),"")</f>
        <v/>
      </c>
      <c r="Z32" s="231" t="str">
        <f>IFERROR(__xludf.DUMMYFUNCTION("""COMPUTED_VALUE"""),"")</f>
        <v/>
      </c>
      <c r="AA32" s="232" t="str">
        <f>IFERROR(__xludf.DUMMYFUNCTION("""COMPUTED_VALUE"""),"")</f>
        <v/>
      </c>
      <c r="AB32" s="233">
        <f>IFERROR(__xludf.DUMMYFUNCTION("""COMPUTED_VALUE"""),15.7)</f>
        <v>15.7</v>
      </c>
      <c r="AC32" s="231" t="str">
        <f>IFERROR(__xludf.DUMMYFUNCTION("""COMPUTED_VALUE"""),"")</f>
        <v/>
      </c>
      <c r="AD32" s="232" t="str">
        <f>IFERROR(__xludf.DUMMYFUNCTION("""COMPUTED_VALUE"""),"")</f>
        <v/>
      </c>
      <c r="AE32" s="233" t="str">
        <f>IFERROR(__xludf.DUMMYFUNCTION("""COMPUTED_VALUE"""),"")</f>
        <v/>
      </c>
      <c r="AF32" s="231" t="str">
        <f>IFERROR(__xludf.DUMMYFUNCTION("""COMPUTED_VALUE"""),"")</f>
        <v/>
      </c>
      <c r="AG32" s="232" t="str">
        <f>IFERROR(__xludf.DUMMYFUNCTION("""COMPUTED_VALUE"""),"")</f>
        <v/>
      </c>
      <c r="AH32" s="233" t="str">
        <f>IFERROR(__xludf.DUMMYFUNCTION("""COMPUTED_VALUE"""),"")</f>
        <v/>
      </c>
      <c r="AI32" s="231" t="str">
        <f>IFERROR(__xludf.DUMMYFUNCTION("""COMPUTED_VALUE"""),"")</f>
        <v/>
      </c>
      <c r="AJ32" s="232" t="str">
        <f>IFERROR(__xludf.DUMMYFUNCTION("""COMPUTED_VALUE"""),"")</f>
        <v/>
      </c>
      <c r="AK32" s="233" t="str">
        <f>IFERROR(__xludf.DUMMYFUNCTION("""COMPUTED_VALUE"""),"")</f>
        <v/>
      </c>
      <c r="AL32" s="231" t="str">
        <f>IFERROR(__xludf.DUMMYFUNCTION("""COMPUTED_VALUE"""),"")</f>
        <v/>
      </c>
      <c r="AM32" s="232" t="str">
        <f>IFERROR(__xludf.DUMMYFUNCTION("""COMPUTED_VALUE"""),"")</f>
        <v/>
      </c>
      <c r="AN32" s="233" t="str">
        <f>IFERROR(__xludf.DUMMYFUNCTION("""COMPUTED_VALUE"""),"")</f>
        <v/>
      </c>
      <c r="AO32" s="231" t="str">
        <f>IFERROR(__xludf.DUMMYFUNCTION("""COMPUTED_VALUE"""),"")</f>
        <v/>
      </c>
      <c r="AP32" s="232" t="str">
        <f>IFERROR(__xludf.DUMMYFUNCTION("""COMPUTED_VALUE"""),"")</f>
        <v/>
      </c>
      <c r="AQ32" s="233" t="str">
        <f>IFERROR(__xludf.DUMMYFUNCTION("""COMPUTED_VALUE"""),"")</f>
        <v/>
      </c>
      <c r="AR32" s="231" t="str">
        <f>IFERROR(__xludf.DUMMYFUNCTION("""COMPUTED_VALUE"""),"")</f>
        <v/>
      </c>
      <c r="AS32" s="232" t="str">
        <f>IFERROR(__xludf.DUMMYFUNCTION("""COMPUTED_VALUE"""),"")</f>
        <v/>
      </c>
      <c r="AT32" s="233">
        <f>IFERROR(__xludf.DUMMYFUNCTION("""COMPUTED_VALUE"""),23.6)</f>
        <v>23.6</v>
      </c>
      <c r="AU32" s="231" t="str">
        <f>IFERROR(__xludf.DUMMYFUNCTION("""COMPUTED_VALUE"""),"")</f>
        <v/>
      </c>
      <c r="AV32" s="232" t="str">
        <f>IFERROR(__xludf.DUMMYFUNCTION("""COMPUTED_VALUE"""),"")</f>
        <v/>
      </c>
      <c r="AW32" s="233">
        <f>IFERROR(__xludf.DUMMYFUNCTION("""COMPUTED_VALUE"""),23.1)</f>
        <v>23.1</v>
      </c>
      <c r="AX32" s="231" t="str">
        <f>IFERROR(__xludf.DUMMYFUNCTION("""COMPUTED_VALUE"""),"")</f>
        <v/>
      </c>
      <c r="AY32" s="232" t="str">
        <f>IFERROR(__xludf.DUMMYFUNCTION("""COMPUTED_VALUE"""),"")</f>
        <v/>
      </c>
      <c r="AZ32" s="233" t="str">
        <f>IFERROR(__xludf.DUMMYFUNCTION("""COMPUTED_VALUE"""),"")</f>
        <v/>
      </c>
      <c r="BA32" s="231" t="str">
        <f>IFERROR(__xludf.DUMMYFUNCTION("""COMPUTED_VALUE"""),"")</f>
        <v/>
      </c>
      <c r="BB32" s="232" t="str">
        <f>IFERROR(__xludf.DUMMYFUNCTION("""COMPUTED_VALUE"""),"")</f>
        <v/>
      </c>
      <c r="BC32" s="233" t="str">
        <f>IFERROR(__xludf.DUMMYFUNCTION("""COMPUTED_VALUE"""),"")</f>
        <v/>
      </c>
      <c r="BD32" s="231" t="str">
        <f>IFERROR(__xludf.DUMMYFUNCTION("""COMPUTED_VALUE"""),"")</f>
        <v/>
      </c>
      <c r="BE32" s="232" t="str">
        <f>IFERROR(__xludf.DUMMYFUNCTION("""COMPUTED_VALUE"""),"")</f>
        <v/>
      </c>
      <c r="BF32" s="233" t="str">
        <f>IFERROR(__xludf.DUMMYFUNCTION("""COMPUTED_VALUE"""),"")</f>
        <v/>
      </c>
      <c r="BG32" s="231" t="str">
        <f>IFERROR(__xludf.DUMMYFUNCTION("""COMPUTED_VALUE"""),"")</f>
        <v/>
      </c>
      <c r="BH32" s="232" t="str">
        <f>IFERROR(__xludf.DUMMYFUNCTION("""COMPUTED_VALUE"""),"")</f>
        <v/>
      </c>
      <c r="BI32" s="233">
        <f>IFERROR(__xludf.DUMMYFUNCTION("""COMPUTED_VALUE"""),24.0)</f>
        <v>24</v>
      </c>
      <c r="BJ32" s="231" t="str">
        <f>IFERROR(__xludf.DUMMYFUNCTION("""COMPUTED_VALUE"""),"")</f>
        <v/>
      </c>
      <c r="BK32" s="232" t="str">
        <f>IFERROR(__xludf.DUMMYFUNCTION("""COMPUTED_VALUE"""),"")</f>
        <v/>
      </c>
      <c r="BL32" s="233" t="str">
        <f>IFERROR(__xludf.DUMMYFUNCTION("""COMPUTED_VALUE"""),"")</f>
        <v/>
      </c>
      <c r="BM32" s="231" t="str">
        <f>IFERROR(__xludf.DUMMYFUNCTION("""COMPUTED_VALUE"""),"")</f>
        <v/>
      </c>
      <c r="BN32" s="232" t="str">
        <f>IFERROR(__xludf.DUMMYFUNCTION("""COMPUTED_VALUE"""),"")</f>
        <v/>
      </c>
      <c r="BO32" s="233" t="str">
        <f>IFERROR(__xludf.DUMMYFUNCTION("""COMPUTED_VALUE"""),"")</f>
        <v/>
      </c>
      <c r="BP32" s="231">
        <f>IFERROR(__xludf.DUMMYFUNCTION("""COMPUTED_VALUE"""),112.7)</f>
        <v>112.7</v>
      </c>
      <c r="BQ32" s="232" t="str">
        <f>IFERROR(__xludf.DUMMYFUNCTION("""COMPUTED_VALUE"""),"")</f>
        <v/>
      </c>
      <c r="BR32" s="233" t="str">
        <f>IFERROR(__xludf.DUMMYFUNCTION("""COMPUTED_VALUE"""),"")</f>
        <v/>
      </c>
      <c r="BS32" s="231" t="str">
        <f>IFERROR(__xludf.DUMMYFUNCTION("""COMPUTED_VALUE"""),"")</f>
        <v/>
      </c>
      <c r="BT32" s="232" t="str">
        <f>IFERROR(__xludf.DUMMYFUNCTION("""COMPUTED_VALUE"""),"")</f>
        <v/>
      </c>
      <c r="BU32" s="233" t="str">
        <f>IFERROR(__xludf.DUMMYFUNCTION("""COMPUTED_VALUE"""),"")</f>
        <v/>
      </c>
      <c r="BV32" s="231" t="str">
        <f>IFERROR(__xludf.DUMMYFUNCTION("""COMPUTED_VALUE"""),"")</f>
        <v/>
      </c>
      <c r="BW32" s="232">
        <f>IFERROR(__xludf.DUMMYFUNCTION("""COMPUTED_VALUE"""),16.6)</f>
        <v>16.6</v>
      </c>
      <c r="BX32" s="233" t="str">
        <f>IFERROR(__xludf.DUMMYFUNCTION("""COMPUTED_VALUE"""),"")</f>
        <v/>
      </c>
      <c r="BY32" s="231" t="str">
        <f>IFERROR(__xludf.DUMMYFUNCTION("""COMPUTED_VALUE"""),"")</f>
        <v/>
      </c>
      <c r="BZ32" s="232" t="str">
        <f>IFERROR(__xludf.DUMMYFUNCTION("""COMPUTED_VALUE"""),"")</f>
        <v/>
      </c>
      <c r="CA32" s="233" t="str">
        <f>IFERROR(__xludf.DUMMYFUNCTION("""COMPUTED_VALUE"""),"")</f>
        <v/>
      </c>
      <c r="CB32" s="231" t="str">
        <f>IFERROR(__xludf.DUMMYFUNCTION("""COMPUTED_VALUE"""),"")</f>
        <v/>
      </c>
      <c r="CC32" s="232" t="str">
        <f>IFERROR(__xludf.DUMMYFUNCTION("""COMPUTED_VALUE"""),"")</f>
        <v/>
      </c>
      <c r="CD32" s="233">
        <f>IFERROR(__xludf.DUMMYFUNCTION("""COMPUTED_VALUE"""),55.3)</f>
        <v>55.3</v>
      </c>
      <c r="CE32" s="234" t="str">
        <f>IFERROR(__xludf.DUMMYFUNCTION("""COMPUTED_VALUE"""),"")</f>
        <v/>
      </c>
      <c r="CF32" s="230" t="str">
        <f>IFERROR(__xludf.DUMMYFUNCTION("""COMPUTED_VALUE"""),"")</f>
        <v/>
      </c>
      <c r="CG32" s="235" t="str">
        <f>IFERROR(__xludf.DUMMYFUNCTION("""COMPUTED_VALUE"""),"")</f>
        <v/>
      </c>
      <c r="CH32" s="234" t="str">
        <f>IFERROR(__xludf.DUMMYFUNCTION("""COMPUTED_VALUE"""),"")</f>
        <v/>
      </c>
      <c r="CI32" s="230" t="str">
        <f>IFERROR(__xludf.DUMMYFUNCTION("""COMPUTED_VALUE"""),"")</f>
        <v/>
      </c>
      <c r="CJ32" s="235" t="str">
        <f>IFERROR(__xludf.DUMMYFUNCTION("""COMPUTED_VALUE"""),"")</f>
        <v/>
      </c>
      <c r="CK32" s="95">
        <f>IFERROR(__xludf.DUMMYFUNCTION("""COMPUTED_VALUE"""),86.2)</f>
        <v>86.2</v>
      </c>
      <c r="CL32" s="96" t="str">
        <f>IFERROR(__xludf.DUMMYFUNCTION("""COMPUTED_VALUE"""),"")</f>
        <v/>
      </c>
      <c r="CM32" s="97" t="str">
        <f>IFERROR(__xludf.DUMMYFUNCTION("""COMPUTED_VALUE"""),"")</f>
        <v/>
      </c>
      <c r="CN32" s="95" t="str">
        <f>IFERROR(__xludf.DUMMYFUNCTION("""COMPUTED_VALUE"""),"")</f>
        <v/>
      </c>
      <c r="CO32" s="96" t="str">
        <f>IFERROR(__xludf.DUMMYFUNCTION("""COMPUTED_VALUE"""),"")</f>
        <v/>
      </c>
      <c r="CP32" s="97" t="str">
        <f>IFERROR(__xludf.DUMMYFUNCTION("""COMPUTED_VALUE"""),"")</f>
        <v/>
      </c>
      <c r="CQ32" s="95" t="str">
        <f>IFERROR(__xludf.DUMMYFUNCTION("""COMPUTED_VALUE"""),"")</f>
        <v/>
      </c>
      <c r="CR32" s="96" t="str">
        <f>IFERROR(__xludf.DUMMYFUNCTION("""COMPUTED_VALUE"""),"")</f>
        <v/>
      </c>
      <c r="CS32" s="97" t="str">
        <f>IFERROR(__xludf.DUMMYFUNCTION("""COMPUTED_VALUE"""),"#REF!")</f>
        <v>#REF!</v>
      </c>
      <c r="CT32" s="95" t="str">
        <f>IFERROR(__xludf.DUMMYFUNCTION("""COMPUTED_VALUE"""),"#REF!")</f>
        <v>#REF!</v>
      </c>
      <c r="CU32" s="96" t="str">
        <f>IFERROR(__xludf.DUMMYFUNCTION("""COMPUTED_VALUE"""),"#REF!")</f>
        <v>#REF!</v>
      </c>
      <c r="CV32" s="97" t="str">
        <f>IFERROR(__xludf.DUMMYFUNCTION("""COMPUTED_VALUE"""),"#REF!")</f>
        <v>#REF!</v>
      </c>
      <c r="CW32" s="95" t="str">
        <f>IFERROR(__xludf.DUMMYFUNCTION("""COMPUTED_VALUE"""),"#REF!")</f>
        <v>#REF!</v>
      </c>
      <c r="CX32" s="96" t="str">
        <f>IFERROR(__xludf.DUMMYFUNCTION("""COMPUTED_VALUE"""),"#REF!")</f>
        <v>#REF!</v>
      </c>
      <c r="CY32" s="97" t="str">
        <f>IFERROR(__xludf.DUMMYFUNCTION("""COMPUTED_VALUE"""),"#REF!")</f>
        <v>#REF!</v>
      </c>
      <c r="CZ32" s="95" t="str">
        <f>IFERROR(__xludf.DUMMYFUNCTION("""COMPUTED_VALUE"""),"#REF!")</f>
        <v>#REF!</v>
      </c>
      <c r="DA32" s="96" t="str">
        <f>IFERROR(__xludf.DUMMYFUNCTION("""COMPUTED_VALUE"""),"#REF!")</f>
        <v>#REF!</v>
      </c>
      <c r="DB32" s="97" t="str">
        <f>IFERROR(__xludf.DUMMYFUNCTION("""COMPUTED_VALUE"""),"#REF!")</f>
        <v>#REF!</v>
      </c>
      <c r="DC32" s="95" t="str">
        <f>IFERROR(__xludf.DUMMYFUNCTION("""COMPUTED_VALUE"""),"#REF!")</f>
        <v>#REF!</v>
      </c>
      <c r="DD32" s="96" t="str">
        <f>IFERROR(__xludf.DUMMYFUNCTION("""COMPUTED_VALUE"""),"#REF!")</f>
        <v>#REF!</v>
      </c>
      <c r="DE32" s="97" t="str">
        <f>IFERROR(__xludf.DUMMYFUNCTION("""COMPUTED_VALUE"""),"#REF!")</f>
        <v>#REF!</v>
      </c>
      <c r="DF32" s="95" t="str">
        <f>IFERROR(__xludf.DUMMYFUNCTION("""COMPUTED_VALUE"""),"#REF!")</f>
        <v>#REF!</v>
      </c>
      <c r="DG32" s="96" t="str">
        <f>IFERROR(__xludf.DUMMYFUNCTION("""COMPUTED_VALUE"""),"#REF!")</f>
        <v>#REF!</v>
      </c>
      <c r="DH32" s="97" t="str">
        <f>IFERROR(__xludf.DUMMYFUNCTION("""COMPUTED_VALUE"""),"#REF!")</f>
        <v>#REF!</v>
      </c>
      <c r="DI32" s="95" t="str">
        <f>IFERROR(__xludf.DUMMYFUNCTION("""COMPUTED_VALUE"""),"#REF!")</f>
        <v>#REF!</v>
      </c>
      <c r="DJ32" s="96" t="str">
        <f>IFERROR(__xludf.DUMMYFUNCTION("""COMPUTED_VALUE"""),"#REF!")</f>
        <v>#REF!</v>
      </c>
      <c r="DK32" s="97" t="str">
        <f>IFERROR(__xludf.DUMMYFUNCTION("""COMPUTED_VALUE"""),"#REF!")</f>
        <v>#REF!</v>
      </c>
      <c r="DL32" s="95" t="str">
        <f>IFERROR(__xludf.DUMMYFUNCTION("""COMPUTED_VALUE"""),"#REF!")</f>
        <v>#REF!</v>
      </c>
      <c r="DM32" s="96" t="str">
        <f>IFERROR(__xludf.DUMMYFUNCTION("""COMPUTED_VALUE"""),"#REF!")</f>
        <v>#REF!</v>
      </c>
      <c r="DN32" s="97" t="str">
        <f>IFERROR(__xludf.DUMMYFUNCTION("""COMPUTED_VALUE"""),"#REF!")</f>
        <v>#REF!</v>
      </c>
      <c r="DO32" s="95" t="str">
        <f>IFERROR(__xludf.DUMMYFUNCTION("""COMPUTED_VALUE"""),"#REF!")</f>
        <v>#REF!</v>
      </c>
      <c r="DP32" s="96" t="str">
        <f>IFERROR(__xludf.DUMMYFUNCTION("""COMPUTED_VALUE"""),"#REF!")</f>
        <v>#REF!</v>
      </c>
      <c r="DQ32" s="97"/>
      <c r="DR32" s="95"/>
    </row>
    <row r="33">
      <c r="B33" s="83" t="str">
        <f>IFERROR(__xludf.DUMMYFUNCTION("""COMPUTED_VALUE"""),"TRF13")</f>
        <v>TRF13</v>
      </c>
      <c r="C33" s="82">
        <f>IFERROR(__xludf.DUMMYFUNCTION("""COMPUTED_VALUE"""),19.0)</f>
        <v>19</v>
      </c>
      <c r="D33" s="88" t="str">
        <f>IFERROR(__xludf.DUMMYFUNCTION("""COMPUTED_VALUE"""),"THU Rider Training Ground- Nov")</f>
        <v>THU Rider Training Ground- Nov</v>
      </c>
      <c r="E33" s="82" t="str">
        <f>IFERROR(__xludf.DUMMYFUNCTION("""COMPUTED_VALUE"""),"騎初級")</f>
        <v>騎初級</v>
      </c>
      <c r="F33" s="102">
        <f>IFERROR(__xludf.DUMMYFUNCTION("""COMPUTED_VALUE"""),10.0)</f>
        <v>10</v>
      </c>
      <c r="G33" s="82">
        <f>IFERROR(__xludf.DUMMYFUNCTION("""COMPUTED_VALUE"""),1000.0)</f>
        <v>1000</v>
      </c>
      <c r="H33" s="231" t="str">
        <f>IFERROR(__xludf.DUMMYFUNCTION("""COMPUTED_VALUE"""),"")</f>
        <v/>
      </c>
      <c r="I33" s="232" t="str">
        <f>IFERROR(__xludf.DUMMYFUNCTION("""COMPUTED_VALUE"""),"")</f>
        <v/>
      </c>
      <c r="J33" s="233" t="str">
        <f>IFERROR(__xludf.DUMMYFUNCTION("""COMPUTED_VALUE"""),"")</f>
        <v/>
      </c>
      <c r="K33" s="231" t="str">
        <f>IFERROR(__xludf.DUMMYFUNCTION("""COMPUTED_VALUE"""),"")</f>
        <v/>
      </c>
      <c r="L33" s="232" t="str">
        <f>IFERROR(__xludf.DUMMYFUNCTION("""COMPUTED_VALUE"""),"")</f>
        <v/>
      </c>
      <c r="M33" s="233" t="str">
        <f>IFERROR(__xludf.DUMMYFUNCTION("""COMPUTED_VALUE"""),"")</f>
        <v/>
      </c>
      <c r="N33" s="231" t="str">
        <f>IFERROR(__xludf.DUMMYFUNCTION("""COMPUTED_VALUE"""),"")</f>
        <v/>
      </c>
      <c r="O33" s="232" t="str">
        <f>IFERROR(__xludf.DUMMYFUNCTION("""COMPUTED_VALUE"""),"")</f>
        <v/>
      </c>
      <c r="P33" s="233" t="str">
        <f>IFERROR(__xludf.DUMMYFUNCTION("""COMPUTED_VALUE"""),"")</f>
        <v/>
      </c>
      <c r="Q33" s="231" t="str">
        <f>IFERROR(__xludf.DUMMYFUNCTION("""COMPUTED_VALUE"""),"")</f>
        <v/>
      </c>
      <c r="R33" s="232" t="str">
        <f>IFERROR(__xludf.DUMMYFUNCTION("""COMPUTED_VALUE"""),"")</f>
        <v/>
      </c>
      <c r="S33" s="233" t="str">
        <f>IFERROR(__xludf.DUMMYFUNCTION("""COMPUTED_VALUE"""),"")</f>
        <v/>
      </c>
      <c r="T33" s="231" t="str">
        <f>IFERROR(__xludf.DUMMYFUNCTION("""COMPUTED_VALUE"""),"")</f>
        <v/>
      </c>
      <c r="U33" s="232" t="str">
        <f>IFERROR(__xludf.DUMMYFUNCTION("""COMPUTED_VALUE"""),"")</f>
        <v/>
      </c>
      <c r="V33" s="233" t="str">
        <f>IFERROR(__xludf.DUMMYFUNCTION("""COMPUTED_VALUE"""),"")</f>
        <v/>
      </c>
      <c r="W33" s="231" t="str">
        <f>IFERROR(__xludf.DUMMYFUNCTION("""COMPUTED_VALUE"""),"")</f>
        <v/>
      </c>
      <c r="X33" s="232" t="str">
        <f>IFERROR(__xludf.DUMMYFUNCTION("""COMPUTED_VALUE"""),"")</f>
        <v/>
      </c>
      <c r="Y33" s="233" t="str">
        <f>IFERROR(__xludf.DUMMYFUNCTION("""COMPUTED_VALUE"""),"")</f>
        <v/>
      </c>
      <c r="Z33" s="231" t="str">
        <f>IFERROR(__xludf.DUMMYFUNCTION("""COMPUTED_VALUE"""),"")</f>
        <v/>
      </c>
      <c r="AA33" s="232" t="str">
        <f>IFERROR(__xludf.DUMMYFUNCTION("""COMPUTED_VALUE"""),"")</f>
        <v/>
      </c>
      <c r="AB33" s="233" t="str">
        <f>IFERROR(__xludf.DUMMYFUNCTION("""COMPUTED_VALUE"""),"")</f>
        <v/>
      </c>
      <c r="AC33" s="231" t="str">
        <f>IFERROR(__xludf.DUMMYFUNCTION("""COMPUTED_VALUE"""),"")</f>
        <v/>
      </c>
      <c r="AD33" s="232" t="str">
        <f>IFERROR(__xludf.DUMMYFUNCTION("""COMPUTED_VALUE"""),"")</f>
        <v/>
      </c>
      <c r="AE33" s="233" t="str">
        <f>IFERROR(__xludf.DUMMYFUNCTION("""COMPUTED_VALUE"""),"")</f>
        <v/>
      </c>
      <c r="AF33" s="231" t="str">
        <f>IFERROR(__xludf.DUMMYFUNCTION("""COMPUTED_VALUE"""),"")</f>
        <v/>
      </c>
      <c r="AG33" s="232" t="str">
        <f>IFERROR(__xludf.DUMMYFUNCTION("""COMPUTED_VALUE"""),"")</f>
        <v/>
      </c>
      <c r="AH33" s="233">
        <f>IFERROR(__xludf.DUMMYFUNCTION("""COMPUTED_VALUE"""),5.0)</f>
        <v>5</v>
      </c>
      <c r="AI33" s="231" t="str">
        <f>IFERROR(__xludf.DUMMYFUNCTION("""COMPUTED_VALUE"""),"")</f>
        <v/>
      </c>
      <c r="AJ33" s="232" t="str">
        <f>IFERROR(__xludf.DUMMYFUNCTION("""COMPUTED_VALUE"""),"")</f>
        <v/>
      </c>
      <c r="AK33" s="233" t="str">
        <f>IFERROR(__xludf.DUMMYFUNCTION("""COMPUTED_VALUE"""),"")</f>
        <v/>
      </c>
      <c r="AL33" s="231" t="str">
        <f>IFERROR(__xludf.DUMMYFUNCTION("""COMPUTED_VALUE"""),"")</f>
        <v/>
      </c>
      <c r="AM33" s="232" t="str">
        <f>IFERROR(__xludf.DUMMYFUNCTION("""COMPUTED_VALUE"""),"")</f>
        <v/>
      </c>
      <c r="AN33" s="233" t="str">
        <f>IFERROR(__xludf.DUMMYFUNCTION("""COMPUTED_VALUE"""),"")</f>
        <v/>
      </c>
      <c r="AO33" s="231" t="str">
        <f>IFERROR(__xludf.DUMMYFUNCTION("""COMPUTED_VALUE"""),"")</f>
        <v/>
      </c>
      <c r="AP33" s="232" t="str">
        <f>IFERROR(__xludf.DUMMYFUNCTION("""COMPUTED_VALUE"""),"")</f>
        <v/>
      </c>
      <c r="AQ33" s="233" t="str">
        <f>IFERROR(__xludf.DUMMYFUNCTION("""COMPUTED_VALUE"""),"")</f>
        <v/>
      </c>
      <c r="AR33" s="231" t="str">
        <f>IFERROR(__xludf.DUMMYFUNCTION("""COMPUTED_VALUE"""),"")</f>
        <v/>
      </c>
      <c r="AS33" s="232" t="str">
        <f>IFERROR(__xludf.DUMMYFUNCTION("""COMPUTED_VALUE"""),"")</f>
        <v/>
      </c>
      <c r="AT33" s="233" t="str">
        <f>IFERROR(__xludf.DUMMYFUNCTION("""COMPUTED_VALUE"""),"")</f>
        <v/>
      </c>
      <c r="AU33" s="231" t="str">
        <f>IFERROR(__xludf.DUMMYFUNCTION("""COMPUTED_VALUE"""),"")</f>
        <v/>
      </c>
      <c r="AV33" s="232">
        <f>IFERROR(__xludf.DUMMYFUNCTION("""COMPUTED_VALUE"""),16.2)</f>
        <v>16.2</v>
      </c>
      <c r="AW33" s="233">
        <f>IFERROR(__xludf.DUMMYFUNCTION("""COMPUTED_VALUE"""),3.4)</f>
        <v>3.4</v>
      </c>
      <c r="AX33" s="231" t="str">
        <f>IFERROR(__xludf.DUMMYFUNCTION("""COMPUTED_VALUE"""),"")</f>
        <v/>
      </c>
      <c r="AY33" s="232" t="str">
        <f>IFERROR(__xludf.DUMMYFUNCTION("""COMPUTED_VALUE"""),"")</f>
        <v/>
      </c>
      <c r="AZ33" s="233" t="str">
        <f>IFERROR(__xludf.DUMMYFUNCTION("""COMPUTED_VALUE"""),"")</f>
        <v/>
      </c>
      <c r="BA33" s="231" t="str">
        <f>IFERROR(__xludf.DUMMYFUNCTION("""COMPUTED_VALUE"""),"")</f>
        <v/>
      </c>
      <c r="BB33" s="232" t="str">
        <f>IFERROR(__xludf.DUMMYFUNCTION("""COMPUTED_VALUE"""),"")</f>
        <v/>
      </c>
      <c r="BC33" s="233" t="str">
        <f>IFERROR(__xludf.DUMMYFUNCTION("""COMPUTED_VALUE"""),"")</f>
        <v/>
      </c>
      <c r="BD33" s="231" t="str">
        <f>IFERROR(__xludf.DUMMYFUNCTION("""COMPUTED_VALUE"""),"")</f>
        <v/>
      </c>
      <c r="BE33" s="232" t="str">
        <f>IFERROR(__xludf.DUMMYFUNCTION("""COMPUTED_VALUE"""),"")</f>
        <v/>
      </c>
      <c r="BF33" s="233" t="str">
        <f>IFERROR(__xludf.DUMMYFUNCTION("""COMPUTED_VALUE"""),"")</f>
        <v/>
      </c>
      <c r="BG33" s="231" t="str">
        <f>IFERROR(__xludf.DUMMYFUNCTION("""COMPUTED_VALUE"""),"")</f>
        <v/>
      </c>
      <c r="BH33" s="232" t="str">
        <f>IFERROR(__xludf.DUMMYFUNCTION("""COMPUTED_VALUE"""),"")</f>
        <v/>
      </c>
      <c r="BI33" s="233" t="str">
        <f>IFERROR(__xludf.DUMMYFUNCTION("""COMPUTED_VALUE"""),"")</f>
        <v/>
      </c>
      <c r="BJ33" s="231" t="str">
        <f>IFERROR(__xludf.DUMMYFUNCTION("""COMPUTED_VALUE"""),"")</f>
        <v/>
      </c>
      <c r="BK33" s="232" t="str">
        <f>IFERROR(__xludf.DUMMYFUNCTION("""COMPUTED_VALUE"""),"")</f>
        <v/>
      </c>
      <c r="BL33" s="233" t="str">
        <f>IFERROR(__xludf.DUMMYFUNCTION("""COMPUTED_VALUE"""),"")</f>
        <v/>
      </c>
      <c r="BM33" s="231" t="str">
        <f>IFERROR(__xludf.DUMMYFUNCTION("""COMPUTED_VALUE"""),"")</f>
        <v/>
      </c>
      <c r="BN33" s="232" t="str">
        <f>IFERROR(__xludf.DUMMYFUNCTION("""COMPUTED_VALUE"""),"")</f>
        <v/>
      </c>
      <c r="BO33" s="233" t="str">
        <f>IFERROR(__xludf.DUMMYFUNCTION("""COMPUTED_VALUE"""),"")</f>
        <v/>
      </c>
      <c r="BP33" s="231" t="str">
        <f>IFERROR(__xludf.DUMMYFUNCTION("""COMPUTED_VALUE"""),"")</f>
        <v/>
      </c>
      <c r="BQ33" s="232" t="str">
        <f>IFERROR(__xludf.DUMMYFUNCTION("""COMPUTED_VALUE"""),"")</f>
        <v/>
      </c>
      <c r="BR33" s="233" t="str">
        <f>IFERROR(__xludf.DUMMYFUNCTION("""COMPUTED_VALUE"""),"")</f>
        <v/>
      </c>
      <c r="BS33" s="231" t="str">
        <f>IFERROR(__xludf.DUMMYFUNCTION("""COMPUTED_VALUE"""),"")</f>
        <v/>
      </c>
      <c r="BT33" s="232">
        <f>IFERROR(__xludf.DUMMYFUNCTION("""COMPUTED_VALUE"""),118.4)</f>
        <v>118.4</v>
      </c>
      <c r="BU33" s="233" t="str">
        <f>IFERROR(__xludf.DUMMYFUNCTION("""COMPUTED_VALUE"""),"")</f>
        <v/>
      </c>
      <c r="BV33" s="231" t="str">
        <f>IFERROR(__xludf.DUMMYFUNCTION("""COMPUTED_VALUE"""),"")</f>
        <v/>
      </c>
      <c r="BW33" s="232" t="str">
        <f>IFERROR(__xludf.DUMMYFUNCTION("""COMPUTED_VALUE"""),"")</f>
        <v/>
      </c>
      <c r="BX33" s="233" t="str">
        <f>IFERROR(__xludf.DUMMYFUNCTION("""COMPUTED_VALUE"""),"")</f>
        <v/>
      </c>
      <c r="BY33" s="231" t="str">
        <f>IFERROR(__xludf.DUMMYFUNCTION("""COMPUTED_VALUE"""),"")</f>
        <v/>
      </c>
      <c r="BZ33" s="232" t="str">
        <f>IFERROR(__xludf.DUMMYFUNCTION("""COMPUTED_VALUE"""),"")</f>
        <v/>
      </c>
      <c r="CA33" s="233">
        <f>IFERROR(__xludf.DUMMYFUNCTION("""COMPUTED_VALUE"""),1.7)</f>
        <v>1.7</v>
      </c>
      <c r="CB33" s="231" t="str">
        <f>IFERROR(__xludf.DUMMYFUNCTION("""COMPUTED_VALUE"""),"")</f>
        <v/>
      </c>
      <c r="CC33" s="232" t="str">
        <f>IFERROR(__xludf.DUMMYFUNCTION("""COMPUTED_VALUE"""),"")</f>
        <v/>
      </c>
      <c r="CD33" s="233" t="str">
        <f>IFERROR(__xludf.DUMMYFUNCTION("""COMPUTED_VALUE"""),"")</f>
        <v/>
      </c>
      <c r="CE33" s="234" t="str">
        <f>IFERROR(__xludf.DUMMYFUNCTION("""COMPUTED_VALUE"""),"")</f>
        <v/>
      </c>
      <c r="CF33" s="230" t="str">
        <f>IFERROR(__xludf.DUMMYFUNCTION("""COMPUTED_VALUE"""),"")</f>
        <v/>
      </c>
      <c r="CG33" s="235" t="str">
        <f>IFERROR(__xludf.DUMMYFUNCTION("""COMPUTED_VALUE"""),"")</f>
        <v/>
      </c>
      <c r="CH33" s="234">
        <f>IFERROR(__xludf.DUMMYFUNCTION("""COMPUTED_VALUE"""),22.5)</f>
        <v>22.5</v>
      </c>
      <c r="CI33" s="230" t="str">
        <f>IFERROR(__xludf.DUMMYFUNCTION("""COMPUTED_VALUE"""),"")</f>
        <v/>
      </c>
      <c r="CJ33" s="235" t="str">
        <f>IFERROR(__xludf.DUMMYFUNCTION("""COMPUTED_VALUE"""),"")</f>
        <v/>
      </c>
      <c r="CK33" s="95" t="str">
        <f>IFERROR(__xludf.DUMMYFUNCTION("""COMPUTED_VALUE"""),"")</f>
        <v/>
      </c>
      <c r="CL33" s="96" t="str">
        <f>IFERROR(__xludf.DUMMYFUNCTION("""COMPUTED_VALUE"""),"")</f>
        <v/>
      </c>
      <c r="CM33" s="97" t="str">
        <f>IFERROR(__xludf.DUMMYFUNCTION("""COMPUTED_VALUE"""),"")</f>
        <v/>
      </c>
      <c r="CN33" s="95" t="str">
        <f>IFERROR(__xludf.DUMMYFUNCTION("""COMPUTED_VALUE"""),"")</f>
        <v/>
      </c>
      <c r="CO33" s="96" t="str">
        <f>IFERROR(__xludf.DUMMYFUNCTION("""COMPUTED_VALUE"""),"")</f>
        <v/>
      </c>
      <c r="CP33" s="97" t="str">
        <f>IFERROR(__xludf.DUMMYFUNCTION("""COMPUTED_VALUE"""),"")</f>
        <v/>
      </c>
      <c r="CQ33" s="95" t="str">
        <f>IFERROR(__xludf.DUMMYFUNCTION("""COMPUTED_VALUE"""),"")</f>
        <v/>
      </c>
      <c r="CR33" s="96" t="str">
        <f>IFERROR(__xludf.DUMMYFUNCTION("""COMPUTED_VALUE"""),"")</f>
        <v/>
      </c>
      <c r="CS33" s="97" t="str">
        <f>IFERROR(__xludf.DUMMYFUNCTION("""COMPUTED_VALUE"""),"#REF!")</f>
        <v>#REF!</v>
      </c>
      <c r="CT33" s="95" t="str">
        <f>IFERROR(__xludf.DUMMYFUNCTION("""COMPUTED_VALUE"""),"#REF!")</f>
        <v>#REF!</v>
      </c>
      <c r="CU33" s="96" t="str">
        <f>IFERROR(__xludf.DUMMYFUNCTION("""COMPUTED_VALUE"""),"#REF!")</f>
        <v>#REF!</v>
      </c>
      <c r="CV33" s="97" t="str">
        <f>IFERROR(__xludf.DUMMYFUNCTION("""COMPUTED_VALUE"""),"#REF!")</f>
        <v>#REF!</v>
      </c>
      <c r="CW33" s="95" t="str">
        <f>IFERROR(__xludf.DUMMYFUNCTION("""COMPUTED_VALUE"""),"#REF!")</f>
        <v>#REF!</v>
      </c>
      <c r="CX33" s="96" t="str">
        <f>IFERROR(__xludf.DUMMYFUNCTION("""COMPUTED_VALUE"""),"#REF!")</f>
        <v>#REF!</v>
      </c>
      <c r="CY33" s="97" t="str">
        <f>IFERROR(__xludf.DUMMYFUNCTION("""COMPUTED_VALUE"""),"#REF!")</f>
        <v>#REF!</v>
      </c>
      <c r="CZ33" s="95" t="str">
        <f>IFERROR(__xludf.DUMMYFUNCTION("""COMPUTED_VALUE"""),"#REF!")</f>
        <v>#REF!</v>
      </c>
      <c r="DA33" s="96" t="str">
        <f>IFERROR(__xludf.DUMMYFUNCTION("""COMPUTED_VALUE"""),"#REF!")</f>
        <v>#REF!</v>
      </c>
      <c r="DB33" s="97" t="str">
        <f>IFERROR(__xludf.DUMMYFUNCTION("""COMPUTED_VALUE"""),"#REF!")</f>
        <v>#REF!</v>
      </c>
      <c r="DC33" s="95" t="str">
        <f>IFERROR(__xludf.DUMMYFUNCTION("""COMPUTED_VALUE"""),"#REF!")</f>
        <v>#REF!</v>
      </c>
      <c r="DD33" s="96" t="str">
        <f>IFERROR(__xludf.DUMMYFUNCTION("""COMPUTED_VALUE"""),"#REF!")</f>
        <v>#REF!</v>
      </c>
      <c r="DE33" s="97" t="str">
        <f>IFERROR(__xludf.DUMMYFUNCTION("""COMPUTED_VALUE"""),"#REF!")</f>
        <v>#REF!</v>
      </c>
      <c r="DF33" s="95" t="str">
        <f>IFERROR(__xludf.DUMMYFUNCTION("""COMPUTED_VALUE"""),"#REF!")</f>
        <v>#REF!</v>
      </c>
      <c r="DG33" s="96" t="str">
        <f>IFERROR(__xludf.DUMMYFUNCTION("""COMPUTED_VALUE"""),"#REF!")</f>
        <v>#REF!</v>
      </c>
      <c r="DH33" s="97" t="str">
        <f>IFERROR(__xludf.DUMMYFUNCTION("""COMPUTED_VALUE"""),"#REF!")</f>
        <v>#REF!</v>
      </c>
      <c r="DI33" s="95" t="str">
        <f>IFERROR(__xludf.DUMMYFUNCTION("""COMPUTED_VALUE"""),"#REF!")</f>
        <v>#REF!</v>
      </c>
      <c r="DJ33" s="96" t="str">
        <f>IFERROR(__xludf.DUMMYFUNCTION("""COMPUTED_VALUE"""),"#REF!")</f>
        <v>#REF!</v>
      </c>
      <c r="DK33" s="97" t="str">
        <f>IFERROR(__xludf.DUMMYFUNCTION("""COMPUTED_VALUE"""),"#REF!")</f>
        <v>#REF!</v>
      </c>
      <c r="DL33" s="95" t="str">
        <f>IFERROR(__xludf.DUMMYFUNCTION("""COMPUTED_VALUE"""),"#REF!")</f>
        <v>#REF!</v>
      </c>
      <c r="DM33" s="96" t="str">
        <f>IFERROR(__xludf.DUMMYFUNCTION("""COMPUTED_VALUE"""),"#REF!")</f>
        <v>#REF!</v>
      </c>
      <c r="DN33" s="97" t="str">
        <f>IFERROR(__xludf.DUMMYFUNCTION("""COMPUTED_VALUE"""),"#REF!")</f>
        <v>#REF!</v>
      </c>
      <c r="DO33" s="95" t="str">
        <f>IFERROR(__xludf.DUMMYFUNCTION("""COMPUTED_VALUE"""),"#REF!")</f>
        <v>#REF!</v>
      </c>
      <c r="DP33" s="96" t="str">
        <f>IFERROR(__xludf.DUMMYFUNCTION("""COMPUTED_VALUE"""),"#REF!")</f>
        <v>#REF!</v>
      </c>
      <c r="DQ33" s="97"/>
      <c r="DR33" s="95"/>
    </row>
    <row r="34">
      <c r="B34" s="83" t="str">
        <f>IFERROR(__xludf.DUMMYFUNCTION("""COMPUTED_VALUE"""),"TRF14")</f>
        <v>TRF14</v>
      </c>
      <c r="C34" s="82">
        <f>IFERROR(__xludf.DUMMYFUNCTION("""COMPUTED_VALUE"""),18.0)</f>
        <v>18</v>
      </c>
      <c r="D34" s="88" t="str">
        <f>IFERROR(__xludf.DUMMYFUNCTION("""COMPUTED_VALUE"""),"THU Rider Training Ground- Int")</f>
        <v>THU Rider Training Ground- Int</v>
      </c>
      <c r="E34" s="82" t="str">
        <f>IFERROR(__xludf.DUMMYFUNCTION("""COMPUTED_VALUE"""),"騎中級")</f>
        <v>騎中級</v>
      </c>
      <c r="F34" s="102">
        <f>IFERROR(__xludf.DUMMYFUNCTION("""COMPUTED_VALUE"""),20.0)</f>
        <v>20</v>
      </c>
      <c r="G34" s="82">
        <f>IFERROR(__xludf.DUMMYFUNCTION("""COMPUTED_VALUE"""),1106.0)</f>
        <v>1106</v>
      </c>
      <c r="H34" s="231" t="str">
        <f>IFERROR(__xludf.DUMMYFUNCTION("""COMPUTED_VALUE"""),"")</f>
        <v/>
      </c>
      <c r="I34" s="232" t="str">
        <f>IFERROR(__xludf.DUMMYFUNCTION("""COMPUTED_VALUE"""),"")</f>
        <v/>
      </c>
      <c r="J34" s="233" t="str">
        <f>IFERROR(__xludf.DUMMYFUNCTION("""COMPUTED_VALUE"""),"")</f>
        <v/>
      </c>
      <c r="K34" s="231" t="str">
        <f>IFERROR(__xludf.DUMMYFUNCTION("""COMPUTED_VALUE"""),"")</f>
        <v/>
      </c>
      <c r="L34" s="232" t="str">
        <f>IFERROR(__xludf.DUMMYFUNCTION("""COMPUTED_VALUE"""),"")</f>
        <v/>
      </c>
      <c r="M34" s="233" t="str">
        <f>IFERROR(__xludf.DUMMYFUNCTION("""COMPUTED_VALUE"""),"")</f>
        <v/>
      </c>
      <c r="N34" s="231" t="str">
        <f>IFERROR(__xludf.DUMMYFUNCTION("""COMPUTED_VALUE"""),"")</f>
        <v/>
      </c>
      <c r="O34" s="232" t="str">
        <f>IFERROR(__xludf.DUMMYFUNCTION("""COMPUTED_VALUE"""),"")</f>
        <v/>
      </c>
      <c r="P34" s="233" t="str">
        <f>IFERROR(__xludf.DUMMYFUNCTION("""COMPUTED_VALUE"""),"")</f>
        <v/>
      </c>
      <c r="Q34" s="231" t="str">
        <f>IFERROR(__xludf.DUMMYFUNCTION("""COMPUTED_VALUE"""),"")</f>
        <v/>
      </c>
      <c r="R34" s="232" t="str">
        <f>IFERROR(__xludf.DUMMYFUNCTION("""COMPUTED_VALUE"""),"")</f>
        <v/>
      </c>
      <c r="S34" s="233" t="str">
        <f>IFERROR(__xludf.DUMMYFUNCTION("""COMPUTED_VALUE"""),"")</f>
        <v/>
      </c>
      <c r="T34" s="231" t="str">
        <f>IFERROR(__xludf.DUMMYFUNCTION("""COMPUTED_VALUE"""),"")</f>
        <v/>
      </c>
      <c r="U34" s="232" t="str">
        <f>IFERROR(__xludf.DUMMYFUNCTION("""COMPUTED_VALUE"""),"")</f>
        <v/>
      </c>
      <c r="V34" s="233" t="str">
        <f>IFERROR(__xludf.DUMMYFUNCTION("""COMPUTED_VALUE"""),"")</f>
        <v/>
      </c>
      <c r="W34" s="231" t="str">
        <f>IFERROR(__xludf.DUMMYFUNCTION("""COMPUTED_VALUE"""),"")</f>
        <v/>
      </c>
      <c r="X34" s="232" t="str">
        <f>IFERROR(__xludf.DUMMYFUNCTION("""COMPUTED_VALUE"""),"")</f>
        <v/>
      </c>
      <c r="Y34" s="233" t="str">
        <f>IFERROR(__xludf.DUMMYFUNCTION("""COMPUTED_VALUE"""),"")</f>
        <v/>
      </c>
      <c r="Z34" s="231" t="str">
        <f>IFERROR(__xludf.DUMMYFUNCTION("""COMPUTED_VALUE"""),"")</f>
        <v/>
      </c>
      <c r="AA34" s="232" t="str">
        <f>IFERROR(__xludf.DUMMYFUNCTION("""COMPUTED_VALUE"""),"")</f>
        <v/>
      </c>
      <c r="AB34" s="233" t="str">
        <f>IFERROR(__xludf.DUMMYFUNCTION("""COMPUTED_VALUE"""),"")</f>
        <v/>
      </c>
      <c r="AC34" s="231" t="str">
        <f>IFERROR(__xludf.DUMMYFUNCTION("""COMPUTED_VALUE"""),"")</f>
        <v/>
      </c>
      <c r="AD34" s="232" t="str">
        <f>IFERROR(__xludf.DUMMYFUNCTION("""COMPUTED_VALUE"""),"")</f>
        <v/>
      </c>
      <c r="AE34" s="233" t="str">
        <f>IFERROR(__xludf.DUMMYFUNCTION("""COMPUTED_VALUE"""),"")</f>
        <v/>
      </c>
      <c r="AF34" s="231" t="str">
        <f>IFERROR(__xludf.DUMMYFUNCTION("""COMPUTED_VALUE"""),"")</f>
        <v/>
      </c>
      <c r="AG34" s="232" t="str">
        <f>IFERROR(__xludf.DUMMYFUNCTION("""COMPUTED_VALUE"""),"")</f>
        <v/>
      </c>
      <c r="AH34" s="233">
        <f>IFERROR(__xludf.DUMMYFUNCTION("""COMPUTED_VALUE"""),10.6)</f>
        <v>10.6</v>
      </c>
      <c r="AI34" s="231" t="str">
        <f>IFERROR(__xludf.DUMMYFUNCTION("""COMPUTED_VALUE"""),"")</f>
        <v/>
      </c>
      <c r="AJ34" s="232" t="str">
        <f>IFERROR(__xludf.DUMMYFUNCTION("""COMPUTED_VALUE"""),"")</f>
        <v/>
      </c>
      <c r="AK34" s="233" t="str">
        <f>IFERROR(__xludf.DUMMYFUNCTION("""COMPUTED_VALUE"""),"")</f>
        <v/>
      </c>
      <c r="AL34" s="231" t="str">
        <f>IFERROR(__xludf.DUMMYFUNCTION("""COMPUTED_VALUE"""),"")</f>
        <v/>
      </c>
      <c r="AM34" s="232" t="str">
        <f>IFERROR(__xludf.DUMMYFUNCTION("""COMPUTED_VALUE"""),"")</f>
        <v/>
      </c>
      <c r="AN34" s="233" t="str">
        <f>IFERROR(__xludf.DUMMYFUNCTION("""COMPUTED_VALUE"""),"")</f>
        <v/>
      </c>
      <c r="AO34" s="231" t="str">
        <f>IFERROR(__xludf.DUMMYFUNCTION("""COMPUTED_VALUE"""),"")</f>
        <v/>
      </c>
      <c r="AP34" s="232" t="str">
        <f>IFERROR(__xludf.DUMMYFUNCTION("""COMPUTED_VALUE"""),"")</f>
        <v/>
      </c>
      <c r="AQ34" s="233" t="str">
        <f>IFERROR(__xludf.DUMMYFUNCTION("""COMPUTED_VALUE"""),"")</f>
        <v/>
      </c>
      <c r="AR34" s="231" t="str">
        <f>IFERROR(__xludf.DUMMYFUNCTION("""COMPUTED_VALUE"""),"")</f>
        <v/>
      </c>
      <c r="AS34" s="232" t="str">
        <f>IFERROR(__xludf.DUMMYFUNCTION("""COMPUTED_VALUE"""),"")</f>
        <v/>
      </c>
      <c r="AT34" s="233" t="str">
        <f>IFERROR(__xludf.DUMMYFUNCTION("""COMPUTED_VALUE"""),"")</f>
        <v/>
      </c>
      <c r="AU34" s="231" t="str">
        <f>IFERROR(__xludf.DUMMYFUNCTION("""COMPUTED_VALUE"""),"")</f>
        <v/>
      </c>
      <c r="AV34" s="232">
        <f>IFERROR(__xludf.DUMMYFUNCTION("""COMPUTED_VALUE"""),25.6)</f>
        <v>25.6</v>
      </c>
      <c r="AW34" s="233">
        <f>IFERROR(__xludf.DUMMYFUNCTION("""COMPUTED_VALUE"""),15.3)</f>
        <v>15.3</v>
      </c>
      <c r="AX34" s="231" t="str">
        <f>IFERROR(__xludf.DUMMYFUNCTION("""COMPUTED_VALUE"""),"")</f>
        <v/>
      </c>
      <c r="AY34" s="232" t="str">
        <f>IFERROR(__xludf.DUMMYFUNCTION("""COMPUTED_VALUE"""),"")</f>
        <v/>
      </c>
      <c r="AZ34" s="233" t="str">
        <f>IFERROR(__xludf.DUMMYFUNCTION("""COMPUTED_VALUE"""),"")</f>
        <v/>
      </c>
      <c r="BA34" s="231" t="str">
        <f>IFERROR(__xludf.DUMMYFUNCTION("""COMPUTED_VALUE"""),"")</f>
        <v/>
      </c>
      <c r="BB34" s="232" t="str">
        <f>IFERROR(__xludf.DUMMYFUNCTION("""COMPUTED_VALUE"""),"")</f>
        <v/>
      </c>
      <c r="BC34" s="233" t="str">
        <f>IFERROR(__xludf.DUMMYFUNCTION("""COMPUTED_VALUE"""),"")</f>
        <v/>
      </c>
      <c r="BD34" s="231" t="str">
        <f>IFERROR(__xludf.DUMMYFUNCTION("""COMPUTED_VALUE"""),"")</f>
        <v/>
      </c>
      <c r="BE34" s="232" t="str">
        <f>IFERROR(__xludf.DUMMYFUNCTION("""COMPUTED_VALUE"""),"")</f>
        <v/>
      </c>
      <c r="BF34" s="233" t="str">
        <f>IFERROR(__xludf.DUMMYFUNCTION("""COMPUTED_VALUE"""),"")</f>
        <v/>
      </c>
      <c r="BG34" s="231" t="str">
        <f>IFERROR(__xludf.DUMMYFUNCTION("""COMPUTED_VALUE"""),"")</f>
        <v/>
      </c>
      <c r="BH34" s="232" t="str">
        <f>IFERROR(__xludf.DUMMYFUNCTION("""COMPUTED_VALUE"""),"")</f>
        <v/>
      </c>
      <c r="BI34" s="233" t="str">
        <f>IFERROR(__xludf.DUMMYFUNCTION("""COMPUTED_VALUE"""),"")</f>
        <v/>
      </c>
      <c r="BJ34" s="231" t="str">
        <f>IFERROR(__xludf.DUMMYFUNCTION("""COMPUTED_VALUE"""),"")</f>
        <v/>
      </c>
      <c r="BK34" s="232" t="str">
        <f>IFERROR(__xludf.DUMMYFUNCTION("""COMPUTED_VALUE"""),"")</f>
        <v/>
      </c>
      <c r="BL34" s="233" t="str">
        <f>IFERROR(__xludf.DUMMYFUNCTION("""COMPUTED_VALUE"""),"")</f>
        <v/>
      </c>
      <c r="BM34" s="231">
        <f>IFERROR(__xludf.DUMMYFUNCTION("""COMPUTED_VALUE"""),92.7)</f>
        <v>92.7</v>
      </c>
      <c r="BN34" s="232" t="str">
        <f>IFERROR(__xludf.DUMMYFUNCTION("""COMPUTED_VALUE"""),"")</f>
        <v/>
      </c>
      <c r="BO34" s="233" t="str">
        <f>IFERROR(__xludf.DUMMYFUNCTION("""COMPUTED_VALUE"""),"")</f>
        <v/>
      </c>
      <c r="BP34" s="231" t="str">
        <f>IFERROR(__xludf.DUMMYFUNCTION("""COMPUTED_VALUE"""),"")</f>
        <v/>
      </c>
      <c r="BQ34" s="232" t="str">
        <f>IFERROR(__xludf.DUMMYFUNCTION("""COMPUTED_VALUE"""),"")</f>
        <v/>
      </c>
      <c r="BR34" s="233" t="str">
        <f>IFERROR(__xludf.DUMMYFUNCTION("""COMPUTED_VALUE"""),"")</f>
        <v/>
      </c>
      <c r="BS34" s="231" t="str">
        <f>IFERROR(__xludf.DUMMYFUNCTION("""COMPUTED_VALUE"""),"")</f>
        <v/>
      </c>
      <c r="BT34" s="232">
        <f>IFERROR(__xludf.DUMMYFUNCTION("""COMPUTED_VALUE"""),90.4)</f>
        <v>90.4</v>
      </c>
      <c r="BU34" s="233" t="str">
        <f>IFERROR(__xludf.DUMMYFUNCTION("""COMPUTED_VALUE"""),"")</f>
        <v/>
      </c>
      <c r="BV34" s="231" t="str">
        <f>IFERROR(__xludf.DUMMYFUNCTION("""COMPUTED_VALUE"""),"")</f>
        <v/>
      </c>
      <c r="BW34" s="232" t="str">
        <f>IFERROR(__xludf.DUMMYFUNCTION("""COMPUTED_VALUE"""),"")</f>
        <v/>
      </c>
      <c r="BX34" s="233" t="str">
        <f>IFERROR(__xludf.DUMMYFUNCTION("""COMPUTED_VALUE"""),"")</f>
        <v/>
      </c>
      <c r="BY34" s="231" t="str">
        <f>IFERROR(__xludf.DUMMYFUNCTION("""COMPUTED_VALUE"""),"")</f>
        <v/>
      </c>
      <c r="BZ34" s="232" t="str">
        <f>IFERROR(__xludf.DUMMYFUNCTION("""COMPUTED_VALUE"""),"")</f>
        <v/>
      </c>
      <c r="CA34" s="233">
        <f>IFERROR(__xludf.DUMMYFUNCTION("""COMPUTED_VALUE"""),7.1)</f>
        <v>7.1</v>
      </c>
      <c r="CB34" s="231" t="str">
        <f>IFERROR(__xludf.DUMMYFUNCTION("""COMPUTED_VALUE"""),"")</f>
        <v/>
      </c>
      <c r="CC34" s="232" t="str">
        <f>IFERROR(__xludf.DUMMYFUNCTION("""COMPUTED_VALUE"""),"")</f>
        <v/>
      </c>
      <c r="CD34" s="233" t="str">
        <f>IFERROR(__xludf.DUMMYFUNCTION("""COMPUTED_VALUE"""),"")</f>
        <v/>
      </c>
      <c r="CE34" s="234" t="str">
        <f>IFERROR(__xludf.DUMMYFUNCTION("""COMPUTED_VALUE"""),"")</f>
        <v/>
      </c>
      <c r="CF34" s="230" t="str">
        <f>IFERROR(__xludf.DUMMYFUNCTION("""COMPUTED_VALUE"""),"")</f>
        <v/>
      </c>
      <c r="CG34" s="235" t="str">
        <f>IFERROR(__xludf.DUMMYFUNCTION("""COMPUTED_VALUE"""),"")</f>
        <v/>
      </c>
      <c r="CH34" s="234">
        <f>IFERROR(__xludf.DUMMYFUNCTION("""COMPUTED_VALUE"""),70.7)</f>
        <v>70.7</v>
      </c>
      <c r="CI34" s="230" t="str">
        <f>IFERROR(__xludf.DUMMYFUNCTION("""COMPUTED_VALUE"""),"")</f>
        <v/>
      </c>
      <c r="CJ34" s="235" t="str">
        <f>IFERROR(__xludf.DUMMYFUNCTION("""COMPUTED_VALUE"""),"")</f>
        <v/>
      </c>
      <c r="CK34" s="95" t="str">
        <f>IFERROR(__xludf.DUMMYFUNCTION("""COMPUTED_VALUE"""),"")</f>
        <v/>
      </c>
      <c r="CL34" s="96" t="str">
        <f>IFERROR(__xludf.DUMMYFUNCTION("""COMPUTED_VALUE"""),"")</f>
        <v/>
      </c>
      <c r="CM34" s="97" t="str">
        <f>IFERROR(__xludf.DUMMYFUNCTION("""COMPUTED_VALUE"""),"")</f>
        <v/>
      </c>
      <c r="CN34" s="95" t="str">
        <f>IFERROR(__xludf.DUMMYFUNCTION("""COMPUTED_VALUE"""),"")</f>
        <v/>
      </c>
      <c r="CO34" s="96" t="str">
        <f>IFERROR(__xludf.DUMMYFUNCTION("""COMPUTED_VALUE"""),"")</f>
        <v/>
      </c>
      <c r="CP34" s="97" t="str">
        <f>IFERROR(__xludf.DUMMYFUNCTION("""COMPUTED_VALUE"""),"")</f>
        <v/>
      </c>
      <c r="CQ34" s="95" t="str">
        <f>IFERROR(__xludf.DUMMYFUNCTION("""COMPUTED_VALUE"""),"")</f>
        <v/>
      </c>
      <c r="CR34" s="96" t="str">
        <f>IFERROR(__xludf.DUMMYFUNCTION("""COMPUTED_VALUE"""),"")</f>
        <v/>
      </c>
      <c r="CS34" s="97" t="str">
        <f>IFERROR(__xludf.DUMMYFUNCTION("""COMPUTED_VALUE"""),"#REF!")</f>
        <v>#REF!</v>
      </c>
      <c r="CT34" s="95" t="str">
        <f>IFERROR(__xludf.DUMMYFUNCTION("""COMPUTED_VALUE"""),"#REF!")</f>
        <v>#REF!</v>
      </c>
      <c r="CU34" s="96" t="str">
        <f>IFERROR(__xludf.DUMMYFUNCTION("""COMPUTED_VALUE"""),"#REF!")</f>
        <v>#REF!</v>
      </c>
      <c r="CV34" s="97" t="str">
        <f>IFERROR(__xludf.DUMMYFUNCTION("""COMPUTED_VALUE"""),"#REF!")</f>
        <v>#REF!</v>
      </c>
      <c r="CW34" s="95" t="str">
        <f>IFERROR(__xludf.DUMMYFUNCTION("""COMPUTED_VALUE"""),"#REF!")</f>
        <v>#REF!</v>
      </c>
      <c r="CX34" s="96" t="str">
        <f>IFERROR(__xludf.DUMMYFUNCTION("""COMPUTED_VALUE"""),"#REF!")</f>
        <v>#REF!</v>
      </c>
      <c r="CY34" s="97" t="str">
        <f>IFERROR(__xludf.DUMMYFUNCTION("""COMPUTED_VALUE"""),"#REF!")</f>
        <v>#REF!</v>
      </c>
      <c r="CZ34" s="95" t="str">
        <f>IFERROR(__xludf.DUMMYFUNCTION("""COMPUTED_VALUE"""),"#REF!")</f>
        <v>#REF!</v>
      </c>
      <c r="DA34" s="96" t="str">
        <f>IFERROR(__xludf.DUMMYFUNCTION("""COMPUTED_VALUE"""),"#REF!")</f>
        <v>#REF!</v>
      </c>
      <c r="DB34" s="97" t="str">
        <f>IFERROR(__xludf.DUMMYFUNCTION("""COMPUTED_VALUE"""),"#REF!")</f>
        <v>#REF!</v>
      </c>
      <c r="DC34" s="95" t="str">
        <f>IFERROR(__xludf.DUMMYFUNCTION("""COMPUTED_VALUE"""),"#REF!")</f>
        <v>#REF!</v>
      </c>
      <c r="DD34" s="96" t="str">
        <f>IFERROR(__xludf.DUMMYFUNCTION("""COMPUTED_VALUE"""),"#REF!")</f>
        <v>#REF!</v>
      </c>
      <c r="DE34" s="97" t="str">
        <f>IFERROR(__xludf.DUMMYFUNCTION("""COMPUTED_VALUE"""),"#REF!")</f>
        <v>#REF!</v>
      </c>
      <c r="DF34" s="95" t="str">
        <f>IFERROR(__xludf.DUMMYFUNCTION("""COMPUTED_VALUE"""),"#REF!")</f>
        <v>#REF!</v>
      </c>
      <c r="DG34" s="96" t="str">
        <f>IFERROR(__xludf.DUMMYFUNCTION("""COMPUTED_VALUE"""),"#REF!")</f>
        <v>#REF!</v>
      </c>
      <c r="DH34" s="97" t="str">
        <f>IFERROR(__xludf.DUMMYFUNCTION("""COMPUTED_VALUE"""),"#REF!")</f>
        <v>#REF!</v>
      </c>
      <c r="DI34" s="95" t="str">
        <f>IFERROR(__xludf.DUMMYFUNCTION("""COMPUTED_VALUE"""),"#REF!")</f>
        <v>#REF!</v>
      </c>
      <c r="DJ34" s="96" t="str">
        <f>IFERROR(__xludf.DUMMYFUNCTION("""COMPUTED_VALUE"""),"#REF!")</f>
        <v>#REF!</v>
      </c>
      <c r="DK34" s="97" t="str">
        <f>IFERROR(__xludf.DUMMYFUNCTION("""COMPUTED_VALUE"""),"#REF!")</f>
        <v>#REF!</v>
      </c>
      <c r="DL34" s="95" t="str">
        <f>IFERROR(__xludf.DUMMYFUNCTION("""COMPUTED_VALUE"""),"#REF!")</f>
        <v>#REF!</v>
      </c>
      <c r="DM34" s="96" t="str">
        <f>IFERROR(__xludf.DUMMYFUNCTION("""COMPUTED_VALUE"""),"#REF!")</f>
        <v>#REF!</v>
      </c>
      <c r="DN34" s="97" t="str">
        <f>IFERROR(__xludf.DUMMYFUNCTION("""COMPUTED_VALUE"""),"#REF!")</f>
        <v>#REF!</v>
      </c>
      <c r="DO34" s="95" t="str">
        <f>IFERROR(__xludf.DUMMYFUNCTION("""COMPUTED_VALUE"""),"#REF!")</f>
        <v>#REF!</v>
      </c>
      <c r="DP34" s="96" t="str">
        <f>IFERROR(__xludf.DUMMYFUNCTION("""COMPUTED_VALUE"""),"#REF!")</f>
        <v>#REF!</v>
      </c>
      <c r="DQ34" s="97"/>
      <c r="DR34" s="95"/>
    </row>
    <row r="35">
      <c r="B35" s="83" t="str">
        <f>IFERROR(__xludf.DUMMYFUNCTION("""COMPUTED_VALUE"""),"TRF15")</f>
        <v>TRF15</v>
      </c>
      <c r="C35" s="82">
        <f>IFERROR(__xludf.DUMMYFUNCTION("""COMPUTED_VALUE"""),17.0)</f>
        <v>17</v>
      </c>
      <c r="D35" s="88" t="str">
        <f>IFERROR(__xludf.DUMMYFUNCTION("""COMPUTED_VALUE"""),"THU Rider Training Ground- Adv")</f>
        <v>THU Rider Training Ground- Adv</v>
      </c>
      <c r="E35" s="82" t="str">
        <f>IFERROR(__xludf.DUMMYFUNCTION("""COMPUTED_VALUE"""),"騎上級")</f>
        <v>騎上級</v>
      </c>
      <c r="F35" s="102">
        <f>IFERROR(__xludf.DUMMYFUNCTION("""COMPUTED_VALUE"""),30.0)</f>
        <v>30</v>
      </c>
      <c r="G35" s="82">
        <f>IFERROR(__xludf.DUMMYFUNCTION("""COMPUTED_VALUE"""),2151.0)</f>
        <v>2151</v>
      </c>
      <c r="H35" s="231" t="str">
        <f>IFERROR(__xludf.DUMMYFUNCTION("""COMPUTED_VALUE"""),"")</f>
        <v/>
      </c>
      <c r="I35" s="232" t="str">
        <f>IFERROR(__xludf.DUMMYFUNCTION("""COMPUTED_VALUE"""),"")</f>
        <v/>
      </c>
      <c r="J35" s="233">
        <f>IFERROR(__xludf.DUMMYFUNCTION("""COMPUTED_VALUE"""),2.9)</f>
        <v>2.9</v>
      </c>
      <c r="K35" s="231" t="str">
        <f>IFERROR(__xludf.DUMMYFUNCTION("""COMPUTED_VALUE"""),"")</f>
        <v/>
      </c>
      <c r="L35" s="232" t="str">
        <f>IFERROR(__xludf.DUMMYFUNCTION("""COMPUTED_VALUE"""),"")</f>
        <v/>
      </c>
      <c r="M35" s="233" t="str">
        <f>IFERROR(__xludf.DUMMYFUNCTION("""COMPUTED_VALUE"""),"")</f>
        <v/>
      </c>
      <c r="N35" s="231" t="str">
        <f>IFERROR(__xludf.DUMMYFUNCTION("""COMPUTED_VALUE"""),"")</f>
        <v/>
      </c>
      <c r="O35" s="232" t="str">
        <f>IFERROR(__xludf.DUMMYFUNCTION("""COMPUTED_VALUE"""),"")</f>
        <v/>
      </c>
      <c r="P35" s="233" t="str">
        <f>IFERROR(__xludf.DUMMYFUNCTION("""COMPUTED_VALUE"""),"")</f>
        <v/>
      </c>
      <c r="Q35" s="231" t="str">
        <f>IFERROR(__xludf.DUMMYFUNCTION("""COMPUTED_VALUE"""),"")</f>
        <v/>
      </c>
      <c r="R35" s="232" t="str">
        <f>IFERROR(__xludf.DUMMYFUNCTION("""COMPUTED_VALUE"""),"")</f>
        <v/>
      </c>
      <c r="S35" s="233" t="str">
        <f>IFERROR(__xludf.DUMMYFUNCTION("""COMPUTED_VALUE"""),"")</f>
        <v/>
      </c>
      <c r="T35" s="231" t="str">
        <f>IFERROR(__xludf.DUMMYFUNCTION("""COMPUTED_VALUE"""),"")</f>
        <v/>
      </c>
      <c r="U35" s="232" t="str">
        <f>IFERROR(__xludf.DUMMYFUNCTION("""COMPUTED_VALUE"""),"")</f>
        <v/>
      </c>
      <c r="V35" s="233" t="str">
        <f>IFERROR(__xludf.DUMMYFUNCTION("""COMPUTED_VALUE"""),"")</f>
        <v/>
      </c>
      <c r="W35" s="231" t="str">
        <f>IFERROR(__xludf.DUMMYFUNCTION("""COMPUTED_VALUE"""),"")</f>
        <v/>
      </c>
      <c r="X35" s="232" t="str">
        <f>IFERROR(__xludf.DUMMYFUNCTION("""COMPUTED_VALUE"""),"")</f>
        <v/>
      </c>
      <c r="Y35" s="233" t="str">
        <f>IFERROR(__xludf.DUMMYFUNCTION("""COMPUTED_VALUE"""),"")</f>
        <v/>
      </c>
      <c r="Z35" s="231" t="str">
        <f>IFERROR(__xludf.DUMMYFUNCTION("""COMPUTED_VALUE"""),"")</f>
        <v/>
      </c>
      <c r="AA35" s="232" t="str">
        <f>IFERROR(__xludf.DUMMYFUNCTION("""COMPUTED_VALUE"""),"")</f>
        <v/>
      </c>
      <c r="AB35" s="233" t="str">
        <f>IFERROR(__xludf.DUMMYFUNCTION("""COMPUTED_VALUE"""),"")</f>
        <v/>
      </c>
      <c r="AC35" s="231" t="str">
        <f>IFERROR(__xludf.DUMMYFUNCTION("""COMPUTED_VALUE"""),"")</f>
        <v/>
      </c>
      <c r="AD35" s="232" t="str">
        <f>IFERROR(__xludf.DUMMYFUNCTION("""COMPUTED_VALUE"""),"")</f>
        <v/>
      </c>
      <c r="AE35" s="233" t="str">
        <f>IFERROR(__xludf.DUMMYFUNCTION("""COMPUTED_VALUE"""),"")</f>
        <v/>
      </c>
      <c r="AF35" s="231" t="str">
        <f>IFERROR(__xludf.DUMMYFUNCTION("""COMPUTED_VALUE"""),"")</f>
        <v/>
      </c>
      <c r="AG35" s="232" t="str">
        <f>IFERROR(__xludf.DUMMYFUNCTION("""COMPUTED_VALUE"""),"")</f>
        <v/>
      </c>
      <c r="AH35" s="233">
        <f>IFERROR(__xludf.DUMMYFUNCTION("""COMPUTED_VALUE"""),15.1)</f>
        <v>15.1</v>
      </c>
      <c r="AI35" s="231" t="str">
        <f>IFERROR(__xludf.DUMMYFUNCTION("""COMPUTED_VALUE"""),"")</f>
        <v/>
      </c>
      <c r="AJ35" s="232" t="str">
        <f>IFERROR(__xludf.DUMMYFUNCTION("""COMPUTED_VALUE"""),"")</f>
        <v/>
      </c>
      <c r="AK35" s="233" t="str">
        <f>IFERROR(__xludf.DUMMYFUNCTION("""COMPUTED_VALUE"""),"")</f>
        <v/>
      </c>
      <c r="AL35" s="231" t="str">
        <f>IFERROR(__xludf.DUMMYFUNCTION("""COMPUTED_VALUE"""),"")</f>
        <v/>
      </c>
      <c r="AM35" s="232" t="str">
        <f>IFERROR(__xludf.DUMMYFUNCTION("""COMPUTED_VALUE"""),"")</f>
        <v/>
      </c>
      <c r="AN35" s="233" t="str">
        <f>IFERROR(__xludf.DUMMYFUNCTION("""COMPUTED_VALUE"""),"")</f>
        <v/>
      </c>
      <c r="AO35" s="231" t="str">
        <f>IFERROR(__xludf.DUMMYFUNCTION("""COMPUTED_VALUE"""),"")</f>
        <v/>
      </c>
      <c r="AP35" s="232" t="str">
        <f>IFERROR(__xludf.DUMMYFUNCTION("""COMPUTED_VALUE"""),"")</f>
        <v/>
      </c>
      <c r="AQ35" s="233" t="str">
        <f>IFERROR(__xludf.DUMMYFUNCTION("""COMPUTED_VALUE"""),"")</f>
        <v/>
      </c>
      <c r="AR35" s="231" t="str">
        <f>IFERROR(__xludf.DUMMYFUNCTION("""COMPUTED_VALUE"""),"")</f>
        <v/>
      </c>
      <c r="AS35" s="232" t="str">
        <f>IFERROR(__xludf.DUMMYFUNCTION("""COMPUTED_VALUE"""),"")</f>
        <v/>
      </c>
      <c r="AT35" s="233" t="str">
        <f>IFERROR(__xludf.DUMMYFUNCTION("""COMPUTED_VALUE"""),"")</f>
        <v/>
      </c>
      <c r="AU35" s="231" t="str">
        <f>IFERROR(__xludf.DUMMYFUNCTION("""COMPUTED_VALUE"""),"")</f>
        <v/>
      </c>
      <c r="AV35" s="232">
        <f>IFERROR(__xludf.DUMMYFUNCTION("""COMPUTED_VALUE"""),45.7)</f>
        <v>45.7</v>
      </c>
      <c r="AW35" s="233">
        <f>IFERROR(__xludf.DUMMYFUNCTION("""COMPUTED_VALUE"""),12.9)</f>
        <v>12.9</v>
      </c>
      <c r="AX35" s="231" t="str">
        <f>IFERROR(__xludf.DUMMYFUNCTION("""COMPUTED_VALUE"""),"")</f>
        <v/>
      </c>
      <c r="AY35" s="232" t="str">
        <f>IFERROR(__xludf.DUMMYFUNCTION("""COMPUTED_VALUE"""),"")</f>
        <v/>
      </c>
      <c r="AZ35" s="233" t="str">
        <f>IFERROR(__xludf.DUMMYFUNCTION("""COMPUTED_VALUE"""),"")</f>
        <v/>
      </c>
      <c r="BA35" s="231" t="str">
        <f>IFERROR(__xludf.DUMMYFUNCTION("""COMPUTED_VALUE"""),"")</f>
        <v/>
      </c>
      <c r="BB35" s="232" t="str">
        <f>IFERROR(__xludf.DUMMYFUNCTION("""COMPUTED_VALUE"""),"")</f>
        <v/>
      </c>
      <c r="BC35" s="233" t="str">
        <f>IFERROR(__xludf.DUMMYFUNCTION("""COMPUTED_VALUE"""),"")</f>
        <v/>
      </c>
      <c r="BD35" s="231" t="str">
        <f>IFERROR(__xludf.DUMMYFUNCTION("""COMPUTED_VALUE"""),"")</f>
        <v/>
      </c>
      <c r="BE35" s="232" t="str">
        <f>IFERROR(__xludf.DUMMYFUNCTION("""COMPUTED_VALUE"""),"")</f>
        <v/>
      </c>
      <c r="BF35" s="233">
        <f>IFERROR(__xludf.DUMMYFUNCTION("""COMPUTED_VALUE"""),24.0)</f>
        <v>24</v>
      </c>
      <c r="BG35" s="231" t="str">
        <f>IFERROR(__xludf.DUMMYFUNCTION("""COMPUTED_VALUE"""),"")</f>
        <v/>
      </c>
      <c r="BH35" s="232" t="str">
        <f>IFERROR(__xludf.DUMMYFUNCTION("""COMPUTED_VALUE"""),"")</f>
        <v/>
      </c>
      <c r="BI35" s="233" t="str">
        <f>IFERROR(__xludf.DUMMYFUNCTION("""COMPUTED_VALUE"""),"")</f>
        <v/>
      </c>
      <c r="BJ35" s="231" t="str">
        <f>IFERROR(__xludf.DUMMYFUNCTION("""COMPUTED_VALUE"""),"")</f>
        <v/>
      </c>
      <c r="BK35" s="232" t="str">
        <f>IFERROR(__xludf.DUMMYFUNCTION("""COMPUTED_VALUE"""),"")</f>
        <v/>
      </c>
      <c r="BL35" s="233" t="str">
        <f>IFERROR(__xludf.DUMMYFUNCTION("""COMPUTED_VALUE"""),"")</f>
        <v/>
      </c>
      <c r="BM35" s="231">
        <f>IFERROR(__xludf.DUMMYFUNCTION("""COMPUTED_VALUE"""),120.7)</f>
        <v>120.7</v>
      </c>
      <c r="BN35" s="232" t="str">
        <f>IFERROR(__xludf.DUMMYFUNCTION("""COMPUTED_VALUE"""),"")</f>
        <v/>
      </c>
      <c r="BO35" s="233" t="str">
        <f>IFERROR(__xludf.DUMMYFUNCTION("""COMPUTED_VALUE"""),"")</f>
        <v/>
      </c>
      <c r="BP35" s="231" t="str">
        <f>IFERROR(__xludf.DUMMYFUNCTION("""COMPUTED_VALUE"""),"")</f>
        <v/>
      </c>
      <c r="BQ35" s="232" t="str">
        <f>IFERROR(__xludf.DUMMYFUNCTION("""COMPUTED_VALUE"""),"")</f>
        <v/>
      </c>
      <c r="BR35" s="233" t="str">
        <f>IFERROR(__xludf.DUMMYFUNCTION("""COMPUTED_VALUE"""),"")</f>
        <v/>
      </c>
      <c r="BS35" s="231" t="str">
        <f>IFERROR(__xludf.DUMMYFUNCTION("""COMPUTED_VALUE"""),"")</f>
        <v/>
      </c>
      <c r="BT35" s="232">
        <f>IFERROR(__xludf.DUMMYFUNCTION("""COMPUTED_VALUE"""),23.5)</f>
        <v>23.5</v>
      </c>
      <c r="BU35" s="233" t="str">
        <f>IFERROR(__xludf.DUMMYFUNCTION("""COMPUTED_VALUE"""),"")</f>
        <v/>
      </c>
      <c r="BV35" s="231" t="str">
        <f>IFERROR(__xludf.DUMMYFUNCTION("""COMPUTED_VALUE"""),"")</f>
        <v/>
      </c>
      <c r="BW35" s="232" t="str">
        <f>IFERROR(__xludf.DUMMYFUNCTION("""COMPUTED_VALUE"""),"")</f>
        <v/>
      </c>
      <c r="BX35" s="233" t="str">
        <f>IFERROR(__xludf.DUMMYFUNCTION("""COMPUTED_VALUE"""),"")</f>
        <v/>
      </c>
      <c r="BY35" s="231" t="str">
        <f>IFERROR(__xludf.DUMMYFUNCTION("""COMPUTED_VALUE"""),"")</f>
        <v/>
      </c>
      <c r="BZ35" s="232" t="str">
        <f>IFERROR(__xludf.DUMMYFUNCTION("""COMPUTED_VALUE"""),"")</f>
        <v/>
      </c>
      <c r="CA35" s="233">
        <f>IFERROR(__xludf.DUMMYFUNCTION("""COMPUTED_VALUE"""),39.4)</f>
        <v>39.4</v>
      </c>
      <c r="CB35" s="231" t="str">
        <f>IFERROR(__xludf.DUMMYFUNCTION("""COMPUTED_VALUE"""),"")</f>
        <v/>
      </c>
      <c r="CC35" s="232" t="str">
        <f>IFERROR(__xludf.DUMMYFUNCTION("""COMPUTED_VALUE"""),"")</f>
        <v/>
      </c>
      <c r="CD35" s="233" t="str">
        <f>IFERROR(__xludf.DUMMYFUNCTION("""COMPUTED_VALUE"""),"")</f>
        <v/>
      </c>
      <c r="CE35" s="234" t="str">
        <f>IFERROR(__xludf.DUMMYFUNCTION("""COMPUTED_VALUE"""),"")</f>
        <v/>
      </c>
      <c r="CF35" s="230" t="str">
        <f>IFERROR(__xludf.DUMMYFUNCTION("""COMPUTED_VALUE"""),"")</f>
        <v/>
      </c>
      <c r="CG35" s="235" t="str">
        <f>IFERROR(__xludf.DUMMYFUNCTION("""COMPUTED_VALUE"""),"")</f>
        <v/>
      </c>
      <c r="CH35" s="234">
        <f>IFERROR(__xludf.DUMMYFUNCTION("""COMPUTED_VALUE"""),103.3)</f>
        <v>103.3</v>
      </c>
      <c r="CI35" s="230" t="str">
        <f>IFERROR(__xludf.DUMMYFUNCTION("""COMPUTED_VALUE"""),"")</f>
        <v/>
      </c>
      <c r="CJ35" s="235" t="str">
        <f>IFERROR(__xludf.DUMMYFUNCTION("""COMPUTED_VALUE"""),"")</f>
        <v/>
      </c>
      <c r="CK35" s="95" t="str">
        <f>IFERROR(__xludf.DUMMYFUNCTION("""COMPUTED_VALUE"""),"")</f>
        <v/>
      </c>
      <c r="CL35" s="96" t="str">
        <f>IFERROR(__xludf.DUMMYFUNCTION("""COMPUTED_VALUE"""),"")</f>
        <v/>
      </c>
      <c r="CM35" s="97" t="str">
        <f>IFERROR(__xludf.DUMMYFUNCTION("""COMPUTED_VALUE"""),"")</f>
        <v/>
      </c>
      <c r="CN35" s="95" t="str">
        <f>IFERROR(__xludf.DUMMYFUNCTION("""COMPUTED_VALUE"""),"")</f>
        <v/>
      </c>
      <c r="CO35" s="96" t="str">
        <f>IFERROR(__xludf.DUMMYFUNCTION("""COMPUTED_VALUE"""),"")</f>
        <v/>
      </c>
      <c r="CP35" s="97" t="str">
        <f>IFERROR(__xludf.DUMMYFUNCTION("""COMPUTED_VALUE"""),"")</f>
        <v/>
      </c>
      <c r="CQ35" s="95" t="str">
        <f>IFERROR(__xludf.DUMMYFUNCTION("""COMPUTED_VALUE"""),"")</f>
        <v/>
      </c>
      <c r="CR35" s="96" t="str">
        <f>IFERROR(__xludf.DUMMYFUNCTION("""COMPUTED_VALUE"""),"")</f>
        <v/>
      </c>
      <c r="CS35" s="97" t="str">
        <f>IFERROR(__xludf.DUMMYFUNCTION("""COMPUTED_VALUE"""),"#REF!")</f>
        <v>#REF!</v>
      </c>
      <c r="CT35" s="95" t="str">
        <f>IFERROR(__xludf.DUMMYFUNCTION("""COMPUTED_VALUE"""),"#REF!")</f>
        <v>#REF!</v>
      </c>
      <c r="CU35" s="96" t="str">
        <f>IFERROR(__xludf.DUMMYFUNCTION("""COMPUTED_VALUE"""),"#REF!")</f>
        <v>#REF!</v>
      </c>
      <c r="CV35" s="97" t="str">
        <f>IFERROR(__xludf.DUMMYFUNCTION("""COMPUTED_VALUE"""),"#REF!")</f>
        <v>#REF!</v>
      </c>
      <c r="CW35" s="95" t="str">
        <f>IFERROR(__xludf.DUMMYFUNCTION("""COMPUTED_VALUE"""),"#REF!")</f>
        <v>#REF!</v>
      </c>
      <c r="CX35" s="96" t="str">
        <f>IFERROR(__xludf.DUMMYFUNCTION("""COMPUTED_VALUE"""),"#REF!")</f>
        <v>#REF!</v>
      </c>
      <c r="CY35" s="97" t="str">
        <f>IFERROR(__xludf.DUMMYFUNCTION("""COMPUTED_VALUE"""),"#REF!")</f>
        <v>#REF!</v>
      </c>
      <c r="CZ35" s="95" t="str">
        <f>IFERROR(__xludf.DUMMYFUNCTION("""COMPUTED_VALUE"""),"#REF!")</f>
        <v>#REF!</v>
      </c>
      <c r="DA35" s="96" t="str">
        <f>IFERROR(__xludf.DUMMYFUNCTION("""COMPUTED_VALUE"""),"#REF!")</f>
        <v>#REF!</v>
      </c>
      <c r="DB35" s="97" t="str">
        <f>IFERROR(__xludf.DUMMYFUNCTION("""COMPUTED_VALUE"""),"#REF!")</f>
        <v>#REF!</v>
      </c>
      <c r="DC35" s="95" t="str">
        <f>IFERROR(__xludf.DUMMYFUNCTION("""COMPUTED_VALUE"""),"#REF!")</f>
        <v>#REF!</v>
      </c>
      <c r="DD35" s="96" t="str">
        <f>IFERROR(__xludf.DUMMYFUNCTION("""COMPUTED_VALUE"""),"#REF!")</f>
        <v>#REF!</v>
      </c>
      <c r="DE35" s="97" t="str">
        <f>IFERROR(__xludf.DUMMYFUNCTION("""COMPUTED_VALUE"""),"#REF!")</f>
        <v>#REF!</v>
      </c>
      <c r="DF35" s="95" t="str">
        <f>IFERROR(__xludf.DUMMYFUNCTION("""COMPUTED_VALUE"""),"#REF!")</f>
        <v>#REF!</v>
      </c>
      <c r="DG35" s="96" t="str">
        <f>IFERROR(__xludf.DUMMYFUNCTION("""COMPUTED_VALUE"""),"#REF!")</f>
        <v>#REF!</v>
      </c>
      <c r="DH35" s="97" t="str">
        <f>IFERROR(__xludf.DUMMYFUNCTION("""COMPUTED_VALUE"""),"#REF!")</f>
        <v>#REF!</v>
      </c>
      <c r="DI35" s="95" t="str">
        <f>IFERROR(__xludf.DUMMYFUNCTION("""COMPUTED_VALUE"""),"#REF!")</f>
        <v>#REF!</v>
      </c>
      <c r="DJ35" s="96" t="str">
        <f>IFERROR(__xludf.DUMMYFUNCTION("""COMPUTED_VALUE"""),"#REF!")</f>
        <v>#REF!</v>
      </c>
      <c r="DK35" s="97" t="str">
        <f>IFERROR(__xludf.DUMMYFUNCTION("""COMPUTED_VALUE"""),"#REF!")</f>
        <v>#REF!</v>
      </c>
      <c r="DL35" s="95" t="str">
        <f>IFERROR(__xludf.DUMMYFUNCTION("""COMPUTED_VALUE"""),"#REF!")</f>
        <v>#REF!</v>
      </c>
      <c r="DM35" s="96" t="str">
        <f>IFERROR(__xludf.DUMMYFUNCTION("""COMPUTED_VALUE"""),"#REF!")</f>
        <v>#REF!</v>
      </c>
      <c r="DN35" s="97" t="str">
        <f>IFERROR(__xludf.DUMMYFUNCTION("""COMPUTED_VALUE"""),"#REF!")</f>
        <v>#REF!</v>
      </c>
      <c r="DO35" s="95" t="str">
        <f>IFERROR(__xludf.DUMMYFUNCTION("""COMPUTED_VALUE"""),"#REF!")</f>
        <v>#REF!</v>
      </c>
      <c r="DP35" s="96" t="str">
        <f>IFERROR(__xludf.DUMMYFUNCTION("""COMPUTED_VALUE"""),"#REF!")</f>
        <v>#REF!</v>
      </c>
      <c r="DQ35" s="97"/>
      <c r="DR35" s="95"/>
    </row>
    <row r="36">
      <c r="B36" s="83" t="str">
        <f>IFERROR(__xludf.DUMMYFUNCTION("""COMPUTED_VALUE"""),"TRF16")</f>
        <v>TRF16</v>
      </c>
      <c r="C36" s="82">
        <f>IFERROR(__xludf.DUMMYFUNCTION("""COMPUTED_VALUE"""),16.0)</f>
        <v>16</v>
      </c>
      <c r="D36" s="88" t="str">
        <f>IFERROR(__xludf.DUMMYFUNCTION("""COMPUTED_VALUE"""),"THU Rider Training Ground- Exp")</f>
        <v>THU Rider Training Ground- Exp</v>
      </c>
      <c r="E36" s="82" t="str">
        <f>IFERROR(__xludf.DUMMYFUNCTION("""COMPUTED_VALUE"""),"騎超級")</f>
        <v>騎超級</v>
      </c>
      <c r="F36" s="102">
        <f>IFERROR(__xludf.DUMMYFUNCTION("""COMPUTED_VALUE"""),40.0)</f>
        <v>40</v>
      </c>
      <c r="G36" s="82">
        <f>IFERROR(__xludf.DUMMYFUNCTION("""COMPUTED_VALUE"""),4052.0)</f>
        <v>4052</v>
      </c>
      <c r="H36" s="231" t="str">
        <f>IFERROR(__xludf.DUMMYFUNCTION("""COMPUTED_VALUE"""),"")</f>
        <v/>
      </c>
      <c r="I36" s="232" t="str">
        <f>IFERROR(__xludf.DUMMYFUNCTION("""COMPUTED_VALUE"""),"")</f>
        <v/>
      </c>
      <c r="J36" s="233">
        <f>IFERROR(__xludf.DUMMYFUNCTION("""COMPUTED_VALUE"""),7.4)</f>
        <v>7.4</v>
      </c>
      <c r="K36" s="231" t="str">
        <f>IFERROR(__xludf.DUMMYFUNCTION("""COMPUTED_VALUE"""),"")</f>
        <v/>
      </c>
      <c r="L36" s="232" t="str">
        <f>IFERROR(__xludf.DUMMYFUNCTION("""COMPUTED_VALUE"""),"")</f>
        <v/>
      </c>
      <c r="M36" s="233" t="str">
        <f>IFERROR(__xludf.DUMMYFUNCTION("""COMPUTED_VALUE"""),"")</f>
        <v/>
      </c>
      <c r="N36" s="231" t="str">
        <f>IFERROR(__xludf.DUMMYFUNCTION("""COMPUTED_VALUE"""),"")</f>
        <v/>
      </c>
      <c r="O36" s="232" t="str">
        <f>IFERROR(__xludf.DUMMYFUNCTION("""COMPUTED_VALUE"""),"")</f>
        <v/>
      </c>
      <c r="P36" s="233" t="str">
        <f>IFERROR(__xludf.DUMMYFUNCTION("""COMPUTED_VALUE"""),"")</f>
        <v/>
      </c>
      <c r="Q36" s="231" t="str">
        <f>IFERROR(__xludf.DUMMYFUNCTION("""COMPUTED_VALUE"""),"")</f>
        <v/>
      </c>
      <c r="R36" s="232" t="str">
        <f>IFERROR(__xludf.DUMMYFUNCTION("""COMPUTED_VALUE"""),"")</f>
        <v/>
      </c>
      <c r="S36" s="233" t="str">
        <f>IFERROR(__xludf.DUMMYFUNCTION("""COMPUTED_VALUE"""),"")</f>
        <v/>
      </c>
      <c r="T36" s="231" t="str">
        <f>IFERROR(__xludf.DUMMYFUNCTION("""COMPUTED_VALUE"""),"")</f>
        <v/>
      </c>
      <c r="U36" s="232" t="str">
        <f>IFERROR(__xludf.DUMMYFUNCTION("""COMPUTED_VALUE"""),"")</f>
        <v/>
      </c>
      <c r="V36" s="233" t="str">
        <f>IFERROR(__xludf.DUMMYFUNCTION("""COMPUTED_VALUE"""),"")</f>
        <v/>
      </c>
      <c r="W36" s="231" t="str">
        <f>IFERROR(__xludf.DUMMYFUNCTION("""COMPUTED_VALUE"""),"")</f>
        <v/>
      </c>
      <c r="X36" s="232" t="str">
        <f>IFERROR(__xludf.DUMMYFUNCTION("""COMPUTED_VALUE"""),"")</f>
        <v/>
      </c>
      <c r="Y36" s="233" t="str">
        <f>IFERROR(__xludf.DUMMYFUNCTION("""COMPUTED_VALUE"""),"")</f>
        <v/>
      </c>
      <c r="Z36" s="231" t="str">
        <f>IFERROR(__xludf.DUMMYFUNCTION("""COMPUTED_VALUE"""),"")</f>
        <v/>
      </c>
      <c r="AA36" s="232" t="str">
        <f>IFERROR(__xludf.DUMMYFUNCTION("""COMPUTED_VALUE"""),"")</f>
        <v/>
      </c>
      <c r="AB36" s="233" t="str">
        <f>IFERROR(__xludf.DUMMYFUNCTION("""COMPUTED_VALUE"""),"")</f>
        <v/>
      </c>
      <c r="AC36" s="231" t="str">
        <f>IFERROR(__xludf.DUMMYFUNCTION("""COMPUTED_VALUE"""),"")</f>
        <v/>
      </c>
      <c r="AD36" s="232" t="str">
        <f>IFERROR(__xludf.DUMMYFUNCTION("""COMPUTED_VALUE"""),"")</f>
        <v/>
      </c>
      <c r="AE36" s="233" t="str">
        <f>IFERROR(__xludf.DUMMYFUNCTION("""COMPUTED_VALUE"""),"")</f>
        <v/>
      </c>
      <c r="AF36" s="231" t="str">
        <f>IFERROR(__xludf.DUMMYFUNCTION("""COMPUTED_VALUE"""),"")</f>
        <v/>
      </c>
      <c r="AG36" s="232" t="str">
        <f>IFERROR(__xludf.DUMMYFUNCTION("""COMPUTED_VALUE"""),"")</f>
        <v/>
      </c>
      <c r="AH36" s="233">
        <f>IFERROR(__xludf.DUMMYFUNCTION("""COMPUTED_VALUE"""),19.4)</f>
        <v>19.4</v>
      </c>
      <c r="AI36" s="231" t="str">
        <f>IFERROR(__xludf.DUMMYFUNCTION("""COMPUTED_VALUE"""),"")</f>
        <v/>
      </c>
      <c r="AJ36" s="232" t="str">
        <f>IFERROR(__xludf.DUMMYFUNCTION("""COMPUTED_VALUE"""),"")</f>
        <v/>
      </c>
      <c r="AK36" s="233" t="str">
        <f>IFERROR(__xludf.DUMMYFUNCTION("""COMPUTED_VALUE"""),"")</f>
        <v/>
      </c>
      <c r="AL36" s="231" t="str">
        <f>IFERROR(__xludf.DUMMYFUNCTION("""COMPUTED_VALUE"""),"")</f>
        <v/>
      </c>
      <c r="AM36" s="232" t="str">
        <f>IFERROR(__xludf.DUMMYFUNCTION("""COMPUTED_VALUE"""),"")</f>
        <v/>
      </c>
      <c r="AN36" s="233" t="str">
        <f>IFERROR(__xludf.DUMMYFUNCTION("""COMPUTED_VALUE"""),"")</f>
        <v/>
      </c>
      <c r="AO36" s="231" t="str">
        <f>IFERROR(__xludf.DUMMYFUNCTION("""COMPUTED_VALUE"""),"")</f>
        <v/>
      </c>
      <c r="AP36" s="232" t="str">
        <f>IFERROR(__xludf.DUMMYFUNCTION("""COMPUTED_VALUE"""),"")</f>
        <v/>
      </c>
      <c r="AQ36" s="233" t="str">
        <f>IFERROR(__xludf.DUMMYFUNCTION("""COMPUTED_VALUE"""),"")</f>
        <v/>
      </c>
      <c r="AR36" s="231" t="str">
        <f>IFERROR(__xludf.DUMMYFUNCTION("""COMPUTED_VALUE"""),"")</f>
        <v/>
      </c>
      <c r="AS36" s="232" t="str">
        <f>IFERROR(__xludf.DUMMYFUNCTION("""COMPUTED_VALUE"""),"")</f>
        <v/>
      </c>
      <c r="AT36" s="233" t="str">
        <f>IFERROR(__xludf.DUMMYFUNCTION("""COMPUTED_VALUE"""),"")</f>
        <v/>
      </c>
      <c r="AU36" s="231" t="str">
        <f>IFERROR(__xludf.DUMMYFUNCTION("""COMPUTED_VALUE"""),"")</f>
        <v/>
      </c>
      <c r="AV36" s="232">
        <f>IFERROR(__xludf.DUMMYFUNCTION("""COMPUTED_VALUE"""),46.7)</f>
        <v>46.7</v>
      </c>
      <c r="AW36" s="233">
        <f>IFERROR(__xludf.DUMMYFUNCTION("""COMPUTED_VALUE"""),16.6)</f>
        <v>16.6</v>
      </c>
      <c r="AX36" s="231" t="str">
        <f>IFERROR(__xludf.DUMMYFUNCTION("""COMPUTED_VALUE"""),"")</f>
        <v/>
      </c>
      <c r="AY36" s="232" t="str">
        <f>IFERROR(__xludf.DUMMYFUNCTION("""COMPUTED_VALUE"""),"")</f>
        <v/>
      </c>
      <c r="AZ36" s="233" t="str">
        <f>IFERROR(__xludf.DUMMYFUNCTION("""COMPUTED_VALUE"""),"")</f>
        <v/>
      </c>
      <c r="BA36" s="231" t="str">
        <f>IFERROR(__xludf.DUMMYFUNCTION("""COMPUTED_VALUE"""),"")</f>
        <v/>
      </c>
      <c r="BB36" s="232" t="str">
        <f>IFERROR(__xludf.DUMMYFUNCTION("""COMPUTED_VALUE"""),"")</f>
        <v/>
      </c>
      <c r="BC36" s="233" t="str">
        <f>IFERROR(__xludf.DUMMYFUNCTION("""COMPUTED_VALUE"""),"")</f>
        <v/>
      </c>
      <c r="BD36" s="231" t="str">
        <f>IFERROR(__xludf.DUMMYFUNCTION("""COMPUTED_VALUE"""),"")</f>
        <v/>
      </c>
      <c r="BE36" s="232" t="str">
        <f>IFERROR(__xludf.DUMMYFUNCTION("""COMPUTED_VALUE"""),"")</f>
        <v/>
      </c>
      <c r="BF36" s="233">
        <f>IFERROR(__xludf.DUMMYFUNCTION("""COMPUTED_VALUE"""),39.5)</f>
        <v>39.5</v>
      </c>
      <c r="BG36" s="231" t="str">
        <f>IFERROR(__xludf.DUMMYFUNCTION("""COMPUTED_VALUE"""),"")</f>
        <v/>
      </c>
      <c r="BH36" s="232" t="str">
        <f>IFERROR(__xludf.DUMMYFUNCTION("""COMPUTED_VALUE"""),"")</f>
        <v/>
      </c>
      <c r="BI36" s="233" t="str">
        <f>IFERROR(__xludf.DUMMYFUNCTION("""COMPUTED_VALUE"""),"")</f>
        <v/>
      </c>
      <c r="BJ36" s="231" t="str">
        <f>IFERROR(__xludf.DUMMYFUNCTION("""COMPUTED_VALUE"""),"")</f>
        <v/>
      </c>
      <c r="BK36" s="232" t="str">
        <f>IFERROR(__xludf.DUMMYFUNCTION("""COMPUTED_VALUE"""),"")</f>
        <v/>
      </c>
      <c r="BL36" s="233" t="str">
        <f>IFERROR(__xludf.DUMMYFUNCTION("""COMPUTED_VALUE"""),"")</f>
        <v/>
      </c>
      <c r="BM36" s="231">
        <f>IFERROR(__xludf.DUMMYFUNCTION("""COMPUTED_VALUE"""),95.0)</f>
        <v>95</v>
      </c>
      <c r="BN36" s="232" t="str">
        <f>IFERROR(__xludf.DUMMYFUNCTION("""COMPUTED_VALUE"""),"")</f>
        <v/>
      </c>
      <c r="BO36" s="233" t="str">
        <f>IFERROR(__xludf.DUMMYFUNCTION("""COMPUTED_VALUE"""),"")</f>
        <v/>
      </c>
      <c r="BP36" s="231" t="str">
        <f>IFERROR(__xludf.DUMMYFUNCTION("""COMPUTED_VALUE"""),"")</f>
        <v/>
      </c>
      <c r="BQ36" s="232" t="str">
        <f>IFERROR(__xludf.DUMMYFUNCTION("""COMPUTED_VALUE"""),"")</f>
        <v/>
      </c>
      <c r="BR36" s="233" t="str">
        <f>IFERROR(__xludf.DUMMYFUNCTION("""COMPUTED_VALUE"""),"")</f>
        <v/>
      </c>
      <c r="BS36" s="231" t="str">
        <f>IFERROR(__xludf.DUMMYFUNCTION("""COMPUTED_VALUE"""),"")</f>
        <v/>
      </c>
      <c r="BT36" s="232">
        <f>IFERROR(__xludf.DUMMYFUNCTION("""COMPUTED_VALUE"""),22.1)</f>
        <v>22.1</v>
      </c>
      <c r="BU36" s="233" t="str">
        <f>IFERROR(__xludf.DUMMYFUNCTION("""COMPUTED_VALUE"""),"")</f>
        <v/>
      </c>
      <c r="BV36" s="231" t="str">
        <f>IFERROR(__xludf.DUMMYFUNCTION("""COMPUTED_VALUE"""),"")</f>
        <v/>
      </c>
      <c r="BW36" s="232" t="str">
        <f>IFERROR(__xludf.DUMMYFUNCTION("""COMPUTED_VALUE"""),"")</f>
        <v/>
      </c>
      <c r="BX36" s="233" t="str">
        <f>IFERROR(__xludf.DUMMYFUNCTION("""COMPUTED_VALUE"""),"")</f>
        <v/>
      </c>
      <c r="BY36" s="231" t="str">
        <f>IFERROR(__xludf.DUMMYFUNCTION("""COMPUTED_VALUE"""),"")</f>
        <v/>
      </c>
      <c r="BZ36" s="232" t="str">
        <f>IFERROR(__xludf.DUMMYFUNCTION("""COMPUTED_VALUE"""),"")</f>
        <v/>
      </c>
      <c r="CA36" s="233">
        <f>IFERROR(__xludf.DUMMYFUNCTION("""COMPUTED_VALUE"""),58.3)</f>
        <v>58.3</v>
      </c>
      <c r="CB36" s="231" t="str">
        <f>IFERROR(__xludf.DUMMYFUNCTION("""COMPUTED_VALUE"""),"")</f>
        <v/>
      </c>
      <c r="CC36" s="232" t="str">
        <f>IFERROR(__xludf.DUMMYFUNCTION("""COMPUTED_VALUE"""),"")</f>
        <v/>
      </c>
      <c r="CD36" s="233" t="str">
        <f>IFERROR(__xludf.DUMMYFUNCTION("""COMPUTED_VALUE"""),"")</f>
        <v/>
      </c>
      <c r="CE36" s="234" t="str">
        <f>IFERROR(__xludf.DUMMYFUNCTION("""COMPUTED_VALUE"""),"")</f>
        <v/>
      </c>
      <c r="CF36" s="230" t="str">
        <f>IFERROR(__xludf.DUMMYFUNCTION("""COMPUTED_VALUE"""),"")</f>
        <v/>
      </c>
      <c r="CG36" s="235" t="str">
        <f>IFERROR(__xludf.DUMMYFUNCTION("""COMPUTED_VALUE"""),"")</f>
        <v/>
      </c>
      <c r="CH36" s="234">
        <f>IFERROR(__xludf.DUMMYFUNCTION("""COMPUTED_VALUE"""),77.5)</f>
        <v>77.5</v>
      </c>
      <c r="CI36" s="230" t="str">
        <f>IFERROR(__xludf.DUMMYFUNCTION("""COMPUTED_VALUE"""),"")</f>
        <v/>
      </c>
      <c r="CJ36" s="235" t="str">
        <f>IFERROR(__xludf.DUMMYFUNCTION("""COMPUTED_VALUE"""),"")</f>
        <v/>
      </c>
      <c r="CK36" s="95" t="str">
        <f>IFERROR(__xludf.DUMMYFUNCTION("""COMPUTED_VALUE"""),"")</f>
        <v/>
      </c>
      <c r="CL36" s="96" t="str">
        <f>IFERROR(__xludf.DUMMYFUNCTION("""COMPUTED_VALUE"""),"")</f>
        <v/>
      </c>
      <c r="CM36" s="97" t="str">
        <f>IFERROR(__xludf.DUMMYFUNCTION("""COMPUTED_VALUE"""),"")</f>
        <v/>
      </c>
      <c r="CN36" s="95" t="str">
        <f>IFERROR(__xludf.DUMMYFUNCTION("""COMPUTED_VALUE"""),"")</f>
        <v/>
      </c>
      <c r="CO36" s="96" t="str">
        <f>IFERROR(__xludf.DUMMYFUNCTION("""COMPUTED_VALUE"""),"")</f>
        <v/>
      </c>
      <c r="CP36" s="97" t="str">
        <f>IFERROR(__xludf.DUMMYFUNCTION("""COMPUTED_VALUE"""),"")</f>
        <v/>
      </c>
      <c r="CQ36" s="95" t="str">
        <f>IFERROR(__xludf.DUMMYFUNCTION("""COMPUTED_VALUE"""),"")</f>
        <v/>
      </c>
      <c r="CR36" s="96" t="str">
        <f>IFERROR(__xludf.DUMMYFUNCTION("""COMPUTED_VALUE"""),"")</f>
        <v/>
      </c>
      <c r="CS36" s="97" t="str">
        <f>IFERROR(__xludf.DUMMYFUNCTION("""COMPUTED_VALUE"""),"#REF!")</f>
        <v>#REF!</v>
      </c>
      <c r="CT36" s="95" t="str">
        <f>IFERROR(__xludf.DUMMYFUNCTION("""COMPUTED_VALUE"""),"#REF!")</f>
        <v>#REF!</v>
      </c>
      <c r="CU36" s="96" t="str">
        <f>IFERROR(__xludf.DUMMYFUNCTION("""COMPUTED_VALUE"""),"#REF!")</f>
        <v>#REF!</v>
      </c>
      <c r="CV36" s="97" t="str">
        <f>IFERROR(__xludf.DUMMYFUNCTION("""COMPUTED_VALUE"""),"#REF!")</f>
        <v>#REF!</v>
      </c>
      <c r="CW36" s="95" t="str">
        <f>IFERROR(__xludf.DUMMYFUNCTION("""COMPUTED_VALUE"""),"#REF!")</f>
        <v>#REF!</v>
      </c>
      <c r="CX36" s="96" t="str">
        <f>IFERROR(__xludf.DUMMYFUNCTION("""COMPUTED_VALUE"""),"#REF!")</f>
        <v>#REF!</v>
      </c>
      <c r="CY36" s="97" t="str">
        <f>IFERROR(__xludf.DUMMYFUNCTION("""COMPUTED_VALUE"""),"#REF!")</f>
        <v>#REF!</v>
      </c>
      <c r="CZ36" s="95" t="str">
        <f>IFERROR(__xludf.DUMMYFUNCTION("""COMPUTED_VALUE"""),"#REF!")</f>
        <v>#REF!</v>
      </c>
      <c r="DA36" s="96" t="str">
        <f>IFERROR(__xludf.DUMMYFUNCTION("""COMPUTED_VALUE"""),"#REF!")</f>
        <v>#REF!</v>
      </c>
      <c r="DB36" s="97" t="str">
        <f>IFERROR(__xludf.DUMMYFUNCTION("""COMPUTED_VALUE"""),"#REF!")</f>
        <v>#REF!</v>
      </c>
      <c r="DC36" s="95" t="str">
        <f>IFERROR(__xludf.DUMMYFUNCTION("""COMPUTED_VALUE"""),"#REF!")</f>
        <v>#REF!</v>
      </c>
      <c r="DD36" s="96" t="str">
        <f>IFERROR(__xludf.DUMMYFUNCTION("""COMPUTED_VALUE"""),"#REF!")</f>
        <v>#REF!</v>
      </c>
      <c r="DE36" s="97" t="str">
        <f>IFERROR(__xludf.DUMMYFUNCTION("""COMPUTED_VALUE"""),"#REF!")</f>
        <v>#REF!</v>
      </c>
      <c r="DF36" s="95" t="str">
        <f>IFERROR(__xludf.DUMMYFUNCTION("""COMPUTED_VALUE"""),"#REF!")</f>
        <v>#REF!</v>
      </c>
      <c r="DG36" s="96" t="str">
        <f>IFERROR(__xludf.DUMMYFUNCTION("""COMPUTED_VALUE"""),"#REF!")</f>
        <v>#REF!</v>
      </c>
      <c r="DH36" s="97" t="str">
        <f>IFERROR(__xludf.DUMMYFUNCTION("""COMPUTED_VALUE"""),"#REF!")</f>
        <v>#REF!</v>
      </c>
      <c r="DI36" s="95" t="str">
        <f>IFERROR(__xludf.DUMMYFUNCTION("""COMPUTED_VALUE"""),"#REF!")</f>
        <v>#REF!</v>
      </c>
      <c r="DJ36" s="96" t="str">
        <f>IFERROR(__xludf.DUMMYFUNCTION("""COMPUTED_VALUE"""),"#REF!")</f>
        <v>#REF!</v>
      </c>
      <c r="DK36" s="97" t="str">
        <f>IFERROR(__xludf.DUMMYFUNCTION("""COMPUTED_VALUE"""),"#REF!")</f>
        <v>#REF!</v>
      </c>
      <c r="DL36" s="95" t="str">
        <f>IFERROR(__xludf.DUMMYFUNCTION("""COMPUTED_VALUE"""),"#REF!")</f>
        <v>#REF!</v>
      </c>
      <c r="DM36" s="96" t="str">
        <f>IFERROR(__xludf.DUMMYFUNCTION("""COMPUTED_VALUE"""),"#REF!")</f>
        <v>#REF!</v>
      </c>
      <c r="DN36" s="97" t="str">
        <f>IFERROR(__xludf.DUMMYFUNCTION("""COMPUTED_VALUE"""),"#REF!")</f>
        <v>#REF!</v>
      </c>
      <c r="DO36" s="95" t="str">
        <f>IFERROR(__xludf.DUMMYFUNCTION("""COMPUTED_VALUE"""),"#REF!")</f>
        <v>#REF!</v>
      </c>
      <c r="DP36" s="96" t="str">
        <f>IFERROR(__xludf.DUMMYFUNCTION("""COMPUTED_VALUE"""),"#REF!")</f>
        <v>#REF!</v>
      </c>
      <c r="DQ36" s="97"/>
      <c r="DR36" s="95"/>
    </row>
    <row r="37">
      <c r="B37" s="83" t="str">
        <f>IFERROR(__xludf.DUMMYFUNCTION("""COMPUTED_VALUE"""),"TRF17")</f>
        <v>TRF17</v>
      </c>
      <c r="C37" s="82">
        <f>IFERROR(__xludf.DUMMYFUNCTION("""COMPUTED_VALUE"""),23.0)</f>
        <v>23</v>
      </c>
      <c r="D37" s="88" t="str">
        <f>IFERROR(__xludf.DUMMYFUNCTION("""COMPUTED_VALUE"""),"FRI Caster Training Ground- Nov")</f>
        <v>FRI Caster Training Ground- Nov</v>
      </c>
      <c r="E37" s="82" t="str">
        <f>IFERROR(__xludf.DUMMYFUNCTION("""COMPUTED_VALUE"""),"術初級")</f>
        <v>術初級</v>
      </c>
      <c r="F37" s="102">
        <f>IFERROR(__xludf.DUMMYFUNCTION("""COMPUTED_VALUE"""),10.0)</f>
        <v>10</v>
      </c>
      <c r="G37" s="82">
        <f>IFERROR(__xludf.DUMMYFUNCTION("""COMPUTED_VALUE"""),2983.0)</f>
        <v>2983</v>
      </c>
      <c r="H37" s="231" t="str">
        <f>IFERROR(__xludf.DUMMYFUNCTION("""COMPUTED_VALUE"""),"")</f>
        <v/>
      </c>
      <c r="I37" s="232" t="str">
        <f>IFERROR(__xludf.DUMMYFUNCTION("""COMPUTED_VALUE"""),"")</f>
        <v/>
      </c>
      <c r="J37" s="233" t="str">
        <f>IFERROR(__xludf.DUMMYFUNCTION("""COMPUTED_VALUE"""),"")</f>
        <v/>
      </c>
      <c r="K37" s="231" t="str">
        <f>IFERROR(__xludf.DUMMYFUNCTION("""COMPUTED_VALUE"""),"")</f>
        <v/>
      </c>
      <c r="L37" s="232" t="str">
        <f>IFERROR(__xludf.DUMMYFUNCTION("""COMPUTED_VALUE"""),"")</f>
        <v/>
      </c>
      <c r="M37" s="233" t="str">
        <f>IFERROR(__xludf.DUMMYFUNCTION("""COMPUTED_VALUE"""),"")</f>
        <v/>
      </c>
      <c r="N37" s="231" t="str">
        <f>IFERROR(__xludf.DUMMYFUNCTION("""COMPUTED_VALUE"""),"")</f>
        <v/>
      </c>
      <c r="O37" s="232" t="str">
        <f>IFERROR(__xludf.DUMMYFUNCTION("""COMPUTED_VALUE"""),"")</f>
        <v/>
      </c>
      <c r="P37" s="233" t="str">
        <f>IFERROR(__xludf.DUMMYFUNCTION("""COMPUTED_VALUE"""),"")</f>
        <v/>
      </c>
      <c r="Q37" s="231" t="str">
        <f>IFERROR(__xludf.DUMMYFUNCTION("""COMPUTED_VALUE"""),"")</f>
        <v/>
      </c>
      <c r="R37" s="232" t="str">
        <f>IFERROR(__xludf.DUMMYFUNCTION("""COMPUTED_VALUE"""),"")</f>
        <v/>
      </c>
      <c r="S37" s="233" t="str">
        <f>IFERROR(__xludf.DUMMYFUNCTION("""COMPUTED_VALUE"""),"")</f>
        <v/>
      </c>
      <c r="T37" s="231" t="str">
        <f>IFERROR(__xludf.DUMMYFUNCTION("""COMPUTED_VALUE"""),"")</f>
        <v/>
      </c>
      <c r="U37" s="232" t="str">
        <f>IFERROR(__xludf.DUMMYFUNCTION("""COMPUTED_VALUE"""),"")</f>
        <v/>
      </c>
      <c r="V37" s="233" t="str">
        <f>IFERROR(__xludf.DUMMYFUNCTION("""COMPUTED_VALUE"""),"")</f>
        <v/>
      </c>
      <c r="W37" s="231" t="str">
        <f>IFERROR(__xludf.DUMMYFUNCTION("""COMPUTED_VALUE"""),"")</f>
        <v/>
      </c>
      <c r="X37" s="232" t="str">
        <f>IFERROR(__xludf.DUMMYFUNCTION("""COMPUTED_VALUE"""),"")</f>
        <v/>
      </c>
      <c r="Y37" s="233" t="str">
        <f>IFERROR(__xludf.DUMMYFUNCTION("""COMPUTED_VALUE"""),"")</f>
        <v/>
      </c>
      <c r="Z37" s="231" t="str">
        <f>IFERROR(__xludf.DUMMYFUNCTION("""COMPUTED_VALUE"""),"")</f>
        <v/>
      </c>
      <c r="AA37" s="232" t="str">
        <f>IFERROR(__xludf.DUMMYFUNCTION("""COMPUTED_VALUE"""),"")</f>
        <v/>
      </c>
      <c r="AB37" s="233" t="str">
        <f>IFERROR(__xludf.DUMMYFUNCTION("""COMPUTED_VALUE"""),"")</f>
        <v/>
      </c>
      <c r="AC37" s="231">
        <f>IFERROR(__xludf.DUMMYFUNCTION("""COMPUTED_VALUE"""),7.9)</f>
        <v>7.9</v>
      </c>
      <c r="AD37" s="232" t="str">
        <f>IFERROR(__xludf.DUMMYFUNCTION("""COMPUTED_VALUE"""),"")</f>
        <v/>
      </c>
      <c r="AE37" s="233" t="str">
        <f>IFERROR(__xludf.DUMMYFUNCTION("""COMPUTED_VALUE"""),"")</f>
        <v/>
      </c>
      <c r="AF37" s="231">
        <f>IFERROR(__xludf.DUMMYFUNCTION("""COMPUTED_VALUE"""),4.8)</f>
        <v>4.8</v>
      </c>
      <c r="AG37" s="232" t="str">
        <f>IFERROR(__xludf.DUMMYFUNCTION("""COMPUTED_VALUE"""),"")</f>
        <v/>
      </c>
      <c r="AH37" s="233" t="str">
        <f>IFERROR(__xludf.DUMMYFUNCTION("""COMPUTED_VALUE"""),"")</f>
        <v/>
      </c>
      <c r="AI37" s="231" t="str">
        <f>IFERROR(__xludf.DUMMYFUNCTION("""COMPUTED_VALUE"""),"")</f>
        <v/>
      </c>
      <c r="AJ37" s="232" t="str">
        <f>IFERROR(__xludf.DUMMYFUNCTION("""COMPUTED_VALUE"""),"")</f>
        <v/>
      </c>
      <c r="AK37" s="233" t="str">
        <f>IFERROR(__xludf.DUMMYFUNCTION("""COMPUTED_VALUE"""),"")</f>
        <v/>
      </c>
      <c r="AL37" s="231" t="str">
        <f>IFERROR(__xludf.DUMMYFUNCTION("""COMPUTED_VALUE"""),"")</f>
        <v/>
      </c>
      <c r="AM37" s="232" t="str">
        <f>IFERROR(__xludf.DUMMYFUNCTION("""COMPUTED_VALUE"""),"")</f>
        <v/>
      </c>
      <c r="AN37" s="233" t="str">
        <f>IFERROR(__xludf.DUMMYFUNCTION("""COMPUTED_VALUE"""),"")</f>
        <v/>
      </c>
      <c r="AO37" s="231" t="str">
        <f>IFERROR(__xludf.DUMMYFUNCTION("""COMPUTED_VALUE"""),"")</f>
        <v/>
      </c>
      <c r="AP37" s="232" t="str">
        <f>IFERROR(__xludf.DUMMYFUNCTION("""COMPUTED_VALUE"""),"")</f>
        <v/>
      </c>
      <c r="AQ37" s="233" t="str">
        <f>IFERROR(__xludf.DUMMYFUNCTION("""COMPUTED_VALUE"""),"")</f>
        <v/>
      </c>
      <c r="AR37" s="231" t="str">
        <f>IFERROR(__xludf.DUMMYFUNCTION("""COMPUTED_VALUE"""),"")</f>
        <v/>
      </c>
      <c r="AS37" s="232" t="str">
        <f>IFERROR(__xludf.DUMMYFUNCTION("""COMPUTED_VALUE"""),"")</f>
        <v/>
      </c>
      <c r="AT37" s="233" t="str">
        <f>IFERROR(__xludf.DUMMYFUNCTION("""COMPUTED_VALUE"""),"")</f>
        <v/>
      </c>
      <c r="AU37" s="231" t="str">
        <f>IFERROR(__xludf.DUMMYFUNCTION("""COMPUTED_VALUE"""),"")</f>
        <v/>
      </c>
      <c r="AV37" s="232" t="str">
        <f>IFERROR(__xludf.DUMMYFUNCTION("""COMPUTED_VALUE"""),"")</f>
        <v/>
      </c>
      <c r="AW37" s="233">
        <f>IFERROR(__xludf.DUMMYFUNCTION("""COMPUTED_VALUE"""),13.4)</f>
        <v>13.4</v>
      </c>
      <c r="AX37" s="231" t="str">
        <f>IFERROR(__xludf.DUMMYFUNCTION("""COMPUTED_VALUE"""),"")</f>
        <v/>
      </c>
      <c r="AY37" s="232" t="str">
        <f>IFERROR(__xludf.DUMMYFUNCTION("""COMPUTED_VALUE"""),"")</f>
        <v/>
      </c>
      <c r="AZ37" s="233" t="str">
        <f>IFERROR(__xludf.DUMMYFUNCTION("""COMPUTED_VALUE"""),"")</f>
        <v/>
      </c>
      <c r="BA37" s="231" t="str">
        <f>IFERROR(__xludf.DUMMYFUNCTION("""COMPUTED_VALUE"""),"")</f>
        <v/>
      </c>
      <c r="BB37" s="232" t="str">
        <f>IFERROR(__xludf.DUMMYFUNCTION("""COMPUTED_VALUE"""),"")</f>
        <v/>
      </c>
      <c r="BC37" s="233" t="str">
        <f>IFERROR(__xludf.DUMMYFUNCTION("""COMPUTED_VALUE"""),"")</f>
        <v/>
      </c>
      <c r="BD37" s="231" t="str">
        <f>IFERROR(__xludf.DUMMYFUNCTION("""COMPUTED_VALUE"""),"")</f>
        <v/>
      </c>
      <c r="BE37" s="232" t="str">
        <f>IFERROR(__xludf.DUMMYFUNCTION("""COMPUTED_VALUE"""),"")</f>
        <v/>
      </c>
      <c r="BF37" s="233" t="str">
        <f>IFERROR(__xludf.DUMMYFUNCTION("""COMPUTED_VALUE"""),"")</f>
        <v/>
      </c>
      <c r="BG37" s="231" t="str">
        <f>IFERROR(__xludf.DUMMYFUNCTION("""COMPUTED_VALUE"""),"")</f>
        <v/>
      </c>
      <c r="BH37" s="232" t="str">
        <f>IFERROR(__xludf.DUMMYFUNCTION("""COMPUTED_VALUE"""),"")</f>
        <v/>
      </c>
      <c r="BI37" s="233" t="str">
        <f>IFERROR(__xludf.DUMMYFUNCTION("""COMPUTED_VALUE"""),"")</f>
        <v/>
      </c>
      <c r="BJ37" s="231" t="str">
        <f>IFERROR(__xludf.DUMMYFUNCTION("""COMPUTED_VALUE"""),"")</f>
        <v/>
      </c>
      <c r="BK37" s="232" t="str">
        <f>IFERROR(__xludf.DUMMYFUNCTION("""COMPUTED_VALUE"""),"")</f>
        <v/>
      </c>
      <c r="BL37" s="233" t="str">
        <f>IFERROR(__xludf.DUMMYFUNCTION("""COMPUTED_VALUE"""),"")</f>
        <v/>
      </c>
      <c r="BM37" s="231" t="str">
        <f>IFERROR(__xludf.DUMMYFUNCTION("""COMPUTED_VALUE"""),"")</f>
        <v/>
      </c>
      <c r="BN37" s="232">
        <f>IFERROR(__xludf.DUMMYFUNCTION("""COMPUTED_VALUE"""),11.4)</f>
        <v>11.4</v>
      </c>
      <c r="BO37" s="233" t="str">
        <f>IFERROR(__xludf.DUMMYFUNCTION("""COMPUTED_VALUE"""),"")</f>
        <v/>
      </c>
      <c r="BP37" s="231" t="str">
        <f>IFERROR(__xludf.DUMMYFUNCTION("""COMPUTED_VALUE"""),"")</f>
        <v/>
      </c>
      <c r="BQ37" s="232" t="str">
        <f>IFERROR(__xludf.DUMMYFUNCTION("""COMPUTED_VALUE"""),"")</f>
        <v/>
      </c>
      <c r="BR37" s="233" t="str">
        <f>IFERROR(__xludf.DUMMYFUNCTION("""COMPUTED_VALUE"""),"")</f>
        <v/>
      </c>
      <c r="BS37" s="231" t="str">
        <f>IFERROR(__xludf.DUMMYFUNCTION("""COMPUTED_VALUE"""),"")</f>
        <v/>
      </c>
      <c r="BT37" s="232" t="str">
        <f>IFERROR(__xludf.DUMMYFUNCTION("""COMPUTED_VALUE"""),"")</f>
        <v/>
      </c>
      <c r="BU37" s="233">
        <f>IFERROR(__xludf.DUMMYFUNCTION("""COMPUTED_VALUE"""),123.8)</f>
        <v>123.8</v>
      </c>
      <c r="BV37" s="231" t="str">
        <f>IFERROR(__xludf.DUMMYFUNCTION("""COMPUTED_VALUE"""),"")</f>
        <v/>
      </c>
      <c r="BW37" s="232" t="str">
        <f>IFERROR(__xludf.DUMMYFUNCTION("""COMPUTED_VALUE"""),"")</f>
        <v/>
      </c>
      <c r="BX37" s="233" t="str">
        <f>IFERROR(__xludf.DUMMYFUNCTION("""COMPUTED_VALUE"""),"")</f>
        <v/>
      </c>
      <c r="BY37" s="231" t="str">
        <f>IFERROR(__xludf.DUMMYFUNCTION("""COMPUTED_VALUE"""),"")</f>
        <v/>
      </c>
      <c r="BZ37" s="232" t="str">
        <f>IFERROR(__xludf.DUMMYFUNCTION("""COMPUTED_VALUE"""),"")</f>
        <v/>
      </c>
      <c r="CA37" s="233" t="str">
        <f>IFERROR(__xludf.DUMMYFUNCTION("""COMPUTED_VALUE"""),"")</f>
        <v/>
      </c>
      <c r="CB37" s="231">
        <f>IFERROR(__xludf.DUMMYFUNCTION("""COMPUTED_VALUE"""),1.9)</f>
        <v>1.9</v>
      </c>
      <c r="CC37" s="232" t="str">
        <f>IFERROR(__xludf.DUMMYFUNCTION("""COMPUTED_VALUE"""),"")</f>
        <v/>
      </c>
      <c r="CD37" s="233" t="str">
        <f>IFERROR(__xludf.DUMMYFUNCTION("""COMPUTED_VALUE"""),"")</f>
        <v/>
      </c>
      <c r="CE37" s="234" t="str">
        <f>IFERROR(__xludf.DUMMYFUNCTION("""COMPUTED_VALUE"""),"")</f>
        <v/>
      </c>
      <c r="CF37" s="230" t="str">
        <f>IFERROR(__xludf.DUMMYFUNCTION("""COMPUTED_VALUE"""),"")</f>
        <v/>
      </c>
      <c r="CG37" s="235" t="str">
        <f>IFERROR(__xludf.DUMMYFUNCTION("""COMPUTED_VALUE"""),"")</f>
        <v/>
      </c>
      <c r="CH37" s="234" t="str">
        <f>IFERROR(__xludf.DUMMYFUNCTION("""COMPUTED_VALUE"""),"")</f>
        <v/>
      </c>
      <c r="CI37" s="230">
        <f>IFERROR(__xludf.DUMMYFUNCTION("""COMPUTED_VALUE"""),32.5)</f>
        <v>32.5</v>
      </c>
      <c r="CJ37" s="235" t="str">
        <f>IFERROR(__xludf.DUMMYFUNCTION("""COMPUTED_VALUE"""),"")</f>
        <v/>
      </c>
      <c r="CK37" s="95" t="str">
        <f>IFERROR(__xludf.DUMMYFUNCTION("""COMPUTED_VALUE"""),"")</f>
        <v/>
      </c>
      <c r="CL37" s="96" t="str">
        <f>IFERROR(__xludf.DUMMYFUNCTION("""COMPUTED_VALUE"""),"")</f>
        <v/>
      </c>
      <c r="CM37" s="97" t="str">
        <f>IFERROR(__xludf.DUMMYFUNCTION("""COMPUTED_VALUE"""),"")</f>
        <v/>
      </c>
      <c r="CN37" s="95" t="str">
        <f>IFERROR(__xludf.DUMMYFUNCTION("""COMPUTED_VALUE"""),"")</f>
        <v/>
      </c>
      <c r="CO37" s="96" t="str">
        <f>IFERROR(__xludf.DUMMYFUNCTION("""COMPUTED_VALUE"""),"")</f>
        <v/>
      </c>
      <c r="CP37" s="97" t="str">
        <f>IFERROR(__xludf.DUMMYFUNCTION("""COMPUTED_VALUE"""),"")</f>
        <v/>
      </c>
      <c r="CQ37" s="95" t="str">
        <f>IFERROR(__xludf.DUMMYFUNCTION("""COMPUTED_VALUE"""),"")</f>
        <v/>
      </c>
      <c r="CR37" s="96" t="str">
        <f>IFERROR(__xludf.DUMMYFUNCTION("""COMPUTED_VALUE"""),"")</f>
        <v/>
      </c>
      <c r="CS37" s="97" t="str">
        <f>IFERROR(__xludf.DUMMYFUNCTION("""COMPUTED_VALUE"""),"#REF!")</f>
        <v>#REF!</v>
      </c>
      <c r="CT37" s="95" t="str">
        <f>IFERROR(__xludf.DUMMYFUNCTION("""COMPUTED_VALUE"""),"#REF!")</f>
        <v>#REF!</v>
      </c>
      <c r="CU37" s="96" t="str">
        <f>IFERROR(__xludf.DUMMYFUNCTION("""COMPUTED_VALUE"""),"#REF!")</f>
        <v>#REF!</v>
      </c>
      <c r="CV37" s="97" t="str">
        <f>IFERROR(__xludf.DUMMYFUNCTION("""COMPUTED_VALUE"""),"#REF!")</f>
        <v>#REF!</v>
      </c>
      <c r="CW37" s="95" t="str">
        <f>IFERROR(__xludf.DUMMYFUNCTION("""COMPUTED_VALUE"""),"#REF!")</f>
        <v>#REF!</v>
      </c>
      <c r="CX37" s="96" t="str">
        <f>IFERROR(__xludf.DUMMYFUNCTION("""COMPUTED_VALUE"""),"#REF!")</f>
        <v>#REF!</v>
      </c>
      <c r="CY37" s="97" t="str">
        <f>IFERROR(__xludf.DUMMYFUNCTION("""COMPUTED_VALUE"""),"#REF!")</f>
        <v>#REF!</v>
      </c>
      <c r="CZ37" s="95" t="str">
        <f>IFERROR(__xludf.DUMMYFUNCTION("""COMPUTED_VALUE"""),"#REF!")</f>
        <v>#REF!</v>
      </c>
      <c r="DA37" s="96" t="str">
        <f>IFERROR(__xludf.DUMMYFUNCTION("""COMPUTED_VALUE"""),"#REF!")</f>
        <v>#REF!</v>
      </c>
      <c r="DB37" s="97" t="str">
        <f>IFERROR(__xludf.DUMMYFUNCTION("""COMPUTED_VALUE"""),"#REF!")</f>
        <v>#REF!</v>
      </c>
      <c r="DC37" s="95" t="str">
        <f>IFERROR(__xludf.DUMMYFUNCTION("""COMPUTED_VALUE"""),"#REF!")</f>
        <v>#REF!</v>
      </c>
      <c r="DD37" s="96" t="str">
        <f>IFERROR(__xludf.DUMMYFUNCTION("""COMPUTED_VALUE"""),"#REF!")</f>
        <v>#REF!</v>
      </c>
      <c r="DE37" s="97" t="str">
        <f>IFERROR(__xludf.DUMMYFUNCTION("""COMPUTED_VALUE"""),"#REF!")</f>
        <v>#REF!</v>
      </c>
      <c r="DF37" s="95" t="str">
        <f>IFERROR(__xludf.DUMMYFUNCTION("""COMPUTED_VALUE"""),"#REF!")</f>
        <v>#REF!</v>
      </c>
      <c r="DG37" s="96" t="str">
        <f>IFERROR(__xludf.DUMMYFUNCTION("""COMPUTED_VALUE"""),"#REF!")</f>
        <v>#REF!</v>
      </c>
      <c r="DH37" s="97" t="str">
        <f>IFERROR(__xludf.DUMMYFUNCTION("""COMPUTED_VALUE"""),"#REF!")</f>
        <v>#REF!</v>
      </c>
      <c r="DI37" s="95" t="str">
        <f>IFERROR(__xludf.DUMMYFUNCTION("""COMPUTED_VALUE"""),"#REF!")</f>
        <v>#REF!</v>
      </c>
      <c r="DJ37" s="96" t="str">
        <f>IFERROR(__xludf.DUMMYFUNCTION("""COMPUTED_VALUE"""),"#REF!")</f>
        <v>#REF!</v>
      </c>
      <c r="DK37" s="97" t="str">
        <f>IFERROR(__xludf.DUMMYFUNCTION("""COMPUTED_VALUE"""),"#REF!")</f>
        <v>#REF!</v>
      </c>
      <c r="DL37" s="95" t="str">
        <f>IFERROR(__xludf.DUMMYFUNCTION("""COMPUTED_VALUE"""),"#REF!")</f>
        <v>#REF!</v>
      </c>
      <c r="DM37" s="96" t="str">
        <f>IFERROR(__xludf.DUMMYFUNCTION("""COMPUTED_VALUE"""),"#REF!")</f>
        <v>#REF!</v>
      </c>
      <c r="DN37" s="97" t="str">
        <f>IFERROR(__xludf.DUMMYFUNCTION("""COMPUTED_VALUE"""),"#REF!")</f>
        <v>#REF!</v>
      </c>
      <c r="DO37" s="95" t="str">
        <f>IFERROR(__xludf.DUMMYFUNCTION("""COMPUTED_VALUE"""),"#REF!")</f>
        <v>#REF!</v>
      </c>
      <c r="DP37" s="96" t="str">
        <f>IFERROR(__xludf.DUMMYFUNCTION("""COMPUTED_VALUE"""),"#REF!")</f>
        <v>#REF!</v>
      </c>
      <c r="DQ37" s="97"/>
      <c r="DR37" s="95"/>
    </row>
    <row r="38">
      <c r="B38" s="83" t="str">
        <f>IFERROR(__xludf.DUMMYFUNCTION("""COMPUTED_VALUE"""),"TRF18")</f>
        <v>TRF18</v>
      </c>
      <c r="C38" s="82">
        <f>IFERROR(__xludf.DUMMYFUNCTION("""COMPUTED_VALUE"""),22.0)</f>
        <v>22</v>
      </c>
      <c r="D38" s="88" t="str">
        <f>IFERROR(__xludf.DUMMYFUNCTION("""COMPUTED_VALUE"""),"FRI Caster Training Ground- Int")</f>
        <v>FRI Caster Training Ground- Int</v>
      </c>
      <c r="E38" s="82" t="str">
        <f>IFERROR(__xludf.DUMMYFUNCTION("""COMPUTED_VALUE"""),"術中級")</f>
        <v>術中級</v>
      </c>
      <c r="F38" s="102">
        <f>IFERROR(__xludf.DUMMYFUNCTION("""COMPUTED_VALUE"""),20.0)</f>
        <v>20</v>
      </c>
      <c r="G38" s="82">
        <f>IFERROR(__xludf.DUMMYFUNCTION("""COMPUTED_VALUE"""),1056.0)</f>
        <v>1056</v>
      </c>
      <c r="H38" s="231" t="str">
        <f>IFERROR(__xludf.DUMMYFUNCTION("""COMPUTED_VALUE"""),"")</f>
        <v/>
      </c>
      <c r="I38" s="232" t="str">
        <f>IFERROR(__xludf.DUMMYFUNCTION("""COMPUTED_VALUE"""),"")</f>
        <v/>
      </c>
      <c r="J38" s="233" t="str">
        <f>IFERROR(__xludf.DUMMYFUNCTION("""COMPUTED_VALUE"""),"")</f>
        <v/>
      </c>
      <c r="K38" s="231" t="str">
        <f>IFERROR(__xludf.DUMMYFUNCTION("""COMPUTED_VALUE"""),"")</f>
        <v/>
      </c>
      <c r="L38" s="232" t="str">
        <f>IFERROR(__xludf.DUMMYFUNCTION("""COMPUTED_VALUE"""),"")</f>
        <v/>
      </c>
      <c r="M38" s="233" t="str">
        <f>IFERROR(__xludf.DUMMYFUNCTION("""COMPUTED_VALUE"""),"")</f>
        <v/>
      </c>
      <c r="N38" s="231" t="str">
        <f>IFERROR(__xludf.DUMMYFUNCTION("""COMPUTED_VALUE"""),"")</f>
        <v/>
      </c>
      <c r="O38" s="232" t="str">
        <f>IFERROR(__xludf.DUMMYFUNCTION("""COMPUTED_VALUE"""),"")</f>
        <v/>
      </c>
      <c r="P38" s="233" t="str">
        <f>IFERROR(__xludf.DUMMYFUNCTION("""COMPUTED_VALUE"""),"")</f>
        <v/>
      </c>
      <c r="Q38" s="231" t="str">
        <f>IFERROR(__xludf.DUMMYFUNCTION("""COMPUTED_VALUE"""),"")</f>
        <v/>
      </c>
      <c r="R38" s="232" t="str">
        <f>IFERROR(__xludf.DUMMYFUNCTION("""COMPUTED_VALUE"""),"")</f>
        <v/>
      </c>
      <c r="S38" s="233" t="str">
        <f>IFERROR(__xludf.DUMMYFUNCTION("""COMPUTED_VALUE"""),"")</f>
        <v/>
      </c>
      <c r="T38" s="231" t="str">
        <f>IFERROR(__xludf.DUMMYFUNCTION("""COMPUTED_VALUE"""),"")</f>
        <v/>
      </c>
      <c r="U38" s="232" t="str">
        <f>IFERROR(__xludf.DUMMYFUNCTION("""COMPUTED_VALUE"""),"")</f>
        <v/>
      </c>
      <c r="V38" s="233" t="str">
        <f>IFERROR(__xludf.DUMMYFUNCTION("""COMPUTED_VALUE"""),"")</f>
        <v/>
      </c>
      <c r="W38" s="231" t="str">
        <f>IFERROR(__xludf.DUMMYFUNCTION("""COMPUTED_VALUE"""),"")</f>
        <v/>
      </c>
      <c r="X38" s="232" t="str">
        <f>IFERROR(__xludf.DUMMYFUNCTION("""COMPUTED_VALUE"""),"")</f>
        <v/>
      </c>
      <c r="Y38" s="233" t="str">
        <f>IFERROR(__xludf.DUMMYFUNCTION("""COMPUTED_VALUE"""),"")</f>
        <v/>
      </c>
      <c r="Z38" s="231" t="str">
        <f>IFERROR(__xludf.DUMMYFUNCTION("""COMPUTED_VALUE"""),"")</f>
        <v/>
      </c>
      <c r="AA38" s="232" t="str">
        <f>IFERROR(__xludf.DUMMYFUNCTION("""COMPUTED_VALUE"""),"")</f>
        <v/>
      </c>
      <c r="AB38" s="233" t="str">
        <f>IFERROR(__xludf.DUMMYFUNCTION("""COMPUTED_VALUE"""),"")</f>
        <v/>
      </c>
      <c r="AC38" s="231">
        <f>IFERROR(__xludf.DUMMYFUNCTION("""COMPUTED_VALUE"""),14.8)</f>
        <v>14.8</v>
      </c>
      <c r="AD38" s="232" t="str">
        <f>IFERROR(__xludf.DUMMYFUNCTION("""COMPUTED_VALUE"""),"")</f>
        <v/>
      </c>
      <c r="AE38" s="233" t="str">
        <f>IFERROR(__xludf.DUMMYFUNCTION("""COMPUTED_VALUE"""),"")</f>
        <v/>
      </c>
      <c r="AF38" s="231">
        <f>IFERROR(__xludf.DUMMYFUNCTION("""COMPUTED_VALUE"""),9.6)</f>
        <v>9.6</v>
      </c>
      <c r="AG38" s="232" t="str">
        <f>IFERROR(__xludf.DUMMYFUNCTION("""COMPUTED_VALUE"""),"")</f>
        <v/>
      </c>
      <c r="AH38" s="233" t="str">
        <f>IFERROR(__xludf.DUMMYFUNCTION("""COMPUTED_VALUE"""),"")</f>
        <v/>
      </c>
      <c r="AI38" s="231" t="str">
        <f>IFERROR(__xludf.DUMMYFUNCTION("""COMPUTED_VALUE"""),"")</f>
        <v/>
      </c>
      <c r="AJ38" s="232" t="str">
        <f>IFERROR(__xludf.DUMMYFUNCTION("""COMPUTED_VALUE"""),"")</f>
        <v/>
      </c>
      <c r="AK38" s="233" t="str">
        <f>IFERROR(__xludf.DUMMYFUNCTION("""COMPUTED_VALUE"""),"")</f>
        <v/>
      </c>
      <c r="AL38" s="231" t="str">
        <f>IFERROR(__xludf.DUMMYFUNCTION("""COMPUTED_VALUE"""),"")</f>
        <v/>
      </c>
      <c r="AM38" s="232" t="str">
        <f>IFERROR(__xludf.DUMMYFUNCTION("""COMPUTED_VALUE"""),"")</f>
        <v/>
      </c>
      <c r="AN38" s="233" t="str">
        <f>IFERROR(__xludf.DUMMYFUNCTION("""COMPUTED_VALUE"""),"")</f>
        <v/>
      </c>
      <c r="AO38" s="231" t="str">
        <f>IFERROR(__xludf.DUMMYFUNCTION("""COMPUTED_VALUE"""),"")</f>
        <v/>
      </c>
      <c r="AP38" s="232" t="str">
        <f>IFERROR(__xludf.DUMMYFUNCTION("""COMPUTED_VALUE"""),"")</f>
        <v/>
      </c>
      <c r="AQ38" s="233" t="str">
        <f>IFERROR(__xludf.DUMMYFUNCTION("""COMPUTED_VALUE"""),"")</f>
        <v/>
      </c>
      <c r="AR38" s="231" t="str">
        <f>IFERROR(__xludf.DUMMYFUNCTION("""COMPUTED_VALUE"""),"")</f>
        <v/>
      </c>
      <c r="AS38" s="232" t="str">
        <f>IFERROR(__xludf.DUMMYFUNCTION("""COMPUTED_VALUE"""),"")</f>
        <v/>
      </c>
      <c r="AT38" s="233" t="str">
        <f>IFERROR(__xludf.DUMMYFUNCTION("""COMPUTED_VALUE"""),"")</f>
        <v/>
      </c>
      <c r="AU38" s="231" t="str">
        <f>IFERROR(__xludf.DUMMYFUNCTION("""COMPUTED_VALUE"""),"")</f>
        <v/>
      </c>
      <c r="AV38" s="232" t="str">
        <f>IFERROR(__xludf.DUMMYFUNCTION("""COMPUTED_VALUE"""),"")</f>
        <v/>
      </c>
      <c r="AW38" s="233">
        <f>IFERROR(__xludf.DUMMYFUNCTION("""COMPUTED_VALUE"""),21.0)</f>
        <v>21</v>
      </c>
      <c r="AX38" s="231" t="str">
        <f>IFERROR(__xludf.DUMMYFUNCTION("""COMPUTED_VALUE"""),"")</f>
        <v/>
      </c>
      <c r="AY38" s="232" t="str">
        <f>IFERROR(__xludf.DUMMYFUNCTION("""COMPUTED_VALUE"""),"")</f>
        <v/>
      </c>
      <c r="AZ38" s="233" t="str">
        <f>IFERROR(__xludf.DUMMYFUNCTION("""COMPUTED_VALUE"""),"")</f>
        <v/>
      </c>
      <c r="BA38" s="231" t="str">
        <f>IFERROR(__xludf.DUMMYFUNCTION("""COMPUTED_VALUE"""),"")</f>
        <v/>
      </c>
      <c r="BB38" s="232" t="str">
        <f>IFERROR(__xludf.DUMMYFUNCTION("""COMPUTED_VALUE"""),"")</f>
        <v/>
      </c>
      <c r="BC38" s="233" t="str">
        <f>IFERROR(__xludf.DUMMYFUNCTION("""COMPUTED_VALUE"""),"")</f>
        <v/>
      </c>
      <c r="BD38" s="231" t="str">
        <f>IFERROR(__xludf.DUMMYFUNCTION("""COMPUTED_VALUE"""),"")</f>
        <v/>
      </c>
      <c r="BE38" s="232" t="str">
        <f>IFERROR(__xludf.DUMMYFUNCTION("""COMPUTED_VALUE"""),"")</f>
        <v/>
      </c>
      <c r="BF38" s="233" t="str">
        <f>IFERROR(__xludf.DUMMYFUNCTION("""COMPUTED_VALUE"""),"")</f>
        <v/>
      </c>
      <c r="BG38" s="231" t="str">
        <f>IFERROR(__xludf.DUMMYFUNCTION("""COMPUTED_VALUE"""),"")</f>
        <v/>
      </c>
      <c r="BH38" s="232" t="str">
        <f>IFERROR(__xludf.DUMMYFUNCTION("""COMPUTED_VALUE"""),"")</f>
        <v/>
      </c>
      <c r="BI38" s="233" t="str">
        <f>IFERROR(__xludf.DUMMYFUNCTION("""COMPUTED_VALUE"""),"")</f>
        <v/>
      </c>
      <c r="BJ38" s="231" t="str">
        <f>IFERROR(__xludf.DUMMYFUNCTION("""COMPUTED_VALUE"""),"")</f>
        <v/>
      </c>
      <c r="BK38" s="232" t="str">
        <f>IFERROR(__xludf.DUMMYFUNCTION("""COMPUTED_VALUE"""),"")</f>
        <v/>
      </c>
      <c r="BL38" s="233" t="str">
        <f>IFERROR(__xludf.DUMMYFUNCTION("""COMPUTED_VALUE"""),"")</f>
        <v/>
      </c>
      <c r="BM38" s="231" t="str">
        <f>IFERROR(__xludf.DUMMYFUNCTION("""COMPUTED_VALUE"""),"")</f>
        <v/>
      </c>
      <c r="BN38" s="232">
        <f>IFERROR(__xludf.DUMMYFUNCTION("""COMPUTED_VALUE"""),78.4)</f>
        <v>78.4</v>
      </c>
      <c r="BO38" s="233" t="str">
        <f>IFERROR(__xludf.DUMMYFUNCTION("""COMPUTED_VALUE"""),"")</f>
        <v/>
      </c>
      <c r="BP38" s="231" t="str">
        <f>IFERROR(__xludf.DUMMYFUNCTION("""COMPUTED_VALUE"""),"")</f>
        <v/>
      </c>
      <c r="BQ38" s="232" t="str">
        <f>IFERROR(__xludf.DUMMYFUNCTION("""COMPUTED_VALUE"""),"")</f>
        <v/>
      </c>
      <c r="BR38" s="233" t="str">
        <f>IFERROR(__xludf.DUMMYFUNCTION("""COMPUTED_VALUE"""),"")</f>
        <v/>
      </c>
      <c r="BS38" s="231" t="str">
        <f>IFERROR(__xludf.DUMMYFUNCTION("""COMPUTED_VALUE"""),"")</f>
        <v/>
      </c>
      <c r="BT38" s="232" t="str">
        <f>IFERROR(__xludf.DUMMYFUNCTION("""COMPUTED_VALUE"""),"")</f>
        <v/>
      </c>
      <c r="BU38" s="233">
        <f>IFERROR(__xludf.DUMMYFUNCTION("""COMPUTED_VALUE"""),96.9)</f>
        <v>96.9</v>
      </c>
      <c r="BV38" s="231" t="str">
        <f>IFERROR(__xludf.DUMMYFUNCTION("""COMPUTED_VALUE"""),"")</f>
        <v/>
      </c>
      <c r="BW38" s="232" t="str">
        <f>IFERROR(__xludf.DUMMYFUNCTION("""COMPUTED_VALUE"""),"")</f>
        <v/>
      </c>
      <c r="BX38" s="233" t="str">
        <f>IFERROR(__xludf.DUMMYFUNCTION("""COMPUTED_VALUE"""),"")</f>
        <v/>
      </c>
      <c r="BY38" s="231" t="str">
        <f>IFERROR(__xludf.DUMMYFUNCTION("""COMPUTED_VALUE"""),"")</f>
        <v/>
      </c>
      <c r="BZ38" s="232" t="str">
        <f>IFERROR(__xludf.DUMMYFUNCTION("""COMPUTED_VALUE"""),"")</f>
        <v/>
      </c>
      <c r="CA38" s="233" t="str">
        <f>IFERROR(__xludf.DUMMYFUNCTION("""COMPUTED_VALUE"""),"")</f>
        <v/>
      </c>
      <c r="CB38" s="231">
        <f>IFERROR(__xludf.DUMMYFUNCTION("""COMPUTED_VALUE"""),6.8)</f>
        <v>6.8</v>
      </c>
      <c r="CC38" s="232" t="str">
        <f>IFERROR(__xludf.DUMMYFUNCTION("""COMPUTED_VALUE"""),"")</f>
        <v/>
      </c>
      <c r="CD38" s="233" t="str">
        <f>IFERROR(__xludf.DUMMYFUNCTION("""COMPUTED_VALUE"""),"")</f>
        <v/>
      </c>
      <c r="CE38" s="234" t="str">
        <f>IFERROR(__xludf.DUMMYFUNCTION("""COMPUTED_VALUE"""),"")</f>
        <v/>
      </c>
      <c r="CF38" s="230" t="str">
        <f>IFERROR(__xludf.DUMMYFUNCTION("""COMPUTED_VALUE"""),"")</f>
        <v/>
      </c>
      <c r="CG38" s="235" t="str">
        <f>IFERROR(__xludf.DUMMYFUNCTION("""COMPUTED_VALUE"""),"")</f>
        <v/>
      </c>
      <c r="CH38" s="234" t="str">
        <f>IFERROR(__xludf.DUMMYFUNCTION("""COMPUTED_VALUE"""),"")</f>
        <v/>
      </c>
      <c r="CI38" s="230">
        <f>IFERROR(__xludf.DUMMYFUNCTION("""COMPUTED_VALUE"""),83.1)</f>
        <v>83.1</v>
      </c>
      <c r="CJ38" s="235" t="str">
        <f>IFERROR(__xludf.DUMMYFUNCTION("""COMPUTED_VALUE"""),"")</f>
        <v/>
      </c>
      <c r="CK38" s="95" t="str">
        <f>IFERROR(__xludf.DUMMYFUNCTION("""COMPUTED_VALUE"""),"")</f>
        <v/>
      </c>
      <c r="CL38" s="96" t="str">
        <f>IFERROR(__xludf.DUMMYFUNCTION("""COMPUTED_VALUE"""),"")</f>
        <v/>
      </c>
      <c r="CM38" s="97" t="str">
        <f>IFERROR(__xludf.DUMMYFUNCTION("""COMPUTED_VALUE"""),"")</f>
        <v/>
      </c>
      <c r="CN38" s="95" t="str">
        <f>IFERROR(__xludf.DUMMYFUNCTION("""COMPUTED_VALUE"""),"")</f>
        <v/>
      </c>
      <c r="CO38" s="96" t="str">
        <f>IFERROR(__xludf.DUMMYFUNCTION("""COMPUTED_VALUE"""),"")</f>
        <v/>
      </c>
      <c r="CP38" s="97" t="str">
        <f>IFERROR(__xludf.DUMMYFUNCTION("""COMPUTED_VALUE"""),"")</f>
        <v/>
      </c>
      <c r="CQ38" s="95" t="str">
        <f>IFERROR(__xludf.DUMMYFUNCTION("""COMPUTED_VALUE"""),"")</f>
        <v/>
      </c>
      <c r="CR38" s="96" t="str">
        <f>IFERROR(__xludf.DUMMYFUNCTION("""COMPUTED_VALUE"""),"")</f>
        <v/>
      </c>
      <c r="CS38" s="97" t="str">
        <f>IFERROR(__xludf.DUMMYFUNCTION("""COMPUTED_VALUE"""),"#REF!")</f>
        <v>#REF!</v>
      </c>
      <c r="CT38" s="95" t="str">
        <f>IFERROR(__xludf.DUMMYFUNCTION("""COMPUTED_VALUE"""),"#REF!")</f>
        <v>#REF!</v>
      </c>
      <c r="CU38" s="96" t="str">
        <f>IFERROR(__xludf.DUMMYFUNCTION("""COMPUTED_VALUE"""),"#REF!")</f>
        <v>#REF!</v>
      </c>
      <c r="CV38" s="97" t="str">
        <f>IFERROR(__xludf.DUMMYFUNCTION("""COMPUTED_VALUE"""),"#REF!")</f>
        <v>#REF!</v>
      </c>
      <c r="CW38" s="95" t="str">
        <f>IFERROR(__xludf.DUMMYFUNCTION("""COMPUTED_VALUE"""),"#REF!")</f>
        <v>#REF!</v>
      </c>
      <c r="CX38" s="96" t="str">
        <f>IFERROR(__xludf.DUMMYFUNCTION("""COMPUTED_VALUE"""),"#REF!")</f>
        <v>#REF!</v>
      </c>
      <c r="CY38" s="97" t="str">
        <f>IFERROR(__xludf.DUMMYFUNCTION("""COMPUTED_VALUE"""),"#REF!")</f>
        <v>#REF!</v>
      </c>
      <c r="CZ38" s="95" t="str">
        <f>IFERROR(__xludf.DUMMYFUNCTION("""COMPUTED_VALUE"""),"#REF!")</f>
        <v>#REF!</v>
      </c>
      <c r="DA38" s="96" t="str">
        <f>IFERROR(__xludf.DUMMYFUNCTION("""COMPUTED_VALUE"""),"#REF!")</f>
        <v>#REF!</v>
      </c>
      <c r="DB38" s="97" t="str">
        <f>IFERROR(__xludf.DUMMYFUNCTION("""COMPUTED_VALUE"""),"#REF!")</f>
        <v>#REF!</v>
      </c>
      <c r="DC38" s="95" t="str">
        <f>IFERROR(__xludf.DUMMYFUNCTION("""COMPUTED_VALUE"""),"#REF!")</f>
        <v>#REF!</v>
      </c>
      <c r="DD38" s="96" t="str">
        <f>IFERROR(__xludf.DUMMYFUNCTION("""COMPUTED_VALUE"""),"#REF!")</f>
        <v>#REF!</v>
      </c>
      <c r="DE38" s="97" t="str">
        <f>IFERROR(__xludf.DUMMYFUNCTION("""COMPUTED_VALUE"""),"#REF!")</f>
        <v>#REF!</v>
      </c>
      <c r="DF38" s="95" t="str">
        <f>IFERROR(__xludf.DUMMYFUNCTION("""COMPUTED_VALUE"""),"#REF!")</f>
        <v>#REF!</v>
      </c>
      <c r="DG38" s="96" t="str">
        <f>IFERROR(__xludf.DUMMYFUNCTION("""COMPUTED_VALUE"""),"#REF!")</f>
        <v>#REF!</v>
      </c>
      <c r="DH38" s="97" t="str">
        <f>IFERROR(__xludf.DUMMYFUNCTION("""COMPUTED_VALUE"""),"#REF!")</f>
        <v>#REF!</v>
      </c>
      <c r="DI38" s="95" t="str">
        <f>IFERROR(__xludf.DUMMYFUNCTION("""COMPUTED_VALUE"""),"#REF!")</f>
        <v>#REF!</v>
      </c>
      <c r="DJ38" s="96" t="str">
        <f>IFERROR(__xludf.DUMMYFUNCTION("""COMPUTED_VALUE"""),"#REF!")</f>
        <v>#REF!</v>
      </c>
      <c r="DK38" s="97" t="str">
        <f>IFERROR(__xludf.DUMMYFUNCTION("""COMPUTED_VALUE"""),"#REF!")</f>
        <v>#REF!</v>
      </c>
      <c r="DL38" s="95" t="str">
        <f>IFERROR(__xludf.DUMMYFUNCTION("""COMPUTED_VALUE"""),"#REF!")</f>
        <v>#REF!</v>
      </c>
      <c r="DM38" s="96" t="str">
        <f>IFERROR(__xludf.DUMMYFUNCTION("""COMPUTED_VALUE"""),"#REF!")</f>
        <v>#REF!</v>
      </c>
      <c r="DN38" s="97" t="str">
        <f>IFERROR(__xludf.DUMMYFUNCTION("""COMPUTED_VALUE"""),"#REF!")</f>
        <v>#REF!</v>
      </c>
      <c r="DO38" s="95" t="str">
        <f>IFERROR(__xludf.DUMMYFUNCTION("""COMPUTED_VALUE"""),"#REF!")</f>
        <v>#REF!</v>
      </c>
      <c r="DP38" s="96" t="str">
        <f>IFERROR(__xludf.DUMMYFUNCTION("""COMPUTED_VALUE"""),"#REF!")</f>
        <v>#REF!</v>
      </c>
      <c r="DQ38" s="97"/>
      <c r="DR38" s="95"/>
    </row>
    <row r="39">
      <c r="B39" s="83" t="str">
        <f>IFERROR(__xludf.DUMMYFUNCTION("""COMPUTED_VALUE"""),"TRF19")</f>
        <v>TRF19</v>
      </c>
      <c r="C39" s="82">
        <f>IFERROR(__xludf.DUMMYFUNCTION("""COMPUTED_VALUE"""),21.0)</f>
        <v>21</v>
      </c>
      <c r="D39" s="88" t="str">
        <f>IFERROR(__xludf.DUMMYFUNCTION("""COMPUTED_VALUE"""),"FRI Caster Training Ground- Adv")</f>
        <v>FRI Caster Training Ground- Adv</v>
      </c>
      <c r="E39" s="82" t="str">
        <f>IFERROR(__xludf.DUMMYFUNCTION("""COMPUTED_VALUE"""),"術上級")</f>
        <v>術上級</v>
      </c>
      <c r="F39" s="102">
        <f>IFERROR(__xludf.DUMMYFUNCTION("""COMPUTED_VALUE"""),30.0)</f>
        <v>30</v>
      </c>
      <c r="G39" s="82">
        <f>IFERROR(__xludf.DUMMYFUNCTION("""COMPUTED_VALUE"""),1394.0)</f>
        <v>1394</v>
      </c>
      <c r="H39" s="231" t="str">
        <f>IFERROR(__xludf.DUMMYFUNCTION("""COMPUTED_VALUE"""),"")</f>
        <v/>
      </c>
      <c r="I39" s="232">
        <f>IFERROR(__xludf.DUMMYFUNCTION("""COMPUTED_VALUE"""),3.8)</f>
        <v>3.8</v>
      </c>
      <c r="J39" s="233" t="str">
        <f>IFERROR(__xludf.DUMMYFUNCTION("""COMPUTED_VALUE"""),"")</f>
        <v/>
      </c>
      <c r="K39" s="231" t="str">
        <f>IFERROR(__xludf.DUMMYFUNCTION("""COMPUTED_VALUE"""),"")</f>
        <v/>
      </c>
      <c r="L39" s="232" t="str">
        <f>IFERROR(__xludf.DUMMYFUNCTION("""COMPUTED_VALUE"""),"")</f>
        <v/>
      </c>
      <c r="M39" s="233" t="str">
        <f>IFERROR(__xludf.DUMMYFUNCTION("""COMPUTED_VALUE"""),"")</f>
        <v/>
      </c>
      <c r="N39" s="231" t="str">
        <f>IFERROR(__xludf.DUMMYFUNCTION("""COMPUTED_VALUE"""),"")</f>
        <v/>
      </c>
      <c r="O39" s="232" t="str">
        <f>IFERROR(__xludf.DUMMYFUNCTION("""COMPUTED_VALUE"""),"")</f>
        <v/>
      </c>
      <c r="P39" s="233" t="str">
        <f>IFERROR(__xludf.DUMMYFUNCTION("""COMPUTED_VALUE"""),"")</f>
        <v/>
      </c>
      <c r="Q39" s="231" t="str">
        <f>IFERROR(__xludf.DUMMYFUNCTION("""COMPUTED_VALUE"""),"")</f>
        <v/>
      </c>
      <c r="R39" s="232" t="str">
        <f>IFERROR(__xludf.DUMMYFUNCTION("""COMPUTED_VALUE"""),"")</f>
        <v/>
      </c>
      <c r="S39" s="233" t="str">
        <f>IFERROR(__xludf.DUMMYFUNCTION("""COMPUTED_VALUE"""),"")</f>
        <v/>
      </c>
      <c r="T39" s="231" t="str">
        <f>IFERROR(__xludf.DUMMYFUNCTION("""COMPUTED_VALUE"""),"")</f>
        <v/>
      </c>
      <c r="U39" s="232" t="str">
        <f>IFERROR(__xludf.DUMMYFUNCTION("""COMPUTED_VALUE"""),"")</f>
        <v/>
      </c>
      <c r="V39" s="233" t="str">
        <f>IFERROR(__xludf.DUMMYFUNCTION("""COMPUTED_VALUE"""),"")</f>
        <v/>
      </c>
      <c r="W39" s="231" t="str">
        <f>IFERROR(__xludf.DUMMYFUNCTION("""COMPUTED_VALUE"""),"")</f>
        <v/>
      </c>
      <c r="X39" s="232" t="str">
        <f>IFERROR(__xludf.DUMMYFUNCTION("""COMPUTED_VALUE"""),"")</f>
        <v/>
      </c>
      <c r="Y39" s="233" t="str">
        <f>IFERROR(__xludf.DUMMYFUNCTION("""COMPUTED_VALUE"""),"")</f>
        <v/>
      </c>
      <c r="Z39" s="231" t="str">
        <f>IFERROR(__xludf.DUMMYFUNCTION("""COMPUTED_VALUE"""),"")</f>
        <v/>
      </c>
      <c r="AA39" s="232" t="str">
        <f>IFERROR(__xludf.DUMMYFUNCTION("""COMPUTED_VALUE"""),"")</f>
        <v/>
      </c>
      <c r="AB39" s="233" t="str">
        <f>IFERROR(__xludf.DUMMYFUNCTION("""COMPUTED_VALUE"""),"")</f>
        <v/>
      </c>
      <c r="AC39" s="231">
        <f>IFERROR(__xludf.DUMMYFUNCTION("""COMPUTED_VALUE"""),22.5)</f>
        <v>22.5</v>
      </c>
      <c r="AD39" s="232" t="str">
        <f>IFERROR(__xludf.DUMMYFUNCTION("""COMPUTED_VALUE"""),"")</f>
        <v/>
      </c>
      <c r="AE39" s="233" t="str">
        <f>IFERROR(__xludf.DUMMYFUNCTION("""COMPUTED_VALUE"""),"")</f>
        <v/>
      </c>
      <c r="AF39" s="231">
        <f>IFERROR(__xludf.DUMMYFUNCTION("""COMPUTED_VALUE"""),15.6)</f>
        <v>15.6</v>
      </c>
      <c r="AG39" s="232" t="str">
        <f>IFERROR(__xludf.DUMMYFUNCTION("""COMPUTED_VALUE"""),"")</f>
        <v/>
      </c>
      <c r="AH39" s="233" t="str">
        <f>IFERROR(__xludf.DUMMYFUNCTION("""COMPUTED_VALUE"""),"")</f>
        <v/>
      </c>
      <c r="AI39" s="231" t="str">
        <f>IFERROR(__xludf.DUMMYFUNCTION("""COMPUTED_VALUE"""),"")</f>
        <v/>
      </c>
      <c r="AJ39" s="232" t="str">
        <f>IFERROR(__xludf.DUMMYFUNCTION("""COMPUTED_VALUE"""),"")</f>
        <v/>
      </c>
      <c r="AK39" s="233" t="str">
        <f>IFERROR(__xludf.DUMMYFUNCTION("""COMPUTED_VALUE"""),"")</f>
        <v/>
      </c>
      <c r="AL39" s="231" t="str">
        <f>IFERROR(__xludf.DUMMYFUNCTION("""COMPUTED_VALUE"""),"")</f>
        <v/>
      </c>
      <c r="AM39" s="232" t="str">
        <f>IFERROR(__xludf.DUMMYFUNCTION("""COMPUTED_VALUE"""),"")</f>
        <v/>
      </c>
      <c r="AN39" s="233" t="str">
        <f>IFERROR(__xludf.DUMMYFUNCTION("""COMPUTED_VALUE"""),"")</f>
        <v/>
      </c>
      <c r="AO39" s="231" t="str">
        <f>IFERROR(__xludf.DUMMYFUNCTION("""COMPUTED_VALUE"""),"")</f>
        <v/>
      </c>
      <c r="AP39" s="232" t="str">
        <f>IFERROR(__xludf.DUMMYFUNCTION("""COMPUTED_VALUE"""),"")</f>
        <v/>
      </c>
      <c r="AQ39" s="233" t="str">
        <f>IFERROR(__xludf.DUMMYFUNCTION("""COMPUTED_VALUE"""),"")</f>
        <v/>
      </c>
      <c r="AR39" s="231" t="str">
        <f>IFERROR(__xludf.DUMMYFUNCTION("""COMPUTED_VALUE"""),"")</f>
        <v/>
      </c>
      <c r="AS39" s="232" t="str">
        <f>IFERROR(__xludf.DUMMYFUNCTION("""COMPUTED_VALUE"""),"")</f>
        <v/>
      </c>
      <c r="AT39" s="233" t="str">
        <f>IFERROR(__xludf.DUMMYFUNCTION("""COMPUTED_VALUE"""),"")</f>
        <v/>
      </c>
      <c r="AU39" s="231" t="str">
        <f>IFERROR(__xludf.DUMMYFUNCTION("""COMPUTED_VALUE"""),"")</f>
        <v/>
      </c>
      <c r="AV39" s="232" t="str">
        <f>IFERROR(__xludf.DUMMYFUNCTION("""COMPUTED_VALUE"""),"")</f>
        <v/>
      </c>
      <c r="AW39" s="233">
        <f>IFERROR(__xludf.DUMMYFUNCTION("""COMPUTED_VALUE"""),21.3)</f>
        <v>21.3</v>
      </c>
      <c r="AX39" s="231" t="str">
        <f>IFERROR(__xludf.DUMMYFUNCTION("""COMPUTED_VALUE"""),"")</f>
        <v/>
      </c>
      <c r="AY39" s="232" t="str">
        <f>IFERROR(__xludf.DUMMYFUNCTION("""COMPUTED_VALUE"""),"")</f>
        <v/>
      </c>
      <c r="AZ39" s="233" t="str">
        <f>IFERROR(__xludf.DUMMYFUNCTION("""COMPUTED_VALUE"""),"")</f>
        <v/>
      </c>
      <c r="BA39" s="231" t="str">
        <f>IFERROR(__xludf.DUMMYFUNCTION("""COMPUTED_VALUE"""),"")</f>
        <v/>
      </c>
      <c r="BB39" s="232" t="str">
        <f>IFERROR(__xludf.DUMMYFUNCTION("""COMPUTED_VALUE"""),"")</f>
        <v/>
      </c>
      <c r="BC39" s="233" t="str">
        <f>IFERROR(__xludf.DUMMYFUNCTION("""COMPUTED_VALUE"""),"")</f>
        <v/>
      </c>
      <c r="BD39" s="231" t="str">
        <f>IFERROR(__xludf.DUMMYFUNCTION("""COMPUTED_VALUE"""),"")</f>
        <v/>
      </c>
      <c r="BE39" s="232" t="str">
        <f>IFERROR(__xludf.DUMMYFUNCTION("""COMPUTED_VALUE"""),"")</f>
        <v/>
      </c>
      <c r="BF39" s="233" t="str">
        <f>IFERROR(__xludf.DUMMYFUNCTION("""COMPUTED_VALUE"""),"")</f>
        <v/>
      </c>
      <c r="BG39" s="231">
        <f>IFERROR(__xludf.DUMMYFUNCTION("""COMPUTED_VALUE"""),22.9)</f>
        <v>22.9</v>
      </c>
      <c r="BH39" s="232" t="str">
        <f>IFERROR(__xludf.DUMMYFUNCTION("""COMPUTED_VALUE"""),"")</f>
        <v/>
      </c>
      <c r="BI39" s="233" t="str">
        <f>IFERROR(__xludf.DUMMYFUNCTION("""COMPUTED_VALUE"""),"")</f>
        <v/>
      </c>
      <c r="BJ39" s="231" t="str">
        <f>IFERROR(__xludf.DUMMYFUNCTION("""COMPUTED_VALUE"""),"")</f>
        <v/>
      </c>
      <c r="BK39" s="232" t="str">
        <f>IFERROR(__xludf.DUMMYFUNCTION("""COMPUTED_VALUE"""),"")</f>
        <v/>
      </c>
      <c r="BL39" s="233" t="str">
        <f>IFERROR(__xludf.DUMMYFUNCTION("""COMPUTED_VALUE"""),"")</f>
        <v/>
      </c>
      <c r="BM39" s="231" t="str">
        <f>IFERROR(__xludf.DUMMYFUNCTION("""COMPUTED_VALUE"""),"")</f>
        <v/>
      </c>
      <c r="BN39" s="232">
        <f>IFERROR(__xludf.DUMMYFUNCTION("""COMPUTED_VALUE"""),171.7)</f>
        <v>171.7</v>
      </c>
      <c r="BO39" s="233" t="str">
        <f>IFERROR(__xludf.DUMMYFUNCTION("""COMPUTED_VALUE"""),"")</f>
        <v/>
      </c>
      <c r="BP39" s="231" t="str">
        <f>IFERROR(__xludf.DUMMYFUNCTION("""COMPUTED_VALUE"""),"")</f>
        <v/>
      </c>
      <c r="BQ39" s="232" t="str">
        <f>IFERROR(__xludf.DUMMYFUNCTION("""COMPUTED_VALUE"""),"")</f>
        <v/>
      </c>
      <c r="BR39" s="233" t="str">
        <f>IFERROR(__xludf.DUMMYFUNCTION("""COMPUTED_VALUE"""),"")</f>
        <v/>
      </c>
      <c r="BS39" s="231" t="str">
        <f>IFERROR(__xludf.DUMMYFUNCTION("""COMPUTED_VALUE"""),"")</f>
        <v/>
      </c>
      <c r="BT39" s="232" t="str">
        <f>IFERROR(__xludf.DUMMYFUNCTION("""COMPUTED_VALUE"""),"")</f>
        <v/>
      </c>
      <c r="BU39" s="233">
        <f>IFERROR(__xludf.DUMMYFUNCTION("""COMPUTED_VALUE"""),4.5)</f>
        <v>4.5</v>
      </c>
      <c r="BV39" s="231" t="str">
        <f>IFERROR(__xludf.DUMMYFUNCTION("""COMPUTED_VALUE"""),"")</f>
        <v/>
      </c>
      <c r="BW39" s="232" t="str">
        <f>IFERROR(__xludf.DUMMYFUNCTION("""COMPUTED_VALUE"""),"")</f>
        <v/>
      </c>
      <c r="BX39" s="233" t="str">
        <f>IFERROR(__xludf.DUMMYFUNCTION("""COMPUTED_VALUE"""),"")</f>
        <v/>
      </c>
      <c r="BY39" s="231" t="str">
        <f>IFERROR(__xludf.DUMMYFUNCTION("""COMPUTED_VALUE"""),"")</f>
        <v/>
      </c>
      <c r="BZ39" s="232" t="str">
        <f>IFERROR(__xludf.DUMMYFUNCTION("""COMPUTED_VALUE"""),"")</f>
        <v/>
      </c>
      <c r="CA39" s="233" t="str">
        <f>IFERROR(__xludf.DUMMYFUNCTION("""COMPUTED_VALUE"""),"")</f>
        <v/>
      </c>
      <c r="CB39" s="231">
        <f>IFERROR(__xludf.DUMMYFUNCTION("""COMPUTED_VALUE"""),32.4)</f>
        <v>32.4</v>
      </c>
      <c r="CC39" s="232" t="str">
        <f>IFERROR(__xludf.DUMMYFUNCTION("""COMPUTED_VALUE"""),"")</f>
        <v/>
      </c>
      <c r="CD39" s="233" t="str">
        <f>IFERROR(__xludf.DUMMYFUNCTION("""COMPUTED_VALUE"""),"")</f>
        <v/>
      </c>
      <c r="CE39" s="234" t="str">
        <f>IFERROR(__xludf.DUMMYFUNCTION("""COMPUTED_VALUE"""),"")</f>
        <v/>
      </c>
      <c r="CF39" s="230" t="str">
        <f>IFERROR(__xludf.DUMMYFUNCTION("""COMPUTED_VALUE"""),"")</f>
        <v/>
      </c>
      <c r="CG39" s="235" t="str">
        <f>IFERROR(__xludf.DUMMYFUNCTION("""COMPUTED_VALUE"""),"")</f>
        <v/>
      </c>
      <c r="CH39" s="234" t="str">
        <f>IFERROR(__xludf.DUMMYFUNCTION("""COMPUTED_VALUE"""),"")</f>
        <v/>
      </c>
      <c r="CI39" s="230">
        <f>IFERROR(__xludf.DUMMYFUNCTION("""COMPUTED_VALUE"""),96.6)</f>
        <v>96.6</v>
      </c>
      <c r="CJ39" s="235" t="str">
        <f>IFERROR(__xludf.DUMMYFUNCTION("""COMPUTED_VALUE"""),"")</f>
        <v/>
      </c>
      <c r="CK39" s="95" t="str">
        <f>IFERROR(__xludf.DUMMYFUNCTION("""COMPUTED_VALUE"""),"")</f>
        <v/>
      </c>
      <c r="CL39" s="96" t="str">
        <f>IFERROR(__xludf.DUMMYFUNCTION("""COMPUTED_VALUE"""),"")</f>
        <v/>
      </c>
      <c r="CM39" s="97" t="str">
        <f>IFERROR(__xludf.DUMMYFUNCTION("""COMPUTED_VALUE"""),"")</f>
        <v/>
      </c>
      <c r="CN39" s="95" t="str">
        <f>IFERROR(__xludf.DUMMYFUNCTION("""COMPUTED_VALUE"""),"")</f>
        <v/>
      </c>
      <c r="CO39" s="96" t="str">
        <f>IFERROR(__xludf.DUMMYFUNCTION("""COMPUTED_VALUE"""),"")</f>
        <v/>
      </c>
      <c r="CP39" s="97" t="str">
        <f>IFERROR(__xludf.DUMMYFUNCTION("""COMPUTED_VALUE"""),"")</f>
        <v/>
      </c>
      <c r="CQ39" s="95" t="str">
        <f>IFERROR(__xludf.DUMMYFUNCTION("""COMPUTED_VALUE"""),"")</f>
        <v/>
      </c>
      <c r="CR39" s="96" t="str">
        <f>IFERROR(__xludf.DUMMYFUNCTION("""COMPUTED_VALUE"""),"")</f>
        <v/>
      </c>
      <c r="CS39" s="97" t="str">
        <f>IFERROR(__xludf.DUMMYFUNCTION("""COMPUTED_VALUE"""),"#REF!")</f>
        <v>#REF!</v>
      </c>
      <c r="CT39" s="95" t="str">
        <f>IFERROR(__xludf.DUMMYFUNCTION("""COMPUTED_VALUE"""),"#REF!")</f>
        <v>#REF!</v>
      </c>
      <c r="CU39" s="96" t="str">
        <f>IFERROR(__xludf.DUMMYFUNCTION("""COMPUTED_VALUE"""),"#REF!")</f>
        <v>#REF!</v>
      </c>
      <c r="CV39" s="97" t="str">
        <f>IFERROR(__xludf.DUMMYFUNCTION("""COMPUTED_VALUE"""),"#REF!")</f>
        <v>#REF!</v>
      </c>
      <c r="CW39" s="95" t="str">
        <f>IFERROR(__xludf.DUMMYFUNCTION("""COMPUTED_VALUE"""),"#REF!")</f>
        <v>#REF!</v>
      </c>
      <c r="CX39" s="96" t="str">
        <f>IFERROR(__xludf.DUMMYFUNCTION("""COMPUTED_VALUE"""),"#REF!")</f>
        <v>#REF!</v>
      </c>
      <c r="CY39" s="97" t="str">
        <f>IFERROR(__xludf.DUMMYFUNCTION("""COMPUTED_VALUE"""),"#REF!")</f>
        <v>#REF!</v>
      </c>
      <c r="CZ39" s="95" t="str">
        <f>IFERROR(__xludf.DUMMYFUNCTION("""COMPUTED_VALUE"""),"#REF!")</f>
        <v>#REF!</v>
      </c>
      <c r="DA39" s="96" t="str">
        <f>IFERROR(__xludf.DUMMYFUNCTION("""COMPUTED_VALUE"""),"#REF!")</f>
        <v>#REF!</v>
      </c>
      <c r="DB39" s="97" t="str">
        <f>IFERROR(__xludf.DUMMYFUNCTION("""COMPUTED_VALUE"""),"#REF!")</f>
        <v>#REF!</v>
      </c>
      <c r="DC39" s="95" t="str">
        <f>IFERROR(__xludf.DUMMYFUNCTION("""COMPUTED_VALUE"""),"#REF!")</f>
        <v>#REF!</v>
      </c>
      <c r="DD39" s="96" t="str">
        <f>IFERROR(__xludf.DUMMYFUNCTION("""COMPUTED_VALUE"""),"#REF!")</f>
        <v>#REF!</v>
      </c>
      <c r="DE39" s="97" t="str">
        <f>IFERROR(__xludf.DUMMYFUNCTION("""COMPUTED_VALUE"""),"#REF!")</f>
        <v>#REF!</v>
      </c>
      <c r="DF39" s="95" t="str">
        <f>IFERROR(__xludf.DUMMYFUNCTION("""COMPUTED_VALUE"""),"#REF!")</f>
        <v>#REF!</v>
      </c>
      <c r="DG39" s="96" t="str">
        <f>IFERROR(__xludf.DUMMYFUNCTION("""COMPUTED_VALUE"""),"#REF!")</f>
        <v>#REF!</v>
      </c>
      <c r="DH39" s="97" t="str">
        <f>IFERROR(__xludf.DUMMYFUNCTION("""COMPUTED_VALUE"""),"#REF!")</f>
        <v>#REF!</v>
      </c>
      <c r="DI39" s="95" t="str">
        <f>IFERROR(__xludf.DUMMYFUNCTION("""COMPUTED_VALUE"""),"#REF!")</f>
        <v>#REF!</v>
      </c>
      <c r="DJ39" s="96" t="str">
        <f>IFERROR(__xludf.DUMMYFUNCTION("""COMPUTED_VALUE"""),"#REF!")</f>
        <v>#REF!</v>
      </c>
      <c r="DK39" s="97" t="str">
        <f>IFERROR(__xludf.DUMMYFUNCTION("""COMPUTED_VALUE"""),"#REF!")</f>
        <v>#REF!</v>
      </c>
      <c r="DL39" s="95" t="str">
        <f>IFERROR(__xludf.DUMMYFUNCTION("""COMPUTED_VALUE"""),"#REF!")</f>
        <v>#REF!</v>
      </c>
      <c r="DM39" s="96" t="str">
        <f>IFERROR(__xludf.DUMMYFUNCTION("""COMPUTED_VALUE"""),"#REF!")</f>
        <v>#REF!</v>
      </c>
      <c r="DN39" s="97" t="str">
        <f>IFERROR(__xludf.DUMMYFUNCTION("""COMPUTED_VALUE"""),"#REF!")</f>
        <v>#REF!</v>
      </c>
      <c r="DO39" s="95" t="str">
        <f>IFERROR(__xludf.DUMMYFUNCTION("""COMPUTED_VALUE"""),"#REF!")</f>
        <v>#REF!</v>
      </c>
      <c r="DP39" s="96" t="str">
        <f>IFERROR(__xludf.DUMMYFUNCTION("""COMPUTED_VALUE"""),"#REF!")</f>
        <v>#REF!</v>
      </c>
      <c r="DQ39" s="97"/>
      <c r="DR39" s="95"/>
    </row>
    <row r="40">
      <c r="B40" s="83" t="str">
        <f>IFERROR(__xludf.DUMMYFUNCTION("""COMPUTED_VALUE"""),"TRF20")</f>
        <v>TRF20</v>
      </c>
      <c r="C40" s="82">
        <f>IFERROR(__xludf.DUMMYFUNCTION("""COMPUTED_VALUE"""),20.0)</f>
        <v>20</v>
      </c>
      <c r="D40" s="88" t="str">
        <f>IFERROR(__xludf.DUMMYFUNCTION("""COMPUTED_VALUE"""),"FRI Caster Training Ground- Exp")</f>
        <v>FRI Caster Training Ground- Exp</v>
      </c>
      <c r="E40" s="82" t="str">
        <f>IFERROR(__xludf.DUMMYFUNCTION("""COMPUTED_VALUE"""),"術超級")</f>
        <v>術超級</v>
      </c>
      <c r="F40" s="102">
        <f>IFERROR(__xludf.DUMMYFUNCTION("""COMPUTED_VALUE"""),40.0)</f>
        <v>40</v>
      </c>
      <c r="G40" s="82">
        <f>IFERROR(__xludf.DUMMYFUNCTION("""COMPUTED_VALUE"""),12077.0)</f>
        <v>12077</v>
      </c>
      <c r="H40" s="231" t="str">
        <f>IFERROR(__xludf.DUMMYFUNCTION("""COMPUTED_VALUE"""),"")</f>
        <v/>
      </c>
      <c r="I40" s="232">
        <f>IFERROR(__xludf.DUMMYFUNCTION("""COMPUTED_VALUE"""),6.3)</f>
        <v>6.3</v>
      </c>
      <c r="J40" s="233" t="str">
        <f>IFERROR(__xludf.DUMMYFUNCTION("""COMPUTED_VALUE"""),"")</f>
        <v/>
      </c>
      <c r="K40" s="231" t="str">
        <f>IFERROR(__xludf.DUMMYFUNCTION("""COMPUTED_VALUE"""),"")</f>
        <v/>
      </c>
      <c r="L40" s="232" t="str">
        <f>IFERROR(__xludf.DUMMYFUNCTION("""COMPUTED_VALUE"""),"")</f>
        <v/>
      </c>
      <c r="M40" s="233" t="str">
        <f>IFERROR(__xludf.DUMMYFUNCTION("""COMPUTED_VALUE"""),"")</f>
        <v/>
      </c>
      <c r="N40" s="231" t="str">
        <f>IFERROR(__xludf.DUMMYFUNCTION("""COMPUTED_VALUE"""),"")</f>
        <v/>
      </c>
      <c r="O40" s="232" t="str">
        <f>IFERROR(__xludf.DUMMYFUNCTION("""COMPUTED_VALUE"""),"")</f>
        <v/>
      </c>
      <c r="P40" s="233" t="str">
        <f>IFERROR(__xludf.DUMMYFUNCTION("""COMPUTED_VALUE"""),"")</f>
        <v/>
      </c>
      <c r="Q40" s="231" t="str">
        <f>IFERROR(__xludf.DUMMYFUNCTION("""COMPUTED_VALUE"""),"")</f>
        <v/>
      </c>
      <c r="R40" s="232" t="str">
        <f>IFERROR(__xludf.DUMMYFUNCTION("""COMPUTED_VALUE"""),"")</f>
        <v/>
      </c>
      <c r="S40" s="233" t="str">
        <f>IFERROR(__xludf.DUMMYFUNCTION("""COMPUTED_VALUE"""),"")</f>
        <v/>
      </c>
      <c r="T40" s="231" t="str">
        <f>IFERROR(__xludf.DUMMYFUNCTION("""COMPUTED_VALUE"""),"")</f>
        <v/>
      </c>
      <c r="U40" s="232" t="str">
        <f>IFERROR(__xludf.DUMMYFUNCTION("""COMPUTED_VALUE"""),"")</f>
        <v/>
      </c>
      <c r="V40" s="233" t="str">
        <f>IFERROR(__xludf.DUMMYFUNCTION("""COMPUTED_VALUE"""),"")</f>
        <v/>
      </c>
      <c r="W40" s="231" t="str">
        <f>IFERROR(__xludf.DUMMYFUNCTION("""COMPUTED_VALUE"""),"")</f>
        <v/>
      </c>
      <c r="X40" s="232" t="str">
        <f>IFERROR(__xludf.DUMMYFUNCTION("""COMPUTED_VALUE"""),"")</f>
        <v/>
      </c>
      <c r="Y40" s="233" t="str">
        <f>IFERROR(__xludf.DUMMYFUNCTION("""COMPUTED_VALUE"""),"")</f>
        <v/>
      </c>
      <c r="Z40" s="231" t="str">
        <f>IFERROR(__xludf.DUMMYFUNCTION("""COMPUTED_VALUE"""),"")</f>
        <v/>
      </c>
      <c r="AA40" s="232" t="str">
        <f>IFERROR(__xludf.DUMMYFUNCTION("""COMPUTED_VALUE"""),"")</f>
        <v/>
      </c>
      <c r="AB40" s="233" t="str">
        <f>IFERROR(__xludf.DUMMYFUNCTION("""COMPUTED_VALUE"""),"")</f>
        <v/>
      </c>
      <c r="AC40" s="231">
        <f>IFERROR(__xludf.DUMMYFUNCTION("""COMPUTED_VALUE"""),24.7999999)</f>
        <v>24.7999999</v>
      </c>
      <c r="AD40" s="232" t="str">
        <f>IFERROR(__xludf.DUMMYFUNCTION("""COMPUTED_VALUE"""),"")</f>
        <v/>
      </c>
      <c r="AE40" s="233" t="str">
        <f>IFERROR(__xludf.DUMMYFUNCTION("""COMPUTED_VALUE"""),"")</f>
        <v/>
      </c>
      <c r="AF40" s="231">
        <f>IFERROR(__xludf.DUMMYFUNCTION("""COMPUTED_VALUE"""),20.6)</f>
        <v>20.6</v>
      </c>
      <c r="AG40" s="232" t="str">
        <f>IFERROR(__xludf.DUMMYFUNCTION("""COMPUTED_VALUE"""),"")</f>
        <v/>
      </c>
      <c r="AH40" s="233" t="str">
        <f>IFERROR(__xludf.DUMMYFUNCTION("""COMPUTED_VALUE"""),"")</f>
        <v/>
      </c>
      <c r="AI40" s="231" t="str">
        <f>IFERROR(__xludf.DUMMYFUNCTION("""COMPUTED_VALUE"""),"")</f>
        <v/>
      </c>
      <c r="AJ40" s="232" t="str">
        <f>IFERROR(__xludf.DUMMYFUNCTION("""COMPUTED_VALUE"""),"")</f>
        <v/>
      </c>
      <c r="AK40" s="233" t="str">
        <f>IFERROR(__xludf.DUMMYFUNCTION("""COMPUTED_VALUE"""),"")</f>
        <v/>
      </c>
      <c r="AL40" s="231" t="str">
        <f>IFERROR(__xludf.DUMMYFUNCTION("""COMPUTED_VALUE"""),"")</f>
        <v/>
      </c>
      <c r="AM40" s="232" t="str">
        <f>IFERROR(__xludf.DUMMYFUNCTION("""COMPUTED_VALUE"""),"")</f>
        <v/>
      </c>
      <c r="AN40" s="233" t="str">
        <f>IFERROR(__xludf.DUMMYFUNCTION("""COMPUTED_VALUE"""),"")</f>
        <v/>
      </c>
      <c r="AO40" s="231" t="str">
        <f>IFERROR(__xludf.DUMMYFUNCTION("""COMPUTED_VALUE"""),"")</f>
        <v/>
      </c>
      <c r="AP40" s="232" t="str">
        <f>IFERROR(__xludf.DUMMYFUNCTION("""COMPUTED_VALUE"""),"")</f>
        <v/>
      </c>
      <c r="AQ40" s="233" t="str">
        <f>IFERROR(__xludf.DUMMYFUNCTION("""COMPUTED_VALUE"""),"")</f>
        <v/>
      </c>
      <c r="AR40" s="231" t="str">
        <f>IFERROR(__xludf.DUMMYFUNCTION("""COMPUTED_VALUE"""),"")</f>
        <v/>
      </c>
      <c r="AS40" s="232" t="str">
        <f>IFERROR(__xludf.DUMMYFUNCTION("""COMPUTED_VALUE"""),"")</f>
        <v/>
      </c>
      <c r="AT40" s="233" t="str">
        <f>IFERROR(__xludf.DUMMYFUNCTION("""COMPUTED_VALUE"""),"")</f>
        <v/>
      </c>
      <c r="AU40" s="231" t="str">
        <f>IFERROR(__xludf.DUMMYFUNCTION("""COMPUTED_VALUE"""),"")</f>
        <v/>
      </c>
      <c r="AV40" s="232" t="str">
        <f>IFERROR(__xludf.DUMMYFUNCTION("""COMPUTED_VALUE"""),"")</f>
        <v/>
      </c>
      <c r="AW40" s="233">
        <f>IFERROR(__xludf.DUMMYFUNCTION("""COMPUTED_VALUE"""),24.6)</f>
        <v>24.6</v>
      </c>
      <c r="AX40" s="231" t="str">
        <f>IFERROR(__xludf.DUMMYFUNCTION("""COMPUTED_VALUE"""),"")</f>
        <v/>
      </c>
      <c r="AY40" s="232" t="str">
        <f>IFERROR(__xludf.DUMMYFUNCTION("""COMPUTED_VALUE"""),"")</f>
        <v/>
      </c>
      <c r="AZ40" s="233" t="str">
        <f>IFERROR(__xludf.DUMMYFUNCTION("""COMPUTED_VALUE"""),"")</f>
        <v/>
      </c>
      <c r="BA40" s="231" t="str">
        <f>IFERROR(__xludf.DUMMYFUNCTION("""COMPUTED_VALUE"""),"")</f>
        <v/>
      </c>
      <c r="BB40" s="232" t="str">
        <f>IFERROR(__xludf.DUMMYFUNCTION("""COMPUTED_VALUE"""),"")</f>
        <v/>
      </c>
      <c r="BC40" s="233" t="str">
        <f>IFERROR(__xludf.DUMMYFUNCTION("""COMPUTED_VALUE"""),"")</f>
        <v/>
      </c>
      <c r="BD40" s="231" t="str">
        <f>IFERROR(__xludf.DUMMYFUNCTION("""COMPUTED_VALUE"""),"")</f>
        <v/>
      </c>
      <c r="BE40" s="232" t="str">
        <f>IFERROR(__xludf.DUMMYFUNCTION("""COMPUTED_VALUE"""),"")</f>
        <v/>
      </c>
      <c r="BF40" s="233" t="str">
        <f>IFERROR(__xludf.DUMMYFUNCTION("""COMPUTED_VALUE"""),"")</f>
        <v/>
      </c>
      <c r="BG40" s="231">
        <f>IFERROR(__xludf.DUMMYFUNCTION("""COMPUTED_VALUE"""),76.1)</f>
        <v>76.1</v>
      </c>
      <c r="BH40" s="232" t="str">
        <f>IFERROR(__xludf.DUMMYFUNCTION("""COMPUTED_VALUE"""),"")</f>
        <v/>
      </c>
      <c r="BI40" s="233" t="str">
        <f>IFERROR(__xludf.DUMMYFUNCTION("""COMPUTED_VALUE"""),"")</f>
        <v/>
      </c>
      <c r="BJ40" s="231" t="str">
        <f>IFERROR(__xludf.DUMMYFUNCTION("""COMPUTED_VALUE"""),"")</f>
        <v/>
      </c>
      <c r="BK40" s="232" t="str">
        <f>IFERROR(__xludf.DUMMYFUNCTION("""COMPUTED_VALUE"""),"")</f>
        <v/>
      </c>
      <c r="BL40" s="233" t="str">
        <f>IFERROR(__xludf.DUMMYFUNCTION("""COMPUTED_VALUE"""),"")</f>
        <v/>
      </c>
      <c r="BM40" s="231" t="str">
        <f>IFERROR(__xludf.DUMMYFUNCTION("""COMPUTED_VALUE"""),"")</f>
        <v/>
      </c>
      <c r="BN40" s="232">
        <f>IFERROR(__xludf.DUMMYFUNCTION("""COMPUTED_VALUE"""),90.8)</f>
        <v>90.8</v>
      </c>
      <c r="BO40" s="233" t="str">
        <f>IFERROR(__xludf.DUMMYFUNCTION("""COMPUTED_VALUE"""),"")</f>
        <v/>
      </c>
      <c r="BP40" s="231" t="str">
        <f>IFERROR(__xludf.DUMMYFUNCTION("""COMPUTED_VALUE"""),"")</f>
        <v/>
      </c>
      <c r="BQ40" s="232" t="str">
        <f>IFERROR(__xludf.DUMMYFUNCTION("""COMPUTED_VALUE"""),"")</f>
        <v/>
      </c>
      <c r="BR40" s="233" t="str">
        <f>IFERROR(__xludf.DUMMYFUNCTION("""COMPUTED_VALUE"""),"")</f>
        <v/>
      </c>
      <c r="BS40" s="231" t="str">
        <f>IFERROR(__xludf.DUMMYFUNCTION("""COMPUTED_VALUE"""),"")</f>
        <v/>
      </c>
      <c r="BT40" s="232" t="str">
        <f>IFERROR(__xludf.DUMMYFUNCTION("""COMPUTED_VALUE"""),"")</f>
        <v/>
      </c>
      <c r="BU40" s="233">
        <f>IFERROR(__xludf.DUMMYFUNCTION("""COMPUTED_VALUE"""),10.8)</f>
        <v>10.8</v>
      </c>
      <c r="BV40" s="231" t="str">
        <f>IFERROR(__xludf.DUMMYFUNCTION("""COMPUTED_VALUE"""),"")</f>
        <v/>
      </c>
      <c r="BW40" s="232" t="str">
        <f>IFERROR(__xludf.DUMMYFUNCTION("""COMPUTED_VALUE"""),"")</f>
        <v/>
      </c>
      <c r="BX40" s="233" t="str">
        <f>IFERROR(__xludf.DUMMYFUNCTION("""COMPUTED_VALUE"""),"")</f>
        <v/>
      </c>
      <c r="BY40" s="231" t="str">
        <f>IFERROR(__xludf.DUMMYFUNCTION("""COMPUTED_VALUE"""),"")</f>
        <v/>
      </c>
      <c r="BZ40" s="232" t="str">
        <f>IFERROR(__xludf.DUMMYFUNCTION("""COMPUTED_VALUE"""),"")</f>
        <v/>
      </c>
      <c r="CA40" s="233" t="str">
        <f>IFERROR(__xludf.DUMMYFUNCTION("""COMPUTED_VALUE"""),"")</f>
        <v/>
      </c>
      <c r="CB40" s="231">
        <f>IFERROR(__xludf.DUMMYFUNCTION("""COMPUTED_VALUE"""),57.0)</f>
        <v>57</v>
      </c>
      <c r="CC40" s="232" t="str">
        <f>IFERROR(__xludf.DUMMYFUNCTION("""COMPUTED_VALUE"""),"")</f>
        <v/>
      </c>
      <c r="CD40" s="233" t="str">
        <f>IFERROR(__xludf.DUMMYFUNCTION("""COMPUTED_VALUE"""),"")</f>
        <v/>
      </c>
      <c r="CE40" s="234" t="str">
        <f>IFERROR(__xludf.DUMMYFUNCTION("""COMPUTED_VALUE"""),"")</f>
        <v/>
      </c>
      <c r="CF40" s="230" t="str">
        <f>IFERROR(__xludf.DUMMYFUNCTION("""COMPUTED_VALUE"""),"")</f>
        <v/>
      </c>
      <c r="CG40" s="235" t="str">
        <f>IFERROR(__xludf.DUMMYFUNCTION("""COMPUTED_VALUE"""),"")</f>
        <v/>
      </c>
      <c r="CH40" s="234" t="str">
        <f>IFERROR(__xludf.DUMMYFUNCTION("""COMPUTED_VALUE"""),"")</f>
        <v/>
      </c>
      <c r="CI40" s="230">
        <f>IFERROR(__xludf.DUMMYFUNCTION("""COMPUTED_VALUE"""),81.1)</f>
        <v>81.1</v>
      </c>
      <c r="CJ40" s="235" t="str">
        <f>IFERROR(__xludf.DUMMYFUNCTION("""COMPUTED_VALUE"""),"")</f>
        <v/>
      </c>
      <c r="CK40" s="95" t="str">
        <f>IFERROR(__xludf.DUMMYFUNCTION("""COMPUTED_VALUE"""),"")</f>
        <v/>
      </c>
      <c r="CL40" s="96" t="str">
        <f>IFERROR(__xludf.DUMMYFUNCTION("""COMPUTED_VALUE"""),"")</f>
        <v/>
      </c>
      <c r="CM40" s="97" t="str">
        <f>IFERROR(__xludf.DUMMYFUNCTION("""COMPUTED_VALUE"""),"")</f>
        <v/>
      </c>
      <c r="CN40" s="95" t="str">
        <f>IFERROR(__xludf.DUMMYFUNCTION("""COMPUTED_VALUE"""),"")</f>
        <v/>
      </c>
      <c r="CO40" s="96" t="str">
        <f>IFERROR(__xludf.DUMMYFUNCTION("""COMPUTED_VALUE"""),"")</f>
        <v/>
      </c>
      <c r="CP40" s="97" t="str">
        <f>IFERROR(__xludf.DUMMYFUNCTION("""COMPUTED_VALUE"""),"")</f>
        <v/>
      </c>
      <c r="CQ40" s="95" t="str">
        <f>IFERROR(__xludf.DUMMYFUNCTION("""COMPUTED_VALUE"""),"")</f>
        <v/>
      </c>
      <c r="CR40" s="96" t="str">
        <f>IFERROR(__xludf.DUMMYFUNCTION("""COMPUTED_VALUE"""),"")</f>
        <v/>
      </c>
      <c r="CS40" s="97" t="str">
        <f>IFERROR(__xludf.DUMMYFUNCTION("""COMPUTED_VALUE"""),"#REF!")</f>
        <v>#REF!</v>
      </c>
      <c r="CT40" s="95" t="str">
        <f>IFERROR(__xludf.DUMMYFUNCTION("""COMPUTED_VALUE"""),"#REF!")</f>
        <v>#REF!</v>
      </c>
      <c r="CU40" s="96" t="str">
        <f>IFERROR(__xludf.DUMMYFUNCTION("""COMPUTED_VALUE"""),"#REF!")</f>
        <v>#REF!</v>
      </c>
      <c r="CV40" s="97" t="str">
        <f>IFERROR(__xludf.DUMMYFUNCTION("""COMPUTED_VALUE"""),"#REF!")</f>
        <v>#REF!</v>
      </c>
      <c r="CW40" s="95" t="str">
        <f>IFERROR(__xludf.DUMMYFUNCTION("""COMPUTED_VALUE"""),"#REF!")</f>
        <v>#REF!</v>
      </c>
      <c r="CX40" s="96" t="str">
        <f>IFERROR(__xludf.DUMMYFUNCTION("""COMPUTED_VALUE"""),"#REF!")</f>
        <v>#REF!</v>
      </c>
      <c r="CY40" s="97" t="str">
        <f>IFERROR(__xludf.DUMMYFUNCTION("""COMPUTED_VALUE"""),"#REF!")</f>
        <v>#REF!</v>
      </c>
      <c r="CZ40" s="95" t="str">
        <f>IFERROR(__xludf.DUMMYFUNCTION("""COMPUTED_VALUE"""),"#REF!")</f>
        <v>#REF!</v>
      </c>
      <c r="DA40" s="96" t="str">
        <f>IFERROR(__xludf.DUMMYFUNCTION("""COMPUTED_VALUE"""),"#REF!")</f>
        <v>#REF!</v>
      </c>
      <c r="DB40" s="97" t="str">
        <f>IFERROR(__xludf.DUMMYFUNCTION("""COMPUTED_VALUE"""),"#REF!")</f>
        <v>#REF!</v>
      </c>
      <c r="DC40" s="95" t="str">
        <f>IFERROR(__xludf.DUMMYFUNCTION("""COMPUTED_VALUE"""),"#REF!")</f>
        <v>#REF!</v>
      </c>
      <c r="DD40" s="96" t="str">
        <f>IFERROR(__xludf.DUMMYFUNCTION("""COMPUTED_VALUE"""),"#REF!")</f>
        <v>#REF!</v>
      </c>
      <c r="DE40" s="97" t="str">
        <f>IFERROR(__xludf.DUMMYFUNCTION("""COMPUTED_VALUE"""),"#REF!")</f>
        <v>#REF!</v>
      </c>
      <c r="DF40" s="95" t="str">
        <f>IFERROR(__xludf.DUMMYFUNCTION("""COMPUTED_VALUE"""),"#REF!")</f>
        <v>#REF!</v>
      </c>
      <c r="DG40" s="96" t="str">
        <f>IFERROR(__xludf.DUMMYFUNCTION("""COMPUTED_VALUE"""),"#REF!")</f>
        <v>#REF!</v>
      </c>
      <c r="DH40" s="97" t="str">
        <f>IFERROR(__xludf.DUMMYFUNCTION("""COMPUTED_VALUE"""),"#REF!")</f>
        <v>#REF!</v>
      </c>
      <c r="DI40" s="95" t="str">
        <f>IFERROR(__xludf.DUMMYFUNCTION("""COMPUTED_VALUE"""),"#REF!")</f>
        <v>#REF!</v>
      </c>
      <c r="DJ40" s="96" t="str">
        <f>IFERROR(__xludf.DUMMYFUNCTION("""COMPUTED_VALUE"""),"#REF!")</f>
        <v>#REF!</v>
      </c>
      <c r="DK40" s="97" t="str">
        <f>IFERROR(__xludf.DUMMYFUNCTION("""COMPUTED_VALUE"""),"#REF!")</f>
        <v>#REF!</v>
      </c>
      <c r="DL40" s="95" t="str">
        <f>IFERROR(__xludf.DUMMYFUNCTION("""COMPUTED_VALUE"""),"#REF!")</f>
        <v>#REF!</v>
      </c>
      <c r="DM40" s="96" t="str">
        <f>IFERROR(__xludf.DUMMYFUNCTION("""COMPUTED_VALUE"""),"#REF!")</f>
        <v>#REF!</v>
      </c>
      <c r="DN40" s="97" t="str">
        <f>IFERROR(__xludf.DUMMYFUNCTION("""COMPUTED_VALUE"""),"#REF!")</f>
        <v>#REF!</v>
      </c>
      <c r="DO40" s="95" t="str">
        <f>IFERROR(__xludf.DUMMYFUNCTION("""COMPUTED_VALUE"""),"#REF!")</f>
        <v>#REF!</v>
      </c>
      <c r="DP40" s="96" t="str">
        <f>IFERROR(__xludf.DUMMYFUNCTION("""COMPUTED_VALUE"""),"#REF!")</f>
        <v>#REF!</v>
      </c>
      <c r="DQ40" s="97"/>
      <c r="DR40" s="95"/>
    </row>
    <row r="41">
      <c r="B41" s="83" t="str">
        <f>IFERROR(__xludf.DUMMYFUNCTION("""COMPUTED_VALUE"""),"TRF21")</f>
        <v>TRF21</v>
      </c>
      <c r="C41" s="82">
        <f>IFERROR(__xludf.DUMMYFUNCTION("""COMPUTED_VALUE"""),27.0)</f>
        <v>27</v>
      </c>
      <c r="D41" s="88" t="str">
        <f>IFERROR(__xludf.DUMMYFUNCTION("""COMPUTED_VALUE"""),"SAT Assassin Training Ground- Nov")</f>
        <v>SAT Assassin Training Ground- Nov</v>
      </c>
      <c r="E41" s="82" t="str">
        <f>IFERROR(__xludf.DUMMYFUNCTION("""COMPUTED_VALUE"""),"殺初級")</f>
        <v>殺初級</v>
      </c>
      <c r="F41" s="102">
        <f>IFERROR(__xludf.DUMMYFUNCTION("""COMPUTED_VALUE"""),10.0)</f>
        <v>10</v>
      </c>
      <c r="G41" s="82">
        <f>IFERROR(__xludf.DUMMYFUNCTION("""COMPUTED_VALUE"""),1128.0)</f>
        <v>1128</v>
      </c>
      <c r="H41" s="231" t="str">
        <f>IFERROR(__xludf.DUMMYFUNCTION("""COMPUTED_VALUE"""),"")</f>
        <v/>
      </c>
      <c r="I41" s="232" t="str">
        <f>IFERROR(__xludf.DUMMYFUNCTION("""COMPUTED_VALUE"""),"")</f>
        <v/>
      </c>
      <c r="J41" s="233" t="str">
        <f>IFERROR(__xludf.DUMMYFUNCTION("""COMPUTED_VALUE"""),"")</f>
        <v/>
      </c>
      <c r="K41" s="231" t="str">
        <f>IFERROR(__xludf.DUMMYFUNCTION("""COMPUTED_VALUE"""),"")</f>
        <v/>
      </c>
      <c r="L41" s="232" t="str">
        <f>IFERROR(__xludf.DUMMYFUNCTION("""COMPUTED_VALUE"""),"")</f>
        <v/>
      </c>
      <c r="M41" s="233" t="str">
        <f>IFERROR(__xludf.DUMMYFUNCTION("""COMPUTED_VALUE"""),"")</f>
        <v/>
      </c>
      <c r="N41" s="231" t="str">
        <f>IFERROR(__xludf.DUMMYFUNCTION("""COMPUTED_VALUE"""),"")</f>
        <v/>
      </c>
      <c r="O41" s="232" t="str">
        <f>IFERROR(__xludf.DUMMYFUNCTION("""COMPUTED_VALUE"""),"")</f>
        <v/>
      </c>
      <c r="P41" s="233" t="str">
        <f>IFERROR(__xludf.DUMMYFUNCTION("""COMPUTED_VALUE"""),"")</f>
        <v/>
      </c>
      <c r="Q41" s="231" t="str">
        <f>IFERROR(__xludf.DUMMYFUNCTION("""COMPUTED_VALUE"""),"")</f>
        <v/>
      </c>
      <c r="R41" s="232" t="str">
        <f>IFERROR(__xludf.DUMMYFUNCTION("""COMPUTED_VALUE"""),"")</f>
        <v/>
      </c>
      <c r="S41" s="233" t="str">
        <f>IFERROR(__xludf.DUMMYFUNCTION("""COMPUTED_VALUE"""),"")</f>
        <v/>
      </c>
      <c r="T41" s="231" t="str">
        <f>IFERROR(__xludf.DUMMYFUNCTION("""COMPUTED_VALUE"""),"")</f>
        <v/>
      </c>
      <c r="U41" s="232" t="str">
        <f>IFERROR(__xludf.DUMMYFUNCTION("""COMPUTED_VALUE"""),"")</f>
        <v/>
      </c>
      <c r="V41" s="233" t="str">
        <f>IFERROR(__xludf.DUMMYFUNCTION("""COMPUTED_VALUE"""),"")</f>
        <v/>
      </c>
      <c r="W41" s="231" t="str">
        <f>IFERROR(__xludf.DUMMYFUNCTION("""COMPUTED_VALUE"""),"")</f>
        <v/>
      </c>
      <c r="X41" s="232" t="str">
        <f>IFERROR(__xludf.DUMMYFUNCTION("""COMPUTED_VALUE"""),"")</f>
        <v/>
      </c>
      <c r="Y41" s="233" t="str">
        <f>IFERROR(__xludf.DUMMYFUNCTION("""COMPUTED_VALUE"""),"")</f>
        <v/>
      </c>
      <c r="Z41" s="231" t="str">
        <f>IFERROR(__xludf.DUMMYFUNCTION("""COMPUTED_VALUE"""),"")</f>
        <v/>
      </c>
      <c r="AA41" s="232">
        <f>IFERROR(__xludf.DUMMYFUNCTION("""COMPUTED_VALUE"""),2.7)</f>
        <v>2.7</v>
      </c>
      <c r="AB41" s="233" t="str">
        <f>IFERROR(__xludf.DUMMYFUNCTION("""COMPUTED_VALUE"""),"")</f>
        <v/>
      </c>
      <c r="AC41" s="231" t="str">
        <f>IFERROR(__xludf.DUMMYFUNCTION("""COMPUTED_VALUE"""),"")</f>
        <v/>
      </c>
      <c r="AD41" s="232" t="str">
        <f>IFERROR(__xludf.DUMMYFUNCTION("""COMPUTED_VALUE"""),"")</f>
        <v/>
      </c>
      <c r="AE41" s="233">
        <f>IFERROR(__xludf.DUMMYFUNCTION("""COMPUTED_VALUE"""),9.3)</f>
        <v>9.3</v>
      </c>
      <c r="AF41" s="231" t="str">
        <f>IFERROR(__xludf.DUMMYFUNCTION("""COMPUTED_VALUE"""),"")</f>
        <v/>
      </c>
      <c r="AG41" s="232" t="str">
        <f>IFERROR(__xludf.DUMMYFUNCTION("""COMPUTED_VALUE"""),"")</f>
        <v/>
      </c>
      <c r="AH41" s="233" t="str">
        <f>IFERROR(__xludf.DUMMYFUNCTION("""COMPUTED_VALUE"""),"")</f>
        <v/>
      </c>
      <c r="AI41" s="231" t="str">
        <f>IFERROR(__xludf.DUMMYFUNCTION("""COMPUTED_VALUE"""),"")</f>
        <v/>
      </c>
      <c r="AJ41" s="232" t="str">
        <f>IFERROR(__xludf.DUMMYFUNCTION("""COMPUTED_VALUE"""),"")</f>
        <v/>
      </c>
      <c r="AK41" s="233" t="str">
        <f>IFERROR(__xludf.DUMMYFUNCTION("""COMPUTED_VALUE"""),"")</f>
        <v/>
      </c>
      <c r="AL41" s="231" t="str">
        <f>IFERROR(__xludf.DUMMYFUNCTION("""COMPUTED_VALUE"""),"")</f>
        <v/>
      </c>
      <c r="AM41" s="232" t="str">
        <f>IFERROR(__xludf.DUMMYFUNCTION("""COMPUTED_VALUE"""),"")</f>
        <v/>
      </c>
      <c r="AN41" s="233" t="str">
        <f>IFERROR(__xludf.DUMMYFUNCTION("""COMPUTED_VALUE"""),"")</f>
        <v/>
      </c>
      <c r="AO41" s="231" t="str">
        <f>IFERROR(__xludf.DUMMYFUNCTION("""COMPUTED_VALUE"""),"")</f>
        <v/>
      </c>
      <c r="AP41" s="232" t="str">
        <f>IFERROR(__xludf.DUMMYFUNCTION("""COMPUTED_VALUE"""),"")</f>
        <v/>
      </c>
      <c r="AQ41" s="233" t="str">
        <f>IFERROR(__xludf.DUMMYFUNCTION("""COMPUTED_VALUE"""),"")</f>
        <v/>
      </c>
      <c r="AR41" s="231" t="str">
        <f>IFERROR(__xludf.DUMMYFUNCTION("""COMPUTED_VALUE"""),"")</f>
        <v/>
      </c>
      <c r="AS41" s="232" t="str">
        <f>IFERROR(__xludf.DUMMYFUNCTION("""COMPUTED_VALUE"""),"")</f>
        <v/>
      </c>
      <c r="AT41" s="233" t="str">
        <f>IFERROR(__xludf.DUMMYFUNCTION("""COMPUTED_VALUE"""),"")</f>
        <v/>
      </c>
      <c r="AU41" s="231" t="str">
        <f>IFERROR(__xludf.DUMMYFUNCTION("""COMPUTED_VALUE"""),"")</f>
        <v/>
      </c>
      <c r="AV41" s="232">
        <f>IFERROR(__xludf.DUMMYFUNCTION("""COMPUTED_VALUE"""),12.9)</f>
        <v>12.9</v>
      </c>
      <c r="AW41" s="233">
        <f>IFERROR(__xludf.DUMMYFUNCTION("""COMPUTED_VALUE"""),11.4)</f>
        <v>11.4</v>
      </c>
      <c r="AX41" s="231" t="str">
        <f>IFERROR(__xludf.DUMMYFUNCTION("""COMPUTED_VALUE"""),"")</f>
        <v/>
      </c>
      <c r="AY41" s="232" t="str">
        <f>IFERROR(__xludf.DUMMYFUNCTION("""COMPUTED_VALUE"""),"")</f>
        <v/>
      </c>
      <c r="AZ41" s="233" t="str">
        <f>IFERROR(__xludf.DUMMYFUNCTION("""COMPUTED_VALUE"""),"")</f>
        <v/>
      </c>
      <c r="BA41" s="231" t="str">
        <f>IFERROR(__xludf.DUMMYFUNCTION("""COMPUTED_VALUE"""),"")</f>
        <v/>
      </c>
      <c r="BB41" s="232" t="str">
        <f>IFERROR(__xludf.DUMMYFUNCTION("""COMPUTED_VALUE"""),"")</f>
        <v/>
      </c>
      <c r="BC41" s="233" t="str">
        <f>IFERROR(__xludf.DUMMYFUNCTION("""COMPUTED_VALUE"""),"")</f>
        <v/>
      </c>
      <c r="BD41" s="231" t="str">
        <f>IFERROR(__xludf.DUMMYFUNCTION("""COMPUTED_VALUE"""),"")</f>
        <v/>
      </c>
      <c r="BE41" s="232" t="str">
        <f>IFERROR(__xludf.DUMMYFUNCTION("""COMPUTED_VALUE"""),"")</f>
        <v/>
      </c>
      <c r="BF41" s="233" t="str">
        <f>IFERROR(__xludf.DUMMYFUNCTION("""COMPUTED_VALUE"""),"")</f>
        <v/>
      </c>
      <c r="BG41" s="231" t="str">
        <f>IFERROR(__xludf.DUMMYFUNCTION("""COMPUTED_VALUE"""),"")</f>
        <v/>
      </c>
      <c r="BH41" s="232" t="str">
        <f>IFERROR(__xludf.DUMMYFUNCTION("""COMPUTED_VALUE"""),"")</f>
        <v/>
      </c>
      <c r="BI41" s="233" t="str">
        <f>IFERROR(__xludf.DUMMYFUNCTION("""COMPUTED_VALUE"""),"")</f>
        <v/>
      </c>
      <c r="BJ41" s="231" t="str">
        <f>IFERROR(__xludf.DUMMYFUNCTION("""COMPUTED_VALUE"""),"")</f>
        <v/>
      </c>
      <c r="BK41" s="232" t="str">
        <f>IFERROR(__xludf.DUMMYFUNCTION("""COMPUTED_VALUE"""),"")</f>
        <v/>
      </c>
      <c r="BL41" s="233" t="str">
        <f>IFERROR(__xludf.DUMMYFUNCTION("""COMPUTED_VALUE"""),"")</f>
        <v/>
      </c>
      <c r="BM41" s="231" t="str">
        <f>IFERROR(__xludf.DUMMYFUNCTION("""COMPUTED_VALUE"""),"")</f>
        <v/>
      </c>
      <c r="BN41" s="232" t="str">
        <f>IFERROR(__xludf.DUMMYFUNCTION("""COMPUTED_VALUE"""),"")</f>
        <v/>
      </c>
      <c r="BO41" s="233" t="str">
        <f>IFERROR(__xludf.DUMMYFUNCTION("""COMPUTED_VALUE"""),"")</f>
        <v/>
      </c>
      <c r="BP41" s="231" t="str">
        <f>IFERROR(__xludf.DUMMYFUNCTION("""COMPUTED_VALUE"""),"")</f>
        <v/>
      </c>
      <c r="BQ41" s="232" t="str">
        <f>IFERROR(__xludf.DUMMYFUNCTION("""COMPUTED_VALUE"""),"")</f>
        <v/>
      </c>
      <c r="BR41" s="233" t="str">
        <f>IFERROR(__xludf.DUMMYFUNCTION("""COMPUTED_VALUE"""),"")</f>
        <v/>
      </c>
      <c r="BS41" s="231" t="str">
        <f>IFERROR(__xludf.DUMMYFUNCTION("""COMPUTED_VALUE"""),"")</f>
        <v/>
      </c>
      <c r="BT41" s="232" t="str">
        <f>IFERROR(__xludf.DUMMYFUNCTION("""COMPUTED_VALUE"""),"")</f>
        <v/>
      </c>
      <c r="BU41" s="233" t="str">
        <f>IFERROR(__xludf.DUMMYFUNCTION("""COMPUTED_VALUE"""),"")</f>
        <v/>
      </c>
      <c r="BV41" s="231">
        <f>IFERROR(__xludf.DUMMYFUNCTION("""COMPUTED_VALUE"""),130.9)</f>
        <v>130.9</v>
      </c>
      <c r="BW41" s="232" t="str">
        <f>IFERROR(__xludf.DUMMYFUNCTION("""COMPUTED_VALUE"""),"")</f>
        <v/>
      </c>
      <c r="BX41" s="233" t="str">
        <f>IFERROR(__xludf.DUMMYFUNCTION("""COMPUTED_VALUE"""),"")</f>
        <v/>
      </c>
      <c r="BY41" s="231" t="str">
        <f>IFERROR(__xludf.DUMMYFUNCTION("""COMPUTED_VALUE"""),"")</f>
        <v/>
      </c>
      <c r="BZ41" s="232" t="str">
        <f>IFERROR(__xludf.DUMMYFUNCTION("""COMPUTED_VALUE"""),"")</f>
        <v/>
      </c>
      <c r="CA41" s="233" t="str">
        <f>IFERROR(__xludf.DUMMYFUNCTION("""COMPUTED_VALUE"""),"")</f>
        <v/>
      </c>
      <c r="CB41" s="231" t="str">
        <f>IFERROR(__xludf.DUMMYFUNCTION("""COMPUTED_VALUE"""),"")</f>
        <v/>
      </c>
      <c r="CC41" s="232">
        <f>IFERROR(__xludf.DUMMYFUNCTION("""COMPUTED_VALUE"""),2.5)</f>
        <v>2.5</v>
      </c>
      <c r="CD41" s="233" t="str">
        <f>IFERROR(__xludf.DUMMYFUNCTION("""COMPUTED_VALUE"""),"")</f>
        <v/>
      </c>
      <c r="CE41" s="234" t="str">
        <f>IFERROR(__xludf.DUMMYFUNCTION("""COMPUTED_VALUE"""),"")</f>
        <v/>
      </c>
      <c r="CF41" s="230" t="str">
        <f>IFERROR(__xludf.DUMMYFUNCTION("""COMPUTED_VALUE"""),"")</f>
        <v/>
      </c>
      <c r="CG41" s="235" t="str">
        <f>IFERROR(__xludf.DUMMYFUNCTION("""COMPUTED_VALUE"""),"")</f>
        <v/>
      </c>
      <c r="CH41" s="234" t="str">
        <f>IFERROR(__xludf.DUMMYFUNCTION("""COMPUTED_VALUE"""),"")</f>
        <v/>
      </c>
      <c r="CI41" s="230" t="str">
        <f>IFERROR(__xludf.DUMMYFUNCTION("""COMPUTED_VALUE"""),"")</f>
        <v/>
      </c>
      <c r="CJ41" s="235">
        <f>IFERROR(__xludf.DUMMYFUNCTION("""COMPUTED_VALUE"""),28.4)</f>
        <v>28.4</v>
      </c>
      <c r="CK41" s="95" t="str">
        <f>IFERROR(__xludf.DUMMYFUNCTION("""COMPUTED_VALUE"""),"")</f>
        <v/>
      </c>
      <c r="CL41" s="96" t="str">
        <f>IFERROR(__xludf.DUMMYFUNCTION("""COMPUTED_VALUE"""),"")</f>
        <v/>
      </c>
      <c r="CM41" s="97" t="str">
        <f>IFERROR(__xludf.DUMMYFUNCTION("""COMPUTED_VALUE"""),"")</f>
        <v/>
      </c>
      <c r="CN41" s="95" t="str">
        <f>IFERROR(__xludf.DUMMYFUNCTION("""COMPUTED_VALUE"""),"")</f>
        <v/>
      </c>
      <c r="CO41" s="96" t="str">
        <f>IFERROR(__xludf.DUMMYFUNCTION("""COMPUTED_VALUE"""),"")</f>
        <v/>
      </c>
      <c r="CP41" s="97" t="str">
        <f>IFERROR(__xludf.DUMMYFUNCTION("""COMPUTED_VALUE"""),"")</f>
        <v/>
      </c>
      <c r="CQ41" s="95" t="str">
        <f>IFERROR(__xludf.DUMMYFUNCTION("""COMPUTED_VALUE"""),"")</f>
        <v/>
      </c>
      <c r="CR41" s="96" t="str">
        <f>IFERROR(__xludf.DUMMYFUNCTION("""COMPUTED_VALUE"""),"")</f>
        <v/>
      </c>
      <c r="CS41" s="97" t="str">
        <f>IFERROR(__xludf.DUMMYFUNCTION("""COMPUTED_VALUE"""),"#REF!")</f>
        <v>#REF!</v>
      </c>
      <c r="CT41" s="95" t="str">
        <f>IFERROR(__xludf.DUMMYFUNCTION("""COMPUTED_VALUE"""),"#REF!")</f>
        <v>#REF!</v>
      </c>
      <c r="CU41" s="96" t="str">
        <f>IFERROR(__xludf.DUMMYFUNCTION("""COMPUTED_VALUE"""),"#REF!")</f>
        <v>#REF!</v>
      </c>
      <c r="CV41" s="97" t="str">
        <f>IFERROR(__xludf.DUMMYFUNCTION("""COMPUTED_VALUE"""),"#REF!")</f>
        <v>#REF!</v>
      </c>
      <c r="CW41" s="95" t="str">
        <f>IFERROR(__xludf.DUMMYFUNCTION("""COMPUTED_VALUE"""),"#REF!")</f>
        <v>#REF!</v>
      </c>
      <c r="CX41" s="96" t="str">
        <f>IFERROR(__xludf.DUMMYFUNCTION("""COMPUTED_VALUE"""),"#REF!")</f>
        <v>#REF!</v>
      </c>
      <c r="CY41" s="97" t="str">
        <f>IFERROR(__xludf.DUMMYFUNCTION("""COMPUTED_VALUE"""),"#REF!")</f>
        <v>#REF!</v>
      </c>
      <c r="CZ41" s="95" t="str">
        <f>IFERROR(__xludf.DUMMYFUNCTION("""COMPUTED_VALUE"""),"#REF!")</f>
        <v>#REF!</v>
      </c>
      <c r="DA41" s="96" t="str">
        <f>IFERROR(__xludf.DUMMYFUNCTION("""COMPUTED_VALUE"""),"#REF!")</f>
        <v>#REF!</v>
      </c>
      <c r="DB41" s="97" t="str">
        <f>IFERROR(__xludf.DUMMYFUNCTION("""COMPUTED_VALUE"""),"#REF!")</f>
        <v>#REF!</v>
      </c>
      <c r="DC41" s="95" t="str">
        <f>IFERROR(__xludf.DUMMYFUNCTION("""COMPUTED_VALUE"""),"#REF!")</f>
        <v>#REF!</v>
      </c>
      <c r="DD41" s="96" t="str">
        <f>IFERROR(__xludf.DUMMYFUNCTION("""COMPUTED_VALUE"""),"#REF!")</f>
        <v>#REF!</v>
      </c>
      <c r="DE41" s="97" t="str">
        <f>IFERROR(__xludf.DUMMYFUNCTION("""COMPUTED_VALUE"""),"#REF!")</f>
        <v>#REF!</v>
      </c>
      <c r="DF41" s="95" t="str">
        <f>IFERROR(__xludf.DUMMYFUNCTION("""COMPUTED_VALUE"""),"#REF!")</f>
        <v>#REF!</v>
      </c>
      <c r="DG41" s="96" t="str">
        <f>IFERROR(__xludf.DUMMYFUNCTION("""COMPUTED_VALUE"""),"#REF!")</f>
        <v>#REF!</v>
      </c>
      <c r="DH41" s="97" t="str">
        <f>IFERROR(__xludf.DUMMYFUNCTION("""COMPUTED_VALUE"""),"#REF!")</f>
        <v>#REF!</v>
      </c>
      <c r="DI41" s="95" t="str">
        <f>IFERROR(__xludf.DUMMYFUNCTION("""COMPUTED_VALUE"""),"#REF!")</f>
        <v>#REF!</v>
      </c>
      <c r="DJ41" s="96" t="str">
        <f>IFERROR(__xludf.DUMMYFUNCTION("""COMPUTED_VALUE"""),"#REF!")</f>
        <v>#REF!</v>
      </c>
      <c r="DK41" s="97" t="str">
        <f>IFERROR(__xludf.DUMMYFUNCTION("""COMPUTED_VALUE"""),"#REF!")</f>
        <v>#REF!</v>
      </c>
      <c r="DL41" s="95" t="str">
        <f>IFERROR(__xludf.DUMMYFUNCTION("""COMPUTED_VALUE"""),"#REF!")</f>
        <v>#REF!</v>
      </c>
      <c r="DM41" s="96" t="str">
        <f>IFERROR(__xludf.DUMMYFUNCTION("""COMPUTED_VALUE"""),"#REF!")</f>
        <v>#REF!</v>
      </c>
      <c r="DN41" s="97" t="str">
        <f>IFERROR(__xludf.DUMMYFUNCTION("""COMPUTED_VALUE"""),"#REF!")</f>
        <v>#REF!</v>
      </c>
      <c r="DO41" s="95" t="str">
        <f>IFERROR(__xludf.DUMMYFUNCTION("""COMPUTED_VALUE"""),"#REF!")</f>
        <v>#REF!</v>
      </c>
      <c r="DP41" s="96" t="str">
        <f>IFERROR(__xludf.DUMMYFUNCTION("""COMPUTED_VALUE"""),"#REF!")</f>
        <v>#REF!</v>
      </c>
      <c r="DQ41" s="97"/>
      <c r="DR41" s="95"/>
    </row>
    <row r="42">
      <c r="B42" s="83" t="str">
        <f>IFERROR(__xludf.DUMMYFUNCTION("""COMPUTED_VALUE"""),"TRF22")</f>
        <v>TRF22</v>
      </c>
      <c r="C42" s="82">
        <f>IFERROR(__xludf.DUMMYFUNCTION("""COMPUTED_VALUE"""),26.0)</f>
        <v>26</v>
      </c>
      <c r="D42" s="88" t="str">
        <f>IFERROR(__xludf.DUMMYFUNCTION("""COMPUTED_VALUE"""),"SAT Assassin Training Ground- Int")</f>
        <v>SAT Assassin Training Ground- Int</v>
      </c>
      <c r="E42" s="82" t="str">
        <f>IFERROR(__xludf.DUMMYFUNCTION("""COMPUTED_VALUE"""),"殺中級")</f>
        <v>殺中級</v>
      </c>
      <c r="F42" s="102">
        <f>IFERROR(__xludf.DUMMYFUNCTION("""COMPUTED_VALUE"""),20.0)</f>
        <v>20</v>
      </c>
      <c r="G42" s="82">
        <f>IFERROR(__xludf.DUMMYFUNCTION("""COMPUTED_VALUE"""),1000.0)</f>
        <v>1000</v>
      </c>
      <c r="H42" s="231" t="str">
        <f>IFERROR(__xludf.DUMMYFUNCTION("""COMPUTED_VALUE"""),"")</f>
        <v/>
      </c>
      <c r="I42" s="232" t="str">
        <f>IFERROR(__xludf.DUMMYFUNCTION("""COMPUTED_VALUE"""),"")</f>
        <v/>
      </c>
      <c r="J42" s="233" t="str">
        <f>IFERROR(__xludf.DUMMYFUNCTION("""COMPUTED_VALUE"""),"")</f>
        <v/>
      </c>
      <c r="K42" s="231" t="str">
        <f>IFERROR(__xludf.DUMMYFUNCTION("""COMPUTED_VALUE"""),"")</f>
        <v/>
      </c>
      <c r="L42" s="232" t="str">
        <f>IFERROR(__xludf.DUMMYFUNCTION("""COMPUTED_VALUE"""),"")</f>
        <v/>
      </c>
      <c r="M42" s="233" t="str">
        <f>IFERROR(__xludf.DUMMYFUNCTION("""COMPUTED_VALUE"""),"")</f>
        <v/>
      </c>
      <c r="N42" s="231" t="str">
        <f>IFERROR(__xludf.DUMMYFUNCTION("""COMPUTED_VALUE"""),"")</f>
        <v/>
      </c>
      <c r="O42" s="232" t="str">
        <f>IFERROR(__xludf.DUMMYFUNCTION("""COMPUTED_VALUE"""),"")</f>
        <v/>
      </c>
      <c r="P42" s="233" t="str">
        <f>IFERROR(__xludf.DUMMYFUNCTION("""COMPUTED_VALUE"""),"")</f>
        <v/>
      </c>
      <c r="Q42" s="231" t="str">
        <f>IFERROR(__xludf.DUMMYFUNCTION("""COMPUTED_VALUE"""),"")</f>
        <v/>
      </c>
      <c r="R42" s="232" t="str">
        <f>IFERROR(__xludf.DUMMYFUNCTION("""COMPUTED_VALUE"""),"")</f>
        <v/>
      </c>
      <c r="S42" s="233" t="str">
        <f>IFERROR(__xludf.DUMMYFUNCTION("""COMPUTED_VALUE"""),"")</f>
        <v/>
      </c>
      <c r="T42" s="231" t="str">
        <f>IFERROR(__xludf.DUMMYFUNCTION("""COMPUTED_VALUE"""),"")</f>
        <v/>
      </c>
      <c r="U42" s="232" t="str">
        <f>IFERROR(__xludf.DUMMYFUNCTION("""COMPUTED_VALUE"""),"")</f>
        <v/>
      </c>
      <c r="V42" s="233" t="str">
        <f>IFERROR(__xludf.DUMMYFUNCTION("""COMPUTED_VALUE"""),"")</f>
        <v/>
      </c>
      <c r="W42" s="231" t="str">
        <f>IFERROR(__xludf.DUMMYFUNCTION("""COMPUTED_VALUE"""),"")</f>
        <v/>
      </c>
      <c r="X42" s="232" t="str">
        <f>IFERROR(__xludf.DUMMYFUNCTION("""COMPUTED_VALUE"""),"")</f>
        <v/>
      </c>
      <c r="Y42" s="233" t="str">
        <f>IFERROR(__xludf.DUMMYFUNCTION("""COMPUTED_VALUE"""),"")</f>
        <v/>
      </c>
      <c r="Z42" s="231">
        <f>IFERROR(__xludf.DUMMYFUNCTION("""COMPUTED_VALUE"""),8.3)</f>
        <v>8.3</v>
      </c>
      <c r="AA42" s="232">
        <f>IFERROR(__xludf.DUMMYFUNCTION("""COMPUTED_VALUE"""),2.4)</f>
        <v>2.4</v>
      </c>
      <c r="AB42" s="233" t="str">
        <f>IFERROR(__xludf.DUMMYFUNCTION("""COMPUTED_VALUE"""),"")</f>
        <v/>
      </c>
      <c r="AC42" s="231" t="str">
        <f>IFERROR(__xludf.DUMMYFUNCTION("""COMPUTED_VALUE"""),"")</f>
        <v/>
      </c>
      <c r="AD42" s="232" t="str">
        <f>IFERROR(__xludf.DUMMYFUNCTION("""COMPUTED_VALUE"""),"")</f>
        <v/>
      </c>
      <c r="AE42" s="233">
        <f>IFERROR(__xludf.DUMMYFUNCTION("""COMPUTED_VALUE"""),9.5)</f>
        <v>9.5</v>
      </c>
      <c r="AF42" s="231" t="str">
        <f>IFERROR(__xludf.DUMMYFUNCTION("""COMPUTED_VALUE"""),"")</f>
        <v/>
      </c>
      <c r="AG42" s="232" t="str">
        <f>IFERROR(__xludf.DUMMYFUNCTION("""COMPUTED_VALUE"""),"")</f>
        <v/>
      </c>
      <c r="AH42" s="233" t="str">
        <f>IFERROR(__xludf.DUMMYFUNCTION("""COMPUTED_VALUE"""),"")</f>
        <v/>
      </c>
      <c r="AI42" s="231" t="str">
        <f>IFERROR(__xludf.DUMMYFUNCTION("""COMPUTED_VALUE"""),"")</f>
        <v/>
      </c>
      <c r="AJ42" s="232" t="str">
        <f>IFERROR(__xludf.DUMMYFUNCTION("""COMPUTED_VALUE"""),"")</f>
        <v/>
      </c>
      <c r="AK42" s="233" t="str">
        <f>IFERROR(__xludf.DUMMYFUNCTION("""COMPUTED_VALUE"""),"")</f>
        <v/>
      </c>
      <c r="AL42" s="231" t="str">
        <f>IFERROR(__xludf.DUMMYFUNCTION("""COMPUTED_VALUE"""),"")</f>
        <v/>
      </c>
      <c r="AM42" s="232" t="str">
        <f>IFERROR(__xludf.DUMMYFUNCTION("""COMPUTED_VALUE"""),"")</f>
        <v/>
      </c>
      <c r="AN42" s="233" t="str">
        <f>IFERROR(__xludf.DUMMYFUNCTION("""COMPUTED_VALUE"""),"")</f>
        <v/>
      </c>
      <c r="AO42" s="231" t="str">
        <f>IFERROR(__xludf.DUMMYFUNCTION("""COMPUTED_VALUE"""),"")</f>
        <v/>
      </c>
      <c r="AP42" s="232" t="str">
        <f>IFERROR(__xludf.DUMMYFUNCTION("""COMPUTED_VALUE"""),"")</f>
        <v/>
      </c>
      <c r="AQ42" s="233" t="str">
        <f>IFERROR(__xludf.DUMMYFUNCTION("""COMPUTED_VALUE"""),"")</f>
        <v/>
      </c>
      <c r="AR42" s="231" t="str">
        <f>IFERROR(__xludf.DUMMYFUNCTION("""COMPUTED_VALUE"""),"")</f>
        <v/>
      </c>
      <c r="AS42" s="232" t="str">
        <f>IFERROR(__xludf.DUMMYFUNCTION("""COMPUTED_VALUE"""),"")</f>
        <v/>
      </c>
      <c r="AT42" s="233" t="str">
        <f>IFERROR(__xludf.DUMMYFUNCTION("""COMPUTED_VALUE"""),"")</f>
        <v/>
      </c>
      <c r="AU42" s="231" t="str">
        <f>IFERROR(__xludf.DUMMYFUNCTION("""COMPUTED_VALUE"""),"")</f>
        <v/>
      </c>
      <c r="AV42" s="232">
        <f>IFERROR(__xludf.DUMMYFUNCTION("""COMPUTED_VALUE"""),17.7)</f>
        <v>17.7</v>
      </c>
      <c r="AW42" s="233">
        <f>IFERROR(__xludf.DUMMYFUNCTION("""COMPUTED_VALUE"""),16.9)</f>
        <v>16.9</v>
      </c>
      <c r="AX42" s="231" t="str">
        <f>IFERROR(__xludf.DUMMYFUNCTION("""COMPUTED_VALUE"""),"")</f>
        <v/>
      </c>
      <c r="AY42" s="232" t="str">
        <f>IFERROR(__xludf.DUMMYFUNCTION("""COMPUTED_VALUE"""),"")</f>
        <v/>
      </c>
      <c r="AZ42" s="233" t="str">
        <f>IFERROR(__xludf.DUMMYFUNCTION("""COMPUTED_VALUE"""),"")</f>
        <v/>
      </c>
      <c r="BA42" s="231" t="str">
        <f>IFERROR(__xludf.DUMMYFUNCTION("""COMPUTED_VALUE"""),"")</f>
        <v/>
      </c>
      <c r="BB42" s="232" t="str">
        <f>IFERROR(__xludf.DUMMYFUNCTION("""COMPUTED_VALUE"""),"")</f>
        <v/>
      </c>
      <c r="BC42" s="233" t="str">
        <f>IFERROR(__xludf.DUMMYFUNCTION("""COMPUTED_VALUE"""),"")</f>
        <v/>
      </c>
      <c r="BD42" s="231" t="str">
        <f>IFERROR(__xludf.DUMMYFUNCTION("""COMPUTED_VALUE"""),"")</f>
        <v/>
      </c>
      <c r="BE42" s="232" t="str">
        <f>IFERROR(__xludf.DUMMYFUNCTION("""COMPUTED_VALUE"""),"")</f>
        <v/>
      </c>
      <c r="BF42" s="233" t="str">
        <f>IFERROR(__xludf.DUMMYFUNCTION("""COMPUTED_VALUE"""),"")</f>
        <v/>
      </c>
      <c r="BG42" s="231" t="str">
        <f>IFERROR(__xludf.DUMMYFUNCTION("""COMPUTED_VALUE"""),"")</f>
        <v/>
      </c>
      <c r="BH42" s="232" t="str">
        <f>IFERROR(__xludf.DUMMYFUNCTION("""COMPUTED_VALUE"""),"")</f>
        <v/>
      </c>
      <c r="BI42" s="233" t="str">
        <f>IFERROR(__xludf.DUMMYFUNCTION("""COMPUTED_VALUE"""),"")</f>
        <v/>
      </c>
      <c r="BJ42" s="231" t="str">
        <f>IFERROR(__xludf.DUMMYFUNCTION("""COMPUTED_VALUE"""),"")</f>
        <v/>
      </c>
      <c r="BK42" s="232" t="str">
        <f>IFERROR(__xludf.DUMMYFUNCTION("""COMPUTED_VALUE"""),"")</f>
        <v/>
      </c>
      <c r="BL42" s="233" t="str">
        <f>IFERROR(__xludf.DUMMYFUNCTION("""COMPUTED_VALUE"""),"")</f>
        <v/>
      </c>
      <c r="BM42" s="231" t="str">
        <f>IFERROR(__xludf.DUMMYFUNCTION("""COMPUTED_VALUE"""),"")</f>
        <v/>
      </c>
      <c r="BN42" s="232" t="str">
        <f>IFERROR(__xludf.DUMMYFUNCTION("""COMPUTED_VALUE"""),"")</f>
        <v/>
      </c>
      <c r="BO42" s="233">
        <f>IFERROR(__xludf.DUMMYFUNCTION("""COMPUTED_VALUE"""),108.8)</f>
        <v>108.8</v>
      </c>
      <c r="BP42" s="231" t="str">
        <f>IFERROR(__xludf.DUMMYFUNCTION("""COMPUTED_VALUE"""),"")</f>
        <v/>
      </c>
      <c r="BQ42" s="232" t="str">
        <f>IFERROR(__xludf.DUMMYFUNCTION("""COMPUTED_VALUE"""),"")</f>
        <v/>
      </c>
      <c r="BR42" s="233" t="str">
        <f>IFERROR(__xludf.DUMMYFUNCTION("""COMPUTED_VALUE"""),"")</f>
        <v/>
      </c>
      <c r="BS42" s="231" t="str">
        <f>IFERROR(__xludf.DUMMYFUNCTION("""COMPUTED_VALUE"""),"")</f>
        <v/>
      </c>
      <c r="BT42" s="232" t="str">
        <f>IFERROR(__xludf.DUMMYFUNCTION("""COMPUTED_VALUE"""),"")</f>
        <v/>
      </c>
      <c r="BU42" s="233" t="str">
        <f>IFERROR(__xludf.DUMMYFUNCTION("""COMPUTED_VALUE"""),"")</f>
        <v/>
      </c>
      <c r="BV42" s="231">
        <f>IFERROR(__xludf.DUMMYFUNCTION("""COMPUTED_VALUE"""),83.7)</f>
        <v>83.7</v>
      </c>
      <c r="BW42" s="232" t="str">
        <f>IFERROR(__xludf.DUMMYFUNCTION("""COMPUTED_VALUE"""),"")</f>
        <v/>
      </c>
      <c r="BX42" s="233" t="str">
        <f>IFERROR(__xludf.DUMMYFUNCTION("""COMPUTED_VALUE"""),"")</f>
        <v/>
      </c>
      <c r="BY42" s="231" t="str">
        <f>IFERROR(__xludf.DUMMYFUNCTION("""COMPUTED_VALUE"""),"")</f>
        <v/>
      </c>
      <c r="BZ42" s="232" t="str">
        <f>IFERROR(__xludf.DUMMYFUNCTION("""COMPUTED_VALUE"""),"")</f>
        <v/>
      </c>
      <c r="CA42" s="233" t="str">
        <f>IFERROR(__xludf.DUMMYFUNCTION("""COMPUTED_VALUE"""),"")</f>
        <v/>
      </c>
      <c r="CB42" s="231" t="str">
        <f>IFERROR(__xludf.DUMMYFUNCTION("""COMPUTED_VALUE"""),"")</f>
        <v/>
      </c>
      <c r="CC42" s="232">
        <f>IFERROR(__xludf.DUMMYFUNCTION("""COMPUTED_VALUE"""),7.3)</f>
        <v>7.3</v>
      </c>
      <c r="CD42" s="233" t="str">
        <f>IFERROR(__xludf.DUMMYFUNCTION("""COMPUTED_VALUE"""),"")</f>
        <v/>
      </c>
      <c r="CE42" s="234" t="str">
        <f>IFERROR(__xludf.DUMMYFUNCTION("""COMPUTED_VALUE"""),"")</f>
        <v/>
      </c>
      <c r="CF42" s="230" t="str">
        <f>IFERROR(__xludf.DUMMYFUNCTION("""COMPUTED_VALUE"""),"")</f>
        <v/>
      </c>
      <c r="CG42" s="235" t="str">
        <f>IFERROR(__xludf.DUMMYFUNCTION("""COMPUTED_VALUE"""),"")</f>
        <v/>
      </c>
      <c r="CH42" s="234" t="str">
        <f>IFERROR(__xludf.DUMMYFUNCTION("""COMPUTED_VALUE"""),"")</f>
        <v/>
      </c>
      <c r="CI42" s="230" t="str">
        <f>IFERROR(__xludf.DUMMYFUNCTION("""COMPUTED_VALUE"""),"")</f>
        <v/>
      </c>
      <c r="CJ42" s="235">
        <f>IFERROR(__xludf.DUMMYFUNCTION("""COMPUTED_VALUE"""),67.9)</f>
        <v>67.9</v>
      </c>
      <c r="CK42" s="95" t="str">
        <f>IFERROR(__xludf.DUMMYFUNCTION("""COMPUTED_VALUE"""),"")</f>
        <v/>
      </c>
      <c r="CL42" s="96" t="str">
        <f>IFERROR(__xludf.DUMMYFUNCTION("""COMPUTED_VALUE"""),"")</f>
        <v/>
      </c>
      <c r="CM42" s="97" t="str">
        <f>IFERROR(__xludf.DUMMYFUNCTION("""COMPUTED_VALUE"""),"")</f>
        <v/>
      </c>
      <c r="CN42" s="95" t="str">
        <f>IFERROR(__xludf.DUMMYFUNCTION("""COMPUTED_VALUE"""),"")</f>
        <v/>
      </c>
      <c r="CO42" s="96" t="str">
        <f>IFERROR(__xludf.DUMMYFUNCTION("""COMPUTED_VALUE"""),"")</f>
        <v/>
      </c>
      <c r="CP42" s="97" t="str">
        <f>IFERROR(__xludf.DUMMYFUNCTION("""COMPUTED_VALUE"""),"")</f>
        <v/>
      </c>
      <c r="CQ42" s="95" t="str">
        <f>IFERROR(__xludf.DUMMYFUNCTION("""COMPUTED_VALUE"""),"")</f>
        <v/>
      </c>
      <c r="CR42" s="96" t="str">
        <f>IFERROR(__xludf.DUMMYFUNCTION("""COMPUTED_VALUE"""),"")</f>
        <v/>
      </c>
      <c r="CS42" s="97" t="str">
        <f>IFERROR(__xludf.DUMMYFUNCTION("""COMPUTED_VALUE"""),"#REF!")</f>
        <v>#REF!</v>
      </c>
      <c r="CT42" s="95" t="str">
        <f>IFERROR(__xludf.DUMMYFUNCTION("""COMPUTED_VALUE"""),"#REF!")</f>
        <v>#REF!</v>
      </c>
      <c r="CU42" s="96" t="str">
        <f>IFERROR(__xludf.DUMMYFUNCTION("""COMPUTED_VALUE"""),"#REF!")</f>
        <v>#REF!</v>
      </c>
      <c r="CV42" s="97" t="str">
        <f>IFERROR(__xludf.DUMMYFUNCTION("""COMPUTED_VALUE"""),"#REF!")</f>
        <v>#REF!</v>
      </c>
      <c r="CW42" s="95" t="str">
        <f>IFERROR(__xludf.DUMMYFUNCTION("""COMPUTED_VALUE"""),"#REF!")</f>
        <v>#REF!</v>
      </c>
      <c r="CX42" s="96" t="str">
        <f>IFERROR(__xludf.DUMMYFUNCTION("""COMPUTED_VALUE"""),"#REF!")</f>
        <v>#REF!</v>
      </c>
      <c r="CY42" s="97" t="str">
        <f>IFERROR(__xludf.DUMMYFUNCTION("""COMPUTED_VALUE"""),"#REF!")</f>
        <v>#REF!</v>
      </c>
      <c r="CZ42" s="95" t="str">
        <f>IFERROR(__xludf.DUMMYFUNCTION("""COMPUTED_VALUE"""),"#REF!")</f>
        <v>#REF!</v>
      </c>
      <c r="DA42" s="96" t="str">
        <f>IFERROR(__xludf.DUMMYFUNCTION("""COMPUTED_VALUE"""),"#REF!")</f>
        <v>#REF!</v>
      </c>
      <c r="DB42" s="97" t="str">
        <f>IFERROR(__xludf.DUMMYFUNCTION("""COMPUTED_VALUE"""),"#REF!")</f>
        <v>#REF!</v>
      </c>
      <c r="DC42" s="95" t="str">
        <f>IFERROR(__xludf.DUMMYFUNCTION("""COMPUTED_VALUE"""),"#REF!")</f>
        <v>#REF!</v>
      </c>
      <c r="DD42" s="96" t="str">
        <f>IFERROR(__xludf.DUMMYFUNCTION("""COMPUTED_VALUE"""),"#REF!")</f>
        <v>#REF!</v>
      </c>
      <c r="DE42" s="97" t="str">
        <f>IFERROR(__xludf.DUMMYFUNCTION("""COMPUTED_VALUE"""),"#REF!")</f>
        <v>#REF!</v>
      </c>
      <c r="DF42" s="95" t="str">
        <f>IFERROR(__xludf.DUMMYFUNCTION("""COMPUTED_VALUE"""),"#REF!")</f>
        <v>#REF!</v>
      </c>
      <c r="DG42" s="96" t="str">
        <f>IFERROR(__xludf.DUMMYFUNCTION("""COMPUTED_VALUE"""),"#REF!")</f>
        <v>#REF!</v>
      </c>
      <c r="DH42" s="97" t="str">
        <f>IFERROR(__xludf.DUMMYFUNCTION("""COMPUTED_VALUE"""),"#REF!")</f>
        <v>#REF!</v>
      </c>
      <c r="DI42" s="95" t="str">
        <f>IFERROR(__xludf.DUMMYFUNCTION("""COMPUTED_VALUE"""),"#REF!")</f>
        <v>#REF!</v>
      </c>
      <c r="DJ42" s="96" t="str">
        <f>IFERROR(__xludf.DUMMYFUNCTION("""COMPUTED_VALUE"""),"#REF!")</f>
        <v>#REF!</v>
      </c>
      <c r="DK42" s="97" t="str">
        <f>IFERROR(__xludf.DUMMYFUNCTION("""COMPUTED_VALUE"""),"#REF!")</f>
        <v>#REF!</v>
      </c>
      <c r="DL42" s="95" t="str">
        <f>IFERROR(__xludf.DUMMYFUNCTION("""COMPUTED_VALUE"""),"#REF!")</f>
        <v>#REF!</v>
      </c>
      <c r="DM42" s="96" t="str">
        <f>IFERROR(__xludf.DUMMYFUNCTION("""COMPUTED_VALUE"""),"#REF!")</f>
        <v>#REF!</v>
      </c>
      <c r="DN42" s="97" t="str">
        <f>IFERROR(__xludf.DUMMYFUNCTION("""COMPUTED_VALUE"""),"#REF!")</f>
        <v>#REF!</v>
      </c>
      <c r="DO42" s="95" t="str">
        <f>IFERROR(__xludf.DUMMYFUNCTION("""COMPUTED_VALUE"""),"#REF!")</f>
        <v>#REF!</v>
      </c>
      <c r="DP42" s="96" t="str">
        <f>IFERROR(__xludf.DUMMYFUNCTION("""COMPUTED_VALUE"""),"#REF!")</f>
        <v>#REF!</v>
      </c>
      <c r="DQ42" s="97"/>
      <c r="DR42" s="95"/>
    </row>
    <row r="43">
      <c r="B43" s="83" t="str">
        <f>IFERROR(__xludf.DUMMYFUNCTION("""COMPUTED_VALUE"""),"TRF23")</f>
        <v>TRF23</v>
      </c>
      <c r="C43" s="82">
        <f>IFERROR(__xludf.DUMMYFUNCTION("""COMPUTED_VALUE"""),25.0)</f>
        <v>25</v>
      </c>
      <c r="D43" s="88" t="str">
        <f>IFERROR(__xludf.DUMMYFUNCTION("""COMPUTED_VALUE"""),"SAT Assassin Training Ground- Adv")</f>
        <v>SAT Assassin Training Ground- Adv</v>
      </c>
      <c r="E43" s="82" t="str">
        <f>IFERROR(__xludf.DUMMYFUNCTION("""COMPUTED_VALUE"""),"殺上級")</f>
        <v>殺上級</v>
      </c>
      <c r="F43" s="102">
        <f>IFERROR(__xludf.DUMMYFUNCTION("""COMPUTED_VALUE"""),30.0)</f>
        <v>30</v>
      </c>
      <c r="G43" s="82">
        <f>IFERROR(__xludf.DUMMYFUNCTION("""COMPUTED_VALUE"""),1209.0)</f>
        <v>1209</v>
      </c>
      <c r="H43" s="231" t="str">
        <f>IFERROR(__xludf.DUMMYFUNCTION("""COMPUTED_VALUE"""),"")</f>
        <v/>
      </c>
      <c r="I43" s="232" t="str">
        <f>IFERROR(__xludf.DUMMYFUNCTION("""COMPUTED_VALUE"""),"")</f>
        <v/>
      </c>
      <c r="J43" s="233" t="str">
        <f>IFERROR(__xludf.DUMMYFUNCTION("""COMPUTED_VALUE"""),"")</f>
        <v/>
      </c>
      <c r="K43" s="231" t="str">
        <f>IFERROR(__xludf.DUMMYFUNCTION("""COMPUTED_VALUE"""),"")</f>
        <v/>
      </c>
      <c r="L43" s="232" t="str">
        <f>IFERROR(__xludf.DUMMYFUNCTION("""COMPUTED_VALUE"""),"")</f>
        <v/>
      </c>
      <c r="M43" s="233" t="str">
        <f>IFERROR(__xludf.DUMMYFUNCTION("""COMPUTED_VALUE"""),"")</f>
        <v/>
      </c>
      <c r="N43" s="231">
        <f>IFERROR(__xludf.DUMMYFUNCTION("""COMPUTED_VALUE"""),5.9)</f>
        <v>5.9</v>
      </c>
      <c r="O43" s="232" t="str">
        <f>IFERROR(__xludf.DUMMYFUNCTION("""COMPUTED_VALUE"""),"")</f>
        <v/>
      </c>
      <c r="P43" s="233" t="str">
        <f>IFERROR(__xludf.DUMMYFUNCTION("""COMPUTED_VALUE"""),"")</f>
        <v/>
      </c>
      <c r="Q43" s="231" t="str">
        <f>IFERROR(__xludf.DUMMYFUNCTION("""COMPUTED_VALUE"""),"")</f>
        <v/>
      </c>
      <c r="R43" s="232" t="str">
        <f>IFERROR(__xludf.DUMMYFUNCTION("""COMPUTED_VALUE"""),"")</f>
        <v/>
      </c>
      <c r="S43" s="233" t="str">
        <f>IFERROR(__xludf.DUMMYFUNCTION("""COMPUTED_VALUE"""),"")</f>
        <v/>
      </c>
      <c r="T43" s="231" t="str">
        <f>IFERROR(__xludf.DUMMYFUNCTION("""COMPUTED_VALUE"""),"")</f>
        <v/>
      </c>
      <c r="U43" s="232" t="str">
        <f>IFERROR(__xludf.DUMMYFUNCTION("""COMPUTED_VALUE"""),"")</f>
        <v/>
      </c>
      <c r="V43" s="233" t="str">
        <f>IFERROR(__xludf.DUMMYFUNCTION("""COMPUTED_VALUE"""),"")</f>
        <v/>
      </c>
      <c r="W43" s="231" t="str">
        <f>IFERROR(__xludf.DUMMYFUNCTION("""COMPUTED_VALUE"""),"")</f>
        <v/>
      </c>
      <c r="X43" s="232" t="str">
        <f>IFERROR(__xludf.DUMMYFUNCTION("""COMPUTED_VALUE"""),"")</f>
        <v/>
      </c>
      <c r="Y43" s="233" t="str">
        <f>IFERROR(__xludf.DUMMYFUNCTION("""COMPUTED_VALUE"""),"")</f>
        <v/>
      </c>
      <c r="Z43" s="231">
        <f>IFERROR(__xludf.DUMMYFUNCTION("""COMPUTED_VALUE"""),15.6)</f>
        <v>15.6</v>
      </c>
      <c r="AA43" s="232">
        <f>IFERROR(__xludf.DUMMYFUNCTION("""COMPUTED_VALUE"""),16.1)</f>
        <v>16.1</v>
      </c>
      <c r="AB43" s="233" t="str">
        <f>IFERROR(__xludf.DUMMYFUNCTION("""COMPUTED_VALUE"""),"")</f>
        <v/>
      </c>
      <c r="AC43" s="231" t="str">
        <f>IFERROR(__xludf.DUMMYFUNCTION("""COMPUTED_VALUE"""),"")</f>
        <v/>
      </c>
      <c r="AD43" s="232" t="str">
        <f>IFERROR(__xludf.DUMMYFUNCTION("""COMPUTED_VALUE"""),"")</f>
        <v/>
      </c>
      <c r="AE43" s="233">
        <f>IFERROR(__xludf.DUMMYFUNCTION("""COMPUTED_VALUE"""),15.9)</f>
        <v>15.9</v>
      </c>
      <c r="AF43" s="231" t="str">
        <f>IFERROR(__xludf.DUMMYFUNCTION("""COMPUTED_VALUE"""),"")</f>
        <v/>
      </c>
      <c r="AG43" s="232" t="str">
        <f>IFERROR(__xludf.DUMMYFUNCTION("""COMPUTED_VALUE"""),"")</f>
        <v/>
      </c>
      <c r="AH43" s="233" t="str">
        <f>IFERROR(__xludf.DUMMYFUNCTION("""COMPUTED_VALUE"""),"")</f>
        <v/>
      </c>
      <c r="AI43" s="231" t="str">
        <f>IFERROR(__xludf.DUMMYFUNCTION("""COMPUTED_VALUE"""),"")</f>
        <v/>
      </c>
      <c r="AJ43" s="232" t="str">
        <f>IFERROR(__xludf.DUMMYFUNCTION("""COMPUTED_VALUE"""),"")</f>
        <v/>
      </c>
      <c r="AK43" s="233" t="str">
        <f>IFERROR(__xludf.DUMMYFUNCTION("""COMPUTED_VALUE"""),"")</f>
        <v/>
      </c>
      <c r="AL43" s="231" t="str">
        <f>IFERROR(__xludf.DUMMYFUNCTION("""COMPUTED_VALUE"""),"")</f>
        <v/>
      </c>
      <c r="AM43" s="232" t="str">
        <f>IFERROR(__xludf.DUMMYFUNCTION("""COMPUTED_VALUE"""),"")</f>
        <v/>
      </c>
      <c r="AN43" s="233" t="str">
        <f>IFERROR(__xludf.DUMMYFUNCTION("""COMPUTED_VALUE"""),"")</f>
        <v/>
      </c>
      <c r="AO43" s="231" t="str">
        <f>IFERROR(__xludf.DUMMYFUNCTION("""COMPUTED_VALUE"""),"")</f>
        <v/>
      </c>
      <c r="AP43" s="232" t="str">
        <f>IFERROR(__xludf.DUMMYFUNCTION("""COMPUTED_VALUE"""),"")</f>
        <v/>
      </c>
      <c r="AQ43" s="233" t="str">
        <f>IFERROR(__xludf.DUMMYFUNCTION("""COMPUTED_VALUE"""),"")</f>
        <v/>
      </c>
      <c r="AR43" s="231" t="str">
        <f>IFERROR(__xludf.DUMMYFUNCTION("""COMPUTED_VALUE"""),"")</f>
        <v/>
      </c>
      <c r="AS43" s="232" t="str">
        <f>IFERROR(__xludf.DUMMYFUNCTION("""COMPUTED_VALUE"""),"")</f>
        <v/>
      </c>
      <c r="AT43" s="233" t="str">
        <f>IFERROR(__xludf.DUMMYFUNCTION("""COMPUTED_VALUE"""),"")</f>
        <v/>
      </c>
      <c r="AU43" s="231" t="str">
        <f>IFERROR(__xludf.DUMMYFUNCTION("""COMPUTED_VALUE"""),"")</f>
        <v/>
      </c>
      <c r="AV43" s="232">
        <f>IFERROR(__xludf.DUMMYFUNCTION("""COMPUTED_VALUE"""),9.9)</f>
        <v>9.9</v>
      </c>
      <c r="AW43" s="233">
        <f>IFERROR(__xludf.DUMMYFUNCTION("""COMPUTED_VALUE"""),13.2)</f>
        <v>13.2</v>
      </c>
      <c r="AX43" s="231" t="str">
        <f>IFERROR(__xludf.DUMMYFUNCTION("""COMPUTED_VALUE"""),"")</f>
        <v/>
      </c>
      <c r="AY43" s="232" t="str">
        <f>IFERROR(__xludf.DUMMYFUNCTION("""COMPUTED_VALUE"""),"")</f>
        <v/>
      </c>
      <c r="AZ43" s="233" t="str">
        <f>IFERROR(__xludf.DUMMYFUNCTION("""COMPUTED_VALUE"""),"")</f>
        <v/>
      </c>
      <c r="BA43" s="231" t="str">
        <f>IFERROR(__xludf.DUMMYFUNCTION("""COMPUTED_VALUE"""),"")</f>
        <v/>
      </c>
      <c r="BB43" s="232" t="str">
        <f>IFERROR(__xludf.DUMMYFUNCTION("""COMPUTED_VALUE"""),"")</f>
        <v/>
      </c>
      <c r="BC43" s="233" t="str">
        <f>IFERROR(__xludf.DUMMYFUNCTION("""COMPUTED_VALUE"""),"")</f>
        <v/>
      </c>
      <c r="BD43" s="231" t="str">
        <f>IFERROR(__xludf.DUMMYFUNCTION("""COMPUTED_VALUE"""),"")</f>
        <v/>
      </c>
      <c r="BE43" s="232" t="str">
        <f>IFERROR(__xludf.DUMMYFUNCTION("""COMPUTED_VALUE"""),"")</f>
        <v/>
      </c>
      <c r="BF43" s="233" t="str">
        <f>IFERROR(__xludf.DUMMYFUNCTION("""COMPUTED_VALUE"""),"")</f>
        <v/>
      </c>
      <c r="BG43" s="231" t="str">
        <f>IFERROR(__xludf.DUMMYFUNCTION("""COMPUTED_VALUE"""),"")</f>
        <v/>
      </c>
      <c r="BH43" s="232">
        <f>IFERROR(__xludf.DUMMYFUNCTION("""COMPUTED_VALUE"""),15.3)</f>
        <v>15.3</v>
      </c>
      <c r="BI43" s="233" t="str">
        <f>IFERROR(__xludf.DUMMYFUNCTION("""COMPUTED_VALUE"""),"")</f>
        <v/>
      </c>
      <c r="BJ43" s="231" t="str">
        <f>IFERROR(__xludf.DUMMYFUNCTION("""COMPUTED_VALUE"""),"")</f>
        <v/>
      </c>
      <c r="BK43" s="232" t="str">
        <f>IFERROR(__xludf.DUMMYFUNCTION("""COMPUTED_VALUE"""),"")</f>
        <v/>
      </c>
      <c r="BL43" s="233" t="str">
        <f>IFERROR(__xludf.DUMMYFUNCTION("""COMPUTED_VALUE"""),"")</f>
        <v/>
      </c>
      <c r="BM43" s="231" t="str">
        <f>IFERROR(__xludf.DUMMYFUNCTION("""COMPUTED_VALUE"""),"")</f>
        <v/>
      </c>
      <c r="BN43" s="232" t="str">
        <f>IFERROR(__xludf.DUMMYFUNCTION("""COMPUTED_VALUE"""),"")</f>
        <v/>
      </c>
      <c r="BO43" s="233">
        <f>IFERROR(__xludf.DUMMYFUNCTION("""COMPUTED_VALUE"""),146.7)</f>
        <v>146.7</v>
      </c>
      <c r="BP43" s="231" t="str">
        <f>IFERROR(__xludf.DUMMYFUNCTION("""COMPUTED_VALUE"""),"")</f>
        <v/>
      </c>
      <c r="BQ43" s="232" t="str">
        <f>IFERROR(__xludf.DUMMYFUNCTION("""COMPUTED_VALUE"""),"")</f>
        <v/>
      </c>
      <c r="BR43" s="233" t="str">
        <f>IFERROR(__xludf.DUMMYFUNCTION("""COMPUTED_VALUE"""),"")</f>
        <v/>
      </c>
      <c r="BS43" s="231" t="str">
        <f>IFERROR(__xludf.DUMMYFUNCTION("""COMPUTED_VALUE"""),"")</f>
        <v/>
      </c>
      <c r="BT43" s="232" t="str">
        <f>IFERROR(__xludf.DUMMYFUNCTION("""COMPUTED_VALUE"""),"")</f>
        <v/>
      </c>
      <c r="BU43" s="233" t="str">
        <f>IFERROR(__xludf.DUMMYFUNCTION("""COMPUTED_VALUE"""),"")</f>
        <v/>
      </c>
      <c r="BV43" s="231">
        <f>IFERROR(__xludf.DUMMYFUNCTION("""COMPUTED_VALUE"""),15.8)</f>
        <v>15.8</v>
      </c>
      <c r="BW43" s="232" t="str">
        <f>IFERROR(__xludf.DUMMYFUNCTION("""COMPUTED_VALUE"""),"")</f>
        <v/>
      </c>
      <c r="BX43" s="233" t="str">
        <f>IFERROR(__xludf.DUMMYFUNCTION("""COMPUTED_VALUE"""),"")</f>
        <v/>
      </c>
      <c r="BY43" s="231" t="str">
        <f>IFERROR(__xludf.DUMMYFUNCTION("""COMPUTED_VALUE"""),"")</f>
        <v/>
      </c>
      <c r="BZ43" s="232" t="str">
        <f>IFERROR(__xludf.DUMMYFUNCTION("""COMPUTED_VALUE"""),"")</f>
        <v/>
      </c>
      <c r="CA43" s="233" t="str">
        <f>IFERROR(__xludf.DUMMYFUNCTION("""COMPUTED_VALUE"""),"")</f>
        <v/>
      </c>
      <c r="CB43" s="231" t="str">
        <f>IFERROR(__xludf.DUMMYFUNCTION("""COMPUTED_VALUE"""),"")</f>
        <v/>
      </c>
      <c r="CC43" s="232">
        <f>IFERROR(__xludf.DUMMYFUNCTION("""COMPUTED_VALUE"""),37.1)</f>
        <v>37.1</v>
      </c>
      <c r="CD43" s="233" t="str">
        <f>IFERROR(__xludf.DUMMYFUNCTION("""COMPUTED_VALUE"""),"")</f>
        <v/>
      </c>
      <c r="CE43" s="234" t="str">
        <f>IFERROR(__xludf.DUMMYFUNCTION("""COMPUTED_VALUE"""),"")</f>
        <v/>
      </c>
      <c r="CF43" s="230" t="str">
        <f>IFERROR(__xludf.DUMMYFUNCTION("""COMPUTED_VALUE"""),"")</f>
        <v/>
      </c>
      <c r="CG43" s="235" t="str">
        <f>IFERROR(__xludf.DUMMYFUNCTION("""COMPUTED_VALUE"""),"")</f>
        <v/>
      </c>
      <c r="CH43" s="234" t="str">
        <f>IFERROR(__xludf.DUMMYFUNCTION("""COMPUTED_VALUE"""),"")</f>
        <v/>
      </c>
      <c r="CI43" s="230" t="str">
        <f>IFERROR(__xludf.DUMMYFUNCTION("""COMPUTED_VALUE"""),"")</f>
        <v/>
      </c>
      <c r="CJ43" s="235">
        <f>IFERROR(__xludf.DUMMYFUNCTION("""COMPUTED_VALUE"""),102.4)</f>
        <v>102.4</v>
      </c>
      <c r="CK43" s="95" t="str">
        <f>IFERROR(__xludf.DUMMYFUNCTION("""COMPUTED_VALUE"""),"")</f>
        <v/>
      </c>
      <c r="CL43" s="96" t="str">
        <f>IFERROR(__xludf.DUMMYFUNCTION("""COMPUTED_VALUE"""),"")</f>
        <v/>
      </c>
      <c r="CM43" s="97" t="str">
        <f>IFERROR(__xludf.DUMMYFUNCTION("""COMPUTED_VALUE"""),"")</f>
        <v/>
      </c>
      <c r="CN43" s="95" t="str">
        <f>IFERROR(__xludf.DUMMYFUNCTION("""COMPUTED_VALUE"""),"")</f>
        <v/>
      </c>
      <c r="CO43" s="96" t="str">
        <f>IFERROR(__xludf.DUMMYFUNCTION("""COMPUTED_VALUE"""),"")</f>
        <v/>
      </c>
      <c r="CP43" s="97" t="str">
        <f>IFERROR(__xludf.DUMMYFUNCTION("""COMPUTED_VALUE"""),"")</f>
        <v/>
      </c>
      <c r="CQ43" s="95" t="str">
        <f>IFERROR(__xludf.DUMMYFUNCTION("""COMPUTED_VALUE"""),"")</f>
        <v/>
      </c>
      <c r="CR43" s="96" t="str">
        <f>IFERROR(__xludf.DUMMYFUNCTION("""COMPUTED_VALUE"""),"")</f>
        <v/>
      </c>
      <c r="CS43" s="97" t="str">
        <f>IFERROR(__xludf.DUMMYFUNCTION("""COMPUTED_VALUE"""),"#REF!")</f>
        <v>#REF!</v>
      </c>
      <c r="CT43" s="95" t="str">
        <f>IFERROR(__xludf.DUMMYFUNCTION("""COMPUTED_VALUE"""),"#REF!")</f>
        <v>#REF!</v>
      </c>
      <c r="CU43" s="96" t="str">
        <f>IFERROR(__xludf.DUMMYFUNCTION("""COMPUTED_VALUE"""),"#REF!")</f>
        <v>#REF!</v>
      </c>
      <c r="CV43" s="97" t="str">
        <f>IFERROR(__xludf.DUMMYFUNCTION("""COMPUTED_VALUE"""),"#REF!")</f>
        <v>#REF!</v>
      </c>
      <c r="CW43" s="95" t="str">
        <f>IFERROR(__xludf.DUMMYFUNCTION("""COMPUTED_VALUE"""),"#REF!")</f>
        <v>#REF!</v>
      </c>
      <c r="CX43" s="96" t="str">
        <f>IFERROR(__xludf.DUMMYFUNCTION("""COMPUTED_VALUE"""),"#REF!")</f>
        <v>#REF!</v>
      </c>
      <c r="CY43" s="97" t="str">
        <f>IFERROR(__xludf.DUMMYFUNCTION("""COMPUTED_VALUE"""),"#REF!")</f>
        <v>#REF!</v>
      </c>
      <c r="CZ43" s="95" t="str">
        <f>IFERROR(__xludf.DUMMYFUNCTION("""COMPUTED_VALUE"""),"#REF!")</f>
        <v>#REF!</v>
      </c>
      <c r="DA43" s="96" t="str">
        <f>IFERROR(__xludf.DUMMYFUNCTION("""COMPUTED_VALUE"""),"#REF!")</f>
        <v>#REF!</v>
      </c>
      <c r="DB43" s="97" t="str">
        <f>IFERROR(__xludf.DUMMYFUNCTION("""COMPUTED_VALUE"""),"#REF!")</f>
        <v>#REF!</v>
      </c>
      <c r="DC43" s="95" t="str">
        <f>IFERROR(__xludf.DUMMYFUNCTION("""COMPUTED_VALUE"""),"#REF!")</f>
        <v>#REF!</v>
      </c>
      <c r="DD43" s="96" t="str">
        <f>IFERROR(__xludf.DUMMYFUNCTION("""COMPUTED_VALUE"""),"#REF!")</f>
        <v>#REF!</v>
      </c>
      <c r="DE43" s="97" t="str">
        <f>IFERROR(__xludf.DUMMYFUNCTION("""COMPUTED_VALUE"""),"#REF!")</f>
        <v>#REF!</v>
      </c>
      <c r="DF43" s="95" t="str">
        <f>IFERROR(__xludf.DUMMYFUNCTION("""COMPUTED_VALUE"""),"#REF!")</f>
        <v>#REF!</v>
      </c>
      <c r="DG43" s="96" t="str">
        <f>IFERROR(__xludf.DUMMYFUNCTION("""COMPUTED_VALUE"""),"#REF!")</f>
        <v>#REF!</v>
      </c>
      <c r="DH43" s="97" t="str">
        <f>IFERROR(__xludf.DUMMYFUNCTION("""COMPUTED_VALUE"""),"#REF!")</f>
        <v>#REF!</v>
      </c>
      <c r="DI43" s="95" t="str">
        <f>IFERROR(__xludf.DUMMYFUNCTION("""COMPUTED_VALUE"""),"#REF!")</f>
        <v>#REF!</v>
      </c>
      <c r="DJ43" s="96" t="str">
        <f>IFERROR(__xludf.DUMMYFUNCTION("""COMPUTED_VALUE"""),"#REF!")</f>
        <v>#REF!</v>
      </c>
      <c r="DK43" s="97" t="str">
        <f>IFERROR(__xludf.DUMMYFUNCTION("""COMPUTED_VALUE"""),"#REF!")</f>
        <v>#REF!</v>
      </c>
      <c r="DL43" s="95" t="str">
        <f>IFERROR(__xludf.DUMMYFUNCTION("""COMPUTED_VALUE"""),"#REF!")</f>
        <v>#REF!</v>
      </c>
      <c r="DM43" s="96" t="str">
        <f>IFERROR(__xludf.DUMMYFUNCTION("""COMPUTED_VALUE"""),"#REF!")</f>
        <v>#REF!</v>
      </c>
      <c r="DN43" s="97" t="str">
        <f>IFERROR(__xludf.DUMMYFUNCTION("""COMPUTED_VALUE"""),"#REF!")</f>
        <v>#REF!</v>
      </c>
      <c r="DO43" s="95" t="str">
        <f>IFERROR(__xludf.DUMMYFUNCTION("""COMPUTED_VALUE"""),"#REF!")</f>
        <v>#REF!</v>
      </c>
      <c r="DP43" s="96" t="str">
        <f>IFERROR(__xludf.DUMMYFUNCTION("""COMPUTED_VALUE"""),"#REF!")</f>
        <v>#REF!</v>
      </c>
      <c r="DQ43" s="97"/>
      <c r="DR43" s="95"/>
    </row>
    <row r="44">
      <c r="B44" s="83" t="str">
        <f>IFERROR(__xludf.DUMMYFUNCTION("""COMPUTED_VALUE"""),"TRF24")</f>
        <v>TRF24</v>
      </c>
      <c r="C44" s="82">
        <f>IFERROR(__xludf.DUMMYFUNCTION("""COMPUTED_VALUE"""),24.0)</f>
        <v>24</v>
      </c>
      <c r="D44" s="88" t="str">
        <f>IFERROR(__xludf.DUMMYFUNCTION("""COMPUTED_VALUE"""),"SAT Assassin Training Ground- Exp")</f>
        <v>SAT Assassin Training Ground- Exp</v>
      </c>
      <c r="E44" s="82" t="str">
        <f>IFERROR(__xludf.DUMMYFUNCTION("""COMPUTED_VALUE"""),"殺超級")</f>
        <v>殺超級</v>
      </c>
      <c r="F44" s="102">
        <f>IFERROR(__xludf.DUMMYFUNCTION("""COMPUTED_VALUE"""),40.0)</f>
        <v>40</v>
      </c>
      <c r="G44" s="82">
        <f>IFERROR(__xludf.DUMMYFUNCTION("""COMPUTED_VALUE"""),6919.0)</f>
        <v>6919</v>
      </c>
      <c r="H44" s="231" t="str">
        <f>IFERROR(__xludf.DUMMYFUNCTION("""COMPUTED_VALUE"""),"")</f>
        <v/>
      </c>
      <c r="I44" s="232" t="str">
        <f>IFERROR(__xludf.DUMMYFUNCTION("""COMPUTED_VALUE"""),"")</f>
        <v/>
      </c>
      <c r="J44" s="233" t="str">
        <f>IFERROR(__xludf.DUMMYFUNCTION("""COMPUTED_VALUE"""),"")</f>
        <v/>
      </c>
      <c r="K44" s="231" t="str">
        <f>IFERROR(__xludf.DUMMYFUNCTION("""COMPUTED_VALUE"""),"")</f>
        <v/>
      </c>
      <c r="L44" s="232" t="str">
        <f>IFERROR(__xludf.DUMMYFUNCTION("""COMPUTED_VALUE"""),"")</f>
        <v/>
      </c>
      <c r="M44" s="233" t="str">
        <f>IFERROR(__xludf.DUMMYFUNCTION("""COMPUTED_VALUE"""),"")</f>
        <v/>
      </c>
      <c r="N44" s="231">
        <f>IFERROR(__xludf.DUMMYFUNCTION("""COMPUTED_VALUE"""),12.0)</f>
        <v>12</v>
      </c>
      <c r="O44" s="232" t="str">
        <f>IFERROR(__xludf.DUMMYFUNCTION("""COMPUTED_VALUE"""),"")</f>
        <v/>
      </c>
      <c r="P44" s="233" t="str">
        <f>IFERROR(__xludf.DUMMYFUNCTION("""COMPUTED_VALUE"""),"")</f>
        <v/>
      </c>
      <c r="Q44" s="231" t="str">
        <f>IFERROR(__xludf.DUMMYFUNCTION("""COMPUTED_VALUE"""),"")</f>
        <v/>
      </c>
      <c r="R44" s="232" t="str">
        <f>IFERROR(__xludf.DUMMYFUNCTION("""COMPUTED_VALUE"""),"")</f>
        <v/>
      </c>
      <c r="S44" s="233" t="str">
        <f>IFERROR(__xludf.DUMMYFUNCTION("""COMPUTED_VALUE"""),"")</f>
        <v/>
      </c>
      <c r="T44" s="231" t="str">
        <f>IFERROR(__xludf.DUMMYFUNCTION("""COMPUTED_VALUE"""),"")</f>
        <v/>
      </c>
      <c r="U44" s="232" t="str">
        <f>IFERROR(__xludf.DUMMYFUNCTION("""COMPUTED_VALUE"""),"")</f>
        <v/>
      </c>
      <c r="V44" s="233" t="str">
        <f>IFERROR(__xludf.DUMMYFUNCTION("""COMPUTED_VALUE"""),"")</f>
        <v/>
      </c>
      <c r="W44" s="231" t="str">
        <f>IFERROR(__xludf.DUMMYFUNCTION("""COMPUTED_VALUE"""),"")</f>
        <v/>
      </c>
      <c r="X44" s="232" t="str">
        <f>IFERROR(__xludf.DUMMYFUNCTION("""COMPUTED_VALUE"""),"")</f>
        <v/>
      </c>
      <c r="Y44" s="233" t="str">
        <f>IFERROR(__xludf.DUMMYFUNCTION("""COMPUTED_VALUE"""),"")</f>
        <v/>
      </c>
      <c r="Z44" s="231">
        <f>IFERROR(__xludf.DUMMYFUNCTION("""COMPUTED_VALUE"""),31.3)</f>
        <v>31.3</v>
      </c>
      <c r="AA44" s="232">
        <f>IFERROR(__xludf.DUMMYFUNCTION("""COMPUTED_VALUE"""),18.4)</f>
        <v>18.4</v>
      </c>
      <c r="AB44" s="233" t="str">
        <f>IFERROR(__xludf.DUMMYFUNCTION("""COMPUTED_VALUE"""),"")</f>
        <v/>
      </c>
      <c r="AC44" s="231" t="str">
        <f>IFERROR(__xludf.DUMMYFUNCTION("""COMPUTED_VALUE"""),"")</f>
        <v/>
      </c>
      <c r="AD44" s="232" t="str">
        <f>IFERROR(__xludf.DUMMYFUNCTION("""COMPUTED_VALUE"""),"")</f>
        <v/>
      </c>
      <c r="AE44" s="233">
        <f>IFERROR(__xludf.DUMMYFUNCTION("""COMPUTED_VALUE"""),0.9)</f>
        <v>0.9</v>
      </c>
      <c r="AF44" s="231" t="str">
        <f>IFERROR(__xludf.DUMMYFUNCTION("""COMPUTED_VALUE"""),"")</f>
        <v/>
      </c>
      <c r="AG44" s="232" t="str">
        <f>IFERROR(__xludf.DUMMYFUNCTION("""COMPUTED_VALUE"""),"")</f>
        <v/>
      </c>
      <c r="AH44" s="233" t="str">
        <f>IFERROR(__xludf.DUMMYFUNCTION("""COMPUTED_VALUE"""),"")</f>
        <v/>
      </c>
      <c r="AI44" s="231" t="str">
        <f>IFERROR(__xludf.DUMMYFUNCTION("""COMPUTED_VALUE"""),"")</f>
        <v/>
      </c>
      <c r="AJ44" s="232" t="str">
        <f>IFERROR(__xludf.DUMMYFUNCTION("""COMPUTED_VALUE"""),"")</f>
        <v/>
      </c>
      <c r="AK44" s="233" t="str">
        <f>IFERROR(__xludf.DUMMYFUNCTION("""COMPUTED_VALUE"""),"")</f>
        <v/>
      </c>
      <c r="AL44" s="231" t="str">
        <f>IFERROR(__xludf.DUMMYFUNCTION("""COMPUTED_VALUE"""),"")</f>
        <v/>
      </c>
      <c r="AM44" s="232" t="str">
        <f>IFERROR(__xludf.DUMMYFUNCTION("""COMPUTED_VALUE"""),"")</f>
        <v/>
      </c>
      <c r="AN44" s="233" t="str">
        <f>IFERROR(__xludf.DUMMYFUNCTION("""COMPUTED_VALUE"""),"")</f>
        <v/>
      </c>
      <c r="AO44" s="231" t="str">
        <f>IFERROR(__xludf.DUMMYFUNCTION("""COMPUTED_VALUE"""),"")</f>
        <v/>
      </c>
      <c r="AP44" s="232" t="str">
        <f>IFERROR(__xludf.DUMMYFUNCTION("""COMPUTED_VALUE"""),"")</f>
        <v/>
      </c>
      <c r="AQ44" s="233" t="str">
        <f>IFERROR(__xludf.DUMMYFUNCTION("""COMPUTED_VALUE"""),"")</f>
        <v/>
      </c>
      <c r="AR44" s="231" t="str">
        <f>IFERROR(__xludf.DUMMYFUNCTION("""COMPUTED_VALUE"""),"")</f>
        <v/>
      </c>
      <c r="AS44" s="232" t="str">
        <f>IFERROR(__xludf.DUMMYFUNCTION("""COMPUTED_VALUE"""),"")</f>
        <v/>
      </c>
      <c r="AT44" s="233" t="str">
        <f>IFERROR(__xludf.DUMMYFUNCTION("""COMPUTED_VALUE"""),"")</f>
        <v/>
      </c>
      <c r="AU44" s="231" t="str">
        <f>IFERROR(__xludf.DUMMYFUNCTION("""COMPUTED_VALUE"""),"")</f>
        <v/>
      </c>
      <c r="AV44" s="232">
        <f>IFERROR(__xludf.DUMMYFUNCTION("""COMPUTED_VALUE"""),14.3)</f>
        <v>14.3</v>
      </c>
      <c r="AW44" s="233">
        <f>IFERROR(__xludf.DUMMYFUNCTION("""COMPUTED_VALUE"""),19.1)</f>
        <v>19.1</v>
      </c>
      <c r="AX44" s="231" t="str">
        <f>IFERROR(__xludf.DUMMYFUNCTION("""COMPUTED_VALUE"""),"")</f>
        <v/>
      </c>
      <c r="AY44" s="232" t="str">
        <f>IFERROR(__xludf.DUMMYFUNCTION("""COMPUTED_VALUE"""),"")</f>
        <v/>
      </c>
      <c r="AZ44" s="233" t="str">
        <f>IFERROR(__xludf.DUMMYFUNCTION("""COMPUTED_VALUE"""),"")</f>
        <v/>
      </c>
      <c r="BA44" s="231" t="str">
        <f>IFERROR(__xludf.DUMMYFUNCTION("""COMPUTED_VALUE"""),"")</f>
        <v/>
      </c>
      <c r="BB44" s="232" t="str">
        <f>IFERROR(__xludf.DUMMYFUNCTION("""COMPUTED_VALUE"""),"")</f>
        <v/>
      </c>
      <c r="BC44" s="233" t="str">
        <f>IFERROR(__xludf.DUMMYFUNCTION("""COMPUTED_VALUE"""),"")</f>
        <v/>
      </c>
      <c r="BD44" s="231" t="str">
        <f>IFERROR(__xludf.DUMMYFUNCTION("""COMPUTED_VALUE"""),"")</f>
        <v/>
      </c>
      <c r="BE44" s="232" t="str">
        <f>IFERROR(__xludf.DUMMYFUNCTION("""COMPUTED_VALUE"""),"")</f>
        <v/>
      </c>
      <c r="BF44" s="233" t="str">
        <f>IFERROR(__xludf.DUMMYFUNCTION("""COMPUTED_VALUE"""),"")</f>
        <v/>
      </c>
      <c r="BG44" s="231" t="str">
        <f>IFERROR(__xludf.DUMMYFUNCTION("""COMPUTED_VALUE"""),"")</f>
        <v/>
      </c>
      <c r="BH44" s="232">
        <f>IFERROR(__xludf.DUMMYFUNCTION("""COMPUTED_VALUE"""),25.3)</f>
        <v>25.3</v>
      </c>
      <c r="BI44" s="233" t="str">
        <f>IFERROR(__xludf.DUMMYFUNCTION("""COMPUTED_VALUE"""),"")</f>
        <v/>
      </c>
      <c r="BJ44" s="231" t="str">
        <f>IFERROR(__xludf.DUMMYFUNCTION("""COMPUTED_VALUE"""),"")</f>
        <v/>
      </c>
      <c r="BK44" s="232" t="str">
        <f>IFERROR(__xludf.DUMMYFUNCTION("""COMPUTED_VALUE"""),"")</f>
        <v/>
      </c>
      <c r="BL44" s="233" t="str">
        <f>IFERROR(__xludf.DUMMYFUNCTION("""COMPUTED_VALUE"""),"")</f>
        <v/>
      </c>
      <c r="BM44" s="231" t="str">
        <f>IFERROR(__xludf.DUMMYFUNCTION("""COMPUTED_VALUE"""),"")</f>
        <v/>
      </c>
      <c r="BN44" s="232" t="str">
        <f>IFERROR(__xludf.DUMMYFUNCTION("""COMPUTED_VALUE"""),"")</f>
        <v/>
      </c>
      <c r="BO44" s="233">
        <f>IFERROR(__xludf.DUMMYFUNCTION("""COMPUTED_VALUE"""),118.1)</f>
        <v>118.1</v>
      </c>
      <c r="BP44" s="231" t="str">
        <f>IFERROR(__xludf.DUMMYFUNCTION("""COMPUTED_VALUE"""),"")</f>
        <v/>
      </c>
      <c r="BQ44" s="232" t="str">
        <f>IFERROR(__xludf.DUMMYFUNCTION("""COMPUTED_VALUE"""),"")</f>
        <v/>
      </c>
      <c r="BR44" s="233" t="str">
        <f>IFERROR(__xludf.DUMMYFUNCTION("""COMPUTED_VALUE"""),"")</f>
        <v/>
      </c>
      <c r="BS44" s="231" t="str">
        <f>IFERROR(__xludf.DUMMYFUNCTION("""COMPUTED_VALUE"""),"")</f>
        <v/>
      </c>
      <c r="BT44" s="232" t="str">
        <f>IFERROR(__xludf.DUMMYFUNCTION("""COMPUTED_VALUE"""),"")</f>
        <v/>
      </c>
      <c r="BU44" s="233" t="str">
        <f>IFERROR(__xludf.DUMMYFUNCTION("""COMPUTED_VALUE"""),"")</f>
        <v/>
      </c>
      <c r="BV44" s="231">
        <f>IFERROR(__xludf.DUMMYFUNCTION("""COMPUTED_VALUE"""),15.4)</f>
        <v>15.4</v>
      </c>
      <c r="BW44" s="232" t="str">
        <f>IFERROR(__xludf.DUMMYFUNCTION("""COMPUTED_VALUE"""),"")</f>
        <v/>
      </c>
      <c r="BX44" s="233" t="str">
        <f>IFERROR(__xludf.DUMMYFUNCTION("""COMPUTED_VALUE"""),"")</f>
        <v/>
      </c>
      <c r="BY44" s="231" t="str">
        <f>IFERROR(__xludf.DUMMYFUNCTION("""COMPUTED_VALUE"""),"")</f>
        <v/>
      </c>
      <c r="BZ44" s="232" t="str">
        <f>IFERROR(__xludf.DUMMYFUNCTION("""COMPUTED_VALUE"""),"")</f>
        <v/>
      </c>
      <c r="CA44" s="233" t="str">
        <f>IFERROR(__xludf.DUMMYFUNCTION("""COMPUTED_VALUE"""),"")</f>
        <v/>
      </c>
      <c r="CB44" s="231" t="str">
        <f>IFERROR(__xludf.DUMMYFUNCTION("""COMPUTED_VALUE"""),"")</f>
        <v/>
      </c>
      <c r="CC44" s="232">
        <f>IFERROR(__xludf.DUMMYFUNCTION("""COMPUTED_VALUE"""),57.4)</f>
        <v>57.4</v>
      </c>
      <c r="CD44" s="233" t="str">
        <f>IFERROR(__xludf.DUMMYFUNCTION("""COMPUTED_VALUE"""),"")</f>
        <v/>
      </c>
      <c r="CE44" s="234" t="str">
        <f>IFERROR(__xludf.DUMMYFUNCTION("""COMPUTED_VALUE"""),"")</f>
        <v/>
      </c>
      <c r="CF44" s="230" t="str">
        <f>IFERROR(__xludf.DUMMYFUNCTION("""COMPUTED_VALUE"""),"")</f>
        <v/>
      </c>
      <c r="CG44" s="235" t="str">
        <f>IFERROR(__xludf.DUMMYFUNCTION("""COMPUTED_VALUE"""),"")</f>
        <v/>
      </c>
      <c r="CH44" s="234" t="str">
        <f>IFERROR(__xludf.DUMMYFUNCTION("""COMPUTED_VALUE"""),"")</f>
        <v/>
      </c>
      <c r="CI44" s="230" t="str">
        <f>IFERROR(__xludf.DUMMYFUNCTION("""COMPUTED_VALUE"""),"")</f>
        <v/>
      </c>
      <c r="CJ44" s="235">
        <f>IFERROR(__xludf.DUMMYFUNCTION("""COMPUTED_VALUE"""),79.8)</f>
        <v>79.8</v>
      </c>
      <c r="CK44" s="95" t="str">
        <f>IFERROR(__xludf.DUMMYFUNCTION("""COMPUTED_VALUE"""),"")</f>
        <v/>
      </c>
      <c r="CL44" s="96" t="str">
        <f>IFERROR(__xludf.DUMMYFUNCTION("""COMPUTED_VALUE"""),"")</f>
        <v/>
      </c>
      <c r="CM44" s="97" t="str">
        <f>IFERROR(__xludf.DUMMYFUNCTION("""COMPUTED_VALUE"""),"")</f>
        <v/>
      </c>
      <c r="CN44" s="95" t="str">
        <f>IFERROR(__xludf.DUMMYFUNCTION("""COMPUTED_VALUE"""),"")</f>
        <v/>
      </c>
      <c r="CO44" s="96" t="str">
        <f>IFERROR(__xludf.DUMMYFUNCTION("""COMPUTED_VALUE"""),"")</f>
        <v/>
      </c>
      <c r="CP44" s="97" t="str">
        <f>IFERROR(__xludf.DUMMYFUNCTION("""COMPUTED_VALUE"""),"")</f>
        <v/>
      </c>
      <c r="CQ44" s="95" t="str">
        <f>IFERROR(__xludf.DUMMYFUNCTION("""COMPUTED_VALUE"""),"")</f>
        <v/>
      </c>
      <c r="CR44" s="96" t="str">
        <f>IFERROR(__xludf.DUMMYFUNCTION("""COMPUTED_VALUE"""),"")</f>
        <v/>
      </c>
      <c r="CS44" s="97" t="str">
        <f>IFERROR(__xludf.DUMMYFUNCTION("""COMPUTED_VALUE"""),"#REF!")</f>
        <v>#REF!</v>
      </c>
      <c r="CT44" s="95" t="str">
        <f>IFERROR(__xludf.DUMMYFUNCTION("""COMPUTED_VALUE"""),"#REF!")</f>
        <v>#REF!</v>
      </c>
      <c r="CU44" s="96" t="str">
        <f>IFERROR(__xludf.DUMMYFUNCTION("""COMPUTED_VALUE"""),"#REF!")</f>
        <v>#REF!</v>
      </c>
      <c r="CV44" s="97" t="str">
        <f>IFERROR(__xludf.DUMMYFUNCTION("""COMPUTED_VALUE"""),"#REF!")</f>
        <v>#REF!</v>
      </c>
      <c r="CW44" s="95" t="str">
        <f>IFERROR(__xludf.DUMMYFUNCTION("""COMPUTED_VALUE"""),"#REF!")</f>
        <v>#REF!</v>
      </c>
      <c r="CX44" s="96" t="str">
        <f>IFERROR(__xludf.DUMMYFUNCTION("""COMPUTED_VALUE"""),"#REF!")</f>
        <v>#REF!</v>
      </c>
      <c r="CY44" s="97" t="str">
        <f>IFERROR(__xludf.DUMMYFUNCTION("""COMPUTED_VALUE"""),"#REF!")</f>
        <v>#REF!</v>
      </c>
      <c r="CZ44" s="95" t="str">
        <f>IFERROR(__xludf.DUMMYFUNCTION("""COMPUTED_VALUE"""),"#REF!")</f>
        <v>#REF!</v>
      </c>
      <c r="DA44" s="96" t="str">
        <f>IFERROR(__xludf.DUMMYFUNCTION("""COMPUTED_VALUE"""),"#REF!")</f>
        <v>#REF!</v>
      </c>
      <c r="DB44" s="97" t="str">
        <f>IFERROR(__xludf.DUMMYFUNCTION("""COMPUTED_VALUE"""),"#REF!")</f>
        <v>#REF!</v>
      </c>
      <c r="DC44" s="95" t="str">
        <f>IFERROR(__xludf.DUMMYFUNCTION("""COMPUTED_VALUE"""),"#REF!")</f>
        <v>#REF!</v>
      </c>
      <c r="DD44" s="96" t="str">
        <f>IFERROR(__xludf.DUMMYFUNCTION("""COMPUTED_VALUE"""),"#REF!")</f>
        <v>#REF!</v>
      </c>
      <c r="DE44" s="97" t="str">
        <f>IFERROR(__xludf.DUMMYFUNCTION("""COMPUTED_VALUE"""),"#REF!")</f>
        <v>#REF!</v>
      </c>
      <c r="DF44" s="95" t="str">
        <f>IFERROR(__xludf.DUMMYFUNCTION("""COMPUTED_VALUE"""),"#REF!")</f>
        <v>#REF!</v>
      </c>
      <c r="DG44" s="96" t="str">
        <f>IFERROR(__xludf.DUMMYFUNCTION("""COMPUTED_VALUE"""),"#REF!")</f>
        <v>#REF!</v>
      </c>
      <c r="DH44" s="97" t="str">
        <f>IFERROR(__xludf.DUMMYFUNCTION("""COMPUTED_VALUE"""),"#REF!")</f>
        <v>#REF!</v>
      </c>
      <c r="DI44" s="95" t="str">
        <f>IFERROR(__xludf.DUMMYFUNCTION("""COMPUTED_VALUE"""),"#REF!")</f>
        <v>#REF!</v>
      </c>
      <c r="DJ44" s="96" t="str">
        <f>IFERROR(__xludf.DUMMYFUNCTION("""COMPUTED_VALUE"""),"#REF!")</f>
        <v>#REF!</v>
      </c>
      <c r="DK44" s="97" t="str">
        <f>IFERROR(__xludf.DUMMYFUNCTION("""COMPUTED_VALUE"""),"#REF!")</f>
        <v>#REF!</v>
      </c>
      <c r="DL44" s="95" t="str">
        <f>IFERROR(__xludf.DUMMYFUNCTION("""COMPUTED_VALUE"""),"#REF!")</f>
        <v>#REF!</v>
      </c>
      <c r="DM44" s="96" t="str">
        <f>IFERROR(__xludf.DUMMYFUNCTION("""COMPUTED_VALUE"""),"#REF!")</f>
        <v>#REF!</v>
      </c>
      <c r="DN44" s="97" t="str">
        <f>IFERROR(__xludf.DUMMYFUNCTION("""COMPUTED_VALUE"""),"#REF!")</f>
        <v>#REF!</v>
      </c>
      <c r="DO44" s="95" t="str">
        <f>IFERROR(__xludf.DUMMYFUNCTION("""COMPUTED_VALUE"""),"#REF!")</f>
        <v>#REF!</v>
      </c>
      <c r="DP44" s="96" t="str">
        <f>IFERROR(__xludf.DUMMYFUNCTION("""COMPUTED_VALUE"""),"#REF!")</f>
        <v>#REF!</v>
      </c>
      <c r="DQ44" s="97"/>
      <c r="DR44" s="95"/>
    </row>
    <row r="45">
      <c r="B45" s="83" t="str">
        <f>IFERROR(__xludf.DUMMYFUNCTION("""COMPUTED_VALUE"""),"TRF25")</f>
        <v>TRF25</v>
      </c>
      <c r="C45" s="82">
        <f>IFERROR(__xludf.DUMMYFUNCTION("""COMPUTED_VALUE"""),31.0)</f>
        <v>31</v>
      </c>
      <c r="D45" s="88" t="str">
        <f>IFERROR(__xludf.DUMMYFUNCTION("""COMPUTED_VALUE"""),"SUN Saber Training Ground- Nov")</f>
        <v>SUN Saber Training Ground- Nov</v>
      </c>
      <c r="E45" s="82" t="str">
        <f>IFERROR(__xludf.DUMMYFUNCTION("""COMPUTED_VALUE"""),"剣初級")</f>
        <v>剣初級</v>
      </c>
      <c r="F45" s="102">
        <f>IFERROR(__xludf.DUMMYFUNCTION("""COMPUTED_VALUE"""),10.0)</f>
        <v>10</v>
      </c>
      <c r="G45" s="82">
        <f>IFERROR(__xludf.DUMMYFUNCTION("""COMPUTED_VALUE"""),29049.0)</f>
        <v>29049</v>
      </c>
      <c r="H45" s="231" t="str">
        <f>IFERROR(__xludf.DUMMYFUNCTION("""COMPUTED_VALUE"""),"")</f>
        <v/>
      </c>
      <c r="I45" s="232" t="str">
        <f>IFERROR(__xludf.DUMMYFUNCTION("""COMPUTED_VALUE"""),"")</f>
        <v/>
      </c>
      <c r="J45" s="233" t="str">
        <f>IFERROR(__xludf.DUMMYFUNCTION("""COMPUTED_VALUE"""),"")</f>
        <v/>
      </c>
      <c r="K45" s="231" t="str">
        <f>IFERROR(__xludf.DUMMYFUNCTION("""COMPUTED_VALUE"""),"")</f>
        <v/>
      </c>
      <c r="L45" s="232" t="str">
        <f>IFERROR(__xludf.DUMMYFUNCTION("""COMPUTED_VALUE"""),"")</f>
        <v/>
      </c>
      <c r="M45" s="233" t="str">
        <f>IFERROR(__xludf.DUMMYFUNCTION("""COMPUTED_VALUE"""),"")</f>
        <v/>
      </c>
      <c r="N45" s="231" t="str">
        <f>IFERROR(__xludf.DUMMYFUNCTION("""COMPUTED_VALUE"""),"")</f>
        <v/>
      </c>
      <c r="O45" s="232" t="str">
        <f>IFERROR(__xludf.DUMMYFUNCTION("""COMPUTED_VALUE"""),"")</f>
        <v/>
      </c>
      <c r="P45" s="233" t="str">
        <f>IFERROR(__xludf.DUMMYFUNCTION("""COMPUTED_VALUE"""),"")</f>
        <v/>
      </c>
      <c r="Q45" s="231" t="str">
        <f>IFERROR(__xludf.DUMMYFUNCTION("""COMPUTED_VALUE"""),"")</f>
        <v/>
      </c>
      <c r="R45" s="232" t="str">
        <f>IFERROR(__xludf.DUMMYFUNCTION("""COMPUTED_VALUE"""),"")</f>
        <v/>
      </c>
      <c r="S45" s="233" t="str">
        <f>IFERROR(__xludf.DUMMYFUNCTION("""COMPUTED_VALUE"""),"")</f>
        <v/>
      </c>
      <c r="T45" s="231" t="str">
        <f>IFERROR(__xludf.DUMMYFUNCTION("""COMPUTED_VALUE"""),"")</f>
        <v/>
      </c>
      <c r="U45" s="232" t="str">
        <f>IFERROR(__xludf.DUMMYFUNCTION("""COMPUTED_VALUE"""),"")</f>
        <v/>
      </c>
      <c r="V45" s="233" t="str">
        <f>IFERROR(__xludf.DUMMYFUNCTION("""COMPUTED_VALUE"""),"")</f>
        <v/>
      </c>
      <c r="W45" s="231" t="str">
        <f>IFERROR(__xludf.DUMMYFUNCTION("""COMPUTED_VALUE"""),"")</f>
        <v/>
      </c>
      <c r="X45" s="232" t="str">
        <f>IFERROR(__xludf.DUMMYFUNCTION("""COMPUTED_VALUE"""),"")</f>
        <v/>
      </c>
      <c r="Y45" s="233" t="str">
        <f>IFERROR(__xludf.DUMMYFUNCTION("""COMPUTED_VALUE"""),"")</f>
        <v/>
      </c>
      <c r="Z45" s="231" t="str">
        <f>IFERROR(__xludf.DUMMYFUNCTION("""COMPUTED_VALUE"""),"")</f>
        <v/>
      </c>
      <c r="AA45" s="232" t="str">
        <f>IFERROR(__xludf.DUMMYFUNCTION("""COMPUTED_VALUE"""),"")</f>
        <v/>
      </c>
      <c r="AB45" s="233" t="str">
        <f>IFERROR(__xludf.DUMMYFUNCTION("""COMPUTED_VALUE"""),"")</f>
        <v/>
      </c>
      <c r="AC45" s="231" t="str">
        <f>IFERROR(__xludf.DUMMYFUNCTION("""COMPUTED_VALUE"""),"")</f>
        <v/>
      </c>
      <c r="AD45" s="232" t="str">
        <f>IFERROR(__xludf.DUMMYFUNCTION("""COMPUTED_VALUE"""),"")</f>
        <v/>
      </c>
      <c r="AE45" s="233">
        <f>IFERROR(__xludf.DUMMYFUNCTION("""COMPUTED_VALUE"""),4.5)</f>
        <v>4.5</v>
      </c>
      <c r="AF45" s="231" t="str">
        <f>IFERROR(__xludf.DUMMYFUNCTION("""COMPUTED_VALUE"""),"")</f>
        <v/>
      </c>
      <c r="AG45" s="232" t="str">
        <f>IFERROR(__xludf.DUMMYFUNCTION("""COMPUTED_VALUE"""),"")</f>
        <v/>
      </c>
      <c r="AH45" s="233" t="str">
        <f>IFERROR(__xludf.DUMMYFUNCTION("""COMPUTED_VALUE"""),"")</f>
        <v/>
      </c>
      <c r="AI45" s="231" t="str">
        <f>IFERROR(__xludf.DUMMYFUNCTION("""COMPUTED_VALUE"""),"")</f>
        <v/>
      </c>
      <c r="AJ45" s="232">
        <f>IFERROR(__xludf.DUMMYFUNCTION("""COMPUTED_VALUE"""),4.7)</f>
        <v>4.7</v>
      </c>
      <c r="AK45" s="233" t="str">
        <f>IFERROR(__xludf.DUMMYFUNCTION("""COMPUTED_VALUE"""),"")</f>
        <v/>
      </c>
      <c r="AL45" s="231" t="str">
        <f>IFERROR(__xludf.DUMMYFUNCTION("""COMPUTED_VALUE"""),"")</f>
        <v/>
      </c>
      <c r="AM45" s="232" t="str">
        <f>IFERROR(__xludf.DUMMYFUNCTION("""COMPUTED_VALUE"""),"")</f>
        <v/>
      </c>
      <c r="AN45" s="233" t="str">
        <f>IFERROR(__xludf.DUMMYFUNCTION("""COMPUTED_VALUE"""),"")</f>
        <v/>
      </c>
      <c r="AO45" s="231" t="str">
        <f>IFERROR(__xludf.DUMMYFUNCTION("""COMPUTED_VALUE"""),"")</f>
        <v/>
      </c>
      <c r="AP45" s="232" t="str">
        <f>IFERROR(__xludf.DUMMYFUNCTION("""COMPUTED_VALUE"""),"")</f>
        <v/>
      </c>
      <c r="AQ45" s="233" t="str">
        <f>IFERROR(__xludf.DUMMYFUNCTION("""COMPUTED_VALUE"""),"")</f>
        <v/>
      </c>
      <c r="AR45" s="231" t="str">
        <f>IFERROR(__xludf.DUMMYFUNCTION("""COMPUTED_VALUE"""),"")</f>
        <v/>
      </c>
      <c r="AS45" s="232" t="str">
        <f>IFERROR(__xludf.DUMMYFUNCTION("""COMPUTED_VALUE"""),"")</f>
        <v/>
      </c>
      <c r="AT45" s="233">
        <f>IFERROR(__xludf.DUMMYFUNCTION("""COMPUTED_VALUE"""),9.1)</f>
        <v>9.1</v>
      </c>
      <c r="AU45" s="231">
        <f>IFERROR(__xludf.DUMMYFUNCTION("""COMPUTED_VALUE"""),23.5)</f>
        <v>23.5</v>
      </c>
      <c r="AV45" s="232">
        <f>IFERROR(__xludf.DUMMYFUNCTION("""COMPUTED_VALUE"""),3.6)</f>
        <v>3.6</v>
      </c>
      <c r="AW45" s="233">
        <f>IFERROR(__xludf.DUMMYFUNCTION("""COMPUTED_VALUE"""),5.0)</f>
        <v>5</v>
      </c>
      <c r="AX45" s="231" t="str">
        <f>IFERROR(__xludf.DUMMYFUNCTION("""COMPUTED_VALUE"""),"")</f>
        <v/>
      </c>
      <c r="AY45" s="232" t="str">
        <f>IFERROR(__xludf.DUMMYFUNCTION("""COMPUTED_VALUE"""),"")</f>
        <v/>
      </c>
      <c r="AZ45" s="233" t="str">
        <f>IFERROR(__xludf.DUMMYFUNCTION("""COMPUTED_VALUE"""),"")</f>
        <v/>
      </c>
      <c r="BA45" s="231" t="str">
        <f>IFERROR(__xludf.DUMMYFUNCTION("""COMPUTED_VALUE"""),"")</f>
        <v/>
      </c>
      <c r="BB45" s="232" t="str">
        <f>IFERROR(__xludf.DUMMYFUNCTION("""COMPUTED_VALUE"""),"")</f>
        <v/>
      </c>
      <c r="BC45" s="233" t="str">
        <f>IFERROR(__xludf.DUMMYFUNCTION("""COMPUTED_VALUE"""),"")</f>
        <v/>
      </c>
      <c r="BD45" s="231" t="str">
        <f>IFERROR(__xludf.DUMMYFUNCTION("""COMPUTED_VALUE"""),"")</f>
        <v/>
      </c>
      <c r="BE45" s="232" t="str">
        <f>IFERROR(__xludf.DUMMYFUNCTION("""COMPUTED_VALUE"""),"")</f>
        <v/>
      </c>
      <c r="BF45" s="233" t="str">
        <f>IFERROR(__xludf.DUMMYFUNCTION("""COMPUTED_VALUE"""),"")</f>
        <v/>
      </c>
      <c r="BG45" s="231" t="str">
        <f>IFERROR(__xludf.DUMMYFUNCTION("""COMPUTED_VALUE"""),"")</f>
        <v/>
      </c>
      <c r="BH45" s="232" t="str">
        <f>IFERROR(__xludf.DUMMYFUNCTION("""COMPUTED_VALUE"""),"")</f>
        <v/>
      </c>
      <c r="BI45" s="233" t="str">
        <f>IFERROR(__xludf.DUMMYFUNCTION("""COMPUTED_VALUE"""),"")</f>
        <v/>
      </c>
      <c r="BJ45" s="231" t="str">
        <f>IFERROR(__xludf.DUMMYFUNCTION("""COMPUTED_VALUE"""),"")</f>
        <v/>
      </c>
      <c r="BK45" s="232" t="str">
        <f>IFERROR(__xludf.DUMMYFUNCTION("""COMPUTED_VALUE"""),"")</f>
        <v/>
      </c>
      <c r="BL45" s="233" t="str">
        <f>IFERROR(__xludf.DUMMYFUNCTION("""COMPUTED_VALUE"""),"")</f>
        <v/>
      </c>
      <c r="BM45" s="231" t="str">
        <f>IFERROR(__xludf.DUMMYFUNCTION("""COMPUTED_VALUE"""),"")</f>
        <v/>
      </c>
      <c r="BN45" s="232" t="str">
        <f>IFERROR(__xludf.DUMMYFUNCTION("""COMPUTED_VALUE"""),"")</f>
        <v/>
      </c>
      <c r="BO45" s="233" t="str">
        <f>IFERROR(__xludf.DUMMYFUNCTION("""COMPUTED_VALUE"""),"")</f>
        <v/>
      </c>
      <c r="BP45" s="231" t="str">
        <f>IFERROR(__xludf.DUMMYFUNCTION("""COMPUTED_VALUE"""),"")</f>
        <v/>
      </c>
      <c r="BQ45" s="232">
        <f>IFERROR(__xludf.DUMMYFUNCTION("""COMPUTED_VALUE"""),125.1)</f>
        <v>125.1</v>
      </c>
      <c r="BR45" s="233" t="str">
        <f>IFERROR(__xludf.DUMMYFUNCTION("""COMPUTED_VALUE"""),"")</f>
        <v/>
      </c>
      <c r="BS45" s="231" t="str">
        <f>IFERROR(__xludf.DUMMYFUNCTION("""COMPUTED_VALUE"""),"")</f>
        <v/>
      </c>
      <c r="BT45" s="232" t="str">
        <f>IFERROR(__xludf.DUMMYFUNCTION("""COMPUTED_VALUE"""),"")</f>
        <v/>
      </c>
      <c r="BU45" s="233" t="str">
        <f>IFERROR(__xludf.DUMMYFUNCTION("""COMPUTED_VALUE"""),"")</f>
        <v/>
      </c>
      <c r="BV45" s="231" t="str">
        <f>IFERROR(__xludf.DUMMYFUNCTION("""COMPUTED_VALUE"""),"")</f>
        <v/>
      </c>
      <c r="BW45" s="232" t="str">
        <f>IFERROR(__xludf.DUMMYFUNCTION("""COMPUTED_VALUE"""),"")</f>
        <v/>
      </c>
      <c r="BX45" s="233">
        <f>IFERROR(__xludf.DUMMYFUNCTION("""COMPUTED_VALUE"""),2.1)</f>
        <v>2.1</v>
      </c>
      <c r="BY45" s="231" t="str">
        <f>IFERROR(__xludf.DUMMYFUNCTION("""COMPUTED_VALUE"""),"")</f>
        <v/>
      </c>
      <c r="BZ45" s="232" t="str">
        <f>IFERROR(__xludf.DUMMYFUNCTION("""COMPUTED_VALUE"""),"")</f>
        <v/>
      </c>
      <c r="CA45" s="233" t="str">
        <f>IFERROR(__xludf.DUMMYFUNCTION("""COMPUTED_VALUE"""),"")</f>
        <v/>
      </c>
      <c r="CB45" s="231" t="str">
        <f>IFERROR(__xludf.DUMMYFUNCTION("""COMPUTED_VALUE"""),"")</f>
        <v/>
      </c>
      <c r="CC45" s="232" t="str">
        <f>IFERROR(__xludf.DUMMYFUNCTION("""COMPUTED_VALUE"""),"")</f>
        <v/>
      </c>
      <c r="CD45" s="233" t="str">
        <f>IFERROR(__xludf.DUMMYFUNCTION("""COMPUTED_VALUE"""),"")</f>
        <v/>
      </c>
      <c r="CE45" s="234">
        <f>IFERROR(__xludf.DUMMYFUNCTION("""COMPUTED_VALUE"""),21.9)</f>
        <v>21.9</v>
      </c>
      <c r="CF45" s="230" t="str">
        <f>IFERROR(__xludf.DUMMYFUNCTION("""COMPUTED_VALUE"""),"")</f>
        <v/>
      </c>
      <c r="CG45" s="235" t="str">
        <f>IFERROR(__xludf.DUMMYFUNCTION("""COMPUTED_VALUE"""),"")</f>
        <v/>
      </c>
      <c r="CH45" s="234" t="str">
        <f>IFERROR(__xludf.DUMMYFUNCTION("""COMPUTED_VALUE"""),"")</f>
        <v/>
      </c>
      <c r="CI45" s="230" t="str">
        <f>IFERROR(__xludf.DUMMYFUNCTION("""COMPUTED_VALUE"""),"")</f>
        <v/>
      </c>
      <c r="CJ45" s="235" t="str">
        <f>IFERROR(__xludf.DUMMYFUNCTION("""COMPUTED_VALUE"""),"")</f>
        <v/>
      </c>
      <c r="CK45" s="95" t="str">
        <f>IFERROR(__xludf.DUMMYFUNCTION("""COMPUTED_VALUE"""),"")</f>
        <v/>
      </c>
      <c r="CL45" s="96" t="str">
        <f>IFERROR(__xludf.DUMMYFUNCTION("""COMPUTED_VALUE"""),"")</f>
        <v/>
      </c>
      <c r="CM45" s="97" t="str">
        <f>IFERROR(__xludf.DUMMYFUNCTION("""COMPUTED_VALUE"""),"")</f>
        <v/>
      </c>
      <c r="CN45" s="95" t="str">
        <f>IFERROR(__xludf.DUMMYFUNCTION("""COMPUTED_VALUE"""),"")</f>
        <v/>
      </c>
      <c r="CO45" s="96" t="str">
        <f>IFERROR(__xludf.DUMMYFUNCTION("""COMPUTED_VALUE"""),"")</f>
        <v/>
      </c>
      <c r="CP45" s="97" t="str">
        <f>IFERROR(__xludf.DUMMYFUNCTION("""COMPUTED_VALUE"""),"")</f>
        <v/>
      </c>
      <c r="CQ45" s="95" t="str">
        <f>IFERROR(__xludf.DUMMYFUNCTION("""COMPUTED_VALUE"""),"")</f>
        <v/>
      </c>
      <c r="CR45" s="96" t="str">
        <f>IFERROR(__xludf.DUMMYFUNCTION("""COMPUTED_VALUE"""),"")</f>
        <v/>
      </c>
      <c r="CS45" s="97" t="str">
        <f>IFERROR(__xludf.DUMMYFUNCTION("""COMPUTED_VALUE"""),"#REF!")</f>
        <v>#REF!</v>
      </c>
      <c r="CT45" s="95" t="str">
        <f>IFERROR(__xludf.DUMMYFUNCTION("""COMPUTED_VALUE"""),"#REF!")</f>
        <v>#REF!</v>
      </c>
      <c r="CU45" s="96" t="str">
        <f>IFERROR(__xludf.DUMMYFUNCTION("""COMPUTED_VALUE"""),"#REF!")</f>
        <v>#REF!</v>
      </c>
      <c r="CV45" s="97" t="str">
        <f>IFERROR(__xludf.DUMMYFUNCTION("""COMPUTED_VALUE"""),"#REF!")</f>
        <v>#REF!</v>
      </c>
      <c r="CW45" s="95" t="str">
        <f>IFERROR(__xludf.DUMMYFUNCTION("""COMPUTED_VALUE"""),"#REF!")</f>
        <v>#REF!</v>
      </c>
      <c r="CX45" s="96" t="str">
        <f>IFERROR(__xludf.DUMMYFUNCTION("""COMPUTED_VALUE"""),"#REF!")</f>
        <v>#REF!</v>
      </c>
      <c r="CY45" s="97" t="str">
        <f>IFERROR(__xludf.DUMMYFUNCTION("""COMPUTED_VALUE"""),"#REF!")</f>
        <v>#REF!</v>
      </c>
      <c r="CZ45" s="95" t="str">
        <f>IFERROR(__xludf.DUMMYFUNCTION("""COMPUTED_VALUE"""),"#REF!")</f>
        <v>#REF!</v>
      </c>
      <c r="DA45" s="96" t="str">
        <f>IFERROR(__xludf.DUMMYFUNCTION("""COMPUTED_VALUE"""),"#REF!")</f>
        <v>#REF!</v>
      </c>
      <c r="DB45" s="97" t="str">
        <f>IFERROR(__xludf.DUMMYFUNCTION("""COMPUTED_VALUE"""),"#REF!")</f>
        <v>#REF!</v>
      </c>
      <c r="DC45" s="95" t="str">
        <f>IFERROR(__xludf.DUMMYFUNCTION("""COMPUTED_VALUE"""),"#REF!")</f>
        <v>#REF!</v>
      </c>
      <c r="DD45" s="96" t="str">
        <f>IFERROR(__xludf.DUMMYFUNCTION("""COMPUTED_VALUE"""),"#REF!")</f>
        <v>#REF!</v>
      </c>
      <c r="DE45" s="97" t="str">
        <f>IFERROR(__xludf.DUMMYFUNCTION("""COMPUTED_VALUE"""),"#REF!")</f>
        <v>#REF!</v>
      </c>
      <c r="DF45" s="95" t="str">
        <f>IFERROR(__xludf.DUMMYFUNCTION("""COMPUTED_VALUE"""),"#REF!")</f>
        <v>#REF!</v>
      </c>
      <c r="DG45" s="96" t="str">
        <f>IFERROR(__xludf.DUMMYFUNCTION("""COMPUTED_VALUE"""),"#REF!")</f>
        <v>#REF!</v>
      </c>
      <c r="DH45" s="97" t="str">
        <f>IFERROR(__xludf.DUMMYFUNCTION("""COMPUTED_VALUE"""),"#REF!")</f>
        <v>#REF!</v>
      </c>
      <c r="DI45" s="95" t="str">
        <f>IFERROR(__xludf.DUMMYFUNCTION("""COMPUTED_VALUE"""),"#REF!")</f>
        <v>#REF!</v>
      </c>
      <c r="DJ45" s="96" t="str">
        <f>IFERROR(__xludf.DUMMYFUNCTION("""COMPUTED_VALUE"""),"#REF!")</f>
        <v>#REF!</v>
      </c>
      <c r="DK45" s="97" t="str">
        <f>IFERROR(__xludf.DUMMYFUNCTION("""COMPUTED_VALUE"""),"#REF!")</f>
        <v>#REF!</v>
      </c>
      <c r="DL45" s="95" t="str">
        <f>IFERROR(__xludf.DUMMYFUNCTION("""COMPUTED_VALUE"""),"#REF!")</f>
        <v>#REF!</v>
      </c>
      <c r="DM45" s="96" t="str">
        <f>IFERROR(__xludf.DUMMYFUNCTION("""COMPUTED_VALUE"""),"#REF!")</f>
        <v>#REF!</v>
      </c>
      <c r="DN45" s="97" t="str">
        <f>IFERROR(__xludf.DUMMYFUNCTION("""COMPUTED_VALUE"""),"#REF!")</f>
        <v>#REF!</v>
      </c>
      <c r="DO45" s="95" t="str">
        <f>IFERROR(__xludf.DUMMYFUNCTION("""COMPUTED_VALUE"""),"#REF!")</f>
        <v>#REF!</v>
      </c>
      <c r="DP45" s="96" t="str">
        <f>IFERROR(__xludf.DUMMYFUNCTION("""COMPUTED_VALUE"""),"#REF!")</f>
        <v>#REF!</v>
      </c>
      <c r="DQ45" s="97"/>
      <c r="DR45" s="95"/>
    </row>
    <row r="46">
      <c r="B46" s="83" t="str">
        <f>IFERROR(__xludf.DUMMYFUNCTION("""COMPUTED_VALUE"""),"TRF26")</f>
        <v>TRF26</v>
      </c>
      <c r="C46" s="82">
        <f>IFERROR(__xludf.DUMMYFUNCTION("""COMPUTED_VALUE"""),30.0)</f>
        <v>30</v>
      </c>
      <c r="D46" s="88" t="str">
        <f>IFERROR(__xludf.DUMMYFUNCTION("""COMPUTED_VALUE"""),"SUN Saber Training Ground- Int")</f>
        <v>SUN Saber Training Ground- Int</v>
      </c>
      <c r="E46" s="82" t="str">
        <f>IFERROR(__xludf.DUMMYFUNCTION("""COMPUTED_VALUE"""),"剣中級")</f>
        <v>剣中級</v>
      </c>
      <c r="F46" s="102">
        <f>IFERROR(__xludf.DUMMYFUNCTION("""COMPUTED_VALUE"""),20.0)</f>
        <v>20</v>
      </c>
      <c r="G46" s="82">
        <f>IFERROR(__xludf.DUMMYFUNCTION("""COMPUTED_VALUE"""),1062.0)</f>
        <v>1062</v>
      </c>
      <c r="H46" s="231" t="str">
        <f>IFERROR(__xludf.DUMMYFUNCTION("""COMPUTED_VALUE"""),"")</f>
        <v/>
      </c>
      <c r="I46" s="232" t="str">
        <f>IFERROR(__xludf.DUMMYFUNCTION("""COMPUTED_VALUE"""),"")</f>
        <v/>
      </c>
      <c r="J46" s="233" t="str">
        <f>IFERROR(__xludf.DUMMYFUNCTION("""COMPUTED_VALUE"""),"")</f>
        <v/>
      </c>
      <c r="K46" s="231" t="str">
        <f>IFERROR(__xludf.DUMMYFUNCTION("""COMPUTED_VALUE"""),"")</f>
        <v/>
      </c>
      <c r="L46" s="232" t="str">
        <f>IFERROR(__xludf.DUMMYFUNCTION("""COMPUTED_VALUE"""),"")</f>
        <v/>
      </c>
      <c r="M46" s="233" t="str">
        <f>IFERROR(__xludf.DUMMYFUNCTION("""COMPUTED_VALUE"""),"")</f>
        <v/>
      </c>
      <c r="N46" s="231" t="str">
        <f>IFERROR(__xludf.DUMMYFUNCTION("""COMPUTED_VALUE"""),"")</f>
        <v/>
      </c>
      <c r="O46" s="232" t="str">
        <f>IFERROR(__xludf.DUMMYFUNCTION("""COMPUTED_VALUE"""),"")</f>
        <v/>
      </c>
      <c r="P46" s="233" t="str">
        <f>IFERROR(__xludf.DUMMYFUNCTION("""COMPUTED_VALUE"""),"")</f>
        <v/>
      </c>
      <c r="Q46" s="231" t="str">
        <f>IFERROR(__xludf.DUMMYFUNCTION("""COMPUTED_VALUE"""),"")</f>
        <v/>
      </c>
      <c r="R46" s="232" t="str">
        <f>IFERROR(__xludf.DUMMYFUNCTION("""COMPUTED_VALUE"""),"")</f>
        <v/>
      </c>
      <c r="S46" s="233" t="str">
        <f>IFERROR(__xludf.DUMMYFUNCTION("""COMPUTED_VALUE"""),"")</f>
        <v/>
      </c>
      <c r="T46" s="231" t="str">
        <f>IFERROR(__xludf.DUMMYFUNCTION("""COMPUTED_VALUE"""),"")</f>
        <v/>
      </c>
      <c r="U46" s="232" t="str">
        <f>IFERROR(__xludf.DUMMYFUNCTION("""COMPUTED_VALUE"""),"")</f>
        <v/>
      </c>
      <c r="V46" s="233" t="str">
        <f>IFERROR(__xludf.DUMMYFUNCTION("""COMPUTED_VALUE"""),"")</f>
        <v/>
      </c>
      <c r="W46" s="231" t="str">
        <f>IFERROR(__xludf.DUMMYFUNCTION("""COMPUTED_VALUE"""),"")</f>
        <v/>
      </c>
      <c r="X46" s="232" t="str">
        <f>IFERROR(__xludf.DUMMYFUNCTION("""COMPUTED_VALUE"""),"")</f>
        <v/>
      </c>
      <c r="Y46" s="233" t="str">
        <f>IFERROR(__xludf.DUMMYFUNCTION("""COMPUTED_VALUE"""),"")</f>
        <v/>
      </c>
      <c r="Z46" s="231">
        <f>IFERROR(__xludf.DUMMYFUNCTION("""COMPUTED_VALUE"""),13.0)</f>
        <v>13</v>
      </c>
      <c r="AA46" s="232" t="str">
        <f>IFERROR(__xludf.DUMMYFUNCTION("""COMPUTED_VALUE"""),"")</f>
        <v/>
      </c>
      <c r="AB46" s="233" t="str">
        <f>IFERROR(__xludf.DUMMYFUNCTION("""COMPUTED_VALUE"""),"")</f>
        <v/>
      </c>
      <c r="AC46" s="231" t="str">
        <f>IFERROR(__xludf.DUMMYFUNCTION("""COMPUTED_VALUE"""),"")</f>
        <v/>
      </c>
      <c r="AD46" s="232" t="str">
        <f>IFERROR(__xludf.DUMMYFUNCTION("""COMPUTED_VALUE"""),"")</f>
        <v/>
      </c>
      <c r="AE46" s="233">
        <f>IFERROR(__xludf.DUMMYFUNCTION("""COMPUTED_VALUE"""),8.7)</f>
        <v>8.7</v>
      </c>
      <c r="AF46" s="231" t="str">
        <f>IFERROR(__xludf.DUMMYFUNCTION("""COMPUTED_VALUE"""),"")</f>
        <v/>
      </c>
      <c r="AG46" s="232" t="str">
        <f>IFERROR(__xludf.DUMMYFUNCTION("""COMPUTED_VALUE"""),"")</f>
        <v/>
      </c>
      <c r="AH46" s="233" t="str">
        <f>IFERROR(__xludf.DUMMYFUNCTION("""COMPUTED_VALUE"""),"")</f>
        <v/>
      </c>
      <c r="AI46" s="231" t="str">
        <f>IFERROR(__xludf.DUMMYFUNCTION("""COMPUTED_VALUE"""),"")</f>
        <v/>
      </c>
      <c r="AJ46" s="232">
        <f>IFERROR(__xludf.DUMMYFUNCTION("""COMPUTED_VALUE"""),9.7)</f>
        <v>9.7</v>
      </c>
      <c r="AK46" s="233" t="str">
        <f>IFERROR(__xludf.DUMMYFUNCTION("""COMPUTED_VALUE"""),"")</f>
        <v/>
      </c>
      <c r="AL46" s="231" t="str">
        <f>IFERROR(__xludf.DUMMYFUNCTION("""COMPUTED_VALUE"""),"")</f>
        <v/>
      </c>
      <c r="AM46" s="232" t="str">
        <f>IFERROR(__xludf.DUMMYFUNCTION("""COMPUTED_VALUE"""),"")</f>
        <v/>
      </c>
      <c r="AN46" s="233" t="str">
        <f>IFERROR(__xludf.DUMMYFUNCTION("""COMPUTED_VALUE"""),"")</f>
        <v/>
      </c>
      <c r="AO46" s="231" t="str">
        <f>IFERROR(__xludf.DUMMYFUNCTION("""COMPUTED_VALUE"""),"")</f>
        <v/>
      </c>
      <c r="AP46" s="232" t="str">
        <f>IFERROR(__xludf.DUMMYFUNCTION("""COMPUTED_VALUE"""),"")</f>
        <v/>
      </c>
      <c r="AQ46" s="233" t="str">
        <f>IFERROR(__xludf.DUMMYFUNCTION("""COMPUTED_VALUE"""),"")</f>
        <v/>
      </c>
      <c r="AR46" s="231" t="str">
        <f>IFERROR(__xludf.DUMMYFUNCTION("""COMPUTED_VALUE"""),"")</f>
        <v/>
      </c>
      <c r="AS46" s="232" t="str">
        <f>IFERROR(__xludf.DUMMYFUNCTION("""COMPUTED_VALUE"""),"")</f>
        <v/>
      </c>
      <c r="AT46" s="233">
        <f>IFERROR(__xludf.DUMMYFUNCTION("""COMPUTED_VALUE"""),10.9)</f>
        <v>10.9</v>
      </c>
      <c r="AU46" s="231" t="str">
        <f>IFERROR(__xludf.DUMMYFUNCTION("""COMPUTED_VALUE"""),"")</f>
        <v/>
      </c>
      <c r="AV46" s="232" t="str">
        <f>IFERROR(__xludf.DUMMYFUNCTION("""COMPUTED_VALUE"""),"")</f>
        <v/>
      </c>
      <c r="AW46" s="233">
        <f>IFERROR(__xludf.DUMMYFUNCTION("""COMPUTED_VALUE"""),15.9)</f>
        <v>15.9</v>
      </c>
      <c r="AX46" s="231" t="str">
        <f>IFERROR(__xludf.DUMMYFUNCTION("""COMPUTED_VALUE"""),"")</f>
        <v/>
      </c>
      <c r="AY46" s="232" t="str">
        <f>IFERROR(__xludf.DUMMYFUNCTION("""COMPUTED_VALUE"""),"")</f>
        <v/>
      </c>
      <c r="AZ46" s="233" t="str">
        <f>IFERROR(__xludf.DUMMYFUNCTION("""COMPUTED_VALUE"""),"")</f>
        <v/>
      </c>
      <c r="BA46" s="231" t="str">
        <f>IFERROR(__xludf.DUMMYFUNCTION("""COMPUTED_VALUE"""),"")</f>
        <v/>
      </c>
      <c r="BB46" s="232" t="str">
        <f>IFERROR(__xludf.DUMMYFUNCTION("""COMPUTED_VALUE"""),"")</f>
        <v/>
      </c>
      <c r="BC46" s="233" t="str">
        <f>IFERROR(__xludf.DUMMYFUNCTION("""COMPUTED_VALUE"""),"")</f>
        <v/>
      </c>
      <c r="BD46" s="231" t="str">
        <f>IFERROR(__xludf.DUMMYFUNCTION("""COMPUTED_VALUE"""),"")</f>
        <v/>
      </c>
      <c r="BE46" s="232" t="str">
        <f>IFERROR(__xludf.DUMMYFUNCTION("""COMPUTED_VALUE"""),"")</f>
        <v/>
      </c>
      <c r="BF46" s="233" t="str">
        <f>IFERROR(__xludf.DUMMYFUNCTION("""COMPUTED_VALUE"""),"")</f>
        <v/>
      </c>
      <c r="BG46" s="231" t="str">
        <f>IFERROR(__xludf.DUMMYFUNCTION("""COMPUTED_VALUE"""),"")</f>
        <v/>
      </c>
      <c r="BH46" s="232" t="str">
        <f>IFERROR(__xludf.DUMMYFUNCTION("""COMPUTED_VALUE"""),"")</f>
        <v/>
      </c>
      <c r="BI46" s="233" t="str">
        <f>IFERROR(__xludf.DUMMYFUNCTION("""COMPUTED_VALUE"""),"")</f>
        <v/>
      </c>
      <c r="BJ46" s="231">
        <f>IFERROR(__xludf.DUMMYFUNCTION("""COMPUTED_VALUE"""),78.9)</f>
        <v>78.9</v>
      </c>
      <c r="BK46" s="232" t="str">
        <f>IFERROR(__xludf.DUMMYFUNCTION("""COMPUTED_VALUE"""),"")</f>
        <v/>
      </c>
      <c r="BL46" s="233" t="str">
        <f>IFERROR(__xludf.DUMMYFUNCTION("""COMPUTED_VALUE"""),"")</f>
        <v/>
      </c>
      <c r="BM46" s="231" t="str">
        <f>IFERROR(__xludf.DUMMYFUNCTION("""COMPUTED_VALUE"""),"")</f>
        <v/>
      </c>
      <c r="BN46" s="232" t="str">
        <f>IFERROR(__xludf.DUMMYFUNCTION("""COMPUTED_VALUE"""),"")</f>
        <v/>
      </c>
      <c r="BO46" s="233" t="str">
        <f>IFERROR(__xludf.DUMMYFUNCTION("""COMPUTED_VALUE"""),"")</f>
        <v/>
      </c>
      <c r="BP46" s="231" t="str">
        <f>IFERROR(__xludf.DUMMYFUNCTION("""COMPUTED_VALUE"""),"")</f>
        <v/>
      </c>
      <c r="BQ46" s="232">
        <f>IFERROR(__xludf.DUMMYFUNCTION("""COMPUTED_VALUE"""),111.7)</f>
        <v>111.7</v>
      </c>
      <c r="BR46" s="233" t="str">
        <f>IFERROR(__xludf.DUMMYFUNCTION("""COMPUTED_VALUE"""),"")</f>
        <v/>
      </c>
      <c r="BS46" s="231" t="str">
        <f>IFERROR(__xludf.DUMMYFUNCTION("""COMPUTED_VALUE"""),"")</f>
        <v/>
      </c>
      <c r="BT46" s="232" t="str">
        <f>IFERROR(__xludf.DUMMYFUNCTION("""COMPUTED_VALUE"""),"")</f>
        <v/>
      </c>
      <c r="BU46" s="233" t="str">
        <f>IFERROR(__xludf.DUMMYFUNCTION("""COMPUTED_VALUE"""),"")</f>
        <v/>
      </c>
      <c r="BV46" s="231" t="str">
        <f>IFERROR(__xludf.DUMMYFUNCTION("""COMPUTED_VALUE"""),"")</f>
        <v/>
      </c>
      <c r="BW46" s="232" t="str">
        <f>IFERROR(__xludf.DUMMYFUNCTION("""COMPUTED_VALUE"""),"")</f>
        <v/>
      </c>
      <c r="BX46" s="233">
        <f>IFERROR(__xludf.DUMMYFUNCTION("""COMPUTED_VALUE"""),7.8)</f>
        <v>7.8</v>
      </c>
      <c r="BY46" s="231" t="str">
        <f>IFERROR(__xludf.DUMMYFUNCTION("""COMPUTED_VALUE"""),"")</f>
        <v/>
      </c>
      <c r="BZ46" s="232" t="str">
        <f>IFERROR(__xludf.DUMMYFUNCTION("""COMPUTED_VALUE"""),"")</f>
        <v/>
      </c>
      <c r="CA46" s="233" t="str">
        <f>IFERROR(__xludf.DUMMYFUNCTION("""COMPUTED_VALUE"""),"")</f>
        <v/>
      </c>
      <c r="CB46" s="231" t="str">
        <f>IFERROR(__xludf.DUMMYFUNCTION("""COMPUTED_VALUE"""),"")</f>
        <v/>
      </c>
      <c r="CC46" s="232" t="str">
        <f>IFERROR(__xludf.DUMMYFUNCTION("""COMPUTED_VALUE"""),"")</f>
        <v/>
      </c>
      <c r="CD46" s="233" t="str">
        <f>IFERROR(__xludf.DUMMYFUNCTION("""COMPUTED_VALUE"""),"")</f>
        <v/>
      </c>
      <c r="CE46" s="234">
        <f>IFERROR(__xludf.DUMMYFUNCTION("""COMPUTED_VALUE"""),69.1)</f>
        <v>69.1</v>
      </c>
      <c r="CF46" s="230" t="str">
        <f>IFERROR(__xludf.DUMMYFUNCTION("""COMPUTED_VALUE"""),"")</f>
        <v/>
      </c>
      <c r="CG46" s="235" t="str">
        <f>IFERROR(__xludf.DUMMYFUNCTION("""COMPUTED_VALUE"""),"")</f>
        <v/>
      </c>
      <c r="CH46" s="234" t="str">
        <f>IFERROR(__xludf.DUMMYFUNCTION("""COMPUTED_VALUE"""),"")</f>
        <v/>
      </c>
      <c r="CI46" s="230" t="str">
        <f>IFERROR(__xludf.DUMMYFUNCTION("""COMPUTED_VALUE"""),"")</f>
        <v/>
      </c>
      <c r="CJ46" s="235" t="str">
        <f>IFERROR(__xludf.DUMMYFUNCTION("""COMPUTED_VALUE"""),"")</f>
        <v/>
      </c>
      <c r="CK46" s="95" t="str">
        <f>IFERROR(__xludf.DUMMYFUNCTION("""COMPUTED_VALUE"""),"")</f>
        <v/>
      </c>
      <c r="CL46" s="96" t="str">
        <f>IFERROR(__xludf.DUMMYFUNCTION("""COMPUTED_VALUE"""),"")</f>
        <v/>
      </c>
      <c r="CM46" s="97" t="str">
        <f>IFERROR(__xludf.DUMMYFUNCTION("""COMPUTED_VALUE"""),"")</f>
        <v/>
      </c>
      <c r="CN46" s="95" t="str">
        <f>IFERROR(__xludf.DUMMYFUNCTION("""COMPUTED_VALUE"""),"")</f>
        <v/>
      </c>
      <c r="CO46" s="96" t="str">
        <f>IFERROR(__xludf.DUMMYFUNCTION("""COMPUTED_VALUE"""),"")</f>
        <v/>
      </c>
      <c r="CP46" s="97" t="str">
        <f>IFERROR(__xludf.DUMMYFUNCTION("""COMPUTED_VALUE"""),"")</f>
        <v/>
      </c>
      <c r="CQ46" s="95" t="str">
        <f>IFERROR(__xludf.DUMMYFUNCTION("""COMPUTED_VALUE"""),"")</f>
        <v/>
      </c>
      <c r="CR46" s="96" t="str">
        <f>IFERROR(__xludf.DUMMYFUNCTION("""COMPUTED_VALUE"""),"")</f>
        <v/>
      </c>
      <c r="CS46" s="97" t="str">
        <f>IFERROR(__xludf.DUMMYFUNCTION("""COMPUTED_VALUE"""),"#REF!")</f>
        <v>#REF!</v>
      </c>
      <c r="CT46" s="95" t="str">
        <f>IFERROR(__xludf.DUMMYFUNCTION("""COMPUTED_VALUE"""),"#REF!")</f>
        <v>#REF!</v>
      </c>
      <c r="CU46" s="96" t="str">
        <f>IFERROR(__xludf.DUMMYFUNCTION("""COMPUTED_VALUE"""),"#REF!")</f>
        <v>#REF!</v>
      </c>
      <c r="CV46" s="97" t="str">
        <f>IFERROR(__xludf.DUMMYFUNCTION("""COMPUTED_VALUE"""),"#REF!")</f>
        <v>#REF!</v>
      </c>
      <c r="CW46" s="95" t="str">
        <f>IFERROR(__xludf.DUMMYFUNCTION("""COMPUTED_VALUE"""),"#REF!")</f>
        <v>#REF!</v>
      </c>
      <c r="CX46" s="96" t="str">
        <f>IFERROR(__xludf.DUMMYFUNCTION("""COMPUTED_VALUE"""),"#REF!")</f>
        <v>#REF!</v>
      </c>
      <c r="CY46" s="97" t="str">
        <f>IFERROR(__xludf.DUMMYFUNCTION("""COMPUTED_VALUE"""),"#REF!")</f>
        <v>#REF!</v>
      </c>
      <c r="CZ46" s="95" t="str">
        <f>IFERROR(__xludf.DUMMYFUNCTION("""COMPUTED_VALUE"""),"#REF!")</f>
        <v>#REF!</v>
      </c>
      <c r="DA46" s="96" t="str">
        <f>IFERROR(__xludf.DUMMYFUNCTION("""COMPUTED_VALUE"""),"#REF!")</f>
        <v>#REF!</v>
      </c>
      <c r="DB46" s="97" t="str">
        <f>IFERROR(__xludf.DUMMYFUNCTION("""COMPUTED_VALUE"""),"#REF!")</f>
        <v>#REF!</v>
      </c>
      <c r="DC46" s="95" t="str">
        <f>IFERROR(__xludf.DUMMYFUNCTION("""COMPUTED_VALUE"""),"#REF!")</f>
        <v>#REF!</v>
      </c>
      <c r="DD46" s="96" t="str">
        <f>IFERROR(__xludf.DUMMYFUNCTION("""COMPUTED_VALUE"""),"#REF!")</f>
        <v>#REF!</v>
      </c>
      <c r="DE46" s="97" t="str">
        <f>IFERROR(__xludf.DUMMYFUNCTION("""COMPUTED_VALUE"""),"#REF!")</f>
        <v>#REF!</v>
      </c>
      <c r="DF46" s="95" t="str">
        <f>IFERROR(__xludf.DUMMYFUNCTION("""COMPUTED_VALUE"""),"#REF!")</f>
        <v>#REF!</v>
      </c>
      <c r="DG46" s="96" t="str">
        <f>IFERROR(__xludf.DUMMYFUNCTION("""COMPUTED_VALUE"""),"#REF!")</f>
        <v>#REF!</v>
      </c>
      <c r="DH46" s="97" t="str">
        <f>IFERROR(__xludf.DUMMYFUNCTION("""COMPUTED_VALUE"""),"#REF!")</f>
        <v>#REF!</v>
      </c>
      <c r="DI46" s="95" t="str">
        <f>IFERROR(__xludf.DUMMYFUNCTION("""COMPUTED_VALUE"""),"#REF!")</f>
        <v>#REF!</v>
      </c>
      <c r="DJ46" s="96" t="str">
        <f>IFERROR(__xludf.DUMMYFUNCTION("""COMPUTED_VALUE"""),"#REF!")</f>
        <v>#REF!</v>
      </c>
      <c r="DK46" s="97" t="str">
        <f>IFERROR(__xludf.DUMMYFUNCTION("""COMPUTED_VALUE"""),"#REF!")</f>
        <v>#REF!</v>
      </c>
      <c r="DL46" s="95" t="str">
        <f>IFERROR(__xludf.DUMMYFUNCTION("""COMPUTED_VALUE"""),"#REF!")</f>
        <v>#REF!</v>
      </c>
      <c r="DM46" s="96" t="str">
        <f>IFERROR(__xludf.DUMMYFUNCTION("""COMPUTED_VALUE"""),"#REF!")</f>
        <v>#REF!</v>
      </c>
      <c r="DN46" s="97" t="str">
        <f>IFERROR(__xludf.DUMMYFUNCTION("""COMPUTED_VALUE"""),"#REF!")</f>
        <v>#REF!</v>
      </c>
      <c r="DO46" s="95" t="str">
        <f>IFERROR(__xludf.DUMMYFUNCTION("""COMPUTED_VALUE"""),"#REF!")</f>
        <v>#REF!</v>
      </c>
      <c r="DP46" s="96" t="str">
        <f>IFERROR(__xludf.DUMMYFUNCTION("""COMPUTED_VALUE"""),"#REF!")</f>
        <v>#REF!</v>
      </c>
      <c r="DQ46" s="97"/>
      <c r="DR46" s="95"/>
    </row>
    <row r="47">
      <c r="B47" s="83" t="str">
        <f>IFERROR(__xludf.DUMMYFUNCTION("""COMPUTED_VALUE"""),"TRF27")</f>
        <v>TRF27</v>
      </c>
      <c r="C47" s="82">
        <f>IFERROR(__xludf.DUMMYFUNCTION("""COMPUTED_VALUE"""),29.0)</f>
        <v>29</v>
      </c>
      <c r="D47" s="88" t="str">
        <f>IFERROR(__xludf.DUMMYFUNCTION("""COMPUTED_VALUE"""),"SUN Saber Training Ground- Adv")</f>
        <v>SUN Saber Training Ground- Adv</v>
      </c>
      <c r="E47" s="82" t="str">
        <f>IFERROR(__xludf.DUMMYFUNCTION("""COMPUTED_VALUE"""),"剣上級")</f>
        <v>剣上級</v>
      </c>
      <c r="F47" s="102">
        <f>IFERROR(__xludf.DUMMYFUNCTION("""COMPUTED_VALUE"""),30.0)</f>
        <v>30</v>
      </c>
      <c r="G47" s="82">
        <f>IFERROR(__xludf.DUMMYFUNCTION("""COMPUTED_VALUE"""),3856.0)</f>
        <v>3856</v>
      </c>
      <c r="H47" s="231" t="str">
        <f>IFERROR(__xludf.DUMMYFUNCTION("""COMPUTED_VALUE"""),"")</f>
        <v/>
      </c>
      <c r="I47" s="232" t="str">
        <f>IFERROR(__xludf.DUMMYFUNCTION("""COMPUTED_VALUE"""),"")</f>
        <v/>
      </c>
      <c r="J47" s="233" t="str">
        <f>IFERROR(__xludf.DUMMYFUNCTION("""COMPUTED_VALUE"""),"")</f>
        <v/>
      </c>
      <c r="K47" s="231">
        <f>IFERROR(__xludf.DUMMYFUNCTION("""COMPUTED_VALUE"""),3.9)</f>
        <v>3.9</v>
      </c>
      <c r="L47" s="232" t="str">
        <f>IFERROR(__xludf.DUMMYFUNCTION("""COMPUTED_VALUE"""),"")</f>
        <v/>
      </c>
      <c r="M47" s="233" t="str">
        <f>IFERROR(__xludf.DUMMYFUNCTION("""COMPUTED_VALUE"""),"")</f>
        <v/>
      </c>
      <c r="N47" s="231" t="str">
        <f>IFERROR(__xludf.DUMMYFUNCTION("""COMPUTED_VALUE"""),"")</f>
        <v/>
      </c>
      <c r="O47" s="232" t="str">
        <f>IFERROR(__xludf.DUMMYFUNCTION("""COMPUTED_VALUE"""),"")</f>
        <v/>
      </c>
      <c r="P47" s="233" t="str">
        <f>IFERROR(__xludf.DUMMYFUNCTION("""COMPUTED_VALUE"""),"")</f>
        <v/>
      </c>
      <c r="Q47" s="231" t="str">
        <f>IFERROR(__xludf.DUMMYFUNCTION("""COMPUTED_VALUE"""),"")</f>
        <v/>
      </c>
      <c r="R47" s="232" t="str">
        <f>IFERROR(__xludf.DUMMYFUNCTION("""COMPUTED_VALUE"""),"")</f>
        <v/>
      </c>
      <c r="S47" s="233" t="str">
        <f>IFERROR(__xludf.DUMMYFUNCTION("""COMPUTED_VALUE"""),"")</f>
        <v/>
      </c>
      <c r="T47" s="231" t="str">
        <f>IFERROR(__xludf.DUMMYFUNCTION("""COMPUTED_VALUE"""),"")</f>
        <v/>
      </c>
      <c r="U47" s="232" t="str">
        <f>IFERROR(__xludf.DUMMYFUNCTION("""COMPUTED_VALUE"""),"")</f>
        <v/>
      </c>
      <c r="V47" s="233" t="str">
        <f>IFERROR(__xludf.DUMMYFUNCTION("""COMPUTED_VALUE"""),"")</f>
        <v/>
      </c>
      <c r="W47" s="231" t="str">
        <f>IFERROR(__xludf.DUMMYFUNCTION("""COMPUTED_VALUE"""),"")</f>
        <v/>
      </c>
      <c r="X47" s="232" t="str">
        <f>IFERROR(__xludf.DUMMYFUNCTION("""COMPUTED_VALUE"""),"")</f>
        <v/>
      </c>
      <c r="Y47" s="233" t="str">
        <f>IFERROR(__xludf.DUMMYFUNCTION("""COMPUTED_VALUE"""),"")</f>
        <v/>
      </c>
      <c r="Z47" s="231">
        <f>IFERROR(__xludf.DUMMYFUNCTION("""COMPUTED_VALUE"""),24.0)</f>
        <v>24</v>
      </c>
      <c r="AA47" s="232" t="str">
        <f>IFERROR(__xludf.DUMMYFUNCTION("""COMPUTED_VALUE"""),"")</f>
        <v/>
      </c>
      <c r="AB47" s="233" t="str">
        <f>IFERROR(__xludf.DUMMYFUNCTION("""COMPUTED_VALUE"""),"")</f>
        <v/>
      </c>
      <c r="AC47" s="231" t="str">
        <f>IFERROR(__xludf.DUMMYFUNCTION("""COMPUTED_VALUE"""),"")</f>
        <v/>
      </c>
      <c r="AD47" s="232">
        <f>IFERROR(__xludf.DUMMYFUNCTION("""COMPUTED_VALUE"""),17.3)</f>
        <v>17.3</v>
      </c>
      <c r="AE47" s="233">
        <f>IFERROR(__xludf.DUMMYFUNCTION("""COMPUTED_VALUE"""),14.3)</f>
        <v>14.3</v>
      </c>
      <c r="AF47" s="231" t="str">
        <f>IFERROR(__xludf.DUMMYFUNCTION("""COMPUTED_VALUE"""),"")</f>
        <v/>
      </c>
      <c r="AG47" s="232" t="str">
        <f>IFERROR(__xludf.DUMMYFUNCTION("""COMPUTED_VALUE"""),"")</f>
        <v/>
      </c>
      <c r="AH47" s="233" t="str">
        <f>IFERROR(__xludf.DUMMYFUNCTION("""COMPUTED_VALUE"""),"")</f>
        <v/>
      </c>
      <c r="AI47" s="231" t="str">
        <f>IFERROR(__xludf.DUMMYFUNCTION("""COMPUTED_VALUE"""),"")</f>
        <v/>
      </c>
      <c r="AJ47" s="232">
        <f>IFERROR(__xludf.DUMMYFUNCTION("""COMPUTED_VALUE"""),15.6)</f>
        <v>15.6</v>
      </c>
      <c r="AK47" s="233" t="str">
        <f>IFERROR(__xludf.DUMMYFUNCTION("""COMPUTED_VALUE"""),"")</f>
        <v/>
      </c>
      <c r="AL47" s="231" t="str">
        <f>IFERROR(__xludf.DUMMYFUNCTION("""COMPUTED_VALUE"""),"")</f>
        <v/>
      </c>
      <c r="AM47" s="232" t="str">
        <f>IFERROR(__xludf.DUMMYFUNCTION("""COMPUTED_VALUE"""),"")</f>
        <v/>
      </c>
      <c r="AN47" s="233" t="str">
        <f>IFERROR(__xludf.DUMMYFUNCTION("""COMPUTED_VALUE"""),"")</f>
        <v/>
      </c>
      <c r="AO47" s="231" t="str">
        <f>IFERROR(__xludf.DUMMYFUNCTION("""COMPUTED_VALUE"""),"")</f>
        <v/>
      </c>
      <c r="AP47" s="232" t="str">
        <f>IFERROR(__xludf.DUMMYFUNCTION("""COMPUTED_VALUE"""),"")</f>
        <v/>
      </c>
      <c r="AQ47" s="233" t="str">
        <f>IFERROR(__xludf.DUMMYFUNCTION("""COMPUTED_VALUE"""),"")</f>
        <v/>
      </c>
      <c r="AR47" s="231" t="str">
        <f>IFERROR(__xludf.DUMMYFUNCTION("""COMPUTED_VALUE"""),"")</f>
        <v/>
      </c>
      <c r="AS47" s="232" t="str">
        <f>IFERROR(__xludf.DUMMYFUNCTION("""COMPUTED_VALUE"""),"")</f>
        <v/>
      </c>
      <c r="AT47" s="233">
        <f>IFERROR(__xludf.DUMMYFUNCTION("""COMPUTED_VALUE"""),13.9)</f>
        <v>13.9</v>
      </c>
      <c r="AU47" s="231" t="str">
        <f>IFERROR(__xludf.DUMMYFUNCTION("""COMPUTED_VALUE"""),"")</f>
        <v/>
      </c>
      <c r="AV47" s="232" t="str">
        <f>IFERROR(__xludf.DUMMYFUNCTION("""COMPUTED_VALUE"""),"")</f>
        <v/>
      </c>
      <c r="AW47" s="233">
        <f>IFERROR(__xludf.DUMMYFUNCTION("""COMPUTED_VALUE"""),20.0)</f>
        <v>20</v>
      </c>
      <c r="AX47" s="231" t="str">
        <f>IFERROR(__xludf.DUMMYFUNCTION("""COMPUTED_VALUE"""),"")</f>
        <v/>
      </c>
      <c r="AY47" s="232" t="str">
        <f>IFERROR(__xludf.DUMMYFUNCTION("""COMPUTED_VALUE"""),"")</f>
        <v/>
      </c>
      <c r="AZ47" s="233" t="str">
        <f>IFERROR(__xludf.DUMMYFUNCTION("""COMPUTED_VALUE"""),"")</f>
        <v/>
      </c>
      <c r="BA47" s="231" t="str">
        <f>IFERROR(__xludf.DUMMYFUNCTION("""COMPUTED_VALUE"""),"")</f>
        <v/>
      </c>
      <c r="BB47" s="232" t="str">
        <f>IFERROR(__xludf.DUMMYFUNCTION("""COMPUTED_VALUE"""),"")</f>
        <v/>
      </c>
      <c r="BC47" s="233">
        <f>IFERROR(__xludf.DUMMYFUNCTION("""COMPUTED_VALUE"""),5.0)</f>
        <v>5</v>
      </c>
      <c r="BD47" s="231" t="str">
        <f>IFERROR(__xludf.DUMMYFUNCTION("""COMPUTED_VALUE"""),"")</f>
        <v/>
      </c>
      <c r="BE47" s="232" t="str">
        <f>IFERROR(__xludf.DUMMYFUNCTION("""COMPUTED_VALUE"""),"")</f>
        <v/>
      </c>
      <c r="BF47" s="233" t="str">
        <f>IFERROR(__xludf.DUMMYFUNCTION("""COMPUTED_VALUE"""),"")</f>
        <v/>
      </c>
      <c r="BG47" s="231" t="str">
        <f>IFERROR(__xludf.DUMMYFUNCTION("""COMPUTED_VALUE"""),"")</f>
        <v/>
      </c>
      <c r="BH47" s="232" t="str">
        <f>IFERROR(__xludf.DUMMYFUNCTION("""COMPUTED_VALUE"""),"")</f>
        <v/>
      </c>
      <c r="BI47" s="233" t="str">
        <f>IFERROR(__xludf.DUMMYFUNCTION("""COMPUTED_VALUE"""),"")</f>
        <v/>
      </c>
      <c r="BJ47" s="231">
        <f>IFERROR(__xludf.DUMMYFUNCTION("""COMPUTED_VALUE"""),134.2)</f>
        <v>134.2</v>
      </c>
      <c r="BK47" s="232" t="str">
        <f>IFERROR(__xludf.DUMMYFUNCTION("""COMPUTED_VALUE"""),"")</f>
        <v/>
      </c>
      <c r="BL47" s="233" t="str">
        <f>IFERROR(__xludf.DUMMYFUNCTION("""COMPUTED_VALUE"""),"")</f>
        <v/>
      </c>
      <c r="BM47" s="231" t="str">
        <f>IFERROR(__xludf.DUMMYFUNCTION("""COMPUTED_VALUE"""),"")</f>
        <v/>
      </c>
      <c r="BN47" s="232" t="str">
        <f>IFERROR(__xludf.DUMMYFUNCTION("""COMPUTED_VALUE"""),"")</f>
        <v/>
      </c>
      <c r="BO47" s="233" t="str">
        <f>IFERROR(__xludf.DUMMYFUNCTION("""COMPUTED_VALUE"""),"")</f>
        <v/>
      </c>
      <c r="BP47" s="231" t="str">
        <f>IFERROR(__xludf.DUMMYFUNCTION("""COMPUTED_VALUE"""),"")</f>
        <v/>
      </c>
      <c r="BQ47" s="232">
        <f>IFERROR(__xludf.DUMMYFUNCTION("""COMPUTED_VALUE"""),25.7)</f>
        <v>25.7</v>
      </c>
      <c r="BR47" s="233" t="str">
        <f>IFERROR(__xludf.DUMMYFUNCTION("""COMPUTED_VALUE"""),"")</f>
        <v/>
      </c>
      <c r="BS47" s="231" t="str">
        <f>IFERROR(__xludf.DUMMYFUNCTION("""COMPUTED_VALUE"""),"")</f>
        <v/>
      </c>
      <c r="BT47" s="232" t="str">
        <f>IFERROR(__xludf.DUMMYFUNCTION("""COMPUTED_VALUE"""),"")</f>
        <v/>
      </c>
      <c r="BU47" s="233" t="str">
        <f>IFERROR(__xludf.DUMMYFUNCTION("""COMPUTED_VALUE"""),"")</f>
        <v/>
      </c>
      <c r="BV47" s="231" t="str">
        <f>IFERROR(__xludf.DUMMYFUNCTION("""COMPUTED_VALUE"""),"")</f>
        <v/>
      </c>
      <c r="BW47" s="232" t="str">
        <f>IFERROR(__xludf.DUMMYFUNCTION("""COMPUTED_VALUE"""),"")</f>
        <v/>
      </c>
      <c r="BX47" s="233">
        <f>IFERROR(__xludf.DUMMYFUNCTION("""COMPUTED_VALUE"""),34.6)</f>
        <v>34.6</v>
      </c>
      <c r="BY47" s="231" t="str">
        <f>IFERROR(__xludf.DUMMYFUNCTION("""COMPUTED_VALUE"""),"")</f>
        <v/>
      </c>
      <c r="BZ47" s="232" t="str">
        <f>IFERROR(__xludf.DUMMYFUNCTION("""COMPUTED_VALUE"""),"")</f>
        <v/>
      </c>
      <c r="CA47" s="233" t="str">
        <f>IFERROR(__xludf.DUMMYFUNCTION("""COMPUTED_VALUE"""),"")</f>
        <v/>
      </c>
      <c r="CB47" s="231" t="str">
        <f>IFERROR(__xludf.DUMMYFUNCTION("""COMPUTED_VALUE"""),"")</f>
        <v/>
      </c>
      <c r="CC47" s="232" t="str">
        <f>IFERROR(__xludf.DUMMYFUNCTION("""COMPUTED_VALUE"""),"")</f>
        <v/>
      </c>
      <c r="CD47" s="233" t="str">
        <f>IFERROR(__xludf.DUMMYFUNCTION("""COMPUTED_VALUE"""),"")</f>
        <v/>
      </c>
      <c r="CE47" s="234">
        <f>IFERROR(__xludf.DUMMYFUNCTION("""COMPUTED_VALUE"""),99.8)</f>
        <v>99.8</v>
      </c>
      <c r="CF47" s="230" t="str">
        <f>IFERROR(__xludf.DUMMYFUNCTION("""COMPUTED_VALUE"""),"")</f>
        <v/>
      </c>
      <c r="CG47" s="235" t="str">
        <f>IFERROR(__xludf.DUMMYFUNCTION("""COMPUTED_VALUE"""),"")</f>
        <v/>
      </c>
      <c r="CH47" s="234" t="str">
        <f>IFERROR(__xludf.DUMMYFUNCTION("""COMPUTED_VALUE"""),"")</f>
        <v/>
      </c>
      <c r="CI47" s="230" t="str">
        <f>IFERROR(__xludf.DUMMYFUNCTION("""COMPUTED_VALUE"""),"")</f>
        <v/>
      </c>
      <c r="CJ47" s="235" t="str">
        <f>IFERROR(__xludf.DUMMYFUNCTION("""COMPUTED_VALUE"""),"")</f>
        <v/>
      </c>
      <c r="CK47" s="95" t="str">
        <f>IFERROR(__xludf.DUMMYFUNCTION("""COMPUTED_VALUE"""),"")</f>
        <v/>
      </c>
      <c r="CL47" s="96" t="str">
        <f>IFERROR(__xludf.DUMMYFUNCTION("""COMPUTED_VALUE"""),"")</f>
        <v/>
      </c>
      <c r="CM47" s="97" t="str">
        <f>IFERROR(__xludf.DUMMYFUNCTION("""COMPUTED_VALUE"""),"")</f>
        <v/>
      </c>
      <c r="CN47" s="95" t="str">
        <f>IFERROR(__xludf.DUMMYFUNCTION("""COMPUTED_VALUE"""),"")</f>
        <v/>
      </c>
      <c r="CO47" s="96" t="str">
        <f>IFERROR(__xludf.DUMMYFUNCTION("""COMPUTED_VALUE"""),"")</f>
        <v/>
      </c>
      <c r="CP47" s="97" t="str">
        <f>IFERROR(__xludf.DUMMYFUNCTION("""COMPUTED_VALUE"""),"")</f>
        <v/>
      </c>
      <c r="CQ47" s="95" t="str">
        <f>IFERROR(__xludf.DUMMYFUNCTION("""COMPUTED_VALUE"""),"")</f>
        <v/>
      </c>
      <c r="CR47" s="96" t="str">
        <f>IFERROR(__xludf.DUMMYFUNCTION("""COMPUTED_VALUE"""),"")</f>
        <v/>
      </c>
      <c r="CS47" s="97" t="str">
        <f>IFERROR(__xludf.DUMMYFUNCTION("""COMPUTED_VALUE"""),"#REF!")</f>
        <v>#REF!</v>
      </c>
      <c r="CT47" s="95" t="str">
        <f>IFERROR(__xludf.DUMMYFUNCTION("""COMPUTED_VALUE"""),"#REF!")</f>
        <v>#REF!</v>
      </c>
      <c r="CU47" s="96" t="str">
        <f>IFERROR(__xludf.DUMMYFUNCTION("""COMPUTED_VALUE"""),"#REF!")</f>
        <v>#REF!</v>
      </c>
      <c r="CV47" s="97" t="str">
        <f>IFERROR(__xludf.DUMMYFUNCTION("""COMPUTED_VALUE"""),"#REF!")</f>
        <v>#REF!</v>
      </c>
      <c r="CW47" s="95" t="str">
        <f>IFERROR(__xludf.DUMMYFUNCTION("""COMPUTED_VALUE"""),"#REF!")</f>
        <v>#REF!</v>
      </c>
      <c r="CX47" s="96" t="str">
        <f>IFERROR(__xludf.DUMMYFUNCTION("""COMPUTED_VALUE"""),"#REF!")</f>
        <v>#REF!</v>
      </c>
      <c r="CY47" s="97" t="str">
        <f>IFERROR(__xludf.DUMMYFUNCTION("""COMPUTED_VALUE"""),"#REF!")</f>
        <v>#REF!</v>
      </c>
      <c r="CZ47" s="95" t="str">
        <f>IFERROR(__xludf.DUMMYFUNCTION("""COMPUTED_VALUE"""),"#REF!")</f>
        <v>#REF!</v>
      </c>
      <c r="DA47" s="96" t="str">
        <f>IFERROR(__xludf.DUMMYFUNCTION("""COMPUTED_VALUE"""),"#REF!")</f>
        <v>#REF!</v>
      </c>
      <c r="DB47" s="97" t="str">
        <f>IFERROR(__xludf.DUMMYFUNCTION("""COMPUTED_VALUE"""),"#REF!")</f>
        <v>#REF!</v>
      </c>
      <c r="DC47" s="95" t="str">
        <f>IFERROR(__xludf.DUMMYFUNCTION("""COMPUTED_VALUE"""),"#REF!")</f>
        <v>#REF!</v>
      </c>
      <c r="DD47" s="96" t="str">
        <f>IFERROR(__xludf.DUMMYFUNCTION("""COMPUTED_VALUE"""),"#REF!")</f>
        <v>#REF!</v>
      </c>
      <c r="DE47" s="97" t="str">
        <f>IFERROR(__xludf.DUMMYFUNCTION("""COMPUTED_VALUE"""),"#REF!")</f>
        <v>#REF!</v>
      </c>
      <c r="DF47" s="95" t="str">
        <f>IFERROR(__xludf.DUMMYFUNCTION("""COMPUTED_VALUE"""),"#REF!")</f>
        <v>#REF!</v>
      </c>
      <c r="DG47" s="96" t="str">
        <f>IFERROR(__xludf.DUMMYFUNCTION("""COMPUTED_VALUE"""),"#REF!")</f>
        <v>#REF!</v>
      </c>
      <c r="DH47" s="97" t="str">
        <f>IFERROR(__xludf.DUMMYFUNCTION("""COMPUTED_VALUE"""),"#REF!")</f>
        <v>#REF!</v>
      </c>
      <c r="DI47" s="95" t="str">
        <f>IFERROR(__xludf.DUMMYFUNCTION("""COMPUTED_VALUE"""),"#REF!")</f>
        <v>#REF!</v>
      </c>
      <c r="DJ47" s="96" t="str">
        <f>IFERROR(__xludf.DUMMYFUNCTION("""COMPUTED_VALUE"""),"#REF!")</f>
        <v>#REF!</v>
      </c>
      <c r="DK47" s="97" t="str">
        <f>IFERROR(__xludf.DUMMYFUNCTION("""COMPUTED_VALUE"""),"#REF!")</f>
        <v>#REF!</v>
      </c>
      <c r="DL47" s="95" t="str">
        <f>IFERROR(__xludf.DUMMYFUNCTION("""COMPUTED_VALUE"""),"#REF!")</f>
        <v>#REF!</v>
      </c>
      <c r="DM47" s="96" t="str">
        <f>IFERROR(__xludf.DUMMYFUNCTION("""COMPUTED_VALUE"""),"#REF!")</f>
        <v>#REF!</v>
      </c>
      <c r="DN47" s="97" t="str">
        <f>IFERROR(__xludf.DUMMYFUNCTION("""COMPUTED_VALUE"""),"#REF!")</f>
        <v>#REF!</v>
      </c>
      <c r="DO47" s="95" t="str">
        <f>IFERROR(__xludf.DUMMYFUNCTION("""COMPUTED_VALUE"""),"#REF!")</f>
        <v>#REF!</v>
      </c>
      <c r="DP47" s="96" t="str">
        <f>IFERROR(__xludf.DUMMYFUNCTION("""COMPUTED_VALUE"""),"#REF!")</f>
        <v>#REF!</v>
      </c>
      <c r="DQ47" s="97"/>
      <c r="DR47" s="95"/>
    </row>
    <row r="48">
      <c r="B48" s="83" t="str">
        <f>IFERROR(__xludf.DUMMYFUNCTION("""COMPUTED_VALUE"""),"TRF28")</f>
        <v>TRF28</v>
      </c>
      <c r="C48" s="82">
        <f>IFERROR(__xludf.DUMMYFUNCTION("""COMPUTED_VALUE"""),28.0)</f>
        <v>28</v>
      </c>
      <c r="D48" s="88" t="str">
        <f>IFERROR(__xludf.DUMMYFUNCTION("""COMPUTED_VALUE"""),"SUN Saber Training Ground- Exp")</f>
        <v>SUN Saber Training Ground- Exp</v>
      </c>
      <c r="E48" s="82" t="str">
        <f>IFERROR(__xludf.DUMMYFUNCTION("""COMPUTED_VALUE"""),"剣超級")</f>
        <v>剣超級</v>
      </c>
      <c r="F48" s="102">
        <f>IFERROR(__xludf.DUMMYFUNCTION("""COMPUTED_VALUE"""),40.0)</f>
        <v>40</v>
      </c>
      <c r="G48" s="82">
        <f>IFERROR(__xludf.DUMMYFUNCTION("""COMPUTED_VALUE"""),27682.0)</f>
        <v>27682</v>
      </c>
      <c r="H48" s="231" t="str">
        <f>IFERROR(__xludf.DUMMYFUNCTION("""COMPUTED_VALUE"""),"")</f>
        <v/>
      </c>
      <c r="I48" s="232" t="str">
        <f>IFERROR(__xludf.DUMMYFUNCTION("""COMPUTED_VALUE"""),"")</f>
        <v/>
      </c>
      <c r="J48" s="233" t="str">
        <f>IFERROR(__xludf.DUMMYFUNCTION("""COMPUTED_VALUE"""),"")</f>
        <v/>
      </c>
      <c r="K48" s="231">
        <f>IFERROR(__xludf.DUMMYFUNCTION("""COMPUTED_VALUE"""),8.0)</f>
        <v>8</v>
      </c>
      <c r="L48" s="232" t="str">
        <f>IFERROR(__xludf.DUMMYFUNCTION("""COMPUTED_VALUE"""),"")</f>
        <v/>
      </c>
      <c r="M48" s="233" t="str">
        <f>IFERROR(__xludf.DUMMYFUNCTION("""COMPUTED_VALUE"""),"")</f>
        <v/>
      </c>
      <c r="N48" s="231" t="str">
        <f>IFERROR(__xludf.DUMMYFUNCTION("""COMPUTED_VALUE"""),"")</f>
        <v/>
      </c>
      <c r="O48" s="232" t="str">
        <f>IFERROR(__xludf.DUMMYFUNCTION("""COMPUTED_VALUE"""),"")</f>
        <v/>
      </c>
      <c r="P48" s="233" t="str">
        <f>IFERROR(__xludf.DUMMYFUNCTION("""COMPUTED_VALUE"""),"")</f>
        <v/>
      </c>
      <c r="Q48" s="231" t="str">
        <f>IFERROR(__xludf.DUMMYFUNCTION("""COMPUTED_VALUE"""),"")</f>
        <v/>
      </c>
      <c r="R48" s="232" t="str">
        <f>IFERROR(__xludf.DUMMYFUNCTION("""COMPUTED_VALUE"""),"")</f>
        <v/>
      </c>
      <c r="S48" s="233" t="str">
        <f>IFERROR(__xludf.DUMMYFUNCTION("""COMPUTED_VALUE"""),"")</f>
        <v/>
      </c>
      <c r="T48" s="231" t="str">
        <f>IFERROR(__xludf.DUMMYFUNCTION("""COMPUTED_VALUE"""),"")</f>
        <v/>
      </c>
      <c r="U48" s="232" t="str">
        <f>IFERROR(__xludf.DUMMYFUNCTION("""COMPUTED_VALUE"""),"")</f>
        <v/>
      </c>
      <c r="V48" s="233" t="str">
        <f>IFERROR(__xludf.DUMMYFUNCTION("""COMPUTED_VALUE"""),"")</f>
        <v/>
      </c>
      <c r="W48" s="231" t="str">
        <f>IFERROR(__xludf.DUMMYFUNCTION("""COMPUTED_VALUE"""),"")</f>
        <v/>
      </c>
      <c r="X48" s="232" t="str">
        <f>IFERROR(__xludf.DUMMYFUNCTION("""COMPUTED_VALUE"""),"")</f>
        <v/>
      </c>
      <c r="Y48" s="233" t="str">
        <f>IFERROR(__xludf.DUMMYFUNCTION("""COMPUTED_VALUE"""),"")</f>
        <v/>
      </c>
      <c r="Z48" s="231">
        <f>IFERROR(__xludf.DUMMYFUNCTION("""COMPUTED_VALUE"""),26.7)</f>
        <v>26.7</v>
      </c>
      <c r="AA48" s="232" t="str">
        <f>IFERROR(__xludf.DUMMYFUNCTION("""COMPUTED_VALUE"""),"")</f>
        <v/>
      </c>
      <c r="AB48" s="233" t="str">
        <f>IFERROR(__xludf.DUMMYFUNCTION("""COMPUTED_VALUE"""),"")</f>
        <v/>
      </c>
      <c r="AC48" s="231" t="str">
        <f>IFERROR(__xludf.DUMMYFUNCTION("""COMPUTED_VALUE"""),"")</f>
        <v/>
      </c>
      <c r="AD48" s="232">
        <f>IFERROR(__xludf.DUMMYFUNCTION("""COMPUTED_VALUE"""),10.6)</f>
        <v>10.6</v>
      </c>
      <c r="AE48" s="233">
        <f>IFERROR(__xludf.DUMMYFUNCTION("""COMPUTED_VALUE"""),20.4)</f>
        <v>20.4</v>
      </c>
      <c r="AF48" s="231" t="str">
        <f>IFERROR(__xludf.DUMMYFUNCTION("""COMPUTED_VALUE"""),"")</f>
        <v/>
      </c>
      <c r="AG48" s="232" t="str">
        <f>IFERROR(__xludf.DUMMYFUNCTION("""COMPUTED_VALUE"""),"")</f>
        <v/>
      </c>
      <c r="AH48" s="233" t="str">
        <f>IFERROR(__xludf.DUMMYFUNCTION("""COMPUTED_VALUE"""),"")</f>
        <v/>
      </c>
      <c r="AI48" s="231" t="str">
        <f>IFERROR(__xludf.DUMMYFUNCTION("""COMPUTED_VALUE"""),"")</f>
        <v/>
      </c>
      <c r="AJ48" s="232">
        <f>IFERROR(__xludf.DUMMYFUNCTION("""COMPUTED_VALUE"""),20.5)</f>
        <v>20.5</v>
      </c>
      <c r="AK48" s="233" t="str">
        <f>IFERROR(__xludf.DUMMYFUNCTION("""COMPUTED_VALUE"""),"")</f>
        <v/>
      </c>
      <c r="AL48" s="231" t="str">
        <f>IFERROR(__xludf.DUMMYFUNCTION("""COMPUTED_VALUE"""),"")</f>
        <v/>
      </c>
      <c r="AM48" s="232" t="str">
        <f>IFERROR(__xludf.DUMMYFUNCTION("""COMPUTED_VALUE"""),"")</f>
        <v/>
      </c>
      <c r="AN48" s="233" t="str">
        <f>IFERROR(__xludf.DUMMYFUNCTION("""COMPUTED_VALUE"""),"")</f>
        <v/>
      </c>
      <c r="AO48" s="231" t="str">
        <f>IFERROR(__xludf.DUMMYFUNCTION("""COMPUTED_VALUE"""),"")</f>
        <v/>
      </c>
      <c r="AP48" s="232" t="str">
        <f>IFERROR(__xludf.DUMMYFUNCTION("""COMPUTED_VALUE"""),"")</f>
        <v/>
      </c>
      <c r="AQ48" s="233" t="str">
        <f>IFERROR(__xludf.DUMMYFUNCTION("""COMPUTED_VALUE"""),"")</f>
        <v/>
      </c>
      <c r="AR48" s="231" t="str">
        <f>IFERROR(__xludf.DUMMYFUNCTION("""COMPUTED_VALUE"""),"")</f>
        <v/>
      </c>
      <c r="AS48" s="232" t="str">
        <f>IFERROR(__xludf.DUMMYFUNCTION("""COMPUTED_VALUE"""),"")</f>
        <v/>
      </c>
      <c r="AT48" s="233">
        <f>IFERROR(__xludf.DUMMYFUNCTION("""COMPUTED_VALUE"""),18.9)</f>
        <v>18.9</v>
      </c>
      <c r="AU48" s="231" t="str">
        <f>IFERROR(__xludf.DUMMYFUNCTION("""COMPUTED_VALUE"""),"")</f>
        <v/>
      </c>
      <c r="AV48" s="232" t="str">
        <f>IFERROR(__xludf.DUMMYFUNCTION("""COMPUTED_VALUE"""),"")</f>
        <v/>
      </c>
      <c r="AW48" s="233">
        <f>IFERROR(__xludf.DUMMYFUNCTION("""COMPUTED_VALUE"""),22.5)</f>
        <v>22.5</v>
      </c>
      <c r="AX48" s="231" t="str">
        <f>IFERROR(__xludf.DUMMYFUNCTION("""COMPUTED_VALUE"""),"")</f>
        <v/>
      </c>
      <c r="AY48" s="232" t="str">
        <f>IFERROR(__xludf.DUMMYFUNCTION("""COMPUTED_VALUE"""),"")</f>
        <v/>
      </c>
      <c r="AZ48" s="233" t="str">
        <f>IFERROR(__xludf.DUMMYFUNCTION("""COMPUTED_VALUE"""),"")</f>
        <v/>
      </c>
      <c r="BA48" s="231" t="str">
        <f>IFERROR(__xludf.DUMMYFUNCTION("""COMPUTED_VALUE"""),"")</f>
        <v/>
      </c>
      <c r="BB48" s="232" t="str">
        <f>IFERROR(__xludf.DUMMYFUNCTION("""COMPUTED_VALUE"""),"")</f>
        <v/>
      </c>
      <c r="BC48" s="233">
        <f>IFERROR(__xludf.DUMMYFUNCTION("""COMPUTED_VALUE"""),27.7)</f>
        <v>27.7</v>
      </c>
      <c r="BD48" s="231" t="str">
        <f>IFERROR(__xludf.DUMMYFUNCTION("""COMPUTED_VALUE"""),"")</f>
        <v/>
      </c>
      <c r="BE48" s="232" t="str">
        <f>IFERROR(__xludf.DUMMYFUNCTION("""COMPUTED_VALUE"""),"")</f>
        <v/>
      </c>
      <c r="BF48" s="233" t="str">
        <f>IFERROR(__xludf.DUMMYFUNCTION("""COMPUTED_VALUE"""),"")</f>
        <v/>
      </c>
      <c r="BG48" s="231" t="str">
        <f>IFERROR(__xludf.DUMMYFUNCTION("""COMPUTED_VALUE"""),"")</f>
        <v/>
      </c>
      <c r="BH48" s="232" t="str">
        <f>IFERROR(__xludf.DUMMYFUNCTION("""COMPUTED_VALUE"""),"")</f>
        <v/>
      </c>
      <c r="BI48" s="233" t="str">
        <f>IFERROR(__xludf.DUMMYFUNCTION("""COMPUTED_VALUE"""),"")</f>
        <v/>
      </c>
      <c r="BJ48" s="231">
        <f>IFERROR(__xludf.DUMMYFUNCTION("""COMPUTED_VALUE"""),116.4)</f>
        <v>116.4</v>
      </c>
      <c r="BK48" s="232" t="str">
        <f>IFERROR(__xludf.DUMMYFUNCTION("""COMPUTED_VALUE"""),"")</f>
        <v/>
      </c>
      <c r="BL48" s="233" t="str">
        <f>IFERROR(__xludf.DUMMYFUNCTION("""COMPUTED_VALUE"""),"")</f>
        <v/>
      </c>
      <c r="BM48" s="231" t="str">
        <f>IFERROR(__xludf.DUMMYFUNCTION("""COMPUTED_VALUE"""),"")</f>
        <v/>
      </c>
      <c r="BN48" s="232" t="str">
        <f>IFERROR(__xludf.DUMMYFUNCTION("""COMPUTED_VALUE"""),"")</f>
        <v/>
      </c>
      <c r="BO48" s="233" t="str">
        <f>IFERROR(__xludf.DUMMYFUNCTION("""COMPUTED_VALUE"""),"")</f>
        <v/>
      </c>
      <c r="BP48" s="231" t="str">
        <f>IFERROR(__xludf.DUMMYFUNCTION("""COMPUTED_VALUE"""),"")</f>
        <v/>
      </c>
      <c r="BQ48" s="232">
        <f>IFERROR(__xludf.DUMMYFUNCTION("""COMPUTED_VALUE"""),23.6)</f>
        <v>23.6</v>
      </c>
      <c r="BR48" s="233" t="str">
        <f>IFERROR(__xludf.DUMMYFUNCTION("""COMPUTED_VALUE"""),"")</f>
        <v/>
      </c>
      <c r="BS48" s="231" t="str">
        <f>IFERROR(__xludf.DUMMYFUNCTION("""COMPUTED_VALUE"""),"")</f>
        <v/>
      </c>
      <c r="BT48" s="232" t="str">
        <f>IFERROR(__xludf.DUMMYFUNCTION("""COMPUTED_VALUE"""),"")</f>
        <v/>
      </c>
      <c r="BU48" s="233" t="str">
        <f>IFERROR(__xludf.DUMMYFUNCTION("""COMPUTED_VALUE"""),"")</f>
        <v/>
      </c>
      <c r="BV48" s="231" t="str">
        <f>IFERROR(__xludf.DUMMYFUNCTION("""COMPUTED_VALUE"""),"")</f>
        <v/>
      </c>
      <c r="BW48" s="232" t="str">
        <f>IFERROR(__xludf.DUMMYFUNCTION("""COMPUTED_VALUE"""),"")</f>
        <v/>
      </c>
      <c r="BX48" s="233">
        <f>IFERROR(__xludf.DUMMYFUNCTION("""COMPUTED_VALUE"""),53.7)</f>
        <v>53.7</v>
      </c>
      <c r="BY48" s="231" t="str">
        <f>IFERROR(__xludf.DUMMYFUNCTION("""COMPUTED_VALUE"""),"")</f>
        <v/>
      </c>
      <c r="BZ48" s="232" t="str">
        <f>IFERROR(__xludf.DUMMYFUNCTION("""COMPUTED_VALUE"""),"")</f>
        <v/>
      </c>
      <c r="CA48" s="233" t="str">
        <f>IFERROR(__xludf.DUMMYFUNCTION("""COMPUTED_VALUE"""),"")</f>
        <v/>
      </c>
      <c r="CB48" s="231" t="str">
        <f>IFERROR(__xludf.DUMMYFUNCTION("""COMPUTED_VALUE"""),"")</f>
        <v/>
      </c>
      <c r="CC48" s="232" t="str">
        <f>IFERROR(__xludf.DUMMYFUNCTION("""COMPUTED_VALUE"""),"")</f>
        <v/>
      </c>
      <c r="CD48" s="233" t="str">
        <f>IFERROR(__xludf.DUMMYFUNCTION("""COMPUTED_VALUE"""),"")</f>
        <v/>
      </c>
      <c r="CE48" s="234">
        <f>IFERROR(__xludf.DUMMYFUNCTION("""COMPUTED_VALUE"""),73.2)</f>
        <v>73.2</v>
      </c>
      <c r="CF48" s="230" t="str">
        <f>IFERROR(__xludf.DUMMYFUNCTION("""COMPUTED_VALUE"""),"")</f>
        <v/>
      </c>
      <c r="CG48" s="235" t="str">
        <f>IFERROR(__xludf.DUMMYFUNCTION("""COMPUTED_VALUE"""),"")</f>
        <v/>
      </c>
      <c r="CH48" s="234" t="str">
        <f>IFERROR(__xludf.DUMMYFUNCTION("""COMPUTED_VALUE"""),"")</f>
        <v/>
      </c>
      <c r="CI48" s="230" t="str">
        <f>IFERROR(__xludf.DUMMYFUNCTION("""COMPUTED_VALUE"""),"")</f>
        <v/>
      </c>
      <c r="CJ48" s="235" t="str">
        <f>IFERROR(__xludf.DUMMYFUNCTION("""COMPUTED_VALUE"""),"")</f>
        <v/>
      </c>
      <c r="CK48" s="95" t="str">
        <f>IFERROR(__xludf.DUMMYFUNCTION("""COMPUTED_VALUE"""),"")</f>
        <v/>
      </c>
      <c r="CL48" s="96" t="str">
        <f>IFERROR(__xludf.DUMMYFUNCTION("""COMPUTED_VALUE"""),"")</f>
        <v/>
      </c>
      <c r="CM48" s="97" t="str">
        <f>IFERROR(__xludf.DUMMYFUNCTION("""COMPUTED_VALUE"""),"")</f>
        <v/>
      </c>
      <c r="CN48" s="95" t="str">
        <f>IFERROR(__xludf.DUMMYFUNCTION("""COMPUTED_VALUE"""),"")</f>
        <v/>
      </c>
      <c r="CO48" s="96" t="str">
        <f>IFERROR(__xludf.DUMMYFUNCTION("""COMPUTED_VALUE"""),"")</f>
        <v/>
      </c>
      <c r="CP48" s="97" t="str">
        <f>IFERROR(__xludf.DUMMYFUNCTION("""COMPUTED_VALUE"""),"")</f>
        <v/>
      </c>
      <c r="CQ48" s="95" t="str">
        <f>IFERROR(__xludf.DUMMYFUNCTION("""COMPUTED_VALUE"""),"")</f>
        <v/>
      </c>
      <c r="CR48" s="96" t="str">
        <f>IFERROR(__xludf.DUMMYFUNCTION("""COMPUTED_VALUE"""),"")</f>
        <v/>
      </c>
      <c r="CS48" s="97" t="str">
        <f>IFERROR(__xludf.DUMMYFUNCTION("""COMPUTED_VALUE"""),"#REF!")</f>
        <v>#REF!</v>
      </c>
      <c r="CT48" s="95" t="str">
        <f>IFERROR(__xludf.DUMMYFUNCTION("""COMPUTED_VALUE"""),"#REF!")</f>
        <v>#REF!</v>
      </c>
      <c r="CU48" s="96" t="str">
        <f>IFERROR(__xludf.DUMMYFUNCTION("""COMPUTED_VALUE"""),"#REF!")</f>
        <v>#REF!</v>
      </c>
      <c r="CV48" s="97" t="str">
        <f>IFERROR(__xludf.DUMMYFUNCTION("""COMPUTED_VALUE"""),"#REF!")</f>
        <v>#REF!</v>
      </c>
      <c r="CW48" s="95" t="str">
        <f>IFERROR(__xludf.DUMMYFUNCTION("""COMPUTED_VALUE"""),"#REF!")</f>
        <v>#REF!</v>
      </c>
      <c r="CX48" s="96" t="str">
        <f>IFERROR(__xludf.DUMMYFUNCTION("""COMPUTED_VALUE"""),"#REF!")</f>
        <v>#REF!</v>
      </c>
      <c r="CY48" s="97" t="str">
        <f>IFERROR(__xludf.DUMMYFUNCTION("""COMPUTED_VALUE"""),"#REF!")</f>
        <v>#REF!</v>
      </c>
      <c r="CZ48" s="95" t="str">
        <f>IFERROR(__xludf.DUMMYFUNCTION("""COMPUTED_VALUE"""),"#REF!")</f>
        <v>#REF!</v>
      </c>
      <c r="DA48" s="96" t="str">
        <f>IFERROR(__xludf.DUMMYFUNCTION("""COMPUTED_VALUE"""),"#REF!")</f>
        <v>#REF!</v>
      </c>
      <c r="DB48" s="97" t="str">
        <f>IFERROR(__xludf.DUMMYFUNCTION("""COMPUTED_VALUE"""),"#REF!")</f>
        <v>#REF!</v>
      </c>
      <c r="DC48" s="95" t="str">
        <f>IFERROR(__xludf.DUMMYFUNCTION("""COMPUTED_VALUE"""),"#REF!")</f>
        <v>#REF!</v>
      </c>
      <c r="DD48" s="96" t="str">
        <f>IFERROR(__xludf.DUMMYFUNCTION("""COMPUTED_VALUE"""),"#REF!")</f>
        <v>#REF!</v>
      </c>
      <c r="DE48" s="97" t="str">
        <f>IFERROR(__xludf.DUMMYFUNCTION("""COMPUTED_VALUE"""),"#REF!")</f>
        <v>#REF!</v>
      </c>
      <c r="DF48" s="95" t="str">
        <f>IFERROR(__xludf.DUMMYFUNCTION("""COMPUTED_VALUE"""),"#REF!")</f>
        <v>#REF!</v>
      </c>
      <c r="DG48" s="96" t="str">
        <f>IFERROR(__xludf.DUMMYFUNCTION("""COMPUTED_VALUE"""),"#REF!")</f>
        <v>#REF!</v>
      </c>
      <c r="DH48" s="97" t="str">
        <f>IFERROR(__xludf.DUMMYFUNCTION("""COMPUTED_VALUE"""),"#REF!")</f>
        <v>#REF!</v>
      </c>
      <c r="DI48" s="95" t="str">
        <f>IFERROR(__xludf.DUMMYFUNCTION("""COMPUTED_VALUE"""),"#REF!")</f>
        <v>#REF!</v>
      </c>
      <c r="DJ48" s="96" t="str">
        <f>IFERROR(__xludf.DUMMYFUNCTION("""COMPUTED_VALUE"""),"#REF!")</f>
        <v>#REF!</v>
      </c>
      <c r="DK48" s="97" t="str">
        <f>IFERROR(__xludf.DUMMYFUNCTION("""COMPUTED_VALUE"""),"#REF!")</f>
        <v>#REF!</v>
      </c>
      <c r="DL48" s="95" t="str">
        <f>IFERROR(__xludf.DUMMYFUNCTION("""COMPUTED_VALUE"""),"#REF!")</f>
        <v>#REF!</v>
      </c>
      <c r="DM48" s="96" t="str">
        <f>IFERROR(__xludf.DUMMYFUNCTION("""COMPUTED_VALUE"""),"#REF!")</f>
        <v>#REF!</v>
      </c>
      <c r="DN48" s="97" t="str">
        <f>IFERROR(__xludf.DUMMYFUNCTION("""COMPUTED_VALUE"""),"#REF!")</f>
        <v>#REF!</v>
      </c>
      <c r="DO48" s="95" t="str">
        <f>IFERROR(__xludf.DUMMYFUNCTION("""COMPUTED_VALUE"""),"#REF!")</f>
        <v>#REF!</v>
      </c>
      <c r="DP48" s="96" t="str">
        <f>IFERROR(__xludf.DUMMYFUNCTION("""COMPUTED_VALUE"""),"#REF!")</f>
        <v>#REF!</v>
      </c>
      <c r="DQ48" s="97"/>
      <c r="DR48" s="95"/>
    </row>
    <row r="49">
      <c r="A49" s="110" t="str">
        <f>IFERROR(__xludf.DUMMYFUNCTION("""COMPUTED_VALUE"""),"FUYUKI")</f>
        <v>FUYUKI</v>
      </c>
      <c r="B49" s="83" t="str">
        <f>IFERROR(__xludf.DUMMYFUNCTION("""COMPUTED_VALUE"""),"FUY1")</f>
        <v>FUY1</v>
      </c>
      <c r="C49" s="82">
        <f>IFERROR(__xludf.DUMMYFUNCTION("""COMPUTED_VALUE"""),34.0)</f>
        <v>34</v>
      </c>
      <c r="D49" s="88" t="str">
        <f>IFERROR(__xludf.DUMMYFUNCTION("""COMPUTED_VALUE"""),"Unknown Coordinates X-A")</f>
        <v>Unknown Coordinates X-A</v>
      </c>
      <c r="E49" s="82" t="str">
        <f>IFERROR(__xludf.DUMMYFUNCTION("""COMPUTED_VALUE"""),"X-A（屋敷跡）")</f>
        <v>X-A（屋敷跡）</v>
      </c>
      <c r="F49" s="102">
        <f>IFERROR(__xludf.DUMMYFUNCTION("""COMPUTED_VALUE"""),3.0)</f>
        <v>3</v>
      </c>
      <c r="G49" s="82">
        <f>IFERROR(__xludf.DUMMYFUNCTION("""COMPUTED_VALUE"""),636087.0)</f>
        <v>636087</v>
      </c>
      <c r="H49" s="231" t="str">
        <f>IFERROR(__xludf.DUMMYFUNCTION("""COMPUTED_VALUE"""),"")</f>
        <v/>
      </c>
      <c r="I49" s="232" t="str">
        <f>IFERROR(__xludf.DUMMYFUNCTION("""COMPUTED_VALUE"""),"")</f>
        <v/>
      </c>
      <c r="J49" s="233" t="str">
        <f>IFERROR(__xludf.DUMMYFUNCTION("""COMPUTED_VALUE"""),"")</f>
        <v/>
      </c>
      <c r="K49" s="231" t="str">
        <f>IFERROR(__xludf.DUMMYFUNCTION("""COMPUTED_VALUE"""),"")</f>
        <v/>
      </c>
      <c r="L49" s="232" t="str">
        <f>IFERROR(__xludf.DUMMYFUNCTION("""COMPUTED_VALUE"""),"")</f>
        <v/>
      </c>
      <c r="M49" s="233" t="str">
        <f>IFERROR(__xludf.DUMMYFUNCTION("""COMPUTED_VALUE"""),"")</f>
        <v/>
      </c>
      <c r="N49" s="231" t="str">
        <f>IFERROR(__xludf.DUMMYFUNCTION("""COMPUTED_VALUE"""),"")</f>
        <v/>
      </c>
      <c r="O49" s="232" t="str">
        <f>IFERROR(__xludf.DUMMYFUNCTION("""COMPUTED_VALUE"""),"")</f>
        <v/>
      </c>
      <c r="P49" s="233" t="str">
        <f>IFERROR(__xludf.DUMMYFUNCTION("""COMPUTED_VALUE"""),"")</f>
        <v/>
      </c>
      <c r="Q49" s="231" t="str">
        <f>IFERROR(__xludf.DUMMYFUNCTION("""COMPUTED_VALUE"""),"")</f>
        <v/>
      </c>
      <c r="R49" s="232" t="str">
        <f>IFERROR(__xludf.DUMMYFUNCTION("""COMPUTED_VALUE"""),"")</f>
        <v/>
      </c>
      <c r="S49" s="233" t="str">
        <f>IFERROR(__xludf.DUMMYFUNCTION("""COMPUTED_VALUE"""),"")</f>
        <v/>
      </c>
      <c r="T49" s="231" t="str">
        <f>IFERROR(__xludf.DUMMYFUNCTION("""COMPUTED_VALUE"""),"")</f>
        <v/>
      </c>
      <c r="U49" s="232" t="str">
        <f>IFERROR(__xludf.DUMMYFUNCTION("""COMPUTED_VALUE"""),"")</f>
        <v/>
      </c>
      <c r="V49" s="233" t="str">
        <f>IFERROR(__xludf.DUMMYFUNCTION("""COMPUTED_VALUE"""),"")</f>
        <v/>
      </c>
      <c r="W49" s="231" t="str">
        <f>IFERROR(__xludf.DUMMYFUNCTION("""COMPUTED_VALUE"""),"")</f>
        <v/>
      </c>
      <c r="X49" s="232" t="str">
        <f>IFERROR(__xludf.DUMMYFUNCTION("""COMPUTED_VALUE"""),"")</f>
        <v/>
      </c>
      <c r="Y49" s="233" t="str">
        <f>IFERROR(__xludf.DUMMYFUNCTION("""COMPUTED_VALUE"""),"")</f>
        <v/>
      </c>
      <c r="Z49" s="231" t="str">
        <f>IFERROR(__xludf.DUMMYFUNCTION("""COMPUTED_VALUE"""),"")</f>
        <v/>
      </c>
      <c r="AA49" s="232" t="str">
        <f>IFERROR(__xludf.DUMMYFUNCTION("""COMPUTED_VALUE"""),"")</f>
        <v/>
      </c>
      <c r="AB49" s="233" t="str">
        <f>IFERROR(__xludf.DUMMYFUNCTION("""COMPUTED_VALUE"""),"")</f>
        <v/>
      </c>
      <c r="AC49" s="231" t="str">
        <f>IFERROR(__xludf.DUMMYFUNCTION("""COMPUTED_VALUE"""),"")</f>
        <v/>
      </c>
      <c r="AD49" s="232" t="str">
        <f>IFERROR(__xludf.DUMMYFUNCTION("""COMPUTED_VALUE"""),"")</f>
        <v/>
      </c>
      <c r="AE49" s="233" t="str">
        <f>IFERROR(__xludf.DUMMYFUNCTION("""COMPUTED_VALUE"""),"")</f>
        <v/>
      </c>
      <c r="AF49" s="231" t="str">
        <f>IFERROR(__xludf.DUMMYFUNCTION("""COMPUTED_VALUE"""),"")</f>
        <v/>
      </c>
      <c r="AG49" s="232" t="str">
        <f>IFERROR(__xludf.DUMMYFUNCTION("""COMPUTED_VALUE"""),"")</f>
        <v/>
      </c>
      <c r="AH49" s="233" t="str">
        <f>IFERROR(__xludf.DUMMYFUNCTION("""COMPUTED_VALUE"""),"")</f>
        <v/>
      </c>
      <c r="AI49" s="231" t="str">
        <f>IFERROR(__xludf.DUMMYFUNCTION("""COMPUTED_VALUE"""),"")</f>
        <v/>
      </c>
      <c r="AJ49" s="232" t="str">
        <f>IFERROR(__xludf.DUMMYFUNCTION("""COMPUTED_VALUE"""),"")</f>
        <v/>
      </c>
      <c r="AK49" s="233" t="str">
        <f>IFERROR(__xludf.DUMMYFUNCTION("""COMPUTED_VALUE"""),"")</f>
        <v/>
      </c>
      <c r="AL49" s="231" t="str">
        <f>IFERROR(__xludf.DUMMYFUNCTION("""COMPUTED_VALUE"""),"")</f>
        <v/>
      </c>
      <c r="AM49" s="232" t="str">
        <f>IFERROR(__xludf.DUMMYFUNCTION("""COMPUTED_VALUE"""),"")</f>
        <v/>
      </c>
      <c r="AN49" s="233" t="str">
        <f>IFERROR(__xludf.DUMMYFUNCTION("""COMPUTED_VALUE"""),"")</f>
        <v/>
      </c>
      <c r="AO49" s="231" t="str">
        <f>IFERROR(__xludf.DUMMYFUNCTION("""COMPUTED_VALUE"""),"")</f>
        <v/>
      </c>
      <c r="AP49" s="232" t="str">
        <f>IFERROR(__xludf.DUMMYFUNCTION("""COMPUTED_VALUE"""),"")</f>
        <v/>
      </c>
      <c r="AQ49" s="233" t="str">
        <f>IFERROR(__xludf.DUMMYFUNCTION("""COMPUTED_VALUE"""),"")</f>
        <v/>
      </c>
      <c r="AR49" s="231" t="str">
        <f>IFERROR(__xludf.DUMMYFUNCTION("""COMPUTED_VALUE"""),"")</f>
        <v/>
      </c>
      <c r="AS49" s="232" t="str">
        <f>IFERROR(__xludf.DUMMYFUNCTION("""COMPUTED_VALUE"""),"")</f>
        <v/>
      </c>
      <c r="AT49" s="233" t="str">
        <f>IFERROR(__xludf.DUMMYFUNCTION("""COMPUTED_VALUE"""),"")</f>
        <v/>
      </c>
      <c r="AU49" s="231">
        <f>IFERROR(__xludf.DUMMYFUNCTION("""COMPUTED_VALUE"""),7.4)</f>
        <v>7.4</v>
      </c>
      <c r="AV49" s="232" t="str">
        <f>IFERROR(__xludf.DUMMYFUNCTION("""COMPUTED_VALUE"""),"")</f>
        <v/>
      </c>
      <c r="AW49" s="233" t="str">
        <f>IFERROR(__xludf.DUMMYFUNCTION("""COMPUTED_VALUE"""),"")</f>
        <v/>
      </c>
      <c r="AX49" s="231" t="str">
        <f>IFERROR(__xludf.DUMMYFUNCTION("""COMPUTED_VALUE"""),"")</f>
        <v/>
      </c>
      <c r="AY49" s="232" t="str">
        <f>IFERROR(__xludf.DUMMYFUNCTION("""COMPUTED_VALUE"""),"")</f>
        <v/>
      </c>
      <c r="AZ49" s="233" t="str">
        <f>IFERROR(__xludf.DUMMYFUNCTION("""COMPUTED_VALUE"""),"")</f>
        <v/>
      </c>
      <c r="BA49" s="231" t="str">
        <f>IFERROR(__xludf.DUMMYFUNCTION("""COMPUTED_VALUE"""),"")</f>
        <v/>
      </c>
      <c r="BB49" s="232" t="str">
        <f>IFERROR(__xludf.DUMMYFUNCTION("""COMPUTED_VALUE"""),"")</f>
        <v/>
      </c>
      <c r="BC49" s="233" t="str">
        <f>IFERROR(__xludf.DUMMYFUNCTION("""COMPUTED_VALUE"""),"")</f>
        <v/>
      </c>
      <c r="BD49" s="231" t="str">
        <f>IFERROR(__xludf.DUMMYFUNCTION("""COMPUTED_VALUE"""),"")</f>
        <v/>
      </c>
      <c r="BE49" s="232" t="str">
        <f>IFERROR(__xludf.DUMMYFUNCTION("""COMPUTED_VALUE"""),"")</f>
        <v/>
      </c>
      <c r="BF49" s="233" t="str">
        <f>IFERROR(__xludf.DUMMYFUNCTION("""COMPUTED_VALUE"""),"")</f>
        <v/>
      </c>
      <c r="BG49" s="231" t="str">
        <f>IFERROR(__xludf.DUMMYFUNCTION("""COMPUTED_VALUE"""),"")</f>
        <v/>
      </c>
      <c r="BH49" s="232" t="str">
        <f>IFERROR(__xludf.DUMMYFUNCTION("""COMPUTED_VALUE"""),"")</f>
        <v/>
      </c>
      <c r="BI49" s="233" t="str">
        <f>IFERROR(__xludf.DUMMYFUNCTION("""COMPUTED_VALUE"""),"")</f>
        <v/>
      </c>
      <c r="BJ49" s="231" t="str">
        <f>IFERROR(__xludf.DUMMYFUNCTION("""COMPUTED_VALUE"""),"")</f>
        <v/>
      </c>
      <c r="BK49" s="232" t="str">
        <f>IFERROR(__xludf.DUMMYFUNCTION("""COMPUTED_VALUE"""),"")</f>
        <v/>
      </c>
      <c r="BL49" s="233" t="str">
        <f>IFERROR(__xludf.DUMMYFUNCTION("""COMPUTED_VALUE"""),"")</f>
        <v/>
      </c>
      <c r="BM49" s="231" t="str">
        <f>IFERROR(__xludf.DUMMYFUNCTION("""COMPUTED_VALUE"""),"")</f>
        <v/>
      </c>
      <c r="BN49" s="232" t="str">
        <f>IFERROR(__xludf.DUMMYFUNCTION("""COMPUTED_VALUE"""),"")</f>
        <v/>
      </c>
      <c r="BO49" s="233" t="str">
        <f>IFERROR(__xludf.DUMMYFUNCTION("""COMPUTED_VALUE"""),"")</f>
        <v/>
      </c>
      <c r="BP49" s="231" t="str">
        <f>IFERROR(__xludf.DUMMYFUNCTION("""COMPUTED_VALUE"""),"")</f>
        <v/>
      </c>
      <c r="BQ49" s="232">
        <f>IFERROR(__xludf.DUMMYFUNCTION("""COMPUTED_VALUE"""),14.9)</f>
        <v>14.9</v>
      </c>
      <c r="BR49" s="233" t="str">
        <f>IFERROR(__xludf.DUMMYFUNCTION("""COMPUTED_VALUE"""),"")</f>
        <v/>
      </c>
      <c r="BS49" s="231" t="str">
        <f>IFERROR(__xludf.DUMMYFUNCTION("""COMPUTED_VALUE"""),"")</f>
        <v/>
      </c>
      <c r="BT49" s="232" t="str">
        <f>IFERROR(__xludf.DUMMYFUNCTION("""COMPUTED_VALUE"""),"")</f>
        <v/>
      </c>
      <c r="BU49" s="233" t="str">
        <f>IFERROR(__xludf.DUMMYFUNCTION("""COMPUTED_VALUE"""),"")</f>
        <v/>
      </c>
      <c r="BV49" s="231" t="str">
        <f>IFERROR(__xludf.DUMMYFUNCTION("""COMPUTED_VALUE"""),"")</f>
        <v/>
      </c>
      <c r="BW49" s="232" t="str">
        <f>IFERROR(__xludf.DUMMYFUNCTION("""COMPUTED_VALUE"""),"")</f>
        <v/>
      </c>
      <c r="BX49" s="233" t="str">
        <f>IFERROR(__xludf.DUMMYFUNCTION("""COMPUTED_VALUE"""),"")</f>
        <v/>
      </c>
      <c r="BY49" s="231" t="str">
        <f>IFERROR(__xludf.DUMMYFUNCTION("""COMPUTED_VALUE"""),"")</f>
        <v/>
      </c>
      <c r="BZ49" s="232" t="str">
        <f>IFERROR(__xludf.DUMMYFUNCTION("""COMPUTED_VALUE"""),"")</f>
        <v/>
      </c>
      <c r="CA49" s="233" t="str">
        <f>IFERROR(__xludf.DUMMYFUNCTION("""COMPUTED_VALUE"""),"")</f>
        <v/>
      </c>
      <c r="CB49" s="231" t="str">
        <f>IFERROR(__xludf.DUMMYFUNCTION("""COMPUTED_VALUE"""),"")</f>
        <v/>
      </c>
      <c r="CC49" s="232" t="str">
        <f>IFERROR(__xludf.DUMMYFUNCTION("""COMPUTED_VALUE"""),"")</f>
        <v/>
      </c>
      <c r="CD49" s="233" t="str">
        <f>IFERROR(__xludf.DUMMYFUNCTION("""COMPUTED_VALUE"""),"")</f>
        <v/>
      </c>
      <c r="CE49" s="234" t="str">
        <f>IFERROR(__xludf.DUMMYFUNCTION("""COMPUTED_VALUE"""),"")</f>
        <v/>
      </c>
      <c r="CF49" s="230" t="str">
        <f>IFERROR(__xludf.DUMMYFUNCTION("""COMPUTED_VALUE"""),"")</f>
        <v/>
      </c>
      <c r="CG49" s="235" t="str">
        <f>IFERROR(__xludf.DUMMYFUNCTION("""COMPUTED_VALUE"""),"")</f>
        <v/>
      </c>
      <c r="CH49" s="234" t="str">
        <f>IFERROR(__xludf.DUMMYFUNCTION("""COMPUTED_VALUE"""),"")</f>
        <v/>
      </c>
      <c r="CI49" s="230" t="str">
        <f>IFERROR(__xludf.DUMMYFUNCTION("""COMPUTED_VALUE"""),"")</f>
        <v/>
      </c>
      <c r="CJ49" s="235" t="str">
        <f>IFERROR(__xludf.DUMMYFUNCTION("""COMPUTED_VALUE"""),"")</f>
        <v/>
      </c>
      <c r="CK49" s="95" t="str">
        <f>IFERROR(__xludf.DUMMYFUNCTION("""COMPUTED_VALUE"""),"")</f>
        <v/>
      </c>
      <c r="CL49" s="96" t="str">
        <f>IFERROR(__xludf.DUMMYFUNCTION("""COMPUTED_VALUE"""),"")</f>
        <v/>
      </c>
      <c r="CM49" s="97" t="str">
        <f>IFERROR(__xludf.DUMMYFUNCTION("""COMPUTED_VALUE"""),"")</f>
        <v/>
      </c>
      <c r="CN49" s="95" t="str">
        <f>IFERROR(__xludf.DUMMYFUNCTION("""COMPUTED_VALUE"""),"")</f>
        <v/>
      </c>
      <c r="CO49" s="96" t="str">
        <f>IFERROR(__xludf.DUMMYFUNCTION("""COMPUTED_VALUE"""),"")</f>
        <v/>
      </c>
      <c r="CP49" s="97" t="str">
        <f>IFERROR(__xludf.DUMMYFUNCTION("""COMPUTED_VALUE"""),"")</f>
        <v/>
      </c>
      <c r="CQ49" s="95" t="str">
        <f>IFERROR(__xludf.DUMMYFUNCTION("""COMPUTED_VALUE"""),"")</f>
        <v/>
      </c>
      <c r="CR49" s="96" t="str">
        <f>IFERROR(__xludf.DUMMYFUNCTION("""COMPUTED_VALUE"""),"")</f>
        <v/>
      </c>
      <c r="CS49" s="97" t="str">
        <f>IFERROR(__xludf.DUMMYFUNCTION("""COMPUTED_VALUE"""),"#REF!")</f>
        <v>#REF!</v>
      </c>
      <c r="CT49" s="95" t="str">
        <f>IFERROR(__xludf.DUMMYFUNCTION("""COMPUTED_VALUE"""),"#REF!")</f>
        <v>#REF!</v>
      </c>
      <c r="CU49" s="96" t="str">
        <f>IFERROR(__xludf.DUMMYFUNCTION("""COMPUTED_VALUE"""),"#REF!")</f>
        <v>#REF!</v>
      </c>
      <c r="CV49" s="97" t="str">
        <f>IFERROR(__xludf.DUMMYFUNCTION("""COMPUTED_VALUE"""),"#REF!")</f>
        <v>#REF!</v>
      </c>
      <c r="CW49" s="95" t="str">
        <f>IFERROR(__xludf.DUMMYFUNCTION("""COMPUTED_VALUE"""),"#REF!")</f>
        <v>#REF!</v>
      </c>
      <c r="CX49" s="96" t="str">
        <f>IFERROR(__xludf.DUMMYFUNCTION("""COMPUTED_VALUE"""),"#REF!")</f>
        <v>#REF!</v>
      </c>
      <c r="CY49" s="97" t="str">
        <f>IFERROR(__xludf.DUMMYFUNCTION("""COMPUTED_VALUE"""),"#REF!")</f>
        <v>#REF!</v>
      </c>
      <c r="CZ49" s="95" t="str">
        <f>IFERROR(__xludf.DUMMYFUNCTION("""COMPUTED_VALUE"""),"#REF!")</f>
        <v>#REF!</v>
      </c>
      <c r="DA49" s="96" t="str">
        <f>IFERROR(__xludf.DUMMYFUNCTION("""COMPUTED_VALUE"""),"#REF!")</f>
        <v>#REF!</v>
      </c>
      <c r="DB49" s="97" t="str">
        <f>IFERROR(__xludf.DUMMYFUNCTION("""COMPUTED_VALUE"""),"#REF!")</f>
        <v>#REF!</v>
      </c>
      <c r="DC49" s="95" t="str">
        <f>IFERROR(__xludf.DUMMYFUNCTION("""COMPUTED_VALUE"""),"#REF!")</f>
        <v>#REF!</v>
      </c>
      <c r="DD49" s="96" t="str">
        <f>IFERROR(__xludf.DUMMYFUNCTION("""COMPUTED_VALUE"""),"#REF!")</f>
        <v>#REF!</v>
      </c>
      <c r="DE49" s="97" t="str">
        <f>IFERROR(__xludf.DUMMYFUNCTION("""COMPUTED_VALUE"""),"#REF!")</f>
        <v>#REF!</v>
      </c>
      <c r="DF49" s="95" t="str">
        <f>IFERROR(__xludf.DUMMYFUNCTION("""COMPUTED_VALUE"""),"#REF!")</f>
        <v>#REF!</v>
      </c>
      <c r="DG49" s="96" t="str">
        <f>IFERROR(__xludf.DUMMYFUNCTION("""COMPUTED_VALUE"""),"#REF!")</f>
        <v>#REF!</v>
      </c>
      <c r="DH49" s="97" t="str">
        <f>IFERROR(__xludf.DUMMYFUNCTION("""COMPUTED_VALUE"""),"#REF!")</f>
        <v>#REF!</v>
      </c>
      <c r="DI49" s="95" t="str">
        <f>IFERROR(__xludf.DUMMYFUNCTION("""COMPUTED_VALUE"""),"#REF!")</f>
        <v>#REF!</v>
      </c>
      <c r="DJ49" s="96" t="str">
        <f>IFERROR(__xludf.DUMMYFUNCTION("""COMPUTED_VALUE"""),"#REF!")</f>
        <v>#REF!</v>
      </c>
      <c r="DK49" s="97" t="str">
        <f>IFERROR(__xludf.DUMMYFUNCTION("""COMPUTED_VALUE"""),"#REF!")</f>
        <v>#REF!</v>
      </c>
      <c r="DL49" s="95" t="str">
        <f>IFERROR(__xludf.DUMMYFUNCTION("""COMPUTED_VALUE"""),"#REF!")</f>
        <v>#REF!</v>
      </c>
      <c r="DM49" s="96" t="str">
        <f>IFERROR(__xludf.DUMMYFUNCTION("""COMPUTED_VALUE"""),"#REF!")</f>
        <v>#REF!</v>
      </c>
      <c r="DN49" s="97" t="str">
        <f>IFERROR(__xludf.DUMMYFUNCTION("""COMPUTED_VALUE"""),"#REF!")</f>
        <v>#REF!</v>
      </c>
      <c r="DO49" s="95" t="str">
        <f>IFERROR(__xludf.DUMMYFUNCTION("""COMPUTED_VALUE"""),"#REF!")</f>
        <v>#REF!</v>
      </c>
      <c r="DP49" s="96" t="str">
        <f>IFERROR(__xludf.DUMMYFUNCTION("""COMPUTED_VALUE"""),"#REF!")</f>
        <v>#REF!</v>
      </c>
      <c r="DQ49" s="97"/>
      <c r="DR49" s="95"/>
    </row>
    <row r="50">
      <c r="B50" s="83" t="str">
        <f>IFERROR(__xludf.DUMMYFUNCTION("""COMPUTED_VALUE"""),"FUY2")</f>
        <v>FUY2</v>
      </c>
      <c r="C50" s="82">
        <f>IFERROR(__xludf.DUMMYFUNCTION("""COMPUTED_VALUE"""),35.0)</f>
        <v>35</v>
      </c>
      <c r="D50" s="88" t="str">
        <f>IFERROR(__xludf.DUMMYFUNCTION("""COMPUTED_VALUE"""),"Unknown Coordinates X-B")</f>
        <v>Unknown Coordinates X-B</v>
      </c>
      <c r="E50" s="82" t="str">
        <f>IFERROR(__xludf.DUMMYFUNCTION("""COMPUTED_VALUE"""),"X-B（爆心地）")</f>
        <v>X-B（爆心地）</v>
      </c>
      <c r="F50" s="102">
        <f>IFERROR(__xludf.DUMMYFUNCTION("""COMPUTED_VALUE"""),4.0)</f>
        <v>4</v>
      </c>
      <c r="G50" s="82">
        <f>IFERROR(__xludf.DUMMYFUNCTION("""COMPUTED_VALUE"""),2479.0)</f>
        <v>2479</v>
      </c>
      <c r="H50" s="231" t="str">
        <f>IFERROR(__xludf.DUMMYFUNCTION("""COMPUTED_VALUE"""),"")</f>
        <v/>
      </c>
      <c r="I50" s="232" t="str">
        <f>IFERROR(__xludf.DUMMYFUNCTION("""COMPUTED_VALUE"""),"")</f>
        <v/>
      </c>
      <c r="J50" s="233" t="str">
        <f>IFERROR(__xludf.DUMMYFUNCTION("""COMPUTED_VALUE"""),"")</f>
        <v/>
      </c>
      <c r="K50" s="231" t="str">
        <f>IFERROR(__xludf.DUMMYFUNCTION("""COMPUTED_VALUE"""),"")</f>
        <v/>
      </c>
      <c r="L50" s="232" t="str">
        <f>IFERROR(__xludf.DUMMYFUNCTION("""COMPUTED_VALUE"""),"")</f>
        <v/>
      </c>
      <c r="M50" s="233" t="str">
        <f>IFERROR(__xludf.DUMMYFUNCTION("""COMPUTED_VALUE"""),"")</f>
        <v/>
      </c>
      <c r="N50" s="231" t="str">
        <f>IFERROR(__xludf.DUMMYFUNCTION("""COMPUTED_VALUE"""),"")</f>
        <v/>
      </c>
      <c r="O50" s="232" t="str">
        <f>IFERROR(__xludf.DUMMYFUNCTION("""COMPUTED_VALUE"""),"")</f>
        <v/>
      </c>
      <c r="P50" s="233" t="str">
        <f>IFERROR(__xludf.DUMMYFUNCTION("""COMPUTED_VALUE"""),"")</f>
        <v/>
      </c>
      <c r="Q50" s="231" t="str">
        <f>IFERROR(__xludf.DUMMYFUNCTION("""COMPUTED_VALUE"""),"")</f>
        <v/>
      </c>
      <c r="R50" s="232" t="str">
        <f>IFERROR(__xludf.DUMMYFUNCTION("""COMPUTED_VALUE"""),"")</f>
        <v/>
      </c>
      <c r="S50" s="233" t="str">
        <f>IFERROR(__xludf.DUMMYFUNCTION("""COMPUTED_VALUE"""),"")</f>
        <v/>
      </c>
      <c r="T50" s="231" t="str">
        <f>IFERROR(__xludf.DUMMYFUNCTION("""COMPUTED_VALUE"""),"")</f>
        <v/>
      </c>
      <c r="U50" s="232" t="str">
        <f>IFERROR(__xludf.DUMMYFUNCTION("""COMPUTED_VALUE"""),"")</f>
        <v/>
      </c>
      <c r="V50" s="233" t="str">
        <f>IFERROR(__xludf.DUMMYFUNCTION("""COMPUTED_VALUE"""),"")</f>
        <v/>
      </c>
      <c r="W50" s="231" t="str">
        <f>IFERROR(__xludf.DUMMYFUNCTION("""COMPUTED_VALUE"""),"")</f>
        <v/>
      </c>
      <c r="X50" s="232" t="str">
        <f>IFERROR(__xludf.DUMMYFUNCTION("""COMPUTED_VALUE"""),"")</f>
        <v/>
      </c>
      <c r="Y50" s="233" t="str">
        <f>IFERROR(__xludf.DUMMYFUNCTION("""COMPUTED_VALUE"""),"")</f>
        <v/>
      </c>
      <c r="Z50" s="231" t="str">
        <f>IFERROR(__xludf.DUMMYFUNCTION("""COMPUTED_VALUE"""),"")</f>
        <v/>
      </c>
      <c r="AA50" s="232" t="str">
        <f>IFERROR(__xludf.DUMMYFUNCTION("""COMPUTED_VALUE"""),"")</f>
        <v/>
      </c>
      <c r="AB50" s="233" t="str">
        <f>IFERROR(__xludf.DUMMYFUNCTION("""COMPUTED_VALUE"""),"")</f>
        <v/>
      </c>
      <c r="AC50" s="231" t="str">
        <f>IFERROR(__xludf.DUMMYFUNCTION("""COMPUTED_VALUE"""),"")</f>
        <v/>
      </c>
      <c r="AD50" s="232" t="str">
        <f>IFERROR(__xludf.DUMMYFUNCTION("""COMPUTED_VALUE"""),"")</f>
        <v/>
      </c>
      <c r="AE50" s="233" t="str">
        <f>IFERROR(__xludf.DUMMYFUNCTION("""COMPUTED_VALUE"""),"")</f>
        <v/>
      </c>
      <c r="AF50" s="231" t="str">
        <f>IFERROR(__xludf.DUMMYFUNCTION("""COMPUTED_VALUE"""),"")</f>
        <v/>
      </c>
      <c r="AG50" s="232" t="str">
        <f>IFERROR(__xludf.DUMMYFUNCTION("""COMPUTED_VALUE"""),"")</f>
        <v/>
      </c>
      <c r="AH50" s="233" t="str">
        <f>IFERROR(__xludf.DUMMYFUNCTION("""COMPUTED_VALUE"""),"")</f>
        <v/>
      </c>
      <c r="AI50" s="231" t="str">
        <f>IFERROR(__xludf.DUMMYFUNCTION("""COMPUTED_VALUE"""),"")</f>
        <v/>
      </c>
      <c r="AJ50" s="232" t="str">
        <f>IFERROR(__xludf.DUMMYFUNCTION("""COMPUTED_VALUE"""),"")</f>
        <v/>
      </c>
      <c r="AK50" s="233" t="str">
        <f>IFERROR(__xludf.DUMMYFUNCTION("""COMPUTED_VALUE"""),"")</f>
        <v/>
      </c>
      <c r="AL50" s="231" t="str">
        <f>IFERROR(__xludf.DUMMYFUNCTION("""COMPUTED_VALUE"""),"")</f>
        <v/>
      </c>
      <c r="AM50" s="232" t="str">
        <f>IFERROR(__xludf.DUMMYFUNCTION("""COMPUTED_VALUE"""),"")</f>
        <v/>
      </c>
      <c r="AN50" s="233" t="str">
        <f>IFERROR(__xludf.DUMMYFUNCTION("""COMPUTED_VALUE"""),"")</f>
        <v/>
      </c>
      <c r="AO50" s="231" t="str">
        <f>IFERROR(__xludf.DUMMYFUNCTION("""COMPUTED_VALUE"""),"")</f>
        <v/>
      </c>
      <c r="AP50" s="232" t="str">
        <f>IFERROR(__xludf.DUMMYFUNCTION("""COMPUTED_VALUE"""),"")</f>
        <v/>
      </c>
      <c r="AQ50" s="233" t="str">
        <f>IFERROR(__xludf.DUMMYFUNCTION("""COMPUTED_VALUE"""),"")</f>
        <v/>
      </c>
      <c r="AR50" s="231" t="str">
        <f>IFERROR(__xludf.DUMMYFUNCTION("""COMPUTED_VALUE"""),"")</f>
        <v/>
      </c>
      <c r="AS50" s="232" t="str">
        <f>IFERROR(__xludf.DUMMYFUNCTION("""COMPUTED_VALUE"""),"")</f>
        <v/>
      </c>
      <c r="AT50" s="233" t="str">
        <f>IFERROR(__xludf.DUMMYFUNCTION("""COMPUTED_VALUE"""),"")</f>
        <v/>
      </c>
      <c r="AU50" s="231">
        <f>IFERROR(__xludf.DUMMYFUNCTION("""COMPUTED_VALUE"""),13.8)</f>
        <v>13.8</v>
      </c>
      <c r="AV50" s="232" t="str">
        <f>IFERROR(__xludf.DUMMYFUNCTION("""COMPUTED_VALUE"""),"")</f>
        <v/>
      </c>
      <c r="AW50" s="233" t="str">
        <f>IFERROR(__xludf.DUMMYFUNCTION("""COMPUTED_VALUE"""),"")</f>
        <v/>
      </c>
      <c r="AX50" s="231" t="str">
        <f>IFERROR(__xludf.DUMMYFUNCTION("""COMPUTED_VALUE"""),"")</f>
        <v/>
      </c>
      <c r="AY50" s="232" t="str">
        <f>IFERROR(__xludf.DUMMYFUNCTION("""COMPUTED_VALUE"""),"")</f>
        <v/>
      </c>
      <c r="AZ50" s="233" t="str">
        <f>IFERROR(__xludf.DUMMYFUNCTION("""COMPUTED_VALUE"""),"")</f>
        <v/>
      </c>
      <c r="BA50" s="231" t="str">
        <f>IFERROR(__xludf.DUMMYFUNCTION("""COMPUTED_VALUE"""),"")</f>
        <v/>
      </c>
      <c r="BB50" s="232" t="str">
        <f>IFERROR(__xludf.DUMMYFUNCTION("""COMPUTED_VALUE"""),"")</f>
        <v/>
      </c>
      <c r="BC50" s="233" t="str">
        <f>IFERROR(__xludf.DUMMYFUNCTION("""COMPUTED_VALUE"""),"")</f>
        <v/>
      </c>
      <c r="BD50" s="231" t="str">
        <f>IFERROR(__xludf.DUMMYFUNCTION("""COMPUTED_VALUE"""),"")</f>
        <v/>
      </c>
      <c r="BE50" s="232" t="str">
        <f>IFERROR(__xludf.DUMMYFUNCTION("""COMPUTED_VALUE"""),"")</f>
        <v/>
      </c>
      <c r="BF50" s="233" t="str">
        <f>IFERROR(__xludf.DUMMYFUNCTION("""COMPUTED_VALUE"""),"")</f>
        <v/>
      </c>
      <c r="BG50" s="231" t="str">
        <f>IFERROR(__xludf.DUMMYFUNCTION("""COMPUTED_VALUE"""),"")</f>
        <v/>
      </c>
      <c r="BH50" s="232" t="str">
        <f>IFERROR(__xludf.DUMMYFUNCTION("""COMPUTED_VALUE"""),"")</f>
        <v/>
      </c>
      <c r="BI50" s="233" t="str">
        <f>IFERROR(__xludf.DUMMYFUNCTION("""COMPUTED_VALUE"""),"")</f>
        <v/>
      </c>
      <c r="BJ50" s="231" t="str">
        <f>IFERROR(__xludf.DUMMYFUNCTION("""COMPUTED_VALUE"""),"")</f>
        <v/>
      </c>
      <c r="BK50" s="232" t="str">
        <f>IFERROR(__xludf.DUMMYFUNCTION("""COMPUTED_VALUE"""),"")</f>
        <v/>
      </c>
      <c r="BL50" s="233" t="str">
        <f>IFERROR(__xludf.DUMMYFUNCTION("""COMPUTED_VALUE"""),"")</f>
        <v/>
      </c>
      <c r="BM50" s="231" t="str">
        <f>IFERROR(__xludf.DUMMYFUNCTION("""COMPUTED_VALUE"""),"")</f>
        <v/>
      </c>
      <c r="BN50" s="232" t="str">
        <f>IFERROR(__xludf.DUMMYFUNCTION("""COMPUTED_VALUE"""),"")</f>
        <v/>
      </c>
      <c r="BO50" s="233" t="str">
        <f>IFERROR(__xludf.DUMMYFUNCTION("""COMPUTED_VALUE"""),"")</f>
        <v/>
      </c>
      <c r="BP50" s="231" t="str">
        <f>IFERROR(__xludf.DUMMYFUNCTION("""COMPUTED_VALUE"""),"")</f>
        <v/>
      </c>
      <c r="BQ50" s="232">
        <f>IFERROR(__xludf.DUMMYFUNCTION("""COMPUTED_VALUE"""),14.1)</f>
        <v>14.1</v>
      </c>
      <c r="BR50" s="233" t="str">
        <f>IFERROR(__xludf.DUMMYFUNCTION("""COMPUTED_VALUE"""),"")</f>
        <v/>
      </c>
      <c r="BS50" s="231">
        <f>IFERROR(__xludf.DUMMYFUNCTION("""COMPUTED_VALUE"""),10.4)</f>
        <v>10.4</v>
      </c>
      <c r="BT50" s="232" t="str">
        <f>IFERROR(__xludf.DUMMYFUNCTION("""COMPUTED_VALUE"""),"")</f>
        <v/>
      </c>
      <c r="BU50" s="233" t="str">
        <f>IFERROR(__xludf.DUMMYFUNCTION("""COMPUTED_VALUE"""),"")</f>
        <v/>
      </c>
      <c r="BV50" s="231" t="str">
        <f>IFERROR(__xludf.DUMMYFUNCTION("""COMPUTED_VALUE"""),"")</f>
        <v/>
      </c>
      <c r="BW50" s="232" t="str">
        <f>IFERROR(__xludf.DUMMYFUNCTION("""COMPUTED_VALUE"""),"")</f>
        <v/>
      </c>
      <c r="BX50" s="233" t="str">
        <f>IFERROR(__xludf.DUMMYFUNCTION("""COMPUTED_VALUE"""),"")</f>
        <v/>
      </c>
      <c r="BY50" s="231" t="str">
        <f>IFERROR(__xludf.DUMMYFUNCTION("""COMPUTED_VALUE"""),"")</f>
        <v/>
      </c>
      <c r="BZ50" s="232" t="str">
        <f>IFERROR(__xludf.DUMMYFUNCTION("""COMPUTED_VALUE"""),"")</f>
        <v/>
      </c>
      <c r="CA50" s="233" t="str">
        <f>IFERROR(__xludf.DUMMYFUNCTION("""COMPUTED_VALUE"""),"")</f>
        <v/>
      </c>
      <c r="CB50" s="231" t="str">
        <f>IFERROR(__xludf.DUMMYFUNCTION("""COMPUTED_VALUE"""),"")</f>
        <v/>
      </c>
      <c r="CC50" s="232" t="str">
        <f>IFERROR(__xludf.DUMMYFUNCTION("""COMPUTED_VALUE"""),"")</f>
        <v/>
      </c>
      <c r="CD50" s="233" t="str">
        <f>IFERROR(__xludf.DUMMYFUNCTION("""COMPUTED_VALUE"""),"")</f>
        <v/>
      </c>
      <c r="CE50" s="234" t="str">
        <f>IFERROR(__xludf.DUMMYFUNCTION("""COMPUTED_VALUE"""),"")</f>
        <v/>
      </c>
      <c r="CF50" s="230" t="str">
        <f>IFERROR(__xludf.DUMMYFUNCTION("""COMPUTED_VALUE"""),"")</f>
        <v/>
      </c>
      <c r="CG50" s="235" t="str">
        <f>IFERROR(__xludf.DUMMYFUNCTION("""COMPUTED_VALUE"""),"")</f>
        <v/>
      </c>
      <c r="CH50" s="234" t="str">
        <f>IFERROR(__xludf.DUMMYFUNCTION("""COMPUTED_VALUE"""),"")</f>
        <v/>
      </c>
      <c r="CI50" s="230" t="str">
        <f>IFERROR(__xludf.DUMMYFUNCTION("""COMPUTED_VALUE"""),"")</f>
        <v/>
      </c>
      <c r="CJ50" s="235" t="str">
        <f>IFERROR(__xludf.DUMMYFUNCTION("""COMPUTED_VALUE"""),"")</f>
        <v/>
      </c>
      <c r="CK50" s="95" t="str">
        <f>IFERROR(__xludf.DUMMYFUNCTION("""COMPUTED_VALUE"""),"")</f>
        <v/>
      </c>
      <c r="CL50" s="96" t="str">
        <f>IFERROR(__xludf.DUMMYFUNCTION("""COMPUTED_VALUE"""),"")</f>
        <v/>
      </c>
      <c r="CM50" s="97" t="str">
        <f>IFERROR(__xludf.DUMMYFUNCTION("""COMPUTED_VALUE"""),"")</f>
        <v/>
      </c>
      <c r="CN50" s="95" t="str">
        <f>IFERROR(__xludf.DUMMYFUNCTION("""COMPUTED_VALUE"""),"")</f>
        <v/>
      </c>
      <c r="CO50" s="96" t="str">
        <f>IFERROR(__xludf.DUMMYFUNCTION("""COMPUTED_VALUE"""),"")</f>
        <v/>
      </c>
      <c r="CP50" s="97" t="str">
        <f>IFERROR(__xludf.DUMMYFUNCTION("""COMPUTED_VALUE"""),"")</f>
        <v/>
      </c>
      <c r="CQ50" s="95" t="str">
        <f>IFERROR(__xludf.DUMMYFUNCTION("""COMPUTED_VALUE"""),"")</f>
        <v/>
      </c>
      <c r="CR50" s="96" t="str">
        <f>IFERROR(__xludf.DUMMYFUNCTION("""COMPUTED_VALUE"""),"")</f>
        <v/>
      </c>
      <c r="CS50" s="97" t="str">
        <f>IFERROR(__xludf.DUMMYFUNCTION("""COMPUTED_VALUE"""),"#REF!")</f>
        <v>#REF!</v>
      </c>
      <c r="CT50" s="95" t="str">
        <f>IFERROR(__xludf.DUMMYFUNCTION("""COMPUTED_VALUE"""),"#REF!")</f>
        <v>#REF!</v>
      </c>
      <c r="CU50" s="96" t="str">
        <f>IFERROR(__xludf.DUMMYFUNCTION("""COMPUTED_VALUE"""),"#REF!")</f>
        <v>#REF!</v>
      </c>
      <c r="CV50" s="97" t="str">
        <f>IFERROR(__xludf.DUMMYFUNCTION("""COMPUTED_VALUE"""),"#REF!")</f>
        <v>#REF!</v>
      </c>
      <c r="CW50" s="95" t="str">
        <f>IFERROR(__xludf.DUMMYFUNCTION("""COMPUTED_VALUE"""),"#REF!")</f>
        <v>#REF!</v>
      </c>
      <c r="CX50" s="96" t="str">
        <f>IFERROR(__xludf.DUMMYFUNCTION("""COMPUTED_VALUE"""),"#REF!")</f>
        <v>#REF!</v>
      </c>
      <c r="CY50" s="97" t="str">
        <f>IFERROR(__xludf.DUMMYFUNCTION("""COMPUTED_VALUE"""),"#REF!")</f>
        <v>#REF!</v>
      </c>
      <c r="CZ50" s="95" t="str">
        <f>IFERROR(__xludf.DUMMYFUNCTION("""COMPUTED_VALUE"""),"#REF!")</f>
        <v>#REF!</v>
      </c>
      <c r="DA50" s="96" t="str">
        <f>IFERROR(__xludf.DUMMYFUNCTION("""COMPUTED_VALUE"""),"#REF!")</f>
        <v>#REF!</v>
      </c>
      <c r="DB50" s="97" t="str">
        <f>IFERROR(__xludf.DUMMYFUNCTION("""COMPUTED_VALUE"""),"#REF!")</f>
        <v>#REF!</v>
      </c>
      <c r="DC50" s="95" t="str">
        <f>IFERROR(__xludf.DUMMYFUNCTION("""COMPUTED_VALUE"""),"#REF!")</f>
        <v>#REF!</v>
      </c>
      <c r="DD50" s="96" t="str">
        <f>IFERROR(__xludf.DUMMYFUNCTION("""COMPUTED_VALUE"""),"#REF!")</f>
        <v>#REF!</v>
      </c>
      <c r="DE50" s="97" t="str">
        <f>IFERROR(__xludf.DUMMYFUNCTION("""COMPUTED_VALUE"""),"#REF!")</f>
        <v>#REF!</v>
      </c>
      <c r="DF50" s="95" t="str">
        <f>IFERROR(__xludf.DUMMYFUNCTION("""COMPUTED_VALUE"""),"#REF!")</f>
        <v>#REF!</v>
      </c>
      <c r="DG50" s="96" t="str">
        <f>IFERROR(__xludf.DUMMYFUNCTION("""COMPUTED_VALUE"""),"#REF!")</f>
        <v>#REF!</v>
      </c>
      <c r="DH50" s="97" t="str">
        <f>IFERROR(__xludf.DUMMYFUNCTION("""COMPUTED_VALUE"""),"#REF!")</f>
        <v>#REF!</v>
      </c>
      <c r="DI50" s="95" t="str">
        <f>IFERROR(__xludf.DUMMYFUNCTION("""COMPUTED_VALUE"""),"#REF!")</f>
        <v>#REF!</v>
      </c>
      <c r="DJ50" s="96" t="str">
        <f>IFERROR(__xludf.DUMMYFUNCTION("""COMPUTED_VALUE"""),"#REF!")</f>
        <v>#REF!</v>
      </c>
      <c r="DK50" s="97" t="str">
        <f>IFERROR(__xludf.DUMMYFUNCTION("""COMPUTED_VALUE"""),"#REF!")</f>
        <v>#REF!</v>
      </c>
      <c r="DL50" s="95" t="str">
        <f>IFERROR(__xludf.DUMMYFUNCTION("""COMPUTED_VALUE"""),"#REF!")</f>
        <v>#REF!</v>
      </c>
      <c r="DM50" s="96" t="str">
        <f>IFERROR(__xludf.DUMMYFUNCTION("""COMPUTED_VALUE"""),"#REF!")</f>
        <v>#REF!</v>
      </c>
      <c r="DN50" s="97" t="str">
        <f>IFERROR(__xludf.DUMMYFUNCTION("""COMPUTED_VALUE"""),"#REF!")</f>
        <v>#REF!</v>
      </c>
      <c r="DO50" s="95" t="str">
        <f>IFERROR(__xludf.DUMMYFUNCTION("""COMPUTED_VALUE"""),"#REF!")</f>
        <v>#REF!</v>
      </c>
      <c r="DP50" s="96" t="str">
        <f>IFERROR(__xludf.DUMMYFUNCTION("""COMPUTED_VALUE"""),"#REF!")</f>
        <v>#REF!</v>
      </c>
      <c r="DQ50" s="97"/>
      <c r="DR50" s="95"/>
    </row>
    <row r="51">
      <c r="B51" s="83" t="str">
        <f>IFERROR(__xludf.DUMMYFUNCTION("""COMPUTED_VALUE"""),"FUY3")</f>
        <v>FUY3</v>
      </c>
      <c r="C51" s="82">
        <f>IFERROR(__xludf.DUMMYFUNCTION("""COMPUTED_VALUE"""),36.0)</f>
        <v>36</v>
      </c>
      <c r="D51" s="88" t="str">
        <f>IFERROR(__xludf.DUMMYFUNCTION("""COMPUTED_VALUE"""),"Unknown Coordinates X-C")</f>
        <v>Unknown Coordinates X-C</v>
      </c>
      <c r="E51" s="82" t="str">
        <f>IFERROR(__xludf.DUMMYFUNCTION("""COMPUTED_VALUE"""),"X-C（大橋）")</f>
        <v>X-C（大橋）</v>
      </c>
      <c r="F51" s="102">
        <f>IFERROR(__xludf.DUMMYFUNCTION("""COMPUTED_VALUE"""),4.0)</f>
        <v>4</v>
      </c>
      <c r="G51" s="82">
        <f>IFERROR(__xludf.DUMMYFUNCTION("""COMPUTED_VALUE"""),58841.0)</f>
        <v>58841</v>
      </c>
      <c r="H51" s="231" t="str">
        <f>IFERROR(__xludf.DUMMYFUNCTION("""COMPUTED_VALUE"""),"")</f>
        <v/>
      </c>
      <c r="I51" s="232" t="str">
        <f>IFERROR(__xludf.DUMMYFUNCTION("""COMPUTED_VALUE"""),"")</f>
        <v/>
      </c>
      <c r="J51" s="233" t="str">
        <f>IFERROR(__xludf.DUMMYFUNCTION("""COMPUTED_VALUE"""),"")</f>
        <v/>
      </c>
      <c r="K51" s="231" t="str">
        <f>IFERROR(__xludf.DUMMYFUNCTION("""COMPUTED_VALUE"""),"")</f>
        <v/>
      </c>
      <c r="L51" s="232" t="str">
        <f>IFERROR(__xludf.DUMMYFUNCTION("""COMPUTED_VALUE"""),"")</f>
        <v/>
      </c>
      <c r="M51" s="233" t="str">
        <f>IFERROR(__xludf.DUMMYFUNCTION("""COMPUTED_VALUE"""),"")</f>
        <v/>
      </c>
      <c r="N51" s="231" t="str">
        <f>IFERROR(__xludf.DUMMYFUNCTION("""COMPUTED_VALUE"""),"")</f>
        <v/>
      </c>
      <c r="O51" s="232" t="str">
        <f>IFERROR(__xludf.DUMMYFUNCTION("""COMPUTED_VALUE"""),"")</f>
        <v/>
      </c>
      <c r="P51" s="233" t="str">
        <f>IFERROR(__xludf.DUMMYFUNCTION("""COMPUTED_VALUE"""),"")</f>
        <v/>
      </c>
      <c r="Q51" s="231" t="str">
        <f>IFERROR(__xludf.DUMMYFUNCTION("""COMPUTED_VALUE"""),"")</f>
        <v/>
      </c>
      <c r="R51" s="232" t="str">
        <f>IFERROR(__xludf.DUMMYFUNCTION("""COMPUTED_VALUE"""),"")</f>
        <v/>
      </c>
      <c r="S51" s="233" t="str">
        <f>IFERROR(__xludf.DUMMYFUNCTION("""COMPUTED_VALUE"""),"")</f>
        <v/>
      </c>
      <c r="T51" s="231" t="str">
        <f>IFERROR(__xludf.DUMMYFUNCTION("""COMPUTED_VALUE"""),"")</f>
        <v/>
      </c>
      <c r="U51" s="232" t="str">
        <f>IFERROR(__xludf.DUMMYFUNCTION("""COMPUTED_VALUE"""),"")</f>
        <v/>
      </c>
      <c r="V51" s="233" t="str">
        <f>IFERROR(__xludf.DUMMYFUNCTION("""COMPUTED_VALUE"""),"")</f>
        <v/>
      </c>
      <c r="W51" s="231" t="str">
        <f>IFERROR(__xludf.DUMMYFUNCTION("""COMPUTED_VALUE"""),"")</f>
        <v/>
      </c>
      <c r="X51" s="232" t="str">
        <f>IFERROR(__xludf.DUMMYFUNCTION("""COMPUTED_VALUE"""),"")</f>
        <v/>
      </c>
      <c r="Y51" s="233" t="str">
        <f>IFERROR(__xludf.DUMMYFUNCTION("""COMPUTED_VALUE"""),"")</f>
        <v/>
      </c>
      <c r="Z51" s="231" t="str">
        <f>IFERROR(__xludf.DUMMYFUNCTION("""COMPUTED_VALUE"""),"")</f>
        <v/>
      </c>
      <c r="AA51" s="232" t="str">
        <f>IFERROR(__xludf.DUMMYFUNCTION("""COMPUTED_VALUE"""),"")</f>
        <v/>
      </c>
      <c r="AB51" s="233" t="str">
        <f>IFERROR(__xludf.DUMMYFUNCTION("""COMPUTED_VALUE"""),"")</f>
        <v/>
      </c>
      <c r="AC51" s="231" t="str">
        <f>IFERROR(__xludf.DUMMYFUNCTION("""COMPUTED_VALUE"""),"")</f>
        <v/>
      </c>
      <c r="AD51" s="232" t="str">
        <f>IFERROR(__xludf.DUMMYFUNCTION("""COMPUTED_VALUE"""),"")</f>
        <v/>
      </c>
      <c r="AE51" s="233" t="str">
        <f>IFERROR(__xludf.DUMMYFUNCTION("""COMPUTED_VALUE"""),"")</f>
        <v/>
      </c>
      <c r="AF51" s="231" t="str">
        <f>IFERROR(__xludf.DUMMYFUNCTION("""COMPUTED_VALUE"""),"")</f>
        <v/>
      </c>
      <c r="AG51" s="232" t="str">
        <f>IFERROR(__xludf.DUMMYFUNCTION("""COMPUTED_VALUE"""),"")</f>
        <v/>
      </c>
      <c r="AH51" s="233" t="str">
        <f>IFERROR(__xludf.DUMMYFUNCTION("""COMPUTED_VALUE"""),"")</f>
        <v/>
      </c>
      <c r="AI51" s="231" t="str">
        <f>IFERROR(__xludf.DUMMYFUNCTION("""COMPUTED_VALUE"""),"")</f>
        <v/>
      </c>
      <c r="AJ51" s="232" t="str">
        <f>IFERROR(__xludf.DUMMYFUNCTION("""COMPUTED_VALUE"""),"")</f>
        <v/>
      </c>
      <c r="AK51" s="233" t="str">
        <f>IFERROR(__xludf.DUMMYFUNCTION("""COMPUTED_VALUE"""),"")</f>
        <v/>
      </c>
      <c r="AL51" s="231" t="str">
        <f>IFERROR(__xludf.DUMMYFUNCTION("""COMPUTED_VALUE"""),"")</f>
        <v/>
      </c>
      <c r="AM51" s="232" t="str">
        <f>IFERROR(__xludf.DUMMYFUNCTION("""COMPUTED_VALUE"""),"")</f>
        <v/>
      </c>
      <c r="AN51" s="233" t="str">
        <f>IFERROR(__xludf.DUMMYFUNCTION("""COMPUTED_VALUE"""),"")</f>
        <v/>
      </c>
      <c r="AO51" s="231" t="str">
        <f>IFERROR(__xludf.DUMMYFUNCTION("""COMPUTED_VALUE"""),"")</f>
        <v/>
      </c>
      <c r="AP51" s="232" t="str">
        <f>IFERROR(__xludf.DUMMYFUNCTION("""COMPUTED_VALUE"""),"")</f>
        <v/>
      </c>
      <c r="AQ51" s="233" t="str">
        <f>IFERROR(__xludf.DUMMYFUNCTION("""COMPUTED_VALUE"""),"")</f>
        <v/>
      </c>
      <c r="AR51" s="231" t="str">
        <f>IFERROR(__xludf.DUMMYFUNCTION("""COMPUTED_VALUE"""),"")</f>
        <v/>
      </c>
      <c r="AS51" s="232" t="str">
        <f>IFERROR(__xludf.DUMMYFUNCTION("""COMPUTED_VALUE"""),"")</f>
        <v/>
      </c>
      <c r="AT51" s="233" t="str">
        <f>IFERROR(__xludf.DUMMYFUNCTION("""COMPUTED_VALUE"""),"")</f>
        <v/>
      </c>
      <c r="AU51" s="231">
        <f>IFERROR(__xludf.DUMMYFUNCTION("""COMPUTED_VALUE"""),17.9)</f>
        <v>17.9</v>
      </c>
      <c r="AV51" s="232" t="str">
        <f>IFERROR(__xludf.DUMMYFUNCTION("""COMPUTED_VALUE"""),"")</f>
        <v/>
      </c>
      <c r="AW51" s="233" t="str">
        <f>IFERROR(__xludf.DUMMYFUNCTION("""COMPUTED_VALUE"""),"")</f>
        <v/>
      </c>
      <c r="AX51" s="231" t="str">
        <f>IFERROR(__xludf.DUMMYFUNCTION("""COMPUTED_VALUE"""),"")</f>
        <v/>
      </c>
      <c r="AY51" s="232" t="str">
        <f>IFERROR(__xludf.DUMMYFUNCTION("""COMPUTED_VALUE"""),"")</f>
        <v/>
      </c>
      <c r="AZ51" s="233" t="str">
        <f>IFERROR(__xludf.DUMMYFUNCTION("""COMPUTED_VALUE"""),"")</f>
        <v/>
      </c>
      <c r="BA51" s="231" t="str">
        <f>IFERROR(__xludf.DUMMYFUNCTION("""COMPUTED_VALUE"""),"")</f>
        <v/>
      </c>
      <c r="BB51" s="232" t="str">
        <f>IFERROR(__xludf.DUMMYFUNCTION("""COMPUTED_VALUE"""),"")</f>
        <v/>
      </c>
      <c r="BC51" s="233" t="str">
        <f>IFERROR(__xludf.DUMMYFUNCTION("""COMPUTED_VALUE"""),"")</f>
        <v/>
      </c>
      <c r="BD51" s="231" t="str">
        <f>IFERROR(__xludf.DUMMYFUNCTION("""COMPUTED_VALUE"""),"")</f>
        <v/>
      </c>
      <c r="BE51" s="232" t="str">
        <f>IFERROR(__xludf.DUMMYFUNCTION("""COMPUTED_VALUE"""),"")</f>
        <v/>
      </c>
      <c r="BF51" s="233" t="str">
        <f>IFERROR(__xludf.DUMMYFUNCTION("""COMPUTED_VALUE"""),"")</f>
        <v/>
      </c>
      <c r="BG51" s="231" t="str">
        <f>IFERROR(__xludf.DUMMYFUNCTION("""COMPUTED_VALUE"""),"")</f>
        <v/>
      </c>
      <c r="BH51" s="232" t="str">
        <f>IFERROR(__xludf.DUMMYFUNCTION("""COMPUTED_VALUE"""),"")</f>
        <v/>
      </c>
      <c r="BI51" s="233" t="str">
        <f>IFERROR(__xludf.DUMMYFUNCTION("""COMPUTED_VALUE"""),"")</f>
        <v/>
      </c>
      <c r="BJ51" s="231" t="str">
        <f>IFERROR(__xludf.DUMMYFUNCTION("""COMPUTED_VALUE"""),"")</f>
        <v/>
      </c>
      <c r="BK51" s="232" t="str">
        <f>IFERROR(__xludf.DUMMYFUNCTION("""COMPUTED_VALUE"""),"")</f>
        <v/>
      </c>
      <c r="BL51" s="233" t="str">
        <f>IFERROR(__xludf.DUMMYFUNCTION("""COMPUTED_VALUE"""),"")</f>
        <v/>
      </c>
      <c r="BM51" s="231" t="str">
        <f>IFERROR(__xludf.DUMMYFUNCTION("""COMPUTED_VALUE"""),"")</f>
        <v/>
      </c>
      <c r="BN51" s="232" t="str">
        <f>IFERROR(__xludf.DUMMYFUNCTION("""COMPUTED_VALUE"""),"")</f>
        <v/>
      </c>
      <c r="BO51" s="233" t="str">
        <f>IFERROR(__xludf.DUMMYFUNCTION("""COMPUTED_VALUE"""),"")</f>
        <v/>
      </c>
      <c r="BP51" s="231" t="str">
        <f>IFERROR(__xludf.DUMMYFUNCTION("""COMPUTED_VALUE"""),"")</f>
        <v/>
      </c>
      <c r="BQ51" s="232">
        <f>IFERROR(__xludf.DUMMYFUNCTION("""COMPUTED_VALUE"""),19.6)</f>
        <v>19.6</v>
      </c>
      <c r="BR51" s="233" t="str">
        <f>IFERROR(__xludf.DUMMYFUNCTION("""COMPUTED_VALUE"""),"")</f>
        <v/>
      </c>
      <c r="BS51" s="231">
        <f>IFERROR(__xludf.DUMMYFUNCTION("""COMPUTED_VALUE"""),15.0)</f>
        <v>15</v>
      </c>
      <c r="BT51" s="232" t="str">
        <f>IFERROR(__xludf.DUMMYFUNCTION("""COMPUTED_VALUE"""),"")</f>
        <v/>
      </c>
      <c r="BU51" s="233" t="str">
        <f>IFERROR(__xludf.DUMMYFUNCTION("""COMPUTED_VALUE"""),"")</f>
        <v/>
      </c>
      <c r="BV51" s="231" t="str">
        <f>IFERROR(__xludf.DUMMYFUNCTION("""COMPUTED_VALUE"""),"")</f>
        <v/>
      </c>
      <c r="BW51" s="232" t="str">
        <f>IFERROR(__xludf.DUMMYFUNCTION("""COMPUTED_VALUE"""),"")</f>
        <v/>
      </c>
      <c r="BX51" s="233" t="str">
        <f>IFERROR(__xludf.DUMMYFUNCTION("""COMPUTED_VALUE"""),"")</f>
        <v/>
      </c>
      <c r="BY51" s="231" t="str">
        <f>IFERROR(__xludf.DUMMYFUNCTION("""COMPUTED_VALUE"""),"")</f>
        <v/>
      </c>
      <c r="BZ51" s="232" t="str">
        <f>IFERROR(__xludf.DUMMYFUNCTION("""COMPUTED_VALUE"""),"")</f>
        <v/>
      </c>
      <c r="CA51" s="233" t="str">
        <f>IFERROR(__xludf.DUMMYFUNCTION("""COMPUTED_VALUE"""),"")</f>
        <v/>
      </c>
      <c r="CB51" s="231" t="str">
        <f>IFERROR(__xludf.DUMMYFUNCTION("""COMPUTED_VALUE"""),"")</f>
        <v/>
      </c>
      <c r="CC51" s="232" t="str">
        <f>IFERROR(__xludf.DUMMYFUNCTION("""COMPUTED_VALUE"""),"")</f>
        <v/>
      </c>
      <c r="CD51" s="233" t="str">
        <f>IFERROR(__xludf.DUMMYFUNCTION("""COMPUTED_VALUE"""),"")</f>
        <v/>
      </c>
      <c r="CE51" s="234" t="str">
        <f>IFERROR(__xludf.DUMMYFUNCTION("""COMPUTED_VALUE"""),"")</f>
        <v/>
      </c>
      <c r="CF51" s="230" t="str">
        <f>IFERROR(__xludf.DUMMYFUNCTION("""COMPUTED_VALUE"""),"")</f>
        <v/>
      </c>
      <c r="CG51" s="235" t="str">
        <f>IFERROR(__xludf.DUMMYFUNCTION("""COMPUTED_VALUE"""),"")</f>
        <v/>
      </c>
      <c r="CH51" s="234" t="str">
        <f>IFERROR(__xludf.DUMMYFUNCTION("""COMPUTED_VALUE"""),"")</f>
        <v/>
      </c>
      <c r="CI51" s="230" t="str">
        <f>IFERROR(__xludf.DUMMYFUNCTION("""COMPUTED_VALUE"""),"")</f>
        <v/>
      </c>
      <c r="CJ51" s="235" t="str">
        <f>IFERROR(__xludf.DUMMYFUNCTION("""COMPUTED_VALUE"""),"")</f>
        <v/>
      </c>
      <c r="CK51" s="95" t="str">
        <f>IFERROR(__xludf.DUMMYFUNCTION("""COMPUTED_VALUE"""),"")</f>
        <v/>
      </c>
      <c r="CL51" s="96" t="str">
        <f>IFERROR(__xludf.DUMMYFUNCTION("""COMPUTED_VALUE"""),"")</f>
        <v/>
      </c>
      <c r="CM51" s="97" t="str">
        <f>IFERROR(__xludf.DUMMYFUNCTION("""COMPUTED_VALUE"""),"")</f>
        <v/>
      </c>
      <c r="CN51" s="95" t="str">
        <f>IFERROR(__xludf.DUMMYFUNCTION("""COMPUTED_VALUE"""),"")</f>
        <v/>
      </c>
      <c r="CO51" s="96" t="str">
        <f>IFERROR(__xludf.DUMMYFUNCTION("""COMPUTED_VALUE"""),"")</f>
        <v/>
      </c>
      <c r="CP51" s="97" t="str">
        <f>IFERROR(__xludf.DUMMYFUNCTION("""COMPUTED_VALUE"""),"")</f>
        <v/>
      </c>
      <c r="CQ51" s="95" t="str">
        <f>IFERROR(__xludf.DUMMYFUNCTION("""COMPUTED_VALUE"""),"")</f>
        <v/>
      </c>
      <c r="CR51" s="96" t="str">
        <f>IFERROR(__xludf.DUMMYFUNCTION("""COMPUTED_VALUE"""),"")</f>
        <v/>
      </c>
      <c r="CS51" s="97" t="str">
        <f>IFERROR(__xludf.DUMMYFUNCTION("""COMPUTED_VALUE"""),"#REF!")</f>
        <v>#REF!</v>
      </c>
      <c r="CT51" s="95" t="str">
        <f>IFERROR(__xludf.DUMMYFUNCTION("""COMPUTED_VALUE"""),"#REF!")</f>
        <v>#REF!</v>
      </c>
      <c r="CU51" s="96" t="str">
        <f>IFERROR(__xludf.DUMMYFUNCTION("""COMPUTED_VALUE"""),"#REF!")</f>
        <v>#REF!</v>
      </c>
      <c r="CV51" s="97" t="str">
        <f>IFERROR(__xludf.DUMMYFUNCTION("""COMPUTED_VALUE"""),"#REF!")</f>
        <v>#REF!</v>
      </c>
      <c r="CW51" s="95" t="str">
        <f>IFERROR(__xludf.DUMMYFUNCTION("""COMPUTED_VALUE"""),"#REF!")</f>
        <v>#REF!</v>
      </c>
      <c r="CX51" s="96" t="str">
        <f>IFERROR(__xludf.DUMMYFUNCTION("""COMPUTED_VALUE"""),"#REF!")</f>
        <v>#REF!</v>
      </c>
      <c r="CY51" s="97" t="str">
        <f>IFERROR(__xludf.DUMMYFUNCTION("""COMPUTED_VALUE"""),"#REF!")</f>
        <v>#REF!</v>
      </c>
      <c r="CZ51" s="95" t="str">
        <f>IFERROR(__xludf.DUMMYFUNCTION("""COMPUTED_VALUE"""),"#REF!")</f>
        <v>#REF!</v>
      </c>
      <c r="DA51" s="96" t="str">
        <f>IFERROR(__xludf.DUMMYFUNCTION("""COMPUTED_VALUE"""),"#REF!")</f>
        <v>#REF!</v>
      </c>
      <c r="DB51" s="97" t="str">
        <f>IFERROR(__xludf.DUMMYFUNCTION("""COMPUTED_VALUE"""),"#REF!")</f>
        <v>#REF!</v>
      </c>
      <c r="DC51" s="95" t="str">
        <f>IFERROR(__xludf.DUMMYFUNCTION("""COMPUTED_VALUE"""),"#REF!")</f>
        <v>#REF!</v>
      </c>
      <c r="DD51" s="96" t="str">
        <f>IFERROR(__xludf.DUMMYFUNCTION("""COMPUTED_VALUE"""),"#REF!")</f>
        <v>#REF!</v>
      </c>
      <c r="DE51" s="97" t="str">
        <f>IFERROR(__xludf.DUMMYFUNCTION("""COMPUTED_VALUE"""),"#REF!")</f>
        <v>#REF!</v>
      </c>
      <c r="DF51" s="95" t="str">
        <f>IFERROR(__xludf.DUMMYFUNCTION("""COMPUTED_VALUE"""),"#REF!")</f>
        <v>#REF!</v>
      </c>
      <c r="DG51" s="96" t="str">
        <f>IFERROR(__xludf.DUMMYFUNCTION("""COMPUTED_VALUE"""),"#REF!")</f>
        <v>#REF!</v>
      </c>
      <c r="DH51" s="97" t="str">
        <f>IFERROR(__xludf.DUMMYFUNCTION("""COMPUTED_VALUE"""),"#REF!")</f>
        <v>#REF!</v>
      </c>
      <c r="DI51" s="95" t="str">
        <f>IFERROR(__xludf.DUMMYFUNCTION("""COMPUTED_VALUE"""),"#REF!")</f>
        <v>#REF!</v>
      </c>
      <c r="DJ51" s="96" t="str">
        <f>IFERROR(__xludf.DUMMYFUNCTION("""COMPUTED_VALUE"""),"#REF!")</f>
        <v>#REF!</v>
      </c>
      <c r="DK51" s="97" t="str">
        <f>IFERROR(__xludf.DUMMYFUNCTION("""COMPUTED_VALUE"""),"#REF!")</f>
        <v>#REF!</v>
      </c>
      <c r="DL51" s="95" t="str">
        <f>IFERROR(__xludf.DUMMYFUNCTION("""COMPUTED_VALUE"""),"#REF!")</f>
        <v>#REF!</v>
      </c>
      <c r="DM51" s="96" t="str">
        <f>IFERROR(__xludf.DUMMYFUNCTION("""COMPUTED_VALUE"""),"#REF!")</f>
        <v>#REF!</v>
      </c>
      <c r="DN51" s="97" t="str">
        <f>IFERROR(__xludf.DUMMYFUNCTION("""COMPUTED_VALUE"""),"#REF!")</f>
        <v>#REF!</v>
      </c>
      <c r="DO51" s="95" t="str">
        <f>IFERROR(__xludf.DUMMYFUNCTION("""COMPUTED_VALUE"""),"#REF!")</f>
        <v>#REF!</v>
      </c>
      <c r="DP51" s="96" t="str">
        <f>IFERROR(__xludf.DUMMYFUNCTION("""COMPUTED_VALUE"""),"#REF!")</f>
        <v>#REF!</v>
      </c>
      <c r="DQ51" s="97"/>
      <c r="DR51" s="95"/>
    </row>
    <row r="52">
      <c r="B52" s="83" t="str">
        <f>IFERROR(__xludf.DUMMYFUNCTION("""COMPUTED_VALUE"""),"FUY4")</f>
        <v>FUY4</v>
      </c>
      <c r="C52" s="82">
        <f>IFERROR(__xludf.DUMMYFUNCTION("""COMPUTED_VALUE"""),37.0)</f>
        <v>37</v>
      </c>
      <c r="D52" s="88" t="str">
        <f>IFERROR(__xludf.DUMMYFUNCTION("""COMPUTED_VALUE"""),"Unknown Coordinates X-D")</f>
        <v>Unknown Coordinates X-D</v>
      </c>
      <c r="E52" s="82" t="str">
        <f>IFERROR(__xludf.DUMMYFUNCTION("""COMPUTED_VALUE"""),"X-D（港）")</f>
        <v>X-D（港）</v>
      </c>
      <c r="F52" s="102">
        <f>IFERROR(__xludf.DUMMYFUNCTION("""COMPUTED_VALUE"""),5.0)</f>
        <v>5</v>
      </c>
      <c r="G52" s="82">
        <f>IFERROR(__xludf.DUMMYFUNCTION("""COMPUTED_VALUE"""),2305.0)</f>
        <v>2305</v>
      </c>
      <c r="H52" s="231" t="str">
        <f>IFERROR(__xludf.DUMMYFUNCTION("""COMPUTED_VALUE"""),"")</f>
        <v/>
      </c>
      <c r="I52" s="232" t="str">
        <f>IFERROR(__xludf.DUMMYFUNCTION("""COMPUTED_VALUE"""),"")</f>
        <v/>
      </c>
      <c r="J52" s="233" t="str">
        <f>IFERROR(__xludf.DUMMYFUNCTION("""COMPUTED_VALUE"""),"")</f>
        <v/>
      </c>
      <c r="K52" s="231" t="str">
        <f>IFERROR(__xludf.DUMMYFUNCTION("""COMPUTED_VALUE"""),"")</f>
        <v/>
      </c>
      <c r="L52" s="232" t="str">
        <f>IFERROR(__xludf.DUMMYFUNCTION("""COMPUTED_VALUE"""),"")</f>
        <v/>
      </c>
      <c r="M52" s="233" t="str">
        <f>IFERROR(__xludf.DUMMYFUNCTION("""COMPUTED_VALUE"""),"")</f>
        <v/>
      </c>
      <c r="N52" s="231" t="str">
        <f>IFERROR(__xludf.DUMMYFUNCTION("""COMPUTED_VALUE"""),"")</f>
        <v/>
      </c>
      <c r="O52" s="232" t="str">
        <f>IFERROR(__xludf.DUMMYFUNCTION("""COMPUTED_VALUE"""),"")</f>
        <v/>
      </c>
      <c r="P52" s="233" t="str">
        <f>IFERROR(__xludf.DUMMYFUNCTION("""COMPUTED_VALUE"""),"")</f>
        <v/>
      </c>
      <c r="Q52" s="231" t="str">
        <f>IFERROR(__xludf.DUMMYFUNCTION("""COMPUTED_VALUE"""),"")</f>
        <v/>
      </c>
      <c r="R52" s="232" t="str">
        <f>IFERROR(__xludf.DUMMYFUNCTION("""COMPUTED_VALUE"""),"")</f>
        <v/>
      </c>
      <c r="S52" s="233" t="str">
        <f>IFERROR(__xludf.DUMMYFUNCTION("""COMPUTED_VALUE"""),"")</f>
        <v/>
      </c>
      <c r="T52" s="231" t="str">
        <f>IFERROR(__xludf.DUMMYFUNCTION("""COMPUTED_VALUE"""),"")</f>
        <v/>
      </c>
      <c r="U52" s="232" t="str">
        <f>IFERROR(__xludf.DUMMYFUNCTION("""COMPUTED_VALUE"""),"")</f>
        <v/>
      </c>
      <c r="V52" s="233" t="str">
        <f>IFERROR(__xludf.DUMMYFUNCTION("""COMPUTED_VALUE"""),"")</f>
        <v/>
      </c>
      <c r="W52" s="231" t="str">
        <f>IFERROR(__xludf.DUMMYFUNCTION("""COMPUTED_VALUE"""),"")</f>
        <v/>
      </c>
      <c r="X52" s="232" t="str">
        <f>IFERROR(__xludf.DUMMYFUNCTION("""COMPUTED_VALUE"""),"")</f>
        <v/>
      </c>
      <c r="Y52" s="233" t="str">
        <f>IFERROR(__xludf.DUMMYFUNCTION("""COMPUTED_VALUE"""),"")</f>
        <v/>
      </c>
      <c r="Z52" s="231" t="str">
        <f>IFERROR(__xludf.DUMMYFUNCTION("""COMPUTED_VALUE"""),"")</f>
        <v/>
      </c>
      <c r="AA52" s="232" t="str">
        <f>IFERROR(__xludf.DUMMYFUNCTION("""COMPUTED_VALUE"""),"")</f>
        <v/>
      </c>
      <c r="AB52" s="233" t="str">
        <f>IFERROR(__xludf.DUMMYFUNCTION("""COMPUTED_VALUE"""),"")</f>
        <v/>
      </c>
      <c r="AC52" s="231" t="str">
        <f>IFERROR(__xludf.DUMMYFUNCTION("""COMPUTED_VALUE"""),"")</f>
        <v/>
      </c>
      <c r="AD52" s="232" t="str">
        <f>IFERROR(__xludf.DUMMYFUNCTION("""COMPUTED_VALUE"""),"")</f>
        <v/>
      </c>
      <c r="AE52" s="233" t="str">
        <f>IFERROR(__xludf.DUMMYFUNCTION("""COMPUTED_VALUE"""),"")</f>
        <v/>
      </c>
      <c r="AF52" s="231" t="str">
        <f>IFERROR(__xludf.DUMMYFUNCTION("""COMPUTED_VALUE"""),"")</f>
        <v/>
      </c>
      <c r="AG52" s="232" t="str">
        <f>IFERROR(__xludf.DUMMYFUNCTION("""COMPUTED_VALUE"""),"")</f>
        <v/>
      </c>
      <c r="AH52" s="233" t="str">
        <f>IFERROR(__xludf.DUMMYFUNCTION("""COMPUTED_VALUE"""),"")</f>
        <v/>
      </c>
      <c r="AI52" s="231" t="str">
        <f>IFERROR(__xludf.DUMMYFUNCTION("""COMPUTED_VALUE"""),"")</f>
        <v/>
      </c>
      <c r="AJ52" s="232" t="str">
        <f>IFERROR(__xludf.DUMMYFUNCTION("""COMPUTED_VALUE"""),"")</f>
        <v/>
      </c>
      <c r="AK52" s="233" t="str">
        <f>IFERROR(__xludf.DUMMYFUNCTION("""COMPUTED_VALUE"""),"")</f>
        <v/>
      </c>
      <c r="AL52" s="231" t="str">
        <f>IFERROR(__xludf.DUMMYFUNCTION("""COMPUTED_VALUE"""),"")</f>
        <v/>
      </c>
      <c r="AM52" s="232" t="str">
        <f>IFERROR(__xludf.DUMMYFUNCTION("""COMPUTED_VALUE"""),"")</f>
        <v/>
      </c>
      <c r="AN52" s="233" t="str">
        <f>IFERROR(__xludf.DUMMYFUNCTION("""COMPUTED_VALUE"""),"")</f>
        <v/>
      </c>
      <c r="AO52" s="231" t="str">
        <f>IFERROR(__xludf.DUMMYFUNCTION("""COMPUTED_VALUE"""),"")</f>
        <v/>
      </c>
      <c r="AP52" s="232" t="str">
        <f>IFERROR(__xludf.DUMMYFUNCTION("""COMPUTED_VALUE"""),"")</f>
        <v/>
      </c>
      <c r="AQ52" s="233" t="str">
        <f>IFERROR(__xludf.DUMMYFUNCTION("""COMPUTED_VALUE"""),"")</f>
        <v/>
      </c>
      <c r="AR52" s="231" t="str">
        <f>IFERROR(__xludf.DUMMYFUNCTION("""COMPUTED_VALUE"""),"")</f>
        <v/>
      </c>
      <c r="AS52" s="232" t="str">
        <f>IFERROR(__xludf.DUMMYFUNCTION("""COMPUTED_VALUE"""),"")</f>
        <v/>
      </c>
      <c r="AT52" s="233" t="str">
        <f>IFERROR(__xludf.DUMMYFUNCTION("""COMPUTED_VALUE"""),"")</f>
        <v/>
      </c>
      <c r="AU52" s="231">
        <f>IFERROR(__xludf.DUMMYFUNCTION("""COMPUTED_VALUE"""),20.6)</f>
        <v>20.6</v>
      </c>
      <c r="AV52" s="232" t="str">
        <f>IFERROR(__xludf.DUMMYFUNCTION("""COMPUTED_VALUE"""),"")</f>
        <v/>
      </c>
      <c r="AW52" s="233" t="str">
        <f>IFERROR(__xludf.DUMMYFUNCTION("""COMPUTED_VALUE"""),"")</f>
        <v/>
      </c>
      <c r="AX52" s="231" t="str">
        <f>IFERROR(__xludf.DUMMYFUNCTION("""COMPUTED_VALUE"""),"")</f>
        <v/>
      </c>
      <c r="AY52" s="232" t="str">
        <f>IFERROR(__xludf.DUMMYFUNCTION("""COMPUTED_VALUE"""),"")</f>
        <v/>
      </c>
      <c r="AZ52" s="233" t="str">
        <f>IFERROR(__xludf.DUMMYFUNCTION("""COMPUTED_VALUE"""),"")</f>
        <v/>
      </c>
      <c r="BA52" s="231" t="str">
        <f>IFERROR(__xludf.DUMMYFUNCTION("""COMPUTED_VALUE"""),"")</f>
        <v/>
      </c>
      <c r="BB52" s="232" t="str">
        <f>IFERROR(__xludf.DUMMYFUNCTION("""COMPUTED_VALUE"""),"")</f>
        <v/>
      </c>
      <c r="BC52" s="233" t="str">
        <f>IFERROR(__xludf.DUMMYFUNCTION("""COMPUTED_VALUE"""),"")</f>
        <v/>
      </c>
      <c r="BD52" s="231" t="str">
        <f>IFERROR(__xludf.DUMMYFUNCTION("""COMPUTED_VALUE"""),"")</f>
        <v/>
      </c>
      <c r="BE52" s="232" t="str">
        <f>IFERROR(__xludf.DUMMYFUNCTION("""COMPUTED_VALUE"""),"")</f>
        <v/>
      </c>
      <c r="BF52" s="233" t="str">
        <f>IFERROR(__xludf.DUMMYFUNCTION("""COMPUTED_VALUE"""),"")</f>
        <v/>
      </c>
      <c r="BG52" s="231" t="str">
        <f>IFERROR(__xludf.DUMMYFUNCTION("""COMPUTED_VALUE"""),"")</f>
        <v/>
      </c>
      <c r="BH52" s="232" t="str">
        <f>IFERROR(__xludf.DUMMYFUNCTION("""COMPUTED_VALUE"""),"")</f>
        <v/>
      </c>
      <c r="BI52" s="233" t="str">
        <f>IFERROR(__xludf.DUMMYFUNCTION("""COMPUTED_VALUE"""),"")</f>
        <v/>
      </c>
      <c r="BJ52" s="231" t="str">
        <f>IFERROR(__xludf.DUMMYFUNCTION("""COMPUTED_VALUE"""),"")</f>
        <v/>
      </c>
      <c r="BK52" s="232" t="str">
        <f>IFERROR(__xludf.DUMMYFUNCTION("""COMPUTED_VALUE"""),"")</f>
        <v/>
      </c>
      <c r="BL52" s="233" t="str">
        <f>IFERROR(__xludf.DUMMYFUNCTION("""COMPUTED_VALUE"""),"")</f>
        <v/>
      </c>
      <c r="BM52" s="231" t="str">
        <f>IFERROR(__xludf.DUMMYFUNCTION("""COMPUTED_VALUE"""),"")</f>
        <v/>
      </c>
      <c r="BN52" s="232" t="str">
        <f>IFERROR(__xludf.DUMMYFUNCTION("""COMPUTED_VALUE"""),"")</f>
        <v/>
      </c>
      <c r="BO52" s="233" t="str">
        <f>IFERROR(__xludf.DUMMYFUNCTION("""COMPUTED_VALUE"""),"")</f>
        <v/>
      </c>
      <c r="BP52" s="231" t="str">
        <f>IFERROR(__xludf.DUMMYFUNCTION("""COMPUTED_VALUE"""),"")</f>
        <v/>
      </c>
      <c r="BQ52" s="232">
        <f>IFERROR(__xludf.DUMMYFUNCTION("""COMPUTED_VALUE"""),23.3)</f>
        <v>23.3</v>
      </c>
      <c r="BR52" s="233">
        <f>IFERROR(__xludf.DUMMYFUNCTION("""COMPUTED_VALUE"""),20.0)</f>
        <v>20</v>
      </c>
      <c r="BS52" s="231" t="str">
        <f>IFERROR(__xludf.DUMMYFUNCTION("""COMPUTED_VALUE"""),"")</f>
        <v/>
      </c>
      <c r="BT52" s="232" t="str">
        <f>IFERROR(__xludf.DUMMYFUNCTION("""COMPUTED_VALUE"""),"")</f>
        <v/>
      </c>
      <c r="BU52" s="233" t="str">
        <f>IFERROR(__xludf.DUMMYFUNCTION("""COMPUTED_VALUE"""),"")</f>
        <v/>
      </c>
      <c r="BV52" s="231" t="str">
        <f>IFERROR(__xludf.DUMMYFUNCTION("""COMPUTED_VALUE"""),"")</f>
        <v/>
      </c>
      <c r="BW52" s="232" t="str">
        <f>IFERROR(__xludf.DUMMYFUNCTION("""COMPUTED_VALUE"""),"")</f>
        <v/>
      </c>
      <c r="BX52" s="233" t="str">
        <f>IFERROR(__xludf.DUMMYFUNCTION("""COMPUTED_VALUE"""),"")</f>
        <v/>
      </c>
      <c r="BY52" s="231" t="str">
        <f>IFERROR(__xludf.DUMMYFUNCTION("""COMPUTED_VALUE"""),"")</f>
        <v/>
      </c>
      <c r="BZ52" s="232" t="str">
        <f>IFERROR(__xludf.DUMMYFUNCTION("""COMPUTED_VALUE"""),"")</f>
        <v/>
      </c>
      <c r="CA52" s="233" t="str">
        <f>IFERROR(__xludf.DUMMYFUNCTION("""COMPUTED_VALUE"""),"")</f>
        <v/>
      </c>
      <c r="CB52" s="231" t="str">
        <f>IFERROR(__xludf.DUMMYFUNCTION("""COMPUTED_VALUE"""),"")</f>
        <v/>
      </c>
      <c r="CC52" s="232" t="str">
        <f>IFERROR(__xludf.DUMMYFUNCTION("""COMPUTED_VALUE"""),"")</f>
        <v/>
      </c>
      <c r="CD52" s="233" t="str">
        <f>IFERROR(__xludf.DUMMYFUNCTION("""COMPUTED_VALUE"""),"")</f>
        <v/>
      </c>
      <c r="CE52" s="234" t="str">
        <f>IFERROR(__xludf.DUMMYFUNCTION("""COMPUTED_VALUE"""),"")</f>
        <v/>
      </c>
      <c r="CF52" s="230" t="str">
        <f>IFERROR(__xludf.DUMMYFUNCTION("""COMPUTED_VALUE"""),"")</f>
        <v/>
      </c>
      <c r="CG52" s="235" t="str">
        <f>IFERROR(__xludf.DUMMYFUNCTION("""COMPUTED_VALUE"""),"")</f>
        <v/>
      </c>
      <c r="CH52" s="234" t="str">
        <f>IFERROR(__xludf.DUMMYFUNCTION("""COMPUTED_VALUE"""),"")</f>
        <v/>
      </c>
      <c r="CI52" s="230" t="str">
        <f>IFERROR(__xludf.DUMMYFUNCTION("""COMPUTED_VALUE"""),"")</f>
        <v/>
      </c>
      <c r="CJ52" s="235" t="str">
        <f>IFERROR(__xludf.DUMMYFUNCTION("""COMPUTED_VALUE"""),"")</f>
        <v/>
      </c>
      <c r="CK52" s="95" t="str">
        <f>IFERROR(__xludf.DUMMYFUNCTION("""COMPUTED_VALUE"""),"")</f>
        <v/>
      </c>
      <c r="CL52" s="96" t="str">
        <f>IFERROR(__xludf.DUMMYFUNCTION("""COMPUTED_VALUE"""),"")</f>
        <v/>
      </c>
      <c r="CM52" s="97" t="str">
        <f>IFERROR(__xludf.DUMMYFUNCTION("""COMPUTED_VALUE"""),"")</f>
        <v/>
      </c>
      <c r="CN52" s="95" t="str">
        <f>IFERROR(__xludf.DUMMYFUNCTION("""COMPUTED_VALUE"""),"")</f>
        <v/>
      </c>
      <c r="CO52" s="96" t="str">
        <f>IFERROR(__xludf.DUMMYFUNCTION("""COMPUTED_VALUE"""),"")</f>
        <v/>
      </c>
      <c r="CP52" s="97" t="str">
        <f>IFERROR(__xludf.DUMMYFUNCTION("""COMPUTED_VALUE"""),"")</f>
        <v/>
      </c>
      <c r="CQ52" s="95" t="str">
        <f>IFERROR(__xludf.DUMMYFUNCTION("""COMPUTED_VALUE"""),"")</f>
        <v/>
      </c>
      <c r="CR52" s="96" t="str">
        <f>IFERROR(__xludf.DUMMYFUNCTION("""COMPUTED_VALUE"""),"")</f>
        <v/>
      </c>
      <c r="CS52" s="97" t="str">
        <f>IFERROR(__xludf.DUMMYFUNCTION("""COMPUTED_VALUE"""),"#REF!")</f>
        <v>#REF!</v>
      </c>
      <c r="CT52" s="95" t="str">
        <f>IFERROR(__xludf.DUMMYFUNCTION("""COMPUTED_VALUE"""),"#REF!")</f>
        <v>#REF!</v>
      </c>
      <c r="CU52" s="96" t="str">
        <f>IFERROR(__xludf.DUMMYFUNCTION("""COMPUTED_VALUE"""),"#REF!")</f>
        <v>#REF!</v>
      </c>
      <c r="CV52" s="97" t="str">
        <f>IFERROR(__xludf.DUMMYFUNCTION("""COMPUTED_VALUE"""),"#REF!")</f>
        <v>#REF!</v>
      </c>
      <c r="CW52" s="95" t="str">
        <f>IFERROR(__xludf.DUMMYFUNCTION("""COMPUTED_VALUE"""),"#REF!")</f>
        <v>#REF!</v>
      </c>
      <c r="CX52" s="96" t="str">
        <f>IFERROR(__xludf.DUMMYFUNCTION("""COMPUTED_VALUE"""),"#REF!")</f>
        <v>#REF!</v>
      </c>
      <c r="CY52" s="97" t="str">
        <f>IFERROR(__xludf.DUMMYFUNCTION("""COMPUTED_VALUE"""),"#REF!")</f>
        <v>#REF!</v>
      </c>
      <c r="CZ52" s="95" t="str">
        <f>IFERROR(__xludf.DUMMYFUNCTION("""COMPUTED_VALUE"""),"#REF!")</f>
        <v>#REF!</v>
      </c>
      <c r="DA52" s="96" t="str">
        <f>IFERROR(__xludf.DUMMYFUNCTION("""COMPUTED_VALUE"""),"#REF!")</f>
        <v>#REF!</v>
      </c>
      <c r="DB52" s="97" t="str">
        <f>IFERROR(__xludf.DUMMYFUNCTION("""COMPUTED_VALUE"""),"#REF!")</f>
        <v>#REF!</v>
      </c>
      <c r="DC52" s="95" t="str">
        <f>IFERROR(__xludf.DUMMYFUNCTION("""COMPUTED_VALUE"""),"#REF!")</f>
        <v>#REF!</v>
      </c>
      <c r="DD52" s="96" t="str">
        <f>IFERROR(__xludf.DUMMYFUNCTION("""COMPUTED_VALUE"""),"#REF!")</f>
        <v>#REF!</v>
      </c>
      <c r="DE52" s="97" t="str">
        <f>IFERROR(__xludf.DUMMYFUNCTION("""COMPUTED_VALUE"""),"#REF!")</f>
        <v>#REF!</v>
      </c>
      <c r="DF52" s="95" t="str">
        <f>IFERROR(__xludf.DUMMYFUNCTION("""COMPUTED_VALUE"""),"#REF!")</f>
        <v>#REF!</v>
      </c>
      <c r="DG52" s="96" t="str">
        <f>IFERROR(__xludf.DUMMYFUNCTION("""COMPUTED_VALUE"""),"#REF!")</f>
        <v>#REF!</v>
      </c>
      <c r="DH52" s="97" t="str">
        <f>IFERROR(__xludf.DUMMYFUNCTION("""COMPUTED_VALUE"""),"#REF!")</f>
        <v>#REF!</v>
      </c>
      <c r="DI52" s="95" t="str">
        <f>IFERROR(__xludf.DUMMYFUNCTION("""COMPUTED_VALUE"""),"#REF!")</f>
        <v>#REF!</v>
      </c>
      <c r="DJ52" s="96" t="str">
        <f>IFERROR(__xludf.DUMMYFUNCTION("""COMPUTED_VALUE"""),"#REF!")</f>
        <v>#REF!</v>
      </c>
      <c r="DK52" s="97" t="str">
        <f>IFERROR(__xludf.DUMMYFUNCTION("""COMPUTED_VALUE"""),"#REF!")</f>
        <v>#REF!</v>
      </c>
      <c r="DL52" s="95" t="str">
        <f>IFERROR(__xludf.DUMMYFUNCTION("""COMPUTED_VALUE"""),"#REF!")</f>
        <v>#REF!</v>
      </c>
      <c r="DM52" s="96" t="str">
        <f>IFERROR(__xludf.DUMMYFUNCTION("""COMPUTED_VALUE"""),"#REF!")</f>
        <v>#REF!</v>
      </c>
      <c r="DN52" s="97" t="str">
        <f>IFERROR(__xludf.DUMMYFUNCTION("""COMPUTED_VALUE"""),"#REF!")</f>
        <v>#REF!</v>
      </c>
      <c r="DO52" s="95" t="str">
        <f>IFERROR(__xludf.DUMMYFUNCTION("""COMPUTED_VALUE"""),"#REF!")</f>
        <v>#REF!</v>
      </c>
      <c r="DP52" s="96" t="str">
        <f>IFERROR(__xludf.DUMMYFUNCTION("""COMPUTED_VALUE"""),"#REF!")</f>
        <v>#REF!</v>
      </c>
      <c r="DQ52" s="97"/>
      <c r="DR52" s="95"/>
    </row>
    <row r="53">
      <c r="B53" s="83" t="str">
        <f>IFERROR(__xludf.DUMMYFUNCTION("""COMPUTED_VALUE"""),"FUY5")</f>
        <v>FUY5</v>
      </c>
      <c r="C53" s="82">
        <f>IFERROR(__xludf.DUMMYFUNCTION("""COMPUTED_VALUE"""),38.0)</f>
        <v>38</v>
      </c>
      <c r="D53" s="88" t="str">
        <f>IFERROR(__xludf.DUMMYFUNCTION("""COMPUTED_VALUE"""),"Unknown Coordinates X-E")</f>
        <v>Unknown Coordinates X-E</v>
      </c>
      <c r="E53" s="82" t="str">
        <f>IFERROR(__xludf.DUMMYFUNCTION("""COMPUTED_VALUE"""),"X-E（教会）")</f>
        <v>X-E（教会）</v>
      </c>
      <c r="F53" s="102">
        <f>IFERROR(__xludf.DUMMYFUNCTION("""COMPUTED_VALUE"""),5.0)</f>
        <v>5</v>
      </c>
      <c r="G53" s="82">
        <f>IFERROR(__xludf.DUMMYFUNCTION("""COMPUTED_VALUE"""),3365.0)</f>
        <v>3365</v>
      </c>
      <c r="H53" s="231" t="str">
        <f>IFERROR(__xludf.DUMMYFUNCTION("""COMPUTED_VALUE"""),"")</f>
        <v/>
      </c>
      <c r="I53" s="232" t="str">
        <f>IFERROR(__xludf.DUMMYFUNCTION("""COMPUTED_VALUE"""),"")</f>
        <v/>
      </c>
      <c r="J53" s="233" t="str">
        <f>IFERROR(__xludf.DUMMYFUNCTION("""COMPUTED_VALUE"""),"")</f>
        <v/>
      </c>
      <c r="K53" s="231" t="str">
        <f>IFERROR(__xludf.DUMMYFUNCTION("""COMPUTED_VALUE"""),"")</f>
        <v/>
      </c>
      <c r="L53" s="232" t="str">
        <f>IFERROR(__xludf.DUMMYFUNCTION("""COMPUTED_VALUE"""),"")</f>
        <v/>
      </c>
      <c r="M53" s="233" t="str">
        <f>IFERROR(__xludf.DUMMYFUNCTION("""COMPUTED_VALUE"""),"")</f>
        <v/>
      </c>
      <c r="N53" s="231" t="str">
        <f>IFERROR(__xludf.DUMMYFUNCTION("""COMPUTED_VALUE"""),"")</f>
        <v/>
      </c>
      <c r="O53" s="232" t="str">
        <f>IFERROR(__xludf.DUMMYFUNCTION("""COMPUTED_VALUE"""),"")</f>
        <v/>
      </c>
      <c r="P53" s="233" t="str">
        <f>IFERROR(__xludf.DUMMYFUNCTION("""COMPUTED_VALUE"""),"")</f>
        <v/>
      </c>
      <c r="Q53" s="231" t="str">
        <f>IFERROR(__xludf.DUMMYFUNCTION("""COMPUTED_VALUE"""),"")</f>
        <v/>
      </c>
      <c r="R53" s="232" t="str">
        <f>IFERROR(__xludf.DUMMYFUNCTION("""COMPUTED_VALUE"""),"")</f>
        <v/>
      </c>
      <c r="S53" s="233" t="str">
        <f>IFERROR(__xludf.DUMMYFUNCTION("""COMPUTED_VALUE"""),"")</f>
        <v/>
      </c>
      <c r="T53" s="231" t="str">
        <f>IFERROR(__xludf.DUMMYFUNCTION("""COMPUTED_VALUE"""),"")</f>
        <v/>
      </c>
      <c r="U53" s="232" t="str">
        <f>IFERROR(__xludf.DUMMYFUNCTION("""COMPUTED_VALUE"""),"")</f>
        <v/>
      </c>
      <c r="V53" s="233" t="str">
        <f>IFERROR(__xludf.DUMMYFUNCTION("""COMPUTED_VALUE"""),"")</f>
        <v/>
      </c>
      <c r="W53" s="231" t="str">
        <f>IFERROR(__xludf.DUMMYFUNCTION("""COMPUTED_VALUE"""),"")</f>
        <v/>
      </c>
      <c r="X53" s="232" t="str">
        <f>IFERROR(__xludf.DUMMYFUNCTION("""COMPUTED_VALUE"""),"")</f>
        <v/>
      </c>
      <c r="Y53" s="233" t="str">
        <f>IFERROR(__xludf.DUMMYFUNCTION("""COMPUTED_VALUE"""),"")</f>
        <v/>
      </c>
      <c r="Z53" s="231" t="str">
        <f>IFERROR(__xludf.DUMMYFUNCTION("""COMPUTED_VALUE"""),"")</f>
        <v/>
      </c>
      <c r="AA53" s="232" t="str">
        <f>IFERROR(__xludf.DUMMYFUNCTION("""COMPUTED_VALUE"""),"")</f>
        <v/>
      </c>
      <c r="AB53" s="233" t="str">
        <f>IFERROR(__xludf.DUMMYFUNCTION("""COMPUTED_VALUE"""),"")</f>
        <v/>
      </c>
      <c r="AC53" s="231" t="str">
        <f>IFERROR(__xludf.DUMMYFUNCTION("""COMPUTED_VALUE"""),"")</f>
        <v/>
      </c>
      <c r="AD53" s="232" t="str">
        <f>IFERROR(__xludf.DUMMYFUNCTION("""COMPUTED_VALUE"""),"")</f>
        <v/>
      </c>
      <c r="AE53" s="233" t="str">
        <f>IFERROR(__xludf.DUMMYFUNCTION("""COMPUTED_VALUE"""),"")</f>
        <v/>
      </c>
      <c r="AF53" s="231" t="str">
        <f>IFERROR(__xludf.DUMMYFUNCTION("""COMPUTED_VALUE"""),"")</f>
        <v/>
      </c>
      <c r="AG53" s="232" t="str">
        <f>IFERROR(__xludf.DUMMYFUNCTION("""COMPUTED_VALUE"""),"")</f>
        <v/>
      </c>
      <c r="AH53" s="233" t="str">
        <f>IFERROR(__xludf.DUMMYFUNCTION("""COMPUTED_VALUE"""),"")</f>
        <v/>
      </c>
      <c r="AI53" s="231" t="str">
        <f>IFERROR(__xludf.DUMMYFUNCTION("""COMPUTED_VALUE"""),"")</f>
        <v/>
      </c>
      <c r="AJ53" s="232" t="str">
        <f>IFERROR(__xludf.DUMMYFUNCTION("""COMPUTED_VALUE"""),"")</f>
        <v/>
      </c>
      <c r="AK53" s="233" t="str">
        <f>IFERROR(__xludf.DUMMYFUNCTION("""COMPUTED_VALUE"""),"")</f>
        <v/>
      </c>
      <c r="AL53" s="231" t="str">
        <f>IFERROR(__xludf.DUMMYFUNCTION("""COMPUTED_VALUE"""),"")</f>
        <v/>
      </c>
      <c r="AM53" s="232" t="str">
        <f>IFERROR(__xludf.DUMMYFUNCTION("""COMPUTED_VALUE"""),"")</f>
        <v/>
      </c>
      <c r="AN53" s="233" t="str">
        <f>IFERROR(__xludf.DUMMYFUNCTION("""COMPUTED_VALUE"""),"")</f>
        <v/>
      </c>
      <c r="AO53" s="231" t="str">
        <f>IFERROR(__xludf.DUMMYFUNCTION("""COMPUTED_VALUE"""),"")</f>
        <v/>
      </c>
      <c r="AP53" s="232" t="str">
        <f>IFERROR(__xludf.DUMMYFUNCTION("""COMPUTED_VALUE"""),"")</f>
        <v/>
      </c>
      <c r="AQ53" s="233" t="str">
        <f>IFERROR(__xludf.DUMMYFUNCTION("""COMPUTED_VALUE"""),"")</f>
        <v/>
      </c>
      <c r="AR53" s="231" t="str">
        <f>IFERROR(__xludf.DUMMYFUNCTION("""COMPUTED_VALUE"""),"")</f>
        <v/>
      </c>
      <c r="AS53" s="232" t="str">
        <f>IFERROR(__xludf.DUMMYFUNCTION("""COMPUTED_VALUE"""),"")</f>
        <v/>
      </c>
      <c r="AT53" s="233" t="str">
        <f>IFERROR(__xludf.DUMMYFUNCTION("""COMPUTED_VALUE"""),"")</f>
        <v/>
      </c>
      <c r="AU53" s="231">
        <f>IFERROR(__xludf.DUMMYFUNCTION("""COMPUTED_VALUE"""),16.6)</f>
        <v>16.6</v>
      </c>
      <c r="AV53" s="232" t="str">
        <f>IFERROR(__xludf.DUMMYFUNCTION("""COMPUTED_VALUE"""),"")</f>
        <v/>
      </c>
      <c r="AW53" s="233">
        <f>IFERROR(__xludf.DUMMYFUNCTION("""COMPUTED_VALUE"""),4.5)</f>
        <v>4.5</v>
      </c>
      <c r="AX53" s="231" t="str">
        <f>IFERROR(__xludf.DUMMYFUNCTION("""COMPUTED_VALUE"""),"")</f>
        <v/>
      </c>
      <c r="AY53" s="232" t="str">
        <f>IFERROR(__xludf.DUMMYFUNCTION("""COMPUTED_VALUE"""),"")</f>
        <v/>
      </c>
      <c r="AZ53" s="233" t="str">
        <f>IFERROR(__xludf.DUMMYFUNCTION("""COMPUTED_VALUE"""),"")</f>
        <v/>
      </c>
      <c r="BA53" s="231" t="str">
        <f>IFERROR(__xludf.DUMMYFUNCTION("""COMPUTED_VALUE"""),"")</f>
        <v/>
      </c>
      <c r="BB53" s="232" t="str">
        <f>IFERROR(__xludf.DUMMYFUNCTION("""COMPUTED_VALUE"""),"")</f>
        <v/>
      </c>
      <c r="BC53" s="233" t="str">
        <f>IFERROR(__xludf.DUMMYFUNCTION("""COMPUTED_VALUE"""),"")</f>
        <v/>
      </c>
      <c r="BD53" s="231" t="str">
        <f>IFERROR(__xludf.DUMMYFUNCTION("""COMPUTED_VALUE"""),"")</f>
        <v/>
      </c>
      <c r="BE53" s="232" t="str">
        <f>IFERROR(__xludf.DUMMYFUNCTION("""COMPUTED_VALUE"""),"")</f>
        <v/>
      </c>
      <c r="BF53" s="233" t="str">
        <f>IFERROR(__xludf.DUMMYFUNCTION("""COMPUTED_VALUE"""),"")</f>
        <v/>
      </c>
      <c r="BG53" s="231" t="str">
        <f>IFERROR(__xludf.DUMMYFUNCTION("""COMPUTED_VALUE"""),"")</f>
        <v/>
      </c>
      <c r="BH53" s="232" t="str">
        <f>IFERROR(__xludf.DUMMYFUNCTION("""COMPUTED_VALUE"""),"")</f>
        <v/>
      </c>
      <c r="BI53" s="233" t="str">
        <f>IFERROR(__xludf.DUMMYFUNCTION("""COMPUTED_VALUE"""),"")</f>
        <v/>
      </c>
      <c r="BJ53" s="231" t="str">
        <f>IFERROR(__xludf.DUMMYFUNCTION("""COMPUTED_VALUE"""),"")</f>
        <v/>
      </c>
      <c r="BK53" s="232" t="str">
        <f>IFERROR(__xludf.DUMMYFUNCTION("""COMPUTED_VALUE"""),"")</f>
        <v/>
      </c>
      <c r="BL53" s="233" t="str">
        <f>IFERROR(__xludf.DUMMYFUNCTION("""COMPUTED_VALUE"""),"")</f>
        <v/>
      </c>
      <c r="BM53" s="231" t="str">
        <f>IFERROR(__xludf.DUMMYFUNCTION("""COMPUTED_VALUE"""),"")</f>
        <v/>
      </c>
      <c r="BN53" s="232" t="str">
        <f>IFERROR(__xludf.DUMMYFUNCTION("""COMPUTED_VALUE"""),"")</f>
        <v/>
      </c>
      <c r="BO53" s="233" t="str">
        <f>IFERROR(__xludf.DUMMYFUNCTION("""COMPUTED_VALUE"""),"")</f>
        <v/>
      </c>
      <c r="BP53" s="231" t="str">
        <f>IFERROR(__xludf.DUMMYFUNCTION("""COMPUTED_VALUE"""),"")</f>
        <v/>
      </c>
      <c r="BQ53" s="232">
        <f>IFERROR(__xludf.DUMMYFUNCTION("""COMPUTED_VALUE"""),18.5)</f>
        <v>18.5</v>
      </c>
      <c r="BR53" s="233">
        <f>IFERROR(__xludf.DUMMYFUNCTION("""COMPUTED_VALUE"""),10.6)</f>
        <v>10.6</v>
      </c>
      <c r="BS53" s="231" t="str">
        <f>IFERROR(__xludf.DUMMYFUNCTION("""COMPUTED_VALUE"""),"")</f>
        <v/>
      </c>
      <c r="BT53" s="232" t="str">
        <f>IFERROR(__xludf.DUMMYFUNCTION("""COMPUTED_VALUE"""),"")</f>
        <v/>
      </c>
      <c r="BU53" s="233" t="str">
        <f>IFERROR(__xludf.DUMMYFUNCTION("""COMPUTED_VALUE"""),"")</f>
        <v/>
      </c>
      <c r="BV53" s="231" t="str">
        <f>IFERROR(__xludf.DUMMYFUNCTION("""COMPUTED_VALUE"""),"")</f>
        <v/>
      </c>
      <c r="BW53" s="232" t="str">
        <f>IFERROR(__xludf.DUMMYFUNCTION("""COMPUTED_VALUE"""),"")</f>
        <v/>
      </c>
      <c r="BX53" s="233" t="str">
        <f>IFERROR(__xludf.DUMMYFUNCTION("""COMPUTED_VALUE"""),"")</f>
        <v/>
      </c>
      <c r="BY53" s="231" t="str">
        <f>IFERROR(__xludf.DUMMYFUNCTION("""COMPUTED_VALUE"""),"")</f>
        <v/>
      </c>
      <c r="BZ53" s="232" t="str">
        <f>IFERROR(__xludf.DUMMYFUNCTION("""COMPUTED_VALUE"""),"")</f>
        <v/>
      </c>
      <c r="CA53" s="233" t="str">
        <f>IFERROR(__xludf.DUMMYFUNCTION("""COMPUTED_VALUE"""),"")</f>
        <v/>
      </c>
      <c r="CB53" s="231" t="str">
        <f>IFERROR(__xludf.DUMMYFUNCTION("""COMPUTED_VALUE"""),"")</f>
        <v/>
      </c>
      <c r="CC53" s="232" t="str">
        <f>IFERROR(__xludf.DUMMYFUNCTION("""COMPUTED_VALUE"""),"")</f>
        <v/>
      </c>
      <c r="CD53" s="233" t="str">
        <f>IFERROR(__xludf.DUMMYFUNCTION("""COMPUTED_VALUE"""),"")</f>
        <v/>
      </c>
      <c r="CE53" s="234" t="str">
        <f>IFERROR(__xludf.DUMMYFUNCTION("""COMPUTED_VALUE"""),"")</f>
        <v/>
      </c>
      <c r="CF53" s="230" t="str">
        <f>IFERROR(__xludf.DUMMYFUNCTION("""COMPUTED_VALUE"""),"")</f>
        <v/>
      </c>
      <c r="CG53" s="235" t="str">
        <f>IFERROR(__xludf.DUMMYFUNCTION("""COMPUTED_VALUE"""),"")</f>
        <v/>
      </c>
      <c r="CH53" s="234">
        <f>IFERROR(__xludf.DUMMYFUNCTION("""COMPUTED_VALUE"""),5.3)</f>
        <v>5.3</v>
      </c>
      <c r="CI53" s="230" t="str">
        <f>IFERROR(__xludf.DUMMYFUNCTION("""COMPUTED_VALUE"""),"")</f>
        <v/>
      </c>
      <c r="CJ53" s="235" t="str">
        <f>IFERROR(__xludf.DUMMYFUNCTION("""COMPUTED_VALUE"""),"")</f>
        <v/>
      </c>
      <c r="CK53" s="95" t="str">
        <f>IFERROR(__xludf.DUMMYFUNCTION("""COMPUTED_VALUE"""),"")</f>
        <v/>
      </c>
      <c r="CL53" s="96" t="str">
        <f>IFERROR(__xludf.DUMMYFUNCTION("""COMPUTED_VALUE"""),"")</f>
        <v/>
      </c>
      <c r="CM53" s="97" t="str">
        <f>IFERROR(__xludf.DUMMYFUNCTION("""COMPUTED_VALUE"""),"")</f>
        <v/>
      </c>
      <c r="CN53" s="95" t="str">
        <f>IFERROR(__xludf.DUMMYFUNCTION("""COMPUTED_VALUE"""),"")</f>
        <v/>
      </c>
      <c r="CO53" s="96" t="str">
        <f>IFERROR(__xludf.DUMMYFUNCTION("""COMPUTED_VALUE"""),"")</f>
        <v/>
      </c>
      <c r="CP53" s="97" t="str">
        <f>IFERROR(__xludf.DUMMYFUNCTION("""COMPUTED_VALUE"""),"")</f>
        <v/>
      </c>
      <c r="CQ53" s="95" t="str">
        <f>IFERROR(__xludf.DUMMYFUNCTION("""COMPUTED_VALUE"""),"")</f>
        <v/>
      </c>
      <c r="CR53" s="96" t="str">
        <f>IFERROR(__xludf.DUMMYFUNCTION("""COMPUTED_VALUE"""),"")</f>
        <v/>
      </c>
      <c r="CS53" s="97" t="str">
        <f>IFERROR(__xludf.DUMMYFUNCTION("""COMPUTED_VALUE"""),"#REF!")</f>
        <v>#REF!</v>
      </c>
      <c r="CT53" s="95" t="str">
        <f>IFERROR(__xludf.DUMMYFUNCTION("""COMPUTED_VALUE"""),"#REF!")</f>
        <v>#REF!</v>
      </c>
      <c r="CU53" s="96" t="str">
        <f>IFERROR(__xludf.DUMMYFUNCTION("""COMPUTED_VALUE"""),"#REF!")</f>
        <v>#REF!</v>
      </c>
      <c r="CV53" s="97" t="str">
        <f>IFERROR(__xludf.DUMMYFUNCTION("""COMPUTED_VALUE"""),"#REF!")</f>
        <v>#REF!</v>
      </c>
      <c r="CW53" s="95" t="str">
        <f>IFERROR(__xludf.DUMMYFUNCTION("""COMPUTED_VALUE"""),"#REF!")</f>
        <v>#REF!</v>
      </c>
      <c r="CX53" s="96" t="str">
        <f>IFERROR(__xludf.DUMMYFUNCTION("""COMPUTED_VALUE"""),"#REF!")</f>
        <v>#REF!</v>
      </c>
      <c r="CY53" s="97" t="str">
        <f>IFERROR(__xludf.DUMMYFUNCTION("""COMPUTED_VALUE"""),"#REF!")</f>
        <v>#REF!</v>
      </c>
      <c r="CZ53" s="95" t="str">
        <f>IFERROR(__xludf.DUMMYFUNCTION("""COMPUTED_VALUE"""),"#REF!")</f>
        <v>#REF!</v>
      </c>
      <c r="DA53" s="96" t="str">
        <f>IFERROR(__xludf.DUMMYFUNCTION("""COMPUTED_VALUE"""),"#REF!")</f>
        <v>#REF!</v>
      </c>
      <c r="DB53" s="97" t="str">
        <f>IFERROR(__xludf.DUMMYFUNCTION("""COMPUTED_VALUE"""),"#REF!")</f>
        <v>#REF!</v>
      </c>
      <c r="DC53" s="95" t="str">
        <f>IFERROR(__xludf.DUMMYFUNCTION("""COMPUTED_VALUE"""),"#REF!")</f>
        <v>#REF!</v>
      </c>
      <c r="DD53" s="96" t="str">
        <f>IFERROR(__xludf.DUMMYFUNCTION("""COMPUTED_VALUE"""),"#REF!")</f>
        <v>#REF!</v>
      </c>
      <c r="DE53" s="97" t="str">
        <f>IFERROR(__xludf.DUMMYFUNCTION("""COMPUTED_VALUE"""),"#REF!")</f>
        <v>#REF!</v>
      </c>
      <c r="DF53" s="95" t="str">
        <f>IFERROR(__xludf.DUMMYFUNCTION("""COMPUTED_VALUE"""),"#REF!")</f>
        <v>#REF!</v>
      </c>
      <c r="DG53" s="96" t="str">
        <f>IFERROR(__xludf.DUMMYFUNCTION("""COMPUTED_VALUE"""),"#REF!")</f>
        <v>#REF!</v>
      </c>
      <c r="DH53" s="97" t="str">
        <f>IFERROR(__xludf.DUMMYFUNCTION("""COMPUTED_VALUE"""),"#REF!")</f>
        <v>#REF!</v>
      </c>
      <c r="DI53" s="95" t="str">
        <f>IFERROR(__xludf.DUMMYFUNCTION("""COMPUTED_VALUE"""),"#REF!")</f>
        <v>#REF!</v>
      </c>
      <c r="DJ53" s="96" t="str">
        <f>IFERROR(__xludf.DUMMYFUNCTION("""COMPUTED_VALUE"""),"#REF!")</f>
        <v>#REF!</v>
      </c>
      <c r="DK53" s="97" t="str">
        <f>IFERROR(__xludf.DUMMYFUNCTION("""COMPUTED_VALUE"""),"#REF!")</f>
        <v>#REF!</v>
      </c>
      <c r="DL53" s="95" t="str">
        <f>IFERROR(__xludf.DUMMYFUNCTION("""COMPUTED_VALUE"""),"#REF!")</f>
        <v>#REF!</v>
      </c>
      <c r="DM53" s="96" t="str">
        <f>IFERROR(__xludf.DUMMYFUNCTION("""COMPUTED_VALUE"""),"#REF!")</f>
        <v>#REF!</v>
      </c>
      <c r="DN53" s="97" t="str">
        <f>IFERROR(__xludf.DUMMYFUNCTION("""COMPUTED_VALUE"""),"#REF!")</f>
        <v>#REF!</v>
      </c>
      <c r="DO53" s="95" t="str">
        <f>IFERROR(__xludf.DUMMYFUNCTION("""COMPUTED_VALUE"""),"#REF!")</f>
        <v>#REF!</v>
      </c>
      <c r="DP53" s="96" t="str">
        <f>IFERROR(__xludf.DUMMYFUNCTION("""COMPUTED_VALUE"""),"#REF!")</f>
        <v>#REF!</v>
      </c>
      <c r="DQ53" s="97"/>
      <c r="DR53" s="95"/>
    </row>
    <row r="54">
      <c r="B54" s="83" t="str">
        <f>IFERROR(__xludf.DUMMYFUNCTION("""COMPUTED_VALUE"""),"FUY6")</f>
        <v>FUY6</v>
      </c>
      <c r="C54" s="82">
        <f>IFERROR(__xludf.DUMMYFUNCTION("""COMPUTED_VALUE"""),39.0)</f>
        <v>39</v>
      </c>
      <c r="D54" s="88" t="str">
        <f>IFERROR(__xludf.DUMMYFUNCTION("""COMPUTED_VALUE"""),"Unknown Coordinates X-F")</f>
        <v>Unknown Coordinates X-F</v>
      </c>
      <c r="E54" s="82" t="str">
        <f>IFERROR(__xludf.DUMMYFUNCTION("""COMPUTED_VALUE"""),"X-F（校舎）")</f>
        <v>X-F（校舎）</v>
      </c>
      <c r="F54" s="102">
        <f>IFERROR(__xludf.DUMMYFUNCTION("""COMPUTED_VALUE"""),6.0)</f>
        <v>6</v>
      </c>
      <c r="G54" s="82">
        <f>IFERROR(__xludf.DUMMYFUNCTION("""COMPUTED_VALUE"""),7300.0)</f>
        <v>7300</v>
      </c>
      <c r="H54" s="231" t="str">
        <f>IFERROR(__xludf.DUMMYFUNCTION("""COMPUTED_VALUE"""),"")</f>
        <v/>
      </c>
      <c r="I54" s="232" t="str">
        <f>IFERROR(__xludf.DUMMYFUNCTION("""COMPUTED_VALUE"""),"")</f>
        <v/>
      </c>
      <c r="J54" s="233" t="str">
        <f>IFERROR(__xludf.DUMMYFUNCTION("""COMPUTED_VALUE"""),"")</f>
        <v/>
      </c>
      <c r="K54" s="231" t="str">
        <f>IFERROR(__xludf.DUMMYFUNCTION("""COMPUTED_VALUE"""),"")</f>
        <v/>
      </c>
      <c r="L54" s="232" t="str">
        <f>IFERROR(__xludf.DUMMYFUNCTION("""COMPUTED_VALUE"""),"")</f>
        <v/>
      </c>
      <c r="M54" s="233" t="str">
        <f>IFERROR(__xludf.DUMMYFUNCTION("""COMPUTED_VALUE"""),"")</f>
        <v/>
      </c>
      <c r="N54" s="231" t="str">
        <f>IFERROR(__xludf.DUMMYFUNCTION("""COMPUTED_VALUE"""),"")</f>
        <v/>
      </c>
      <c r="O54" s="232" t="str">
        <f>IFERROR(__xludf.DUMMYFUNCTION("""COMPUTED_VALUE"""),"")</f>
        <v/>
      </c>
      <c r="P54" s="233" t="str">
        <f>IFERROR(__xludf.DUMMYFUNCTION("""COMPUTED_VALUE"""),"")</f>
        <v/>
      </c>
      <c r="Q54" s="231" t="str">
        <f>IFERROR(__xludf.DUMMYFUNCTION("""COMPUTED_VALUE"""),"")</f>
        <v/>
      </c>
      <c r="R54" s="232" t="str">
        <f>IFERROR(__xludf.DUMMYFUNCTION("""COMPUTED_VALUE"""),"")</f>
        <v/>
      </c>
      <c r="S54" s="233" t="str">
        <f>IFERROR(__xludf.DUMMYFUNCTION("""COMPUTED_VALUE"""),"")</f>
        <v/>
      </c>
      <c r="T54" s="231" t="str">
        <f>IFERROR(__xludf.DUMMYFUNCTION("""COMPUTED_VALUE"""),"")</f>
        <v/>
      </c>
      <c r="U54" s="232" t="str">
        <f>IFERROR(__xludf.DUMMYFUNCTION("""COMPUTED_VALUE"""),"")</f>
        <v/>
      </c>
      <c r="V54" s="233" t="str">
        <f>IFERROR(__xludf.DUMMYFUNCTION("""COMPUTED_VALUE"""),"")</f>
        <v/>
      </c>
      <c r="W54" s="231" t="str">
        <f>IFERROR(__xludf.DUMMYFUNCTION("""COMPUTED_VALUE"""),"")</f>
        <v/>
      </c>
      <c r="X54" s="232" t="str">
        <f>IFERROR(__xludf.DUMMYFUNCTION("""COMPUTED_VALUE"""),"")</f>
        <v/>
      </c>
      <c r="Y54" s="233" t="str">
        <f>IFERROR(__xludf.DUMMYFUNCTION("""COMPUTED_VALUE"""),"")</f>
        <v/>
      </c>
      <c r="Z54" s="231" t="str">
        <f>IFERROR(__xludf.DUMMYFUNCTION("""COMPUTED_VALUE"""),"")</f>
        <v/>
      </c>
      <c r="AA54" s="232" t="str">
        <f>IFERROR(__xludf.DUMMYFUNCTION("""COMPUTED_VALUE"""),"")</f>
        <v/>
      </c>
      <c r="AB54" s="233" t="str">
        <f>IFERROR(__xludf.DUMMYFUNCTION("""COMPUTED_VALUE"""),"")</f>
        <v/>
      </c>
      <c r="AC54" s="231" t="str">
        <f>IFERROR(__xludf.DUMMYFUNCTION("""COMPUTED_VALUE"""),"")</f>
        <v/>
      </c>
      <c r="AD54" s="232" t="str">
        <f>IFERROR(__xludf.DUMMYFUNCTION("""COMPUTED_VALUE"""),"")</f>
        <v/>
      </c>
      <c r="AE54" s="233" t="str">
        <f>IFERROR(__xludf.DUMMYFUNCTION("""COMPUTED_VALUE"""),"")</f>
        <v/>
      </c>
      <c r="AF54" s="231" t="str">
        <f>IFERROR(__xludf.DUMMYFUNCTION("""COMPUTED_VALUE"""),"")</f>
        <v/>
      </c>
      <c r="AG54" s="232" t="str">
        <f>IFERROR(__xludf.DUMMYFUNCTION("""COMPUTED_VALUE"""),"")</f>
        <v/>
      </c>
      <c r="AH54" s="233" t="str">
        <f>IFERROR(__xludf.DUMMYFUNCTION("""COMPUTED_VALUE"""),"")</f>
        <v/>
      </c>
      <c r="AI54" s="231" t="str">
        <f>IFERROR(__xludf.DUMMYFUNCTION("""COMPUTED_VALUE"""),"")</f>
        <v/>
      </c>
      <c r="AJ54" s="232" t="str">
        <f>IFERROR(__xludf.DUMMYFUNCTION("""COMPUTED_VALUE"""),"")</f>
        <v/>
      </c>
      <c r="AK54" s="233" t="str">
        <f>IFERROR(__xludf.DUMMYFUNCTION("""COMPUTED_VALUE"""),"")</f>
        <v/>
      </c>
      <c r="AL54" s="231" t="str">
        <f>IFERROR(__xludf.DUMMYFUNCTION("""COMPUTED_VALUE"""),"")</f>
        <v/>
      </c>
      <c r="AM54" s="232" t="str">
        <f>IFERROR(__xludf.DUMMYFUNCTION("""COMPUTED_VALUE"""),"")</f>
        <v/>
      </c>
      <c r="AN54" s="233" t="str">
        <f>IFERROR(__xludf.DUMMYFUNCTION("""COMPUTED_VALUE"""),"")</f>
        <v/>
      </c>
      <c r="AO54" s="231" t="str">
        <f>IFERROR(__xludf.DUMMYFUNCTION("""COMPUTED_VALUE"""),"")</f>
        <v/>
      </c>
      <c r="AP54" s="232" t="str">
        <f>IFERROR(__xludf.DUMMYFUNCTION("""COMPUTED_VALUE"""),"")</f>
        <v/>
      </c>
      <c r="AQ54" s="233" t="str">
        <f>IFERROR(__xludf.DUMMYFUNCTION("""COMPUTED_VALUE"""),"")</f>
        <v/>
      </c>
      <c r="AR54" s="231" t="str">
        <f>IFERROR(__xludf.DUMMYFUNCTION("""COMPUTED_VALUE"""),"")</f>
        <v/>
      </c>
      <c r="AS54" s="232" t="str">
        <f>IFERROR(__xludf.DUMMYFUNCTION("""COMPUTED_VALUE"""),"")</f>
        <v/>
      </c>
      <c r="AT54" s="233" t="str">
        <f>IFERROR(__xludf.DUMMYFUNCTION("""COMPUTED_VALUE"""),"")</f>
        <v/>
      </c>
      <c r="AU54" s="231">
        <f>IFERROR(__xludf.DUMMYFUNCTION("""COMPUTED_VALUE"""),17.0)</f>
        <v>17</v>
      </c>
      <c r="AV54" s="232" t="str">
        <f>IFERROR(__xludf.DUMMYFUNCTION("""COMPUTED_VALUE"""),"")</f>
        <v/>
      </c>
      <c r="AW54" s="233">
        <f>IFERROR(__xludf.DUMMYFUNCTION("""COMPUTED_VALUE"""),7.9)</f>
        <v>7.9</v>
      </c>
      <c r="AX54" s="231" t="str">
        <f>IFERROR(__xludf.DUMMYFUNCTION("""COMPUTED_VALUE"""),"")</f>
        <v/>
      </c>
      <c r="AY54" s="232" t="str">
        <f>IFERROR(__xludf.DUMMYFUNCTION("""COMPUTED_VALUE"""),"")</f>
        <v/>
      </c>
      <c r="AZ54" s="233" t="str">
        <f>IFERROR(__xludf.DUMMYFUNCTION("""COMPUTED_VALUE"""),"")</f>
        <v/>
      </c>
      <c r="BA54" s="231" t="str">
        <f>IFERROR(__xludf.DUMMYFUNCTION("""COMPUTED_VALUE"""),"")</f>
        <v/>
      </c>
      <c r="BB54" s="232" t="str">
        <f>IFERROR(__xludf.DUMMYFUNCTION("""COMPUTED_VALUE"""),"")</f>
        <v/>
      </c>
      <c r="BC54" s="233" t="str">
        <f>IFERROR(__xludf.DUMMYFUNCTION("""COMPUTED_VALUE"""),"")</f>
        <v/>
      </c>
      <c r="BD54" s="231" t="str">
        <f>IFERROR(__xludf.DUMMYFUNCTION("""COMPUTED_VALUE"""),"")</f>
        <v/>
      </c>
      <c r="BE54" s="232" t="str">
        <f>IFERROR(__xludf.DUMMYFUNCTION("""COMPUTED_VALUE"""),"")</f>
        <v/>
      </c>
      <c r="BF54" s="233" t="str">
        <f>IFERROR(__xludf.DUMMYFUNCTION("""COMPUTED_VALUE"""),"")</f>
        <v/>
      </c>
      <c r="BG54" s="231" t="str">
        <f>IFERROR(__xludf.DUMMYFUNCTION("""COMPUTED_VALUE"""),"")</f>
        <v/>
      </c>
      <c r="BH54" s="232" t="str">
        <f>IFERROR(__xludf.DUMMYFUNCTION("""COMPUTED_VALUE"""),"")</f>
        <v/>
      </c>
      <c r="BI54" s="233" t="str">
        <f>IFERROR(__xludf.DUMMYFUNCTION("""COMPUTED_VALUE"""),"")</f>
        <v/>
      </c>
      <c r="BJ54" s="231" t="str">
        <f>IFERROR(__xludf.DUMMYFUNCTION("""COMPUTED_VALUE"""),"")</f>
        <v/>
      </c>
      <c r="BK54" s="232" t="str">
        <f>IFERROR(__xludf.DUMMYFUNCTION("""COMPUTED_VALUE"""),"")</f>
        <v/>
      </c>
      <c r="BL54" s="233" t="str">
        <f>IFERROR(__xludf.DUMMYFUNCTION("""COMPUTED_VALUE"""),"")</f>
        <v/>
      </c>
      <c r="BM54" s="231" t="str">
        <f>IFERROR(__xludf.DUMMYFUNCTION("""COMPUTED_VALUE"""),"")</f>
        <v/>
      </c>
      <c r="BN54" s="232" t="str">
        <f>IFERROR(__xludf.DUMMYFUNCTION("""COMPUTED_VALUE"""),"")</f>
        <v/>
      </c>
      <c r="BO54" s="233" t="str">
        <f>IFERROR(__xludf.DUMMYFUNCTION("""COMPUTED_VALUE"""),"")</f>
        <v/>
      </c>
      <c r="BP54" s="231" t="str">
        <f>IFERROR(__xludf.DUMMYFUNCTION("""COMPUTED_VALUE"""),"")</f>
        <v/>
      </c>
      <c r="BQ54" s="232">
        <f>IFERROR(__xludf.DUMMYFUNCTION("""COMPUTED_VALUE"""),15.2)</f>
        <v>15.2</v>
      </c>
      <c r="BR54" s="233">
        <f>IFERROR(__xludf.DUMMYFUNCTION("""COMPUTED_VALUE"""),15.1)</f>
        <v>15.1</v>
      </c>
      <c r="BS54" s="231" t="str">
        <f>IFERROR(__xludf.DUMMYFUNCTION("""COMPUTED_VALUE"""),"")</f>
        <v/>
      </c>
      <c r="BT54" s="232" t="str">
        <f>IFERROR(__xludf.DUMMYFUNCTION("""COMPUTED_VALUE"""),"")</f>
        <v/>
      </c>
      <c r="BU54" s="233" t="str">
        <f>IFERROR(__xludf.DUMMYFUNCTION("""COMPUTED_VALUE"""),"")</f>
        <v/>
      </c>
      <c r="BV54" s="231" t="str">
        <f>IFERROR(__xludf.DUMMYFUNCTION("""COMPUTED_VALUE"""),"")</f>
        <v/>
      </c>
      <c r="BW54" s="232" t="str">
        <f>IFERROR(__xludf.DUMMYFUNCTION("""COMPUTED_VALUE"""),"")</f>
        <v/>
      </c>
      <c r="BX54" s="233" t="str">
        <f>IFERROR(__xludf.DUMMYFUNCTION("""COMPUTED_VALUE"""),"")</f>
        <v/>
      </c>
      <c r="BY54" s="231" t="str">
        <f>IFERROR(__xludf.DUMMYFUNCTION("""COMPUTED_VALUE"""),"")</f>
        <v/>
      </c>
      <c r="BZ54" s="232" t="str">
        <f>IFERROR(__xludf.DUMMYFUNCTION("""COMPUTED_VALUE"""),"")</f>
        <v/>
      </c>
      <c r="CA54" s="233" t="str">
        <f>IFERROR(__xludf.DUMMYFUNCTION("""COMPUTED_VALUE"""),"")</f>
        <v/>
      </c>
      <c r="CB54" s="231" t="str">
        <f>IFERROR(__xludf.DUMMYFUNCTION("""COMPUTED_VALUE"""),"")</f>
        <v/>
      </c>
      <c r="CC54" s="232" t="str">
        <f>IFERROR(__xludf.DUMMYFUNCTION("""COMPUTED_VALUE"""),"")</f>
        <v/>
      </c>
      <c r="CD54" s="233" t="str">
        <f>IFERROR(__xludf.DUMMYFUNCTION("""COMPUTED_VALUE"""),"")</f>
        <v/>
      </c>
      <c r="CE54" s="234" t="str">
        <f>IFERROR(__xludf.DUMMYFUNCTION("""COMPUTED_VALUE"""),"")</f>
        <v/>
      </c>
      <c r="CF54" s="230" t="str">
        <f>IFERROR(__xludf.DUMMYFUNCTION("""COMPUTED_VALUE"""),"")</f>
        <v/>
      </c>
      <c r="CG54" s="235">
        <f>IFERROR(__xludf.DUMMYFUNCTION("""COMPUTED_VALUE"""),4.9)</f>
        <v>4.9</v>
      </c>
      <c r="CH54" s="234" t="str">
        <f>IFERROR(__xludf.DUMMYFUNCTION("""COMPUTED_VALUE"""),"")</f>
        <v/>
      </c>
      <c r="CI54" s="230" t="str">
        <f>IFERROR(__xludf.DUMMYFUNCTION("""COMPUTED_VALUE"""),"")</f>
        <v/>
      </c>
      <c r="CJ54" s="235">
        <f>IFERROR(__xludf.DUMMYFUNCTION("""COMPUTED_VALUE"""),4.5)</f>
        <v>4.5</v>
      </c>
      <c r="CK54" s="95" t="str">
        <f>IFERROR(__xludf.DUMMYFUNCTION("""COMPUTED_VALUE"""),"")</f>
        <v/>
      </c>
      <c r="CL54" s="96" t="str">
        <f>IFERROR(__xludf.DUMMYFUNCTION("""COMPUTED_VALUE"""),"")</f>
        <v/>
      </c>
      <c r="CM54" s="97" t="str">
        <f>IFERROR(__xludf.DUMMYFUNCTION("""COMPUTED_VALUE"""),"")</f>
        <v/>
      </c>
      <c r="CN54" s="95" t="str">
        <f>IFERROR(__xludf.DUMMYFUNCTION("""COMPUTED_VALUE"""),"")</f>
        <v/>
      </c>
      <c r="CO54" s="96" t="str">
        <f>IFERROR(__xludf.DUMMYFUNCTION("""COMPUTED_VALUE"""),"")</f>
        <v/>
      </c>
      <c r="CP54" s="97" t="str">
        <f>IFERROR(__xludf.DUMMYFUNCTION("""COMPUTED_VALUE"""),"")</f>
        <v/>
      </c>
      <c r="CQ54" s="95" t="str">
        <f>IFERROR(__xludf.DUMMYFUNCTION("""COMPUTED_VALUE"""),"")</f>
        <v/>
      </c>
      <c r="CR54" s="96" t="str">
        <f>IFERROR(__xludf.DUMMYFUNCTION("""COMPUTED_VALUE"""),"")</f>
        <v/>
      </c>
      <c r="CS54" s="97" t="str">
        <f>IFERROR(__xludf.DUMMYFUNCTION("""COMPUTED_VALUE"""),"#REF!")</f>
        <v>#REF!</v>
      </c>
      <c r="CT54" s="95" t="str">
        <f>IFERROR(__xludf.DUMMYFUNCTION("""COMPUTED_VALUE"""),"#REF!")</f>
        <v>#REF!</v>
      </c>
      <c r="CU54" s="96" t="str">
        <f>IFERROR(__xludf.DUMMYFUNCTION("""COMPUTED_VALUE"""),"#REF!")</f>
        <v>#REF!</v>
      </c>
      <c r="CV54" s="97" t="str">
        <f>IFERROR(__xludf.DUMMYFUNCTION("""COMPUTED_VALUE"""),"#REF!")</f>
        <v>#REF!</v>
      </c>
      <c r="CW54" s="95" t="str">
        <f>IFERROR(__xludf.DUMMYFUNCTION("""COMPUTED_VALUE"""),"#REF!")</f>
        <v>#REF!</v>
      </c>
      <c r="CX54" s="96" t="str">
        <f>IFERROR(__xludf.DUMMYFUNCTION("""COMPUTED_VALUE"""),"#REF!")</f>
        <v>#REF!</v>
      </c>
      <c r="CY54" s="97" t="str">
        <f>IFERROR(__xludf.DUMMYFUNCTION("""COMPUTED_VALUE"""),"#REF!")</f>
        <v>#REF!</v>
      </c>
      <c r="CZ54" s="95" t="str">
        <f>IFERROR(__xludf.DUMMYFUNCTION("""COMPUTED_VALUE"""),"#REF!")</f>
        <v>#REF!</v>
      </c>
      <c r="DA54" s="96" t="str">
        <f>IFERROR(__xludf.DUMMYFUNCTION("""COMPUTED_VALUE"""),"#REF!")</f>
        <v>#REF!</v>
      </c>
      <c r="DB54" s="97" t="str">
        <f>IFERROR(__xludf.DUMMYFUNCTION("""COMPUTED_VALUE"""),"#REF!")</f>
        <v>#REF!</v>
      </c>
      <c r="DC54" s="95" t="str">
        <f>IFERROR(__xludf.DUMMYFUNCTION("""COMPUTED_VALUE"""),"#REF!")</f>
        <v>#REF!</v>
      </c>
      <c r="DD54" s="96" t="str">
        <f>IFERROR(__xludf.DUMMYFUNCTION("""COMPUTED_VALUE"""),"#REF!")</f>
        <v>#REF!</v>
      </c>
      <c r="DE54" s="97" t="str">
        <f>IFERROR(__xludf.DUMMYFUNCTION("""COMPUTED_VALUE"""),"#REF!")</f>
        <v>#REF!</v>
      </c>
      <c r="DF54" s="95" t="str">
        <f>IFERROR(__xludf.DUMMYFUNCTION("""COMPUTED_VALUE"""),"#REF!")</f>
        <v>#REF!</v>
      </c>
      <c r="DG54" s="96" t="str">
        <f>IFERROR(__xludf.DUMMYFUNCTION("""COMPUTED_VALUE"""),"#REF!")</f>
        <v>#REF!</v>
      </c>
      <c r="DH54" s="97" t="str">
        <f>IFERROR(__xludf.DUMMYFUNCTION("""COMPUTED_VALUE"""),"#REF!")</f>
        <v>#REF!</v>
      </c>
      <c r="DI54" s="95" t="str">
        <f>IFERROR(__xludf.DUMMYFUNCTION("""COMPUTED_VALUE"""),"#REF!")</f>
        <v>#REF!</v>
      </c>
      <c r="DJ54" s="96" t="str">
        <f>IFERROR(__xludf.DUMMYFUNCTION("""COMPUTED_VALUE"""),"#REF!")</f>
        <v>#REF!</v>
      </c>
      <c r="DK54" s="97" t="str">
        <f>IFERROR(__xludf.DUMMYFUNCTION("""COMPUTED_VALUE"""),"#REF!")</f>
        <v>#REF!</v>
      </c>
      <c r="DL54" s="95" t="str">
        <f>IFERROR(__xludf.DUMMYFUNCTION("""COMPUTED_VALUE"""),"#REF!")</f>
        <v>#REF!</v>
      </c>
      <c r="DM54" s="96" t="str">
        <f>IFERROR(__xludf.DUMMYFUNCTION("""COMPUTED_VALUE"""),"#REF!")</f>
        <v>#REF!</v>
      </c>
      <c r="DN54" s="97" t="str">
        <f>IFERROR(__xludf.DUMMYFUNCTION("""COMPUTED_VALUE"""),"#REF!")</f>
        <v>#REF!</v>
      </c>
      <c r="DO54" s="95" t="str">
        <f>IFERROR(__xludf.DUMMYFUNCTION("""COMPUTED_VALUE"""),"#REF!")</f>
        <v>#REF!</v>
      </c>
      <c r="DP54" s="96" t="str">
        <f>IFERROR(__xludf.DUMMYFUNCTION("""COMPUTED_VALUE"""),"#REF!")</f>
        <v>#REF!</v>
      </c>
      <c r="DQ54" s="97"/>
      <c r="DR54" s="95"/>
    </row>
    <row r="55">
      <c r="B55" s="83" t="str">
        <f>IFERROR(__xludf.DUMMYFUNCTION("""COMPUTED_VALUE"""),"FUY7")</f>
        <v>FUY7</v>
      </c>
      <c r="C55" s="82">
        <f>IFERROR(__xludf.DUMMYFUNCTION("""COMPUTED_VALUE"""),40.0)</f>
        <v>40</v>
      </c>
      <c r="D55" s="88" t="str">
        <f>IFERROR(__xludf.DUMMYFUNCTION("""COMPUTED_VALUE"""),"Unknown Coordinates X-G")</f>
        <v>Unknown Coordinates X-G</v>
      </c>
      <c r="E55" s="82" t="str">
        <f>IFERROR(__xludf.DUMMYFUNCTION("""COMPUTED_VALUE"""),"X-G（燃え盛る森）")</f>
        <v>X-G（燃え盛る森）</v>
      </c>
      <c r="F55" s="102">
        <f>IFERROR(__xludf.DUMMYFUNCTION("""COMPUTED_VALUE"""),15.0)</f>
        <v>15</v>
      </c>
      <c r="G55" s="82">
        <f>IFERROR(__xludf.DUMMYFUNCTION("""COMPUTED_VALUE"""),135227.0)</f>
        <v>135227</v>
      </c>
      <c r="H55" s="231" t="str">
        <f>IFERROR(__xludf.DUMMYFUNCTION("""COMPUTED_VALUE"""),"")</f>
        <v/>
      </c>
      <c r="I55" s="232" t="str">
        <f>IFERROR(__xludf.DUMMYFUNCTION("""COMPUTED_VALUE"""),"")</f>
        <v/>
      </c>
      <c r="J55" s="233" t="str">
        <f>IFERROR(__xludf.DUMMYFUNCTION("""COMPUTED_VALUE"""),"")</f>
        <v/>
      </c>
      <c r="K55" s="231" t="str">
        <f>IFERROR(__xludf.DUMMYFUNCTION("""COMPUTED_VALUE"""),"")</f>
        <v/>
      </c>
      <c r="L55" s="232" t="str">
        <f>IFERROR(__xludf.DUMMYFUNCTION("""COMPUTED_VALUE"""),"")</f>
        <v/>
      </c>
      <c r="M55" s="233" t="str">
        <f>IFERROR(__xludf.DUMMYFUNCTION("""COMPUTED_VALUE"""),"")</f>
        <v/>
      </c>
      <c r="N55" s="231" t="str">
        <f>IFERROR(__xludf.DUMMYFUNCTION("""COMPUTED_VALUE"""),"")</f>
        <v/>
      </c>
      <c r="O55" s="232" t="str">
        <f>IFERROR(__xludf.DUMMYFUNCTION("""COMPUTED_VALUE"""),"")</f>
        <v/>
      </c>
      <c r="P55" s="233" t="str">
        <f>IFERROR(__xludf.DUMMYFUNCTION("""COMPUTED_VALUE"""),"")</f>
        <v/>
      </c>
      <c r="Q55" s="231" t="str">
        <f>IFERROR(__xludf.DUMMYFUNCTION("""COMPUTED_VALUE"""),"")</f>
        <v/>
      </c>
      <c r="R55" s="232" t="str">
        <f>IFERROR(__xludf.DUMMYFUNCTION("""COMPUTED_VALUE"""),"")</f>
        <v/>
      </c>
      <c r="S55" s="233" t="str">
        <f>IFERROR(__xludf.DUMMYFUNCTION("""COMPUTED_VALUE"""),"")</f>
        <v/>
      </c>
      <c r="T55" s="231" t="str">
        <f>IFERROR(__xludf.DUMMYFUNCTION("""COMPUTED_VALUE"""),"")</f>
        <v/>
      </c>
      <c r="U55" s="232" t="str">
        <f>IFERROR(__xludf.DUMMYFUNCTION("""COMPUTED_VALUE"""),"")</f>
        <v/>
      </c>
      <c r="V55" s="233" t="str">
        <f>IFERROR(__xludf.DUMMYFUNCTION("""COMPUTED_VALUE"""),"")</f>
        <v/>
      </c>
      <c r="W55" s="231" t="str">
        <f>IFERROR(__xludf.DUMMYFUNCTION("""COMPUTED_VALUE"""),"")</f>
        <v/>
      </c>
      <c r="X55" s="232" t="str">
        <f>IFERROR(__xludf.DUMMYFUNCTION("""COMPUTED_VALUE"""),"")</f>
        <v/>
      </c>
      <c r="Y55" s="233" t="str">
        <f>IFERROR(__xludf.DUMMYFUNCTION("""COMPUTED_VALUE"""),"")</f>
        <v/>
      </c>
      <c r="Z55" s="231" t="str">
        <f>IFERROR(__xludf.DUMMYFUNCTION("""COMPUTED_VALUE"""),"")</f>
        <v/>
      </c>
      <c r="AA55" s="232" t="str">
        <f>IFERROR(__xludf.DUMMYFUNCTION("""COMPUTED_VALUE"""),"")</f>
        <v/>
      </c>
      <c r="AB55" s="233" t="str">
        <f>IFERROR(__xludf.DUMMYFUNCTION("""COMPUTED_VALUE"""),"")</f>
        <v/>
      </c>
      <c r="AC55" s="231" t="str">
        <f>IFERROR(__xludf.DUMMYFUNCTION("""COMPUTED_VALUE"""),"")</f>
        <v/>
      </c>
      <c r="AD55" s="232" t="str">
        <f>IFERROR(__xludf.DUMMYFUNCTION("""COMPUTED_VALUE"""),"")</f>
        <v/>
      </c>
      <c r="AE55" s="233" t="str">
        <f>IFERROR(__xludf.DUMMYFUNCTION("""COMPUTED_VALUE"""),"")</f>
        <v/>
      </c>
      <c r="AF55" s="231" t="str">
        <f>IFERROR(__xludf.DUMMYFUNCTION("""COMPUTED_VALUE"""),"")</f>
        <v/>
      </c>
      <c r="AG55" s="232" t="str">
        <f>IFERROR(__xludf.DUMMYFUNCTION("""COMPUTED_VALUE"""),"")</f>
        <v/>
      </c>
      <c r="AH55" s="233" t="str">
        <f>IFERROR(__xludf.DUMMYFUNCTION("""COMPUTED_VALUE"""),"")</f>
        <v/>
      </c>
      <c r="AI55" s="231" t="str">
        <f>IFERROR(__xludf.DUMMYFUNCTION("""COMPUTED_VALUE"""),"")</f>
        <v/>
      </c>
      <c r="AJ55" s="232" t="str">
        <f>IFERROR(__xludf.DUMMYFUNCTION("""COMPUTED_VALUE"""),"")</f>
        <v/>
      </c>
      <c r="AK55" s="233" t="str">
        <f>IFERROR(__xludf.DUMMYFUNCTION("""COMPUTED_VALUE"""),"")</f>
        <v/>
      </c>
      <c r="AL55" s="231" t="str">
        <f>IFERROR(__xludf.DUMMYFUNCTION("""COMPUTED_VALUE"""),"")</f>
        <v/>
      </c>
      <c r="AM55" s="232" t="str">
        <f>IFERROR(__xludf.DUMMYFUNCTION("""COMPUTED_VALUE"""),"")</f>
        <v/>
      </c>
      <c r="AN55" s="233" t="str">
        <f>IFERROR(__xludf.DUMMYFUNCTION("""COMPUTED_VALUE"""),"")</f>
        <v/>
      </c>
      <c r="AO55" s="231" t="str">
        <f>IFERROR(__xludf.DUMMYFUNCTION("""COMPUTED_VALUE"""),"")</f>
        <v/>
      </c>
      <c r="AP55" s="232" t="str">
        <f>IFERROR(__xludf.DUMMYFUNCTION("""COMPUTED_VALUE"""),"")</f>
        <v/>
      </c>
      <c r="AQ55" s="233" t="str">
        <f>IFERROR(__xludf.DUMMYFUNCTION("""COMPUTED_VALUE"""),"")</f>
        <v/>
      </c>
      <c r="AR55" s="231" t="str">
        <f>IFERROR(__xludf.DUMMYFUNCTION("""COMPUTED_VALUE"""),"")</f>
        <v/>
      </c>
      <c r="AS55" s="232" t="str">
        <f>IFERROR(__xludf.DUMMYFUNCTION("""COMPUTED_VALUE"""),"")</f>
        <v/>
      </c>
      <c r="AT55" s="233" t="str">
        <f>IFERROR(__xludf.DUMMYFUNCTION("""COMPUTED_VALUE"""),"")</f>
        <v/>
      </c>
      <c r="AU55" s="231">
        <f>IFERROR(__xludf.DUMMYFUNCTION("""COMPUTED_VALUE"""),63.9)</f>
        <v>63.9</v>
      </c>
      <c r="AV55" s="232" t="str">
        <f>IFERROR(__xludf.DUMMYFUNCTION("""COMPUTED_VALUE"""),"")</f>
        <v/>
      </c>
      <c r="AW55" s="233" t="str">
        <f>IFERROR(__xludf.DUMMYFUNCTION("""COMPUTED_VALUE"""),"")</f>
        <v/>
      </c>
      <c r="AX55" s="231" t="str">
        <f>IFERROR(__xludf.DUMMYFUNCTION("""COMPUTED_VALUE"""),"")</f>
        <v/>
      </c>
      <c r="AY55" s="232" t="str">
        <f>IFERROR(__xludf.DUMMYFUNCTION("""COMPUTED_VALUE"""),"")</f>
        <v/>
      </c>
      <c r="AZ55" s="233" t="str">
        <f>IFERROR(__xludf.DUMMYFUNCTION("""COMPUTED_VALUE"""),"")</f>
        <v/>
      </c>
      <c r="BA55" s="231" t="str">
        <f>IFERROR(__xludf.DUMMYFUNCTION("""COMPUTED_VALUE"""),"")</f>
        <v/>
      </c>
      <c r="BB55" s="232" t="str">
        <f>IFERROR(__xludf.DUMMYFUNCTION("""COMPUTED_VALUE"""),"")</f>
        <v/>
      </c>
      <c r="BC55" s="233" t="str">
        <f>IFERROR(__xludf.DUMMYFUNCTION("""COMPUTED_VALUE"""),"")</f>
        <v/>
      </c>
      <c r="BD55" s="231" t="str">
        <f>IFERROR(__xludf.DUMMYFUNCTION("""COMPUTED_VALUE"""),"")</f>
        <v/>
      </c>
      <c r="BE55" s="232" t="str">
        <f>IFERROR(__xludf.DUMMYFUNCTION("""COMPUTED_VALUE"""),"")</f>
        <v/>
      </c>
      <c r="BF55" s="233" t="str">
        <f>IFERROR(__xludf.DUMMYFUNCTION("""COMPUTED_VALUE"""),"")</f>
        <v/>
      </c>
      <c r="BG55" s="231" t="str">
        <f>IFERROR(__xludf.DUMMYFUNCTION("""COMPUTED_VALUE"""),"")</f>
        <v/>
      </c>
      <c r="BH55" s="232" t="str">
        <f>IFERROR(__xludf.DUMMYFUNCTION("""COMPUTED_VALUE"""),"")</f>
        <v/>
      </c>
      <c r="BI55" s="233" t="str">
        <f>IFERROR(__xludf.DUMMYFUNCTION("""COMPUTED_VALUE"""),"")</f>
        <v/>
      </c>
      <c r="BJ55" s="231" t="str">
        <f>IFERROR(__xludf.DUMMYFUNCTION("""COMPUTED_VALUE"""),"")</f>
        <v/>
      </c>
      <c r="BK55" s="232" t="str">
        <f>IFERROR(__xludf.DUMMYFUNCTION("""COMPUTED_VALUE"""),"")</f>
        <v/>
      </c>
      <c r="BL55" s="233" t="str">
        <f>IFERROR(__xludf.DUMMYFUNCTION("""COMPUTED_VALUE"""),"")</f>
        <v/>
      </c>
      <c r="BM55" s="231" t="str">
        <f>IFERROR(__xludf.DUMMYFUNCTION("""COMPUTED_VALUE"""),"")</f>
        <v/>
      </c>
      <c r="BN55" s="232" t="str">
        <f>IFERROR(__xludf.DUMMYFUNCTION("""COMPUTED_VALUE"""),"")</f>
        <v/>
      </c>
      <c r="BO55" s="233" t="str">
        <f>IFERROR(__xludf.DUMMYFUNCTION("""COMPUTED_VALUE"""),"")</f>
        <v/>
      </c>
      <c r="BP55" s="231" t="str">
        <f>IFERROR(__xludf.DUMMYFUNCTION("""COMPUTED_VALUE"""),"")</f>
        <v/>
      </c>
      <c r="BQ55" s="232">
        <f>IFERROR(__xludf.DUMMYFUNCTION("""COMPUTED_VALUE"""),9.2)</f>
        <v>9.2</v>
      </c>
      <c r="BR55" s="233">
        <f>IFERROR(__xludf.DUMMYFUNCTION("""COMPUTED_VALUE"""),4.5)</f>
        <v>4.5</v>
      </c>
      <c r="BS55" s="231">
        <f>IFERROR(__xludf.DUMMYFUNCTION("""COMPUTED_VALUE"""),18.0)</f>
        <v>18</v>
      </c>
      <c r="BT55" s="232" t="str">
        <f>IFERROR(__xludf.DUMMYFUNCTION("""COMPUTED_VALUE"""),"")</f>
        <v/>
      </c>
      <c r="BU55" s="233" t="str">
        <f>IFERROR(__xludf.DUMMYFUNCTION("""COMPUTED_VALUE"""),"")</f>
        <v/>
      </c>
      <c r="BV55" s="231" t="str">
        <f>IFERROR(__xludf.DUMMYFUNCTION("""COMPUTED_VALUE"""),"")</f>
        <v/>
      </c>
      <c r="BW55" s="232" t="str">
        <f>IFERROR(__xludf.DUMMYFUNCTION("""COMPUTED_VALUE"""),"")</f>
        <v/>
      </c>
      <c r="BX55" s="233" t="str">
        <f>IFERROR(__xludf.DUMMYFUNCTION("""COMPUTED_VALUE"""),"")</f>
        <v/>
      </c>
      <c r="BY55" s="231" t="str">
        <f>IFERROR(__xludf.DUMMYFUNCTION("""COMPUTED_VALUE"""),"")</f>
        <v/>
      </c>
      <c r="BZ55" s="232" t="str">
        <f>IFERROR(__xludf.DUMMYFUNCTION("""COMPUTED_VALUE"""),"")</f>
        <v/>
      </c>
      <c r="CA55" s="233" t="str">
        <f>IFERROR(__xludf.DUMMYFUNCTION("""COMPUTED_VALUE"""),"")</f>
        <v/>
      </c>
      <c r="CB55" s="231" t="str">
        <f>IFERROR(__xludf.DUMMYFUNCTION("""COMPUTED_VALUE"""),"")</f>
        <v/>
      </c>
      <c r="CC55" s="232" t="str">
        <f>IFERROR(__xludf.DUMMYFUNCTION("""COMPUTED_VALUE"""),"")</f>
        <v/>
      </c>
      <c r="CD55" s="233" t="str">
        <f>IFERROR(__xludf.DUMMYFUNCTION("""COMPUTED_VALUE"""),"")</f>
        <v/>
      </c>
      <c r="CE55" s="234" t="str">
        <f>IFERROR(__xludf.DUMMYFUNCTION("""COMPUTED_VALUE"""),"")</f>
        <v/>
      </c>
      <c r="CF55" s="230" t="str">
        <f>IFERROR(__xludf.DUMMYFUNCTION("""COMPUTED_VALUE"""),"")</f>
        <v/>
      </c>
      <c r="CG55" s="235" t="str">
        <f>IFERROR(__xludf.DUMMYFUNCTION("""COMPUTED_VALUE"""),"")</f>
        <v/>
      </c>
      <c r="CH55" s="234" t="str">
        <f>IFERROR(__xludf.DUMMYFUNCTION("""COMPUTED_VALUE"""),"")</f>
        <v/>
      </c>
      <c r="CI55" s="230" t="str">
        <f>IFERROR(__xludf.DUMMYFUNCTION("""COMPUTED_VALUE"""),"")</f>
        <v/>
      </c>
      <c r="CJ55" s="235" t="str">
        <f>IFERROR(__xludf.DUMMYFUNCTION("""COMPUTED_VALUE"""),"")</f>
        <v/>
      </c>
      <c r="CK55" s="95" t="str">
        <f>IFERROR(__xludf.DUMMYFUNCTION("""COMPUTED_VALUE"""),"")</f>
        <v/>
      </c>
      <c r="CL55" s="96" t="str">
        <f>IFERROR(__xludf.DUMMYFUNCTION("""COMPUTED_VALUE"""),"")</f>
        <v/>
      </c>
      <c r="CM55" s="97" t="str">
        <f>IFERROR(__xludf.DUMMYFUNCTION("""COMPUTED_VALUE"""),"")</f>
        <v/>
      </c>
      <c r="CN55" s="95" t="str">
        <f>IFERROR(__xludf.DUMMYFUNCTION("""COMPUTED_VALUE"""),"")</f>
        <v/>
      </c>
      <c r="CO55" s="96" t="str">
        <f>IFERROR(__xludf.DUMMYFUNCTION("""COMPUTED_VALUE"""),"")</f>
        <v/>
      </c>
      <c r="CP55" s="97" t="str">
        <f>IFERROR(__xludf.DUMMYFUNCTION("""COMPUTED_VALUE"""),"")</f>
        <v/>
      </c>
      <c r="CQ55" s="95" t="str">
        <f>IFERROR(__xludf.DUMMYFUNCTION("""COMPUTED_VALUE"""),"")</f>
        <v/>
      </c>
      <c r="CR55" s="96" t="str">
        <f>IFERROR(__xludf.DUMMYFUNCTION("""COMPUTED_VALUE"""),"")</f>
        <v/>
      </c>
      <c r="CS55" s="97" t="str">
        <f>IFERROR(__xludf.DUMMYFUNCTION("""COMPUTED_VALUE"""),"#REF!")</f>
        <v>#REF!</v>
      </c>
      <c r="CT55" s="95" t="str">
        <f>IFERROR(__xludf.DUMMYFUNCTION("""COMPUTED_VALUE"""),"#REF!")</f>
        <v>#REF!</v>
      </c>
      <c r="CU55" s="96" t="str">
        <f>IFERROR(__xludf.DUMMYFUNCTION("""COMPUTED_VALUE"""),"#REF!")</f>
        <v>#REF!</v>
      </c>
      <c r="CV55" s="97" t="str">
        <f>IFERROR(__xludf.DUMMYFUNCTION("""COMPUTED_VALUE"""),"#REF!")</f>
        <v>#REF!</v>
      </c>
      <c r="CW55" s="95" t="str">
        <f>IFERROR(__xludf.DUMMYFUNCTION("""COMPUTED_VALUE"""),"#REF!")</f>
        <v>#REF!</v>
      </c>
      <c r="CX55" s="96" t="str">
        <f>IFERROR(__xludf.DUMMYFUNCTION("""COMPUTED_VALUE"""),"#REF!")</f>
        <v>#REF!</v>
      </c>
      <c r="CY55" s="97" t="str">
        <f>IFERROR(__xludf.DUMMYFUNCTION("""COMPUTED_VALUE"""),"#REF!")</f>
        <v>#REF!</v>
      </c>
      <c r="CZ55" s="95" t="str">
        <f>IFERROR(__xludf.DUMMYFUNCTION("""COMPUTED_VALUE"""),"#REF!")</f>
        <v>#REF!</v>
      </c>
      <c r="DA55" s="96" t="str">
        <f>IFERROR(__xludf.DUMMYFUNCTION("""COMPUTED_VALUE"""),"#REF!")</f>
        <v>#REF!</v>
      </c>
      <c r="DB55" s="97" t="str">
        <f>IFERROR(__xludf.DUMMYFUNCTION("""COMPUTED_VALUE"""),"#REF!")</f>
        <v>#REF!</v>
      </c>
      <c r="DC55" s="95" t="str">
        <f>IFERROR(__xludf.DUMMYFUNCTION("""COMPUTED_VALUE"""),"#REF!")</f>
        <v>#REF!</v>
      </c>
      <c r="DD55" s="96" t="str">
        <f>IFERROR(__xludf.DUMMYFUNCTION("""COMPUTED_VALUE"""),"#REF!")</f>
        <v>#REF!</v>
      </c>
      <c r="DE55" s="97" t="str">
        <f>IFERROR(__xludf.DUMMYFUNCTION("""COMPUTED_VALUE"""),"#REF!")</f>
        <v>#REF!</v>
      </c>
      <c r="DF55" s="95" t="str">
        <f>IFERROR(__xludf.DUMMYFUNCTION("""COMPUTED_VALUE"""),"#REF!")</f>
        <v>#REF!</v>
      </c>
      <c r="DG55" s="96" t="str">
        <f>IFERROR(__xludf.DUMMYFUNCTION("""COMPUTED_VALUE"""),"#REF!")</f>
        <v>#REF!</v>
      </c>
      <c r="DH55" s="97" t="str">
        <f>IFERROR(__xludf.DUMMYFUNCTION("""COMPUTED_VALUE"""),"#REF!")</f>
        <v>#REF!</v>
      </c>
      <c r="DI55" s="95" t="str">
        <f>IFERROR(__xludf.DUMMYFUNCTION("""COMPUTED_VALUE"""),"#REF!")</f>
        <v>#REF!</v>
      </c>
      <c r="DJ55" s="96" t="str">
        <f>IFERROR(__xludf.DUMMYFUNCTION("""COMPUTED_VALUE"""),"#REF!")</f>
        <v>#REF!</v>
      </c>
      <c r="DK55" s="97" t="str">
        <f>IFERROR(__xludf.DUMMYFUNCTION("""COMPUTED_VALUE"""),"#REF!")</f>
        <v>#REF!</v>
      </c>
      <c r="DL55" s="95" t="str">
        <f>IFERROR(__xludf.DUMMYFUNCTION("""COMPUTED_VALUE"""),"#REF!")</f>
        <v>#REF!</v>
      </c>
      <c r="DM55" s="96" t="str">
        <f>IFERROR(__xludf.DUMMYFUNCTION("""COMPUTED_VALUE"""),"#REF!")</f>
        <v>#REF!</v>
      </c>
      <c r="DN55" s="97" t="str">
        <f>IFERROR(__xludf.DUMMYFUNCTION("""COMPUTED_VALUE"""),"#REF!")</f>
        <v>#REF!</v>
      </c>
      <c r="DO55" s="95" t="str">
        <f>IFERROR(__xludf.DUMMYFUNCTION("""COMPUTED_VALUE"""),"#REF!")</f>
        <v>#REF!</v>
      </c>
      <c r="DP55" s="96" t="str">
        <f>IFERROR(__xludf.DUMMYFUNCTION("""COMPUTED_VALUE"""),"#REF!")</f>
        <v>#REF!</v>
      </c>
      <c r="DQ55" s="97"/>
      <c r="DR55" s="95"/>
    </row>
    <row r="56">
      <c r="B56" s="83" t="str">
        <f>IFERROR(__xludf.DUMMYFUNCTION("""COMPUTED_VALUE"""),"FUY8")</f>
        <v>FUY8</v>
      </c>
      <c r="C56" s="82">
        <f>IFERROR(__xludf.DUMMYFUNCTION("""COMPUTED_VALUE"""),41.0)</f>
        <v>41</v>
      </c>
      <c r="D56" s="88" t="str">
        <f>IFERROR(__xludf.DUMMYFUNCTION("""COMPUTED_VALUE"""),"Mobile Coordinate No.0")</f>
        <v>Mobile Coordinate No.0</v>
      </c>
      <c r="E56" s="82" t="str">
        <f>IFERROR(__xludf.DUMMYFUNCTION("""COMPUTED_VALUE"""),"変動座標点0号（大空洞）")</f>
        <v>変動座標点0号（大空洞）</v>
      </c>
      <c r="F56" s="102">
        <f>IFERROR(__xludf.DUMMYFUNCTION("""COMPUTED_VALUE"""),7.0)</f>
        <v>7</v>
      </c>
      <c r="G56" s="82">
        <f>IFERROR(__xludf.DUMMYFUNCTION("""COMPUTED_VALUE"""),1113.0)</f>
        <v>1113</v>
      </c>
      <c r="H56" s="231" t="str">
        <f>IFERROR(__xludf.DUMMYFUNCTION("""COMPUTED_VALUE"""),"")</f>
        <v/>
      </c>
      <c r="I56" s="232" t="str">
        <f>IFERROR(__xludf.DUMMYFUNCTION("""COMPUTED_VALUE"""),"")</f>
        <v/>
      </c>
      <c r="J56" s="233" t="str">
        <f>IFERROR(__xludf.DUMMYFUNCTION("""COMPUTED_VALUE"""),"")</f>
        <v/>
      </c>
      <c r="K56" s="231" t="str">
        <f>IFERROR(__xludf.DUMMYFUNCTION("""COMPUTED_VALUE"""),"")</f>
        <v/>
      </c>
      <c r="L56" s="232" t="str">
        <f>IFERROR(__xludf.DUMMYFUNCTION("""COMPUTED_VALUE"""),"")</f>
        <v/>
      </c>
      <c r="M56" s="233" t="str">
        <f>IFERROR(__xludf.DUMMYFUNCTION("""COMPUTED_VALUE"""),"")</f>
        <v/>
      </c>
      <c r="N56" s="231" t="str">
        <f>IFERROR(__xludf.DUMMYFUNCTION("""COMPUTED_VALUE"""),"")</f>
        <v/>
      </c>
      <c r="O56" s="232" t="str">
        <f>IFERROR(__xludf.DUMMYFUNCTION("""COMPUTED_VALUE"""),"")</f>
        <v/>
      </c>
      <c r="P56" s="233" t="str">
        <f>IFERROR(__xludf.DUMMYFUNCTION("""COMPUTED_VALUE"""),"")</f>
        <v/>
      </c>
      <c r="Q56" s="231" t="str">
        <f>IFERROR(__xludf.DUMMYFUNCTION("""COMPUTED_VALUE"""),"")</f>
        <v/>
      </c>
      <c r="R56" s="232" t="str">
        <f>IFERROR(__xludf.DUMMYFUNCTION("""COMPUTED_VALUE"""),"")</f>
        <v/>
      </c>
      <c r="S56" s="233" t="str">
        <f>IFERROR(__xludf.DUMMYFUNCTION("""COMPUTED_VALUE"""),"")</f>
        <v/>
      </c>
      <c r="T56" s="231" t="str">
        <f>IFERROR(__xludf.DUMMYFUNCTION("""COMPUTED_VALUE"""),"")</f>
        <v/>
      </c>
      <c r="U56" s="232" t="str">
        <f>IFERROR(__xludf.DUMMYFUNCTION("""COMPUTED_VALUE"""),"")</f>
        <v/>
      </c>
      <c r="V56" s="233" t="str">
        <f>IFERROR(__xludf.DUMMYFUNCTION("""COMPUTED_VALUE"""),"")</f>
        <v/>
      </c>
      <c r="W56" s="231" t="str">
        <f>IFERROR(__xludf.DUMMYFUNCTION("""COMPUTED_VALUE"""),"")</f>
        <v/>
      </c>
      <c r="X56" s="232" t="str">
        <f>IFERROR(__xludf.DUMMYFUNCTION("""COMPUTED_VALUE"""),"")</f>
        <v/>
      </c>
      <c r="Y56" s="233" t="str">
        <f>IFERROR(__xludf.DUMMYFUNCTION("""COMPUTED_VALUE"""),"")</f>
        <v/>
      </c>
      <c r="Z56" s="231" t="str">
        <f>IFERROR(__xludf.DUMMYFUNCTION("""COMPUTED_VALUE"""),"")</f>
        <v/>
      </c>
      <c r="AA56" s="232" t="str">
        <f>IFERROR(__xludf.DUMMYFUNCTION("""COMPUTED_VALUE"""),"")</f>
        <v/>
      </c>
      <c r="AB56" s="233" t="str">
        <f>IFERROR(__xludf.DUMMYFUNCTION("""COMPUTED_VALUE"""),"")</f>
        <v/>
      </c>
      <c r="AC56" s="231" t="str">
        <f>IFERROR(__xludf.DUMMYFUNCTION("""COMPUTED_VALUE"""),"")</f>
        <v/>
      </c>
      <c r="AD56" s="232" t="str">
        <f>IFERROR(__xludf.DUMMYFUNCTION("""COMPUTED_VALUE"""),"")</f>
        <v/>
      </c>
      <c r="AE56" s="233" t="str">
        <f>IFERROR(__xludf.DUMMYFUNCTION("""COMPUTED_VALUE"""),"")</f>
        <v/>
      </c>
      <c r="AF56" s="231" t="str">
        <f>IFERROR(__xludf.DUMMYFUNCTION("""COMPUTED_VALUE"""),"")</f>
        <v/>
      </c>
      <c r="AG56" s="232" t="str">
        <f>IFERROR(__xludf.DUMMYFUNCTION("""COMPUTED_VALUE"""),"")</f>
        <v/>
      </c>
      <c r="AH56" s="233" t="str">
        <f>IFERROR(__xludf.DUMMYFUNCTION("""COMPUTED_VALUE"""),"")</f>
        <v/>
      </c>
      <c r="AI56" s="231" t="str">
        <f>IFERROR(__xludf.DUMMYFUNCTION("""COMPUTED_VALUE"""),"")</f>
        <v/>
      </c>
      <c r="AJ56" s="232" t="str">
        <f>IFERROR(__xludf.DUMMYFUNCTION("""COMPUTED_VALUE"""),"")</f>
        <v/>
      </c>
      <c r="AK56" s="233" t="str">
        <f>IFERROR(__xludf.DUMMYFUNCTION("""COMPUTED_VALUE"""),"")</f>
        <v/>
      </c>
      <c r="AL56" s="231" t="str">
        <f>IFERROR(__xludf.DUMMYFUNCTION("""COMPUTED_VALUE"""),"")</f>
        <v/>
      </c>
      <c r="AM56" s="232" t="str">
        <f>IFERROR(__xludf.DUMMYFUNCTION("""COMPUTED_VALUE"""),"")</f>
        <v/>
      </c>
      <c r="AN56" s="233" t="str">
        <f>IFERROR(__xludf.DUMMYFUNCTION("""COMPUTED_VALUE"""),"")</f>
        <v/>
      </c>
      <c r="AO56" s="231" t="str">
        <f>IFERROR(__xludf.DUMMYFUNCTION("""COMPUTED_VALUE"""),"")</f>
        <v/>
      </c>
      <c r="AP56" s="232" t="str">
        <f>IFERROR(__xludf.DUMMYFUNCTION("""COMPUTED_VALUE"""),"")</f>
        <v/>
      </c>
      <c r="AQ56" s="233" t="str">
        <f>IFERROR(__xludf.DUMMYFUNCTION("""COMPUTED_VALUE"""),"")</f>
        <v/>
      </c>
      <c r="AR56" s="231" t="str">
        <f>IFERROR(__xludf.DUMMYFUNCTION("""COMPUTED_VALUE"""),"")</f>
        <v/>
      </c>
      <c r="AS56" s="232" t="str">
        <f>IFERROR(__xludf.DUMMYFUNCTION("""COMPUTED_VALUE"""),"")</f>
        <v/>
      </c>
      <c r="AT56" s="233" t="str">
        <f>IFERROR(__xludf.DUMMYFUNCTION("""COMPUTED_VALUE"""),"")</f>
        <v/>
      </c>
      <c r="AU56" s="231" t="str">
        <f>IFERROR(__xludf.DUMMYFUNCTION("""COMPUTED_VALUE"""),"")</f>
        <v/>
      </c>
      <c r="AV56" s="232">
        <f>IFERROR(__xludf.DUMMYFUNCTION("""COMPUTED_VALUE"""),10.4)</f>
        <v>10.4</v>
      </c>
      <c r="AW56" s="233">
        <f>IFERROR(__xludf.DUMMYFUNCTION("""COMPUTED_VALUE"""),9.2)</f>
        <v>9.2</v>
      </c>
      <c r="AX56" s="231" t="str">
        <f>IFERROR(__xludf.DUMMYFUNCTION("""COMPUTED_VALUE"""),"")</f>
        <v/>
      </c>
      <c r="AY56" s="232" t="str">
        <f>IFERROR(__xludf.DUMMYFUNCTION("""COMPUTED_VALUE"""),"")</f>
        <v/>
      </c>
      <c r="AZ56" s="233" t="str">
        <f>IFERROR(__xludf.DUMMYFUNCTION("""COMPUTED_VALUE"""),"")</f>
        <v/>
      </c>
      <c r="BA56" s="231" t="str">
        <f>IFERROR(__xludf.DUMMYFUNCTION("""COMPUTED_VALUE"""),"")</f>
        <v/>
      </c>
      <c r="BB56" s="232" t="str">
        <f>IFERROR(__xludf.DUMMYFUNCTION("""COMPUTED_VALUE"""),"")</f>
        <v/>
      </c>
      <c r="BC56" s="233" t="str">
        <f>IFERROR(__xludf.DUMMYFUNCTION("""COMPUTED_VALUE"""),"")</f>
        <v/>
      </c>
      <c r="BD56" s="231" t="str">
        <f>IFERROR(__xludf.DUMMYFUNCTION("""COMPUTED_VALUE"""),"")</f>
        <v/>
      </c>
      <c r="BE56" s="232" t="str">
        <f>IFERROR(__xludf.DUMMYFUNCTION("""COMPUTED_VALUE"""),"")</f>
        <v/>
      </c>
      <c r="BF56" s="233" t="str">
        <f>IFERROR(__xludf.DUMMYFUNCTION("""COMPUTED_VALUE"""),"")</f>
        <v/>
      </c>
      <c r="BG56" s="231" t="str">
        <f>IFERROR(__xludf.DUMMYFUNCTION("""COMPUTED_VALUE"""),"")</f>
        <v/>
      </c>
      <c r="BH56" s="232" t="str">
        <f>IFERROR(__xludf.DUMMYFUNCTION("""COMPUTED_VALUE"""),"")</f>
        <v/>
      </c>
      <c r="BI56" s="233" t="str">
        <f>IFERROR(__xludf.DUMMYFUNCTION("""COMPUTED_VALUE"""),"")</f>
        <v/>
      </c>
      <c r="BJ56" s="231" t="str">
        <f>IFERROR(__xludf.DUMMYFUNCTION("""COMPUTED_VALUE"""),"")</f>
        <v/>
      </c>
      <c r="BK56" s="232" t="str">
        <f>IFERROR(__xludf.DUMMYFUNCTION("""COMPUTED_VALUE"""),"")</f>
        <v/>
      </c>
      <c r="BL56" s="233" t="str">
        <f>IFERROR(__xludf.DUMMYFUNCTION("""COMPUTED_VALUE"""),"")</f>
        <v/>
      </c>
      <c r="BM56" s="231" t="str">
        <f>IFERROR(__xludf.DUMMYFUNCTION("""COMPUTED_VALUE"""),"")</f>
        <v/>
      </c>
      <c r="BN56" s="232" t="str">
        <f>IFERROR(__xludf.DUMMYFUNCTION("""COMPUTED_VALUE"""),"")</f>
        <v/>
      </c>
      <c r="BO56" s="233" t="str">
        <f>IFERROR(__xludf.DUMMYFUNCTION("""COMPUTED_VALUE"""),"")</f>
        <v/>
      </c>
      <c r="BP56" s="231" t="str">
        <f>IFERROR(__xludf.DUMMYFUNCTION("""COMPUTED_VALUE"""),"")</f>
        <v/>
      </c>
      <c r="BQ56" s="232">
        <f>IFERROR(__xludf.DUMMYFUNCTION("""COMPUTED_VALUE"""),4.9)</f>
        <v>4.9</v>
      </c>
      <c r="BR56" s="233">
        <f>IFERROR(__xludf.DUMMYFUNCTION("""COMPUTED_VALUE"""),6.1)</f>
        <v>6.1</v>
      </c>
      <c r="BS56" s="231" t="str">
        <f>IFERROR(__xludf.DUMMYFUNCTION("""COMPUTED_VALUE"""),"")</f>
        <v/>
      </c>
      <c r="BT56" s="232" t="str">
        <f>IFERROR(__xludf.DUMMYFUNCTION("""COMPUTED_VALUE"""),"")</f>
        <v/>
      </c>
      <c r="BU56" s="233" t="str">
        <f>IFERROR(__xludf.DUMMYFUNCTION("""COMPUTED_VALUE"""),"")</f>
        <v/>
      </c>
      <c r="BV56" s="231">
        <f>IFERROR(__xludf.DUMMYFUNCTION("""COMPUTED_VALUE"""),18.3)</f>
        <v>18.3</v>
      </c>
      <c r="BW56" s="232" t="str">
        <f>IFERROR(__xludf.DUMMYFUNCTION("""COMPUTED_VALUE"""),"")</f>
        <v/>
      </c>
      <c r="BX56" s="233" t="str">
        <f>IFERROR(__xludf.DUMMYFUNCTION("""COMPUTED_VALUE"""),"")</f>
        <v/>
      </c>
      <c r="BY56" s="231" t="str">
        <f>IFERROR(__xludf.DUMMYFUNCTION("""COMPUTED_VALUE"""),"")</f>
        <v/>
      </c>
      <c r="BZ56" s="232" t="str">
        <f>IFERROR(__xludf.DUMMYFUNCTION("""COMPUTED_VALUE"""),"")</f>
        <v/>
      </c>
      <c r="CA56" s="233" t="str">
        <f>IFERROR(__xludf.DUMMYFUNCTION("""COMPUTED_VALUE"""),"")</f>
        <v/>
      </c>
      <c r="CB56" s="231" t="str">
        <f>IFERROR(__xludf.DUMMYFUNCTION("""COMPUTED_VALUE"""),"")</f>
        <v/>
      </c>
      <c r="CC56" s="232" t="str">
        <f>IFERROR(__xludf.DUMMYFUNCTION("""COMPUTED_VALUE"""),"")</f>
        <v/>
      </c>
      <c r="CD56" s="233" t="str">
        <f>IFERROR(__xludf.DUMMYFUNCTION("""COMPUTED_VALUE"""),"")</f>
        <v/>
      </c>
      <c r="CE56" s="234">
        <f>IFERROR(__xludf.DUMMYFUNCTION("""COMPUTED_VALUE"""),9.0)</f>
        <v>9</v>
      </c>
      <c r="CF56" s="230" t="str">
        <f>IFERROR(__xludf.DUMMYFUNCTION("""COMPUTED_VALUE"""),"")</f>
        <v/>
      </c>
      <c r="CG56" s="235" t="str">
        <f>IFERROR(__xludf.DUMMYFUNCTION("""COMPUTED_VALUE"""),"")</f>
        <v/>
      </c>
      <c r="CH56" s="234" t="str">
        <f>IFERROR(__xludf.DUMMYFUNCTION("""COMPUTED_VALUE"""),"")</f>
        <v/>
      </c>
      <c r="CI56" s="230" t="str">
        <f>IFERROR(__xludf.DUMMYFUNCTION("""COMPUTED_VALUE"""),"")</f>
        <v/>
      </c>
      <c r="CJ56" s="235" t="str">
        <f>IFERROR(__xludf.DUMMYFUNCTION("""COMPUTED_VALUE"""),"")</f>
        <v/>
      </c>
      <c r="CK56" s="95" t="str">
        <f>IFERROR(__xludf.DUMMYFUNCTION("""COMPUTED_VALUE"""),"")</f>
        <v/>
      </c>
      <c r="CL56" s="96" t="str">
        <f>IFERROR(__xludf.DUMMYFUNCTION("""COMPUTED_VALUE"""),"")</f>
        <v/>
      </c>
      <c r="CM56" s="97" t="str">
        <f>IFERROR(__xludf.DUMMYFUNCTION("""COMPUTED_VALUE"""),"")</f>
        <v/>
      </c>
      <c r="CN56" s="95" t="str">
        <f>IFERROR(__xludf.DUMMYFUNCTION("""COMPUTED_VALUE"""),"")</f>
        <v/>
      </c>
      <c r="CO56" s="96" t="str">
        <f>IFERROR(__xludf.DUMMYFUNCTION("""COMPUTED_VALUE"""),"")</f>
        <v/>
      </c>
      <c r="CP56" s="97" t="str">
        <f>IFERROR(__xludf.DUMMYFUNCTION("""COMPUTED_VALUE"""),"")</f>
        <v/>
      </c>
      <c r="CQ56" s="95" t="str">
        <f>IFERROR(__xludf.DUMMYFUNCTION("""COMPUTED_VALUE"""),"")</f>
        <v/>
      </c>
      <c r="CR56" s="96" t="str">
        <f>IFERROR(__xludf.DUMMYFUNCTION("""COMPUTED_VALUE"""),"")</f>
        <v/>
      </c>
      <c r="CS56" s="97" t="str">
        <f>IFERROR(__xludf.DUMMYFUNCTION("""COMPUTED_VALUE"""),"#REF!")</f>
        <v>#REF!</v>
      </c>
      <c r="CT56" s="95" t="str">
        <f>IFERROR(__xludf.DUMMYFUNCTION("""COMPUTED_VALUE"""),"#REF!")</f>
        <v>#REF!</v>
      </c>
      <c r="CU56" s="96" t="str">
        <f>IFERROR(__xludf.DUMMYFUNCTION("""COMPUTED_VALUE"""),"#REF!")</f>
        <v>#REF!</v>
      </c>
      <c r="CV56" s="97" t="str">
        <f>IFERROR(__xludf.DUMMYFUNCTION("""COMPUTED_VALUE"""),"#REF!")</f>
        <v>#REF!</v>
      </c>
      <c r="CW56" s="95" t="str">
        <f>IFERROR(__xludf.DUMMYFUNCTION("""COMPUTED_VALUE"""),"#REF!")</f>
        <v>#REF!</v>
      </c>
      <c r="CX56" s="96" t="str">
        <f>IFERROR(__xludf.DUMMYFUNCTION("""COMPUTED_VALUE"""),"#REF!")</f>
        <v>#REF!</v>
      </c>
      <c r="CY56" s="97" t="str">
        <f>IFERROR(__xludf.DUMMYFUNCTION("""COMPUTED_VALUE"""),"#REF!")</f>
        <v>#REF!</v>
      </c>
      <c r="CZ56" s="95" t="str">
        <f>IFERROR(__xludf.DUMMYFUNCTION("""COMPUTED_VALUE"""),"#REF!")</f>
        <v>#REF!</v>
      </c>
      <c r="DA56" s="96" t="str">
        <f>IFERROR(__xludf.DUMMYFUNCTION("""COMPUTED_VALUE"""),"#REF!")</f>
        <v>#REF!</v>
      </c>
      <c r="DB56" s="97" t="str">
        <f>IFERROR(__xludf.DUMMYFUNCTION("""COMPUTED_VALUE"""),"#REF!")</f>
        <v>#REF!</v>
      </c>
      <c r="DC56" s="95" t="str">
        <f>IFERROR(__xludf.DUMMYFUNCTION("""COMPUTED_VALUE"""),"#REF!")</f>
        <v>#REF!</v>
      </c>
      <c r="DD56" s="96" t="str">
        <f>IFERROR(__xludf.DUMMYFUNCTION("""COMPUTED_VALUE"""),"#REF!")</f>
        <v>#REF!</v>
      </c>
      <c r="DE56" s="97" t="str">
        <f>IFERROR(__xludf.DUMMYFUNCTION("""COMPUTED_VALUE"""),"#REF!")</f>
        <v>#REF!</v>
      </c>
      <c r="DF56" s="95" t="str">
        <f>IFERROR(__xludf.DUMMYFUNCTION("""COMPUTED_VALUE"""),"#REF!")</f>
        <v>#REF!</v>
      </c>
      <c r="DG56" s="96" t="str">
        <f>IFERROR(__xludf.DUMMYFUNCTION("""COMPUTED_VALUE"""),"#REF!")</f>
        <v>#REF!</v>
      </c>
      <c r="DH56" s="97" t="str">
        <f>IFERROR(__xludf.DUMMYFUNCTION("""COMPUTED_VALUE"""),"#REF!")</f>
        <v>#REF!</v>
      </c>
      <c r="DI56" s="95" t="str">
        <f>IFERROR(__xludf.DUMMYFUNCTION("""COMPUTED_VALUE"""),"#REF!")</f>
        <v>#REF!</v>
      </c>
      <c r="DJ56" s="96" t="str">
        <f>IFERROR(__xludf.DUMMYFUNCTION("""COMPUTED_VALUE"""),"#REF!")</f>
        <v>#REF!</v>
      </c>
      <c r="DK56" s="97" t="str">
        <f>IFERROR(__xludf.DUMMYFUNCTION("""COMPUTED_VALUE"""),"#REF!")</f>
        <v>#REF!</v>
      </c>
      <c r="DL56" s="95" t="str">
        <f>IFERROR(__xludf.DUMMYFUNCTION("""COMPUTED_VALUE"""),"#REF!")</f>
        <v>#REF!</v>
      </c>
      <c r="DM56" s="96" t="str">
        <f>IFERROR(__xludf.DUMMYFUNCTION("""COMPUTED_VALUE"""),"#REF!")</f>
        <v>#REF!</v>
      </c>
      <c r="DN56" s="97" t="str">
        <f>IFERROR(__xludf.DUMMYFUNCTION("""COMPUTED_VALUE"""),"#REF!")</f>
        <v>#REF!</v>
      </c>
      <c r="DO56" s="95" t="str">
        <f>IFERROR(__xludf.DUMMYFUNCTION("""COMPUTED_VALUE"""),"#REF!")</f>
        <v>#REF!</v>
      </c>
      <c r="DP56" s="96" t="str">
        <f>IFERROR(__xludf.DUMMYFUNCTION("""COMPUTED_VALUE"""),"#REF!")</f>
        <v>#REF!</v>
      </c>
      <c r="DQ56" s="97"/>
      <c r="DR56" s="95"/>
    </row>
    <row r="57">
      <c r="A57" s="115" t="str">
        <f>IFERROR(__xludf.DUMMYFUNCTION("""COMPUTED_VALUE"""),"ORLEANS")</f>
        <v>ORLEANS</v>
      </c>
      <c r="B57" s="83" t="str">
        <f>IFERROR(__xludf.DUMMYFUNCTION("""COMPUTED_VALUE"""),"ORL1")</f>
        <v>ORL1</v>
      </c>
      <c r="C57" s="82">
        <f>IFERROR(__xludf.DUMMYFUNCTION("""COMPUTED_VALUE"""),42.0)</f>
        <v>42</v>
      </c>
      <c r="D57" s="88" t="str">
        <f>IFERROR(__xludf.DUMMYFUNCTION("""COMPUTED_VALUE"""),"Domremy")</f>
        <v>Domremy</v>
      </c>
      <c r="E57" s="82" t="str">
        <f>IFERROR(__xludf.DUMMYFUNCTION("""COMPUTED_VALUE"""),"ドンレミ")</f>
        <v>ドンレミ</v>
      </c>
      <c r="F57" s="102">
        <f>IFERROR(__xludf.DUMMYFUNCTION("""COMPUTED_VALUE"""),7.0)</f>
        <v>7</v>
      </c>
      <c r="G57" s="82">
        <f>IFERROR(__xludf.DUMMYFUNCTION("""COMPUTED_VALUE"""),1532.0)</f>
        <v>1532</v>
      </c>
      <c r="H57" s="231" t="str">
        <f>IFERROR(__xludf.DUMMYFUNCTION("""COMPUTED_VALUE"""),"")</f>
        <v/>
      </c>
      <c r="I57" s="232" t="str">
        <f>IFERROR(__xludf.DUMMYFUNCTION("""COMPUTED_VALUE"""),"")</f>
        <v/>
      </c>
      <c r="J57" s="233" t="str">
        <f>IFERROR(__xludf.DUMMYFUNCTION("""COMPUTED_VALUE"""),"")</f>
        <v/>
      </c>
      <c r="K57" s="231" t="str">
        <f>IFERROR(__xludf.DUMMYFUNCTION("""COMPUTED_VALUE"""),"")</f>
        <v/>
      </c>
      <c r="L57" s="232" t="str">
        <f>IFERROR(__xludf.DUMMYFUNCTION("""COMPUTED_VALUE"""),"")</f>
        <v/>
      </c>
      <c r="M57" s="233" t="str">
        <f>IFERROR(__xludf.DUMMYFUNCTION("""COMPUTED_VALUE"""),"")</f>
        <v/>
      </c>
      <c r="N57" s="231" t="str">
        <f>IFERROR(__xludf.DUMMYFUNCTION("""COMPUTED_VALUE"""),"")</f>
        <v/>
      </c>
      <c r="O57" s="232" t="str">
        <f>IFERROR(__xludf.DUMMYFUNCTION("""COMPUTED_VALUE"""),"")</f>
        <v/>
      </c>
      <c r="P57" s="233" t="str">
        <f>IFERROR(__xludf.DUMMYFUNCTION("""COMPUTED_VALUE"""),"")</f>
        <v/>
      </c>
      <c r="Q57" s="231" t="str">
        <f>IFERROR(__xludf.DUMMYFUNCTION("""COMPUTED_VALUE"""),"")</f>
        <v/>
      </c>
      <c r="R57" s="232" t="str">
        <f>IFERROR(__xludf.DUMMYFUNCTION("""COMPUTED_VALUE"""),"")</f>
        <v/>
      </c>
      <c r="S57" s="233" t="str">
        <f>IFERROR(__xludf.DUMMYFUNCTION("""COMPUTED_VALUE"""),"")</f>
        <v/>
      </c>
      <c r="T57" s="231" t="str">
        <f>IFERROR(__xludf.DUMMYFUNCTION("""COMPUTED_VALUE"""),"")</f>
        <v/>
      </c>
      <c r="U57" s="232" t="str">
        <f>IFERROR(__xludf.DUMMYFUNCTION("""COMPUTED_VALUE"""),"")</f>
        <v/>
      </c>
      <c r="V57" s="233" t="str">
        <f>IFERROR(__xludf.DUMMYFUNCTION("""COMPUTED_VALUE"""),"")</f>
        <v/>
      </c>
      <c r="W57" s="231" t="str">
        <f>IFERROR(__xludf.DUMMYFUNCTION("""COMPUTED_VALUE"""),"")</f>
        <v/>
      </c>
      <c r="X57" s="232" t="str">
        <f>IFERROR(__xludf.DUMMYFUNCTION("""COMPUTED_VALUE"""),"")</f>
        <v/>
      </c>
      <c r="Y57" s="233" t="str">
        <f>IFERROR(__xludf.DUMMYFUNCTION("""COMPUTED_VALUE"""),"")</f>
        <v/>
      </c>
      <c r="Z57" s="231" t="str">
        <f>IFERROR(__xludf.DUMMYFUNCTION("""COMPUTED_VALUE"""),"")</f>
        <v/>
      </c>
      <c r="AA57" s="232" t="str">
        <f>IFERROR(__xludf.DUMMYFUNCTION("""COMPUTED_VALUE"""),"")</f>
        <v/>
      </c>
      <c r="AB57" s="233" t="str">
        <f>IFERROR(__xludf.DUMMYFUNCTION("""COMPUTED_VALUE"""),"")</f>
        <v/>
      </c>
      <c r="AC57" s="231" t="str">
        <f>IFERROR(__xludf.DUMMYFUNCTION("""COMPUTED_VALUE"""),"")</f>
        <v/>
      </c>
      <c r="AD57" s="232" t="str">
        <f>IFERROR(__xludf.DUMMYFUNCTION("""COMPUTED_VALUE"""),"")</f>
        <v/>
      </c>
      <c r="AE57" s="233" t="str">
        <f>IFERROR(__xludf.DUMMYFUNCTION("""COMPUTED_VALUE"""),"")</f>
        <v/>
      </c>
      <c r="AF57" s="231" t="str">
        <f>IFERROR(__xludf.DUMMYFUNCTION("""COMPUTED_VALUE"""),"")</f>
        <v/>
      </c>
      <c r="AG57" s="232" t="str">
        <f>IFERROR(__xludf.DUMMYFUNCTION("""COMPUTED_VALUE"""),"")</f>
        <v/>
      </c>
      <c r="AH57" s="233" t="str">
        <f>IFERROR(__xludf.DUMMYFUNCTION("""COMPUTED_VALUE"""),"")</f>
        <v/>
      </c>
      <c r="AI57" s="231" t="str">
        <f>IFERROR(__xludf.DUMMYFUNCTION("""COMPUTED_VALUE"""),"")</f>
        <v/>
      </c>
      <c r="AJ57" s="232" t="str">
        <f>IFERROR(__xludf.DUMMYFUNCTION("""COMPUTED_VALUE"""),"")</f>
        <v/>
      </c>
      <c r="AK57" s="233" t="str">
        <f>IFERROR(__xludf.DUMMYFUNCTION("""COMPUTED_VALUE"""),"")</f>
        <v/>
      </c>
      <c r="AL57" s="231" t="str">
        <f>IFERROR(__xludf.DUMMYFUNCTION("""COMPUTED_VALUE"""),"")</f>
        <v/>
      </c>
      <c r="AM57" s="232" t="str">
        <f>IFERROR(__xludf.DUMMYFUNCTION("""COMPUTED_VALUE"""),"")</f>
        <v/>
      </c>
      <c r="AN57" s="233" t="str">
        <f>IFERROR(__xludf.DUMMYFUNCTION("""COMPUTED_VALUE"""),"")</f>
        <v/>
      </c>
      <c r="AO57" s="231" t="str">
        <f>IFERROR(__xludf.DUMMYFUNCTION("""COMPUTED_VALUE"""),"")</f>
        <v/>
      </c>
      <c r="AP57" s="232" t="str">
        <f>IFERROR(__xludf.DUMMYFUNCTION("""COMPUTED_VALUE"""),"")</f>
        <v/>
      </c>
      <c r="AQ57" s="233" t="str">
        <f>IFERROR(__xludf.DUMMYFUNCTION("""COMPUTED_VALUE"""),"")</f>
        <v/>
      </c>
      <c r="AR57" s="231" t="str">
        <f>IFERROR(__xludf.DUMMYFUNCTION("""COMPUTED_VALUE"""),"")</f>
        <v/>
      </c>
      <c r="AS57" s="232" t="str">
        <f>IFERROR(__xludf.DUMMYFUNCTION("""COMPUTED_VALUE"""),"")</f>
        <v/>
      </c>
      <c r="AT57" s="233">
        <f>IFERROR(__xludf.DUMMYFUNCTION("""COMPUTED_VALUE"""),20.6)</f>
        <v>20.6</v>
      </c>
      <c r="AU57" s="231" t="str">
        <f>IFERROR(__xludf.DUMMYFUNCTION("""COMPUTED_VALUE"""),"")</f>
        <v/>
      </c>
      <c r="AV57" s="232" t="str">
        <f>IFERROR(__xludf.DUMMYFUNCTION("""COMPUTED_VALUE"""),"")</f>
        <v/>
      </c>
      <c r="AW57" s="233" t="str">
        <f>IFERROR(__xludf.DUMMYFUNCTION("""COMPUTED_VALUE"""),"")</f>
        <v/>
      </c>
      <c r="AX57" s="231" t="str">
        <f>IFERROR(__xludf.DUMMYFUNCTION("""COMPUTED_VALUE"""),"")</f>
        <v/>
      </c>
      <c r="AY57" s="232" t="str">
        <f>IFERROR(__xludf.DUMMYFUNCTION("""COMPUTED_VALUE"""),"")</f>
        <v/>
      </c>
      <c r="AZ57" s="233" t="str">
        <f>IFERROR(__xludf.DUMMYFUNCTION("""COMPUTED_VALUE"""),"")</f>
        <v/>
      </c>
      <c r="BA57" s="231" t="str">
        <f>IFERROR(__xludf.DUMMYFUNCTION("""COMPUTED_VALUE"""),"")</f>
        <v/>
      </c>
      <c r="BB57" s="232" t="str">
        <f>IFERROR(__xludf.DUMMYFUNCTION("""COMPUTED_VALUE"""),"")</f>
        <v/>
      </c>
      <c r="BC57" s="233" t="str">
        <f>IFERROR(__xludf.DUMMYFUNCTION("""COMPUTED_VALUE"""),"")</f>
        <v/>
      </c>
      <c r="BD57" s="231" t="str">
        <f>IFERROR(__xludf.DUMMYFUNCTION("""COMPUTED_VALUE"""),"")</f>
        <v/>
      </c>
      <c r="BE57" s="232" t="str">
        <f>IFERROR(__xludf.DUMMYFUNCTION("""COMPUTED_VALUE"""),"")</f>
        <v/>
      </c>
      <c r="BF57" s="233" t="str">
        <f>IFERROR(__xludf.DUMMYFUNCTION("""COMPUTED_VALUE"""),"")</f>
        <v/>
      </c>
      <c r="BG57" s="231" t="str">
        <f>IFERROR(__xludf.DUMMYFUNCTION("""COMPUTED_VALUE"""),"")</f>
        <v/>
      </c>
      <c r="BH57" s="232" t="str">
        <f>IFERROR(__xludf.DUMMYFUNCTION("""COMPUTED_VALUE"""),"")</f>
        <v/>
      </c>
      <c r="BI57" s="233" t="str">
        <f>IFERROR(__xludf.DUMMYFUNCTION("""COMPUTED_VALUE"""),"")</f>
        <v/>
      </c>
      <c r="BJ57" s="231" t="str">
        <f>IFERROR(__xludf.DUMMYFUNCTION("""COMPUTED_VALUE"""),"")</f>
        <v/>
      </c>
      <c r="BK57" s="232" t="str">
        <f>IFERROR(__xludf.DUMMYFUNCTION("""COMPUTED_VALUE"""),"")</f>
        <v/>
      </c>
      <c r="BL57" s="233" t="str">
        <f>IFERROR(__xludf.DUMMYFUNCTION("""COMPUTED_VALUE"""),"")</f>
        <v/>
      </c>
      <c r="BM57" s="231" t="str">
        <f>IFERROR(__xludf.DUMMYFUNCTION("""COMPUTED_VALUE"""),"")</f>
        <v/>
      </c>
      <c r="BN57" s="232" t="str">
        <f>IFERROR(__xludf.DUMMYFUNCTION("""COMPUTED_VALUE"""),"")</f>
        <v/>
      </c>
      <c r="BO57" s="233" t="str">
        <f>IFERROR(__xludf.DUMMYFUNCTION("""COMPUTED_VALUE"""),"")</f>
        <v/>
      </c>
      <c r="BP57" s="231" t="str">
        <f>IFERROR(__xludf.DUMMYFUNCTION("""COMPUTED_VALUE"""),"")</f>
        <v/>
      </c>
      <c r="BQ57" s="232">
        <f>IFERROR(__xludf.DUMMYFUNCTION("""COMPUTED_VALUE"""),26.6)</f>
        <v>26.6</v>
      </c>
      <c r="BR57" s="233" t="str">
        <f>IFERROR(__xludf.DUMMYFUNCTION("""COMPUTED_VALUE"""),"")</f>
        <v/>
      </c>
      <c r="BS57" s="231">
        <f>IFERROR(__xludf.DUMMYFUNCTION("""COMPUTED_VALUE"""),10.6)</f>
        <v>10.6</v>
      </c>
      <c r="BT57" s="232" t="str">
        <f>IFERROR(__xludf.DUMMYFUNCTION("""COMPUTED_VALUE"""),"")</f>
        <v/>
      </c>
      <c r="BU57" s="233" t="str">
        <f>IFERROR(__xludf.DUMMYFUNCTION("""COMPUTED_VALUE"""),"")</f>
        <v/>
      </c>
      <c r="BV57" s="231" t="str">
        <f>IFERROR(__xludf.DUMMYFUNCTION("""COMPUTED_VALUE"""),"")</f>
        <v/>
      </c>
      <c r="BW57" s="232" t="str">
        <f>IFERROR(__xludf.DUMMYFUNCTION("""COMPUTED_VALUE"""),"")</f>
        <v/>
      </c>
      <c r="BX57" s="233" t="str">
        <f>IFERROR(__xludf.DUMMYFUNCTION("""COMPUTED_VALUE"""),"")</f>
        <v/>
      </c>
      <c r="BY57" s="231" t="str">
        <f>IFERROR(__xludf.DUMMYFUNCTION("""COMPUTED_VALUE"""),"")</f>
        <v/>
      </c>
      <c r="BZ57" s="232" t="str">
        <f>IFERROR(__xludf.DUMMYFUNCTION("""COMPUTED_VALUE"""),"")</f>
        <v/>
      </c>
      <c r="CA57" s="233" t="str">
        <f>IFERROR(__xludf.DUMMYFUNCTION("""COMPUTED_VALUE"""),"")</f>
        <v/>
      </c>
      <c r="CB57" s="231" t="str">
        <f>IFERROR(__xludf.DUMMYFUNCTION("""COMPUTED_VALUE"""),"")</f>
        <v/>
      </c>
      <c r="CC57" s="232" t="str">
        <f>IFERROR(__xludf.DUMMYFUNCTION("""COMPUTED_VALUE"""),"")</f>
        <v/>
      </c>
      <c r="CD57" s="233" t="str">
        <f>IFERROR(__xludf.DUMMYFUNCTION("""COMPUTED_VALUE"""),"")</f>
        <v/>
      </c>
      <c r="CE57" s="234" t="str">
        <f>IFERROR(__xludf.DUMMYFUNCTION("""COMPUTED_VALUE"""),"")</f>
        <v/>
      </c>
      <c r="CF57" s="230" t="str">
        <f>IFERROR(__xludf.DUMMYFUNCTION("""COMPUTED_VALUE"""),"")</f>
        <v/>
      </c>
      <c r="CG57" s="235" t="str">
        <f>IFERROR(__xludf.DUMMYFUNCTION("""COMPUTED_VALUE"""),"")</f>
        <v/>
      </c>
      <c r="CH57" s="234" t="str">
        <f>IFERROR(__xludf.DUMMYFUNCTION("""COMPUTED_VALUE"""),"")</f>
        <v/>
      </c>
      <c r="CI57" s="230" t="str">
        <f>IFERROR(__xludf.DUMMYFUNCTION("""COMPUTED_VALUE"""),"")</f>
        <v/>
      </c>
      <c r="CJ57" s="235" t="str">
        <f>IFERROR(__xludf.DUMMYFUNCTION("""COMPUTED_VALUE"""),"")</f>
        <v/>
      </c>
      <c r="CK57" s="95" t="str">
        <f>IFERROR(__xludf.DUMMYFUNCTION("""COMPUTED_VALUE"""),"")</f>
        <v/>
      </c>
      <c r="CL57" s="96" t="str">
        <f>IFERROR(__xludf.DUMMYFUNCTION("""COMPUTED_VALUE"""),"")</f>
        <v/>
      </c>
      <c r="CM57" s="97" t="str">
        <f>IFERROR(__xludf.DUMMYFUNCTION("""COMPUTED_VALUE"""),"")</f>
        <v/>
      </c>
      <c r="CN57" s="95" t="str">
        <f>IFERROR(__xludf.DUMMYFUNCTION("""COMPUTED_VALUE"""),"")</f>
        <v/>
      </c>
      <c r="CO57" s="96" t="str">
        <f>IFERROR(__xludf.DUMMYFUNCTION("""COMPUTED_VALUE"""),"")</f>
        <v/>
      </c>
      <c r="CP57" s="97" t="str">
        <f>IFERROR(__xludf.DUMMYFUNCTION("""COMPUTED_VALUE"""),"")</f>
        <v/>
      </c>
      <c r="CQ57" s="95" t="str">
        <f>IFERROR(__xludf.DUMMYFUNCTION("""COMPUTED_VALUE"""),"")</f>
        <v/>
      </c>
      <c r="CR57" s="96" t="str">
        <f>IFERROR(__xludf.DUMMYFUNCTION("""COMPUTED_VALUE"""),"")</f>
        <v/>
      </c>
      <c r="CS57" s="97" t="str">
        <f>IFERROR(__xludf.DUMMYFUNCTION("""COMPUTED_VALUE"""),"#REF!")</f>
        <v>#REF!</v>
      </c>
      <c r="CT57" s="95" t="str">
        <f>IFERROR(__xludf.DUMMYFUNCTION("""COMPUTED_VALUE"""),"#REF!")</f>
        <v>#REF!</v>
      </c>
      <c r="CU57" s="96" t="str">
        <f>IFERROR(__xludf.DUMMYFUNCTION("""COMPUTED_VALUE"""),"#REF!")</f>
        <v>#REF!</v>
      </c>
      <c r="CV57" s="97" t="str">
        <f>IFERROR(__xludf.DUMMYFUNCTION("""COMPUTED_VALUE"""),"#REF!")</f>
        <v>#REF!</v>
      </c>
      <c r="CW57" s="95" t="str">
        <f>IFERROR(__xludf.DUMMYFUNCTION("""COMPUTED_VALUE"""),"#REF!")</f>
        <v>#REF!</v>
      </c>
      <c r="CX57" s="96" t="str">
        <f>IFERROR(__xludf.DUMMYFUNCTION("""COMPUTED_VALUE"""),"#REF!")</f>
        <v>#REF!</v>
      </c>
      <c r="CY57" s="97" t="str">
        <f>IFERROR(__xludf.DUMMYFUNCTION("""COMPUTED_VALUE"""),"#REF!")</f>
        <v>#REF!</v>
      </c>
      <c r="CZ57" s="95" t="str">
        <f>IFERROR(__xludf.DUMMYFUNCTION("""COMPUTED_VALUE"""),"#REF!")</f>
        <v>#REF!</v>
      </c>
      <c r="DA57" s="96" t="str">
        <f>IFERROR(__xludf.DUMMYFUNCTION("""COMPUTED_VALUE"""),"#REF!")</f>
        <v>#REF!</v>
      </c>
      <c r="DB57" s="97" t="str">
        <f>IFERROR(__xludf.DUMMYFUNCTION("""COMPUTED_VALUE"""),"#REF!")</f>
        <v>#REF!</v>
      </c>
      <c r="DC57" s="95" t="str">
        <f>IFERROR(__xludf.DUMMYFUNCTION("""COMPUTED_VALUE"""),"#REF!")</f>
        <v>#REF!</v>
      </c>
      <c r="DD57" s="96" t="str">
        <f>IFERROR(__xludf.DUMMYFUNCTION("""COMPUTED_VALUE"""),"#REF!")</f>
        <v>#REF!</v>
      </c>
      <c r="DE57" s="97" t="str">
        <f>IFERROR(__xludf.DUMMYFUNCTION("""COMPUTED_VALUE"""),"#REF!")</f>
        <v>#REF!</v>
      </c>
      <c r="DF57" s="95" t="str">
        <f>IFERROR(__xludf.DUMMYFUNCTION("""COMPUTED_VALUE"""),"#REF!")</f>
        <v>#REF!</v>
      </c>
      <c r="DG57" s="96" t="str">
        <f>IFERROR(__xludf.DUMMYFUNCTION("""COMPUTED_VALUE"""),"#REF!")</f>
        <v>#REF!</v>
      </c>
      <c r="DH57" s="97" t="str">
        <f>IFERROR(__xludf.DUMMYFUNCTION("""COMPUTED_VALUE"""),"#REF!")</f>
        <v>#REF!</v>
      </c>
      <c r="DI57" s="95" t="str">
        <f>IFERROR(__xludf.DUMMYFUNCTION("""COMPUTED_VALUE"""),"#REF!")</f>
        <v>#REF!</v>
      </c>
      <c r="DJ57" s="96" t="str">
        <f>IFERROR(__xludf.DUMMYFUNCTION("""COMPUTED_VALUE"""),"#REF!")</f>
        <v>#REF!</v>
      </c>
      <c r="DK57" s="97" t="str">
        <f>IFERROR(__xludf.DUMMYFUNCTION("""COMPUTED_VALUE"""),"#REF!")</f>
        <v>#REF!</v>
      </c>
      <c r="DL57" s="95" t="str">
        <f>IFERROR(__xludf.DUMMYFUNCTION("""COMPUTED_VALUE"""),"#REF!")</f>
        <v>#REF!</v>
      </c>
      <c r="DM57" s="96" t="str">
        <f>IFERROR(__xludf.DUMMYFUNCTION("""COMPUTED_VALUE"""),"#REF!")</f>
        <v>#REF!</v>
      </c>
      <c r="DN57" s="97" t="str">
        <f>IFERROR(__xludf.DUMMYFUNCTION("""COMPUTED_VALUE"""),"#REF!")</f>
        <v>#REF!</v>
      </c>
      <c r="DO57" s="95" t="str">
        <f>IFERROR(__xludf.DUMMYFUNCTION("""COMPUTED_VALUE"""),"#REF!")</f>
        <v>#REF!</v>
      </c>
      <c r="DP57" s="96" t="str">
        <f>IFERROR(__xludf.DUMMYFUNCTION("""COMPUTED_VALUE"""),"#REF!")</f>
        <v>#REF!</v>
      </c>
      <c r="DQ57" s="97"/>
      <c r="DR57" s="95"/>
    </row>
    <row r="58">
      <c r="B58" s="83" t="str">
        <f>IFERROR(__xludf.DUMMYFUNCTION("""COMPUTED_VALUE"""),"ORL2")</f>
        <v>ORL2</v>
      </c>
      <c r="C58" s="82">
        <f>IFERROR(__xludf.DUMMYFUNCTION("""COMPUTED_VALUE"""),43.0)</f>
        <v>43</v>
      </c>
      <c r="D58" s="88" t="str">
        <f>IFERROR(__xludf.DUMMYFUNCTION("""COMPUTED_VALUE"""),"Vaucouleurs")</f>
        <v>Vaucouleurs</v>
      </c>
      <c r="E58" s="82" t="str">
        <f>IFERROR(__xludf.DUMMYFUNCTION("""COMPUTED_VALUE"""),"ヴォークルール")</f>
        <v>ヴォークルール</v>
      </c>
      <c r="F58" s="102">
        <f>IFERROR(__xludf.DUMMYFUNCTION("""COMPUTED_VALUE"""),7.0)</f>
        <v>7</v>
      </c>
      <c r="G58" s="82">
        <f>IFERROR(__xludf.DUMMYFUNCTION("""COMPUTED_VALUE"""),1014.0)</f>
        <v>1014</v>
      </c>
      <c r="H58" s="231" t="str">
        <f>IFERROR(__xludf.DUMMYFUNCTION("""COMPUTED_VALUE"""),"")</f>
        <v/>
      </c>
      <c r="I58" s="232" t="str">
        <f>IFERROR(__xludf.DUMMYFUNCTION("""COMPUTED_VALUE"""),"")</f>
        <v/>
      </c>
      <c r="J58" s="233" t="str">
        <f>IFERROR(__xludf.DUMMYFUNCTION("""COMPUTED_VALUE"""),"")</f>
        <v/>
      </c>
      <c r="K58" s="231" t="str">
        <f>IFERROR(__xludf.DUMMYFUNCTION("""COMPUTED_VALUE"""),"")</f>
        <v/>
      </c>
      <c r="L58" s="232" t="str">
        <f>IFERROR(__xludf.DUMMYFUNCTION("""COMPUTED_VALUE"""),"")</f>
        <v/>
      </c>
      <c r="M58" s="233" t="str">
        <f>IFERROR(__xludf.DUMMYFUNCTION("""COMPUTED_VALUE"""),"")</f>
        <v/>
      </c>
      <c r="N58" s="231" t="str">
        <f>IFERROR(__xludf.DUMMYFUNCTION("""COMPUTED_VALUE"""),"")</f>
        <v/>
      </c>
      <c r="O58" s="232" t="str">
        <f>IFERROR(__xludf.DUMMYFUNCTION("""COMPUTED_VALUE"""),"")</f>
        <v/>
      </c>
      <c r="P58" s="233" t="str">
        <f>IFERROR(__xludf.DUMMYFUNCTION("""COMPUTED_VALUE"""),"")</f>
        <v/>
      </c>
      <c r="Q58" s="231" t="str">
        <f>IFERROR(__xludf.DUMMYFUNCTION("""COMPUTED_VALUE"""),"")</f>
        <v/>
      </c>
      <c r="R58" s="232" t="str">
        <f>IFERROR(__xludf.DUMMYFUNCTION("""COMPUTED_VALUE"""),"")</f>
        <v/>
      </c>
      <c r="S58" s="233" t="str">
        <f>IFERROR(__xludf.DUMMYFUNCTION("""COMPUTED_VALUE"""),"")</f>
        <v/>
      </c>
      <c r="T58" s="231" t="str">
        <f>IFERROR(__xludf.DUMMYFUNCTION("""COMPUTED_VALUE"""),"")</f>
        <v/>
      </c>
      <c r="U58" s="232" t="str">
        <f>IFERROR(__xludf.DUMMYFUNCTION("""COMPUTED_VALUE"""),"")</f>
        <v/>
      </c>
      <c r="V58" s="233" t="str">
        <f>IFERROR(__xludf.DUMMYFUNCTION("""COMPUTED_VALUE"""),"")</f>
        <v/>
      </c>
      <c r="W58" s="231" t="str">
        <f>IFERROR(__xludf.DUMMYFUNCTION("""COMPUTED_VALUE"""),"")</f>
        <v/>
      </c>
      <c r="X58" s="232" t="str">
        <f>IFERROR(__xludf.DUMMYFUNCTION("""COMPUTED_VALUE"""),"")</f>
        <v/>
      </c>
      <c r="Y58" s="233" t="str">
        <f>IFERROR(__xludf.DUMMYFUNCTION("""COMPUTED_VALUE"""),"")</f>
        <v/>
      </c>
      <c r="Z58" s="231" t="str">
        <f>IFERROR(__xludf.DUMMYFUNCTION("""COMPUTED_VALUE"""),"")</f>
        <v/>
      </c>
      <c r="AA58" s="232" t="str">
        <f>IFERROR(__xludf.DUMMYFUNCTION("""COMPUTED_VALUE"""),"")</f>
        <v/>
      </c>
      <c r="AB58" s="233" t="str">
        <f>IFERROR(__xludf.DUMMYFUNCTION("""COMPUTED_VALUE"""),"")</f>
        <v/>
      </c>
      <c r="AC58" s="231" t="str">
        <f>IFERROR(__xludf.DUMMYFUNCTION("""COMPUTED_VALUE"""),"")</f>
        <v/>
      </c>
      <c r="AD58" s="232" t="str">
        <f>IFERROR(__xludf.DUMMYFUNCTION("""COMPUTED_VALUE"""),"")</f>
        <v/>
      </c>
      <c r="AE58" s="233" t="str">
        <f>IFERROR(__xludf.DUMMYFUNCTION("""COMPUTED_VALUE"""),"")</f>
        <v/>
      </c>
      <c r="AF58" s="231" t="str">
        <f>IFERROR(__xludf.DUMMYFUNCTION("""COMPUTED_VALUE"""),"")</f>
        <v/>
      </c>
      <c r="AG58" s="232" t="str">
        <f>IFERROR(__xludf.DUMMYFUNCTION("""COMPUTED_VALUE"""),"")</f>
        <v/>
      </c>
      <c r="AH58" s="233" t="str">
        <f>IFERROR(__xludf.DUMMYFUNCTION("""COMPUTED_VALUE"""),"")</f>
        <v/>
      </c>
      <c r="AI58" s="231" t="str">
        <f>IFERROR(__xludf.DUMMYFUNCTION("""COMPUTED_VALUE"""),"")</f>
        <v/>
      </c>
      <c r="AJ58" s="232" t="str">
        <f>IFERROR(__xludf.DUMMYFUNCTION("""COMPUTED_VALUE"""),"")</f>
        <v/>
      </c>
      <c r="AK58" s="233" t="str">
        <f>IFERROR(__xludf.DUMMYFUNCTION("""COMPUTED_VALUE"""),"")</f>
        <v/>
      </c>
      <c r="AL58" s="231" t="str">
        <f>IFERROR(__xludf.DUMMYFUNCTION("""COMPUTED_VALUE"""),"")</f>
        <v/>
      </c>
      <c r="AM58" s="232" t="str">
        <f>IFERROR(__xludf.DUMMYFUNCTION("""COMPUTED_VALUE"""),"")</f>
        <v/>
      </c>
      <c r="AN58" s="233" t="str">
        <f>IFERROR(__xludf.DUMMYFUNCTION("""COMPUTED_VALUE"""),"")</f>
        <v/>
      </c>
      <c r="AO58" s="231" t="str">
        <f>IFERROR(__xludf.DUMMYFUNCTION("""COMPUTED_VALUE"""),"")</f>
        <v/>
      </c>
      <c r="AP58" s="232" t="str">
        <f>IFERROR(__xludf.DUMMYFUNCTION("""COMPUTED_VALUE"""),"")</f>
        <v/>
      </c>
      <c r="AQ58" s="233" t="str">
        <f>IFERROR(__xludf.DUMMYFUNCTION("""COMPUTED_VALUE"""),"")</f>
        <v/>
      </c>
      <c r="AR58" s="231" t="str">
        <f>IFERROR(__xludf.DUMMYFUNCTION("""COMPUTED_VALUE"""),"")</f>
        <v/>
      </c>
      <c r="AS58" s="232" t="str">
        <f>IFERROR(__xludf.DUMMYFUNCTION("""COMPUTED_VALUE"""),"")</f>
        <v/>
      </c>
      <c r="AT58" s="233" t="str">
        <f>IFERROR(__xludf.DUMMYFUNCTION("""COMPUTED_VALUE"""),"")</f>
        <v/>
      </c>
      <c r="AU58" s="231">
        <f>IFERROR(__xludf.DUMMYFUNCTION("""COMPUTED_VALUE"""),5.6)</f>
        <v>5.6</v>
      </c>
      <c r="AV58" s="232">
        <f>IFERROR(__xludf.DUMMYFUNCTION("""COMPUTED_VALUE"""),8.8)</f>
        <v>8.8</v>
      </c>
      <c r="AW58" s="233" t="str">
        <f>IFERROR(__xludf.DUMMYFUNCTION("""COMPUTED_VALUE"""),"")</f>
        <v/>
      </c>
      <c r="AX58" s="231" t="str">
        <f>IFERROR(__xludf.DUMMYFUNCTION("""COMPUTED_VALUE"""),"")</f>
        <v/>
      </c>
      <c r="AY58" s="232" t="str">
        <f>IFERROR(__xludf.DUMMYFUNCTION("""COMPUTED_VALUE"""),"")</f>
        <v/>
      </c>
      <c r="AZ58" s="233" t="str">
        <f>IFERROR(__xludf.DUMMYFUNCTION("""COMPUTED_VALUE"""),"")</f>
        <v/>
      </c>
      <c r="BA58" s="231" t="str">
        <f>IFERROR(__xludf.DUMMYFUNCTION("""COMPUTED_VALUE"""),"")</f>
        <v/>
      </c>
      <c r="BB58" s="232" t="str">
        <f>IFERROR(__xludf.DUMMYFUNCTION("""COMPUTED_VALUE"""),"")</f>
        <v/>
      </c>
      <c r="BC58" s="233" t="str">
        <f>IFERROR(__xludf.DUMMYFUNCTION("""COMPUTED_VALUE"""),"")</f>
        <v/>
      </c>
      <c r="BD58" s="231" t="str">
        <f>IFERROR(__xludf.DUMMYFUNCTION("""COMPUTED_VALUE"""),"")</f>
        <v/>
      </c>
      <c r="BE58" s="232" t="str">
        <f>IFERROR(__xludf.DUMMYFUNCTION("""COMPUTED_VALUE"""),"")</f>
        <v/>
      </c>
      <c r="BF58" s="233" t="str">
        <f>IFERROR(__xludf.DUMMYFUNCTION("""COMPUTED_VALUE"""),"")</f>
        <v/>
      </c>
      <c r="BG58" s="231" t="str">
        <f>IFERROR(__xludf.DUMMYFUNCTION("""COMPUTED_VALUE"""),"")</f>
        <v/>
      </c>
      <c r="BH58" s="232" t="str">
        <f>IFERROR(__xludf.DUMMYFUNCTION("""COMPUTED_VALUE"""),"")</f>
        <v/>
      </c>
      <c r="BI58" s="233" t="str">
        <f>IFERROR(__xludf.DUMMYFUNCTION("""COMPUTED_VALUE"""),"")</f>
        <v/>
      </c>
      <c r="BJ58" s="231" t="str">
        <f>IFERROR(__xludf.DUMMYFUNCTION("""COMPUTED_VALUE"""),"")</f>
        <v/>
      </c>
      <c r="BK58" s="232" t="str">
        <f>IFERROR(__xludf.DUMMYFUNCTION("""COMPUTED_VALUE"""),"")</f>
        <v/>
      </c>
      <c r="BL58" s="233" t="str">
        <f>IFERROR(__xludf.DUMMYFUNCTION("""COMPUTED_VALUE"""),"")</f>
        <v/>
      </c>
      <c r="BM58" s="231" t="str">
        <f>IFERROR(__xludf.DUMMYFUNCTION("""COMPUTED_VALUE"""),"")</f>
        <v/>
      </c>
      <c r="BN58" s="232" t="str">
        <f>IFERROR(__xludf.DUMMYFUNCTION("""COMPUTED_VALUE"""),"")</f>
        <v/>
      </c>
      <c r="BO58" s="233" t="str">
        <f>IFERROR(__xludf.DUMMYFUNCTION("""COMPUTED_VALUE"""),"")</f>
        <v/>
      </c>
      <c r="BP58" s="231" t="str">
        <f>IFERROR(__xludf.DUMMYFUNCTION("""COMPUTED_VALUE"""),"")</f>
        <v/>
      </c>
      <c r="BQ58" s="232">
        <f>IFERROR(__xludf.DUMMYFUNCTION("""COMPUTED_VALUE"""),9.9)</f>
        <v>9.9</v>
      </c>
      <c r="BR58" s="233" t="str">
        <f>IFERROR(__xludf.DUMMYFUNCTION("""COMPUTED_VALUE"""),"")</f>
        <v/>
      </c>
      <c r="BS58" s="231" t="str">
        <f>IFERROR(__xludf.DUMMYFUNCTION("""COMPUTED_VALUE"""),"")</f>
        <v/>
      </c>
      <c r="BT58" s="232">
        <f>IFERROR(__xludf.DUMMYFUNCTION("""COMPUTED_VALUE"""),17.9)</f>
        <v>17.9</v>
      </c>
      <c r="BU58" s="233" t="str">
        <f>IFERROR(__xludf.DUMMYFUNCTION("""COMPUTED_VALUE"""),"")</f>
        <v/>
      </c>
      <c r="BV58" s="231" t="str">
        <f>IFERROR(__xludf.DUMMYFUNCTION("""COMPUTED_VALUE"""),"")</f>
        <v/>
      </c>
      <c r="BW58" s="232" t="str">
        <f>IFERROR(__xludf.DUMMYFUNCTION("""COMPUTED_VALUE"""),"")</f>
        <v/>
      </c>
      <c r="BX58" s="233" t="str">
        <f>IFERROR(__xludf.DUMMYFUNCTION("""COMPUTED_VALUE"""),"")</f>
        <v/>
      </c>
      <c r="BY58" s="231" t="str">
        <f>IFERROR(__xludf.DUMMYFUNCTION("""COMPUTED_VALUE"""),"")</f>
        <v/>
      </c>
      <c r="BZ58" s="232" t="str">
        <f>IFERROR(__xludf.DUMMYFUNCTION("""COMPUTED_VALUE"""),"")</f>
        <v/>
      </c>
      <c r="CA58" s="233" t="str">
        <f>IFERROR(__xludf.DUMMYFUNCTION("""COMPUTED_VALUE"""),"")</f>
        <v/>
      </c>
      <c r="CB58" s="231" t="str">
        <f>IFERROR(__xludf.DUMMYFUNCTION("""COMPUTED_VALUE"""),"")</f>
        <v/>
      </c>
      <c r="CC58" s="232" t="str">
        <f>IFERROR(__xludf.DUMMYFUNCTION("""COMPUTED_VALUE"""),"")</f>
        <v/>
      </c>
      <c r="CD58" s="233" t="str">
        <f>IFERROR(__xludf.DUMMYFUNCTION("""COMPUTED_VALUE"""),"")</f>
        <v/>
      </c>
      <c r="CE58" s="234" t="str">
        <f>IFERROR(__xludf.DUMMYFUNCTION("""COMPUTED_VALUE"""),"")</f>
        <v/>
      </c>
      <c r="CF58" s="230" t="str">
        <f>IFERROR(__xludf.DUMMYFUNCTION("""COMPUTED_VALUE"""),"")</f>
        <v/>
      </c>
      <c r="CG58" s="235" t="str">
        <f>IFERROR(__xludf.DUMMYFUNCTION("""COMPUTED_VALUE"""),"")</f>
        <v/>
      </c>
      <c r="CH58" s="234" t="str">
        <f>IFERROR(__xludf.DUMMYFUNCTION("""COMPUTED_VALUE"""),"")</f>
        <v/>
      </c>
      <c r="CI58" s="230" t="str">
        <f>IFERROR(__xludf.DUMMYFUNCTION("""COMPUTED_VALUE"""),"")</f>
        <v/>
      </c>
      <c r="CJ58" s="235" t="str">
        <f>IFERROR(__xludf.DUMMYFUNCTION("""COMPUTED_VALUE"""),"")</f>
        <v/>
      </c>
      <c r="CK58" s="95" t="str">
        <f>IFERROR(__xludf.DUMMYFUNCTION("""COMPUTED_VALUE"""),"")</f>
        <v/>
      </c>
      <c r="CL58" s="96" t="str">
        <f>IFERROR(__xludf.DUMMYFUNCTION("""COMPUTED_VALUE"""),"")</f>
        <v/>
      </c>
      <c r="CM58" s="97" t="str">
        <f>IFERROR(__xludf.DUMMYFUNCTION("""COMPUTED_VALUE"""),"")</f>
        <v/>
      </c>
      <c r="CN58" s="95" t="str">
        <f>IFERROR(__xludf.DUMMYFUNCTION("""COMPUTED_VALUE"""),"")</f>
        <v/>
      </c>
      <c r="CO58" s="96" t="str">
        <f>IFERROR(__xludf.DUMMYFUNCTION("""COMPUTED_VALUE"""),"")</f>
        <v/>
      </c>
      <c r="CP58" s="97" t="str">
        <f>IFERROR(__xludf.DUMMYFUNCTION("""COMPUTED_VALUE"""),"")</f>
        <v/>
      </c>
      <c r="CQ58" s="95" t="str">
        <f>IFERROR(__xludf.DUMMYFUNCTION("""COMPUTED_VALUE"""),"")</f>
        <v/>
      </c>
      <c r="CR58" s="96" t="str">
        <f>IFERROR(__xludf.DUMMYFUNCTION("""COMPUTED_VALUE"""),"")</f>
        <v/>
      </c>
      <c r="CS58" s="97" t="str">
        <f>IFERROR(__xludf.DUMMYFUNCTION("""COMPUTED_VALUE"""),"#REF!")</f>
        <v>#REF!</v>
      </c>
      <c r="CT58" s="95" t="str">
        <f>IFERROR(__xludf.DUMMYFUNCTION("""COMPUTED_VALUE"""),"#REF!")</f>
        <v>#REF!</v>
      </c>
      <c r="CU58" s="96" t="str">
        <f>IFERROR(__xludf.DUMMYFUNCTION("""COMPUTED_VALUE"""),"#REF!")</f>
        <v>#REF!</v>
      </c>
      <c r="CV58" s="97" t="str">
        <f>IFERROR(__xludf.DUMMYFUNCTION("""COMPUTED_VALUE"""),"#REF!")</f>
        <v>#REF!</v>
      </c>
      <c r="CW58" s="95" t="str">
        <f>IFERROR(__xludf.DUMMYFUNCTION("""COMPUTED_VALUE"""),"#REF!")</f>
        <v>#REF!</v>
      </c>
      <c r="CX58" s="96" t="str">
        <f>IFERROR(__xludf.DUMMYFUNCTION("""COMPUTED_VALUE"""),"#REF!")</f>
        <v>#REF!</v>
      </c>
      <c r="CY58" s="97" t="str">
        <f>IFERROR(__xludf.DUMMYFUNCTION("""COMPUTED_VALUE"""),"#REF!")</f>
        <v>#REF!</v>
      </c>
      <c r="CZ58" s="95" t="str">
        <f>IFERROR(__xludf.DUMMYFUNCTION("""COMPUTED_VALUE"""),"#REF!")</f>
        <v>#REF!</v>
      </c>
      <c r="DA58" s="96" t="str">
        <f>IFERROR(__xludf.DUMMYFUNCTION("""COMPUTED_VALUE"""),"#REF!")</f>
        <v>#REF!</v>
      </c>
      <c r="DB58" s="97" t="str">
        <f>IFERROR(__xludf.DUMMYFUNCTION("""COMPUTED_VALUE"""),"#REF!")</f>
        <v>#REF!</v>
      </c>
      <c r="DC58" s="95" t="str">
        <f>IFERROR(__xludf.DUMMYFUNCTION("""COMPUTED_VALUE"""),"#REF!")</f>
        <v>#REF!</v>
      </c>
      <c r="DD58" s="96" t="str">
        <f>IFERROR(__xludf.DUMMYFUNCTION("""COMPUTED_VALUE"""),"#REF!")</f>
        <v>#REF!</v>
      </c>
      <c r="DE58" s="97" t="str">
        <f>IFERROR(__xludf.DUMMYFUNCTION("""COMPUTED_VALUE"""),"#REF!")</f>
        <v>#REF!</v>
      </c>
      <c r="DF58" s="95" t="str">
        <f>IFERROR(__xludf.DUMMYFUNCTION("""COMPUTED_VALUE"""),"#REF!")</f>
        <v>#REF!</v>
      </c>
      <c r="DG58" s="96" t="str">
        <f>IFERROR(__xludf.DUMMYFUNCTION("""COMPUTED_VALUE"""),"#REF!")</f>
        <v>#REF!</v>
      </c>
      <c r="DH58" s="97" t="str">
        <f>IFERROR(__xludf.DUMMYFUNCTION("""COMPUTED_VALUE"""),"#REF!")</f>
        <v>#REF!</v>
      </c>
      <c r="DI58" s="95" t="str">
        <f>IFERROR(__xludf.DUMMYFUNCTION("""COMPUTED_VALUE"""),"#REF!")</f>
        <v>#REF!</v>
      </c>
      <c r="DJ58" s="96" t="str">
        <f>IFERROR(__xludf.DUMMYFUNCTION("""COMPUTED_VALUE"""),"#REF!")</f>
        <v>#REF!</v>
      </c>
      <c r="DK58" s="97" t="str">
        <f>IFERROR(__xludf.DUMMYFUNCTION("""COMPUTED_VALUE"""),"#REF!")</f>
        <v>#REF!</v>
      </c>
      <c r="DL58" s="95" t="str">
        <f>IFERROR(__xludf.DUMMYFUNCTION("""COMPUTED_VALUE"""),"#REF!")</f>
        <v>#REF!</v>
      </c>
      <c r="DM58" s="96" t="str">
        <f>IFERROR(__xludf.DUMMYFUNCTION("""COMPUTED_VALUE"""),"#REF!")</f>
        <v>#REF!</v>
      </c>
      <c r="DN58" s="97" t="str">
        <f>IFERROR(__xludf.DUMMYFUNCTION("""COMPUTED_VALUE"""),"#REF!")</f>
        <v>#REF!</v>
      </c>
      <c r="DO58" s="95" t="str">
        <f>IFERROR(__xludf.DUMMYFUNCTION("""COMPUTED_VALUE"""),"#REF!")</f>
        <v>#REF!</v>
      </c>
      <c r="DP58" s="96" t="str">
        <f>IFERROR(__xludf.DUMMYFUNCTION("""COMPUTED_VALUE"""),"#REF!")</f>
        <v>#REF!</v>
      </c>
      <c r="DQ58" s="97"/>
      <c r="DR58" s="95"/>
    </row>
    <row r="59">
      <c r="B59" s="83" t="str">
        <f>IFERROR(__xludf.DUMMYFUNCTION("""COMPUTED_VALUE"""),"ORL3")</f>
        <v>ORL3</v>
      </c>
      <c r="C59" s="82">
        <f>IFERROR(__xludf.DUMMYFUNCTION("""COMPUTED_VALUE"""),44.0)</f>
        <v>44</v>
      </c>
      <c r="D59" s="88" t="str">
        <f>IFERROR(__xludf.DUMMYFUNCTION("""COMPUTED_VALUE"""),"La Charite")</f>
        <v>La Charite</v>
      </c>
      <c r="E59" s="82" t="str">
        <f>IFERROR(__xludf.DUMMYFUNCTION("""COMPUTED_VALUE"""),"ラ・シャリテ")</f>
        <v>ラ・シャリテ</v>
      </c>
      <c r="F59" s="102">
        <f>IFERROR(__xludf.DUMMYFUNCTION("""COMPUTED_VALUE"""),7.0)</f>
        <v>7</v>
      </c>
      <c r="G59" s="82">
        <f>IFERROR(__xludf.DUMMYFUNCTION("""COMPUTED_VALUE"""),1020.0)</f>
        <v>1020</v>
      </c>
      <c r="H59" s="231" t="str">
        <f>IFERROR(__xludf.DUMMYFUNCTION("""COMPUTED_VALUE"""),"")</f>
        <v/>
      </c>
      <c r="I59" s="232" t="str">
        <f>IFERROR(__xludf.DUMMYFUNCTION("""COMPUTED_VALUE"""),"")</f>
        <v/>
      </c>
      <c r="J59" s="233" t="str">
        <f>IFERROR(__xludf.DUMMYFUNCTION("""COMPUTED_VALUE"""),"")</f>
        <v/>
      </c>
      <c r="K59" s="231" t="str">
        <f>IFERROR(__xludf.DUMMYFUNCTION("""COMPUTED_VALUE"""),"")</f>
        <v/>
      </c>
      <c r="L59" s="232" t="str">
        <f>IFERROR(__xludf.DUMMYFUNCTION("""COMPUTED_VALUE"""),"")</f>
        <v/>
      </c>
      <c r="M59" s="233" t="str">
        <f>IFERROR(__xludf.DUMMYFUNCTION("""COMPUTED_VALUE"""),"")</f>
        <v/>
      </c>
      <c r="N59" s="231" t="str">
        <f>IFERROR(__xludf.DUMMYFUNCTION("""COMPUTED_VALUE"""),"")</f>
        <v/>
      </c>
      <c r="O59" s="232" t="str">
        <f>IFERROR(__xludf.DUMMYFUNCTION("""COMPUTED_VALUE"""),"")</f>
        <v/>
      </c>
      <c r="P59" s="233" t="str">
        <f>IFERROR(__xludf.DUMMYFUNCTION("""COMPUTED_VALUE"""),"")</f>
        <v/>
      </c>
      <c r="Q59" s="231" t="str">
        <f>IFERROR(__xludf.DUMMYFUNCTION("""COMPUTED_VALUE"""),"")</f>
        <v/>
      </c>
      <c r="R59" s="232" t="str">
        <f>IFERROR(__xludf.DUMMYFUNCTION("""COMPUTED_VALUE"""),"")</f>
        <v/>
      </c>
      <c r="S59" s="233" t="str">
        <f>IFERROR(__xludf.DUMMYFUNCTION("""COMPUTED_VALUE"""),"")</f>
        <v/>
      </c>
      <c r="T59" s="231" t="str">
        <f>IFERROR(__xludf.DUMMYFUNCTION("""COMPUTED_VALUE"""),"")</f>
        <v/>
      </c>
      <c r="U59" s="232" t="str">
        <f>IFERROR(__xludf.DUMMYFUNCTION("""COMPUTED_VALUE"""),"")</f>
        <v/>
      </c>
      <c r="V59" s="233" t="str">
        <f>IFERROR(__xludf.DUMMYFUNCTION("""COMPUTED_VALUE"""),"")</f>
        <v/>
      </c>
      <c r="W59" s="231" t="str">
        <f>IFERROR(__xludf.DUMMYFUNCTION("""COMPUTED_VALUE"""),"")</f>
        <v/>
      </c>
      <c r="X59" s="232" t="str">
        <f>IFERROR(__xludf.DUMMYFUNCTION("""COMPUTED_VALUE"""),"")</f>
        <v/>
      </c>
      <c r="Y59" s="233" t="str">
        <f>IFERROR(__xludf.DUMMYFUNCTION("""COMPUTED_VALUE"""),"")</f>
        <v/>
      </c>
      <c r="Z59" s="231" t="str">
        <f>IFERROR(__xludf.DUMMYFUNCTION("""COMPUTED_VALUE"""),"")</f>
        <v/>
      </c>
      <c r="AA59" s="232" t="str">
        <f>IFERROR(__xludf.DUMMYFUNCTION("""COMPUTED_VALUE"""),"")</f>
        <v/>
      </c>
      <c r="AB59" s="233" t="str">
        <f>IFERROR(__xludf.DUMMYFUNCTION("""COMPUTED_VALUE"""),"")</f>
        <v/>
      </c>
      <c r="AC59" s="231" t="str">
        <f>IFERROR(__xludf.DUMMYFUNCTION("""COMPUTED_VALUE"""),"")</f>
        <v/>
      </c>
      <c r="AD59" s="232" t="str">
        <f>IFERROR(__xludf.DUMMYFUNCTION("""COMPUTED_VALUE"""),"")</f>
        <v/>
      </c>
      <c r="AE59" s="233" t="str">
        <f>IFERROR(__xludf.DUMMYFUNCTION("""COMPUTED_VALUE"""),"")</f>
        <v/>
      </c>
      <c r="AF59" s="231" t="str">
        <f>IFERROR(__xludf.DUMMYFUNCTION("""COMPUTED_VALUE"""),"")</f>
        <v/>
      </c>
      <c r="AG59" s="232" t="str">
        <f>IFERROR(__xludf.DUMMYFUNCTION("""COMPUTED_VALUE"""),"")</f>
        <v/>
      </c>
      <c r="AH59" s="233" t="str">
        <f>IFERROR(__xludf.DUMMYFUNCTION("""COMPUTED_VALUE"""),"")</f>
        <v/>
      </c>
      <c r="AI59" s="231" t="str">
        <f>IFERROR(__xludf.DUMMYFUNCTION("""COMPUTED_VALUE"""),"")</f>
        <v/>
      </c>
      <c r="AJ59" s="232" t="str">
        <f>IFERROR(__xludf.DUMMYFUNCTION("""COMPUTED_VALUE"""),"")</f>
        <v/>
      </c>
      <c r="AK59" s="233" t="str">
        <f>IFERROR(__xludf.DUMMYFUNCTION("""COMPUTED_VALUE"""),"")</f>
        <v/>
      </c>
      <c r="AL59" s="231" t="str">
        <f>IFERROR(__xludf.DUMMYFUNCTION("""COMPUTED_VALUE"""),"")</f>
        <v/>
      </c>
      <c r="AM59" s="232" t="str">
        <f>IFERROR(__xludf.DUMMYFUNCTION("""COMPUTED_VALUE"""),"")</f>
        <v/>
      </c>
      <c r="AN59" s="233" t="str">
        <f>IFERROR(__xludf.DUMMYFUNCTION("""COMPUTED_VALUE"""),"")</f>
        <v/>
      </c>
      <c r="AO59" s="231" t="str">
        <f>IFERROR(__xludf.DUMMYFUNCTION("""COMPUTED_VALUE"""),"")</f>
        <v/>
      </c>
      <c r="AP59" s="232" t="str">
        <f>IFERROR(__xludf.DUMMYFUNCTION("""COMPUTED_VALUE"""),"")</f>
        <v/>
      </c>
      <c r="AQ59" s="233" t="str">
        <f>IFERROR(__xludf.DUMMYFUNCTION("""COMPUTED_VALUE"""),"")</f>
        <v/>
      </c>
      <c r="AR59" s="231" t="str">
        <f>IFERROR(__xludf.DUMMYFUNCTION("""COMPUTED_VALUE"""),"")</f>
        <v/>
      </c>
      <c r="AS59" s="232" t="str">
        <f>IFERROR(__xludf.DUMMYFUNCTION("""COMPUTED_VALUE"""),"")</f>
        <v/>
      </c>
      <c r="AT59" s="233">
        <f>IFERROR(__xludf.DUMMYFUNCTION("""COMPUTED_VALUE"""),5.8)</f>
        <v>5.8</v>
      </c>
      <c r="AU59" s="231" t="str">
        <f>IFERROR(__xludf.DUMMYFUNCTION("""COMPUTED_VALUE"""),"")</f>
        <v/>
      </c>
      <c r="AV59" s="232">
        <f>IFERROR(__xludf.DUMMYFUNCTION("""COMPUTED_VALUE"""),11.6)</f>
        <v>11.6</v>
      </c>
      <c r="AW59" s="233" t="str">
        <f>IFERROR(__xludf.DUMMYFUNCTION("""COMPUTED_VALUE"""),"")</f>
        <v/>
      </c>
      <c r="AX59" s="231" t="str">
        <f>IFERROR(__xludf.DUMMYFUNCTION("""COMPUTED_VALUE"""),"")</f>
        <v/>
      </c>
      <c r="AY59" s="232" t="str">
        <f>IFERROR(__xludf.DUMMYFUNCTION("""COMPUTED_VALUE"""),"")</f>
        <v/>
      </c>
      <c r="AZ59" s="233" t="str">
        <f>IFERROR(__xludf.DUMMYFUNCTION("""COMPUTED_VALUE"""),"")</f>
        <v/>
      </c>
      <c r="BA59" s="231" t="str">
        <f>IFERROR(__xludf.DUMMYFUNCTION("""COMPUTED_VALUE"""),"")</f>
        <v/>
      </c>
      <c r="BB59" s="232" t="str">
        <f>IFERROR(__xludf.DUMMYFUNCTION("""COMPUTED_VALUE"""),"")</f>
        <v/>
      </c>
      <c r="BC59" s="233" t="str">
        <f>IFERROR(__xludf.DUMMYFUNCTION("""COMPUTED_VALUE"""),"")</f>
        <v/>
      </c>
      <c r="BD59" s="231" t="str">
        <f>IFERROR(__xludf.DUMMYFUNCTION("""COMPUTED_VALUE"""),"")</f>
        <v/>
      </c>
      <c r="BE59" s="232" t="str">
        <f>IFERROR(__xludf.DUMMYFUNCTION("""COMPUTED_VALUE"""),"")</f>
        <v/>
      </c>
      <c r="BF59" s="233" t="str">
        <f>IFERROR(__xludf.DUMMYFUNCTION("""COMPUTED_VALUE"""),"")</f>
        <v/>
      </c>
      <c r="BG59" s="231" t="str">
        <f>IFERROR(__xludf.DUMMYFUNCTION("""COMPUTED_VALUE"""),"")</f>
        <v/>
      </c>
      <c r="BH59" s="232" t="str">
        <f>IFERROR(__xludf.DUMMYFUNCTION("""COMPUTED_VALUE"""),"")</f>
        <v/>
      </c>
      <c r="BI59" s="233" t="str">
        <f>IFERROR(__xludf.DUMMYFUNCTION("""COMPUTED_VALUE"""),"")</f>
        <v/>
      </c>
      <c r="BJ59" s="231" t="str">
        <f>IFERROR(__xludf.DUMMYFUNCTION("""COMPUTED_VALUE"""),"")</f>
        <v/>
      </c>
      <c r="BK59" s="232" t="str">
        <f>IFERROR(__xludf.DUMMYFUNCTION("""COMPUTED_VALUE"""),"")</f>
        <v/>
      </c>
      <c r="BL59" s="233" t="str">
        <f>IFERROR(__xludf.DUMMYFUNCTION("""COMPUTED_VALUE"""),"")</f>
        <v/>
      </c>
      <c r="BM59" s="231" t="str">
        <f>IFERROR(__xludf.DUMMYFUNCTION("""COMPUTED_VALUE"""),"")</f>
        <v/>
      </c>
      <c r="BN59" s="232" t="str">
        <f>IFERROR(__xludf.DUMMYFUNCTION("""COMPUTED_VALUE"""),"")</f>
        <v/>
      </c>
      <c r="BO59" s="233" t="str">
        <f>IFERROR(__xludf.DUMMYFUNCTION("""COMPUTED_VALUE"""),"")</f>
        <v/>
      </c>
      <c r="BP59" s="231" t="str">
        <f>IFERROR(__xludf.DUMMYFUNCTION("""COMPUTED_VALUE"""),"")</f>
        <v/>
      </c>
      <c r="BQ59" s="232" t="str">
        <f>IFERROR(__xludf.DUMMYFUNCTION("""COMPUTED_VALUE"""),"")</f>
        <v/>
      </c>
      <c r="BR59" s="233" t="str">
        <f>IFERROR(__xludf.DUMMYFUNCTION("""COMPUTED_VALUE"""),"")</f>
        <v/>
      </c>
      <c r="BS59" s="231">
        <f>IFERROR(__xludf.DUMMYFUNCTION("""COMPUTED_VALUE"""),10.8)</f>
        <v>10.8</v>
      </c>
      <c r="BT59" s="232">
        <f>IFERROR(__xludf.DUMMYFUNCTION("""COMPUTED_VALUE"""),33.3)</f>
        <v>33.3</v>
      </c>
      <c r="BU59" s="233" t="str">
        <f>IFERROR(__xludf.DUMMYFUNCTION("""COMPUTED_VALUE"""),"")</f>
        <v/>
      </c>
      <c r="BV59" s="231" t="str">
        <f>IFERROR(__xludf.DUMMYFUNCTION("""COMPUTED_VALUE"""),"")</f>
        <v/>
      </c>
      <c r="BW59" s="232" t="str">
        <f>IFERROR(__xludf.DUMMYFUNCTION("""COMPUTED_VALUE"""),"")</f>
        <v/>
      </c>
      <c r="BX59" s="233" t="str">
        <f>IFERROR(__xludf.DUMMYFUNCTION("""COMPUTED_VALUE"""),"")</f>
        <v/>
      </c>
      <c r="BY59" s="231" t="str">
        <f>IFERROR(__xludf.DUMMYFUNCTION("""COMPUTED_VALUE"""),"")</f>
        <v/>
      </c>
      <c r="BZ59" s="232" t="str">
        <f>IFERROR(__xludf.DUMMYFUNCTION("""COMPUTED_VALUE"""),"")</f>
        <v/>
      </c>
      <c r="CA59" s="233" t="str">
        <f>IFERROR(__xludf.DUMMYFUNCTION("""COMPUTED_VALUE"""),"")</f>
        <v/>
      </c>
      <c r="CB59" s="231" t="str">
        <f>IFERROR(__xludf.DUMMYFUNCTION("""COMPUTED_VALUE"""),"")</f>
        <v/>
      </c>
      <c r="CC59" s="232" t="str">
        <f>IFERROR(__xludf.DUMMYFUNCTION("""COMPUTED_VALUE"""),"")</f>
        <v/>
      </c>
      <c r="CD59" s="233" t="str">
        <f>IFERROR(__xludf.DUMMYFUNCTION("""COMPUTED_VALUE"""),"")</f>
        <v/>
      </c>
      <c r="CE59" s="234" t="str">
        <f>IFERROR(__xludf.DUMMYFUNCTION("""COMPUTED_VALUE"""),"")</f>
        <v/>
      </c>
      <c r="CF59" s="230" t="str">
        <f>IFERROR(__xludf.DUMMYFUNCTION("""COMPUTED_VALUE"""),"")</f>
        <v/>
      </c>
      <c r="CG59" s="235" t="str">
        <f>IFERROR(__xludf.DUMMYFUNCTION("""COMPUTED_VALUE"""),"")</f>
        <v/>
      </c>
      <c r="CH59" s="234" t="str">
        <f>IFERROR(__xludf.DUMMYFUNCTION("""COMPUTED_VALUE"""),"")</f>
        <v/>
      </c>
      <c r="CI59" s="230" t="str">
        <f>IFERROR(__xludf.DUMMYFUNCTION("""COMPUTED_VALUE"""),"")</f>
        <v/>
      </c>
      <c r="CJ59" s="235" t="str">
        <f>IFERROR(__xludf.DUMMYFUNCTION("""COMPUTED_VALUE"""),"")</f>
        <v/>
      </c>
      <c r="CK59" s="95" t="str">
        <f>IFERROR(__xludf.DUMMYFUNCTION("""COMPUTED_VALUE"""),"")</f>
        <v/>
      </c>
      <c r="CL59" s="96" t="str">
        <f>IFERROR(__xludf.DUMMYFUNCTION("""COMPUTED_VALUE"""),"")</f>
        <v/>
      </c>
      <c r="CM59" s="97" t="str">
        <f>IFERROR(__xludf.DUMMYFUNCTION("""COMPUTED_VALUE"""),"")</f>
        <v/>
      </c>
      <c r="CN59" s="95" t="str">
        <f>IFERROR(__xludf.DUMMYFUNCTION("""COMPUTED_VALUE"""),"")</f>
        <v/>
      </c>
      <c r="CO59" s="96" t="str">
        <f>IFERROR(__xludf.DUMMYFUNCTION("""COMPUTED_VALUE"""),"")</f>
        <v/>
      </c>
      <c r="CP59" s="97" t="str">
        <f>IFERROR(__xludf.DUMMYFUNCTION("""COMPUTED_VALUE"""),"")</f>
        <v/>
      </c>
      <c r="CQ59" s="95" t="str">
        <f>IFERROR(__xludf.DUMMYFUNCTION("""COMPUTED_VALUE"""),"")</f>
        <v/>
      </c>
      <c r="CR59" s="96" t="str">
        <f>IFERROR(__xludf.DUMMYFUNCTION("""COMPUTED_VALUE"""),"")</f>
        <v/>
      </c>
      <c r="CS59" s="97" t="str">
        <f>IFERROR(__xludf.DUMMYFUNCTION("""COMPUTED_VALUE"""),"#REF!")</f>
        <v>#REF!</v>
      </c>
      <c r="CT59" s="95" t="str">
        <f>IFERROR(__xludf.DUMMYFUNCTION("""COMPUTED_VALUE"""),"#REF!")</f>
        <v>#REF!</v>
      </c>
      <c r="CU59" s="96" t="str">
        <f>IFERROR(__xludf.DUMMYFUNCTION("""COMPUTED_VALUE"""),"#REF!")</f>
        <v>#REF!</v>
      </c>
      <c r="CV59" s="97" t="str">
        <f>IFERROR(__xludf.DUMMYFUNCTION("""COMPUTED_VALUE"""),"#REF!")</f>
        <v>#REF!</v>
      </c>
      <c r="CW59" s="95" t="str">
        <f>IFERROR(__xludf.DUMMYFUNCTION("""COMPUTED_VALUE"""),"#REF!")</f>
        <v>#REF!</v>
      </c>
      <c r="CX59" s="96" t="str">
        <f>IFERROR(__xludf.DUMMYFUNCTION("""COMPUTED_VALUE"""),"#REF!")</f>
        <v>#REF!</v>
      </c>
      <c r="CY59" s="97" t="str">
        <f>IFERROR(__xludf.DUMMYFUNCTION("""COMPUTED_VALUE"""),"#REF!")</f>
        <v>#REF!</v>
      </c>
      <c r="CZ59" s="95" t="str">
        <f>IFERROR(__xludf.DUMMYFUNCTION("""COMPUTED_VALUE"""),"#REF!")</f>
        <v>#REF!</v>
      </c>
      <c r="DA59" s="96" t="str">
        <f>IFERROR(__xludf.DUMMYFUNCTION("""COMPUTED_VALUE"""),"#REF!")</f>
        <v>#REF!</v>
      </c>
      <c r="DB59" s="97" t="str">
        <f>IFERROR(__xludf.DUMMYFUNCTION("""COMPUTED_VALUE"""),"#REF!")</f>
        <v>#REF!</v>
      </c>
      <c r="DC59" s="95" t="str">
        <f>IFERROR(__xludf.DUMMYFUNCTION("""COMPUTED_VALUE"""),"#REF!")</f>
        <v>#REF!</v>
      </c>
      <c r="DD59" s="96" t="str">
        <f>IFERROR(__xludf.DUMMYFUNCTION("""COMPUTED_VALUE"""),"#REF!")</f>
        <v>#REF!</v>
      </c>
      <c r="DE59" s="97" t="str">
        <f>IFERROR(__xludf.DUMMYFUNCTION("""COMPUTED_VALUE"""),"#REF!")</f>
        <v>#REF!</v>
      </c>
      <c r="DF59" s="95" t="str">
        <f>IFERROR(__xludf.DUMMYFUNCTION("""COMPUTED_VALUE"""),"#REF!")</f>
        <v>#REF!</v>
      </c>
      <c r="DG59" s="96" t="str">
        <f>IFERROR(__xludf.DUMMYFUNCTION("""COMPUTED_VALUE"""),"#REF!")</f>
        <v>#REF!</v>
      </c>
      <c r="DH59" s="97" t="str">
        <f>IFERROR(__xludf.DUMMYFUNCTION("""COMPUTED_VALUE"""),"#REF!")</f>
        <v>#REF!</v>
      </c>
      <c r="DI59" s="95" t="str">
        <f>IFERROR(__xludf.DUMMYFUNCTION("""COMPUTED_VALUE"""),"#REF!")</f>
        <v>#REF!</v>
      </c>
      <c r="DJ59" s="96" t="str">
        <f>IFERROR(__xludf.DUMMYFUNCTION("""COMPUTED_VALUE"""),"#REF!")</f>
        <v>#REF!</v>
      </c>
      <c r="DK59" s="97" t="str">
        <f>IFERROR(__xludf.DUMMYFUNCTION("""COMPUTED_VALUE"""),"#REF!")</f>
        <v>#REF!</v>
      </c>
      <c r="DL59" s="95" t="str">
        <f>IFERROR(__xludf.DUMMYFUNCTION("""COMPUTED_VALUE"""),"#REF!")</f>
        <v>#REF!</v>
      </c>
      <c r="DM59" s="96" t="str">
        <f>IFERROR(__xludf.DUMMYFUNCTION("""COMPUTED_VALUE"""),"#REF!")</f>
        <v>#REF!</v>
      </c>
      <c r="DN59" s="97" t="str">
        <f>IFERROR(__xludf.DUMMYFUNCTION("""COMPUTED_VALUE"""),"#REF!")</f>
        <v>#REF!</v>
      </c>
      <c r="DO59" s="95" t="str">
        <f>IFERROR(__xludf.DUMMYFUNCTION("""COMPUTED_VALUE"""),"#REF!")</f>
        <v>#REF!</v>
      </c>
      <c r="DP59" s="96" t="str">
        <f>IFERROR(__xludf.DUMMYFUNCTION("""COMPUTED_VALUE"""),"#REF!")</f>
        <v>#REF!</v>
      </c>
      <c r="DQ59" s="97"/>
      <c r="DR59" s="95"/>
    </row>
    <row r="60">
      <c r="B60" s="83" t="str">
        <f>IFERROR(__xludf.DUMMYFUNCTION("""COMPUTED_VALUE"""),"ORL4")</f>
        <v>ORL4</v>
      </c>
      <c r="C60" s="82">
        <f>IFERROR(__xludf.DUMMYFUNCTION("""COMPUTED_VALUE"""),45.0)</f>
        <v>45</v>
      </c>
      <c r="D60" s="88" t="str">
        <f>IFERROR(__xludf.DUMMYFUNCTION("""COMPUTED_VALUE"""),"Jura")</f>
        <v>Jura</v>
      </c>
      <c r="E60" s="82" t="str">
        <f>IFERROR(__xludf.DUMMYFUNCTION("""COMPUTED_VALUE"""),"ジュラ")</f>
        <v>ジュラ</v>
      </c>
      <c r="F60" s="102">
        <f>IFERROR(__xludf.DUMMYFUNCTION("""COMPUTED_VALUE"""),7.0)</f>
        <v>7</v>
      </c>
      <c r="G60" s="82">
        <f>IFERROR(__xludf.DUMMYFUNCTION("""COMPUTED_VALUE"""),2132.0)</f>
        <v>2132</v>
      </c>
      <c r="H60" s="231" t="str">
        <f>IFERROR(__xludf.DUMMYFUNCTION("""COMPUTED_VALUE"""),"")</f>
        <v/>
      </c>
      <c r="I60" s="232" t="str">
        <f>IFERROR(__xludf.DUMMYFUNCTION("""COMPUTED_VALUE"""),"")</f>
        <v/>
      </c>
      <c r="J60" s="233" t="str">
        <f>IFERROR(__xludf.DUMMYFUNCTION("""COMPUTED_VALUE"""),"")</f>
        <v/>
      </c>
      <c r="K60" s="231" t="str">
        <f>IFERROR(__xludf.DUMMYFUNCTION("""COMPUTED_VALUE"""),"")</f>
        <v/>
      </c>
      <c r="L60" s="232" t="str">
        <f>IFERROR(__xludf.DUMMYFUNCTION("""COMPUTED_VALUE"""),"")</f>
        <v/>
      </c>
      <c r="M60" s="233" t="str">
        <f>IFERROR(__xludf.DUMMYFUNCTION("""COMPUTED_VALUE"""),"")</f>
        <v/>
      </c>
      <c r="N60" s="231" t="str">
        <f>IFERROR(__xludf.DUMMYFUNCTION("""COMPUTED_VALUE"""),"")</f>
        <v/>
      </c>
      <c r="O60" s="232" t="str">
        <f>IFERROR(__xludf.DUMMYFUNCTION("""COMPUTED_VALUE"""),"")</f>
        <v/>
      </c>
      <c r="P60" s="233" t="str">
        <f>IFERROR(__xludf.DUMMYFUNCTION("""COMPUTED_VALUE"""),"")</f>
        <v/>
      </c>
      <c r="Q60" s="231" t="str">
        <f>IFERROR(__xludf.DUMMYFUNCTION("""COMPUTED_VALUE"""),"")</f>
        <v/>
      </c>
      <c r="R60" s="232" t="str">
        <f>IFERROR(__xludf.DUMMYFUNCTION("""COMPUTED_VALUE"""),"")</f>
        <v/>
      </c>
      <c r="S60" s="233" t="str">
        <f>IFERROR(__xludf.DUMMYFUNCTION("""COMPUTED_VALUE"""),"")</f>
        <v/>
      </c>
      <c r="T60" s="231" t="str">
        <f>IFERROR(__xludf.DUMMYFUNCTION("""COMPUTED_VALUE"""),"")</f>
        <v/>
      </c>
      <c r="U60" s="232" t="str">
        <f>IFERROR(__xludf.DUMMYFUNCTION("""COMPUTED_VALUE"""),"")</f>
        <v/>
      </c>
      <c r="V60" s="233" t="str">
        <f>IFERROR(__xludf.DUMMYFUNCTION("""COMPUTED_VALUE"""),"")</f>
        <v/>
      </c>
      <c r="W60" s="231" t="str">
        <f>IFERROR(__xludf.DUMMYFUNCTION("""COMPUTED_VALUE"""),"")</f>
        <v/>
      </c>
      <c r="X60" s="232" t="str">
        <f>IFERROR(__xludf.DUMMYFUNCTION("""COMPUTED_VALUE"""),"")</f>
        <v/>
      </c>
      <c r="Y60" s="233" t="str">
        <f>IFERROR(__xludf.DUMMYFUNCTION("""COMPUTED_VALUE"""),"")</f>
        <v/>
      </c>
      <c r="Z60" s="231">
        <f>IFERROR(__xludf.DUMMYFUNCTION("""COMPUTED_VALUE"""),5.1)</f>
        <v>5.1</v>
      </c>
      <c r="AA60" s="232" t="str">
        <f>IFERROR(__xludf.DUMMYFUNCTION("""COMPUTED_VALUE"""),"")</f>
        <v/>
      </c>
      <c r="AB60" s="233" t="str">
        <f>IFERROR(__xludf.DUMMYFUNCTION("""COMPUTED_VALUE"""),"")</f>
        <v/>
      </c>
      <c r="AC60" s="231" t="str">
        <f>IFERROR(__xludf.DUMMYFUNCTION("""COMPUTED_VALUE"""),"")</f>
        <v/>
      </c>
      <c r="AD60" s="232" t="str">
        <f>IFERROR(__xludf.DUMMYFUNCTION("""COMPUTED_VALUE"""),"")</f>
        <v/>
      </c>
      <c r="AE60" s="233" t="str">
        <f>IFERROR(__xludf.DUMMYFUNCTION("""COMPUTED_VALUE"""),"")</f>
        <v/>
      </c>
      <c r="AF60" s="231" t="str">
        <f>IFERROR(__xludf.DUMMYFUNCTION("""COMPUTED_VALUE"""),"")</f>
        <v/>
      </c>
      <c r="AG60" s="232" t="str">
        <f>IFERROR(__xludf.DUMMYFUNCTION("""COMPUTED_VALUE"""),"")</f>
        <v/>
      </c>
      <c r="AH60" s="233" t="str">
        <f>IFERROR(__xludf.DUMMYFUNCTION("""COMPUTED_VALUE"""),"")</f>
        <v/>
      </c>
      <c r="AI60" s="231" t="str">
        <f>IFERROR(__xludf.DUMMYFUNCTION("""COMPUTED_VALUE"""),"")</f>
        <v/>
      </c>
      <c r="AJ60" s="232" t="str">
        <f>IFERROR(__xludf.DUMMYFUNCTION("""COMPUTED_VALUE"""),"")</f>
        <v/>
      </c>
      <c r="AK60" s="233" t="str">
        <f>IFERROR(__xludf.DUMMYFUNCTION("""COMPUTED_VALUE"""),"")</f>
        <v/>
      </c>
      <c r="AL60" s="231" t="str">
        <f>IFERROR(__xludf.DUMMYFUNCTION("""COMPUTED_VALUE"""),"")</f>
        <v/>
      </c>
      <c r="AM60" s="232" t="str">
        <f>IFERROR(__xludf.DUMMYFUNCTION("""COMPUTED_VALUE"""),"")</f>
        <v/>
      </c>
      <c r="AN60" s="233" t="str">
        <f>IFERROR(__xludf.DUMMYFUNCTION("""COMPUTED_VALUE"""),"")</f>
        <v/>
      </c>
      <c r="AO60" s="231" t="str">
        <f>IFERROR(__xludf.DUMMYFUNCTION("""COMPUTED_VALUE"""),"")</f>
        <v/>
      </c>
      <c r="AP60" s="232" t="str">
        <f>IFERROR(__xludf.DUMMYFUNCTION("""COMPUTED_VALUE"""),"")</f>
        <v/>
      </c>
      <c r="AQ60" s="233" t="str">
        <f>IFERROR(__xludf.DUMMYFUNCTION("""COMPUTED_VALUE"""),"")</f>
        <v/>
      </c>
      <c r="AR60" s="231" t="str">
        <f>IFERROR(__xludf.DUMMYFUNCTION("""COMPUTED_VALUE"""),"")</f>
        <v/>
      </c>
      <c r="AS60" s="232" t="str">
        <f>IFERROR(__xludf.DUMMYFUNCTION("""COMPUTED_VALUE"""),"")</f>
        <v/>
      </c>
      <c r="AT60" s="233" t="str">
        <f>IFERROR(__xludf.DUMMYFUNCTION("""COMPUTED_VALUE"""),"")</f>
        <v/>
      </c>
      <c r="AU60" s="231" t="str">
        <f>IFERROR(__xludf.DUMMYFUNCTION("""COMPUTED_VALUE"""),"")</f>
        <v/>
      </c>
      <c r="AV60" s="232">
        <f>IFERROR(__xludf.DUMMYFUNCTION("""COMPUTED_VALUE"""),5.0)</f>
        <v>5</v>
      </c>
      <c r="AW60" s="233">
        <f>IFERROR(__xludf.DUMMYFUNCTION("""COMPUTED_VALUE"""),7.6)</f>
        <v>7.6</v>
      </c>
      <c r="AX60" s="231" t="str">
        <f>IFERROR(__xludf.DUMMYFUNCTION("""COMPUTED_VALUE"""),"")</f>
        <v/>
      </c>
      <c r="AY60" s="232" t="str">
        <f>IFERROR(__xludf.DUMMYFUNCTION("""COMPUTED_VALUE"""),"")</f>
        <v/>
      </c>
      <c r="AZ60" s="233" t="str">
        <f>IFERROR(__xludf.DUMMYFUNCTION("""COMPUTED_VALUE"""),"")</f>
        <v/>
      </c>
      <c r="BA60" s="231" t="str">
        <f>IFERROR(__xludf.DUMMYFUNCTION("""COMPUTED_VALUE"""),"")</f>
        <v/>
      </c>
      <c r="BB60" s="232" t="str">
        <f>IFERROR(__xludf.DUMMYFUNCTION("""COMPUTED_VALUE"""),"")</f>
        <v/>
      </c>
      <c r="BC60" s="233" t="str">
        <f>IFERROR(__xludf.DUMMYFUNCTION("""COMPUTED_VALUE"""),"")</f>
        <v/>
      </c>
      <c r="BD60" s="231" t="str">
        <f>IFERROR(__xludf.DUMMYFUNCTION("""COMPUTED_VALUE"""),"")</f>
        <v/>
      </c>
      <c r="BE60" s="232" t="str">
        <f>IFERROR(__xludf.DUMMYFUNCTION("""COMPUTED_VALUE"""),"")</f>
        <v/>
      </c>
      <c r="BF60" s="233" t="str">
        <f>IFERROR(__xludf.DUMMYFUNCTION("""COMPUTED_VALUE"""),"")</f>
        <v/>
      </c>
      <c r="BG60" s="231" t="str">
        <f>IFERROR(__xludf.DUMMYFUNCTION("""COMPUTED_VALUE"""),"")</f>
        <v/>
      </c>
      <c r="BH60" s="232" t="str">
        <f>IFERROR(__xludf.DUMMYFUNCTION("""COMPUTED_VALUE"""),"")</f>
        <v/>
      </c>
      <c r="BI60" s="233" t="str">
        <f>IFERROR(__xludf.DUMMYFUNCTION("""COMPUTED_VALUE"""),"")</f>
        <v/>
      </c>
      <c r="BJ60" s="231" t="str">
        <f>IFERROR(__xludf.DUMMYFUNCTION("""COMPUTED_VALUE"""),"")</f>
        <v/>
      </c>
      <c r="BK60" s="232" t="str">
        <f>IFERROR(__xludf.DUMMYFUNCTION("""COMPUTED_VALUE"""),"")</f>
        <v/>
      </c>
      <c r="BL60" s="233" t="str">
        <f>IFERROR(__xludf.DUMMYFUNCTION("""COMPUTED_VALUE"""),"")</f>
        <v/>
      </c>
      <c r="BM60" s="231" t="str">
        <f>IFERROR(__xludf.DUMMYFUNCTION("""COMPUTED_VALUE"""),"")</f>
        <v/>
      </c>
      <c r="BN60" s="232" t="str">
        <f>IFERROR(__xludf.DUMMYFUNCTION("""COMPUTED_VALUE"""),"")</f>
        <v/>
      </c>
      <c r="BO60" s="233" t="str">
        <f>IFERROR(__xludf.DUMMYFUNCTION("""COMPUTED_VALUE"""),"")</f>
        <v/>
      </c>
      <c r="BP60" s="231" t="str">
        <f>IFERROR(__xludf.DUMMYFUNCTION("""COMPUTED_VALUE"""),"")</f>
        <v/>
      </c>
      <c r="BQ60" s="232">
        <f>IFERROR(__xludf.DUMMYFUNCTION("""COMPUTED_VALUE"""),15.3)</f>
        <v>15.3</v>
      </c>
      <c r="BR60" s="233" t="str">
        <f>IFERROR(__xludf.DUMMYFUNCTION("""COMPUTED_VALUE"""),"")</f>
        <v/>
      </c>
      <c r="BS60" s="231">
        <f>IFERROR(__xludf.DUMMYFUNCTION("""COMPUTED_VALUE"""),15.2)</f>
        <v>15.2</v>
      </c>
      <c r="BT60" s="232">
        <f>IFERROR(__xludf.DUMMYFUNCTION("""COMPUTED_VALUE"""),16.7)</f>
        <v>16.7</v>
      </c>
      <c r="BU60" s="233" t="str">
        <f>IFERROR(__xludf.DUMMYFUNCTION("""COMPUTED_VALUE"""),"")</f>
        <v/>
      </c>
      <c r="BV60" s="231">
        <f>IFERROR(__xludf.DUMMYFUNCTION("""COMPUTED_VALUE"""),7.8)</f>
        <v>7.8</v>
      </c>
      <c r="BW60" s="232" t="str">
        <f>IFERROR(__xludf.DUMMYFUNCTION("""COMPUTED_VALUE"""),"")</f>
        <v/>
      </c>
      <c r="BX60" s="233" t="str">
        <f>IFERROR(__xludf.DUMMYFUNCTION("""COMPUTED_VALUE"""),"")</f>
        <v/>
      </c>
      <c r="BY60" s="231" t="str">
        <f>IFERROR(__xludf.DUMMYFUNCTION("""COMPUTED_VALUE"""),"")</f>
        <v/>
      </c>
      <c r="BZ60" s="232" t="str">
        <f>IFERROR(__xludf.DUMMYFUNCTION("""COMPUTED_VALUE"""),"")</f>
        <v/>
      </c>
      <c r="CA60" s="233" t="str">
        <f>IFERROR(__xludf.DUMMYFUNCTION("""COMPUTED_VALUE"""),"")</f>
        <v/>
      </c>
      <c r="CB60" s="231" t="str">
        <f>IFERROR(__xludf.DUMMYFUNCTION("""COMPUTED_VALUE"""),"")</f>
        <v/>
      </c>
      <c r="CC60" s="232" t="str">
        <f>IFERROR(__xludf.DUMMYFUNCTION("""COMPUTED_VALUE"""),"")</f>
        <v/>
      </c>
      <c r="CD60" s="233" t="str">
        <f>IFERROR(__xludf.DUMMYFUNCTION("""COMPUTED_VALUE"""),"")</f>
        <v/>
      </c>
      <c r="CE60" s="234" t="str">
        <f>IFERROR(__xludf.DUMMYFUNCTION("""COMPUTED_VALUE"""),"")</f>
        <v/>
      </c>
      <c r="CF60" s="230" t="str">
        <f>IFERROR(__xludf.DUMMYFUNCTION("""COMPUTED_VALUE"""),"")</f>
        <v/>
      </c>
      <c r="CG60" s="235" t="str">
        <f>IFERROR(__xludf.DUMMYFUNCTION("""COMPUTED_VALUE"""),"")</f>
        <v/>
      </c>
      <c r="CH60" s="234">
        <f>IFERROR(__xludf.DUMMYFUNCTION("""COMPUTED_VALUE"""),10.3)</f>
        <v>10.3</v>
      </c>
      <c r="CI60" s="230" t="str">
        <f>IFERROR(__xludf.DUMMYFUNCTION("""COMPUTED_VALUE"""),"")</f>
        <v/>
      </c>
      <c r="CJ60" s="235" t="str">
        <f>IFERROR(__xludf.DUMMYFUNCTION("""COMPUTED_VALUE"""),"")</f>
        <v/>
      </c>
      <c r="CK60" s="95" t="str">
        <f>IFERROR(__xludf.DUMMYFUNCTION("""COMPUTED_VALUE"""),"")</f>
        <v/>
      </c>
      <c r="CL60" s="96" t="str">
        <f>IFERROR(__xludf.DUMMYFUNCTION("""COMPUTED_VALUE"""),"")</f>
        <v/>
      </c>
      <c r="CM60" s="97" t="str">
        <f>IFERROR(__xludf.DUMMYFUNCTION("""COMPUTED_VALUE"""),"")</f>
        <v/>
      </c>
      <c r="CN60" s="95" t="str">
        <f>IFERROR(__xludf.DUMMYFUNCTION("""COMPUTED_VALUE"""),"")</f>
        <v/>
      </c>
      <c r="CO60" s="96" t="str">
        <f>IFERROR(__xludf.DUMMYFUNCTION("""COMPUTED_VALUE"""),"")</f>
        <v/>
      </c>
      <c r="CP60" s="97" t="str">
        <f>IFERROR(__xludf.DUMMYFUNCTION("""COMPUTED_VALUE"""),"")</f>
        <v/>
      </c>
      <c r="CQ60" s="95" t="str">
        <f>IFERROR(__xludf.DUMMYFUNCTION("""COMPUTED_VALUE"""),"")</f>
        <v/>
      </c>
      <c r="CR60" s="96" t="str">
        <f>IFERROR(__xludf.DUMMYFUNCTION("""COMPUTED_VALUE"""),"")</f>
        <v/>
      </c>
      <c r="CS60" s="97" t="str">
        <f>IFERROR(__xludf.DUMMYFUNCTION("""COMPUTED_VALUE"""),"#REF!")</f>
        <v>#REF!</v>
      </c>
      <c r="CT60" s="95" t="str">
        <f>IFERROR(__xludf.DUMMYFUNCTION("""COMPUTED_VALUE"""),"#REF!")</f>
        <v>#REF!</v>
      </c>
      <c r="CU60" s="96" t="str">
        <f>IFERROR(__xludf.DUMMYFUNCTION("""COMPUTED_VALUE"""),"#REF!")</f>
        <v>#REF!</v>
      </c>
      <c r="CV60" s="97" t="str">
        <f>IFERROR(__xludf.DUMMYFUNCTION("""COMPUTED_VALUE"""),"#REF!")</f>
        <v>#REF!</v>
      </c>
      <c r="CW60" s="95" t="str">
        <f>IFERROR(__xludf.DUMMYFUNCTION("""COMPUTED_VALUE"""),"#REF!")</f>
        <v>#REF!</v>
      </c>
      <c r="CX60" s="96" t="str">
        <f>IFERROR(__xludf.DUMMYFUNCTION("""COMPUTED_VALUE"""),"#REF!")</f>
        <v>#REF!</v>
      </c>
      <c r="CY60" s="97" t="str">
        <f>IFERROR(__xludf.DUMMYFUNCTION("""COMPUTED_VALUE"""),"#REF!")</f>
        <v>#REF!</v>
      </c>
      <c r="CZ60" s="95" t="str">
        <f>IFERROR(__xludf.DUMMYFUNCTION("""COMPUTED_VALUE"""),"#REF!")</f>
        <v>#REF!</v>
      </c>
      <c r="DA60" s="96" t="str">
        <f>IFERROR(__xludf.DUMMYFUNCTION("""COMPUTED_VALUE"""),"#REF!")</f>
        <v>#REF!</v>
      </c>
      <c r="DB60" s="97" t="str">
        <f>IFERROR(__xludf.DUMMYFUNCTION("""COMPUTED_VALUE"""),"#REF!")</f>
        <v>#REF!</v>
      </c>
      <c r="DC60" s="95" t="str">
        <f>IFERROR(__xludf.DUMMYFUNCTION("""COMPUTED_VALUE"""),"#REF!")</f>
        <v>#REF!</v>
      </c>
      <c r="DD60" s="96" t="str">
        <f>IFERROR(__xludf.DUMMYFUNCTION("""COMPUTED_VALUE"""),"#REF!")</f>
        <v>#REF!</v>
      </c>
      <c r="DE60" s="97" t="str">
        <f>IFERROR(__xludf.DUMMYFUNCTION("""COMPUTED_VALUE"""),"#REF!")</f>
        <v>#REF!</v>
      </c>
      <c r="DF60" s="95" t="str">
        <f>IFERROR(__xludf.DUMMYFUNCTION("""COMPUTED_VALUE"""),"#REF!")</f>
        <v>#REF!</v>
      </c>
      <c r="DG60" s="96" t="str">
        <f>IFERROR(__xludf.DUMMYFUNCTION("""COMPUTED_VALUE"""),"#REF!")</f>
        <v>#REF!</v>
      </c>
      <c r="DH60" s="97" t="str">
        <f>IFERROR(__xludf.DUMMYFUNCTION("""COMPUTED_VALUE"""),"#REF!")</f>
        <v>#REF!</v>
      </c>
      <c r="DI60" s="95" t="str">
        <f>IFERROR(__xludf.DUMMYFUNCTION("""COMPUTED_VALUE"""),"#REF!")</f>
        <v>#REF!</v>
      </c>
      <c r="DJ60" s="96" t="str">
        <f>IFERROR(__xludf.DUMMYFUNCTION("""COMPUTED_VALUE"""),"#REF!")</f>
        <v>#REF!</v>
      </c>
      <c r="DK60" s="97" t="str">
        <f>IFERROR(__xludf.DUMMYFUNCTION("""COMPUTED_VALUE"""),"#REF!")</f>
        <v>#REF!</v>
      </c>
      <c r="DL60" s="95" t="str">
        <f>IFERROR(__xludf.DUMMYFUNCTION("""COMPUTED_VALUE"""),"#REF!")</f>
        <v>#REF!</v>
      </c>
      <c r="DM60" s="96" t="str">
        <f>IFERROR(__xludf.DUMMYFUNCTION("""COMPUTED_VALUE"""),"#REF!")</f>
        <v>#REF!</v>
      </c>
      <c r="DN60" s="97" t="str">
        <f>IFERROR(__xludf.DUMMYFUNCTION("""COMPUTED_VALUE"""),"#REF!")</f>
        <v>#REF!</v>
      </c>
      <c r="DO60" s="95" t="str">
        <f>IFERROR(__xludf.DUMMYFUNCTION("""COMPUTED_VALUE"""),"#REF!")</f>
        <v>#REF!</v>
      </c>
      <c r="DP60" s="96" t="str">
        <f>IFERROR(__xludf.DUMMYFUNCTION("""COMPUTED_VALUE"""),"#REF!")</f>
        <v>#REF!</v>
      </c>
      <c r="DQ60" s="97"/>
      <c r="DR60" s="95"/>
    </row>
    <row r="61">
      <c r="B61" s="83" t="str">
        <f>IFERROR(__xludf.DUMMYFUNCTION("""COMPUTED_VALUE"""),"ORL5")</f>
        <v>ORL5</v>
      </c>
      <c r="C61" s="82">
        <f>IFERROR(__xludf.DUMMYFUNCTION("""COMPUTED_VALUE"""),46.0)</f>
        <v>46</v>
      </c>
      <c r="D61" s="88" t="str">
        <f>IFERROR(__xludf.DUMMYFUNCTION("""COMPUTED_VALUE"""),"Lyon")</f>
        <v>Lyon</v>
      </c>
      <c r="E61" s="82" t="str">
        <f>IFERROR(__xludf.DUMMYFUNCTION("""COMPUTED_VALUE"""),"リヨン")</f>
        <v>リヨン</v>
      </c>
      <c r="F61" s="102">
        <f>IFERROR(__xludf.DUMMYFUNCTION("""COMPUTED_VALUE"""),7.0)</f>
        <v>7</v>
      </c>
      <c r="G61" s="82">
        <f>IFERROR(__xludf.DUMMYFUNCTION("""COMPUTED_VALUE"""),1113.0)</f>
        <v>1113</v>
      </c>
      <c r="H61" s="231" t="str">
        <f>IFERROR(__xludf.DUMMYFUNCTION("""COMPUTED_VALUE"""),"")</f>
        <v/>
      </c>
      <c r="I61" s="232" t="str">
        <f>IFERROR(__xludf.DUMMYFUNCTION("""COMPUTED_VALUE"""),"")</f>
        <v/>
      </c>
      <c r="J61" s="233" t="str">
        <f>IFERROR(__xludf.DUMMYFUNCTION("""COMPUTED_VALUE"""),"")</f>
        <v/>
      </c>
      <c r="K61" s="231" t="str">
        <f>IFERROR(__xludf.DUMMYFUNCTION("""COMPUTED_VALUE"""),"")</f>
        <v/>
      </c>
      <c r="L61" s="232" t="str">
        <f>IFERROR(__xludf.DUMMYFUNCTION("""COMPUTED_VALUE"""),"")</f>
        <v/>
      </c>
      <c r="M61" s="233" t="str">
        <f>IFERROR(__xludf.DUMMYFUNCTION("""COMPUTED_VALUE"""),"")</f>
        <v/>
      </c>
      <c r="N61" s="231" t="str">
        <f>IFERROR(__xludf.DUMMYFUNCTION("""COMPUTED_VALUE"""),"")</f>
        <v/>
      </c>
      <c r="O61" s="232" t="str">
        <f>IFERROR(__xludf.DUMMYFUNCTION("""COMPUTED_VALUE"""),"")</f>
        <v/>
      </c>
      <c r="P61" s="233" t="str">
        <f>IFERROR(__xludf.DUMMYFUNCTION("""COMPUTED_VALUE"""),"")</f>
        <v/>
      </c>
      <c r="Q61" s="231" t="str">
        <f>IFERROR(__xludf.DUMMYFUNCTION("""COMPUTED_VALUE"""),"")</f>
        <v/>
      </c>
      <c r="R61" s="232" t="str">
        <f>IFERROR(__xludf.DUMMYFUNCTION("""COMPUTED_VALUE"""),"")</f>
        <v/>
      </c>
      <c r="S61" s="233" t="str">
        <f>IFERROR(__xludf.DUMMYFUNCTION("""COMPUTED_VALUE"""),"")</f>
        <v/>
      </c>
      <c r="T61" s="231" t="str">
        <f>IFERROR(__xludf.DUMMYFUNCTION("""COMPUTED_VALUE"""),"")</f>
        <v/>
      </c>
      <c r="U61" s="232" t="str">
        <f>IFERROR(__xludf.DUMMYFUNCTION("""COMPUTED_VALUE"""),"")</f>
        <v/>
      </c>
      <c r="V61" s="233" t="str">
        <f>IFERROR(__xludf.DUMMYFUNCTION("""COMPUTED_VALUE"""),"")</f>
        <v/>
      </c>
      <c r="W61" s="231" t="str">
        <f>IFERROR(__xludf.DUMMYFUNCTION("""COMPUTED_VALUE"""),"")</f>
        <v/>
      </c>
      <c r="X61" s="232" t="str">
        <f>IFERROR(__xludf.DUMMYFUNCTION("""COMPUTED_VALUE"""),"")</f>
        <v/>
      </c>
      <c r="Y61" s="233" t="str">
        <f>IFERROR(__xludf.DUMMYFUNCTION("""COMPUTED_VALUE"""),"")</f>
        <v/>
      </c>
      <c r="Z61" s="231" t="str">
        <f>IFERROR(__xludf.DUMMYFUNCTION("""COMPUTED_VALUE"""),"")</f>
        <v/>
      </c>
      <c r="AA61" s="232" t="str">
        <f>IFERROR(__xludf.DUMMYFUNCTION("""COMPUTED_VALUE"""),"")</f>
        <v/>
      </c>
      <c r="AB61" s="233" t="str">
        <f>IFERROR(__xludf.DUMMYFUNCTION("""COMPUTED_VALUE"""),"")</f>
        <v/>
      </c>
      <c r="AC61" s="231" t="str">
        <f>IFERROR(__xludf.DUMMYFUNCTION("""COMPUTED_VALUE"""),"")</f>
        <v/>
      </c>
      <c r="AD61" s="232" t="str">
        <f>IFERROR(__xludf.DUMMYFUNCTION("""COMPUTED_VALUE"""),"")</f>
        <v/>
      </c>
      <c r="AE61" s="233" t="str">
        <f>IFERROR(__xludf.DUMMYFUNCTION("""COMPUTED_VALUE"""),"")</f>
        <v/>
      </c>
      <c r="AF61" s="231" t="str">
        <f>IFERROR(__xludf.DUMMYFUNCTION("""COMPUTED_VALUE"""),"")</f>
        <v/>
      </c>
      <c r="AG61" s="232" t="str">
        <f>IFERROR(__xludf.DUMMYFUNCTION("""COMPUTED_VALUE"""),"")</f>
        <v/>
      </c>
      <c r="AH61" s="233" t="str">
        <f>IFERROR(__xludf.DUMMYFUNCTION("""COMPUTED_VALUE"""),"")</f>
        <v/>
      </c>
      <c r="AI61" s="231" t="str">
        <f>IFERROR(__xludf.DUMMYFUNCTION("""COMPUTED_VALUE"""),"")</f>
        <v/>
      </c>
      <c r="AJ61" s="232" t="str">
        <f>IFERROR(__xludf.DUMMYFUNCTION("""COMPUTED_VALUE"""),"")</f>
        <v/>
      </c>
      <c r="AK61" s="233" t="str">
        <f>IFERROR(__xludf.DUMMYFUNCTION("""COMPUTED_VALUE"""),"")</f>
        <v/>
      </c>
      <c r="AL61" s="231" t="str">
        <f>IFERROR(__xludf.DUMMYFUNCTION("""COMPUTED_VALUE"""),"")</f>
        <v/>
      </c>
      <c r="AM61" s="232" t="str">
        <f>IFERROR(__xludf.DUMMYFUNCTION("""COMPUTED_VALUE"""),"")</f>
        <v/>
      </c>
      <c r="AN61" s="233" t="str">
        <f>IFERROR(__xludf.DUMMYFUNCTION("""COMPUTED_VALUE"""),"")</f>
        <v/>
      </c>
      <c r="AO61" s="231" t="str">
        <f>IFERROR(__xludf.DUMMYFUNCTION("""COMPUTED_VALUE"""),"")</f>
        <v/>
      </c>
      <c r="AP61" s="232" t="str">
        <f>IFERROR(__xludf.DUMMYFUNCTION("""COMPUTED_VALUE"""),"")</f>
        <v/>
      </c>
      <c r="AQ61" s="233" t="str">
        <f>IFERROR(__xludf.DUMMYFUNCTION("""COMPUTED_VALUE"""),"")</f>
        <v/>
      </c>
      <c r="AR61" s="231" t="str">
        <f>IFERROR(__xludf.DUMMYFUNCTION("""COMPUTED_VALUE"""),"")</f>
        <v/>
      </c>
      <c r="AS61" s="232" t="str">
        <f>IFERROR(__xludf.DUMMYFUNCTION("""COMPUTED_VALUE"""),"")</f>
        <v/>
      </c>
      <c r="AT61" s="233">
        <f>IFERROR(__xludf.DUMMYFUNCTION("""COMPUTED_VALUE"""),18.6)</f>
        <v>18.6</v>
      </c>
      <c r="AU61" s="231" t="str">
        <f>IFERROR(__xludf.DUMMYFUNCTION("""COMPUTED_VALUE"""),"")</f>
        <v/>
      </c>
      <c r="AV61" s="232" t="str">
        <f>IFERROR(__xludf.DUMMYFUNCTION("""COMPUTED_VALUE"""),"")</f>
        <v/>
      </c>
      <c r="AW61" s="233">
        <f>IFERROR(__xludf.DUMMYFUNCTION("""COMPUTED_VALUE"""),6.9)</f>
        <v>6.9</v>
      </c>
      <c r="AX61" s="231" t="str">
        <f>IFERROR(__xludf.DUMMYFUNCTION("""COMPUTED_VALUE"""),"")</f>
        <v/>
      </c>
      <c r="AY61" s="232" t="str">
        <f>IFERROR(__xludf.DUMMYFUNCTION("""COMPUTED_VALUE"""),"")</f>
        <v/>
      </c>
      <c r="AZ61" s="233" t="str">
        <f>IFERROR(__xludf.DUMMYFUNCTION("""COMPUTED_VALUE"""),"")</f>
        <v/>
      </c>
      <c r="BA61" s="231" t="str">
        <f>IFERROR(__xludf.DUMMYFUNCTION("""COMPUTED_VALUE"""),"")</f>
        <v/>
      </c>
      <c r="BB61" s="232" t="str">
        <f>IFERROR(__xludf.DUMMYFUNCTION("""COMPUTED_VALUE"""),"")</f>
        <v/>
      </c>
      <c r="BC61" s="233" t="str">
        <f>IFERROR(__xludf.DUMMYFUNCTION("""COMPUTED_VALUE"""),"")</f>
        <v/>
      </c>
      <c r="BD61" s="231" t="str">
        <f>IFERROR(__xludf.DUMMYFUNCTION("""COMPUTED_VALUE"""),"")</f>
        <v/>
      </c>
      <c r="BE61" s="232" t="str">
        <f>IFERROR(__xludf.DUMMYFUNCTION("""COMPUTED_VALUE"""),"")</f>
        <v/>
      </c>
      <c r="BF61" s="233" t="str">
        <f>IFERROR(__xludf.DUMMYFUNCTION("""COMPUTED_VALUE"""),"")</f>
        <v/>
      </c>
      <c r="BG61" s="231" t="str">
        <f>IFERROR(__xludf.DUMMYFUNCTION("""COMPUTED_VALUE"""),"")</f>
        <v/>
      </c>
      <c r="BH61" s="232" t="str">
        <f>IFERROR(__xludf.DUMMYFUNCTION("""COMPUTED_VALUE"""),"")</f>
        <v/>
      </c>
      <c r="BI61" s="233" t="str">
        <f>IFERROR(__xludf.DUMMYFUNCTION("""COMPUTED_VALUE"""),"")</f>
        <v/>
      </c>
      <c r="BJ61" s="231" t="str">
        <f>IFERROR(__xludf.DUMMYFUNCTION("""COMPUTED_VALUE"""),"")</f>
        <v/>
      </c>
      <c r="BK61" s="232" t="str">
        <f>IFERROR(__xludf.DUMMYFUNCTION("""COMPUTED_VALUE"""),"")</f>
        <v/>
      </c>
      <c r="BL61" s="233" t="str">
        <f>IFERROR(__xludf.DUMMYFUNCTION("""COMPUTED_VALUE"""),"")</f>
        <v/>
      </c>
      <c r="BM61" s="231" t="str">
        <f>IFERROR(__xludf.DUMMYFUNCTION("""COMPUTED_VALUE"""),"")</f>
        <v/>
      </c>
      <c r="BN61" s="232" t="str">
        <f>IFERROR(__xludf.DUMMYFUNCTION("""COMPUTED_VALUE"""),"")</f>
        <v/>
      </c>
      <c r="BO61" s="233" t="str">
        <f>IFERROR(__xludf.DUMMYFUNCTION("""COMPUTED_VALUE"""),"")</f>
        <v/>
      </c>
      <c r="BP61" s="231" t="str">
        <f>IFERROR(__xludf.DUMMYFUNCTION("""COMPUTED_VALUE"""),"")</f>
        <v/>
      </c>
      <c r="BQ61" s="232">
        <f>IFERROR(__xludf.DUMMYFUNCTION("""COMPUTED_VALUE"""),26.0)</f>
        <v>26</v>
      </c>
      <c r="BR61" s="233" t="str">
        <f>IFERROR(__xludf.DUMMYFUNCTION("""COMPUTED_VALUE"""),"")</f>
        <v/>
      </c>
      <c r="BS61" s="231">
        <f>IFERROR(__xludf.DUMMYFUNCTION("""COMPUTED_VALUE"""),9.8)</f>
        <v>9.8</v>
      </c>
      <c r="BT61" s="232" t="str">
        <f>IFERROR(__xludf.DUMMYFUNCTION("""COMPUTED_VALUE"""),"")</f>
        <v/>
      </c>
      <c r="BU61" s="233" t="str">
        <f>IFERROR(__xludf.DUMMYFUNCTION("""COMPUTED_VALUE"""),"")</f>
        <v/>
      </c>
      <c r="BV61" s="231" t="str">
        <f>IFERROR(__xludf.DUMMYFUNCTION("""COMPUTED_VALUE"""),"")</f>
        <v/>
      </c>
      <c r="BW61" s="232" t="str">
        <f>IFERROR(__xludf.DUMMYFUNCTION("""COMPUTED_VALUE"""),"")</f>
        <v/>
      </c>
      <c r="BX61" s="233" t="str">
        <f>IFERROR(__xludf.DUMMYFUNCTION("""COMPUTED_VALUE"""),"")</f>
        <v/>
      </c>
      <c r="BY61" s="231" t="str">
        <f>IFERROR(__xludf.DUMMYFUNCTION("""COMPUTED_VALUE"""),"")</f>
        <v/>
      </c>
      <c r="BZ61" s="232" t="str">
        <f>IFERROR(__xludf.DUMMYFUNCTION("""COMPUTED_VALUE"""),"")</f>
        <v/>
      </c>
      <c r="CA61" s="233" t="str">
        <f>IFERROR(__xludf.DUMMYFUNCTION("""COMPUTED_VALUE"""),"")</f>
        <v/>
      </c>
      <c r="CB61" s="231" t="str">
        <f>IFERROR(__xludf.DUMMYFUNCTION("""COMPUTED_VALUE"""),"")</f>
        <v/>
      </c>
      <c r="CC61" s="232" t="str">
        <f>IFERROR(__xludf.DUMMYFUNCTION("""COMPUTED_VALUE"""),"")</f>
        <v/>
      </c>
      <c r="CD61" s="233" t="str">
        <f>IFERROR(__xludf.DUMMYFUNCTION("""COMPUTED_VALUE"""),"")</f>
        <v/>
      </c>
      <c r="CE61" s="234" t="str">
        <f>IFERROR(__xludf.DUMMYFUNCTION("""COMPUTED_VALUE"""),"")</f>
        <v/>
      </c>
      <c r="CF61" s="230" t="str">
        <f>IFERROR(__xludf.DUMMYFUNCTION("""COMPUTED_VALUE"""),"")</f>
        <v/>
      </c>
      <c r="CG61" s="235" t="str">
        <f>IFERROR(__xludf.DUMMYFUNCTION("""COMPUTED_VALUE"""),"")</f>
        <v/>
      </c>
      <c r="CH61" s="234" t="str">
        <f>IFERROR(__xludf.DUMMYFUNCTION("""COMPUTED_VALUE"""),"")</f>
        <v/>
      </c>
      <c r="CI61" s="230" t="str">
        <f>IFERROR(__xludf.DUMMYFUNCTION("""COMPUTED_VALUE"""),"")</f>
        <v/>
      </c>
      <c r="CJ61" s="235">
        <f>IFERROR(__xludf.DUMMYFUNCTION("""COMPUTED_VALUE"""),11.1)</f>
        <v>11.1</v>
      </c>
      <c r="CK61" s="95" t="str">
        <f>IFERROR(__xludf.DUMMYFUNCTION("""COMPUTED_VALUE"""),"")</f>
        <v/>
      </c>
      <c r="CL61" s="96" t="str">
        <f>IFERROR(__xludf.DUMMYFUNCTION("""COMPUTED_VALUE"""),"")</f>
        <v/>
      </c>
      <c r="CM61" s="97" t="str">
        <f>IFERROR(__xludf.DUMMYFUNCTION("""COMPUTED_VALUE"""),"")</f>
        <v/>
      </c>
      <c r="CN61" s="95" t="str">
        <f>IFERROR(__xludf.DUMMYFUNCTION("""COMPUTED_VALUE"""),"")</f>
        <v/>
      </c>
      <c r="CO61" s="96" t="str">
        <f>IFERROR(__xludf.DUMMYFUNCTION("""COMPUTED_VALUE"""),"")</f>
        <v/>
      </c>
      <c r="CP61" s="97" t="str">
        <f>IFERROR(__xludf.DUMMYFUNCTION("""COMPUTED_VALUE"""),"")</f>
        <v/>
      </c>
      <c r="CQ61" s="95" t="str">
        <f>IFERROR(__xludf.DUMMYFUNCTION("""COMPUTED_VALUE"""),"")</f>
        <v/>
      </c>
      <c r="CR61" s="96" t="str">
        <f>IFERROR(__xludf.DUMMYFUNCTION("""COMPUTED_VALUE"""),"")</f>
        <v/>
      </c>
      <c r="CS61" s="97" t="str">
        <f>IFERROR(__xludf.DUMMYFUNCTION("""COMPUTED_VALUE"""),"#REF!")</f>
        <v>#REF!</v>
      </c>
      <c r="CT61" s="95" t="str">
        <f>IFERROR(__xludf.DUMMYFUNCTION("""COMPUTED_VALUE"""),"#REF!")</f>
        <v>#REF!</v>
      </c>
      <c r="CU61" s="96" t="str">
        <f>IFERROR(__xludf.DUMMYFUNCTION("""COMPUTED_VALUE"""),"#REF!")</f>
        <v>#REF!</v>
      </c>
      <c r="CV61" s="97" t="str">
        <f>IFERROR(__xludf.DUMMYFUNCTION("""COMPUTED_VALUE"""),"#REF!")</f>
        <v>#REF!</v>
      </c>
      <c r="CW61" s="95" t="str">
        <f>IFERROR(__xludf.DUMMYFUNCTION("""COMPUTED_VALUE"""),"#REF!")</f>
        <v>#REF!</v>
      </c>
      <c r="CX61" s="96" t="str">
        <f>IFERROR(__xludf.DUMMYFUNCTION("""COMPUTED_VALUE"""),"#REF!")</f>
        <v>#REF!</v>
      </c>
      <c r="CY61" s="97" t="str">
        <f>IFERROR(__xludf.DUMMYFUNCTION("""COMPUTED_VALUE"""),"#REF!")</f>
        <v>#REF!</v>
      </c>
      <c r="CZ61" s="95" t="str">
        <f>IFERROR(__xludf.DUMMYFUNCTION("""COMPUTED_VALUE"""),"#REF!")</f>
        <v>#REF!</v>
      </c>
      <c r="DA61" s="96" t="str">
        <f>IFERROR(__xludf.DUMMYFUNCTION("""COMPUTED_VALUE"""),"#REF!")</f>
        <v>#REF!</v>
      </c>
      <c r="DB61" s="97" t="str">
        <f>IFERROR(__xludf.DUMMYFUNCTION("""COMPUTED_VALUE"""),"#REF!")</f>
        <v>#REF!</v>
      </c>
      <c r="DC61" s="95" t="str">
        <f>IFERROR(__xludf.DUMMYFUNCTION("""COMPUTED_VALUE"""),"#REF!")</f>
        <v>#REF!</v>
      </c>
      <c r="DD61" s="96" t="str">
        <f>IFERROR(__xludf.DUMMYFUNCTION("""COMPUTED_VALUE"""),"#REF!")</f>
        <v>#REF!</v>
      </c>
      <c r="DE61" s="97" t="str">
        <f>IFERROR(__xludf.DUMMYFUNCTION("""COMPUTED_VALUE"""),"#REF!")</f>
        <v>#REF!</v>
      </c>
      <c r="DF61" s="95" t="str">
        <f>IFERROR(__xludf.DUMMYFUNCTION("""COMPUTED_VALUE"""),"#REF!")</f>
        <v>#REF!</v>
      </c>
      <c r="DG61" s="96" t="str">
        <f>IFERROR(__xludf.DUMMYFUNCTION("""COMPUTED_VALUE"""),"#REF!")</f>
        <v>#REF!</v>
      </c>
      <c r="DH61" s="97" t="str">
        <f>IFERROR(__xludf.DUMMYFUNCTION("""COMPUTED_VALUE"""),"#REF!")</f>
        <v>#REF!</v>
      </c>
      <c r="DI61" s="95" t="str">
        <f>IFERROR(__xludf.DUMMYFUNCTION("""COMPUTED_VALUE"""),"#REF!")</f>
        <v>#REF!</v>
      </c>
      <c r="DJ61" s="96" t="str">
        <f>IFERROR(__xludf.DUMMYFUNCTION("""COMPUTED_VALUE"""),"#REF!")</f>
        <v>#REF!</v>
      </c>
      <c r="DK61" s="97" t="str">
        <f>IFERROR(__xludf.DUMMYFUNCTION("""COMPUTED_VALUE"""),"#REF!")</f>
        <v>#REF!</v>
      </c>
      <c r="DL61" s="95" t="str">
        <f>IFERROR(__xludf.DUMMYFUNCTION("""COMPUTED_VALUE"""),"#REF!")</f>
        <v>#REF!</v>
      </c>
      <c r="DM61" s="96" t="str">
        <f>IFERROR(__xludf.DUMMYFUNCTION("""COMPUTED_VALUE"""),"#REF!")</f>
        <v>#REF!</v>
      </c>
      <c r="DN61" s="97" t="str">
        <f>IFERROR(__xludf.DUMMYFUNCTION("""COMPUTED_VALUE"""),"#REF!")</f>
        <v>#REF!</v>
      </c>
      <c r="DO61" s="95" t="str">
        <f>IFERROR(__xludf.DUMMYFUNCTION("""COMPUTED_VALUE"""),"#REF!")</f>
        <v>#REF!</v>
      </c>
      <c r="DP61" s="96" t="str">
        <f>IFERROR(__xludf.DUMMYFUNCTION("""COMPUTED_VALUE"""),"#REF!")</f>
        <v>#REF!</v>
      </c>
      <c r="DQ61" s="97"/>
      <c r="DR61" s="95"/>
    </row>
    <row r="62">
      <c r="B62" s="83" t="str">
        <f>IFERROR(__xludf.DUMMYFUNCTION("""COMPUTED_VALUE"""),"ORL6")</f>
        <v>ORL6</v>
      </c>
      <c r="C62" s="82">
        <f>IFERROR(__xludf.DUMMYFUNCTION("""COMPUTED_VALUE"""),47.0)</f>
        <v>47</v>
      </c>
      <c r="D62" s="88" t="str">
        <f>IFERROR(__xludf.DUMMYFUNCTION("""COMPUTED_VALUE"""),"Marseille")</f>
        <v>Marseille</v>
      </c>
      <c r="E62" s="82" t="str">
        <f>IFERROR(__xludf.DUMMYFUNCTION("""COMPUTED_VALUE"""),"マルセイユ")</f>
        <v>マルセイユ</v>
      </c>
      <c r="F62" s="102">
        <f>IFERROR(__xludf.DUMMYFUNCTION("""COMPUTED_VALUE"""),7.0)</f>
        <v>7</v>
      </c>
      <c r="G62" s="82">
        <f>IFERROR(__xludf.DUMMYFUNCTION("""COMPUTED_VALUE"""),1680.0)</f>
        <v>1680</v>
      </c>
      <c r="H62" s="231" t="str">
        <f>IFERROR(__xludf.DUMMYFUNCTION("""COMPUTED_VALUE"""),"")</f>
        <v/>
      </c>
      <c r="I62" s="232" t="str">
        <f>IFERROR(__xludf.DUMMYFUNCTION("""COMPUTED_VALUE"""),"")</f>
        <v/>
      </c>
      <c r="J62" s="233" t="str">
        <f>IFERROR(__xludf.DUMMYFUNCTION("""COMPUTED_VALUE"""),"")</f>
        <v/>
      </c>
      <c r="K62" s="231" t="str">
        <f>IFERROR(__xludf.DUMMYFUNCTION("""COMPUTED_VALUE"""),"")</f>
        <v/>
      </c>
      <c r="L62" s="232" t="str">
        <f>IFERROR(__xludf.DUMMYFUNCTION("""COMPUTED_VALUE"""),"")</f>
        <v/>
      </c>
      <c r="M62" s="233" t="str">
        <f>IFERROR(__xludf.DUMMYFUNCTION("""COMPUTED_VALUE"""),"")</f>
        <v/>
      </c>
      <c r="N62" s="231" t="str">
        <f>IFERROR(__xludf.DUMMYFUNCTION("""COMPUTED_VALUE"""),"")</f>
        <v/>
      </c>
      <c r="O62" s="232" t="str">
        <f>IFERROR(__xludf.DUMMYFUNCTION("""COMPUTED_VALUE"""),"")</f>
        <v/>
      </c>
      <c r="P62" s="233" t="str">
        <f>IFERROR(__xludf.DUMMYFUNCTION("""COMPUTED_VALUE"""),"")</f>
        <v/>
      </c>
      <c r="Q62" s="231" t="str">
        <f>IFERROR(__xludf.DUMMYFUNCTION("""COMPUTED_VALUE"""),"")</f>
        <v/>
      </c>
      <c r="R62" s="232" t="str">
        <f>IFERROR(__xludf.DUMMYFUNCTION("""COMPUTED_VALUE"""),"")</f>
        <v/>
      </c>
      <c r="S62" s="233" t="str">
        <f>IFERROR(__xludf.DUMMYFUNCTION("""COMPUTED_VALUE"""),"")</f>
        <v/>
      </c>
      <c r="T62" s="231" t="str">
        <f>IFERROR(__xludf.DUMMYFUNCTION("""COMPUTED_VALUE"""),"")</f>
        <v/>
      </c>
      <c r="U62" s="232" t="str">
        <f>IFERROR(__xludf.DUMMYFUNCTION("""COMPUTED_VALUE"""),"")</f>
        <v/>
      </c>
      <c r="V62" s="233" t="str">
        <f>IFERROR(__xludf.DUMMYFUNCTION("""COMPUTED_VALUE"""),"")</f>
        <v/>
      </c>
      <c r="W62" s="231" t="str">
        <f>IFERROR(__xludf.DUMMYFUNCTION("""COMPUTED_VALUE"""),"")</f>
        <v/>
      </c>
      <c r="X62" s="232" t="str">
        <f>IFERROR(__xludf.DUMMYFUNCTION("""COMPUTED_VALUE"""),"")</f>
        <v/>
      </c>
      <c r="Y62" s="233" t="str">
        <f>IFERROR(__xludf.DUMMYFUNCTION("""COMPUTED_VALUE"""),"")</f>
        <v/>
      </c>
      <c r="Z62" s="231" t="str">
        <f>IFERROR(__xludf.DUMMYFUNCTION("""COMPUTED_VALUE"""),"")</f>
        <v/>
      </c>
      <c r="AA62" s="232" t="str">
        <f>IFERROR(__xludf.DUMMYFUNCTION("""COMPUTED_VALUE"""),"")</f>
        <v/>
      </c>
      <c r="AB62" s="233" t="str">
        <f>IFERROR(__xludf.DUMMYFUNCTION("""COMPUTED_VALUE"""),"")</f>
        <v/>
      </c>
      <c r="AC62" s="231" t="str">
        <f>IFERROR(__xludf.DUMMYFUNCTION("""COMPUTED_VALUE"""),"")</f>
        <v/>
      </c>
      <c r="AD62" s="232" t="str">
        <f>IFERROR(__xludf.DUMMYFUNCTION("""COMPUTED_VALUE"""),"")</f>
        <v/>
      </c>
      <c r="AE62" s="233" t="str">
        <f>IFERROR(__xludf.DUMMYFUNCTION("""COMPUTED_VALUE"""),"")</f>
        <v/>
      </c>
      <c r="AF62" s="231" t="str">
        <f>IFERROR(__xludf.DUMMYFUNCTION("""COMPUTED_VALUE"""),"")</f>
        <v/>
      </c>
      <c r="AG62" s="232" t="str">
        <f>IFERROR(__xludf.DUMMYFUNCTION("""COMPUTED_VALUE"""),"")</f>
        <v/>
      </c>
      <c r="AH62" s="233" t="str">
        <f>IFERROR(__xludf.DUMMYFUNCTION("""COMPUTED_VALUE"""),"")</f>
        <v/>
      </c>
      <c r="AI62" s="231" t="str">
        <f>IFERROR(__xludf.DUMMYFUNCTION("""COMPUTED_VALUE"""),"")</f>
        <v/>
      </c>
      <c r="AJ62" s="232" t="str">
        <f>IFERROR(__xludf.DUMMYFUNCTION("""COMPUTED_VALUE"""),"")</f>
        <v/>
      </c>
      <c r="AK62" s="233" t="str">
        <f>IFERROR(__xludf.DUMMYFUNCTION("""COMPUTED_VALUE"""),"")</f>
        <v/>
      </c>
      <c r="AL62" s="231" t="str">
        <f>IFERROR(__xludf.DUMMYFUNCTION("""COMPUTED_VALUE"""),"")</f>
        <v/>
      </c>
      <c r="AM62" s="232" t="str">
        <f>IFERROR(__xludf.DUMMYFUNCTION("""COMPUTED_VALUE"""),"")</f>
        <v/>
      </c>
      <c r="AN62" s="233" t="str">
        <f>IFERROR(__xludf.DUMMYFUNCTION("""COMPUTED_VALUE"""),"")</f>
        <v/>
      </c>
      <c r="AO62" s="231" t="str">
        <f>IFERROR(__xludf.DUMMYFUNCTION("""COMPUTED_VALUE"""),"")</f>
        <v/>
      </c>
      <c r="AP62" s="232" t="str">
        <f>IFERROR(__xludf.DUMMYFUNCTION("""COMPUTED_VALUE"""),"")</f>
        <v/>
      </c>
      <c r="AQ62" s="233" t="str">
        <f>IFERROR(__xludf.DUMMYFUNCTION("""COMPUTED_VALUE"""),"")</f>
        <v/>
      </c>
      <c r="AR62" s="231" t="str">
        <f>IFERROR(__xludf.DUMMYFUNCTION("""COMPUTED_VALUE"""),"")</f>
        <v/>
      </c>
      <c r="AS62" s="232" t="str">
        <f>IFERROR(__xludf.DUMMYFUNCTION("""COMPUTED_VALUE"""),"")</f>
        <v/>
      </c>
      <c r="AT62" s="233">
        <f>IFERROR(__xludf.DUMMYFUNCTION("""COMPUTED_VALUE"""),29.8)</f>
        <v>29.8</v>
      </c>
      <c r="AU62" s="231" t="str">
        <f>IFERROR(__xludf.DUMMYFUNCTION("""COMPUTED_VALUE"""),"")</f>
        <v/>
      </c>
      <c r="AV62" s="232" t="str">
        <f>IFERROR(__xludf.DUMMYFUNCTION("""COMPUTED_VALUE"""),"")</f>
        <v/>
      </c>
      <c r="AW62" s="233" t="str">
        <f>IFERROR(__xludf.DUMMYFUNCTION("""COMPUTED_VALUE"""),"")</f>
        <v/>
      </c>
      <c r="AX62" s="231" t="str">
        <f>IFERROR(__xludf.DUMMYFUNCTION("""COMPUTED_VALUE"""),"")</f>
        <v/>
      </c>
      <c r="AY62" s="232" t="str">
        <f>IFERROR(__xludf.DUMMYFUNCTION("""COMPUTED_VALUE"""),"")</f>
        <v/>
      </c>
      <c r="AZ62" s="233" t="str">
        <f>IFERROR(__xludf.DUMMYFUNCTION("""COMPUTED_VALUE"""),"")</f>
        <v/>
      </c>
      <c r="BA62" s="231" t="str">
        <f>IFERROR(__xludf.DUMMYFUNCTION("""COMPUTED_VALUE"""),"")</f>
        <v/>
      </c>
      <c r="BB62" s="232" t="str">
        <f>IFERROR(__xludf.DUMMYFUNCTION("""COMPUTED_VALUE"""),"")</f>
        <v/>
      </c>
      <c r="BC62" s="233" t="str">
        <f>IFERROR(__xludf.DUMMYFUNCTION("""COMPUTED_VALUE"""),"")</f>
        <v/>
      </c>
      <c r="BD62" s="231" t="str">
        <f>IFERROR(__xludf.DUMMYFUNCTION("""COMPUTED_VALUE"""),"")</f>
        <v/>
      </c>
      <c r="BE62" s="232" t="str">
        <f>IFERROR(__xludf.DUMMYFUNCTION("""COMPUTED_VALUE"""),"")</f>
        <v/>
      </c>
      <c r="BF62" s="233" t="str">
        <f>IFERROR(__xludf.DUMMYFUNCTION("""COMPUTED_VALUE"""),"")</f>
        <v/>
      </c>
      <c r="BG62" s="231" t="str">
        <f>IFERROR(__xludf.DUMMYFUNCTION("""COMPUTED_VALUE"""),"")</f>
        <v/>
      </c>
      <c r="BH62" s="232" t="str">
        <f>IFERROR(__xludf.DUMMYFUNCTION("""COMPUTED_VALUE"""),"")</f>
        <v/>
      </c>
      <c r="BI62" s="233" t="str">
        <f>IFERROR(__xludf.DUMMYFUNCTION("""COMPUTED_VALUE"""),"")</f>
        <v/>
      </c>
      <c r="BJ62" s="231" t="str">
        <f>IFERROR(__xludf.DUMMYFUNCTION("""COMPUTED_VALUE"""),"")</f>
        <v/>
      </c>
      <c r="BK62" s="232" t="str">
        <f>IFERROR(__xludf.DUMMYFUNCTION("""COMPUTED_VALUE"""),"")</f>
        <v/>
      </c>
      <c r="BL62" s="233" t="str">
        <f>IFERROR(__xludf.DUMMYFUNCTION("""COMPUTED_VALUE"""),"")</f>
        <v/>
      </c>
      <c r="BM62" s="231" t="str">
        <f>IFERROR(__xludf.DUMMYFUNCTION("""COMPUTED_VALUE"""),"")</f>
        <v/>
      </c>
      <c r="BN62" s="232" t="str">
        <f>IFERROR(__xludf.DUMMYFUNCTION("""COMPUTED_VALUE"""),"")</f>
        <v/>
      </c>
      <c r="BO62" s="233" t="str">
        <f>IFERROR(__xludf.DUMMYFUNCTION("""COMPUTED_VALUE"""),"")</f>
        <v/>
      </c>
      <c r="BP62" s="231" t="str">
        <f>IFERROR(__xludf.DUMMYFUNCTION("""COMPUTED_VALUE"""),"")</f>
        <v/>
      </c>
      <c r="BQ62" s="232">
        <f>IFERROR(__xludf.DUMMYFUNCTION("""COMPUTED_VALUE"""),21.4)</f>
        <v>21.4</v>
      </c>
      <c r="BR62" s="233" t="str">
        <f>IFERROR(__xludf.DUMMYFUNCTION("""COMPUTED_VALUE"""),"")</f>
        <v/>
      </c>
      <c r="BS62" s="231">
        <f>IFERROR(__xludf.DUMMYFUNCTION("""COMPUTED_VALUE"""),25.7)</f>
        <v>25.7</v>
      </c>
      <c r="BT62" s="232" t="str">
        <f>IFERROR(__xludf.DUMMYFUNCTION("""COMPUTED_VALUE"""),"")</f>
        <v/>
      </c>
      <c r="BU62" s="233" t="str">
        <f>IFERROR(__xludf.DUMMYFUNCTION("""COMPUTED_VALUE"""),"")</f>
        <v/>
      </c>
      <c r="BV62" s="231" t="str">
        <f>IFERROR(__xludf.DUMMYFUNCTION("""COMPUTED_VALUE"""),"")</f>
        <v/>
      </c>
      <c r="BW62" s="232" t="str">
        <f>IFERROR(__xludf.DUMMYFUNCTION("""COMPUTED_VALUE"""),"")</f>
        <v/>
      </c>
      <c r="BX62" s="233" t="str">
        <f>IFERROR(__xludf.DUMMYFUNCTION("""COMPUTED_VALUE"""),"")</f>
        <v/>
      </c>
      <c r="BY62" s="231" t="str">
        <f>IFERROR(__xludf.DUMMYFUNCTION("""COMPUTED_VALUE"""),"")</f>
        <v/>
      </c>
      <c r="BZ62" s="232" t="str">
        <f>IFERROR(__xludf.DUMMYFUNCTION("""COMPUTED_VALUE"""),"")</f>
        <v/>
      </c>
      <c r="CA62" s="233" t="str">
        <f>IFERROR(__xludf.DUMMYFUNCTION("""COMPUTED_VALUE"""),"")</f>
        <v/>
      </c>
      <c r="CB62" s="231" t="str">
        <f>IFERROR(__xludf.DUMMYFUNCTION("""COMPUTED_VALUE"""),"")</f>
        <v/>
      </c>
      <c r="CC62" s="232" t="str">
        <f>IFERROR(__xludf.DUMMYFUNCTION("""COMPUTED_VALUE"""),"")</f>
        <v/>
      </c>
      <c r="CD62" s="233" t="str">
        <f>IFERROR(__xludf.DUMMYFUNCTION("""COMPUTED_VALUE"""),"")</f>
        <v/>
      </c>
      <c r="CE62" s="234" t="str">
        <f>IFERROR(__xludf.DUMMYFUNCTION("""COMPUTED_VALUE"""),"")</f>
        <v/>
      </c>
      <c r="CF62" s="230" t="str">
        <f>IFERROR(__xludf.DUMMYFUNCTION("""COMPUTED_VALUE"""),"")</f>
        <v/>
      </c>
      <c r="CG62" s="235" t="str">
        <f>IFERROR(__xludf.DUMMYFUNCTION("""COMPUTED_VALUE"""),"")</f>
        <v/>
      </c>
      <c r="CH62" s="234" t="str">
        <f>IFERROR(__xludf.DUMMYFUNCTION("""COMPUTED_VALUE"""),"")</f>
        <v/>
      </c>
      <c r="CI62" s="230" t="str">
        <f>IFERROR(__xludf.DUMMYFUNCTION("""COMPUTED_VALUE"""),"")</f>
        <v/>
      </c>
      <c r="CJ62" s="235" t="str">
        <f>IFERROR(__xludf.DUMMYFUNCTION("""COMPUTED_VALUE"""),"")</f>
        <v/>
      </c>
      <c r="CK62" s="95" t="str">
        <f>IFERROR(__xludf.DUMMYFUNCTION("""COMPUTED_VALUE"""),"")</f>
        <v/>
      </c>
      <c r="CL62" s="96" t="str">
        <f>IFERROR(__xludf.DUMMYFUNCTION("""COMPUTED_VALUE"""),"")</f>
        <v/>
      </c>
      <c r="CM62" s="97" t="str">
        <f>IFERROR(__xludf.DUMMYFUNCTION("""COMPUTED_VALUE"""),"")</f>
        <v/>
      </c>
      <c r="CN62" s="95" t="str">
        <f>IFERROR(__xludf.DUMMYFUNCTION("""COMPUTED_VALUE"""),"")</f>
        <v/>
      </c>
      <c r="CO62" s="96" t="str">
        <f>IFERROR(__xludf.DUMMYFUNCTION("""COMPUTED_VALUE"""),"")</f>
        <v/>
      </c>
      <c r="CP62" s="97" t="str">
        <f>IFERROR(__xludf.DUMMYFUNCTION("""COMPUTED_VALUE"""),"")</f>
        <v/>
      </c>
      <c r="CQ62" s="95" t="str">
        <f>IFERROR(__xludf.DUMMYFUNCTION("""COMPUTED_VALUE"""),"")</f>
        <v/>
      </c>
      <c r="CR62" s="96" t="str">
        <f>IFERROR(__xludf.DUMMYFUNCTION("""COMPUTED_VALUE"""),"")</f>
        <v/>
      </c>
      <c r="CS62" s="97" t="str">
        <f>IFERROR(__xludf.DUMMYFUNCTION("""COMPUTED_VALUE"""),"#REF!")</f>
        <v>#REF!</v>
      </c>
      <c r="CT62" s="95" t="str">
        <f>IFERROR(__xludf.DUMMYFUNCTION("""COMPUTED_VALUE"""),"#REF!")</f>
        <v>#REF!</v>
      </c>
      <c r="CU62" s="96" t="str">
        <f>IFERROR(__xludf.DUMMYFUNCTION("""COMPUTED_VALUE"""),"#REF!")</f>
        <v>#REF!</v>
      </c>
      <c r="CV62" s="97" t="str">
        <f>IFERROR(__xludf.DUMMYFUNCTION("""COMPUTED_VALUE"""),"#REF!")</f>
        <v>#REF!</v>
      </c>
      <c r="CW62" s="95" t="str">
        <f>IFERROR(__xludf.DUMMYFUNCTION("""COMPUTED_VALUE"""),"#REF!")</f>
        <v>#REF!</v>
      </c>
      <c r="CX62" s="96" t="str">
        <f>IFERROR(__xludf.DUMMYFUNCTION("""COMPUTED_VALUE"""),"#REF!")</f>
        <v>#REF!</v>
      </c>
      <c r="CY62" s="97" t="str">
        <f>IFERROR(__xludf.DUMMYFUNCTION("""COMPUTED_VALUE"""),"#REF!")</f>
        <v>#REF!</v>
      </c>
      <c r="CZ62" s="95" t="str">
        <f>IFERROR(__xludf.DUMMYFUNCTION("""COMPUTED_VALUE"""),"#REF!")</f>
        <v>#REF!</v>
      </c>
      <c r="DA62" s="96" t="str">
        <f>IFERROR(__xludf.DUMMYFUNCTION("""COMPUTED_VALUE"""),"#REF!")</f>
        <v>#REF!</v>
      </c>
      <c r="DB62" s="97" t="str">
        <f>IFERROR(__xludf.DUMMYFUNCTION("""COMPUTED_VALUE"""),"#REF!")</f>
        <v>#REF!</v>
      </c>
      <c r="DC62" s="95" t="str">
        <f>IFERROR(__xludf.DUMMYFUNCTION("""COMPUTED_VALUE"""),"#REF!")</f>
        <v>#REF!</v>
      </c>
      <c r="DD62" s="96" t="str">
        <f>IFERROR(__xludf.DUMMYFUNCTION("""COMPUTED_VALUE"""),"#REF!")</f>
        <v>#REF!</v>
      </c>
      <c r="DE62" s="97" t="str">
        <f>IFERROR(__xludf.DUMMYFUNCTION("""COMPUTED_VALUE"""),"#REF!")</f>
        <v>#REF!</v>
      </c>
      <c r="DF62" s="95" t="str">
        <f>IFERROR(__xludf.DUMMYFUNCTION("""COMPUTED_VALUE"""),"#REF!")</f>
        <v>#REF!</v>
      </c>
      <c r="DG62" s="96" t="str">
        <f>IFERROR(__xludf.DUMMYFUNCTION("""COMPUTED_VALUE"""),"#REF!")</f>
        <v>#REF!</v>
      </c>
      <c r="DH62" s="97" t="str">
        <f>IFERROR(__xludf.DUMMYFUNCTION("""COMPUTED_VALUE"""),"#REF!")</f>
        <v>#REF!</v>
      </c>
      <c r="DI62" s="95" t="str">
        <f>IFERROR(__xludf.DUMMYFUNCTION("""COMPUTED_VALUE"""),"#REF!")</f>
        <v>#REF!</v>
      </c>
      <c r="DJ62" s="96" t="str">
        <f>IFERROR(__xludf.DUMMYFUNCTION("""COMPUTED_VALUE"""),"#REF!")</f>
        <v>#REF!</v>
      </c>
      <c r="DK62" s="97" t="str">
        <f>IFERROR(__xludf.DUMMYFUNCTION("""COMPUTED_VALUE"""),"#REF!")</f>
        <v>#REF!</v>
      </c>
      <c r="DL62" s="95" t="str">
        <f>IFERROR(__xludf.DUMMYFUNCTION("""COMPUTED_VALUE"""),"#REF!")</f>
        <v>#REF!</v>
      </c>
      <c r="DM62" s="96" t="str">
        <f>IFERROR(__xludf.DUMMYFUNCTION("""COMPUTED_VALUE"""),"#REF!")</f>
        <v>#REF!</v>
      </c>
      <c r="DN62" s="97" t="str">
        <f>IFERROR(__xludf.DUMMYFUNCTION("""COMPUTED_VALUE"""),"#REF!")</f>
        <v>#REF!</v>
      </c>
      <c r="DO62" s="95" t="str">
        <f>IFERROR(__xludf.DUMMYFUNCTION("""COMPUTED_VALUE"""),"#REF!")</f>
        <v>#REF!</v>
      </c>
      <c r="DP62" s="96" t="str">
        <f>IFERROR(__xludf.DUMMYFUNCTION("""COMPUTED_VALUE"""),"#REF!")</f>
        <v>#REF!</v>
      </c>
      <c r="DQ62" s="97"/>
      <c r="DR62" s="95"/>
    </row>
    <row r="63">
      <c r="B63" s="83" t="str">
        <f>IFERROR(__xludf.DUMMYFUNCTION("""COMPUTED_VALUE"""),"ORL7")</f>
        <v>ORL7</v>
      </c>
      <c r="C63" s="82">
        <f>IFERROR(__xludf.DUMMYFUNCTION("""COMPUTED_VALUE"""),48.0)</f>
        <v>48</v>
      </c>
      <c r="D63" s="88" t="str">
        <f>IFERROR(__xludf.DUMMYFUNCTION("""COMPUTED_VALUE"""),"Thiers")</f>
        <v>Thiers</v>
      </c>
      <c r="E63" s="82" t="str">
        <f>IFERROR(__xludf.DUMMYFUNCTION("""COMPUTED_VALUE"""),"ティエール")</f>
        <v>ティエール</v>
      </c>
      <c r="F63" s="102">
        <f>IFERROR(__xludf.DUMMYFUNCTION("""COMPUTED_VALUE"""),7.0)</f>
        <v>7</v>
      </c>
      <c r="G63" s="82">
        <f>IFERROR(__xludf.DUMMYFUNCTION("""COMPUTED_VALUE"""),1515.0)</f>
        <v>1515</v>
      </c>
      <c r="H63" s="231" t="str">
        <f>IFERROR(__xludf.DUMMYFUNCTION("""COMPUTED_VALUE"""),"")</f>
        <v/>
      </c>
      <c r="I63" s="232" t="str">
        <f>IFERROR(__xludf.DUMMYFUNCTION("""COMPUTED_VALUE"""),"")</f>
        <v/>
      </c>
      <c r="J63" s="233" t="str">
        <f>IFERROR(__xludf.DUMMYFUNCTION("""COMPUTED_VALUE"""),"")</f>
        <v/>
      </c>
      <c r="K63" s="231" t="str">
        <f>IFERROR(__xludf.DUMMYFUNCTION("""COMPUTED_VALUE"""),"")</f>
        <v/>
      </c>
      <c r="L63" s="232" t="str">
        <f>IFERROR(__xludf.DUMMYFUNCTION("""COMPUTED_VALUE"""),"")</f>
        <v/>
      </c>
      <c r="M63" s="233" t="str">
        <f>IFERROR(__xludf.DUMMYFUNCTION("""COMPUTED_VALUE"""),"")</f>
        <v/>
      </c>
      <c r="N63" s="231" t="str">
        <f>IFERROR(__xludf.DUMMYFUNCTION("""COMPUTED_VALUE"""),"")</f>
        <v/>
      </c>
      <c r="O63" s="232" t="str">
        <f>IFERROR(__xludf.DUMMYFUNCTION("""COMPUTED_VALUE"""),"")</f>
        <v/>
      </c>
      <c r="P63" s="233" t="str">
        <f>IFERROR(__xludf.DUMMYFUNCTION("""COMPUTED_VALUE"""),"")</f>
        <v/>
      </c>
      <c r="Q63" s="231" t="str">
        <f>IFERROR(__xludf.DUMMYFUNCTION("""COMPUTED_VALUE"""),"")</f>
        <v/>
      </c>
      <c r="R63" s="232" t="str">
        <f>IFERROR(__xludf.DUMMYFUNCTION("""COMPUTED_VALUE"""),"")</f>
        <v/>
      </c>
      <c r="S63" s="233" t="str">
        <f>IFERROR(__xludf.DUMMYFUNCTION("""COMPUTED_VALUE"""),"")</f>
        <v/>
      </c>
      <c r="T63" s="231" t="str">
        <f>IFERROR(__xludf.DUMMYFUNCTION("""COMPUTED_VALUE"""),"")</f>
        <v/>
      </c>
      <c r="U63" s="232" t="str">
        <f>IFERROR(__xludf.DUMMYFUNCTION("""COMPUTED_VALUE"""),"")</f>
        <v/>
      </c>
      <c r="V63" s="233" t="str">
        <f>IFERROR(__xludf.DUMMYFUNCTION("""COMPUTED_VALUE"""),"")</f>
        <v/>
      </c>
      <c r="W63" s="231" t="str">
        <f>IFERROR(__xludf.DUMMYFUNCTION("""COMPUTED_VALUE"""),"")</f>
        <v/>
      </c>
      <c r="X63" s="232" t="str">
        <f>IFERROR(__xludf.DUMMYFUNCTION("""COMPUTED_VALUE"""),"")</f>
        <v/>
      </c>
      <c r="Y63" s="233" t="str">
        <f>IFERROR(__xludf.DUMMYFUNCTION("""COMPUTED_VALUE"""),"")</f>
        <v/>
      </c>
      <c r="Z63" s="231" t="str">
        <f>IFERROR(__xludf.DUMMYFUNCTION("""COMPUTED_VALUE"""),"")</f>
        <v/>
      </c>
      <c r="AA63" s="232" t="str">
        <f>IFERROR(__xludf.DUMMYFUNCTION("""COMPUTED_VALUE"""),"")</f>
        <v/>
      </c>
      <c r="AB63" s="233" t="str">
        <f>IFERROR(__xludf.DUMMYFUNCTION("""COMPUTED_VALUE"""),"")</f>
        <v/>
      </c>
      <c r="AC63" s="231" t="str">
        <f>IFERROR(__xludf.DUMMYFUNCTION("""COMPUTED_VALUE"""),"")</f>
        <v/>
      </c>
      <c r="AD63" s="232" t="str">
        <f>IFERROR(__xludf.DUMMYFUNCTION("""COMPUTED_VALUE"""),"")</f>
        <v/>
      </c>
      <c r="AE63" s="233" t="str">
        <f>IFERROR(__xludf.DUMMYFUNCTION("""COMPUTED_VALUE"""),"")</f>
        <v/>
      </c>
      <c r="AF63" s="231" t="str">
        <f>IFERROR(__xludf.DUMMYFUNCTION("""COMPUTED_VALUE"""),"")</f>
        <v/>
      </c>
      <c r="AG63" s="232" t="str">
        <f>IFERROR(__xludf.DUMMYFUNCTION("""COMPUTED_VALUE"""),"")</f>
        <v/>
      </c>
      <c r="AH63" s="233" t="str">
        <f>IFERROR(__xludf.DUMMYFUNCTION("""COMPUTED_VALUE"""),"")</f>
        <v/>
      </c>
      <c r="AI63" s="231" t="str">
        <f>IFERROR(__xludf.DUMMYFUNCTION("""COMPUTED_VALUE"""),"")</f>
        <v/>
      </c>
      <c r="AJ63" s="232" t="str">
        <f>IFERROR(__xludf.DUMMYFUNCTION("""COMPUTED_VALUE"""),"")</f>
        <v/>
      </c>
      <c r="AK63" s="233" t="str">
        <f>IFERROR(__xludf.DUMMYFUNCTION("""COMPUTED_VALUE"""),"")</f>
        <v/>
      </c>
      <c r="AL63" s="231" t="str">
        <f>IFERROR(__xludf.DUMMYFUNCTION("""COMPUTED_VALUE"""),"")</f>
        <v/>
      </c>
      <c r="AM63" s="232" t="str">
        <f>IFERROR(__xludf.DUMMYFUNCTION("""COMPUTED_VALUE"""),"")</f>
        <v/>
      </c>
      <c r="AN63" s="233" t="str">
        <f>IFERROR(__xludf.DUMMYFUNCTION("""COMPUTED_VALUE"""),"")</f>
        <v/>
      </c>
      <c r="AO63" s="231" t="str">
        <f>IFERROR(__xludf.DUMMYFUNCTION("""COMPUTED_VALUE"""),"")</f>
        <v/>
      </c>
      <c r="AP63" s="232" t="str">
        <f>IFERROR(__xludf.DUMMYFUNCTION("""COMPUTED_VALUE"""),"")</f>
        <v/>
      </c>
      <c r="AQ63" s="233" t="str">
        <f>IFERROR(__xludf.DUMMYFUNCTION("""COMPUTED_VALUE"""),"")</f>
        <v/>
      </c>
      <c r="AR63" s="231" t="str">
        <f>IFERROR(__xludf.DUMMYFUNCTION("""COMPUTED_VALUE"""),"")</f>
        <v/>
      </c>
      <c r="AS63" s="232" t="str">
        <f>IFERROR(__xludf.DUMMYFUNCTION("""COMPUTED_VALUE"""),"")</f>
        <v/>
      </c>
      <c r="AT63" s="233" t="str">
        <f>IFERROR(__xludf.DUMMYFUNCTION("""COMPUTED_VALUE"""),"")</f>
        <v/>
      </c>
      <c r="AU63" s="231" t="str">
        <f>IFERROR(__xludf.DUMMYFUNCTION("""COMPUTED_VALUE"""),"")</f>
        <v/>
      </c>
      <c r="AV63" s="232">
        <f>IFERROR(__xludf.DUMMYFUNCTION("""COMPUTED_VALUE"""),14.1)</f>
        <v>14.1</v>
      </c>
      <c r="AW63" s="233">
        <f>IFERROR(__xludf.DUMMYFUNCTION("""COMPUTED_VALUE"""),9.0)</f>
        <v>9</v>
      </c>
      <c r="AX63" s="231" t="str">
        <f>IFERROR(__xludf.DUMMYFUNCTION("""COMPUTED_VALUE"""),"")</f>
        <v/>
      </c>
      <c r="AY63" s="232" t="str">
        <f>IFERROR(__xludf.DUMMYFUNCTION("""COMPUTED_VALUE"""),"")</f>
        <v/>
      </c>
      <c r="AZ63" s="233" t="str">
        <f>IFERROR(__xludf.DUMMYFUNCTION("""COMPUTED_VALUE"""),"")</f>
        <v/>
      </c>
      <c r="BA63" s="231" t="str">
        <f>IFERROR(__xludf.DUMMYFUNCTION("""COMPUTED_VALUE"""),"")</f>
        <v/>
      </c>
      <c r="BB63" s="232" t="str">
        <f>IFERROR(__xludf.DUMMYFUNCTION("""COMPUTED_VALUE"""),"")</f>
        <v/>
      </c>
      <c r="BC63" s="233" t="str">
        <f>IFERROR(__xludf.DUMMYFUNCTION("""COMPUTED_VALUE"""),"")</f>
        <v/>
      </c>
      <c r="BD63" s="231" t="str">
        <f>IFERROR(__xludf.DUMMYFUNCTION("""COMPUTED_VALUE"""),"")</f>
        <v/>
      </c>
      <c r="BE63" s="232" t="str">
        <f>IFERROR(__xludf.DUMMYFUNCTION("""COMPUTED_VALUE"""),"")</f>
        <v/>
      </c>
      <c r="BF63" s="233" t="str">
        <f>IFERROR(__xludf.DUMMYFUNCTION("""COMPUTED_VALUE"""),"")</f>
        <v/>
      </c>
      <c r="BG63" s="231" t="str">
        <f>IFERROR(__xludf.DUMMYFUNCTION("""COMPUTED_VALUE"""),"")</f>
        <v/>
      </c>
      <c r="BH63" s="232" t="str">
        <f>IFERROR(__xludf.DUMMYFUNCTION("""COMPUTED_VALUE"""),"")</f>
        <v/>
      </c>
      <c r="BI63" s="233" t="str">
        <f>IFERROR(__xludf.DUMMYFUNCTION("""COMPUTED_VALUE"""),"")</f>
        <v/>
      </c>
      <c r="BJ63" s="231" t="str">
        <f>IFERROR(__xludf.DUMMYFUNCTION("""COMPUTED_VALUE"""),"")</f>
        <v/>
      </c>
      <c r="BK63" s="232" t="str">
        <f>IFERROR(__xludf.DUMMYFUNCTION("""COMPUTED_VALUE"""),"")</f>
        <v/>
      </c>
      <c r="BL63" s="233" t="str">
        <f>IFERROR(__xludf.DUMMYFUNCTION("""COMPUTED_VALUE"""),"")</f>
        <v/>
      </c>
      <c r="BM63" s="231" t="str">
        <f>IFERROR(__xludf.DUMMYFUNCTION("""COMPUTED_VALUE"""),"")</f>
        <v/>
      </c>
      <c r="BN63" s="232" t="str">
        <f>IFERROR(__xludf.DUMMYFUNCTION("""COMPUTED_VALUE"""),"")</f>
        <v/>
      </c>
      <c r="BO63" s="233" t="str">
        <f>IFERROR(__xludf.DUMMYFUNCTION("""COMPUTED_VALUE"""),"")</f>
        <v/>
      </c>
      <c r="BP63" s="231" t="str">
        <f>IFERROR(__xludf.DUMMYFUNCTION("""COMPUTED_VALUE"""),"")</f>
        <v/>
      </c>
      <c r="BQ63" s="232" t="str">
        <f>IFERROR(__xludf.DUMMYFUNCTION("""COMPUTED_VALUE"""),"")</f>
        <v/>
      </c>
      <c r="BR63" s="233" t="str">
        <f>IFERROR(__xludf.DUMMYFUNCTION("""COMPUTED_VALUE"""),"")</f>
        <v/>
      </c>
      <c r="BS63" s="231" t="str">
        <f>IFERROR(__xludf.DUMMYFUNCTION("""COMPUTED_VALUE"""),"")</f>
        <v/>
      </c>
      <c r="BT63" s="232">
        <f>IFERROR(__xludf.DUMMYFUNCTION("""COMPUTED_VALUE"""),34.6)</f>
        <v>34.6</v>
      </c>
      <c r="BU63" s="233" t="str">
        <f>IFERROR(__xludf.DUMMYFUNCTION("""COMPUTED_VALUE"""),"")</f>
        <v/>
      </c>
      <c r="BV63" s="231" t="str">
        <f>IFERROR(__xludf.DUMMYFUNCTION("""COMPUTED_VALUE"""),"")</f>
        <v/>
      </c>
      <c r="BW63" s="232" t="str">
        <f>IFERROR(__xludf.DUMMYFUNCTION("""COMPUTED_VALUE"""),"")</f>
        <v/>
      </c>
      <c r="BX63" s="233" t="str">
        <f>IFERROR(__xludf.DUMMYFUNCTION("""COMPUTED_VALUE"""),"")</f>
        <v/>
      </c>
      <c r="BY63" s="231" t="str">
        <f>IFERROR(__xludf.DUMMYFUNCTION("""COMPUTED_VALUE"""),"")</f>
        <v/>
      </c>
      <c r="BZ63" s="232" t="str">
        <f>IFERROR(__xludf.DUMMYFUNCTION("""COMPUTED_VALUE"""),"")</f>
        <v/>
      </c>
      <c r="CA63" s="233" t="str">
        <f>IFERROR(__xludf.DUMMYFUNCTION("""COMPUTED_VALUE"""),"")</f>
        <v/>
      </c>
      <c r="CB63" s="231" t="str">
        <f>IFERROR(__xludf.DUMMYFUNCTION("""COMPUTED_VALUE"""),"")</f>
        <v/>
      </c>
      <c r="CC63" s="232" t="str">
        <f>IFERROR(__xludf.DUMMYFUNCTION("""COMPUTED_VALUE"""),"")</f>
        <v/>
      </c>
      <c r="CD63" s="233" t="str">
        <f>IFERROR(__xludf.DUMMYFUNCTION("""COMPUTED_VALUE"""),"")</f>
        <v/>
      </c>
      <c r="CE63" s="234" t="str">
        <f>IFERROR(__xludf.DUMMYFUNCTION("""COMPUTED_VALUE"""),"")</f>
        <v/>
      </c>
      <c r="CF63" s="230" t="str">
        <f>IFERROR(__xludf.DUMMYFUNCTION("""COMPUTED_VALUE"""),"")</f>
        <v/>
      </c>
      <c r="CG63" s="235" t="str">
        <f>IFERROR(__xludf.DUMMYFUNCTION("""COMPUTED_VALUE"""),"")</f>
        <v/>
      </c>
      <c r="CH63" s="234" t="str">
        <f>IFERROR(__xludf.DUMMYFUNCTION("""COMPUTED_VALUE"""),"")</f>
        <v/>
      </c>
      <c r="CI63" s="230" t="str">
        <f>IFERROR(__xludf.DUMMYFUNCTION("""COMPUTED_VALUE"""),"")</f>
        <v/>
      </c>
      <c r="CJ63" s="235" t="str">
        <f>IFERROR(__xludf.DUMMYFUNCTION("""COMPUTED_VALUE"""),"")</f>
        <v/>
      </c>
      <c r="CK63" s="95">
        <f>IFERROR(__xludf.DUMMYFUNCTION("""COMPUTED_VALUE"""),8.8)</f>
        <v>8.8</v>
      </c>
      <c r="CL63" s="96" t="str">
        <f>IFERROR(__xludf.DUMMYFUNCTION("""COMPUTED_VALUE"""),"")</f>
        <v/>
      </c>
      <c r="CM63" s="97" t="str">
        <f>IFERROR(__xludf.DUMMYFUNCTION("""COMPUTED_VALUE"""),"")</f>
        <v/>
      </c>
      <c r="CN63" s="95" t="str">
        <f>IFERROR(__xludf.DUMMYFUNCTION("""COMPUTED_VALUE"""),"")</f>
        <v/>
      </c>
      <c r="CO63" s="96" t="str">
        <f>IFERROR(__xludf.DUMMYFUNCTION("""COMPUTED_VALUE"""),"")</f>
        <v/>
      </c>
      <c r="CP63" s="97" t="str">
        <f>IFERROR(__xludf.DUMMYFUNCTION("""COMPUTED_VALUE"""),"")</f>
        <v/>
      </c>
      <c r="CQ63" s="95" t="str">
        <f>IFERROR(__xludf.DUMMYFUNCTION("""COMPUTED_VALUE"""),"")</f>
        <v/>
      </c>
      <c r="CR63" s="96" t="str">
        <f>IFERROR(__xludf.DUMMYFUNCTION("""COMPUTED_VALUE"""),"")</f>
        <v/>
      </c>
      <c r="CS63" s="97" t="str">
        <f>IFERROR(__xludf.DUMMYFUNCTION("""COMPUTED_VALUE"""),"#REF!")</f>
        <v>#REF!</v>
      </c>
      <c r="CT63" s="95" t="str">
        <f>IFERROR(__xludf.DUMMYFUNCTION("""COMPUTED_VALUE"""),"#REF!")</f>
        <v>#REF!</v>
      </c>
      <c r="CU63" s="96" t="str">
        <f>IFERROR(__xludf.DUMMYFUNCTION("""COMPUTED_VALUE"""),"#REF!")</f>
        <v>#REF!</v>
      </c>
      <c r="CV63" s="97" t="str">
        <f>IFERROR(__xludf.DUMMYFUNCTION("""COMPUTED_VALUE"""),"#REF!")</f>
        <v>#REF!</v>
      </c>
      <c r="CW63" s="95" t="str">
        <f>IFERROR(__xludf.DUMMYFUNCTION("""COMPUTED_VALUE"""),"#REF!")</f>
        <v>#REF!</v>
      </c>
      <c r="CX63" s="96" t="str">
        <f>IFERROR(__xludf.DUMMYFUNCTION("""COMPUTED_VALUE"""),"#REF!")</f>
        <v>#REF!</v>
      </c>
      <c r="CY63" s="97" t="str">
        <f>IFERROR(__xludf.DUMMYFUNCTION("""COMPUTED_VALUE"""),"#REF!")</f>
        <v>#REF!</v>
      </c>
      <c r="CZ63" s="95" t="str">
        <f>IFERROR(__xludf.DUMMYFUNCTION("""COMPUTED_VALUE"""),"#REF!")</f>
        <v>#REF!</v>
      </c>
      <c r="DA63" s="96" t="str">
        <f>IFERROR(__xludf.DUMMYFUNCTION("""COMPUTED_VALUE"""),"#REF!")</f>
        <v>#REF!</v>
      </c>
      <c r="DB63" s="97" t="str">
        <f>IFERROR(__xludf.DUMMYFUNCTION("""COMPUTED_VALUE"""),"#REF!")</f>
        <v>#REF!</v>
      </c>
      <c r="DC63" s="95" t="str">
        <f>IFERROR(__xludf.DUMMYFUNCTION("""COMPUTED_VALUE"""),"#REF!")</f>
        <v>#REF!</v>
      </c>
      <c r="DD63" s="96" t="str">
        <f>IFERROR(__xludf.DUMMYFUNCTION("""COMPUTED_VALUE"""),"#REF!")</f>
        <v>#REF!</v>
      </c>
      <c r="DE63" s="97" t="str">
        <f>IFERROR(__xludf.DUMMYFUNCTION("""COMPUTED_VALUE"""),"#REF!")</f>
        <v>#REF!</v>
      </c>
      <c r="DF63" s="95" t="str">
        <f>IFERROR(__xludf.DUMMYFUNCTION("""COMPUTED_VALUE"""),"#REF!")</f>
        <v>#REF!</v>
      </c>
      <c r="DG63" s="96" t="str">
        <f>IFERROR(__xludf.DUMMYFUNCTION("""COMPUTED_VALUE"""),"#REF!")</f>
        <v>#REF!</v>
      </c>
      <c r="DH63" s="97" t="str">
        <f>IFERROR(__xludf.DUMMYFUNCTION("""COMPUTED_VALUE"""),"#REF!")</f>
        <v>#REF!</v>
      </c>
      <c r="DI63" s="95" t="str">
        <f>IFERROR(__xludf.DUMMYFUNCTION("""COMPUTED_VALUE"""),"#REF!")</f>
        <v>#REF!</v>
      </c>
      <c r="DJ63" s="96" t="str">
        <f>IFERROR(__xludf.DUMMYFUNCTION("""COMPUTED_VALUE"""),"#REF!")</f>
        <v>#REF!</v>
      </c>
      <c r="DK63" s="97" t="str">
        <f>IFERROR(__xludf.DUMMYFUNCTION("""COMPUTED_VALUE"""),"#REF!")</f>
        <v>#REF!</v>
      </c>
      <c r="DL63" s="95" t="str">
        <f>IFERROR(__xludf.DUMMYFUNCTION("""COMPUTED_VALUE"""),"#REF!")</f>
        <v>#REF!</v>
      </c>
      <c r="DM63" s="96" t="str">
        <f>IFERROR(__xludf.DUMMYFUNCTION("""COMPUTED_VALUE"""),"#REF!")</f>
        <v>#REF!</v>
      </c>
      <c r="DN63" s="97" t="str">
        <f>IFERROR(__xludf.DUMMYFUNCTION("""COMPUTED_VALUE"""),"#REF!")</f>
        <v>#REF!</v>
      </c>
      <c r="DO63" s="95" t="str">
        <f>IFERROR(__xludf.DUMMYFUNCTION("""COMPUTED_VALUE"""),"#REF!")</f>
        <v>#REF!</v>
      </c>
      <c r="DP63" s="96" t="str">
        <f>IFERROR(__xludf.DUMMYFUNCTION("""COMPUTED_VALUE"""),"#REF!")</f>
        <v>#REF!</v>
      </c>
      <c r="DQ63" s="97"/>
      <c r="DR63" s="95"/>
    </row>
    <row r="64">
      <c r="B64" s="83" t="str">
        <f>IFERROR(__xludf.DUMMYFUNCTION("""COMPUTED_VALUE"""),"ORL8")</f>
        <v>ORL8</v>
      </c>
      <c r="C64" s="82">
        <f>IFERROR(__xludf.DUMMYFUNCTION("""COMPUTED_VALUE"""),49.0)</f>
        <v>49</v>
      </c>
      <c r="D64" s="88" t="str">
        <f>IFERROR(__xludf.DUMMYFUNCTION("""COMPUTED_VALUE"""),"Bordeaux")</f>
        <v>Bordeaux</v>
      </c>
      <c r="E64" s="82" t="str">
        <f>IFERROR(__xludf.DUMMYFUNCTION("""COMPUTED_VALUE"""),"ボルドー")</f>
        <v>ボルドー</v>
      </c>
      <c r="F64" s="102">
        <f>IFERROR(__xludf.DUMMYFUNCTION("""COMPUTED_VALUE"""),7.0)</f>
        <v>7</v>
      </c>
      <c r="G64" s="82">
        <f>IFERROR(__xludf.DUMMYFUNCTION("""COMPUTED_VALUE"""),1259.0)</f>
        <v>1259</v>
      </c>
      <c r="H64" s="231" t="str">
        <f>IFERROR(__xludf.DUMMYFUNCTION("""COMPUTED_VALUE"""),"")</f>
        <v/>
      </c>
      <c r="I64" s="232" t="str">
        <f>IFERROR(__xludf.DUMMYFUNCTION("""COMPUTED_VALUE"""),"")</f>
        <v/>
      </c>
      <c r="J64" s="233" t="str">
        <f>IFERROR(__xludf.DUMMYFUNCTION("""COMPUTED_VALUE"""),"")</f>
        <v/>
      </c>
      <c r="K64" s="231" t="str">
        <f>IFERROR(__xludf.DUMMYFUNCTION("""COMPUTED_VALUE"""),"")</f>
        <v/>
      </c>
      <c r="L64" s="232" t="str">
        <f>IFERROR(__xludf.DUMMYFUNCTION("""COMPUTED_VALUE"""),"")</f>
        <v/>
      </c>
      <c r="M64" s="233" t="str">
        <f>IFERROR(__xludf.DUMMYFUNCTION("""COMPUTED_VALUE"""),"")</f>
        <v/>
      </c>
      <c r="N64" s="231" t="str">
        <f>IFERROR(__xludf.DUMMYFUNCTION("""COMPUTED_VALUE"""),"")</f>
        <v/>
      </c>
      <c r="O64" s="232" t="str">
        <f>IFERROR(__xludf.DUMMYFUNCTION("""COMPUTED_VALUE"""),"")</f>
        <v/>
      </c>
      <c r="P64" s="233" t="str">
        <f>IFERROR(__xludf.DUMMYFUNCTION("""COMPUTED_VALUE"""),"")</f>
        <v/>
      </c>
      <c r="Q64" s="231" t="str">
        <f>IFERROR(__xludf.DUMMYFUNCTION("""COMPUTED_VALUE"""),"")</f>
        <v/>
      </c>
      <c r="R64" s="232" t="str">
        <f>IFERROR(__xludf.DUMMYFUNCTION("""COMPUTED_VALUE"""),"")</f>
        <v/>
      </c>
      <c r="S64" s="233" t="str">
        <f>IFERROR(__xludf.DUMMYFUNCTION("""COMPUTED_VALUE"""),"")</f>
        <v/>
      </c>
      <c r="T64" s="231" t="str">
        <f>IFERROR(__xludf.DUMMYFUNCTION("""COMPUTED_VALUE"""),"")</f>
        <v/>
      </c>
      <c r="U64" s="232" t="str">
        <f>IFERROR(__xludf.DUMMYFUNCTION("""COMPUTED_VALUE"""),"")</f>
        <v/>
      </c>
      <c r="V64" s="233" t="str">
        <f>IFERROR(__xludf.DUMMYFUNCTION("""COMPUTED_VALUE"""),"")</f>
        <v/>
      </c>
      <c r="W64" s="231" t="str">
        <f>IFERROR(__xludf.DUMMYFUNCTION("""COMPUTED_VALUE"""),"")</f>
        <v/>
      </c>
      <c r="X64" s="232" t="str">
        <f>IFERROR(__xludf.DUMMYFUNCTION("""COMPUTED_VALUE"""),"")</f>
        <v/>
      </c>
      <c r="Y64" s="233" t="str">
        <f>IFERROR(__xludf.DUMMYFUNCTION("""COMPUTED_VALUE"""),"")</f>
        <v/>
      </c>
      <c r="Z64" s="231">
        <f>IFERROR(__xludf.DUMMYFUNCTION("""COMPUTED_VALUE"""),7.9)</f>
        <v>7.9</v>
      </c>
      <c r="AA64" s="232" t="str">
        <f>IFERROR(__xludf.DUMMYFUNCTION("""COMPUTED_VALUE"""),"")</f>
        <v/>
      </c>
      <c r="AB64" s="233" t="str">
        <f>IFERROR(__xludf.DUMMYFUNCTION("""COMPUTED_VALUE"""),"")</f>
        <v/>
      </c>
      <c r="AC64" s="231" t="str">
        <f>IFERROR(__xludf.DUMMYFUNCTION("""COMPUTED_VALUE"""),"")</f>
        <v/>
      </c>
      <c r="AD64" s="232" t="str">
        <f>IFERROR(__xludf.DUMMYFUNCTION("""COMPUTED_VALUE"""),"")</f>
        <v/>
      </c>
      <c r="AE64" s="233" t="str">
        <f>IFERROR(__xludf.DUMMYFUNCTION("""COMPUTED_VALUE"""),"")</f>
        <v/>
      </c>
      <c r="AF64" s="231" t="str">
        <f>IFERROR(__xludf.DUMMYFUNCTION("""COMPUTED_VALUE"""),"")</f>
        <v/>
      </c>
      <c r="AG64" s="232" t="str">
        <f>IFERROR(__xludf.DUMMYFUNCTION("""COMPUTED_VALUE"""),"")</f>
        <v/>
      </c>
      <c r="AH64" s="233" t="str">
        <f>IFERROR(__xludf.DUMMYFUNCTION("""COMPUTED_VALUE"""),"")</f>
        <v/>
      </c>
      <c r="AI64" s="231" t="str">
        <f>IFERROR(__xludf.DUMMYFUNCTION("""COMPUTED_VALUE"""),"")</f>
        <v/>
      </c>
      <c r="AJ64" s="232" t="str">
        <f>IFERROR(__xludf.DUMMYFUNCTION("""COMPUTED_VALUE"""),"")</f>
        <v/>
      </c>
      <c r="AK64" s="233" t="str">
        <f>IFERROR(__xludf.DUMMYFUNCTION("""COMPUTED_VALUE"""),"")</f>
        <v/>
      </c>
      <c r="AL64" s="231" t="str">
        <f>IFERROR(__xludf.DUMMYFUNCTION("""COMPUTED_VALUE"""),"")</f>
        <v/>
      </c>
      <c r="AM64" s="232" t="str">
        <f>IFERROR(__xludf.DUMMYFUNCTION("""COMPUTED_VALUE"""),"")</f>
        <v/>
      </c>
      <c r="AN64" s="233" t="str">
        <f>IFERROR(__xludf.DUMMYFUNCTION("""COMPUTED_VALUE"""),"")</f>
        <v/>
      </c>
      <c r="AO64" s="231" t="str">
        <f>IFERROR(__xludf.DUMMYFUNCTION("""COMPUTED_VALUE"""),"")</f>
        <v/>
      </c>
      <c r="AP64" s="232" t="str">
        <f>IFERROR(__xludf.DUMMYFUNCTION("""COMPUTED_VALUE"""),"")</f>
        <v/>
      </c>
      <c r="AQ64" s="233" t="str">
        <f>IFERROR(__xludf.DUMMYFUNCTION("""COMPUTED_VALUE"""),"")</f>
        <v/>
      </c>
      <c r="AR64" s="231" t="str">
        <f>IFERROR(__xludf.DUMMYFUNCTION("""COMPUTED_VALUE"""),"")</f>
        <v/>
      </c>
      <c r="AS64" s="232" t="str">
        <f>IFERROR(__xludf.DUMMYFUNCTION("""COMPUTED_VALUE"""),"")</f>
        <v/>
      </c>
      <c r="AT64" s="233" t="str">
        <f>IFERROR(__xludf.DUMMYFUNCTION("""COMPUTED_VALUE"""),"")</f>
        <v/>
      </c>
      <c r="AU64" s="231" t="str">
        <f>IFERROR(__xludf.DUMMYFUNCTION("""COMPUTED_VALUE"""),"")</f>
        <v/>
      </c>
      <c r="AV64" s="232" t="str">
        <f>IFERROR(__xludf.DUMMYFUNCTION("""COMPUTED_VALUE"""),"")</f>
        <v/>
      </c>
      <c r="AW64" s="233" t="str">
        <f>IFERROR(__xludf.DUMMYFUNCTION("""COMPUTED_VALUE"""),"")</f>
        <v/>
      </c>
      <c r="AX64" s="231" t="str">
        <f>IFERROR(__xludf.DUMMYFUNCTION("""COMPUTED_VALUE"""),"")</f>
        <v/>
      </c>
      <c r="AY64" s="232" t="str">
        <f>IFERROR(__xludf.DUMMYFUNCTION("""COMPUTED_VALUE"""),"")</f>
        <v/>
      </c>
      <c r="AZ64" s="233" t="str">
        <f>IFERROR(__xludf.DUMMYFUNCTION("""COMPUTED_VALUE"""),"")</f>
        <v/>
      </c>
      <c r="BA64" s="231" t="str">
        <f>IFERROR(__xludf.DUMMYFUNCTION("""COMPUTED_VALUE"""),"")</f>
        <v/>
      </c>
      <c r="BB64" s="232" t="str">
        <f>IFERROR(__xludf.DUMMYFUNCTION("""COMPUTED_VALUE"""),"")</f>
        <v/>
      </c>
      <c r="BC64" s="233" t="str">
        <f>IFERROR(__xludf.DUMMYFUNCTION("""COMPUTED_VALUE"""),"")</f>
        <v/>
      </c>
      <c r="BD64" s="231" t="str">
        <f>IFERROR(__xludf.DUMMYFUNCTION("""COMPUTED_VALUE"""),"")</f>
        <v/>
      </c>
      <c r="BE64" s="232" t="str">
        <f>IFERROR(__xludf.DUMMYFUNCTION("""COMPUTED_VALUE"""),"")</f>
        <v/>
      </c>
      <c r="BF64" s="233" t="str">
        <f>IFERROR(__xludf.DUMMYFUNCTION("""COMPUTED_VALUE"""),"")</f>
        <v/>
      </c>
      <c r="BG64" s="231" t="str">
        <f>IFERROR(__xludf.DUMMYFUNCTION("""COMPUTED_VALUE"""),"")</f>
        <v/>
      </c>
      <c r="BH64" s="232" t="str">
        <f>IFERROR(__xludf.DUMMYFUNCTION("""COMPUTED_VALUE"""),"")</f>
        <v/>
      </c>
      <c r="BI64" s="233" t="str">
        <f>IFERROR(__xludf.DUMMYFUNCTION("""COMPUTED_VALUE"""),"")</f>
        <v/>
      </c>
      <c r="BJ64" s="231" t="str">
        <f>IFERROR(__xludf.DUMMYFUNCTION("""COMPUTED_VALUE"""),"")</f>
        <v/>
      </c>
      <c r="BK64" s="232" t="str">
        <f>IFERROR(__xludf.DUMMYFUNCTION("""COMPUTED_VALUE"""),"")</f>
        <v/>
      </c>
      <c r="BL64" s="233" t="str">
        <f>IFERROR(__xludf.DUMMYFUNCTION("""COMPUTED_VALUE"""),"")</f>
        <v/>
      </c>
      <c r="BM64" s="231" t="str">
        <f>IFERROR(__xludf.DUMMYFUNCTION("""COMPUTED_VALUE"""),"")</f>
        <v/>
      </c>
      <c r="BN64" s="232" t="str">
        <f>IFERROR(__xludf.DUMMYFUNCTION("""COMPUTED_VALUE"""),"")</f>
        <v/>
      </c>
      <c r="BO64" s="233" t="str">
        <f>IFERROR(__xludf.DUMMYFUNCTION("""COMPUTED_VALUE"""),"")</f>
        <v/>
      </c>
      <c r="BP64" s="231" t="str">
        <f>IFERROR(__xludf.DUMMYFUNCTION("""COMPUTED_VALUE"""),"")</f>
        <v/>
      </c>
      <c r="BQ64" s="232">
        <f>IFERROR(__xludf.DUMMYFUNCTION("""COMPUTED_VALUE"""),8.3)</f>
        <v>8.3</v>
      </c>
      <c r="BR64" s="233" t="str">
        <f>IFERROR(__xludf.DUMMYFUNCTION("""COMPUTED_VALUE"""),"")</f>
        <v/>
      </c>
      <c r="BS64" s="231">
        <f>IFERROR(__xludf.DUMMYFUNCTION("""COMPUTED_VALUE"""),33.6)</f>
        <v>33.6</v>
      </c>
      <c r="BT64" s="232" t="str">
        <f>IFERROR(__xludf.DUMMYFUNCTION("""COMPUTED_VALUE"""),"")</f>
        <v/>
      </c>
      <c r="BU64" s="233" t="str">
        <f>IFERROR(__xludf.DUMMYFUNCTION("""COMPUTED_VALUE"""),"")</f>
        <v/>
      </c>
      <c r="BV64" s="231">
        <f>IFERROR(__xludf.DUMMYFUNCTION("""COMPUTED_VALUE"""),23.4)</f>
        <v>23.4</v>
      </c>
      <c r="BW64" s="232" t="str">
        <f>IFERROR(__xludf.DUMMYFUNCTION("""COMPUTED_VALUE"""),"")</f>
        <v/>
      </c>
      <c r="BX64" s="233" t="str">
        <f>IFERROR(__xludf.DUMMYFUNCTION("""COMPUTED_VALUE"""),"")</f>
        <v/>
      </c>
      <c r="BY64" s="231" t="str">
        <f>IFERROR(__xludf.DUMMYFUNCTION("""COMPUTED_VALUE"""),"")</f>
        <v/>
      </c>
      <c r="BZ64" s="232" t="str">
        <f>IFERROR(__xludf.DUMMYFUNCTION("""COMPUTED_VALUE"""),"")</f>
        <v/>
      </c>
      <c r="CA64" s="233" t="str">
        <f>IFERROR(__xludf.DUMMYFUNCTION("""COMPUTED_VALUE"""),"")</f>
        <v/>
      </c>
      <c r="CB64" s="231" t="str">
        <f>IFERROR(__xludf.DUMMYFUNCTION("""COMPUTED_VALUE"""),"")</f>
        <v/>
      </c>
      <c r="CC64" s="232" t="str">
        <f>IFERROR(__xludf.DUMMYFUNCTION("""COMPUTED_VALUE"""),"")</f>
        <v/>
      </c>
      <c r="CD64" s="233" t="str">
        <f>IFERROR(__xludf.DUMMYFUNCTION("""COMPUTED_VALUE"""),"")</f>
        <v/>
      </c>
      <c r="CE64" s="234" t="str">
        <f>IFERROR(__xludf.DUMMYFUNCTION("""COMPUTED_VALUE"""),"")</f>
        <v/>
      </c>
      <c r="CF64" s="230" t="str">
        <f>IFERROR(__xludf.DUMMYFUNCTION("""COMPUTED_VALUE"""),"")</f>
        <v/>
      </c>
      <c r="CG64" s="235" t="str">
        <f>IFERROR(__xludf.DUMMYFUNCTION("""COMPUTED_VALUE"""),"")</f>
        <v/>
      </c>
      <c r="CH64" s="234" t="str">
        <f>IFERROR(__xludf.DUMMYFUNCTION("""COMPUTED_VALUE"""),"")</f>
        <v/>
      </c>
      <c r="CI64" s="230" t="str">
        <f>IFERROR(__xludf.DUMMYFUNCTION("""COMPUTED_VALUE"""),"")</f>
        <v/>
      </c>
      <c r="CJ64" s="235" t="str">
        <f>IFERROR(__xludf.DUMMYFUNCTION("""COMPUTED_VALUE"""),"")</f>
        <v/>
      </c>
      <c r="CK64" s="95" t="str">
        <f>IFERROR(__xludf.DUMMYFUNCTION("""COMPUTED_VALUE"""),"")</f>
        <v/>
      </c>
      <c r="CL64" s="96" t="str">
        <f>IFERROR(__xludf.DUMMYFUNCTION("""COMPUTED_VALUE"""),"")</f>
        <v/>
      </c>
      <c r="CM64" s="97" t="str">
        <f>IFERROR(__xludf.DUMMYFUNCTION("""COMPUTED_VALUE"""),"")</f>
        <v/>
      </c>
      <c r="CN64" s="95" t="str">
        <f>IFERROR(__xludf.DUMMYFUNCTION("""COMPUTED_VALUE"""),"")</f>
        <v/>
      </c>
      <c r="CO64" s="96" t="str">
        <f>IFERROR(__xludf.DUMMYFUNCTION("""COMPUTED_VALUE"""),"")</f>
        <v/>
      </c>
      <c r="CP64" s="97" t="str">
        <f>IFERROR(__xludf.DUMMYFUNCTION("""COMPUTED_VALUE"""),"")</f>
        <v/>
      </c>
      <c r="CQ64" s="95" t="str">
        <f>IFERROR(__xludf.DUMMYFUNCTION("""COMPUTED_VALUE"""),"")</f>
        <v/>
      </c>
      <c r="CR64" s="96" t="str">
        <f>IFERROR(__xludf.DUMMYFUNCTION("""COMPUTED_VALUE"""),"")</f>
        <v/>
      </c>
      <c r="CS64" s="97" t="str">
        <f>IFERROR(__xludf.DUMMYFUNCTION("""COMPUTED_VALUE"""),"#REF!")</f>
        <v>#REF!</v>
      </c>
      <c r="CT64" s="95" t="str">
        <f>IFERROR(__xludf.DUMMYFUNCTION("""COMPUTED_VALUE"""),"#REF!")</f>
        <v>#REF!</v>
      </c>
      <c r="CU64" s="96" t="str">
        <f>IFERROR(__xludf.DUMMYFUNCTION("""COMPUTED_VALUE"""),"#REF!")</f>
        <v>#REF!</v>
      </c>
      <c r="CV64" s="97" t="str">
        <f>IFERROR(__xludf.DUMMYFUNCTION("""COMPUTED_VALUE"""),"#REF!")</f>
        <v>#REF!</v>
      </c>
      <c r="CW64" s="95" t="str">
        <f>IFERROR(__xludf.DUMMYFUNCTION("""COMPUTED_VALUE"""),"#REF!")</f>
        <v>#REF!</v>
      </c>
      <c r="CX64" s="96" t="str">
        <f>IFERROR(__xludf.DUMMYFUNCTION("""COMPUTED_VALUE"""),"#REF!")</f>
        <v>#REF!</v>
      </c>
      <c r="CY64" s="97" t="str">
        <f>IFERROR(__xludf.DUMMYFUNCTION("""COMPUTED_VALUE"""),"#REF!")</f>
        <v>#REF!</v>
      </c>
      <c r="CZ64" s="95" t="str">
        <f>IFERROR(__xludf.DUMMYFUNCTION("""COMPUTED_VALUE"""),"#REF!")</f>
        <v>#REF!</v>
      </c>
      <c r="DA64" s="96" t="str">
        <f>IFERROR(__xludf.DUMMYFUNCTION("""COMPUTED_VALUE"""),"#REF!")</f>
        <v>#REF!</v>
      </c>
      <c r="DB64" s="97" t="str">
        <f>IFERROR(__xludf.DUMMYFUNCTION("""COMPUTED_VALUE"""),"#REF!")</f>
        <v>#REF!</v>
      </c>
      <c r="DC64" s="95" t="str">
        <f>IFERROR(__xludf.DUMMYFUNCTION("""COMPUTED_VALUE"""),"#REF!")</f>
        <v>#REF!</v>
      </c>
      <c r="DD64" s="96" t="str">
        <f>IFERROR(__xludf.DUMMYFUNCTION("""COMPUTED_VALUE"""),"#REF!")</f>
        <v>#REF!</v>
      </c>
      <c r="DE64" s="97" t="str">
        <f>IFERROR(__xludf.DUMMYFUNCTION("""COMPUTED_VALUE"""),"#REF!")</f>
        <v>#REF!</v>
      </c>
      <c r="DF64" s="95" t="str">
        <f>IFERROR(__xludf.DUMMYFUNCTION("""COMPUTED_VALUE"""),"#REF!")</f>
        <v>#REF!</v>
      </c>
      <c r="DG64" s="96" t="str">
        <f>IFERROR(__xludf.DUMMYFUNCTION("""COMPUTED_VALUE"""),"#REF!")</f>
        <v>#REF!</v>
      </c>
      <c r="DH64" s="97" t="str">
        <f>IFERROR(__xludf.DUMMYFUNCTION("""COMPUTED_VALUE"""),"#REF!")</f>
        <v>#REF!</v>
      </c>
      <c r="DI64" s="95" t="str">
        <f>IFERROR(__xludf.DUMMYFUNCTION("""COMPUTED_VALUE"""),"#REF!")</f>
        <v>#REF!</v>
      </c>
      <c r="DJ64" s="96" t="str">
        <f>IFERROR(__xludf.DUMMYFUNCTION("""COMPUTED_VALUE"""),"#REF!")</f>
        <v>#REF!</v>
      </c>
      <c r="DK64" s="97" t="str">
        <f>IFERROR(__xludf.DUMMYFUNCTION("""COMPUTED_VALUE"""),"#REF!")</f>
        <v>#REF!</v>
      </c>
      <c r="DL64" s="95" t="str">
        <f>IFERROR(__xludf.DUMMYFUNCTION("""COMPUTED_VALUE"""),"#REF!")</f>
        <v>#REF!</v>
      </c>
      <c r="DM64" s="96" t="str">
        <f>IFERROR(__xludf.DUMMYFUNCTION("""COMPUTED_VALUE"""),"#REF!")</f>
        <v>#REF!</v>
      </c>
      <c r="DN64" s="97" t="str">
        <f>IFERROR(__xludf.DUMMYFUNCTION("""COMPUTED_VALUE"""),"#REF!")</f>
        <v>#REF!</v>
      </c>
      <c r="DO64" s="95" t="str">
        <f>IFERROR(__xludf.DUMMYFUNCTION("""COMPUTED_VALUE"""),"#REF!")</f>
        <v>#REF!</v>
      </c>
      <c r="DP64" s="96" t="str">
        <f>IFERROR(__xludf.DUMMYFUNCTION("""COMPUTED_VALUE"""),"#REF!")</f>
        <v>#REF!</v>
      </c>
      <c r="DQ64" s="97"/>
      <c r="DR64" s="95"/>
    </row>
    <row r="65">
      <c r="B65" s="83" t="str">
        <f>IFERROR(__xludf.DUMMYFUNCTION("""COMPUTED_VALUE"""),"ORL9")</f>
        <v>ORL9</v>
      </c>
      <c r="C65" s="82">
        <f>IFERROR(__xludf.DUMMYFUNCTION("""COMPUTED_VALUE"""),50.0)</f>
        <v>50</v>
      </c>
      <c r="D65" s="88" t="str">
        <f>IFERROR(__xludf.DUMMYFUNCTION("""COMPUTED_VALUE"""),"Orleans")</f>
        <v>Orleans</v>
      </c>
      <c r="E65" s="82" t="str">
        <f>IFERROR(__xludf.DUMMYFUNCTION("""COMPUTED_VALUE"""),"オルレアン")</f>
        <v>オルレアン</v>
      </c>
      <c r="F65" s="102">
        <f>IFERROR(__xludf.DUMMYFUNCTION("""COMPUTED_VALUE"""),8.0)</f>
        <v>8</v>
      </c>
      <c r="G65" s="82">
        <f>IFERROR(__xludf.DUMMYFUNCTION("""COMPUTED_VALUE"""),1211.0)</f>
        <v>1211</v>
      </c>
      <c r="H65" s="231" t="str">
        <f>IFERROR(__xludf.DUMMYFUNCTION("""COMPUTED_VALUE"""),"")</f>
        <v/>
      </c>
      <c r="I65" s="232" t="str">
        <f>IFERROR(__xludf.DUMMYFUNCTION("""COMPUTED_VALUE"""),"")</f>
        <v/>
      </c>
      <c r="J65" s="233" t="str">
        <f>IFERROR(__xludf.DUMMYFUNCTION("""COMPUTED_VALUE"""),"")</f>
        <v/>
      </c>
      <c r="K65" s="231" t="str">
        <f>IFERROR(__xludf.DUMMYFUNCTION("""COMPUTED_VALUE"""),"")</f>
        <v/>
      </c>
      <c r="L65" s="232" t="str">
        <f>IFERROR(__xludf.DUMMYFUNCTION("""COMPUTED_VALUE"""),"")</f>
        <v/>
      </c>
      <c r="M65" s="233" t="str">
        <f>IFERROR(__xludf.DUMMYFUNCTION("""COMPUTED_VALUE"""),"")</f>
        <v/>
      </c>
      <c r="N65" s="231" t="str">
        <f>IFERROR(__xludf.DUMMYFUNCTION("""COMPUTED_VALUE"""),"")</f>
        <v/>
      </c>
      <c r="O65" s="232" t="str">
        <f>IFERROR(__xludf.DUMMYFUNCTION("""COMPUTED_VALUE"""),"")</f>
        <v/>
      </c>
      <c r="P65" s="233" t="str">
        <f>IFERROR(__xludf.DUMMYFUNCTION("""COMPUTED_VALUE"""),"")</f>
        <v/>
      </c>
      <c r="Q65" s="231" t="str">
        <f>IFERROR(__xludf.DUMMYFUNCTION("""COMPUTED_VALUE"""),"")</f>
        <v/>
      </c>
      <c r="R65" s="232" t="str">
        <f>IFERROR(__xludf.DUMMYFUNCTION("""COMPUTED_VALUE"""),"")</f>
        <v/>
      </c>
      <c r="S65" s="233" t="str">
        <f>IFERROR(__xludf.DUMMYFUNCTION("""COMPUTED_VALUE"""),"")</f>
        <v/>
      </c>
      <c r="T65" s="231" t="str">
        <f>IFERROR(__xludf.DUMMYFUNCTION("""COMPUTED_VALUE"""),"")</f>
        <v/>
      </c>
      <c r="U65" s="232" t="str">
        <f>IFERROR(__xludf.DUMMYFUNCTION("""COMPUTED_VALUE"""),"")</f>
        <v/>
      </c>
      <c r="V65" s="233" t="str">
        <f>IFERROR(__xludf.DUMMYFUNCTION("""COMPUTED_VALUE"""),"")</f>
        <v/>
      </c>
      <c r="W65" s="231" t="str">
        <f>IFERROR(__xludf.DUMMYFUNCTION("""COMPUTED_VALUE"""),"")</f>
        <v/>
      </c>
      <c r="X65" s="232" t="str">
        <f>IFERROR(__xludf.DUMMYFUNCTION("""COMPUTED_VALUE"""),"")</f>
        <v/>
      </c>
      <c r="Y65" s="233" t="str">
        <f>IFERROR(__xludf.DUMMYFUNCTION("""COMPUTED_VALUE"""),"")</f>
        <v/>
      </c>
      <c r="Z65" s="231" t="str">
        <f>IFERROR(__xludf.DUMMYFUNCTION("""COMPUTED_VALUE"""),"")</f>
        <v/>
      </c>
      <c r="AA65" s="232" t="str">
        <f>IFERROR(__xludf.DUMMYFUNCTION("""COMPUTED_VALUE"""),"")</f>
        <v/>
      </c>
      <c r="AB65" s="233" t="str">
        <f>IFERROR(__xludf.DUMMYFUNCTION("""COMPUTED_VALUE"""),"")</f>
        <v/>
      </c>
      <c r="AC65" s="231" t="str">
        <f>IFERROR(__xludf.DUMMYFUNCTION("""COMPUTED_VALUE"""),"")</f>
        <v/>
      </c>
      <c r="AD65" s="232" t="str">
        <f>IFERROR(__xludf.DUMMYFUNCTION("""COMPUTED_VALUE"""),"")</f>
        <v/>
      </c>
      <c r="AE65" s="233" t="str">
        <f>IFERROR(__xludf.DUMMYFUNCTION("""COMPUTED_VALUE"""),"")</f>
        <v/>
      </c>
      <c r="AF65" s="231" t="str">
        <f>IFERROR(__xludf.DUMMYFUNCTION("""COMPUTED_VALUE"""),"")</f>
        <v/>
      </c>
      <c r="AG65" s="232" t="str">
        <f>IFERROR(__xludf.DUMMYFUNCTION("""COMPUTED_VALUE"""),"")</f>
        <v/>
      </c>
      <c r="AH65" s="233" t="str">
        <f>IFERROR(__xludf.DUMMYFUNCTION("""COMPUTED_VALUE"""),"")</f>
        <v/>
      </c>
      <c r="AI65" s="231" t="str">
        <f>IFERROR(__xludf.DUMMYFUNCTION("""COMPUTED_VALUE"""),"")</f>
        <v/>
      </c>
      <c r="AJ65" s="232" t="str">
        <f>IFERROR(__xludf.DUMMYFUNCTION("""COMPUTED_VALUE"""),"")</f>
        <v/>
      </c>
      <c r="AK65" s="233" t="str">
        <f>IFERROR(__xludf.DUMMYFUNCTION("""COMPUTED_VALUE"""),"")</f>
        <v/>
      </c>
      <c r="AL65" s="231" t="str">
        <f>IFERROR(__xludf.DUMMYFUNCTION("""COMPUTED_VALUE"""),"")</f>
        <v/>
      </c>
      <c r="AM65" s="232" t="str">
        <f>IFERROR(__xludf.DUMMYFUNCTION("""COMPUTED_VALUE"""),"")</f>
        <v/>
      </c>
      <c r="AN65" s="233" t="str">
        <f>IFERROR(__xludf.DUMMYFUNCTION("""COMPUTED_VALUE"""),"")</f>
        <v/>
      </c>
      <c r="AO65" s="231" t="str">
        <f>IFERROR(__xludf.DUMMYFUNCTION("""COMPUTED_VALUE"""),"")</f>
        <v/>
      </c>
      <c r="AP65" s="232" t="str">
        <f>IFERROR(__xludf.DUMMYFUNCTION("""COMPUTED_VALUE"""),"")</f>
        <v/>
      </c>
      <c r="AQ65" s="233" t="str">
        <f>IFERROR(__xludf.DUMMYFUNCTION("""COMPUTED_VALUE"""),"")</f>
        <v/>
      </c>
      <c r="AR65" s="231" t="str">
        <f>IFERROR(__xludf.DUMMYFUNCTION("""COMPUTED_VALUE"""),"")</f>
        <v/>
      </c>
      <c r="AS65" s="232" t="str">
        <f>IFERROR(__xludf.DUMMYFUNCTION("""COMPUTED_VALUE"""),"")</f>
        <v/>
      </c>
      <c r="AT65" s="233" t="str">
        <f>IFERROR(__xludf.DUMMYFUNCTION("""COMPUTED_VALUE"""),"")</f>
        <v/>
      </c>
      <c r="AU65" s="231">
        <f>IFERROR(__xludf.DUMMYFUNCTION("""COMPUTED_VALUE"""),13.0)</f>
        <v>13</v>
      </c>
      <c r="AV65" s="232">
        <f>IFERROR(__xludf.DUMMYFUNCTION("""COMPUTED_VALUE"""),10.5)</f>
        <v>10.5</v>
      </c>
      <c r="AW65" s="233">
        <f>IFERROR(__xludf.DUMMYFUNCTION("""COMPUTED_VALUE"""),8.8)</f>
        <v>8.8</v>
      </c>
      <c r="AX65" s="231" t="str">
        <f>IFERROR(__xludf.DUMMYFUNCTION("""COMPUTED_VALUE"""),"")</f>
        <v/>
      </c>
      <c r="AY65" s="232" t="str">
        <f>IFERROR(__xludf.DUMMYFUNCTION("""COMPUTED_VALUE"""),"")</f>
        <v/>
      </c>
      <c r="AZ65" s="233" t="str">
        <f>IFERROR(__xludf.DUMMYFUNCTION("""COMPUTED_VALUE"""),"")</f>
        <v/>
      </c>
      <c r="BA65" s="231" t="str">
        <f>IFERROR(__xludf.DUMMYFUNCTION("""COMPUTED_VALUE"""),"")</f>
        <v/>
      </c>
      <c r="BB65" s="232" t="str">
        <f>IFERROR(__xludf.DUMMYFUNCTION("""COMPUTED_VALUE"""),"")</f>
        <v/>
      </c>
      <c r="BC65" s="233" t="str">
        <f>IFERROR(__xludf.DUMMYFUNCTION("""COMPUTED_VALUE"""),"")</f>
        <v/>
      </c>
      <c r="BD65" s="231" t="str">
        <f>IFERROR(__xludf.DUMMYFUNCTION("""COMPUTED_VALUE"""),"")</f>
        <v/>
      </c>
      <c r="BE65" s="232" t="str">
        <f>IFERROR(__xludf.DUMMYFUNCTION("""COMPUTED_VALUE"""),"")</f>
        <v/>
      </c>
      <c r="BF65" s="233" t="str">
        <f>IFERROR(__xludf.DUMMYFUNCTION("""COMPUTED_VALUE"""),"")</f>
        <v/>
      </c>
      <c r="BG65" s="231" t="str">
        <f>IFERROR(__xludf.DUMMYFUNCTION("""COMPUTED_VALUE"""),"")</f>
        <v/>
      </c>
      <c r="BH65" s="232" t="str">
        <f>IFERROR(__xludf.DUMMYFUNCTION("""COMPUTED_VALUE"""),"")</f>
        <v/>
      </c>
      <c r="BI65" s="233" t="str">
        <f>IFERROR(__xludf.DUMMYFUNCTION("""COMPUTED_VALUE"""),"")</f>
        <v/>
      </c>
      <c r="BJ65" s="231" t="str">
        <f>IFERROR(__xludf.DUMMYFUNCTION("""COMPUTED_VALUE"""),"")</f>
        <v/>
      </c>
      <c r="BK65" s="232" t="str">
        <f>IFERROR(__xludf.DUMMYFUNCTION("""COMPUTED_VALUE"""),"")</f>
        <v/>
      </c>
      <c r="BL65" s="233" t="str">
        <f>IFERROR(__xludf.DUMMYFUNCTION("""COMPUTED_VALUE"""),"")</f>
        <v/>
      </c>
      <c r="BM65" s="231">
        <f>IFERROR(__xludf.DUMMYFUNCTION("""COMPUTED_VALUE"""),5.8)</f>
        <v>5.8</v>
      </c>
      <c r="BN65" s="232" t="str">
        <f>IFERROR(__xludf.DUMMYFUNCTION("""COMPUTED_VALUE"""),"")</f>
        <v/>
      </c>
      <c r="BO65" s="233" t="str">
        <f>IFERROR(__xludf.DUMMYFUNCTION("""COMPUTED_VALUE"""),"")</f>
        <v/>
      </c>
      <c r="BP65" s="231" t="str">
        <f>IFERROR(__xludf.DUMMYFUNCTION("""COMPUTED_VALUE"""),"")</f>
        <v/>
      </c>
      <c r="BQ65" s="232" t="str">
        <f>IFERROR(__xludf.DUMMYFUNCTION("""COMPUTED_VALUE"""),"")</f>
        <v/>
      </c>
      <c r="BR65" s="233" t="str">
        <f>IFERROR(__xludf.DUMMYFUNCTION("""COMPUTED_VALUE"""),"")</f>
        <v/>
      </c>
      <c r="BS65" s="231">
        <f>IFERROR(__xludf.DUMMYFUNCTION("""COMPUTED_VALUE"""),9.8)</f>
        <v>9.8</v>
      </c>
      <c r="BT65" s="232">
        <f>IFERROR(__xludf.DUMMYFUNCTION("""COMPUTED_VALUE"""),15.1)</f>
        <v>15.1</v>
      </c>
      <c r="BU65" s="233" t="str">
        <f>IFERROR(__xludf.DUMMYFUNCTION("""COMPUTED_VALUE"""),"")</f>
        <v/>
      </c>
      <c r="BV65" s="231" t="str">
        <f>IFERROR(__xludf.DUMMYFUNCTION("""COMPUTED_VALUE"""),"")</f>
        <v/>
      </c>
      <c r="BW65" s="232" t="str">
        <f>IFERROR(__xludf.DUMMYFUNCTION("""COMPUTED_VALUE"""),"")</f>
        <v/>
      </c>
      <c r="BX65" s="233" t="str">
        <f>IFERROR(__xludf.DUMMYFUNCTION("""COMPUTED_VALUE"""),"")</f>
        <v/>
      </c>
      <c r="BY65" s="231" t="str">
        <f>IFERROR(__xludf.DUMMYFUNCTION("""COMPUTED_VALUE"""),"")</f>
        <v/>
      </c>
      <c r="BZ65" s="232" t="str">
        <f>IFERROR(__xludf.DUMMYFUNCTION("""COMPUTED_VALUE"""),"")</f>
        <v/>
      </c>
      <c r="CA65" s="233" t="str">
        <f>IFERROR(__xludf.DUMMYFUNCTION("""COMPUTED_VALUE"""),"")</f>
        <v/>
      </c>
      <c r="CB65" s="231" t="str">
        <f>IFERROR(__xludf.DUMMYFUNCTION("""COMPUTED_VALUE"""),"")</f>
        <v/>
      </c>
      <c r="CC65" s="232" t="str">
        <f>IFERROR(__xludf.DUMMYFUNCTION("""COMPUTED_VALUE"""),"")</f>
        <v/>
      </c>
      <c r="CD65" s="233" t="str">
        <f>IFERROR(__xludf.DUMMYFUNCTION("""COMPUTED_VALUE"""),"")</f>
        <v/>
      </c>
      <c r="CE65" s="234" t="str">
        <f>IFERROR(__xludf.DUMMYFUNCTION("""COMPUTED_VALUE"""),"")</f>
        <v/>
      </c>
      <c r="CF65" s="230" t="str">
        <f>IFERROR(__xludf.DUMMYFUNCTION("""COMPUTED_VALUE"""),"")</f>
        <v/>
      </c>
      <c r="CG65" s="235" t="str">
        <f>IFERROR(__xludf.DUMMYFUNCTION("""COMPUTED_VALUE"""),"")</f>
        <v/>
      </c>
      <c r="CH65" s="234" t="str">
        <f>IFERROR(__xludf.DUMMYFUNCTION("""COMPUTED_VALUE"""),"")</f>
        <v/>
      </c>
      <c r="CI65" s="230">
        <f>IFERROR(__xludf.DUMMYFUNCTION("""COMPUTED_VALUE"""),9.6)</f>
        <v>9.6</v>
      </c>
      <c r="CJ65" s="235" t="str">
        <f>IFERROR(__xludf.DUMMYFUNCTION("""COMPUTED_VALUE"""),"")</f>
        <v/>
      </c>
      <c r="CK65" s="95" t="str">
        <f>IFERROR(__xludf.DUMMYFUNCTION("""COMPUTED_VALUE"""),"")</f>
        <v/>
      </c>
      <c r="CL65" s="96" t="str">
        <f>IFERROR(__xludf.DUMMYFUNCTION("""COMPUTED_VALUE"""),"")</f>
        <v/>
      </c>
      <c r="CM65" s="97" t="str">
        <f>IFERROR(__xludf.DUMMYFUNCTION("""COMPUTED_VALUE"""),"")</f>
        <v/>
      </c>
      <c r="CN65" s="95" t="str">
        <f>IFERROR(__xludf.DUMMYFUNCTION("""COMPUTED_VALUE"""),"")</f>
        <v/>
      </c>
      <c r="CO65" s="96" t="str">
        <f>IFERROR(__xludf.DUMMYFUNCTION("""COMPUTED_VALUE"""),"")</f>
        <v/>
      </c>
      <c r="CP65" s="97" t="str">
        <f>IFERROR(__xludf.DUMMYFUNCTION("""COMPUTED_VALUE"""),"")</f>
        <v/>
      </c>
      <c r="CQ65" s="95" t="str">
        <f>IFERROR(__xludf.DUMMYFUNCTION("""COMPUTED_VALUE"""),"")</f>
        <v/>
      </c>
      <c r="CR65" s="96" t="str">
        <f>IFERROR(__xludf.DUMMYFUNCTION("""COMPUTED_VALUE"""),"")</f>
        <v/>
      </c>
      <c r="CS65" s="97" t="str">
        <f>IFERROR(__xludf.DUMMYFUNCTION("""COMPUTED_VALUE"""),"#REF!")</f>
        <v>#REF!</v>
      </c>
      <c r="CT65" s="95" t="str">
        <f>IFERROR(__xludf.DUMMYFUNCTION("""COMPUTED_VALUE"""),"#REF!")</f>
        <v>#REF!</v>
      </c>
      <c r="CU65" s="96" t="str">
        <f>IFERROR(__xludf.DUMMYFUNCTION("""COMPUTED_VALUE"""),"#REF!")</f>
        <v>#REF!</v>
      </c>
      <c r="CV65" s="97" t="str">
        <f>IFERROR(__xludf.DUMMYFUNCTION("""COMPUTED_VALUE"""),"#REF!")</f>
        <v>#REF!</v>
      </c>
      <c r="CW65" s="95" t="str">
        <f>IFERROR(__xludf.DUMMYFUNCTION("""COMPUTED_VALUE"""),"#REF!")</f>
        <v>#REF!</v>
      </c>
      <c r="CX65" s="96" t="str">
        <f>IFERROR(__xludf.DUMMYFUNCTION("""COMPUTED_VALUE"""),"#REF!")</f>
        <v>#REF!</v>
      </c>
      <c r="CY65" s="97" t="str">
        <f>IFERROR(__xludf.DUMMYFUNCTION("""COMPUTED_VALUE"""),"#REF!")</f>
        <v>#REF!</v>
      </c>
      <c r="CZ65" s="95" t="str">
        <f>IFERROR(__xludf.DUMMYFUNCTION("""COMPUTED_VALUE"""),"#REF!")</f>
        <v>#REF!</v>
      </c>
      <c r="DA65" s="96" t="str">
        <f>IFERROR(__xludf.DUMMYFUNCTION("""COMPUTED_VALUE"""),"#REF!")</f>
        <v>#REF!</v>
      </c>
      <c r="DB65" s="97" t="str">
        <f>IFERROR(__xludf.DUMMYFUNCTION("""COMPUTED_VALUE"""),"#REF!")</f>
        <v>#REF!</v>
      </c>
      <c r="DC65" s="95" t="str">
        <f>IFERROR(__xludf.DUMMYFUNCTION("""COMPUTED_VALUE"""),"#REF!")</f>
        <v>#REF!</v>
      </c>
      <c r="DD65" s="96" t="str">
        <f>IFERROR(__xludf.DUMMYFUNCTION("""COMPUTED_VALUE"""),"#REF!")</f>
        <v>#REF!</v>
      </c>
      <c r="DE65" s="97" t="str">
        <f>IFERROR(__xludf.DUMMYFUNCTION("""COMPUTED_VALUE"""),"#REF!")</f>
        <v>#REF!</v>
      </c>
      <c r="DF65" s="95" t="str">
        <f>IFERROR(__xludf.DUMMYFUNCTION("""COMPUTED_VALUE"""),"#REF!")</f>
        <v>#REF!</v>
      </c>
      <c r="DG65" s="96" t="str">
        <f>IFERROR(__xludf.DUMMYFUNCTION("""COMPUTED_VALUE"""),"#REF!")</f>
        <v>#REF!</v>
      </c>
      <c r="DH65" s="97" t="str">
        <f>IFERROR(__xludf.DUMMYFUNCTION("""COMPUTED_VALUE"""),"#REF!")</f>
        <v>#REF!</v>
      </c>
      <c r="DI65" s="95" t="str">
        <f>IFERROR(__xludf.DUMMYFUNCTION("""COMPUTED_VALUE"""),"#REF!")</f>
        <v>#REF!</v>
      </c>
      <c r="DJ65" s="96" t="str">
        <f>IFERROR(__xludf.DUMMYFUNCTION("""COMPUTED_VALUE"""),"#REF!")</f>
        <v>#REF!</v>
      </c>
      <c r="DK65" s="97" t="str">
        <f>IFERROR(__xludf.DUMMYFUNCTION("""COMPUTED_VALUE"""),"#REF!")</f>
        <v>#REF!</v>
      </c>
      <c r="DL65" s="95" t="str">
        <f>IFERROR(__xludf.DUMMYFUNCTION("""COMPUTED_VALUE"""),"#REF!")</f>
        <v>#REF!</v>
      </c>
      <c r="DM65" s="96" t="str">
        <f>IFERROR(__xludf.DUMMYFUNCTION("""COMPUTED_VALUE"""),"#REF!")</f>
        <v>#REF!</v>
      </c>
      <c r="DN65" s="97" t="str">
        <f>IFERROR(__xludf.DUMMYFUNCTION("""COMPUTED_VALUE"""),"#REF!")</f>
        <v>#REF!</v>
      </c>
      <c r="DO65" s="95" t="str">
        <f>IFERROR(__xludf.DUMMYFUNCTION("""COMPUTED_VALUE"""),"#REF!")</f>
        <v>#REF!</v>
      </c>
      <c r="DP65" s="96" t="str">
        <f>IFERROR(__xludf.DUMMYFUNCTION("""COMPUTED_VALUE"""),"#REF!")</f>
        <v>#REF!</v>
      </c>
      <c r="DQ65" s="97"/>
      <c r="DR65" s="95"/>
    </row>
    <row r="66">
      <c r="B66" s="83" t="str">
        <f>IFERROR(__xludf.DUMMYFUNCTION("""COMPUTED_VALUE"""),"ORL10")</f>
        <v>ORL10</v>
      </c>
      <c r="C66" s="82">
        <f>IFERROR(__xludf.DUMMYFUNCTION("""COMPUTED_VALUE"""),51.0)</f>
        <v>51</v>
      </c>
      <c r="D66" s="88" t="str">
        <f>IFERROR(__xludf.DUMMYFUNCTION("""COMPUTED_VALUE"""),"Paris")</f>
        <v>Paris</v>
      </c>
      <c r="E66" s="82" t="str">
        <f>IFERROR(__xludf.DUMMYFUNCTION("""COMPUTED_VALUE"""),"パリ")</f>
        <v>パリ</v>
      </c>
      <c r="F66" s="102">
        <f>IFERROR(__xludf.DUMMYFUNCTION("""COMPUTED_VALUE"""),13.0)</f>
        <v>13</v>
      </c>
      <c r="G66" s="82">
        <f>IFERROR(__xludf.DUMMYFUNCTION("""COMPUTED_VALUE"""),1143.0)</f>
        <v>1143</v>
      </c>
      <c r="H66" s="231" t="str">
        <f>IFERROR(__xludf.DUMMYFUNCTION("""COMPUTED_VALUE"""),"")</f>
        <v/>
      </c>
      <c r="I66" s="232" t="str">
        <f>IFERROR(__xludf.DUMMYFUNCTION("""COMPUTED_VALUE"""),"")</f>
        <v/>
      </c>
      <c r="J66" s="233" t="str">
        <f>IFERROR(__xludf.DUMMYFUNCTION("""COMPUTED_VALUE"""),"")</f>
        <v/>
      </c>
      <c r="K66" s="231" t="str">
        <f>IFERROR(__xludf.DUMMYFUNCTION("""COMPUTED_VALUE"""),"")</f>
        <v/>
      </c>
      <c r="L66" s="232" t="str">
        <f>IFERROR(__xludf.DUMMYFUNCTION("""COMPUTED_VALUE"""),"")</f>
        <v/>
      </c>
      <c r="M66" s="233" t="str">
        <f>IFERROR(__xludf.DUMMYFUNCTION("""COMPUTED_VALUE"""),"")</f>
        <v/>
      </c>
      <c r="N66" s="231" t="str">
        <f>IFERROR(__xludf.DUMMYFUNCTION("""COMPUTED_VALUE"""),"")</f>
        <v/>
      </c>
      <c r="O66" s="232" t="str">
        <f>IFERROR(__xludf.DUMMYFUNCTION("""COMPUTED_VALUE"""),"")</f>
        <v/>
      </c>
      <c r="P66" s="233" t="str">
        <f>IFERROR(__xludf.DUMMYFUNCTION("""COMPUTED_VALUE"""),"")</f>
        <v/>
      </c>
      <c r="Q66" s="231" t="str">
        <f>IFERROR(__xludf.DUMMYFUNCTION("""COMPUTED_VALUE"""),"")</f>
        <v/>
      </c>
      <c r="R66" s="232" t="str">
        <f>IFERROR(__xludf.DUMMYFUNCTION("""COMPUTED_VALUE"""),"")</f>
        <v/>
      </c>
      <c r="S66" s="233" t="str">
        <f>IFERROR(__xludf.DUMMYFUNCTION("""COMPUTED_VALUE"""),"")</f>
        <v/>
      </c>
      <c r="T66" s="231" t="str">
        <f>IFERROR(__xludf.DUMMYFUNCTION("""COMPUTED_VALUE"""),"")</f>
        <v/>
      </c>
      <c r="U66" s="232" t="str">
        <f>IFERROR(__xludf.DUMMYFUNCTION("""COMPUTED_VALUE"""),"")</f>
        <v/>
      </c>
      <c r="V66" s="233" t="str">
        <f>IFERROR(__xludf.DUMMYFUNCTION("""COMPUTED_VALUE"""),"")</f>
        <v/>
      </c>
      <c r="W66" s="231" t="str">
        <f>IFERROR(__xludf.DUMMYFUNCTION("""COMPUTED_VALUE"""),"")</f>
        <v/>
      </c>
      <c r="X66" s="232" t="str">
        <f>IFERROR(__xludf.DUMMYFUNCTION("""COMPUTED_VALUE"""),"")</f>
        <v/>
      </c>
      <c r="Y66" s="233" t="str">
        <f>IFERROR(__xludf.DUMMYFUNCTION("""COMPUTED_VALUE"""),"")</f>
        <v/>
      </c>
      <c r="Z66" s="231" t="str">
        <f>IFERROR(__xludf.DUMMYFUNCTION("""COMPUTED_VALUE"""),"")</f>
        <v/>
      </c>
      <c r="AA66" s="232" t="str">
        <f>IFERROR(__xludf.DUMMYFUNCTION("""COMPUTED_VALUE"""),"")</f>
        <v/>
      </c>
      <c r="AB66" s="233" t="str">
        <f>IFERROR(__xludf.DUMMYFUNCTION("""COMPUTED_VALUE"""),"")</f>
        <v/>
      </c>
      <c r="AC66" s="231" t="str">
        <f>IFERROR(__xludf.DUMMYFUNCTION("""COMPUTED_VALUE"""),"")</f>
        <v/>
      </c>
      <c r="AD66" s="232" t="str">
        <f>IFERROR(__xludf.DUMMYFUNCTION("""COMPUTED_VALUE"""),"")</f>
        <v/>
      </c>
      <c r="AE66" s="233" t="str">
        <f>IFERROR(__xludf.DUMMYFUNCTION("""COMPUTED_VALUE"""),"")</f>
        <v/>
      </c>
      <c r="AF66" s="231" t="str">
        <f>IFERROR(__xludf.DUMMYFUNCTION("""COMPUTED_VALUE"""),"")</f>
        <v/>
      </c>
      <c r="AG66" s="232" t="str">
        <f>IFERROR(__xludf.DUMMYFUNCTION("""COMPUTED_VALUE"""),"")</f>
        <v/>
      </c>
      <c r="AH66" s="233" t="str">
        <f>IFERROR(__xludf.DUMMYFUNCTION("""COMPUTED_VALUE"""),"")</f>
        <v/>
      </c>
      <c r="AI66" s="231" t="str">
        <f>IFERROR(__xludf.DUMMYFUNCTION("""COMPUTED_VALUE"""),"")</f>
        <v/>
      </c>
      <c r="AJ66" s="232" t="str">
        <f>IFERROR(__xludf.DUMMYFUNCTION("""COMPUTED_VALUE"""),"")</f>
        <v/>
      </c>
      <c r="AK66" s="233" t="str">
        <f>IFERROR(__xludf.DUMMYFUNCTION("""COMPUTED_VALUE"""),"")</f>
        <v/>
      </c>
      <c r="AL66" s="231" t="str">
        <f>IFERROR(__xludf.DUMMYFUNCTION("""COMPUTED_VALUE"""),"")</f>
        <v/>
      </c>
      <c r="AM66" s="232" t="str">
        <f>IFERROR(__xludf.DUMMYFUNCTION("""COMPUTED_VALUE"""),"")</f>
        <v/>
      </c>
      <c r="AN66" s="233" t="str">
        <f>IFERROR(__xludf.DUMMYFUNCTION("""COMPUTED_VALUE"""),"")</f>
        <v/>
      </c>
      <c r="AO66" s="231" t="str">
        <f>IFERROR(__xludf.DUMMYFUNCTION("""COMPUTED_VALUE"""),"")</f>
        <v/>
      </c>
      <c r="AP66" s="232" t="str">
        <f>IFERROR(__xludf.DUMMYFUNCTION("""COMPUTED_VALUE"""),"")</f>
        <v/>
      </c>
      <c r="AQ66" s="233" t="str">
        <f>IFERROR(__xludf.DUMMYFUNCTION("""COMPUTED_VALUE"""),"")</f>
        <v/>
      </c>
      <c r="AR66" s="231" t="str">
        <f>IFERROR(__xludf.DUMMYFUNCTION("""COMPUTED_VALUE"""),"")</f>
        <v/>
      </c>
      <c r="AS66" s="232" t="str">
        <f>IFERROR(__xludf.DUMMYFUNCTION("""COMPUTED_VALUE"""),"")</f>
        <v/>
      </c>
      <c r="AT66" s="233" t="str">
        <f>IFERROR(__xludf.DUMMYFUNCTION("""COMPUTED_VALUE"""),"")</f>
        <v/>
      </c>
      <c r="AU66" s="231">
        <f>IFERROR(__xludf.DUMMYFUNCTION("""COMPUTED_VALUE"""),15.8)</f>
        <v>15.8</v>
      </c>
      <c r="AV66" s="232">
        <f>IFERROR(__xludf.DUMMYFUNCTION("""COMPUTED_VALUE"""),9.8)</f>
        <v>9.8</v>
      </c>
      <c r="AW66" s="233">
        <f>IFERROR(__xludf.DUMMYFUNCTION("""COMPUTED_VALUE"""),8.2)</f>
        <v>8.2</v>
      </c>
      <c r="AX66" s="231" t="str">
        <f>IFERROR(__xludf.DUMMYFUNCTION("""COMPUTED_VALUE"""),"")</f>
        <v/>
      </c>
      <c r="AY66" s="232" t="str">
        <f>IFERROR(__xludf.DUMMYFUNCTION("""COMPUTED_VALUE"""),"")</f>
        <v/>
      </c>
      <c r="AZ66" s="233" t="str">
        <f>IFERROR(__xludf.DUMMYFUNCTION("""COMPUTED_VALUE"""),"")</f>
        <v/>
      </c>
      <c r="BA66" s="231" t="str">
        <f>IFERROR(__xludf.DUMMYFUNCTION("""COMPUTED_VALUE"""),"")</f>
        <v/>
      </c>
      <c r="BB66" s="232" t="str">
        <f>IFERROR(__xludf.DUMMYFUNCTION("""COMPUTED_VALUE"""),"")</f>
        <v/>
      </c>
      <c r="BC66" s="233" t="str">
        <f>IFERROR(__xludf.DUMMYFUNCTION("""COMPUTED_VALUE"""),"")</f>
        <v/>
      </c>
      <c r="BD66" s="231" t="str">
        <f>IFERROR(__xludf.DUMMYFUNCTION("""COMPUTED_VALUE"""),"")</f>
        <v/>
      </c>
      <c r="BE66" s="232" t="str">
        <f>IFERROR(__xludf.DUMMYFUNCTION("""COMPUTED_VALUE"""),"")</f>
        <v/>
      </c>
      <c r="BF66" s="233" t="str">
        <f>IFERROR(__xludf.DUMMYFUNCTION("""COMPUTED_VALUE"""),"")</f>
        <v/>
      </c>
      <c r="BG66" s="231" t="str">
        <f>IFERROR(__xludf.DUMMYFUNCTION("""COMPUTED_VALUE"""),"")</f>
        <v/>
      </c>
      <c r="BH66" s="232" t="str">
        <f>IFERROR(__xludf.DUMMYFUNCTION("""COMPUTED_VALUE"""),"")</f>
        <v/>
      </c>
      <c r="BI66" s="233" t="str">
        <f>IFERROR(__xludf.DUMMYFUNCTION("""COMPUTED_VALUE"""),"")</f>
        <v/>
      </c>
      <c r="BJ66" s="231" t="str">
        <f>IFERROR(__xludf.DUMMYFUNCTION("""COMPUTED_VALUE"""),"")</f>
        <v/>
      </c>
      <c r="BK66" s="232" t="str">
        <f>IFERROR(__xludf.DUMMYFUNCTION("""COMPUTED_VALUE"""),"")</f>
        <v/>
      </c>
      <c r="BL66" s="233" t="str">
        <f>IFERROR(__xludf.DUMMYFUNCTION("""COMPUTED_VALUE"""),"")</f>
        <v/>
      </c>
      <c r="BM66" s="231">
        <f>IFERROR(__xludf.DUMMYFUNCTION("""COMPUTED_VALUE"""),5.2)</f>
        <v>5.2</v>
      </c>
      <c r="BN66" s="232" t="str">
        <f>IFERROR(__xludf.DUMMYFUNCTION("""COMPUTED_VALUE"""),"")</f>
        <v/>
      </c>
      <c r="BO66" s="233" t="str">
        <f>IFERROR(__xludf.DUMMYFUNCTION("""COMPUTED_VALUE"""),"")</f>
        <v/>
      </c>
      <c r="BP66" s="231" t="str">
        <f>IFERROR(__xludf.DUMMYFUNCTION("""COMPUTED_VALUE"""),"")</f>
        <v/>
      </c>
      <c r="BQ66" s="232" t="str">
        <f>IFERROR(__xludf.DUMMYFUNCTION("""COMPUTED_VALUE"""),"")</f>
        <v/>
      </c>
      <c r="BR66" s="233">
        <f>IFERROR(__xludf.DUMMYFUNCTION("""COMPUTED_VALUE"""),13.6)</f>
        <v>13.6</v>
      </c>
      <c r="BS66" s="231" t="str">
        <f>IFERROR(__xludf.DUMMYFUNCTION("""COMPUTED_VALUE"""),"")</f>
        <v/>
      </c>
      <c r="BT66" s="232">
        <f>IFERROR(__xludf.DUMMYFUNCTION("""COMPUTED_VALUE"""),10.2)</f>
        <v>10.2</v>
      </c>
      <c r="BU66" s="233" t="str">
        <f>IFERROR(__xludf.DUMMYFUNCTION("""COMPUTED_VALUE"""),"")</f>
        <v/>
      </c>
      <c r="BV66" s="231" t="str">
        <f>IFERROR(__xludf.DUMMYFUNCTION("""COMPUTED_VALUE"""),"")</f>
        <v/>
      </c>
      <c r="BW66" s="232" t="str">
        <f>IFERROR(__xludf.DUMMYFUNCTION("""COMPUTED_VALUE"""),"")</f>
        <v/>
      </c>
      <c r="BX66" s="233" t="str">
        <f>IFERROR(__xludf.DUMMYFUNCTION("""COMPUTED_VALUE"""),"")</f>
        <v/>
      </c>
      <c r="BY66" s="231" t="str">
        <f>IFERROR(__xludf.DUMMYFUNCTION("""COMPUTED_VALUE"""),"")</f>
        <v/>
      </c>
      <c r="BZ66" s="232" t="str">
        <f>IFERROR(__xludf.DUMMYFUNCTION("""COMPUTED_VALUE"""),"")</f>
        <v/>
      </c>
      <c r="CA66" s="233" t="str">
        <f>IFERROR(__xludf.DUMMYFUNCTION("""COMPUTED_VALUE"""),"")</f>
        <v/>
      </c>
      <c r="CB66" s="231" t="str">
        <f>IFERROR(__xludf.DUMMYFUNCTION("""COMPUTED_VALUE"""),"")</f>
        <v/>
      </c>
      <c r="CC66" s="232" t="str">
        <f>IFERROR(__xludf.DUMMYFUNCTION("""COMPUTED_VALUE"""),"")</f>
        <v/>
      </c>
      <c r="CD66" s="233" t="str">
        <f>IFERROR(__xludf.DUMMYFUNCTION("""COMPUTED_VALUE"""),"")</f>
        <v/>
      </c>
      <c r="CE66" s="234">
        <f>IFERROR(__xludf.DUMMYFUNCTION("""COMPUTED_VALUE"""),2.0)</f>
        <v>2</v>
      </c>
      <c r="CF66" s="230">
        <f>IFERROR(__xludf.DUMMYFUNCTION("""COMPUTED_VALUE"""),2.2)</f>
        <v>2.2</v>
      </c>
      <c r="CG66" s="235">
        <f>IFERROR(__xludf.DUMMYFUNCTION("""COMPUTED_VALUE"""),1.1)</f>
        <v>1.1</v>
      </c>
      <c r="CH66" s="234" t="str">
        <f>IFERROR(__xludf.DUMMYFUNCTION("""COMPUTED_VALUE"""),"")</f>
        <v/>
      </c>
      <c r="CI66" s="230" t="str">
        <f>IFERROR(__xludf.DUMMYFUNCTION("""COMPUTED_VALUE"""),"")</f>
        <v/>
      </c>
      <c r="CJ66" s="235" t="str">
        <f>IFERROR(__xludf.DUMMYFUNCTION("""COMPUTED_VALUE"""),"")</f>
        <v/>
      </c>
      <c r="CK66" s="95" t="str">
        <f>IFERROR(__xludf.DUMMYFUNCTION("""COMPUTED_VALUE"""),"")</f>
        <v/>
      </c>
      <c r="CL66" s="96" t="str">
        <f>IFERROR(__xludf.DUMMYFUNCTION("""COMPUTED_VALUE"""),"")</f>
        <v/>
      </c>
      <c r="CM66" s="97" t="str">
        <f>IFERROR(__xludf.DUMMYFUNCTION("""COMPUTED_VALUE"""),"")</f>
        <v/>
      </c>
      <c r="CN66" s="95" t="str">
        <f>IFERROR(__xludf.DUMMYFUNCTION("""COMPUTED_VALUE"""),"")</f>
        <v/>
      </c>
      <c r="CO66" s="96" t="str">
        <f>IFERROR(__xludf.DUMMYFUNCTION("""COMPUTED_VALUE"""),"")</f>
        <v/>
      </c>
      <c r="CP66" s="97" t="str">
        <f>IFERROR(__xludf.DUMMYFUNCTION("""COMPUTED_VALUE"""),"")</f>
        <v/>
      </c>
      <c r="CQ66" s="95" t="str">
        <f>IFERROR(__xludf.DUMMYFUNCTION("""COMPUTED_VALUE"""),"")</f>
        <v/>
      </c>
      <c r="CR66" s="96" t="str">
        <f>IFERROR(__xludf.DUMMYFUNCTION("""COMPUTED_VALUE"""),"")</f>
        <v/>
      </c>
      <c r="CS66" s="97" t="str">
        <f>IFERROR(__xludf.DUMMYFUNCTION("""COMPUTED_VALUE"""),"#REF!")</f>
        <v>#REF!</v>
      </c>
      <c r="CT66" s="95" t="str">
        <f>IFERROR(__xludf.DUMMYFUNCTION("""COMPUTED_VALUE"""),"#REF!")</f>
        <v>#REF!</v>
      </c>
      <c r="CU66" s="96" t="str">
        <f>IFERROR(__xludf.DUMMYFUNCTION("""COMPUTED_VALUE"""),"#REF!")</f>
        <v>#REF!</v>
      </c>
      <c r="CV66" s="97" t="str">
        <f>IFERROR(__xludf.DUMMYFUNCTION("""COMPUTED_VALUE"""),"#REF!")</f>
        <v>#REF!</v>
      </c>
      <c r="CW66" s="95" t="str">
        <f>IFERROR(__xludf.DUMMYFUNCTION("""COMPUTED_VALUE"""),"#REF!")</f>
        <v>#REF!</v>
      </c>
      <c r="CX66" s="96" t="str">
        <f>IFERROR(__xludf.DUMMYFUNCTION("""COMPUTED_VALUE"""),"#REF!")</f>
        <v>#REF!</v>
      </c>
      <c r="CY66" s="97" t="str">
        <f>IFERROR(__xludf.DUMMYFUNCTION("""COMPUTED_VALUE"""),"#REF!")</f>
        <v>#REF!</v>
      </c>
      <c r="CZ66" s="95" t="str">
        <f>IFERROR(__xludf.DUMMYFUNCTION("""COMPUTED_VALUE"""),"#REF!")</f>
        <v>#REF!</v>
      </c>
      <c r="DA66" s="96" t="str">
        <f>IFERROR(__xludf.DUMMYFUNCTION("""COMPUTED_VALUE"""),"#REF!")</f>
        <v>#REF!</v>
      </c>
      <c r="DB66" s="97" t="str">
        <f>IFERROR(__xludf.DUMMYFUNCTION("""COMPUTED_VALUE"""),"#REF!")</f>
        <v>#REF!</v>
      </c>
      <c r="DC66" s="95" t="str">
        <f>IFERROR(__xludf.DUMMYFUNCTION("""COMPUTED_VALUE"""),"#REF!")</f>
        <v>#REF!</v>
      </c>
      <c r="DD66" s="96" t="str">
        <f>IFERROR(__xludf.DUMMYFUNCTION("""COMPUTED_VALUE"""),"#REF!")</f>
        <v>#REF!</v>
      </c>
      <c r="DE66" s="97" t="str">
        <f>IFERROR(__xludf.DUMMYFUNCTION("""COMPUTED_VALUE"""),"#REF!")</f>
        <v>#REF!</v>
      </c>
      <c r="DF66" s="95" t="str">
        <f>IFERROR(__xludf.DUMMYFUNCTION("""COMPUTED_VALUE"""),"#REF!")</f>
        <v>#REF!</v>
      </c>
      <c r="DG66" s="96" t="str">
        <f>IFERROR(__xludf.DUMMYFUNCTION("""COMPUTED_VALUE"""),"#REF!")</f>
        <v>#REF!</v>
      </c>
      <c r="DH66" s="97" t="str">
        <f>IFERROR(__xludf.DUMMYFUNCTION("""COMPUTED_VALUE"""),"#REF!")</f>
        <v>#REF!</v>
      </c>
      <c r="DI66" s="95" t="str">
        <f>IFERROR(__xludf.DUMMYFUNCTION("""COMPUTED_VALUE"""),"#REF!")</f>
        <v>#REF!</v>
      </c>
      <c r="DJ66" s="96" t="str">
        <f>IFERROR(__xludf.DUMMYFUNCTION("""COMPUTED_VALUE"""),"#REF!")</f>
        <v>#REF!</v>
      </c>
      <c r="DK66" s="97" t="str">
        <f>IFERROR(__xludf.DUMMYFUNCTION("""COMPUTED_VALUE"""),"#REF!")</f>
        <v>#REF!</v>
      </c>
      <c r="DL66" s="95" t="str">
        <f>IFERROR(__xludf.DUMMYFUNCTION("""COMPUTED_VALUE"""),"#REF!")</f>
        <v>#REF!</v>
      </c>
      <c r="DM66" s="96" t="str">
        <f>IFERROR(__xludf.DUMMYFUNCTION("""COMPUTED_VALUE"""),"#REF!")</f>
        <v>#REF!</v>
      </c>
      <c r="DN66" s="97" t="str">
        <f>IFERROR(__xludf.DUMMYFUNCTION("""COMPUTED_VALUE"""),"#REF!")</f>
        <v>#REF!</v>
      </c>
      <c r="DO66" s="95" t="str">
        <f>IFERROR(__xludf.DUMMYFUNCTION("""COMPUTED_VALUE"""),"#REF!")</f>
        <v>#REF!</v>
      </c>
      <c r="DP66" s="96" t="str">
        <f>IFERROR(__xludf.DUMMYFUNCTION("""COMPUTED_VALUE"""),"#REF!")</f>
        <v>#REF!</v>
      </c>
      <c r="DQ66" s="97"/>
      <c r="DR66" s="95"/>
    </row>
    <row r="67">
      <c r="A67" s="119" t="str">
        <f>IFERROR(__xludf.DUMMYFUNCTION("""COMPUTED_VALUE"""),"SEPTEM")</f>
        <v>SEPTEM</v>
      </c>
      <c r="B67" s="120" t="str">
        <f>IFERROR(__xludf.DUMMYFUNCTION("""COMPUTED_VALUE"""),"SEP1")</f>
        <v>SEP1</v>
      </c>
      <c r="C67" s="82">
        <f>IFERROR(__xludf.DUMMYFUNCTION("""COMPUTED_VALUE"""),52.0)</f>
        <v>52</v>
      </c>
      <c r="D67" s="88" t="str">
        <f>IFERROR(__xludf.DUMMYFUNCTION("""COMPUTED_VALUE"""),"Appia Road")</f>
        <v>Appia Road</v>
      </c>
      <c r="E67" s="82" t="str">
        <f>IFERROR(__xludf.DUMMYFUNCTION("""COMPUTED_VALUE"""),"アッピア街道")</f>
        <v>アッピア街道</v>
      </c>
      <c r="F67" s="102">
        <f>IFERROR(__xludf.DUMMYFUNCTION("""COMPUTED_VALUE"""),9.0)</f>
        <v>9</v>
      </c>
      <c r="G67" s="82">
        <f>IFERROR(__xludf.DUMMYFUNCTION("""COMPUTED_VALUE"""),1110.0)</f>
        <v>1110</v>
      </c>
      <c r="H67" s="231" t="str">
        <f>IFERROR(__xludf.DUMMYFUNCTION("""COMPUTED_VALUE"""),"")</f>
        <v/>
      </c>
      <c r="I67" s="232" t="str">
        <f>IFERROR(__xludf.DUMMYFUNCTION("""COMPUTED_VALUE"""),"")</f>
        <v/>
      </c>
      <c r="J67" s="233" t="str">
        <f>IFERROR(__xludf.DUMMYFUNCTION("""COMPUTED_VALUE"""),"")</f>
        <v/>
      </c>
      <c r="K67" s="231" t="str">
        <f>IFERROR(__xludf.DUMMYFUNCTION("""COMPUTED_VALUE"""),"")</f>
        <v/>
      </c>
      <c r="L67" s="232" t="str">
        <f>IFERROR(__xludf.DUMMYFUNCTION("""COMPUTED_VALUE"""),"")</f>
        <v/>
      </c>
      <c r="M67" s="233" t="str">
        <f>IFERROR(__xludf.DUMMYFUNCTION("""COMPUTED_VALUE"""),"")</f>
        <v/>
      </c>
      <c r="N67" s="231" t="str">
        <f>IFERROR(__xludf.DUMMYFUNCTION("""COMPUTED_VALUE"""),"")</f>
        <v/>
      </c>
      <c r="O67" s="232" t="str">
        <f>IFERROR(__xludf.DUMMYFUNCTION("""COMPUTED_VALUE"""),"")</f>
        <v/>
      </c>
      <c r="P67" s="233" t="str">
        <f>IFERROR(__xludf.DUMMYFUNCTION("""COMPUTED_VALUE"""),"")</f>
        <v/>
      </c>
      <c r="Q67" s="231" t="str">
        <f>IFERROR(__xludf.DUMMYFUNCTION("""COMPUTED_VALUE"""),"")</f>
        <v/>
      </c>
      <c r="R67" s="232" t="str">
        <f>IFERROR(__xludf.DUMMYFUNCTION("""COMPUTED_VALUE"""),"")</f>
        <v/>
      </c>
      <c r="S67" s="233" t="str">
        <f>IFERROR(__xludf.DUMMYFUNCTION("""COMPUTED_VALUE"""),"")</f>
        <v/>
      </c>
      <c r="T67" s="231" t="str">
        <f>IFERROR(__xludf.DUMMYFUNCTION("""COMPUTED_VALUE"""),"")</f>
        <v/>
      </c>
      <c r="U67" s="232" t="str">
        <f>IFERROR(__xludf.DUMMYFUNCTION("""COMPUTED_VALUE"""),"")</f>
        <v/>
      </c>
      <c r="V67" s="233" t="str">
        <f>IFERROR(__xludf.DUMMYFUNCTION("""COMPUTED_VALUE"""),"")</f>
        <v/>
      </c>
      <c r="W67" s="231" t="str">
        <f>IFERROR(__xludf.DUMMYFUNCTION("""COMPUTED_VALUE"""),"")</f>
        <v/>
      </c>
      <c r="X67" s="232" t="str">
        <f>IFERROR(__xludf.DUMMYFUNCTION("""COMPUTED_VALUE"""),"")</f>
        <v/>
      </c>
      <c r="Y67" s="233" t="str">
        <f>IFERROR(__xludf.DUMMYFUNCTION("""COMPUTED_VALUE"""),"")</f>
        <v/>
      </c>
      <c r="Z67" s="231" t="str">
        <f>IFERROR(__xludf.DUMMYFUNCTION("""COMPUTED_VALUE"""),"")</f>
        <v/>
      </c>
      <c r="AA67" s="232" t="str">
        <f>IFERROR(__xludf.DUMMYFUNCTION("""COMPUTED_VALUE"""),"")</f>
        <v/>
      </c>
      <c r="AB67" s="233" t="str">
        <f>IFERROR(__xludf.DUMMYFUNCTION("""COMPUTED_VALUE"""),"")</f>
        <v/>
      </c>
      <c r="AC67" s="231" t="str">
        <f>IFERROR(__xludf.DUMMYFUNCTION("""COMPUTED_VALUE"""),"")</f>
        <v/>
      </c>
      <c r="AD67" s="232" t="str">
        <f>IFERROR(__xludf.DUMMYFUNCTION("""COMPUTED_VALUE"""),"")</f>
        <v/>
      </c>
      <c r="AE67" s="233" t="str">
        <f>IFERROR(__xludf.DUMMYFUNCTION("""COMPUTED_VALUE"""),"")</f>
        <v/>
      </c>
      <c r="AF67" s="231" t="str">
        <f>IFERROR(__xludf.DUMMYFUNCTION("""COMPUTED_VALUE"""),"")</f>
        <v/>
      </c>
      <c r="AG67" s="232" t="str">
        <f>IFERROR(__xludf.DUMMYFUNCTION("""COMPUTED_VALUE"""),"")</f>
        <v/>
      </c>
      <c r="AH67" s="233" t="str">
        <f>IFERROR(__xludf.DUMMYFUNCTION("""COMPUTED_VALUE"""),"")</f>
        <v/>
      </c>
      <c r="AI67" s="231" t="str">
        <f>IFERROR(__xludf.DUMMYFUNCTION("""COMPUTED_VALUE"""),"")</f>
        <v/>
      </c>
      <c r="AJ67" s="232" t="str">
        <f>IFERROR(__xludf.DUMMYFUNCTION("""COMPUTED_VALUE"""),"")</f>
        <v/>
      </c>
      <c r="AK67" s="233" t="str">
        <f>IFERROR(__xludf.DUMMYFUNCTION("""COMPUTED_VALUE"""),"")</f>
        <v/>
      </c>
      <c r="AL67" s="231" t="str">
        <f>IFERROR(__xludf.DUMMYFUNCTION("""COMPUTED_VALUE"""),"")</f>
        <v/>
      </c>
      <c r="AM67" s="232" t="str">
        <f>IFERROR(__xludf.DUMMYFUNCTION("""COMPUTED_VALUE"""),"")</f>
        <v/>
      </c>
      <c r="AN67" s="233" t="str">
        <f>IFERROR(__xludf.DUMMYFUNCTION("""COMPUTED_VALUE"""),"")</f>
        <v/>
      </c>
      <c r="AO67" s="231" t="str">
        <f>IFERROR(__xludf.DUMMYFUNCTION("""COMPUTED_VALUE"""),"")</f>
        <v/>
      </c>
      <c r="AP67" s="232" t="str">
        <f>IFERROR(__xludf.DUMMYFUNCTION("""COMPUTED_VALUE"""),"")</f>
        <v/>
      </c>
      <c r="AQ67" s="233" t="str">
        <f>IFERROR(__xludf.DUMMYFUNCTION("""COMPUTED_VALUE"""),"")</f>
        <v/>
      </c>
      <c r="AR67" s="231" t="str">
        <f>IFERROR(__xludf.DUMMYFUNCTION("""COMPUTED_VALUE"""),"")</f>
        <v/>
      </c>
      <c r="AS67" s="232" t="str">
        <f>IFERROR(__xludf.DUMMYFUNCTION("""COMPUTED_VALUE"""),"")</f>
        <v/>
      </c>
      <c r="AT67" s="233">
        <f>IFERROR(__xludf.DUMMYFUNCTION("""COMPUTED_VALUE"""),34.7)</f>
        <v>34.7</v>
      </c>
      <c r="AU67" s="231" t="str">
        <f>IFERROR(__xludf.DUMMYFUNCTION("""COMPUTED_VALUE"""),"")</f>
        <v/>
      </c>
      <c r="AV67" s="232" t="str">
        <f>IFERROR(__xludf.DUMMYFUNCTION("""COMPUTED_VALUE"""),"")</f>
        <v/>
      </c>
      <c r="AW67" s="233">
        <f>IFERROR(__xludf.DUMMYFUNCTION("""COMPUTED_VALUE"""),7.9)</f>
        <v>7.9</v>
      </c>
      <c r="AX67" s="231" t="str">
        <f>IFERROR(__xludf.DUMMYFUNCTION("""COMPUTED_VALUE"""),"")</f>
        <v/>
      </c>
      <c r="AY67" s="232" t="str">
        <f>IFERROR(__xludf.DUMMYFUNCTION("""COMPUTED_VALUE"""),"")</f>
        <v/>
      </c>
      <c r="AZ67" s="233" t="str">
        <f>IFERROR(__xludf.DUMMYFUNCTION("""COMPUTED_VALUE"""),"")</f>
        <v/>
      </c>
      <c r="BA67" s="231" t="str">
        <f>IFERROR(__xludf.DUMMYFUNCTION("""COMPUTED_VALUE"""),"")</f>
        <v/>
      </c>
      <c r="BB67" s="232" t="str">
        <f>IFERROR(__xludf.DUMMYFUNCTION("""COMPUTED_VALUE"""),"")</f>
        <v/>
      </c>
      <c r="BC67" s="233" t="str">
        <f>IFERROR(__xludf.DUMMYFUNCTION("""COMPUTED_VALUE"""),"")</f>
        <v/>
      </c>
      <c r="BD67" s="231" t="str">
        <f>IFERROR(__xludf.DUMMYFUNCTION("""COMPUTED_VALUE"""),"")</f>
        <v/>
      </c>
      <c r="BE67" s="232" t="str">
        <f>IFERROR(__xludf.DUMMYFUNCTION("""COMPUTED_VALUE"""),"")</f>
        <v/>
      </c>
      <c r="BF67" s="233" t="str">
        <f>IFERROR(__xludf.DUMMYFUNCTION("""COMPUTED_VALUE"""),"")</f>
        <v/>
      </c>
      <c r="BG67" s="231" t="str">
        <f>IFERROR(__xludf.DUMMYFUNCTION("""COMPUTED_VALUE"""),"")</f>
        <v/>
      </c>
      <c r="BH67" s="232" t="str">
        <f>IFERROR(__xludf.DUMMYFUNCTION("""COMPUTED_VALUE"""),"")</f>
        <v/>
      </c>
      <c r="BI67" s="233" t="str">
        <f>IFERROR(__xludf.DUMMYFUNCTION("""COMPUTED_VALUE"""),"")</f>
        <v/>
      </c>
      <c r="BJ67" s="231" t="str">
        <f>IFERROR(__xludf.DUMMYFUNCTION("""COMPUTED_VALUE"""),"")</f>
        <v/>
      </c>
      <c r="BK67" s="232" t="str">
        <f>IFERROR(__xludf.DUMMYFUNCTION("""COMPUTED_VALUE"""),"")</f>
        <v/>
      </c>
      <c r="BL67" s="233" t="str">
        <f>IFERROR(__xludf.DUMMYFUNCTION("""COMPUTED_VALUE"""),"")</f>
        <v/>
      </c>
      <c r="BM67" s="231" t="str">
        <f>IFERROR(__xludf.DUMMYFUNCTION("""COMPUTED_VALUE"""),"")</f>
        <v/>
      </c>
      <c r="BN67" s="232" t="str">
        <f>IFERROR(__xludf.DUMMYFUNCTION("""COMPUTED_VALUE"""),"")</f>
        <v/>
      </c>
      <c r="BO67" s="233" t="str">
        <f>IFERROR(__xludf.DUMMYFUNCTION("""COMPUTED_VALUE"""),"")</f>
        <v/>
      </c>
      <c r="BP67" s="231" t="str">
        <f>IFERROR(__xludf.DUMMYFUNCTION("""COMPUTED_VALUE"""),"")</f>
        <v/>
      </c>
      <c r="BQ67" s="232">
        <f>IFERROR(__xludf.DUMMYFUNCTION("""COMPUTED_VALUE"""),14.0)</f>
        <v>14</v>
      </c>
      <c r="BR67" s="233">
        <f>IFERROR(__xludf.DUMMYFUNCTION("""COMPUTED_VALUE"""),14.0)</f>
        <v>14</v>
      </c>
      <c r="BS67" s="231">
        <f>IFERROR(__xludf.DUMMYFUNCTION("""COMPUTED_VALUE"""),8.6)</f>
        <v>8.6</v>
      </c>
      <c r="BT67" s="232" t="str">
        <f>IFERROR(__xludf.DUMMYFUNCTION("""COMPUTED_VALUE"""),"")</f>
        <v/>
      </c>
      <c r="BU67" s="233" t="str">
        <f>IFERROR(__xludf.DUMMYFUNCTION("""COMPUTED_VALUE"""),"")</f>
        <v/>
      </c>
      <c r="BV67" s="231" t="str">
        <f>IFERROR(__xludf.DUMMYFUNCTION("""COMPUTED_VALUE"""),"")</f>
        <v/>
      </c>
      <c r="BW67" s="232" t="str">
        <f>IFERROR(__xludf.DUMMYFUNCTION("""COMPUTED_VALUE"""),"")</f>
        <v/>
      </c>
      <c r="BX67" s="233" t="str">
        <f>IFERROR(__xludf.DUMMYFUNCTION("""COMPUTED_VALUE"""),"")</f>
        <v/>
      </c>
      <c r="BY67" s="231" t="str">
        <f>IFERROR(__xludf.DUMMYFUNCTION("""COMPUTED_VALUE"""),"")</f>
        <v/>
      </c>
      <c r="BZ67" s="232" t="str">
        <f>IFERROR(__xludf.DUMMYFUNCTION("""COMPUTED_VALUE"""),"")</f>
        <v/>
      </c>
      <c r="CA67" s="233" t="str">
        <f>IFERROR(__xludf.DUMMYFUNCTION("""COMPUTED_VALUE"""),"")</f>
        <v/>
      </c>
      <c r="CB67" s="231" t="str">
        <f>IFERROR(__xludf.DUMMYFUNCTION("""COMPUTED_VALUE"""),"")</f>
        <v/>
      </c>
      <c r="CC67" s="232" t="str">
        <f>IFERROR(__xludf.DUMMYFUNCTION("""COMPUTED_VALUE"""),"")</f>
        <v/>
      </c>
      <c r="CD67" s="233" t="str">
        <f>IFERROR(__xludf.DUMMYFUNCTION("""COMPUTED_VALUE"""),"")</f>
        <v/>
      </c>
      <c r="CE67" s="234" t="str">
        <f>IFERROR(__xludf.DUMMYFUNCTION("""COMPUTED_VALUE"""),"")</f>
        <v/>
      </c>
      <c r="CF67" s="230" t="str">
        <f>IFERROR(__xludf.DUMMYFUNCTION("""COMPUTED_VALUE"""),"")</f>
        <v/>
      </c>
      <c r="CG67" s="235" t="str">
        <f>IFERROR(__xludf.DUMMYFUNCTION("""COMPUTED_VALUE"""),"")</f>
        <v/>
      </c>
      <c r="CH67" s="234" t="str">
        <f>IFERROR(__xludf.DUMMYFUNCTION("""COMPUTED_VALUE"""),"")</f>
        <v/>
      </c>
      <c r="CI67" s="230" t="str">
        <f>IFERROR(__xludf.DUMMYFUNCTION("""COMPUTED_VALUE"""),"")</f>
        <v/>
      </c>
      <c r="CJ67" s="235" t="str">
        <f>IFERROR(__xludf.DUMMYFUNCTION("""COMPUTED_VALUE"""),"")</f>
        <v/>
      </c>
      <c r="CK67" s="95">
        <f>IFERROR(__xludf.DUMMYFUNCTION("""COMPUTED_VALUE"""),9.7)</f>
        <v>9.7</v>
      </c>
      <c r="CL67" s="96" t="str">
        <f>IFERROR(__xludf.DUMMYFUNCTION("""COMPUTED_VALUE"""),"")</f>
        <v/>
      </c>
      <c r="CM67" s="97" t="str">
        <f>IFERROR(__xludf.DUMMYFUNCTION("""COMPUTED_VALUE"""),"")</f>
        <v/>
      </c>
      <c r="CN67" s="95" t="str">
        <f>IFERROR(__xludf.DUMMYFUNCTION("""COMPUTED_VALUE"""),"")</f>
        <v/>
      </c>
      <c r="CO67" s="96" t="str">
        <f>IFERROR(__xludf.DUMMYFUNCTION("""COMPUTED_VALUE"""),"")</f>
        <v/>
      </c>
      <c r="CP67" s="97" t="str">
        <f>IFERROR(__xludf.DUMMYFUNCTION("""COMPUTED_VALUE"""),"")</f>
        <v/>
      </c>
      <c r="CQ67" s="95" t="str">
        <f>IFERROR(__xludf.DUMMYFUNCTION("""COMPUTED_VALUE"""),"")</f>
        <v/>
      </c>
      <c r="CR67" s="96" t="str">
        <f>IFERROR(__xludf.DUMMYFUNCTION("""COMPUTED_VALUE"""),"")</f>
        <v/>
      </c>
      <c r="CS67" s="97" t="str">
        <f>IFERROR(__xludf.DUMMYFUNCTION("""COMPUTED_VALUE"""),"#REF!")</f>
        <v>#REF!</v>
      </c>
      <c r="CT67" s="95" t="str">
        <f>IFERROR(__xludf.DUMMYFUNCTION("""COMPUTED_VALUE"""),"#REF!")</f>
        <v>#REF!</v>
      </c>
      <c r="CU67" s="96" t="str">
        <f>IFERROR(__xludf.DUMMYFUNCTION("""COMPUTED_VALUE"""),"#REF!")</f>
        <v>#REF!</v>
      </c>
      <c r="CV67" s="97" t="str">
        <f>IFERROR(__xludf.DUMMYFUNCTION("""COMPUTED_VALUE"""),"#REF!")</f>
        <v>#REF!</v>
      </c>
      <c r="CW67" s="95" t="str">
        <f>IFERROR(__xludf.DUMMYFUNCTION("""COMPUTED_VALUE"""),"#REF!")</f>
        <v>#REF!</v>
      </c>
      <c r="CX67" s="96" t="str">
        <f>IFERROR(__xludf.DUMMYFUNCTION("""COMPUTED_VALUE"""),"#REF!")</f>
        <v>#REF!</v>
      </c>
      <c r="CY67" s="97" t="str">
        <f>IFERROR(__xludf.DUMMYFUNCTION("""COMPUTED_VALUE"""),"#REF!")</f>
        <v>#REF!</v>
      </c>
      <c r="CZ67" s="95" t="str">
        <f>IFERROR(__xludf.DUMMYFUNCTION("""COMPUTED_VALUE"""),"#REF!")</f>
        <v>#REF!</v>
      </c>
      <c r="DA67" s="96" t="str">
        <f>IFERROR(__xludf.DUMMYFUNCTION("""COMPUTED_VALUE"""),"#REF!")</f>
        <v>#REF!</v>
      </c>
      <c r="DB67" s="97" t="str">
        <f>IFERROR(__xludf.DUMMYFUNCTION("""COMPUTED_VALUE"""),"#REF!")</f>
        <v>#REF!</v>
      </c>
      <c r="DC67" s="95" t="str">
        <f>IFERROR(__xludf.DUMMYFUNCTION("""COMPUTED_VALUE"""),"#REF!")</f>
        <v>#REF!</v>
      </c>
      <c r="DD67" s="96" t="str">
        <f>IFERROR(__xludf.DUMMYFUNCTION("""COMPUTED_VALUE"""),"#REF!")</f>
        <v>#REF!</v>
      </c>
      <c r="DE67" s="97" t="str">
        <f>IFERROR(__xludf.DUMMYFUNCTION("""COMPUTED_VALUE"""),"#REF!")</f>
        <v>#REF!</v>
      </c>
      <c r="DF67" s="95" t="str">
        <f>IFERROR(__xludf.DUMMYFUNCTION("""COMPUTED_VALUE"""),"#REF!")</f>
        <v>#REF!</v>
      </c>
      <c r="DG67" s="96" t="str">
        <f>IFERROR(__xludf.DUMMYFUNCTION("""COMPUTED_VALUE"""),"#REF!")</f>
        <v>#REF!</v>
      </c>
      <c r="DH67" s="97" t="str">
        <f>IFERROR(__xludf.DUMMYFUNCTION("""COMPUTED_VALUE"""),"#REF!")</f>
        <v>#REF!</v>
      </c>
      <c r="DI67" s="95" t="str">
        <f>IFERROR(__xludf.DUMMYFUNCTION("""COMPUTED_VALUE"""),"#REF!")</f>
        <v>#REF!</v>
      </c>
      <c r="DJ67" s="96" t="str">
        <f>IFERROR(__xludf.DUMMYFUNCTION("""COMPUTED_VALUE"""),"#REF!")</f>
        <v>#REF!</v>
      </c>
      <c r="DK67" s="97" t="str">
        <f>IFERROR(__xludf.DUMMYFUNCTION("""COMPUTED_VALUE"""),"#REF!")</f>
        <v>#REF!</v>
      </c>
      <c r="DL67" s="95" t="str">
        <f>IFERROR(__xludf.DUMMYFUNCTION("""COMPUTED_VALUE"""),"#REF!")</f>
        <v>#REF!</v>
      </c>
      <c r="DM67" s="96" t="str">
        <f>IFERROR(__xludf.DUMMYFUNCTION("""COMPUTED_VALUE"""),"#REF!")</f>
        <v>#REF!</v>
      </c>
      <c r="DN67" s="97" t="str">
        <f>IFERROR(__xludf.DUMMYFUNCTION("""COMPUTED_VALUE"""),"#REF!")</f>
        <v>#REF!</v>
      </c>
      <c r="DO67" s="95" t="str">
        <f>IFERROR(__xludf.DUMMYFUNCTION("""COMPUTED_VALUE"""),"#REF!")</f>
        <v>#REF!</v>
      </c>
      <c r="DP67" s="96" t="str">
        <f>IFERROR(__xludf.DUMMYFUNCTION("""COMPUTED_VALUE"""),"#REF!")</f>
        <v>#REF!</v>
      </c>
      <c r="DQ67" s="97"/>
      <c r="DR67" s="95"/>
    </row>
    <row r="68">
      <c r="B68" s="120" t="str">
        <f>IFERROR(__xludf.DUMMYFUNCTION("""COMPUTED_VALUE"""),"SEP2")</f>
        <v>SEP2</v>
      </c>
      <c r="C68" s="82">
        <f>IFERROR(__xludf.DUMMYFUNCTION("""COMPUTED_VALUE"""),53.0)</f>
        <v>53</v>
      </c>
      <c r="D68" s="88" t="str">
        <f>IFERROR(__xludf.DUMMYFUNCTION("""COMPUTED_VALUE"""),"Rome")</f>
        <v>Rome</v>
      </c>
      <c r="E68" s="82" t="str">
        <f>IFERROR(__xludf.DUMMYFUNCTION("""COMPUTED_VALUE"""),"ローマ")</f>
        <v>ローマ</v>
      </c>
      <c r="F68" s="102">
        <f>IFERROR(__xludf.DUMMYFUNCTION("""COMPUTED_VALUE"""),9.0)</f>
        <v>9</v>
      </c>
      <c r="G68" s="82">
        <f>IFERROR(__xludf.DUMMYFUNCTION("""COMPUTED_VALUE"""),1797.0)</f>
        <v>1797</v>
      </c>
      <c r="H68" s="231" t="str">
        <f>IFERROR(__xludf.DUMMYFUNCTION("""COMPUTED_VALUE"""),"")</f>
        <v/>
      </c>
      <c r="I68" s="232" t="str">
        <f>IFERROR(__xludf.DUMMYFUNCTION("""COMPUTED_VALUE"""),"")</f>
        <v/>
      </c>
      <c r="J68" s="233" t="str">
        <f>IFERROR(__xludf.DUMMYFUNCTION("""COMPUTED_VALUE"""),"")</f>
        <v/>
      </c>
      <c r="K68" s="231" t="str">
        <f>IFERROR(__xludf.DUMMYFUNCTION("""COMPUTED_VALUE"""),"")</f>
        <v/>
      </c>
      <c r="L68" s="232" t="str">
        <f>IFERROR(__xludf.DUMMYFUNCTION("""COMPUTED_VALUE"""),"")</f>
        <v/>
      </c>
      <c r="M68" s="233" t="str">
        <f>IFERROR(__xludf.DUMMYFUNCTION("""COMPUTED_VALUE"""),"")</f>
        <v/>
      </c>
      <c r="N68" s="231" t="str">
        <f>IFERROR(__xludf.DUMMYFUNCTION("""COMPUTED_VALUE"""),"")</f>
        <v/>
      </c>
      <c r="O68" s="232" t="str">
        <f>IFERROR(__xludf.DUMMYFUNCTION("""COMPUTED_VALUE"""),"")</f>
        <v/>
      </c>
      <c r="P68" s="233" t="str">
        <f>IFERROR(__xludf.DUMMYFUNCTION("""COMPUTED_VALUE"""),"")</f>
        <v/>
      </c>
      <c r="Q68" s="231" t="str">
        <f>IFERROR(__xludf.DUMMYFUNCTION("""COMPUTED_VALUE"""),"")</f>
        <v/>
      </c>
      <c r="R68" s="232" t="str">
        <f>IFERROR(__xludf.DUMMYFUNCTION("""COMPUTED_VALUE"""),"")</f>
        <v/>
      </c>
      <c r="S68" s="233" t="str">
        <f>IFERROR(__xludf.DUMMYFUNCTION("""COMPUTED_VALUE"""),"")</f>
        <v/>
      </c>
      <c r="T68" s="231" t="str">
        <f>IFERROR(__xludf.DUMMYFUNCTION("""COMPUTED_VALUE"""),"")</f>
        <v/>
      </c>
      <c r="U68" s="232" t="str">
        <f>IFERROR(__xludf.DUMMYFUNCTION("""COMPUTED_VALUE"""),"")</f>
        <v/>
      </c>
      <c r="V68" s="233" t="str">
        <f>IFERROR(__xludf.DUMMYFUNCTION("""COMPUTED_VALUE"""),"")</f>
        <v/>
      </c>
      <c r="W68" s="231" t="str">
        <f>IFERROR(__xludf.DUMMYFUNCTION("""COMPUTED_VALUE"""),"")</f>
        <v/>
      </c>
      <c r="X68" s="232" t="str">
        <f>IFERROR(__xludf.DUMMYFUNCTION("""COMPUTED_VALUE"""),"")</f>
        <v/>
      </c>
      <c r="Y68" s="233" t="str">
        <f>IFERROR(__xludf.DUMMYFUNCTION("""COMPUTED_VALUE"""),"")</f>
        <v/>
      </c>
      <c r="Z68" s="231" t="str">
        <f>IFERROR(__xludf.DUMMYFUNCTION("""COMPUTED_VALUE"""),"")</f>
        <v/>
      </c>
      <c r="AA68" s="232" t="str">
        <f>IFERROR(__xludf.DUMMYFUNCTION("""COMPUTED_VALUE"""),"")</f>
        <v/>
      </c>
      <c r="AB68" s="233" t="str">
        <f>IFERROR(__xludf.DUMMYFUNCTION("""COMPUTED_VALUE"""),"")</f>
        <v/>
      </c>
      <c r="AC68" s="231" t="str">
        <f>IFERROR(__xludf.DUMMYFUNCTION("""COMPUTED_VALUE"""),"")</f>
        <v/>
      </c>
      <c r="AD68" s="232" t="str">
        <f>IFERROR(__xludf.DUMMYFUNCTION("""COMPUTED_VALUE"""),"")</f>
        <v/>
      </c>
      <c r="AE68" s="233" t="str">
        <f>IFERROR(__xludf.DUMMYFUNCTION("""COMPUTED_VALUE"""),"")</f>
        <v/>
      </c>
      <c r="AF68" s="231" t="str">
        <f>IFERROR(__xludf.DUMMYFUNCTION("""COMPUTED_VALUE"""),"")</f>
        <v/>
      </c>
      <c r="AG68" s="232" t="str">
        <f>IFERROR(__xludf.DUMMYFUNCTION("""COMPUTED_VALUE"""),"")</f>
        <v/>
      </c>
      <c r="AH68" s="233" t="str">
        <f>IFERROR(__xludf.DUMMYFUNCTION("""COMPUTED_VALUE"""),"")</f>
        <v/>
      </c>
      <c r="AI68" s="231" t="str">
        <f>IFERROR(__xludf.DUMMYFUNCTION("""COMPUTED_VALUE"""),"")</f>
        <v/>
      </c>
      <c r="AJ68" s="232" t="str">
        <f>IFERROR(__xludf.DUMMYFUNCTION("""COMPUTED_VALUE"""),"")</f>
        <v/>
      </c>
      <c r="AK68" s="233" t="str">
        <f>IFERROR(__xludf.DUMMYFUNCTION("""COMPUTED_VALUE"""),"")</f>
        <v/>
      </c>
      <c r="AL68" s="231" t="str">
        <f>IFERROR(__xludf.DUMMYFUNCTION("""COMPUTED_VALUE"""),"")</f>
        <v/>
      </c>
      <c r="AM68" s="232" t="str">
        <f>IFERROR(__xludf.DUMMYFUNCTION("""COMPUTED_VALUE"""),"")</f>
        <v/>
      </c>
      <c r="AN68" s="233" t="str">
        <f>IFERROR(__xludf.DUMMYFUNCTION("""COMPUTED_VALUE"""),"")</f>
        <v/>
      </c>
      <c r="AO68" s="231" t="str">
        <f>IFERROR(__xludf.DUMMYFUNCTION("""COMPUTED_VALUE"""),"")</f>
        <v/>
      </c>
      <c r="AP68" s="232" t="str">
        <f>IFERROR(__xludf.DUMMYFUNCTION("""COMPUTED_VALUE"""),"")</f>
        <v/>
      </c>
      <c r="AQ68" s="233" t="str">
        <f>IFERROR(__xludf.DUMMYFUNCTION("""COMPUTED_VALUE"""),"")</f>
        <v/>
      </c>
      <c r="AR68" s="231" t="str">
        <f>IFERROR(__xludf.DUMMYFUNCTION("""COMPUTED_VALUE"""),"")</f>
        <v/>
      </c>
      <c r="AS68" s="232" t="str">
        <f>IFERROR(__xludf.DUMMYFUNCTION("""COMPUTED_VALUE"""),"")</f>
        <v/>
      </c>
      <c r="AT68" s="233">
        <f>IFERROR(__xludf.DUMMYFUNCTION("""COMPUTED_VALUE"""),22.8)</f>
        <v>22.8</v>
      </c>
      <c r="AU68" s="231" t="str">
        <f>IFERROR(__xludf.DUMMYFUNCTION("""COMPUTED_VALUE"""),"")</f>
        <v/>
      </c>
      <c r="AV68" s="232" t="str">
        <f>IFERROR(__xludf.DUMMYFUNCTION("""COMPUTED_VALUE"""),"")</f>
        <v/>
      </c>
      <c r="AW68" s="233" t="str">
        <f>IFERROR(__xludf.DUMMYFUNCTION("""COMPUTED_VALUE"""),"")</f>
        <v/>
      </c>
      <c r="AX68" s="231" t="str">
        <f>IFERROR(__xludf.DUMMYFUNCTION("""COMPUTED_VALUE"""),"")</f>
        <v/>
      </c>
      <c r="AY68" s="232" t="str">
        <f>IFERROR(__xludf.DUMMYFUNCTION("""COMPUTED_VALUE"""),"")</f>
        <v/>
      </c>
      <c r="AZ68" s="233" t="str">
        <f>IFERROR(__xludf.DUMMYFUNCTION("""COMPUTED_VALUE"""),"")</f>
        <v/>
      </c>
      <c r="BA68" s="231" t="str">
        <f>IFERROR(__xludf.DUMMYFUNCTION("""COMPUTED_VALUE"""),"")</f>
        <v/>
      </c>
      <c r="BB68" s="232" t="str">
        <f>IFERROR(__xludf.DUMMYFUNCTION("""COMPUTED_VALUE"""),"")</f>
        <v/>
      </c>
      <c r="BC68" s="233" t="str">
        <f>IFERROR(__xludf.DUMMYFUNCTION("""COMPUTED_VALUE"""),"")</f>
        <v/>
      </c>
      <c r="BD68" s="231" t="str">
        <f>IFERROR(__xludf.DUMMYFUNCTION("""COMPUTED_VALUE"""),"")</f>
        <v/>
      </c>
      <c r="BE68" s="232" t="str">
        <f>IFERROR(__xludf.DUMMYFUNCTION("""COMPUTED_VALUE"""),"")</f>
        <v/>
      </c>
      <c r="BF68" s="233" t="str">
        <f>IFERROR(__xludf.DUMMYFUNCTION("""COMPUTED_VALUE"""),"")</f>
        <v/>
      </c>
      <c r="BG68" s="231" t="str">
        <f>IFERROR(__xludf.DUMMYFUNCTION("""COMPUTED_VALUE"""),"")</f>
        <v/>
      </c>
      <c r="BH68" s="232" t="str">
        <f>IFERROR(__xludf.DUMMYFUNCTION("""COMPUTED_VALUE"""),"")</f>
        <v/>
      </c>
      <c r="BI68" s="233" t="str">
        <f>IFERROR(__xludf.DUMMYFUNCTION("""COMPUTED_VALUE"""),"")</f>
        <v/>
      </c>
      <c r="BJ68" s="231" t="str">
        <f>IFERROR(__xludf.DUMMYFUNCTION("""COMPUTED_VALUE"""),"")</f>
        <v/>
      </c>
      <c r="BK68" s="232" t="str">
        <f>IFERROR(__xludf.DUMMYFUNCTION("""COMPUTED_VALUE"""),"")</f>
        <v/>
      </c>
      <c r="BL68" s="233" t="str">
        <f>IFERROR(__xludf.DUMMYFUNCTION("""COMPUTED_VALUE"""),"")</f>
        <v/>
      </c>
      <c r="BM68" s="231" t="str">
        <f>IFERROR(__xludf.DUMMYFUNCTION("""COMPUTED_VALUE"""),"")</f>
        <v/>
      </c>
      <c r="BN68" s="232" t="str">
        <f>IFERROR(__xludf.DUMMYFUNCTION("""COMPUTED_VALUE"""),"")</f>
        <v/>
      </c>
      <c r="BO68" s="233" t="str">
        <f>IFERROR(__xludf.DUMMYFUNCTION("""COMPUTED_VALUE"""),"")</f>
        <v/>
      </c>
      <c r="BP68" s="231" t="str">
        <f>IFERROR(__xludf.DUMMYFUNCTION("""COMPUTED_VALUE"""),"")</f>
        <v/>
      </c>
      <c r="BQ68" s="232">
        <f>IFERROR(__xludf.DUMMYFUNCTION("""COMPUTED_VALUE"""),24.6)</f>
        <v>24.6</v>
      </c>
      <c r="BR68" s="233" t="str">
        <f>IFERROR(__xludf.DUMMYFUNCTION("""COMPUTED_VALUE"""),"")</f>
        <v/>
      </c>
      <c r="BS68" s="231">
        <f>IFERROR(__xludf.DUMMYFUNCTION("""COMPUTED_VALUE"""),10.7)</f>
        <v>10.7</v>
      </c>
      <c r="BT68" s="232" t="str">
        <f>IFERROR(__xludf.DUMMYFUNCTION("""COMPUTED_VALUE"""),"")</f>
        <v/>
      </c>
      <c r="BU68" s="233" t="str">
        <f>IFERROR(__xludf.DUMMYFUNCTION("""COMPUTED_VALUE"""),"")</f>
        <v/>
      </c>
      <c r="BV68" s="231" t="str">
        <f>IFERROR(__xludf.DUMMYFUNCTION("""COMPUTED_VALUE"""),"")</f>
        <v/>
      </c>
      <c r="BW68" s="232" t="str">
        <f>IFERROR(__xludf.DUMMYFUNCTION("""COMPUTED_VALUE"""),"")</f>
        <v/>
      </c>
      <c r="BX68" s="233" t="str">
        <f>IFERROR(__xludf.DUMMYFUNCTION("""COMPUTED_VALUE"""),"")</f>
        <v/>
      </c>
      <c r="BY68" s="231" t="str">
        <f>IFERROR(__xludf.DUMMYFUNCTION("""COMPUTED_VALUE"""),"")</f>
        <v/>
      </c>
      <c r="BZ68" s="232" t="str">
        <f>IFERROR(__xludf.DUMMYFUNCTION("""COMPUTED_VALUE"""),"")</f>
        <v/>
      </c>
      <c r="CA68" s="233" t="str">
        <f>IFERROR(__xludf.DUMMYFUNCTION("""COMPUTED_VALUE"""),"")</f>
        <v/>
      </c>
      <c r="CB68" s="231" t="str">
        <f>IFERROR(__xludf.DUMMYFUNCTION("""COMPUTED_VALUE"""),"")</f>
        <v/>
      </c>
      <c r="CC68" s="232" t="str">
        <f>IFERROR(__xludf.DUMMYFUNCTION("""COMPUTED_VALUE"""),"")</f>
        <v/>
      </c>
      <c r="CD68" s="233" t="str">
        <f>IFERROR(__xludf.DUMMYFUNCTION("""COMPUTED_VALUE"""),"")</f>
        <v/>
      </c>
      <c r="CE68" s="234" t="str">
        <f>IFERROR(__xludf.DUMMYFUNCTION("""COMPUTED_VALUE"""),"")</f>
        <v/>
      </c>
      <c r="CF68" s="230" t="str">
        <f>IFERROR(__xludf.DUMMYFUNCTION("""COMPUTED_VALUE"""),"")</f>
        <v/>
      </c>
      <c r="CG68" s="235" t="str">
        <f>IFERROR(__xludf.DUMMYFUNCTION("""COMPUTED_VALUE"""),"")</f>
        <v/>
      </c>
      <c r="CH68" s="234" t="str">
        <f>IFERROR(__xludf.DUMMYFUNCTION("""COMPUTED_VALUE"""),"")</f>
        <v/>
      </c>
      <c r="CI68" s="230" t="str">
        <f>IFERROR(__xludf.DUMMYFUNCTION("""COMPUTED_VALUE"""),"")</f>
        <v/>
      </c>
      <c r="CJ68" s="235" t="str">
        <f>IFERROR(__xludf.DUMMYFUNCTION("""COMPUTED_VALUE"""),"")</f>
        <v/>
      </c>
      <c r="CK68" s="95" t="str">
        <f>IFERROR(__xludf.DUMMYFUNCTION("""COMPUTED_VALUE"""),"")</f>
        <v/>
      </c>
      <c r="CL68" s="96" t="str">
        <f>IFERROR(__xludf.DUMMYFUNCTION("""COMPUTED_VALUE"""),"")</f>
        <v/>
      </c>
      <c r="CM68" s="97" t="str">
        <f>IFERROR(__xludf.DUMMYFUNCTION("""COMPUTED_VALUE"""),"")</f>
        <v/>
      </c>
      <c r="CN68" s="95" t="str">
        <f>IFERROR(__xludf.DUMMYFUNCTION("""COMPUTED_VALUE"""),"")</f>
        <v/>
      </c>
      <c r="CO68" s="96" t="str">
        <f>IFERROR(__xludf.DUMMYFUNCTION("""COMPUTED_VALUE"""),"")</f>
        <v/>
      </c>
      <c r="CP68" s="97" t="str">
        <f>IFERROR(__xludf.DUMMYFUNCTION("""COMPUTED_VALUE"""),"")</f>
        <v/>
      </c>
      <c r="CQ68" s="95" t="str">
        <f>IFERROR(__xludf.DUMMYFUNCTION("""COMPUTED_VALUE"""),"")</f>
        <v/>
      </c>
      <c r="CR68" s="96" t="str">
        <f>IFERROR(__xludf.DUMMYFUNCTION("""COMPUTED_VALUE"""),"")</f>
        <v/>
      </c>
      <c r="CS68" s="97" t="str">
        <f>IFERROR(__xludf.DUMMYFUNCTION("""COMPUTED_VALUE"""),"#REF!")</f>
        <v>#REF!</v>
      </c>
      <c r="CT68" s="95" t="str">
        <f>IFERROR(__xludf.DUMMYFUNCTION("""COMPUTED_VALUE"""),"#REF!")</f>
        <v>#REF!</v>
      </c>
      <c r="CU68" s="96" t="str">
        <f>IFERROR(__xludf.DUMMYFUNCTION("""COMPUTED_VALUE"""),"#REF!")</f>
        <v>#REF!</v>
      </c>
      <c r="CV68" s="97" t="str">
        <f>IFERROR(__xludf.DUMMYFUNCTION("""COMPUTED_VALUE"""),"#REF!")</f>
        <v>#REF!</v>
      </c>
      <c r="CW68" s="95" t="str">
        <f>IFERROR(__xludf.DUMMYFUNCTION("""COMPUTED_VALUE"""),"#REF!")</f>
        <v>#REF!</v>
      </c>
      <c r="CX68" s="96" t="str">
        <f>IFERROR(__xludf.DUMMYFUNCTION("""COMPUTED_VALUE"""),"#REF!")</f>
        <v>#REF!</v>
      </c>
      <c r="CY68" s="97" t="str">
        <f>IFERROR(__xludf.DUMMYFUNCTION("""COMPUTED_VALUE"""),"#REF!")</f>
        <v>#REF!</v>
      </c>
      <c r="CZ68" s="95" t="str">
        <f>IFERROR(__xludf.DUMMYFUNCTION("""COMPUTED_VALUE"""),"#REF!")</f>
        <v>#REF!</v>
      </c>
      <c r="DA68" s="96" t="str">
        <f>IFERROR(__xludf.DUMMYFUNCTION("""COMPUTED_VALUE"""),"#REF!")</f>
        <v>#REF!</v>
      </c>
      <c r="DB68" s="97" t="str">
        <f>IFERROR(__xludf.DUMMYFUNCTION("""COMPUTED_VALUE"""),"#REF!")</f>
        <v>#REF!</v>
      </c>
      <c r="DC68" s="95" t="str">
        <f>IFERROR(__xludf.DUMMYFUNCTION("""COMPUTED_VALUE"""),"#REF!")</f>
        <v>#REF!</v>
      </c>
      <c r="DD68" s="96" t="str">
        <f>IFERROR(__xludf.DUMMYFUNCTION("""COMPUTED_VALUE"""),"#REF!")</f>
        <v>#REF!</v>
      </c>
      <c r="DE68" s="97" t="str">
        <f>IFERROR(__xludf.DUMMYFUNCTION("""COMPUTED_VALUE"""),"#REF!")</f>
        <v>#REF!</v>
      </c>
      <c r="DF68" s="95" t="str">
        <f>IFERROR(__xludf.DUMMYFUNCTION("""COMPUTED_VALUE"""),"#REF!")</f>
        <v>#REF!</v>
      </c>
      <c r="DG68" s="96" t="str">
        <f>IFERROR(__xludf.DUMMYFUNCTION("""COMPUTED_VALUE"""),"#REF!")</f>
        <v>#REF!</v>
      </c>
      <c r="DH68" s="97" t="str">
        <f>IFERROR(__xludf.DUMMYFUNCTION("""COMPUTED_VALUE"""),"#REF!")</f>
        <v>#REF!</v>
      </c>
      <c r="DI68" s="95" t="str">
        <f>IFERROR(__xludf.DUMMYFUNCTION("""COMPUTED_VALUE"""),"#REF!")</f>
        <v>#REF!</v>
      </c>
      <c r="DJ68" s="96" t="str">
        <f>IFERROR(__xludf.DUMMYFUNCTION("""COMPUTED_VALUE"""),"#REF!")</f>
        <v>#REF!</v>
      </c>
      <c r="DK68" s="97" t="str">
        <f>IFERROR(__xludf.DUMMYFUNCTION("""COMPUTED_VALUE"""),"#REF!")</f>
        <v>#REF!</v>
      </c>
      <c r="DL68" s="95" t="str">
        <f>IFERROR(__xludf.DUMMYFUNCTION("""COMPUTED_VALUE"""),"#REF!")</f>
        <v>#REF!</v>
      </c>
      <c r="DM68" s="96" t="str">
        <f>IFERROR(__xludf.DUMMYFUNCTION("""COMPUTED_VALUE"""),"#REF!")</f>
        <v>#REF!</v>
      </c>
      <c r="DN68" s="97" t="str">
        <f>IFERROR(__xludf.DUMMYFUNCTION("""COMPUTED_VALUE"""),"#REF!")</f>
        <v>#REF!</v>
      </c>
      <c r="DO68" s="95" t="str">
        <f>IFERROR(__xludf.DUMMYFUNCTION("""COMPUTED_VALUE"""),"#REF!")</f>
        <v>#REF!</v>
      </c>
      <c r="DP68" s="96" t="str">
        <f>IFERROR(__xludf.DUMMYFUNCTION("""COMPUTED_VALUE"""),"#REF!")</f>
        <v>#REF!</v>
      </c>
      <c r="DQ68" s="97"/>
      <c r="DR68" s="95"/>
    </row>
    <row r="69">
      <c r="B69" s="120" t="str">
        <f>IFERROR(__xludf.DUMMYFUNCTION("""COMPUTED_VALUE"""),"SEP3")</f>
        <v>SEP3</v>
      </c>
      <c r="C69" s="82">
        <f>IFERROR(__xludf.DUMMYFUNCTION("""COMPUTED_VALUE"""),54.0)</f>
        <v>54</v>
      </c>
      <c r="D69" s="88" t="str">
        <f>IFERROR(__xludf.DUMMYFUNCTION("""COMPUTED_VALUE"""),"Mt. Etna")</f>
        <v>Mt. Etna</v>
      </c>
      <c r="E69" s="82" t="str">
        <f>IFERROR(__xludf.DUMMYFUNCTION("""COMPUTED_VALUE"""),"エトナ火山")</f>
        <v>エトナ火山</v>
      </c>
      <c r="F69" s="102">
        <f>IFERROR(__xludf.DUMMYFUNCTION("""COMPUTED_VALUE"""),9.0)</f>
        <v>9</v>
      </c>
      <c r="G69" s="82">
        <f>IFERROR(__xludf.DUMMYFUNCTION("""COMPUTED_VALUE"""),1102.0)</f>
        <v>1102</v>
      </c>
      <c r="H69" s="231" t="str">
        <f>IFERROR(__xludf.DUMMYFUNCTION("""COMPUTED_VALUE"""),"")</f>
        <v/>
      </c>
      <c r="I69" s="232" t="str">
        <f>IFERROR(__xludf.DUMMYFUNCTION("""COMPUTED_VALUE"""),"")</f>
        <v/>
      </c>
      <c r="J69" s="233" t="str">
        <f>IFERROR(__xludf.DUMMYFUNCTION("""COMPUTED_VALUE"""),"")</f>
        <v/>
      </c>
      <c r="K69" s="231" t="str">
        <f>IFERROR(__xludf.DUMMYFUNCTION("""COMPUTED_VALUE"""),"")</f>
        <v/>
      </c>
      <c r="L69" s="232" t="str">
        <f>IFERROR(__xludf.DUMMYFUNCTION("""COMPUTED_VALUE"""),"")</f>
        <v/>
      </c>
      <c r="M69" s="233" t="str">
        <f>IFERROR(__xludf.DUMMYFUNCTION("""COMPUTED_VALUE"""),"")</f>
        <v/>
      </c>
      <c r="N69" s="231" t="str">
        <f>IFERROR(__xludf.DUMMYFUNCTION("""COMPUTED_VALUE"""),"")</f>
        <v/>
      </c>
      <c r="O69" s="232" t="str">
        <f>IFERROR(__xludf.DUMMYFUNCTION("""COMPUTED_VALUE"""),"")</f>
        <v/>
      </c>
      <c r="P69" s="233" t="str">
        <f>IFERROR(__xludf.DUMMYFUNCTION("""COMPUTED_VALUE"""),"")</f>
        <v/>
      </c>
      <c r="Q69" s="231" t="str">
        <f>IFERROR(__xludf.DUMMYFUNCTION("""COMPUTED_VALUE"""),"")</f>
        <v/>
      </c>
      <c r="R69" s="232" t="str">
        <f>IFERROR(__xludf.DUMMYFUNCTION("""COMPUTED_VALUE"""),"")</f>
        <v/>
      </c>
      <c r="S69" s="233" t="str">
        <f>IFERROR(__xludf.DUMMYFUNCTION("""COMPUTED_VALUE"""),"")</f>
        <v/>
      </c>
      <c r="T69" s="231" t="str">
        <f>IFERROR(__xludf.DUMMYFUNCTION("""COMPUTED_VALUE"""),"")</f>
        <v/>
      </c>
      <c r="U69" s="232" t="str">
        <f>IFERROR(__xludf.DUMMYFUNCTION("""COMPUTED_VALUE"""),"")</f>
        <v/>
      </c>
      <c r="V69" s="233" t="str">
        <f>IFERROR(__xludf.DUMMYFUNCTION("""COMPUTED_VALUE"""),"")</f>
        <v/>
      </c>
      <c r="W69" s="231" t="str">
        <f>IFERROR(__xludf.DUMMYFUNCTION("""COMPUTED_VALUE"""),"")</f>
        <v/>
      </c>
      <c r="X69" s="232" t="str">
        <f>IFERROR(__xludf.DUMMYFUNCTION("""COMPUTED_VALUE"""),"")</f>
        <v/>
      </c>
      <c r="Y69" s="233" t="str">
        <f>IFERROR(__xludf.DUMMYFUNCTION("""COMPUTED_VALUE"""),"")</f>
        <v/>
      </c>
      <c r="Z69" s="231" t="str">
        <f>IFERROR(__xludf.DUMMYFUNCTION("""COMPUTED_VALUE"""),"")</f>
        <v/>
      </c>
      <c r="AA69" s="232">
        <f>IFERROR(__xludf.DUMMYFUNCTION("""COMPUTED_VALUE"""),8.2)</f>
        <v>8.2</v>
      </c>
      <c r="AB69" s="233" t="str">
        <f>IFERROR(__xludf.DUMMYFUNCTION("""COMPUTED_VALUE"""),"")</f>
        <v/>
      </c>
      <c r="AC69" s="231" t="str">
        <f>IFERROR(__xludf.DUMMYFUNCTION("""COMPUTED_VALUE"""),"")</f>
        <v/>
      </c>
      <c r="AD69" s="232" t="str">
        <f>IFERROR(__xludf.DUMMYFUNCTION("""COMPUTED_VALUE"""),"")</f>
        <v/>
      </c>
      <c r="AE69" s="233" t="str">
        <f>IFERROR(__xludf.DUMMYFUNCTION("""COMPUTED_VALUE"""),"")</f>
        <v/>
      </c>
      <c r="AF69" s="231" t="str">
        <f>IFERROR(__xludf.DUMMYFUNCTION("""COMPUTED_VALUE"""),"")</f>
        <v/>
      </c>
      <c r="AG69" s="232" t="str">
        <f>IFERROR(__xludf.DUMMYFUNCTION("""COMPUTED_VALUE"""),"")</f>
        <v/>
      </c>
      <c r="AH69" s="233" t="str">
        <f>IFERROR(__xludf.DUMMYFUNCTION("""COMPUTED_VALUE"""),"")</f>
        <v/>
      </c>
      <c r="AI69" s="231" t="str">
        <f>IFERROR(__xludf.DUMMYFUNCTION("""COMPUTED_VALUE"""),"")</f>
        <v/>
      </c>
      <c r="AJ69" s="232" t="str">
        <f>IFERROR(__xludf.DUMMYFUNCTION("""COMPUTED_VALUE"""),"")</f>
        <v/>
      </c>
      <c r="AK69" s="233" t="str">
        <f>IFERROR(__xludf.DUMMYFUNCTION("""COMPUTED_VALUE"""),"")</f>
        <v/>
      </c>
      <c r="AL69" s="231" t="str">
        <f>IFERROR(__xludf.DUMMYFUNCTION("""COMPUTED_VALUE"""),"")</f>
        <v/>
      </c>
      <c r="AM69" s="232" t="str">
        <f>IFERROR(__xludf.DUMMYFUNCTION("""COMPUTED_VALUE"""),"")</f>
        <v/>
      </c>
      <c r="AN69" s="233" t="str">
        <f>IFERROR(__xludf.DUMMYFUNCTION("""COMPUTED_VALUE"""),"")</f>
        <v/>
      </c>
      <c r="AO69" s="231" t="str">
        <f>IFERROR(__xludf.DUMMYFUNCTION("""COMPUTED_VALUE"""),"")</f>
        <v/>
      </c>
      <c r="AP69" s="232" t="str">
        <f>IFERROR(__xludf.DUMMYFUNCTION("""COMPUTED_VALUE"""),"")</f>
        <v/>
      </c>
      <c r="AQ69" s="233" t="str">
        <f>IFERROR(__xludf.DUMMYFUNCTION("""COMPUTED_VALUE"""),"")</f>
        <v/>
      </c>
      <c r="AR69" s="231" t="str">
        <f>IFERROR(__xludf.DUMMYFUNCTION("""COMPUTED_VALUE"""),"")</f>
        <v/>
      </c>
      <c r="AS69" s="232" t="str">
        <f>IFERROR(__xludf.DUMMYFUNCTION("""COMPUTED_VALUE"""),"")</f>
        <v/>
      </c>
      <c r="AT69" s="233" t="str">
        <f>IFERROR(__xludf.DUMMYFUNCTION("""COMPUTED_VALUE"""),"")</f>
        <v/>
      </c>
      <c r="AU69" s="231" t="str">
        <f>IFERROR(__xludf.DUMMYFUNCTION("""COMPUTED_VALUE"""),"")</f>
        <v/>
      </c>
      <c r="AV69" s="232" t="str">
        <f>IFERROR(__xludf.DUMMYFUNCTION("""COMPUTED_VALUE"""),"")</f>
        <v/>
      </c>
      <c r="AW69" s="233" t="str">
        <f>IFERROR(__xludf.DUMMYFUNCTION("""COMPUTED_VALUE"""),"")</f>
        <v/>
      </c>
      <c r="AX69" s="231" t="str">
        <f>IFERROR(__xludf.DUMMYFUNCTION("""COMPUTED_VALUE"""),"")</f>
        <v/>
      </c>
      <c r="AY69" s="232" t="str">
        <f>IFERROR(__xludf.DUMMYFUNCTION("""COMPUTED_VALUE"""),"")</f>
        <v/>
      </c>
      <c r="AZ69" s="233" t="str">
        <f>IFERROR(__xludf.DUMMYFUNCTION("""COMPUTED_VALUE"""),"")</f>
        <v/>
      </c>
      <c r="BA69" s="231" t="str">
        <f>IFERROR(__xludf.DUMMYFUNCTION("""COMPUTED_VALUE"""),"")</f>
        <v/>
      </c>
      <c r="BB69" s="232" t="str">
        <f>IFERROR(__xludf.DUMMYFUNCTION("""COMPUTED_VALUE"""),"")</f>
        <v/>
      </c>
      <c r="BC69" s="233" t="str">
        <f>IFERROR(__xludf.DUMMYFUNCTION("""COMPUTED_VALUE"""),"")</f>
        <v/>
      </c>
      <c r="BD69" s="231" t="str">
        <f>IFERROR(__xludf.DUMMYFUNCTION("""COMPUTED_VALUE"""),"")</f>
        <v/>
      </c>
      <c r="BE69" s="232" t="str">
        <f>IFERROR(__xludf.DUMMYFUNCTION("""COMPUTED_VALUE"""),"")</f>
        <v/>
      </c>
      <c r="BF69" s="233" t="str">
        <f>IFERROR(__xludf.DUMMYFUNCTION("""COMPUTED_VALUE"""),"")</f>
        <v/>
      </c>
      <c r="BG69" s="231" t="str">
        <f>IFERROR(__xludf.DUMMYFUNCTION("""COMPUTED_VALUE"""),"")</f>
        <v/>
      </c>
      <c r="BH69" s="232" t="str">
        <f>IFERROR(__xludf.DUMMYFUNCTION("""COMPUTED_VALUE"""),"")</f>
        <v/>
      </c>
      <c r="BI69" s="233" t="str">
        <f>IFERROR(__xludf.DUMMYFUNCTION("""COMPUTED_VALUE"""),"")</f>
        <v/>
      </c>
      <c r="BJ69" s="231" t="str">
        <f>IFERROR(__xludf.DUMMYFUNCTION("""COMPUTED_VALUE"""),"")</f>
        <v/>
      </c>
      <c r="BK69" s="232" t="str">
        <f>IFERROR(__xludf.DUMMYFUNCTION("""COMPUTED_VALUE"""),"")</f>
        <v/>
      </c>
      <c r="BL69" s="233" t="str">
        <f>IFERROR(__xludf.DUMMYFUNCTION("""COMPUTED_VALUE"""),"")</f>
        <v/>
      </c>
      <c r="BM69" s="231" t="str">
        <f>IFERROR(__xludf.DUMMYFUNCTION("""COMPUTED_VALUE"""),"")</f>
        <v/>
      </c>
      <c r="BN69" s="232" t="str">
        <f>IFERROR(__xludf.DUMMYFUNCTION("""COMPUTED_VALUE"""),"")</f>
        <v/>
      </c>
      <c r="BO69" s="233" t="str">
        <f>IFERROR(__xludf.DUMMYFUNCTION("""COMPUTED_VALUE"""),"")</f>
        <v/>
      </c>
      <c r="BP69" s="231" t="str">
        <f>IFERROR(__xludf.DUMMYFUNCTION("""COMPUTED_VALUE"""),"")</f>
        <v/>
      </c>
      <c r="BQ69" s="232" t="str">
        <f>IFERROR(__xludf.DUMMYFUNCTION("""COMPUTED_VALUE"""),"")</f>
        <v/>
      </c>
      <c r="BR69" s="233" t="str">
        <f>IFERROR(__xludf.DUMMYFUNCTION("""COMPUTED_VALUE"""),"")</f>
        <v/>
      </c>
      <c r="BS69" s="231" t="str">
        <f>IFERROR(__xludf.DUMMYFUNCTION("""COMPUTED_VALUE"""),"")</f>
        <v/>
      </c>
      <c r="BT69" s="232" t="str">
        <f>IFERROR(__xludf.DUMMYFUNCTION("""COMPUTED_VALUE"""),"")</f>
        <v/>
      </c>
      <c r="BU69" s="233" t="str">
        <f>IFERROR(__xludf.DUMMYFUNCTION("""COMPUTED_VALUE"""),"")</f>
        <v/>
      </c>
      <c r="BV69" s="231">
        <f>IFERROR(__xludf.DUMMYFUNCTION("""COMPUTED_VALUE"""),33.4)</f>
        <v>33.4</v>
      </c>
      <c r="BW69" s="232" t="str">
        <f>IFERROR(__xludf.DUMMYFUNCTION("""COMPUTED_VALUE"""),"")</f>
        <v/>
      </c>
      <c r="BX69" s="233" t="str">
        <f>IFERROR(__xludf.DUMMYFUNCTION("""COMPUTED_VALUE"""),"")</f>
        <v/>
      </c>
      <c r="BY69" s="231" t="str">
        <f>IFERROR(__xludf.DUMMYFUNCTION("""COMPUTED_VALUE"""),"")</f>
        <v/>
      </c>
      <c r="BZ69" s="232" t="str">
        <f>IFERROR(__xludf.DUMMYFUNCTION("""COMPUTED_VALUE"""),"")</f>
        <v/>
      </c>
      <c r="CA69" s="233" t="str">
        <f>IFERROR(__xludf.DUMMYFUNCTION("""COMPUTED_VALUE"""),"")</f>
        <v/>
      </c>
      <c r="CB69" s="231" t="str">
        <f>IFERROR(__xludf.DUMMYFUNCTION("""COMPUTED_VALUE"""),"")</f>
        <v/>
      </c>
      <c r="CC69" s="232" t="str">
        <f>IFERROR(__xludf.DUMMYFUNCTION("""COMPUTED_VALUE"""),"")</f>
        <v/>
      </c>
      <c r="CD69" s="233" t="str">
        <f>IFERROR(__xludf.DUMMYFUNCTION("""COMPUTED_VALUE"""),"")</f>
        <v/>
      </c>
      <c r="CE69" s="234" t="str">
        <f>IFERROR(__xludf.DUMMYFUNCTION("""COMPUTED_VALUE"""),"")</f>
        <v/>
      </c>
      <c r="CF69" s="230" t="str">
        <f>IFERROR(__xludf.DUMMYFUNCTION("""COMPUTED_VALUE"""),"")</f>
        <v/>
      </c>
      <c r="CG69" s="235" t="str">
        <f>IFERROR(__xludf.DUMMYFUNCTION("""COMPUTED_VALUE"""),"")</f>
        <v/>
      </c>
      <c r="CH69" s="234" t="str">
        <f>IFERROR(__xludf.DUMMYFUNCTION("""COMPUTED_VALUE"""),"")</f>
        <v/>
      </c>
      <c r="CI69" s="230" t="str">
        <f>IFERROR(__xludf.DUMMYFUNCTION("""COMPUTED_VALUE"""),"")</f>
        <v/>
      </c>
      <c r="CJ69" s="235" t="str">
        <f>IFERROR(__xludf.DUMMYFUNCTION("""COMPUTED_VALUE"""),"")</f>
        <v/>
      </c>
      <c r="CK69" s="95" t="str">
        <f>IFERROR(__xludf.DUMMYFUNCTION("""COMPUTED_VALUE"""),"")</f>
        <v/>
      </c>
      <c r="CL69" s="96" t="str">
        <f>IFERROR(__xludf.DUMMYFUNCTION("""COMPUTED_VALUE"""),"")</f>
        <v/>
      </c>
      <c r="CM69" s="97" t="str">
        <f>IFERROR(__xludf.DUMMYFUNCTION("""COMPUTED_VALUE"""),"")</f>
        <v/>
      </c>
      <c r="CN69" s="95" t="str">
        <f>IFERROR(__xludf.DUMMYFUNCTION("""COMPUTED_VALUE"""),"")</f>
        <v/>
      </c>
      <c r="CO69" s="96" t="str">
        <f>IFERROR(__xludf.DUMMYFUNCTION("""COMPUTED_VALUE"""),"")</f>
        <v/>
      </c>
      <c r="CP69" s="97" t="str">
        <f>IFERROR(__xludf.DUMMYFUNCTION("""COMPUTED_VALUE"""),"")</f>
        <v/>
      </c>
      <c r="CQ69" s="95" t="str">
        <f>IFERROR(__xludf.DUMMYFUNCTION("""COMPUTED_VALUE"""),"")</f>
        <v/>
      </c>
      <c r="CR69" s="96" t="str">
        <f>IFERROR(__xludf.DUMMYFUNCTION("""COMPUTED_VALUE"""),"")</f>
        <v/>
      </c>
      <c r="CS69" s="97" t="str">
        <f>IFERROR(__xludf.DUMMYFUNCTION("""COMPUTED_VALUE"""),"#REF!")</f>
        <v>#REF!</v>
      </c>
      <c r="CT69" s="95" t="str">
        <f>IFERROR(__xludf.DUMMYFUNCTION("""COMPUTED_VALUE"""),"#REF!")</f>
        <v>#REF!</v>
      </c>
      <c r="CU69" s="96" t="str">
        <f>IFERROR(__xludf.DUMMYFUNCTION("""COMPUTED_VALUE"""),"#REF!")</f>
        <v>#REF!</v>
      </c>
      <c r="CV69" s="97" t="str">
        <f>IFERROR(__xludf.DUMMYFUNCTION("""COMPUTED_VALUE"""),"#REF!")</f>
        <v>#REF!</v>
      </c>
      <c r="CW69" s="95" t="str">
        <f>IFERROR(__xludf.DUMMYFUNCTION("""COMPUTED_VALUE"""),"#REF!")</f>
        <v>#REF!</v>
      </c>
      <c r="CX69" s="96" t="str">
        <f>IFERROR(__xludf.DUMMYFUNCTION("""COMPUTED_VALUE"""),"#REF!")</f>
        <v>#REF!</v>
      </c>
      <c r="CY69" s="97" t="str">
        <f>IFERROR(__xludf.DUMMYFUNCTION("""COMPUTED_VALUE"""),"#REF!")</f>
        <v>#REF!</v>
      </c>
      <c r="CZ69" s="95" t="str">
        <f>IFERROR(__xludf.DUMMYFUNCTION("""COMPUTED_VALUE"""),"#REF!")</f>
        <v>#REF!</v>
      </c>
      <c r="DA69" s="96" t="str">
        <f>IFERROR(__xludf.DUMMYFUNCTION("""COMPUTED_VALUE"""),"#REF!")</f>
        <v>#REF!</v>
      </c>
      <c r="DB69" s="97" t="str">
        <f>IFERROR(__xludf.DUMMYFUNCTION("""COMPUTED_VALUE"""),"#REF!")</f>
        <v>#REF!</v>
      </c>
      <c r="DC69" s="95" t="str">
        <f>IFERROR(__xludf.DUMMYFUNCTION("""COMPUTED_VALUE"""),"#REF!")</f>
        <v>#REF!</v>
      </c>
      <c r="DD69" s="96" t="str">
        <f>IFERROR(__xludf.DUMMYFUNCTION("""COMPUTED_VALUE"""),"#REF!")</f>
        <v>#REF!</v>
      </c>
      <c r="DE69" s="97" t="str">
        <f>IFERROR(__xludf.DUMMYFUNCTION("""COMPUTED_VALUE"""),"#REF!")</f>
        <v>#REF!</v>
      </c>
      <c r="DF69" s="95" t="str">
        <f>IFERROR(__xludf.DUMMYFUNCTION("""COMPUTED_VALUE"""),"#REF!")</f>
        <v>#REF!</v>
      </c>
      <c r="DG69" s="96" t="str">
        <f>IFERROR(__xludf.DUMMYFUNCTION("""COMPUTED_VALUE"""),"#REF!")</f>
        <v>#REF!</v>
      </c>
      <c r="DH69" s="97" t="str">
        <f>IFERROR(__xludf.DUMMYFUNCTION("""COMPUTED_VALUE"""),"#REF!")</f>
        <v>#REF!</v>
      </c>
      <c r="DI69" s="95" t="str">
        <f>IFERROR(__xludf.DUMMYFUNCTION("""COMPUTED_VALUE"""),"#REF!")</f>
        <v>#REF!</v>
      </c>
      <c r="DJ69" s="96" t="str">
        <f>IFERROR(__xludf.DUMMYFUNCTION("""COMPUTED_VALUE"""),"#REF!")</f>
        <v>#REF!</v>
      </c>
      <c r="DK69" s="97" t="str">
        <f>IFERROR(__xludf.DUMMYFUNCTION("""COMPUTED_VALUE"""),"#REF!")</f>
        <v>#REF!</v>
      </c>
      <c r="DL69" s="95" t="str">
        <f>IFERROR(__xludf.DUMMYFUNCTION("""COMPUTED_VALUE"""),"#REF!")</f>
        <v>#REF!</v>
      </c>
      <c r="DM69" s="96" t="str">
        <f>IFERROR(__xludf.DUMMYFUNCTION("""COMPUTED_VALUE"""),"#REF!")</f>
        <v>#REF!</v>
      </c>
      <c r="DN69" s="97" t="str">
        <f>IFERROR(__xludf.DUMMYFUNCTION("""COMPUTED_VALUE"""),"#REF!")</f>
        <v>#REF!</v>
      </c>
      <c r="DO69" s="95" t="str">
        <f>IFERROR(__xludf.DUMMYFUNCTION("""COMPUTED_VALUE"""),"#REF!")</f>
        <v>#REF!</v>
      </c>
      <c r="DP69" s="96" t="str">
        <f>IFERROR(__xludf.DUMMYFUNCTION("""COMPUTED_VALUE"""),"#REF!")</f>
        <v>#REF!</v>
      </c>
      <c r="DQ69" s="97"/>
      <c r="DR69" s="95"/>
    </row>
    <row r="70">
      <c r="B70" s="120" t="str">
        <f>IFERROR(__xludf.DUMMYFUNCTION("""COMPUTED_VALUE"""),"SEP4")</f>
        <v>SEP4</v>
      </c>
      <c r="C70" s="82">
        <f>IFERROR(__xludf.DUMMYFUNCTION("""COMPUTED_VALUE"""),55.0)</f>
        <v>55</v>
      </c>
      <c r="D70" s="88" t="str">
        <f>IFERROR(__xludf.DUMMYFUNCTION("""COMPUTED_VALUE"""),"Florence")</f>
        <v>Florence</v>
      </c>
      <c r="E70" s="82" t="str">
        <f>IFERROR(__xludf.DUMMYFUNCTION("""COMPUTED_VALUE"""),"フロレンティア")</f>
        <v>フロレンティア</v>
      </c>
      <c r="F70" s="102">
        <f>IFERROR(__xludf.DUMMYFUNCTION("""COMPUTED_VALUE"""),9.0)</f>
        <v>9</v>
      </c>
      <c r="G70" s="82">
        <f>IFERROR(__xludf.DUMMYFUNCTION("""COMPUTED_VALUE"""),1121.0)</f>
        <v>1121</v>
      </c>
      <c r="H70" s="231" t="str">
        <f>IFERROR(__xludf.DUMMYFUNCTION("""COMPUTED_VALUE"""),"")</f>
        <v/>
      </c>
      <c r="I70" s="232" t="str">
        <f>IFERROR(__xludf.DUMMYFUNCTION("""COMPUTED_VALUE"""),"")</f>
        <v/>
      </c>
      <c r="J70" s="233" t="str">
        <f>IFERROR(__xludf.DUMMYFUNCTION("""COMPUTED_VALUE"""),"")</f>
        <v/>
      </c>
      <c r="K70" s="231" t="str">
        <f>IFERROR(__xludf.DUMMYFUNCTION("""COMPUTED_VALUE"""),"")</f>
        <v/>
      </c>
      <c r="L70" s="232" t="str">
        <f>IFERROR(__xludf.DUMMYFUNCTION("""COMPUTED_VALUE"""),"")</f>
        <v/>
      </c>
      <c r="M70" s="233" t="str">
        <f>IFERROR(__xludf.DUMMYFUNCTION("""COMPUTED_VALUE"""),"")</f>
        <v/>
      </c>
      <c r="N70" s="231" t="str">
        <f>IFERROR(__xludf.DUMMYFUNCTION("""COMPUTED_VALUE"""),"")</f>
        <v/>
      </c>
      <c r="O70" s="232" t="str">
        <f>IFERROR(__xludf.DUMMYFUNCTION("""COMPUTED_VALUE"""),"")</f>
        <v/>
      </c>
      <c r="P70" s="233" t="str">
        <f>IFERROR(__xludf.DUMMYFUNCTION("""COMPUTED_VALUE"""),"")</f>
        <v/>
      </c>
      <c r="Q70" s="231" t="str">
        <f>IFERROR(__xludf.DUMMYFUNCTION("""COMPUTED_VALUE"""),"")</f>
        <v/>
      </c>
      <c r="R70" s="232" t="str">
        <f>IFERROR(__xludf.DUMMYFUNCTION("""COMPUTED_VALUE"""),"")</f>
        <v/>
      </c>
      <c r="S70" s="233" t="str">
        <f>IFERROR(__xludf.DUMMYFUNCTION("""COMPUTED_VALUE"""),"")</f>
        <v/>
      </c>
      <c r="T70" s="231" t="str">
        <f>IFERROR(__xludf.DUMMYFUNCTION("""COMPUTED_VALUE"""),"")</f>
        <v/>
      </c>
      <c r="U70" s="232" t="str">
        <f>IFERROR(__xludf.DUMMYFUNCTION("""COMPUTED_VALUE"""),"")</f>
        <v/>
      </c>
      <c r="V70" s="233" t="str">
        <f>IFERROR(__xludf.DUMMYFUNCTION("""COMPUTED_VALUE"""),"")</f>
        <v/>
      </c>
      <c r="W70" s="231" t="str">
        <f>IFERROR(__xludf.DUMMYFUNCTION("""COMPUTED_VALUE"""),"")</f>
        <v/>
      </c>
      <c r="X70" s="232" t="str">
        <f>IFERROR(__xludf.DUMMYFUNCTION("""COMPUTED_VALUE"""),"")</f>
        <v/>
      </c>
      <c r="Y70" s="233" t="str">
        <f>IFERROR(__xludf.DUMMYFUNCTION("""COMPUTED_VALUE"""),"")</f>
        <v/>
      </c>
      <c r="Z70" s="231" t="str">
        <f>IFERROR(__xludf.DUMMYFUNCTION("""COMPUTED_VALUE"""),"")</f>
        <v/>
      </c>
      <c r="AA70" s="232" t="str">
        <f>IFERROR(__xludf.DUMMYFUNCTION("""COMPUTED_VALUE"""),"")</f>
        <v/>
      </c>
      <c r="AB70" s="233" t="str">
        <f>IFERROR(__xludf.DUMMYFUNCTION("""COMPUTED_VALUE"""),"")</f>
        <v/>
      </c>
      <c r="AC70" s="231" t="str">
        <f>IFERROR(__xludf.DUMMYFUNCTION("""COMPUTED_VALUE"""),"")</f>
        <v/>
      </c>
      <c r="AD70" s="232" t="str">
        <f>IFERROR(__xludf.DUMMYFUNCTION("""COMPUTED_VALUE"""),"")</f>
        <v/>
      </c>
      <c r="AE70" s="233" t="str">
        <f>IFERROR(__xludf.DUMMYFUNCTION("""COMPUTED_VALUE"""),"")</f>
        <v/>
      </c>
      <c r="AF70" s="231" t="str">
        <f>IFERROR(__xludf.DUMMYFUNCTION("""COMPUTED_VALUE"""),"")</f>
        <v/>
      </c>
      <c r="AG70" s="232" t="str">
        <f>IFERROR(__xludf.DUMMYFUNCTION("""COMPUTED_VALUE"""),"")</f>
        <v/>
      </c>
      <c r="AH70" s="233" t="str">
        <f>IFERROR(__xludf.DUMMYFUNCTION("""COMPUTED_VALUE"""),"")</f>
        <v/>
      </c>
      <c r="AI70" s="231" t="str">
        <f>IFERROR(__xludf.DUMMYFUNCTION("""COMPUTED_VALUE"""),"")</f>
        <v/>
      </c>
      <c r="AJ70" s="232" t="str">
        <f>IFERROR(__xludf.DUMMYFUNCTION("""COMPUTED_VALUE"""),"")</f>
        <v/>
      </c>
      <c r="AK70" s="233" t="str">
        <f>IFERROR(__xludf.DUMMYFUNCTION("""COMPUTED_VALUE"""),"")</f>
        <v/>
      </c>
      <c r="AL70" s="231" t="str">
        <f>IFERROR(__xludf.DUMMYFUNCTION("""COMPUTED_VALUE"""),"")</f>
        <v/>
      </c>
      <c r="AM70" s="232" t="str">
        <f>IFERROR(__xludf.DUMMYFUNCTION("""COMPUTED_VALUE"""),"")</f>
        <v/>
      </c>
      <c r="AN70" s="233" t="str">
        <f>IFERROR(__xludf.DUMMYFUNCTION("""COMPUTED_VALUE"""),"")</f>
        <v/>
      </c>
      <c r="AO70" s="231" t="str">
        <f>IFERROR(__xludf.DUMMYFUNCTION("""COMPUTED_VALUE"""),"")</f>
        <v/>
      </c>
      <c r="AP70" s="232" t="str">
        <f>IFERROR(__xludf.DUMMYFUNCTION("""COMPUTED_VALUE"""),"")</f>
        <v/>
      </c>
      <c r="AQ70" s="233" t="str">
        <f>IFERROR(__xludf.DUMMYFUNCTION("""COMPUTED_VALUE"""),"")</f>
        <v/>
      </c>
      <c r="AR70" s="231" t="str">
        <f>IFERROR(__xludf.DUMMYFUNCTION("""COMPUTED_VALUE"""),"")</f>
        <v/>
      </c>
      <c r="AS70" s="232" t="str">
        <f>IFERROR(__xludf.DUMMYFUNCTION("""COMPUTED_VALUE"""),"")</f>
        <v/>
      </c>
      <c r="AT70" s="233">
        <f>IFERROR(__xludf.DUMMYFUNCTION("""COMPUTED_VALUE"""),30.8)</f>
        <v>30.8</v>
      </c>
      <c r="AU70" s="231" t="str">
        <f>IFERROR(__xludf.DUMMYFUNCTION("""COMPUTED_VALUE"""),"")</f>
        <v/>
      </c>
      <c r="AV70" s="232" t="str">
        <f>IFERROR(__xludf.DUMMYFUNCTION("""COMPUTED_VALUE"""),"")</f>
        <v/>
      </c>
      <c r="AW70" s="233" t="str">
        <f>IFERROR(__xludf.DUMMYFUNCTION("""COMPUTED_VALUE"""),"")</f>
        <v/>
      </c>
      <c r="AX70" s="231" t="str">
        <f>IFERROR(__xludf.DUMMYFUNCTION("""COMPUTED_VALUE"""),"")</f>
        <v/>
      </c>
      <c r="AY70" s="232" t="str">
        <f>IFERROR(__xludf.DUMMYFUNCTION("""COMPUTED_VALUE"""),"")</f>
        <v/>
      </c>
      <c r="AZ70" s="233" t="str">
        <f>IFERROR(__xludf.DUMMYFUNCTION("""COMPUTED_VALUE"""),"")</f>
        <v/>
      </c>
      <c r="BA70" s="231" t="str">
        <f>IFERROR(__xludf.DUMMYFUNCTION("""COMPUTED_VALUE"""),"")</f>
        <v/>
      </c>
      <c r="BB70" s="232" t="str">
        <f>IFERROR(__xludf.DUMMYFUNCTION("""COMPUTED_VALUE"""),"")</f>
        <v/>
      </c>
      <c r="BC70" s="233" t="str">
        <f>IFERROR(__xludf.DUMMYFUNCTION("""COMPUTED_VALUE"""),"")</f>
        <v/>
      </c>
      <c r="BD70" s="231" t="str">
        <f>IFERROR(__xludf.DUMMYFUNCTION("""COMPUTED_VALUE"""),"")</f>
        <v/>
      </c>
      <c r="BE70" s="232" t="str">
        <f>IFERROR(__xludf.DUMMYFUNCTION("""COMPUTED_VALUE"""),"")</f>
        <v/>
      </c>
      <c r="BF70" s="233" t="str">
        <f>IFERROR(__xludf.DUMMYFUNCTION("""COMPUTED_VALUE"""),"")</f>
        <v/>
      </c>
      <c r="BG70" s="231" t="str">
        <f>IFERROR(__xludf.DUMMYFUNCTION("""COMPUTED_VALUE"""),"")</f>
        <v/>
      </c>
      <c r="BH70" s="232" t="str">
        <f>IFERROR(__xludf.DUMMYFUNCTION("""COMPUTED_VALUE"""),"")</f>
        <v/>
      </c>
      <c r="BI70" s="233" t="str">
        <f>IFERROR(__xludf.DUMMYFUNCTION("""COMPUTED_VALUE"""),"")</f>
        <v/>
      </c>
      <c r="BJ70" s="231" t="str">
        <f>IFERROR(__xludf.DUMMYFUNCTION("""COMPUTED_VALUE"""),"")</f>
        <v/>
      </c>
      <c r="BK70" s="232" t="str">
        <f>IFERROR(__xludf.DUMMYFUNCTION("""COMPUTED_VALUE"""),"")</f>
        <v/>
      </c>
      <c r="BL70" s="233" t="str">
        <f>IFERROR(__xludf.DUMMYFUNCTION("""COMPUTED_VALUE"""),"")</f>
        <v/>
      </c>
      <c r="BM70" s="231" t="str">
        <f>IFERROR(__xludf.DUMMYFUNCTION("""COMPUTED_VALUE"""),"")</f>
        <v/>
      </c>
      <c r="BN70" s="232" t="str">
        <f>IFERROR(__xludf.DUMMYFUNCTION("""COMPUTED_VALUE"""),"")</f>
        <v/>
      </c>
      <c r="BO70" s="233" t="str">
        <f>IFERROR(__xludf.DUMMYFUNCTION("""COMPUTED_VALUE"""),"")</f>
        <v/>
      </c>
      <c r="BP70" s="231" t="str">
        <f>IFERROR(__xludf.DUMMYFUNCTION("""COMPUTED_VALUE"""),"")</f>
        <v/>
      </c>
      <c r="BQ70" s="232">
        <f>IFERROR(__xludf.DUMMYFUNCTION("""COMPUTED_VALUE"""),5.0)</f>
        <v>5</v>
      </c>
      <c r="BR70" s="233">
        <f>IFERROR(__xludf.DUMMYFUNCTION("""COMPUTED_VALUE"""),25.3)</f>
        <v>25.3</v>
      </c>
      <c r="BS70" s="231">
        <f>IFERROR(__xludf.DUMMYFUNCTION("""COMPUTED_VALUE"""),10.3)</f>
        <v>10.3</v>
      </c>
      <c r="BT70" s="232" t="str">
        <f>IFERROR(__xludf.DUMMYFUNCTION("""COMPUTED_VALUE"""),"")</f>
        <v/>
      </c>
      <c r="BU70" s="233" t="str">
        <f>IFERROR(__xludf.DUMMYFUNCTION("""COMPUTED_VALUE"""),"")</f>
        <v/>
      </c>
      <c r="BV70" s="231" t="str">
        <f>IFERROR(__xludf.DUMMYFUNCTION("""COMPUTED_VALUE"""),"")</f>
        <v/>
      </c>
      <c r="BW70" s="232" t="str">
        <f>IFERROR(__xludf.DUMMYFUNCTION("""COMPUTED_VALUE"""),"")</f>
        <v/>
      </c>
      <c r="BX70" s="233" t="str">
        <f>IFERROR(__xludf.DUMMYFUNCTION("""COMPUTED_VALUE"""),"")</f>
        <v/>
      </c>
      <c r="BY70" s="231" t="str">
        <f>IFERROR(__xludf.DUMMYFUNCTION("""COMPUTED_VALUE"""),"")</f>
        <v/>
      </c>
      <c r="BZ70" s="232" t="str">
        <f>IFERROR(__xludf.DUMMYFUNCTION("""COMPUTED_VALUE"""),"")</f>
        <v/>
      </c>
      <c r="CA70" s="233" t="str">
        <f>IFERROR(__xludf.DUMMYFUNCTION("""COMPUTED_VALUE"""),"")</f>
        <v/>
      </c>
      <c r="CB70" s="231" t="str">
        <f>IFERROR(__xludf.DUMMYFUNCTION("""COMPUTED_VALUE"""),"")</f>
        <v/>
      </c>
      <c r="CC70" s="232" t="str">
        <f>IFERROR(__xludf.DUMMYFUNCTION("""COMPUTED_VALUE"""),"")</f>
        <v/>
      </c>
      <c r="CD70" s="233" t="str">
        <f>IFERROR(__xludf.DUMMYFUNCTION("""COMPUTED_VALUE"""),"")</f>
        <v/>
      </c>
      <c r="CE70" s="234" t="str">
        <f>IFERROR(__xludf.DUMMYFUNCTION("""COMPUTED_VALUE"""),"")</f>
        <v/>
      </c>
      <c r="CF70" s="230" t="str">
        <f>IFERROR(__xludf.DUMMYFUNCTION("""COMPUTED_VALUE"""),"")</f>
        <v/>
      </c>
      <c r="CG70" s="235" t="str">
        <f>IFERROR(__xludf.DUMMYFUNCTION("""COMPUTED_VALUE"""),"")</f>
        <v/>
      </c>
      <c r="CH70" s="234" t="str">
        <f>IFERROR(__xludf.DUMMYFUNCTION("""COMPUTED_VALUE"""),"")</f>
        <v/>
      </c>
      <c r="CI70" s="230" t="str">
        <f>IFERROR(__xludf.DUMMYFUNCTION("""COMPUTED_VALUE"""),"")</f>
        <v/>
      </c>
      <c r="CJ70" s="235" t="str">
        <f>IFERROR(__xludf.DUMMYFUNCTION("""COMPUTED_VALUE"""),"")</f>
        <v/>
      </c>
      <c r="CK70" s="95" t="str">
        <f>IFERROR(__xludf.DUMMYFUNCTION("""COMPUTED_VALUE"""),"")</f>
        <v/>
      </c>
      <c r="CL70" s="96" t="str">
        <f>IFERROR(__xludf.DUMMYFUNCTION("""COMPUTED_VALUE"""),"")</f>
        <v/>
      </c>
      <c r="CM70" s="97" t="str">
        <f>IFERROR(__xludf.DUMMYFUNCTION("""COMPUTED_VALUE"""),"")</f>
        <v/>
      </c>
      <c r="CN70" s="95" t="str">
        <f>IFERROR(__xludf.DUMMYFUNCTION("""COMPUTED_VALUE"""),"")</f>
        <v/>
      </c>
      <c r="CO70" s="96" t="str">
        <f>IFERROR(__xludf.DUMMYFUNCTION("""COMPUTED_VALUE"""),"")</f>
        <v/>
      </c>
      <c r="CP70" s="97" t="str">
        <f>IFERROR(__xludf.DUMMYFUNCTION("""COMPUTED_VALUE"""),"")</f>
        <v/>
      </c>
      <c r="CQ70" s="95" t="str">
        <f>IFERROR(__xludf.DUMMYFUNCTION("""COMPUTED_VALUE"""),"")</f>
        <v/>
      </c>
      <c r="CR70" s="96" t="str">
        <f>IFERROR(__xludf.DUMMYFUNCTION("""COMPUTED_VALUE"""),"")</f>
        <v/>
      </c>
      <c r="CS70" s="97" t="str">
        <f>IFERROR(__xludf.DUMMYFUNCTION("""COMPUTED_VALUE"""),"#REF!")</f>
        <v>#REF!</v>
      </c>
      <c r="CT70" s="95" t="str">
        <f>IFERROR(__xludf.DUMMYFUNCTION("""COMPUTED_VALUE"""),"#REF!")</f>
        <v>#REF!</v>
      </c>
      <c r="CU70" s="96" t="str">
        <f>IFERROR(__xludf.DUMMYFUNCTION("""COMPUTED_VALUE"""),"#REF!")</f>
        <v>#REF!</v>
      </c>
      <c r="CV70" s="97" t="str">
        <f>IFERROR(__xludf.DUMMYFUNCTION("""COMPUTED_VALUE"""),"#REF!")</f>
        <v>#REF!</v>
      </c>
      <c r="CW70" s="95" t="str">
        <f>IFERROR(__xludf.DUMMYFUNCTION("""COMPUTED_VALUE"""),"#REF!")</f>
        <v>#REF!</v>
      </c>
      <c r="CX70" s="96" t="str">
        <f>IFERROR(__xludf.DUMMYFUNCTION("""COMPUTED_VALUE"""),"#REF!")</f>
        <v>#REF!</v>
      </c>
      <c r="CY70" s="97" t="str">
        <f>IFERROR(__xludf.DUMMYFUNCTION("""COMPUTED_VALUE"""),"#REF!")</f>
        <v>#REF!</v>
      </c>
      <c r="CZ70" s="95" t="str">
        <f>IFERROR(__xludf.DUMMYFUNCTION("""COMPUTED_VALUE"""),"#REF!")</f>
        <v>#REF!</v>
      </c>
      <c r="DA70" s="96" t="str">
        <f>IFERROR(__xludf.DUMMYFUNCTION("""COMPUTED_VALUE"""),"#REF!")</f>
        <v>#REF!</v>
      </c>
      <c r="DB70" s="97" t="str">
        <f>IFERROR(__xludf.DUMMYFUNCTION("""COMPUTED_VALUE"""),"#REF!")</f>
        <v>#REF!</v>
      </c>
      <c r="DC70" s="95" t="str">
        <f>IFERROR(__xludf.DUMMYFUNCTION("""COMPUTED_VALUE"""),"#REF!")</f>
        <v>#REF!</v>
      </c>
      <c r="DD70" s="96" t="str">
        <f>IFERROR(__xludf.DUMMYFUNCTION("""COMPUTED_VALUE"""),"#REF!")</f>
        <v>#REF!</v>
      </c>
      <c r="DE70" s="97" t="str">
        <f>IFERROR(__xludf.DUMMYFUNCTION("""COMPUTED_VALUE"""),"#REF!")</f>
        <v>#REF!</v>
      </c>
      <c r="DF70" s="95" t="str">
        <f>IFERROR(__xludf.DUMMYFUNCTION("""COMPUTED_VALUE"""),"#REF!")</f>
        <v>#REF!</v>
      </c>
      <c r="DG70" s="96" t="str">
        <f>IFERROR(__xludf.DUMMYFUNCTION("""COMPUTED_VALUE"""),"#REF!")</f>
        <v>#REF!</v>
      </c>
      <c r="DH70" s="97" t="str">
        <f>IFERROR(__xludf.DUMMYFUNCTION("""COMPUTED_VALUE"""),"#REF!")</f>
        <v>#REF!</v>
      </c>
      <c r="DI70" s="95" t="str">
        <f>IFERROR(__xludf.DUMMYFUNCTION("""COMPUTED_VALUE"""),"#REF!")</f>
        <v>#REF!</v>
      </c>
      <c r="DJ70" s="96" t="str">
        <f>IFERROR(__xludf.DUMMYFUNCTION("""COMPUTED_VALUE"""),"#REF!")</f>
        <v>#REF!</v>
      </c>
      <c r="DK70" s="97" t="str">
        <f>IFERROR(__xludf.DUMMYFUNCTION("""COMPUTED_VALUE"""),"#REF!")</f>
        <v>#REF!</v>
      </c>
      <c r="DL70" s="95" t="str">
        <f>IFERROR(__xludf.DUMMYFUNCTION("""COMPUTED_VALUE"""),"#REF!")</f>
        <v>#REF!</v>
      </c>
      <c r="DM70" s="96" t="str">
        <f>IFERROR(__xludf.DUMMYFUNCTION("""COMPUTED_VALUE"""),"#REF!")</f>
        <v>#REF!</v>
      </c>
      <c r="DN70" s="97" t="str">
        <f>IFERROR(__xludf.DUMMYFUNCTION("""COMPUTED_VALUE"""),"#REF!")</f>
        <v>#REF!</v>
      </c>
      <c r="DO70" s="95" t="str">
        <f>IFERROR(__xludf.DUMMYFUNCTION("""COMPUTED_VALUE"""),"#REF!")</f>
        <v>#REF!</v>
      </c>
      <c r="DP70" s="96" t="str">
        <f>IFERROR(__xludf.DUMMYFUNCTION("""COMPUTED_VALUE"""),"#REF!")</f>
        <v>#REF!</v>
      </c>
      <c r="DQ70" s="97"/>
      <c r="DR70" s="95"/>
    </row>
    <row r="71">
      <c r="B71" s="120" t="str">
        <f>IFERROR(__xludf.DUMMYFUNCTION("""COMPUTED_VALUE"""),"SEP5")</f>
        <v>SEP5</v>
      </c>
      <c r="C71" s="82">
        <f>IFERROR(__xludf.DUMMYFUNCTION("""COMPUTED_VALUE"""),56.0)</f>
        <v>56</v>
      </c>
      <c r="D71" s="88" t="str">
        <f>IFERROR(__xludf.DUMMYFUNCTION("""COMPUTED_VALUE"""),"Mediolanum")</f>
        <v>Mediolanum</v>
      </c>
      <c r="E71" s="82" t="str">
        <f>IFERROR(__xludf.DUMMYFUNCTION("""COMPUTED_VALUE"""),"メディオラヌム")</f>
        <v>メディオラヌム</v>
      </c>
      <c r="F71" s="102">
        <f>IFERROR(__xludf.DUMMYFUNCTION("""COMPUTED_VALUE"""),9.0)</f>
        <v>9</v>
      </c>
      <c r="G71" s="82">
        <f>IFERROR(__xludf.DUMMYFUNCTION("""COMPUTED_VALUE"""),1101.0)</f>
        <v>1101</v>
      </c>
      <c r="H71" s="231" t="str">
        <f>IFERROR(__xludf.DUMMYFUNCTION("""COMPUTED_VALUE"""),"")</f>
        <v/>
      </c>
      <c r="I71" s="232" t="str">
        <f>IFERROR(__xludf.DUMMYFUNCTION("""COMPUTED_VALUE"""),"")</f>
        <v/>
      </c>
      <c r="J71" s="233" t="str">
        <f>IFERROR(__xludf.DUMMYFUNCTION("""COMPUTED_VALUE"""),"")</f>
        <v/>
      </c>
      <c r="K71" s="231" t="str">
        <f>IFERROR(__xludf.DUMMYFUNCTION("""COMPUTED_VALUE"""),"")</f>
        <v/>
      </c>
      <c r="L71" s="232" t="str">
        <f>IFERROR(__xludf.DUMMYFUNCTION("""COMPUTED_VALUE"""),"")</f>
        <v/>
      </c>
      <c r="M71" s="233" t="str">
        <f>IFERROR(__xludf.DUMMYFUNCTION("""COMPUTED_VALUE"""),"")</f>
        <v/>
      </c>
      <c r="N71" s="231" t="str">
        <f>IFERROR(__xludf.DUMMYFUNCTION("""COMPUTED_VALUE"""),"")</f>
        <v/>
      </c>
      <c r="O71" s="232" t="str">
        <f>IFERROR(__xludf.DUMMYFUNCTION("""COMPUTED_VALUE"""),"")</f>
        <v/>
      </c>
      <c r="P71" s="233" t="str">
        <f>IFERROR(__xludf.DUMMYFUNCTION("""COMPUTED_VALUE"""),"")</f>
        <v/>
      </c>
      <c r="Q71" s="231" t="str">
        <f>IFERROR(__xludf.DUMMYFUNCTION("""COMPUTED_VALUE"""),"")</f>
        <v/>
      </c>
      <c r="R71" s="232" t="str">
        <f>IFERROR(__xludf.DUMMYFUNCTION("""COMPUTED_VALUE"""),"")</f>
        <v/>
      </c>
      <c r="S71" s="233" t="str">
        <f>IFERROR(__xludf.DUMMYFUNCTION("""COMPUTED_VALUE"""),"")</f>
        <v/>
      </c>
      <c r="T71" s="231" t="str">
        <f>IFERROR(__xludf.DUMMYFUNCTION("""COMPUTED_VALUE"""),"")</f>
        <v/>
      </c>
      <c r="U71" s="232" t="str">
        <f>IFERROR(__xludf.DUMMYFUNCTION("""COMPUTED_VALUE"""),"")</f>
        <v/>
      </c>
      <c r="V71" s="233" t="str">
        <f>IFERROR(__xludf.DUMMYFUNCTION("""COMPUTED_VALUE"""),"")</f>
        <v/>
      </c>
      <c r="W71" s="231" t="str">
        <f>IFERROR(__xludf.DUMMYFUNCTION("""COMPUTED_VALUE"""),"")</f>
        <v/>
      </c>
      <c r="X71" s="232" t="str">
        <f>IFERROR(__xludf.DUMMYFUNCTION("""COMPUTED_VALUE"""),"")</f>
        <v/>
      </c>
      <c r="Y71" s="233" t="str">
        <f>IFERROR(__xludf.DUMMYFUNCTION("""COMPUTED_VALUE"""),"")</f>
        <v/>
      </c>
      <c r="Z71" s="231" t="str">
        <f>IFERROR(__xludf.DUMMYFUNCTION("""COMPUTED_VALUE"""),"")</f>
        <v/>
      </c>
      <c r="AA71" s="232" t="str">
        <f>IFERROR(__xludf.DUMMYFUNCTION("""COMPUTED_VALUE"""),"")</f>
        <v/>
      </c>
      <c r="AB71" s="233" t="str">
        <f>IFERROR(__xludf.DUMMYFUNCTION("""COMPUTED_VALUE"""),"")</f>
        <v/>
      </c>
      <c r="AC71" s="231" t="str">
        <f>IFERROR(__xludf.DUMMYFUNCTION("""COMPUTED_VALUE"""),"")</f>
        <v/>
      </c>
      <c r="AD71" s="232" t="str">
        <f>IFERROR(__xludf.DUMMYFUNCTION("""COMPUTED_VALUE"""),"")</f>
        <v/>
      </c>
      <c r="AE71" s="233" t="str">
        <f>IFERROR(__xludf.DUMMYFUNCTION("""COMPUTED_VALUE"""),"")</f>
        <v/>
      </c>
      <c r="AF71" s="231" t="str">
        <f>IFERROR(__xludf.DUMMYFUNCTION("""COMPUTED_VALUE"""),"")</f>
        <v/>
      </c>
      <c r="AG71" s="232" t="str">
        <f>IFERROR(__xludf.DUMMYFUNCTION("""COMPUTED_VALUE"""),"")</f>
        <v/>
      </c>
      <c r="AH71" s="233" t="str">
        <f>IFERROR(__xludf.DUMMYFUNCTION("""COMPUTED_VALUE"""),"")</f>
        <v/>
      </c>
      <c r="AI71" s="231" t="str">
        <f>IFERROR(__xludf.DUMMYFUNCTION("""COMPUTED_VALUE"""),"")</f>
        <v/>
      </c>
      <c r="AJ71" s="232" t="str">
        <f>IFERROR(__xludf.DUMMYFUNCTION("""COMPUTED_VALUE"""),"")</f>
        <v/>
      </c>
      <c r="AK71" s="233" t="str">
        <f>IFERROR(__xludf.DUMMYFUNCTION("""COMPUTED_VALUE"""),"")</f>
        <v/>
      </c>
      <c r="AL71" s="231" t="str">
        <f>IFERROR(__xludf.DUMMYFUNCTION("""COMPUTED_VALUE"""),"")</f>
        <v/>
      </c>
      <c r="AM71" s="232" t="str">
        <f>IFERROR(__xludf.DUMMYFUNCTION("""COMPUTED_VALUE"""),"")</f>
        <v/>
      </c>
      <c r="AN71" s="233" t="str">
        <f>IFERROR(__xludf.DUMMYFUNCTION("""COMPUTED_VALUE"""),"")</f>
        <v/>
      </c>
      <c r="AO71" s="231" t="str">
        <f>IFERROR(__xludf.DUMMYFUNCTION("""COMPUTED_VALUE"""),"")</f>
        <v/>
      </c>
      <c r="AP71" s="232" t="str">
        <f>IFERROR(__xludf.DUMMYFUNCTION("""COMPUTED_VALUE"""),"")</f>
        <v/>
      </c>
      <c r="AQ71" s="233" t="str">
        <f>IFERROR(__xludf.DUMMYFUNCTION("""COMPUTED_VALUE"""),"")</f>
        <v/>
      </c>
      <c r="AR71" s="231" t="str">
        <f>IFERROR(__xludf.DUMMYFUNCTION("""COMPUTED_VALUE"""),"")</f>
        <v/>
      </c>
      <c r="AS71" s="232" t="str">
        <f>IFERROR(__xludf.DUMMYFUNCTION("""COMPUTED_VALUE"""),"")</f>
        <v/>
      </c>
      <c r="AT71" s="233">
        <f>IFERROR(__xludf.DUMMYFUNCTION("""COMPUTED_VALUE"""),34.9)</f>
        <v>34.9</v>
      </c>
      <c r="AU71" s="231" t="str">
        <f>IFERROR(__xludf.DUMMYFUNCTION("""COMPUTED_VALUE"""),"")</f>
        <v/>
      </c>
      <c r="AV71" s="232" t="str">
        <f>IFERROR(__xludf.DUMMYFUNCTION("""COMPUTED_VALUE"""),"")</f>
        <v/>
      </c>
      <c r="AW71" s="233" t="str">
        <f>IFERROR(__xludf.DUMMYFUNCTION("""COMPUTED_VALUE"""),"")</f>
        <v/>
      </c>
      <c r="AX71" s="231" t="str">
        <f>IFERROR(__xludf.DUMMYFUNCTION("""COMPUTED_VALUE"""),"")</f>
        <v/>
      </c>
      <c r="AY71" s="232" t="str">
        <f>IFERROR(__xludf.DUMMYFUNCTION("""COMPUTED_VALUE"""),"")</f>
        <v/>
      </c>
      <c r="AZ71" s="233" t="str">
        <f>IFERROR(__xludf.DUMMYFUNCTION("""COMPUTED_VALUE"""),"")</f>
        <v/>
      </c>
      <c r="BA71" s="231" t="str">
        <f>IFERROR(__xludf.DUMMYFUNCTION("""COMPUTED_VALUE"""),"")</f>
        <v/>
      </c>
      <c r="BB71" s="232" t="str">
        <f>IFERROR(__xludf.DUMMYFUNCTION("""COMPUTED_VALUE"""),"")</f>
        <v/>
      </c>
      <c r="BC71" s="233" t="str">
        <f>IFERROR(__xludf.DUMMYFUNCTION("""COMPUTED_VALUE"""),"")</f>
        <v/>
      </c>
      <c r="BD71" s="231" t="str">
        <f>IFERROR(__xludf.DUMMYFUNCTION("""COMPUTED_VALUE"""),"")</f>
        <v/>
      </c>
      <c r="BE71" s="232" t="str">
        <f>IFERROR(__xludf.DUMMYFUNCTION("""COMPUTED_VALUE"""),"")</f>
        <v/>
      </c>
      <c r="BF71" s="233" t="str">
        <f>IFERROR(__xludf.DUMMYFUNCTION("""COMPUTED_VALUE"""),"")</f>
        <v/>
      </c>
      <c r="BG71" s="231" t="str">
        <f>IFERROR(__xludf.DUMMYFUNCTION("""COMPUTED_VALUE"""),"")</f>
        <v/>
      </c>
      <c r="BH71" s="232" t="str">
        <f>IFERROR(__xludf.DUMMYFUNCTION("""COMPUTED_VALUE"""),"")</f>
        <v/>
      </c>
      <c r="BI71" s="233" t="str">
        <f>IFERROR(__xludf.DUMMYFUNCTION("""COMPUTED_VALUE"""),"")</f>
        <v/>
      </c>
      <c r="BJ71" s="231" t="str">
        <f>IFERROR(__xludf.DUMMYFUNCTION("""COMPUTED_VALUE"""),"")</f>
        <v/>
      </c>
      <c r="BK71" s="232" t="str">
        <f>IFERROR(__xludf.DUMMYFUNCTION("""COMPUTED_VALUE"""),"")</f>
        <v/>
      </c>
      <c r="BL71" s="233" t="str">
        <f>IFERROR(__xludf.DUMMYFUNCTION("""COMPUTED_VALUE"""),"")</f>
        <v/>
      </c>
      <c r="BM71" s="231" t="str">
        <f>IFERROR(__xludf.DUMMYFUNCTION("""COMPUTED_VALUE"""),"")</f>
        <v/>
      </c>
      <c r="BN71" s="232" t="str">
        <f>IFERROR(__xludf.DUMMYFUNCTION("""COMPUTED_VALUE"""),"")</f>
        <v/>
      </c>
      <c r="BO71" s="233" t="str">
        <f>IFERROR(__xludf.DUMMYFUNCTION("""COMPUTED_VALUE"""),"")</f>
        <v/>
      </c>
      <c r="BP71" s="231" t="str">
        <f>IFERROR(__xludf.DUMMYFUNCTION("""COMPUTED_VALUE"""),"")</f>
        <v/>
      </c>
      <c r="BQ71" s="232">
        <f>IFERROR(__xludf.DUMMYFUNCTION("""COMPUTED_VALUE"""),16.0)</f>
        <v>16</v>
      </c>
      <c r="BR71" s="233" t="str">
        <f>IFERROR(__xludf.DUMMYFUNCTION("""COMPUTED_VALUE"""),"")</f>
        <v/>
      </c>
      <c r="BS71" s="231">
        <f>IFERROR(__xludf.DUMMYFUNCTION("""COMPUTED_VALUE"""),20.1)</f>
        <v>20.1</v>
      </c>
      <c r="BT71" s="232" t="str">
        <f>IFERROR(__xludf.DUMMYFUNCTION("""COMPUTED_VALUE"""),"")</f>
        <v/>
      </c>
      <c r="BU71" s="233" t="str">
        <f>IFERROR(__xludf.DUMMYFUNCTION("""COMPUTED_VALUE"""),"")</f>
        <v/>
      </c>
      <c r="BV71" s="231" t="str">
        <f>IFERROR(__xludf.DUMMYFUNCTION("""COMPUTED_VALUE"""),"")</f>
        <v/>
      </c>
      <c r="BW71" s="232" t="str">
        <f>IFERROR(__xludf.DUMMYFUNCTION("""COMPUTED_VALUE"""),"")</f>
        <v/>
      </c>
      <c r="BX71" s="233" t="str">
        <f>IFERROR(__xludf.DUMMYFUNCTION("""COMPUTED_VALUE"""),"")</f>
        <v/>
      </c>
      <c r="BY71" s="231" t="str">
        <f>IFERROR(__xludf.DUMMYFUNCTION("""COMPUTED_VALUE"""),"")</f>
        <v/>
      </c>
      <c r="BZ71" s="232" t="str">
        <f>IFERROR(__xludf.DUMMYFUNCTION("""COMPUTED_VALUE"""),"")</f>
        <v/>
      </c>
      <c r="CA71" s="233" t="str">
        <f>IFERROR(__xludf.DUMMYFUNCTION("""COMPUTED_VALUE"""),"")</f>
        <v/>
      </c>
      <c r="CB71" s="231" t="str">
        <f>IFERROR(__xludf.DUMMYFUNCTION("""COMPUTED_VALUE"""),"")</f>
        <v/>
      </c>
      <c r="CC71" s="232" t="str">
        <f>IFERROR(__xludf.DUMMYFUNCTION("""COMPUTED_VALUE"""),"")</f>
        <v/>
      </c>
      <c r="CD71" s="233" t="str">
        <f>IFERROR(__xludf.DUMMYFUNCTION("""COMPUTED_VALUE"""),"")</f>
        <v/>
      </c>
      <c r="CE71" s="234" t="str">
        <f>IFERROR(__xludf.DUMMYFUNCTION("""COMPUTED_VALUE"""),"")</f>
        <v/>
      </c>
      <c r="CF71" s="230" t="str">
        <f>IFERROR(__xludf.DUMMYFUNCTION("""COMPUTED_VALUE"""),"")</f>
        <v/>
      </c>
      <c r="CG71" s="235" t="str">
        <f>IFERROR(__xludf.DUMMYFUNCTION("""COMPUTED_VALUE"""),"")</f>
        <v/>
      </c>
      <c r="CH71" s="234" t="str">
        <f>IFERROR(__xludf.DUMMYFUNCTION("""COMPUTED_VALUE"""),"")</f>
        <v/>
      </c>
      <c r="CI71" s="230" t="str">
        <f>IFERROR(__xludf.DUMMYFUNCTION("""COMPUTED_VALUE"""),"")</f>
        <v/>
      </c>
      <c r="CJ71" s="235" t="str">
        <f>IFERROR(__xludf.DUMMYFUNCTION("""COMPUTED_VALUE"""),"")</f>
        <v/>
      </c>
      <c r="CK71" s="95" t="str">
        <f>IFERROR(__xludf.DUMMYFUNCTION("""COMPUTED_VALUE"""),"")</f>
        <v/>
      </c>
      <c r="CL71" s="96" t="str">
        <f>IFERROR(__xludf.DUMMYFUNCTION("""COMPUTED_VALUE"""),"")</f>
        <v/>
      </c>
      <c r="CM71" s="97" t="str">
        <f>IFERROR(__xludf.DUMMYFUNCTION("""COMPUTED_VALUE"""),"")</f>
        <v/>
      </c>
      <c r="CN71" s="95" t="str">
        <f>IFERROR(__xludf.DUMMYFUNCTION("""COMPUTED_VALUE"""),"")</f>
        <v/>
      </c>
      <c r="CO71" s="96" t="str">
        <f>IFERROR(__xludf.DUMMYFUNCTION("""COMPUTED_VALUE"""),"")</f>
        <v/>
      </c>
      <c r="CP71" s="97" t="str">
        <f>IFERROR(__xludf.DUMMYFUNCTION("""COMPUTED_VALUE"""),"")</f>
        <v/>
      </c>
      <c r="CQ71" s="95" t="str">
        <f>IFERROR(__xludf.DUMMYFUNCTION("""COMPUTED_VALUE"""),"")</f>
        <v/>
      </c>
      <c r="CR71" s="96" t="str">
        <f>IFERROR(__xludf.DUMMYFUNCTION("""COMPUTED_VALUE"""),"")</f>
        <v/>
      </c>
      <c r="CS71" s="97" t="str">
        <f>IFERROR(__xludf.DUMMYFUNCTION("""COMPUTED_VALUE"""),"#REF!")</f>
        <v>#REF!</v>
      </c>
      <c r="CT71" s="95" t="str">
        <f>IFERROR(__xludf.DUMMYFUNCTION("""COMPUTED_VALUE"""),"#REF!")</f>
        <v>#REF!</v>
      </c>
      <c r="CU71" s="96" t="str">
        <f>IFERROR(__xludf.DUMMYFUNCTION("""COMPUTED_VALUE"""),"#REF!")</f>
        <v>#REF!</v>
      </c>
      <c r="CV71" s="97" t="str">
        <f>IFERROR(__xludf.DUMMYFUNCTION("""COMPUTED_VALUE"""),"#REF!")</f>
        <v>#REF!</v>
      </c>
      <c r="CW71" s="95" t="str">
        <f>IFERROR(__xludf.DUMMYFUNCTION("""COMPUTED_VALUE"""),"#REF!")</f>
        <v>#REF!</v>
      </c>
      <c r="CX71" s="96" t="str">
        <f>IFERROR(__xludf.DUMMYFUNCTION("""COMPUTED_VALUE"""),"#REF!")</f>
        <v>#REF!</v>
      </c>
      <c r="CY71" s="97" t="str">
        <f>IFERROR(__xludf.DUMMYFUNCTION("""COMPUTED_VALUE"""),"#REF!")</f>
        <v>#REF!</v>
      </c>
      <c r="CZ71" s="95" t="str">
        <f>IFERROR(__xludf.DUMMYFUNCTION("""COMPUTED_VALUE"""),"#REF!")</f>
        <v>#REF!</v>
      </c>
      <c r="DA71" s="96" t="str">
        <f>IFERROR(__xludf.DUMMYFUNCTION("""COMPUTED_VALUE"""),"#REF!")</f>
        <v>#REF!</v>
      </c>
      <c r="DB71" s="97" t="str">
        <f>IFERROR(__xludf.DUMMYFUNCTION("""COMPUTED_VALUE"""),"#REF!")</f>
        <v>#REF!</v>
      </c>
      <c r="DC71" s="95" t="str">
        <f>IFERROR(__xludf.DUMMYFUNCTION("""COMPUTED_VALUE"""),"#REF!")</f>
        <v>#REF!</v>
      </c>
      <c r="DD71" s="96" t="str">
        <f>IFERROR(__xludf.DUMMYFUNCTION("""COMPUTED_VALUE"""),"#REF!")</f>
        <v>#REF!</v>
      </c>
      <c r="DE71" s="97" t="str">
        <f>IFERROR(__xludf.DUMMYFUNCTION("""COMPUTED_VALUE"""),"#REF!")</f>
        <v>#REF!</v>
      </c>
      <c r="DF71" s="95" t="str">
        <f>IFERROR(__xludf.DUMMYFUNCTION("""COMPUTED_VALUE"""),"#REF!")</f>
        <v>#REF!</v>
      </c>
      <c r="DG71" s="96" t="str">
        <f>IFERROR(__xludf.DUMMYFUNCTION("""COMPUTED_VALUE"""),"#REF!")</f>
        <v>#REF!</v>
      </c>
      <c r="DH71" s="97" t="str">
        <f>IFERROR(__xludf.DUMMYFUNCTION("""COMPUTED_VALUE"""),"#REF!")</f>
        <v>#REF!</v>
      </c>
      <c r="DI71" s="95" t="str">
        <f>IFERROR(__xludf.DUMMYFUNCTION("""COMPUTED_VALUE"""),"#REF!")</f>
        <v>#REF!</v>
      </c>
      <c r="DJ71" s="96" t="str">
        <f>IFERROR(__xludf.DUMMYFUNCTION("""COMPUTED_VALUE"""),"#REF!")</f>
        <v>#REF!</v>
      </c>
      <c r="DK71" s="97" t="str">
        <f>IFERROR(__xludf.DUMMYFUNCTION("""COMPUTED_VALUE"""),"#REF!")</f>
        <v>#REF!</v>
      </c>
      <c r="DL71" s="95" t="str">
        <f>IFERROR(__xludf.DUMMYFUNCTION("""COMPUTED_VALUE"""),"#REF!")</f>
        <v>#REF!</v>
      </c>
      <c r="DM71" s="96" t="str">
        <f>IFERROR(__xludf.DUMMYFUNCTION("""COMPUTED_VALUE"""),"#REF!")</f>
        <v>#REF!</v>
      </c>
      <c r="DN71" s="97" t="str">
        <f>IFERROR(__xludf.DUMMYFUNCTION("""COMPUTED_VALUE"""),"#REF!")</f>
        <v>#REF!</v>
      </c>
      <c r="DO71" s="95" t="str">
        <f>IFERROR(__xludf.DUMMYFUNCTION("""COMPUTED_VALUE"""),"#REF!")</f>
        <v>#REF!</v>
      </c>
      <c r="DP71" s="96" t="str">
        <f>IFERROR(__xludf.DUMMYFUNCTION("""COMPUTED_VALUE"""),"#REF!")</f>
        <v>#REF!</v>
      </c>
      <c r="DQ71" s="97"/>
      <c r="DR71" s="95"/>
    </row>
    <row r="72">
      <c r="B72" s="120" t="str">
        <f>IFERROR(__xludf.DUMMYFUNCTION("""COMPUTED_VALUE"""),"SEP6")</f>
        <v>SEP6</v>
      </c>
      <c r="C72" s="82">
        <f>IFERROR(__xludf.DUMMYFUNCTION("""COMPUTED_VALUE"""),57.0)</f>
        <v>57</v>
      </c>
      <c r="D72" s="88" t="str">
        <f>IFERROR(__xludf.DUMMYFUNCTION("""COMPUTED_VALUE"""),"Germania")</f>
        <v>Germania</v>
      </c>
      <c r="E72" s="82" t="str">
        <f>IFERROR(__xludf.DUMMYFUNCTION("""COMPUTED_VALUE"""),"ゲルマニア")</f>
        <v>ゲルマニア</v>
      </c>
      <c r="F72" s="102">
        <f>IFERROR(__xludf.DUMMYFUNCTION("""COMPUTED_VALUE"""),15.0)</f>
        <v>15</v>
      </c>
      <c r="G72" s="82">
        <f>IFERROR(__xludf.DUMMYFUNCTION("""COMPUTED_VALUE"""),1991.0)</f>
        <v>1991</v>
      </c>
      <c r="H72" s="231">
        <f>IFERROR(__xludf.DUMMYFUNCTION("""COMPUTED_VALUE"""),3.0)</f>
        <v>3</v>
      </c>
      <c r="I72" s="232" t="str">
        <f>IFERROR(__xludf.DUMMYFUNCTION("""COMPUTED_VALUE"""),"")</f>
        <v/>
      </c>
      <c r="J72" s="233" t="str">
        <f>IFERROR(__xludf.DUMMYFUNCTION("""COMPUTED_VALUE"""),"")</f>
        <v/>
      </c>
      <c r="K72" s="231" t="str">
        <f>IFERROR(__xludf.DUMMYFUNCTION("""COMPUTED_VALUE"""),"")</f>
        <v/>
      </c>
      <c r="L72" s="232" t="str">
        <f>IFERROR(__xludf.DUMMYFUNCTION("""COMPUTED_VALUE"""),"")</f>
        <v/>
      </c>
      <c r="M72" s="233" t="str">
        <f>IFERROR(__xludf.DUMMYFUNCTION("""COMPUTED_VALUE"""),"")</f>
        <v/>
      </c>
      <c r="N72" s="231" t="str">
        <f>IFERROR(__xludf.DUMMYFUNCTION("""COMPUTED_VALUE"""),"")</f>
        <v/>
      </c>
      <c r="O72" s="232" t="str">
        <f>IFERROR(__xludf.DUMMYFUNCTION("""COMPUTED_VALUE"""),"")</f>
        <v/>
      </c>
      <c r="P72" s="233" t="str">
        <f>IFERROR(__xludf.DUMMYFUNCTION("""COMPUTED_VALUE"""),"")</f>
        <v/>
      </c>
      <c r="Q72" s="231" t="str">
        <f>IFERROR(__xludf.DUMMYFUNCTION("""COMPUTED_VALUE"""),"")</f>
        <v/>
      </c>
      <c r="R72" s="232" t="str">
        <f>IFERROR(__xludf.DUMMYFUNCTION("""COMPUTED_VALUE"""),"")</f>
        <v/>
      </c>
      <c r="S72" s="233" t="str">
        <f>IFERROR(__xludf.DUMMYFUNCTION("""COMPUTED_VALUE"""),"")</f>
        <v/>
      </c>
      <c r="T72" s="231" t="str">
        <f>IFERROR(__xludf.DUMMYFUNCTION("""COMPUTED_VALUE"""),"")</f>
        <v/>
      </c>
      <c r="U72" s="232" t="str">
        <f>IFERROR(__xludf.DUMMYFUNCTION("""COMPUTED_VALUE"""),"")</f>
        <v/>
      </c>
      <c r="V72" s="233" t="str">
        <f>IFERROR(__xludf.DUMMYFUNCTION("""COMPUTED_VALUE"""),"")</f>
        <v/>
      </c>
      <c r="W72" s="231" t="str">
        <f>IFERROR(__xludf.DUMMYFUNCTION("""COMPUTED_VALUE"""),"")</f>
        <v/>
      </c>
      <c r="X72" s="232" t="str">
        <f>IFERROR(__xludf.DUMMYFUNCTION("""COMPUTED_VALUE"""),"")</f>
        <v/>
      </c>
      <c r="Y72" s="233" t="str">
        <f>IFERROR(__xludf.DUMMYFUNCTION("""COMPUTED_VALUE"""),"")</f>
        <v/>
      </c>
      <c r="Z72" s="231" t="str">
        <f>IFERROR(__xludf.DUMMYFUNCTION("""COMPUTED_VALUE"""),"")</f>
        <v/>
      </c>
      <c r="AA72" s="232" t="str">
        <f>IFERROR(__xludf.DUMMYFUNCTION("""COMPUTED_VALUE"""),"")</f>
        <v/>
      </c>
      <c r="AB72" s="233" t="str">
        <f>IFERROR(__xludf.DUMMYFUNCTION("""COMPUTED_VALUE"""),"")</f>
        <v/>
      </c>
      <c r="AC72" s="231" t="str">
        <f>IFERROR(__xludf.DUMMYFUNCTION("""COMPUTED_VALUE"""),"")</f>
        <v/>
      </c>
      <c r="AD72" s="232" t="str">
        <f>IFERROR(__xludf.DUMMYFUNCTION("""COMPUTED_VALUE"""),"")</f>
        <v/>
      </c>
      <c r="AE72" s="233" t="str">
        <f>IFERROR(__xludf.DUMMYFUNCTION("""COMPUTED_VALUE"""),"")</f>
        <v/>
      </c>
      <c r="AF72" s="231" t="str">
        <f>IFERROR(__xludf.DUMMYFUNCTION("""COMPUTED_VALUE"""),"")</f>
        <v/>
      </c>
      <c r="AG72" s="232" t="str">
        <f>IFERROR(__xludf.DUMMYFUNCTION("""COMPUTED_VALUE"""),"")</f>
        <v/>
      </c>
      <c r="AH72" s="233" t="str">
        <f>IFERROR(__xludf.DUMMYFUNCTION("""COMPUTED_VALUE"""),"")</f>
        <v/>
      </c>
      <c r="AI72" s="231" t="str">
        <f>IFERROR(__xludf.DUMMYFUNCTION("""COMPUTED_VALUE"""),"")</f>
        <v/>
      </c>
      <c r="AJ72" s="232" t="str">
        <f>IFERROR(__xludf.DUMMYFUNCTION("""COMPUTED_VALUE"""),"")</f>
        <v/>
      </c>
      <c r="AK72" s="233" t="str">
        <f>IFERROR(__xludf.DUMMYFUNCTION("""COMPUTED_VALUE"""),"")</f>
        <v/>
      </c>
      <c r="AL72" s="231" t="str">
        <f>IFERROR(__xludf.DUMMYFUNCTION("""COMPUTED_VALUE"""),"")</f>
        <v/>
      </c>
      <c r="AM72" s="232" t="str">
        <f>IFERROR(__xludf.DUMMYFUNCTION("""COMPUTED_VALUE"""),"")</f>
        <v/>
      </c>
      <c r="AN72" s="233" t="str">
        <f>IFERROR(__xludf.DUMMYFUNCTION("""COMPUTED_VALUE"""),"")</f>
        <v/>
      </c>
      <c r="AO72" s="231" t="str">
        <f>IFERROR(__xludf.DUMMYFUNCTION("""COMPUTED_VALUE"""),"")</f>
        <v/>
      </c>
      <c r="AP72" s="232" t="str">
        <f>IFERROR(__xludf.DUMMYFUNCTION("""COMPUTED_VALUE"""),"")</f>
        <v/>
      </c>
      <c r="AQ72" s="233" t="str">
        <f>IFERROR(__xludf.DUMMYFUNCTION("""COMPUTED_VALUE"""),"")</f>
        <v/>
      </c>
      <c r="AR72" s="231" t="str">
        <f>IFERROR(__xludf.DUMMYFUNCTION("""COMPUTED_VALUE"""),"")</f>
        <v/>
      </c>
      <c r="AS72" s="232" t="str">
        <f>IFERROR(__xludf.DUMMYFUNCTION("""COMPUTED_VALUE"""),"")</f>
        <v/>
      </c>
      <c r="AT72" s="233" t="str">
        <f>IFERROR(__xludf.DUMMYFUNCTION("""COMPUTED_VALUE"""),"")</f>
        <v/>
      </c>
      <c r="AU72" s="231">
        <f>IFERROR(__xludf.DUMMYFUNCTION("""COMPUTED_VALUE"""),48.5)</f>
        <v>48.5</v>
      </c>
      <c r="AV72" s="232" t="str">
        <f>IFERROR(__xludf.DUMMYFUNCTION("""COMPUTED_VALUE"""),"")</f>
        <v/>
      </c>
      <c r="AW72" s="233" t="str">
        <f>IFERROR(__xludf.DUMMYFUNCTION("""COMPUTED_VALUE"""),"")</f>
        <v/>
      </c>
      <c r="AX72" s="231" t="str">
        <f>IFERROR(__xludf.DUMMYFUNCTION("""COMPUTED_VALUE"""),"")</f>
        <v/>
      </c>
      <c r="AY72" s="232" t="str">
        <f>IFERROR(__xludf.DUMMYFUNCTION("""COMPUTED_VALUE"""),"")</f>
        <v/>
      </c>
      <c r="AZ72" s="233" t="str">
        <f>IFERROR(__xludf.DUMMYFUNCTION("""COMPUTED_VALUE"""),"")</f>
        <v/>
      </c>
      <c r="BA72" s="231" t="str">
        <f>IFERROR(__xludf.DUMMYFUNCTION("""COMPUTED_VALUE"""),"")</f>
        <v/>
      </c>
      <c r="BB72" s="232" t="str">
        <f>IFERROR(__xludf.DUMMYFUNCTION("""COMPUTED_VALUE"""),"")</f>
        <v/>
      </c>
      <c r="BC72" s="233" t="str">
        <f>IFERROR(__xludf.DUMMYFUNCTION("""COMPUTED_VALUE"""),"")</f>
        <v/>
      </c>
      <c r="BD72" s="231" t="str">
        <f>IFERROR(__xludf.DUMMYFUNCTION("""COMPUTED_VALUE"""),"")</f>
        <v/>
      </c>
      <c r="BE72" s="232" t="str">
        <f>IFERROR(__xludf.DUMMYFUNCTION("""COMPUTED_VALUE"""),"")</f>
        <v/>
      </c>
      <c r="BF72" s="233" t="str">
        <f>IFERROR(__xludf.DUMMYFUNCTION("""COMPUTED_VALUE"""),"")</f>
        <v/>
      </c>
      <c r="BG72" s="231" t="str">
        <f>IFERROR(__xludf.DUMMYFUNCTION("""COMPUTED_VALUE"""),"")</f>
        <v/>
      </c>
      <c r="BH72" s="232" t="str">
        <f>IFERROR(__xludf.DUMMYFUNCTION("""COMPUTED_VALUE"""),"")</f>
        <v/>
      </c>
      <c r="BI72" s="233" t="str">
        <f>IFERROR(__xludf.DUMMYFUNCTION("""COMPUTED_VALUE"""),"")</f>
        <v/>
      </c>
      <c r="BJ72" s="231" t="str">
        <f>IFERROR(__xludf.DUMMYFUNCTION("""COMPUTED_VALUE"""),"")</f>
        <v/>
      </c>
      <c r="BK72" s="232" t="str">
        <f>IFERROR(__xludf.DUMMYFUNCTION("""COMPUTED_VALUE"""),"")</f>
        <v/>
      </c>
      <c r="BL72" s="233" t="str">
        <f>IFERROR(__xludf.DUMMYFUNCTION("""COMPUTED_VALUE"""),"")</f>
        <v/>
      </c>
      <c r="BM72" s="231" t="str">
        <f>IFERROR(__xludf.DUMMYFUNCTION("""COMPUTED_VALUE"""),"")</f>
        <v/>
      </c>
      <c r="BN72" s="232" t="str">
        <f>IFERROR(__xludf.DUMMYFUNCTION("""COMPUTED_VALUE"""),"")</f>
        <v/>
      </c>
      <c r="BO72" s="233" t="str">
        <f>IFERROR(__xludf.DUMMYFUNCTION("""COMPUTED_VALUE"""),"")</f>
        <v/>
      </c>
      <c r="BP72" s="231">
        <f>IFERROR(__xludf.DUMMYFUNCTION("""COMPUTED_VALUE"""),7.7)</f>
        <v>7.7</v>
      </c>
      <c r="BQ72" s="232">
        <f>IFERROR(__xludf.DUMMYFUNCTION("""COMPUTED_VALUE"""),15.3)</f>
        <v>15.3</v>
      </c>
      <c r="BR72" s="233">
        <f>IFERROR(__xludf.DUMMYFUNCTION("""COMPUTED_VALUE"""),4.9)</f>
        <v>4.9</v>
      </c>
      <c r="BS72" s="231">
        <f>IFERROR(__xludf.DUMMYFUNCTION("""COMPUTED_VALUE"""),10.0)</f>
        <v>10</v>
      </c>
      <c r="BT72" s="232" t="str">
        <f>IFERROR(__xludf.DUMMYFUNCTION("""COMPUTED_VALUE"""),"")</f>
        <v/>
      </c>
      <c r="BU72" s="233" t="str">
        <f>IFERROR(__xludf.DUMMYFUNCTION("""COMPUTED_VALUE"""),"")</f>
        <v/>
      </c>
      <c r="BV72" s="231" t="str">
        <f>IFERROR(__xludf.DUMMYFUNCTION("""COMPUTED_VALUE"""),"")</f>
        <v/>
      </c>
      <c r="BW72" s="232" t="str">
        <f>IFERROR(__xludf.DUMMYFUNCTION("""COMPUTED_VALUE"""),"")</f>
        <v/>
      </c>
      <c r="BX72" s="233" t="str">
        <f>IFERROR(__xludf.DUMMYFUNCTION("""COMPUTED_VALUE"""),"")</f>
        <v/>
      </c>
      <c r="BY72" s="231" t="str">
        <f>IFERROR(__xludf.DUMMYFUNCTION("""COMPUTED_VALUE"""),"")</f>
        <v/>
      </c>
      <c r="BZ72" s="232" t="str">
        <f>IFERROR(__xludf.DUMMYFUNCTION("""COMPUTED_VALUE"""),"")</f>
        <v/>
      </c>
      <c r="CA72" s="233" t="str">
        <f>IFERROR(__xludf.DUMMYFUNCTION("""COMPUTED_VALUE"""),"")</f>
        <v/>
      </c>
      <c r="CB72" s="231" t="str">
        <f>IFERROR(__xludf.DUMMYFUNCTION("""COMPUTED_VALUE"""),"")</f>
        <v/>
      </c>
      <c r="CC72" s="232" t="str">
        <f>IFERROR(__xludf.DUMMYFUNCTION("""COMPUTED_VALUE"""),"")</f>
        <v/>
      </c>
      <c r="CD72" s="233" t="str">
        <f>IFERROR(__xludf.DUMMYFUNCTION("""COMPUTED_VALUE"""),"")</f>
        <v/>
      </c>
      <c r="CE72" s="234" t="str">
        <f>IFERROR(__xludf.DUMMYFUNCTION("""COMPUTED_VALUE"""),"")</f>
        <v/>
      </c>
      <c r="CF72" s="230" t="str">
        <f>IFERROR(__xludf.DUMMYFUNCTION("""COMPUTED_VALUE"""),"")</f>
        <v/>
      </c>
      <c r="CG72" s="235" t="str">
        <f>IFERROR(__xludf.DUMMYFUNCTION("""COMPUTED_VALUE"""),"")</f>
        <v/>
      </c>
      <c r="CH72" s="234" t="str">
        <f>IFERROR(__xludf.DUMMYFUNCTION("""COMPUTED_VALUE"""),"")</f>
        <v/>
      </c>
      <c r="CI72" s="230" t="str">
        <f>IFERROR(__xludf.DUMMYFUNCTION("""COMPUTED_VALUE"""),"")</f>
        <v/>
      </c>
      <c r="CJ72" s="235" t="str">
        <f>IFERROR(__xludf.DUMMYFUNCTION("""COMPUTED_VALUE"""),"")</f>
        <v/>
      </c>
      <c r="CK72" s="95" t="str">
        <f>IFERROR(__xludf.DUMMYFUNCTION("""COMPUTED_VALUE"""),"")</f>
        <v/>
      </c>
      <c r="CL72" s="96" t="str">
        <f>IFERROR(__xludf.DUMMYFUNCTION("""COMPUTED_VALUE"""),"")</f>
        <v/>
      </c>
      <c r="CM72" s="97" t="str">
        <f>IFERROR(__xludf.DUMMYFUNCTION("""COMPUTED_VALUE"""),"")</f>
        <v/>
      </c>
      <c r="CN72" s="95" t="str">
        <f>IFERROR(__xludf.DUMMYFUNCTION("""COMPUTED_VALUE"""),"")</f>
        <v/>
      </c>
      <c r="CO72" s="96" t="str">
        <f>IFERROR(__xludf.DUMMYFUNCTION("""COMPUTED_VALUE"""),"")</f>
        <v/>
      </c>
      <c r="CP72" s="97" t="str">
        <f>IFERROR(__xludf.DUMMYFUNCTION("""COMPUTED_VALUE"""),"")</f>
        <v/>
      </c>
      <c r="CQ72" s="95" t="str">
        <f>IFERROR(__xludf.DUMMYFUNCTION("""COMPUTED_VALUE"""),"")</f>
        <v/>
      </c>
      <c r="CR72" s="96" t="str">
        <f>IFERROR(__xludf.DUMMYFUNCTION("""COMPUTED_VALUE"""),"")</f>
        <v/>
      </c>
      <c r="CS72" s="97" t="str">
        <f>IFERROR(__xludf.DUMMYFUNCTION("""COMPUTED_VALUE"""),"#REF!")</f>
        <v>#REF!</v>
      </c>
      <c r="CT72" s="95" t="str">
        <f>IFERROR(__xludf.DUMMYFUNCTION("""COMPUTED_VALUE"""),"#REF!")</f>
        <v>#REF!</v>
      </c>
      <c r="CU72" s="96" t="str">
        <f>IFERROR(__xludf.DUMMYFUNCTION("""COMPUTED_VALUE"""),"#REF!")</f>
        <v>#REF!</v>
      </c>
      <c r="CV72" s="97" t="str">
        <f>IFERROR(__xludf.DUMMYFUNCTION("""COMPUTED_VALUE"""),"#REF!")</f>
        <v>#REF!</v>
      </c>
      <c r="CW72" s="95" t="str">
        <f>IFERROR(__xludf.DUMMYFUNCTION("""COMPUTED_VALUE"""),"#REF!")</f>
        <v>#REF!</v>
      </c>
      <c r="CX72" s="96" t="str">
        <f>IFERROR(__xludf.DUMMYFUNCTION("""COMPUTED_VALUE"""),"#REF!")</f>
        <v>#REF!</v>
      </c>
      <c r="CY72" s="97" t="str">
        <f>IFERROR(__xludf.DUMMYFUNCTION("""COMPUTED_VALUE"""),"#REF!")</f>
        <v>#REF!</v>
      </c>
      <c r="CZ72" s="95" t="str">
        <f>IFERROR(__xludf.DUMMYFUNCTION("""COMPUTED_VALUE"""),"#REF!")</f>
        <v>#REF!</v>
      </c>
      <c r="DA72" s="96" t="str">
        <f>IFERROR(__xludf.DUMMYFUNCTION("""COMPUTED_VALUE"""),"#REF!")</f>
        <v>#REF!</v>
      </c>
      <c r="DB72" s="97" t="str">
        <f>IFERROR(__xludf.DUMMYFUNCTION("""COMPUTED_VALUE"""),"#REF!")</f>
        <v>#REF!</v>
      </c>
      <c r="DC72" s="95" t="str">
        <f>IFERROR(__xludf.DUMMYFUNCTION("""COMPUTED_VALUE"""),"#REF!")</f>
        <v>#REF!</v>
      </c>
      <c r="DD72" s="96" t="str">
        <f>IFERROR(__xludf.DUMMYFUNCTION("""COMPUTED_VALUE"""),"#REF!")</f>
        <v>#REF!</v>
      </c>
      <c r="DE72" s="97" t="str">
        <f>IFERROR(__xludf.DUMMYFUNCTION("""COMPUTED_VALUE"""),"#REF!")</f>
        <v>#REF!</v>
      </c>
      <c r="DF72" s="95" t="str">
        <f>IFERROR(__xludf.DUMMYFUNCTION("""COMPUTED_VALUE"""),"#REF!")</f>
        <v>#REF!</v>
      </c>
      <c r="DG72" s="96" t="str">
        <f>IFERROR(__xludf.DUMMYFUNCTION("""COMPUTED_VALUE"""),"#REF!")</f>
        <v>#REF!</v>
      </c>
      <c r="DH72" s="97" t="str">
        <f>IFERROR(__xludf.DUMMYFUNCTION("""COMPUTED_VALUE"""),"#REF!")</f>
        <v>#REF!</v>
      </c>
      <c r="DI72" s="95" t="str">
        <f>IFERROR(__xludf.DUMMYFUNCTION("""COMPUTED_VALUE"""),"#REF!")</f>
        <v>#REF!</v>
      </c>
      <c r="DJ72" s="96" t="str">
        <f>IFERROR(__xludf.DUMMYFUNCTION("""COMPUTED_VALUE"""),"#REF!")</f>
        <v>#REF!</v>
      </c>
      <c r="DK72" s="97" t="str">
        <f>IFERROR(__xludf.DUMMYFUNCTION("""COMPUTED_VALUE"""),"#REF!")</f>
        <v>#REF!</v>
      </c>
      <c r="DL72" s="95" t="str">
        <f>IFERROR(__xludf.DUMMYFUNCTION("""COMPUTED_VALUE"""),"#REF!")</f>
        <v>#REF!</v>
      </c>
      <c r="DM72" s="96" t="str">
        <f>IFERROR(__xludf.DUMMYFUNCTION("""COMPUTED_VALUE"""),"#REF!")</f>
        <v>#REF!</v>
      </c>
      <c r="DN72" s="97" t="str">
        <f>IFERROR(__xludf.DUMMYFUNCTION("""COMPUTED_VALUE"""),"#REF!")</f>
        <v>#REF!</v>
      </c>
      <c r="DO72" s="95" t="str">
        <f>IFERROR(__xludf.DUMMYFUNCTION("""COMPUTED_VALUE"""),"#REF!")</f>
        <v>#REF!</v>
      </c>
      <c r="DP72" s="96" t="str">
        <f>IFERROR(__xludf.DUMMYFUNCTION("""COMPUTED_VALUE"""),"#REF!")</f>
        <v>#REF!</v>
      </c>
      <c r="DQ72" s="97"/>
      <c r="DR72" s="95"/>
    </row>
    <row r="73">
      <c r="B73" s="120" t="str">
        <f>IFERROR(__xludf.DUMMYFUNCTION("""COMPUTED_VALUE"""),"SEP7")</f>
        <v>SEP7</v>
      </c>
      <c r="C73" s="82">
        <f>IFERROR(__xludf.DUMMYFUNCTION("""COMPUTED_VALUE"""),58.0)</f>
        <v>58</v>
      </c>
      <c r="D73" s="88" t="str">
        <f>IFERROR(__xludf.DUMMYFUNCTION("""COMPUTED_VALUE"""),"Massilia")</f>
        <v>Massilia</v>
      </c>
      <c r="E73" s="82" t="str">
        <f>IFERROR(__xludf.DUMMYFUNCTION("""COMPUTED_VALUE"""),"マッシリア")</f>
        <v>マッシリア</v>
      </c>
      <c r="F73" s="102">
        <f>IFERROR(__xludf.DUMMYFUNCTION("""COMPUTED_VALUE"""),9.0)</f>
        <v>9</v>
      </c>
      <c r="G73" s="82">
        <f>IFERROR(__xludf.DUMMYFUNCTION("""COMPUTED_VALUE"""),1103.0)</f>
        <v>1103</v>
      </c>
      <c r="H73" s="231" t="str">
        <f>IFERROR(__xludf.DUMMYFUNCTION("""COMPUTED_VALUE"""),"")</f>
        <v/>
      </c>
      <c r="I73" s="232" t="str">
        <f>IFERROR(__xludf.DUMMYFUNCTION("""COMPUTED_VALUE"""),"")</f>
        <v/>
      </c>
      <c r="J73" s="233" t="str">
        <f>IFERROR(__xludf.DUMMYFUNCTION("""COMPUTED_VALUE"""),"")</f>
        <v/>
      </c>
      <c r="K73" s="231" t="str">
        <f>IFERROR(__xludf.DUMMYFUNCTION("""COMPUTED_VALUE"""),"")</f>
        <v/>
      </c>
      <c r="L73" s="232" t="str">
        <f>IFERROR(__xludf.DUMMYFUNCTION("""COMPUTED_VALUE"""),"")</f>
        <v/>
      </c>
      <c r="M73" s="233" t="str">
        <f>IFERROR(__xludf.DUMMYFUNCTION("""COMPUTED_VALUE"""),"")</f>
        <v/>
      </c>
      <c r="N73" s="231" t="str">
        <f>IFERROR(__xludf.DUMMYFUNCTION("""COMPUTED_VALUE"""),"")</f>
        <v/>
      </c>
      <c r="O73" s="232" t="str">
        <f>IFERROR(__xludf.DUMMYFUNCTION("""COMPUTED_VALUE"""),"")</f>
        <v/>
      </c>
      <c r="P73" s="233" t="str">
        <f>IFERROR(__xludf.DUMMYFUNCTION("""COMPUTED_VALUE"""),"")</f>
        <v/>
      </c>
      <c r="Q73" s="231" t="str">
        <f>IFERROR(__xludf.DUMMYFUNCTION("""COMPUTED_VALUE"""),"")</f>
        <v/>
      </c>
      <c r="R73" s="232" t="str">
        <f>IFERROR(__xludf.DUMMYFUNCTION("""COMPUTED_VALUE"""),"")</f>
        <v/>
      </c>
      <c r="S73" s="233" t="str">
        <f>IFERROR(__xludf.DUMMYFUNCTION("""COMPUTED_VALUE"""),"")</f>
        <v/>
      </c>
      <c r="T73" s="231" t="str">
        <f>IFERROR(__xludf.DUMMYFUNCTION("""COMPUTED_VALUE"""),"")</f>
        <v/>
      </c>
      <c r="U73" s="232" t="str">
        <f>IFERROR(__xludf.DUMMYFUNCTION("""COMPUTED_VALUE"""),"")</f>
        <v/>
      </c>
      <c r="V73" s="233" t="str">
        <f>IFERROR(__xludf.DUMMYFUNCTION("""COMPUTED_VALUE"""),"")</f>
        <v/>
      </c>
      <c r="W73" s="231" t="str">
        <f>IFERROR(__xludf.DUMMYFUNCTION("""COMPUTED_VALUE"""),"")</f>
        <v/>
      </c>
      <c r="X73" s="232" t="str">
        <f>IFERROR(__xludf.DUMMYFUNCTION("""COMPUTED_VALUE"""),"")</f>
        <v/>
      </c>
      <c r="Y73" s="233" t="str">
        <f>IFERROR(__xludf.DUMMYFUNCTION("""COMPUTED_VALUE"""),"")</f>
        <v/>
      </c>
      <c r="Z73" s="231" t="str">
        <f>IFERROR(__xludf.DUMMYFUNCTION("""COMPUTED_VALUE"""),"")</f>
        <v/>
      </c>
      <c r="AA73" s="232" t="str">
        <f>IFERROR(__xludf.DUMMYFUNCTION("""COMPUTED_VALUE"""),"")</f>
        <v/>
      </c>
      <c r="AB73" s="233" t="str">
        <f>IFERROR(__xludf.DUMMYFUNCTION("""COMPUTED_VALUE"""),"")</f>
        <v/>
      </c>
      <c r="AC73" s="231" t="str">
        <f>IFERROR(__xludf.DUMMYFUNCTION("""COMPUTED_VALUE"""),"")</f>
        <v/>
      </c>
      <c r="AD73" s="232" t="str">
        <f>IFERROR(__xludf.DUMMYFUNCTION("""COMPUTED_VALUE"""),"")</f>
        <v/>
      </c>
      <c r="AE73" s="233" t="str">
        <f>IFERROR(__xludf.DUMMYFUNCTION("""COMPUTED_VALUE"""),"")</f>
        <v/>
      </c>
      <c r="AF73" s="231" t="str">
        <f>IFERROR(__xludf.DUMMYFUNCTION("""COMPUTED_VALUE"""),"")</f>
        <v/>
      </c>
      <c r="AG73" s="232" t="str">
        <f>IFERROR(__xludf.DUMMYFUNCTION("""COMPUTED_VALUE"""),"")</f>
        <v/>
      </c>
      <c r="AH73" s="233" t="str">
        <f>IFERROR(__xludf.DUMMYFUNCTION("""COMPUTED_VALUE"""),"")</f>
        <v/>
      </c>
      <c r="AI73" s="231" t="str">
        <f>IFERROR(__xludf.DUMMYFUNCTION("""COMPUTED_VALUE"""),"")</f>
        <v/>
      </c>
      <c r="AJ73" s="232" t="str">
        <f>IFERROR(__xludf.DUMMYFUNCTION("""COMPUTED_VALUE"""),"")</f>
        <v/>
      </c>
      <c r="AK73" s="233" t="str">
        <f>IFERROR(__xludf.DUMMYFUNCTION("""COMPUTED_VALUE"""),"")</f>
        <v/>
      </c>
      <c r="AL73" s="231" t="str">
        <f>IFERROR(__xludf.DUMMYFUNCTION("""COMPUTED_VALUE"""),"")</f>
        <v/>
      </c>
      <c r="AM73" s="232" t="str">
        <f>IFERROR(__xludf.DUMMYFUNCTION("""COMPUTED_VALUE"""),"")</f>
        <v/>
      </c>
      <c r="AN73" s="233" t="str">
        <f>IFERROR(__xludf.DUMMYFUNCTION("""COMPUTED_VALUE"""),"")</f>
        <v/>
      </c>
      <c r="AO73" s="231" t="str">
        <f>IFERROR(__xludf.DUMMYFUNCTION("""COMPUTED_VALUE"""),"")</f>
        <v/>
      </c>
      <c r="AP73" s="232" t="str">
        <f>IFERROR(__xludf.DUMMYFUNCTION("""COMPUTED_VALUE"""),"")</f>
        <v/>
      </c>
      <c r="AQ73" s="233" t="str">
        <f>IFERROR(__xludf.DUMMYFUNCTION("""COMPUTED_VALUE"""),"")</f>
        <v/>
      </c>
      <c r="AR73" s="231" t="str">
        <f>IFERROR(__xludf.DUMMYFUNCTION("""COMPUTED_VALUE"""),"")</f>
        <v/>
      </c>
      <c r="AS73" s="232" t="str">
        <f>IFERROR(__xludf.DUMMYFUNCTION("""COMPUTED_VALUE"""),"")</f>
        <v/>
      </c>
      <c r="AT73" s="233">
        <f>IFERROR(__xludf.DUMMYFUNCTION("""COMPUTED_VALUE"""),14.1)</f>
        <v>14.1</v>
      </c>
      <c r="AU73" s="231" t="str">
        <f>IFERROR(__xludf.DUMMYFUNCTION("""COMPUTED_VALUE"""),"")</f>
        <v/>
      </c>
      <c r="AV73" s="232" t="str">
        <f>IFERROR(__xludf.DUMMYFUNCTION("""COMPUTED_VALUE"""),"")</f>
        <v/>
      </c>
      <c r="AW73" s="233">
        <f>IFERROR(__xludf.DUMMYFUNCTION("""COMPUTED_VALUE"""),16.3)</f>
        <v>16.3</v>
      </c>
      <c r="AX73" s="231" t="str">
        <f>IFERROR(__xludf.DUMMYFUNCTION("""COMPUTED_VALUE"""),"")</f>
        <v/>
      </c>
      <c r="AY73" s="232" t="str">
        <f>IFERROR(__xludf.DUMMYFUNCTION("""COMPUTED_VALUE"""),"")</f>
        <v/>
      </c>
      <c r="AZ73" s="233" t="str">
        <f>IFERROR(__xludf.DUMMYFUNCTION("""COMPUTED_VALUE"""),"")</f>
        <v/>
      </c>
      <c r="BA73" s="231" t="str">
        <f>IFERROR(__xludf.DUMMYFUNCTION("""COMPUTED_VALUE"""),"")</f>
        <v/>
      </c>
      <c r="BB73" s="232" t="str">
        <f>IFERROR(__xludf.DUMMYFUNCTION("""COMPUTED_VALUE"""),"")</f>
        <v/>
      </c>
      <c r="BC73" s="233" t="str">
        <f>IFERROR(__xludf.DUMMYFUNCTION("""COMPUTED_VALUE"""),"")</f>
        <v/>
      </c>
      <c r="BD73" s="231" t="str">
        <f>IFERROR(__xludf.DUMMYFUNCTION("""COMPUTED_VALUE"""),"")</f>
        <v/>
      </c>
      <c r="BE73" s="232" t="str">
        <f>IFERROR(__xludf.DUMMYFUNCTION("""COMPUTED_VALUE"""),"")</f>
        <v/>
      </c>
      <c r="BF73" s="233" t="str">
        <f>IFERROR(__xludf.DUMMYFUNCTION("""COMPUTED_VALUE"""),"")</f>
        <v/>
      </c>
      <c r="BG73" s="231" t="str">
        <f>IFERROR(__xludf.DUMMYFUNCTION("""COMPUTED_VALUE"""),"")</f>
        <v/>
      </c>
      <c r="BH73" s="232" t="str">
        <f>IFERROR(__xludf.DUMMYFUNCTION("""COMPUTED_VALUE"""),"")</f>
        <v/>
      </c>
      <c r="BI73" s="233" t="str">
        <f>IFERROR(__xludf.DUMMYFUNCTION("""COMPUTED_VALUE"""),"")</f>
        <v/>
      </c>
      <c r="BJ73" s="231" t="str">
        <f>IFERROR(__xludf.DUMMYFUNCTION("""COMPUTED_VALUE"""),"")</f>
        <v/>
      </c>
      <c r="BK73" s="232" t="str">
        <f>IFERROR(__xludf.DUMMYFUNCTION("""COMPUTED_VALUE"""),"")</f>
        <v/>
      </c>
      <c r="BL73" s="233" t="str">
        <f>IFERROR(__xludf.DUMMYFUNCTION("""COMPUTED_VALUE"""),"")</f>
        <v/>
      </c>
      <c r="BM73" s="231" t="str">
        <f>IFERROR(__xludf.DUMMYFUNCTION("""COMPUTED_VALUE"""),"")</f>
        <v/>
      </c>
      <c r="BN73" s="232" t="str">
        <f>IFERROR(__xludf.DUMMYFUNCTION("""COMPUTED_VALUE"""),"")</f>
        <v/>
      </c>
      <c r="BO73" s="233" t="str">
        <f>IFERROR(__xludf.DUMMYFUNCTION("""COMPUTED_VALUE"""),"")</f>
        <v/>
      </c>
      <c r="BP73" s="231" t="str">
        <f>IFERROR(__xludf.DUMMYFUNCTION("""COMPUTED_VALUE"""),"")</f>
        <v/>
      </c>
      <c r="BQ73" s="232">
        <f>IFERROR(__xludf.DUMMYFUNCTION("""COMPUTED_VALUE"""),10.4)</f>
        <v>10.4</v>
      </c>
      <c r="BR73" s="233" t="str">
        <f>IFERROR(__xludf.DUMMYFUNCTION("""COMPUTED_VALUE"""),"")</f>
        <v/>
      </c>
      <c r="BS73" s="231">
        <f>IFERROR(__xludf.DUMMYFUNCTION("""COMPUTED_VALUE"""),8.3)</f>
        <v>8.3</v>
      </c>
      <c r="BT73" s="232" t="str">
        <f>IFERROR(__xludf.DUMMYFUNCTION("""COMPUTED_VALUE"""),"")</f>
        <v/>
      </c>
      <c r="BU73" s="233" t="str">
        <f>IFERROR(__xludf.DUMMYFUNCTION("""COMPUTED_VALUE"""),"")</f>
        <v/>
      </c>
      <c r="BV73" s="231" t="str">
        <f>IFERROR(__xludf.DUMMYFUNCTION("""COMPUTED_VALUE"""),"")</f>
        <v/>
      </c>
      <c r="BW73" s="232" t="str">
        <f>IFERROR(__xludf.DUMMYFUNCTION("""COMPUTED_VALUE"""),"")</f>
        <v/>
      </c>
      <c r="BX73" s="233" t="str">
        <f>IFERROR(__xludf.DUMMYFUNCTION("""COMPUTED_VALUE"""),"")</f>
        <v/>
      </c>
      <c r="BY73" s="231" t="str">
        <f>IFERROR(__xludf.DUMMYFUNCTION("""COMPUTED_VALUE"""),"")</f>
        <v/>
      </c>
      <c r="BZ73" s="232" t="str">
        <f>IFERROR(__xludf.DUMMYFUNCTION("""COMPUTED_VALUE"""),"")</f>
        <v/>
      </c>
      <c r="CA73" s="233" t="str">
        <f>IFERROR(__xludf.DUMMYFUNCTION("""COMPUTED_VALUE"""),"")</f>
        <v/>
      </c>
      <c r="CB73" s="231" t="str">
        <f>IFERROR(__xludf.DUMMYFUNCTION("""COMPUTED_VALUE"""),"")</f>
        <v/>
      </c>
      <c r="CC73" s="232" t="str">
        <f>IFERROR(__xludf.DUMMYFUNCTION("""COMPUTED_VALUE"""),"")</f>
        <v/>
      </c>
      <c r="CD73" s="233" t="str">
        <f>IFERROR(__xludf.DUMMYFUNCTION("""COMPUTED_VALUE"""),"")</f>
        <v/>
      </c>
      <c r="CE73" s="234" t="str">
        <f>IFERROR(__xludf.DUMMYFUNCTION("""COMPUTED_VALUE"""),"")</f>
        <v/>
      </c>
      <c r="CF73" s="230" t="str">
        <f>IFERROR(__xludf.DUMMYFUNCTION("""COMPUTED_VALUE"""),"")</f>
        <v/>
      </c>
      <c r="CG73" s="235" t="str">
        <f>IFERROR(__xludf.DUMMYFUNCTION("""COMPUTED_VALUE"""),"")</f>
        <v/>
      </c>
      <c r="CH73" s="234">
        <f>IFERROR(__xludf.DUMMYFUNCTION("""COMPUTED_VALUE"""),10.2)</f>
        <v>10.2</v>
      </c>
      <c r="CI73" s="230" t="str">
        <f>IFERROR(__xludf.DUMMYFUNCTION("""COMPUTED_VALUE"""),"")</f>
        <v/>
      </c>
      <c r="CJ73" s="235" t="str">
        <f>IFERROR(__xludf.DUMMYFUNCTION("""COMPUTED_VALUE"""),"")</f>
        <v/>
      </c>
      <c r="CK73" s="95">
        <f>IFERROR(__xludf.DUMMYFUNCTION("""COMPUTED_VALUE"""),10.2)</f>
        <v>10.2</v>
      </c>
      <c r="CL73" s="96" t="str">
        <f>IFERROR(__xludf.DUMMYFUNCTION("""COMPUTED_VALUE"""),"")</f>
        <v/>
      </c>
      <c r="CM73" s="97" t="str">
        <f>IFERROR(__xludf.DUMMYFUNCTION("""COMPUTED_VALUE"""),"")</f>
        <v/>
      </c>
      <c r="CN73" s="95" t="str">
        <f>IFERROR(__xludf.DUMMYFUNCTION("""COMPUTED_VALUE"""),"")</f>
        <v/>
      </c>
      <c r="CO73" s="96" t="str">
        <f>IFERROR(__xludf.DUMMYFUNCTION("""COMPUTED_VALUE"""),"")</f>
        <v/>
      </c>
      <c r="CP73" s="97" t="str">
        <f>IFERROR(__xludf.DUMMYFUNCTION("""COMPUTED_VALUE"""),"")</f>
        <v/>
      </c>
      <c r="CQ73" s="95" t="str">
        <f>IFERROR(__xludf.DUMMYFUNCTION("""COMPUTED_VALUE"""),"")</f>
        <v/>
      </c>
      <c r="CR73" s="96" t="str">
        <f>IFERROR(__xludf.DUMMYFUNCTION("""COMPUTED_VALUE"""),"")</f>
        <v/>
      </c>
      <c r="CS73" s="97" t="str">
        <f>IFERROR(__xludf.DUMMYFUNCTION("""COMPUTED_VALUE"""),"#REF!")</f>
        <v>#REF!</v>
      </c>
      <c r="CT73" s="95" t="str">
        <f>IFERROR(__xludf.DUMMYFUNCTION("""COMPUTED_VALUE"""),"#REF!")</f>
        <v>#REF!</v>
      </c>
      <c r="CU73" s="96" t="str">
        <f>IFERROR(__xludf.DUMMYFUNCTION("""COMPUTED_VALUE"""),"#REF!")</f>
        <v>#REF!</v>
      </c>
      <c r="CV73" s="97" t="str">
        <f>IFERROR(__xludf.DUMMYFUNCTION("""COMPUTED_VALUE"""),"#REF!")</f>
        <v>#REF!</v>
      </c>
      <c r="CW73" s="95" t="str">
        <f>IFERROR(__xludf.DUMMYFUNCTION("""COMPUTED_VALUE"""),"#REF!")</f>
        <v>#REF!</v>
      </c>
      <c r="CX73" s="96" t="str">
        <f>IFERROR(__xludf.DUMMYFUNCTION("""COMPUTED_VALUE"""),"#REF!")</f>
        <v>#REF!</v>
      </c>
      <c r="CY73" s="97" t="str">
        <f>IFERROR(__xludf.DUMMYFUNCTION("""COMPUTED_VALUE"""),"#REF!")</f>
        <v>#REF!</v>
      </c>
      <c r="CZ73" s="95" t="str">
        <f>IFERROR(__xludf.DUMMYFUNCTION("""COMPUTED_VALUE"""),"#REF!")</f>
        <v>#REF!</v>
      </c>
      <c r="DA73" s="96" t="str">
        <f>IFERROR(__xludf.DUMMYFUNCTION("""COMPUTED_VALUE"""),"#REF!")</f>
        <v>#REF!</v>
      </c>
      <c r="DB73" s="97" t="str">
        <f>IFERROR(__xludf.DUMMYFUNCTION("""COMPUTED_VALUE"""),"#REF!")</f>
        <v>#REF!</v>
      </c>
      <c r="DC73" s="95" t="str">
        <f>IFERROR(__xludf.DUMMYFUNCTION("""COMPUTED_VALUE"""),"#REF!")</f>
        <v>#REF!</v>
      </c>
      <c r="DD73" s="96" t="str">
        <f>IFERROR(__xludf.DUMMYFUNCTION("""COMPUTED_VALUE"""),"#REF!")</f>
        <v>#REF!</v>
      </c>
      <c r="DE73" s="97" t="str">
        <f>IFERROR(__xludf.DUMMYFUNCTION("""COMPUTED_VALUE"""),"#REF!")</f>
        <v>#REF!</v>
      </c>
      <c r="DF73" s="95" t="str">
        <f>IFERROR(__xludf.DUMMYFUNCTION("""COMPUTED_VALUE"""),"#REF!")</f>
        <v>#REF!</v>
      </c>
      <c r="DG73" s="96" t="str">
        <f>IFERROR(__xludf.DUMMYFUNCTION("""COMPUTED_VALUE"""),"#REF!")</f>
        <v>#REF!</v>
      </c>
      <c r="DH73" s="97" t="str">
        <f>IFERROR(__xludf.DUMMYFUNCTION("""COMPUTED_VALUE"""),"#REF!")</f>
        <v>#REF!</v>
      </c>
      <c r="DI73" s="95" t="str">
        <f>IFERROR(__xludf.DUMMYFUNCTION("""COMPUTED_VALUE"""),"#REF!")</f>
        <v>#REF!</v>
      </c>
      <c r="DJ73" s="96" t="str">
        <f>IFERROR(__xludf.DUMMYFUNCTION("""COMPUTED_VALUE"""),"#REF!")</f>
        <v>#REF!</v>
      </c>
      <c r="DK73" s="97" t="str">
        <f>IFERROR(__xludf.DUMMYFUNCTION("""COMPUTED_VALUE"""),"#REF!")</f>
        <v>#REF!</v>
      </c>
      <c r="DL73" s="95" t="str">
        <f>IFERROR(__xludf.DUMMYFUNCTION("""COMPUTED_VALUE"""),"#REF!")</f>
        <v>#REF!</v>
      </c>
      <c r="DM73" s="96" t="str">
        <f>IFERROR(__xludf.DUMMYFUNCTION("""COMPUTED_VALUE"""),"#REF!")</f>
        <v>#REF!</v>
      </c>
      <c r="DN73" s="97" t="str">
        <f>IFERROR(__xludf.DUMMYFUNCTION("""COMPUTED_VALUE"""),"#REF!")</f>
        <v>#REF!</v>
      </c>
      <c r="DO73" s="95" t="str">
        <f>IFERROR(__xludf.DUMMYFUNCTION("""COMPUTED_VALUE"""),"#REF!")</f>
        <v>#REF!</v>
      </c>
      <c r="DP73" s="96" t="str">
        <f>IFERROR(__xludf.DUMMYFUNCTION("""COMPUTED_VALUE"""),"#REF!")</f>
        <v>#REF!</v>
      </c>
      <c r="DQ73" s="97"/>
      <c r="DR73" s="95"/>
    </row>
    <row r="74">
      <c r="B74" s="120" t="str">
        <f>IFERROR(__xludf.DUMMYFUNCTION("""COMPUTED_VALUE"""),"SEP8")</f>
        <v>SEP8</v>
      </c>
      <c r="C74" s="82">
        <f>IFERROR(__xludf.DUMMYFUNCTION("""COMPUTED_VALUE"""),59.0)</f>
        <v>59</v>
      </c>
      <c r="D74" s="88" t="str">
        <f>IFERROR(__xludf.DUMMYFUNCTION("""COMPUTED_VALUE"""),"Gaul")</f>
        <v>Gaul</v>
      </c>
      <c r="E74" s="82" t="str">
        <f>IFERROR(__xludf.DUMMYFUNCTION("""COMPUTED_VALUE"""),"ガリア")</f>
        <v>ガリア</v>
      </c>
      <c r="F74" s="102">
        <f>IFERROR(__xludf.DUMMYFUNCTION("""COMPUTED_VALUE"""),9.0)</f>
        <v>9</v>
      </c>
      <c r="G74" s="82">
        <f>IFERROR(__xludf.DUMMYFUNCTION("""COMPUTED_VALUE"""),1160.0)</f>
        <v>1160</v>
      </c>
      <c r="H74" s="231" t="str">
        <f>IFERROR(__xludf.DUMMYFUNCTION("""COMPUTED_VALUE"""),"")</f>
        <v/>
      </c>
      <c r="I74" s="232" t="str">
        <f>IFERROR(__xludf.DUMMYFUNCTION("""COMPUTED_VALUE"""),"")</f>
        <v/>
      </c>
      <c r="J74" s="233" t="str">
        <f>IFERROR(__xludf.DUMMYFUNCTION("""COMPUTED_VALUE"""),"")</f>
        <v/>
      </c>
      <c r="K74" s="231" t="str">
        <f>IFERROR(__xludf.DUMMYFUNCTION("""COMPUTED_VALUE"""),"")</f>
        <v/>
      </c>
      <c r="L74" s="232" t="str">
        <f>IFERROR(__xludf.DUMMYFUNCTION("""COMPUTED_VALUE"""),"")</f>
        <v/>
      </c>
      <c r="M74" s="233" t="str">
        <f>IFERROR(__xludf.DUMMYFUNCTION("""COMPUTED_VALUE"""),"")</f>
        <v/>
      </c>
      <c r="N74" s="231" t="str">
        <f>IFERROR(__xludf.DUMMYFUNCTION("""COMPUTED_VALUE"""),"")</f>
        <v/>
      </c>
      <c r="O74" s="232" t="str">
        <f>IFERROR(__xludf.DUMMYFUNCTION("""COMPUTED_VALUE"""),"")</f>
        <v/>
      </c>
      <c r="P74" s="233" t="str">
        <f>IFERROR(__xludf.DUMMYFUNCTION("""COMPUTED_VALUE"""),"")</f>
        <v/>
      </c>
      <c r="Q74" s="231" t="str">
        <f>IFERROR(__xludf.DUMMYFUNCTION("""COMPUTED_VALUE"""),"")</f>
        <v/>
      </c>
      <c r="R74" s="232" t="str">
        <f>IFERROR(__xludf.DUMMYFUNCTION("""COMPUTED_VALUE"""),"")</f>
        <v/>
      </c>
      <c r="S74" s="233" t="str">
        <f>IFERROR(__xludf.DUMMYFUNCTION("""COMPUTED_VALUE"""),"")</f>
        <v/>
      </c>
      <c r="T74" s="231" t="str">
        <f>IFERROR(__xludf.DUMMYFUNCTION("""COMPUTED_VALUE"""),"")</f>
        <v/>
      </c>
      <c r="U74" s="232" t="str">
        <f>IFERROR(__xludf.DUMMYFUNCTION("""COMPUTED_VALUE"""),"")</f>
        <v/>
      </c>
      <c r="V74" s="233" t="str">
        <f>IFERROR(__xludf.DUMMYFUNCTION("""COMPUTED_VALUE"""),"")</f>
        <v/>
      </c>
      <c r="W74" s="231" t="str">
        <f>IFERROR(__xludf.DUMMYFUNCTION("""COMPUTED_VALUE"""),"")</f>
        <v/>
      </c>
      <c r="X74" s="232" t="str">
        <f>IFERROR(__xludf.DUMMYFUNCTION("""COMPUTED_VALUE"""),"")</f>
        <v/>
      </c>
      <c r="Y74" s="233" t="str">
        <f>IFERROR(__xludf.DUMMYFUNCTION("""COMPUTED_VALUE"""),"")</f>
        <v/>
      </c>
      <c r="Z74" s="231" t="str">
        <f>IFERROR(__xludf.DUMMYFUNCTION("""COMPUTED_VALUE"""),"")</f>
        <v/>
      </c>
      <c r="AA74" s="232" t="str">
        <f>IFERROR(__xludf.DUMMYFUNCTION("""COMPUTED_VALUE"""),"")</f>
        <v/>
      </c>
      <c r="AB74" s="233">
        <f>IFERROR(__xludf.DUMMYFUNCTION("""COMPUTED_VALUE"""),5.9)</f>
        <v>5.9</v>
      </c>
      <c r="AC74" s="231" t="str">
        <f>IFERROR(__xludf.DUMMYFUNCTION("""COMPUTED_VALUE"""),"")</f>
        <v/>
      </c>
      <c r="AD74" s="232" t="str">
        <f>IFERROR(__xludf.DUMMYFUNCTION("""COMPUTED_VALUE"""),"")</f>
        <v/>
      </c>
      <c r="AE74" s="233" t="str">
        <f>IFERROR(__xludf.DUMMYFUNCTION("""COMPUTED_VALUE"""),"")</f>
        <v/>
      </c>
      <c r="AF74" s="231" t="str">
        <f>IFERROR(__xludf.DUMMYFUNCTION("""COMPUTED_VALUE"""),"")</f>
        <v/>
      </c>
      <c r="AG74" s="232" t="str">
        <f>IFERROR(__xludf.DUMMYFUNCTION("""COMPUTED_VALUE"""),"")</f>
        <v/>
      </c>
      <c r="AH74" s="233" t="str">
        <f>IFERROR(__xludf.DUMMYFUNCTION("""COMPUTED_VALUE"""),"")</f>
        <v/>
      </c>
      <c r="AI74" s="231" t="str">
        <f>IFERROR(__xludf.DUMMYFUNCTION("""COMPUTED_VALUE"""),"")</f>
        <v/>
      </c>
      <c r="AJ74" s="232" t="str">
        <f>IFERROR(__xludf.DUMMYFUNCTION("""COMPUTED_VALUE"""),"")</f>
        <v/>
      </c>
      <c r="AK74" s="233" t="str">
        <f>IFERROR(__xludf.DUMMYFUNCTION("""COMPUTED_VALUE"""),"")</f>
        <v/>
      </c>
      <c r="AL74" s="231" t="str">
        <f>IFERROR(__xludf.DUMMYFUNCTION("""COMPUTED_VALUE"""),"")</f>
        <v/>
      </c>
      <c r="AM74" s="232" t="str">
        <f>IFERROR(__xludf.DUMMYFUNCTION("""COMPUTED_VALUE"""),"")</f>
        <v/>
      </c>
      <c r="AN74" s="233" t="str">
        <f>IFERROR(__xludf.DUMMYFUNCTION("""COMPUTED_VALUE"""),"")</f>
        <v/>
      </c>
      <c r="AO74" s="231" t="str">
        <f>IFERROR(__xludf.DUMMYFUNCTION("""COMPUTED_VALUE"""),"")</f>
        <v/>
      </c>
      <c r="AP74" s="232" t="str">
        <f>IFERROR(__xludf.DUMMYFUNCTION("""COMPUTED_VALUE"""),"")</f>
        <v/>
      </c>
      <c r="AQ74" s="233" t="str">
        <f>IFERROR(__xludf.DUMMYFUNCTION("""COMPUTED_VALUE"""),"")</f>
        <v/>
      </c>
      <c r="AR74" s="231" t="str">
        <f>IFERROR(__xludf.DUMMYFUNCTION("""COMPUTED_VALUE"""),"")</f>
        <v/>
      </c>
      <c r="AS74" s="232" t="str">
        <f>IFERROR(__xludf.DUMMYFUNCTION("""COMPUTED_VALUE"""),"")</f>
        <v/>
      </c>
      <c r="AT74" s="233">
        <f>IFERROR(__xludf.DUMMYFUNCTION("""COMPUTED_VALUE"""),14.9)</f>
        <v>14.9</v>
      </c>
      <c r="AU74" s="231" t="str">
        <f>IFERROR(__xludf.DUMMYFUNCTION("""COMPUTED_VALUE"""),"")</f>
        <v/>
      </c>
      <c r="AV74" s="232" t="str">
        <f>IFERROR(__xludf.DUMMYFUNCTION("""COMPUTED_VALUE"""),"")</f>
        <v/>
      </c>
      <c r="AW74" s="233">
        <f>IFERROR(__xludf.DUMMYFUNCTION("""COMPUTED_VALUE"""),7.9)</f>
        <v>7.9</v>
      </c>
      <c r="AX74" s="231" t="str">
        <f>IFERROR(__xludf.DUMMYFUNCTION("""COMPUTED_VALUE"""),"")</f>
        <v/>
      </c>
      <c r="AY74" s="232" t="str">
        <f>IFERROR(__xludf.DUMMYFUNCTION("""COMPUTED_VALUE"""),"")</f>
        <v/>
      </c>
      <c r="AZ74" s="233" t="str">
        <f>IFERROR(__xludf.DUMMYFUNCTION("""COMPUTED_VALUE"""),"")</f>
        <v/>
      </c>
      <c r="BA74" s="231" t="str">
        <f>IFERROR(__xludf.DUMMYFUNCTION("""COMPUTED_VALUE"""),"")</f>
        <v/>
      </c>
      <c r="BB74" s="232" t="str">
        <f>IFERROR(__xludf.DUMMYFUNCTION("""COMPUTED_VALUE"""),"")</f>
        <v/>
      </c>
      <c r="BC74" s="233" t="str">
        <f>IFERROR(__xludf.DUMMYFUNCTION("""COMPUTED_VALUE"""),"")</f>
        <v/>
      </c>
      <c r="BD74" s="231" t="str">
        <f>IFERROR(__xludf.DUMMYFUNCTION("""COMPUTED_VALUE"""),"")</f>
        <v/>
      </c>
      <c r="BE74" s="232" t="str">
        <f>IFERROR(__xludf.DUMMYFUNCTION("""COMPUTED_VALUE"""),"")</f>
        <v/>
      </c>
      <c r="BF74" s="233" t="str">
        <f>IFERROR(__xludf.DUMMYFUNCTION("""COMPUTED_VALUE"""),"")</f>
        <v/>
      </c>
      <c r="BG74" s="231" t="str">
        <f>IFERROR(__xludf.DUMMYFUNCTION("""COMPUTED_VALUE"""),"")</f>
        <v/>
      </c>
      <c r="BH74" s="232" t="str">
        <f>IFERROR(__xludf.DUMMYFUNCTION("""COMPUTED_VALUE"""),"")</f>
        <v/>
      </c>
      <c r="BI74" s="233" t="str">
        <f>IFERROR(__xludf.DUMMYFUNCTION("""COMPUTED_VALUE"""),"")</f>
        <v/>
      </c>
      <c r="BJ74" s="231" t="str">
        <f>IFERROR(__xludf.DUMMYFUNCTION("""COMPUTED_VALUE"""),"")</f>
        <v/>
      </c>
      <c r="BK74" s="232" t="str">
        <f>IFERROR(__xludf.DUMMYFUNCTION("""COMPUTED_VALUE"""),"")</f>
        <v/>
      </c>
      <c r="BL74" s="233" t="str">
        <f>IFERROR(__xludf.DUMMYFUNCTION("""COMPUTED_VALUE"""),"")</f>
        <v/>
      </c>
      <c r="BM74" s="231" t="str">
        <f>IFERROR(__xludf.DUMMYFUNCTION("""COMPUTED_VALUE"""),"")</f>
        <v/>
      </c>
      <c r="BN74" s="232" t="str">
        <f>IFERROR(__xludf.DUMMYFUNCTION("""COMPUTED_VALUE"""),"")</f>
        <v/>
      </c>
      <c r="BO74" s="233" t="str">
        <f>IFERROR(__xludf.DUMMYFUNCTION("""COMPUTED_VALUE"""),"")</f>
        <v/>
      </c>
      <c r="BP74" s="231" t="str">
        <f>IFERROR(__xludf.DUMMYFUNCTION("""COMPUTED_VALUE"""),"")</f>
        <v/>
      </c>
      <c r="BQ74" s="232" t="str">
        <f>IFERROR(__xludf.DUMMYFUNCTION("""COMPUTED_VALUE"""),"")</f>
        <v/>
      </c>
      <c r="BR74" s="233">
        <f>IFERROR(__xludf.DUMMYFUNCTION("""COMPUTED_VALUE"""),9.1)</f>
        <v>9.1</v>
      </c>
      <c r="BS74" s="231">
        <f>IFERROR(__xludf.DUMMYFUNCTION("""COMPUTED_VALUE"""),12.2)</f>
        <v>12.2</v>
      </c>
      <c r="BT74" s="232" t="str">
        <f>IFERROR(__xludf.DUMMYFUNCTION("""COMPUTED_VALUE"""),"")</f>
        <v/>
      </c>
      <c r="BU74" s="233" t="str">
        <f>IFERROR(__xludf.DUMMYFUNCTION("""COMPUTED_VALUE"""),"")</f>
        <v/>
      </c>
      <c r="BV74" s="231" t="str">
        <f>IFERROR(__xludf.DUMMYFUNCTION("""COMPUTED_VALUE"""),"")</f>
        <v/>
      </c>
      <c r="BW74" s="232">
        <f>IFERROR(__xludf.DUMMYFUNCTION("""COMPUTED_VALUE"""),16.4)</f>
        <v>16.4</v>
      </c>
      <c r="BX74" s="233" t="str">
        <f>IFERROR(__xludf.DUMMYFUNCTION("""COMPUTED_VALUE"""),"")</f>
        <v/>
      </c>
      <c r="BY74" s="231" t="str">
        <f>IFERROR(__xludf.DUMMYFUNCTION("""COMPUTED_VALUE"""),"")</f>
        <v/>
      </c>
      <c r="BZ74" s="232" t="str">
        <f>IFERROR(__xludf.DUMMYFUNCTION("""COMPUTED_VALUE"""),"")</f>
        <v/>
      </c>
      <c r="CA74" s="233" t="str">
        <f>IFERROR(__xludf.DUMMYFUNCTION("""COMPUTED_VALUE"""),"")</f>
        <v/>
      </c>
      <c r="CB74" s="231" t="str">
        <f>IFERROR(__xludf.DUMMYFUNCTION("""COMPUTED_VALUE"""),"")</f>
        <v/>
      </c>
      <c r="CC74" s="232" t="str">
        <f>IFERROR(__xludf.DUMMYFUNCTION("""COMPUTED_VALUE"""),"")</f>
        <v/>
      </c>
      <c r="CD74" s="233" t="str">
        <f>IFERROR(__xludf.DUMMYFUNCTION("""COMPUTED_VALUE"""),"")</f>
        <v/>
      </c>
      <c r="CE74" s="234">
        <f>IFERROR(__xludf.DUMMYFUNCTION("""COMPUTED_VALUE"""),9.3)</f>
        <v>9.3</v>
      </c>
      <c r="CF74" s="230" t="str">
        <f>IFERROR(__xludf.DUMMYFUNCTION("""COMPUTED_VALUE"""),"")</f>
        <v/>
      </c>
      <c r="CG74" s="235" t="str">
        <f>IFERROR(__xludf.DUMMYFUNCTION("""COMPUTED_VALUE"""),"")</f>
        <v/>
      </c>
      <c r="CH74" s="234" t="str">
        <f>IFERROR(__xludf.DUMMYFUNCTION("""COMPUTED_VALUE"""),"")</f>
        <v/>
      </c>
      <c r="CI74" s="230" t="str">
        <f>IFERROR(__xludf.DUMMYFUNCTION("""COMPUTED_VALUE"""),"")</f>
        <v/>
      </c>
      <c r="CJ74" s="235" t="str">
        <f>IFERROR(__xludf.DUMMYFUNCTION("""COMPUTED_VALUE"""),"")</f>
        <v/>
      </c>
      <c r="CK74" s="95" t="str">
        <f>IFERROR(__xludf.DUMMYFUNCTION("""COMPUTED_VALUE"""),"")</f>
        <v/>
      </c>
      <c r="CL74" s="96" t="str">
        <f>IFERROR(__xludf.DUMMYFUNCTION("""COMPUTED_VALUE"""),"")</f>
        <v/>
      </c>
      <c r="CM74" s="97" t="str">
        <f>IFERROR(__xludf.DUMMYFUNCTION("""COMPUTED_VALUE"""),"")</f>
        <v/>
      </c>
      <c r="CN74" s="95" t="str">
        <f>IFERROR(__xludf.DUMMYFUNCTION("""COMPUTED_VALUE"""),"")</f>
        <v/>
      </c>
      <c r="CO74" s="96" t="str">
        <f>IFERROR(__xludf.DUMMYFUNCTION("""COMPUTED_VALUE"""),"")</f>
        <v/>
      </c>
      <c r="CP74" s="97" t="str">
        <f>IFERROR(__xludf.DUMMYFUNCTION("""COMPUTED_VALUE"""),"")</f>
        <v/>
      </c>
      <c r="CQ74" s="95" t="str">
        <f>IFERROR(__xludf.DUMMYFUNCTION("""COMPUTED_VALUE"""),"")</f>
        <v/>
      </c>
      <c r="CR74" s="96" t="str">
        <f>IFERROR(__xludf.DUMMYFUNCTION("""COMPUTED_VALUE"""),"")</f>
        <v/>
      </c>
      <c r="CS74" s="97" t="str">
        <f>IFERROR(__xludf.DUMMYFUNCTION("""COMPUTED_VALUE"""),"#REF!")</f>
        <v>#REF!</v>
      </c>
      <c r="CT74" s="95" t="str">
        <f>IFERROR(__xludf.DUMMYFUNCTION("""COMPUTED_VALUE"""),"#REF!")</f>
        <v>#REF!</v>
      </c>
      <c r="CU74" s="96" t="str">
        <f>IFERROR(__xludf.DUMMYFUNCTION("""COMPUTED_VALUE"""),"#REF!")</f>
        <v>#REF!</v>
      </c>
      <c r="CV74" s="97" t="str">
        <f>IFERROR(__xludf.DUMMYFUNCTION("""COMPUTED_VALUE"""),"#REF!")</f>
        <v>#REF!</v>
      </c>
      <c r="CW74" s="95" t="str">
        <f>IFERROR(__xludf.DUMMYFUNCTION("""COMPUTED_VALUE"""),"#REF!")</f>
        <v>#REF!</v>
      </c>
      <c r="CX74" s="96" t="str">
        <f>IFERROR(__xludf.DUMMYFUNCTION("""COMPUTED_VALUE"""),"#REF!")</f>
        <v>#REF!</v>
      </c>
      <c r="CY74" s="97" t="str">
        <f>IFERROR(__xludf.DUMMYFUNCTION("""COMPUTED_VALUE"""),"#REF!")</f>
        <v>#REF!</v>
      </c>
      <c r="CZ74" s="95" t="str">
        <f>IFERROR(__xludf.DUMMYFUNCTION("""COMPUTED_VALUE"""),"#REF!")</f>
        <v>#REF!</v>
      </c>
      <c r="DA74" s="96" t="str">
        <f>IFERROR(__xludf.DUMMYFUNCTION("""COMPUTED_VALUE"""),"#REF!")</f>
        <v>#REF!</v>
      </c>
      <c r="DB74" s="97" t="str">
        <f>IFERROR(__xludf.DUMMYFUNCTION("""COMPUTED_VALUE"""),"#REF!")</f>
        <v>#REF!</v>
      </c>
      <c r="DC74" s="95" t="str">
        <f>IFERROR(__xludf.DUMMYFUNCTION("""COMPUTED_VALUE"""),"#REF!")</f>
        <v>#REF!</v>
      </c>
      <c r="DD74" s="96" t="str">
        <f>IFERROR(__xludf.DUMMYFUNCTION("""COMPUTED_VALUE"""),"#REF!")</f>
        <v>#REF!</v>
      </c>
      <c r="DE74" s="97" t="str">
        <f>IFERROR(__xludf.DUMMYFUNCTION("""COMPUTED_VALUE"""),"#REF!")</f>
        <v>#REF!</v>
      </c>
      <c r="DF74" s="95" t="str">
        <f>IFERROR(__xludf.DUMMYFUNCTION("""COMPUTED_VALUE"""),"#REF!")</f>
        <v>#REF!</v>
      </c>
      <c r="DG74" s="96" t="str">
        <f>IFERROR(__xludf.DUMMYFUNCTION("""COMPUTED_VALUE"""),"#REF!")</f>
        <v>#REF!</v>
      </c>
      <c r="DH74" s="97" t="str">
        <f>IFERROR(__xludf.DUMMYFUNCTION("""COMPUTED_VALUE"""),"#REF!")</f>
        <v>#REF!</v>
      </c>
      <c r="DI74" s="95" t="str">
        <f>IFERROR(__xludf.DUMMYFUNCTION("""COMPUTED_VALUE"""),"#REF!")</f>
        <v>#REF!</v>
      </c>
      <c r="DJ74" s="96" t="str">
        <f>IFERROR(__xludf.DUMMYFUNCTION("""COMPUTED_VALUE"""),"#REF!")</f>
        <v>#REF!</v>
      </c>
      <c r="DK74" s="97" t="str">
        <f>IFERROR(__xludf.DUMMYFUNCTION("""COMPUTED_VALUE"""),"#REF!")</f>
        <v>#REF!</v>
      </c>
      <c r="DL74" s="95" t="str">
        <f>IFERROR(__xludf.DUMMYFUNCTION("""COMPUTED_VALUE"""),"#REF!")</f>
        <v>#REF!</v>
      </c>
      <c r="DM74" s="96" t="str">
        <f>IFERROR(__xludf.DUMMYFUNCTION("""COMPUTED_VALUE"""),"#REF!")</f>
        <v>#REF!</v>
      </c>
      <c r="DN74" s="97" t="str">
        <f>IFERROR(__xludf.DUMMYFUNCTION("""COMPUTED_VALUE"""),"#REF!")</f>
        <v>#REF!</v>
      </c>
      <c r="DO74" s="95" t="str">
        <f>IFERROR(__xludf.DUMMYFUNCTION("""COMPUTED_VALUE"""),"#REF!")</f>
        <v>#REF!</v>
      </c>
      <c r="DP74" s="96" t="str">
        <f>IFERROR(__xludf.DUMMYFUNCTION("""COMPUTED_VALUE"""),"#REF!")</f>
        <v>#REF!</v>
      </c>
      <c r="DQ74" s="97"/>
      <c r="DR74" s="95"/>
    </row>
    <row r="75">
      <c r="B75" s="120" t="str">
        <f>IFERROR(__xludf.DUMMYFUNCTION("""COMPUTED_VALUE"""),"SEP9")</f>
        <v>SEP9</v>
      </c>
      <c r="C75" s="82">
        <f>IFERROR(__xludf.DUMMYFUNCTION("""COMPUTED_VALUE"""),60.0)</f>
        <v>60</v>
      </c>
      <c r="D75" s="88" t="str">
        <f>IFERROR(__xludf.DUMMYFUNCTION("""COMPUTED_VALUE"""),"Britannia")</f>
        <v>Britannia</v>
      </c>
      <c r="E75" s="82" t="str">
        <f>IFERROR(__xludf.DUMMYFUNCTION("""COMPUTED_VALUE"""),"ブリタニア")</f>
        <v>ブリタニア</v>
      </c>
      <c r="F75" s="102">
        <f>IFERROR(__xludf.DUMMYFUNCTION("""COMPUTED_VALUE"""),10.0)</f>
        <v>10</v>
      </c>
      <c r="G75" s="82">
        <f>IFERROR(__xludf.DUMMYFUNCTION("""COMPUTED_VALUE"""),1135.0)</f>
        <v>1135</v>
      </c>
      <c r="H75" s="231" t="str">
        <f>IFERROR(__xludf.DUMMYFUNCTION("""COMPUTED_VALUE"""),"")</f>
        <v/>
      </c>
      <c r="I75" s="232" t="str">
        <f>IFERROR(__xludf.DUMMYFUNCTION("""COMPUTED_VALUE"""),"")</f>
        <v/>
      </c>
      <c r="J75" s="233" t="str">
        <f>IFERROR(__xludf.DUMMYFUNCTION("""COMPUTED_VALUE"""),"")</f>
        <v/>
      </c>
      <c r="K75" s="231" t="str">
        <f>IFERROR(__xludf.DUMMYFUNCTION("""COMPUTED_VALUE"""),"")</f>
        <v/>
      </c>
      <c r="L75" s="232" t="str">
        <f>IFERROR(__xludf.DUMMYFUNCTION("""COMPUTED_VALUE"""),"")</f>
        <v/>
      </c>
      <c r="M75" s="233" t="str">
        <f>IFERROR(__xludf.DUMMYFUNCTION("""COMPUTED_VALUE"""),"")</f>
        <v/>
      </c>
      <c r="N75" s="231" t="str">
        <f>IFERROR(__xludf.DUMMYFUNCTION("""COMPUTED_VALUE"""),"")</f>
        <v/>
      </c>
      <c r="O75" s="232" t="str">
        <f>IFERROR(__xludf.DUMMYFUNCTION("""COMPUTED_VALUE"""),"")</f>
        <v/>
      </c>
      <c r="P75" s="233" t="str">
        <f>IFERROR(__xludf.DUMMYFUNCTION("""COMPUTED_VALUE"""),"")</f>
        <v/>
      </c>
      <c r="Q75" s="231" t="str">
        <f>IFERROR(__xludf.DUMMYFUNCTION("""COMPUTED_VALUE"""),"")</f>
        <v/>
      </c>
      <c r="R75" s="232" t="str">
        <f>IFERROR(__xludf.DUMMYFUNCTION("""COMPUTED_VALUE"""),"")</f>
        <v/>
      </c>
      <c r="S75" s="233" t="str">
        <f>IFERROR(__xludf.DUMMYFUNCTION("""COMPUTED_VALUE"""),"")</f>
        <v/>
      </c>
      <c r="T75" s="231" t="str">
        <f>IFERROR(__xludf.DUMMYFUNCTION("""COMPUTED_VALUE"""),"")</f>
        <v/>
      </c>
      <c r="U75" s="232" t="str">
        <f>IFERROR(__xludf.DUMMYFUNCTION("""COMPUTED_VALUE"""),"")</f>
        <v/>
      </c>
      <c r="V75" s="233" t="str">
        <f>IFERROR(__xludf.DUMMYFUNCTION("""COMPUTED_VALUE"""),"")</f>
        <v/>
      </c>
      <c r="W75" s="231" t="str">
        <f>IFERROR(__xludf.DUMMYFUNCTION("""COMPUTED_VALUE"""),"")</f>
        <v/>
      </c>
      <c r="X75" s="232" t="str">
        <f>IFERROR(__xludf.DUMMYFUNCTION("""COMPUTED_VALUE"""),"")</f>
        <v/>
      </c>
      <c r="Y75" s="233" t="str">
        <f>IFERROR(__xludf.DUMMYFUNCTION("""COMPUTED_VALUE"""),"")</f>
        <v/>
      </c>
      <c r="Z75" s="231">
        <f>IFERROR(__xludf.DUMMYFUNCTION("""COMPUTED_VALUE"""),11.7)</f>
        <v>11.7</v>
      </c>
      <c r="AA75" s="232" t="str">
        <f>IFERROR(__xludf.DUMMYFUNCTION("""COMPUTED_VALUE"""),"")</f>
        <v/>
      </c>
      <c r="AB75" s="233" t="str">
        <f>IFERROR(__xludf.DUMMYFUNCTION("""COMPUTED_VALUE"""),"")</f>
        <v/>
      </c>
      <c r="AC75" s="231" t="str">
        <f>IFERROR(__xludf.DUMMYFUNCTION("""COMPUTED_VALUE"""),"")</f>
        <v/>
      </c>
      <c r="AD75" s="232" t="str">
        <f>IFERROR(__xludf.DUMMYFUNCTION("""COMPUTED_VALUE"""),"")</f>
        <v/>
      </c>
      <c r="AE75" s="233" t="str">
        <f>IFERROR(__xludf.DUMMYFUNCTION("""COMPUTED_VALUE"""),"")</f>
        <v/>
      </c>
      <c r="AF75" s="231" t="str">
        <f>IFERROR(__xludf.DUMMYFUNCTION("""COMPUTED_VALUE"""),"")</f>
        <v/>
      </c>
      <c r="AG75" s="232" t="str">
        <f>IFERROR(__xludf.DUMMYFUNCTION("""COMPUTED_VALUE"""),"")</f>
        <v/>
      </c>
      <c r="AH75" s="233" t="str">
        <f>IFERROR(__xludf.DUMMYFUNCTION("""COMPUTED_VALUE"""),"")</f>
        <v/>
      </c>
      <c r="AI75" s="231" t="str">
        <f>IFERROR(__xludf.DUMMYFUNCTION("""COMPUTED_VALUE"""),"")</f>
        <v/>
      </c>
      <c r="AJ75" s="232" t="str">
        <f>IFERROR(__xludf.DUMMYFUNCTION("""COMPUTED_VALUE"""),"")</f>
        <v/>
      </c>
      <c r="AK75" s="233" t="str">
        <f>IFERROR(__xludf.DUMMYFUNCTION("""COMPUTED_VALUE"""),"")</f>
        <v/>
      </c>
      <c r="AL75" s="231" t="str">
        <f>IFERROR(__xludf.DUMMYFUNCTION("""COMPUTED_VALUE"""),"")</f>
        <v/>
      </c>
      <c r="AM75" s="232" t="str">
        <f>IFERROR(__xludf.DUMMYFUNCTION("""COMPUTED_VALUE"""),"")</f>
        <v/>
      </c>
      <c r="AN75" s="233" t="str">
        <f>IFERROR(__xludf.DUMMYFUNCTION("""COMPUTED_VALUE"""),"")</f>
        <v/>
      </c>
      <c r="AO75" s="231" t="str">
        <f>IFERROR(__xludf.DUMMYFUNCTION("""COMPUTED_VALUE"""),"")</f>
        <v/>
      </c>
      <c r="AP75" s="232" t="str">
        <f>IFERROR(__xludf.DUMMYFUNCTION("""COMPUTED_VALUE"""),"")</f>
        <v/>
      </c>
      <c r="AQ75" s="233" t="str">
        <f>IFERROR(__xludf.DUMMYFUNCTION("""COMPUTED_VALUE"""),"")</f>
        <v/>
      </c>
      <c r="AR75" s="231" t="str">
        <f>IFERROR(__xludf.DUMMYFUNCTION("""COMPUTED_VALUE"""),"")</f>
        <v/>
      </c>
      <c r="AS75" s="232" t="str">
        <f>IFERROR(__xludf.DUMMYFUNCTION("""COMPUTED_VALUE"""),"")</f>
        <v/>
      </c>
      <c r="AT75" s="233" t="str">
        <f>IFERROR(__xludf.DUMMYFUNCTION("""COMPUTED_VALUE"""),"")</f>
        <v/>
      </c>
      <c r="AU75" s="231" t="str">
        <f>IFERROR(__xludf.DUMMYFUNCTION("""COMPUTED_VALUE"""),"")</f>
        <v/>
      </c>
      <c r="AV75" s="232" t="str">
        <f>IFERROR(__xludf.DUMMYFUNCTION("""COMPUTED_VALUE"""),"")</f>
        <v/>
      </c>
      <c r="AW75" s="233" t="str">
        <f>IFERROR(__xludf.DUMMYFUNCTION("""COMPUTED_VALUE"""),"")</f>
        <v/>
      </c>
      <c r="AX75" s="231" t="str">
        <f>IFERROR(__xludf.DUMMYFUNCTION("""COMPUTED_VALUE"""),"")</f>
        <v/>
      </c>
      <c r="AY75" s="232" t="str">
        <f>IFERROR(__xludf.DUMMYFUNCTION("""COMPUTED_VALUE"""),"")</f>
        <v/>
      </c>
      <c r="AZ75" s="233" t="str">
        <f>IFERROR(__xludf.DUMMYFUNCTION("""COMPUTED_VALUE"""),"")</f>
        <v/>
      </c>
      <c r="BA75" s="231" t="str">
        <f>IFERROR(__xludf.DUMMYFUNCTION("""COMPUTED_VALUE"""),"")</f>
        <v/>
      </c>
      <c r="BB75" s="232" t="str">
        <f>IFERROR(__xludf.DUMMYFUNCTION("""COMPUTED_VALUE"""),"")</f>
        <v/>
      </c>
      <c r="BC75" s="233" t="str">
        <f>IFERROR(__xludf.DUMMYFUNCTION("""COMPUTED_VALUE"""),"")</f>
        <v/>
      </c>
      <c r="BD75" s="231" t="str">
        <f>IFERROR(__xludf.DUMMYFUNCTION("""COMPUTED_VALUE"""),"")</f>
        <v/>
      </c>
      <c r="BE75" s="232" t="str">
        <f>IFERROR(__xludf.DUMMYFUNCTION("""COMPUTED_VALUE"""),"")</f>
        <v/>
      </c>
      <c r="BF75" s="233" t="str">
        <f>IFERROR(__xludf.DUMMYFUNCTION("""COMPUTED_VALUE"""),"")</f>
        <v/>
      </c>
      <c r="BG75" s="231" t="str">
        <f>IFERROR(__xludf.DUMMYFUNCTION("""COMPUTED_VALUE"""),"")</f>
        <v/>
      </c>
      <c r="BH75" s="232" t="str">
        <f>IFERROR(__xludf.DUMMYFUNCTION("""COMPUTED_VALUE"""),"")</f>
        <v/>
      </c>
      <c r="BI75" s="233" t="str">
        <f>IFERROR(__xludf.DUMMYFUNCTION("""COMPUTED_VALUE"""),"")</f>
        <v/>
      </c>
      <c r="BJ75" s="231" t="str">
        <f>IFERROR(__xludf.DUMMYFUNCTION("""COMPUTED_VALUE"""),"")</f>
        <v/>
      </c>
      <c r="BK75" s="232" t="str">
        <f>IFERROR(__xludf.DUMMYFUNCTION("""COMPUTED_VALUE"""),"")</f>
        <v/>
      </c>
      <c r="BL75" s="233" t="str">
        <f>IFERROR(__xludf.DUMMYFUNCTION("""COMPUTED_VALUE"""),"")</f>
        <v/>
      </c>
      <c r="BM75" s="231" t="str">
        <f>IFERROR(__xludf.DUMMYFUNCTION("""COMPUTED_VALUE"""),"")</f>
        <v/>
      </c>
      <c r="BN75" s="232" t="str">
        <f>IFERROR(__xludf.DUMMYFUNCTION("""COMPUTED_VALUE"""),"")</f>
        <v/>
      </c>
      <c r="BO75" s="233" t="str">
        <f>IFERROR(__xludf.DUMMYFUNCTION("""COMPUTED_VALUE"""),"")</f>
        <v/>
      </c>
      <c r="BP75" s="231" t="str">
        <f>IFERROR(__xludf.DUMMYFUNCTION("""COMPUTED_VALUE"""),"")</f>
        <v/>
      </c>
      <c r="BQ75" s="232">
        <f>IFERROR(__xludf.DUMMYFUNCTION("""COMPUTED_VALUE"""),25.2)</f>
        <v>25.2</v>
      </c>
      <c r="BR75" s="233" t="str">
        <f>IFERROR(__xludf.DUMMYFUNCTION("""COMPUTED_VALUE"""),"")</f>
        <v/>
      </c>
      <c r="BS75" s="231">
        <f>IFERROR(__xludf.DUMMYFUNCTION("""COMPUTED_VALUE"""),24.6)</f>
        <v>24.6</v>
      </c>
      <c r="BT75" s="232" t="str">
        <f>IFERROR(__xludf.DUMMYFUNCTION("""COMPUTED_VALUE"""),"")</f>
        <v/>
      </c>
      <c r="BU75" s="233" t="str">
        <f>IFERROR(__xludf.DUMMYFUNCTION("""COMPUTED_VALUE"""),"")</f>
        <v/>
      </c>
      <c r="BV75" s="231">
        <f>IFERROR(__xludf.DUMMYFUNCTION("""COMPUTED_VALUE"""),16.3)</f>
        <v>16.3</v>
      </c>
      <c r="BW75" s="232" t="str">
        <f>IFERROR(__xludf.DUMMYFUNCTION("""COMPUTED_VALUE"""),"")</f>
        <v/>
      </c>
      <c r="BX75" s="233" t="str">
        <f>IFERROR(__xludf.DUMMYFUNCTION("""COMPUTED_VALUE"""),"")</f>
        <v/>
      </c>
      <c r="BY75" s="231" t="str">
        <f>IFERROR(__xludf.DUMMYFUNCTION("""COMPUTED_VALUE"""),"")</f>
        <v/>
      </c>
      <c r="BZ75" s="232" t="str">
        <f>IFERROR(__xludf.DUMMYFUNCTION("""COMPUTED_VALUE"""),"")</f>
        <v/>
      </c>
      <c r="CA75" s="233" t="str">
        <f>IFERROR(__xludf.DUMMYFUNCTION("""COMPUTED_VALUE"""),"")</f>
        <v/>
      </c>
      <c r="CB75" s="231" t="str">
        <f>IFERROR(__xludf.DUMMYFUNCTION("""COMPUTED_VALUE"""),"")</f>
        <v/>
      </c>
      <c r="CC75" s="232" t="str">
        <f>IFERROR(__xludf.DUMMYFUNCTION("""COMPUTED_VALUE"""),"")</f>
        <v/>
      </c>
      <c r="CD75" s="233" t="str">
        <f>IFERROR(__xludf.DUMMYFUNCTION("""COMPUTED_VALUE"""),"")</f>
        <v/>
      </c>
      <c r="CE75" s="234" t="str">
        <f>IFERROR(__xludf.DUMMYFUNCTION("""COMPUTED_VALUE"""),"")</f>
        <v/>
      </c>
      <c r="CF75" s="230" t="str">
        <f>IFERROR(__xludf.DUMMYFUNCTION("""COMPUTED_VALUE"""),"")</f>
        <v/>
      </c>
      <c r="CG75" s="235" t="str">
        <f>IFERROR(__xludf.DUMMYFUNCTION("""COMPUTED_VALUE"""),"")</f>
        <v/>
      </c>
      <c r="CH75" s="234" t="str">
        <f>IFERROR(__xludf.DUMMYFUNCTION("""COMPUTED_VALUE"""),"")</f>
        <v/>
      </c>
      <c r="CI75" s="230" t="str">
        <f>IFERROR(__xludf.DUMMYFUNCTION("""COMPUTED_VALUE"""),"")</f>
        <v/>
      </c>
      <c r="CJ75" s="235" t="str">
        <f>IFERROR(__xludf.DUMMYFUNCTION("""COMPUTED_VALUE"""),"")</f>
        <v/>
      </c>
      <c r="CK75" s="95" t="str">
        <f>IFERROR(__xludf.DUMMYFUNCTION("""COMPUTED_VALUE"""),"")</f>
        <v/>
      </c>
      <c r="CL75" s="96" t="str">
        <f>IFERROR(__xludf.DUMMYFUNCTION("""COMPUTED_VALUE"""),"")</f>
        <v/>
      </c>
      <c r="CM75" s="97" t="str">
        <f>IFERROR(__xludf.DUMMYFUNCTION("""COMPUTED_VALUE"""),"")</f>
        <v/>
      </c>
      <c r="CN75" s="95" t="str">
        <f>IFERROR(__xludf.DUMMYFUNCTION("""COMPUTED_VALUE"""),"")</f>
        <v/>
      </c>
      <c r="CO75" s="96" t="str">
        <f>IFERROR(__xludf.DUMMYFUNCTION("""COMPUTED_VALUE"""),"")</f>
        <v/>
      </c>
      <c r="CP75" s="97" t="str">
        <f>IFERROR(__xludf.DUMMYFUNCTION("""COMPUTED_VALUE"""),"")</f>
        <v/>
      </c>
      <c r="CQ75" s="95" t="str">
        <f>IFERROR(__xludf.DUMMYFUNCTION("""COMPUTED_VALUE"""),"")</f>
        <v/>
      </c>
      <c r="CR75" s="96" t="str">
        <f>IFERROR(__xludf.DUMMYFUNCTION("""COMPUTED_VALUE"""),"")</f>
        <v/>
      </c>
      <c r="CS75" s="97" t="str">
        <f>IFERROR(__xludf.DUMMYFUNCTION("""COMPUTED_VALUE"""),"#REF!")</f>
        <v>#REF!</v>
      </c>
      <c r="CT75" s="95" t="str">
        <f>IFERROR(__xludf.DUMMYFUNCTION("""COMPUTED_VALUE"""),"#REF!")</f>
        <v>#REF!</v>
      </c>
      <c r="CU75" s="96" t="str">
        <f>IFERROR(__xludf.DUMMYFUNCTION("""COMPUTED_VALUE"""),"#REF!")</f>
        <v>#REF!</v>
      </c>
      <c r="CV75" s="97" t="str">
        <f>IFERROR(__xludf.DUMMYFUNCTION("""COMPUTED_VALUE"""),"#REF!")</f>
        <v>#REF!</v>
      </c>
      <c r="CW75" s="95" t="str">
        <f>IFERROR(__xludf.DUMMYFUNCTION("""COMPUTED_VALUE"""),"#REF!")</f>
        <v>#REF!</v>
      </c>
      <c r="CX75" s="96" t="str">
        <f>IFERROR(__xludf.DUMMYFUNCTION("""COMPUTED_VALUE"""),"#REF!")</f>
        <v>#REF!</v>
      </c>
      <c r="CY75" s="97" t="str">
        <f>IFERROR(__xludf.DUMMYFUNCTION("""COMPUTED_VALUE"""),"#REF!")</f>
        <v>#REF!</v>
      </c>
      <c r="CZ75" s="95" t="str">
        <f>IFERROR(__xludf.DUMMYFUNCTION("""COMPUTED_VALUE"""),"#REF!")</f>
        <v>#REF!</v>
      </c>
      <c r="DA75" s="96" t="str">
        <f>IFERROR(__xludf.DUMMYFUNCTION("""COMPUTED_VALUE"""),"#REF!")</f>
        <v>#REF!</v>
      </c>
      <c r="DB75" s="97" t="str">
        <f>IFERROR(__xludf.DUMMYFUNCTION("""COMPUTED_VALUE"""),"#REF!")</f>
        <v>#REF!</v>
      </c>
      <c r="DC75" s="95" t="str">
        <f>IFERROR(__xludf.DUMMYFUNCTION("""COMPUTED_VALUE"""),"#REF!")</f>
        <v>#REF!</v>
      </c>
      <c r="DD75" s="96" t="str">
        <f>IFERROR(__xludf.DUMMYFUNCTION("""COMPUTED_VALUE"""),"#REF!")</f>
        <v>#REF!</v>
      </c>
      <c r="DE75" s="97" t="str">
        <f>IFERROR(__xludf.DUMMYFUNCTION("""COMPUTED_VALUE"""),"#REF!")</f>
        <v>#REF!</v>
      </c>
      <c r="DF75" s="95" t="str">
        <f>IFERROR(__xludf.DUMMYFUNCTION("""COMPUTED_VALUE"""),"#REF!")</f>
        <v>#REF!</v>
      </c>
      <c r="DG75" s="96" t="str">
        <f>IFERROR(__xludf.DUMMYFUNCTION("""COMPUTED_VALUE"""),"#REF!")</f>
        <v>#REF!</v>
      </c>
      <c r="DH75" s="97" t="str">
        <f>IFERROR(__xludf.DUMMYFUNCTION("""COMPUTED_VALUE"""),"#REF!")</f>
        <v>#REF!</v>
      </c>
      <c r="DI75" s="95" t="str">
        <f>IFERROR(__xludf.DUMMYFUNCTION("""COMPUTED_VALUE"""),"#REF!")</f>
        <v>#REF!</v>
      </c>
      <c r="DJ75" s="96" t="str">
        <f>IFERROR(__xludf.DUMMYFUNCTION("""COMPUTED_VALUE"""),"#REF!")</f>
        <v>#REF!</v>
      </c>
      <c r="DK75" s="97" t="str">
        <f>IFERROR(__xludf.DUMMYFUNCTION("""COMPUTED_VALUE"""),"#REF!")</f>
        <v>#REF!</v>
      </c>
      <c r="DL75" s="95" t="str">
        <f>IFERROR(__xludf.DUMMYFUNCTION("""COMPUTED_VALUE"""),"#REF!")</f>
        <v>#REF!</v>
      </c>
      <c r="DM75" s="96" t="str">
        <f>IFERROR(__xludf.DUMMYFUNCTION("""COMPUTED_VALUE"""),"#REF!")</f>
        <v>#REF!</v>
      </c>
      <c r="DN75" s="97" t="str">
        <f>IFERROR(__xludf.DUMMYFUNCTION("""COMPUTED_VALUE"""),"#REF!")</f>
        <v>#REF!</v>
      </c>
      <c r="DO75" s="95" t="str">
        <f>IFERROR(__xludf.DUMMYFUNCTION("""COMPUTED_VALUE"""),"#REF!")</f>
        <v>#REF!</v>
      </c>
      <c r="DP75" s="96" t="str">
        <f>IFERROR(__xludf.DUMMYFUNCTION("""COMPUTED_VALUE"""),"#REF!")</f>
        <v>#REF!</v>
      </c>
      <c r="DQ75" s="97"/>
      <c r="DR75" s="95"/>
    </row>
    <row r="76">
      <c r="B76" s="120" t="str">
        <f>IFERROR(__xludf.DUMMYFUNCTION("""COMPUTED_VALUE"""),"SEP10")</f>
        <v>SEP10</v>
      </c>
      <c r="C76" s="82">
        <f>IFERROR(__xludf.DUMMYFUNCTION("""COMPUTED_VALUE"""),61.0)</f>
        <v>61</v>
      </c>
      <c r="D76" s="88" t="str">
        <f>IFERROR(__xludf.DUMMYFUNCTION("""COMPUTED_VALUE"""),"Shaped Isle")</f>
        <v>Shaped Isle</v>
      </c>
      <c r="E76" s="82" t="str">
        <f>IFERROR(__xludf.DUMMYFUNCTION("""COMPUTED_VALUE"""),"形ある島")</f>
        <v>形ある島</v>
      </c>
      <c r="F76" s="102">
        <f>IFERROR(__xludf.DUMMYFUNCTION("""COMPUTED_VALUE"""),9.0)</f>
        <v>9</v>
      </c>
      <c r="G76" s="82">
        <f>IFERROR(__xludf.DUMMYFUNCTION("""COMPUTED_VALUE"""),1006.0)</f>
        <v>1006</v>
      </c>
      <c r="H76" s="231" t="str">
        <f>IFERROR(__xludf.DUMMYFUNCTION("""COMPUTED_VALUE"""),"")</f>
        <v/>
      </c>
      <c r="I76" s="232" t="str">
        <f>IFERROR(__xludf.DUMMYFUNCTION("""COMPUTED_VALUE"""),"")</f>
        <v/>
      </c>
      <c r="J76" s="233" t="str">
        <f>IFERROR(__xludf.DUMMYFUNCTION("""COMPUTED_VALUE"""),"")</f>
        <v/>
      </c>
      <c r="K76" s="231" t="str">
        <f>IFERROR(__xludf.DUMMYFUNCTION("""COMPUTED_VALUE"""),"")</f>
        <v/>
      </c>
      <c r="L76" s="232" t="str">
        <f>IFERROR(__xludf.DUMMYFUNCTION("""COMPUTED_VALUE"""),"")</f>
        <v/>
      </c>
      <c r="M76" s="233" t="str">
        <f>IFERROR(__xludf.DUMMYFUNCTION("""COMPUTED_VALUE"""),"")</f>
        <v/>
      </c>
      <c r="N76" s="231" t="str">
        <f>IFERROR(__xludf.DUMMYFUNCTION("""COMPUTED_VALUE"""),"")</f>
        <v/>
      </c>
      <c r="O76" s="232" t="str">
        <f>IFERROR(__xludf.DUMMYFUNCTION("""COMPUTED_VALUE"""),"")</f>
        <v/>
      </c>
      <c r="P76" s="233" t="str">
        <f>IFERROR(__xludf.DUMMYFUNCTION("""COMPUTED_VALUE"""),"")</f>
        <v/>
      </c>
      <c r="Q76" s="231" t="str">
        <f>IFERROR(__xludf.DUMMYFUNCTION("""COMPUTED_VALUE"""),"")</f>
        <v/>
      </c>
      <c r="R76" s="232" t="str">
        <f>IFERROR(__xludf.DUMMYFUNCTION("""COMPUTED_VALUE"""),"")</f>
        <v/>
      </c>
      <c r="S76" s="233" t="str">
        <f>IFERROR(__xludf.DUMMYFUNCTION("""COMPUTED_VALUE"""),"")</f>
        <v/>
      </c>
      <c r="T76" s="231" t="str">
        <f>IFERROR(__xludf.DUMMYFUNCTION("""COMPUTED_VALUE"""),"")</f>
        <v/>
      </c>
      <c r="U76" s="232" t="str">
        <f>IFERROR(__xludf.DUMMYFUNCTION("""COMPUTED_VALUE"""),"")</f>
        <v/>
      </c>
      <c r="V76" s="233" t="str">
        <f>IFERROR(__xludf.DUMMYFUNCTION("""COMPUTED_VALUE"""),"")</f>
        <v/>
      </c>
      <c r="W76" s="231" t="str">
        <f>IFERROR(__xludf.DUMMYFUNCTION("""COMPUTED_VALUE"""),"")</f>
        <v/>
      </c>
      <c r="X76" s="232" t="str">
        <f>IFERROR(__xludf.DUMMYFUNCTION("""COMPUTED_VALUE"""),"")</f>
        <v/>
      </c>
      <c r="Y76" s="233" t="str">
        <f>IFERROR(__xludf.DUMMYFUNCTION("""COMPUTED_VALUE"""),"")</f>
        <v/>
      </c>
      <c r="Z76" s="231" t="str">
        <f>IFERROR(__xludf.DUMMYFUNCTION("""COMPUTED_VALUE"""),"")</f>
        <v/>
      </c>
      <c r="AA76" s="232" t="str">
        <f>IFERROR(__xludf.DUMMYFUNCTION("""COMPUTED_VALUE"""),"")</f>
        <v/>
      </c>
      <c r="AB76" s="233" t="str">
        <f>IFERROR(__xludf.DUMMYFUNCTION("""COMPUTED_VALUE"""),"")</f>
        <v/>
      </c>
      <c r="AC76" s="231" t="str">
        <f>IFERROR(__xludf.DUMMYFUNCTION("""COMPUTED_VALUE"""),"")</f>
        <v/>
      </c>
      <c r="AD76" s="232" t="str">
        <f>IFERROR(__xludf.DUMMYFUNCTION("""COMPUTED_VALUE"""),"")</f>
        <v/>
      </c>
      <c r="AE76" s="233" t="str">
        <f>IFERROR(__xludf.DUMMYFUNCTION("""COMPUTED_VALUE"""),"")</f>
        <v/>
      </c>
      <c r="AF76" s="231" t="str">
        <f>IFERROR(__xludf.DUMMYFUNCTION("""COMPUTED_VALUE"""),"")</f>
        <v/>
      </c>
      <c r="AG76" s="232" t="str">
        <f>IFERROR(__xludf.DUMMYFUNCTION("""COMPUTED_VALUE"""),"")</f>
        <v/>
      </c>
      <c r="AH76" s="233" t="str">
        <f>IFERROR(__xludf.DUMMYFUNCTION("""COMPUTED_VALUE"""),"")</f>
        <v/>
      </c>
      <c r="AI76" s="231" t="str">
        <f>IFERROR(__xludf.DUMMYFUNCTION("""COMPUTED_VALUE"""),"")</f>
        <v/>
      </c>
      <c r="AJ76" s="232" t="str">
        <f>IFERROR(__xludf.DUMMYFUNCTION("""COMPUTED_VALUE"""),"")</f>
        <v/>
      </c>
      <c r="AK76" s="233" t="str">
        <f>IFERROR(__xludf.DUMMYFUNCTION("""COMPUTED_VALUE"""),"")</f>
        <v/>
      </c>
      <c r="AL76" s="231" t="str">
        <f>IFERROR(__xludf.DUMMYFUNCTION("""COMPUTED_VALUE"""),"")</f>
        <v/>
      </c>
      <c r="AM76" s="232" t="str">
        <f>IFERROR(__xludf.DUMMYFUNCTION("""COMPUTED_VALUE"""),"")</f>
        <v/>
      </c>
      <c r="AN76" s="233" t="str">
        <f>IFERROR(__xludf.DUMMYFUNCTION("""COMPUTED_VALUE"""),"")</f>
        <v/>
      </c>
      <c r="AO76" s="231" t="str">
        <f>IFERROR(__xludf.DUMMYFUNCTION("""COMPUTED_VALUE"""),"")</f>
        <v/>
      </c>
      <c r="AP76" s="232" t="str">
        <f>IFERROR(__xludf.DUMMYFUNCTION("""COMPUTED_VALUE"""),"")</f>
        <v/>
      </c>
      <c r="AQ76" s="233" t="str">
        <f>IFERROR(__xludf.DUMMYFUNCTION("""COMPUTED_VALUE"""),"")</f>
        <v/>
      </c>
      <c r="AR76" s="231" t="str">
        <f>IFERROR(__xludf.DUMMYFUNCTION("""COMPUTED_VALUE"""),"")</f>
        <v/>
      </c>
      <c r="AS76" s="232" t="str">
        <f>IFERROR(__xludf.DUMMYFUNCTION("""COMPUTED_VALUE"""),"")</f>
        <v/>
      </c>
      <c r="AT76" s="233" t="str">
        <f>IFERROR(__xludf.DUMMYFUNCTION("""COMPUTED_VALUE"""),"")</f>
        <v/>
      </c>
      <c r="AU76" s="231">
        <f>IFERROR(__xludf.DUMMYFUNCTION("""COMPUTED_VALUE"""),18.9)</f>
        <v>18.9</v>
      </c>
      <c r="AV76" s="232" t="str">
        <f>IFERROR(__xludf.DUMMYFUNCTION("""COMPUTED_VALUE"""),"")</f>
        <v/>
      </c>
      <c r="AW76" s="233">
        <f>IFERROR(__xludf.DUMMYFUNCTION("""COMPUTED_VALUE"""),8.4)</f>
        <v>8.4</v>
      </c>
      <c r="AX76" s="231" t="str">
        <f>IFERROR(__xludf.DUMMYFUNCTION("""COMPUTED_VALUE"""),"")</f>
        <v/>
      </c>
      <c r="AY76" s="232" t="str">
        <f>IFERROR(__xludf.DUMMYFUNCTION("""COMPUTED_VALUE"""),"")</f>
        <v/>
      </c>
      <c r="AZ76" s="233" t="str">
        <f>IFERROR(__xludf.DUMMYFUNCTION("""COMPUTED_VALUE"""),"")</f>
        <v/>
      </c>
      <c r="BA76" s="231" t="str">
        <f>IFERROR(__xludf.DUMMYFUNCTION("""COMPUTED_VALUE"""),"")</f>
        <v/>
      </c>
      <c r="BB76" s="232" t="str">
        <f>IFERROR(__xludf.DUMMYFUNCTION("""COMPUTED_VALUE"""),"")</f>
        <v/>
      </c>
      <c r="BC76" s="233" t="str">
        <f>IFERROR(__xludf.DUMMYFUNCTION("""COMPUTED_VALUE"""),"")</f>
        <v/>
      </c>
      <c r="BD76" s="231" t="str">
        <f>IFERROR(__xludf.DUMMYFUNCTION("""COMPUTED_VALUE"""),"")</f>
        <v/>
      </c>
      <c r="BE76" s="232" t="str">
        <f>IFERROR(__xludf.DUMMYFUNCTION("""COMPUTED_VALUE"""),"")</f>
        <v/>
      </c>
      <c r="BF76" s="233" t="str">
        <f>IFERROR(__xludf.DUMMYFUNCTION("""COMPUTED_VALUE"""),"")</f>
        <v/>
      </c>
      <c r="BG76" s="231" t="str">
        <f>IFERROR(__xludf.DUMMYFUNCTION("""COMPUTED_VALUE"""),"")</f>
        <v/>
      </c>
      <c r="BH76" s="232" t="str">
        <f>IFERROR(__xludf.DUMMYFUNCTION("""COMPUTED_VALUE"""),"")</f>
        <v/>
      </c>
      <c r="BI76" s="233" t="str">
        <f>IFERROR(__xludf.DUMMYFUNCTION("""COMPUTED_VALUE"""),"")</f>
        <v/>
      </c>
      <c r="BJ76" s="231" t="str">
        <f>IFERROR(__xludf.DUMMYFUNCTION("""COMPUTED_VALUE"""),"")</f>
        <v/>
      </c>
      <c r="BK76" s="232" t="str">
        <f>IFERROR(__xludf.DUMMYFUNCTION("""COMPUTED_VALUE"""),"")</f>
        <v/>
      </c>
      <c r="BL76" s="233" t="str">
        <f>IFERROR(__xludf.DUMMYFUNCTION("""COMPUTED_VALUE"""),"")</f>
        <v/>
      </c>
      <c r="BM76" s="231" t="str">
        <f>IFERROR(__xludf.DUMMYFUNCTION("""COMPUTED_VALUE"""),"")</f>
        <v/>
      </c>
      <c r="BN76" s="232" t="str">
        <f>IFERROR(__xludf.DUMMYFUNCTION("""COMPUTED_VALUE"""),"")</f>
        <v/>
      </c>
      <c r="BO76" s="233" t="str">
        <f>IFERROR(__xludf.DUMMYFUNCTION("""COMPUTED_VALUE"""),"")</f>
        <v/>
      </c>
      <c r="BP76" s="231" t="str">
        <f>IFERROR(__xludf.DUMMYFUNCTION("""COMPUTED_VALUE"""),"")</f>
        <v/>
      </c>
      <c r="BQ76" s="232" t="str">
        <f>IFERROR(__xludf.DUMMYFUNCTION("""COMPUTED_VALUE"""),"")</f>
        <v/>
      </c>
      <c r="BR76" s="233">
        <f>IFERROR(__xludf.DUMMYFUNCTION("""COMPUTED_VALUE"""),23.8)</f>
        <v>23.8</v>
      </c>
      <c r="BS76" s="231">
        <f>IFERROR(__xludf.DUMMYFUNCTION("""COMPUTED_VALUE"""),5.5)</f>
        <v>5.5</v>
      </c>
      <c r="BT76" s="232" t="str">
        <f>IFERROR(__xludf.DUMMYFUNCTION("""COMPUTED_VALUE"""),"")</f>
        <v/>
      </c>
      <c r="BU76" s="233" t="str">
        <f>IFERROR(__xludf.DUMMYFUNCTION("""COMPUTED_VALUE"""),"")</f>
        <v/>
      </c>
      <c r="BV76" s="231" t="str">
        <f>IFERROR(__xludf.DUMMYFUNCTION("""COMPUTED_VALUE"""),"")</f>
        <v/>
      </c>
      <c r="BW76" s="232" t="str">
        <f>IFERROR(__xludf.DUMMYFUNCTION("""COMPUTED_VALUE"""),"")</f>
        <v/>
      </c>
      <c r="BX76" s="233" t="str">
        <f>IFERROR(__xludf.DUMMYFUNCTION("""COMPUTED_VALUE"""),"")</f>
        <v/>
      </c>
      <c r="BY76" s="231" t="str">
        <f>IFERROR(__xludf.DUMMYFUNCTION("""COMPUTED_VALUE"""),"")</f>
        <v/>
      </c>
      <c r="BZ76" s="232" t="str">
        <f>IFERROR(__xludf.DUMMYFUNCTION("""COMPUTED_VALUE"""),"")</f>
        <v/>
      </c>
      <c r="CA76" s="233" t="str">
        <f>IFERROR(__xludf.DUMMYFUNCTION("""COMPUTED_VALUE"""),"")</f>
        <v/>
      </c>
      <c r="CB76" s="231" t="str">
        <f>IFERROR(__xludf.DUMMYFUNCTION("""COMPUTED_VALUE"""),"")</f>
        <v/>
      </c>
      <c r="CC76" s="232" t="str">
        <f>IFERROR(__xludf.DUMMYFUNCTION("""COMPUTED_VALUE"""),"")</f>
        <v/>
      </c>
      <c r="CD76" s="233" t="str">
        <f>IFERROR(__xludf.DUMMYFUNCTION("""COMPUTED_VALUE"""),"")</f>
        <v/>
      </c>
      <c r="CE76" s="234" t="str">
        <f>IFERROR(__xludf.DUMMYFUNCTION("""COMPUTED_VALUE"""),"")</f>
        <v/>
      </c>
      <c r="CF76" s="230" t="str">
        <f>IFERROR(__xludf.DUMMYFUNCTION("""COMPUTED_VALUE"""),"")</f>
        <v/>
      </c>
      <c r="CG76" s="235" t="str">
        <f>IFERROR(__xludf.DUMMYFUNCTION("""COMPUTED_VALUE"""),"")</f>
        <v/>
      </c>
      <c r="CH76" s="234" t="str">
        <f>IFERROR(__xludf.DUMMYFUNCTION("""COMPUTED_VALUE"""),"")</f>
        <v/>
      </c>
      <c r="CI76" s="230" t="str">
        <f>IFERROR(__xludf.DUMMYFUNCTION("""COMPUTED_VALUE"""),"")</f>
        <v/>
      </c>
      <c r="CJ76" s="235" t="str">
        <f>IFERROR(__xludf.DUMMYFUNCTION("""COMPUTED_VALUE"""),"")</f>
        <v/>
      </c>
      <c r="CK76" s="95">
        <f>IFERROR(__xludf.DUMMYFUNCTION("""COMPUTED_VALUE"""),9.6)</f>
        <v>9.6</v>
      </c>
      <c r="CL76" s="96" t="str">
        <f>IFERROR(__xludf.DUMMYFUNCTION("""COMPUTED_VALUE"""),"")</f>
        <v/>
      </c>
      <c r="CM76" s="97" t="str">
        <f>IFERROR(__xludf.DUMMYFUNCTION("""COMPUTED_VALUE"""),"")</f>
        <v/>
      </c>
      <c r="CN76" s="95" t="str">
        <f>IFERROR(__xludf.DUMMYFUNCTION("""COMPUTED_VALUE"""),"")</f>
        <v/>
      </c>
      <c r="CO76" s="96" t="str">
        <f>IFERROR(__xludf.DUMMYFUNCTION("""COMPUTED_VALUE"""),"")</f>
        <v/>
      </c>
      <c r="CP76" s="97" t="str">
        <f>IFERROR(__xludf.DUMMYFUNCTION("""COMPUTED_VALUE"""),"")</f>
        <v/>
      </c>
      <c r="CQ76" s="95" t="str">
        <f>IFERROR(__xludf.DUMMYFUNCTION("""COMPUTED_VALUE"""),"")</f>
        <v/>
      </c>
      <c r="CR76" s="96" t="str">
        <f>IFERROR(__xludf.DUMMYFUNCTION("""COMPUTED_VALUE"""),"")</f>
        <v/>
      </c>
      <c r="CS76" s="97" t="str">
        <f>IFERROR(__xludf.DUMMYFUNCTION("""COMPUTED_VALUE"""),"#REF!")</f>
        <v>#REF!</v>
      </c>
      <c r="CT76" s="95" t="str">
        <f>IFERROR(__xludf.DUMMYFUNCTION("""COMPUTED_VALUE"""),"#REF!")</f>
        <v>#REF!</v>
      </c>
      <c r="CU76" s="96" t="str">
        <f>IFERROR(__xludf.DUMMYFUNCTION("""COMPUTED_VALUE"""),"#REF!")</f>
        <v>#REF!</v>
      </c>
      <c r="CV76" s="97" t="str">
        <f>IFERROR(__xludf.DUMMYFUNCTION("""COMPUTED_VALUE"""),"#REF!")</f>
        <v>#REF!</v>
      </c>
      <c r="CW76" s="95" t="str">
        <f>IFERROR(__xludf.DUMMYFUNCTION("""COMPUTED_VALUE"""),"#REF!")</f>
        <v>#REF!</v>
      </c>
      <c r="CX76" s="96" t="str">
        <f>IFERROR(__xludf.DUMMYFUNCTION("""COMPUTED_VALUE"""),"#REF!")</f>
        <v>#REF!</v>
      </c>
      <c r="CY76" s="97" t="str">
        <f>IFERROR(__xludf.DUMMYFUNCTION("""COMPUTED_VALUE"""),"#REF!")</f>
        <v>#REF!</v>
      </c>
      <c r="CZ76" s="95" t="str">
        <f>IFERROR(__xludf.DUMMYFUNCTION("""COMPUTED_VALUE"""),"#REF!")</f>
        <v>#REF!</v>
      </c>
      <c r="DA76" s="96" t="str">
        <f>IFERROR(__xludf.DUMMYFUNCTION("""COMPUTED_VALUE"""),"#REF!")</f>
        <v>#REF!</v>
      </c>
      <c r="DB76" s="97" t="str">
        <f>IFERROR(__xludf.DUMMYFUNCTION("""COMPUTED_VALUE"""),"#REF!")</f>
        <v>#REF!</v>
      </c>
      <c r="DC76" s="95" t="str">
        <f>IFERROR(__xludf.DUMMYFUNCTION("""COMPUTED_VALUE"""),"#REF!")</f>
        <v>#REF!</v>
      </c>
      <c r="DD76" s="96" t="str">
        <f>IFERROR(__xludf.DUMMYFUNCTION("""COMPUTED_VALUE"""),"#REF!")</f>
        <v>#REF!</v>
      </c>
      <c r="DE76" s="97" t="str">
        <f>IFERROR(__xludf.DUMMYFUNCTION("""COMPUTED_VALUE"""),"#REF!")</f>
        <v>#REF!</v>
      </c>
      <c r="DF76" s="95" t="str">
        <f>IFERROR(__xludf.DUMMYFUNCTION("""COMPUTED_VALUE"""),"#REF!")</f>
        <v>#REF!</v>
      </c>
      <c r="DG76" s="96" t="str">
        <f>IFERROR(__xludf.DUMMYFUNCTION("""COMPUTED_VALUE"""),"#REF!")</f>
        <v>#REF!</v>
      </c>
      <c r="DH76" s="97" t="str">
        <f>IFERROR(__xludf.DUMMYFUNCTION("""COMPUTED_VALUE"""),"#REF!")</f>
        <v>#REF!</v>
      </c>
      <c r="DI76" s="95" t="str">
        <f>IFERROR(__xludf.DUMMYFUNCTION("""COMPUTED_VALUE"""),"#REF!")</f>
        <v>#REF!</v>
      </c>
      <c r="DJ76" s="96" t="str">
        <f>IFERROR(__xludf.DUMMYFUNCTION("""COMPUTED_VALUE"""),"#REF!")</f>
        <v>#REF!</v>
      </c>
      <c r="DK76" s="97" t="str">
        <f>IFERROR(__xludf.DUMMYFUNCTION("""COMPUTED_VALUE"""),"#REF!")</f>
        <v>#REF!</v>
      </c>
      <c r="DL76" s="95" t="str">
        <f>IFERROR(__xludf.DUMMYFUNCTION("""COMPUTED_VALUE"""),"#REF!")</f>
        <v>#REF!</v>
      </c>
      <c r="DM76" s="96" t="str">
        <f>IFERROR(__xludf.DUMMYFUNCTION("""COMPUTED_VALUE"""),"#REF!")</f>
        <v>#REF!</v>
      </c>
      <c r="DN76" s="97" t="str">
        <f>IFERROR(__xludf.DUMMYFUNCTION("""COMPUTED_VALUE"""),"#REF!")</f>
        <v>#REF!</v>
      </c>
      <c r="DO76" s="95" t="str">
        <f>IFERROR(__xludf.DUMMYFUNCTION("""COMPUTED_VALUE"""),"#REF!")</f>
        <v>#REF!</v>
      </c>
      <c r="DP76" s="96" t="str">
        <f>IFERROR(__xludf.DUMMYFUNCTION("""COMPUTED_VALUE"""),"#REF!")</f>
        <v>#REF!</v>
      </c>
      <c r="DQ76" s="97"/>
      <c r="DR76" s="95"/>
    </row>
    <row r="77">
      <c r="B77" s="120" t="str">
        <f>IFERROR(__xludf.DUMMYFUNCTION("""COMPUTED_VALUE"""),"SEP11")</f>
        <v>SEP11</v>
      </c>
      <c r="C77" s="82">
        <f>IFERROR(__xludf.DUMMYFUNCTION("""COMPUTED_VALUE"""),62.0)</f>
        <v>62</v>
      </c>
      <c r="D77" s="88" t="str">
        <f>IFERROR(__xludf.DUMMYFUNCTION("""COMPUTED_VALUE"""),"Alliance Capital")</f>
        <v>Alliance Capital</v>
      </c>
      <c r="E77" s="82" t="str">
        <f>IFERROR(__xludf.DUMMYFUNCTION("""COMPUTED_VALUE"""),"連合首都")</f>
        <v>連合首都</v>
      </c>
      <c r="F77" s="102">
        <f>IFERROR(__xludf.DUMMYFUNCTION("""COMPUTED_VALUE"""),10.0)</f>
        <v>10</v>
      </c>
      <c r="G77" s="82">
        <f>IFERROR(__xludf.DUMMYFUNCTION("""COMPUTED_VALUE"""),1175.0)</f>
        <v>1175</v>
      </c>
      <c r="H77" s="231" t="str">
        <f>IFERROR(__xludf.DUMMYFUNCTION("""COMPUTED_VALUE"""),"")</f>
        <v/>
      </c>
      <c r="I77" s="232" t="str">
        <f>IFERROR(__xludf.DUMMYFUNCTION("""COMPUTED_VALUE"""),"")</f>
        <v/>
      </c>
      <c r="J77" s="233" t="str">
        <f>IFERROR(__xludf.DUMMYFUNCTION("""COMPUTED_VALUE"""),"")</f>
        <v/>
      </c>
      <c r="K77" s="231" t="str">
        <f>IFERROR(__xludf.DUMMYFUNCTION("""COMPUTED_VALUE"""),"")</f>
        <v/>
      </c>
      <c r="L77" s="232" t="str">
        <f>IFERROR(__xludf.DUMMYFUNCTION("""COMPUTED_VALUE"""),"")</f>
        <v/>
      </c>
      <c r="M77" s="233" t="str">
        <f>IFERROR(__xludf.DUMMYFUNCTION("""COMPUTED_VALUE"""),"")</f>
        <v/>
      </c>
      <c r="N77" s="231" t="str">
        <f>IFERROR(__xludf.DUMMYFUNCTION("""COMPUTED_VALUE"""),"")</f>
        <v/>
      </c>
      <c r="O77" s="232" t="str">
        <f>IFERROR(__xludf.DUMMYFUNCTION("""COMPUTED_VALUE"""),"")</f>
        <v/>
      </c>
      <c r="P77" s="233" t="str">
        <f>IFERROR(__xludf.DUMMYFUNCTION("""COMPUTED_VALUE"""),"")</f>
        <v/>
      </c>
      <c r="Q77" s="231" t="str">
        <f>IFERROR(__xludf.DUMMYFUNCTION("""COMPUTED_VALUE"""),"")</f>
        <v/>
      </c>
      <c r="R77" s="232" t="str">
        <f>IFERROR(__xludf.DUMMYFUNCTION("""COMPUTED_VALUE"""),"")</f>
        <v/>
      </c>
      <c r="S77" s="233" t="str">
        <f>IFERROR(__xludf.DUMMYFUNCTION("""COMPUTED_VALUE"""),"")</f>
        <v/>
      </c>
      <c r="T77" s="231" t="str">
        <f>IFERROR(__xludf.DUMMYFUNCTION("""COMPUTED_VALUE"""),"")</f>
        <v/>
      </c>
      <c r="U77" s="232" t="str">
        <f>IFERROR(__xludf.DUMMYFUNCTION("""COMPUTED_VALUE"""),"")</f>
        <v/>
      </c>
      <c r="V77" s="233" t="str">
        <f>IFERROR(__xludf.DUMMYFUNCTION("""COMPUTED_VALUE"""),"")</f>
        <v/>
      </c>
      <c r="W77" s="231" t="str">
        <f>IFERROR(__xludf.DUMMYFUNCTION("""COMPUTED_VALUE"""),"")</f>
        <v/>
      </c>
      <c r="X77" s="232" t="str">
        <f>IFERROR(__xludf.DUMMYFUNCTION("""COMPUTED_VALUE"""),"")</f>
        <v/>
      </c>
      <c r="Y77" s="233" t="str">
        <f>IFERROR(__xludf.DUMMYFUNCTION("""COMPUTED_VALUE"""),"")</f>
        <v/>
      </c>
      <c r="Z77" s="231" t="str">
        <f>IFERROR(__xludf.DUMMYFUNCTION("""COMPUTED_VALUE"""),"")</f>
        <v/>
      </c>
      <c r="AA77" s="232" t="str">
        <f>IFERROR(__xludf.DUMMYFUNCTION("""COMPUTED_VALUE"""),"")</f>
        <v/>
      </c>
      <c r="AB77" s="233">
        <f>IFERROR(__xludf.DUMMYFUNCTION("""COMPUTED_VALUE"""),2.5)</f>
        <v>2.5</v>
      </c>
      <c r="AC77" s="231" t="str">
        <f>IFERROR(__xludf.DUMMYFUNCTION("""COMPUTED_VALUE"""),"")</f>
        <v/>
      </c>
      <c r="AD77" s="232" t="str">
        <f>IFERROR(__xludf.DUMMYFUNCTION("""COMPUTED_VALUE"""),"")</f>
        <v/>
      </c>
      <c r="AE77" s="233" t="str">
        <f>IFERROR(__xludf.DUMMYFUNCTION("""COMPUTED_VALUE"""),"")</f>
        <v/>
      </c>
      <c r="AF77" s="231" t="str">
        <f>IFERROR(__xludf.DUMMYFUNCTION("""COMPUTED_VALUE"""),"")</f>
        <v/>
      </c>
      <c r="AG77" s="232" t="str">
        <f>IFERROR(__xludf.DUMMYFUNCTION("""COMPUTED_VALUE"""),"")</f>
        <v/>
      </c>
      <c r="AH77" s="233" t="str">
        <f>IFERROR(__xludf.DUMMYFUNCTION("""COMPUTED_VALUE"""),"")</f>
        <v/>
      </c>
      <c r="AI77" s="231" t="str">
        <f>IFERROR(__xludf.DUMMYFUNCTION("""COMPUTED_VALUE"""),"")</f>
        <v/>
      </c>
      <c r="AJ77" s="232" t="str">
        <f>IFERROR(__xludf.DUMMYFUNCTION("""COMPUTED_VALUE"""),"")</f>
        <v/>
      </c>
      <c r="AK77" s="233" t="str">
        <f>IFERROR(__xludf.DUMMYFUNCTION("""COMPUTED_VALUE"""),"")</f>
        <v/>
      </c>
      <c r="AL77" s="231" t="str">
        <f>IFERROR(__xludf.DUMMYFUNCTION("""COMPUTED_VALUE"""),"")</f>
        <v/>
      </c>
      <c r="AM77" s="232" t="str">
        <f>IFERROR(__xludf.DUMMYFUNCTION("""COMPUTED_VALUE"""),"")</f>
        <v/>
      </c>
      <c r="AN77" s="233" t="str">
        <f>IFERROR(__xludf.DUMMYFUNCTION("""COMPUTED_VALUE"""),"")</f>
        <v/>
      </c>
      <c r="AO77" s="231" t="str">
        <f>IFERROR(__xludf.DUMMYFUNCTION("""COMPUTED_VALUE"""),"")</f>
        <v/>
      </c>
      <c r="AP77" s="232" t="str">
        <f>IFERROR(__xludf.DUMMYFUNCTION("""COMPUTED_VALUE"""),"")</f>
        <v/>
      </c>
      <c r="AQ77" s="233" t="str">
        <f>IFERROR(__xludf.DUMMYFUNCTION("""COMPUTED_VALUE"""),"")</f>
        <v/>
      </c>
      <c r="AR77" s="231" t="str">
        <f>IFERROR(__xludf.DUMMYFUNCTION("""COMPUTED_VALUE"""),"")</f>
        <v/>
      </c>
      <c r="AS77" s="232" t="str">
        <f>IFERROR(__xludf.DUMMYFUNCTION("""COMPUTED_VALUE"""),"")</f>
        <v/>
      </c>
      <c r="AT77" s="233">
        <f>IFERROR(__xludf.DUMMYFUNCTION("""COMPUTED_VALUE"""),18.0)</f>
        <v>18</v>
      </c>
      <c r="AU77" s="231" t="str">
        <f>IFERROR(__xludf.DUMMYFUNCTION("""COMPUTED_VALUE"""),"")</f>
        <v/>
      </c>
      <c r="AV77" s="232" t="str">
        <f>IFERROR(__xludf.DUMMYFUNCTION("""COMPUTED_VALUE"""),"")</f>
        <v/>
      </c>
      <c r="AW77" s="233">
        <f>IFERROR(__xludf.DUMMYFUNCTION("""COMPUTED_VALUE"""),7.8)</f>
        <v>7.8</v>
      </c>
      <c r="AX77" s="231" t="str">
        <f>IFERROR(__xludf.DUMMYFUNCTION("""COMPUTED_VALUE"""),"")</f>
        <v/>
      </c>
      <c r="AY77" s="232" t="str">
        <f>IFERROR(__xludf.DUMMYFUNCTION("""COMPUTED_VALUE"""),"")</f>
        <v/>
      </c>
      <c r="AZ77" s="233" t="str">
        <f>IFERROR(__xludf.DUMMYFUNCTION("""COMPUTED_VALUE"""),"")</f>
        <v/>
      </c>
      <c r="BA77" s="231" t="str">
        <f>IFERROR(__xludf.DUMMYFUNCTION("""COMPUTED_VALUE"""),"")</f>
        <v/>
      </c>
      <c r="BB77" s="232" t="str">
        <f>IFERROR(__xludf.DUMMYFUNCTION("""COMPUTED_VALUE"""),"")</f>
        <v/>
      </c>
      <c r="BC77" s="233" t="str">
        <f>IFERROR(__xludf.DUMMYFUNCTION("""COMPUTED_VALUE"""),"")</f>
        <v/>
      </c>
      <c r="BD77" s="231" t="str">
        <f>IFERROR(__xludf.DUMMYFUNCTION("""COMPUTED_VALUE"""),"")</f>
        <v/>
      </c>
      <c r="BE77" s="232" t="str">
        <f>IFERROR(__xludf.DUMMYFUNCTION("""COMPUTED_VALUE"""),"")</f>
        <v/>
      </c>
      <c r="BF77" s="233" t="str">
        <f>IFERROR(__xludf.DUMMYFUNCTION("""COMPUTED_VALUE"""),"")</f>
        <v/>
      </c>
      <c r="BG77" s="231" t="str">
        <f>IFERROR(__xludf.DUMMYFUNCTION("""COMPUTED_VALUE"""),"")</f>
        <v/>
      </c>
      <c r="BH77" s="232" t="str">
        <f>IFERROR(__xludf.DUMMYFUNCTION("""COMPUTED_VALUE"""),"")</f>
        <v/>
      </c>
      <c r="BI77" s="233" t="str">
        <f>IFERROR(__xludf.DUMMYFUNCTION("""COMPUTED_VALUE"""),"")</f>
        <v/>
      </c>
      <c r="BJ77" s="231" t="str">
        <f>IFERROR(__xludf.DUMMYFUNCTION("""COMPUTED_VALUE"""),"")</f>
        <v/>
      </c>
      <c r="BK77" s="232" t="str">
        <f>IFERROR(__xludf.DUMMYFUNCTION("""COMPUTED_VALUE"""),"")</f>
        <v/>
      </c>
      <c r="BL77" s="233" t="str">
        <f>IFERROR(__xludf.DUMMYFUNCTION("""COMPUTED_VALUE"""),"")</f>
        <v/>
      </c>
      <c r="BM77" s="231" t="str">
        <f>IFERROR(__xludf.DUMMYFUNCTION("""COMPUTED_VALUE"""),"")</f>
        <v/>
      </c>
      <c r="BN77" s="232" t="str">
        <f>IFERROR(__xludf.DUMMYFUNCTION("""COMPUTED_VALUE"""),"")</f>
        <v/>
      </c>
      <c r="BO77" s="233" t="str">
        <f>IFERROR(__xludf.DUMMYFUNCTION("""COMPUTED_VALUE"""),"")</f>
        <v/>
      </c>
      <c r="BP77" s="231" t="str">
        <f>IFERROR(__xludf.DUMMYFUNCTION("""COMPUTED_VALUE"""),"")</f>
        <v/>
      </c>
      <c r="BQ77" s="232">
        <f>IFERROR(__xludf.DUMMYFUNCTION("""COMPUTED_VALUE"""),4.5)</f>
        <v>4.5</v>
      </c>
      <c r="BR77" s="233">
        <f>IFERROR(__xludf.DUMMYFUNCTION("""COMPUTED_VALUE"""),10.8)</f>
        <v>10.8</v>
      </c>
      <c r="BS77" s="231" t="str">
        <f>IFERROR(__xludf.DUMMYFUNCTION("""COMPUTED_VALUE"""),"")</f>
        <v/>
      </c>
      <c r="BT77" s="232" t="str">
        <f>IFERROR(__xludf.DUMMYFUNCTION("""COMPUTED_VALUE"""),"")</f>
        <v/>
      </c>
      <c r="BU77" s="233" t="str">
        <f>IFERROR(__xludf.DUMMYFUNCTION("""COMPUTED_VALUE"""),"")</f>
        <v/>
      </c>
      <c r="BV77" s="231" t="str">
        <f>IFERROR(__xludf.DUMMYFUNCTION("""COMPUTED_VALUE"""),"")</f>
        <v/>
      </c>
      <c r="BW77" s="232">
        <f>IFERROR(__xludf.DUMMYFUNCTION("""COMPUTED_VALUE"""),12.4)</f>
        <v>12.4</v>
      </c>
      <c r="BX77" s="233" t="str">
        <f>IFERROR(__xludf.DUMMYFUNCTION("""COMPUTED_VALUE"""),"")</f>
        <v/>
      </c>
      <c r="BY77" s="231" t="str">
        <f>IFERROR(__xludf.DUMMYFUNCTION("""COMPUTED_VALUE"""),"")</f>
        <v/>
      </c>
      <c r="BZ77" s="232" t="str">
        <f>IFERROR(__xludf.DUMMYFUNCTION("""COMPUTED_VALUE"""),"")</f>
        <v/>
      </c>
      <c r="CA77" s="233" t="str">
        <f>IFERROR(__xludf.DUMMYFUNCTION("""COMPUTED_VALUE"""),"")</f>
        <v/>
      </c>
      <c r="CB77" s="231" t="str">
        <f>IFERROR(__xludf.DUMMYFUNCTION("""COMPUTED_VALUE"""),"")</f>
        <v/>
      </c>
      <c r="CC77" s="232" t="str">
        <f>IFERROR(__xludf.DUMMYFUNCTION("""COMPUTED_VALUE"""),"")</f>
        <v/>
      </c>
      <c r="CD77" s="233" t="str">
        <f>IFERROR(__xludf.DUMMYFUNCTION("""COMPUTED_VALUE"""),"")</f>
        <v/>
      </c>
      <c r="CE77" s="234" t="str">
        <f>IFERROR(__xludf.DUMMYFUNCTION("""COMPUTED_VALUE"""),"")</f>
        <v/>
      </c>
      <c r="CF77" s="230" t="str">
        <f>IFERROR(__xludf.DUMMYFUNCTION("""COMPUTED_VALUE"""),"")</f>
        <v/>
      </c>
      <c r="CG77" s="235" t="str">
        <f>IFERROR(__xludf.DUMMYFUNCTION("""COMPUTED_VALUE"""),"")</f>
        <v/>
      </c>
      <c r="CH77" s="234" t="str">
        <f>IFERROR(__xludf.DUMMYFUNCTION("""COMPUTED_VALUE"""),"")</f>
        <v/>
      </c>
      <c r="CI77" s="230" t="str">
        <f>IFERROR(__xludf.DUMMYFUNCTION("""COMPUTED_VALUE"""),"")</f>
        <v/>
      </c>
      <c r="CJ77" s="235" t="str">
        <f>IFERROR(__xludf.DUMMYFUNCTION("""COMPUTED_VALUE"""),"")</f>
        <v/>
      </c>
      <c r="CK77" s="95">
        <f>IFERROR(__xludf.DUMMYFUNCTION("""COMPUTED_VALUE"""),11.1)</f>
        <v>11.1</v>
      </c>
      <c r="CL77" s="96" t="str">
        <f>IFERROR(__xludf.DUMMYFUNCTION("""COMPUTED_VALUE"""),"")</f>
        <v/>
      </c>
      <c r="CM77" s="97" t="str">
        <f>IFERROR(__xludf.DUMMYFUNCTION("""COMPUTED_VALUE"""),"")</f>
        <v/>
      </c>
      <c r="CN77" s="95" t="str">
        <f>IFERROR(__xludf.DUMMYFUNCTION("""COMPUTED_VALUE"""),"")</f>
        <v/>
      </c>
      <c r="CO77" s="96" t="str">
        <f>IFERROR(__xludf.DUMMYFUNCTION("""COMPUTED_VALUE"""),"")</f>
        <v/>
      </c>
      <c r="CP77" s="97" t="str">
        <f>IFERROR(__xludf.DUMMYFUNCTION("""COMPUTED_VALUE"""),"")</f>
        <v/>
      </c>
      <c r="CQ77" s="95" t="str">
        <f>IFERROR(__xludf.DUMMYFUNCTION("""COMPUTED_VALUE"""),"")</f>
        <v/>
      </c>
      <c r="CR77" s="96" t="str">
        <f>IFERROR(__xludf.DUMMYFUNCTION("""COMPUTED_VALUE"""),"")</f>
        <v/>
      </c>
      <c r="CS77" s="97" t="str">
        <f>IFERROR(__xludf.DUMMYFUNCTION("""COMPUTED_VALUE"""),"#REF!")</f>
        <v>#REF!</v>
      </c>
      <c r="CT77" s="95" t="str">
        <f>IFERROR(__xludf.DUMMYFUNCTION("""COMPUTED_VALUE"""),"#REF!")</f>
        <v>#REF!</v>
      </c>
      <c r="CU77" s="96" t="str">
        <f>IFERROR(__xludf.DUMMYFUNCTION("""COMPUTED_VALUE"""),"#REF!")</f>
        <v>#REF!</v>
      </c>
      <c r="CV77" s="97" t="str">
        <f>IFERROR(__xludf.DUMMYFUNCTION("""COMPUTED_VALUE"""),"#REF!")</f>
        <v>#REF!</v>
      </c>
      <c r="CW77" s="95" t="str">
        <f>IFERROR(__xludf.DUMMYFUNCTION("""COMPUTED_VALUE"""),"#REF!")</f>
        <v>#REF!</v>
      </c>
      <c r="CX77" s="96" t="str">
        <f>IFERROR(__xludf.DUMMYFUNCTION("""COMPUTED_VALUE"""),"#REF!")</f>
        <v>#REF!</v>
      </c>
      <c r="CY77" s="97" t="str">
        <f>IFERROR(__xludf.DUMMYFUNCTION("""COMPUTED_VALUE"""),"#REF!")</f>
        <v>#REF!</v>
      </c>
      <c r="CZ77" s="95" t="str">
        <f>IFERROR(__xludf.DUMMYFUNCTION("""COMPUTED_VALUE"""),"#REF!")</f>
        <v>#REF!</v>
      </c>
      <c r="DA77" s="96" t="str">
        <f>IFERROR(__xludf.DUMMYFUNCTION("""COMPUTED_VALUE"""),"#REF!")</f>
        <v>#REF!</v>
      </c>
      <c r="DB77" s="97" t="str">
        <f>IFERROR(__xludf.DUMMYFUNCTION("""COMPUTED_VALUE"""),"#REF!")</f>
        <v>#REF!</v>
      </c>
      <c r="DC77" s="95" t="str">
        <f>IFERROR(__xludf.DUMMYFUNCTION("""COMPUTED_VALUE"""),"#REF!")</f>
        <v>#REF!</v>
      </c>
      <c r="DD77" s="96" t="str">
        <f>IFERROR(__xludf.DUMMYFUNCTION("""COMPUTED_VALUE"""),"#REF!")</f>
        <v>#REF!</v>
      </c>
      <c r="DE77" s="97" t="str">
        <f>IFERROR(__xludf.DUMMYFUNCTION("""COMPUTED_VALUE"""),"#REF!")</f>
        <v>#REF!</v>
      </c>
      <c r="DF77" s="95" t="str">
        <f>IFERROR(__xludf.DUMMYFUNCTION("""COMPUTED_VALUE"""),"#REF!")</f>
        <v>#REF!</v>
      </c>
      <c r="DG77" s="96" t="str">
        <f>IFERROR(__xludf.DUMMYFUNCTION("""COMPUTED_VALUE"""),"#REF!")</f>
        <v>#REF!</v>
      </c>
      <c r="DH77" s="97" t="str">
        <f>IFERROR(__xludf.DUMMYFUNCTION("""COMPUTED_VALUE"""),"#REF!")</f>
        <v>#REF!</v>
      </c>
      <c r="DI77" s="95" t="str">
        <f>IFERROR(__xludf.DUMMYFUNCTION("""COMPUTED_VALUE"""),"#REF!")</f>
        <v>#REF!</v>
      </c>
      <c r="DJ77" s="96" t="str">
        <f>IFERROR(__xludf.DUMMYFUNCTION("""COMPUTED_VALUE"""),"#REF!")</f>
        <v>#REF!</v>
      </c>
      <c r="DK77" s="97" t="str">
        <f>IFERROR(__xludf.DUMMYFUNCTION("""COMPUTED_VALUE"""),"#REF!")</f>
        <v>#REF!</v>
      </c>
      <c r="DL77" s="95" t="str">
        <f>IFERROR(__xludf.DUMMYFUNCTION("""COMPUTED_VALUE"""),"#REF!")</f>
        <v>#REF!</v>
      </c>
      <c r="DM77" s="96" t="str">
        <f>IFERROR(__xludf.DUMMYFUNCTION("""COMPUTED_VALUE"""),"#REF!")</f>
        <v>#REF!</v>
      </c>
      <c r="DN77" s="97" t="str">
        <f>IFERROR(__xludf.DUMMYFUNCTION("""COMPUTED_VALUE"""),"#REF!")</f>
        <v>#REF!</v>
      </c>
      <c r="DO77" s="95" t="str">
        <f>IFERROR(__xludf.DUMMYFUNCTION("""COMPUTED_VALUE"""),"#REF!")</f>
        <v>#REF!</v>
      </c>
      <c r="DP77" s="96" t="str">
        <f>IFERROR(__xludf.DUMMYFUNCTION("""COMPUTED_VALUE"""),"#REF!")</f>
        <v>#REF!</v>
      </c>
      <c r="DQ77" s="97"/>
      <c r="DR77" s="95"/>
    </row>
    <row r="78">
      <c r="A78" s="124" t="str">
        <f>IFERROR(__xludf.DUMMYFUNCTION("""COMPUTED_VALUE"""),"OKEANOS")</f>
        <v>OKEANOS</v>
      </c>
      <c r="B78" s="120" t="str">
        <f>IFERROR(__xludf.DUMMYFUNCTION("""COMPUTED_VALUE"""),"OKN1")</f>
        <v>OKN1</v>
      </c>
      <c r="C78" s="82">
        <f>IFERROR(__xludf.DUMMYFUNCTION("""COMPUTED_VALUE"""),65.0)</f>
        <v>65</v>
      </c>
      <c r="D78" s="88" t="str">
        <f>IFERROR(__xludf.DUMMYFUNCTION("""COMPUTED_VALUE"""),"Pirate Ship")</f>
        <v>Pirate Ship</v>
      </c>
      <c r="E78" s="82" t="str">
        <f>IFERROR(__xludf.DUMMYFUNCTION("""COMPUTED_VALUE"""),"海賊船")</f>
        <v>海賊船</v>
      </c>
      <c r="F78" s="102">
        <f>IFERROR(__xludf.DUMMYFUNCTION("""COMPUTED_VALUE"""),12.0)</f>
        <v>12</v>
      </c>
      <c r="G78" s="82">
        <f>IFERROR(__xludf.DUMMYFUNCTION("""COMPUTED_VALUE"""),6605.0)</f>
        <v>6605</v>
      </c>
      <c r="H78" s="231" t="str">
        <f>IFERROR(__xludf.DUMMYFUNCTION("""COMPUTED_VALUE"""),"")</f>
        <v/>
      </c>
      <c r="I78" s="232" t="str">
        <f>IFERROR(__xludf.DUMMYFUNCTION("""COMPUTED_VALUE"""),"")</f>
        <v/>
      </c>
      <c r="J78" s="233" t="str">
        <f>IFERROR(__xludf.DUMMYFUNCTION("""COMPUTED_VALUE"""),"")</f>
        <v/>
      </c>
      <c r="K78" s="231" t="str">
        <f>IFERROR(__xludf.DUMMYFUNCTION("""COMPUTED_VALUE"""),"")</f>
        <v/>
      </c>
      <c r="L78" s="232" t="str">
        <f>IFERROR(__xludf.DUMMYFUNCTION("""COMPUTED_VALUE"""),"")</f>
        <v/>
      </c>
      <c r="M78" s="233" t="str">
        <f>IFERROR(__xludf.DUMMYFUNCTION("""COMPUTED_VALUE"""),"")</f>
        <v/>
      </c>
      <c r="N78" s="231" t="str">
        <f>IFERROR(__xludf.DUMMYFUNCTION("""COMPUTED_VALUE"""),"")</f>
        <v/>
      </c>
      <c r="O78" s="232" t="str">
        <f>IFERROR(__xludf.DUMMYFUNCTION("""COMPUTED_VALUE"""),"")</f>
        <v/>
      </c>
      <c r="P78" s="233" t="str">
        <f>IFERROR(__xludf.DUMMYFUNCTION("""COMPUTED_VALUE"""),"")</f>
        <v/>
      </c>
      <c r="Q78" s="231" t="str">
        <f>IFERROR(__xludf.DUMMYFUNCTION("""COMPUTED_VALUE"""),"")</f>
        <v/>
      </c>
      <c r="R78" s="232" t="str">
        <f>IFERROR(__xludf.DUMMYFUNCTION("""COMPUTED_VALUE"""),"")</f>
        <v/>
      </c>
      <c r="S78" s="233" t="str">
        <f>IFERROR(__xludf.DUMMYFUNCTION("""COMPUTED_VALUE"""),"")</f>
        <v/>
      </c>
      <c r="T78" s="231" t="str">
        <f>IFERROR(__xludf.DUMMYFUNCTION("""COMPUTED_VALUE"""),"")</f>
        <v/>
      </c>
      <c r="U78" s="232" t="str">
        <f>IFERROR(__xludf.DUMMYFUNCTION("""COMPUTED_VALUE"""),"")</f>
        <v/>
      </c>
      <c r="V78" s="233" t="str">
        <f>IFERROR(__xludf.DUMMYFUNCTION("""COMPUTED_VALUE"""),"")</f>
        <v/>
      </c>
      <c r="W78" s="231" t="str">
        <f>IFERROR(__xludf.DUMMYFUNCTION("""COMPUTED_VALUE"""),"")</f>
        <v/>
      </c>
      <c r="X78" s="232" t="str">
        <f>IFERROR(__xludf.DUMMYFUNCTION("""COMPUTED_VALUE"""),"")</f>
        <v/>
      </c>
      <c r="Y78" s="233" t="str">
        <f>IFERROR(__xludf.DUMMYFUNCTION("""COMPUTED_VALUE"""),"")</f>
        <v/>
      </c>
      <c r="Z78" s="231" t="str">
        <f>IFERROR(__xludf.DUMMYFUNCTION("""COMPUTED_VALUE"""),"")</f>
        <v/>
      </c>
      <c r="AA78" s="232" t="str">
        <f>IFERROR(__xludf.DUMMYFUNCTION("""COMPUTED_VALUE"""),"")</f>
        <v/>
      </c>
      <c r="AB78" s="233" t="str">
        <f>IFERROR(__xludf.DUMMYFUNCTION("""COMPUTED_VALUE"""),"")</f>
        <v/>
      </c>
      <c r="AC78" s="231" t="str">
        <f>IFERROR(__xludf.DUMMYFUNCTION("""COMPUTED_VALUE"""),"")</f>
        <v/>
      </c>
      <c r="AD78" s="232" t="str">
        <f>IFERROR(__xludf.DUMMYFUNCTION("""COMPUTED_VALUE"""),"")</f>
        <v/>
      </c>
      <c r="AE78" s="233" t="str">
        <f>IFERROR(__xludf.DUMMYFUNCTION("""COMPUTED_VALUE"""),"")</f>
        <v/>
      </c>
      <c r="AF78" s="231" t="str">
        <f>IFERROR(__xludf.DUMMYFUNCTION("""COMPUTED_VALUE"""),"")</f>
        <v/>
      </c>
      <c r="AG78" s="232" t="str">
        <f>IFERROR(__xludf.DUMMYFUNCTION("""COMPUTED_VALUE"""),"")</f>
        <v/>
      </c>
      <c r="AH78" s="233" t="str">
        <f>IFERROR(__xludf.DUMMYFUNCTION("""COMPUTED_VALUE"""),"")</f>
        <v/>
      </c>
      <c r="AI78" s="231" t="str">
        <f>IFERROR(__xludf.DUMMYFUNCTION("""COMPUTED_VALUE"""),"")</f>
        <v/>
      </c>
      <c r="AJ78" s="232" t="str">
        <f>IFERROR(__xludf.DUMMYFUNCTION("""COMPUTED_VALUE"""),"")</f>
        <v/>
      </c>
      <c r="AK78" s="233" t="str">
        <f>IFERROR(__xludf.DUMMYFUNCTION("""COMPUTED_VALUE"""),"")</f>
        <v/>
      </c>
      <c r="AL78" s="231" t="str">
        <f>IFERROR(__xludf.DUMMYFUNCTION("""COMPUTED_VALUE"""),"")</f>
        <v/>
      </c>
      <c r="AM78" s="232" t="str">
        <f>IFERROR(__xludf.DUMMYFUNCTION("""COMPUTED_VALUE"""),"")</f>
        <v/>
      </c>
      <c r="AN78" s="233" t="str">
        <f>IFERROR(__xludf.DUMMYFUNCTION("""COMPUTED_VALUE"""),"")</f>
        <v/>
      </c>
      <c r="AO78" s="231" t="str">
        <f>IFERROR(__xludf.DUMMYFUNCTION("""COMPUTED_VALUE"""),"")</f>
        <v/>
      </c>
      <c r="AP78" s="232" t="str">
        <f>IFERROR(__xludf.DUMMYFUNCTION("""COMPUTED_VALUE"""),"")</f>
        <v/>
      </c>
      <c r="AQ78" s="233" t="str">
        <f>IFERROR(__xludf.DUMMYFUNCTION("""COMPUTED_VALUE"""),"")</f>
        <v/>
      </c>
      <c r="AR78" s="231" t="str">
        <f>IFERROR(__xludf.DUMMYFUNCTION("""COMPUTED_VALUE"""),"")</f>
        <v/>
      </c>
      <c r="AS78" s="232" t="str">
        <f>IFERROR(__xludf.DUMMYFUNCTION("""COMPUTED_VALUE"""),"")</f>
        <v/>
      </c>
      <c r="AT78" s="233">
        <f>IFERROR(__xludf.DUMMYFUNCTION("""COMPUTED_VALUE"""),58.7)</f>
        <v>58.7</v>
      </c>
      <c r="AU78" s="231" t="str">
        <f>IFERROR(__xludf.DUMMYFUNCTION("""COMPUTED_VALUE"""),"")</f>
        <v/>
      </c>
      <c r="AV78" s="232" t="str">
        <f>IFERROR(__xludf.DUMMYFUNCTION("""COMPUTED_VALUE"""),"")</f>
        <v/>
      </c>
      <c r="AW78" s="233" t="str">
        <f>IFERROR(__xludf.DUMMYFUNCTION("""COMPUTED_VALUE"""),"")</f>
        <v/>
      </c>
      <c r="AX78" s="231" t="str">
        <f>IFERROR(__xludf.DUMMYFUNCTION("""COMPUTED_VALUE"""),"")</f>
        <v/>
      </c>
      <c r="AY78" s="232" t="str">
        <f>IFERROR(__xludf.DUMMYFUNCTION("""COMPUTED_VALUE"""),"")</f>
        <v/>
      </c>
      <c r="AZ78" s="233" t="str">
        <f>IFERROR(__xludf.DUMMYFUNCTION("""COMPUTED_VALUE"""),"")</f>
        <v/>
      </c>
      <c r="BA78" s="231" t="str">
        <f>IFERROR(__xludf.DUMMYFUNCTION("""COMPUTED_VALUE"""),"")</f>
        <v/>
      </c>
      <c r="BB78" s="232" t="str">
        <f>IFERROR(__xludf.DUMMYFUNCTION("""COMPUTED_VALUE"""),"")</f>
        <v/>
      </c>
      <c r="BC78" s="233" t="str">
        <f>IFERROR(__xludf.DUMMYFUNCTION("""COMPUTED_VALUE"""),"")</f>
        <v/>
      </c>
      <c r="BD78" s="231" t="str">
        <f>IFERROR(__xludf.DUMMYFUNCTION("""COMPUTED_VALUE"""),"")</f>
        <v/>
      </c>
      <c r="BE78" s="232" t="str">
        <f>IFERROR(__xludf.DUMMYFUNCTION("""COMPUTED_VALUE"""),"")</f>
        <v/>
      </c>
      <c r="BF78" s="233" t="str">
        <f>IFERROR(__xludf.DUMMYFUNCTION("""COMPUTED_VALUE"""),"")</f>
        <v/>
      </c>
      <c r="BG78" s="231" t="str">
        <f>IFERROR(__xludf.DUMMYFUNCTION("""COMPUTED_VALUE"""),"")</f>
        <v/>
      </c>
      <c r="BH78" s="232" t="str">
        <f>IFERROR(__xludf.DUMMYFUNCTION("""COMPUTED_VALUE"""),"")</f>
        <v/>
      </c>
      <c r="BI78" s="233" t="str">
        <f>IFERROR(__xludf.DUMMYFUNCTION("""COMPUTED_VALUE"""),"")</f>
        <v/>
      </c>
      <c r="BJ78" s="231" t="str">
        <f>IFERROR(__xludf.DUMMYFUNCTION("""COMPUTED_VALUE"""),"")</f>
        <v/>
      </c>
      <c r="BK78" s="232" t="str">
        <f>IFERROR(__xludf.DUMMYFUNCTION("""COMPUTED_VALUE"""),"")</f>
        <v/>
      </c>
      <c r="BL78" s="233" t="str">
        <f>IFERROR(__xludf.DUMMYFUNCTION("""COMPUTED_VALUE"""),"")</f>
        <v/>
      </c>
      <c r="BM78" s="231" t="str">
        <f>IFERROR(__xludf.DUMMYFUNCTION("""COMPUTED_VALUE"""),"")</f>
        <v/>
      </c>
      <c r="BN78" s="232" t="str">
        <f>IFERROR(__xludf.DUMMYFUNCTION("""COMPUTED_VALUE"""),"")</f>
        <v/>
      </c>
      <c r="BO78" s="233" t="str">
        <f>IFERROR(__xludf.DUMMYFUNCTION("""COMPUTED_VALUE"""),"")</f>
        <v/>
      </c>
      <c r="BP78" s="231" t="str">
        <f>IFERROR(__xludf.DUMMYFUNCTION("""COMPUTED_VALUE"""),"")</f>
        <v/>
      </c>
      <c r="BQ78" s="232">
        <f>IFERROR(__xludf.DUMMYFUNCTION("""COMPUTED_VALUE"""),20.2)</f>
        <v>20.2</v>
      </c>
      <c r="BR78" s="233">
        <f>IFERROR(__xludf.DUMMYFUNCTION("""COMPUTED_VALUE"""),25.6)</f>
        <v>25.6</v>
      </c>
      <c r="BS78" s="231" t="str">
        <f>IFERROR(__xludf.DUMMYFUNCTION("""COMPUTED_VALUE"""),"")</f>
        <v/>
      </c>
      <c r="BT78" s="232" t="str">
        <f>IFERROR(__xludf.DUMMYFUNCTION("""COMPUTED_VALUE"""),"")</f>
        <v/>
      </c>
      <c r="BU78" s="233" t="str">
        <f>IFERROR(__xludf.DUMMYFUNCTION("""COMPUTED_VALUE"""),"")</f>
        <v/>
      </c>
      <c r="BV78" s="231" t="str">
        <f>IFERROR(__xludf.DUMMYFUNCTION("""COMPUTED_VALUE"""),"")</f>
        <v/>
      </c>
      <c r="BW78" s="232" t="str">
        <f>IFERROR(__xludf.DUMMYFUNCTION("""COMPUTED_VALUE"""),"")</f>
        <v/>
      </c>
      <c r="BX78" s="233" t="str">
        <f>IFERROR(__xludf.DUMMYFUNCTION("""COMPUTED_VALUE"""),"")</f>
        <v/>
      </c>
      <c r="BY78" s="231" t="str">
        <f>IFERROR(__xludf.DUMMYFUNCTION("""COMPUTED_VALUE"""),"")</f>
        <v/>
      </c>
      <c r="BZ78" s="232" t="str">
        <f>IFERROR(__xludf.DUMMYFUNCTION("""COMPUTED_VALUE"""),"")</f>
        <v/>
      </c>
      <c r="CA78" s="233" t="str">
        <f>IFERROR(__xludf.DUMMYFUNCTION("""COMPUTED_VALUE"""),"")</f>
        <v/>
      </c>
      <c r="CB78" s="231" t="str">
        <f>IFERROR(__xludf.DUMMYFUNCTION("""COMPUTED_VALUE"""),"")</f>
        <v/>
      </c>
      <c r="CC78" s="232" t="str">
        <f>IFERROR(__xludf.DUMMYFUNCTION("""COMPUTED_VALUE"""),"")</f>
        <v/>
      </c>
      <c r="CD78" s="233" t="str">
        <f>IFERROR(__xludf.DUMMYFUNCTION("""COMPUTED_VALUE"""),"")</f>
        <v/>
      </c>
      <c r="CE78" s="234" t="str">
        <f>IFERROR(__xludf.DUMMYFUNCTION("""COMPUTED_VALUE"""),"")</f>
        <v/>
      </c>
      <c r="CF78" s="230" t="str">
        <f>IFERROR(__xludf.DUMMYFUNCTION("""COMPUTED_VALUE"""),"")</f>
        <v/>
      </c>
      <c r="CG78" s="235" t="str">
        <f>IFERROR(__xludf.DUMMYFUNCTION("""COMPUTED_VALUE"""),"")</f>
        <v/>
      </c>
      <c r="CH78" s="234" t="str">
        <f>IFERROR(__xludf.DUMMYFUNCTION("""COMPUTED_VALUE"""),"")</f>
        <v/>
      </c>
      <c r="CI78" s="230" t="str">
        <f>IFERROR(__xludf.DUMMYFUNCTION("""COMPUTED_VALUE"""),"")</f>
        <v/>
      </c>
      <c r="CJ78" s="235" t="str">
        <f>IFERROR(__xludf.DUMMYFUNCTION("""COMPUTED_VALUE"""),"")</f>
        <v/>
      </c>
      <c r="CK78" s="95" t="str">
        <f>IFERROR(__xludf.DUMMYFUNCTION("""COMPUTED_VALUE"""),"")</f>
        <v/>
      </c>
      <c r="CL78" s="96" t="str">
        <f>IFERROR(__xludf.DUMMYFUNCTION("""COMPUTED_VALUE"""),"")</f>
        <v/>
      </c>
      <c r="CM78" s="97" t="str">
        <f>IFERROR(__xludf.DUMMYFUNCTION("""COMPUTED_VALUE"""),"")</f>
        <v/>
      </c>
      <c r="CN78" s="95" t="str">
        <f>IFERROR(__xludf.DUMMYFUNCTION("""COMPUTED_VALUE"""),"")</f>
        <v/>
      </c>
      <c r="CO78" s="96" t="str">
        <f>IFERROR(__xludf.DUMMYFUNCTION("""COMPUTED_VALUE"""),"")</f>
        <v/>
      </c>
      <c r="CP78" s="97" t="str">
        <f>IFERROR(__xludf.DUMMYFUNCTION("""COMPUTED_VALUE"""),"")</f>
        <v/>
      </c>
      <c r="CQ78" s="95" t="str">
        <f>IFERROR(__xludf.DUMMYFUNCTION("""COMPUTED_VALUE"""),"")</f>
        <v/>
      </c>
      <c r="CR78" s="96" t="str">
        <f>IFERROR(__xludf.DUMMYFUNCTION("""COMPUTED_VALUE"""),"")</f>
        <v/>
      </c>
      <c r="CS78" s="97" t="str">
        <f>IFERROR(__xludf.DUMMYFUNCTION("""COMPUTED_VALUE"""),"#REF!")</f>
        <v>#REF!</v>
      </c>
      <c r="CT78" s="95" t="str">
        <f>IFERROR(__xludf.DUMMYFUNCTION("""COMPUTED_VALUE"""),"#REF!")</f>
        <v>#REF!</v>
      </c>
      <c r="CU78" s="96" t="str">
        <f>IFERROR(__xludf.DUMMYFUNCTION("""COMPUTED_VALUE"""),"#REF!")</f>
        <v>#REF!</v>
      </c>
      <c r="CV78" s="97" t="str">
        <f>IFERROR(__xludf.DUMMYFUNCTION("""COMPUTED_VALUE"""),"#REF!")</f>
        <v>#REF!</v>
      </c>
      <c r="CW78" s="95" t="str">
        <f>IFERROR(__xludf.DUMMYFUNCTION("""COMPUTED_VALUE"""),"#REF!")</f>
        <v>#REF!</v>
      </c>
      <c r="CX78" s="96" t="str">
        <f>IFERROR(__xludf.DUMMYFUNCTION("""COMPUTED_VALUE"""),"#REF!")</f>
        <v>#REF!</v>
      </c>
      <c r="CY78" s="97" t="str">
        <f>IFERROR(__xludf.DUMMYFUNCTION("""COMPUTED_VALUE"""),"#REF!")</f>
        <v>#REF!</v>
      </c>
      <c r="CZ78" s="95" t="str">
        <f>IFERROR(__xludf.DUMMYFUNCTION("""COMPUTED_VALUE"""),"#REF!")</f>
        <v>#REF!</v>
      </c>
      <c r="DA78" s="96" t="str">
        <f>IFERROR(__xludf.DUMMYFUNCTION("""COMPUTED_VALUE"""),"#REF!")</f>
        <v>#REF!</v>
      </c>
      <c r="DB78" s="97" t="str">
        <f>IFERROR(__xludf.DUMMYFUNCTION("""COMPUTED_VALUE"""),"#REF!")</f>
        <v>#REF!</v>
      </c>
      <c r="DC78" s="95" t="str">
        <f>IFERROR(__xludf.DUMMYFUNCTION("""COMPUTED_VALUE"""),"#REF!")</f>
        <v>#REF!</v>
      </c>
      <c r="DD78" s="96" t="str">
        <f>IFERROR(__xludf.DUMMYFUNCTION("""COMPUTED_VALUE"""),"#REF!")</f>
        <v>#REF!</v>
      </c>
      <c r="DE78" s="97" t="str">
        <f>IFERROR(__xludf.DUMMYFUNCTION("""COMPUTED_VALUE"""),"#REF!")</f>
        <v>#REF!</v>
      </c>
      <c r="DF78" s="95" t="str">
        <f>IFERROR(__xludf.DUMMYFUNCTION("""COMPUTED_VALUE"""),"#REF!")</f>
        <v>#REF!</v>
      </c>
      <c r="DG78" s="96" t="str">
        <f>IFERROR(__xludf.DUMMYFUNCTION("""COMPUTED_VALUE"""),"#REF!")</f>
        <v>#REF!</v>
      </c>
      <c r="DH78" s="97" t="str">
        <f>IFERROR(__xludf.DUMMYFUNCTION("""COMPUTED_VALUE"""),"#REF!")</f>
        <v>#REF!</v>
      </c>
      <c r="DI78" s="95" t="str">
        <f>IFERROR(__xludf.DUMMYFUNCTION("""COMPUTED_VALUE"""),"#REF!")</f>
        <v>#REF!</v>
      </c>
      <c r="DJ78" s="96" t="str">
        <f>IFERROR(__xludf.DUMMYFUNCTION("""COMPUTED_VALUE"""),"#REF!")</f>
        <v>#REF!</v>
      </c>
      <c r="DK78" s="97" t="str">
        <f>IFERROR(__xludf.DUMMYFUNCTION("""COMPUTED_VALUE"""),"#REF!")</f>
        <v>#REF!</v>
      </c>
      <c r="DL78" s="95" t="str">
        <f>IFERROR(__xludf.DUMMYFUNCTION("""COMPUTED_VALUE"""),"#REF!")</f>
        <v>#REF!</v>
      </c>
      <c r="DM78" s="96" t="str">
        <f>IFERROR(__xludf.DUMMYFUNCTION("""COMPUTED_VALUE"""),"#REF!")</f>
        <v>#REF!</v>
      </c>
      <c r="DN78" s="97" t="str">
        <f>IFERROR(__xludf.DUMMYFUNCTION("""COMPUTED_VALUE"""),"#REF!")</f>
        <v>#REF!</v>
      </c>
      <c r="DO78" s="95" t="str">
        <f>IFERROR(__xludf.DUMMYFUNCTION("""COMPUTED_VALUE"""),"#REF!")</f>
        <v>#REF!</v>
      </c>
      <c r="DP78" s="96" t="str">
        <f>IFERROR(__xludf.DUMMYFUNCTION("""COMPUTED_VALUE"""),"#REF!")</f>
        <v>#REF!</v>
      </c>
      <c r="DQ78" s="97"/>
      <c r="DR78" s="95"/>
    </row>
    <row r="79">
      <c r="B79" s="120" t="str">
        <f>IFERROR(__xludf.DUMMYFUNCTION("""COMPUTED_VALUE"""),"OKN2")</f>
        <v>OKN2</v>
      </c>
      <c r="C79" s="82">
        <f>IFERROR(__xludf.DUMMYFUNCTION("""COMPUTED_VALUE"""),66.0)</f>
        <v>66</v>
      </c>
      <c r="D79" s="88" t="str">
        <f>IFERROR(__xludf.DUMMYFUNCTION("""COMPUTED_VALUE"""),"Pirate Island")</f>
        <v>Pirate Island</v>
      </c>
      <c r="E79" s="82" t="str">
        <f>IFERROR(__xludf.DUMMYFUNCTION("""COMPUTED_VALUE"""),"海賊島")</f>
        <v>海賊島</v>
      </c>
      <c r="F79" s="102">
        <f>IFERROR(__xludf.DUMMYFUNCTION("""COMPUTED_VALUE"""),13.0)</f>
        <v>13</v>
      </c>
      <c r="G79" s="82">
        <f>IFERROR(__xludf.DUMMYFUNCTION("""COMPUTED_VALUE"""),1260.0)</f>
        <v>1260</v>
      </c>
      <c r="H79" s="231" t="str">
        <f>IFERROR(__xludf.DUMMYFUNCTION("""COMPUTED_VALUE"""),"")</f>
        <v/>
      </c>
      <c r="I79" s="232" t="str">
        <f>IFERROR(__xludf.DUMMYFUNCTION("""COMPUTED_VALUE"""),"")</f>
        <v/>
      </c>
      <c r="J79" s="233" t="str">
        <f>IFERROR(__xludf.DUMMYFUNCTION("""COMPUTED_VALUE"""),"")</f>
        <v/>
      </c>
      <c r="K79" s="231" t="str">
        <f>IFERROR(__xludf.DUMMYFUNCTION("""COMPUTED_VALUE"""),"")</f>
        <v/>
      </c>
      <c r="L79" s="232" t="str">
        <f>IFERROR(__xludf.DUMMYFUNCTION("""COMPUTED_VALUE"""),"")</f>
        <v/>
      </c>
      <c r="M79" s="233" t="str">
        <f>IFERROR(__xludf.DUMMYFUNCTION("""COMPUTED_VALUE"""),"")</f>
        <v/>
      </c>
      <c r="N79" s="231" t="str">
        <f>IFERROR(__xludf.DUMMYFUNCTION("""COMPUTED_VALUE"""),"")</f>
        <v/>
      </c>
      <c r="O79" s="232" t="str">
        <f>IFERROR(__xludf.DUMMYFUNCTION("""COMPUTED_VALUE"""),"")</f>
        <v/>
      </c>
      <c r="P79" s="233" t="str">
        <f>IFERROR(__xludf.DUMMYFUNCTION("""COMPUTED_VALUE"""),"")</f>
        <v/>
      </c>
      <c r="Q79" s="231" t="str">
        <f>IFERROR(__xludf.DUMMYFUNCTION("""COMPUTED_VALUE"""),"")</f>
        <v/>
      </c>
      <c r="R79" s="232" t="str">
        <f>IFERROR(__xludf.DUMMYFUNCTION("""COMPUTED_VALUE"""),"")</f>
        <v/>
      </c>
      <c r="S79" s="233" t="str">
        <f>IFERROR(__xludf.DUMMYFUNCTION("""COMPUTED_VALUE"""),"")</f>
        <v/>
      </c>
      <c r="T79" s="231" t="str">
        <f>IFERROR(__xludf.DUMMYFUNCTION("""COMPUTED_VALUE"""),"")</f>
        <v/>
      </c>
      <c r="U79" s="232" t="str">
        <f>IFERROR(__xludf.DUMMYFUNCTION("""COMPUTED_VALUE"""),"")</f>
        <v/>
      </c>
      <c r="V79" s="233" t="str">
        <f>IFERROR(__xludf.DUMMYFUNCTION("""COMPUTED_VALUE"""),"")</f>
        <v/>
      </c>
      <c r="W79" s="231" t="str">
        <f>IFERROR(__xludf.DUMMYFUNCTION("""COMPUTED_VALUE"""),"")</f>
        <v/>
      </c>
      <c r="X79" s="232" t="str">
        <f>IFERROR(__xludf.DUMMYFUNCTION("""COMPUTED_VALUE"""),"")</f>
        <v/>
      </c>
      <c r="Y79" s="233" t="str">
        <f>IFERROR(__xludf.DUMMYFUNCTION("""COMPUTED_VALUE"""),"")</f>
        <v/>
      </c>
      <c r="Z79" s="231" t="str">
        <f>IFERROR(__xludf.DUMMYFUNCTION("""COMPUTED_VALUE"""),"")</f>
        <v/>
      </c>
      <c r="AA79" s="232" t="str">
        <f>IFERROR(__xludf.DUMMYFUNCTION("""COMPUTED_VALUE"""),"")</f>
        <v/>
      </c>
      <c r="AB79" s="233" t="str">
        <f>IFERROR(__xludf.DUMMYFUNCTION("""COMPUTED_VALUE"""),"")</f>
        <v/>
      </c>
      <c r="AC79" s="231" t="str">
        <f>IFERROR(__xludf.DUMMYFUNCTION("""COMPUTED_VALUE"""),"")</f>
        <v/>
      </c>
      <c r="AD79" s="232" t="str">
        <f>IFERROR(__xludf.DUMMYFUNCTION("""COMPUTED_VALUE"""),"")</f>
        <v/>
      </c>
      <c r="AE79" s="233" t="str">
        <f>IFERROR(__xludf.DUMMYFUNCTION("""COMPUTED_VALUE"""),"")</f>
        <v/>
      </c>
      <c r="AF79" s="231" t="str">
        <f>IFERROR(__xludf.DUMMYFUNCTION("""COMPUTED_VALUE"""),"")</f>
        <v/>
      </c>
      <c r="AG79" s="232" t="str">
        <f>IFERROR(__xludf.DUMMYFUNCTION("""COMPUTED_VALUE"""),"")</f>
        <v/>
      </c>
      <c r="AH79" s="233" t="str">
        <f>IFERROR(__xludf.DUMMYFUNCTION("""COMPUTED_VALUE"""),"")</f>
        <v/>
      </c>
      <c r="AI79" s="231" t="str">
        <f>IFERROR(__xludf.DUMMYFUNCTION("""COMPUTED_VALUE"""),"")</f>
        <v/>
      </c>
      <c r="AJ79" s="232" t="str">
        <f>IFERROR(__xludf.DUMMYFUNCTION("""COMPUTED_VALUE"""),"")</f>
        <v/>
      </c>
      <c r="AK79" s="233" t="str">
        <f>IFERROR(__xludf.DUMMYFUNCTION("""COMPUTED_VALUE"""),"")</f>
        <v/>
      </c>
      <c r="AL79" s="231" t="str">
        <f>IFERROR(__xludf.DUMMYFUNCTION("""COMPUTED_VALUE"""),"")</f>
        <v/>
      </c>
      <c r="AM79" s="232" t="str">
        <f>IFERROR(__xludf.DUMMYFUNCTION("""COMPUTED_VALUE"""),"")</f>
        <v/>
      </c>
      <c r="AN79" s="233" t="str">
        <f>IFERROR(__xludf.DUMMYFUNCTION("""COMPUTED_VALUE"""),"")</f>
        <v/>
      </c>
      <c r="AO79" s="231" t="str">
        <f>IFERROR(__xludf.DUMMYFUNCTION("""COMPUTED_VALUE"""),"")</f>
        <v/>
      </c>
      <c r="AP79" s="232" t="str">
        <f>IFERROR(__xludf.DUMMYFUNCTION("""COMPUTED_VALUE"""),"")</f>
        <v/>
      </c>
      <c r="AQ79" s="233" t="str">
        <f>IFERROR(__xludf.DUMMYFUNCTION("""COMPUTED_VALUE"""),"")</f>
        <v/>
      </c>
      <c r="AR79" s="231" t="str">
        <f>IFERROR(__xludf.DUMMYFUNCTION("""COMPUTED_VALUE"""),"")</f>
        <v/>
      </c>
      <c r="AS79" s="232" t="str">
        <f>IFERROR(__xludf.DUMMYFUNCTION("""COMPUTED_VALUE"""),"")</f>
        <v/>
      </c>
      <c r="AT79" s="233">
        <f>IFERROR(__xludf.DUMMYFUNCTION("""COMPUTED_VALUE"""),56.0)</f>
        <v>56</v>
      </c>
      <c r="AU79" s="231" t="str">
        <f>IFERROR(__xludf.DUMMYFUNCTION("""COMPUTED_VALUE"""),"")</f>
        <v/>
      </c>
      <c r="AV79" s="232" t="str">
        <f>IFERROR(__xludf.DUMMYFUNCTION("""COMPUTED_VALUE"""),"")</f>
        <v/>
      </c>
      <c r="AW79" s="233">
        <f>IFERROR(__xludf.DUMMYFUNCTION("""COMPUTED_VALUE"""),11.5)</f>
        <v>11.5</v>
      </c>
      <c r="AX79" s="231" t="str">
        <f>IFERROR(__xludf.DUMMYFUNCTION("""COMPUTED_VALUE"""),"")</f>
        <v/>
      </c>
      <c r="AY79" s="232" t="str">
        <f>IFERROR(__xludf.DUMMYFUNCTION("""COMPUTED_VALUE"""),"")</f>
        <v/>
      </c>
      <c r="AZ79" s="233" t="str">
        <f>IFERROR(__xludf.DUMMYFUNCTION("""COMPUTED_VALUE"""),"")</f>
        <v/>
      </c>
      <c r="BA79" s="231" t="str">
        <f>IFERROR(__xludf.DUMMYFUNCTION("""COMPUTED_VALUE"""),"")</f>
        <v/>
      </c>
      <c r="BB79" s="232" t="str">
        <f>IFERROR(__xludf.DUMMYFUNCTION("""COMPUTED_VALUE"""),"")</f>
        <v/>
      </c>
      <c r="BC79" s="233" t="str">
        <f>IFERROR(__xludf.DUMMYFUNCTION("""COMPUTED_VALUE"""),"")</f>
        <v/>
      </c>
      <c r="BD79" s="231" t="str">
        <f>IFERROR(__xludf.DUMMYFUNCTION("""COMPUTED_VALUE"""),"")</f>
        <v/>
      </c>
      <c r="BE79" s="232" t="str">
        <f>IFERROR(__xludf.DUMMYFUNCTION("""COMPUTED_VALUE"""),"")</f>
        <v/>
      </c>
      <c r="BF79" s="233" t="str">
        <f>IFERROR(__xludf.DUMMYFUNCTION("""COMPUTED_VALUE"""),"")</f>
        <v/>
      </c>
      <c r="BG79" s="231" t="str">
        <f>IFERROR(__xludf.DUMMYFUNCTION("""COMPUTED_VALUE"""),"")</f>
        <v/>
      </c>
      <c r="BH79" s="232" t="str">
        <f>IFERROR(__xludf.DUMMYFUNCTION("""COMPUTED_VALUE"""),"")</f>
        <v/>
      </c>
      <c r="BI79" s="233" t="str">
        <f>IFERROR(__xludf.DUMMYFUNCTION("""COMPUTED_VALUE"""),"")</f>
        <v/>
      </c>
      <c r="BJ79" s="231" t="str">
        <f>IFERROR(__xludf.DUMMYFUNCTION("""COMPUTED_VALUE"""),"")</f>
        <v/>
      </c>
      <c r="BK79" s="232" t="str">
        <f>IFERROR(__xludf.DUMMYFUNCTION("""COMPUTED_VALUE"""),"")</f>
        <v/>
      </c>
      <c r="BL79" s="233" t="str">
        <f>IFERROR(__xludf.DUMMYFUNCTION("""COMPUTED_VALUE"""),"")</f>
        <v/>
      </c>
      <c r="BM79" s="231" t="str">
        <f>IFERROR(__xludf.DUMMYFUNCTION("""COMPUTED_VALUE"""),"")</f>
        <v/>
      </c>
      <c r="BN79" s="232" t="str">
        <f>IFERROR(__xludf.DUMMYFUNCTION("""COMPUTED_VALUE"""),"")</f>
        <v/>
      </c>
      <c r="BO79" s="233" t="str">
        <f>IFERROR(__xludf.DUMMYFUNCTION("""COMPUTED_VALUE"""),"")</f>
        <v/>
      </c>
      <c r="BP79" s="231" t="str">
        <f>IFERROR(__xludf.DUMMYFUNCTION("""COMPUTED_VALUE"""),"")</f>
        <v/>
      </c>
      <c r="BQ79" s="232" t="str">
        <f>IFERROR(__xludf.DUMMYFUNCTION("""COMPUTED_VALUE"""),"")</f>
        <v/>
      </c>
      <c r="BR79" s="233">
        <f>IFERROR(__xludf.DUMMYFUNCTION("""COMPUTED_VALUE"""),24.7)</f>
        <v>24.7</v>
      </c>
      <c r="BS79" s="231" t="str">
        <f>IFERROR(__xludf.DUMMYFUNCTION("""COMPUTED_VALUE"""),"")</f>
        <v/>
      </c>
      <c r="BT79" s="232" t="str">
        <f>IFERROR(__xludf.DUMMYFUNCTION("""COMPUTED_VALUE"""),"")</f>
        <v/>
      </c>
      <c r="BU79" s="233" t="str">
        <f>IFERROR(__xludf.DUMMYFUNCTION("""COMPUTED_VALUE"""),"")</f>
        <v/>
      </c>
      <c r="BV79" s="231" t="str">
        <f>IFERROR(__xludf.DUMMYFUNCTION("""COMPUTED_VALUE"""),"")</f>
        <v/>
      </c>
      <c r="BW79" s="232">
        <f>IFERROR(__xludf.DUMMYFUNCTION("""COMPUTED_VALUE"""),16.4)</f>
        <v>16.4</v>
      </c>
      <c r="BX79" s="233" t="str">
        <f>IFERROR(__xludf.DUMMYFUNCTION("""COMPUTED_VALUE"""),"")</f>
        <v/>
      </c>
      <c r="BY79" s="231" t="str">
        <f>IFERROR(__xludf.DUMMYFUNCTION("""COMPUTED_VALUE"""),"")</f>
        <v/>
      </c>
      <c r="BZ79" s="232" t="str">
        <f>IFERROR(__xludf.DUMMYFUNCTION("""COMPUTED_VALUE"""),"")</f>
        <v/>
      </c>
      <c r="CA79" s="233">
        <f>IFERROR(__xludf.DUMMYFUNCTION("""COMPUTED_VALUE"""),2.1)</f>
        <v>2.1</v>
      </c>
      <c r="CB79" s="231" t="str">
        <f>IFERROR(__xludf.DUMMYFUNCTION("""COMPUTED_VALUE"""),"")</f>
        <v/>
      </c>
      <c r="CC79" s="232" t="str">
        <f>IFERROR(__xludf.DUMMYFUNCTION("""COMPUTED_VALUE"""),"")</f>
        <v/>
      </c>
      <c r="CD79" s="233" t="str">
        <f>IFERROR(__xludf.DUMMYFUNCTION("""COMPUTED_VALUE"""),"")</f>
        <v/>
      </c>
      <c r="CE79" s="234" t="str">
        <f>IFERROR(__xludf.DUMMYFUNCTION("""COMPUTED_VALUE"""),"")</f>
        <v/>
      </c>
      <c r="CF79" s="230" t="str">
        <f>IFERROR(__xludf.DUMMYFUNCTION("""COMPUTED_VALUE"""),"")</f>
        <v/>
      </c>
      <c r="CG79" s="235" t="str">
        <f>IFERROR(__xludf.DUMMYFUNCTION("""COMPUTED_VALUE"""),"")</f>
        <v/>
      </c>
      <c r="CH79" s="234">
        <f>IFERROR(__xludf.DUMMYFUNCTION("""COMPUTED_VALUE"""),9.9)</f>
        <v>9.9</v>
      </c>
      <c r="CI79" s="230" t="str">
        <f>IFERROR(__xludf.DUMMYFUNCTION("""COMPUTED_VALUE"""),"")</f>
        <v/>
      </c>
      <c r="CJ79" s="235" t="str">
        <f>IFERROR(__xludf.DUMMYFUNCTION("""COMPUTED_VALUE"""),"")</f>
        <v/>
      </c>
      <c r="CK79" s="95" t="str">
        <f>IFERROR(__xludf.DUMMYFUNCTION("""COMPUTED_VALUE"""),"")</f>
        <v/>
      </c>
      <c r="CL79" s="96" t="str">
        <f>IFERROR(__xludf.DUMMYFUNCTION("""COMPUTED_VALUE"""),"")</f>
        <v/>
      </c>
      <c r="CM79" s="97" t="str">
        <f>IFERROR(__xludf.DUMMYFUNCTION("""COMPUTED_VALUE"""),"")</f>
        <v/>
      </c>
      <c r="CN79" s="95" t="str">
        <f>IFERROR(__xludf.DUMMYFUNCTION("""COMPUTED_VALUE"""),"")</f>
        <v/>
      </c>
      <c r="CO79" s="96" t="str">
        <f>IFERROR(__xludf.DUMMYFUNCTION("""COMPUTED_VALUE"""),"")</f>
        <v/>
      </c>
      <c r="CP79" s="97" t="str">
        <f>IFERROR(__xludf.DUMMYFUNCTION("""COMPUTED_VALUE"""),"")</f>
        <v/>
      </c>
      <c r="CQ79" s="95" t="str">
        <f>IFERROR(__xludf.DUMMYFUNCTION("""COMPUTED_VALUE"""),"")</f>
        <v/>
      </c>
      <c r="CR79" s="96" t="str">
        <f>IFERROR(__xludf.DUMMYFUNCTION("""COMPUTED_VALUE"""),"")</f>
        <v/>
      </c>
      <c r="CS79" s="97" t="str">
        <f>IFERROR(__xludf.DUMMYFUNCTION("""COMPUTED_VALUE"""),"#REF!")</f>
        <v>#REF!</v>
      </c>
      <c r="CT79" s="95" t="str">
        <f>IFERROR(__xludf.DUMMYFUNCTION("""COMPUTED_VALUE"""),"#REF!")</f>
        <v>#REF!</v>
      </c>
      <c r="CU79" s="96" t="str">
        <f>IFERROR(__xludf.DUMMYFUNCTION("""COMPUTED_VALUE"""),"#REF!")</f>
        <v>#REF!</v>
      </c>
      <c r="CV79" s="97" t="str">
        <f>IFERROR(__xludf.DUMMYFUNCTION("""COMPUTED_VALUE"""),"#REF!")</f>
        <v>#REF!</v>
      </c>
      <c r="CW79" s="95" t="str">
        <f>IFERROR(__xludf.DUMMYFUNCTION("""COMPUTED_VALUE"""),"#REF!")</f>
        <v>#REF!</v>
      </c>
      <c r="CX79" s="96" t="str">
        <f>IFERROR(__xludf.DUMMYFUNCTION("""COMPUTED_VALUE"""),"#REF!")</f>
        <v>#REF!</v>
      </c>
      <c r="CY79" s="97" t="str">
        <f>IFERROR(__xludf.DUMMYFUNCTION("""COMPUTED_VALUE"""),"#REF!")</f>
        <v>#REF!</v>
      </c>
      <c r="CZ79" s="95" t="str">
        <f>IFERROR(__xludf.DUMMYFUNCTION("""COMPUTED_VALUE"""),"#REF!")</f>
        <v>#REF!</v>
      </c>
      <c r="DA79" s="96" t="str">
        <f>IFERROR(__xludf.DUMMYFUNCTION("""COMPUTED_VALUE"""),"#REF!")</f>
        <v>#REF!</v>
      </c>
      <c r="DB79" s="97" t="str">
        <f>IFERROR(__xludf.DUMMYFUNCTION("""COMPUTED_VALUE"""),"#REF!")</f>
        <v>#REF!</v>
      </c>
      <c r="DC79" s="95" t="str">
        <f>IFERROR(__xludf.DUMMYFUNCTION("""COMPUTED_VALUE"""),"#REF!")</f>
        <v>#REF!</v>
      </c>
      <c r="DD79" s="96" t="str">
        <f>IFERROR(__xludf.DUMMYFUNCTION("""COMPUTED_VALUE"""),"#REF!")</f>
        <v>#REF!</v>
      </c>
      <c r="DE79" s="97" t="str">
        <f>IFERROR(__xludf.DUMMYFUNCTION("""COMPUTED_VALUE"""),"#REF!")</f>
        <v>#REF!</v>
      </c>
      <c r="DF79" s="95" t="str">
        <f>IFERROR(__xludf.DUMMYFUNCTION("""COMPUTED_VALUE"""),"#REF!")</f>
        <v>#REF!</v>
      </c>
      <c r="DG79" s="96" t="str">
        <f>IFERROR(__xludf.DUMMYFUNCTION("""COMPUTED_VALUE"""),"#REF!")</f>
        <v>#REF!</v>
      </c>
      <c r="DH79" s="97" t="str">
        <f>IFERROR(__xludf.DUMMYFUNCTION("""COMPUTED_VALUE"""),"#REF!")</f>
        <v>#REF!</v>
      </c>
      <c r="DI79" s="95" t="str">
        <f>IFERROR(__xludf.DUMMYFUNCTION("""COMPUTED_VALUE"""),"#REF!")</f>
        <v>#REF!</v>
      </c>
      <c r="DJ79" s="96" t="str">
        <f>IFERROR(__xludf.DUMMYFUNCTION("""COMPUTED_VALUE"""),"#REF!")</f>
        <v>#REF!</v>
      </c>
      <c r="DK79" s="97" t="str">
        <f>IFERROR(__xludf.DUMMYFUNCTION("""COMPUTED_VALUE"""),"#REF!")</f>
        <v>#REF!</v>
      </c>
      <c r="DL79" s="95" t="str">
        <f>IFERROR(__xludf.DUMMYFUNCTION("""COMPUTED_VALUE"""),"#REF!")</f>
        <v>#REF!</v>
      </c>
      <c r="DM79" s="96" t="str">
        <f>IFERROR(__xludf.DUMMYFUNCTION("""COMPUTED_VALUE"""),"#REF!")</f>
        <v>#REF!</v>
      </c>
      <c r="DN79" s="97" t="str">
        <f>IFERROR(__xludf.DUMMYFUNCTION("""COMPUTED_VALUE"""),"#REF!")</f>
        <v>#REF!</v>
      </c>
      <c r="DO79" s="95" t="str">
        <f>IFERROR(__xludf.DUMMYFUNCTION("""COMPUTED_VALUE"""),"#REF!")</f>
        <v>#REF!</v>
      </c>
      <c r="DP79" s="96" t="str">
        <f>IFERROR(__xludf.DUMMYFUNCTION("""COMPUTED_VALUE"""),"#REF!")</f>
        <v>#REF!</v>
      </c>
      <c r="DQ79" s="97"/>
      <c r="DR79" s="95"/>
    </row>
    <row r="80">
      <c r="B80" s="120" t="str">
        <f>IFERROR(__xludf.DUMMYFUNCTION("""COMPUTED_VALUE"""),"OKN3")</f>
        <v>OKN3</v>
      </c>
      <c r="C80" s="82">
        <f>IFERROR(__xludf.DUMMYFUNCTION("""COMPUTED_VALUE"""),67.0)</f>
        <v>67</v>
      </c>
      <c r="D80" s="88" t="str">
        <f>IFERROR(__xludf.DUMMYFUNCTION("""COMPUTED_VALUE"""),"King's Abode Island")</f>
        <v>King's Abode Island</v>
      </c>
      <c r="E80" s="82" t="str">
        <f>IFERROR(__xludf.DUMMYFUNCTION("""COMPUTED_VALUE"""),"王の住まう島")</f>
        <v>王の住まう島</v>
      </c>
      <c r="F80" s="102">
        <f>IFERROR(__xludf.DUMMYFUNCTION("""COMPUTED_VALUE"""),13.0)</f>
        <v>13</v>
      </c>
      <c r="G80" s="82">
        <f>IFERROR(__xludf.DUMMYFUNCTION("""COMPUTED_VALUE"""),1159.0)</f>
        <v>1159</v>
      </c>
      <c r="H80" s="231" t="str">
        <f>IFERROR(__xludf.DUMMYFUNCTION("""COMPUTED_VALUE"""),"")</f>
        <v/>
      </c>
      <c r="I80" s="232" t="str">
        <f>IFERROR(__xludf.DUMMYFUNCTION("""COMPUTED_VALUE"""),"")</f>
        <v/>
      </c>
      <c r="J80" s="233" t="str">
        <f>IFERROR(__xludf.DUMMYFUNCTION("""COMPUTED_VALUE"""),"")</f>
        <v/>
      </c>
      <c r="K80" s="231" t="str">
        <f>IFERROR(__xludf.DUMMYFUNCTION("""COMPUTED_VALUE"""),"")</f>
        <v/>
      </c>
      <c r="L80" s="232" t="str">
        <f>IFERROR(__xludf.DUMMYFUNCTION("""COMPUTED_VALUE"""),"")</f>
        <v/>
      </c>
      <c r="M80" s="233" t="str">
        <f>IFERROR(__xludf.DUMMYFUNCTION("""COMPUTED_VALUE"""),"")</f>
        <v/>
      </c>
      <c r="N80" s="231" t="str">
        <f>IFERROR(__xludf.DUMMYFUNCTION("""COMPUTED_VALUE"""),"")</f>
        <v/>
      </c>
      <c r="O80" s="232" t="str">
        <f>IFERROR(__xludf.DUMMYFUNCTION("""COMPUTED_VALUE"""),"")</f>
        <v/>
      </c>
      <c r="P80" s="233" t="str">
        <f>IFERROR(__xludf.DUMMYFUNCTION("""COMPUTED_VALUE"""),"")</f>
        <v/>
      </c>
      <c r="Q80" s="231" t="str">
        <f>IFERROR(__xludf.DUMMYFUNCTION("""COMPUTED_VALUE"""),"")</f>
        <v/>
      </c>
      <c r="R80" s="232" t="str">
        <f>IFERROR(__xludf.DUMMYFUNCTION("""COMPUTED_VALUE"""),"")</f>
        <v/>
      </c>
      <c r="S80" s="233" t="str">
        <f>IFERROR(__xludf.DUMMYFUNCTION("""COMPUTED_VALUE"""),"")</f>
        <v/>
      </c>
      <c r="T80" s="231" t="str">
        <f>IFERROR(__xludf.DUMMYFUNCTION("""COMPUTED_VALUE"""),"")</f>
        <v/>
      </c>
      <c r="U80" s="232" t="str">
        <f>IFERROR(__xludf.DUMMYFUNCTION("""COMPUTED_VALUE"""),"")</f>
        <v/>
      </c>
      <c r="V80" s="233" t="str">
        <f>IFERROR(__xludf.DUMMYFUNCTION("""COMPUTED_VALUE"""),"")</f>
        <v/>
      </c>
      <c r="W80" s="231" t="str">
        <f>IFERROR(__xludf.DUMMYFUNCTION("""COMPUTED_VALUE"""),"")</f>
        <v/>
      </c>
      <c r="X80" s="232" t="str">
        <f>IFERROR(__xludf.DUMMYFUNCTION("""COMPUTED_VALUE"""),"")</f>
        <v/>
      </c>
      <c r="Y80" s="233" t="str">
        <f>IFERROR(__xludf.DUMMYFUNCTION("""COMPUTED_VALUE"""),"")</f>
        <v/>
      </c>
      <c r="Z80" s="231" t="str">
        <f>IFERROR(__xludf.DUMMYFUNCTION("""COMPUTED_VALUE"""),"")</f>
        <v/>
      </c>
      <c r="AA80" s="232" t="str">
        <f>IFERROR(__xludf.DUMMYFUNCTION("""COMPUTED_VALUE"""),"")</f>
        <v/>
      </c>
      <c r="AB80" s="233" t="str">
        <f>IFERROR(__xludf.DUMMYFUNCTION("""COMPUTED_VALUE"""),"")</f>
        <v/>
      </c>
      <c r="AC80" s="231" t="str">
        <f>IFERROR(__xludf.DUMMYFUNCTION("""COMPUTED_VALUE"""),"")</f>
        <v/>
      </c>
      <c r="AD80" s="232" t="str">
        <f>IFERROR(__xludf.DUMMYFUNCTION("""COMPUTED_VALUE"""),"")</f>
        <v/>
      </c>
      <c r="AE80" s="233" t="str">
        <f>IFERROR(__xludf.DUMMYFUNCTION("""COMPUTED_VALUE"""),"")</f>
        <v/>
      </c>
      <c r="AF80" s="231" t="str">
        <f>IFERROR(__xludf.DUMMYFUNCTION("""COMPUTED_VALUE"""),"")</f>
        <v/>
      </c>
      <c r="AG80" s="232" t="str">
        <f>IFERROR(__xludf.DUMMYFUNCTION("""COMPUTED_VALUE"""),"")</f>
        <v/>
      </c>
      <c r="AH80" s="233" t="str">
        <f>IFERROR(__xludf.DUMMYFUNCTION("""COMPUTED_VALUE"""),"")</f>
        <v/>
      </c>
      <c r="AI80" s="231" t="str">
        <f>IFERROR(__xludf.DUMMYFUNCTION("""COMPUTED_VALUE"""),"")</f>
        <v/>
      </c>
      <c r="AJ80" s="232" t="str">
        <f>IFERROR(__xludf.DUMMYFUNCTION("""COMPUTED_VALUE"""),"")</f>
        <v/>
      </c>
      <c r="AK80" s="233" t="str">
        <f>IFERROR(__xludf.DUMMYFUNCTION("""COMPUTED_VALUE"""),"")</f>
        <v/>
      </c>
      <c r="AL80" s="231" t="str">
        <f>IFERROR(__xludf.DUMMYFUNCTION("""COMPUTED_VALUE"""),"")</f>
        <v/>
      </c>
      <c r="AM80" s="232" t="str">
        <f>IFERROR(__xludf.DUMMYFUNCTION("""COMPUTED_VALUE"""),"")</f>
        <v/>
      </c>
      <c r="AN80" s="233" t="str">
        <f>IFERROR(__xludf.DUMMYFUNCTION("""COMPUTED_VALUE"""),"")</f>
        <v/>
      </c>
      <c r="AO80" s="231" t="str">
        <f>IFERROR(__xludf.DUMMYFUNCTION("""COMPUTED_VALUE"""),"")</f>
        <v/>
      </c>
      <c r="AP80" s="232" t="str">
        <f>IFERROR(__xludf.DUMMYFUNCTION("""COMPUTED_VALUE"""),"")</f>
        <v/>
      </c>
      <c r="AQ80" s="233" t="str">
        <f>IFERROR(__xludf.DUMMYFUNCTION("""COMPUTED_VALUE"""),"")</f>
        <v/>
      </c>
      <c r="AR80" s="231" t="str">
        <f>IFERROR(__xludf.DUMMYFUNCTION("""COMPUTED_VALUE"""),"")</f>
        <v/>
      </c>
      <c r="AS80" s="232" t="str">
        <f>IFERROR(__xludf.DUMMYFUNCTION("""COMPUTED_VALUE"""),"")</f>
        <v/>
      </c>
      <c r="AT80" s="233">
        <f>IFERROR(__xludf.DUMMYFUNCTION("""COMPUTED_VALUE"""),26.8)</f>
        <v>26.8</v>
      </c>
      <c r="AU80" s="231" t="str">
        <f>IFERROR(__xludf.DUMMYFUNCTION("""COMPUTED_VALUE"""),"")</f>
        <v/>
      </c>
      <c r="AV80" s="232" t="str">
        <f>IFERROR(__xludf.DUMMYFUNCTION("""COMPUTED_VALUE"""),"")</f>
        <v/>
      </c>
      <c r="AW80" s="233">
        <f>IFERROR(__xludf.DUMMYFUNCTION("""COMPUTED_VALUE"""),12.8)</f>
        <v>12.8</v>
      </c>
      <c r="AX80" s="231" t="str">
        <f>IFERROR(__xludf.DUMMYFUNCTION("""COMPUTED_VALUE"""),"")</f>
        <v/>
      </c>
      <c r="AY80" s="232" t="str">
        <f>IFERROR(__xludf.DUMMYFUNCTION("""COMPUTED_VALUE"""),"")</f>
        <v/>
      </c>
      <c r="AZ80" s="233" t="str">
        <f>IFERROR(__xludf.DUMMYFUNCTION("""COMPUTED_VALUE"""),"")</f>
        <v/>
      </c>
      <c r="BA80" s="231" t="str">
        <f>IFERROR(__xludf.DUMMYFUNCTION("""COMPUTED_VALUE"""),"")</f>
        <v/>
      </c>
      <c r="BB80" s="232" t="str">
        <f>IFERROR(__xludf.DUMMYFUNCTION("""COMPUTED_VALUE"""),"")</f>
        <v/>
      </c>
      <c r="BC80" s="233" t="str">
        <f>IFERROR(__xludf.DUMMYFUNCTION("""COMPUTED_VALUE"""),"")</f>
        <v/>
      </c>
      <c r="BD80" s="231" t="str">
        <f>IFERROR(__xludf.DUMMYFUNCTION("""COMPUTED_VALUE"""),"")</f>
        <v/>
      </c>
      <c r="BE80" s="232" t="str">
        <f>IFERROR(__xludf.DUMMYFUNCTION("""COMPUTED_VALUE"""),"")</f>
        <v/>
      </c>
      <c r="BF80" s="233" t="str">
        <f>IFERROR(__xludf.DUMMYFUNCTION("""COMPUTED_VALUE"""),"")</f>
        <v/>
      </c>
      <c r="BG80" s="231" t="str">
        <f>IFERROR(__xludf.DUMMYFUNCTION("""COMPUTED_VALUE"""),"")</f>
        <v/>
      </c>
      <c r="BH80" s="232" t="str">
        <f>IFERROR(__xludf.DUMMYFUNCTION("""COMPUTED_VALUE"""),"")</f>
        <v/>
      </c>
      <c r="BI80" s="233" t="str">
        <f>IFERROR(__xludf.DUMMYFUNCTION("""COMPUTED_VALUE"""),"")</f>
        <v/>
      </c>
      <c r="BJ80" s="231" t="str">
        <f>IFERROR(__xludf.DUMMYFUNCTION("""COMPUTED_VALUE"""),"")</f>
        <v/>
      </c>
      <c r="BK80" s="232" t="str">
        <f>IFERROR(__xludf.DUMMYFUNCTION("""COMPUTED_VALUE"""),"")</f>
        <v/>
      </c>
      <c r="BL80" s="233" t="str">
        <f>IFERROR(__xludf.DUMMYFUNCTION("""COMPUTED_VALUE"""),"")</f>
        <v/>
      </c>
      <c r="BM80" s="231" t="str">
        <f>IFERROR(__xludf.DUMMYFUNCTION("""COMPUTED_VALUE"""),"")</f>
        <v/>
      </c>
      <c r="BN80" s="232" t="str">
        <f>IFERROR(__xludf.DUMMYFUNCTION("""COMPUTED_VALUE"""),"")</f>
        <v/>
      </c>
      <c r="BO80" s="233" t="str">
        <f>IFERROR(__xludf.DUMMYFUNCTION("""COMPUTED_VALUE"""),"")</f>
        <v/>
      </c>
      <c r="BP80" s="231" t="str">
        <f>IFERROR(__xludf.DUMMYFUNCTION("""COMPUTED_VALUE"""),"")</f>
        <v/>
      </c>
      <c r="BQ80" s="232" t="str">
        <f>IFERROR(__xludf.DUMMYFUNCTION("""COMPUTED_VALUE"""),"")</f>
        <v/>
      </c>
      <c r="BR80" s="233">
        <f>IFERROR(__xludf.DUMMYFUNCTION("""COMPUTED_VALUE"""),14.7)</f>
        <v>14.7</v>
      </c>
      <c r="BS80" s="231" t="str">
        <f>IFERROR(__xludf.DUMMYFUNCTION("""COMPUTED_VALUE"""),"")</f>
        <v/>
      </c>
      <c r="BT80" s="232" t="str">
        <f>IFERROR(__xludf.DUMMYFUNCTION("""COMPUTED_VALUE"""),"")</f>
        <v/>
      </c>
      <c r="BU80" s="233" t="str">
        <f>IFERROR(__xludf.DUMMYFUNCTION("""COMPUTED_VALUE"""),"")</f>
        <v/>
      </c>
      <c r="BV80" s="231" t="str">
        <f>IFERROR(__xludf.DUMMYFUNCTION("""COMPUTED_VALUE"""),"")</f>
        <v/>
      </c>
      <c r="BW80" s="232">
        <f>IFERROR(__xludf.DUMMYFUNCTION("""COMPUTED_VALUE"""),10.7)</f>
        <v>10.7</v>
      </c>
      <c r="BX80" s="233" t="str">
        <f>IFERROR(__xludf.DUMMYFUNCTION("""COMPUTED_VALUE"""),"")</f>
        <v/>
      </c>
      <c r="BY80" s="231" t="str">
        <f>IFERROR(__xludf.DUMMYFUNCTION("""COMPUTED_VALUE"""),"")</f>
        <v/>
      </c>
      <c r="BZ80" s="232" t="str">
        <f>IFERROR(__xludf.DUMMYFUNCTION("""COMPUTED_VALUE"""),"")</f>
        <v/>
      </c>
      <c r="CA80" s="233" t="str">
        <f>IFERROR(__xludf.DUMMYFUNCTION("""COMPUTED_VALUE"""),"")</f>
        <v/>
      </c>
      <c r="CB80" s="231" t="str">
        <f>IFERROR(__xludf.DUMMYFUNCTION("""COMPUTED_VALUE"""),"")</f>
        <v/>
      </c>
      <c r="CC80" s="232" t="str">
        <f>IFERROR(__xludf.DUMMYFUNCTION("""COMPUTED_VALUE"""),"")</f>
        <v/>
      </c>
      <c r="CD80" s="233">
        <f>IFERROR(__xludf.DUMMYFUNCTION("""COMPUTED_VALUE"""),2.0)</f>
        <v>2</v>
      </c>
      <c r="CE80" s="234" t="str">
        <f>IFERROR(__xludf.DUMMYFUNCTION("""COMPUTED_VALUE"""),"")</f>
        <v/>
      </c>
      <c r="CF80" s="230" t="str">
        <f>IFERROR(__xludf.DUMMYFUNCTION("""COMPUTED_VALUE"""),"")</f>
        <v/>
      </c>
      <c r="CG80" s="235" t="str">
        <f>IFERROR(__xludf.DUMMYFUNCTION("""COMPUTED_VALUE"""),"")</f>
        <v/>
      </c>
      <c r="CH80" s="234" t="str">
        <f>IFERROR(__xludf.DUMMYFUNCTION("""COMPUTED_VALUE"""),"")</f>
        <v/>
      </c>
      <c r="CI80" s="230" t="str">
        <f>IFERROR(__xludf.DUMMYFUNCTION("""COMPUTED_VALUE"""),"")</f>
        <v/>
      </c>
      <c r="CJ80" s="235" t="str">
        <f>IFERROR(__xludf.DUMMYFUNCTION("""COMPUTED_VALUE"""),"")</f>
        <v/>
      </c>
      <c r="CK80" s="95">
        <f>IFERROR(__xludf.DUMMYFUNCTION("""COMPUTED_VALUE"""),11.2)</f>
        <v>11.2</v>
      </c>
      <c r="CL80" s="96" t="str">
        <f>IFERROR(__xludf.DUMMYFUNCTION("""COMPUTED_VALUE"""),"")</f>
        <v/>
      </c>
      <c r="CM80" s="97" t="str">
        <f>IFERROR(__xludf.DUMMYFUNCTION("""COMPUTED_VALUE"""),"")</f>
        <v/>
      </c>
      <c r="CN80" s="95" t="str">
        <f>IFERROR(__xludf.DUMMYFUNCTION("""COMPUTED_VALUE"""),"")</f>
        <v/>
      </c>
      <c r="CO80" s="96" t="str">
        <f>IFERROR(__xludf.DUMMYFUNCTION("""COMPUTED_VALUE"""),"")</f>
        <v/>
      </c>
      <c r="CP80" s="97" t="str">
        <f>IFERROR(__xludf.DUMMYFUNCTION("""COMPUTED_VALUE"""),"")</f>
        <v/>
      </c>
      <c r="CQ80" s="95" t="str">
        <f>IFERROR(__xludf.DUMMYFUNCTION("""COMPUTED_VALUE"""),"")</f>
        <v/>
      </c>
      <c r="CR80" s="96" t="str">
        <f>IFERROR(__xludf.DUMMYFUNCTION("""COMPUTED_VALUE"""),"")</f>
        <v/>
      </c>
      <c r="CS80" s="97" t="str">
        <f>IFERROR(__xludf.DUMMYFUNCTION("""COMPUTED_VALUE"""),"#REF!")</f>
        <v>#REF!</v>
      </c>
      <c r="CT80" s="95" t="str">
        <f>IFERROR(__xludf.DUMMYFUNCTION("""COMPUTED_VALUE"""),"#REF!")</f>
        <v>#REF!</v>
      </c>
      <c r="CU80" s="96" t="str">
        <f>IFERROR(__xludf.DUMMYFUNCTION("""COMPUTED_VALUE"""),"#REF!")</f>
        <v>#REF!</v>
      </c>
      <c r="CV80" s="97" t="str">
        <f>IFERROR(__xludf.DUMMYFUNCTION("""COMPUTED_VALUE"""),"#REF!")</f>
        <v>#REF!</v>
      </c>
      <c r="CW80" s="95" t="str">
        <f>IFERROR(__xludf.DUMMYFUNCTION("""COMPUTED_VALUE"""),"#REF!")</f>
        <v>#REF!</v>
      </c>
      <c r="CX80" s="96" t="str">
        <f>IFERROR(__xludf.DUMMYFUNCTION("""COMPUTED_VALUE"""),"#REF!")</f>
        <v>#REF!</v>
      </c>
      <c r="CY80" s="97" t="str">
        <f>IFERROR(__xludf.DUMMYFUNCTION("""COMPUTED_VALUE"""),"#REF!")</f>
        <v>#REF!</v>
      </c>
      <c r="CZ80" s="95" t="str">
        <f>IFERROR(__xludf.DUMMYFUNCTION("""COMPUTED_VALUE"""),"#REF!")</f>
        <v>#REF!</v>
      </c>
      <c r="DA80" s="96" t="str">
        <f>IFERROR(__xludf.DUMMYFUNCTION("""COMPUTED_VALUE"""),"#REF!")</f>
        <v>#REF!</v>
      </c>
      <c r="DB80" s="97" t="str">
        <f>IFERROR(__xludf.DUMMYFUNCTION("""COMPUTED_VALUE"""),"#REF!")</f>
        <v>#REF!</v>
      </c>
      <c r="DC80" s="95" t="str">
        <f>IFERROR(__xludf.DUMMYFUNCTION("""COMPUTED_VALUE"""),"#REF!")</f>
        <v>#REF!</v>
      </c>
      <c r="DD80" s="96" t="str">
        <f>IFERROR(__xludf.DUMMYFUNCTION("""COMPUTED_VALUE"""),"#REF!")</f>
        <v>#REF!</v>
      </c>
      <c r="DE80" s="97" t="str">
        <f>IFERROR(__xludf.DUMMYFUNCTION("""COMPUTED_VALUE"""),"#REF!")</f>
        <v>#REF!</v>
      </c>
      <c r="DF80" s="95" t="str">
        <f>IFERROR(__xludf.DUMMYFUNCTION("""COMPUTED_VALUE"""),"#REF!")</f>
        <v>#REF!</v>
      </c>
      <c r="DG80" s="96" t="str">
        <f>IFERROR(__xludf.DUMMYFUNCTION("""COMPUTED_VALUE"""),"#REF!")</f>
        <v>#REF!</v>
      </c>
      <c r="DH80" s="97" t="str">
        <f>IFERROR(__xludf.DUMMYFUNCTION("""COMPUTED_VALUE"""),"#REF!")</f>
        <v>#REF!</v>
      </c>
      <c r="DI80" s="95" t="str">
        <f>IFERROR(__xludf.DUMMYFUNCTION("""COMPUTED_VALUE"""),"#REF!")</f>
        <v>#REF!</v>
      </c>
      <c r="DJ80" s="96" t="str">
        <f>IFERROR(__xludf.DUMMYFUNCTION("""COMPUTED_VALUE"""),"#REF!")</f>
        <v>#REF!</v>
      </c>
      <c r="DK80" s="97" t="str">
        <f>IFERROR(__xludf.DUMMYFUNCTION("""COMPUTED_VALUE"""),"#REF!")</f>
        <v>#REF!</v>
      </c>
      <c r="DL80" s="95" t="str">
        <f>IFERROR(__xludf.DUMMYFUNCTION("""COMPUTED_VALUE"""),"#REF!")</f>
        <v>#REF!</v>
      </c>
      <c r="DM80" s="96" t="str">
        <f>IFERROR(__xludf.DUMMYFUNCTION("""COMPUTED_VALUE"""),"#REF!")</f>
        <v>#REF!</v>
      </c>
      <c r="DN80" s="97" t="str">
        <f>IFERROR(__xludf.DUMMYFUNCTION("""COMPUTED_VALUE"""),"#REF!")</f>
        <v>#REF!</v>
      </c>
      <c r="DO80" s="95" t="str">
        <f>IFERROR(__xludf.DUMMYFUNCTION("""COMPUTED_VALUE"""),"#REF!")</f>
        <v>#REF!</v>
      </c>
      <c r="DP80" s="96" t="str">
        <f>IFERROR(__xludf.DUMMYFUNCTION("""COMPUTED_VALUE"""),"#REF!")</f>
        <v>#REF!</v>
      </c>
      <c r="DQ80" s="97"/>
      <c r="DR80" s="95"/>
    </row>
    <row r="81">
      <c r="B81" s="120" t="str">
        <f>IFERROR(__xludf.DUMMYFUNCTION("""COMPUTED_VALUE"""),"OKN4")</f>
        <v>OKN4</v>
      </c>
      <c r="C81" s="82">
        <f>IFERROR(__xludf.DUMMYFUNCTION("""COMPUTED_VALUE"""),68.0)</f>
        <v>68</v>
      </c>
      <c r="D81" s="88" t="str">
        <f>IFERROR(__xludf.DUMMYFUNCTION("""COMPUTED_VALUE"""),"Mapped Island")</f>
        <v>Mapped Island</v>
      </c>
      <c r="E81" s="82" t="str">
        <f>IFERROR(__xludf.DUMMYFUNCTION("""COMPUTED_VALUE"""),"地図に記された島")</f>
        <v>地図に記された島</v>
      </c>
      <c r="F81" s="102">
        <f>IFERROR(__xludf.DUMMYFUNCTION("""COMPUTED_VALUE"""),13.0)</f>
        <v>13</v>
      </c>
      <c r="G81" s="82">
        <f>IFERROR(__xludf.DUMMYFUNCTION("""COMPUTED_VALUE"""),1836.0)</f>
        <v>1836</v>
      </c>
      <c r="H81" s="231" t="str">
        <f>IFERROR(__xludf.DUMMYFUNCTION("""COMPUTED_VALUE"""),"")</f>
        <v/>
      </c>
      <c r="I81" s="232" t="str">
        <f>IFERROR(__xludf.DUMMYFUNCTION("""COMPUTED_VALUE"""),"")</f>
        <v/>
      </c>
      <c r="J81" s="233" t="str">
        <f>IFERROR(__xludf.DUMMYFUNCTION("""COMPUTED_VALUE"""),"")</f>
        <v/>
      </c>
      <c r="K81" s="231" t="str">
        <f>IFERROR(__xludf.DUMMYFUNCTION("""COMPUTED_VALUE"""),"")</f>
        <v/>
      </c>
      <c r="L81" s="232" t="str">
        <f>IFERROR(__xludf.DUMMYFUNCTION("""COMPUTED_VALUE"""),"")</f>
        <v/>
      </c>
      <c r="M81" s="233" t="str">
        <f>IFERROR(__xludf.DUMMYFUNCTION("""COMPUTED_VALUE"""),"")</f>
        <v/>
      </c>
      <c r="N81" s="231" t="str">
        <f>IFERROR(__xludf.DUMMYFUNCTION("""COMPUTED_VALUE"""),"")</f>
        <v/>
      </c>
      <c r="O81" s="232" t="str">
        <f>IFERROR(__xludf.DUMMYFUNCTION("""COMPUTED_VALUE"""),"")</f>
        <v/>
      </c>
      <c r="P81" s="233" t="str">
        <f>IFERROR(__xludf.DUMMYFUNCTION("""COMPUTED_VALUE"""),"")</f>
        <v/>
      </c>
      <c r="Q81" s="231" t="str">
        <f>IFERROR(__xludf.DUMMYFUNCTION("""COMPUTED_VALUE"""),"")</f>
        <v/>
      </c>
      <c r="R81" s="232" t="str">
        <f>IFERROR(__xludf.DUMMYFUNCTION("""COMPUTED_VALUE"""),"")</f>
        <v/>
      </c>
      <c r="S81" s="233" t="str">
        <f>IFERROR(__xludf.DUMMYFUNCTION("""COMPUTED_VALUE"""),"")</f>
        <v/>
      </c>
      <c r="T81" s="231" t="str">
        <f>IFERROR(__xludf.DUMMYFUNCTION("""COMPUTED_VALUE"""),"")</f>
        <v/>
      </c>
      <c r="U81" s="232" t="str">
        <f>IFERROR(__xludf.DUMMYFUNCTION("""COMPUTED_VALUE"""),"")</f>
        <v/>
      </c>
      <c r="V81" s="233" t="str">
        <f>IFERROR(__xludf.DUMMYFUNCTION("""COMPUTED_VALUE"""),"")</f>
        <v/>
      </c>
      <c r="W81" s="231" t="str">
        <f>IFERROR(__xludf.DUMMYFUNCTION("""COMPUTED_VALUE"""),"")</f>
        <v/>
      </c>
      <c r="X81" s="232" t="str">
        <f>IFERROR(__xludf.DUMMYFUNCTION("""COMPUTED_VALUE"""),"")</f>
        <v/>
      </c>
      <c r="Y81" s="233" t="str">
        <f>IFERROR(__xludf.DUMMYFUNCTION("""COMPUTED_VALUE"""),"")</f>
        <v/>
      </c>
      <c r="Z81" s="231" t="str">
        <f>IFERROR(__xludf.DUMMYFUNCTION("""COMPUTED_VALUE"""),"")</f>
        <v/>
      </c>
      <c r="AA81" s="232" t="str">
        <f>IFERROR(__xludf.DUMMYFUNCTION("""COMPUTED_VALUE"""),"")</f>
        <v/>
      </c>
      <c r="AB81" s="233" t="str">
        <f>IFERROR(__xludf.DUMMYFUNCTION("""COMPUTED_VALUE"""),"")</f>
        <v/>
      </c>
      <c r="AC81" s="231" t="str">
        <f>IFERROR(__xludf.DUMMYFUNCTION("""COMPUTED_VALUE"""),"")</f>
        <v/>
      </c>
      <c r="AD81" s="232" t="str">
        <f>IFERROR(__xludf.DUMMYFUNCTION("""COMPUTED_VALUE"""),"")</f>
        <v/>
      </c>
      <c r="AE81" s="233" t="str">
        <f>IFERROR(__xludf.DUMMYFUNCTION("""COMPUTED_VALUE"""),"")</f>
        <v/>
      </c>
      <c r="AF81" s="231" t="str">
        <f>IFERROR(__xludf.DUMMYFUNCTION("""COMPUTED_VALUE"""),"")</f>
        <v/>
      </c>
      <c r="AG81" s="232" t="str">
        <f>IFERROR(__xludf.DUMMYFUNCTION("""COMPUTED_VALUE"""),"")</f>
        <v/>
      </c>
      <c r="AH81" s="233" t="str">
        <f>IFERROR(__xludf.DUMMYFUNCTION("""COMPUTED_VALUE"""),"")</f>
        <v/>
      </c>
      <c r="AI81" s="231" t="str">
        <f>IFERROR(__xludf.DUMMYFUNCTION("""COMPUTED_VALUE"""),"")</f>
        <v/>
      </c>
      <c r="AJ81" s="232" t="str">
        <f>IFERROR(__xludf.DUMMYFUNCTION("""COMPUTED_VALUE"""),"")</f>
        <v/>
      </c>
      <c r="AK81" s="233" t="str">
        <f>IFERROR(__xludf.DUMMYFUNCTION("""COMPUTED_VALUE"""),"")</f>
        <v/>
      </c>
      <c r="AL81" s="231" t="str">
        <f>IFERROR(__xludf.DUMMYFUNCTION("""COMPUTED_VALUE"""),"")</f>
        <v/>
      </c>
      <c r="AM81" s="232" t="str">
        <f>IFERROR(__xludf.DUMMYFUNCTION("""COMPUTED_VALUE"""),"")</f>
        <v/>
      </c>
      <c r="AN81" s="233" t="str">
        <f>IFERROR(__xludf.DUMMYFUNCTION("""COMPUTED_VALUE"""),"")</f>
        <v/>
      </c>
      <c r="AO81" s="231" t="str">
        <f>IFERROR(__xludf.DUMMYFUNCTION("""COMPUTED_VALUE"""),"")</f>
        <v/>
      </c>
      <c r="AP81" s="232" t="str">
        <f>IFERROR(__xludf.DUMMYFUNCTION("""COMPUTED_VALUE"""),"")</f>
        <v/>
      </c>
      <c r="AQ81" s="233" t="str">
        <f>IFERROR(__xludf.DUMMYFUNCTION("""COMPUTED_VALUE"""),"")</f>
        <v/>
      </c>
      <c r="AR81" s="231" t="str">
        <f>IFERROR(__xludf.DUMMYFUNCTION("""COMPUTED_VALUE"""),"")</f>
        <v/>
      </c>
      <c r="AS81" s="232" t="str">
        <f>IFERROR(__xludf.DUMMYFUNCTION("""COMPUTED_VALUE"""),"")</f>
        <v/>
      </c>
      <c r="AT81" s="233" t="str">
        <f>IFERROR(__xludf.DUMMYFUNCTION("""COMPUTED_VALUE"""),"")</f>
        <v/>
      </c>
      <c r="AU81" s="231" t="str">
        <f>IFERROR(__xludf.DUMMYFUNCTION("""COMPUTED_VALUE"""),"")</f>
        <v/>
      </c>
      <c r="AV81" s="232">
        <f>IFERROR(__xludf.DUMMYFUNCTION("""COMPUTED_VALUE"""),36.9)</f>
        <v>36.9</v>
      </c>
      <c r="AW81" s="233">
        <f>IFERROR(__xludf.DUMMYFUNCTION("""COMPUTED_VALUE"""),13.2)</f>
        <v>13.2</v>
      </c>
      <c r="AX81" s="231" t="str">
        <f>IFERROR(__xludf.DUMMYFUNCTION("""COMPUTED_VALUE"""),"")</f>
        <v/>
      </c>
      <c r="AY81" s="232" t="str">
        <f>IFERROR(__xludf.DUMMYFUNCTION("""COMPUTED_VALUE"""),"")</f>
        <v/>
      </c>
      <c r="AZ81" s="233" t="str">
        <f>IFERROR(__xludf.DUMMYFUNCTION("""COMPUTED_VALUE"""),"")</f>
        <v/>
      </c>
      <c r="BA81" s="231" t="str">
        <f>IFERROR(__xludf.DUMMYFUNCTION("""COMPUTED_VALUE"""),"")</f>
        <v/>
      </c>
      <c r="BB81" s="232" t="str">
        <f>IFERROR(__xludf.DUMMYFUNCTION("""COMPUTED_VALUE"""),"")</f>
        <v/>
      </c>
      <c r="BC81" s="233" t="str">
        <f>IFERROR(__xludf.DUMMYFUNCTION("""COMPUTED_VALUE"""),"")</f>
        <v/>
      </c>
      <c r="BD81" s="231" t="str">
        <f>IFERROR(__xludf.DUMMYFUNCTION("""COMPUTED_VALUE"""),"")</f>
        <v/>
      </c>
      <c r="BE81" s="232" t="str">
        <f>IFERROR(__xludf.DUMMYFUNCTION("""COMPUTED_VALUE"""),"")</f>
        <v/>
      </c>
      <c r="BF81" s="233" t="str">
        <f>IFERROR(__xludf.DUMMYFUNCTION("""COMPUTED_VALUE"""),"")</f>
        <v/>
      </c>
      <c r="BG81" s="231" t="str">
        <f>IFERROR(__xludf.DUMMYFUNCTION("""COMPUTED_VALUE"""),"")</f>
        <v/>
      </c>
      <c r="BH81" s="232" t="str">
        <f>IFERROR(__xludf.DUMMYFUNCTION("""COMPUTED_VALUE"""),"")</f>
        <v/>
      </c>
      <c r="BI81" s="233" t="str">
        <f>IFERROR(__xludf.DUMMYFUNCTION("""COMPUTED_VALUE"""),"")</f>
        <v/>
      </c>
      <c r="BJ81" s="231" t="str">
        <f>IFERROR(__xludf.DUMMYFUNCTION("""COMPUTED_VALUE"""),"")</f>
        <v/>
      </c>
      <c r="BK81" s="232" t="str">
        <f>IFERROR(__xludf.DUMMYFUNCTION("""COMPUTED_VALUE"""),"")</f>
        <v/>
      </c>
      <c r="BL81" s="233" t="str">
        <f>IFERROR(__xludf.DUMMYFUNCTION("""COMPUTED_VALUE"""),"")</f>
        <v/>
      </c>
      <c r="BM81" s="231" t="str">
        <f>IFERROR(__xludf.DUMMYFUNCTION("""COMPUTED_VALUE"""),"")</f>
        <v/>
      </c>
      <c r="BN81" s="232" t="str">
        <f>IFERROR(__xludf.DUMMYFUNCTION("""COMPUTED_VALUE"""),"")</f>
        <v/>
      </c>
      <c r="BO81" s="233" t="str">
        <f>IFERROR(__xludf.DUMMYFUNCTION("""COMPUTED_VALUE"""),"")</f>
        <v/>
      </c>
      <c r="BP81" s="231" t="str">
        <f>IFERROR(__xludf.DUMMYFUNCTION("""COMPUTED_VALUE"""),"")</f>
        <v/>
      </c>
      <c r="BQ81" s="232">
        <f>IFERROR(__xludf.DUMMYFUNCTION("""COMPUTED_VALUE"""),26.2)</f>
        <v>26.2</v>
      </c>
      <c r="BR81" s="233">
        <f>IFERROR(__xludf.DUMMYFUNCTION("""COMPUTED_VALUE"""),16.2)</f>
        <v>16.2</v>
      </c>
      <c r="BS81" s="231" t="str">
        <f>IFERROR(__xludf.DUMMYFUNCTION("""COMPUTED_VALUE"""),"")</f>
        <v/>
      </c>
      <c r="BT81" s="232" t="str">
        <f>IFERROR(__xludf.DUMMYFUNCTION("""COMPUTED_VALUE"""),"")</f>
        <v/>
      </c>
      <c r="BU81" s="233" t="str">
        <f>IFERROR(__xludf.DUMMYFUNCTION("""COMPUTED_VALUE"""),"")</f>
        <v/>
      </c>
      <c r="BV81" s="231" t="str">
        <f>IFERROR(__xludf.DUMMYFUNCTION("""COMPUTED_VALUE"""),"")</f>
        <v/>
      </c>
      <c r="BW81" s="232" t="str">
        <f>IFERROR(__xludf.DUMMYFUNCTION("""COMPUTED_VALUE"""),"")</f>
        <v/>
      </c>
      <c r="BX81" s="233" t="str">
        <f>IFERROR(__xludf.DUMMYFUNCTION("""COMPUTED_VALUE"""),"")</f>
        <v/>
      </c>
      <c r="BY81" s="231" t="str">
        <f>IFERROR(__xludf.DUMMYFUNCTION("""COMPUTED_VALUE"""),"")</f>
        <v/>
      </c>
      <c r="BZ81" s="232" t="str">
        <f>IFERROR(__xludf.DUMMYFUNCTION("""COMPUTED_VALUE"""),"")</f>
        <v/>
      </c>
      <c r="CA81" s="233" t="str">
        <f>IFERROR(__xludf.DUMMYFUNCTION("""COMPUTED_VALUE"""),"")</f>
        <v/>
      </c>
      <c r="CB81" s="231" t="str">
        <f>IFERROR(__xludf.DUMMYFUNCTION("""COMPUTED_VALUE"""),"")</f>
        <v/>
      </c>
      <c r="CC81" s="232" t="str">
        <f>IFERROR(__xludf.DUMMYFUNCTION("""COMPUTED_VALUE"""),"")</f>
        <v/>
      </c>
      <c r="CD81" s="233">
        <f>IFERROR(__xludf.DUMMYFUNCTION("""COMPUTED_VALUE"""),1.6)</f>
        <v>1.6</v>
      </c>
      <c r="CE81" s="234" t="str">
        <f>IFERROR(__xludf.DUMMYFUNCTION("""COMPUTED_VALUE"""),"")</f>
        <v/>
      </c>
      <c r="CF81" s="230" t="str">
        <f>IFERROR(__xludf.DUMMYFUNCTION("""COMPUTED_VALUE"""),"")</f>
        <v/>
      </c>
      <c r="CG81" s="235" t="str">
        <f>IFERROR(__xludf.DUMMYFUNCTION("""COMPUTED_VALUE"""),"")</f>
        <v/>
      </c>
      <c r="CH81" s="234" t="str">
        <f>IFERROR(__xludf.DUMMYFUNCTION("""COMPUTED_VALUE"""),"")</f>
        <v/>
      </c>
      <c r="CI81" s="230" t="str">
        <f>IFERROR(__xludf.DUMMYFUNCTION("""COMPUTED_VALUE"""),"")</f>
        <v/>
      </c>
      <c r="CJ81" s="235" t="str">
        <f>IFERROR(__xludf.DUMMYFUNCTION("""COMPUTED_VALUE"""),"")</f>
        <v/>
      </c>
      <c r="CK81" s="95">
        <f>IFERROR(__xludf.DUMMYFUNCTION("""COMPUTED_VALUE"""),9.5)</f>
        <v>9.5</v>
      </c>
      <c r="CL81" s="96" t="str">
        <f>IFERROR(__xludf.DUMMYFUNCTION("""COMPUTED_VALUE"""),"")</f>
        <v/>
      </c>
      <c r="CM81" s="97" t="str">
        <f>IFERROR(__xludf.DUMMYFUNCTION("""COMPUTED_VALUE"""),"")</f>
        <v/>
      </c>
      <c r="CN81" s="95" t="str">
        <f>IFERROR(__xludf.DUMMYFUNCTION("""COMPUTED_VALUE"""),"")</f>
        <v/>
      </c>
      <c r="CO81" s="96" t="str">
        <f>IFERROR(__xludf.DUMMYFUNCTION("""COMPUTED_VALUE"""),"")</f>
        <v/>
      </c>
      <c r="CP81" s="97" t="str">
        <f>IFERROR(__xludf.DUMMYFUNCTION("""COMPUTED_VALUE"""),"")</f>
        <v/>
      </c>
      <c r="CQ81" s="95" t="str">
        <f>IFERROR(__xludf.DUMMYFUNCTION("""COMPUTED_VALUE"""),"")</f>
        <v/>
      </c>
      <c r="CR81" s="96" t="str">
        <f>IFERROR(__xludf.DUMMYFUNCTION("""COMPUTED_VALUE"""),"")</f>
        <v/>
      </c>
      <c r="CS81" s="97" t="str">
        <f>IFERROR(__xludf.DUMMYFUNCTION("""COMPUTED_VALUE"""),"#REF!")</f>
        <v>#REF!</v>
      </c>
      <c r="CT81" s="95" t="str">
        <f>IFERROR(__xludf.DUMMYFUNCTION("""COMPUTED_VALUE"""),"#REF!")</f>
        <v>#REF!</v>
      </c>
      <c r="CU81" s="96" t="str">
        <f>IFERROR(__xludf.DUMMYFUNCTION("""COMPUTED_VALUE"""),"#REF!")</f>
        <v>#REF!</v>
      </c>
      <c r="CV81" s="97" t="str">
        <f>IFERROR(__xludf.DUMMYFUNCTION("""COMPUTED_VALUE"""),"#REF!")</f>
        <v>#REF!</v>
      </c>
      <c r="CW81" s="95" t="str">
        <f>IFERROR(__xludf.DUMMYFUNCTION("""COMPUTED_VALUE"""),"#REF!")</f>
        <v>#REF!</v>
      </c>
      <c r="CX81" s="96" t="str">
        <f>IFERROR(__xludf.DUMMYFUNCTION("""COMPUTED_VALUE"""),"#REF!")</f>
        <v>#REF!</v>
      </c>
      <c r="CY81" s="97" t="str">
        <f>IFERROR(__xludf.DUMMYFUNCTION("""COMPUTED_VALUE"""),"#REF!")</f>
        <v>#REF!</v>
      </c>
      <c r="CZ81" s="95" t="str">
        <f>IFERROR(__xludf.DUMMYFUNCTION("""COMPUTED_VALUE"""),"#REF!")</f>
        <v>#REF!</v>
      </c>
      <c r="DA81" s="96" t="str">
        <f>IFERROR(__xludf.DUMMYFUNCTION("""COMPUTED_VALUE"""),"#REF!")</f>
        <v>#REF!</v>
      </c>
      <c r="DB81" s="97" t="str">
        <f>IFERROR(__xludf.DUMMYFUNCTION("""COMPUTED_VALUE"""),"#REF!")</f>
        <v>#REF!</v>
      </c>
      <c r="DC81" s="95" t="str">
        <f>IFERROR(__xludf.DUMMYFUNCTION("""COMPUTED_VALUE"""),"#REF!")</f>
        <v>#REF!</v>
      </c>
      <c r="DD81" s="96" t="str">
        <f>IFERROR(__xludf.DUMMYFUNCTION("""COMPUTED_VALUE"""),"#REF!")</f>
        <v>#REF!</v>
      </c>
      <c r="DE81" s="97" t="str">
        <f>IFERROR(__xludf.DUMMYFUNCTION("""COMPUTED_VALUE"""),"#REF!")</f>
        <v>#REF!</v>
      </c>
      <c r="DF81" s="95" t="str">
        <f>IFERROR(__xludf.DUMMYFUNCTION("""COMPUTED_VALUE"""),"#REF!")</f>
        <v>#REF!</v>
      </c>
      <c r="DG81" s="96" t="str">
        <f>IFERROR(__xludf.DUMMYFUNCTION("""COMPUTED_VALUE"""),"#REF!")</f>
        <v>#REF!</v>
      </c>
      <c r="DH81" s="97" t="str">
        <f>IFERROR(__xludf.DUMMYFUNCTION("""COMPUTED_VALUE"""),"#REF!")</f>
        <v>#REF!</v>
      </c>
      <c r="DI81" s="95" t="str">
        <f>IFERROR(__xludf.DUMMYFUNCTION("""COMPUTED_VALUE"""),"#REF!")</f>
        <v>#REF!</v>
      </c>
      <c r="DJ81" s="96" t="str">
        <f>IFERROR(__xludf.DUMMYFUNCTION("""COMPUTED_VALUE"""),"#REF!")</f>
        <v>#REF!</v>
      </c>
      <c r="DK81" s="97" t="str">
        <f>IFERROR(__xludf.DUMMYFUNCTION("""COMPUTED_VALUE"""),"#REF!")</f>
        <v>#REF!</v>
      </c>
      <c r="DL81" s="95" t="str">
        <f>IFERROR(__xludf.DUMMYFUNCTION("""COMPUTED_VALUE"""),"#REF!")</f>
        <v>#REF!</v>
      </c>
      <c r="DM81" s="96" t="str">
        <f>IFERROR(__xludf.DUMMYFUNCTION("""COMPUTED_VALUE"""),"#REF!")</f>
        <v>#REF!</v>
      </c>
      <c r="DN81" s="97" t="str">
        <f>IFERROR(__xludf.DUMMYFUNCTION("""COMPUTED_VALUE"""),"#REF!")</f>
        <v>#REF!</v>
      </c>
      <c r="DO81" s="95" t="str">
        <f>IFERROR(__xludf.DUMMYFUNCTION("""COMPUTED_VALUE"""),"#REF!")</f>
        <v>#REF!</v>
      </c>
      <c r="DP81" s="96" t="str">
        <f>IFERROR(__xludf.DUMMYFUNCTION("""COMPUTED_VALUE"""),"#REF!")</f>
        <v>#REF!</v>
      </c>
      <c r="DQ81" s="97"/>
      <c r="DR81" s="95"/>
    </row>
    <row r="82">
      <c r="B82" s="120" t="str">
        <f>IFERROR(__xludf.DUMMYFUNCTION("""COMPUTED_VALUE"""),"OKN5")</f>
        <v>OKN5</v>
      </c>
      <c r="C82" s="82">
        <f>IFERROR(__xludf.DUMMYFUNCTION("""COMPUTED_VALUE"""),69.0)</f>
        <v>69</v>
      </c>
      <c r="D82" s="88" t="str">
        <f>IFERROR(__xludf.DUMMYFUNCTION("""COMPUTED_VALUE"""),"Sunken Rock Seas")</f>
        <v>Sunken Rock Seas</v>
      </c>
      <c r="E82" s="82" t="str">
        <f>IFERROR(__xludf.DUMMYFUNCTION("""COMPUTED_VALUE"""),"暗礁海域")</f>
        <v>暗礁海域</v>
      </c>
      <c r="F82" s="102">
        <f>IFERROR(__xludf.DUMMYFUNCTION("""COMPUTED_VALUE"""),17.0)</f>
        <v>17</v>
      </c>
      <c r="G82" s="82">
        <f>IFERROR(__xludf.DUMMYFUNCTION("""COMPUTED_VALUE"""),1278.0)</f>
        <v>1278</v>
      </c>
      <c r="H82" s="231" t="str">
        <f>IFERROR(__xludf.DUMMYFUNCTION("""COMPUTED_VALUE"""),"")</f>
        <v/>
      </c>
      <c r="I82" s="232" t="str">
        <f>IFERROR(__xludf.DUMMYFUNCTION("""COMPUTED_VALUE"""),"")</f>
        <v/>
      </c>
      <c r="J82" s="233" t="str">
        <f>IFERROR(__xludf.DUMMYFUNCTION("""COMPUTED_VALUE"""),"")</f>
        <v/>
      </c>
      <c r="K82" s="231" t="str">
        <f>IFERROR(__xludf.DUMMYFUNCTION("""COMPUTED_VALUE"""),"")</f>
        <v/>
      </c>
      <c r="L82" s="232" t="str">
        <f>IFERROR(__xludf.DUMMYFUNCTION("""COMPUTED_VALUE"""),"")</f>
        <v/>
      </c>
      <c r="M82" s="233" t="str">
        <f>IFERROR(__xludf.DUMMYFUNCTION("""COMPUTED_VALUE"""),"")</f>
        <v/>
      </c>
      <c r="N82" s="231" t="str">
        <f>IFERROR(__xludf.DUMMYFUNCTION("""COMPUTED_VALUE"""),"")</f>
        <v/>
      </c>
      <c r="O82" s="232" t="str">
        <f>IFERROR(__xludf.DUMMYFUNCTION("""COMPUTED_VALUE"""),"")</f>
        <v/>
      </c>
      <c r="P82" s="233" t="str">
        <f>IFERROR(__xludf.DUMMYFUNCTION("""COMPUTED_VALUE"""),"")</f>
        <v/>
      </c>
      <c r="Q82" s="231" t="str">
        <f>IFERROR(__xludf.DUMMYFUNCTION("""COMPUTED_VALUE"""),"")</f>
        <v/>
      </c>
      <c r="R82" s="232" t="str">
        <f>IFERROR(__xludf.DUMMYFUNCTION("""COMPUTED_VALUE"""),"")</f>
        <v/>
      </c>
      <c r="S82" s="233" t="str">
        <f>IFERROR(__xludf.DUMMYFUNCTION("""COMPUTED_VALUE"""),"")</f>
        <v/>
      </c>
      <c r="T82" s="231" t="str">
        <f>IFERROR(__xludf.DUMMYFUNCTION("""COMPUTED_VALUE"""),"")</f>
        <v/>
      </c>
      <c r="U82" s="232" t="str">
        <f>IFERROR(__xludf.DUMMYFUNCTION("""COMPUTED_VALUE"""),"")</f>
        <v/>
      </c>
      <c r="V82" s="233" t="str">
        <f>IFERROR(__xludf.DUMMYFUNCTION("""COMPUTED_VALUE"""),"")</f>
        <v/>
      </c>
      <c r="W82" s="231" t="str">
        <f>IFERROR(__xludf.DUMMYFUNCTION("""COMPUTED_VALUE"""),"")</f>
        <v/>
      </c>
      <c r="X82" s="232" t="str">
        <f>IFERROR(__xludf.DUMMYFUNCTION("""COMPUTED_VALUE"""),"")</f>
        <v/>
      </c>
      <c r="Y82" s="233" t="str">
        <f>IFERROR(__xludf.DUMMYFUNCTION("""COMPUTED_VALUE"""),"")</f>
        <v/>
      </c>
      <c r="Z82" s="231" t="str">
        <f>IFERROR(__xludf.DUMMYFUNCTION("""COMPUTED_VALUE"""),"")</f>
        <v/>
      </c>
      <c r="AA82" s="232" t="str">
        <f>IFERROR(__xludf.DUMMYFUNCTION("""COMPUTED_VALUE"""),"")</f>
        <v/>
      </c>
      <c r="AB82" s="233" t="str">
        <f>IFERROR(__xludf.DUMMYFUNCTION("""COMPUTED_VALUE"""),"")</f>
        <v/>
      </c>
      <c r="AC82" s="231">
        <f>IFERROR(__xludf.DUMMYFUNCTION("""COMPUTED_VALUE"""),15.5)</f>
        <v>15.5</v>
      </c>
      <c r="AD82" s="232" t="str">
        <f>IFERROR(__xludf.DUMMYFUNCTION("""COMPUTED_VALUE"""),"")</f>
        <v/>
      </c>
      <c r="AE82" s="233" t="str">
        <f>IFERROR(__xludf.DUMMYFUNCTION("""COMPUTED_VALUE"""),"")</f>
        <v/>
      </c>
      <c r="AF82" s="231" t="str">
        <f>IFERROR(__xludf.DUMMYFUNCTION("""COMPUTED_VALUE"""),"")</f>
        <v/>
      </c>
      <c r="AG82" s="232" t="str">
        <f>IFERROR(__xludf.DUMMYFUNCTION("""COMPUTED_VALUE"""),"")</f>
        <v/>
      </c>
      <c r="AH82" s="233" t="str">
        <f>IFERROR(__xludf.DUMMYFUNCTION("""COMPUTED_VALUE"""),"")</f>
        <v/>
      </c>
      <c r="AI82" s="231" t="str">
        <f>IFERROR(__xludf.DUMMYFUNCTION("""COMPUTED_VALUE"""),"")</f>
        <v/>
      </c>
      <c r="AJ82" s="232" t="str">
        <f>IFERROR(__xludf.DUMMYFUNCTION("""COMPUTED_VALUE"""),"")</f>
        <v/>
      </c>
      <c r="AK82" s="233" t="str">
        <f>IFERROR(__xludf.DUMMYFUNCTION("""COMPUTED_VALUE"""),"")</f>
        <v/>
      </c>
      <c r="AL82" s="231" t="str">
        <f>IFERROR(__xludf.DUMMYFUNCTION("""COMPUTED_VALUE"""),"")</f>
        <v/>
      </c>
      <c r="AM82" s="232" t="str">
        <f>IFERROR(__xludf.DUMMYFUNCTION("""COMPUTED_VALUE"""),"")</f>
        <v/>
      </c>
      <c r="AN82" s="233" t="str">
        <f>IFERROR(__xludf.DUMMYFUNCTION("""COMPUTED_VALUE"""),"")</f>
        <v/>
      </c>
      <c r="AO82" s="231" t="str">
        <f>IFERROR(__xludf.DUMMYFUNCTION("""COMPUTED_VALUE"""),"")</f>
        <v/>
      </c>
      <c r="AP82" s="232" t="str">
        <f>IFERROR(__xludf.DUMMYFUNCTION("""COMPUTED_VALUE"""),"")</f>
        <v/>
      </c>
      <c r="AQ82" s="233" t="str">
        <f>IFERROR(__xludf.DUMMYFUNCTION("""COMPUTED_VALUE"""),"")</f>
        <v/>
      </c>
      <c r="AR82" s="231" t="str">
        <f>IFERROR(__xludf.DUMMYFUNCTION("""COMPUTED_VALUE"""),"")</f>
        <v/>
      </c>
      <c r="AS82" s="232" t="str">
        <f>IFERROR(__xludf.DUMMYFUNCTION("""COMPUTED_VALUE"""),"")</f>
        <v/>
      </c>
      <c r="AT82" s="233" t="str">
        <f>IFERROR(__xludf.DUMMYFUNCTION("""COMPUTED_VALUE"""),"")</f>
        <v/>
      </c>
      <c r="AU82" s="231">
        <f>IFERROR(__xludf.DUMMYFUNCTION("""COMPUTED_VALUE"""),36.3)</f>
        <v>36.3</v>
      </c>
      <c r="AV82" s="232" t="str">
        <f>IFERROR(__xludf.DUMMYFUNCTION("""COMPUTED_VALUE"""),"")</f>
        <v/>
      </c>
      <c r="AW82" s="233" t="str">
        <f>IFERROR(__xludf.DUMMYFUNCTION("""COMPUTED_VALUE"""),"")</f>
        <v/>
      </c>
      <c r="AX82" s="231" t="str">
        <f>IFERROR(__xludf.DUMMYFUNCTION("""COMPUTED_VALUE"""),"")</f>
        <v/>
      </c>
      <c r="AY82" s="232" t="str">
        <f>IFERROR(__xludf.DUMMYFUNCTION("""COMPUTED_VALUE"""),"")</f>
        <v/>
      </c>
      <c r="AZ82" s="233" t="str">
        <f>IFERROR(__xludf.DUMMYFUNCTION("""COMPUTED_VALUE"""),"")</f>
        <v/>
      </c>
      <c r="BA82" s="231" t="str">
        <f>IFERROR(__xludf.DUMMYFUNCTION("""COMPUTED_VALUE"""),"")</f>
        <v/>
      </c>
      <c r="BB82" s="232" t="str">
        <f>IFERROR(__xludf.DUMMYFUNCTION("""COMPUTED_VALUE"""),"")</f>
        <v/>
      </c>
      <c r="BC82" s="233" t="str">
        <f>IFERROR(__xludf.DUMMYFUNCTION("""COMPUTED_VALUE"""),"")</f>
        <v/>
      </c>
      <c r="BD82" s="231" t="str">
        <f>IFERROR(__xludf.DUMMYFUNCTION("""COMPUTED_VALUE"""),"")</f>
        <v/>
      </c>
      <c r="BE82" s="232" t="str">
        <f>IFERROR(__xludf.DUMMYFUNCTION("""COMPUTED_VALUE"""),"")</f>
        <v/>
      </c>
      <c r="BF82" s="233" t="str">
        <f>IFERROR(__xludf.DUMMYFUNCTION("""COMPUTED_VALUE"""),"")</f>
        <v/>
      </c>
      <c r="BG82" s="231" t="str">
        <f>IFERROR(__xludf.DUMMYFUNCTION("""COMPUTED_VALUE"""),"")</f>
        <v/>
      </c>
      <c r="BH82" s="232" t="str">
        <f>IFERROR(__xludf.DUMMYFUNCTION("""COMPUTED_VALUE"""),"")</f>
        <v/>
      </c>
      <c r="BI82" s="233" t="str">
        <f>IFERROR(__xludf.DUMMYFUNCTION("""COMPUTED_VALUE"""),"")</f>
        <v/>
      </c>
      <c r="BJ82" s="231" t="str">
        <f>IFERROR(__xludf.DUMMYFUNCTION("""COMPUTED_VALUE"""),"")</f>
        <v/>
      </c>
      <c r="BK82" s="232" t="str">
        <f>IFERROR(__xludf.DUMMYFUNCTION("""COMPUTED_VALUE"""),"")</f>
        <v/>
      </c>
      <c r="BL82" s="233" t="str">
        <f>IFERROR(__xludf.DUMMYFUNCTION("""COMPUTED_VALUE"""),"")</f>
        <v/>
      </c>
      <c r="BM82" s="231" t="str">
        <f>IFERROR(__xludf.DUMMYFUNCTION("""COMPUTED_VALUE"""),"")</f>
        <v/>
      </c>
      <c r="BN82" s="232">
        <f>IFERROR(__xludf.DUMMYFUNCTION("""COMPUTED_VALUE"""),23.0)</f>
        <v>23</v>
      </c>
      <c r="BO82" s="233" t="str">
        <f>IFERROR(__xludf.DUMMYFUNCTION("""COMPUTED_VALUE"""),"")</f>
        <v/>
      </c>
      <c r="BP82" s="231" t="str">
        <f>IFERROR(__xludf.DUMMYFUNCTION("""COMPUTED_VALUE"""),"")</f>
        <v/>
      </c>
      <c r="BQ82" s="232" t="str">
        <f>IFERROR(__xludf.DUMMYFUNCTION("""COMPUTED_VALUE"""),"")</f>
        <v/>
      </c>
      <c r="BR82" s="233">
        <f>IFERROR(__xludf.DUMMYFUNCTION("""COMPUTED_VALUE"""),26.2)</f>
        <v>26.2</v>
      </c>
      <c r="BS82" s="231" t="str">
        <f>IFERROR(__xludf.DUMMYFUNCTION("""COMPUTED_VALUE"""),"")</f>
        <v/>
      </c>
      <c r="BT82" s="232" t="str">
        <f>IFERROR(__xludf.DUMMYFUNCTION("""COMPUTED_VALUE"""),"")</f>
        <v/>
      </c>
      <c r="BU82" s="233">
        <f>IFERROR(__xludf.DUMMYFUNCTION("""COMPUTED_VALUE"""),16.1)</f>
        <v>16.1</v>
      </c>
      <c r="BV82" s="231" t="str">
        <f>IFERROR(__xludf.DUMMYFUNCTION("""COMPUTED_VALUE"""),"")</f>
        <v/>
      </c>
      <c r="BW82" s="232" t="str">
        <f>IFERROR(__xludf.DUMMYFUNCTION("""COMPUTED_VALUE"""),"")</f>
        <v/>
      </c>
      <c r="BX82" s="233" t="str">
        <f>IFERROR(__xludf.DUMMYFUNCTION("""COMPUTED_VALUE"""),"")</f>
        <v/>
      </c>
      <c r="BY82" s="231" t="str">
        <f>IFERROR(__xludf.DUMMYFUNCTION("""COMPUTED_VALUE"""),"")</f>
        <v/>
      </c>
      <c r="BZ82" s="232" t="str">
        <f>IFERROR(__xludf.DUMMYFUNCTION("""COMPUTED_VALUE"""),"")</f>
        <v/>
      </c>
      <c r="CA82" s="233" t="str">
        <f>IFERROR(__xludf.DUMMYFUNCTION("""COMPUTED_VALUE"""),"")</f>
        <v/>
      </c>
      <c r="CB82" s="231" t="str">
        <f>IFERROR(__xludf.DUMMYFUNCTION("""COMPUTED_VALUE"""),"")</f>
        <v/>
      </c>
      <c r="CC82" s="232" t="str">
        <f>IFERROR(__xludf.DUMMYFUNCTION("""COMPUTED_VALUE"""),"")</f>
        <v/>
      </c>
      <c r="CD82" s="233" t="str">
        <f>IFERROR(__xludf.DUMMYFUNCTION("""COMPUTED_VALUE"""),"")</f>
        <v/>
      </c>
      <c r="CE82" s="234" t="str">
        <f>IFERROR(__xludf.DUMMYFUNCTION("""COMPUTED_VALUE"""),"")</f>
        <v/>
      </c>
      <c r="CF82" s="230" t="str">
        <f>IFERROR(__xludf.DUMMYFUNCTION("""COMPUTED_VALUE"""),"")</f>
        <v/>
      </c>
      <c r="CG82" s="235" t="str">
        <f>IFERROR(__xludf.DUMMYFUNCTION("""COMPUTED_VALUE"""),"")</f>
        <v/>
      </c>
      <c r="CH82" s="234" t="str">
        <f>IFERROR(__xludf.DUMMYFUNCTION("""COMPUTED_VALUE"""),"")</f>
        <v/>
      </c>
      <c r="CI82" s="230" t="str">
        <f>IFERROR(__xludf.DUMMYFUNCTION("""COMPUTED_VALUE"""),"")</f>
        <v/>
      </c>
      <c r="CJ82" s="235" t="str">
        <f>IFERROR(__xludf.DUMMYFUNCTION("""COMPUTED_VALUE"""),"")</f>
        <v/>
      </c>
      <c r="CK82" s="95" t="str">
        <f>IFERROR(__xludf.DUMMYFUNCTION("""COMPUTED_VALUE"""),"")</f>
        <v/>
      </c>
      <c r="CL82" s="96" t="str">
        <f>IFERROR(__xludf.DUMMYFUNCTION("""COMPUTED_VALUE"""),"")</f>
        <v/>
      </c>
      <c r="CM82" s="97" t="str">
        <f>IFERROR(__xludf.DUMMYFUNCTION("""COMPUTED_VALUE"""),"")</f>
        <v/>
      </c>
      <c r="CN82" s="95" t="str">
        <f>IFERROR(__xludf.DUMMYFUNCTION("""COMPUTED_VALUE"""),"")</f>
        <v/>
      </c>
      <c r="CO82" s="96" t="str">
        <f>IFERROR(__xludf.DUMMYFUNCTION("""COMPUTED_VALUE"""),"")</f>
        <v/>
      </c>
      <c r="CP82" s="97" t="str">
        <f>IFERROR(__xludf.DUMMYFUNCTION("""COMPUTED_VALUE"""),"")</f>
        <v/>
      </c>
      <c r="CQ82" s="95" t="str">
        <f>IFERROR(__xludf.DUMMYFUNCTION("""COMPUTED_VALUE"""),"")</f>
        <v/>
      </c>
      <c r="CR82" s="96" t="str">
        <f>IFERROR(__xludf.DUMMYFUNCTION("""COMPUTED_VALUE"""),"")</f>
        <v/>
      </c>
      <c r="CS82" s="97" t="str">
        <f>IFERROR(__xludf.DUMMYFUNCTION("""COMPUTED_VALUE"""),"#REF!")</f>
        <v>#REF!</v>
      </c>
      <c r="CT82" s="95" t="str">
        <f>IFERROR(__xludf.DUMMYFUNCTION("""COMPUTED_VALUE"""),"#REF!")</f>
        <v>#REF!</v>
      </c>
      <c r="CU82" s="96" t="str">
        <f>IFERROR(__xludf.DUMMYFUNCTION("""COMPUTED_VALUE"""),"#REF!")</f>
        <v>#REF!</v>
      </c>
      <c r="CV82" s="97" t="str">
        <f>IFERROR(__xludf.DUMMYFUNCTION("""COMPUTED_VALUE"""),"#REF!")</f>
        <v>#REF!</v>
      </c>
      <c r="CW82" s="95" t="str">
        <f>IFERROR(__xludf.DUMMYFUNCTION("""COMPUTED_VALUE"""),"#REF!")</f>
        <v>#REF!</v>
      </c>
      <c r="CX82" s="96" t="str">
        <f>IFERROR(__xludf.DUMMYFUNCTION("""COMPUTED_VALUE"""),"#REF!")</f>
        <v>#REF!</v>
      </c>
      <c r="CY82" s="97" t="str">
        <f>IFERROR(__xludf.DUMMYFUNCTION("""COMPUTED_VALUE"""),"#REF!")</f>
        <v>#REF!</v>
      </c>
      <c r="CZ82" s="95" t="str">
        <f>IFERROR(__xludf.DUMMYFUNCTION("""COMPUTED_VALUE"""),"#REF!")</f>
        <v>#REF!</v>
      </c>
      <c r="DA82" s="96" t="str">
        <f>IFERROR(__xludf.DUMMYFUNCTION("""COMPUTED_VALUE"""),"#REF!")</f>
        <v>#REF!</v>
      </c>
      <c r="DB82" s="97" t="str">
        <f>IFERROR(__xludf.DUMMYFUNCTION("""COMPUTED_VALUE"""),"#REF!")</f>
        <v>#REF!</v>
      </c>
      <c r="DC82" s="95" t="str">
        <f>IFERROR(__xludf.DUMMYFUNCTION("""COMPUTED_VALUE"""),"#REF!")</f>
        <v>#REF!</v>
      </c>
      <c r="DD82" s="96" t="str">
        <f>IFERROR(__xludf.DUMMYFUNCTION("""COMPUTED_VALUE"""),"#REF!")</f>
        <v>#REF!</v>
      </c>
      <c r="DE82" s="97" t="str">
        <f>IFERROR(__xludf.DUMMYFUNCTION("""COMPUTED_VALUE"""),"#REF!")</f>
        <v>#REF!</v>
      </c>
      <c r="DF82" s="95" t="str">
        <f>IFERROR(__xludf.DUMMYFUNCTION("""COMPUTED_VALUE"""),"#REF!")</f>
        <v>#REF!</v>
      </c>
      <c r="DG82" s="96" t="str">
        <f>IFERROR(__xludf.DUMMYFUNCTION("""COMPUTED_VALUE"""),"#REF!")</f>
        <v>#REF!</v>
      </c>
      <c r="DH82" s="97" t="str">
        <f>IFERROR(__xludf.DUMMYFUNCTION("""COMPUTED_VALUE"""),"#REF!")</f>
        <v>#REF!</v>
      </c>
      <c r="DI82" s="95" t="str">
        <f>IFERROR(__xludf.DUMMYFUNCTION("""COMPUTED_VALUE"""),"#REF!")</f>
        <v>#REF!</v>
      </c>
      <c r="DJ82" s="96" t="str">
        <f>IFERROR(__xludf.DUMMYFUNCTION("""COMPUTED_VALUE"""),"#REF!")</f>
        <v>#REF!</v>
      </c>
      <c r="DK82" s="97" t="str">
        <f>IFERROR(__xludf.DUMMYFUNCTION("""COMPUTED_VALUE"""),"#REF!")</f>
        <v>#REF!</v>
      </c>
      <c r="DL82" s="95" t="str">
        <f>IFERROR(__xludf.DUMMYFUNCTION("""COMPUTED_VALUE"""),"#REF!")</f>
        <v>#REF!</v>
      </c>
      <c r="DM82" s="96" t="str">
        <f>IFERROR(__xludf.DUMMYFUNCTION("""COMPUTED_VALUE"""),"#REF!")</f>
        <v>#REF!</v>
      </c>
      <c r="DN82" s="97" t="str">
        <f>IFERROR(__xludf.DUMMYFUNCTION("""COMPUTED_VALUE"""),"#REF!")</f>
        <v>#REF!</v>
      </c>
      <c r="DO82" s="95" t="str">
        <f>IFERROR(__xludf.DUMMYFUNCTION("""COMPUTED_VALUE"""),"#REF!")</f>
        <v>#REF!</v>
      </c>
      <c r="DP82" s="96" t="str">
        <f>IFERROR(__xludf.DUMMYFUNCTION("""COMPUTED_VALUE"""),"#REF!")</f>
        <v>#REF!</v>
      </c>
      <c r="DQ82" s="97"/>
      <c r="DR82" s="95"/>
    </row>
    <row r="83">
      <c r="B83" s="120" t="str">
        <f>IFERROR(__xludf.DUMMYFUNCTION("""COMPUTED_VALUE"""),"OKN6")</f>
        <v>OKN6</v>
      </c>
      <c r="C83" s="82">
        <f>IFERROR(__xludf.DUMMYFUNCTION("""COMPUTED_VALUE"""),70.0)</f>
        <v>70</v>
      </c>
      <c r="D83" s="88" t="str">
        <f>IFERROR(__xludf.DUMMYFUNCTION("""COMPUTED_VALUE"""),"Two-Current Sea")</f>
        <v>Two-Current Sea</v>
      </c>
      <c r="E83" s="82" t="str">
        <f>IFERROR(__xludf.DUMMYFUNCTION("""COMPUTED_VALUE"""),"潮目の海")</f>
        <v>潮目の海</v>
      </c>
      <c r="F83" s="102">
        <f>IFERROR(__xludf.DUMMYFUNCTION("""COMPUTED_VALUE"""),14.0)</f>
        <v>14</v>
      </c>
      <c r="G83" s="82">
        <f>IFERROR(__xludf.DUMMYFUNCTION("""COMPUTED_VALUE"""),1250.0)</f>
        <v>1250</v>
      </c>
      <c r="H83" s="231" t="str">
        <f>IFERROR(__xludf.DUMMYFUNCTION("""COMPUTED_VALUE"""),"")</f>
        <v/>
      </c>
      <c r="I83" s="232" t="str">
        <f>IFERROR(__xludf.DUMMYFUNCTION("""COMPUTED_VALUE"""),"")</f>
        <v/>
      </c>
      <c r="J83" s="233" t="str">
        <f>IFERROR(__xludf.DUMMYFUNCTION("""COMPUTED_VALUE"""),"")</f>
        <v/>
      </c>
      <c r="K83" s="231" t="str">
        <f>IFERROR(__xludf.DUMMYFUNCTION("""COMPUTED_VALUE"""),"")</f>
        <v/>
      </c>
      <c r="L83" s="232" t="str">
        <f>IFERROR(__xludf.DUMMYFUNCTION("""COMPUTED_VALUE"""),"")</f>
        <v/>
      </c>
      <c r="M83" s="233" t="str">
        <f>IFERROR(__xludf.DUMMYFUNCTION("""COMPUTED_VALUE"""),"")</f>
        <v/>
      </c>
      <c r="N83" s="231" t="str">
        <f>IFERROR(__xludf.DUMMYFUNCTION("""COMPUTED_VALUE"""),"")</f>
        <v/>
      </c>
      <c r="O83" s="232" t="str">
        <f>IFERROR(__xludf.DUMMYFUNCTION("""COMPUTED_VALUE"""),"")</f>
        <v/>
      </c>
      <c r="P83" s="233" t="str">
        <f>IFERROR(__xludf.DUMMYFUNCTION("""COMPUTED_VALUE"""),"")</f>
        <v/>
      </c>
      <c r="Q83" s="231" t="str">
        <f>IFERROR(__xludf.DUMMYFUNCTION("""COMPUTED_VALUE"""),"")</f>
        <v/>
      </c>
      <c r="R83" s="232" t="str">
        <f>IFERROR(__xludf.DUMMYFUNCTION("""COMPUTED_VALUE"""),"")</f>
        <v/>
      </c>
      <c r="S83" s="233" t="str">
        <f>IFERROR(__xludf.DUMMYFUNCTION("""COMPUTED_VALUE"""),"")</f>
        <v/>
      </c>
      <c r="T83" s="231" t="str">
        <f>IFERROR(__xludf.DUMMYFUNCTION("""COMPUTED_VALUE"""),"")</f>
        <v/>
      </c>
      <c r="U83" s="232" t="str">
        <f>IFERROR(__xludf.DUMMYFUNCTION("""COMPUTED_VALUE"""),"")</f>
        <v/>
      </c>
      <c r="V83" s="233" t="str">
        <f>IFERROR(__xludf.DUMMYFUNCTION("""COMPUTED_VALUE"""),"")</f>
        <v/>
      </c>
      <c r="W83" s="231" t="str">
        <f>IFERROR(__xludf.DUMMYFUNCTION("""COMPUTED_VALUE"""),"")</f>
        <v/>
      </c>
      <c r="X83" s="232" t="str">
        <f>IFERROR(__xludf.DUMMYFUNCTION("""COMPUTED_VALUE"""),"")</f>
        <v/>
      </c>
      <c r="Y83" s="233" t="str">
        <f>IFERROR(__xludf.DUMMYFUNCTION("""COMPUTED_VALUE"""),"")</f>
        <v/>
      </c>
      <c r="Z83" s="231" t="str">
        <f>IFERROR(__xludf.DUMMYFUNCTION("""COMPUTED_VALUE"""),"")</f>
        <v/>
      </c>
      <c r="AA83" s="232" t="str">
        <f>IFERROR(__xludf.DUMMYFUNCTION("""COMPUTED_VALUE"""),"")</f>
        <v/>
      </c>
      <c r="AB83" s="233">
        <f>IFERROR(__xludf.DUMMYFUNCTION("""COMPUTED_VALUE"""),11.1)</f>
        <v>11.1</v>
      </c>
      <c r="AC83" s="231" t="str">
        <f>IFERROR(__xludf.DUMMYFUNCTION("""COMPUTED_VALUE"""),"")</f>
        <v/>
      </c>
      <c r="AD83" s="232" t="str">
        <f>IFERROR(__xludf.DUMMYFUNCTION("""COMPUTED_VALUE"""),"")</f>
        <v/>
      </c>
      <c r="AE83" s="233" t="str">
        <f>IFERROR(__xludf.DUMMYFUNCTION("""COMPUTED_VALUE"""),"")</f>
        <v/>
      </c>
      <c r="AF83" s="231" t="str">
        <f>IFERROR(__xludf.DUMMYFUNCTION("""COMPUTED_VALUE"""),"")</f>
        <v/>
      </c>
      <c r="AG83" s="232" t="str">
        <f>IFERROR(__xludf.DUMMYFUNCTION("""COMPUTED_VALUE"""),"")</f>
        <v/>
      </c>
      <c r="AH83" s="233" t="str">
        <f>IFERROR(__xludf.DUMMYFUNCTION("""COMPUTED_VALUE"""),"")</f>
        <v/>
      </c>
      <c r="AI83" s="231" t="str">
        <f>IFERROR(__xludf.DUMMYFUNCTION("""COMPUTED_VALUE"""),"")</f>
        <v/>
      </c>
      <c r="AJ83" s="232" t="str">
        <f>IFERROR(__xludf.DUMMYFUNCTION("""COMPUTED_VALUE"""),"")</f>
        <v/>
      </c>
      <c r="AK83" s="233" t="str">
        <f>IFERROR(__xludf.DUMMYFUNCTION("""COMPUTED_VALUE"""),"")</f>
        <v/>
      </c>
      <c r="AL83" s="231" t="str">
        <f>IFERROR(__xludf.DUMMYFUNCTION("""COMPUTED_VALUE"""),"")</f>
        <v/>
      </c>
      <c r="AM83" s="232" t="str">
        <f>IFERROR(__xludf.DUMMYFUNCTION("""COMPUTED_VALUE"""),"")</f>
        <v/>
      </c>
      <c r="AN83" s="233" t="str">
        <f>IFERROR(__xludf.DUMMYFUNCTION("""COMPUTED_VALUE"""),"")</f>
        <v/>
      </c>
      <c r="AO83" s="231" t="str">
        <f>IFERROR(__xludf.DUMMYFUNCTION("""COMPUTED_VALUE"""),"")</f>
        <v/>
      </c>
      <c r="AP83" s="232" t="str">
        <f>IFERROR(__xludf.DUMMYFUNCTION("""COMPUTED_VALUE"""),"")</f>
        <v/>
      </c>
      <c r="AQ83" s="233" t="str">
        <f>IFERROR(__xludf.DUMMYFUNCTION("""COMPUTED_VALUE"""),"")</f>
        <v/>
      </c>
      <c r="AR83" s="231" t="str">
        <f>IFERROR(__xludf.DUMMYFUNCTION("""COMPUTED_VALUE"""),"")</f>
        <v/>
      </c>
      <c r="AS83" s="232" t="str">
        <f>IFERROR(__xludf.DUMMYFUNCTION("""COMPUTED_VALUE"""),"")</f>
        <v/>
      </c>
      <c r="AT83" s="233">
        <f>IFERROR(__xludf.DUMMYFUNCTION("""COMPUTED_VALUE"""),25.3)</f>
        <v>25.3</v>
      </c>
      <c r="AU83" s="231" t="str">
        <f>IFERROR(__xludf.DUMMYFUNCTION("""COMPUTED_VALUE"""),"")</f>
        <v/>
      </c>
      <c r="AV83" s="232" t="str">
        <f>IFERROR(__xludf.DUMMYFUNCTION("""COMPUTED_VALUE"""),"")</f>
        <v/>
      </c>
      <c r="AW83" s="233" t="str">
        <f>IFERROR(__xludf.DUMMYFUNCTION("""COMPUTED_VALUE"""),"")</f>
        <v/>
      </c>
      <c r="AX83" s="231" t="str">
        <f>IFERROR(__xludf.DUMMYFUNCTION("""COMPUTED_VALUE"""),"")</f>
        <v/>
      </c>
      <c r="AY83" s="232" t="str">
        <f>IFERROR(__xludf.DUMMYFUNCTION("""COMPUTED_VALUE"""),"")</f>
        <v/>
      </c>
      <c r="AZ83" s="233" t="str">
        <f>IFERROR(__xludf.DUMMYFUNCTION("""COMPUTED_VALUE"""),"")</f>
        <v/>
      </c>
      <c r="BA83" s="231" t="str">
        <f>IFERROR(__xludf.DUMMYFUNCTION("""COMPUTED_VALUE"""),"")</f>
        <v/>
      </c>
      <c r="BB83" s="232" t="str">
        <f>IFERROR(__xludf.DUMMYFUNCTION("""COMPUTED_VALUE"""),"")</f>
        <v/>
      </c>
      <c r="BC83" s="233" t="str">
        <f>IFERROR(__xludf.DUMMYFUNCTION("""COMPUTED_VALUE"""),"")</f>
        <v/>
      </c>
      <c r="BD83" s="231" t="str">
        <f>IFERROR(__xludf.DUMMYFUNCTION("""COMPUTED_VALUE"""),"")</f>
        <v/>
      </c>
      <c r="BE83" s="232" t="str">
        <f>IFERROR(__xludf.DUMMYFUNCTION("""COMPUTED_VALUE"""),"")</f>
        <v/>
      </c>
      <c r="BF83" s="233" t="str">
        <f>IFERROR(__xludf.DUMMYFUNCTION("""COMPUTED_VALUE"""),"")</f>
        <v/>
      </c>
      <c r="BG83" s="231" t="str">
        <f>IFERROR(__xludf.DUMMYFUNCTION("""COMPUTED_VALUE"""),"")</f>
        <v/>
      </c>
      <c r="BH83" s="232" t="str">
        <f>IFERROR(__xludf.DUMMYFUNCTION("""COMPUTED_VALUE"""),"")</f>
        <v/>
      </c>
      <c r="BI83" s="233" t="str">
        <f>IFERROR(__xludf.DUMMYFUNCTION("""COMPUTED_VALUE"""),"")</f>
        <v/>
      </c>
      <c r="BJ83" s="231" t="str">
        <f>IFERROR(__xludf.DUMMYFUNCTION("""COMPUTED_VALUE"""),"")</f>
        <v/>
      </c>
      <c r="BK83" s="232" t="str">
        <f>IFERROR(__xludf.DUMMYFUNCTION("""COMPUTED_VALUE"""),"")</f>
        <v/>
      </c>
      <c r="BL83" s="233" t="str">
        <f>IFERROR(__xludf.DUMMYFUNCTION("""COMPUTED_VALUE"""),"")</f>
        <v/>
      </c>
      <c r="BM83" s="231" t="str">
        <f>IFERROR(__xludf.DUMMYFUNCTION("""COMPUTED_VALUE"""),"")</f>
        <v/>
      </c>
      <c r="BN83" s="232" t="str">
        <f>IFERROR(__xludf.DUMMYFUNCTION("""COMPUTED_VALUE"""),"")</f>
        <v/>
      </c>
      <c r="BO83" s="233" t="str">
        <f>IFERROR(__xludf.DUMMYFUNCTION("""COMPUTED_VALUE"""),"")</f>
        <v/>
      </c>
      <c r="BP83" s="231">
        <f>IFERROR(__xludf.DUMMYFUNCTION("""COMPUTED_VALUE"""),4.5)</f>
        <v>4.5</v>
      </c>
      <c r="BQ83" s="232" t="str">
        <f>IFERROR(__xludf.DUMMYFUNCTION("""COMPUTED_VALUE"""),"")</f>
        <v/>
      </c>
      <c r="BR83" s="233">
        <f>IFERROR(__xludf.DUMMYFUNCTION("""COMPUTED_VALUE"""),19.2)</f>
        <v>19.2</v>
      </c>
      <c r="BS83" s="231" t="str">
        <f>IFERROR(__xludf.DUMMYFUNCTION("""COMPUTED_VALUE"""),"")</f>
        <v/>
      </c>
      <c r="BT83" s="232" t="str">
        <f>IFERROR(__xludf.DUMMYFUNCTION("""COMPUTED_VALUE"""),"")</f>
        <v/>
      </c>
      <c r="BU83" s="233" t="str">
        <f>IFERROR(__xludf.DUMMYFUNCTION("""COMPUTED_VALUE"""),"")</f>
        <v/>
      </c>
      <c r="BV83" s="231" t="str">
        <f>IFERROR(__xludf.DUMMYFUNCTION("""COMPUTED_VALUE"""),"")</f>
        <v/>
      </c>
      <c r="BW83" s="232">
        <f>IFERROR(__xludf.DUMMYFUNCTION("""COMPUTED_VALUE"""),18.7)</f>
        <v>18.7</v>
      </c>
      <c r="BX83" s="233" t="str">
        <f>IFERROR(__xludf.DUMMYFUNCTION("""COMPUTED_VALUE"""),"")</f>
        <v/>
      </c>
      <c r="BY83" s="231" t="str">
        <f>IFERROR(__xludf.DUMMYFUNCTION("""COMPUTED_VALUE"""),"")</f>
        <v/>
      </c>
      <c r="BZ83" s="232" t="str">
        <f>IFERROR(__xludf.DUMMYFUNCTION("""COMPUTED_VALUE"""),"")</f>
        <v/>
      </c>
      <c r="CA83" s="233" t="str">
        <f>IFERROR(__xludf.DUMMYFUNCTION("""COMPUTED_VALUE"""),"")</f>
        <v/>
      </c>
      <c r="CB83" s="231" t="str">
        <f>IFERROR(__xludf.DUMMYFUNCTION("""COMPUTED_VALUE"""),"")</f>
        <v/>
      </c>
      <c r="CC83" s="232" t="str">
        <f>IFERROR(__xludf.DUMMYFUNCTION("""COMPUTED_VALUE"""),"")</f>
        <v/>
      </c>
      <c r="CD83" s="233" t="str">
        <f>IFERROR(__xludf.DUMMYFUNCTION("""COMPUTED_VALUE"""),"")</f>
        <v/>
      </c>
      <c r="CE83" s="234" t="str">
        <f>IFERROR(__xludf.DUMMYFUNCTION("""COMPUTED_VALUE"""),"")</f>
        <v/>
      </c>
      <c r="CF83" s="230" t="str">
        <f>IFERROR(__xludf.DUMMYFUNCTION("""COMPUTED_VALUE"""),"")</f>
        <v/>
      </c>
      <c r="CG83" s="235" t="str">
        <f>IFERROR(__xludf.DUMMYFUNCTION("""COMPUTED_VALUE"""),"")</f>
        <v/>
      </c>
      <c r="CH83" s="234" t="str">
        <f>IFERROR(__xludf.DUMMYFUNCTION("""COMPUTED_VALUE"""),"")</f>
        <v/>
      </c>
      <c r="CI83" s="230" t="str">
        <f>IFERROR(__xludf.DUMMYFUNCTION("""COMPUTED_VALUE"""),"")</f>
        <v/>
      </c>
      <c r="CJ83" s="235" t="str">
        <f>IFERROR(__xludf.DUMMYFUNCTION("""COMPUTED_VALUE"""),"")</f>
        <v/>
      </c>
      <c r="CK83" s="95" t="str">
        <f>IFERROR(__xludf.DUMMYFUNCTION("""COMPUTED_VALUE"""),"")</f>
        <v/>
      </c>
      <c r="CL83" s="96" t="str">
        <f>IFERROR(__xludf.DUMMYFUNCTION("""COMPUTED_VALUE"""),"")</f>
        <v/>
      </c>
      <c r="CM83" s="97" t="str">
        <f>IFERROR(__xludf.DUMMYFUNCTION("""COMPUTED_VALUE"""),"")</f>
        <v/>
      </c>
      <c r="CN83" s="95" t="str">
        <f>IFERROR(__xludf.DUMMYFUNCTION("""COMPUTED_VALUE"""),"")</f>
        <v/>
      </c>
      <c r="CO83" s="96" t="str">
        <f>IFERROR(__xludf.DUMMYFUNCTION("""COMPUTED_VALUE"""),"")</f>
        <v/>
      </c>
      <c r="CP83" s="97" t="str">
        <f>IFERROR(__xludf.DUMMYFUNCTION("""COMPUTED_VALUE"""),"")</f>
        <v/>
      </c>
      <c r="CQ83" s="95" t="str">
        <f>IFERROR(__xludf.DUMMYFUNCTION("""COMPUTED_VALUE"""),"")</f>
        <v/>
      </c>
      <c r="CR83" s="96" t="str">
        <f>IFERROR(__xludf.DUMMYFUNCTION("""COMPUTED_VALUE"""),"")</f>
        <v/>
      </c>
      <c r="CS83" s="97" t="str">
        <f>IFERROR(__xludf.DUMMYFUNCTION("""COMPUTED_VALUE"""),"#REF!")</f>
        <v>#REF!</v>
      </c>
      <c r="CT83" s="95" t="str">
        <f>IFERROR(__xludf.DUMMYFUNCTION("""COMPUTED_VALUE"""),"#REF!")</f>
        <v>#REF!</v>
      </c>
      <c r="CU83" s="96" t="str">
        <f>IFERROR(__xludf.DUMMYFUNCTION("""COMPUTED_VALUE"""),"#REF!")</f>
        <v>#REF!</v>
      </c>
      <c r="CV83" s="97" t="str">
        <f>IFERROR(__xludf.DUMMYFUNCTION("""COMPUTED_VALUE"""),"#REF!")</f>
        <v>#REF!</v>
      </c>
      <c r="CW83" s="95" t="str">
        <f>IFERROR(__xludf.DUMMYFUNCTION("""COMPUTED_VALUE"""),"#REF!")</f>
        <v>#REF!</v>
      </c>
      <c r="CX83" s="96" t="str">
        <f>IFERROR(__xludf.DUMMYFUNCTION("""COMPUTED_VALUE"""),"#REF!")</f>
        <v>#REF!</v>
      </c>
      <c r="CY83" s="97" t="str">
        <f>IFERROR(__xludf.DUMMYFUNCTION("""COMPUTED_VALUE"""),"#REF!")</f>
        <v>#REF!</v>
      </c>
      <c r="CZ83" s="95" t="str">
        <f>IFERROR(__xludf.DUMMYFUNCTION("""COMPUTED_VALUE"""),"#REF!")</f>
        <v>#REF!</v>
      </c>
      <c r="DA83" s="96" t="str">
        <f>IFERROR(__xludf.DUMMYFUNCTION("""COMPUTED_VALUE"""),"#REF!")</f>
        <v>#REF!</v>
      </c>
      <c r="DB83" s="97" t="str">
        <f>IFERROR(__xludf.DUMMYFUNCTION("""COMPUTED_VALUE"""),"#REF!")</f>
        <v>#REF!</v>
      </c>
      <c r="DC83" s="95" t="str">
        <f>IFERROR(__xludf.DUMMYFUNCTION("""COMPUTED_VALUE"""),"#REF!")</f>
        <v>#REF!</v>
      </c>
      <c r="DD83" s="96" t="str">
        <f>IFERROR(__xludf.DUMMYFUNCTION("""COMPUTED_VALUE"""),"#REF!")</f>
        <v>#REF!</v>
      </c>
      <c r="DE83" s="97" t="str">
        <f>IFERROR(__xludf.DUMMYFUNCTION("""COMPUTED_VALUE"""),"#REF!")</f>
        <v>#REF!</v>
      </c>
      <c r="DF83" s="95" t="str">
        <f>IFERROR(__xludf.DUMMYFUNCTION("""COMPUTED_VALUE"""),"#REF!")</f>
        <v>#REF!</v>
      </c>
      <c r="DG83" s="96" t="str">
        <f>IFERROR(__xludf.DUMMYFUNCTION("""COMPUTED_VALUE"""),"#REF!")</f>
        <v>#REF!</v>
      </c>
      <c r="DH83" s="97" t="str">
        <f>IFERROR(__xludf.DUMMYFUNCTION("""COMPUTED_VALUE"""),"#REF!")</f>
        <v>#REF!</v>
      </c>
      <c r="DI83" s="95" t="str">
        <f>IFERROR(__xludf.DUMMYFUNCTION("""COMPUTED_VALUE"""),"#REF!")</f>
        <v>#REF!</v>
      </c>
      <c r="DJ83" s="96" t="str">
        <f>IFERROR(__xludf.DUMMYFUNCTION("""COMPUTED_VALUE"""),"#REF!")</f>
        <v>#REF!</v>
      </c>
      <c r="DK83" s="97" t="str">
        <f>IFERROR(__xludf.DUMMYFUNCTION("""COMPUTED_VALUE"""),"#REF!")</f>
        <v>#REF!</v>
      </c>
      <c r="DL83" s="95" t="str">
        <f>IFERROR(__xludf.DUMMYFUNCTION("""COMPUTED_VALUE"""),"#REF!")</f>
        <v>#REF!</v>
      </c>
      <c r="DM83" s="96" t="str">
        <f>IFERROR(__xludf.DUMMYFUNCTION("""COMPUTED_VALUE"""),"#REF!")</f>
        <v>#REF!</v>
      </c>
      <c r="DN83" s="97" t="str">
        <f>IFERROR(__xludf.DUMMYFUNCTION("""COMPUTED_VALUE"""),"#REF!")</f>
        <v>#REF!</v>
      </c>
      <c r="DO83" s="95" t="str">
        <f>IFERROR(__xludf.DUMMYFUNCTION("""COMPUTED_VALUE"""),"#REF!")</f>
        <v>#REF!</v>
      </c>
      <c r="DP83" s="96" t="str">
        <f>IFERROR(__xludf.DUMMYFUNCTION("""COMPUTED_VALUE"""),"#REF!")</f>
        <v>#REF!</v>
      </c>
      <c r="DQ83" s="97"/>
      <c r="DR83" s="95"/>
    </row>
    <row r="84">
      <c r="B84" s="120" t="str">
        <f>IFERROR(__xludf.DUMMYFUNCTION("""COMPUTED_VALUE"""),"OKN7")</f>
        <v>OKN7</v>
      </c>
      <c r="C84" s="82">
        <f>IFERROR(__xludf.DUMMYFUNCTION("""COMPUTED_VALUE"""),71.0)</f>
        <v>71</v>
      </c>
      <c r="D84" s="88" t="str">
        <f>IFERROR(__xludf.DUMMYFUNCTION("""COMPUTED_VALUE"""),"Island of Wyverns")</f>
        <v>Island of Wyverns</v>
      </c>
      <c r="E84" s="82" t="str">
        <f>IFERROR(__xludf.DUMMYFUNCTION("""COMPUTED_VALUE"""),"翼竜の島")</f>
        <v>翼竜の島</v>
      </c>
      <c r="F84" s="102">
        <f>IFERROR(__xludf.DUMMYFUNCTION("""COMPUTED_VALUE"""),14.0)</f>
        <v>14</v>
      </c>
      <c r="G84" s="82">
        <f>IFERROR(__xludf.DUMMYFUNCTION("""COMPUTED_VALUE"""),1447.0)</f>
        <v>1447</v>
      </c>
      <c r="H84" s="231" t="str">
        <f>IFERROR(__xludf.DUMMYFUNCTION("""COMPUTED_VALUE"""),"")</f>
        <v/>
      </c>
      <c r="I84" s="232" t="str">
        <f>IFERROR(__xludf.DUMMYFUNCTION("""COMPUTED_VALUE"""),"")</f>
        <v/>
      </c>
      <c r="J84" s="233" t="str">
        <f>IFERROR(__xludf.DUMMYFUNCTION("""COMPUTED_VALUE"""),"")</f>
        <v/>
      </c>
      <c r="K84" s="231" t="str">
        <f>IFERROR(__xludf.DUMMYFUNCTION("""COMPUTED_VALUE"""),"")</f>
        <v/>
      </c>
      <c r="L84" s="232" t="str">
        <f>IFERROR(__xludf.DUMMYFUNCTION("""COMPUTED_VALUE"""),"")</f>
        <v/>
      </c>
      <c r="M84" s="233" t="str">
        <f>IFERROR(__xludf.DUMMYFUNCTION("""COMPUTED_VALUE"""),"")</f>
        <v/>
      </c>
      <c r="N84" s="231" t="str">
        <f>IFERROR(__xludf.DUMMYFUNCTION("""COMPUTED_VALUE"""),"")</f>
        <v/>
      </c>
      <c r="O84" s="232" t="str">
        <f>IFERROR(__xludf.DUMMYFUNCTION("""COMPUTED_VALUE"""),"")</f>
        <v/>
      </c>
      <c r="P84" s="233" t="str">
        <f>IFERROR(__xludf.DUMMYFUNCTION("""COMPUTED_VALUE"""),"")</f>
        <v/>
      </c>
      <c r="Q84" s="231" t="str">
        <f>IFERROR(__xludf.DUMMYFUNCTION("""COMPUTED_VALUE"""),"")</f>
        <v/>
      </c>
      <c r="R84" s="232" t="str">
        <f>IFERROR(__xludf.DUMMYFUNCTION("""COMPUTED_VALUE"""),"")</f>
        <v/>
      </c>
      <c r="S84" s="233" t="str">
        <f>IFERROR(__xludf.DUMMYFUNCTION("""COMPUTED_VALUE"""),"")</f>
        <v/>
      </c>
      <c r="T84" s="231" t="str">
        <f>IFERROR(__xludf.DUMMYFUNCTION("""COMPUTED_VALUE"""),"")</f>
        <v/>
      </c>
      <c r="U84" s="232" t="str">
        <f>IFERROR(__xludf.DUMMYFUNCTION("""COMPUTED_VALUE"""),"")</f>
        <v/>
      </c>
      <c r="V84" s="233" t="str">
        <f>IFERROR(__xludf.DUMMYFUNCTION("""COMPUTED_VALUE"""),"")</f>
        <v/>
      </c>
      <c r="W84" s="231" t="str">
        <f>IFERROR(__xludf.DUMMYFUNCTION("""COMPUTED_VALUE"""),"")</f>
        <v/>
      </c>
      <c r="X84" s="232" t="str">
        <f>IFERROR(__xludf.DUMMYFUNCTION("""COMPUTED_VALUE"""),"")</f>
        <v/>
      </c>
      <c r="Y84" s="233" t="str">
        <f>IFERROR(__xludf.DUMMYFUNCTION("""COMPUTED_VALUE"""),"")</f>
        <v/>
      </c>
      <c r="Z84" s="231" t="str">
        <f>IFERROR(__xludf.DUMMYFUNCTION("""COMPUTED_VALUE"""),"")</f>
        <v/>
      </c>
      <c r="AA84" s="232" t="str">
        <f>IFERROR(__xludf.DUMMYFUNCTION("""COMPUTED_VALUE"""),"")</f>
        <v/>
      </c>
      <c r="AB84" s="233" t="str">
        <f>IFERROR(__xludf.DUMMYFUNCTION("""COMPUTED_VALUE"""),"")</f>
        <v/>
      </c>
      <c r="AC84" s="231" t="str">
        <f>IFERROR(__xludf.DUMMYFUNCTION("""COMPUTED_VALUE"""),"")</f>
        <v/>
      </c>
      <c r="AD84" s="232" t="str">
        <f>IFERROR(__xludf.DUMMYFUNCTION("""COMPUTED_VALUE"""),"")</f>
        <v/>
      </c>
      <c r="AE84" s="233" t="str">
        <f>IFERROR(__xludf.DUMMYFUNCTION("""COMPUTED_VALUE"""),"")</f>
        <v/>
      </c>
      <c r="AF84" s="231" t="str">
        <f>IFERROR(__xludf.DUMMYFUNCTION("""COMPUTED_VALUE"""),"")</f>
        <v/>
      </c>
      <c r="AG84" s="232" t="str">
        <f>IFERROR(__xludf.DUMMYFUNCTION("""COMPUTED_VALUE"""),"")</f>
        <v/>
      </c>
      <c r="AH84" s="233" t="str">
        <f>IFERROR(__xludf.DUMMYFUNCTION("""COMPUTED_VALUE"""),"")</f>
        <v/>
      </c>
      <c r="AI84" s="231" t="str">
        <f>IFERROR(__xludf.DUMMYFUNCTION("""COMPUTED_VALUE"""),"")</f>
        <v/>
      </c>
      <c r="AJ84" s="232" t="str">
        <f>IFERROR(__xludf.DUMMYFUNCTION("""COMPUTED_VALUE"""),"")</f>
        <v/>
      </c>
      <c r="AK84" s="233" t="str">
        <f>IFERROR(__xludf.DUMMYFUNCTION("""COMPUTED_VALUE"""),"")</f>
        <v/>
      </c>
      <c r="AL84" s="231" t="str">
        <f>IFERROR(__xludf.DUMMYFUNCTION("""COMPUTED_VALUE"""),"")</f>
        <v/>
      </c>
      <c r="AM84" s="232" t="str">
        <f>IFERROR(__xludf.DUMMYFUNCTION("""COMPUTED_VALUE"""),"")</f>
        <v/>
      </c>
      <c r="AN84" s="233" t="str">
        <f>IFERROR(__xludf.DUMMYFUNCTION("""COMPUTED_VALUE"""),"")</f>
        <v/>
      </c>
      <c r="AO84" s="231" t="str">
        <f>IFERROR(__xludf.DUMMYFUNCTION("""COMPUTED_VALUE"""),"")</f>
        <v/>
      </c>
      <c r="AP84" s="232" t="str">
        <f>IFERROR(__xludf.DUMMYFUNCTION("""COMPUTED_VALUE"""),"")</f>
        <v/>
      </c>
      <c r="AQ84" s="233" t="str">
        <f>IFERROR(__xludf.DUMMYFUNCTION("""COMPUTED_VALUE"""),"")</f>
        <v/>
      </c>
      <c r="AR84" s="231" t="str">
        <f>IFERROR(__xludf.DUMMYFUNCTION("""COMPUTED_VALUE"""),"")</f>
        <v/>
      </c>
      <c r="AS84" s="232" t="str">
        <f>IFERROR(__xludf.DUMMYFUNCTION("""COMPUTED_VALUE"""),"")</f>
        <v/>
      </c>
      <c r="AT84" s="233" t="str">
        <f>IFERROR(__xludf.DUMMYFUNCTION("""COMPUTED_VALUE"""),"")</f>
        <v/>
      </c>
      <c r="AU84" s="231" t="str">
        <f>IFERROR(__xludf.DUMMYFUNCTION("""COMPUTED_VALUE"""),"")</f>
        <v/>
      </c>
      <c r="AV84" s="232">
        <f>IFERROR(__xludf.DUMMYFUNCTION("""COMPUTED_VALUE"""),49.5)</f>
        <v>49.5</v>
      </c>
      <c r="AW84" s="233" t="str">
        <f>IFERROR(__xludf.DUMMYFUNCTION("""COMPUTED_VALUE"""),"")</f>
        <v/>
      </c>
      <c r="AX84" s="231" t="str">
        <f>IFERROR(__xludf.DUMMYFUNCTION("""COMPUTED_VALUE"""),"")</f>
        <v/>
      </c>
      <c r="AY84" s="232" t="str">
        <f>IFERROR(__xludf.DUMMYFUNCTION("""COMPUTED_VALUE"""),"")</f>
        <v/>
      </c>
      <c r="AZ84" s="233" t="str">
        <f>IFERROR(__xludf.DUMMYFUNCTION("""COMPUTED_VALUE"""),"")</f>
        <v/>
      </c>
      <c r="BA84" s="231" t="str">
        <f>IFERROR(__xludf.DUMMYFUNCTION("""COMPUTED_VALUE"""),"")</f>
        <v/>
      </c>
      <c r="BB84" s="232" t="str">
        <f>IFERROR(__xludf.DUMMYFUNCTION("""COMPUTED_VALUE"""),"")</f>
        <v/>
      </c>
      <c r="BC84" s="233" t="str">
        <f>IFERROR(__xludf.DUMMYFUNCTION("""COMPUTED_VALUE"""),"")</f>
        <v/>
      </c>
      <c r="BD84" s="231" t="str">
        <f>IFERROR(__xludf.DUMMYFUNCTION("""COMPUTED_VALUE"""),"")</f>
        <v/>
      </c>
      <c r="BE84" s="232" t="str">
        <f>IFERROR(__xludf.DUMMYFUNCTION("""COMPUTED_VALUE"""),"")</f>
        <v/>
      </c>
      <c r="BF84" s="233" t="str">
        <f>IFERROR(__xludf.DUMMYFUNCTION("""COMPUTED_VALUE"""),"")</f>
        <v/>
      </c>
      <c r="BG84" s="231" t="str">
        <f>IFERROR(__xludf.DUMMYFUNCTION("""COMPUTED_VALUE"""),"")</f>
        <v/>
      </c>
      <c r="BH84" s="232" t="str">
        <f>IFERROR(__xludf.DUMMYFUNCTION("""COMPUTED_VALUE"""),"")</f>
        <v/>
      </c>
      <c r="BI84" s="233" t="str">
        <f>IFERROR(__xludf.DUMMYFUNCTION("""COMPUTED_VALUE"""),"")</f>
        <v/>
      </c>
      <c r="BJ84" s="231" t="str">
        <f>IFERROR(__xludf.DUMMYFUNCTION("""COMPUTED_VALUE"""),"")</f>
        <v/>
      </c>
      <c r="BK84" s="232" t="str">
        <f>IFERROR(__xludf.DUMMYFUNCTION("""COMPUTED_VALUE"""),"")</f>
        <v/>
      </c>
      <c r="BL84" s="233" t="str">
        <f>IFERROR(__xludf.DUMMYFUNCTION("""COMPUTED_VALUE"""),"")</f>
        <v/>
      </c>
      <c r="BM84" s="231">
        <f>IFERROR(__xludf.DUMMYFUNCTION("""COMPUTED_VALUE"""),5.0)</f>
        <v>5</v>
      </c>
      <c r="BN84" s="232" t="str">
        <f>IFERROR(__xludf.DUMMYFUNCTION("""COMPUTED_VALUE"""),"")</f>
        <v/>
      </c>
      <c r="BO84" s="233" t="str">
        <f>IFERROR(__xludf.DUMMYFUNCTION("""COMPUTED_VALUE"""),"")</f>
        <v/>
      </c>
      <c r="BP84" s="231" t="str">
        <f>IFERROR(__xludf.DUMMYFUNCTION("""COMPUTED_VALUE"""),"")</f>
        <v/>
      </c>
      <c r="BQ84" s="232">
        <f>IFERROR(__xludf.DUMMYFUNCTION("""COMPUTED_VALUE"""),-1.0E-6)</f>
        <v>-0.000001</v>
      </c>
      <c r="BR84" s="233" t="str">
        <f>IFERROR(__xludf.DUMMYFUNCTION("""COMPUTED_VALUE"""),"")</f>
        <v/>
      </c>
      <c r="BS84" s="231" t="str">
        <f>IFERROR(__xludf.DUMMYFUNCTION("""COMPUTED_VALUE"""),"")</f>
        <v/>
      </c>
      <c r="BT84" s="232">
        <f>IFERROR(__xludf.DUMMYFUNCTION("""COMPUTED_VALUE"""),41.9)</f>
        <v>41.9</v>
      </c>
      <c r="BU84" s="233" t="str">
        <f>IFERROR(__xludf.DUMMYFUNCTION("""COMPUTED_VALUE"""),"")</f>
        <v/>
      </c>
      <c r="BV84" s="231" t="str">
        <f>IFERROR(__xludf.DUMMYFUNCTION("""COMPUTED_VALUE"""),"")</f>
        <v/>
      </c>
      <c r="BW84" s="232" t="str">
        <f>IFERROR(__xludf.DUMMYFUNCTION("""COMPUTED_VALUE"""),"")</f>
        <v/>
      </c>
      <c r="BX84" s="233" t="str">
        <f>IFERROR(__xludf.DUMMYFUNCTION("""COMPUTED_VALUE"""),"")</f>
        <v/>
      </c>
      <c r="BY84" s="231" t="str">
        <f>IFERROR(__xludf.DUMMYFUNCTION("""COMPUTED_VALUE"""),"")</f>
        <v/>
      </c>
      <c r="BZ84" s="232" t="str">
        <f>IFERROR(__xludf.DUMMYFUNCTION("""COMPUTED_VALUE"""),"")</f>
        <v/>
      </c>
      <c r="CA84" s="233" t="str">
        <f>IFERROR(__xludf.DUMMYFUNCTION("""COMPUTED_VALUE"""),"")</f>
        <v/>
      </c>
      <c r="CB84" s="231" t="str">
        <f>IFERROR(__xludf.DUMMYFUNCTION("""COMPUTED_VALUE"""),"")</f>
        <v/>
      </c>
      <c r="CC84" s="232" t="str">
        <f>IFERROR(__xludf.DUMMYFUNCTION("""COMPUTED_VALUE"""),"")</f>
        <v/>
      </c>
      <c r="CD84" s="233" t="str">
        <f>IFERROR(__xludf.DUMMYFUNCTION("""COMPUTED_VALUE"""),"")</f>
        <v/>
      </c>
      <c r="CE84" s="234" t="str">
        <f>IFERROR(__xludf.DUMMYFUNCTION("""COMPUTED_VALUE"""),"")</f>
        <v/>
      </c>
      <c r="CF84" s="230" t="str">
        <f>IFERROR(__xludf.DUMMYFUNCTION("""COMPUTED_VALUE"""),"")</f>
        <v/>
      </c>
      <c r="CG84" s="235" t="str">
        <f>IFERROR(__xludf.DUMMYFUNCTION("""COMPUTED_VALUE"""),"")</f>
        <v/>
      </c>
      <c r="CH84" s="234" t="str">
        <f>IFERROR(__xludf.DUMMYFUNCTION("""COMPUTED_VALUE"""),"")</f>
        <v/>
      </c>
      <c r="CI84" s="230" t="str">
        <f>IFERROR(__xludf.DUMMYFUNCTION("""COMPUTED_VALUE"""),"")</f>
        <v/>
      </c>
      <c r="CJ84" s="235" t="str">
        <f>IFERROR(__xludf.DUMMYFUNCTION("""COMPUTED_VALUE"""),"")</f>
        <v/>
      </c>
      <c r="CK84" s="95" t="str">
        <f>IFERROR(__xludf.DUMMYFUNCTION("""COMPUTED_VALUE"""),"")</f>
        <v/>
      </c>
      <c r="CL84" s="96" t="str">
        <f>IFERROR(__xludf.DUMMYFUNCTION("""COMPUTED_VALUE"""),"")</f>
        <v/>
      </c>
      <c r="CM84" s="97" t="str">
        <f>IFERROR(__xludf.DUMMYFUNCTION("""COMPUTED_VALUE"""),"")</f>
        <v/>
      </c>
      <c r="CN84" s="95" t="str">
        <f>IFERROR(__xludf.DUMMYFUNCTION("""COMPUTED_VALUE"""),"")</f>
        <v/>
      </c>
      <c r="CO84" s="96" t="str">
        <f>IFERROR(__xludf.DUMMYFUNCTION("""COMPUTED_VALUE"""),"")</f>
        <v/>
      </c>
      <c r="CP84" s="97" t="str">
        <f>IFERROR(__xludf.DUMMYFUNCTION("""COMPUTED_VALUE"""),"")</f>
        <v/>
      </c>
      <c r="CQ84" s="95" t="str">
        <f>IFERROR(__xludf.DUMMYFUNCTION("""COMPUTED_VALUE"""),"")</f>
        <v/>
      </c>
      <c r="CR84" s="96" t="str">
        <f>IFERROR(__xludf.DUMMYFUNCTION("""COMPUTED_VALUE"""),"")</f>
        <v/>
      </c>
      <c r="CS84" s="97" t="str">
        <f>IFERROR(__xludf.DUMMYFUNCTION("""COMPUTED_VALUE"""),"#REF!")</f>
        <v>#REF!</v>
      </c>
      <c r="CT84" s="95" t="str">
        <f>IFERROR(__xludf.DUMMYFUNCTION("""COMPUTED_VALUE"""),"#REF!")</f>
        <v>#REF!</v>
      </c>
      <c r="CU84" s="96" t="str">
        <f>IFERROR(__xludf.DUMMYFUNCTION("""COMPUTED_VALUE"""),"#REF!")</f>
        <v>#REF!</v>
      </c>
      <c r="CV84" s="97" t="str">
        <f>IFERROR(__xludf.DUMMYFUNCTION("""COMPUTED_VALUE"""),"#REF!")</f>
        <v>#REF!</v>
      </c>
      <c r="CW84" s="95" t="str">
        <f>IFERROR(__xludf.DUMMYFUNCTION("""COMPUTED_VALUE"""),"#REF!")</f>
        <v>#REF!</v>
      </c>
      <c r="CX84" s="96" t="str">
        <f>IFERROR(__xludf.DUMMYFUNCTION("""COMPUTED_VALUE"""),"#REF!")</f>
        <v>#REF!</v>
      </c>
      <c r="CY84" s="97" t="str">
        <f>IFERROR(__xludf.DUMMYFUNCTION("""COMPUTED_VALUE"""),"#REF!")</f>
        <v>#REF!</v>
      </c>
      <c r="CZ84" s="95" t="str">
        <f>IFERROR(__xludf.DUMMYFUNCTION("""COMPUTED_VALUE"""),"#REF!")</f>
        <v>#REF!</v>
      </c>
      <c r="DA84" s="96" t="str">
        <f>IFERROR(__xludf.DUMMYFUNCTION("""COMPUTED_VALUE"""),"#REF!")</f>
        <v>#REF!</v>
      </c>
      <c r="DB84" s="97" t="str">
        <f>IFERROR(__xludf.DUMMYFUNCTION("""COMPUTED_VALUE"""),"#REF!")</f>
        <v>#REF!</v>
      </c>
      <c r="DC84" s="95" t="str">
        <f>IFERROR(__xludf.DUMMYFUNCTION("""COMPUTED_VALUE"""),"#REF!")</f>
        <v>#REF!</v>
      </c>
      <c r="DD84" s="96" t="str">
        <f>IFERROR(__xludf.DUMMYFUNCTION("""COMPUTED_VALUE"""),"#REF!")</f>
        <v>#REF!</v>
      </c>
      <c r="DE84" s="97" t="str">
        <f>IFERROR(__xludf.DUMMYFUNCTION("""COMPUTED_VALUE"""),"#REF!")</f>
        <v>#REF!</v>
      </c>
      <c r="DF84" s="95" t="str">
        <f>IFERROR(__xludf.DUMMYFUNCTION("""COMPUTED_VALUE"""),"#REF!")</f>
        <v>#REF!</v>
      </c>
      <c r="DG84" s="96" t="str">
        <f>IFERROR(__xludf.DUMMYFUNCTION("""COMPUTED_VALUE"""),"#REF!")</f>
        <v>#REF!</v>
      </c>
      <c r="DH84" s="97" t="str">
        <f>IFERROR(__xludf.DUMMYFUNCTION("""COMPUTED_VALUE"""),"#REF!")</f>
        <v>#REF!</v>
      </c>
      <c r="DI84" s="95" t="str">
        <f>IFERROR(__xludf.DUMMYFUNCTION("""COMPUTED_VALUE"""),"#REF!")</f>
        <v>#REF!</v>
      </c>
      <c r="DJ84" s="96" t="str">
        <f>IFERROR(__xludf.DUMMYFUNCTION("""COMPUTED_VALUE"""),"#REF!")</f>
        <v>#REF!</v>
      </c>
      <c r="DK84" s="97" t="str">
        <f>IFERROR(__xludf.DUMMYFUNCTION("""COMPUTED_VALUE"""),"#REF!")</f>
        <v>#REF!</v>
      </c>
      <c r="DL84" s="95" t="str">
        <f>IFERROR(__xludf.DUMMYFUNCTION("""COMPUTED_VALUE"""),"#REF!")</f>
        <v>#REF!</v>
      </c>
      <c r="DM84" s="96" t="str">
        <f>IFERROR(__xludf.DUMMYFUNCTION("""COMPUTED_VALUE"""),"#REF!")</f>
        <v>#REF!</v>
      </c>
      <c r="DN84" s="97" t="str">
        <f>IFERROR(__xludf.DUMMYFUNCTION("""COMPUTED_VALUE"""),"#REF!")</f>
        <v>#REF!</v>
      </c>
      <c r="DO84" s="95" t="str">
        <f>IFERROR(__xludf.DUMMYFUNCTION("""COMPUTED_VALUE"""),"#REF!")</f>
        <v>#REF!</v>
      </c>
      <c r="DP84" s="96" t="str">
        <f>IFERROR(__xludf.DUMMYFUNCTION("""COMPUTED_VALUE"""),"#REF!")</f>
        <v>#REF!</v>
      </c>
      <c r="DQ84" s="97"/>
      <c r="DR84" s="95"/>
    </row>
    <row r="85">
      <c r="B85" s="120" t="str">
        <f>IFERROR(__xludf.DUMMYFUNCTION("""COMPUTED_VALUE"""),"OKN8")</f>
        <v>OKN8</v>
      </c>
      <c r="C85" s="82">
        <f>IFERROR(__xludf.DUMMYFUNCTION("""COMPUTED_VALUE"""),72.0)</f>
        <v>72</v>
      </c>
      <c r="D85" s="88" t="str">
        <f>IFERROR(__xludf.DUMMYFUNCTION("""COMPUTED_VALUE"""),"Caldera Island")</f>
        <v>Caldera Island</v>
      </c>
      <c r="E85" s="82" t="str">
        <f>IFERROR(__xludf.DUMMYFUNCTION("""COMPUTED_VALUE"""),"カルデラの島")</f>
        <v>カルデラの島</v>
      </c>
      <c r="F85" s="102">
        <f>IFERROR(__xludf.DUMMYFUNCTION("""COMPUTED_VALUE"""),17.0)</f>
        <v>17</v>
      </c>
      <c r="G85" s="82">
        <f>IFERROR(__xludf.DUMMYFUNCTION("""COMPUTED_VALUE"""),1583.0)</f>
        <v>1583</v>
      </c>
      <c r="H85" s="231" t="str">
        <f>IFERROR(__xludf.DUMMYFUNCTION("""COMPUTED_VALUE"""),"")</f>
        <v/>
      </c>
      <c r="I85" s="232" t="str">
        <f>IFERROR(__xludf.DUMMYFUNCTION("""COMPUTED_VALUE"""),"")</f>
        <v/>
      </c>
      <c r="J85" s="233" t="str">
        <f>IFERROR(__xludf.DUMMYFUNCTION("""COMPUTED_VALUE"""),"")</f>
        <v/>
      </c>
      <c r="K85" s="231" t="str">
        <f>IFERROR(__xludf.DUMMYFUNCTION("""COMPUTED_VALUE"""),"")</f>
        <v/>
      </c>
      <c r="L85" s="232" t="str">
        <f>IFERROR(__xludf.DUMMYFUNCTION("""COMPUTED_VALUE"""),"")</f>
        <v/>
      </c>
      <c r="M85" s="233" t="str">
        <f>IFERROR(__xludf.DUMMYFUNCTION("""COMPUTED_VALUE"""),"")</f>
        <v/>
      </c>
      <c r="N85" s="231" t="str">
        <f>IFERROR(__xludf.DUMMYFUNCTION("""COMPUTED_VALUE"""),"")</f>
        <v/>
      </c>
      <c r="O85" s="232" t="str">
        <f>IFERROR(__xludf.DUMMYFUNCTION("""COMPUTED_VALUE"""),"")</f>
        <v/>
      </c>
      <c r="P85" s="233" t="str">
        <f>IFERROR(__xludf.DUMMYFUNCTION("""COMPUTED_VALUE"""),"")</f>
        <v/>
      </c>
      <c r="Q85" s="231" t="str">
        <f>IFERROR(__xludf.DUMMYFUNCTION("""COMPUTED_VALUE"""),"")</f>
        <v/>
      </c>
      <c r="R85" s="232" t="str">
        <f>IFERROR(__xludf.DUMMYFUNCTION("""COMPUTED_VALUE"""),"")</f>
        <v/>
      </c>
      <c r="S85" s="233" t="str">
        <f>IFERROR(__xludf.DUMMYFUNCTION("""COMPUTED_VALUE"""),"")</f>
        <v/>
      </c>
      <c r="T85" s="231" t="str">
        <f>IFERROR(__xludf.DUMMYFUNCTION("""COMPUTED_VALUE"""),"")</f>
        <v/>
      </c>
      <c r="U85" s="232" t="str">
        <f>IFERROR(__xludf.DUMMYFUNCTION("""COMPUTED_VALUE"""),"")</f>
        <v/>
      </c>
      <c r="V85" s="233" t="str">
        <f>IFERROR(__xludf.DUMMYFUNCTION("""COMPUTED_VALUE"""),"")</f>
        <v/>
      </c>
      <c r="W85" s="231" t="str">
        <f>IFERROR(__xludf.DUMMYFUNCTION("""COMPUTED_VALUE"""),"")</f>
        <v/>
      </c>
      <c r="X85" s="232" t="str">
        <f>IFERROR(__xludf.DUMMYFUNCTION("""COMPUTED_VALUE"""),"")</f>
        <v/>
      </c>
      <c r="Y85" s="233" t="str">
        <f>IFERROR(__xludf.DUMMYFUNCTION("""COMPUTED_VALUE"""),"")</f>
        <v/>
      </c>
      <c r="Z85" s="231">
        <f>IFERROR(__xludf.DUMMYFUNCTION("""COMPUTED_VALUE"""),15.7)</f>
        <v>15.7</v>
      </c>
      <c r="AA85" s="232" t="str">
        <f>IFERROR(__xludf.DUMMYFUNCTION("""COMPUTED_VALUE"""),"")</f>
        <v/>
      </c>
      <c r="AB85" s="233" t="str">
        <f>IFERROR(__xludf.DUMMYFUNCTION("""COMPUTED_VALUE"""),"")</f>
        <v/>
      </c>
      <c r="AC85" s="231" t="str">
        <f>IFERROR(__xludf.DUMMYFUNCTION("""COMPUTED_VALUE"""),"")</f>
        <v/>
      </c>
      <c r="AD85" s="232" t="str">
        <f>IFERROR(__xludf.DUMMYFUNCTION("""COMPUTED_VALUE"""),"")</f>
        <v/>
      </c>
      <c r="AE85" s="233" t="str">
        <f>IFERROR(__xludf.DUMMYFUNCTION("""COMPUTED_VALUE"""),"")</f>
        <v/>
      </c>
      <c r="AF85" s="231" t="str">
        <f>IFERROR(__xludf.DUMMYFUNCTION("""COMPUTED_VALUE"""),"")</f>
        <v/>
      </c>
      <c r="AG85" s="232" t="str">
        <f>IFERROR(__xludf.DUMMYFUNCTION("""COMPUTED_VALUE"""),"")</f>
        <v/>
      </c>
      <c r="AH85" s="233">
        <f>IFERROR(__xludf.DUMMYFUNCTION("""COMPUTED_VALUE"""),12.7)</f>
        <v>12.7</v>
      </c>
      <c r="AI85" s="231" t="str">
        <f>IFERROR(__xludf.DUMMYFUNCTION("""COMPUTED_VALUE"""),"")</f>
        <v/>
      </c>
      <c r="AJ85" s="232" t="str">
        <f>IFERROR(__xludf.DUMMYFUNCTION("""COMPUTED_VALUE"""),"")</f>
        <v/>
      </c>
      <c r="AK85" s="233" t="str">
        <f>IFERROR(__xludf.DUMMYFUNCTION("""COMPUTED_VALUE"""),"")</f>
        <v/>
      </c>
      <c r="AL85" s="231" t="str">
        <f>IFERROR(__xludf.DUMMYFUNCTION("""COMPUTED_VALUE"""),"")</f>
        <v/>
      </c>
      <c r="AM85" s="232" t="str">
        <f>IFERROR(__xludf.DUMMYFUNCTION("""COMPUTED_VALUE"""),"")</f>
        <v/>
      </c>
      <c r="AN85" s="233" t="str">
        <f>IFERROR(__xludf.DUMMYFUNCTION("""COMPUTED_VALUE"""),"")</f>
        <v/>
      </c>
      <c r="AO85" s="231" t="str">
        <f>IFERROR(__xludf.DUMMYFUNCTION("""COMPUTED_VALUE"""),"")</f>
        <v/>
      </c>
      <c r="AP85" s="232" t="str">
        <f>IFERROR(__xludf.DUMMYFUNCTION("""COMPUTED_VALUE"""),"")</f>
        <v/>
      </c>
      <c r="AQ85" s="233" t="str">
        <f>IFERROR(__xludf.DUMMYFUNCTION("""COMPUTED_VALUE"""),"")</f>
        <v/>
      </c>
      <c r="AR85" s="231" t="str">
        <f>IFERROR(__xludf.DUMMYFUNCTION("""COMPUTED_VALUE"""),"")</f>
        <v/>
      </c>
      <c r="AS85" s="232" t="str">
        <f>IFERROR(__xludf.DUMMYFUNCTION("""COMPUTED_VALUE"""),"")</f>
        <v/>
      </c>
      <c r="AT85" s="233" t="str">
        <f>IFERROR(__xludf.DUMMYFUNCTION("""COMPUTED_VALUE"""),"")</f>
        <v/>
      </c>
      <c r="AU85" s="231" t="str">
        <f>IFERROR(__xludf.DUMMYFUNCTION("""COMPUTED_VALUE"""),"")</f>
        <v/>
      </c>
      <c r="AV85" s="232" t="str">
        <f>IFERROR(__xludf.DUMMYFUNCTION("""COMPUTED_VALUE"""),"")</f>
        <v/>
      </c>
      <c r="AW85" s="233" t="str">
        <f>IFERROR(__xludf.DUMMYFUNCTION("""COMPUTED_VALUE"""),"")</f>
        <v/>
      </c>
      <c r="AX85" s="231" t="str">
        <f>IFERROR(__xludf.DUMMYFUNCTION("""COMPUTED_VALUE"""),"")</f>
        <v/>
      </c>
      <c r="AY85" s="232" t="str">
        <f>IFERROR(__xludf.DUMMYFUNCTION("""COMPUTED_VALUE"""),"")</f>
        <v/>
      </c>
      <c r="AZ85" s="233" t="str">
        <f>IFERROR(__xludf.DUMMYFUNCTION("""COMPUTED_VALUE"""),"")</f>
        <v/>
      </c>
      <c r="BA85" s="231" t="str">
        <f>IFERROR(__xludf.DUMMYFUNCTION("""COMPUTED_VALUE"""),"")</f>
        <v/>
      </c>
      <c r="BB85" s="232" t="str">
        <f>IFERROR(__xludf.DUMMYFUNCTION("""COMPUTED_VALUE"""),"")</f>
        <v/>
      </c>
      <c r="BC85" s="233" t="str">
        <f>IFERROR(__xludf.DUMMYFUNCTION("""COMPUTED_VALUE"""),"")</f>
        <v/>
      </c>
      <c r="BD85" s="231" t="str">
        <f>IFERROR(__xludf.DUMMYFUNCTION("""COMPUTED_VALUE"""),"")</f>
        <v/>
      </c>
      <c r="BE85" s="232" t="str">
        <f>IFERROR(__xludf.DUMMYFUNCTION("""COMPUTED_VALUE"""),"")</f>
        <v/>
      </c>
      <c r="BF85" s="233" t="str">
        <f>IFERROR(__xludf.DUMMYFUNCTION("""COMPUTED_VALUE"""),"")</f>
        <v/>
      </c>
      <c r="BG85" s="231" t="str">
        <f>IFERROR(__xludf.DUMMYFUNCTION("""COMPUTED_VALUE"""),"")</f>
        <v/>
      </c>
      <c r="BH85" s="232" t="str">
        <f>IFERROR(__xludf.DUMMYFUNCTION("""COMPUTED_VALUE"""),"")</f>
        <v/>
      </c>
      <c r="BI85" s="233" t="str">
        <f>IFERROR(__xludf.DUMMYFUNCTION("""COMPUTED_VALUE"""),"")</f>
        <v/>
      </c>
      <c r="BJ85" s="231" t="str">
        <f>IFERROR(__xludf.DUMMYFUNCTION("""COMPUTED_VALUE"""),"")</f>
        <v/>
      </c>
      <c r="BK85" s="232" t="str">
        <f>IFERROR(__xludf.DUMMYFUNCTION("""COMPUTED_VALUE"""),"")</f>
        <v/>
      </c>
      <c r="BL85" s="233" t="str">
        <f>IFERROR(__xludf.DUMMYFUNCTION("""COMPUTED_VALUE"""),"")</f>
        <v/>
      </c>
      <c r="BM85" s="231" t="str">
        <f>IFERROR(__xludf.DUMMYFUNCTION("""COMPUTED_VALUE"""),"")</f>
        <v/>
      </c>
      <c r="BN85" s="232" t="str">
        <f>IFERROR(__xludf.DUMMYFUNCTION("""COMPUTED_VALUE"""),"")</f>
        <v/>
      </c>
      <c r="BO85" s="233" t="str">
        <f>IFERROR(__xludf.DUMMYFUNCTION("""COMPUTED_VALUE"""),"")</f>
        <v/>
      </c>
      <c r="BP85" s="231" t="str">
        <f>IFERROR(__xludf.DUMMYFUNCTION("""COMPUTED_VALUE"""),"")</f>
        <v/>
      </c>
      <c r="BQ85" s="232">
        <f>IFERROR(__xludf.DUMMYFUNCTION("""COMPUTED_VALUE"""),39.1)</f>
        <v>39.1</v>
      </c>
      <c r="BR85" s="233" t="str">
        <f>IFERROR(__xludf.DUMMYFUNCTION("""COMPUTED_VALUE"""),"")</f>
        <v/>
      </c>
      <c r="BS85" s="231" t="str">
        <f>IFERROR(__xludf.DUMMYFUNCTION("""COMPUTED_VALUE"""),"")</f>
        <v/>
      </c>
      <c r="BT85" s="232">
        <f>IFERROR(__xludf.DUMMYFUNCTION("""COMPUTED_VALUE"""),34.2)</f>
        <v>34.2</v>
      </c>
      <c r="BU85" s="233" t="str">
        <f>IFERROR(__xludf.DUMMYFUNCTION("""COMPUTED_VALUE"""),"")</f>
        <v/>
      </c>
      <c r="BV85" s="231" t="str">
        <f>IFERROR(__xludf.DUMMYFUNCTION("""COMPUTED_VALUE"""),"")</f>
        <v/>
      </c>
      <c r="BW85" s="232" t="str">
        <f>IFERROR(__xludf.DUMMYFUNCTION("""COMPUTED_VALUE"""),"")</f>
        <v/>
      </c>
      <c r="BX85" s="233" t="str">
        <f>IFERROR(__xludf.DUMMYFUNCTION("""COMPUTED_VALUE"""),"")</f>
        <v/>
      </c>
      <c r="BY85" s="231" t="str">
        <f>IFERROR(__xludf.DUMMYFUNCTION("""COMPUTED_VALUE"""),"")</f>
        <v/>
      </c>
      <c r="BZ85" s="232" t="str">
        <f>IFERROR(__xludf.DUMMYFUNCTION("""COMPUTED_VALUE"""),"")</f>
        <v/>
      </c>
      <c r="CA85" s="233" t="str">
        <f>IFERROR(__xludf.DUMMYFUNCTION("""COMPUTED_VALUE"""),"")</f>
        <v/>
      </c>
      <c r="CB85" s="231" t="str">
        <f>IFERROR(__xludf.DUMMYFUNCTION("""COMPUTED_VALUE"""),"")</f>
        <v/>
      </c>
      <c r="CC85" s="232" t="str">
        <f>IFERROR(__xludf.DUMMYFUNCTION("""COMPUTED_VALUE"""),"")</f>
        <v/>
      </c>
      <c r="CD85" s="233" t="str">
        <f>IFERROR(__xludf.DUMMYFUNCTION("""COMPUTED_VALUE"""),"")</f>
        <v/>
      </c>
      <c r="CE85" s="234" t="str">
        <f>IFERROR(__xludf.DUMMYFUNCTION("""COMPUTED_VALUE"""),"")</f>
        <v/>
      </c>
      <c r="CF85" s="230" t="str">
        <f>IFERROR(__xludf.DUMMYFUNCTION("""COMPUTED_VALUE"""),"")</f>
        <v/>
      </c>
      <c r="CG85" s="235" t="str">
        <f>IFERROR(__xludf.DUMMYFUNCTION("""COMPUTED_VALUE"""),"")</f>
        <v/>
      </c>
      <c r="CH85" s="234" t="str">
        <f>IFERROR(__xludf.DUMMYFUNCTION("""COMPUTED_VALUE"""),"")</f>
        <v/>
      </c>
      <c r="CI85" s="230" t="str">
        <f>IFERROR(__xludf.DUMMYFUNCTION("""COMPUTED_VALUE"""),"")</f>
        <v/>
      </c>
      <c r="CJ85" s="235" t="str">
        <f>IFERROR(__xludf.DUMMYFUNCTION("""COMPUTED_VALUE"""),"")</f>
        <v/>
      </c>
      <c r="CK85" s="95" t="str">
        <f>IFERROR(__xludf.DUMMYFUNCTION("""COMPUTED_VALUE"""),"")</f>
        <v/>
      </c>
      <c r="CL85" s="96" t="str">
        <f>IFERROR(__xludf.DUMMYFUNCTION("""COMPUTED_VALUE"""),"")</f>
        <v/>
      </c>
      <c r="CM85" s="97" t="str">
        <f>IFERROR(__xludf.DUMMYFUNCTION("""COMPUTED_VALUE"""),"")</f>
        <v/>
      </c>
      <c r="CN85" s="95" t="str">
        <f>IFERROR(__xludf.DUMMYFUNCTION("""COMPUTED_VALUE"""),"")</f>
        <v/>
      </c>
      <c r="CO85" s="96" t="str">
        <f>IFERROR(__xludf.DUMMYFUNCTION("""COMPUTED_VALUE"""),"")</f>
        <v/>
      </c>
      <c r="CP85" s="97" t="str">
        <f>IFERROR(__xludf.DUMMYFUNCTION("""COMPUTED_VALUE"""),"")</f>
        <v/>
      </c>
      <c r="CQ85" s="95" t="str">
        <f>IFERROR(__xludf.DUMMYFUNCTION("""COMPUTED_VALUE"""),"")</f>
        <v/>
      </c>
      <c r="CR85" s="96" t="str">
        <f>IFERROR(__xludf.DUMMYFUNCTION("""COMPUTED_VALUE"""),"")</f>
        <v/>
      </c>
      <c r="CS85" s="97" t="str">
        <f>IFERROR(__xludf.DUMMYFUNCTION("""COMPUTED_VALUE"""),"#REF!")</f>
        <v>#REF!</v>
      </c>
      <c r="CT85" s="95" t="str">
        <f>IFERROR(__xludf.DUMMYFUNCTION("""COMPUTED_VALUE"""),"#REF!")</f>
        <v>#REF!</v>
      </c>
      <c r="CU85" s="96" t="str">
        <f>IFERROR(__xludf.DUMMYFUNCTION("""COMPUTED_VALUE"""),"#REF!")</f>
        <v>#REF!</v>
      </c>
      <c r="CV85" s="97" t="str">
        <f>IFERROR(__xludf.DUMMYFUNCTION("""COMPUTED_VALUE"""),"#REF!")</f>
        <v>#REF!</v>
      </c>
      <c r="CW85" s="95" t="str">
        <f>IFERROR(__xludf.DUMMYFUNCTION("""COMPUTED_VALUE"""),"#REF!")</f>
        <v>#REF!</v>
      </c>
      <c r="CX85" s="96" t="str">
        <f>IFERROR(__xludf.DUMMYFUNCTION("""COMPUTED_VALUE"""),"#REF!")</f>
        <v>#REF!</v>
      </c>
      <c r="CY85" s="97" t="str">
        <f>IFERROR(__xludf.DUMMYFUNCTION("""COMPUTED_VALUE"""),"#REF!")</f>
        <v>#REF!</v>
      </c>
      <c r="CZ85" s="95" t="str">
        <f>IFERROR(__xludf.DUMMYFUNCTION("""COMPUTED_VALUE"""),"#REF!")</f>
        <v>#REF!</v>
      </c>
      <c r="DA85" s="96" t="str">
        <f>IFERROR(__xludf.DUMMYFUNCTION("""COMPUTED_VALUE"""),"#REF!")</f>
        <v>#REF!</v>
      </c>
      <c r="DB85" s="97" t="str">
        <f>IFERROR(__xludf.DUMMYFUNCTION("""COMPUTED_VALUE"""),"#REF!")</f>
        <v>#REF!</v>
      </c>
      <c r="DC85" s="95" t="str">
        <f>IFERROR(__xludf.DUMMYFUNCTION("""COMPUTED_VALUE"""),"#REF!")</f>
        <v>#REF!</v>
      </c>
      <c r="DD85" s="96" t="str">
        <f>IFERROR(__xludf.DUMMYFUNCTION("""COMPUTED_VALUE"""),"#REF!")</f>
        <v>#REF!</v>
      </c>
      <c r="DE85" s="97" t="str">
        <f>IFERROR(__xludf.DUMMYFUNCTION("""COMPUTED_VALUE"""),"#REF!")</f>
        <v>#REF!</v>
      </c>
      <c r="DF85" s="95" t="str">
        <f>IFERROR(__xludf.DUMMYFUNCTION("""COMPUTED_VALUE"""),"#REF!")</f>
        <v>#REF!</v>
      </c>
      <c r="DG85" s="96" t="str">
        <f>IFERROR(__xludf.DUMMYFUNCTION("""COMPUTED_VALUE"""),"#REF!")</f>
        <v>#REF!</v>
      </c>
      <c r="DH85" s="97" t="str">
        <f>IFERROR(__xludf.DUMMYFUNCTION("""COMPUTED_VALUE"""),"#REF!")</f>
        <v>#REF!</v>
      </c>
      <c r="DI85" s="95" t="str">
        <f>IFERROR(__xludf.DUMMYFUNCTION("""COMPUTED_VALUE"""),"#REF!")</f>
        <v>#REF!</v>
      </c>
      <c r="DJ85" s="96" t="str">
        <f>IFERROR(__xludf.DUMMYFUNCTION("""COMPUTED_VALUE"""),"#REF!")</f>
        <v>#REF!</v>
      </c>
      <c r="DK85" s="97" t="str">
        <f>IFERROR(__xludf.DUMMYFUNCTION("""COMPUTED_VALUE"""),"#REF!")</f>
        <v>#REF!</v>
      </c>
      <c r="DL85" s="95" t="str">
        <f>IFERROR(__xludf.DUMMYFUNCTION("""COMPUTED_VALUE"""),"#REF!")</f>
        <v>#REF!</v>
      </c>
      <c r="DM85" s="96" t="str">
        <f>IFERROR(__xludf.DUMMYFUNCTION("""COMPUTED_VALUE"""),"#REF!")</f>
        <v>#REF!</v>
      </c>
      <c r="DN85" s="97" t="str">
        <f>IFERROR(__xludf.DUMMYFUNCTION("""COMPUTED_VALUE"""),"#REF!")</f>
        <v>#REF!</v>
      </c>
      <c r="DO85" s="95" t="str">
        <f>IFERROR(__xludf.DUMMYFUNCTION("""COMPUTED_VALUE"""),"#REF!")</f>
        <v>#REF!</v>
      </c>
      <c r="DP85" s="96" t="str">
        <f>IFERROR(__xludf.DUMMYFUNCTION("""COMPUTED_VALUE"""),"#REF!")</f>
        <v>#REF!</v>
      </c>
      <c r="DQ85" s="97"/>
      <c r="DR85" s="95"/>
    </row>
    <row r="86">
      <c r="B86" s="120" t="str">
        <f>IFERROR(__xludf.DUMMYFUNCTION("""COMPUTED_VALUE"""),"OKN9")</f>
        <v>OKN9</v>
      </c>
      <c r="C86" s="82">
        <f>IFERROR(__xludf.DUMMYFUNCTION("""COMPUTED_VALUE"""),73.0)</f>
        <v>73</v>
      </c>
      <c r="D86" s="88" t="str">
        <f>IFERROR(__xludf.DUMMYFUNCTION("""COMPUTED_VALUE"""),"Stormy Seas")</f>
        <v>Stormy Seas</v>
      </c>
      <c r="E86" s="82" t="str">
        <f>IFERROR(__xludf.DUMMYFUNCTION("""COMPUTED_VALUE"""),"嵐の海域")</f>
        <v>嵐の海域</v>
      </c>
      <c r="F86" s="102">
        <f>IFERROR(__xludf.DUMMYFUNCTION("""COMPUTED_VALUE"""),15.0)</f>
        <v>15</v>
      </c>
      <c r="G86" s="82">
        <f>IFERROR(__xludf.DUMMYFUNCTION("""COMPUTED_VALUE"""),1905.0)</f>
        <v>1905</v>
      </c>
      <c r="H86" s="231" t="str">
        <f>IFERROR(__xludf.DUMMYFUNCTION("""COMPUTED_VALUE"""),"")</f>
        <v/>
      </c>
      <c r="I86" s="232" t="str">
        <f>IFERROR(__xludf.DUMMYFUNCTION("""COMPUTED_VALUE"""),"")</f>
        <v/>
      </c>
      <c r="J86" s="233" t="str">
        <f>IFERROR(__xludf.DUMMYFUNCTION("""COMPUTED_VALUE"""),"")</f>
        <v/>
      </c>
      <c r="K86" s="231" t="str">
        <f>IFERROR(__xludf.DUMMYFUNCTION("""COMPUTED_VALUE"""),"")</f>
        <v/>
      </c>
      <c r="L86" s="232" t="str">
        <f>IFERROR(__xludf.DUMMYFUNCTION("""COMPUTED_VALUE"""),"")</f>
        <v/>
      </c>
      <c r="M86" s="233" t="str">
        <f>IFERROR(__xludf.DUMMYFUNCTION("""COMPUTED_VALUE"""),"")</f>
        <v/>
      </c>
      <c r="N86" s="231" t="str">
        <f>IFERROR(__xludf.DUMMYFUNCTION("""COMPUTED_VALUE"""),"")</f>
        <v/>
      </c>
      <c r="O86" s="232" t="str">
        <f>IFERROR(__xludf.DUMMYFUNCTION("""COMPUTED_VALUE"""),"")</f>
        <v/>
      </c>
      <c r="P86" s="233" t="str">
        <f>IFERROR(__xludf.DUMMYFUNCTION("""COMPUTED_VALUE"""),"")</f>
        <v/>
      </c>
      <c r="Q86" s="231" t="str">
        <f>IFERROR(__xludf.DUMMYFUNCTION("""COMPUTED_VALUE"""),"")</f>
        <v/>
      </c>
      <c r="R86" s="232" t="str">
        <f>IFERROR(__xludf.DUMMYFUNCTION("""COMPUTED_VALUE"""),"")</f>
        <v/>
      </c>
      <c r="S86" s="233" t="str">
        <f>IFERROR(__xludf.DUMMYFUNCTION("""COMPUTED_VALUE"""),"")</f>
        <v/>
      </c>
      <c r="T86" s="231" t="str">
        <f>IFERROR(__xludf.DUMMYFUNCTION("""COMPUTED_VALUE"""),"")</f>
        <v/>
      </c>
      <c r="U86" s="232" t="str">
        <f>IFERROR(__xludf.DUMMYFUNCTION("""COMPUTED_VALUE"""),"")</f>
        <v/>
      </c>
      <c r="V86" s="233" t="str">
        <f>IFERROR(__xludf.DUMMYFUNCTION("""COMPUTED_VALUE"""),"")</f>
        <v/>
      </c>
      <c r="W86" s="231" t="str">
        <f>IFERROR(__xludf.DUMMYFUNCTION("""COMPUTED_VALUE"""),"")</f>
        <v/>
      </c>
      <c r="X86" s="232" t="str">
        <f>IFERROR(__xludf.DUMMYFUNCTION("""COMPUTED_VALUE"""),"")</f>
        <v/>
      </c>
      <c r="Y86" s="233" t="str">
        <f>IFERROR(__xludf.DUMMYFUNCTION("""COMPUTED_VALUE"""),"")</f>
        <v/>
      </c>
      <c r="Z86" s="231" t="str">
        <f>IFERROR(__xludf.DUMMYFUNCTION("""COMPUTED_VALUE"""),"")</f>
        <v/>
      </c>
      <c r="AA86" s="232">
        <f>IFERROR(__xludf.DUMMYFUNCTION("""COMPUTED_VALUE"""),21.4)</f>
        <v>21.4</v>
      </c>
      <c r="AB86" s="233" t="str">
        <f>IFERROR(__xludf.DUMMYFUNCTION("""COMPUTED_VALUE"""),"")</f>
        <v/>
      </c>
      <c r="AC86" s="231" t="str">
        <f>IFERROR(__xludf.DUMMYFUNCTION("""COMPUTED_VALUE"""),"")</f>
        <v/>
      </c>
      <c r="AD86" s="232" t="str">
        <f>IFERROR(__xludf.DUMMYFUNCTION("""COMPUTED_VALUE"""),"")</f>
        <v/>
      </c>
      <c r="AE86" s="233" t="str">
        <f>IFERROR(__xludf.DUMMYFUNCTION("""COMPUTED_VALUE"""),"")</f>
        <v/>
      </c>
      <c r="AF86" s="231" t="str">
        <f>IFERROR(__xludf.DUMMYFUNCTION("""COMPUTED_VALUE"""),"")</f>
        <v/>
      </c>
      <c r="AG86" s="232" t="str">
        <f>IFERROR(__xludf.DUMMYFUNCTION("""COMPUTED_VALUE"""),"")</f>
        <v/>
      </c>
      <c r="AH86" s="233" t="str">
        <f>IFERROR(__xludf.DUMMYFUNCTION("""COMPUTED_VALUE"""),"")</f>
        <v/>
      </c>
      <c r="AI86" s="231" t="str">
        <f>IFERROR(__xludf.DUMMYFUNCTION("""COMPUTED_VALUE"""),"")</f>
        <v/>
      </c>
      <c r="AJ86" s="232" t="str">
        <f>IFERROR(__xludf.DUMMYFUNCTION("""COMPUTED_VALUE"""),"")</f>
        <v/>
      </c>
      <c r="AK86" s="233" t="str">
        <f>IFERROR(__xludf.DUMMYFUNCTION("""COMPUTED_VALUE"""),"")</f>
        <v/>
      </c>
      <c r="AL86" s="231" t="str">
        <f>IFERROR(__xludf.DUMMYFUNCTION("""COMPUTED_VALUE"""),"")</f>
        <v/>
      </c>
      <c r="AM86" s="232" t="str">
        <f>IFERROR(__xludf.DUMMYFUNCTION("""COMPUTED_VALUE"""),"")</f>
        <v/>
      </c>
      <c r="AN86" s="233" t="str">
        <f>IFERROR(__xludf.DUMMYFUNCTION("""COMPUTED_VALUE"""),"")</f>
        <v/>
      </c>
      <c r="AO86" s="231" t="str">
        <f>IFERROR(__xludf.DUMMYFUNCTION("""COMPUTED_VALUE"""),"")</f>
        <v/>
      </c>
      <c r="AP86" s="232" t="str">
        <f>IFERROR(__xludf.DUMMYFUNCTION("""COMPUTED_VALUE"""),"")</f>
        <v/>
      </c>
      <c r="AQ86" s="233" t="str">
        <f>IFERROR(__xludf.DUMMYFUNCTION("""COMPUTED_VALUE"""),"")</f>
        <v/>
      </c>
      <c r="AR86" s="231" t="str">
        <f>IFERROR(__xludf.DUMMYFUNCTION("""COMPUTED_VALUE"""),"")</f>
        <v/>
      </c>
      <c r="AS86" s="232" t="str">
        <f>IFERROR(__xludf.DUMMYFUNCTION("""COMPUTED_VALUE"""),"")</f>
        <v/>
      </c>
      <c r="AT86" s="233" t="str">
        <f>IFERROR(__xludf.DUMMYFUNCTION("""COMPUTED_VALUE"""),"")</f>
        <v/>
      </c>
      <c r="AU86" s="231" t="str">
        <f>IFERROR(__xludf.DUMMYFUNCTION("""COMPUTED_VALUE"""),"")</f>
        <v/>
      </c>
      <c r="AV86" s="232" t="str">
        <f>IFERROR(__xludf.DUMMYFUNCTION("""COMPUTED_VALUE"""),"")</f>
        <v/>
      </c>
      <c r="AW86" s="233" t="str">
        <f>IFERROR(__xludf.DUMMYFUNCTION("""COMPUTED_VALUE"""),"")</f>
        <v/>
      </c>
      <c r="AX86" s="231" t="str">
        <f>IFERROR(__xludf.DUMMYFUNCTION("""COMPUTED_VALUE"""),"")</f>
        <v/>
      </c>
      <c r="AY86" s="232" t="str">
        <f>IFERROR(__xludf.DUMMYFUNCTION("""COMPUTED_VALUE"""),"")</f>
        <v/>
      </c>
      <c r="AZ86" s="233" t="str">
        <f>IFERROR(__xludf.DUMMYFUNCTION("""COMPUTED_VALUE"""),"")</f>
        <v/>
      </c>
      <c r="BA86" s="231" t="str">
        <f>IFERROR(__xludf.DUMMYFUNCTION("""COMPUTED_VALUE"""),"")</f>
        <v/>
      </c>
      <c r="BB86" s="232" t="str">
        <f>IFERROR(__xludf.DUMMYFUNCTION("""COMPUTED_VALUE"""),"")</f>
        <v/>
      </c>
      <c r="BC86" s="233" t="str">
        <f>IFERROR(__xludf.DUMMYFUNCTION("""COMPUTED_VALUE"""),"")</f>
        <v/>
      </c>
      <c r="BD86" s="231" t="str">
        <f>IFERROR(__xludf.DUMMYFUNCTION("""COMPUTED_VALUE"""),"")</f>
        <v/>
      </c>
      <c r="BE86" s="232" t="str">
        <f>IFERROR(__xludf.DUMMYFUNCTION("""COMPUTED_VALUE"""),"")</f>
        <v/>
      </c>
      <c r="BF86" s="233" t="str">
        <f>IFERROR(__xludf.DUMMYFUNCTION("""COMPUTED_VALUE"""),"")</f>
        <v/>
      </c>
      <c r="BG86" s="231" t="str">
        <f>IFERROR(__xludf.DUMMYFUNCTION("""COMPUTED_VALUE"""),"")</f>
        <v/>
      </c>
      <c r="BH86" s="232" t="str">
        <f>IFERROR(__xludf.DUMMYFUNCTION("""COMPUTED_VALUE"""),"")</f>
        <v/>
      </c>
      <c r="BI86" s="233" t="str">
        <f>IFERROR(__xludf.DUMMYFUNCTION("""COMPUTED_VALUE"""),"")</f>
        <v/>
      </c>
      <c r="BJ86" s="231" t="str">
        <f>IFERROR(__xludf.DUMMYFUNCTION("""COMPUTED_VALUE"""),"")</f>
        <v/>
      </c>
      <c r="BK86" s="232" t="str">
        <f>IFERROR(__xludf.DUMMYFUNCTION("""COMPUTED_VALUE"""),"")</f>
        <v/>
      </c>
      <c r="BL86" s="233" t="str">
        <f>IFERROR(__xludf.DUMMYFUNCTION("""COMPUTED_VALUE"""),"")</f>
        <v/>
      </c>
      <c r="BM86" s="231" t="str">
        <f>IFERROR(__xludf.DUMMYFUNCTION("""COMPUTED_VALUE"""),"")</f>
        <v/>
      </c>
      <c r="BN86" s="232" t="str">
        <f>IFERROR(__xludf.DUMMYFUNCTION("""COMPUTED_VALUE"""),"")</f>
        <v/>
      </c>
      <c r="BO86" s="233" t="str">
        <f>IFERROR(__xludf.DUMMYFUNCTION("""COMPUTED_VALUE"""),"")</f>
        <v/>
      </c>
      <c r="BP86" s="231" t="str">
        <f>IFERROR(__xludf.DUMMYFUNCTION("""COMPUTED_VALUE"""),"")</f>
        <v/>
      </c>
      <c r="BQ86" s="232" t="str">
        <f>IFERROR(__xludf.DUMMYFUNCTION("""COMPUTED_VALUE"""),"")</f>
        <v/>
      </c>
      <c r="BR86" s="233" t="str">
        <f>IFERROR(__xludf.DUMMYFUNCTION("""COMPUTED_VALUE"""),"")</f>
        <v/>
      </c>
      <c r="BS86" s="231" t="str">
        <f>IFERROR(__xludf.DUMMYFUNCTION("""COMPUTED_VALUE"""),"")</f>
        <v/>
      </c>
      <c r="BT86" s="232" t="str">
        <f>IFERROR(__xludf.DUMMYFUNCTION("""COMPUTED_VALUE"""),"")</f>
        <v/>
      </c>
      <c r="BU86" s="233" t="str">
        <f>IFERROR(__xludf.DUMMYFUNCTION("""COMPUTED_VALUE"""),"")</f>
        <v/>
      </c>
      <c r="BV86" s="231">
        <f>IFERROR(__xludf.DUMMYFUNCTION("""COMPUTED_VALUE"""),50.0)</f>
        <v>50</v>
      </c>
      <c r="BW86" s="232" t="str">
        <f>IFERROR(__xludf.DUMMYFUNCTION("""COMPUTED_VALUE"""),"")</f>
        <v/>
      </c>
      <c r="BX86" s="233" t="str">
        <f>IFERROR(__xludf.DUMMYFUNCTION("""COMPUTED_VALUE"""),"")</f>
        <v/>
      </c>
      <c r="BY86" s="231" t="str">
        <f>IFERROR(__xludf.DUMMYFUNCTION("""COMPUTED_VALUE"""),"")</f>
        <v/>
      </c>
      <c r="BZ86" s="232" t="str">
        <f>IFERROR(__xludf.DUMMYFUNCTION("""COMPUTED_VALUE"""),"")</f>
        <v/>
      </c>
      <c r="CA86" s="233" t="str">
        <f>IFERROR(__xludf.DUMMYFUNCTION("""COMPUTED_VALUE"""),"")</f>
        <v/>
      </c>
      <c r="CB86" s="231" t="str">
        <f>IFERROR(__xludf.DUMMYFUNCTION("""COMPUTED_VALUE"""),"")</f>
        <v/>
      </c>
      <c r="CC86" s="232" t="str">
        <f>IFERROR(__xludf.DUMMYFUNCTION("""COMPUTED_VALUE"""),"")</f>
        <v/>
      </c>
      <c r="CD86" s="233" t="str">
        <f>IFERROR(__xludf.DUMMYFUNCTION("""COMPUTED_VALUE"""),"")</f>
        <v/>
      </c>
      <c r="CE86" s="234" t="str">
        <f>IFERROR(__xludf.DUMMYFUNCTION("""COMPUTED_VALUE"""),"")</f>
        <v/>
      </c>
      <c r="CF86" s="230" t="str">
        <f>IFERROR(__xludf.DUMMYFUNCTION("""COMPUTED_VALUE"""),"")</f>
        <v/>
      </c>
      <c r="CG86" s="235" t="str">
        <f>IFERROR(__xludf.DUMMYFUNCTION("""COMPUTED_VALUE"""),"")</f>
        <v/>
      </c>
      <c r="CH86" s="234" t="str">
        <f>IFERROR(__xludf.DUMMYFUNCTION("""COMPUTED_VALUE"""),"")</f>
        <v/>
      </c>
      <c r="CI86" s="230" t="str">
        <f>IFERROR(__xludf.DUMMYFUNCTION("""COMPUTED_VALUE"""),"")</f>
        <v/>
      </c>
      <c r="CJ86" s="235" t="str">
        <f>IFERROR(__xludf.DUMMYFUNCTION("""COMPUTED_VALUE"""),"")</f>
        <v/>
      </c>
      <c r="CK86" s="95" t="str">
        <f>IFERROR(__xludf.DUMMYFUNCTION("""COMPUTED_VALUE"""),"")</f>
        <v/>
      </c>
      <c r="CL86" s="96" t="str">
        <f>IFERROR(__xludf.DUMMYFUNCTION("""COMPUTED_VALUE"""),"")</f>
        <v/>
      </c>
      <c r="CM86" s="97" t="str">
        <f>IFERROR(__xludf.DUMMYFUNCTION("""COMPUTED_VALUE"""),"")</f>
        <v/>
      </c>
      <c r="CN86" s="95" t="str">
        <f>IFERROR(__xludf.DUMMYFUNCTION("""COMPUTED_VALUE"""),"")</f>
        <v/>
      </c>
      <c r="CO86" s="96" t="str">
        <f>IFERROR(__xludf.DUMMYFUNCTION("""COMPUTED_VALUE"""),"")</f>
        <v/>
      </c>
      <c r="CP86" s="97" t="str">
        <f>IFERROR(__xludf.DUMMYFUNCTION("""COMPUTED_VALUE"""),"")</f>
        <v/>
      </c>
      <c r="CQ86" s="95" t="str">
        <f>IFERROR(__xludf.DUMMYFUNCTION("""COMPUTED_VALUE"""),"")</f>
        <v/>
      </c>
      <c r="CR86" s="96" t="str">
        <f>IFERROR(__xludf.DUMMYFUNCTION("""COMPUTED_VALUE"""),"")</f>
        <v/>
      </c>
      <c r="CS86" s="97" t="str">
        <f>IFERROR(__xludf.DUMMYFUNCTION("""COMPUTED_VALUE"""),"#REF!")</f>
        <v>#REF!</v>
      </c>
      <c r="CT86" s="95" t="str">
        <f>IFERROR(__xludf.DUMMYFUNCTION("""COMPUTED_VALUE"""),"#REF!")</f>
        <v>#REF!</v>
      </c>
      <c r="CU86" s="96" t="str">
        <f>IFERROR(__xludf.DUMMYFUNCTION("""COMPUTED_VALUE"""),"#REF!")</f>
        <v>#REF!</v>
      </c>
      <c r="CV86" s="97" t="str">
        <f>IFERROR(__xludf.DUMMYFUNCTION("""COMPUTED_VALUE"""),"#REF!")</f>
        <v>#REF!</v>
      </c>
      <c r="CW86" s="95" t="str">
        <f>IFERROR(__xludf.DUMMYFUNCTION("""COMPUTED_VALUE"""),"#REF!")</f>
        <v>#REF!</v>
      </c>
      <c r="CX86" s="96" t="str">
        <f>IFERROR(__xludf.DUMMYFUNCTION("""COMPUTED_VALUE"""),"#REF!")</f>
        <v>#REF!</v>
      </c>
      <c r="CY86" s="97" t="str">
        <f>IFERROR(__xludf.DUMMYFUNCTION("""COMPUTED_VALUE"""),"#REF!")</f>
        <v>#REF!</v>
      </c>
      <c r="CZ86" s="95" t="str">
        <f>IFERROR(__xludf.DUMMYFUNCTION("""COMPUTED_VALUE"""),"#REF!")</f>
        <v>#REF!</v>
      </c>
      <c r="DA86" s="96" t="str">
        <f>IFERROR(__xludf.DUMMYFUNCTION("""COMPUTED_VALUE"""),"#REF!")</f>
        <v>#REF!</v>
      </c>
      <c r="DB86" s="97" t="str">
        <f>IFERROR(__xludf.DUMMYFUNCTION("""COMPUTED_VALUE"""),"#REF!")</f>
        <v>#REF!</v>
      </c>
      <c r="DC86" s="95" t="str">
        <f>IFERROR(__xludf.DUMMYFUNCTION("""COMPUTED_VALUE"""),"#REF!")</f>
        <v>#REF!</v>
      </c>
      <c r="DD86" s="96" t="str">
        <f>IFERROR(__xludf.DUMMYFUNCTION("""COMPUTED_VALUE"""),"#REF!")</f>
        <v>#REF!</v>
      </c>
      <c r="DE86" s="97" t="str">
        <f>IFERROR(__xludf.DUMMYFUNCTION("""COMPUTED_VALUE"""),"#REF!")</f>
        <v>#REF!</v>
      </c>
      <c r="DF86" s="95" t="str">
        <f>IFERROR(__xludf.DUMMYFUNCTION("""COMPUTED_VALUE"""),"#REF!")</f>
        <v>#REF!</v>
      </c>
      <c r="DG86" s="96" t="str">
        <f>IFERROR(__xludf.DUMMYFUNCTION("""COMPUTED_VALUE"""),"#REF!")</f>
        <v>#REF!</v>
      </c>
      <c r="DH86" s="97" t="str">
        <f>IFERROR(__xludf.DUMMYFUNCTION("""COMPUTED_VALUE"""),"#REF!")</f>
        <v>#REF!</v>
      </c>
      <c r="DI86" s="95" t="str">
        <f>IFERROR(__xludf.DUMMYFUNCTION("""COMPUTED_VALUE"""),"#REF!")</f>
        <v>#REF!</v>
      </c>
      <c r="DJ86" s="96" t="str">
        <f>IFERROR(__xludf.DUMMYFUNCTION("""COMPUTED_VALUE"""),"#REF!")</f>
        <v>#REF!</v>
      </c>
      <c r="DK86" s="97" t="str">
        <f>IFERROR(__xludf.DUMMYFUNCTION("""COMPUTED_VALUE"""),"#REF!")</f>
        <v>#REF!</v>
      </c>
      <c r="DL86" s="95" t="str">
        <f>IFERROR(__xludf.DUMMYFUNCTION("""COMPUTED_VALUE"""),"#REF!")</f>
        <v>#REF!</v>
      </c>
      <c r="DM86" s="96" t="str">
        <f>IFERROR(__xludf.DUMMYFUNCTION("""COMPUTED_VALUE"""),"#REF!")</f>
        <v>#REF!</v>
      </c>
      <c r="DN86" s="97" t="str">
        <f>IFERROR(__xludf.DUMMYFUNCTION("""COMPUTED_VALUE"""),"#REF!")</f>
        <v>#REF!</v>
      </c>
      <c r="DO86" s="95" t="str">
        <f>IFERROR(__xludf.DUMMYFUNCTION("""COMPUTED_VALUE"""),"#REF!")</f>
        <v>#REF!</v>
      </c>
      <c r="DP86" s="96" t="str">
        <f>IFERROR(__xludf.DUMMYFUNCTION("""COMPUTED_VALUE"""),"#REF!")</f>
        <v>#REF!</v>
      </c>
      <c r="DQ86" s="97"/>
      <c r="DR86" s="95"/>
    </row>
    <row r="87">
      <c r="B87" s="120" t="str">
        <f>IFERROR(__xludf.DUMMYFUNCTION("""COMPUTED_VALUE"""),"OKN10")</f>
        <v>OKN10</v>
      </c>
      <c r="C87" s="82">
        <f>IFERROR(__xludf.DUMMYFUNCTION("""COMPUTED_VALUE"""),74.0)</f>
        <v>74</v>
      </c>
      <c r="D87" s="88" t="str">
        <f>IFERROR(__xludf.DUMMYFUNCTION("""COMPUTED_VALUE"""),"Archipelago (Quiet Bay)")</f>
        <v>Archipelago (Quiet Bay)</v>
      </c>
      <c r="E87" s="82" t="str">
        <f>IFERROR(__xludf.DUMMYFUNCTION("""COMPUTED_VALUE"""),"群島（静かな入り江）")</f>
        <v>群島（静かな入り江）</v>
      </c>
      <c r="F87" s="102">
        <f>IFERROR(__xludf.DUMMYFUNCTION("""COMPUTED_VALUE"""),15.0)</f>
        <v>15</v>
      </c>
      <c r="G87" s="82">
        <f>IFERROR(__xludf.DUMMYFUNCTION("""COMPUTED_VALUE"""),1130.0)</f>
        <v>1130</v>
      </c>
      <c r="H87" s="231" t="str">
        <f>IFERROR(__xludf.DUMMYFUNCTION("""COMPUTED_VALUE"""),"")</f>
        <v/>
      </c>
      <c r="I87" s="232" t="str">
        <f>IFERROR(__xludf.DUMMYFUNCTION("""COMPUTED_VALUE"""),"")</f>
        <v/>
      </c>
      <c r="J87" s="233" t="str">
        <f>IFERROR(__xludf.DUMMYFUNCTION("""COMPUTED_VALUE"""),"")</f>
        <v/>
      </c>
      <c r="K87" s="231" t="str">
        <f>IFERROR(__xludf.DUMMYFUNCTION("""COMPUTED_VALUE"""),"")</f>
        <v/>
      </c>
      <c r="L87" s="232" t="str">
        <f>IFERROR(__xludf.DUMMYFUNCTION("""COMPUTED_VALUE"""),"")</f>
        <v/>
      </c>
      <c r="M87" s="233" t="str">
        <f>IFERROR(__xludf.DUMMYFUNCTION("""COMPUTED_VALUE"""),"")</f>
        <v/>
      </c>
      <c r="N87" s="231" t="str">
        <f>IFERROR(__xludf.DUMMYFUNCTION("""COMPUTED_VALUE"""),"")</f>
        <v/>
      </c>
      <c r="O87" s="232" t="str">
        <f>IFERROR(__xludf.DUMMYFUNCTION("""COMPUTED_VALUE"""),"")</f>
        <v/>
      </c>
      <c r="P87" s="233" t="str">
        <f>IFERROR(__xludf.DUMMYFUNCTION("""COMPUTED_VALUE"""),"")</f>
        <v/>
      </c>
      <c r="Q87" s="231" t="str">
        <f>IFERROR(__xludf.DUMMYFUNCTION("""COMPUTED_VALUE"""),"")</f>
        <v/>
      </c>
      <c r="R87" s="232" t="str">
        <f>IFERROR(__xludf.DUMMYFUNCTION("""COMPUTED_VALUE"""),"")</f>
        <v/>
      </c>
      <c r="S87" s="233" t="str">
        <f>IFERROR(__xludf.DUMMYFUNCTION("""COMPUTED_VALUE"""),"")</f>
        <v/>
      </c>
      <c r="T87" s="231" t="str">
        <f>IFERROR(__xludf.DUMMYFUNCTION("""COMPUTED_VALUE"""),"")</f>
        <v/>
      </c>
      <c r="U87" s="232" t="str">
        <f>IFERROR(__xludf.DUMMYFUNCTION("""COMPUTED_VALUE"""),"")</f>
        <v/>
      </c>
      <c r="V87" s="233" t="str">
        <f>IFERROR(__xludf.DUMMYFUNCTION("""COMPUTED_VALUE"""),"")</f>
        <v/>
      </c>
      <c r="W87" s="231" t="str">
        <f>IFERROR(__xludf.DUMMYFUNCTION("""COMPUTED_VALUE"""),"")</f>
        <v/>
      </c>
      <c r="X87" s="232" t="str">
        <f>IFERROR(__xludf.DUMMYFUNCTION("""COMPUTED_VALUE"""),"")</f>
        <v/>
      </c>
      <c r="Y87" s="233" t="str">
        <f>IFERROR(__xludf.DUMMYFUNCTION("""COMPUTED_VALUE"""),"")</f>
        <v/>
      </c>
      <c r="Z87" s="231" t="str">
        <f>IFERROR(__xludf.DUMMYFUNCTION("""COMPUTED_VALUE"""),"")</f>
        <v/>
      </c>
      <c r="AA87" s="232" t="str">
        <f>IFERROR(__xludf.DUMMYFUNCTION("""COMPUTED_VALUE"""),"")</f>
        <v/>
      </c>
      <c r="AB87" s="233" t="str">
        <f>IFERROR(__xludf.DUMMYFUNCTION("""COMPUTED_VALUE"""),"")</f>
        <v/>
      </c>
      <c r="AC87" s="231" t="str">
        <f>IFERROR(__xludf.DUMMYFUNCTION("""COMPUTED_VALUE"""),"")</f>
        <v/>
      </c>
      <c r="AD87" s="232" t="str">
        <f>IFERROR(__xludf.DUMMYFUNCTION("""COMPUTED_VALUE"""),"")</f>
        <v/>
      </c>
      <c r="AE87" s="233" t="str">
        <f>IFERROR(__xludf.DUMMYFUNCTION("""COMPUTED_VALUE"""),"")</f>
        <v/>
      </c>
      <c r="AF87" s="231" t="str">
        <f>IFERROR(__xludf.DUMMYFUNCTION("""COMPUTED_VALUE"""),"")</f>
        <v/>
      </c>
      <c r="AG87" s="232" t="str">
        <f>IFERROR(__xludf.DUMMYFUNCTION("""COMPUTED_VALUE"""),"")</f>
        <v/>
      </c>
      <c r="AH87" s="233" t="str">
        <f>IFERROR(__xludf.DUMMYFUNCTION("""COMPUTED_VALUE"""),"")</f>
        <v/>
      </c>
      <c r="AI87" s="231" t="str">
        <f>IFERROR(__xludf.DUMMYFUNCTION("""COMPUTED_VALUE"""),"")</f>
        <v/>
      </c>
      <c r="AJ87" s="232" t="str">
        <f>IFERROR(__xludf.DUMMYFUNCTION("""COMPUTED_VALUE"""),"")</f>
        <v/>
      </c>
      <c r="AK87" s="233" t="str">
        <f>IFERROR(__xludf.DUMMYFUNCTION("""COMPUTED_VALUE"""),"")</f>
        <v/>
      </c>
      <c r="AL87" s="231" t="str">
        <f>IFERROR(__xludf.DUMMYFUNCTION("""COMPUTED_VALUE"""),"")</f>
        <v/>
      </c>
      <c r="AM87" s="232" t="str">
        <f>IFERROR(__xludf.DUMMYFUNCTION("""COMPUTED_VALUE"""),"")</f>
        <v/>
      </c>
      <c r="AN87" s="233" t="str">
        <f>IFERROR(__xludf.DUMMYFUNCTION("""COMPUTED_VALUE"""),"")</f>
        <v/>
      </c>
      <c r="AO87" s="231" t="str">
        <f>IFERROR(__xludf.DUMMYFUNCTION("""COMPUTED_VALUE"""),"")</f>
        <v/>
      </c>
      <c r="AP87" s="232" t="str">
        <f>IFERROR(__xludf.DUMMYFUNCTION("""COMPUTED_VALUE"""),"")</f>
        <v/>
      </c>
      <c r="AQ87" s="233" t="str">
        <f>IFERROR(__xludf.DUMMYFUNCTION("""COMPUTED_VALUE"""),"")</f>
        <v/>
      </c>
      <c r="AR87" s="231" t="str">
        <f>IFERROR(__xludf.DUMMYFUNCTION("""COMPUTED_VALUE"""),"")</f>
        <v/>
      </c>
      <c r="AS87" s="232" t="str">
        <f>IFERROR(__xludf.DUMMYFUNCTION("""COMPUTED_VALUE"""),"")</f>
        <v/>
      </c>
      <c r="AT87" s="233">
        <f>IFERROR(__xludf.DUMMYFUNCTION("""COMPUTED_VALUE"""),18.6)</f>
        <v>18.6</v>
      </c>
      <c r="AU87" s="231" t="str">
        <f>IFERROR(__xludf.DUMMYFUNCTION("""COMPUTED_VALUE"""),"")</f>
        <v/>
      </c>
      <c r="AV87" s="232">
        <f>IFERROR(__xludf.DUMMYFUNCTION("""COMPUTED_VALUE"""),12.2)</f>
        <v>12.2</v>
      </c>
      <c r="AW87" s="233">
        <f>IFERROR(__xludf.DUMMYFUNCTION("""COMPUTED_VALUE"""),25.0)</f>
        <v>25</v>
      </c>
      <c r="AX87" s="231" t="str">
        <f>IFERROR(__xludf.DUMMYFUNCTION("""COMPUTED_VALUE"""),"")</f>
        <v/>
      </c>
      <c r="AY87" s="232" t="str">
        <f>IFERROR(__xludf.DUMMYFUNCTION("""COMPUTED_VALUE"""),"")</f>
        <v/>
      </c>
      <c r="AZ87" s="233" t="str">
        <f>IFERROR(__xludf.DUMMYFUNCTION("""COMPUTED_VALUE"""),"")</f>
        <v/>
      </c>
      <c r="BA87" s="231" t="str">
        <f>IFERROR(__xludf.DUMMYFUNCTION("""COMPUTED_VALUE"""),"")</f>
        <v/>
      </c>
      <c r="BB87" s="232" t="str">
        <f>IFERROR(__xludf.DUMMYFUNCTION("""COMPUTED_VALUE"""),"")</f>
        <v/>
      </c>
      <c r="BC87" s="233" t="str">
        <f>IFERROR(__xludf.DUMMYFUNCTION("""COMPUTED_VALUE"""),"")</f>
        <v/>
      </c>
      <c r="BD87" s="231" t="str">
        <f>IFERROR(__xludf.DUMMYFUNCTION("""COMPUTED_VALUE"""),"")</f>
        <v/>
      </c>
      <c r="BE87" s="232" t="str">
        <f>IFERROR(__xludf.DUMMYFUNCTION("""COMPUTED_VALUE"""),"")</f>
        <v/>
      </c>
      <c r="BF87" s="233" t="str">
        <f>IFERROR(__xludf.DUMMYFUNCTION("""COMPUTED_VALUE"""),"")</f>
        <v/>
      </c>
      <c r="BG87" s="231" t="str">
        <f>IFERROR(__xludf.DUMMYFUNCTION("""COMPUTED_VALUE"""),"")</f>
        <v/>
      </c>
      <c r="BH87" s="232" t="str">
        <f>IFERROR(__xludf.DUMMYFUNCTION("""COMPUTED_VALUE"""),"")</f>
        <v/>
      </c>
      <c r="BI87" s="233" t="str">
        <f>IFERROR(__xludf.DUMMYFUNCTION("""COMPUTED_VALUE"""),"")</f>
        <v/>
      </c>
      <c r="BJ87" s="231" t="str">
        <f>IFERROR(__xludf.DUMMYFUNCTION("""COMPUTED_VALUE"""),"")</f>
        <v/>
      </c>
      <c r="BK87" s="232" t="str">
        <f>IFERROR(__xludf.DUMMYFUNCTION("""COMPUTED_VALUE"""),"")</f>
        <v/>
      </c>
      <c r="BL87" s="233" t="str">
        <f>IFERROR(__xludf.DUMMYFUNCTION("""COMPUTED_VALUE"""),"")</f>
        <v/>
      </c>
      <c r="BM87" s="231" t="str">
        <f>IFERROR(__xludf.DUMMYFUNCTION("""COMPUTED_VALUE"""),"")</f>
        <v/>
      </c>
      <c r="BN87" s="232" t="str">
        <f>IFERROR(__xludf.DUMMYFUNCTION("""COMPUTED_VALUE"""),"")</f>
        <v/>
      </c>
      <c r="BO87" s="233" t="str">
        <f>IFERROR(__xludf.DUMMYFUNCTION("""COMPUTED_VALUE"""),"")</f>
        <v/>
      </c>
      <c r="BP87" s="231" t="str">
        <f>IFERROR(__xludf.DUMMYFUNCTION("""COMPUTED_VALUE"""),"")</f>
        <v/>
      </c>
      <c r="BQ87" s="232">
        <f>IFERROR(__xludf.DUMMYFUNCTION("""COMPUTED_VALUE"""),31.3)</f>
        <v>31.3</v>
      </c>
      <c r="BR87" s="233" t="str">
        <f>IFERROR(__xludf.DUMMYFUNCTION("""COMPUTED_VALUE"""),"")</f>
        <v/>
      </c>
      <c r="BS87" s="231" t="str">
        <f>IFERROR(__xludf.DUMMYFUNCTION("""COMPUTED_VALUE"""),"")</f>
        <v/>
      </c>
      <c r="BT87" s="232" t="str">
        <f>IFERROR(__xludf.DUMMYFUNCTION("""COMPUTED_VALUE"""),"")</f>
        <v/>
      </c>
      <c r="BU87" s="233" t="str">
        <f>IFERROR(__xludf.DUMMYFUNCTION("""COMPUTED_VALUE"""),"")</f>
        <v/>
      </c>
      <c r="BV87" s="231" t="str">
        <f>IFERROR(__xludf.DUMMYFUNCTION("""COMPUTED_VALUE"""),"")</f>
        <v/>
      </c>
      <c r="BW87" s="232" t="str">
        <f>IFERROR(__xludf.DUMMYFUNCTION("""COMPUTED_VALUE"""),"")</f>
        <v/>
      </c>
      <c r="BX87" s="233" t="str">
        <f>IFERROR(__xludf.DUMMYFUNCTION("""COMPUTED_VALUE"""),"")</f>
        <v/>
      </c>
      <c r="BY87" s="231" t="str">
        <f>IFERROR(__xludf.DUMMYFUNCTION("""COMPUTED_VALUE"""),"")</f>
        <v/>
      </c>
      <c r="BZ87" s="232" t="str">
        <f>IFERROR(__xludf.DUMMYFUNCTION("""COMPUTED_VALUE"""),"")</f>
        <v/>
      </c>
      <c r="CA87" s="233" t="str">
        <f>IFERROR(__xludf.DUMMYFUNCTION("""COMPUTED_VALUE"""),"")</f>
        <v/>
      </c>
      <c r="CB87" s="231">
        <f>IFERROR(__xludf.DUMMYFUNCTION("""COMPUTED_VALUE"""),3.0)</f>
        <v>3</v>
      </c>
      <c r="CC87" s="232" t="str">
        <f>IFERROR(__xludf.DUMMYFUNCTION("""COMPUTED_VALUE"""),"")</f>
        <v/>
      </c>
      <c r="CD87" s="233">
        <f>IFERROR(__xludf.DUMMYFUNCTION("""COMPUTED_VALUE"""),2.2)</f>
        <v>2.2</v>
      </c>
      <c r="CE87" s="234" t="str">
        <f>IFERROR(__xludf.DUMMYFUNCTION("""COMPUTED_VALUE"""),"")</f>
        <v/>
      </c>
      <c r="CF87" s="230" t="str">
        <f>IFERROR(__xludf.DUMMYFUNCTION("""COMPUTED_VALUE"""),"")</f>
        <v/>
      </c>
      <c r="CG87" s="235" t="str">
        <f>IFERROR(__xludf.DUMMYFUNCTION("""COMPUTED_VALUE"""),"")</f>
        <v/>
      </c>
      <c r="CH87" s="234" t="str">
        <f>IFERROR(__xludf.DUMMYFUNCTION("""COMPUTED_VALUE"""),"")</f>
        <v/>
      </c>
      <c r="CI87" s="230">
        <f>IFERROR(__xludf.DUMMYFUNCTION("""COMPUTED_VALUE"""),9.4)</f>
        <v>9.4</v>
      </c>
      <c r="CJ87" s="235" t="str">
        <f>IFERROR(__xludf.DUMMYFUNCTION("""COMPUTED_VALUE"""),"")</f>
        <v/>
      </c>
      <c r="CK87" s="95">
        <f>IFERROR(__xludf.DUMMYFUNCTION("""COMPUTED_VALUE"""),9.9)</f>
        <v>9.9</v>
      </c>
      <c r="CL87" s="96" t="str">
        <f>IFERROR(__xludf.DUMMYFUNCTION("""COMPUTED_VALUE"""),"")</f>
        <v/>
      </c>
      <c r="CM87" s="97" t="str">
        <f>IFERROR(__xludf.DUMMYFUNCTION("""COMPUTED_VALUE"""),"")</f>
        <v/>
      </c>
      <c r="CN87" s="95" t="str">
        <f>IFERROR(__xludf.DUMMYFUNCTION("""COMPUTED_VALUE"""),"")</f>
        <v/>
      </c>
      <c r="CO87" s="96" t="str">
        <f>IFERROR(__xludf.DUMMYFUNCTION("""COMPUTED_VALUE"""),"")</f>
        <v/>
      </c>
      <c r="CP87" s="97" t="str">
        <f>IFERROR(__xludf.DUMMYFUNCTION("""COMPUTED_VALUE"""),"")</f>
        <v/>
      </c>
      <c r="CQ87" s="95" t="str">
        <f>IFERROR(__xludf.DUMMYFUNCTION("""COMPUTED_VALUE"""),"")</f>
        <v/>
      </c>
      <c r="CR87" s="96" t="str">
        <f>IFERROR(__xludf.DUMMYFUNCTION("""COMPUTED_VALUE"""),"")</f>
        <v/>
      </c>
      <c r="CS87" s="97" t="str">
        <f>IFERROR(__xludf.DUMMYFUNCTION("""COMPUTED_VALUE"""),"#REF!")</f>
        <v>#REF!</v>
      </c>
      <c r="CT87" s="95" t="str">
        <f>IFERROR(__xludf.DUMMYFUNCTION("""COMPUTED_VALUE"""),"#REF!")</f>
        <v>#REF!</v>
      </c>
      <c r="CU87" s="96" t="str">
        <f>IFERROR(__xludf.DUMMYFUNCTION("""COMPUTED_VALUE"""),"#REF!")</f>
        <v>#REF!</v>
      </c>
      <c r="CV87" s="97" t="str">
        <f>IFERROR(__xludf.DUMMYFUNCTION("""COMPUTED_VALUE"""),"#REF!")</f>
        <v>#REF!</v>
      </c>
      <c r="CW87" s="95" t="str">
        <f>IFERROR(__xludf.DUMMYFUNCTION("""COMPUTED_VALUE"""),"#REF!")</f>
        <v>#REF!</v>
      </c>
      <c r="CX87" s="96" t="str">
        <f>IFERROR(__xludf.DUMMYFUNCTION("""COMPUTED_VALUE"""),"#REF!")</f>
        <v>#REF!</v>
      </c>
      <c r="CY87" s="97" t="str">
        <f>IFERROR(__xludf.DUMMYFUNCTION("""COMPUTED_VALUE"""),"#REF!")</f>
        <v>#REF!</v>
      </c>
      <c r="CZ87" s="95" t="str">
        <f>IFERROR(__xludf.DUMMYFUNCTION("""COMPUTED_VALUE"""),"#REF!")</f>
        <v>#REF!</v>
      </c>
      <c r="DA87" s="96" t="str">
        <f>IFERROR(__xludf.DUMMYFUNCTION("""COMPUTED_VALUE"""),"#REF!")</f>
        <v>#REF!</v>
      </c>
      <c r="DB87" s="97" t="str">
        <f>IFERROR(__xludf.DUMMYFUNCTION("""COMPUTED_VALUE"""),"#REF!")</f>
        <v>#REF!</v>
      </c>
      <c r="DC87" s="95" t="str">
        <f>IFERROR(__xludf.DUMMYFUNCTION("""COMPUTED_VALUE"""),"#REF!")</f>
        <v>#REF!</v>
      </c>
      <c r="DD87" s="96" t="str">
        <f>IFERROR(__xludf.DUMMYFUNCTION("""COMPUTED_VALUE"""),"#REF!")</f>
        <v>#REF!</v>
      </c>
      <c r="DE87" s="97" t="str">
        <f>IFERROR(__xludf.DUMMYFUNCTION("""COMPUTED_VALUE"""),"#REF!")</f>
        <v>#REF!</v>
      </c>
      <c r="DF87" s="95" t="str">
        <f>IFERROR(__xludf.DUMMYFUNCTION("""COMPUTED_VALUE"""),"#REF!")</f>
        <v>#REF!</v>
      </c>
      <c r="DG87" s="96" t="str">
        <f>IFERROR(__xludf.DUMMYFUNCTION("""COMPUTED_VALUE"""),"#REF!")</f>
        <v>#REF!</v>
      </c>
      <c r="DH87" s="97" t="str">
        <f>IFERROR(__xludf.DUMMYFUNCTION("""COMPUTED_VALUE"""),"#REF!")</f>
        <v>#REF!</v>
      </c>
      <c r="DI87" s="95" t="str">
        <f>IFERROR(__xludf.DUMMYFUNCTION("""COMPUTED_VALUE"""),"#REF!")</f>
        <v>#REF!</v>
      </c>
      <c r="DJ87" s="96" t="str">
        <f>IFERROR(__xludf.DUMMYFUNCTION("""COMPUTED_VALUE"""),"#REF!")</f>
        <v>#REF!</v>
      </c>
      <c r="DK87" s="97" t="str">
        <f>IFERROR(__xludf.DUMMYFUNCTION("""COMPUTED_VALUE"""),"#REF!")</f>
        <v>#REF!</v>
      </c>
      <c r="DL87" s="95" t="str">
        <f>IFERROR(__xludf.DUMMYFUNCTION("""COMPUTED_VALUE"""),"#REF!")</f>
        <v>#REF!</v>
      </c>
      <c r="DM87" s="96" t="str">
        <f>IFERROR(__xludf.DUMMYFUNCTION("""COMPUTED_VALUE"""),"#REF!")</f>
        <v>#REF!</v>
      </c>
      <c r="DN87" s="97" t="str">
        <f>IFERROR(__xludf.DUMMYFUNCTION("""COMPUTED_VALUE"""),"#REF!")</f>
        <v>#REF!</v>
      </c>
      <c r="DO87" s="95" t="str">
        <f>IFERROR(__xludf.DUMMYFUNCTION("""COMPUTED_VALUE"""),"#REF!")</f>
        <v>#REF!</v>
      </c>
      <c r="DP87" s="96" t="str">
        <f>IFERROR(__xludf.DUMMYFUNCTION("""COMPUTED_VALUE"""),"#REF!")</f>
        <v>#REF!</v>
      </c>
      <c r="DQ87" s="97"/>
      <c r="DR87" s="95"/>
    </row>
    <row r="88">
      <c r="B88" s="120" t="str">
        <f>IFERROR(__xludf.DUMMYFUNCTION("""COMPUTED_VALUE"""),"OKN11")</f>
        <v>OKN11</v>
      </c>
      <c r="C88" s="82">
        <f>IFERROR(__xludf.DUMMYFUNCTION("""COMPUTED_VALUE"""),75.0)</f>
        <v>75</v>
      </c>
      <c r="D88" s="88" t="str">
        <f>IFERROR(__xludf.DUMMYFUNCTION("""COMPUTED_VALUE"""),"Archipelago (Hidden island)")</f>
        <v>Archipelago (Hidden island)</v>
      </c>
      <c r="E88" s="82" t="str">
        <f>IFERROR(__xludf.DUMMYFUNCTION("""COMPUTED_VALUE"""),"群島（隠された島）")</f>
        <v>群島（隠された島）</v>
      </c>
      <c r="F88" s="102">
        <f>IFERROR(__xludf.DUMMYFUNCTION("""COMPUTED_VALUE"""),16.0)</f>
        <v>16</v>
      </c>
      <c r="G88" s="82">
        <f>IFERROR(__xludf.DUMMYFUNCTION("""COMPUTED_VALUE"""),1110.0)</f>
        <v>1110</v>
      </c>
      <c r="H88" s="231" t="str">
        <f>IFERROR(__xludf.DUMMYFUNCTION("""COMPUTED_VALUE"""),"")</f>
        <v/>
      </c>
      <c r="I88" s="232" t="str">
        <f>IFERROR(__xludf.DUMMYFUNCTION("""COMPUTED_VALUE"""),"")</f>
        <v/>
      </c>
      <c r="J88" s="233" t="str">
        <f>IFERROR(__xludf.DUMMYFUNCTION("""COMPUTED_VALUE"""),"")</f>
        <v/>
      </c>
      <c r="K88" s="231" t="str">
        <f>IFERROR(__xludf.DUMMYFUNCTION("""COMPUTED_VALUE"""),"")</f>
        <v/>
      </c>
      <c r="L88" s="232" t="str">
        <f>IFERROR(__xludf.DUMMYFUNCTION("""COMPUTED_VALUE"""),"")</f>
        <v/>
      </c>
      <c r="M88" s="233" t="str">
        <f>IFERROR(__xludf.DUMMYFUNCTION("""COMPUTED_VALUE"""),"")</f>
        <v/>
      </c>
      <c r="N88" s="231" t="str">
        <f>IFERROR(__xludf.DUMMYFUNCTION("""COMPUTED_VALUE"""),"")</f>
        <v/>
      </c>
      <c r="O88" s="232" t="str">
        <f>IFERROR(__xludf.DUMMYFUNCTION("""COMPUTED_VALUE"""),"")</f>
        <v/>
      </c>
      <c r="P88" s="233" t="str">
        <f>IFERROR(__xludf.DUMMYFUNCTION("""COMPUTED_VALUE"""),"")</f>
        <v/>
      </c>
      <c r="Q88" s="231" t="str">
        <f>IFERROR(__xludf.DUMMYFUNCTION("""COMPUTED_VALUE"""),"")</f>
        <v/>
      </c>
      <c r="R88" s="232" t="str">
        <f>IFERROR(__xludf.DUMMYFUNCTION("""COMPUTED_VALUE"""),"")</f>
        <v/>
      </c>
      <c r="S88" s="233" t="str">
        <f>IFERROR(__xludf.DUMMYFUNCTION("""COMPUTED_VALUE"""),"")</f>
        <v/>
      </c>
      <c r="T88" s="231" t="str">
        <f>IFERROR(__xludf.DUMMYFUNCTION("""COMPUTED_VALUE"""),"")</f>
        <v/>
      </c>
      <c r="U88" s="232" t="str">
        <f>IFERROR(__xludf.DUMMYFUNCTION("""COMPUTED_VALUE"""),"")</f>
        <v/>
      </c>
      <c r="V88" s="233" t="str">
        <f>IFERROR(__xludf.DUMMYFUNCTION("""COMPUTED_VALUE"""),"")</f>
        <v/>
      </c>
      <c r="W88" s="231" t="str">
        <f>IFERROR(__xludf.DUMMYFUNCTION("""COMPUTED_VALUE"""),"")</f>
        <v/>
      </c>
      <c r="X88" s="232" t="str">
        <f>IFERROR(__xludf.DUMMYFUNCTION("""COMPUTED_VALUE"""),"")</f>
        <v/>
      </c>
      <c r="Y88" s="233" t="str">
        <f>IFERROR(__xludf.DUMMYFUNCTION("""COMPUTED_VALUE"""),"")</f>
        <v/>
      </c>
      <c r="Z88" s="231" t="str">
        <f>IFERROR(__xludf.DUMMYFUNCTION("""COMPUTED_VALUE"""),"")</f>
        <v/>
      </c>
      <c r="AA88" s="232" t="str">
        <f>IFERROR(__xludf.DUMMYFUNCTION("""COMPUTED_VALUE"""),"")</f>
        <v/>
      </c>
      <c r="AB88" s="233" t="str">
        <f>IFERROR(__xludf.DUMMYFUNCTION("""COMPUTED_VALUE"""),"")</f>
        <v/>
      </c>
      <c r="AC88" s="231" t="str">
        <f>IFERROR(__xludf.DUMMYFUNCTION("""COMPUTED_VALUE"""),"")</f>
        <v/>
      </c>
      <c r="AD88" s="232" t="str">
        <f>IFERROR(__xludf.DUMMYFUNCTION("""COMPUTED_VALUE"""),"")</f>
        <v/>
      </c>
      <c r="AE88" s="233" t="str">
        <f>IFERROR(__xludf.DUMMYFUNCTION("""COMPUTED_VALUE"""),"")</f>
        <v/>
      </c>
      <c r="AF88" s="231" t="str">
        <f>IFERROR(__xludf.DUMMYFUNCTION("""COMPUTED_VALUE"""),"")</f>
        <v/>
      </c>
      <c r="AG88" s="232" t="str">
        <f>IFERROR(__xludf.DUMMYFUNCTION("""COMPUTED_VALUE"""),"")</f>
        <v/>
      </c>
      <c r="AH88" s="233" t="str">
        <f>IFERROR(__xludf.DUMMYFUNCTION("""COMPUTED_VALUE"""),"")</f>
        <v/>
      </c>
      <c r="AI88" s="231" t="str">
        <f>IFERROR(__xludf.DUMMYFUNCTION("""COMPUTED_VALUE"""),"")</f>
        <v/>
      </c>
      <c r="AJ88" s="232">
        <f>IFERROR(__xludf.DUMMYFUNCTION("""COMPUTED_VALUE"""),26.5)</f>
        <v>26.5</v>
      </c>
      <c r="AK88" s="233" t="str">
        <f>IFERROR(__xludf.DUMMYFUNCTION("""COMPUTED_VALUE"""),"")</f>
        <v/>
      </c>
      <c r="AL88" s="231" t="str">
        <f>IFERROR(__xludf.DUMMYFUNCTION("""COMPUTED_VALUE"""),"")</f>
        <v/>
      </c>
      <c r="AM88" s="232" t="str">
        <f>IFERROR(__xludf.DUMMYFUNCTION("""COMPUTED_VALUE"""),"")</f>
        <v/>
      </c>
      <c r="AN88" s="233" t="str">
        <f>IFERROR(__xludf.DUMMYFUNCTION("""COMPUTED_VALUE"""),"")</f>
        <v/>
      </c>
      <c r="AO88" s="231" t="str">
        <f>IFERROR(__xludf.DUMMYFUNCTION("""COMPUTED_VALUE"""),"")</f>
        <v/>
      </c>
      <c r="AP88" s="232" t="str">
        <f>IFERROR(__xludf.DUMMYFUNCTION("""COMPUTED_VALUE"""),"")</f>
        <v/>
      </c>
      <c r="AQ88" s="233" t="str">
        <f>IFERROR(__xludf.DUMMYFUNCTION("""COMPUTED_VALUE"""),"")</f>
        <v/>
      </c>
      <c r="AR88" s="231" t="str">
        <f>IFERROR(__xludf.DUMMYFUNCTION("""COMPUTED_VALUE"""),"")</f>
        <v/>
      </c>
      <c r="AS88" s="232" t="str">
        <f>IFERROR(__xludf.DUMMYFUNCTION("""COMPUTED_VALUE"""),"")</f>
        <v/>
      </c>
      <c r="AT88" s="233" t="str">
        <f>IFERROR(__xludf.DUMMYFUNCTION("""COMPUTED_VALUE"""),"")</f>
        <v/>
      </c>
      <c r="AU88" s="231" t="str">
        <f>IFERROR(__xludf.DUMMYFUNCTION("""COMPUTED_VALUE"""),"")</f>
        <v/>
      </c>
      <c r="AV88" s="232" t="str">
        <f>IFERROR(__xludf.DUMMYFUNCTION("""COMPUTED_VALUE"""),"")</f>
        <v/>
      </c>
      <c r="AW88" s="233" t="str">
        <f>IFERROR(__xludf.DUMMYFUNCTION("""COMPUTED_VALUE"""),"")</f>
        <v/>
      </c>
      <c r="AX88" s="231" t="str">
        <f>IFERROR(__xludf.DUMMYFUNCTION("""COMPUTED_VALUE"""),"")</f>
        <v/>
      </c>
      <c r="AY88" s="232" t="str">
        <f>IFERROR(__xludf.DUMMYFUNCTION("""COMPUTED_VALUE"""),"")</f>
        <v/>
      </c>
      <c r="AZ88" s="233" t="str">
        <f>IFERROR(__xludf.DUMMYFUNCTION("""COMPUTED_VALUE"""),"")</f>
        <v/>
      </c>
      <c r="BA88" s="231" t="str">
        <f>IFERROR(__xludf.DUMMYFUNCTION("""COMPUTED_VALUE"""),"")</f>
        <v/>
      </c>
      <c r="BB88" s="232" t="str">
        <f>IFERROR(__xludf.DUMMYFUNCTION("""COMPUTED_VALUE"""),"")</f>
        <v/>
      </c>
      <c r="BC88" s="233" t="str">
        <f>IFERROR(__xludf.DUMMYFUNCTION("""COMPUTED_VALUE"""),"")</f>
        <v/>
      </c>
      <c r="BD88" s="231" t="str">
        <f>IFERROR(__xludf.DUMMYFUNCTION("""COMPUTED_VALUE"""),"")</f>
        <v/>
      </c>
      <c r="BE88" s="232" t="str">
        <f>IFERROR(__xludf.DUMMYFUNCTION("""COMPUTED_VALUE"""),"")</f>
        <v/>
      </c>
      <c r="BF88" s="233" t="str">
        <f>IFERROR(__xludf.DUMMYFUNCTION("""COMPUTED_VALUE"""),"")</f>
        <v/>
      </c>
      <c r="BG88" s="231" t="str">
        <f>IFERROR(__xludf.DUMMYFUNCTION("""COMPUTED_VALUE"""),"")</f>
        <v/>
      </c>
      <c r="BH88" s="232" t="str">
        <f>IFERROR(__xludf.DUMMYFUNCTION("""COMPUTED_VALUE"""),"")</f>
        <v/>
      </c>
      <c r="BI88" s="233" t="str">
        <f>IFERROR(__xludf.DUMMYFUNCTION("""COMPUTED_VALUE"""),"")</f>
        <v/>
      </c>
      <c r="BJ88" s="231">
        <f>IFERROR(__xludf.DUMMYFUNCTION("""COMPUTED_VALUE"""),5.3)</f>
        <v>5.3</v>
      </c>
      <c r="BK88" s="232" t="str">
        <f>IFERROR(__xludf.DUMMYFUNCTION("""COMPUTED_VALUE"""),"")</f>
        <v/>
      </c>
      <c r="BL88" s="233" t="str">
        <f>IFERROR(__xludf.DUMMYFUNCTION("""COMPUTED_VALUE"""),"")</f>
        <v/>
      </c>
      <c r="BM88" s="231" t="str">
        <f>IFERROR(__xludf.DUMMYFUNCTION("""COMPUTED_VALUE"""),"")</f>
        <v/>
      </c>
      <c r="BN88" s="232" t="str">
        <f>IFERROR(__xludf.DUMMYFUNCTION("""COMPUTED_VALUE"""),"")</f>
        <v/>
      </c>
      <c r="BO88" s="233" t="str">
        <f>IFERROR(__xludf.DUMMYFUNCTION("""COMPUTED_VALUE"""),"")</f>
        <v/>
      </c>
      <c r="BP88" s="231" t="str">
        <f>IFERROR(__xludf.DUMMYFUNCTION("""COMPUTED_VALUE"""),"")</f>
        <v/>
      </c>
      <c r="BQ88" s="232">
        <f>IFERROR(__xludf.DUMMYFUNCTION("""COMPUTED_VALUE"""),46.8)</f>
        <v>46.8</v>
      </c>
      <c r="BR88" s="233" t="str">
        <f>IFERROR(__xludf.DUMMYFUNCTION("""COMPUTED_VALUE"""),"")</f>
        <v/>
      </c>
      <c r="BS88" s="231" t="str">
        <f>IFERROR(__xludf.DUMMYFUNCTION("""COMPUTED_VALUE"""),"")</f>
        <v/>
      </c>
      <c r="BT88" s="232" t="str">
        <f>IFERROR(__xludf.DUMMYFUNCTION("""COMPUTED_VALUE"""),"")</f>
        <v/>
      </c>
      <c r="BU88" s="233" t="str">
        <f>IFERROR(__xludf.DUMMYFUNCTION("""COMPUTED_VALUE"""),"")</f>
        <v/>
      </c>
      <c r="BV88" s="231" t="str">
        <f>IFERROR(__xludf.DUMMYFUNCTION("""COMPUTED_VALUE"""),"")</f>
        <v/>
      </c>
      <c r="BW88" s="232" t="str">
        <f>IFERROR(__xludf.DUMMYFUNCTION("""COMPUTED_VALUE"""),"")</f>
        <v/>
      </c>
      <c r="BX88" s="233" t="str">
        <f>IFERROR(__xludf.DUMMYFUNCTION("""COMPUTED_VALUE"""),"")</f>
        <v/>
      </c>
      <c r="BY88" s="231" t="str">
        <f>IFERROR(__xludf.DUMMYFUNCTION("""COMPUTED_VALUE"""),"")</f>
        <v/>
      </c>
      <c r="BZ88" s="232" t="str">
        <f>IFERROR(__xludf.DUMMYFUNCTION("""COMPUTED_VALUE"""),"")</f>
        <v/>
      </c>
      <c r="CA88" s="233" t="str">
        <f>IFERROR(__xludf.DUMMYFUNCTION("""COMPUTED_VALUE"""),"")</f>
        <v/>
      </c>
      <c r="CB88" s="231" t="str">
        <f>IFERROR(__xludf.DUMMYFUNCTION("""COMPUTED_VALUE"""),"")</f>
        <v/>
      </c>
      <c r="CC88" s="232" t="str">
        <f>IFERROR(__xludf.DUMMYFUNCTION("""COMPUTED_VALUE"""),"")</f>
        <v/>
      </c>
      <c r="CD88" s="233" t="str">
        <f>IFERROR(__xludf.DUMMYFUNCTION("""COMPUTED_VALUE"""),"")</f>
        <v/>
      </c>
      <c r="CE88" s="234" t="str">
        <f>IFERROR(__xludf.DUMMYFUNCTION("""COMPUTED_VALUE"""),"")</f>
        <v/>
      </c>
      <c r="CF88" s="230" t="str">
        <f>IFERROR(__xludf.DUMMYFUNCTION("""COMPUTED_VALUE"""),"")</f>
        <v/>
      </c>
      <c r="CG88" s="235" t="str">
        <f>IFERROR(__xludf.DUMMYFUNCTION("""COMPUTED_VALUE"""),"")</f>
        <v/>
      </c>
      <c r="CH88" s="234" t="str">
        <f>IFERROR(__xludf.DUMMYFUNCTION("""COMPUTED_VALUE"""),"")</f>
        <v/>
      </c>
      <c r="CI88" s="230" t="str">
        <f>IFERROR(__xludf.DUMMYFUNCTION("""COMPUTED_VALUE"""),"")</f>
        <v/>
      </c>
      <c r="CJ88" s="235" t="str">
        <f>IFERROR(__xludf.DUMMYFUNCTION("""COMPUTED_VALUE"""),"")</f>
        <v/>
      </c>
      <c r="CK88" s="95" t="str">
        <f>IFERROR(__xludf.DUMMYFUNCTION("""COMPUTED_VALUE"""),"")</f>
        <v/>
      </c>
      <c r="CL88" s="96">
        <f>IFERROR(__xludf.DUMMYFUNCTION("""COMPUTED_VALUE"""),6.1)</f>
        <v>6.1</v>
      </c>
      <c r="CM88" s="97" t="str">
        <f>IFERROR(__xludf.DUMMYFUNCTION("""COMPUTED_VALUE"""),"")</f>
        <v/>
      </c>
      <c r="CN88" s="95" t="str">
        <f>IFERROR(__xludf.DUMMYFUNCTION("""COMPUTED_VALUE"""),"")</f>
        <v/>
      </c>
      <c r="CO88" s="96" t="str">
        <f>IFERROR(__xludf.DUMMYFUNCTION("""COMPUTED_VALUE"""),"")</f>
        <v/>
      </c>
      <c r="CP88" s="97" t="str">
        <f>IFERROR(__xludf.DUMMYFUNCTION("""COMPUTED_VALUE"""),"")</f>
        <v/>
      </c>
      <c r="CQ88" s="95" t="str">
        <f>IFERROR(__xludf.DUMMYFUNCTION("""COMPUTED_VALUE"""),"")</f>
        <v/>
      </c>
      <c r="CR88" s="96" t="str">
        <f>IFERROR(__xludf.DUMMYFUNCTION("""COMPUTED_VALUE"""),"")</f>
        <v/>
      </c>
      <c r="CS88" s="97" t="str">
        <f>IFERROR(__xludf.DUMMYFUNCTION("""COMPUTED_VALUE"""),"#REF!")</f>
        <v>#REF!</v>
      </c>
      <c r="CT88" s="95" t="str">
        <f>IFERROR(__xludf.DUMMYFUNCTION("""COMPUTED_VALUE"""),"#REF!")</f>
        <v>#REF!</v>
      </c>
      <c r="CU88" s="96" t="str">
        <f>IFERROR(__xludf.DUMMYFUNCTION("""COMPUTED_VALUE"""),"#REF!")</f>
        <v>#REF!</v>
      </c>
      <c r="CV88" s="97" t="str">
        <f>IFERROR(__xludf.DUMMYFUNCTION("""COMPUTED_VALUE"""),"#REF!")</f>
        <v>#REF!</v>
      </c>
      <c r="CW88" s="95" t="str">
        <f>IFERROR(__xludf.DUMMYFUNCTION("""COMPUTED_VALUE"""),"#REF!")</f>
        <v>#REF!</v>
      </c>
      <c r="CX88" s="96" t="str">
        <f>IFERROR(__xludf.DUMMYFUNCTION("""COMPUTED_VALUE"""),"#REF!")</f>
        <v>#REF!</v>
      </c>
      <c r="CY88" s="97" t="str">
        <f>IFERROR(__xludf.DUMMYFUNCTION("""COMPUTED_VALUE"""),"#REF!")</f>
        <v>#REF!</v>
      </c>
      <c r="CZ88" s="95" t="str">
        <f>IFERROR(__xludf.DUMMYFUNCTION("""COMPUTED_VALUE"""),"#REF!")</f>
        <v>#REF!</v>
      </c>
      <c r="DA88" s="96" t="str">
        <f>IFERROR(__xludf.DUMMYFUNCTION("""COMPUTED_VALUE"""),"#REF!")</f>
        <v>#REF!</v>
      </c>
      <c r="DB88" s="97" t="str">
        <f>IFERROR(__xludf.DUMMYFUNCTION("""COMPUTED_VALUE"""),"#REF!")</f>
        <v>#REF!</v>
      </c>
      <c r="DC88" s="95" t="str">
        <f>IFERROR(__xludf.DUMMYFUNCTION("""COMPUTED_VALUE"""),"#REF!")</f>
        <v>#REF!</v>
      </c>
      <c r="DD88" s="96" t="str">
        <f>IFERROR(__xludf.DUMMYFUNCTION("""COMPUTED_VALUE"""),"#REF!")</f>
        <v>#REF!</v>
      </c>
      <c r="DE88" s="97" t="str">
        <f>IFERROR(__xludf.DUMMYFUNCTION("""COMPUTED_VALUE"""),"#REF!")</f>
        <v>#REF!</v>
      </c>
      <c r="DF88" s="95" t="str">
        <f>IFERROR(__xludf.DUMMYFUNCTION("""COMPUTED_VALUE"""),"#REF!")</f>
        <v>#REF!</v>
      </c>
      <c r="DG88" s="96" t="str">
        <f>IFERROR(__xludf.DUMMYFUNCTION("""COMPUTED_VALUE"""),"#REF!")</f>
        <v>#REF!</v>
      </c>
      <c r="DH88" s="97" t="str">
        <f>IFERROR(__xludf.DUMMYFUNCTION("""COMPUTED_VALUE"""),"#REF!")</f>
        <v>#REF!</v>
      </c>
      <c r="DI88" s="95" t="str">
        <f>IFERROR(__xludf.DUMMYFUNCTION("""COMPUTED_VALUE"""),"#REF!")</f>
        <v>#REF!</v>
      </c>
      <c r="DJ88" s="96" t="str">
        <f>IFERROR(__xludf.DUMMYFUNCTION("""COMPUTED_VALUE"""),"#REF!")</f>
        <v>#REF!</v>
      </c>
      <c r="DK88" s="97" t="str">
        <f>IFERROR(__xludf.DUMMYFUNCTION("""COMPUTED_VALUE"""),"#REF!")</f>
        <v>#REF!</v>
      </c>
      <c r="DL88" s="95" t="str">
        <f>IFERROR(__xludf.DUMMYFUNCTION("""COMPUTED_VALUE"""),"#REF!")</f>
        <v>#REF!</v>
      </c>
      <c r="DM88" s="96" t="str">
        <f>IFERROR(__xludf.DUMMYFUNCTION("""COMPUTED_VALUE"""),"#REF!")</f>
        <v>#REF!</v>
      </c>
      <c r="DN88" s="97" t="str">
        <f>IFERROR(__xludf.DUMMYFUNCTION("""COMPUTED_VALUE"""),"#REF!")</f>
        <v>#REF!</v>
      </c>
      <c r="DO88" s="95" t="str">
        <f>IFERROR(__xludf.DUMMYFUNCTION("""COMPUTED_VALUE"""),"#REF!")</f>
        <v>#REF!</v>
      </c>
      <c r="DP88" s="96" t="str">
        <f>IFERROR(__xludf.DUMMYFUNCTION("""COMPUTED_VALUE"""),"#REF!")</f>
        <v>#REF!</v>
      </c>
      <c r="DQ88" s="97"/>
      <c r="DR88" s="95"/>
    </row>
    <row r="89">
      <c r="B89" s="120" t="str">
        <f>IFERROR(__xludf.DUMMYFUNCTION("""COMPUTED_VALUE"""),"OKN12")</f>
        <v>OKN12</v>
      </c>
      <c r="C89" s="82">
        <f>IFERROR(__xludf.DUMMYFUNCTION("""COMPUTED_VALUE"""),76.0)</f>
        <v>76</v>
      </c>
      <c r="D89" s="88" t="str">
        <f>IFERROR(__xludf.DUMMYFUNCTION("""COMPUTED_VALUE"""),"Bountiful Sea")</f>
        <v>Bountiful Sea</v>
      </c>
      <c r="E89" s="82" t="str">
        <f>IFERROR(__xludf.DUMMYFUNCTION("""COMPUTED_VALUE"""),"豊かな海")</f>
        <v>豊かな海</v>
      </c>
      <c r="F89" s="102">
        <f>IFERROR(__xludf.DUMMYFUNCTION("""COMPUTED_VALUE"""),18.0)</f>
        <v>18</v>
      </c>
      <c r="G89" s="82">
        <f>IFERROR(__xludf.DUMMYFUNCTION("""COMPUTED_VALUE"""),18199.0)</f>
        <v>18199</v>
      </c>
      <c r="H89" s="231" t="str">
        <f>IFERROR(__xludf.DUMMYFUNCTION("""COMPUTED_VALUE"""),"")</f>
        <v/>
      </c>
      <c r="I89" s="232" t="str">
        <f>IFERROR(__xludf.DUMMYFUNCTION("""COMPUTED_VALUE"""),"")</f>
        <v/>
      </c>
      <c r="J89" s="233" t="str">
        <f>IFERROR(__xludf.DUMMYFUNCTION("""COMPUTED_VALUE"""),"")</f>
        <v/>
      </c>
      <c r="K89" s="231" t="str">
        <f>IFERROR(__xludf.DUMMYFUNCTION("""COMPUTED_VALUE"""),"")</f>
        <v/>
      </c>
      <c r="L89" s="232" t="str">
        <f>IFERROR(__xludf.DUMMYFUNCTION("""COMPUTED_VALUE"""),"")</f>
        <v/>
      </c>
      <c r="M89" s="233" t="str">
        <f>IFERROR(__xludf.DUMMYFUNCTION("""COMPUTED_VALUE"""),"")</f>
        <v/>
      </c>
      <c r="N89" s="231" t="str">
        <f>IFERROR(__xludf.DUMMYFUNCTION("""COMPUTED_VALUE"""),"")</f>
        <v/>
      </c>
      <c r="O89" s="232" t="str">
        <f>IFERROR(__xludf.DUMMYFUNCTION("""COMPUTED_VALUE"""),"")</f>
        <v/>
      </c>
      <c r="P89" s="233" t="str">
        <f>IFERROR(__xludf.DUMMYFUNCTION("""COMPUTED_VALUE"""),"")</f>
        <v/>
      </c>
      <c r="Q89" s="231" t="str">
        <f>IFERROR(__xludf.DUMMYFUNCTION("""COMPUTED_VALUE"""),"")</f>
        <v/>
      </c>
      <c r="R89" s="232" t="str">
        <f>IFERROR(__xludf.DUMMYFUNCTION("""COMPUTED_VALUE"""),"")</f>
        <v/>
      </c>
      <c r="S89" s="233" t="str">
        <f>IFERROR(__xludf.DUMMYFUNCTION("""COMPUTED_VALUE"""),"")</f>
        <v/>
      </c>
      <c r="T89" s="231" t="str">
        <f>IFERROR(__xludf.DUMMYFUNCTION("""COMPUTED_VALUE"""),"")</f>
        <v/>
      </c>
      <c r="U89" s="232" t="str">
        <f>IFERROR(__xludf.DUMMYFUNCTION("""COMPUTED_VALUE"""),"")</f>
        <v/>
      </c>
      <c r="V89" s="233" t="str">
        <f>IFERROR(__xludf.DUMMYFUNCTION("""COMPUTED_VALUE"""),"")</f>
        <v/>
      </c>
      <c r="W89" s="231" t="str">
        <f>IFERROR(__xludf.DUMMYFUNCTION("""COMPUTED_VALUE"""),"")</f>
        <v/>
      </c>
      <c r="X89" s="232" t="str">
        <f>IFERROR(__xludf.DUMMYFUNCTION("""COMPUTED_VALUE"""),"")</f>
        <v/>
      </c>
      <c r="Y89" s="233" t="str">
        <f>IFERROR(__xludf.DUMMYFUNCTION("""COMPUTED_VALUE"""),"")</f>
        <v/>
      </c>
      <c r="Z89" s="231">
        <f>IFERROR(__xludf.DUMMYFUNCTION("""COMPUTED_VALUE"""),30.0)</f>
        <v>30</v>
      </c>
      <c r="AA89" s="232" t="str">
        <f>IFERROR(__xludf.DUMMYFUNCTION("""COMPUTED_VALUE"""),"")</f>
        <v/>
      </c>
      <c r="AB89" s="233" t="str">
        <f>IFERROR(__xludf.DUMMYFUNCTION("""COMPUTED_VALUE"""),"")</f>
        <v/>
      </c>
      <c r="AC89" s="231" t="str">
        <f>IFERROR(__xludf.DUMMYFUNCTION("""COMPUTED_VALUE"""),"")</f>
        <v/>
      </c>
      <c r="AD89" s="232">
        <f>IFERROR(__xludf.DUMMYFUNCTION("""COMPUTED_VALUE"""),9.4)</f>
        <v>9.4</v>
      </c>
      <c r="AE89" s="233" t="str">
        <f>IFERROR(__xludf.DUMMYFUNCTION("""COMPUTED_VALUE"""),"")</f>
        <v/>
      </c>
      <c r="AF89" s="231" t="str">
        <f>IFERROR(__xludf.DUMMYFUNCTION("""COMPUTED_VALUE"""),"")</f>
        <v/>
      </c>
      <c r="AG89" s="232" t="str">
        <f>IFERROR(__xludf.DUMMYFUNCTION("""COMPUTED_VALUE"""),"")</f>
        <v/>
      </c>
      <c r="AH89" s="233" t="str">
        <f>IFERROR(__xludf.DUMMYFUNCTION("""COMPUTED_VALUE"""),"")</f>
        <v/>
      </c>
      <c r="AI89" s="231" t="str">
        <f>IFERROR(__xludf.DUMMYFUNCTION("""COMPUTED_VALUE"""),"")</f>
        <v/>
      </c>
      <c r="AJ89" s="232" t="str">
        <f>IFERROR(__xludf.DUMMYFUNCTION("""COMPUTED_VALUE"""),"")</f>
        <v/>
      </c>
      <c r="AK89" s="233" t="str">
        <f>IFERROR(__xludf.DUMMYFUNCTION("""COMPUTED_VALUE"""),"")</f>
        <v/>
      </c>
      <c r="AL89" s="231" t="str">
        <f>IFERROR(__xludf.DUMMYFUNCTION("""COMPUTED_VALUE"""),"")</f>
        <v/>
      </c>
      <c r="AM89" s="232" t="str">
        <f>IFERROR(__xludf.DUMMYFUNCTION("""COMPUTED_VALUE"""),"")</f>
        <v/>
      </c>
      <c r="AN89" s="233" t="str">
        <f>IFERROR(__xludf.DUMMYFUNCTION("""COMPUTED_VALUE"""),"")</f>
        <v/>
      </c>
      <c r="AO89" s="231" t="str">
        <f>IFERROR(__xludf.DUMMYFUNCTION("""COMPUTED_VALUE"""),"")</f>
        <v/>
      </c>
      <c r="AP89" s="232" t="str">
        <f>IFERROR(__xludf.DUMMYFUNCTION("""COMPUTED_VALUE"""),"")</f>
        <v/>
      </c>
      <c r="AQ89" s="233" t="str">
        <f>IFERROR(__xludf.DUMMYFUNCTION("""COMPUTED_VALUE"""),"")</f>
        <v/>
      </c>
      <c r="AR89" s="231" t="str">
        <f>IFERROR(__xludf.DUMMYFUNCTION("""COMPUTED_VALUE"""),"")</f>
        <v/>
      </c>
      <c r="AS89" s="232" t="str">
        <f>IFERROR(__xludf.DUMMYFUNCTION("""COMPUTED_VALUE"""),"")</f>
        <v/>
      </c>
      <c r="AT89" s="233" t="str">
        <f>IFERROR(__xludf.DUMMYFUNCTION("""COMPUTED_VALUE"""),"")</f>
        <v/>
      </c>
      <c r="AU89" s="231" t="str">
        <f>IFERROR(__xludf.DUMMYFUNCTION("""COMPUTED_VALUE"""),"")</f>
        <v/>
      </c>
      <c r="AV89" s="232" t="str">
        <f>IFERROR(__xludf.DUMMYFUNCTION("""COMPUTED_VALUE"""),"")</f>
        <v/>
      </c>
      <c r="AW89" s="233" t="str">
        <f>IFERROR(__xludf.DUMMYFUNCTION("""COMPUTED_VALUE"""),"")</f>
        <v/>
      </c>
      <c r="AX89" s="231" t="str">
        <f>IFERROR(__xludf.DUMMYFUNCTION("""COMPUTED_VALUE"""),"")</f>
        <v/>
      </c>
      <c r="AY89" s="232" t="str">
        <f>IFERROR(__xludf.DUMMYFUNCTION("""COMPUTED_VALUE"""),"")</f>
        <v/>
      </c>
      <c r="AZ89" s="233" t="str">
        <f>IFERROR(__xludf.DUMMYFUNCTION("""COMPUTED_VALUE"""),"")</f>
        <v/>
      </c>
      <c r="BA89" s="231" t="str">
        <f>IFERROR(__xludf.DUMMYFUNCTION("""COMPUTED_VALUE"""),"")</f>
        <v/>
      </c>
      <c r="BB89" s="232" t="str">
        <f>IFERROR(__xludf.DUMMYFUNCTION("""COMPUTED_VALUE"""),"")</f>
        <v/>
      </c>
      <c r="BC89" s="233" t="str">
        <f>IFERROR(__xludf.DUMMYFUNCTION("""COMPUTED_VALUE"""),"")</f>
        <v/>
      </c>
      <c r="BD89" s="231" t="str">
        <f>IFERROR(__xludf.DUMMYFUNCTION("""COMPUTED_VALUE"""),"")</f>
        <v/>
      </c>
      <c r="BE89" s="232" t="str">
        <f>IFERROR(__xludf.DUMMYFUNCTION("""COMPUTED_VALUE"""),"")</f>
        <v/>
      </c>
      <c r="BF89" s="233" t="str">
        <f>IFERROR(__xludf.DUMMYFUNCTION("""COMPUTED_VALUE"""),"")</f>
        <v/>
      </c>
      <c r="BG89" s="231" t="str">
        <f>IFERROR(__xludf.DUMMYFUNCTION("""COMPUTED_VALUE"""),"")</f>
        <v/>
      </c>
      <c r="BH89" s="232" t="str">
        <f>IFERROR(__xludf.DUMMYFUNCTION("""COMPUTED_VALUE"""),"")</f>
        <v/>
      </c>
      <c r="BI89" s="233" t="str">
        <f>IFERROR(__xludf.DUMMYFUNCTION("""COMPUTED_VALUE"""),"")</f>
        <v/>
      </c>
      <c r="BJ89" s="231" t="str">
        <f>IFERROR(__xludf.DUMMYFUNCTION("""COMPUTED_VALUE"""),"")</f>
        <v/>
      </c>
      <c r="BK89" s="232">
        <f>IFERROR(__xludf.DUMMYFUNCTION("""COMPUTED_VALUE"""),10.0)</f>
        <v>10</v>
      </c>
      <c r="BL89" s="233">
        <f>IFERROR(__xludf.DUMMYFUNCTION("""COMPUTED_VALUE"""),5.1)</f>
        <v>5.1</v>
      </c>
      <c r="BM89" s="231" t="str">
        <f>IFERROR(__xludf.DUMMYFUNCTION("""COMPUTED_VALUE"""),"")</f>
        <v/>
      </c>
      <c r="BN89" s="232" t="str">
        <f>IFERROR(__xludf.DUMMYFUNCTION("""COMPUTED_VALUE"""),"")</f>
        <v/>
      </c>
      <c r="BO89" s="233" t="str">
        <f>IFERROR(__xludf.DUMMYFUNCTION("""COMPUTED_VALUE"""),"")</f>
        <v/>
      </c>
      <c r="BP89" s="231" t="str">
        <f>IFERROR(__xludf.DUMMYFUNCTION("""COMPUTED_VALUE"""),"")</f>
        <v/>
      </c>
      <c r="BQ89" s="232">
        <f>IFERROR(__xludf.DUMMYFUNCTION("""COMPUTED_VALUE"""),16.1)</f>
        <v>16.1</v>
      </c>
      <c r="BR89" s="233" t="str">
        <f>IFERROR(__xludf.DUMMYFUNCTION("""COMPUTED_VALUE"""),"")</f>
        <v/>
      </c>
      <c r="BS89" s="231">
        <f>IFERROR(__xludf.DUMMYFUNCTION("""COMPUTED_VALUE"""),23.2)</f>
        <v>23.2</v>
      </c>
      <c r="BT89" s="232" t="str">
        <f>IFERROR(__xludf.DUMMYFUNCTION("""COMPUTED_VALUE"""),"")</f>
        <v/>
      </c>
      <c r="BU89" s="233" t="str">
        <f>IFERROR(__xludf.DUMMYFUNCTION("""COMPUTED_VALUE"""),"")</f>
        <v/>
      </c>
      <c r="BV89" s="231" t="str">
        <f>IFERROR(__xludf.DUMMYFUNCTION("""COMPUTED_VALUE"""),"")</f>
        <v/>
      </c>
      <c r="BW89" s="232" t="str">
        <f>IFERROR(__xludf.DUMMYFUNCTION("""COMPUTED_VALUE"""),"")</f>
        <v/>
      </c>
      <c r="BX89" s="233" t="str">
        <f>IFERROR(__xludf.DUMMYFUNCTION("""COMPUTED_VALUE"""),"")</f>
        <v/>
      </c>
      <c r="BY89" s="231" t="str">
        <f>IFERROR(__xludf.DUMMYFUNCTION("""COMPUTED_VALUE"""),"")</f>
        <v/>
      </c>
      <c r="BZ89" s="232" t="str">
        <f>IFERROR(__xludf.DUMMYFUNCTION("""COMPUTED_VALUE"""),"")</f>
        <v/>
      </c>
      <c r="CA89" s="233" t="str">
        <f>IFERROR(__xludf.DUMMYFUNCTION("""COMPUTED_VALUE"""),"")</f>
        <v/>
      </c>
      <c r="CB89" s="231" t="str">
        <f>IFERROR(__xludf.DUMMYFUNCTION("""COMPUTED_VALUE"""),"")</f>
        <v/>
      </c>
      <c r="CC89" s="232" t="str">
        <f>IFERROR(__xludf.DUMMYFUNCTION("""COMPUTED_VALUE"""),"")</f>
        <v/>
      </c>
      <c r="CD89" s="233" t="str">
        <f>IFERROR(__xludf.DUMMYFUNCTION("""COMPUTED_VALUE"""),"")</f>
        <v/>
      </c>
      <c r="CE89" s="234" t="str">
        <f>IFERROR(__xludf.DUMMYFUNCTION("""COMPUTED_VALUE"""),"")</f>
        <v/>
      </c>
      <c r="CF89" s="230" t="str">
        <f>IFERROR(__xludf.DUMMYFUNCTION("""COMPUTED_VALUE"""),"")</f>
        <v/>
      </c>
      <c r="CG89" s="235" t="str">
        <f>IFERROR(__xludf.DUMMYFUNCTION("""COMPUTED_VALUE"""),"")</f>
        <v/>
      </c>
      <c r="CH89" s="234" t="str">
        <f>IFERROR(__xludf.DUMMYFUNCTION("""COMPUTED_VALUE"""),"")</f>
        <v/>
      </c>
      <c r="CI89" s="230" t="str">
        <f>IFERROR(__xludf.DUMMYFUNCTION("""COMPUTED_VALUE"""),"")</f>
        <v/>
      </c>
      <c r="CJ89" s="235" t="str">
        <f>IFERROR(__xludf.DUMMYFUNCTION("""COMPUTED_VALUE"""),"")</f>
        <v/>
      </c>
      <c r="CK89" s="95" t="str">
        <f>IFERROR(__xludf.DUMMYFUNCTION("""COMPUTED_VALUE"""),"")</f>
        <v/>
      </c>
      <c r="CL89" s="96" t="str">
        <f>IFERROR(__xludf.DUMMYFUNCTION("""COMPUTED_VALUE"""),"")</f>
        <v/>
      </c>
      <c r="CM89" s="97" t="str">
        <f>IFERROR(__xludf.DUMMYFUNCTION("""COMPUTED_VALUE"""),"")</f>
        <v/>
      </c>
      <c r="CN89" s="95" t="str">
        <f>IFERROR(__xludf.DUMMYFUNCTION("""COMPUTED_VALUE"""),"")</f>
        <v/>
      </c>
      <c r="CO89" s="96" t="str">
        <f>IFERROR(__xludf.DUMMYFUNCTION("""COMPUTED_VALUE"""),"")</f>
        <v/>
      </c>
      <c r="CP89" s="97" t="str">
        <f>IFERROR(__xludf.DUMMYFUNCTION("""COMPUTED_VALUE"""),"")</f>
        <v/>
      </c>
      <c r="CQ89" s="95" t="str">
        <f>IFERROR(__xludf.DUMMYFUNCTION("""COMPUTED_VALUE"""),"")</f>
        <v/>
      </c>
      <c r="CR89" s="96" t="str">
        <f>IFERROR(__xludf.DUMMYFUNCTION("""COMPUTED_VALUE"""),"")</f>
        <v/>
      </c>
      <c r="CS89" s="97" t="str">
        <f>IFERROR(__xludf.DUMMYFUNCTION("""COMPUTED_VALUE"""),"#REF!")</f>
        <v>#REF!</v>
      </c>
      <c r="CT89" s="95" t="str">
        <f>IFERROR(__xludf.DUMMYFUNCTION("""COMPUTED_VALUE"""),"#REF!")</f>
        <v>#REF!</v>
      </c>
      <c r="CU89" s="96" t="str">
        <f>IFERROR(__xludf.DUMMYFUNCTION("""COMPUTED_VALUE"""),"#REF!")</f>
        <v>#REF!</v>
      </c>
      <c r="CV89" s="97" t="str">
        <f>IFERROR(__xludf.DUMMYFUNCTION("""COMPUTED_VALUE"""),"#REF!")</f>
        <v>#REF!</v>
      </c>
      <c r="CW89" s="95" t="str">
        <f>IFERROR(__xludf.DUMMYFUNCTION("""COMPUTED_VALUE"""),"#REF!")</f>
        <v>#REF!</v>
      </c>
      <c r="CX89" s="96" t="str">
        <f>IFERROR(__xludf.DUMMYFUNCTION("""COMPUTED_VALUE"""),"#REF!")</f>
        <v>#REF!</v>
      </c>
      <c r="CY89" s="97" t="str">
        <f>IFERROR(__xludf.DUMMYFUNCTION("""COMPUTED_VALUE"""),"#REF!")</f>
        <v>#REF!</v>
      </c>
      <c r="CZ89" s="95" t="str">
        <f>IFERROR(__xludf.DUMMYFUNCTION("""COMPUTED_VALUE"""),"#REF!")</f>
        <v>#REF!</v>
      </c>
      <c r="DA89" s="96" t="str">
        <f>IFERROR(__xludf.DUMMYFUNCTION("""COMPUTED_VALUE"""),"#REF!")</f>
        <v>#REF!</v>
      </c>
      <c r="DB89" s="97" t="str">
        <f>IFERROR(__xludf.DUMMYFUNCTION("""COMPUTED_VALUE"""),"#REF!")</f>
        <v>#REF!</v>
      </c>
      <c r="DC89" s="95" t="str">
        <f>IFERROR(__xludf.DUMMYFUNCTION("""COMPUTED_VALUE"""),"#REF!")</f>
        <v>#REF!</v>
      </c>
      <c r="DD89" s="96" t="str">
        <f>IFERROR(__xludf.DUMMYFUNCTION("""COMPUTED_VALUE"""),"#REF!")</f>
        <v>#REF!</v>
      </c>
      <c r="DE89" s="97" t="str">
        <f>IFERROR(__xludf.DUMMYFUNCTION("""COMPUTED_VALUE"""),"#REF!")</f>
        <v>#REF!</v>
      </c>
      <c r="DF89" s="95" t="str">
        <f>IFERROR(__xludf.DUMMYFUNCTION("""COMPUTED_VALUE"""),"#REF!")</f>
        <v>#REF!</v>
      </c>
      <c r="DG89" s="96" t="str">
        <f>IFERROR(__xludf.DUMMYFUNCTION("""COMPUTED_VALUE"""),"#REF!")</f>
        <v>#REF!</v>
      </c>
      <c r="DH89" s="97" t="str">
        <f>IFERROR(__xludf.DUMMYFUNCTION("""COMPUTED_VALUE"""),"#REF!")</f>
        <v>#REF!</v>
      </c>
      <c r="DI89" s="95" t="str">
        <f>IFERROR(__xludf.DUMMYFUNCTION("""COMPUTED_VALUE"""),"#REF!")</f>
        <v>#REF!</v>
      </c>
      <c r="DJ89" s="96" t="str">
        <f>IFERROR(__xludf.DUMMYFUNCTION("""COMPUTED_VALUE"""),"#REF!")</f>
        <v>#REF!</v>
      </c>
      <c r="DK89" s="97" t="str">
        <f>IFERROR(__xludf.DUMMYFUNCTION("""COMPUTED_VALUE"""),"#REF!")</f>
        <v>#REF!</v>
      </c>
      <c r="DL89" s="95" t="str">
        <f>IFERROR(__xludf.DUMMYFUNCTION("""COMPUTED_VALUE"""),"#REF!")</f>
        <v>#REF!</v>
      </c>
      <c r="DM89" s="96" t="str">
        <f>IFERROR(__xludf.DUMMYFUNCTION("""COMPUTED_VALUE"""),"#REF!")</f>
        <v>#REF!</v>
      </c>
      <c r="DN89" s="97" t="str">
        <f>IFERROR(__xludf.DUMMYFUNCTION("""COMPUTED_VALUE"""),"#REF!")</f>
        <v>#REF!</v>
      </c>
      <c r="DO89" s="95" t="str">
        <f>IFERROR(__xludf.DUMMYFUNCTION("""COMPUTED_VALUE"""),"#REF!")</f>
        <v>#REF!</v>
      </c>
      <c r="DP89" s="96" t="str">
        <f>IFERROR(__xludf.DUMMYFUNCTION("""COMPUTED_VALUE"""),"#REF!")</f>
        <v>#REF!</v>
      </c>
      <c r="DQ89" s="97"/>
      <c r="DR89" s="95"/>
    </row>
    <row r="90">
      <c r="A90" s="130" t="str">
        <f>IFERROR(__xludf.DUMMYFUNCTION("""COMPUTED_VALUE"""),"LONDON")</f>
        <v>LONDON</v>
      </c>
      <c r="B90" s="120" t="str">
        <f>IFERROR(__xludf.DUMMYFUNCTION("""COMPUTED_VALUE"""),"LDN1")</f>
        <v>LDN1</v>
      </c>
      <c r="C90" s="82">
        <f>IFERROR(__xludf.DUMMYFUNCTION("""COMPUTED_VALUE"""),77.0)</f>
        <v>77</v>
      </c>
      <c r="D90" s="88" t="str">
        <f>IFERROR(__xludf.DUMMYFUNCTION("""COMPUTED_VALUE"""),"Old Street")</f>
        <v>Old Street</v>
      </c>
      <c r="E90" s="82" t="str">
        <f>IFERROR(__xludf.DUMMYFUNCTION("""COMPUTED_VALUE"""),"オールドストリート")</f>
        <v>オールドストリート</v>
      </c>
      <c r="F90" s="102">
        <f>IFERROR(__xludf.DUMMYFUNCTION("""COMPUTED_VALUE"""),15.0)</f>
        <v>15</v>
      </c>
      <c r="G90" s="82">
        <f>IFERROR(__xludf.DUMMYFUNCTION("""COMPUTED_VALUE"""),1100.0)</f>
        <v>1100</v>
      </c>
      <c r="H90" s="231" t="str">
        <f>IFERROR(__xludf.DUMMYFUNCTION("""COMPUTED_VALUE"""),"")</f>
        <v/>
      </c>
      <c r="I90" s="232" t="str">
        <f>IFERROR(__xludf.DUMMYFUNCTION("""COMPUTED_VALUE"""),"")</f>
        <v/>
      </c>
      <c r="J90" s="233" t="str">
        <f>IFERROR(__xludf.DUMMYFUNCTION("""COMPUTED_VALUE"""),"")</f>
        <v/>
      </c>
      <c r="K90" s="231" t="str">
        <f>IFERROR(__xludf.DUMMYFUNCTION("""COMPUTED_VALUE"""),"")</f>
        <v/>
      </c>
      <c r="L90" s="232" t="str">
        <f>IFERROR(__xludf.DUMMYFUNCTION("""COMPUTED_VALUE"""),"")</f>
        <v/>
      </c>
      <c r="M90" s="233" t="str">
        <f>IFERROR(__xludf.DUMMYFUNCTION("""COMPUTED_VALUE"""),"")</f>
        <v/>
      </c>
      <c r="N90" s="231" t="str">
        <f>IFERROR(__xludf.DUMMYFUNCTION("""COMPUTED_VALUE"""),"")</f>
        <v/>
      </c>
      <c r="O90" s="232" t="str">
        <f>IFERROR(__xludf.DUMMYFUNCTION("""COMPUTED_VALUE"""),"")</f>
        <v/>
      </c>
      <c r="P90" s="233" t="str">
        <f>IFERROR(__xludf.DUMMYFUNCTION("""COMPUTED_VALUE"""),"")</f>
        <v/>
      </c>
      <c r="Q90" s="231" t="str">
        <f>IFERROR(__xludf.DUMMYFUNCTION("""COMPUTED_VALUE"""),"")</f>
        <v/>
      </c>
      <c r="R90" s="232" t="str">
        <f>IFERROR(__xludf.DUMMYFUNCTION("""COMPUTED_VALUE"""),"")</f>
        <v/>
      </c>
      <c r="S90" s="233" t="str">
        <f>IFERROR(__xludf.DUMMYFUNCTION("""COMPUTED_VALUE"""),"")</f>
        <v/>
      </c>
      <c r="T90" s="231" t="str">
        <f>IFERROR(__xludf.DUMMYFUNCTION("""COMPUTED_VALUE"""),"")</f>
        <v/>
      </c>
      <c r="U90" s="232" t="str">
        <f>IFERROR(__xludf.DUMMYFUNCTION("""COMPUTED_VALUE"""),"")</f>
        <v/>
      </c>
      <c r="V90" s="233" t="str">
        <f>IFERROR(__xludf.DUMMYFUNCTION("""COMPUTED_VALUE"""),"")</f>
        <v/>
      </c>
      <c r="W90" s="231" t="str">
        <f>IFERROR(__xludf.DUMMYFUNCTION("""COMPUTED_VALUE"""),"")</f>
        <v/>
      </c>
      <c r="X90" s="232" t="str">
        <f>IFERROR(__xludf.DUMMYFUNCTION("""COMPUTED_VALUE"""),"")</f>
        <v/>
      </c>
      <c r="Y90" s="233" t="str">
        <f>IFERROR(__xludf.DUMMYFUNCTION("""COMPUTED_VALUE"""),"")</f>
        <v/>
      </c>
      <c r="Z90" s="231" t="str">
        <f>IFERROR(__xludf.DUMMYFUNCTION("""COMPUTED_VALUE"""),"")</f>
        <v/>
      </c>
      <c r="AA90" s="232" t="str">
        <f>IFERROR(__xludf.DUMMYFUNCTION("""COMPUTED_VALUE"""),"")</f>
        <v/>
      </c>
      <c r="AB90" s="233" t="str">
        <f>IFERROR(__xludf.DUMMYFUNCTION("""COMPUTED_VALUE"""),"")</f>
        <v/>
      </c>
      <c r="AC90" s="231" t="str">
        <f>IFERROR(__xludf.DUMMYFUNCTION("""COMPUTED_VALUE"""),"")</f>
        <v/>
      </c>
      <c r="AD90" s="232" t="str">
        <f>IFERROR(__xludf.DUMMYFUNCTION("""COMPUTED_VALUE"""),"")</f>
        <v/>
      </c>
      <c r="AE90" s="233">
        <f>IFERROR(__xludf.DUMMYFUNCTION("""COMPUTED_VALUE"""),12.2)</f>
        <v>12.2</v>
      </c>
      <c r="AF90" s="231" t="str">
        <f>IFERROR(__xludf.DUMMYFUNCTION("""COMPUTED_VALUE"""),"")</f>
        <v/>
      </c>
      <c r="AG90" s="232" t="str">
        <f>IFERROR(__xludf.DUMMYFUNCTION("""COMPUTED_VALUE"""),"")</f>
        <v/>
      </c>
      <c r="AH90" s="233" t="str">
        <f>IFERROR(__xludf.DUMMYFUNCTION("""COMPUTED_VALUE"""),"")</f>
        <v/>
      </c>
      <c r="AI90" s="231" t="str">
        <f>IFERROR(__xludf.DUMMYFUNCTION("""COMPUTED_VALUE"""),"")</f>
        <v/>
      </c>
      <c r="AJ90" s="232" t="str">
        <f>IFERROR(__xludf.DUMMYFUNCTION("""COMPUTED_VALUE"""),"")</f>
        <v/>
      </c>
      <c r="AK90" s="233" t="str">
        <f>IFERROR(__xludf.DUMMYFUNCTION("""COMPUTED_VALUE"""),"")</f>
        <v/>
      </c>
      <c r="AL90" s="231" t="str">
        <f>IFERROR(__xludf.DUMMYFUNCTION("""COMPUTED_VALUE"""),"")</f>
        <v/>
      </c>
      <c r="AM90" s="232" t="str">
        <f>IFERROR(__xludf.DUMMYFUNCTION("""COMPUTED_VALUE"""),"")</f>
        <v/>
      </c>
      <c r="AN90" s="233" t="str">
        <f>IFERROR(__xludf.DUMMYFUNCTION("""COMPUTED_VALUE"""),"")</f>
        <v/>
      </c>
      <c r="AO90" s="231" t="str">
        <f>IFERROR(__xludf.DUMMYFUNCTION("""COMPUTED_VALUE"""),"")</f>
        <v/>
      </c>
      <c r="AP90" s="232" t="str">
        <f>IFERROR(__xludf.DUMMYFUNCTION("""COMPUTED_VALUE"""),"")</f>
        <v/>
      </c>
      <c r="AQ90" s="233" t="str">
        <f>IFERROR(__xludf.DUMMYFUNCTION("""COMPUTED_VALUE"""),"")</f>
        <v/>
      </c>
      <c r="AR90" s="231" t="str">
        <f>IFERROR(__xludf.DUMMYFUNCTION("""COMPUTED_VALUE"""),"")</f>
        <v/>
      </c>
      <c r="AS90" s="232" t="str">
        <f>IFERROR(__xludf.DUMMYFUNCTION("""COMPUTED_VALUE"""),"")</f>
        <v/>
      </c>
      <c r="AT90" s="233" t="str">
        <f>IFERROR(__xludf.DUMMYFUNCTION("""COMPUTED_VALUE"""),"")</f>
        <v/>
      </c>
      <c r="AU90" s="231" t="str">
        <f>IFERROR(__xludf.DUMMYFUNCTION("""COMPUTED_VALUE"""),"")</f>
        <v/>
      </c>
      <c r="AV90" s="232" t="str">
        <f>IFERROR(__xludf.DUMMYFUNCTION("""COMPUTED_VALUE"""),"")</f>
        <v/>
      </c>
      <c r="AW90" s="233" t="str">
        <f>IFERROR(__xludf.DUMMYFUNCTION("""COMPUTED_VALUE"""),"")</f>
        <v/>
      </c>
      <c r="AX90" s="231" t="str">
        <f>IFERROR(__xludf.DUMMYFUNCTION("""COMPUTED_VALUE"""),"")</f>
        <v/>
      </c>
      <c r="AY90" s="232" t="str">
        <f>IFERROR(__xludf.DUMMYFUNCTION("""COMPUTED_VALUE"""),"")</f>
        <v/>
      </c>
      <c r="AZ90" s="233" t="str">
        <f>IFERROR(__xludf.DUMMYFUNCTION("""COMPUTED_VALUE"""),"")</f>
        <v/>
      </c>
      <c r="BA90" s="231" t="str">
        <f>IFERROR(__xludf.DUMMYFUNCTION("""COMPUTED_VALUE"""),"")</f>
        <v/>
      </c>
      <c r="BB90" s="232" t="str">
        <f>IFERROR(__xludf.DUMMYFUNCTION("""COMPUTED_VALUE"""),"")</f>
        <v/>
      </c>
      <c r="BC90" s="233" t="str">
        <f>IFERROR(__xludf.DUMMYFUNCTION("""COMPUTED_VALUE"""),"")</f>
        <v/>
      </c>
      <c r="BD90" s="231" t="str">
        <f>IFERROR(__xludf.DUMMYFUNCTION("""COMPUTED_VALUE"""),"")</f>
        <v/>
      </c>
      <c r="BE90" s="232" t="str">
        <f>IFERROR(__xludf.DUMMYFUNCTION("""COMPUTED_VALUE"""),"")</f>
        <v/>
      </c>
      <c r="BF90" s="233" t="str">
        <f>IFERROR(__xludf.DUMMYFUNCTION("""COMPUTED_VALUE"""),"")</f>
        <v/>
      </c>
      <c r="BG90" s="231" t="str">
        <f>IFERROR(__xludf.DUMMYFUNCTION("""COMPUTED_VALUE"""),"")</f>
        <v/>
      </c>
      <c r="BH90" s="232" t="str">
        <f>IFERROR(__xludf.DUMMYFUNCTION("""COMPUTED_VALUE"""),"")</f>
        <v/>
      </c>
      <c r="BI90" s="233" t="str">
        <f>IFERROR(__xludf.DUMMYFUNCTION("""COMPUTED_VALUE"""),"")</f>
        <v/>
      </c>
      <c r="BJ90" s="231" t="str">
        <f>IFERROR(__xludf.DUMMYFUNCTION("""COMPUTED_VALUE"""),"")</f>
        <v/>
      </c>
      <c r="BK90" s="232" t="str">
        <f>IFERROR(__xludf.DUMMYFUNCTION("""COMPUTED_VALUE"""),"")</f>
        <v/>
      </c>
      <c r="BL90" s="233" t="str">
        <f>IFERROR(__xludf.DUMMYFUNCTION("""COMPUTED_VALUE"""),"")</f>
        <v/>
      </c>
      <c r="BM90" s="231" t="str">
        <f>IFERROR(__xludf.DUMMYFUNCTION("""COMPUTED_VALUE"""),"")</f>
        <v/>
      </c>
      <c r="BN90" s="232" t="str">
        <f>IFERROR(__xludf.DUMMYFUNCTION("""COMPUTED_VALUE"""),"")</f>
        <v/>
      </c>
      <c r="BO90" s="233" t="str">
        <f>IFERROR(__xludf.DUMMYFUNCTION("""COMPUTED_VALUE"""),"")</f>
        <v/>
      </c>
      <c r="BP90" s="231" t="str">
        <f>IFERROR(__xludf.DUMMYFUNCTION("""COMPUTED_VALUE"""),"")</f>
        <v/>
      </c>
      <c r="BQ90" s="232" t="str">
        <f>IFERROR(__xludf.DUMMYFUNCTION("""COMPUTED_VALUE"""),"")</f>
        <v/>
      </c>
      <c r="BR90" s="233" t="str">
        <f>IFERROR(__xludf.DUMMYFUNCTION("""COMPUTED_VALUE"""),"")</f>
        <v/>
      </c>
      <c r="BS90" s="231" t="str">
        <f>IFERROR(__xludf.DUMMYFUNCTION("""COMPUTED_VALUE"""),"")</f>
        <v/>
      </c>
      <c r="BT90" s="232" t="str">
        <f>IFERROR(__xludf.DUMMYFUNCTION("""COMPUTED_VALUE"""),"")</f>
        <v/>
      </c>
      <c r="BU90" s="233" t="str">
        <f>IFERROR(__xludf.DUMMYFUNCTION("""COMPUTED_VALUE"""),"")</f>
        <v/>
      </c>
      <c r="BV90" s="231">
        <f>IFERROR(__xludf.DUMMYFUNCTION("""COMPUTED_VALUE"""),57.5)</f>
        <v>57.5</v>
      </c>
      <c r="BW90" s="232" t="str">
        <f>IFERROR(__xludf.DUMMYFUNCTION("""COMPUTED_VALUE"""),"")</f>
        <v/>
      </c>
      <c r="BX90" s="233" t="str">
        <f>IFERROR(__xludf.DUMMYFUNCTION("""COMPUTED_VALUE"""),"")</f>
        <v/>
      </c>
      <c r="BY90" s="231" t="str">
        <f>IFERROR(__xludf.DUMMYFUNCTION("""COMPUTED_VALUE"""),"")</f>
        <v/>
      </c>
      <c r="BZ90" s="232" t="str">
        <f>IFERROR(__xludf.DUMMYFUNCTION("""COMPUTED_VALUE"""),"")</f>
        <v/>
      </c>
      <c r="CA90" s="233" t="str">
        <f>IFERROR(__xludf.DUMMYFUNCTION("""COMPUTED_VALUE"""),"")</f>
        <v/>
      </c>
      <c r="CB90" s="231" t="str">
        <f>IFERROR(__xludf.DUMMYFUNCTION("""COMPUTED_VALUE"""),"")</f>
        <v/>
      </c>
      <c r="CC90" s="232" t="str">
        <f>IFERROR(__xludf.DUMMYFUNCTION("""COMPUTED_VALUE"""),"")</f>
        <v/>
      </c>
      <c r="CD90" s="233" t="str">
        <f>IFERROR(__xludf.DUMMYFUNCTION("""COMPUTED_VALUE"""),"")</f>
        <v/>
      </c>
      <c r="CE90" s="234" t="str">
        <f>IFERROR(__xludf.DUMMYFUNCTION("""COMPUTED_VALUE"""),"")</f>
        <v/>
      </c>
      <c r="CF90" s="230" t="str">
        <f>IFERROR(__xludf.DUMMYFUNCTION("""COMPUTED_VALUE"""),"")</f>
        <v/>
      </c>
      <c r="CG90" s="235" t="str">
        <f>IFERROR(__xludf.DUMMYFUNCTION("""COMPUTED_VALUE"""),"")</f>
        <v/>
      </c>
      <c r="CH90" s="234" t="str">
        <f>IFERROR(__xludf.DUMMYFUNCTION("""COMPUTED_VALUE"""),"")</f>
        <v/>
      </c>
      <c r="CI90" s="230" t="str">
        <f>IFERROR(__xludf.DUMMYFUNCTION("""COMPUTED_VALUE"""),"")</f>
        <v/>
      </c>
      <c r="CJ90" s="235" t="str">
        <f>IFERROR(__xludf.DUMMYFUNCTION("""COMPUTED_VALUE"""),"")</f>
        <v/>
      </c>
      <c r="CK90" s="95" t="str">
        <f>IFERROR(__xludf.DUMMYFUNCTION("""COMPUTED_VALUE"""),"")</f>
        <v/>
      </c>
      <c r="CL90" s="96" t="str">
        <f>IFERROR(__xludf.DUMMYFUNCTION("""COMPUTED_VALUE"""),"")</f>
        <v/>
      </c>
      <c r="CM90" s="97" t="str">
        <f>IFERROR(__xludf.DUMMYFUNCTION("""COMPUTED_VALUE"""),"")</f>
        <v/>
      </c>
      <c r="CN90" s="95" t="str">
        <f>IFERROR(__xludf.DUMMYFUNCTION("""COMPUTED_VALUE"""),"")</f>
        <v/>
      </c>
      <c r="CO90" s="96" t="str">
        <f>IFERROR(__xludf.DUMMYFUNCTION("""COMPUTED_VALUE"""),"")</f>
        <v/>
      </c>
      <c r="CP90" s="97" t="str">
        <f>IFERROR(__xludf.DUMMYFUNCTION("""COMPUTED_VALUE"""),"")</f>
        <v/>
      </c>
      <c r="CQ90" s="95" t="str">
        <f>IFERROR(__xludf.DUMMYFUNCTION("""COMPUTED_VALUE"""),"")</f>
        <v/>
      </c>
      <c r="CR90" s="96" t="str">
        <f>IFERROR(__xludf.DUMMYFUNCTION("""COMPUTED_VALUE"""),"")</f>
        <v/>
      </c>
      <c r="CS90" s="97" t="str">
        <f>IFERROR(__xludf.DUMMYFUNCTION("""COMPUTED_VALUE"""),"#REF!")</f>
        <v>#REF!</v>
      </c>
      <c r="CT90" s="95" t="str">
        <f>IFERROR(__xludf.DUMMYFUNCTION("""COMPUTED_VALUE"""),"#REF!")</f>
        <v>#REF!</v>
      </c>
      <c r="CU90" s="96" t="str">
        <f>IFERROR(__xludf.DUMMYFUNCTION("""COMPUTED_VALUE"""),"#REF!")</f>
        <v>#REF!</v>
      </c>
      <c r="CV90" s="97" t="str">
        <f>IFERROR(__xludf.DUMMYFUNCTION("""COMPUTED_VALUE"""),"#REF!")</f>
        <v>#REF!</v>
      </c>
      <c r="CW90" s="95" t="str">
        <f>IFERROR(__xludf.DUMMYFUNCTION("""COMPUTED_VALUE"""),"#REF!")</f>
        <v>#REF!</v>
      </c>
      <c r="CX90" s="96" t="str">
        <f>IFERROR(__xludf.DUMMYFUNCTION("""COMPUTED_VALUE"""),"#REF!")</f>
        <v>#REF!</v>
      </c>
      <c r="CY90" s="97" t="str">
        <f>IFERROR(__xludf.DUMMYFUNCTION("""COMPUTED_VALUE"""),"#REF!")</f>
        <v>#REF!</v>
      </c>
      <c r="CZ90" s="95" t="str">
        <f>IFERROR(__xludf.DUMMYFUNCTION("""COMPUTED_VALUE"""),"#REF!")</f>
        <v>#REF!</v>
      </c>
      <c r="DA90" s="96" t="str">
        <f>IFERROR(__xludf.DUMMYFUNCTION("""COMPUTED_VALUE"""),"#REF!")</f>
        <v>#REF!</v>
      </c>
      <c r="DB90" s="97" t="str">
        <f>IFERROR(__xludf.DUMMYFUNCTION("""COMPUTED_VALUE"""),"#REF!")</f>
        <v>#REF!</v>
      </c>
      <c r="DC90" s="95" t="str">
        <f>IFERROR(__xludf.DUMMYFUNCTION("""COMPUTED_VALUE"""),"#REF!")</f>
        <v>#REF!</v>
      </c>
      <c r="DD90" s="96" t="str">
        <f>IFERROR(__xludf.DUMMYFUNCTION("""COMPUTED_VALUE"""),"#REF!")</f>
        <v>#REF!</v>
      </c>
      <c r="DE90" s="97" t="str">
        <f>IFERROR(__xludf.DUMMYFUNCTION("""COMPUTED_VALUE"""),"#REF!")</f>
        <v>#REF!</v>
      </c>
      <c r="DF90" s="95" t="str">
        <f>IFERROR(__xludf.DUMMYFUNCTION("""COMPUTED_VALUE"""),"#REF!")</f>
        <v>#REF!</v>
      </c>
      <c r="DG90" s="96" t="str">
        <f>IFERROR(__xludf.DUMMYFUNCTION("""COMPUTED_VALUE"""),"#REF!")</f>
        <v>#REF!</v>
      </c>
      <c r="DH90" s="97" t="str">
        <f>IFERROR(__xludf.DUMMYFUNCTION("""COMPUTED_VALUE"""),"#REF!")</f>
        <v>#REF!</v>
      </c>
      <c r="DI90" s="95" t="str">
        <f>IFERROR(__xludf.DUMMYFUNCTION("""COMPUTED_VALUE"""),"#REF!")</f>
        <v>#REF!</v>
      </c>
      <c r="DJ90" s="96" t="str">
        <f>IFERROR(__xludf.DUMMYFUNCTION("""COMPUTED_VALUE"""),"#REF!")</f>
        <v>#REF!</v>
      </c>
      <c r="DK90" s="97" t="str">
        <f>IFERROR(__xludf.DUMMYFUNCTION("""COMPUTED_VALUE"""),"#REF!")</f>
        <v>#REF!</v>
      </c>
      <c r="DL90" s="95" t="str">
        <f>IFERROR(__xludf.DUMMYFUNCTION("""COMPUTED_VALUE"""),"#REF!")</f>
        <v>#REF!</v>
      </c>
      <c r="DM90" s="96" t="str">
        <f>IFERROR(__xludf.DUMMYFUNCTION("""COMPUTED_VALUE"""),"#REF!")</f>
        <v>#REF!</v>
      </c>
      <c r="DN90" s="97" t="str">
        <f>IFERROR(__xludf.DUMMYFUNCTION("""COMPUTED_VALUE"""),"#REF!")</f>
        <v>#REF!</v>
      </c>
      <c r="DO90" s="95" t="str">
        <f>IFERROR(__xludf.DUMMYFUNCTION("""COMPUTED_VALUE"""),"#REF!")</f>
        <v>#REF!</v>
      </c>
      <c r="DP90" s="96" t="str">
        <f>IFERROR(__xludf.DUMMYFUNCTION("""COMPUTED_VALUE"""),"#REF!")</f>
        <v>#REF!</v>
      </c>
      <c r="DQ90" s="97"/>
      <c r="DR90" s="95"/>
    </row>
    <row r="91">
      <c r="B91" s="120" t="str">
        <f>IFERROR(__xludf.DUMMYFUNCTION("""COMPUTED_VALUE"""),"LDN2")</f>
        <v>LDN2</v>
      </c>
      <c r="C91" s="82">
        <f>IFERROR(__xludf.DUMMYFUNCTION("""COMPUTED_VALUE"""),78.0)</f>
        <v>78</v>
      </c>
      <c r="D91" s="88" t="str">
        <f>IFERROR(__xludf.DUMMYFUNCTION("""COMPUTED_VALUE"""),"White Chapel")</f>
        <v>White Chapel</v>
      </c>
      <c r="E91" s="82" t="str">
        <f>IFERROR(__xludf.DUMMYFUNCTION("""COMPUTED_VALUE"""),"ホワイトチャペル")</f>
        <v>ホワイトチャペル</v>
      </c>
      <c r="F91" s="102">
        <f>IFERROR(__xludf.DUMMYFUNCTION("""COMPUTED_VALUE"""),15.0)</f>
        <v>15</v>
      </c>
      <c r="G91" s="82">
        <f>IFERROR(__xludf.DUMMYFUNCTION("""COMPUTED_VALUE"""),1129.0)</f>
        <v>1129</v>
      </c>
      <c r="H91" s="231" t="str">
        <f>IFERROR(__xludf.DUMMYFUNCTION("""COMPUTED_VALUE"""),"")</f>
        <v/>
      </c>
      <c r="I91" s="232" t="str">
        <f>IFERROR(__xludf.DUMMYFUNCTION("""COMPUTED_VALUE"""),"")</f>
        <v/>
      </c>
      <c r="J91" s="233" t="str">
        <f>IFERROR(__xludf.DUMMYFUNCTION("""COMPUTED_VALUE"""),"")</f>
        <v/>
      </c>
      <c r="K91" s="231" t="str">
        <f>IFERROR(__xludf.DUMMYFUNCTION("""COMPUTED_VALUE"""),"")</f>
        <v/>
      </c>
      <c r="L91" s="232" t="str">
        <f>IFERROR(__xludf.DUMMYFUNCTION("""COMPUTED_VALUE"""),"")</f>
        <v/>
      </c>
      <c r="M91" s="233" t="str">
        <f>IFERROR(__xludf.DUMMYFUNCTION("""COMPUTED_VALUE"""),"")</f>
        <v/>
      </c>
      <c r="N91" s="231" t="str">
        <f>IFERROR(__xludf.DUMMYFUNCTION("""COMPUTED_VALUE"""),"")</f>
        <v/>
      </c>
      <c r="O91" s="232" t="str">
        <f>IFERROR(__xludf.DUMMYFUNCTION("""COMPUTED_VALUE"""),"")</f>
        <v/>
      </c>
      <c r="P91" s="233" t="str">
        <f>IFERROR(__xludf.DUMMYFUNCTION("""COMPUTED_VALUE"""),"")</f>
        <v/>
      </c>
      <c r="Q91" s="231" t="str">
        <f>IFERROR(__xludf.DUMMYFUNCTION("""COMPUTED_VALUE"""),"")</f>
        <v/>
      </c>
      <c r="R91" s="232" t="str">
        <f>IFERROR(__xludf.DUMMYFUNCTION("""COMPUTED_VALUE"""),"")</f>
        <v/>
      </c>
      <c r="S91" s="233" t="str">
        <f>IFERROR(__xludf.DUMMYFUNCTION("""COMPUTED_VALUE"""),"")</f>
        <v/>
      </c>
      <c r="T91" s="231" t="str">
        <f>IFERROR(__xludf.DUMMYFUNCTION("""COMPUTED_VALUE"""),"")</f>
        <v/>
      </c>
      <c r="U91" s="232" t="str">
        <f>IFERROR(__xludf.DUMMYFUNCTION("""COMPUTED_VALUE"""),"")</f>
        <v/>
      </c>
      <c r="V91" s="233" t="str">
        <f>IFERROR(__xludf.DUMMYFUNCTION("""COMPUTED_VALUE"""),"")</f>
        <v/>
      </c>
      <c r="W91" s="231" t="str">
        <f>IFERROR(__xludf.DUMMYFUNCTION("""COMPUTED_VALUE"""),"")</f>
        <v/>
      </c>
      <c r="X91" s="232" t="str">
        <f>IFERROR(__xludf.DUMMYFUNCTION("""COMPUTED_VALUE"""),"")</f>
        <v/>
      </c>
      <c r="Y91" s="233" t="str">
        <f>IFERROR(__xludf.DUMMYFUNCTION("""COMPUTED_VALUE"""),"")</f>
        <v/>
      </c>
      <c r="Z91" s="231" t="str">
        <f>IFERROR(__xludf.DUMMYFUNCTION("""COMPUTED_VALUE"""),"")</f>
        <v/>
      </c>
      <c r="AA91" s="232" t="str">
        <f>IFERROR(__xludf.DUMMYFUNCTION("""COMPUTED_VALUE"""),"")</f>
        <v/>
      </c>
      <c r="AB91" s="233" t="str">
        <f>IFERROR(__xludf.DUMMYFUNCTION("""COMPUTED_VALUE"""),"")</f>
        <v/>
      </c>
      <c r="AC91" s="231" t="str">
        <f>IFERROR(__xludf.DUMMYFUNCTION("""COMPUTED_VALUE"""),"")</f>
        <v/>
      </c>
      <c r="AD91" s="232" t="str">
        <f>IFERROR(__xludf.DUMMYFUNCTION("""COMPUTED_VALUE"""),"")</f>
        <v/>
      </c>
      <c r="AE91" s="233">
        <f>IFERROR(__xludf.DUMMYFUNCTION("""COMPUTED_VALUE"""),11.5)</f>
        <v>11.5</v>
      </c>
      <c r="AF91" s="231" t="str">
        <f>IFERROR(__xludf.DUMMYFUNCTION("""COMPUTED_VALUE"""),"")</f>
        <v/>
      </c>
      <c r="AG91" s="232" t="str">
        <f>IFERROR(__xludf.DUMMYFUNCTION("""COMPUTED_VALUE"""),"")</f>
        <v/>
      </c>
      <c r="AH91" s="233" t="str">
        <f>IFERROR(__xludf.DUMMYFUNCTION("""COMPUTED_VALUE"""),"")</f>
        <v/>
      </c>
      <c r="AI91" s="231" t="str">
        <f>IFERROR(__xludf.DUMMYFUNCTION("""COMPUTED_VALUE"""),"")</f>
        <v/>
      </c>
      <c r="AJ91" s="232" t="str">
        <f>IFERROR(__xludf.DUMMYFUNCTION("""COMPUTED_VALUE"""),"")</f>
        <v/>
      </c>
      <c r="AK91" s="233" t="str">
        <f>IFERROR(__xludf.DUMMYFUNCTION("""COMPUTED_VALUE"""),"")</f>
        <v/>
      </c>
      <c r="AL91" s="231" t="str">
        <f>IFERROR(__xludf.DUMMYFUNCTION("""COMPUTED_VALUE"""),"")</f>
        <v/>
      </c>
      <c r="AM91" s="232" t="str">
        <f>IFERROR(__xludf.DUMMYFUNCTION("""COMPUTED_VALUE"""),"")</f>
        <v/>
      </c>
      <c r="AN91" s="233" t="str">
        <f>IFERROR(__xludf.DUMMYFUNCTION("""COMPUTED_VALUE"""),"")</f>
        <v/>
      </c>
      <c r="AO91" s="231" t="str">
        <f>IFERROR(__xludf.DUMMYFUNCTION("""COMPUTED_VALUE"""),"")</f>
        <v/>
      </c>
      <c r="AP91" s="232" t="str">
        <f>IFERROR(__xludf.DUMMYFUNCTION("""COMPUTED_VALUE"""),"")</f>
        <v/>
      </c>
      <c r="AQ91" s="233" t="str">
        <f>IFERROR(__xludf.DUMMYFUNCTION("""COMPUTED_VALUE"""),"")</f>
        <v/>
      </c>
      <c r="AR91" s="231" t="str">
        <f>IFERROR(__xludf.DUMMYFUNCTION("""COMPUTED_VALUE"""),"")</f>
        <v/>
      </c>
      <c r="AS91" s="232" t="str">
        <f>IFERROR(__xludf.DUMMYFUNCTION("""COMPUTED_VALUE"""),"")</f>
        <v/>
      </c>
      <c r="AT91" s="233" t="str">
        <f>IFERROR(__xludf.DUMMYFUNCTION("""COMPUTED_VALUE"""),"")</f>
        <v/>
      </c>
      <c r="AU91" s="231" t="str">
        <f>IFERROR(__xludf.DUMMYFUNCTION("""COMPUTED_VALUE"""),"")</f>
        <v/>
      </c>
      <c r="AV91" s="232" t="str">
        <f>IFERROR(__xludf.DUMMYFUNCTION("""COMPUTED_VALUE"""),"")</f>
        <v/>
      </c>
      <c r="AW91" s="233">
        <f>IFERROR(__xludf.DUMMYFUNCTION("""COMPUTED_VALUE"""),10.8)</f>
        <v>10.8</v>
      </c>
      <c r="AX91" s="231" t="str">
        <f>IFERROR(__xludf.DUMMYFUNCTION("""COMPUTED_VALUE"""),"")</f>
        <v/>
      </c>
      <c r="AY91" s="232" t="str">
        <f>IFERROR(__xludf.DUMMYFUNCTION("""COMPUTED_VALUE"""),"")</f>
        <v/>
      </c>
      <c r="AZ91" s="233" t="str">
        <f>IFERROR(__xludf.DUMMYFUNCTION("""COMPUTED_VALUE"""),"")</f>
        <v/>
      </c>
      <c r="BA91" s="231" t="str">
        <f>IFERROR(__xludf.DUMMYFUNCTION("""COMPUTED_VALUE"""),"")</f>
        <v/>
      </c>
      <c r="BB91" s="232" t="str">
        <f>IFERROR(__xludf.DUMMYFUNCTION("""COMPUTED_VALUE"""),"")</f>
        <v/>
      </c>
      <c r="BC91" s="233" t="str">
        <f>IFERROR(__xludf.DUMMYFUNCTION("""COMPUTED_VALUE"""),"")</f>
        <v/>
      </c>
      <c r="BD91" s="231" t="str">
        <f>IFERROR(__xludf.DUMMYFUNCTION("""COMPUTED_VALUE"""),"")</f>
        <v/>
      </c>
      <c r="BE91" s="232" t="str">
        <f>IFERROR(__xludf.DUMMYFUNCTION("""COMPUTED_VALUE"""),"")</f>
        <v/>
      </c>
      <c r="BF91" s="233" t="str">
        <f>IFERROR(__xludf.DUMMYFUNCTION("""COMPUTED_VALUE"""),"")</f>
        <v/>
      </c>
      <c r="BG91" s="231" t="str">
        <f>IFERROR(__xludf.DUMMYFUNCTION("""COMPUTED_VALUE"""),"")</f>
        <v/>
      </c>
      <c r="BH91" s="232" t="str">
        <f>IFERROR(__xludf.DUMMYFUNCTION("""COMPUTED_VALUE"""),"")</f>
        <v/>
      </c>
      <c r="BI91" s="233" t="str">
        <f>IFERROR(__xludf.DUMMYFUNCTION("""COMPUTED_VALUE"""),"")</f>
        <v/>
      </c>
      <c r="BJ91" s="231" t="str">
        <f>IFERROR(__xludf.DUMMYFUNCTION("""COMPUTED_VALUE"""),"")</f>
        <v/>
      </c>
      <c r="BK91" s="232" t="str">
        <f>IFERROR(__xludf.DUMMYFUNCTION("""COMPUTED_VALUE"""),"")</f>
        <v/>
      </c>
      <c r="BL91" s="233" t="str">
        <f>IFERROR(__xludf.DUMMYFUNCTION("""COMPUTED_VALUE"""),"")</f>
        <v/>
      </c>
      <c r="BM91" s="231" t="str">
        <f>IFERROR(__xludf.DUMMYFUNCTION("""COMPUTED_VALUE"""),"")</f>
        <v/>
      </c>
      <c r="BN91" s="232" t="str">
        <f>IFERROR(__xludf.DUMMYFUNCTION("""COMPUTED_VALUE"""),"")</f>
        <v/>
      </c>
      <c r="BO91" s="233">
        <f>IFERROR(__xludf.DUMMYFUNCTION("""COMPUTED_VALUE"""),4.5)</f>
        <v>4.5</v>
      </c>
      <c r="BP91" s="231" t="str">
        <f>IFERROR(__xludf.DUMMYFUNCTION("""COMPUTED_VALUE"""),"")</f>
        <v/>
      </c>
      <c r="BQ91" s="232" t="str">
        <f>IFERROR(__xludf.DUMMYFUNCTION("""COMPUTED_VALUE"""),"")</f>
        <v/>
      </c>
      <c r="BR91" s="233" t="str">
        <f>IFERROR(__xludf.DUMMYFUNCTION("""COMPUTED_VALUE"""),"")</f>
        <v/>
      </c>
      <c r="BS91" s="231" t="str">
        <f>IFERROR(__xludf.DUMMYFUNCTION("""COMPUTED_VALUE"""),"")</f>
        <v/>
      </c>
      <c r="BT91" s="232" t="str">
        <f>IFERROR(__xludf.DUMMYFUNCTION("""COMPUTED_VALUE"""),"")</f>
        <v/>
      </c>
      <c r="BU91" s="233" t="str">
        <f>IFERROR(__xludf.DUMMYFUNCTION("""COMPUTED_VALUE"""),"")</f>
        <v/>
      </c>
      <c r="BV91" s="231">
        <f>IFERROR(__xludf.DUMMYFUNCTION("""COMPUTED_VALUE"""),41.6)</f>
        <v>41.6</v>
      </c>
      <c r="BW91" s="232" t="str">
        <f>IFERROR(__xludf.DUMMYFUNCTION("""COMPUTED_VALUE"""),"")</f>
        <v/>
      </c>
      <c r="BX91" s="233" t="str">
        <f>IFERROR(__xludf.DUMMYFUNCTION("""COMPUTED_VALUE"""),"")</f>
        <v/>
      </c>
      <c r="BY91" s="231" t="str">
        <f>IFERROR(__xludf.DUMMYFUNCTION("""COMPUTED_VALUE"""),"")</f>
        <v/>
      </c>
      <c r="BZ91" s="232" t="str">
        <f>IFERROR(__xludf.DUMMYFUNCTION("""COMPUTED_VALUE"""),"")</f>
        <v/>
      </c>
      <c r="CA91" s="233" t="str">
        <f>IFERROR(__xludf.DUMMYFUNCTION("""COMPUTED_VALUE"""),"")</f>
        <v/>
      </c>
      <c r="CB91" s="231" t="str">
        <f>IFERROR(__xludf.DUMMYFUNCTION("""COMPUTED_VALUE"""),"")</f>
        <v/>
      </c>
      <c r="CC91" s="232">
        <f>IFERROR(__xludf.DUMMYFUNCTION("""COMPUTED_VALUE"""),1.7)</f>
        <v>1.7</v>
      </c>
      <c r="CD91" s="233" t="str">
        <f>IFERROR(__xludf.DUMMYFUNCTION("""COMPUTED_VALUE"""),"")</f>
        <v/>
      </c>
      <c r="CE91" s="234" t="str">
        <f>IFERROR(__xludf.DUMMYFUNCTION("""COMPUTED_VALUE"""),"")</f>
        <v/>
      </c>
      <c r="CF91" s="230" t="str">
        <f>IFERROR(__xludf.DUMMYFUNCTION("""COMPUTED_VALUE"""),"")</f>
        <v/>
      </c>
      <c r="CG91" s="235" t="str">
        <f>IFERROR(__xludf.DUMMYFUNCTION("""COMPUTED_VALUE"""),"")</f>
        <v/>
      </c>
      <c r="CH91" s="234" t="str">
        <f>IFERROR(__xludf.DUMMYFUNCTION("""COMPUTED_VALUE"""),"")</f>
        <v/>
      </c>
      <c r="CI91" s="230" t="str">
        <f>IFERROR(__xludf.DUMMYFUNCTION("""COMPUTED_VALUE"""),"")</f>
        <v/>
      </c>
      <c r="CJ91" s="235">
        <f>IFERROR(__xludf.DUMMYFUNCTION("""COMPUTED_VALUE"""),8.9)</f>
        <v>8.9</v>
      </c>
      <c r="CK91" s="95" t="str">
        <f>IFERROR(__xludf.DUMMYFUNCTION("""COMPUTED_VALUE"""),"")</f>
        <v/>
      </c>
      <c r="CL91" s="96" t="str">
        <f>IFERROR(__xludf.DUMMYFUNCTION("""COMPUTED_VALUE"""),"")</f>
        <v/>
      </c>
      <c r="CM91" s="97" t="str">
        <f>IFERROR(__xludf.DUMMYFUNCTION("""COMPUTED_VALUE"""),"")</f>
        <v/>
      </c>
      <c r="CN91" s="95" t="str">
        <f>IFERROR(__xludf.DUMMYFUNCTION("""COMPUTED_VALUE"""),"")</f>
        <v/>
      </c>
      <c r="CO91" s="96" t="str">
        <f>IFERROR(__xludf.DUMMYFUNCTION("""COMPUTED_VALUE"""),"")</f>
        <v/>
      </c>
      <c r="CP91" s="97" t="str">
        <f>IFERROR(__xludf.DUMMYFUNCTION("""COMPUTED_VALUE"""),"")</f>
        <v/>
      </c>
      <c r="CQ91" s="95" t="str">
        <f>IFERROR(__xludf.DUMMYFUNCTION("""COMPUTED_VALUE"""),"")</f>
        <v/>
      </c>
      <c r="CR91" s="96" t="str">
        <f>IFERROR(__xludf.DUMMYFUNCTION("""COMPUTED_VALUE"""),"")</f>
        <v/>
      </c>
      <c r="CS91" s="97" t="str">
        <f>IFERROR(__xludf.DUMMYFUNCTION("""COMPUTED_VALUE"""),"#REF!")</f>
        <v>#REF!</v>
      </c>
      <c r="CT91" s="95" t="str">
        <f>IFERROR(__xludf.DUMMYFUNCTION("""COMPUTED_VALUE"""),"#REF!")</f>
        <v>#REF!</v>
      </c>
      <c r="CU91" s="96" t="str">
        <f>IFERROR(__xludf.DUMMYFUNCTION("""COMPUTED_VALUE"""),"#REF!")</f>
        <v>#REF!</v>
      </c>
      <c r="CV91" s="97" t="str">
        <f>IFERROR(__xludf.DUMMYFUNCTION("""COMPUTED_VALUE"""),"#REF!")</f>
        <v>#REF!</v>
      </c>
      <c r="CW91" s="95" t="str">
        <f>IFERROR(__xludf.DUMMYFUNCTION("""COMPUTED_VALUE"""),"#REF!")</f>
        <v>#REF!</v>
      </c>
      <c r="CX91" s="96" t="str">
        <f>IFERROR(__xludf.DUMMYFUNCTION("""COMPUTED_VALUE"""),"#REF!")</f>
        <v>#REF!</v>
      </c>
      <c r="CY91" s="97" t="str">
        <f>IFERROR(__xludf.DUMMYFUNCTION("""COMPUTED_VALUE"""),"#REF!")</f>
        <v>#REF!</v>
      </c>
      <c r="CZ91" s="95" t="str">
        <f>IFERROR(__xludf.DUMMYFUNCTION("""COMPUTED_VALUE"""),"#REF!")</f>
        <v>#REF!</v>
      </c>
      <c r="DA91" s="96" t="str">
        <f>IFERROR(__xludf.DUMMYFUNCTION("""COMPUTED_VALUE"""),"#REF!")</f>
        <v>#REF!</v>
      </c>
      <c r="DB91" s="97" t="str">
        <f>IFERROR(__xludf.DUMMYFUNCTION("""COMPUTED_VALUE"""),"#REF!")</f>
        <v>#REF!</v>
      </c>
      <c r="DC91" s="95" t="str">
        <f>IFERROR(__xludf.DUMMYFUNCTION("""COMPUTED_VALUE"""),"#REF!")</f>
        <v>#REF!</v>
      </c>
      <c r="DD91" s="96" t="str">
        <f>IFERROR(__xludf.DUMMYFUNCTION("""COMPUTED_VALUE"""),"#REF!")</f>
        <v>#REF!</v>
      </c>
      <c r="DE91" s="97" t="str">
        <f>IFERROR(__xludf.DUMMYFUNCTION("""COMPUTED_VALUE"""),"#REF!")</f>
        <v>#REF!</v>
      </c>
      <c r="DF91" s="95" t="str">
        <f>IFERROR(__xludf.DUMMYFUNCTION("""COMPUTED_VALUE"""),"#REF!")</f>
        <v>#REF!</v>
      </c>
      <c r="DG91" s="96" t="str">
        <f>IFERROR(__xludf.DUMMYFUNCTION("""COMPUTED_VALUE"""),"#REF!")</f>
        <v>#REF!</v>
      </c>
      <c r="DH91" s="97" t="str">
        <f>IFERROR(__xludf.DUMMYFUNCTION("""COMPUTED_VALUE"""),"#REF!")</f>
        <v>#REF!</v>
      </c>
      <c r="DI91" s="95" t="str">
        <f>IFERROR(__xludf.DUMMYFUNCTION("""COMPUTED_VALUE"""),"#REF!")</f>
        <v>#REF!</v>
      </c>
      <c r="DJ91" s="96" t="str">
        <f>IFERROR(__xludf.DUMMYFUNCTION("""COMPUTED_VALUE"""),"#REF!")</f>
        <v>#REF!</v>
      </c>
      <c r="DK91" s="97" t="str">
        <f>IFERROR(__xludf.DUMMYFUNCTION("""COMPUTED_VALUE"""),"#REF!")</f>
        <v>#REF!</v>
      </c>
      <c r="DL91" s="95" t="str">
        <f>IFERROR(__xludf.DUMMYFUNCTION("""COMPUTED_VALUE"""),"#REF!")</f>
        <v>#REF!</v>
      </c>
      <c r="DM91" s="96" t="str">
        <f>IFERROR(__xludf.DUMMYFUNCTION("""COMPUTED_VALUE"""),"#REF!")</f>
        <v>#REF!</v>
      </c>
      <c r="DN91" s="97" t="str">
        <f>IFERROR(__xludf.DUMMYFUNCTION("""COMPUTED_VALUE"""),"#REF!")</f>
        <v>#REF!</v>
      </c>
      <c r="DO91" s="95" t="str">
        <f>IFERROR(__xludf.DUMMYFUNCTION("""COMPUTED_VALUE"""),"#REF!")</f>
        <v>#REF!</v>
      </c>
      <c r="DP91" s="96" t="str">
        <f>IFERROR(__xludf.DUMMYFUNCTION("""COMPUTED_VALUE"""),"#REF!")</f>
        <v>#REF!</v>
      </c>
      <c r="DQ91" s="97"/>
      <c r="DR91" s="95"/>
    </row>
    <row r="92">
      <c r="B92" s="120" t="str">
        <f>IFERROR(__xludf.DUMMYFUNCTION("""COMPUTED_VALUE"""),"LDN3")</f>
        <v>LDN3</v>
      </c>
      <c r="C92" s="82">
        <f>IFERROR(__xludf.DUMMYFUNCTION("""COMPUTED_VALUE"""),79.0)</f>
        <v>79</v>
      </c>
      <c r="D92" s="88" t="str">
        <f>IFERROR(__xludf.DUMMYFUNCTION("""COMPUTED_VALUE"""),"City of London")</f>
        <v>City of London</v>
      </c>
      <c r="E92" s="82" t="str">
        <f>IFERROR(__xludf.DUMMYFUNCTION("""COMPUTED_VALUE"""),"シティ・オブ・ロンドン")</f>
        <v>シティ・オブ・ロンドン</v>
      </c>
      <c r="F92" s="102">
        <f>IFERROR(__xludf.DUMMYFUNCTION("""COMPUTED_VALUE"""),15.0)</f>
        <v>15</v>
      </c>
      <c r="G92" s="82">
        <f>IFERROR(__xludf.DUMMYFUNCTION("""COMPUTED_VALUE"""),1102.0)</f>
        <v>1102</v>
      </c>
      <c r="H92" s="231" t="str">
        <f>IFERROR(__xludf.DUMMYFUNCTION("""COMPUTED_VALUE"""),"")</f>
        <v/>
      </c>
      <c r="I92" s="232" t="str">
        <f>IFERROR(__xludf.DUMMYFUNCTION("""COMPUTED_VALUE"""),"")</f>
        <v/>
      </c>
      <c r="J92" s="233" t="str">
        <f>IFERROR(__xludf.DUMMYFUNCTION("""COMPUTED_VALUE"""),"")</f>
        <v/>
      </c>
      <c r="K92" s="231" t="str">
        <f>IFERROR(__xludf.DUMMYFUNCTION("""COMPUTED_VALUE"""),"")</f>
        <v/>
      </c>
      <c r="L92" s="232" t="str">
        <f>IFERROR(__xludf.DUMMYFUNCTION("""COMPUTED_VALUE"""),"")</f>
        <v/>
      </c>
      <c r="M92" s="233" t="str">
        <f>IFERROR(__xludf.DUMMYFUNCTION("""COMPUTED_VALUE"""),"")</f>
        <v/>
      </c>
      <c r="N92" s="231" t="str">
        <f>IFERROR(__xludf.DUMMYFUNCTION("""COMPUTED_VALUE"""),"")</f>
        <v/>
      </c>
      <c r="O92" s="232" t="str">
        <f>IFERROR(__xludf.DUMMYFUNCTION("""COMPUTED_VALUE"""),"")</f>
        <v/>
      </c>
      <c r="P92" s="233" t="str">
        <f>IFERROR(__xludf.DUMMYFUNCTION("""COMPUTED_VALUE"""),"")</f>
        <v/>
      </c>
      <c r="Q92" s="231" t="str">
        <f>IFERROR(__xludf.DUMMYFUNCTION("""COMPUTED_VALUE"""),"")</f>
        <v/>
      </c>
      <c r="R92" s="232" t="str">
        <f>IFERROR(__xludf.DUMMYFUNCTION("""COMPUTED_VALUE"""),"")</f>
        <v/>
      </c>
      <c r="S92" s="233" t="str">
        <f>IFERROR(__xludf.DUMMYFUNCTION("""COMPUTED_VALUE"""),"")</f>
        <v/>
      </c>
      <c r="T92" s="231" t="str">
        <f>IFERROR(__xludf.DUMMYFUNCTION("""COMPUTED_VALUE"""),"")</f>
        <v/>
      </c>
      <c r="U92" s="232" t="str">
        <f>IFERROR(__xludf.DUMMYFUNCTION("""COMPUTED_VALUE"""),"")</f>
        <v/>
      </c>
      <c r="V92" s="233" t="str">
        <f>IFERROR(__xludf.DUMMYFUNCTION("""COMPUTED_VALUE"""),"")</f>
        <v/>
      </c>
      <c r="W92" s="231" t="str">
        <f>IFERROR(__xludf.DUMMYFUNCTION("""COMPUTED_VALUE"""),"")</f>
        <v/>
      </c>
      <c r="X92" s="232" t="str">
        <f>IFERROR(__xludf.DUMMYFUNCTION("""COMPUTED_VALUE"""),"")</f>
        <v/>
      </c>
      <c r="Y92" s="233" t="str">
        <f>IFERROR(__xludf.DUMMYFUNCTION("""COMPUTED_VALUE"""),"")</f>
        <v/>
      </c>
      <c r="Z92" s="231" t="str">
        <f>IFERROR(__xludf.DUMMYFUNCTION("""COMPUTED_VALUE"""),"")</f>
        <v/>
      </c>
      <c r="AA92" s="232" t="str">
        <f>IFERROR(__xludf.DUMMYFUNCTION("""COMPUTED_VALUE"""),"")</f>
        <v/>
      </c>
      <c r="AB92" s="233" t="str">
        <f>IFERROR(__xludf.DUMMYFUNCTION("""COMPUTED_VALUE"""),"")</f>
        <v/>
      </c>
      <c r="AC92" s="231" t="str">
        <f>IFERROR(__xludf.DUMMYFUNCTION("""COMPUTED_VALUE"""),"")</f>
        <v/>
      </c>
      <c r="AD92" s="232" t="str">
        <f>IFERROR(__xludf.DUMMYFUNCTION("""COMPUTED_VALUE"""),"")</f>
        <v/>
      </c>
      <c r="AE92" s="233" t="str">
        <f>IFERROR(__xludf.DUMMYFUNCTION("""COMPUTED_VALUE"""),"")</f>
        <v/>
      </c>
      <c r="AF92" s="231" t="str">
        <f>IFERROR(__xludf.DUMMYFUNCTION("""COMPUTED_VALUE"""),"")</f>
        <v/>
      </c>
      <c r="AG92" s="232">
        <f>IFERROR(__xludf.DUMMYFUNCTION("""COMPUTED_VALUE"""),11.4)</f>
        <v>11.4</v>
      </c>
      <c r="AH92" s="233" t="str">
        <f>IFERROR(__xludf.DUMMYFUNCTION("""COMPUTED_VALUE"""),"")</f>
        <v/>
      </c>
      <c r="AI92" s="231" t="str">
        <f>IFERROR(__xludf.DUMMYFUNCTION("""COMPUTED_VALUE"""),"")</f>
        <v/>
      </c>
      <c r="AJ92" s="232" t="str">
        <f>IFERROR(__xludf.DUMMYFUNCTION("""COMPUTED_VALUE"""),"")</f>
        <v/>
      </c>
      <c r="AK92" s="233" t="str">
        <f>IFERROR(__xludf.DUMMYFUNCTION("""COMPUTED_VALUE"""),"")</f>
        <v/>
      </c>
      <c r="AL92" s="231" t="str">
        <f>IFERROR(__xludf.DUMMYFUNCTION("""COMPUTED_VALUE"""),"")</f>
        <v/>
      </c>
      <c r="AM92" s="232" t="str">
        <f>IFERROR(__xludf.DUMMYFUNCTION("""COMPUTED_VALUE"""),"")</f>
        <v/>
      </c>
      <c r="AN92" s="233" t="str">
        <f>IFERROR(__xludf.DUMMYFUNCTION("""COMPUTED_VALUE"""),"")</f>
        <v/>
      </c>
      <c r="AO92" s="231" t="str">
        <f>IFERROR(__xludf.DUMMYFUNCTION("""COMPUTED_VALUE"""),"")</f>
        <v/>
      </c>
      <c r="AP92" s="232" t="str">
        <f>IFERROR(__xludf.DUMMYFUNCTION("""COMPUTED_VALUE"""),"")</f>
        <v/>
      </c>
      <c r="AQ92" s="233" t="str">
        <f>IFERROR(__xludf.DUMMYFUNCTION("""COMPUTED_VALUE"""),"")</f>
        <v/>
      </c>
      <c r="AR92" s="231" t="str">
        <f>IFERROR(__xludf.DUMMYFUNCTION("""COMPUTED_VALUE"""),"")</f>
        <v/>
      </c>
      <c r="AS92" s="232" t="str">
        <f>IFERROR(__xludf.DUMMYFUNCTION("""COMPUTED_VALUE"""),"")</f>
        <v/>
      </c>
      <c r="AT92" s="233" t="str">
        <f>IFERROR(__xludf.DUMMYFUNCTION("""COMPUTED_VALUE"""),"")</f>
        <v/>
      </c>
      <c r="AU92" s="231" t="str">
        <f>IFERROR(__xludf.DUMMYFUNCTION("""COMPUTED_VALUE"""),"")</f>
        <v/>
      </c>
      <c r="AV92" s="232" t="str">
        <f>IFERROR(__xludf.DUMMYFUNCTION("""COMPUTED_VALUE"""),"")</f>
        <v/>
      </c>
      <c r="AW92" s="233" t="str">
        <f>IFERROR(__xludf.DUMMYFUNCTION("""COMPUTED_VALUE"""),"")</f>
        <v/>
      </c>
      <c r="AX92" s="231" t="str">
        <f>IFERROR(__xludf.DUMMYFUNCTION("""COMPUTED_VALUE"""),"")</f>
        <v/>
      </c>
      <c r="AY92" s="232" t="str">
        <f>IFERROR(__xludf.DUMMYFUNCTION("""COMPUTED_VALUE"""),"")</f>
        <v/>
      </c>
      <c r="AZ92" s="233" t="str">
        <f>IFERROR(__xludf.DUMMYFUNCTION("""COMPUTED_VALUE"""),"")</f>
        <v/>
      </c>
      <c r="BA92" s="231" t="str">
        <f>IFERROR(__xludf.DUMMYFUNCTION("""COMPUTED_VALUE"""),"")</f>
        <v/>
      </c>
      <c r="BB92" s="232" t="str">
        <f>IFERROR(__xludf.DUMMYFUNCTION("""COMPUTED_VALUE"""),"")</f>
        <v/>
      </c>
      <c r="BC92" s="233" t="str">
        <f>IFERROR(__xludf.DUMMYFUNCTION("""COMPUTED_VALUE"""),"")</f>
        <v/>
      </c>
      <c r="BD92" s="231" t="str">
        <f>IFERROR(__xludf.DUMMYFUNCTION("""COMPUTED_VALUE"""),"")</f>
        <v/>
      </c>
      <c r="BE92" s="232" t="str">
        <f>IFERROR(__xludf.DUMMYFUNCTION("""COMPUTED_VALUE"""),"")</f>
        <v/>
      </c>
      <c r="BF92" s="233" t="str">
        <f>IFERROR(__xludf.DUMMYFUNCTION("""COMPUTED_VALUE"""),"")</f>
        <v/>
      </c>
      <c r="BG92" s="231" t="str">
        <f>IFERROR(__xludf.DUMMYFUNCTION("""COMPUTED_VALUE"""),"")</f>
        <v/>
      </c>
      <c r="BH92" s="232" t="str">
        <f>IFERROR(__xludf.DUMMYFUNCTION("""COMPUTED_VALUE"""),"")</f>
        <v/>
      </c>
      <c r="BI92" s="233" t="str">
        <f>IFERROR(__xludf.DUMMYFUNCTION("""COMPUTED_VALUE"""),"")</f>
        <v/>
      </c>
      <c r="BJ92" s="231" t="str">
        <f>IFERROR(__xludf.DUMMYFUNCTION("""COMPUTED_VALUE"""),"")</f>
        <v/>
      </c>
      <c r="BK92" s="232" t="str">
        <f>IFERROR(__xludf.DUMMYFUNCTION("""COMPUTED_VALUE"""),"")</f>
        <v/>
      </c>
      <c r="BL92" s="233" t="str">
        <f>IFERROR(__xludf.DUMMYFUNCTION("""COMPUTED_VALUE"""),"")</f>
        <v/>
      </c>
      <c r="BM92" s="231" t="str">
        <f>IFERROR(__xludf.DUMMYFUNCTION("""COMPUTED_VALUE"""),"")</f>
        <v/>
      </c>
      <c r="BN92" s="232" t="str">
        <f>IFERROR(__xludf.DUMMYFUNCTION("""COMPUTED_VALUE"""),"")</f>
        <v/>
      </c>
      <c r="BO92" s="233" t="str">
        <f>IFERROR(__xludf.DUMMYFUNCTION("""COMPUTED_VALUE"""),"")</f>
        <v/>
      </c>
      <c r="BP92" s="231" t="str">
        <f>IFERROR(__xludf.DUMMYFUNCTION("""COMPUTED_VALUE"""),"")</f>
        <v/>
      </c>
      <c r="BQ92" s="232" t="str">
        <f>IFERROR(__xludf.DUMMYFUNCTION("""COMPUTED_VALUE"""),"")</f>
        <v/>
      </c>
      <c r="BR92" s="233" t="str">
        <f>IFERROR(__xludf.DUMMYFUNCTION("""COMPUTED_VALUE"""),"")</f>
        <v/>
      </c>
      <c r="BS92" s="231">
        <f>IFERROR(__xludf.DUMMYFUNCTION("""COMPUTED_VALUE"""),56.5)</f>
        <v>56.5</v>
      </c>
      <c r="BT92" s="232" t="str">
        <f>IFERROR(__xludf.DUMMYFUNCTION("""COMPUTED_VALUE"""),"")</f>
        <v/>
      </c>
      <c r="BU92" s="233" t="str">
        <f>IFERROR(__xludf.DUMMYFUNCTION("""COMPUTED_VALUE"""),"")</f>
        <v/>
      </c>
      <c r="BV92" s="231" t="str">
        <f>IFERROR(__xludf.DUMMYFUNCTION("""COMPUTED_VALUE"""),"")</f>
        <v/>
      </c>
      <c r="BW92" s="232" t="str">
        <f>IFERROR(__xludf.DUMMYFUNCTION("""COMPUTED_VALUE"""),"")</f>
        <v/>
      </c>
      <c r="BX92" s="233" t="str">
        <f>IFERROR(__xludf.DUMMYFUNCTION("""COMPUTED_VALUE"""),"")</f>
        <v/>
      </c>
      <c r="BY92" s="231" t="str">
        <f>IFERROR(__xludf.DUMMYFUNCTION("""COMPUTED_VALUE"""),"")</f>
        <v/>
      </c>
      <c r="BZ92" s="232" t="str">
        <f>IFERROR(__xludf.DUMMYFUNCTION("""COMPUTED_VALUE"""),"")</f>
        <v/>
      </c>
      <c r="CA92" s="233" t="str">
        <f>IFERROR(__xludf.DUMMYFUNCTION("""COMPUTED_VALUE"""),"")</f>
        <v/>
      </c>
      <c r="CB92" s="231" t="str">
        <f>IFERROR(__xludf.DUMMYFUNCTION("""COMPUTED_VALUE"""),"")</f>
        <v/>
      </c>
      <c r="CC92" s="232" t="str">
        <f>IFERROR(__xludf.DUMMYFUNCTION("""COMPUTED_VALUE"""),"")</f>
        <v/>
      </c>
      <c r="CD92" s="233" t="str">
        <f>IFERROR(__xludf.DUMMYFUNCTION("""COMPUTED_VALUE"""),"")</f>
        <v/>
      </c>
      <c r="CE92" s="234" t="str">
        <f>IFERROR(__xludf.DUMMYFUNCTION("""COMPUTED_VALUE"""),"")</f>
        <v/>
      </c>
      <c r="CF92" s="230" t="str">
        <f>IFERROR(__xludf.DUMMYFUNCTION("""COMPUTED_VALUE"""),"")</f>
        <v/>
      </c>
      <c r="CG92" s="235" t="str">
        <f>IFERROR(__xludf.DUMMYFUNCTION("""COMPUTED_VALUE"""),"")</f>
        <v/>
      </c>
      <c r="CH92" s="234" t="str">
        <f>IFERROR(__xludf.DUMMYFUNCTION("""COMPUTED_VALUE"""),"")</f>
        <v/>
      </c>
      <c r="CI92" s="230" t="str">
        <f>IFERROR(__xludf.DUMMYFUNCTION("""COMPUTED_VALUE"""),"")</f>
        <v/>
      </c>
      <c r="CJ92" s="235" t="str">
        <f>IFERROR(__xludf.DUMMYFUNCTION("""COMPUTED_VALUE"""),"")</f>
        <v/>
      </c>
      <c r="CK92" s="95" t="str">
        <f>IFERROR(__xludf.DUMMYFUNCTION("""COMPUTED_VALUE"""),"")</f>
        <v/>
      </c>
      <c r="CL92" s="96" t="str">
        <f>IFERROR(__xludf.DUMMYFUNCTION("""COMPUTED_VALUE"""),"")</f>
        <v/>
      </c>
      <c r="CM92" s="97" t="str">
        <f>IFERROR(__xludf.DUMMYFUNCTION("""COMPUTED_VALUE"""),"")</f>
        <v/>
      </c>
      <c r="CN92" s="95" t="str">
        <f>IFERROR(__xludf.DUMMYFUNCTION("""COMPUTED_VALUE"""),"")</f>
        <v/>
      </c>
      <c r="CO92" s="96" t="str">
        <f>IFERROR(__xludf.DUMMYFUNCTION("""COMPUTED_VALUE"""),"")</f>
        <v/>
      </c>
      <c r="CP92" s="97" t="str">
        <f>IFERROR(__xludf.DUMMYFUNCTION("""COMPUTED_VALUE"""),"")</f>
        <v/>
      </c>
      <c r="CQ92" s="95" t="str">
        <f>IFERROR(__xludf.DUMMYFUNCTION("""COMPUTED_VALUE"""),"")</f>
        <v/>
      </c>
      <c r="CR92" s="96" t="str">
        <f>IFERROR(__xludf.DUMMYFUNCTION("""COMPUTED_VALUE"""),"")</f>
        <v/>
      </c>
      <c r="CS92" s="97" t="str">
        <f>IFERROR(__xludf.DUMMYFUNCTION("""COMPUTED_VALUE"""),"#REF!")</f>
        <v>#REF!</v>
      </c>
      <c r="CT92" s="95" t="str">
        <f>IFERROR(__xludf.DUMMYFUNCTION("""COMPUTED_VALUE"""),"#REF!")</f>
        <v>#REF!</v>
      </c>
      <c r="CU92" s="96" t="str">
        <f>IFERROR(__xludf.DUMMYFUNCTION("""COMPUTED_VALUE"""),"#REF!")</f>
        <v>#REF!</v>
      </c>
      <c r="CV92" s="97" t="str">
        <f>IFERROR(__xludf.DUMMYFUNCTION("""COMPUTED_VALUE"""),"#REF!")</f>
        <v>#REF!</v>
      </c>
      <c r="CW92" s="95" t="str">
        <f>IFERROR(__xludf.DUMMYFUNCTION("""COMPUTED_VALUE"""),"#REF!")</f>
        <v>#REF!</v>
      </c>
      <c r="CX92" s="96" t="str">
        <f>IFERROR(__xludf.DUMMYFUNCTION("""COMPUTED_VALUE"""),"#REF!")</f>
        <v>#REF!</v>
      </c>
      <c r="CY92" s="97" t="str">
        <f>IFERROR(__xludf.DUMMYFUNCTION("""COMPUTED_VALUE"""),"#REF!")</f>
        <v>#REF!</v>
      </c>
      <c r="CZ92" s="95" t="str">
        <f>IFERROR(__xludf.DUMMYFUNCTION("""COMPUTED_VALUE"""),"#REF!")</f>
        <v>#REF!</v>
      </c>
      <c r="DA92" s="96" t="str">
        <f>IFERROR(__xludf.DUMMYFUNCTION("""COMPUTED_VALUE"""),"#REF!")</f>
        <v>#REF!</v>
      </c>
      <c r="DB92" s="97" t="str">
        <f>IFERROR(__xludf.DUMMYFUNCTION("""COMPUTED_VALUE"""),"#REF!")</f>
        <v>#REF!</v>
      </c>
      <c r="DC92" s="95" t="str">
        <f>IFERROR(__xludf.DUMMYFUNCTION("""COMPUTED_VALUE"""),"#REF!")</f>
        <v>#REF!</v>
      </c>
      <c r="DD92" s="96" t="str">
        <f>IFERROR(__xludf.DUMMYFUNCTION("""COMPUTED_VALUE"""),"#REF!")</f>
        <v>#REF!</v>
      </c>
      <c r="DE92" s="97" t="str">
        <f>IFERROR(__xludf.DUMMYFUNCTION("""COMPUTED_VALUE"""),"#REF!")</f>
        <v>#REF!</v>
      </c>
      <c r="DF92" s="95" t="str">
        <f>IFERROR(__xludf.DUMMYFUNCTION("""COMPUTED_VALUE"""),"#REF!")</f>
        <v>#REF!</v>
      </c>
      <c r="DG92" s="96" t="str">
        <f>IFERROR(__xludf.DUMMYFUNCTION("""COMPUTED_VALUE"""),"#REF!")</f>
        <v>#REF!</v>
      </c>
      <c r="DH92" s="97" t="str">
        <f>IFERROR(__xludf.DUMMYFUNCTION("""COMPUTED_VALUE"""),"#REF!")</f>
        <v>#REF!</v>
      </c>
      <c r="DI92" s="95" t="str">
        <f>IFERROR(__xludf.DUMMYFUNCTION("""COMPUTED_VALUE"""),"#REF!")</f>
        <v>#REF!</v>
      </c>
      <c r="DJ92" s="96" t="str">
        <f>IFERROR(__xludf.DUMMYFUNCTION("""COMPUTED_VALUE"""),"#REF!")</f>
        <v>#REF!</v>
      </c>
      <c r="DK92" s="97" t="str">
        <f>IFERROR(__xludf.DUMMYFUNCTION("""COMPUTED_VALUE"""),"#REF!")</f>
        <v>#REF!</v>
      </c>
      <c r="DL92" s="95" t="str">
        <f>IFERROR(__xludf.DUMMYFUNCTION("""COMPUTED_VALUE"""),"#REF!")</f>
        <v>#REF!</v>
      </c>
      <c r="DM92" s="96" t="str">
        <f>IFERROR(__xludf.DUMMYFUNCTION("""COMPUTED_VALUE"""),"#REF!")</f>
        <v>#REF!</v>
      </c>
      <c r="DN92" s="97" t="str">
        <f>IFERROR(__xludf.DUMMYFUNCTION("""COMPUTED_VALUE"""),"#REF!")</f>
        <v>#REF!</v>
      </c>
      <c r="DO92" s="95" t="str">
        <f>IFERROR(__xludf.DUMMYFUNCTION("""COMPUTED_VALUE"""),"#REF!")</f>
        <v>#REF!</v>
      </c>
      <c r="DP92" s="96" t="str">
        <f>IFERROR(__xludf.DUMMYFUNCTION("""COMPUTED_VALUE"""),"#REF!")</f>
        <v>#REF!</v>
      </c>
      <c r="DQ92" s="97"/>
      <c r="DR92" s="95"/>
    </row>
    <row r="93">
      <c r="B93" s="120" t="str">
        <f>IFERROR(__xludf.DUMMYFUNCTION("""COMPUTED_VALUE"""),"LDN4")</f>
        <v>LDN4</v>
      </c>
      <c r="C93" s="82">
        <f>IFERROR(__xludf.DUMMYFUNCTION("""COMPUTED_VALUE"""),80.0)</f>
        <v>80</v>
      </c>
      <c r="D93" s="88" t="str">
        <f>IFERROR(__xludf.DUMMYFUNCTION("""COMPUTED_VALUE"""),"Soho")</f>
        <v>Soho</v>
      </c>
      <c r="E93" s="82" t="str">
        <f>IFERROR(__xludf.DUMMYFUNCTION("""COMPUTED_VALUE"""),"ソーホー")</f>
        <v>ソーホー</v>
      </c>
      <c r="F93" s="102">
        <f>IFERROR(__xludf.DUMMYFUNCTION("""COMPUTED_VALUE"""),16.0)</f>
        <v>16</v>
      </c>
      <c r="G93" s="82">
        <f>IFERROR(__xludf.DUMMYFUNCTION("""COMPUTED_VALUE"""),1106.0)</f>
        <v>1106</v>
      </c>
      <c r="H93" s="231" t="str">
        <f>IFERROR(__xludf.DUMMYFUNCTION("""COMPUTED_VALUE"""),"")</f>
        <v/>
      </c>
      <c r="I93" s="232" t="str">
        <f>IFERROR(__xludf.DUMMYFUNCTION("""COMPUTED_VALUE"""),"")</f>
        <v/>
      </c>
      <c r="J93" s="233" t="str">
        <f>IFERROR(__xludf.DUMMYFUNCTION("""COMPUTED_VALUE"""),"")</f>
        <v/>
      </c>
      <c r="K93" s="231" t="str">
        <f>IFERROR(__xludf.DUMMYFUNCTION("""COMPUTED_VALUE"""),"")</f>
        <v/>
      </c>
      <c r="L93" s="232" t="str">
        <f>IFERROR(__xludf.DUMMYFUNCTION("""COMPUTED_VALUE"""),"")</f>
        <v/>
      </c>
      <c r="M93" s="233" t="str">
        <f>IFERROR(__xludf.DUMMYFUNCTION("""COMPUTED_VALUE"""),"")</f>
        <v/>
      </c>
      <c r="N93" s="231" t="str">
        <f>IFERROR(__xludf.DUMMYFUNCTION("""COMPUTED_VALUE"""),"")</f>
        <v/>
      </c>
      <c r="O93" s="232" t="str">
        <f>IFERROR(__xludf.DUMMYFUNCTION("""COMPUTED_VALUE"""),"")</f>
        <v/>
      </c>
      <c r="P93" s="233" t="str">
        <f>IFERROR(__xludf.DUMMYFUNCTION("""COMPUTED_VALUE"""),"")</f>
        <v/>
      </c>
      <c r="Q93" s="231" t="str">
        <f>IFERROR(__xludf.DUMMYFUNCTION("""COMPUTED_VALUE"""),"")</f>
        <v/>
      </c>
      <c r="R93" s="232" t="str">
        <f>IFERROR(__xludf.DUMMYFUNCTION("""COMPUTED_VALUE"""),"")</f>
        <v/>
      </c>
      <c r="S93" s="233" t="str">
        <f>IFERROR(__xludf.DUMMYFUNCTION("""COMPUTED_VALUE"""),"")</f>
        <v/>
      </c>
      <c r="T93" s="231" t="str">
        <f>IFERROR(__xludf.DUMMYFUNCTION("""COMPUTED_VALUE"""),"")</f>
        <v/>
      </c>
      <c r="U93" s="232" t="str">
        <f>IFERROR(__xludf.DUMMYFUNCTION("""COMPUTED_VALUE"""),"")</f>
        <v/>
      </c>
      <c r="V93" s="233" t="str">
        <f>IFERROR(__xludf.DUMMYFUNCTION("""COMPUTED_VALUE"""),"")</f>
        <v/>
      </c>
      <c r="W93" s="231" t="str">
        <f>IFERROR(__xludf.DUMMYFUNCTION("""COMPUTED_VALUE"""),"")</f>
        <v/>
      </c>
      <c r="X93" s="232" t="str">
        <f>IFERROR(__xludf.DUMMYFUNCTION("""COMPUTED_VALUE"""),"")</f>
        <v/>
      </c>
      <c r="Y93" s="233" t="str">
        <f>IFERROR(__xludf.DUMMYFUNCTION("""COMPUTED_VALUE"""),"")</f>
        <v/>
      </c>
      <c r="Z93" s="231" t="str">
        <f>IFERROR(__xludf.DUMMYFUNCTION("""COMPUTED_VALUE"""),"")</f>
        <v/>
      </c>
      <c r="AA93" s="232" t="str">
        <f>IFERROR(__xludf.DUMMYFUNCTION("""COMPUTED_VALUE"""),"")</f>
        <v/>
      </c>
      <c r="AB93" s="233" t="str">
        <f>IFERROR(__xludf.DUMMYFUNCTION("""COMPUTED_VALUE"""),"")</f>
        <v/>
      </c>
      <c r="AC93" s="231" t="str">
        <f>IFERROR(__xludf.DUMMYFUNCTION("""COMPUTED_VALUE"""),"")</f>
        <v/>
      </c>
      <c r="AD93" s="232" t="str">
        <f>IFERROR(__xludf.DUMMYFUNCTION("""COMPUTED_VALUE"""),"")</f>
        <v/>
      </c>
      <c r="AE93" s="233">
        <f>IFERROR(__xludf.DUMMYFUNCTION("""COMPUTED_VALUE"""),5.8)</f>
        <v>5.8</v>
      </c>
      <c r="AF93" s="231" t="str">
        <f>IFERROR(__xludf.DUMMYFUNCTION("""COMPUTED_VALUE"""),"")</f>
        <v/>
      </c>
      <c r="AG93" s="232">
        <f>IFERROR(__xludf.DUMMYFUNCTION("""COMPUTED_VALUE"""),9.1)</f>
        <v>9.1</v>
      </c>
      <c r="AH93" s="233" t="str">
        <f>IFERROR(__xludf.DUMMYFUNCTION("""COMPUTED_VALUE"""),"")</f>
        <v/>
      </c>
      <c r="AI93" s="231" t="str">
        <f>IFERROR(__xludf.DUMMYFUNCTION("""COMPUTED_VALUE"""),"")</f>
        <v/>
      </c>
      <c r="AJ93" s="232" t="str">
        <f>IFERROR(__xludf.DUMMYFUNCTION("""COMPUTED_VALUE"""),"")</f>
        <v/>
      </c>
      <c r="AK93" s="233" t="str">
        <f>IFERROR(__xludf.DUMMYFUNCTION("""COMPUTED_VALUE"""),"")</f>
        <v/>
      </c>
      <c r="AL93" s="231" t="str">
        <f>IFERROR(__xludf.DUMMYFUNCTION("""COMPUTED_VALUE"""),"")</f>
        <v/>
      </c>
      <c r="AM93" s="232" t="str">
        <f>IFERROR(__xludf.DUMMYFUNCTION("""COMPUTED_VALUE"""),"")</f>
        <v/>
      </c>
      <c r="AN93" s="233" t="str">
        <f>IFERROR(__xludf.DUMMYFUNCTION("""COMPUTED_VALUE"""),"")</f>
        <v/>
      </c>
      <c r="AO93" s="231" t="str">
        <f>IFERROR(__xludf.DUMMYFUNCTION("""COMPUTED_VALUE"""),"")</f>
        <v/>
      </c>
      <c r="AP93" s="232" t="str">
        <f>IFERROR(__xludf.DUMMYFUNCTION("""COMPUTED_VALUE"""),"")</f>
        <v/>
      </c>
      <c r="AQ93" s="233" t="str">
        <f>IFERROR(__xludf.DUMMYFUNCTION("""COMPUTED_VALUE"""),"")</f>
        <v/>
      </c>
      <c r="AR93" s="231" t="str">
        <f>IFERROR(__xludf.DUMMYFUNCTION("""COMPUTED_VALUE"""),"")</f>
        <v/>
      </c>
      <c r="AS93" s="232" t="str">
        <f>IFERROR(__xludf.DUMMYFUNCTION("""COMPUTED_VALUE"""),"")</f>
        <v/>
      </c>
      <c r="AT93" s="233" t="str">
        <f>IFERROR(__xludf.DUMMYFUNCTION("""COMPUTED_VALUE"""),"")</f>
        <v/>
      </c>
      <c r="AU93" s="231" t="str">
        <f>IFERROR(__xludf.DUMMYFUNCTION("""COMPUTED_VALUE"""),"")</f>
        <v/>
      </c>
      <c r="AV93" s="232" t="str">
        <f>IFERROR(__xludf.DUMMYFUNCTION("""COMPUTED_VALUE"""),"")</f>
        <v/>
      </c>
      <c r="AW93" s="233">
        <f>IFERROR(__xludf.DUMMYFUNCTION("""COMPUTED_VALUE"""),16.5)</f>
        <v>16.5</v>
      </c>
      <c r="AX93" s="231" t="str">
        <f>IFERROR(__xludf.DUMMYFUNCTION("""COMPUTED_VALUE"""),"")</f>
        <v/>
      </c>
      <c r="AY93" s="232" t="str">
        <f>IFERROR(__xludf.DUMMYFUNCTION("""COMPUTED_VALUE"""),"")</f>
        <v/>
      </c>
      <c r="AZ93" s="233" t="str">
        <f>IFERROR(__xludf.DUMMYFUNCTION("""COMPUTED_VALUE"""),"")</f>
        <v/>
      </c>
      <c r="BA93" s="231" t="str">
        <f>IFERROR(__xludf.DUMMYFUNCTION("""COMPUTED_VALUE"""),"")</f>
        <v/>
      </c>
      <c r="BB93" s="232" t="str">
        <f>IFERROR(__xludf.DUMMYFUNCTION("""COMPUTED_VALUE"""),"")</f>
        <v/>
      </c>
      <c r="BC93" s="233" t="str">
        <f>IFERROR(__xludf.DUMMYFUNCTION("""COMPUTED_VALUE"""),"")</f>
        <v/>
      </c>
      <c r="BD93" s="231" t="str">
        <f>IFERROR(__xludf.DUMMYFUNCTION("""COMPUTED_VALUE"""),"")</f>
        <v/>
      </c>
      <c r="BE93" s="232" t="str">
        <f>IFERROR(__xludf.DUMMYFUNCTION("""COMPUTED_VALUE"""),"")</f>
        <v/>
      </c>
      <c r="BF93" s="233" t="str">
        <f>IFERROR(__xludf.DUMMYFUNCTION("""COMPUTED_VALUE"""),"")</f>
        <v/>
      </c>
      <c r="BG93" s="231" t="str">
        <f>IFERROR(__xludf.DUMMYFUNCTION("""COMPUTED_VALUE"""),"")</f>
        <v/>
      </c>
      <c r="BH93" s="232" t="str">
        <f>IFERROR(__xludf.DUMMYFUNCTION("""COMPUTED_VALUE"""),"")</f>
        <v/>
      </c>
      <c r="BI93" s="233" t="str">
        <f>IFERROR(__xludf.DUMMYFUNCTION("""COMPUTED_VALUE"""),"")</f>
        <v/>
      </c>
      <c r="BJ93" s="231" t="str">
        <f>IFERROR(__xludf.DUMMYFUNCTION("""COMPUTED_VALUE"""),"")</f>
        <v/>
      </c>
      <c r="BK93" s="232" t="str">
        <f>IFERROR(__xludf.DUMMYFUNCTION("""COMPUTED_VALUE"""),"")</f>
        <v/>
      </c>
      <c r="BL93" s="233">
        <f>IFERROR(__xludf.DUMMYFUNCTION("""COMPUTED_VALUE"""),4.8)</f>
        <v>4.8</v>
      </c>
      <c r="BM93" s="231" t="str">
        <f>IFERROR(__xludf.DUMMYFUNCTION("""COMPUTED_VALUE"""),"")</f>
        <v/>
      </c>
      <c r="BN93" s="232" t="str">
        <f>IFERROR(__xludf.DUMMYFUNCTION("""COMPUTED_VALUE"""),"")</f>
        <v/>
      </c>
      <c r="BO93" s="233">
        <f>IFERROR(__xludf.DUMMYFUNCTION("""COMPUTED_VALUE"""),5.9)</f>
        <v>5.9</v>
      </c>
      <c r="BP93" s="231" t="str">
        <f>IFERROR(__xludf.DUMMYFUNCTION("""COMPUTED_VALUE"""),"")</f>
        <v/>
      </c>
      <c r="BQ93" s="232" t="str">
        <f>IFERROR(__xludf.DUMMYFUNCTION("""COMPUTED_VALUE"""),"")</f>
        <v/>
      </c>
      <c r="BR93" s="233" t="str">
        <f>IFERROR(__xludf.DUMMYFUNCTION("""COMPUTED_VALUE"""),"")</f>
        <v/>
      </c>
      <c r="BS93" s="231">
        <f>IFERROR(__xludf.DUMMYFUNCTION("""COMPUTED_VALUE"""),6.5)</f>
        <v>6.5</v>
      </c>
      <c r="BT93" s="232" t="str">
        <f>IFERROR(__xludf.DUMMYFUNCTION("""COMPUTED_VALUE"""),"")</f>
        <v/>
      </c>
      <c r="BU93" s="233" t="str">
        <f>IFERROR(__xludf.DUMMYFUNCTION("""COMPUTED_VALUE"""),"")</f>
        <v/>
      </c>
      <c r="BV93" s="231">
        <f>IFERROR(__xludf.DUMMYFUNCTION("""COMPUTED_VALUE"""),9.3)</f>
        <v>9.3</v>
      </c>
      <c r="BW93" s="232" t="str">
        <f>IFERROR(__xludf.DUMMYFUNCTION("""COMPUTED_VALUE"""),"")</f>
        <v/>
      </c>
      <c r="BX93" s="233" t="str">
        <f>IFERROR(__xludf.DUMMYFUNCTION("""COMPUTED_VALUE"""),"")</f>
        <v/>
      </c>
      <c r="BY93" s="231" t="str">
        <f>IFERROR(__xludf.DUMMYFUNCTION("""COMPUTED_VALUE"""),"")</f>
        <v/>
      </c>
      <c r="BZ93" s="232" t="str">
        <f>IFERROR(__xludf.DUMMYFUNCTION("""COMPUTED_VALUE"""),"")</f>
        <v/>
      </c>
      <c r="CA93" s="233" t="str">
        <f>IFERROR(__xludf.DUMMYFUNCTION("""COMPUTED_VALUE"""),"")</f>
        <v/>
      </c>
      <c r="CB93" s="231">
        <f>IFERROR(__xludf.DUMMYFUNCTION("""COMPUTED_VALUE"""),4.7)</f>
        <v>4.7</v>
      </c>
      <c r="CC93" s="232" t="str">
        <f>IFERROR(__xludf.DUMMYFUNCTION("""COMPUTED_VALUE"""),"")</f>
        <v/>
      </c>
      <c r="CD93" s="233" t="str">
        <f>IFERROR(__xludf.DUMMYFUNCTION("""COMPUTED_VALUE"""),"")</f>
        <v/>
      </c>
      <c r="CE93" s="234" t="str">
        <f>IFERROR(__xludf.DUMMYFUNCTION("""COMPUTED_VALUE"""),"")</f>
        <v/>
      </c>
      <c r="CF93" s="230" t="str">
        <f>IFERROR(__xludf.DUMMYFUNCTION("""COMPUTED_VALUE"""),"")</f>
        <v/>
      </c>
      <c r="CG93" s="235" t="str">
        <f>IFERROR(__xludf.DUMMYFUNCTION("""COMPUTED_VALUE"""),"")</f>
        <v/>
      </c>
      <c r="CH93" s="234" t="str">
        <f>IFERROR(__xludf.DUMMYFUNCTION("""COMPUTED_VALUE"""),"")</f>
        <v/>
      </c>
      <c r="CI93" s="230">
        <f>IFERROR(__xludf.DUMMYFUNCTION("""COMPUTED_VALUE"""),8.6)</f>
        <v>8.6</v>
      </c>
      <c r="CJ93" s="235" t="str">
        <f>IFERROR(__xludf.DUMMYFUNCTION("""COMPUTED_VALUE"""),"")</f>
        <v/>
      </c>
      <c r="CK93" s="95" t="str">
        <f>IFERROR(__xludf.DUMMYFUNCTION("""COMPUTED_VALUE"""),"")</f>
        <v/>
      </c>
      <c r="CL93" s="96" t="str">
        <f>IFERROR(__xludf.DUMMYFUNCTION("""COMPUTED_VALUE"""),"")</f>
        <v/>
      </c>
      <c r="CM93" s="97" t="str">
        <f>IFERROR(__xludf.DUMMYFUNCTION("""COMPUTED_VALUE"""),"")</f>
        <v/>
      </c>
      <c r="CN93" s="95" t="str">
        <f>IFERROR(__xludf.DUMMYFUNCTION("""COMPUTED_VALUE"""),"")</f>
        <v/>
      </c>
      <c r="CO93" s="96" t="str">
        <f>IFERROR(__xludf.DUMMYFUNCTION("""COMPUTED_VALUE"""),"")</f>
        <v/>
      </c>
      <c r="CP93" s="97" t="str">
        <f>IFERROR(__xludf.DUMMYFUNCTION("""COMPUTED_VALUE"""),"")</f>
        <v/>
      </c>
      <c r="CQ93" s="95" t="str">
        <f>IFERROR(__xludf.DUMMYFUNCTION("""COMPUTED_VALUE"""),"")</f>
        <v/>
      </c>
      <c r="CR93" s="96" t="str">
        <f>IFERROR(__xludf.DUMMYFUNCTION("""COMPUTED_VALUE"""),"")</f>
        <v/>
      </c>
      <c r="CS93" s="97" t="str">
        <f>IFERROR(__xludf.DUMMYFUNCTION("""COMPUTED_VALUE"""),"#REF!")</f>
        <v>#REF!</v>
      </c>
      <c r="CT93" s="95" t="str">
        <f>IFERROR(__xludf.DUMMYFUNCTION("""COMPUTED_VALUE"""),"#REF!")</f>
        <v>#REF!</v>
      </c>
      <c r="CU93" s="96" t="str">
        <f>IFERROR(__xludf.DUMMYFUNCTION("""COMPUTED_VALUE"""),"#REF!")</f>
        <v>#REF!</v>
      </c>
      <c r="CV93" s="97" t="str">
        <f>IFERROR(__xludf.DUMMYFUNCTION("""COMPUTED_VALUE"""),"#REF!")</f>
        <v>#REF!</v>
      </c>
      <c r="CW93" s="95" t="str">
        <f>IFERROR(__xludf.DUMMYFUNCTION("""COMPUTED_VALUE"""),"#REF!")</f>
        <v>#REF!</v>
      </c>
      <c r="CX93" s="96" t="str">
        <f>IFERROR(__xludf.DUMMYFUNCTION("""COMPUTED_VALUE"""),"#REF!")</f>
        <v>#REF!</v>
      </c>
      <c r="CY93" s="97" t="str">
        <f>IFERROR(__xludf.DUMMYFUNCTION("""COMPUTED_VALUE"""),"#REF!")</f>
        <v>#REF!</v>
      </c>
      <c r="CZ93" s="95" t="str">
        <f>IFERROR(__xludf.DUMMYFUNCTION("""COMPUTED_VALUE"""),"#REF!")</f>
        <v>#REF!</v>
      </c>
      <c r="DA93" s="96" t="str">
        <f>IFERROR(__xludf.DUMMYFUNCTION("""COMPUTED_VALUE"""),"#REF!")</f>
        <v>#REF!</v>
      </c>
      <c r="DB93" s="97" t="str">
        <f>IFERROR(__xludf.DUMMYFUNCTION("""COMPUTED_VALUE"""),"#REF!")</f>
        <v>#REF!</v>
      </c>
      <c r="DC93" s="95" t="str">
        <f>IFERROR(__xludf.DUMMYFUNCTION("""COMPUTED_VALUE"""),"#REF!")</f>
        <v>#REF!</v>
      </c>
      <c r="DD93" s="96" t="str">
        <f>IFERROR(__xludf.DUMMYFUNCTION("""COMPUTED_VALUE"""),"#REF!")</f>
        <v>#REF!</v>
      </c>
      <c r="DE93" s="97" t="str">
        <f>IFERROR(__xludf.DUMMYFUNCTION("""COMPUTED_VALUE"""),"#REF!")</f>
        <v>#REF!</v>
      </c>
      <c r="DF93" s="95" t="str">
        <f>IFERROR(__xludf.DUMMYFUNCTION("""COMPUTED_VALUE"""),"#REF!")</f>
        <v>#REF!</v>
      </c>
      <c r="DG93" s="96" t="str">
        <f>IFERROR(__xludf.DUMMYFUNCTION("""COMPUTED_VALUE"""),"#REF!")</f>
        <v>#REF!</v>
      </c>
      <c r="DH93" s="97" t="str">
        <f>IFERROR(__xludf.DUMMYFUNCTION("""COMPUTED_VALUE"""),"#REF!")</f>
        <v>#REF!</v>
      </c>
      <c r="DI93" s="95" t="str">
        <f>IFERROR(__xludf.DUMMYFUNCTION("""COMPUTED_VALUE"""),"#REF!")</f>
        <v>#REF!</v>
      </c>
      <c r="DJ93" s="96" t="str">
        <f>IFERROR(__xludf.DUMMYFUNCTION("""COMPUTED_VALUE"""),"#REF!")</f>
        <v>#REF!</v>
      </c>
      <c r="DK93" s="97" t="str">
        <f>IFERROR(__xludf.DUMMYFUNCTION("""COMPUTED_VALUE"""),"#REF!")</f>
        <v>#REF!</v>
      </c>
      <c r="DL93" s="95" t="str">
        <f>IFERROR(__xludf.DUMMYFUNCTION("""COMPUTED_VALUE"""),"#REF!")</f>
        <v>#REF!</v>
      </c>
      <c r="DM93" s="96" t="str">
        <f>IFERROR(__xludf.DUMMYFUNCTION("""COMPUTED_VALUE"""),"#REF!")</f>
        <v>#REF!</v>
      </c>
      <c r="DN93" s="97" t="str">
        <f>IFERROR(__xludf.DUMMYFUNCTION("""COMPUTED_VALUE"""),"#REF!")</f>
        <v>#REF!</v>
      </c>
      <c r="DO93" s="95" t="str">
        <f>IFERROR(__xludf.DUMMYFUNCTION("""COMPUTED_VALUE"""),"#REF!")</f>
        <v>#REF!</v>
      </c>
      <c r="DP93" s="96" t="str">
        <f>IFERROR(__xludf.DUMMYFUNCTION("""COMPUTED_VALUE"""),"#REF!")</f>
        <v>#REF!</v>
      </c>
      <c r="DQ93" s="97"/>
      <c r="DR93" s="95"/>
    </row>
    <row r="94">
      <c r="B94" s="120" t="str">
        <f>IFERROR(__xludf.DUMMYFUNCTION("""COMPUTED_VALUE"""),"LDN5")</f>
        <v>LDN5</v>
      </c>
      <c r="C94" s="82">
        <f>IFERROR(__xludf.DUMMYFUNCTION("""COMPUTED_VALUE"""),81.0)</f>
        <v>81</v>
      </c>
      <c r="D94" s="88" t="str">
        <f>IFERROR(__xludf.DUMMYFUNCTION("""COMPUTED_VALUE"""),"Westminster")</f>
        <v>Westminster</v>
      </c>
      <c r="E94" s="82" t="str">
        <f>IFERROR(__xludf.DUMMYFUNCTION("""COMPUTED_VALUE"""),"ウェストミンスター")</f>
        <v>ウェストミンスター</v>
      </c>
      <c r="F94" s="102">
        <f>IFERROR(__xludf.DUMMYFUNCTION("""COMPUTED_VALUE"""),16.0)</f>
        <v>16</v>
      </c>
      <c r="G94" s="82">
        <f>IFERROR(__xludf.DUMMYFUNCTION("""COMPUTED_VALUE"""),1113.0)</f>
        <v>1113</v>
      </c>
      <c r="H94" s="231" t="str">
        <f>IFERROR(__xludf.DUMMYFUNCTION("""COMPUTED_VALUE"""),"")</f>
        <v/>
      </c>
      <c r="I94" s="232" t="str">
        <f>IFERROR(__xludf.DUMMYFUNCTION("""COMPUTED_VALUE"""),"")</f>
        <v/>
      </c>
      <c r="J94" s="233" t="str">
        <f>IFERROR(__xludf.DUMMYFUNCTION("""COMPUTED_VALUE"""),"")</f>
        <v/>
      </c>
      <c r="K94" s="231" t="str">
        <f>IFERROR(__xludf.DUMMYFUNCTION("""COMPUTED_VALUE"""),"")</f>
        <v/>
      </c>
      <c r="L94" s="232" t="str">
        <f>IFERROR(__xludf.DUMMYFUNCTION("""COMPUTED_VALUE"""),"")</f>
        <v/>
      </c>
      <c r="M94" s="233" t="str">
        <f>IFERROR(__xludf.DUMMYFUNCTION("""COMPUTED_VALUE"""),"")</f>
        <v/>
      </c>
      <c r="N94" s="231" t="str">
        <f>IFERROR(__xludf.DUMMYFUNCTION("""COMPUTED_VALUE"""),"")</f>
        <v/>
      </c>
      <c r="O94" s="232" t="str">
        <f>IFERROR(__xludf.DUMMYFUNCTION("""COMPUTED_VALUE"""),"")</f>
        <v/>
      </c>
      <c r="P94" s="233" t="str">
        <f>IFERROR(__xludf.DUMMYFUNCTION("""COMPUTED_VALUE"""),"")</f>
        <v/>
      </c>
      <c r="Q94" s="231" t="str">
        <f>IFERROR(__xludf.DUMMYFUNCTION("""COMPUTED_VALUE"""),"")</f>
        <v/>
      </c>
      <c r="R94" s="232" t="str">
        <f>IFERROR(__xludf.DUMMYFUNCTION("""COMPUTED_VALUE"""),"")</f>
        <v/>
      </c>
      <c r="S94" s="233" t="str">
        <f>IFERROR(__xludf.DUMMYFUNCTION("""COMPUTED_VALUE"""),"")</f>
        <v/>
      </c>
      <c r="T94" s="231" t="str">
        <f>IFERROR(__xludf.DUMMYFUNCTION("""COMPUTED_VALUE"""),"")</f>
        <v/>
      </c>
      <c r="U94" s="232" t="str">
        <f>IFERROR(__xludf.DUMMYFUNCTION("""COMPUTED_VALUE"""),"")</f>
        <v/>
      </c>
      <c r="V94" s="233" t="str">
        <f>IFERROR(__xludf.DUMMYFUNCTION("""COMPUTED_VALUE"""),"")</f>
        <v/>
      </c>
      <c r="W94" s="231" t="str">
        <f>IFERROR(__xludf.DUMMYFUNCTION("""COMPUTED_VALUE"""),"")</f>
        <v/>
      </c>
      <c r="X94" s="232" t="str">
        <f>IFERROR(__xludf.DUMMYFUNCTION("""COMPUTED_VALUE"""),"")</f>
        <v/>
      </c>
      <c r="Y94" s="233" t="str">
        <f>IFERROR(__xludf.DUMMYFUNCTION("""COMPUTED_VALUE"""),"")</f>
        <v/>
      </c>
      <c r="Z94" s="231" t="str">
        <f>IFERROR(__xludf.DUMMYFUNCTION("""COMPUTED_VALUE"""),"")</f>
        <v/>
      </c>
      <c r="AA94" s="232" t="str">
        <f>IFERROR(__xludf.DUMMYFUNCTION("""COMPUTED_VALUE"""),"")</f>
        <v/>
      </c>
      <c r="AB94" s="233" t="str">
        <f>IFERROR(__xludf.DUMMYFUNCTION("""COMPUTED_VALUE"""),"")</f>
        <v/>
      </c>
      <c r="AC94" s="231" t="str">
        <f>IFERROR(__xludf.DUMMYFUNCTION("""COMPUTED_VALUE"""),"")</f>
        <v/>
      </c>
      <c r="AD94" s="232" t="str">
        <f>IFERROR(__xludf.DUMMYFUNCTION("""COMPUTED_VALUE"""),"")</f>
        <v/>
      </c>
      <c r="AE94" s="233" t="str">
        <f>IFERROR(__xludf.DUMMYFUNCTION("""COMPUTED_VALUE"""),"")</f>
        <v/>
      </c>
      <c r="AF94" s="231" t="str">
        <f>IFERROR(__xludf.DUMMYFUNCTION("""COMPUTED_VALUE"""),"")</f>
        <v/>
      </c>
      <c r="AG94" s="232">
        <f>IFERROR(__xludf.DUMMYFUNCTION("""COMPUTED_VALUE"""),11.9)</f>
        <v>11.9</v>
      </c>
      <c r="AH94" s="233" t="str">
        <f>IFERROR(__xludf.DUMMYFUNCTION("""COMPUTED_VALUE"""),"")</f>
        <v/>
      </c>
      <c r="AI94" s="231" t="str">
        <f>IFERROR(__xludf.DUMMYFUNCTION("""COMPUTED_VALUE"""),"")</f>
        <v/>
      </c>
      <c r="AJ94" s="232" t="str">
        <f>IFERROR(__xludf.DUMMYFUNCTION("""COMPUTED_VALUE"""),"")</f>
        <v/>
      </c>
      <c r="AK94" s="233" t="str">
        <f>IFERROR(__xludf.DUMMYFUNCTION("""COMPUTED_VALUE"""),"")</f>
        <v/>
      </c>
      <c r="AL94" s="231" t="str">
        <f>IFERROR(__xludf.DUMMYFUNCTION("""COMPUTED_VALUE"""),"")</f>
        <v/>
      </c>
      <c r="AM94" s="232" t="str">
        <f>IFERROR(__xludf.DUMMYFUNCTION("""COMPUTED_VALUE"""),"")</f>
        <v/>
      </c>
      <c r="AN94" s="233" t="str">
        <f>IFERROR(__xludf.DUMMYFUNCTION("""COMPUTED_VALUE"""),"")</f>
        <v/>
      </c>
      <c r="AO94" s="231" t="str">
        <f>IFERROR(__xludf.DUMMYFUNCTION("""COMPUTED_VALUE"""),"")</f>
        <v/>
      </c>
      <c r="AP94" s="232" t="str">
        <f>IFERROR(__xludf.DUMMYFUNCTION("""COMPUTED_VALUE"""),"")</f>
        <v/>
      </c>
      <c r="AQ94" s="233" t="str">
        <f>IFERROR(__xludf.DUMMYFUNCTION("""COMPUTED_VALUE"""),"")</f>
        <v/>
      </c>
      <c r="AR94" s="231" t="str">
        <f>IFERROR(__xludf.DUMMYFUNCTION("""COMPUTED_VALUE"""),"")</f>
        <v/>
      </c>
      <c r="AS94" s="232" t="str">
        <f>IFERROR(__xludf.DUMMYFUNCTION("""COMPUTED_VALUE"""),"")</f>
        <v/>
      </c>
      <c r="AT94" s="233" t="str">
        <f>IFERROR(__xludf.DUMMYFUNCTION("""COMPUTED_VALUE"""),"")</f>
        <v/>
      </c>
      <c r="AU94" s="231" t="str">
        <f>IFERROR(__xludf.DUMMYFUNCTION("""COMPUTED_VALUE"""),"")</f>
        <v/>
      </c>
      <c r="AV94" s="232" t="str">
        <f>IFERROR(__xludf.DUMMYFUNCTION("""COMPUTED_VALUE"""),"")</f>
        <v/>
      </c>
      <c r="AW94" s="233">
        <f>IFERROR(__xludf.DUMMYFUNCTION("""COMPUTED_VALUE"""),15.3)</f>
        <v>15.3</v>
      </c>
      <c r="AX94" s="231" t="str">
        <f>IFERROR(__xludf.DUMMYFUNCTION("""COMPUTED_VALUE"""),"")</f>
        <v/>
      </c>
      <c r="AY94" s="232" t="str">
        <f>IFERROR(__xludf.DUMMYFUNCTION("""COMPUTED_VALUE"""),"")</f>
        <v/>
      </c>
      <c r="AZ94" s="233" t="str">
        <f>IFERROR(__xludf.DUMMYFUNCTION("""COMPUTED_VALUE"""),"")</f>
        <v/>
      </c>
      <c r="BA94" s="231" t="str">
        <f>IFERROR(__xludf.DUMMYFUNCTION("""COMPUTED_VALUE"""),"")</f>
        <v/>
      </c>
      <c r="BB94" s="232" t="str">
        <f>IFERROR(__xludf.DUMMYFUNCTION("""COMPUTED_VALUE"""),"")</f>
        <v/>
      </c>
      <c r="BC94" s="233" t="str">
        <f>IFERROR(__xludf.DUMMYFUNCTION("""COMPUTED_VALUE"""),"")</f>
        <v/>
      </c>
      <c r="BD94" s="231" t="str">
        <f>IFERROR(__xludf.DUMMYFUNCTION("""COMPUTED_VALUE"""),"")</f>
        <v/>
      </c>
      <c r="BE94" s="232" t="str">
        <f>IFERROR(__xludf.DUMMYFUNCTION("""COMPUTED_VALUE"""),"")</f>
        <v/>
      </c>
      <c r="BF94" s="233" t="str">
        <f>IFERROR(__xludf.DUMMYFUNCTION("""COMPUTED_VALUE"""),"")</f>
        <v/>
      </c>
      <c r="BG94" s="231" t="str">
        <f>IFERROR(__xludf.DUMMYFUNCTION("""COMPUTED_VALUE"""),"")</f>
        <v/>
      </c>
      <c r="BH94" s="232" t="str">
        <f>IFERROR(__xludf.DUMMYFUNCTION("""COMPUTED_VALUE"""),"")</f>
        <v/>
      </c>
      <c r="BI94" s="233" t="str">
        <f>IFERROR(__xludf.DUMMYFUNCTION("""COMPUTED_VALUE"""),"")</f>
        <v/>
      </c>
      <c r="BJ94" s="231" t="str">
        <f>IFERROR(__xludf.DUMMYFUNCTION("""COMPUTED_VALUE"""),"")</f>
        <v/>
      </c>
      <c r="BK94" s="232" t="str">
        <f>IFERROR(__xludf.DUMMYFUNCTION("""COMPUTED_VALUE"""),"")</f>
        <v/>
      </c>
      <c r="BL94" s="233">
        <f>IFERROR(__xludf.DUMMYFUNCTION("""COMPUTED_VALUE"""),3.4)</f>
        <v>3.4</v>
      </c>
      <c r="BM94" s="231" t="str">
        <f>IFERROR(__xludf.DUMMYFUNCTION("""COMPUTED_VALUE"""),"")</f>
        <v/>
      </c>
      <c r="BN94" s="232" t="str">
        <f>IFERROR(__xludf.DUMMYFUNCTION("""COMPUTED_VALUE"""),"")</f>
        <v/>
      </c>
      <c r="BO94" s="233" t="str">
        <f>IFERROR(__xludf.DUMMYFUNCTION("""COMPUTED_VALUE"""),"")</f>
        <v/>
      </c>
      <c r="BP94" s="231" t="str">
        <f>IFERROR(__xludf.DUMMYFUNCTION("""COMPUTED_VALUE"""),"")</f>
        <v/>
      </c>
      <c r="BQ94" s="232" t="str">
        <f>IFERROR(__xludf.DUMMYFUNCTION("""COMPUTED_VALUE"""),"")</f>
        <v/>
      </c>
      <c r="BR94" s="233" t="str">
        <f>IFERROR(__xludf.DUMMYFUNCTION("""COMPUTED_VALUE"""),"")</f>
        <v/>
      </c>
      <c r="BS94" s="231">
        <f>IFERROR(__xludf.DUMMYFUNCTION("""COMPUTED_VALUE"""),26.6)</f>
        <v>26.6</v>
      </c>
      <c r="BT94" s="232" t="str">
        <f>IFERROR(__xludf.DUMMYFUNCTION("""COMPUTED_VALUE"""),"")</f>
        <v/>
      </c>
      <c r="BU94" s="233" t="str">
        <f>IFERROR(__xludf.DUMMYFUNCTION("""COMPUTED_VALUE"""),"")</f>
        <v/>
      </c>
      <c r="BV94" s="231" t="str">
        <f>IFERROR(__xludf.DUMMYFUNCTION("""COMPUTED_VALUE"""),"")</f>
        <v/>
      </c>
      <c r="BW94" s="232" t="str">
        <f>IFERROR(__xludf.DUMMYFUNCTION("""COMPUTED_VALUE"""),"")</f>
        <v/>
      </c>
      <c r="BX94" s="233" t="str">
        <f>IFERROR(__xludf.DUMMYFUNCTION("""COMPUTED_VALUE"""),"")</f>
        <v/>
      </c>
      <c r="BY94" s="231" t="str">
        <f>IFERROR(__xludf.DUMMYFUNCTION("""COMPUTED_VALUE"""),"")</f>
        <v/>
      </c>
      <c r="BZ94" s="232" t="str">
        <f>IFERROR(__xludf.DUMMYFUNCTION("""COMPUTED_VALUE"""),"")</f>
        <v/>
      </c>
      <c r="CA94" s="233" t="str">
        <f>IFERROR(__xludf.DUMMYFUNCTION("""COMPUTED_VALUE"""),"")</f>
        <v/>
      </c>
      <c r="CB94" s="231">
        <f>IFERROR(__xludf.DUMMYFUNCTION("""COMPUTED_VALUE"""),4.6)</f>
        <v>4.6</v>
      </c>
      <c r="CC94" s="232" t="str">
        <f>IFERROR(__xludf.DUMMYFUNCTION("""COMPUTED_VALUE"""),"")</f>
        <v/>
      </c>
      <c r="CD94" s="233" t="str">
        <f>IFERROR(__xludf.DUMMYFUNCTION("""COMPUTED_VALUE"""),"")</f>
        <v/>
      </c>
      <c r="CE94" s="234" t="str">
        <f>IFERROR(__xludf.DUMMYFUNCTION("""COMPUTED_VALUE"""),"")</f>
        <v/>
      </c>
      <c r="CF94" s="230" t="str">
        <f>IFERROR(__xludf.DUMMYFUNCTION("""COMPUTED_VALUE"""),"")</f>
        <v/>
      </c>
      <c r="CG94" s="235" t="str">
        <f>IFERROR(__xludf.DUMMYFUNCTION("""COMPUTED_VALUE"""),"")</f>
        <v/>
      </c>
      <c r="CH94" s="234" t="str">
        <f>IFERROR(__xludf.DUMMYFUNCTION("""COMPUTED_VALUE"""),"")</f>
        <v/>
      </c>
      <c r="CI94" s="230">
        <f>IFERROR(__xludf.DUMMYFUNCTION("""COMPUTED_VALUE"""),9.3)</f>
        <v>9.3</v>
      </c>
      <c r="CJ94" s="235" t="str">
        <f>IFERROR(__xludf.DUMMYFUNCTION("""COMPUTED_VALUE"""),"")</f>
        <v/>
      </c>
      <c r="CK94" s="95" t="str">
        <f>IFERROR(__xludf.DUMMYFUNCTION("""COMPUTED_VALUE"""),"")</f>
        <v/>
      </c>
      <c r="CL94" s="96" t="str">
        <f>IFERROR(__xludf.DUMMYFUNCTION("""COMPUTED_VALUE"""),"")</f>
        <v/>
      </c>
      <c r="CM94" s="97" t="str">
        <f>IFERROR(__xludf.DUMMYFUNCTION("""COMPUTED_VALUE"""),"")</f>
        <v/>
      </c>
      <c r="CN94" s="95" t="str">
        <f>IFERROR(__xludf.DUMMYFUNCTION("""COMPUTED_VALUE"""),"")</f>
        <v/>
      </c>
      <c r="CO94" s="96" t="str">
        <f>IFERROR(__xludf.DUMMYFUNCTION("""COMPUTED_VALUE"""),"")</f>
        <v/>
      </c>
      <c r="CP94" s="97" t="str">
        <f>IFERROR(__xludf.DUMMYFUNCTION("""COMPUTED_VALUE"""),"")</f>
        <v/>
      </c>
      <c r="CQ94" s="95" t="str">
        <f>IFERROR(__xludf.DUMMYFUNCTION("""COMPUTED_VALUE"""),"")</f>
        <v/>
      </c>
      <c r="CR94" s="96" t="str">
        <f>IFERROR(__xludf.DUMMYFUNCTION("""COMPUTED_VALUE"""),"")</f>
        <v/>
      </c>
      <c r="CS94" s="97" t="str">
        <f>IFERROR(__xludf.DUMMYFUNCTION("""COMPUTED_VALUE"""),"#REF!")</f>
        <v>#REF!</v>
      </c>
      <c r="CT94" s="95" t="str">
        <f>IFERROR(__xludf.DUMMYFUNCTION("""COMPUTED_VALUE"""),"#REF!")</f>
        <v>#REF!</v>
      </c>
      <c r="CU94" s="96" t="str">
        <f>IFERROR(__xludf.DUMMYFUNCTION("""COMPUTED_VALUE"""),"#REF!")</f>
        <v>#REF!</v>
      </c>
      <c r="CV94" s="97" t="str">
        <f>IFERROR(__xludf.DUMMYFUNCTION("""COMPUTED_VALUE"""),"#REF!")</f>
        <v>#REF!</v>
      </c>
      <c r="CW94" s="95" t="str">
        <f>IFERROR(__xludf.DUMMYFUNCTION("""COMPUTED_VALUE"""),"#REF!")</f>
        <v>#REF!</v>
      </c>
      <c r="CX94" s="96" t="str">
        <f>IFERROR(__xludf.DUMMYFUNCTION("""COMPUTED_VALUE"""),"#REF!")</f>
        <v>#REF!</v>
      </c>
      <c r="CY94" s="97" t="str">
        <f>IFERROR(__xludf.DUMMYFUNCTION("""COMPUTED_VALUE"""),"#REF!")</f>
        <v>#REF!</v>
      </c>
      <c r="CZ94" s="95" t="str">
        <f>IFERROR(__xludf.DUMMYFUNCTION("""COMPUTED_VALUE"""),"#REF!")</f>
        <v>#REF!</v>
      </c>
      <c r="DA94" s="96" t="str">
        <f>IFERROR(__xludf.DUMMYFUNCTION("""COMPUTED_VALUE"""),"#REF!")</f>
        <v>#REF!</v>
      </c>
      <c r="DB94" s="97" t="str">
        <f>IFERROR(__xludf.DUMMYFUNCTION("""COMPUTED_VALUE"""),"#REF!")</f>
        <v>#REF!</v>
      </c>
      <c r="DC94" s="95" t="str">
        <f>IFERROR(__xludf.DUMMYFUNCTION("""COMPUTED_VALUE"""),"#REF!")</f>
        <v>#REF!</v>
      </c>
      <c r="DD94" s="96" t="str">
        <f>IFERROR(__xludf.DUMMYFUNCTION("""COMPUTED_VALUE"""),"#REF!")</f>
        <v>#REF!</v>
      </c>
      <c r="DE94" s="97" t="str">
        <f>IFERROR(__xludf.DUMMYFUNCTION("""COMPUTED_VALUE"""),"#REF!")</f>
        <v>#REF!</v>
      </c>
      <c r="DF94" s="95" t="str">
        <f>IFERROR(__xludf.DUMMYFUNCTION("""COMPUTED_VALUE"""),"#REF!")</f>
        <v>#REF!</v>
      </c>
      <c r="DG94" s="96" t="str">
        <f>IFERROR(__xludf.DUMMYFUNCTION("""COMPUTED_VALUE"""),"#REF!")</f>
        <v>#REF!</v>
      </c>
      <c r="DH94" s="97" t="str">
        <f>IFERROR(__xludf.DUMMYFUNCTION("""COMPUTED_VALUE"""),"#REF!")</f>
        <v>#REF!</v>
      </c>
      <c r="DI94" s="95" t="str">
        <f>IFERROR(__xludf.DUMMYFUNCTION("""COMPUTED_VALUE"""),"#REF!")</f>
        <v>#REF!</v>
      </c>
      <c r="DJ94" s="96" t="str">
        <f>IFERROR(__xludf.DUMMYFUNCTION("""COMPUTED_VALUE"""),"#REF!")</f>
        <v>#REF!</v>
      </c>
      <c r="DK94" s="97" t="str">
        <f>IFERROR(__xludf.DUMMYFUNCTION("""COMPUTED_VALUE"""),"#REF!")</f>
        <v>#REF!</v>
      </c>
      <c r="DL94" s="95" t="str">
        <f>IFERROR(__xludf.DUMMYFUNCTION("""COMPUTED_VALUE"""),"#REF!")</f>
        <v>#REF!</v>
      </c>
      <c r="DM94" s="96" t="str">
        <f>IFERROR(__xludf.DUMMYFUNCTION("""COMPUTED_VALUE"""),"#REF!")</f>
        <v>#REF!</v>
      </c>
      <c r="DN94" s="97" t="str">
        <f>IFERROR(__xludf.DUMMYFUNCTION("""COMPUTED_VALUE"""),"#REF!")</f>
        <v>#REF!</v>
      </c>
      <c r="DO94" s="95" t="str">
        <f>IFERROR(__xludf.DUMMYFUNCTION("""COMPUTED_VALUE"""),"#REF!")</f>
        <v>#REF!</v>
      </c>
      <c r="DP94" s="96" t="str">
        <f>IFERROR(__xludf.DUMMYFUNCTION("""COMPUTED_VALUE"""),"#REF!")</f>
        <v>#REF!</v>
      </c>
      <c r="DQ94" s="97"/>
      <c r="DR94" s="95"/>
    </row>
    <row r="95">
      <c r="B95" s="120" t="str">
        <f>IFERROR(__xludf.DUMMYFUNCTION("""COMPUTED_VALUE"""),"LDN6")</f>
        <v>LDN6</v>
      </c>
      <c r="C95" s="82">
        <f>IFERROR(__xludf.DUMMYFUNCTION("""COMPUTED_VALUE"""),82.0)</f>
        <v>82</v>
      </c>
      <c r="D95" s="88" t="str">
        <f>IFERROR(__xludf.DUMMYFUNCTION("""COMPUTED_VALUE"""),"Regent Park")</f>
        <v>Regent Park</v>
      </c>
      <c r="E95" s="82" t="str">
        <f>IFERROR(__xludf.DUMMYFUNCTION("""COMPUTED_VALUE"""),"リージェントパーク")</f>
        <v>リージェントパーク</v>
      </c>
      <c r="F95" s="102">
        <f>IFERROR(__xludf.DUMMYFUNCTION("""COMPUTED_VALUE"""),16.0)</f>
        <v>16</v>
      </c>
      <c r="G95" s="82">
        <f>IFERROR(__xludf.DUMMYFUNCTION("""COMPUTED_VALUE"""),1100.0)</f>
        <v>1100</v>
      </c>
      <c r="H95" s="231" t="str">
        <f>IFERROR(__xludf.DUMMYFUNCTION("""COMPUTED_VALUE"""),"")</f>
        <v/>
      </c>
      <c r="I95" s="232" t="str">
        <f>IFERROR(__xludf.DUMMYFUNCTION("""COMPUTED_VALUE"""),"")</f>
        <v/>
      </c>
      <c r="J95" s="233" t="str">
        <f>IFERROR(__xludf.DUMMYFUNCTION("""COMPUTED_VALUE"""),"")</f>
        <v/>
      </c>
      <c r="K95" s="231" t="str">
        <f>IFERROR(__xludf.DUMMYFUNCTION("""COMPUTED_VALUE"""),"")</f>
        <v/>
      </c>
      <c r="L95" s="232" t="str">
        <f>IFERROR(__xludf.DUMMYFUNCTION("""COMPUTED_VALUE"""),"")</f>
        <v/>
      </c>
      <c r="M95" s="233" t="str">
        <f>IFERROR(__xludf.DUMMYFUNCTION("""COMPUTED_VALUE"""),"")</f>
        <v/>
      </c>
      <c r="N95" s="231" t="str">
        <f>IFERROR(__xludf.DUMMYFUNCTION("""COMPUTED_VALUE"""),"")</f>
        <v/>
      </c>
      <c r="O95" s="232" t="str">
        <f>IFERROR(__xludf.DUMMYFUNCTION("""COMPUTED_VALUE"""),"")</f>
        <v/>
      </c>
      <c r="P95" s="233" t="str">
        <f>IFERROR(__xludf.DUMMYFUNCTION("""COMPUTED_VALUE"""),"")</f>
        <v/>
      </c>
      <c r="Q95" s="231" t="str">
        <f>IFERROR(__xludf.DUMMYFUNCTION("""COMPUTED_VALUE"""),"")</f>
        <v/>
      </c>
      <c r="R95" s="232" t="str">
        <f>IFERROR(__xludf.DUMMYFUNCTION("""COMPUTED_VALUE"""),"")</f>
        <v/>
      </c>
      <c r="S95" s="233" t="str">
        <f>IFERROR(__xludf.DUMMYFUNCTION("""COMPUTED_VALUE"""),"")</f>
        <v/>
      </c>
      <c r="T95" s="231" t="str">
        <f>IFERROR(__xludf.DUMMYFUNCTION("""COMPUTED_VALUE"""),"")</f>
        <v/>
      </c>
      <c r="U95" s="232" t="str">
        <f>IFERROR(__xludf.DUMMYFUNCTION("""COMPUTED_VALUE"""),"")</f>
        <v/>
      </c>
      <c r="V95" s="233" t="str">
        <f>IFERROR(__xludf.DUMMYFUNCTION("""COMPUTED_VALUE"""),"")</f>
        <v/>
      </c>
      <c r="W95" s="231" t="str">
        <f>IFERROR(__xludf.DUMMYFUNCTION("""COMPUTED_VALUE"""),"")</f>
        <v/>
      </c>
      <c r="X95" s="232" t="str">
        <f>IFERROR(__xludf.DUMMYFUNCTION("""COMPUTED_VALUE"""),"")</f>
        <v/>
      </c>
      <c r="Y95" s="233" t="str">
        <f>IFERROR(__xludf.DUMMYFUNCTION("""COMPUTED_VALUE"""),"")</f>
        <v/>
      </c>
      <c r="Z95" s="231" t="str">
        <f>IFERROR(__xludf.DUMMYFUNCTION("""COMPUTED_VALUE"""),"")</f>
        <v/>
      </c>
      <c r="AA95" s="232" t="str">
        <f>IFERROR(__xludf.DUMMYFUNCTION("""COMPUTED_VALUE"""),"")</f>
        <v/>
      </c>
      <c r="AB95" s="233" t="str">
        <f>IFERROR(__xludf.DUMMYFUNCTION("""COMPUTED_VALUE"""),"")</f>
        <v/>
      </c>
      <c r="AC95" s="231" t="str">
        <f>IFERROR(__xludf.DUMMYFUNCTION("""COMPUTED_VALUE"""),"")</f>
        <v/>
      </c>
      <c r="AD95" s="232" t="str">
        <f>IFERROR(__xludf.DUMMYFUNCTION("""COMPUTED_VALUE"""),"")</f>
        <v/>
      </c>
      <c r="AE95" s="233">
        <f>IFERROR(__xludf.DUMMYFUNCTION("""COMPUTED_VALUE"""),10.0)</f>
        <v>10</v>
      </c>
      <c r="AF95" s="231">
        <f>IFERROR(__xludf.DUMMYFUNCTION("""COMPUTED_VALUE"""),4.6)</f>
        <v>4.6</v>
      </c>
      <c r="AG95" s="232" t="str">
        <f>IFERROR(__xludf.DUMMYFUNCTION("""COMPUTED_VALUE"""),"")</f>
        <v/>
      </c>
      <c r="AH95" s="233" t="str">
        <f>IFERROR(__xludf.DUMMYFUNCTION("""COMPUTED_VALUE"""),"")</f>
        <v/>
      </c>
      <c r="AI95" s="231" t="str">
        <f>IFERROR(__xludf.DUMMYFUNCTION("""COMPUTED_VALUE"""),"")</f>
        <v/>
      </c>
      <c r="AJ95" s="232" t="str">
        <f>IFERROR(__xludf.DUMMYFUNCTION("""COMPUTED_VALUE"""),"")</f>
        <v/>
      </c>
      <c r="AK95" s="233" t="str">
        <f>IFERROR(__xludf.DUMMYFUNCTION("""COMPUTED_VALUE"""),"")</f>
        <v/>
      </c>
      <c r="AL95" s="231" t="str">
        <f>IFERROR(__xludf.DUMMYFUNCTION("""COMPUTED_VALUE"""),"")</f>
        <v/>
      </c>
      <c r="AM95" s="232" t="str">
        <f>IFERROR(__xludf.DUMMYFUNCTION("""COMPUTED_VALUE"""),"")</f>
        <v/>
      </c>
      <c r="AN95" s="233" t="str">
        <f>IFERROR(__xludf.DUMMYFUNCTION("""COMPUTED_VALUE"""),"")</f>
        <v/>
      </c>
      <c r="AO95" s="231" t="str">
        <f>IFERROR(__xludf.DUMMYFUNCTION("""COMPUTED_VALUE"""),"")</f>
        <v/>
      </c>
      <c r="AP95" s="232" t="str">
        <f>IFERROR(__xludf.DUMMYFUNCTION("""COMPUTED_VALUE"""),"")</f>
        <v/>
      </c>
      <c r="AQ95" s="233" t="str">
        <f>IFERROR(__xludf.DUMMYFUNCTION("""COMPUTED_VALUE"""),"")</f>
        <v/>
      </c>
      <c r="AR95" s="231" t="str">
        <f>IFERROR(__xludf.DUMMYFUNCTION("""COMPUTED_VALUE"""),"")</f>
        <v/>
      </c>
      <c r="AS95" s="232" t="str">
        <f>IFERROR(__xludf.DUMMYFUNCTION("""COMPUTED_VALUE"""),"")</f>
        <v/>
      </c>
      <c r="AT95" s="233" t="str">
        <f>IFERROR(__xludf.DUMMYFUNCTION("""COMPUTED_VALUE"""),"")</f>
        <v/>
      </c>
      <c r="AU95" s="231" t="str">
        <f>IFERROR(__xludf.DUMMYFUNCTION("""COMPUTED_VALUE"""),"")</f>
        <v/>
      </c>
      <c r="AV95" s="232" t="str">
        <f>IFERROR(__xludf.DUMMYFUNCTION("""COMPUTED_VALUE"""),"")</f>
        <v/>
      </c>
      <c r="AW95" s="233" t="str">
        <f>IFERROR(__xludf.DUMMYFUNCTION("""COMPUTED_VALUE"""),"")</f>
        <v/>
      </c>
      <c r="AX95" s="231" t="str">
        <f>IFERROR(__xludf.DUMMYFUNCTION("""COMPUTED_VALUE"""),"")</f>
        <v/>
      </c>
      <c r="AY95" s="232" t="str">
        <f>IFERROR(__xludf.DUMMYFUNCTION("""COMPUTED_VALUE"""),"")</f>
        <v/>
      </c>
      <c r="AZ95" s="233" t="str">
        <f>IFERROR(__xludf.DUMMYFUNCTION("""COMPUTED_VALUE"""),"")</f>
        <v/>
      </c>
      <c r="BA95" s="231" t="str">
        <f>IFERROR(__xludf.DUMMYFUNCTION("""COMPUTED_VALUE"""),"")</f>
        <v/>
      </c>
      <c r="BB95" s="232" t="str">
        <f>IFERROR(__xludf.DUMMYFUNCTION("""COMPUTED_VALUE"""),"")</f>
        <v/>
      </c>
      <c r="BC95" s="233" t="str">
        <f>IFERROR(__xludf.DUMMYFUNCTION("""COMPUTED_VALUE"""),"")</f>
        <v/>
      </c>
      <c r="BD95" s="231" t="str">
        <f>IFERROR(__xludf.DUMMYFUNCTION("""COMPUTED_VALUE"""),"")</f>
        <v/>
      </c>
      <c r="BE95" s="232" t="str">
        <f>IFERROR(__xludf.DUMMYFUNCTION("""COMPUTED_VALUE"""),"")</f>
        <v/>
      </c>
      <c r="BF95" s="233" t="str">
        <f>IFERROR(__xludf.DUMMYFUNCTION("""COMPUTED_VALUE"""),"")</f>
        <v/>
      </c>
      <c r="BG95" s="231" t="str">
        <f>IFERROR(__xludf.DUMMYFUNCTION("""COMPUTED_VALUE"""),"")</f>
        <v/>
      </c>
      <c r="BH95" s="232" t="str">
        <f>IFERROR(__xludf.DUMMYFUNCTION("""COMPUTED_VALUE"""),"")</f>
        <v/>
      </c>
      <c r="BI95" s="233" t="str">
        <f>IFERROR(__xludf.DUMMYFUNCTION("""COMPUTED_VALUE"""),"")</f>
        <v/>
      </c>
      <c r="BJ95" s="231">
        <f>IFERROR(__xludf.DUMMYFUNCTION("""COMPUTED_VALUE"""),5.9)</f>
        <v>5.9</v>
      </c>
      <c r="BK95" s="232" t="str">
        <f>IFERROR(__xludf.DUMMYFUNCTION("""COMPUTED_VALUE"""),"")</f>
        <v/>
      </c>
      <c r="BL95" s="233" t="str">
        <f>IFERROR(__xludf.DUMMYFUNCTION("""COMPUTED_VALUE"""),"")</f>
        <v/>
      </c>
      <c r="BM95" s="231" t="str">
        <f>IFERROR(__xludf.DUMMYFUNCTION("""COMPUTED_VALUE"""),"")</f>
        <v/>
      </c>
      <c r="BN95" s="232" t="str">
        <f>IFERROR(__xludf.DUMMYFUNCTION("""COMPUTED_VALUE"""),"")</f>
        <v/>
      </c>
      <c r="BO95" s="233" t="str">
        <f>IFERROR(__xludf.DUMMYFUNCTION("""COMPUTED_VALUE"""),"")</f>
        <v/>
      </c>
      <c r="BP95" s="231" t="str">
        <f>IFERROR(__xludf.DUMMYFUNCTION("""COMPUTED_VALUE"""),"")</f>
        <v/>
      </c>
      <c r="BQ95" s="232">
        <f>IFERROR(__xludf.DUMMYFUNCTION("""COMPUTED_VALUE"""),22.9)</f>
        <v>22.9</v>
      </c>
      <c r="BR95" s="233" t="str">
        <f>IFERROR(__xludf.DUMMYFUNCTION("""COMPUTED_VALUE"""),"")</f>
        <v/>
      </c>
      <c r="BS95" s="231" t="str">
        <f>IFERROR(__xludf.DUMMYFUNCTION("""COMPUTED_VALUE"""),"")</f>
        <v/>
      </c>
      <c r="BT95" s="232" t="str">
        <f>IFERROR(__xludf.DUMMYFUNCTION("""COMPUTED_VALUE"""),"")</f>
        <v/>
      </c>
      <c r="BU95" s="233">
        <f>IFERROR(__xludf.DUMMYFUNCTION("""COMPUTED_VALUE"""),21.3)</f>
        <v>21.3</v>
      </c>
      <c r="BV95" s="231" t="str">
        <f>IFERROR(__xludf.DUMMYFUNCTION("""COMPUTED_VALUE"""),"")</f>
        <v/>
      </c>
      <c r="BW95" s="232" t="str">
        <f>IFERROR(__xludf.DUMMYFUNCTION("""COMPUTED_VALUE"""),"")</f>
        <v/>
      </c>
      <c r="BX95" s="233" t="str">
        <f>IFERROR(__xludf.DUMMYFUNCTION("""COMPUTED_VALUE"""),"")</f>
        <v/>
      </c>
      <c r="BY95" s="231" t="str">
        <f>IFERROR(__xludf.DUMMYFUNCTION("""COMPUTED_VALUE"""),"")</f>
        <v/>
      </c>
      <c r="BZ95" s="232" t="str">
        <f>IFERROR(__xludf.DUMMYFUNCTION("""COMPUTED_VALUE"""),"")</f>
        <v/>
      </c>
      <c r="CA95" s="233" t="str">
        <f>IFERROR(__xludf.DUMMYFUNCTION("""COMPUTED_VALUE"""),"")</f>
        <v/>
      </c>
      <c r="CB95" s="231" t="str">
        <f>IFERROR(__xludf.DUMMYFUNCTION("""COMPUTED_VALUE"""),"")</f>
        <v/>
      </c>
      <c r="CC95" s="232" t="str">
        <f>IFERROR(__xludf.DUMMYFUNCTION("""COMPUTED_VALUE"""),"")</f>
        <v/>
      </c>
      <c r="CD95" s="233" t="str">
        <f>IFERROR(__xludf.DUMMYFUNCTION("""COMPUTED_VALUE"""),"")</f>
        <v/>
      </c>
      <c r="CE95" s="234" t="str">
        <f>IFERROR(__xludf.DUMMYFUNCTION("""COMPUTED_VALUE"""),"")</f>
        <v/>
      </c>
      <c r="CF95" s="230" t="str">
        <f>IFERROR(__xludf.DUMMYFUNCTION("""COMPUTED_VALUE"""),"")</f>
        <v/>
      </c>
      <c r="CG95" s="235" t="str">
        <f>IFERROR(__xludf.DUMMYFUNCTION("""COMPUTED_VALUE"""),"")</f>
        <v/>
      </c>
      <c r="CH95" s="234" t="str">
        <f>IFERROR(__xludf.DUMMYFUNCTION("""COMPUTED_VALUE"""),"")</f>
        <v/>
      </c>
      <c r="CI95" s="230" t="str">
        <f>IFERROR(__xludf.DUMMYFUNCTION("""COMPUTED_VALUE"""),"")</f>
        <v/>
      </c>
      <c r="CJ95" s="235" t="str">
        <f>IFERROR(__xludf.DUMMYFUNCTION("""COMPUTED_VALUE"""),"")</f>
        <v/>
      </c>
      <c r="CK95" s="95" t="str">
        <f>IFERROR(__xludf.DUMMYFUNCTION("""COMPUTED_VALUE"""),"")</f>
        <v/>
      </c>
      <c r="CL95" s="96" t="str">
        <f>IFERROR(__xludf.DUMMYFUNCTION("""COMPUTED_VALUE"""),"")</f>
        <v/>
      </c>
      <c r="CM95" s="97" t="str">
        <f>IFERROR(__xludf.DUMMYFUNCTION("""COMPUTED_VALUE"""),"")</f>
        <v/>
      </c>
      <c r="CN95" s="95" t="str">
        <f>IFERROR(__xludf.DUMMYFUNCTION("""COMPUTED_VALUE"""),"")</f>
        <v/>
      </c>
      <c r="CO95" s="96" t="str">
        <f>IFERROR(__xludf.DUMMYFUNCTION("""COMPUTED_VALUE"""),"")</f>
        <v/>
      </c>
      <c r="CP95" s="97" t="str">
        <f>IFERROR(__xludf.DUMMYFUNCTION("""COMPUTED_VALUE"""),"")</f>
        <v/>
      </c>
      <c r="CQ95" s="95" t="str">
        <f>IFERROR(__xludf.DUMMYFUNCTION("""COMPUTED_VALUE"""),"")</f>
        <v/>
      </c>
      <c r="CR95" s="96" t="str">
        <f>IFERROR(__xludf.DUMMYFUNCTION("""COMPUTED_VALUE"""),"")</f>
        <v/>
      </c>
      <c r="CS95" s="97" t="str">
        <f>IFERROR(__xludf.DUMMYFUNCTION("""COMPUTED_VALUE"""),"#REF!")</f>
        <v>#REF!</v>
      </c>
      <c r="CT95" s="95" t="str">
        <f>IFERROR(__xludf.DUMMYFUNCTION("""COMPUTED_VALUE"""),"#REF!")</f>
        <v>#REF!</v>
      </c>
      <c r="CU95" s="96" t="str">
        <f>IFERROR(__xludf.DUMMYFUNCTION("""COMPUTED_VALUE"""),"#REF!")</f>
        <v>#REF!</v>
      </c>
      <c r="CV95" s="97" t="str">
        <f>IFERROR(__xludf.DUMMYFUNCTION("""COMPUTED_VALUE"""),"#REF!")</f>
        <v>#REF!</v>
      </c>
      <c r="CW95" s="95" t="str">
        <f>IFERROR(__xludf.DUMMYFUNCTION("""COMPUTED_VALUE"""),"#REF!")</f>
        <v>#REF!</v>
      </c>
      <c r="CX95" s="96" t="str">
        <f>IFERROR(__xludf.DUMMYFUNCTION("""COMPUTED_VALUE"""),"#REF!")</f>
        <v>#REF!</v>
      </c>
      <c r="CY95" s="97" t="str">
        <f>IFERROR(__xludf.DUMMYFUNCTION("""COMPUTED_VALUE"""),"#REF!")</f>
        <v>#REF!</v>
      </c>
      <c r="CZ95" s="95" t="str">
        <f>IFERROR(__xludf.DUMMYFUNCTION("""COMPUTED_VALUE"""),"#REF!")</f>
        <v>#REF!</v>
      </c>
      <c r="DA95" s="96" t="str">
        <f>IFERROR(__xludf.DUMMYFUNCTION("""COMPUTED_VALUE"""),"#REF!")</f>
        <v>#REF!</v>
      </c>
      <c r="DB95" s="97" t="str">
        <f>IFERROR(__xludf.DUMMYFUNCTION("""COMPUTED_VALUE"""),"#REF!")</f>
        <v>#REF!</v>
      </c>
      <c r="DC95" s="95" t="str">
        <f>IFERROR(__xludf.DUMMYFUNCTION("""COMPUTED_VALUE"""),"#REF!")</f>
        <v>#REF!</v>
      </c>
      <c r="DD95" s="96" t="str">
        <f>IFERROR(__xludf.DUMMYFUNCTION("""COMPUTED_VALUE"""),"#REF!")</f>
        <v>#REF!</v>
      </c>
      <c r="DE95" s="97" t="str">
        <f>IFERROR(__xludf.DUMMYFUNCTION("""COMPUTED_VALUE"""),"#REF!")</f>
        <v>#REF!</v>
      </c>
      <c r="DF95" s="95" t="str">
        <f>IFERROR(__xludf.DUMMYFUNCTION("""COMPUTED_VALUE"""),"#REF!")</f>
        <v>#REF!</v>
      </c>
      <c r="DG95" s="96" t="str">
        <f>IFERROR(__xludf.DUMMYFUNCTION("""COMPUTED_VALUE"""),"#REF!")</f>
        <v>#REF!</v>
      </c>
      <c r="DH95" s="97" t="str">
        <f>IFERROR(__xludf.DUMMYFUNCTION("""COMPUTED_VALUE"""),"#REF!")</f>
        <v>#REF!</v>
      </c>
      <c r="DI95" s="95" t="str">
        <f>IFERROR(__xludf.DUMMYFUNCTION("""COMPUTED_VALUE"""),"#REF!")</f>
        <v>#REF!</v>
      </c>
      <c r="DJ95" s="96" t="str">
        <f>IFERROR(__xludf.DUMMYFUNCTION("""COMPUTED_VALUE"""),"#REF!")</f>
        <v>#REF!</v>
      </c>
      <c r="DK95" s="97" t="str">
        <f>IFERROR(__xludf.DUMMYFUNCTION("""COMPUTED_VALUE"""),"#REF!")</f>
        <v>#REF!</v>
      </c>
      <c r="DL95" s="95" t="str">
        <f>IFERROR(__xludf.DUMMYFUNCTION("""COMPUTED_VALUE"""),"#REF!")</f>
        <v>#REF!</v>
      </c>
      <c r="DM95" s="96" t="str">
        <f>IFERROR(__xludf.DUMMYFUNCTION("""COMPUTED_VALUE"""),"#REF!")</f>
        <v>#REF!</v>
      </c>
      <c r="DN95" s="97" t="str">
        <f>IFERROR(__xludf.DUMMYFUNCTION("""COMPUTED_VALUE"""),"#REF!")</f>
        <v>#REF!</v>
      </c>
      <c r="DO95" s="95" t="str">
        <f>IFERROR(__xludf.DUMMYFUNCTION("""COMPUTED_VALUE"""),"#REF!")</f>
        <v>#REF!</v>
      </c>
      <c r="DP95" s="96" t="str">
        <f>IFERROR(__xludf.DUMMYFUNCTION("""COMPUTED_VALUE"""),"#REF!")</f>
        <v>#REF!</v>
      </c>
      <c r="DQ95" s="97"/>
      <c r="DR95" s="95"/>
    </row>
    <row r="96">
      <c r="B96" s="120" t="str">
        <f>IFERROR(__xludf.DUMMYFUNCTION("""COMPUTED_VALUE"""),"LDN7")</f>
        <v>LDN7</v>
      </c>
      <c r="C96" s="82">
        <f>IFERROR(__xludf.DUMMYFUNCTION("""COMPUTED_VALUE"""),83.0)</f>
        <v>83</v>
      </c>
      <c r="D96" s="88" t="str">
        <f>IFERROR(__xludf.DUMMYFUNCTION("""COMPUTED_VALUE"""),"Clerkenwell")</f>
        <v>Clerkenwell</v>
      </c>
      <c r="E96" s="82" t="str">
        <f>IFERROR(__xludf.DUMMYFUNCTION("""COMPUTED_VALUE"""),"クラーケンウェル")</f>
        <v>クラーケンウェル</v>
      </c>
      <c r="F96" s="102">
        <f>IFERROR(__xludf.DUMMYFUNCTION("""COMPUTED_VALUE"""),18.0)</f>
        <v>18</v>
      </c>
      <c r="G96" s="82">
        <f>IFERROR(__xludf.DUMMYFUNCTION("""COMPUTED_VALUE"""),4808.0)</f>
        <v>4808</v>
      </c>
      <c r="H96" s="231" t="str">
        <f>IFERROR(__xludf.DUMMYFUNCTION("""COMPUTED_VALUE"""),"")</f>
        <v/>
      </c>
      <c r="I96" s="232" t="str">
        <f>IFERROR(__xludf.DUMMYFUNCTION("""COMPUTED_VALUE"""),"")</f>
        <v/>
      </c>
      <c r="J96" s="233" t="str">
        <f>IFERROR(__xludf.DUMMYFUNCTION("""COMPUTED_VALUE"""),"")</f>
        <v/>
      </c>
      <c r="K96" s="231" t="str">
        <f>IFERROR(__xludf.DUMMYFUNCTION("""COMPUTED_VALUE"""),"")</f>
        <v/>
      </c>
      <c r="L96" s="232" t="str">
        <f>IFERROR(__xludf.DUMMYFUNCTION("""COMPUTED_VALUE"""),"")</f>
        <v/>
      </c>
      <c r="M96" s="233" t="str">
        <f>IFERROR(__xludf.DUMMYFUNCTION("""COMPUTED_VALUE"""),"")</f>
        <v/>
      </c>
      <c r="N96" s="231" t="str">
        <f>IFERROR(__xludf.DUMMYFUNCTION("""COMPUTED_VALUE"""),"")</f>
        <v/>
      </c>
      <c r="O96" s="232" t="str">
        <f>IFERROR(__xludf.DUMMYFUNCTION("""COMPUTED_VALUE"""),"")</f>
        <v/>
      </c>
      <c r="P96" s="233" t="str">
        <f>IFERROR(__xludf.DUMMYFUNCTION("""COMPUTED_VALUE"""),"")</f>
        <v/>
      </c>
      <c r="Q96" s="231" t="str">
        <f>IFERROR(__xludf.DUMMYFUNCTION("""COMPUTED_VALUE"""),"")</f>
        <v/>
      </c>
      <c r="R96" s="232" t="str">
        <f>IFERROR(__xludf.DUMMYFUNCTION("""COMPUTED_VALUE"""),"")</f>
        <v/>
      </c>
      <c r="S96" s="233" t="str">
        <f>IFERROR(__xludf.DUMMYFUNCTION("""COMPUTED_VALUE"""),"")</f>
        <v/>
      </c>
      <c r="T96" s="231" t="str">
        <f>IFERROR(__xludf.DUMMYFUNCTION("""COMPUTED_VALUE"""),"")</f>
        <v/>
      </c>
      <c r="U96" s="232" t="str">
        <f>IFERROR(__xludf.DUMMYFUNCTION("""COMPUTED_VALUE"""),"")</f>
        <v/>
      </c>
      <c r="V96" s="233" t="str">
        <f>IFERROR(__xludf.DUMMYFUNCTION("""COMPUTED_VALUE"""),"")</f>
        <v/>
      </c>
      <c r="W96" s="231" t="str">
        <f>IFERROR(__xludf.DUMMYFUNCTION("""COMPUTED_VALUE"""),"")</f>
        <v/>
      </c>
      <c r="X96" s="232" t="str">
        <f>IFERROR(__xludf.DUMMYFUNCTION("""COMPUTED_VALUE"""),"")</f>
        <v/>
      </c>
      <c r="Y96" s="233" t="str">
        <f>IFERROR(__xludf.DUMMYFUNCTION("""COMPUTED_VALUE"""),"")</f>
        <v/>
      </c>
      <c r="Z96" s="231" t="str">
        <f>IFERROR(__xludf.DUMMYFUNCTION("""COMPUTED_VALUE"""),"")</f>
        <v/>
      </c>
      <c r="AA96" s="232" t="str">
        <f>IFERROR(__xludf.DUMMYFUNCTION("""COMPUTED_VALUE"""),"")</f>
        <v/>
      </c>
      <c r="AB96" s="233" t="str">
        <f>IFERROR(__xludf.DUMMYFUNCTION("""COMPUTED_VALUE"""),"")</f>
        <v/>
      </c>
      <c r="AC96" s="231" t="str">
        <f>IFERROR(__xludf.DUMMYFUNCTION("""COMPUTED_VALUE"""),"")</f>
        <v/>
      </c>
      <c r="AD96" s="232" t="str">
        <f>IFERROR(__xludf.DUMMYFUNCTION("""COMPUTED_VALUE"""),"")</f>
        <v/>
      </c>
      <c r="AE96" s="233">
        <f>IFERROR(__xludf.DUMMYFUNCTION("""COMPUTED_VALUE"""),24.9)</f>
        <v>24.9</v>
      </c>
      <c r="AF96" s="231" t="str">
        <f>IFERROR(__xludf.DUMMYFUNCTION("""COMPUTED_VALUE"""),"")</f>
        <v/>
      </c>
      <c r="AG96" s="232" t="str">
        <f>IFERROR(__xludf.DUMMYFUNCTION("""COMPUTED_VALUE"""),"")</f>
        <v/>
      </c>
      <c r="AH96" s="233" t="str">
        <f>IFERROR(__xludf.DUMMYFUNCTION("""COMPUTED_VALUE"""),"")</f>
        <v/>
      </c>
      <c r="AI96" s="231" t="str">
        <f>IFERROR(__xludf.DUMMYFUNCTION("""COMPUTED_VALUE"""),"")</f>
        <v/>
      </c>
      <c r="AJ96" s="232" t="str">
        <f>IFERROR(__xludf.DUMMYFUNCTION("""COMPUTED_VALUE"""),"")</f>
        <v/>
      </c>
      <c r="AK96" s="233" t="str">
        <f>IFERROR(__xludf.DUMMYFUNCTION("""COMPUTED_VALUE"""),"")</f>
        <v/>
      </c>
      <c r="AL96" s="231" t="str">
        <f>IFERROR(__xludf.DUMMYFUNCTION("""COMPUTED_VALUE"""),"")</f>
        <v/>
      </c>
      <c r="AM96" s="232" t="str">
        <f>IFERROR(__xludf.DUMMYFUNCTION("""COMPUTED_VALUE"""),"")</f>
        <v/>
      </c>
      <c r="AN96" s="233" t="str">
        <f>IFERROR(__xludf.DUMMYFUNCTION("""COMPUTED_VALUE"""),"")</f>
        <v/>
      </c>
      <c r="AO96" s="231" t="str">
        <f>IFERROR(__xludf.DUMMYFUNCTION("""COMPUTED_VALUE"""),"")</f>
        <v/>
      </c>
      <c r="AP96" s="232" t="str">
        <f>IFERROR(__xludf.DUMMYFUNCTION("""COMPUTED_VALUE"""),"")</f>
        <v/>
      </c>
      <c r="AQ96" s="233" t="str">
        <f>IFERROR(__xludf.DUMMYFUNCTION("""COMPUTED_VALUE"""),"")</f>
        <v/>
      </c>
      <c r="AR96" s="231" t="str">
        <f>IFERROR(__xludf.DUMMYFUNCTION("""COMPUTED_VALUE"""),"")</f>
        <v/>
      </c>
      <c r="AS96" s="232" t="str">
        <f>IFERROR(__xludf.DUMMYFUNCTION("""COMPUTED_VALUE"""),"")</f>
        <v/>
      </c>
      <c r="AT96" s="233" t="str">
        <f>IFERROR(__xludf.DUMMYFUNCTION("""COMPUTED_VALUE"""),"")</f>
        <v/>
      </c>
      <c r="AU96" s="231">
        <f>IFERROR(__xludf.DUMMYFUNCTION("""COMPUTED_VALUE"""),34.9)</f>
        <v>34.9</v>
      </c>
      <c r="AV96" s="232" t="str">
        <f>IFERROR(__xludf.DUMMYFUNCTION("""COMPUTED_VALUE"""),"")</f>
        <v/>
      </c>
      <c r="AW96" s="233" t="str">
        <f>IFERROR(__xludf.DUMMYFUNCTION("""COMPUTED_VALUE"""),"")</f>
        <v/>
      </c>
      <c r="AX96" s="231" t="str">
        <f>IFERROR(__xludf.DUMMYFUNCTION("""COMPUTED_VALUE"""),"")</f>
        <v/>
      </c>
      <c r="AY96" s="232" t="str">
        <f>IFERROR(__xludf.DUMMYFUNCTION("""COMPUTED_VALUE"""),"")</f>
        <v/>
      </c>
      <c r="AZ96" s="233" t="str">
        <f>IFERROR(__xludf.DUMMYFUNCTION("""COMPUTED_VALUE"""),"")</f>
        <v/>
      </c>
      <c r="BA96" s="231" t="str">
        <f>IFERROR(__xludf.DUMMYFUNCTION("""COMPUTED_VALUE"""),"")</f>
        <v/>
      </c>
      <c r="BB96" s="232" t="str">
        <f>IFERROR(__xludf.DUMMYFUNCTION("""COMPUTED_VALUE"""),"")</f>
        <v/>
      </c>
      <c r="BC96" s="233" t="str">
        <f>IFERROR(__xludf.DUMMYFUNCTION("""COMPUTED_VALUE"""),"")</f>
        <v/>
      </c>
      <c r="BD96" s="231" t="str">
        <f>IFERROR(__xludf.DUMMYFUNCTION("""COMPUTED_VALUE"""),"")</f>
        <v/>
      </c>
      <c r="BE96" s="232" t="str">
        <f>IFERROR(__xludf.DUMMYFUNCTION("""COMPUTED_VALUE"""),"")</f>
        <v/>
      </c>
      <c r="BF96" s="233" t="str">
        <f>IFERROR(__xludf.DUMMYFUNCTION("""COMPUTED_VALUE"""),"")</f>
        <v/>
      </c>
      <c r="BG96" s="231" t="str">
        <f>IFERROR(__xludf.DUMMYFUNCTION("""COMPUTED_VALUE"""),"")</f>
        <v/>
      </c>
      <c r="BH96" s="232">
        <f>IFERROR(__xludf.DUMMYFUNCTION("""COMPUTED_VALUE"""),3.0)</f>
        <v>3</v>
      </c>
      <c r="BI96" s="233" t="str">
        <f>IFERROR(__xludf.DUMMYFUNCTION("""COMPUTED_VALUE"""),"")</f>
        <v/>
      </c>
      <c r="BJ96" s="231" t="str">
        <f>IFERROR(__xludf.DUMMYFUNCTION("""COMPUTED_VALUE"""),"")</f>
        <v/>
      </c>
      <c r="BK96" s="232" t="str">
        <f>IFERROR(__xludf.DUMMYFUNCTION("""COMPUTED_VALUE"""),"")</f>
        <v/>
      </c>
      <c r="BL96" s="233" t="str">
        <f>IFERROR(__xludf.DUMMYFUNCTION("""COMPUTED_VALUE"""),"")</f>
        <v/>
      </c>
      <c r="BM96" s="231" t="str">
        <f>IFERROR(__xludf.DUMMYFUNCTION("""COMPUTED_VALUE"""),"")</f>
        <v/>
      </c>
      <c r="BN96" s="232" t="str">
        <f>IFERROR(__xludf.DUMMYFUNCTION("""COMPUTED_VALUE"""),"")</f>
        <v/>
      </c>
      <c r="BO96" s="233">
        <f>IFERROR(__xludf.DUMMYFUNCTION("""COMPUTED_VALUE"""),15.2)</f>
        <v>15.2</v>
      </c>
      <c r="BP96" s="231" t="str">
        <f>IFERROR(__xludf.DUMMYFUNCTION("""COMPUTED_VALUE"""),"")</f>
        <v/>
      </c>
      <c r="BQ96" s="232">
        <f>IFERROR(__xludf.DUMMYFUNCTION("""COMPUTED_VALUE"""),20.1)</f>
        <v>20.1</v>
      </c>
      <c r="BR96" s="233" t="str">
        <f>IFERROR(__xludf.DUMMYFUNCTION("""COMPUTED_VALUE"""),"")</f>
        <v/>
      </c>
      <c r="BS96" s="231" t="str">
        <f>IFERROR(__xludf.DUMMYFUNCTION("""COMPUTED_VALUE"""),"")</f>
        <v/>
      </c>
      <c r="BT96" s="232" t="str">
        <f>IFERROR(__xludf.DUMMYFUNCTION("""COMPUTED_VALUE"""),"")</f>
        <v/>
      </c>
      <c r="BU96" s="233" t="str">
        <f>IFERROR(__xludf.DUMMYFUNCTION("""COMPUTED_VALUE"""),"")</f>
        <v/>
      </c>
      <c r="BV96" s="231">
        <f>IFERROR(__xludf.DUMMYFUNCTION("""COMPUTED_VALUE"""),7.4)</f>
        <v>7.4</v>
      </c>
      <c r="BW96" s="232" t="str">
        <f>IFERROR(__xludf.DUMMYFUNCTION("""COMPUTED_VALUE"""),"")</f>
        <v/>
      </c>
      <c r="BX96" s="233" t="str">
        <f>IFERROR(__xludf.DUMMYFUNCTION("""COMPUTED_VALUE"""),"")</f>
        <v/>
      </c>
      <c r="BY96" s="231" t="str">
        <f>IFERROR(__xludf.DUMMYFUNCTION("""COMPUTED_VALUE"""),"")</f>
        <v/>
      </c>
      <c r="BZ96" s="232" t="str">
        <f>IFERROR(__xludf.DUMMYFUNCTION("""COMPUTED_VALUE"""),"")</f>
        <v/>
      </c>
      <c r="CA96" s="233" t="str">
        <f>IFERROR(__xludf.DUMMYFUNCTION("""COMPUTED_VALUE"""),"")</f>
        <v/>
      </c>
      <c r="CB96" s="231" t="str">
        <f>IFERROR(__xludf.DUMMYFUNCTION("""COMPUTED_VALUE"""),"")</f>
        <v/>
      </c>
      <c r="CC96" s="232" t="str">
        <f>IFERROR(__xludf.DUMMYFUNCTION("""COMPUTED_VALUE"""),"")</f>
        <v/>
      </c>
      <c r="CD96" s="233" t="str">
        <f>IFERROR(__xludf.DUMMYFUNCTION("""COMPUTED_VALUE"""),"")</f>
        <v/>
      </c>
      <c r="CE96" s="234" t="str">
        <f>IFERROR(__xludf.DUMMYFUNCTION("""COMPUTED_VALUE"""),"")</f>
        <v/>
      </c>
      <c r="CF96" s="230" t="str">
        <f>IFERROR(__xludf.DUMMYFUNCTION("""COMPUTED_VALUE"""),"")</f>
        <v/>
      </c>
      <c r="CG96" s="235" t="str">
        <f>IFERROR(__xludf.DUMMYFUNCTION("""COMPUTED_VALUE"""),"")</f>
        <v/>
      </c>
      <c r="CH96" s="234" t="str">
        <f>IFERROR(__xludf.DUMMYFUNCTION("""COMPUTED_VALUE"""),"")</f>
        <v/>
      </c>
      <c r="CI96" s="230" t="str">
        <f>IFERROR(__xludf.DUMMYFUNCTION("""COMPUTED_VALUE"""),"")</f>
        <v/>
      </c>
      <c r="CJ96" s="235" t="str">
        <f>IFERROR(__xludf.DUMMYFUNCTION("""COMPUTED_VALUE"""),"")</f>
        <v/>
      </c>
      <c r="CK96" s="95" t="str">
        <f>IFERROR(__xludf.DUMMYFUNCTION("""COMPUTED_VALUE"""),"")</f>
        <v/>
      </c>
      <c r="CL96" s="96" t="str">
        <f>IFERROR(__xludf.DUMMYFUNCTION("""COMPUTED_VALUE"""),"")</f>
        <v/>
      </c>
      <c r="CM96" s="97" t="str">
        <f>IFERROR(__xludf.DUMMYFUNCTION("""COMPUTED_VALUE"""),"")</f>
        <v/>
      </c>
      <c r="CN96" s="95" t="str">
        <f>IFERROR(__xludf.DUMMYFUNCTION("""COMPUTED_VALUE"""),"")</f>
        <v/>
      </c>
      <c r="CO96" s="96" t="str">
        <f>IFERROR(__xludf.DUMMYFUNCTION("""COMPUTED_VALUE"""),"")</f>
        <v/>
      </c>
      <c r="CP96" s="97" t="str">
        <f>IFERROR(__xludf.DUMMYFUNCTION("""COMPUTED_VALUE"""),"")</f>
        <v/>
      </c>
      <c r="CQ96" s="95" t="str">
        <f>IFERROR(__xludf.DUMMYFUNCTION("""COMPUTED_VALUE"""),"")</f>
        <v/>
      </c>
      <c r="CR96" s="96" t="str">
        <f>IFERROR(__xludf.DUMMYFUNCTION("""COMPUTED_VALUE"""),"")</f>
        <v/>
      </c>
      <c r="CS96" s="97" t="str">
        <f>IFERROR(__xludf.DUMMYFUNCTION("""COMPUTED_VALUE"""),"#REF!")</f>
        <v>#REF!</v>
      </c>
      <c r="CT96" s="95" t="str">
        <f>IFERROR(__xludf.DUMMYFUNCTION("""COMPUTED_VALUE"""),"#REF!")</f>
        <v>#REF!</v>
      </c>
      <c r="CU96" s="96" t="str">
        <f>IFERROR(__xludf.DUMMYFUNCTION("""COMPUTED_VALUE"""),"#REF!")</f>
        <v>#REF!</v>
      </c>
      <c r="CV96" s="97" t="str">
        <f>IFERROR(__xludf.DUMMYFUNCTION("""COMPUTED_VALUE"""),"#REF!")</f>
        <v>#REF!</v>
      </c>
      <c r="CW96" s="95" t="str">
        <f>IFERROR(__xludf.DUMMYFUNCTION("""COMPUTED_VALUE"""),"#REF!")</f>
        <v>#REF!</v>
      </c>
      <c r="CX96" s="96" t="str">
        <f>IFERROR(__xludf.DUMMYFUNCTION("""COMPUTED_VALUE"""),"#REF!")</f>
        <v>#REF!</v>
      </c>
      <c r="CY96" s="97" t="str">
        <f>IFERROR(__xludf.DUMMYFUNCTION("""COMPUTED_VALUE"""),"#REF!")</f>
        <v>#REF!</v>
      </c>
      <c r="CZ96" s="95" t="str">
        <f>IFERROR(__xludf.DUMMYFUNCTION("""COMPUTED_VALUE"""),"#REF!")</f>
        <v>#REF!</v>
      </c>
      <c r="DA96" s="96" t="str">
        <f>IFERROR(__xludf.DUMMYFUNCTION("""COMPUTED_VALUE"""),"#REF!")</f>
        <v>#REF!</v>
      </c>
      <c r="DB96" s="97" t="str">
        <f>IFERROR(__xludf.DUMMYFUNCTION("""COMPUTED_VALUE"""),"#REF!")</f>
        <v>#REF!</v>
      </c>
      <c r="DC96" s="95" t="str">
        <f>IFERROR(__xludf.DUMMYFUNCTION("""COMPUTED_VALUE"""),"#REF!")</f>
        <v>#REF!</v>
      </c>
      <c r="DD96" s="96" t="str">
        <f>IFERROR(__xludf.DUMMYFUNCTION("""COMPUTED_VALUE"""),"#REF!")</f>
        <v>#REF!</v>
      </c>
      <c r="DE96" s="97" t="str">
        <f>IFERROR(__xludf.DUMMYFUNCTION("""COMPUTED_VALUE"""),"#REF!")</f>
        <v>#REF!</v>
      </c>
      <c r="DF96" s="95" t="str">
        <f>IFERROR(__xludf.DUMMYFUNCTION("""COMPUTED_VALUE"""),"#REF!")</f>
        <v>#REF!</v>
      </c>
      <c r="DG96" s="96" t="str">
        <f>IFERROR(__xludf.DUMMYFUNCTION("""COMPUTED_VALUE"""),"#REF!")</f>
        <v>#REF!</v>
      </c>
      <c r="DH96" s="97" t="str">
        <f>IFERROR(__xludf.DUMMYFUNCTION("""COMPUTED_VALUE"""),"#REF!")</f>
        <v>#REF!</v>
      </c>
      <c r="DI96" s="95" t="str">
        <f>IFERROR(__xludf.DUMMYFUNCTION("""COMPUTED_VALUE"""),"#REF!")</f>
        <v>#REF!</v>
      </c>
      <c r="DJ96" s="96" t="str">
        <f>IFERROR(__xludf.DUMMYFUNCTION("""COMPUTED_VALUE"""),"#REF!")</f>
        <v>#REF!</v>
      </c>
      <c r="DK96" s="97" t="str">
        <f>IFERROR(__xludf.DUMMYFUNCTION("""COMPUTED_VALUE"""),"#REF!")</f>
        <v>#REF!</v>
      </c>
      <c r="DL96" s="95" t="str">
        <f>IFERROR(__xludf.DUMMYFUNCTION("""COMPUTED_VALUE"""),"#REF!")</f>
        <v>#REF!</v>
      </c>
      <c r="DM96" s="96" t="str">
        <f>IFERROR(__xludf.DUMMYFUNCTION("""COMPUTED_VALUE"""),"#REF!")</f>
        <v>#REF!</v>
      </c>
      <c r="DN96" s="97" t="str">
        <f>IFERROR(__xludf.DUMMYFUNCTION("""COMPUTED_VALUE"""),"#REF!")</f>
        <v>#REF!</v>
      </c>
      <c r="DO96" s="95" t="str">
        <f>IFERROR(__xludf.DUMMYFUNCTION("""COMPUTED_VALUE"""),"#REF!")</f>
        <v>#REF!</v>
      </c>
      <c r="DP96" s="96" t="str">
        <f>IFERROR(__xludf.DUMMYFUNCTION("""COMPUTED_VALUE"""),"#REF!")</f>
        <v>#REF!</v>
      </c>
      <c r="DQ96" s="97"/>
      <c r="DR96" s="95"/>
    </row>
    <row r="97">
      <c r="B97" s="120" t="str">
        <f>IFERROR(__xludf.DUMMYFUNCTION("""COMPUTED_VALUE"""),"LDN8")</f>
        <v>LDN8</v>
      </c>
      <c r="C97" s="82">
        <f>IFERROR(__xludf.DUMMYFUNCTION("""COMPUTED_VALUE"""),84.0)</f>
        <v>84</v>
      </c>
      <c r="D97" s="88" t="str">
        <f>IFERROR(__xludf.DUMMYFUNCTION("""COMPUTED_VALUE"""),"Southwark")</f>
        <v>Southwark</v>
      </c>
      <c r="E97" s="82" t="str">
        <f>IFERROR(__xludf.DUMMYFUNCTION("""COMPUTED_VALUE"""),"サザーク")</f>
        <v>サザーク</v>
      </c>
      <c r="F97" s="102">
        <f>IFERROR(__xludf.DUMMYFUNCTION("""COMPUTED_VALUE"""),19.0)</f>
        <v>19</v>
      </c>
      <c r="G97" s="82">
        <f>IFERROR(__xludf.DUMMYFUNCTION("""COMPUTED_VALUE"""),9457.0)</f>
        <v>9457</v>
      </c>
      <c r="H97" s="231" t="str">
        <f>IFERROR(__xludf.DUMMYFUNCTION("""COMPUTED_VALUE"""),"")</f>
        <v/>
      </c>
      <c r="I97" s="232" t="str">
        <f>IFERROR(__xludf.DUMMYFUNCTION("""COMPUTED_VALUE"""),"")</f>
        <v/>
      </c>
      <c r="J97" s="233" t="str">
        <f>IFERROR(__xludf.DUMMYFUNCTION("""COMPUTED_VALUE"""),"")</f>
        <v/>
      </c>
      <c r="K97" s="231" t="str">
        <f>IFERROR(__xludf.DUMMYFUNCTION("""COMPUTED_VALUE"""),"")</f>
        <v/>
      </c>
      <c r="L97" s="232" t="str">
        <f>IFERROR(__xludf.DUMMYFUNCTION("""COMPUTED_VALUE"""),"")</f>
        <v/>
      </c>
      <c r="M97" s="233" t="str">
        <f>IFERROR(__xludf.DUMMYFUNCTION("""COMPUTED_VALUE"""),"")</f>
        <v/>
      </c>
      <c r="N97" s="231" t="str">
        <f>IFERROR(__xludf.DUMMYFUNCTION("""COMPUTED_VALUE"""),"")</f>
        <v/>
      </c>
      <c r="O97" s="232" t="str">
        <f>IFERROR(__xludf.DUMMYFUNCTION("""COMPUTED_VALUE"""),"")</f>
        <v/>
      </c>
      <c r="P97" s="233" t="str">
        <f>IFERROR(__xludf.DUMMYFUNCTION("""COMPUTED_VALUE"""),"")</f>
        <v/>
      </c>
      <c r="Q97" s="231" t="str">
        <f>IFERROR(__xludf.DUMMYFUNCTION("""COMPUTED_VALUE"""),"")</f>
        <v/>
      </c>
      <c r="R97" s="232" t="str">
        <f>IFERROR(__xludf.DUMMYFUNCTION("""COMPUTED_VALUE"""),"")</f>
        <v/>
      </c>
      <c r="S97" s="233" t="str">
        <f>IFERROR(__xludf.DUMMYFUNCTION("""COMPUTED_VALUE"""),"")</f>
        <v/>
      </c>
      <c r="T97" s="231" t="str">
        <f>IFERROR(__xludf.DUMMYFUNCTION("""COMPUTED_VALUE"""),"")</f>
        <v/>
      </c>
      <c r="U97" s="232" t="str">
        <f>IFERROR(__xludf.DUMMYFUNCTION("""COMPUTED_VALUE"""),"")</f>
        <v/>
      </c>
      <c r="V97" s="233" t="str">
        <f>IFERROR(__xludf.DUMMYFUNCTION("""COMPUTED_VALUE"""),"")</f>
        <v/>
      </c>
      <c r="W97" s="231" t="str">
        <f>IFERROR(__xludf.DUMMYFUNCTION("""COMPUTED_VALUE"""),"")</f>
        <v/>
      </c>
      <c r="X97" s="232" t="str">
        <f>IFERROR(__xludf.DUMMYFUNCTION("""COMPUTED_VALUE"""),"")</f>
        <v/>
      </c>
      <c r="Y97" s="233" t="str">
        <f>IFERROR(__xludf.DUMMYFUNCTION("""COMPUTED_VALUE"""),"")</f>
        <v/>
      </c>
      <c r="Z97" s="231" t="str">
        <f>IFERROR(__xludf.DUMMYFUNCTION("""COMPUTED_VALUE"""),"")</f>
        <v/>
      </c>
      <c r="AA97" s="232" t="str">
        <f>IFERROR(__xludf.DUMMYFUNCTION("""COMPUTED_VALUE"""),"")</f>
        <v/>
      </c>
      <c r="AB97" s="233" t="str">
        <f>IFERROR(__xludf.DUMMYFUNCTION("""COMPUTED_VALUE"""),"")</f>
        <v/>
      </c>
      <c r="AC97" s="231" t="str">
        <f>IFERROR(__xludf.DUMMYFUNCTION("""COMPUTED_VALUE"""),"")</f>
        <v/>
      </c>
      <c r="AD97" s="232" t="str">
        <f>IFERROR(__xludf.DUMMYFUNCTION("""COMPUTED_VALUE"""),"")</f>
        <v/>
      </c>
      <c r="AE97" s="233" t="str">
        <f>IFERROR(__xludf.DUMMYFUNCTION("""COMPUTED_VALUE"""),"")</f>
        <v/>
      </c>
      <c r="AF97" s="231" t="str">
        <f>IFERROR(__xludf.DUMMYFUNCTION("""COMPUTED_VALUE"""),"")</f>
        <v/>
      </c>
      <c r="AG97" s="232">
        <f>IFERROR(__xludf.DUMMYFUNCTION("""COMPUTED_VALUE"""),30.3)</f>
        <v>30.3</v>
      </c>
      <c r="AH97" s="233" t="str">
        <f>IFERROR(__xludf.DUMMYFUNCTION("""COMPUTED_VALUE"""),"")</f>
        <v/>
      </c>
      <c r="AI97" s="231" t="str">
        <f>IFERROR(__xludf.DUMMYFUNCTION("""COMPUTED_VALUE"""),"")</f>
        <v/>
      </c>
      <c r="AJ97" s="232" t="str">
        <f>IFERROR(__xludf.DUMMYFUNCTION("""COMPUTED_VALUE"""),"")</f>
        <v/>
      </c>
      <c r="AK97" s="233" t="str">
        <f>IFERROR(__xludf.DUMMYFUNCTION("""COMPUTED_VALUE"""),"")</f>
        <v/>
      </c>
      <c r="AL97" s="231" t="str">
        <f>IFERROR(__xludf.DUMMYFUNCTION("""COMPUTED_VALUE"""),"")</f>
        <v/>
      </c>
      <c r="AM97" s="232" t="str">
        <f>IFERROR(__xludf.DUMMYFUNCTION("""COMPUTED_VALUE"""),"")</f>
        <v/>
      </c>
      <c r="AN97" s="233" t="str">
        <f>IFERROR(__xludf.DUMMYFUNCTION("""COMPUTED_VALUE"""),"")</f>
        <v/>
      </c>
      <c r="AO97" s="231" t="str">
        <f>IFERROR(__xludf.DUMMYFUNCTION("""COMPUTED_VALUE"""),"")</f>
        <v/>
      </c>
      <c r="AP97" s="232" t="str">
        <f>IFERROR(__xludf.DUMMYFUNCTION("""COMPUTED_VALUE"""),"")</f>
        <v/>
      </c>
      <c r="AQ97" s="233" t="str">
        <f>IFERROR(__xludf.DUMMYFUNCTION("""COMPUTED_VALUE"""),"")</f>
        <v/>
      </c>
      <c r="AR97" s="231" t="str">
        <f>IFERROR(__xludf.DUMMYFUNCTION("""COMPUTED_VALUE"""),"")</f>
        <v/>
      </c>
      <c r="AS97" s="232" t="str">
        <f>IFERROR(__xludf.DUMMYFUNCTION("""COMPUTED_VALUE"""),"")</f>
        <v/>
      </c>
      <c r="AT97" s="233" t="str">
        <f>IFERROR(__xludf.DUMMYFUNCTION("""COMPUTED_VALUE"""),"")</f>
        <v/>
      </c>
      <c r="AU97" s="231">
        <f>IFERROR(__xludf.DUMMYFUNCTION("""COMPUTED_VALUE"""),27.7)</f>
        <v>27.7</v>
      </c>
      <c r="AV97" s="232" t="str">
        <f>IFERROR(__xludf.DUMMYFUNCTION("""COMPUTED_VALUE"""),"")</f>
        <v/>
      </c>
      <c r="AW97" s="233" t="str">
        <f>IFERROR(__xludf.DUMMYFUNCTION("""COMPUTED_VALUE"""),"")</f>
        <v/>
      </c>
      <c r="AX97" s="231" t="str">
        <f>IFERROR(__xludf.DUMMYFUNCTION("""COMPUTED_VALUE"""),"")</f>
        <v/>
      </c>
      <c r="AY97" s="232" t="str">
        <f>IFERROR(__xludf.DUMMYFUNCTION("""COMPUTED_VALUE"""),"")</f>
        <v/>
      </c>
      <c r="AZ97" s="233" t="str">
        <f>IFERROR(__xludf.DUMMYFUNCTION("""COMPUTED_VALUE"""),"")</f>
        <v/>
      </c>
      <c r="BA97" s="231" t="str">
        <f>IFERROR(__xludf.DUMMYFUNCTION("""COMPUTED_VALUE"""),"")</f>
        <v/>
      </c>
      <c r="BB97" s="232" t="str">
        <f>IFERROR(__xludf.DUMMYFUNCTION("""COMPUTED_VALUE"""),"")</f>
        <v/>
      </c>
      <c r="BC97" s="233" t="str">
        <f>IFERROR(__xludf.DUMMYFUNCTION("""COMPUTED_VALUE"""),"")</f>
        <v/>
      </c>
      <c r="BD97" s="231" t="str">
        <f>IFERROR(__xludf.DUMMYFUNCTION("""COMPUTED_VALUE"""),"")</f>
        <v/>
      </c>
      <c r="BE97" s="232" t="str">
        <f>IFERROR(__xludf.DUMMYFUNCTION("""COMPUTED_VALUE"""),"")</f>
        <v/>
      </c>
      <c r="BF97" s="233" t="str">
        <f>IFERROR(__xludf.DUMMYFUNCTION("""COMPUTED_VALUE"""),"")</f>
        <v/>
      </c>
      <c r="BG97" s="231" t="str">
        <f>IFERROR(__xludf.DUMMYFUNCTION("""COMPUTED_VALUE"""),"")</f>
        <v/>
      </c>
      <c r="BH97" s="232" t="str">
        <f>IFERROR(__xludf.DUMMYFUNCTION("""COMPUTED_VALUE"""),"")</f>
        <v/>
      </c>
      <c r="BI97" s="233" t="str">
        <f>IFERROR(__xludf.DUMMYFUNCTION("""COMPUTED_VALUE"""),"")</f>
        <v/>
      </c>
      <c r="BJ97" s="231" t="str">
        <f>IFERROR(__xludf.DUMMYFUNCTION("""COMPUTED_VALUE"""),"")</f>
        <v/>
      </c>
      <c r="BK97" s="232" t="str">
        <f>IFERROR(__xludf.DUMMYFUNCTION("""COMPUTED_VALUE"""),"")</f>
        <v/>
      </c>
      <c r="BL97" s="233">
        <f>IFERROR(__xludf.DUMMYFUNCTION("""COMPUTED_VALUE"""),9.8)</f>
        <v>9.8</v>
      </c>
      <c r="BM97" s="231" t="str">
        <f>IFERROR(__xludf.DUMMYFUNCTION("""COMPUTED_VALUE"""),"")</f>
        <v/>
      </c>
      <c r="BN97" s="232" t="str">
        <f>IFERROR(__xludf.DUMMYFUNCTION("""COMPUTED_VALUE"""),"")</f>
        <v/>
      </c>
      <c r="BO97" s="233" t="str">
        <f>IFERROR(__xludf.DUMMYFUNCTION("""COMPUTED_VALUE"""),"")</f>
        <v/>
      </c>
      <c r="BP97" s="231" t="str">
        <f>IFERROR(__xludf.DUMMYFUNCTION("""COMPUTED_VALUE"""),"")</f>
        <v/>
      </c>
      <c r="BQ97" s="232" t="str">
        <f>IFERROR(__xludf.DUMMYFUNCTION("""COMPUTED_VALUE"""),"")</f>
        <v/>
      </c>
      <c r="BR97" s="233">
        <f>IFERROR(__xludf.DUMMYFUNCTION("""COMPUTED_VALUE"""),14.7)</f>
        <v>14.7</v>
      </c>
      <c r="BS97" s="231">
        <f>IFERROR(__xludf.DUMMYFUNCTION("""COMPUTED_VALUE"""),32.6)</f>
        <v>32.6</v>
      </c>
      <c r="BT97" s="232" t="str">
        <f>IFERROR(__xludf.DUMMYFUNCTION("""COMPUTED_VALUE"""),"")</f>
        <v/>
      </c>
      <c r="BU97" s="233" t="str">
        <f>IFERROR(__xludf.DUMMYFUNCTION("""COMPUTED_VALUE"""),"")</f>
        <v/>
      </c>
      <c r="BV97" s="231" t="str">
        <f>IFERROR(__xludf.DUMMYFUNCTION("""COMPUTED_VALUE"""),"")</f>
        <v/>
      </c>
      <c r="BW97" s="232" t="str">
        <f>IFERROR(__xludf.DUMMYFUNCTION("""COMPUTED_VALUE"""),"")</f>
        <v/>
      </c>
      <c r="BX97" s="233" t="str">
        <f>IFERROR(__xludf.DUMMYFUNCTION("""COMPUTED_VALUE"""),"")</f>
        <v/>
      </c>
      <c r="BY97" s="231" t="str">
        <f>IFERROR(__xludf.DUMMYFUNCTION("""COMPUTED_VALUE"""),"")</f>
        <v/>
      </c>
      <c r="BZ97" s="232" t="str">
        <f>IFERROR(__xludf.DUMMYFUNCTION("""COMPUTED_VALUE"""),"")</f>
        <v/>
      </c>
      <c r="CA97" s="233" t="str">
        <f>IFERROR(__xludf.DUMMYFUNCTION("""COMPUTED_VALUE"""),"")</f>
        <v/>
      </c>
      <c r="CB97" s="231" t="str">
        <f>IFERROR(__xludf.DUMMYFUNCTION("""COMPUTED_VALUE"""),"")</f>
        <v/>
      </c>
      <c r="CC97" s="232" t="str">
        <f>IFERROR(__xludf.DUMMYFUNCTION("""COMPUTED_VALUE"""),"")</f>
        <v/>
      </c>
      <c r="CD97" s="233" t="str">
        <f>IFERROR(__xludf.DUMMYFUNCTION("""COMPUTED_VALUE"""),"")</f>
        <v/>
      </c>
      <c r="CE97" s="234" t="str">
        <f>IFERROR(__xludf.DUMMYFUNCTION("""COMPUTED_VALUE"""),"")</f>
        <v/>
      </c>
      <c r="CF97" s="230" t="str">
        <f>IFERROR(__xludf.DUMMYFUNCTION("""COMPUTED_VALUE"""),"")</f>
        <v/>
      </c>
      <c r="CG97" s="235" t="str">
        <f>IFERROR(__xludf.DUMMYFUNCTION("""COMPUTED_VALUE"""),"")</f>
        <v/>
      </c>
      <c r="CH97" s="234" t="str">
        <f>IFERROR(__xludf.DUMMYFUNCTION("""COMPUTED_VALUE"""),"")</f>
        <v/>
      </c>
      <c r="CI97" s="230" t="str">
        <f>IFERROR(__xludf.DUMMYFUNCTION("""COMPUTED_VALUE"""),"")</f>
        <v/>
      </c>
      <c r="CJ97" s="235" t="str">
        <f>IFERROR(__xludf.DUMMYFUNCTION("""COMPUTED_VALUE"""),"")</f>
        <v/>
      </c>
      <c r="CK97" s="95" t="str">
        <f>IFERROR(__xludf.DUMMYFUNCTION("""COMPUTED_VALUE"""),"")</f>
        <v/>
      </c>
      <c r="CL97" s="96" t="str">
        <f>IFERROR(__xludf.DUMMYFUNCTION("""COMPUTED_VALUE"""),"")</f>
        <v/>
      </c>
      <c r="CM97" s="97" t="str">
        <f>IFERROR(__xludf.DUMMYFUNCTION("""COMPUTED_VALUE"""),"")</f>
        <v/>
      </c>
      <c r="CN97" s="95" t="str">
        <f>IFERROR(__xludf.DUMMYFUNCTION("""COMPUTED_VALUE"""),"")</f>
        <v/>
      </c>
      <c r="CO97" s="96" t="str">
        <f>IFERROR(__xludf.DUMMYFUNCTION("""COMPUTED_VALUE"""),"")</f>
        <v/>
      </c>
      <c r="CP97" s="97" t="str">
        <f>IFERROR(__xludf.DUMMYFUNCTION("""COMPUTED_VALUE"""),"")</f>
        <v/>
      </c>
      <c r="CQ97" s="95" t="str">
        <f>IFERROR(__xludf.DUMMYFUNCTION("""COMPUTED_VALUE"""),"")</f>
        <v/>
      </c>
      <c r="CR97" s="96" t="str">
        <f>IFERROR(__xludf.DUMMYFUNCTION("""COMPUTED_VALUE"""),"")</f>
        <v/>
      </c>
      <c r="CS97" s="97" t="str">
        <f>IFERROR(__xludf.DUMMYFUNCTION("""COMPUTED_VALUE"""),"#REF!")</f>
        <v>#REF!</v>
      </c>
      <c r="CT97" s="95" t="str">
        <f>IFERROR(__xludf.DUMMYFUNCTION("""COMPUTED_VALUE"""),"#REF!")</f>
        <v>#REF!</v>
      </c>
      <c r="CU97" s="96" t="str">
        <f>IFERROR(__xludf.DUMMYFUNCTION("""COMPUTED_VALUE"""),"#REF!")</f>
        <v>#REF!</v>
      </c>
      <c r="CV97" s="97" t="str">
        <f>IFERROR(__xludf.DUMMYFUNCTION("""COMPUTED_VALUE"""),"#REF!")</f>
        <v>#REF!</v>
      </c>
      <c r="CW97" s="95" t="str">
        <f>IFERROR(__xludf.DUMMYFUNCTION("""COMPUTED_VALUE"""),"#REF!")</f>
        <v>#REF!</v>
      </c>
      <c r="CX97" s="96" t="str">
        <f>IFERROR(__xludf.DUMMYFUNCTION("""COMPUTED_VALUE"""),"#REF!")</f>
        <v>#REF!</v>
      </c>
      <c r="CY97" s="97" t="str">
        <f>IFERROR(__xludf.DUMMYFUNCTION("""COMPUTED_VALUE"""),"#REF!")</f>
        <v>#REF!</v>
      </c>
      <c r="CZ97" s="95" t="str">
        <f>IFERROR(__xludf.DUMMYFUNCTION("""COMPUTED_VALUE"""),"#REF!")</f>
        <v>#REF!</v>
      </c>
      <c r="DA97" s="96" t="str">
        <f>IFERROR(__xludf.DUMMYFUNCTION("""COMPUTED_VALUE"""),"#REF!")</f>
        <v>#REF!</v>
      </c>
      <c r="DB97" s="97" t="str">
        <f>IFERROR(__xludf.DUMMYFUNCTION("""COMPUTED_VALUE"""),"#REF!")</f>
        <v>#REF!</v>
      </c>
      <c r="DC97" s="95" t="str">
        <f>IFERROR(__xludf.DUMMYFUNCTION("""COMPUTED_VALUE"""),"#REF!")</f>
        <v>#REF!</v>
      </c>
      <c r="DD97" s="96" t="str">
        <f>IFERROR(__xludf.DUMMYFUNCTION("""COMPUTED_VALUE"""),"#REF!")</f>
        <v>#REF!</v>
      </c>
      <c r="DE97" s="97" t="str">
        <f>IFERROR(__xludf.DUMMYFUNCTION("""COMPUTED_VALUE"""),"#REF!")</f>
        <v>#REF!</v>
      </c>
      <c r="DF97" s="95" t="str">
        <f>IFERROR(__xludf.DUMMYFUNCTION("""COMPUTED_VALUE"""),"#REF!")</f>
        <v>#REF!</v>
      </c>
      <c r="DG97" s="96" t="str">
        <f>IFERROR(__xludf.DUMMYFUNCTION("""COMPUTED_VALUE"""),"#REF!")</f>
        <v>#REF!</v>
      </c>
      <c r="DH97" s="97" t="str">
        <f>IFERROR(__xludf.DUMMYFUNCTION("""COMPUTED_VALUE"""),"#REF!")</f>
        <v>#REF!</v>
      </c>
      <c r="DI97" s="95" t="str">
        <f>IFERROR(__xludf.DUMMYFUNCTION("""COMPUTED_VALUE"""),"#REF!")</f>
        <v>#REF!</v>
      </c>
      <c r="DJ97" s="96" t="str">
        <f>IFERROR(__xludf.DUMMYFUNCTION("""COMPUTED_VALUE"""),"#REF!")</f>
        <v>#REF!</v>
      </c>
      <c r="DK97" s="97" t="str">
        <f>IFERROR(__xludf.DUMMYFUNCTION("""COMPUTED_VALUE"""),"#REF!")</f>
        <v>#REF!</v>
      </c>
      <c r="DL97" s="95" t="str">
        <f>IFERROR(__xludf.DUMMYFUNCTION("""COMPUTED_VALUE"""),"#REF!")</f>
        <v>#REF!</v>
      </c>
      <c r="DM97" s="96" t="str">
        <f>IFERROR(__xludf.DUMMYFUNCTION("""COMPUTED_VALUE"""),"#REF!")</f>
        <v>#REF!</v>
      </c>
      <c r="DN97" s="97" t="str">
        <f>IFERROR(__xludf.DUMMYFUNCTION("""COMPUTED_VALUE"""),"#REF!")</f>
        <v>#REF!</v>
      </c>
      <c r="DO97" s="95" t="str">
        <f>IFERROR(__xludf.DUMMYFUNCTION("""COMPUTED_VALUE"""),"#REF!")</f>
        <v>#REF!</v>
      </c>
      <c r="DP97" s="96" t="str">
        <f>IFERROR(__xludf.DUMMYFUNCTION("""COMPUTED_VALUE"""),"#REF!")</f>
        <v>#REF!</v>
      </c>
      <c r="DQ97" s="97"/>
      <c r="DR97" s="95"/>
    </row>
    <row r="98">
      <c r="B98" s="120" t="str">
        <f>IFERROR(__xludf.DUMMYFUNCTION("""COMPUTED_VALUE"""),"LDN9")</f>
        <v>LDN9</v>
      </c>
      <c r="C98" s="82">
        <f>IFERROR(__xludf.DUMMYFUNCTION("""COMPUTED_VALUE"""),85.0)</f>
        <v>85</v>
      </c>
      <c r="D98" s="88" t="str">
        <f>IFERROR(__xludf.DUMMYFUNCTION("""COMPUTED_VALUE"""),"Hyde Park")</f>
        <v>Hyde Park</v>
      </c>
      <c r="E98" s="82" t="str">
        <f>IFERROR(__xludf.DUMMYFUNCTION("""COMPUTED_VALUE"""),"ハイドパーク")</f>
        <v>ハイドパーク</v>
      </c>
      <c r="F98" s="102">
        <f>IFERROR(__xludf.DUMMYFUNCTION("""COMPUTED_VALUE"""),20.0)</f>
        <v>20</v>
      </c>
      <c r="G98" s="82">
        <f>IFERROR(__xludf.DUMMYFUNCTION("""COMPUTED_VALUE"""),16230.0)</f>
        <v>16230</v>
      </c>
      <c r="H98" s="231" t="str">
        <f>IFERROR(__xludf.DUMMYFUNCTION("""COMPUTED_VALUE"""),"")</f>
        <v/>
      </c>
      <c r="I98" s="232" t="str">
        <f>IFERROR(__xludf.DUMMYFUNCTION("""COMPUTED_VALUE"""),"")</f>
        <v/>
      </c>
      <c r="J98" s="233" t="str">
        <f>IFERROR(__xludf.DUMMYFUNCTION("""COMPUTED_VALUE"""),"")</f>
        <v/>
      </c>
      <c r="K98" s="231" t="str">
        <f>IFERROR(__xludf.DUMMYFUNCTION("""COMPUTED_VALUE"""),"")</f>
        <v/>
      </c>
      <c r="L98" s="232" t="str">
        <f>IFERROR(__xludf.DUMMYFUNCTION("""COMPUTED_VALUE"""),"")</f>
        <v/>
      </c>
      <c r="M98" s="233" t="str">
        <f>IFERROR(__xludf.DUMMYFUNCTION("""COMPUTED_VALUE"""),"")</f>
        <v/>
      </c>
      <c r="N98" s="231" t="str">
        <f>IFERROR(__xludf.DUMMYFUNCTION("""COMPUTED_VALUE"""),"")</f>
        <v/>
      </c>
      <c r="O98" s="232" t="str">
        <f>IFERROR(__xludf.DUMMYFUNCTION("""COMPUTED_VALUE"""),"")</f>
        <v/>
      </c>
      <c r="P98" s="233" t="str">
        <f>IFERROR(__xludf.DUMMYFUNCTION("""COMPUTED_VALUE"""),"")</f>
        <v/>
      </c>
      <c r="Q98" s="231" t="str">
        <f>IFERROR(__xludf.DUMMYFUNCTION("""COMPUTED_VALUE"""),"")</f>
        <v/>
      </c>
      <c r="R98" s="232" t="str">
        <f>IFERROR(__xludf.DUMMYFUNCTION("""COMPUTED_VALUE"""),"")</f>
        <v/>
      </c>
      <c r="S98" s="233" t="str">
        <f>IFERROR(__xludf.DUMMYFUNCTION("""COMPUTED_VALUE"""),"")</f>
        <v/>
      </c>
      <c r="T98" s="231" t="str">
        <f>IFERROR(__xludf.DUMMYFUNCTION("""COMPUTED_VALUE"""),"")</f>
        <v/>
      </c>
      <c r="U98" s="232" t="str">
        <f>IFERROR(__xludf.DUMMYFUNCTION("""COMPUTED_VALUE"""),"")</f>
        <v/>
      </c>
      <c r="V98" s="233" t="str">
        <f>IFERROR(__xludf.DUMMYFUNCTION("""COMPUTED_VALUE"""),"")</f>
        <v/>
      </c>
      <c r="W98" s="231" t="str">
        <f>IFERROR(__xludf.DUMMYFUNCTION("""COMPUTED_VALUE"""),"")</f>
        <v/>
      </c>
      <c r="X98" s="232" t="str">
        <f>IFERROR(__xludf.DUMMYFUNCTION("""COMPUTED_VALUE"""),"")</f>
        <v/>
      </c>
      <c r="Y98" s="233" t="str">
        <f>IFERROR(__xludf.DUMMYFUNCTION("""COMPUTED_VALUE"""),"")</f>
        <v/>
      </c>
      <c r="Z98" s="231" t="str">
        <f>IFERROR(__xludf.DUMMYFUNCTION("""COMPUTED_VALUE"""),"")</f>
        <v/>
      </c>
      <c r="AA98" s="232" t="str">
        <f>IFERROR(__xludf.DUMMYFUNCTION("""COMPUTED_VALUE"""),"")</f>
        <v/>
      </c>
      <c r="AB98" s="233" t="str">
        <f>IFERROR(__xludf.DUMMYFUNCTION("""COMPUTED_VALUE"""),"")</f>
        <v/>
      </c>
      <c r="AC98" s="231" t="str">
        <f>IFERROR(__xludf.DUMMYFUNCTION("""COMPUTED_VALUE"""),"")</f>
        <v/>
      </c>
      <c r="AD98" s="232" t="str">
        <f>IFERROR(__xludf.DUMMYFUNCTION("""COMPUTED_VALUE"""),"")</f>
        <v/>
      </c>
      <c r="AE98" s="233" t="str">
        <f>IFERROR(__xludf.DUMMYFUNCTION("""COMPUTED_VALUE"""),"")</f>
        <v/>
      </c>
      <c r="AF98" s="231">
        <f>IFERROR(__xludf.DUMMYFUNCTION("""COMPUTED_VALUE"""),27.1)</f>
        <v>27.1</v>
      </c>
      <c r="AG98" s="232" t="str">
        <f>IFERROR(__xludf.DUMMYFUNCTION("""COMPUTED_VALUE"""),"")</f>
        <v/>
      </c>
      <c r="AH98" s="233" t="str">
        <f>IFERROR(__xludf.DUMMYFUNCTION("""COMPUTED_VALUE"""),"")</f>
        <v/>
      </c>
      <c r="AI98" s="231" t="str">
        <f>IFERROR(__xludf.DUMMYFUNCTION("""COMPUTED_VALUE"""),"")</f>
        <v/>
      </c>
      <c r="AJ98" s="232" t="str">
        <f>IFERROR(__xludf.DUMMYFUNCTION("""COMPUTED_VALUE"""),"")</f>
        <v/>
      </c>
      <c r="AK98" s="233" t="str">
        <f>IFERROR(__xludf.DUMMYFUNCTION("""COMPUTED_VALUE"""),"")</f>
        <v/>
      </c>
      <c r="AL98" s="231" t="str">
        <f>IFERROR(__xludf.DUMMYFUNCTION("""COMPUTED_VALUE"""),"")</f>
        <v/>
      </c>
      <c r="AM98" s="232" t="str">
        <f>IFERROR(__xludf.DUMMYFUNCTION("""COMPUTED_VALUE"""),"")</f>
        <v/>
      </c>
      <c r="AN98" s="233" t="str">
        <f>IFERROR(__xludf.DUMMYFUNCTION("""COMPUTED_VALUE"""),"")</f>
        <v/>
      </c>
      <c r="AO98" s="231" t="str">
        <f>IFERROR(__xludf.DUMMYFUNCTION("""COMPUTED_VALUE"""),"")</f>
        <v/>
      </c>
      <c r="AP98" s="232" t="str">
        <f>IFERROR(__xludf.DUMMYFUNCTION("""COMPUTED_VALUE"""),"")</f>
        <v/>
      </c>
      <c r="AQ98" s="233" t="str">
        <f>IFERROR(__xludf.DUMMYFUNCTION("""COMPUTED_VALUE"""),"")</f>
        <v/>
      </c>
      <c r="AR98" s="231" t="str">
        <f>IFERROR(__xludf.DUMMYFUNCTION("""COMPUTED_VALUE"""),"")</f>
        <v/>
      </c>
      <c r="AS98" s="232" t="str">
        <f>IFERROR(__xludf.DUMMYFUNCTION("""COMPUTED_VALUE"""),"")</f>
        <v/>
      </c>
      <c r="AT98" s="233" t="str">
        <f>IFERROR(__xludf.DUMMYFUNCTION("""COMPUTED_VALUE"""),"")</f>
        <v/>
      </c>
      <c r="AU98" s="231">
        <f>IFERROR(__xludf.DUMMYFUNCTION("""COMPUTED_VALUE"""),36.9)</f>
        <v>36.9</v>
      </c>
      <c r="AV98" s="232" t="str">
        <f>IFERROR(__xludf.DUMMYFUNCTION("""COMPUTED_VALUE"""),"")</f>
        <v/>
      </c>
      <c r="AW98" s="233" t="str">
        <f>IFERROR(__xludf.DUMMYFUNCTION("""COMPUTED_VALUE"""),"")</f>
        <v/>
      </c>
      <c r="AX98" s="231" t="str">
        <f>IFERROR(__xludf.DUMMYFUNCTION("""COMPUTED_VALUE"""),"")</f>
        <v/>
      </c>
      <c r="AY98" s="232" t="str">
        <f>IFERROR(__xludf.DUMMYFUNCTION("""COMPUTED_VALUE"""),"")</f>
        <v/>
      </c>
      <c r="AZ98" s="233" t="str">
        <f>IFERROR(__xludf.DUMMYFUNCTION("""COMPUTED_VALUE"""),"")</f>
        <v/>
      </c>
      <c r="BA98" s="231" t="str">
        <f>IFERROR(__xludf.DUMMYFUNCTION("""COMPUTED_VALUE"""),"")</f>
        <v/>
      </c>
      <c r="BB98" s="232" t="str">
        <f>IFERROR(__xludf.DUMMYFUNCTION("""COMPUTED_VALUE"""),"")</f>
        <v/>
      </c>
      <c r="BC98" s="233" t="str">
        <f>IFERROR(__xludf.DUMMYFUNCTION("""COMPUTED_VALUE"""),"")</f>
        <v/>
      </c>
      <c r="BD98" s="231" t="str">
        <f>IFERROR(__xludf.DUMMYFUNCTION("""COMPUTED_VALUE"""),"")</f>
        <v/>
      </c>
      <c r="BE98" s="232" t="str">
        <f>IFERROR(__xludf.DUMMYFUNCTION("""COMPUTED_VALUE"""),"")</f>
        <v/>
      </c>
      <c r="BF98" s="233" t="str">
        <f>IFERROR(__xludf.DUMMYFUNCTION("""COMPUTED_VALUE"""),"")</f>
        <v/>
      </c>
      <c r="BG98" s="231">
        <f>IFERROR(__xludf.DUMMYFUNCTION("""COMPUTED_VALUE"""),3.1)</f>
        <v>3.1</v>
      </c>
      <c r="BH98" s="232" t="str">
        <f>IFERROR(__xludf.DUMMYFUNCTION("""COMPUTED_VALUE"""),"")</f>
        <v/>
      </c>
      <c r="BI98" s="233" t="str">
        <f>IFERROR(__xludf.DUMMYFUNCTION("""COMPUTED_VALUE"""),"")</f>
        <v/>
      </c>
      <c r="BJ98" s="231" t="str">
        <f>IFERROR(__xludf.DUMMYFUNCTION("""COMPUTED_VALUE"""),"")</f>
        <v/>
      </c>
      <c r="BK98" s="232" t="str">
        <f>IFERROR(__xludf.DUMMYFUNCTION("""COMPUTED_VALUE"""),"")</f>
        <v/>
      </c>
      <c r="BL98" s="233" t="str">
        <f>IFERROR(__xludf.DUMMYFUNCTION("""COMPUTED_VALUE"""),"")</f>
        <v/>
      </c>
      <c r="BM98" s="231" t="str">
        <f>IFERROR(__xludf.DUMMYFUNCTION("""COMPUTED_VALUE"""),"")</f>
        <v/>
      </c>
      <c r="BN98" s="232">
        <f>IFERROR(__xludf.DUMMYFUNCTION("""COMPUTED_VALUE"""),15.3)</f>
        <v>15.3</v>
      </c>
      <c r="BO98" s="233" t="str">
        <f>IFERROR(__xludf.DUMMYFUNCTION("""COMPUTED_VALUE"""),"")</f>
        <v/>
      </c>
      <c r="BP98" s="231" t="str">
        <f>IFERROR(__xludf.DUMMYFUNCTION("""COMPUTED_VALUE"""),"")</f>
        <v/>
      </c>
      <c r="BQ98" s="232" t="str">
        <f>IFERROR(__xludf.DUMMYFUNCTION("""COMPUTED_VALUE"""),"")</f>
        <v/>
      </c>
      <c r="BR98" s="233" t="str">
        <f>IFERROR(__xludf.DUMMYFUNCTION("""COMPUTED_VALUE"""),"")</f>
        <v/>
      </c>
      <c r="BS98" s="231">
        <f>IFERROR(__xludf.DUMMYFUNCTION("""COMPUTED_VALUE"""),19.2)</f>
        <v>19.2</v>
      </c>
      <c r="BT98" s="232" t="str">
        <f>IFERROR(__xludf.DUMMYFUNCTION("""COMPUTED_VALUE"""),"")</f>
        <v/>
      </c>
      <c r="BU98" s="233">
        <f>IFERROR(__xludf.DUMMYFUNCTION("""COMPUTED_VALUE"""),8.5)</f>
        <v>8.5</v>
      </c>
      <c r="BV98" s="231" t="str">
        <f>IFERROR(__xludf.DUMMYFUNCTION("""COMPUTED_VALUE"""),"")</f>
        <v/>
      </c>
      <c r="BW98" s="232" t="str">
        <f>IFERROR(__xludf.DUMMYFUNCTION("""COMPUTED_VALUE"""),"")</f>
        <v/>
      </c>
      <c r="BX98" s="233" t="str">
        <f>IFERROR(__xludf.DUMMYFUNCTION("""COMPUTED_VALUE"""),"")</f>
        <v/>
      </c>
      <c r="BY98" s="231" t="str">
        <f>IFERROR(__xludf.DUMMYFUNCTION("""COMPUTED_VALUE"""),"")</f>
        <v/>
      </c>
      <c r="BZ98" s="232" t="str">
        <f>IFERROR(__xludf.DUMMYFUNCTION("""COMPUTED_VALUE"""),"")</f>
        <v/>
      </c>
      <c r="CA98" s="233" t="str">
        <f>IFERROR(__xludf.DUMMYFUNCTION("""COMPUTED_VALUE"""),"")</f>
        <v/>
      </c>
      <c r="CB98" s="231" t="str">
        <f>IFERROR(__xludf.DUMMYFUNCTION("""COMPUTED_VALUE"""),"")</f>
        <v/>
      </c>
      <c r="CC98" s="232" t="str">
        <f>IFERROR(__xludf.DUMMYFUNCTION("""COMPUTED_VALUE"""),"")</f>
        <v/>
      </c>
      <c r="CD98" s="233" t="str">
        <f>IFERROR(__xludf.DUMMYFUNCTION("""COMPUTED_VALUE"""),"")</f>
        <v/>
      </c>
      <c r="CE98" s="234" t="str">
        <f>IFERROR(__xludf.DUMMYFUNCTION("""COMPUTED_VALUE"""),"")</f>
        <v/>
      </c>
      <c r="CF98" s="230" t="str">
        <f>IFERROR(__xludf.DUMMYFUNCTION("""COMPUTED_VALUE"""),"")</f>
        <v/>
      </c>
      <c r="CG98" s="235" t="str">
        <f>IFERROR(__xludf.DUMMYFUNCTION("""COMPUTED_VALUE"""),"")</f>
        <v/>
      </c>
      <c r="CH98" s="234" t="str">
        <f>IFERROR(__xludf.DUMMYFUNCTION("""COMPUTED_VALUE"""),"")</f>
        <v/>
      </c>
      <c r="CI98" s="230" t="str">
        <f>IFERROR(__xludf.DUMMYFUNCTION("""COMPUTED_VALUE"""),"")</f>
        <v/>
      </c>
      <c r="CJ98" s="235" t="str">
        <f>IFERROR(__xludf.DUMMYFUNCTION("""COMPUTED_VALUE"""),"")</f>
        <v/>
      </c>
      <c r="CK98" s="95" t="str">
        <f>IFERROR(__xludf.DUMMYFUNCTION("""COMPUTED_VALUE"""),"")</f>
        <v/>
      </c>
      <c r="CL98" s="96" t="str">
        <f>IFERROR(__xludf.DUMMYFUNCTION("""COMPUTED_VALUE"""),"")</f>
        <v/>
      </c>
      <c r="CM98" s="97" t="str">
        <f>IFERROR(__xludf.DUMMYFUNCTION("""COMPUTED_VALUE"""),"")</f>
        <v/>
      </c>
      <c r="CN98" s="95" t="str">
        <f>IFERROR(__xludf.DUMMYFUNCTION("""COMPUTED_VALUE"""),"")</f>
        <v/>
      </c>
      <c r="CO98" s="96" t="str">
        <f>IFERROR(__xludf.DUMMYFUNCTION("""COMPUTED_VALUE"""),"")</f>
        <v/>
      </c>
      <c r="CP98" s="97" t="str">
        <f>IFERROR(__xludf.DUMMYFUNCTION("""COMPUTED_VALUE"""),"")</f>
        <v/>
      </c>
      <c r="CQ98" s="95" t="str">
        <f>IFERROR(__xludf.DUMMYFUNCTION("""COMPUTED_VALUE"""),"")</f>
        <v/>
      </c>
      <c r="CR98" s="96" t="str">
        <f>IFERROR(__xludf.DUMMYFUNCTION("""COMPUTED_VALUE"""),"")</f>
        <v/>
      </c>
      <c r="CS98" s="97" t="str">
        <f>IFERROR(__xludf.DUMMYFUNCTION("""COMPUTED_VALUE"""),"#REF!")</f>
        <v>#REF!</v>
      </c>
      <c r="CT98" s="95" t="str">
        <f>IFERROR(__xludf.DUMMYFUNCTION("""COMPUTED_VALUE"""),"#REF!")</f>
        <v>#REF!</v>
      </c>
      <c r="CU98" s="96" t="str">
        <f>IFERROR(__xludf.DUMMYFUNCTION("""COMPUTED_VALUE"""),"#REF!")</f>
        <v>#REF!</v>
      </c>
      <c r="CV98" s="97" t="str">
        <f>IFERROR(__xludf.DUMMYFUNCTION("""COMPUTED_VALUE"""),"#REF!")</f>
        <v>#REF!</v>
      </c>
      <c r="CW98" s="95" t="str">
        <f>IFERROR(__xludf.DUMMYFUNCTION("""COMPUTED_VALUE"""),"#REF!")</f>
        <v>#REF!</v>
      </c>
      <c r="CX98" s="96" t="str">
        <f>IFERROR(__xludf.DUMMYFUNCTION("""COMPUTED_VALUE"""),"#REF!")</f>
        <v>#REF!</v>
      </c>
      <c r="CY98" s="97" t="str">
        <f>IFERROR(__xludf.DUMMYFUNCTION("""COMPUTED_VALUE"""),"#REF!")</f>
        <v>#REF!</v>
      </c>
      <c r="CZ98" s="95" t="str">
        <f>IFERROR(__xludf.DUMMYFUNCTION("""COMPUTED_VALUE"""),"#REF!")</f>
        <v>#REF!</v>
      </c>
      <c r="DA98" s="96" t="str">
        <f>IFERROR(__xludf.DUMMYFUNCTION("""COMPUTED_VALUE"""),"#REF!")</f>
        <v>#REF!</v>
      </c>
      <c r="DB98" s="97" t="str">
        <f>IFERROR(__xludf.DUMMYFUNCTION("""COMPUTED_VALUE"""),"#REF!")</f>
        <v>#REF!</v>
      </c>
      <c r="DC98" s="95" t="str">
        <f>IFERROR(__xludf.DUMMYFUNCTION("""COMPUTED_VALUE"""),"#REF!")</f>
        <v>#REF!</v>
      </c>
      <c r="DD98" s="96" t="str">
        <f>IFERROR(__xludf.DUMMYFUNCTION("""COMPUTED_VALUE"""),"#REF!")</f>
        <v>#REF!</v>
      </c>
      <c r="DE98" s="97" t="str">
        <f>IFERROR(__xludf.DUMMYFUNCTION("""COMPUTED_VALUE"""),"#REF!")</f>
        <v>#REF!</v>
      </c>
      <c r="DF98" s="95" t="str">
        <f>IFERROR(__xludf.DUMMYFUNCTION("""COMPUTED_VALUE"""),"#REF!")</f>
        <v>#REF!</v>
      </c>
      <c r="DG98" s="96" t="str">
        <f>IFERROR(__xludf.DUMMYFUNCTION("""COMPUTED_VALUE"""),"#REF!")</f>
        <v>#REF!</v>
      </c>
      <c r="DH98" s="97" t="str">
        <f>IFERROR(__xludf.DUMMYFUNCTION("""COMPUTED_VALUE"""),"#REF!")</f>
        <v>#REF!</v>
      </c>
      <c r="DI98" s="95" t="str">
        <f>IFERROR(__xludf.DUMMYFUNCTION("""COMPUTED_VALUE"""),"#REF!")</f>
        <v>#REF!</v>
      </c>
      <c r="DJ98" s="96" t="str">
        <f>IFERROR(__xludf.DUMMYFUNCTION("""COMPUTED_VALUE"""),"#REF!")</f>
        <v>#REF!</v>
      </c>
      <c r="DK98" s="97" t="str">
        <f>IFERROR(__xludf.DUMMYFUNCTION("""COMPUTED_VALUE"""),"#REF!")</f>
        <v>#REF!</v>
      </c>
      <c r="DL98" s="95" t="str">
        <f>IFERROR(__xludf.DUMMYFUNCTION("""COMPUTED_VALUE"""),"#REF!")</f>
        <v>#REF!</v>
      </c>
      <c r="DM98" s="96" t="str">
        <f>IFERROR(__xludf.DUMMYFUNCTION("""COMPUTED_VALUE"""),"#REF!")</f>
        <v>#REF!</v>
      </c>
      <c r="DN98" s="97" t="str">
        <f>IFERROR(__xludf.DUMMYFUNCTION("""COMPUTED_VALUE"""),"#REF!")</f>
        <v>#REF!</v>
      </c>
      <c r="DO98" s="95" t="str">
        <f>IFERROR(__xludf.DUMMYFUNCTION("""COMPUTED_VALUE"""),"#REF!")</f>
        <v>#REF!</v>
      </c>
      <c r="DP98" s="96" t="str">
        <f>IFERROR(__xludf.DUMMYFUNCTION("""COMPUTED_VALUE"""),"#REF!")</f>
        <v>#REF!</v>
      </c>
      <c r="DQ98" s="97"/>
      <c r="DR98" s="95"/>
    </row>
    <row r="99">
      <c r="A99" s="135" t="str">
        <f>IFERROR(__xludf.DUMMYFUNCTION("""COMPUTED_VALUE"""),"E PLURIBUS UNUM")</f>
        <v>E PLURIBUS UNUM</v>
      </c>
      <c r="B99" s="120" t="str">
        <f>IFERROR(__xludf.DUMMYFUNCTION("""COMPUTED_VALUE"""),"EPU1")</f>
        <v>EPU1</v>
      </c>
      <c r="C99" s="82">
        <f>IFERROR(__xludf.DUMMYFUNCTION("""COMPUTED_VALUE"""),86.0)</f>
        <v>86</v>
      </c>
      <c r="D99" s="88" t="str">
        <f>IFERROR(__xludf.DUMMYFUNCTION("""COMPUTED_VALUE"""),"Black Hills")</f>
        <v>Black Hills</v>
      </c>
      <c r="E99" s="82" t="str">
        <f>IFERROR(__xludf.DUMMYFUNCTION("""COMPUTED_VALUE"""),"ブラックヒルズ")</f>
        <v>ブラックヒルズ</v>
      </c>
      <c r="F99" s="102">
        <f>IFERROR(__xludf.DUMMYFUNCTION("""COMPUTED_VALUE"""),17.0)</f>
        <v>17</v>
      </c>
      <c r="G99" s="82">
        <f>IFERROR(__xludf.DUMMYFUNCTION("""COMPUTED_VALUE"""),1100.0)</f>
        <v>1100</v>
      </c>
      <c r="H99" s="231" t="str">
        <f>IFERROR(__xludf.DUMMYFUNCTION("""COMPUTED_VALUE"""),"")</f>
        <v/>
      </c>
      <c r="I99" s="232" t="str">
        <f>IFERROR(__xludf.DUMMYFUNCTION("""COMPUTED_VALUE"""),"")</f>
        <v/>
      </c>
      <c r="J99" s="233" t="str">
        <f>IFERROR(__xludf.DUMMYFUNCTION("""COMPUTED_VALUE"""),"")</f>
        <v/>
      </c>
      <c r="K99" s="231" t="str">
        <f>IFERROR(__xludf.DUMMYFUNCTION("""COMPUTED_VALUE"""),"")</f>
        <v/>
      </c>
      <c r="L99" s="232" t="str">
        <f>IFERROR(__xludf.DUMMYFUNCTION("""COMPUTED_VALUE"""),"")</f>
        <v/>
      </c>
      <c r="M99" s="233" t="str">
        <f>IFERROR(__xludf.DUMMYFUNCTION("""COMPUTED_VALUE"""),"")</f>
        <v/>
      </c>
      <c r="N99" s="231" t="str">
        <f>IFERROR(__xludf.DUMMYFUNCTION("""COMPUTED_VALUE"""),"")</f>
        <v/>
      </c>
      <c r="O99" s="232" t="str">
        <f>IFERROR(__xludf.DUMMYFUNCTION("""COMPUTED_VALUE"""),"")</f>
        <v/>
      </c>
      <c r="P99" s="233" t="str">
        <f>IFERROR(__xludf.DUMMYFUNCTION("""COMPUTED_VALUE"""),"")</f>
        <v/>
      </c>
      <c r="Q99" s="231" t="str">
        <f>IFERROR(__xludf.DUMMYFUNCTION("""COMPUTED_VALUE"""),"")</f>
        <v/>
      </c>
      <c r="R99" s="232" t="str">
        <f>IFERROR(__xludf.DUMMYFUNCTION("""COMPUTED_VALUE"""),"")</f>
        <v/>
      </c>
      <c r="S99" s="233" t="str">
        <f>IFERROR(__xludf.DUMMYFUNCTION("""COMPUTED_VALUE"""),"")</f>
        <v/>
      </c>
      <c r="T99" s="231" t="str">
        <f>IFERROR(__xludf.DUMMYFUNCTION("""COMPUTED_VALUE"""),"")</f>
        <v/>
      </c>
      <c r="U99" s="232" t="str">
        <f>IFERROR(__xludf.DUMMYFUNCTION("""COMPUTED_VALUE"""),"")</f>
        <v/>
      </c>
      <c r="V99" s="233" t="str">
        <f>IFERROR(__xludf.DUMMYFUNCTION("""COMPUTED_VALUE"""),"")</f>
        <v/>
      </c>
      <c r="W99" s="231" t="str">
        <f>IFERROR(__xludf.DUMMYFUNCTION("""COMPUTED_VALUE"""),"")</f>
        <v/>
      </c>
      <c r="X99" s="232" t="str">
        <f>IFERROR(__xludf.DUMMYFUNCTION("""COMPUTED_VALUE"""),"")</f>
        <v/>
      </c>
      <c r="Y99" s="233" t="str">
        <f>IFERROR(__xludf.DUMMYFUNCTION("""COMPUTED_VALUE"""),"")</f>
        <v/>
      </c>
      <c r="Z99" s="231" t="str">
        <f>IFERROR(__xludf.DUMMYFUNCTION("""COMPUTED_VALUE"""),"")</f>
        <v/>
      </c>
      <c r="AA99" s="232" t="str">
        <f>IFERROR(__xludf.DUMMYFUNCTION("""COMPUTED_VALUE"""),"")</f>
        <v/>
      </c>
      <c r="AB99" s="233" t="str">
        <f>IFERROR(__xludf.DUMMYFUNCTION("""COMPUTED_VALUE"""),"")</f>
        <v/>
      </c>
      <c r="AC99" s="231" t="str">
        <f>IFERROR(__xludf.DUMMYFUNCTION("""COMPUTED_VALUE"""),"")</f>
        <v/>
      </c>
      <c r="AD99" s="232" t="str">
        <f>IFERROR(__xludf.DUMMYFUNCTION("""COMPUTED_VALUE"""),"")</f>
        <v/>
      </c>
      <c r="AE99" s="233">
        <f>IFERROR(__xludf.DUMMYFUNCTION("""COMPUTED_VALUE"""),16.4)</f>
        <v>16.4</v>
      </c>
      <c r="AF99" s="231" t="str">
        <f>IFERROR(__xludf.DUMMYFUNCTION("""COMPUTED_VALUE"""),"")</f>
        <v/>
      </c>
      <c r="AG99" s="232" t="str">
        <f>IFERROR(__xludf.DUMMYFUNCTION("""COMPUTED_VALUE"""),"")</f>
        <v/>
      </c>
      <c r="AH99" s="233" t="str">
        <f>IFERROR(__xludf.DUMMYFUNCTION("""COMPUTED_VALUE"""),"")</f>
        <v/>
      </c>
      <c r="AI99" s="231" t="str">
        <f>IFERROR(__xludf.DUMMYFUNCTION("""COMPUTED_VALUE"""),"")</f>
        <v/>
      </c>
      <c r="AJ99" s="232" t="str">
        <f>IFERROR(__xludf.DUMMYFUNCTION("""COMPUTED_VALUE"""),"")</f>
        <v/>
      </c>
      <c r="AK99" s="233" t="str">
        <f>IFERROR(__xludf.DUMMYFUNCTION("""COMPUTED_VALUE"""),"")</f>
        <v/>
      </c>
      <c r="AL99" s="231" t="str">
        <f>IFERROR(__xludf.DUMMYFUNCTION("""COMPUTED_VALUE"""),"")</f>
        <v/>
      </c>
      <c r="AM99" s="232" t="str">
        <f>IFERROR(__xludf.DUMMYFUNCTION("""COMPUTED_VALUE"""),"")</f>
        <v/>
      </c>
      <c r="AN99" s="233" t="str">
        <f>IFERROR(__xludf.DUMMYFUNCTION("""COMPUTED_VALUE"""),"")</f>
        <v/>
      </c>
      <c r="AO99" s="231" t="str">
        <f>IFERROR(__xludf.DUMMYFUNCTION("""COMPUTED_VALUE"""),"")</f>
        <v/>
      </c>
      <c r="AP99" s="232" t="str">
        <f>IFERROR(__xludf.DUMMYFUNCTION("""COMPUTED_VALUE"""),"")</f>
        <v/>
      </c>
      <c r="AQ99" s="233" t="str">
        <f>IFERROR(__xludf.DUMMYFUNCTION("""COMPUTED_VALUE"""),"")</f>
        <v/>
      </c>
      <c r="AR99" s="231" t="str">
        <f>IFERROR(__xludf.DUMMYFUNCTION("""COMPUTED_VALUE"""),"")</f>
        <v/>
      </c>
      <c r="AS99" s="232" t="str">
        <f>IFERROR(__xludf.DUMMYFUNCTION("""COMPUTED_VALUE"""),"")</f>
        <v/>
      </c>
      <c r="AT99" s="233" t="str">
        <f>IFERROR(__xludf.DUMMYFUNCTION("""COMPUTED_VALUE"""),"")</f>
        <v/>
      </c>
      <c r="AU99" s="231" t="str">
        <f>IFERROR(__xludf.DUMMYFUNCTION("""COMPUTED_VALUE"""),"")</f>
        <v/>
      </c>
      <c r="AV99" s="232" t="str">
        <f>IFERROR(__xludf.DUMMYFUNCTION("""COMPUTED_VALUE"""),"")</f>
        <v/>
      </c>
      <c r="AW99" s="233" t="str">
        <f>IFERROR(__xludf.DUMMYFUNCTION("""COMPUTED_VALUE"""),"")</f>
        <v/>
      </c>
      <c r="AX99" s="231" t="str">
        <f>IFERROR(__xludf.DUMMYFUNCTION("""COMPUTED_VALUE"""),"")</f>
        <v/>
      </c>
      <c r="AY99" s="232" t="str">
        <f>IFERROR(__xludf.DUMMYFUNCTION("""COMPUTED_VALUE"""),"")</f>
        <v/>
      </c>
      <c r="AZ99" s="233" t="str">
        <f>IFERROR(__xludf.DUMMYFUNCTION("""COMPUTED_VALUE"""),"")</f>
        <v/>
      </c>
      <c r="BA99" s="231" t="str">
        <f>IFERROR(__xludf.DUMMYFUNCTION("""COMPUTED_VALUE"""),"")</f>
        <v/>
      </c>
      <c r="BB99" s="232" t="str">
        <f>IFERROR(__xludf.DUMMYFUNCTION("""COMPUTED_VALUE"""),"")</f>
        <v/>
      </c>
      <c r="BC99" s="233" t="str">
        <f>IFERROR(__xludf.DUMMYFUNCTION("""COMPUTED_VALUE"""),"")</f>
        <v/>
      </c>
      <c r="BD99" s="231" t="str">
        <f>IFERROR(__xludf.DUMMYFUNCTION("""COMPUTED_VALUE"""),"")</f>
        <v/>
      </c>
      <c r="BE99" s="232" t="str">
        <f>IFERROR(__xludf.DUMMYFUNCTION("""COMPUTED_VALUE"""),"")</f>
        <v/>
      </c>
      <c r="BF99" s="233" t="str">
        <f>IFERROR(__xludf.DUMMYFUNCTION("""COMPUTED_VALUE"""),"")</f>
        <v/>
      </c>
      <c r="BG99" s="231" t="str">
        <f>IFERROR(__xludf.DUMMYFUNCTION("""COMPUTED_VALUE"""),"")</f>
        <v/>
      </c>
      <c r="BH99" s="232" t="str">
        <f>IFERROR(__xludf.DUMMYFUNCTION("""COMPUTED_VALUE"""),"")</f>
        <v/>
      </c>
      <c r="BI99" s="233" t="str">
        <f>IFERROR(__xludf.DUMMYFUNCTION("""COMPUTED_VALUE"""),"")</f>
        <v/>
      </c>
      <c r="BJ99" s="231" t="str">
        <f>IFERROR(__xludf.DUMMYFUNCTION("""COMPUTED_VALUE"""),"")</f>
        <v/>
      </c>
      <c r="BK99" s="232" t="str">
        <f>IFERROR(__xludf.DUMMYFUNCTION("""COMPUTED_VALUE"""),"")</f>
        <v/>
      </c>
      <c r="BL99" s="233" t="str">
        <f>IFERROR(__xludf.DUMMYFUNCTION("""COMPUTED_VALUE"""),"")</f>
        <v/>
      </c>
      <c r="BM99" s="231" t="str">
        <f>IFERROR(__xludf.DUMMYFUNCTION("""COMPUTED_VALUE"""),"")</f>
        <v/>
      </c>
      <c r="BN99" s="232" t="str">
        <f>IFERROR(__xludf.DUMMYFUNCTION("""COMPUTED_VALUE"""),"")</f>
        <v/>
      </c>
      <c r="BO99" s="233" t="str">
        <f>IFERROR(__xludf.DUMMYFUNCTION("""COMPUTED_VALUE"""),"")</f>
        <v/>
      </c>
      <c r="BP99" s="231" t="str">
        <f>IFERROR(__xludf.DUMMYFUNCTION("""COMPUTED_VALUE"""),"")</f>
        <v/>
      </c>
      <c r="BQ99" s="232" t="str">
        <f>IFERROR(__xludf.DUMMYFUNCTION("""COMPUTED_VALUE"""),"")</f>
        <v/>
      </c>
      <c r="BR99" s="233">
        <f>IFERROR(__xludf.DUMMYFUNCTION("""COMPUTED_VALUE"""),40.6)</f>
        <v>40.6</v>
      </c>
      <c r="BS99" s="231" t="str">
        <f>IFERROR(__xludf.DUMMYFUNCTION("""COMPUTED_VALUE"""),"")</f>
        <v/>
      </c>
      <c r="BT99" s="232" t="str">
        <f>IFERROR(__xludf.DUMMYFUNCTION("""COMPUTED_VALUE"""),"")</f>
        <v/>
      </c>
      <c r="BU99" s="233" t="str">
        <f>IFERROR(__xludf.DUMMYFUNCTION("""COMPUTED_VALUE"""),"")</f>
        <v/>
      </c>
      <c r="BV99" s="231" t="str">
        <f>IFERROR(__xludf.DUMMYFUNCTION("""COMPUTED_VALUE"""),"")</f>
        <v/>
      </c>
      <c r="BW99" s="232" t="str">
        <f>IFERROR(__xludf.DUMMYFUNCTION("""COMPUTED_VALUE"""),"")</f>
        <v/>
      </c>
      <c r="BX99" s="233" t="str">
        <f>IFERROR(__xludf.DUMMYFUNCTION("""COMPUTED_VALUE"""),"")</f>
        <v/>
      </c>
      <c r="BY99" s="231" t="str">
        <f>IFERROR(__xludf.DUMMYFUNCTION("""COMPUTED_VALUE"""),"")</f>
        <v/>
      </c>
      <c r="BZ99" s="232" t="str">
        <f>IFERROR(__xludf.DUMMYFUNCTION("""COMPUTED_VALUE"""),"")</f>
        <v/>
      </c>
      <c r="CA99" s="233" t="str">
        <f>IFERROR(__xludf.DUMMYFUNCTION("""COMPUTED_VALUE"""),"")</f>
        <v/>
      </c>
      <c r="CB99" s="231" t="str">
        <f>IFERROR(__xludf.DUMMYFUNCTION("""COMPUTED_VALUE"""),"")</f>
        <v/>
      </c>
      <c r="CC99" s="232" t="str">
        <f>IFERROR(__xludf.DUMMYFUNCTION("""COMPUTED_VALUE"""),"")</f>
        <v/>
      </c>
      <c r="CD99" s="233" t="str">
        <f>IFERROR(__xludf.DUMMYFUNCTION("""COMPUTED_VALUE"""),"")</f>
        <v/>
      </c>
      <c r="CE99" s="234" t="str">
        <f>IFERROR(__xludf.DUMMYFUNCTION("""COMPUTED_VALUE"""),"")</f>
        <v/>
      </c>
      <c r="CF99" s="230" t="str">
        <f>IFERROR(__xludf.DUMMYFUNCTION("""COMPUTED_VALUE"""),"")</f>
        <v/>
      </c>
      <c r="CG99" s="235" t="str">
        <f>IFERROR(__xludf.DUMMYFUNCTION("""COMPUTED_VALUE"""),"")</f>
        <v/>
      </c>
      <c r="CH99" s="234" t="str">
        <f>IFERROR(__xludf.DUMMYFUNCTION("""COMPUTED_VALUE"""),"")</f>
        <v/>
      </c>
      <c r="CI99" s="230" t="str">
        <f>IFERROR(__xludf.DUMMYFUNCTION("""COMPUTED_VALUE"""),"")</f>
        <v/>
      </c>
      <c r="CJ99" s="235" t="str">
        <f>IFERROR(__xludf.DUMMYFUNCTION("""COMPUTED_VALUE"""),"")</f>
        <v/>
      </c>
      <c r="CK99" s="95" t="str">
        <f>IFERROR(__xludf.DUMMYFUNCTION("""COMPUTED_VALUE"""),"")</f>
        <v/>
      </c>
      <c r="CL99" s="96" t="str">
        <f>IFERROR(__xludf.DUMMYFUNCTION("""COMPUTED_VALUE"""),"")</f>
        <v/>
      </c>
      <c r="CM99" s="97" t="str">
        <f>IFERROR(__xludf.DUMMYFUNCTION("""COMPUTED_VALUE"""),"")</f>
        <v/>
      </c>
      <c r="CN99" s="95" t="str">
        <f>IFERROR(__xludf.DUMMYFUNCTION("""COMPUTED_VALUE"""),"")</f>
        <v/>
      </c>
      <c r="CO99" s="96" t="str">
        <f>IFERROR(__xludf.DUMMYFUNCTION("""COMPUTED_VALUE"""),"")</f>
        <v/>
      </c>
      <c r="CP99" s="97" t="str">
        <f>IFERROR(__xludf.DUMMYFUNCTION("""COMPUTED_VALUE"""),"")</f>
        <v/>
      </c>
      <c r="CQ99" s="95" t="str">
        <f>IFERROR(__xludf.DUMMYFUNCTION("""COMPUTED_VALUE"""),"")</f>
        <v/>
      </c>
      <c r="CR99" s="96" t="str">
        <f>IFERROR(__xludf.DUMMYFUNCTION("""COMPUTED_VALUE"""),"")</f>
        <v/>
      </c>
      <c r="CS99" s="97" t="str">
        <f>IFERROR(__xludf.DUMMYFUNCTION("""COMPUTED_VALUE"""),"#REF!")</f>
        <v>#REF!</v>
      </c>
      <c r="CT99" s="95" t="str">
        <f>IFERROR(__xludf.DUMMYFUNCTION("""COMPUTED_VALUE"""),"#REF!")</f>
        <v>#REF!</v>
      </c>
      <c r="CU99" s="96" t="str">
        <f>IFERROR(__xludf.DUMMYFUNCTION("""COMPUTED_VALUE"""),"#REF!")</f>
        <v>#REF!</v>
      </c>
      <c r="CV99" s="97" t="str">
        <f>IFERROR(__xludf.DUMMYFUNCTION("""COMPUTED_VALUE"""),"#REF!")</f>
        <v>#REF!</v>
      </c>
      <c r="CW99" s="95" t="str">
        <f>IFERROR(__xludf.DUMMYFUNCTION("""COMPUTED_VALUE"""),"#REF!")</f>
        <v>#REF!</v>
      </c>
      <c r="CX99" s="96" t="str">
        <f>IFERROR(__xludf.DUMMYFUNCTION("""COMPUTED_VALUE"""),"#REF!")</f>
        <v>#REF!</v>
      </c>
      <c r="CY99" s="97" t="str">
        <f>IFERROR(__xludf.DUMMYFUNCTION("""COMPUTED_VALUE"""),"#REF!")</f>
        <v>#REF!</v>
      </c>
      <c r="CZ99" s="95" t="str">
        <f>IFERROR(__xludf.DUMMYFUNCTION("""COMPUTED_VALUE"""),"#REF!")</f>
        <v>#REF!</v>
      </c>
      <c r="DA99" s="96" t="str">
        <f>IFERROR(__xludf.DUMMYFUNCTION("""COMPUTED_VALUE"""),"#REF!")</f>
        <v>#REF!</v>
      </c>
      <c r="DB99" s="97" t="str">
        <f>IFERROR(__xludf.DUMMYFUNCTION("""COMPUTED_VALUE"""),"#REF!")</f>
        <v>#REF!</v>
      </c>
      <c r="DC99" s="95" t="str">
        <f>IFERROR(__xludf.DUMMYFUNCTION("""COMPUTED_VALUE"""),"#REF!")</f>
        <v>#REF!</v>
      </c>
      <c r="DD99" s="96" t="str">
        <f>IFERROR(__xludf.DUMMYFUNCTION("""COMPUTED_VALUE"""),"#REF!")</f>
        <v>#REF!</v>
      </c>
      <c r="DE99" s="97" t="str">
        <f>IFERROR(__xludf.DUMMYFUNCTION("""COMPUTED_VALUE"""),"#REF!")</f>
        <v>#REF!</v>
      </c>
      <c r="DF99" s="95" t="str">
        <f>IFERROR(__xludf.DUMMYFUNCTION("""COMPUTED_VALUE"""),"#REF!")</f>
        <v>#REF!</v>
      </c>
      <c r="DG99" s="96" t="str">
        <f>IFERROR(__xludf.DUMMYFUNCTION("""COMPUTED_VALUE"""),"#REF!")</f>
        <v>#REF!</v>
      </c>
      <c r="DH99" s="97" t="str">
        <f>IFERROR(__xludf.DUMMYFUNCTION("""COMPUTED_VALUE"""),"#REF!")</f>
        <v>#REF!</v>
      </c>
      <c r="DI99" s="95" t="str">
        <f>IFERROR(__xludf.DUMMYFUNCTION("""COMPUTED_VALUE"""),"#REF!")</f>
        <v>#REF!</v>
      </c>
      <c r="DJ99" s="96" t="str">
        <f>IFERROR(__xludf.DUMMYFUNCTION("""COMPUTED_VALUE"""),"#REF!")</f>
        <v>#REF!</v>
      </c>
      <c r="DK99" s="97" t="str">
        <f>IFERROR(__xludf.DUMMYFUNCTION("""COMPUTED_VALUE"""),"#REF!")</f>
        <v>#REF!</v>
      </c>
      <c r="DL99" s="95" t="str">
        <f>IFERROR(__xludf.DUMMYFUNCTION("""COMPUTED_VALUE"""),"#REF!")</f>
        <v>#REF!</v>
      </c>
      <c r="DM99" s="96" t="str">
        <f>IFERROR(__xludf.DUMMYFUNCTION("""COMPUTED_VALUE"""),"#REF!")</f>
        <v>#REF!</v>
      </c>
      <c r="DN99" s="97" t="str">
        <f>IFERROR(__xludf.DUMMYFUNCTION("""COMPUTED_VALUE"""),"#REF!")</f>
        <v>#REF!</v>
      </c>
      <c r="DO99" s="95" t="str">
        <f>IFERROR(__xludf.DUMMYFUNCTION("""COMPUTED_VALUE"""),"#REF!")</f>
        <v>#REF!</v>
      </c>
      <c r="DP99" s="96" t="str">
        <f>IFERROR(__xludf.DUMMYFUNCTION("""COMPUTED_VALUE"""),"#REF!")</f>
        <v>#REF!</v>
      </c>
      <c r="DQ99" s="97"/>
      <c r="DR99" s="95"/>
    </row>
    <row r="100">
      <c r="B100" s="120" t="str">
        <f>IFERROR(__xludf.DUMMYFUNCTION("""COMPUTED_VALUE"""),"EPU2")</f>
        <v>EPU2</v>
      </c>
      <c r="C100" s="82">
        <f>IFERROR(__xludf.DUMMYFUNCTION("""COMPUTED_VALUE"""),87.0)</f>
        <v>87</v>
      </c>
      <c r="D100" s="88" t="str">
        <f>IFERROR(__xludf.DUMMYFUNCTION("""COMPUTED_VALUE"""),"Riverton")</f>
        <v>Riverton</v>
      </c>
      <c r="E100" s="82" t="str">
        <f>IFERROR(__xludf.DUMMYFUNCTION("""COMPUTED_VALUE"""),"リバートン")</f>
        <v>リバートン</v>
      </c>
      <c r="F100" s="102">
        <f>IFERROR(__xludf.DUMMYFUNCTION("""COMPUTED_VALUE"""),17.0)</f>
        <v>17</v>
      </c>
      <c r="G100" s="82">
        <f>IFERROR(__xludf.DUMMYFUNCTION("""COMPUTED_VALUE"""),1128.0)</f>
        <v>1128</v>
      </c>
      <c r="H100" s="231" t="str">
        <f>IFERROR(__xludf.DUMMYFUNCTION("""COMPUTED_VALUE"""),"")</f>
        <v/>
      </c>
      <c r="I100" s="232" t="str">
        <f>IFERROR(__xludf.DUMMYFUNCTION("""COMPUTED_VALUE"""),"")</f>
        <v/>
      </c>
      <c r="J100" s="233" t="str">
        <f>IFERROR(__xludf.DUMMYFUNCTION("""COMPUTED_VALUE"""),"")</f>
        <v/>
      </c>
      <c r="K100" s="231" t="str">
        <f>IFERROR(__xludf.DUMMYFUNCTION("""COMPUTED_VALUE"""),"")</f>
        <v/>
      </c>
      <c r="L100" s="232" t="str">
        <f>IFERROR(__xludf.DUMMYFUNCTION("""COMPUTED_VALUE"""),"")</f>
        <v/>
      </c>
      <c r="M100" s="233" t="str">
        <f>IFERROR(__xludf.DUMMYFUNCTION("""COMPUTED_VALUE"""),"")</f>
        <v/>
      </c>
      <c r="N100" s="231" t="str">
        <f>IFERROR(__xludf.DUMMYFUNCTION("""COMPUTED_VALUE"""),"")</f>
        <v/>
      </c>
      <c r="O100" s="232" t="str">
        <f>IFERROR(__xludf.DUMMYFUNCTION("""COMPUTED_VALUE"""),"")</f>
        <v/>
      </c>
      <c r="P100" s="233" t="str">
        <f>IFERROR(__xludf.DUMMYFUNCTION("""COMPUTED_VALUE"""),"")</f>
        <v/>
      </c>
      <c r="Q100" s="231" t="str">
        <f>IFERROR(__xludf.DUMMYFUNCTION("""COMPUTED_VALUE"""),"")</f>
        <v/>
      </c>
      <c r="R100" s="232" t="str">
        <f>IFERROR(__xludf.DUMMYFUNCTION("""COMPUTED_VALUE"""),"")</f>
        <v/>
      </c>
      <c r="S100" s="233" t="str">
        <f>IFERROR(__xludf.DUMMYFUNCTION("""COMPUTED_VALUE"""),"")</f>
        <v/>
      </c>
      <c r="T100" s="231" t="str">
        <f>IFERROR(__xludf.DUMMYFUNCTION("""COMPUTED_VALUE"""),"")</f>
        <v/>
      </c>
      <c r="U100" s="232" t="str">
        <f>IFERROR(__xludf.DUMMYFUNCTION("""COMPUTED_VALUE"""),"")</f>
        <v/>
      </c>
      <c r="V100" s="233" t="str">
        <f>IFERROR(__xludf.DUMMYFUNCTION("""COMPUTED_VALUE"""),"")</f>
        <v/>
      </c>
      <c r="W100" s="231" t="str">
        <f>IFERROR(__xludf.DUMMYFUNCTION("""COMPUTED_VALUE"""),"")</f>
        <v/>
      </c>
      <c r="X100" s="232" t="str">
        <f>IFERROR(__xludf.DUMMYFUNCTION("""COMPUTED_VALUE"""),"")</f>
        <v/>
      </c>
      <c r="Y100" s="233" t="str">
        <f>IFERROR(__xludf.DUMMYFUNCTION("""COMPUTED_VALUE"""),"")</f>
        <v/>
      </c>
      <c r="Z100" s="231" t="str">
        <f>IFERROR(__xludf.DUMMYFUNCTION("""COMPUTED_VALUE"""),"")</f>
        <v/>
      </c>
      <c r="AA100" s="232" t="str">
        <f>IFERROR(__xludf.DUMMYFUNCTION("""COMPUTED_VALUE"""),"")</f>
        <v/>
      </c>
      <c r="AB100" s="233" t="str">
        <f>IFERROR(__xludf.DUMMYFUNCTION("""COMPUTED_VALUE"""),"")</f>
        <v/>
      </c>
      <c r="AC100" s="231" t="str">
        <f>IFERROR(__xludf.DUMMYFUNCTION("""COMPUTED_VALUE"""),"")</f>
        <v/>
      </c>
      <c r="AD100" s="232" t="str">
        <f>IFERROR(__xludf.DUMMYFUNCTION("""COMPUTED_VALUE"""),"")</f>
        <v/>
      </c>
      <c r="AE100" s="233" t="str">
        <f>IFERROR(__xludf.DUMMYFUNCTION("""COMPUTED_VALUE"""),"")</f>
        <v/>
      </c>
      <c r="AF100" s="231" t="str">
        <f>IFERROR(__xludf.DUMMYFUNCTION("""COMPUTED_VALUE"""),"")</f>
        <v/>
      </c>
      <c r="AG100" s="232" t="str">
        <f>IFERROR(__xludf.DUMMYFUNCTION("""COMPUTED_VALUE"""),"")</f>
        <v/>
      </c>
      <c r="AH100" s="233" t="str">
        <f>IFERROR(__xludf.DUMMYFUNCTION("""COMPUTED_VALUE"""),"")</f>
        <v/>
      </c>
      <c r="AI100" s="231" t="str">
        <f>IFERROR(__xludf.DUMMYFUNCTION("""COMPUTED_VALUE"""),"")</f>
        <v/>
      </c>
      <c r="AJ100" s="232" t="str">
        <f>IFERROR(__xludf.DUMMYFUNCTION("""COMPUTED_VALUE"""),"")</f>
        <v/>
      </c>
      <c r="AK100" s="233" t="str">
        <f>IFERROR(__xludf.DUMMYFUNCTION("""COMPUTED_VALUE"""),"")</f>
        <v/>
      </c>
      <c r="AL100" s="231" t="str">
        <f>IFERROR(__xludf.DUMMYFUNCTION("""COMPUTED_VALUE"""),"")</f>
        <v/>
      </c>
      <c r="AM100" s="232" t="str">
        <f>IFERROR(__xludf.DUMMYFUNCTION("""COMPUTED_VALUE"""),"")</f>
        <v/>
      </c>
      <c r="AN100" s="233" t="str">
        <f>IFERROR(__xludf.DUMMYFUNCTION("""COMPUTED_VALUE"""),"")</f>
        <v/>
      </c>
      <c r="AO100" s="231" t="str">
        <f>IFERROR(__xludf.DUMMYFUNCTION("""COMPUTED_VALUE"""),"")</f>
        <v/>
      </c>
      <c r="AP100" s="232" t="str">
        <f>IFERROR(__xludf.DUMMYFUNCTION("""COMPUTED_VALUE"""),"")</f>
        <v/>
      </c>
      <c r="AQ100" s="233" t="str">
        <f>IFERROR(__xludf.DUMMYFUNCTION("""COMPUTED_VALUE"""),"")</f>
        <v/>
      </c>
      <c r="AR100" s="231" t="str">
        <f>IFERROR(__xludf.DUMMYFUNCTION("""COMPUTED_VALUE"""),"")</f>
        <v/>
      </c>
      <c r="AS100" s="232" t="str">
        <f>IFERROR(__xludf.DUMMYFUNCTION("""COMPUTED_VALUE"""),"")</f>
        <v/>
      </c>
      <c r="AT100" s="233">
        <f>IFERROR(__xludf.DUMMYFUNCTION("""COMPUTED_VALUE"""),42.0)</f>
        <v>42</v>
      </c>
      <c r="AU100" s="231" t="str">
        <f>IFERROR(__xludf.DUMMYFUNCTION("""COMPUTED_VALUE"""),"")</f>
        <v/>
      </c>
      <c r="AV100" s="232" t="str">
        <f>IFERROR(__xludf.DUMMYFUNCTION("""COMPUTED_VALUE"""),"")</f>
        <v/>
      </c>
      <c r="AW100" s="233">
        <f>IFERROR(__xludf.DUMMYFUNCTION("""COMPUTED_VALUE"""),33.0)</f>
        <v>33</v>
      </c>
      <c r="AX100" s="231" t="str">
        <f>IFERROR(__xludf.DUMMYFUNCTION("""COMPUTED_VALUE"""),"")</f>
        <v/>
      </c>
      <c r="AY100" s="232" t="str">
        <f>IFERROR(__xludf.DUMMYFUNCTION("""COMPUTED_VALUE"""),"")</f>
        <v/>
      </c>
      <c r="AZ100" s="233" t="str">
        <f>IFERROR(__xludf.DUMMYFUNCTION("""COMPUTED_VALUE"""),"")</f>
        <v/>
      </c>
      <c r="BA100" s="231" t="str">
        <f>IFERROR(__xludf.DUMMYFUNCTION("""COMPUTED_VALUE"""),"")</f>
        <v/>
      </c>
      <c r="BB100" s="232" t="str">
        <f>IFERROR(__xludf.DUMMYFUNCTION("""COMPUTED_VALUE"""),"")</f>
        <v/>
      </c>
      <c r="BC100" s="233" t="str">
        <f>IFERROR(__xludf.DUMMYFUNCTION("""COMPUTED_VALUE"""),"")</f>
        <v/>
      </c>
      <c r="BD100" s="231" t="str">
        <f>IFERROR(__xludf.DUMMYFUNCTION("""COMPUTED_VALUE"""),"")</f>
        <v/>
      </c>
      <c r="BE100" s="232" t="str">
        <f>IFERROR(__xludf.DUMMYFUNCTION("""COMPUTED_VALUE"""),"")</f>
        <v/>
      </c>
      <c r="BF100" s="233" t="str">
        <f>IFERROR(__xludf.DUMMYFUNCTION("""COMPUTED_VALUE"""),"")</f>
        <v/>
      </c>
      <c r="BG100" s="231" t="str">
        <f>IFERROR(__xludf.DUMMYFUNCTION("""COMPUTED_VALUE"""),"")</f>
        <v/>
      </c>
      <c r="BH100" s="232" t="str">
        <f>IFERROR(__xludf.DUMMYFUNCTION("""COMPUTED_VALUE"""),"")</f>
        <v/>
      </c>
      <c r="BI100" s="233" t="str">
        <f>IFERROR(__xludf.DUMMYFUNCTION("""COMPUTED_VALUE"""),"")</f>
        <v/>
      </c>
      <c r="BJ100" s="231" t="str">
        <f>IFERROR(__xludf.DUMMYFUNCTION("""COMPUTED_VALUE"""),"")</f>
        <v/>
      </c>
      <c r="BK100" s="232" t="str">
        <f>IFERROR(__xludf.DUMMYFUNCTION("""COMPUTED_VALUE"""),"")</f>
        <v/>
      </c>
      <c r="BL100" s="233" t="str">
        <f>IFERROR(__xludf.DUMMYFUNCTION("""COMPUTED_VALUE"""),"")</f>
        <v/>
      </c>
      <c r="BM100" s="231" t="str">
        <f>IFERROR(__xludf.DUMMYFUNCTION("""COMPUTED_VALUE"""),"")</f>
        <v/>
      </c>
      <c r="BN100" s="232" t="str">
        <f>IFERROR(__xludf.DUMMYFUNCTION("""COMPUTED_VALUE"""),"")</f>
        <v/>
      </c>
      <c r="BO100" s="233" t="str">
        <f>IFERROR(__xludf.DUMMYFUNCTION("""COMPUTED_VALUE"""),"")</f>
        <v/>
      </c>
      <c r="BP100" s="231" t="str">
        <f>IFERROR(__xludf.DUMMYFUNCTION("""COMPUTED_VALUE"""),"")</f>
        <v/>
      </c>
      <c r="BQ100" s="232">
        <f>IFERROR(__xludf.DUMMYFUNCTION("""COMPUTED_VALUE"""),13.4)</f>
        <v>13.4</v>
      </c>
      <c r="BR100" s="233">
        <f>IFERROR(__xludf.DUMMYFUNCTION("""COMPUTED_VALUE"""),5.2)</f>
        <v>5.2</v>
      </c>
      <c r="BS100" s="231">
        <f>IFERROR(__xludf.DUMMYFUNCTION("""COMPUTED_VALUE"""),5.1)</f>
        <v>5.1</v>
      </c>
      <c r="BT100" s="232" t="str">
        <f>IFERROR(__xludf.DUMMYFUNCTION("""COMPUTED_VALUE"""),"")</f>
        <v/>
      </c>
      <c r="BU100" s="233" t="str">
        <f>IFERROR(__xludf.DUMMYFUNCTION("""COMPUTED_VALUE"""),"")</f>
        <v/>
      </c>
      <c r="BV100" s="231" t="str">
        <f>IFERROR(__xludf.DUMMYFUNCTION("""COMPUTED_VALUE"""),"")</f>
        <v/>
      </c>
      <c r="BW100" s="232" t="str">
        <f>IFERROR(__xludf.DUMMYFUNCTION("""COMPUTED_VALUE"""),"")</f>
        <v/>
      </c>
      <c r="BX100" s="233" t="str">
        <f>IFERROR(__xludf.DUMMYFUNCTION("""COMPUTED_VALUE"""),"")</f>
        <v/>
      </c>
      <c r="BY100" s="231" t="str">
        <f>IFERROR(__xludf.DUMMYFUNCTION("""COMPUTED_VALUE"""),"")</f>
        <v/>
      </c>
      <c r="BZ100" s="232">
        <f>IFERROR(__xludf.DUMMYFUNCTION("""COMPUTED_VALUE"""),7.8)</f>
        <v>7.8</v>
      </c>
      <c r="CA100" s="233" t="str">
        <f>IFERROR(__xludf.DUMMYFUNCTION("""COMPUTED_VALUE"""),"")</f>
        <v/>
      </c>
      <c r="CB100" s="231" t="str">
        <f>IFERROR(__xludf.DUMMYFUNCTION("""COMPUTED_VALUE"""),"")</f>
        <v/>
      </c>
      <c r="CC100" s="232" t="str">
        <f>IFERROR(__xludf.DUMMYFUNCTION("""COMPUTED_VALUE"""),"")</f>
        <v/>
      </c>
      <c r="CD100" s="233" t="str">
        <f>IFERROR(__xludf.DUMMYFUNCTION("""COMPUTED_VALUE"""),"")</f>
        <v/>
      </c>
      <c r="CE100" s="234" t="str">
        <f>IFERROR(__xludf.DUMMYFUNCTION("""COMPUTED_VALUE"""),"")</f>
        <v/>
      </c>
      <c r="CF100" s="230" t="str">
        <f>IFERROR(__xludf.DUMMYFUNCTION("""COMPUTED_VALUE"""),"")</f>
        <v/>
      </c>
      <c r="CG100" s="235">
        <f>IFERROR(__xludf.DUMMYFUNCTION("""COMPUTED_VALUE"""),20.7)</f>
        <v>20.7</v>
      </c>
      <c r="CH100" s="234" t="str">
        <f>IFERROR(__xludf.DUMMYFUNCTION("""COMPUTED_VALUE"""),"")</f>
        <v/>
      </c>
      <c r="CI100" s="230" t="str">
        <f>IFERROR(__xludf.DUMMYFUNCTION("""COMPUTED_VALUE"""),"")</f>
        <v/>
      </c>
      <c r="CJ100" s="235" t="str">
        <f>IFERROR(__xludf.DUMMYFUNCTION("""COMPUTED_VALUE"""),"")</f>
        <v/>
      </c>
      <c r="CK100" s="95" t="str">
        <f>IFERROR(__xludf.DUMMYFUNCTION("""COMPUTED_VALUE"""),"")</f>
        <v/>
      </c>
      <c r="CL100" s="96" t="str">
        <f>IFERROR(__xludf.DUMMYFUNCTION("""COMPUTED_VALUE"""),"")</f>
        <v/>
      </c>
      <c r="CM100" s="97" t="str">
        <f>IFERROR(__xludf.DUMMYFUNCTION("""COMPUTED_VALUE"""),"")</f>
        <v/>
      </c>
      <c r="CN100" s="95" t="str">
        <f>IFERROR(__xludf.DUMMYFUNCTION("""COMPUTED_VALUE"""),"")</f>
        <v/>
      </c>
      <c r="CO100" s="96" t="str">
        <f>IFERROR(__xludf.DUMMYFUNCTION("""COMPUTED_VALUE"""),"")</f>
        <v/>
      </c>
      <c r="CP100" s="97" t="str">
        <f>IFERROR(__xludf.DUMMYFUNCTION("""COMPUTED_VALUE"""),"")</f>
        <v/>
      </c>
      <c r="CQ100" s="95" t="str">
        <f>IFERROR(__xludf.DUMMYFUNCTION("""COMPUTED_VALUE"""),"")</f>
        <v/>
      </c>
      <c r="CR100" s="96" t="str">
        <f>IFERROR(__xludf.DUMMYFUNCTION("""COMPUTED_VALUE"""),"")</f>
        <v/>
      </c>
      <c r="CS100" s="97" t="str">
        <f>IFERROR(__xludf.DUMMYFUNCTION("""COMPUTED_VALUE"""),"#REF!")</f>
        <v>#REF!</v>
      </c>
      <c r="CT100" s="95" t="str">
        <f>IFERROR(__xludf.DUMMYFUNCTION("""COMPUTED_VALUE"""),"#REF!")</f>
        <v>#REF!</v>
      </c>
      <c r="CU100" s="96" t="str">
        <f>IFERROR(__xludf.DUMMYFUNCTION("""COMPUTED_VALUE"""),"#REF!")</f>
        <v>#REF!</v>
      </c>
      <c r="CV100" s="97" t="str">
        <f>IFERROR(__xludf.DUMMYFUNCTION("""COMPUTED_VALUE"""),"#REF!")</f>
        <v>#REF!</v>
      </c>
      <c r="CW100" s="95" t="str">
        <f>IFERROR(__xludf.DUMMYFUNCTION("""COMPUTED_VALUE"""),"#REF!")</f>
        <v>#REF!</v>
      </c>
      <c r="CX100" s="96" t="str">
        <f>IFERROR(__xludf.DUMMYFUNCTION("""COMPUTED_VALUE"""),"#REF!")</f>
        <v>#REF!</v>
      </c>
      <c r="CY100" s="97" t="str">
        <f>IFERROR(__xludf.DUMMYFUNCTION("""COMPUTED_VALUE"""),"#REF!")</f>
        <v>#REF!</v>
      </c>
      <c r="CZ100" s="95" t="str">
        <f>IFERROR(__xludf.DUMMYFUNCTION("""COMPUTED_VALUE"""),"#REF!")</f>
        <v>#REF!</v>
      </c>
      <c r="DA100" s="96" t="str">
        <f>IFERROR(__xludf.DUMMYFUNCTION("""COMPUTED_VALUE"""),"#REF!")</f>
        <v>#REF!</v>
      </c>
      <c r="DB100" s="97" t="str">
        <f>IFERROR(__xludf.DUMMYFUNCTION("""COMPUTED_VALUE"""),"#REF!")</f>
        <v>#REF!</v>
      </c>
      <c r="DC100" s="95" t="str">
        <f>IFERROR(__xludf.DUMMYFUNCTION("""COMPUTED_VALUE"""),"#REF!")</f>
        <v>#REF!</v>
      </c>
      <c r="DD100" s="96" t="str">
        <f>IFERROR(__xludf.DUMMYFUNCTION("""COMPUTED_VALUE"""),"#REF!")</f>
        <v>#REF!</v>
      </c>
      <c r="DE100" s="97" t="str">
        <f>IFERROR(__xludf.DUMMYFUNCTION("""COMPUTED_VALUE"""),"#REF!")</f>
        <v>#REF!</v>
      </c>
      <c r="DF100" s="95" t="str">
        <f>IFERROR(__xludf.DUMMYFUNCTION("""COMPUTED_VALUE"""),"#REF!")</f>
        <v>#REF!</v>
      </c>
      <c r="DG100" s="96" t="str">
        <f>IFERROR(__xludf.DUMMYFUNCTION("""COMPUTED_VALUE"""),"#REF!")</f>
        <v>#REF!</v>
      </c>
      <c r="DH100" s="97" t="str">
        <f>IFERROR(__xludf.DUMMYFUNCTION("""COMPUTED_VALUE"""),"#REF!")</f>
        <v>#REF!</v>
      </c>
      <c r="DI100" s="95" t="str">
        <f>IFERROR(__xludf.DUMMYFUNCTION("""COMPUTED_VALUE"""),"#REF!")</f>
        <v>#REF!</v>
      </c>
      <c r="DJ100" s="96" t="str">
        <f>IFERROR(__xludf.DUMMYFUNCTION("""COMPUTED_VALUE"""),"#REF!")</f>
        <v>#REF!</v>
      </c>
      <c r="DK100" s="97" t="str">
        <f>IFERROR(__xludf.DUMMYFUNCTION("""COMPUTED_VALUE"""),"#REF!")</f>
        <v>#REF!</v>
      </c>
      <c r="DL100" s="95" t="str">
        <f>IFERROR(__xludf.DUMMYFUNCTION("""COMPUTED_VALUE"""),"#REF!")</f>
        <v>#REF!</v>
      </c>
      <c r="DM100" s="96" t="str">
        <f>IFERROR(__xludf.DUMMYFUNCTION("""COMPUTED_VALUE"""),"#REF!")</f>
        <v>#REF!</v>
      </c>
      <c r="DN100" s="97" t="str">
        <f>IFERROR(__xludf.DUMMYFUNCTION("""COMPUTED_VALUE"""),"#REF!")</f>
        <v>#REF!</v>
      </c>
      <c r="DO100" s="95" t="str">
        <f>IFERROR(__xludf.DUMMYFUNCTION("""COMPUTED_VALUE"""),"#REF!")</f>
        <v>#REF!</v>
      </c>
      <c r="DP100" s="96" t="str">
        <f>IFERROR(__xludf.DUMMYFUNCTION("""COMPUTED_VALUE"""),"#REF!")</f>
        <v>#REF!</v>
      </c>
      <c r="DQ100" s="97"/>
      <c r="DR100" s="95"/>
    </row>
    <row r="101">
      <c r="B101" s="120" t="str">
        <f>IFERROR(__xludf.DUMMYFUNCTION("""COMPUTED_VALUE"""),"EPU3")</f>
        <v>EPU3</v>
      </c>
      <c r="C101" s="82">
        <f>IFERROR(__xludf.DUMMYFUNCTION("""COMPUTED_VALUE"""),88.0)</f>
        <v>88</v>
      </c>
      <c r="D101" s="88" t="str">
        <f>IFERROR(__xludf.DUMMYFUNCTION("""COMPUTED_VALUE"""),"Denver")</f>
        <v>Denver</v>
      </c>
      <c r="E101" s="82" t="str">
        <f>IFERROR(__xludf.DUMMYFUNCTION("""COMPUTED_VALUE"""),"デンバー")</f>
        <v>デンバー</v>
      </c>
      <c r="F101" s="102">
        <f>IFERROR(__xludf.DUMMYFUNCTION("""COMPUTED_VALUE"""),17.0)</f>
        <v>17</v>
      </c>
      <c r="G101" s="82">
        <f>IFERROR(__xludf.DUMMYFUNCTION("""COMPUTED_VALUE"""),1152.0)</f>
        <v>1152</v>
      </c>
      <c r="H101" s="231" t="str">
        <f>IFERROR(__xludf.DUMMYFUNCTION("""COMPUTED_VALUE"""),"")</f>
        <v/>
      </c>
      <c r="I101" s="232" t="str">
        <f>IFERROR(__xludf.DUMMYFUNCTION("""COMPUTED_VALUE"""),"")</f>
        <v/>
      </c>
      <c r="J101" s="233" t="str">
        <f>IFERROR(__xludf.DUMMYFUNCTION("""COMPUTED_VALUE"""),"")</f>
        <v/>
      </c>
      <c r="K101" s="231" t="str">
        <f>IFERROR(__xludf.DUMMYFUNCTION("""COMPUTED_VALUE"""),"")</f>
        <v/>
      </c>
      <c r="L101" s="232" t="str">
        <f>IFERROR(__xludf.DUMMYFUNCTION("""COMPUTED_VALUE"""),"")</f>
        <v/>
      </c>
      <c r="M101" s="233" t="str">
        <f>IFERROR(__xludf.DUMMYFUNCTION("""COMPUTED_VALUE"""),"")</f>
        <v/>
      </c>
      <c r="N101" s="231" t="str">
        <f>IFERROR(__xludf.DUMMYFUNCTION("""COMPUTED_VALUE"""),"")</f>
        <v/>
      </c>
      <c r="O101" s="232" t="str">
        <f>IFERROR(__xludf.DUMMYFUNCTION("""COMPUTED_VALUE"""),"")</f>
        <v/>
      </c>
      <c r="P101" s="233" t="str">
        <f>IFERROR(__xludf.DUMMYFUNCTION("""COMPUTED_VALUE"""),"")</f>
        <v/>
      </c>
      <c r="Q101" s="231" t="str">
        <f>IFERROR(__xludf.DUMMYFUNCTION("""COMPUTED_VALUE"""),"")</f>
        <v/>
      </c>
      <c r="R101" s="232" t="str">
        <f>IFERROR(__xludf.DUMMYFUNCTION("""COMPUTED_VALUE"""),"")</f>
        <v/>
      </c>
      <c r="S101" s="233" t="str">
        <f>IFERROR(__xludf.DUMMYFUNCTION("""COMPUTED_VALUE"""),"")</f>
        <v/>
      </c>
      <c r="T101" s="231" t="str">
        <f>IFERROR(__xludf.DUMMYFUNCTION("""COMPUTED_VALUE"""),"")</f>
        <v/>
      </c>
      <c r="U101" s="232" t="str">
        <f>IFERROR(__xludf.DUMMYFUNCTION("""COMPUTED_VALUE"""),"")</f>
        <v/>
      </c>
      <c r="V101" s="233" t="str">
        <f>IFERROR(__xludf.DUMMYFUNCTION("""COMPUTED_VALUE"""),"")</f>
        <v/>
      </c>
      <c r="W101" s="231" t="str">
        <f>IFERROR(__xludf.DUMMYFUNCTION("""COMPUTED_VALUE"""),"")</f>
        <v/>
      </c>
      <c r="X101" s="232" t="str">
        <f>IFERROR(__xludf.DUMMYFUNCTION("""COMPUTED_VALUE"""),"")</f>
        <v/>
      </c>
      <c r="Y101" s="233" t="str">
        <f>IFERROR(__xludf.DUMMYFUNCTION("""COMPUTED_VALUE"""),"")</f>
        <v/>
      </c>
      <c r="Z101" s="231" t="str">
        <f>IFERROR(__xludf.DUMMYFUNCTION("""COMPUTED_VALUE"""),"")</f>
        <v/>
      </c>
      <c r="AA101" s="232" t="str">
        <f>IFERROR(__xludf.DUMMYFUNCTION("""COMPUTED_VALUE"""),"")</f>
        <v/>
      </c>
      <c r="AB101" s="233" t="str">
        <f>IFERROR(__xludf.DUMMYFUNCTION("""COMPUTED_VALUE"""),"")</f>
        <v/>
      </c>
      <c r="AC101" s="231" t="str">
        <f>IFERROR(__xludf.DUMMYFUNCTION("""COMPUTED_VALUE"""),"")</f>
        <v/>
      </c>
      <c r="AD101" s="232" t="str">
        <f>IFERROR(__xludf.DUMMYFUNCTION("""COMPUTED_VALUE"""),"")</f>
        <v/>
      </c>
      <c r="AE101" s="233">
        <f>IFERROR(__xludf.DUMMYFUNCTION("""COMPUTED_VALUE"""),16.8)</f>
        <v>16.8</v>
      </c>
      <c r="AF101" s="231" t="str">
        <f>IFERROR(__xludf.DUMMYFUNCTION("""COMPUTED_VALUE"""),"")</f>
        <v/>
      </c>
      <c r="AG101" s="232" t="str">
        <f>IFERROR(__xludf.DUMMYFUNCTION("""COMPUTED_VALUE"""),"")</f>
        <v/>
      </c>
      <c r="AH101" s="233" t="str">
        <f>IFERROR(__xludf.DUMMYFUNCTION("""COMPUTED_VALUE"""),"")</f>
        <v/>
      </c>
      <c r="AI101" s="231" t="str">
        <f>IFERROR(__xludf.DUMMYFUNCTION("""COMPUTED_VALUE"""),"")</f>
        <v/>
      </c>
      <c r="AJ101" s="232" t="str">
        <f>IFERROR(__xludf.DUMMYFUNCTION("""COMPUTED_VALUE"""),"")</f>
        <v/>
      </c>
      <c r="AK101" s="233" t="str">
        <f>IFERROR(__xludf.DUMMYFUNCTION("""COMPUTED_VALUE"""),"")</f>
        <v/>
      </c>
      <c r="AL101" s="231" t="str">
        <f>IFERROR(__xludf.DUMMYFUNCTION("""COMPUTED_VALUE"""),"")</f>
        <v/>
      </c>
      <c r="AM101" s="232" t="str">
        <f>IFERROR(__xludf.DUMMYFUNCTION("""COMPUTED_VALUE"""),"")</f>
        <v/>
      </c>
      <c r="AN101" s="233" t="str">
        <f>IFERROR(__xludf.DUMMYFUNCTION("""COMPUTED_VALUE"""),"")</f>
        <v/>
      </c>
      <c r="AO101" s="231" t="str">
        <f>IFERROR(__xludf.DUMMYFUNCTION("""COMPUTED_VALUE"""),"")</f>
        <v/>
      </c>
      <c r="AP101" s="232" t="str">
        <f>IFERROR(__xludf.DUMMYFUNCTION("""COMPUTED_VALUE"""),"")</f>
        <v/>
      </c>
      <c r="AQ101" s="233" t="str">
        <f>IFERROR(__xludf.DUMMYFUNCTION("""COMPUTED_VALUE"""),"")</f>
        <v/>
      </c>
      <c r="AR101" s="231" t="str">
        <f>IFERROR(__xludf.DUMMYFUNCTION("""COMPUTED_VALUE"""),"")</f>
        <v/>
      </c>
      <c r="AS101" s="232" t="str">
        <f>IFERROR(__xludf.DUMMYFUNCTION("""COMPUTED_VALUE"""),"")</f>
        <v/>
      </c>
      <c r="AT101" s="233" t="str">
        <f>IFERROR(__xludf.DUMMYFUNCTION("""COMPUTED_VALUE"""),"")</f>
        <v/>
      </c>
      <c r="AU101" s="231" t="str">
        <f>IFERROR(__xludf.DUMMYFUNCTION("""COMPUTED_VALUE"""),"")</f>
        <v/>
      </c>
      <c r="AV101" s="232" t="str">
        <f>IFERROR(__xludf.DUMMYFUNCTION("""COMPUTED_VALUE"""),"")</f>
        <v/>
      </c>
      <c r="AW101" s="233">
        <f>IFERROR(__xludf.DUMMYFUNCTION("""COMPUTED_VALUE"""),12.2)</f>
        <v>12.2</v>
      </c>
      <c r="AX101" s="231" t="str">
        <f>IFERROR(__xludf.DUMMYFUNCTION("""COMPUTED_VALUE"""),"")</f>
        <v/>
      </c>
      <c r="AY101" s="232" t="str">
        <f>IFERROR(__xludf.DUMMYFUNCTION("""COMPUTED_VALUE"""),"")</f>
        <v/>
      </c>
      <c r="AZ101" s="233" t="str">
        <f>IFERROR(__xludf.DUMMYFUNCTION("""COMPUTED_VALUE"""),"")</f>
        <v/>
      </c>
      <c r="BA101" s="231" t="str">
        <f>IFERROR(__xludf.DUMMYFUNCTION("""COMPUTED_VALUE"""),"")</f>
        <v/>
      </c>
      <c r="BB101" s="232" t="str">
        <f>IFERROR(__xludf.DUMMYFUNCTION("""COMPUTED_VALUE"""),"")</f>
        <v/>
      </c>
      <c r="BC101" s="233" t="str">
        <f>IFERROR(__xludf.DUMMYFUNCTION("""COMPUTED_VALUE"""),"")</f>
        <v/>
      </c>
      <c r="BD101" s="231" t="str">
        <f>IFERROR(__xludf.DUMMYFUNCTION("""COMPUTED_VALUE"""),"")</f>
        <v/>
      </c>
      <c r="BE101" s="232" t="str">
        <f>IFERROR(__xludf.DUMMYFUNCTION("""COMPUTED_VALUE"""),"")</f>
        <v/>
      </c>
      <c r="BF101" s="233" t="str">
        <f>IFERROR(__xludf.DUMMYFUNCTION("""COMPUTED_VALUE"""),"")</f>
        <v/>
      </c>
      <c r="BG101" s="231" t="str">
        <f>IFERROR(__xludf.DUMMYFUNCTION("""COMPUTED_VALUE"""),"")</f>
        <v/>
      </c>
      <c r="BH101" s="232" t="str">
        <f>IFERROR(__xludf.DUMMYFUNCTION("""COMPUTED_VALUE"""),"")</f>
        <v/>
      </c>
      <c r="BI101" s="233" t="str">
        <f>IFERROR(__xludf.DUMMYFUNCTION("""COMPUTED_VALUE"""),"")</f>
        <v/>
      </c>
      <c r="BJ101" s="231" t="str">
        <f>IFERROR(__xludf.DUMMYFUNCTION("""COMPUTED_VALUE"""),"")</f>
        <v/>
      </c>
      <c r="BK101" s="232">
        <f>IFERROR(__xludf.DUMMYFUNCTION("""COMPUTED_VALUE"""),9.5)</f>
        <v>9.5</v>
      </c>
      <c r="BL101" s="233" t="str">
        <f>IFERROR(__xludf.DUMMYFUNCTION("""COMPUTED_VALUE"""),"")</f>
        <v/>
      </c>
      <c r="BM101" s="231" t="str">
        <f>IFERROR(__xludf.DUMMYFUNCTION("""COMPUTED_VALUE"""),"")</f>
        <v/>
      </c>
      <c r="BN101" s="232" t="str">
        <f>IFERROR(__xludf.DUMMYFUNCTION("""COMPUTED_VALUE"""),"")</f>
        <v/>
      </c>
      <c r="BO101" s="233" t="str">
        <f>IFERROR(__xludf.DUMMYFUNCTION("""COMPUTED_VALUE"""),"")</f>
        <v/>
      </c>
      <c r="BP101" s="231" t="str">
        <f>IFERROR(__xludf.DUMMYFUNCTION("""COMPUTED_VALUE"""),"")</f>
        <v/>
      </c>
      <c r="BQ101" s="232" t="str">
        <f>IFERROR(__xludf.DUMMYFUNCTION("""COMPUTED_VALUE"""),"")</f>
        <v/>
      </c>
      <c r="BR101" s="233">
        <f>IFERROR(__xludf.DUMMYFUNCTION("""COMPUTED_VALUE"""),24.1)</f>
        <v>24.1</v>
      </c>
      <c r="BS101" s="231" t="str">
        <f>IFERROR(__xludf.DUMMYFUNCTION("""COMPUTED_VALUE"""),"")</f>
        <v/>
      </c>
      <c r="BT101" s="232" t="str">
        <f>IFERROR(__xludf.DUMMYFUNCTION("""COMPUTED_VALUE"""),"")</f>
        <v/>
      </c>
      <c r="BU101" s="233" t="str">
        <f>IFERROR(__xludf.DUMMYFUNCTION("""COMPUTED_VALUE"""),"")</f>
        <v/>
      </c>
      <c r="BV101" s="231" t="str">
        <f>IFERROR(__xludf.DUMMYFUNCTION("""COMPUTED_VALUE"""),"")</f>
        <v/>
      </c>
      <c r="BW101" s="232" t="str">
        <f>IFERROR(__xludf.DUMMYFUNCTION("""COMPUTED_VALUE"""),"")</f>
        <v/>
      </c>
      <c r="BX101" s="233" t="str">
        <f>IFERROR(__xludf.DUMMYFUNCTION("""COMPUTED_VALUE"""),"")</f>
        <v/>
      </c>
      <c r="BY101" s="231" t="str">
        <f>IFERROR(__xludf.DUMMYFUNCTION("""COMPUTED_VALUE"""),"")</f>
        <v/>
      </c>
      <c r="BZ101" s="232">
        <f>IFERROR(__xludf.DUMMYFUNCTION("""COMPUTED_VALUE"""),2.1)</f>
        <v>2.1</v>
      </c>
      <c r="CA101" s="233" t="str">
        <f>IFERROR(__xludf.DUMMYFUNCTION("""COMPUTED_VALUE"""),"")</f>
        <v/>
      </c>
      <c r="CB101" s="231" t="str">
        <f>IFERROR(__xludf.DUMMYFUNCTION("""COMPUTED_VALUE"""),"")</f>
        <v/>
      </c>
      <c r="CC101" s="232" t="str">
        <f>IFERROR(__xludf.DUMMYFUNCTION("""COMPUTED_VALUE"""),"")</f>
        <v/>
      </c>
      <c r="CD101" s="233" t="str">
        <f>IFERROR(__xludf.DUMMYFUNCTION("""COMPUTED_VALUE"""),"")</f>
        <v/>
      </c>
      <c r="CE101" s="234" t="str">
        <f>IFERROR(__xludf.DUMMYFUNCTION("""COMPUTED_VALUE"""),"")</f>
        <v/>
      </c>
      <c r="CF101" s="230" t="str">
        <f>IFERROR(__xludf.DUMMYFUNCTION("""COMPUTED_VALUE"""),"")</f>
        <v/>
      </c>
      <c r="CG101" s="235">
        <f>IFERROR(__xludf.DUMMYFUNCTION("""COMPUTED_VALUE"""),10.7)</f>
        <v>10.7</v>
      </c>
      <c r="CH101" s="234" t="str">
        <f>IFERROR(__xludf.DUMMYFUNCTION("""COMPUTED_VALUE"""),"")</f>
        <v/>
      </c>
      <c r="CI101" s="230" t="str">
        <f>IFERROR(__xludf.DUMMYFUNCTION("""COMPUTED_VALUE"""),"")</f>
        <v/>
      </c>
      <c r="CJ101" s="235" t="str">
        <f>IFERROR(__xludf.DUMMYFUNCTION("""COMPUTED_VALUE"""),"")</f>
        <v/>
      </c>
      <c r="CK101" s="95" t="str">
        <f>IFERROR(__xludf.DUMMYFUNCTION("""COMPUTED_VALUE"""),"")</f>
        <v/>
      </c>
      <c r="CL101" s="96" t="str">
        <f>IFERROR(__xludf.DUMMYFUNCTION("""COMPUTED_VALUE"""),"")</f>
        <v/>
      </c>
      <c r="CM101" s="97" t="str">
        <f>IFERROR(__xludf.DUMMYFUNCTION("""COMPUTED_VALUE"""),"")</f>
        <v/>
      </c>
      <c r="CN101" s="95" t="str">
        <f>IFERROR(__xludf.DUMMYFUNCTION("""COMPUTED_VALUE"""),"")</f>
        <v/>
      </c>
      <c r="CO101" s="96" t="str">
        <f>IFERROR(__xludf.DUMMYFUNCTION("""COMPUTED_VALUE"""),"")</f>
        <v/>
      </c>
      <c r="CP101" s="97" t="str">
        <f>IFERROR(__xludf.DUMMYFUNCTION("""COMPUTED_VALUE"""),"")</f>
        <v/>
      </c>
      <c r="CQ101" s="95" t="str">
        <f>IFERROR(__xludf.DUMMYFUNCTION("""COMPUTED_VALUE"""),"")</f>
        <v/>
      </c>
      <c r="CR101" s="96" t="str">
        <f>IFERROR(__xludf.DUMMYFUNCTION("""COMPUTED_VALUE"""),"")</f>
        <v/>
      </c>
      <c r="CS101" s="97" t="str">
        <f>IFERROR(__xludf.DUMMYFUNCTION("""COMPUTED_VALUE"""),"#REF!")</f>
        <v>#REF!</v>
      </c>
      <c r="CT101" s="95" t="str">
        <f>IFERROR(__xludf.DUMMYFUNCTION("""COMPUTED_VALUE"""),"#REF!")</f>
        <v>#REF!</v>
      </c>
      <c r="CU101" s="96" t="str">
        <f>IFERROR(__xludf.DUMMYFUNCTION("""COMPUTED_VALUE"""),"#REF!")</f>
        <v>#REF!</v>
      </c>
      <c r="CV101" s="97" t="str">
        <f>IFERROR(__xludf.DUMMYFUNCTION("""COMPUTED_VALUE"""),"#REF!")</f>
        <v>#REF!</v>
      </c>
      <c r="CW101" s="95" t="str">
        <f>IFERROR(__xludf.DUMMYFUNCTION("""COMPUTED_VALUE"""),"#REF!")</f>
        <v>#REF!</v>
      </c>
      <c r="CX101" s="96" t="str">
        <f>IFERROR(__xludf.DUMMYFUNCTION("""COMPUTED_VALUE"""),"#REF!")</f>
        <v>#REF!</v>
      </c>
      <c r="CY101" s="97" t="str">
        <f>IFERROR(__xludf.DUMMYFUNCTION("""COMPUTED_VALUE"""),"#REF!")</f>
        <v>#REF!</v>
      </c>
      <c r="CZ101" s="95" t="str">
        <f>IFERROR(__xludf.DUMMYFUNCTION("""COMPUTED_VALUE"""),"#REF!")</f>
        <v>#REF!</v>
      </c>
      <c r="DA101" s="96" t="str">
        <f>IFERROR(__xludf.DUMMYFUNCTION("""COMPUTED_VALUE"""),"#REF!")</f>
        <v>#REF!</v>
      </c>
      <c r="DB101" s="97" t="str">
        <f>IFERROR(__xludf.DUMMYFUNCTION("""COMPUTED_VALUE"""),"#REF!")</f>
        <v>#REF!</v>
      </c>
      <c r="DC101" s="95" t="str">
        <f>IFERROR(__xludf.DUMMYFUNCTION("""COMPUTED_VALUE"""),"#REF!")</f>
        <v>#REF!</v>
      </c>
      <c r="DD101" s="96" t="str">
        <f>IFERROR(__xludf.DUMMYFUNCTION("""COMPUTED_VALUE"""),"#REF!")</f>
        <v>#REF!</v>
      </c>
      <c r="DE101" s="97" t="str">
        <f>IFERROR(__xludf.DUMMYFUNCTION("""COMPUTED_VALUE"""),"#REF!")</f>
        <v>#REF!</v>
      </c>
      <c r="DF101" s="95" t="str">
        <f>IFERROR(__xludf.DUMMYFUNCTION("""COMPUTED_VALUE"""),"#REF!")</f>
        <v>#REF!</v>
      </c>
      <c r="DG101" s="96" t="str">
        <f>IFERROR(__xludf.DUMMYFUNCTION("""COMPUTED_VALUE"""),"#REF!")</f>
        <v>#REF!</v>
      </c>
      <c r="DH101" s="97" t="str">
        <f>IFERROR(__xludf.DUMMYFUNCTION("""COMPUTED_VALUE"""),"#REF!")</f>
        <v>#REF!</v>
      </c>
      <c r="DI101" s="95" t="str">
        <f>IFERROR(__xludf.DUMMYFUNCTION("""COMPUTED_VALUE"""),"#REF!")</f>
        <v>#REF!</v>
      </c>
      <c r="DJ101" s="96" t="str">
        <f>IFERROR(__xludf.DUMMYFUNCTION("""COMPUTED_VALUE"""),"#REF!")</f>
        <v>#REF!</v>
      </c>
      <c r="DK101" s="97" t="str">
        <f>IFERROR(__xludf.DUMMYFUNCTION("""COMPUTED_VALUE"""),"#REF!")</f>
        <v>#REF!</v>
      </c>
      <c r="DL101" s="95" t="str">
        <f>IFERROR(__xludf.DUMMYFUNCTION("""COMPUTED_VALUE"""),"#REF!")</f>
        <v>#REF!</v>
      </c>
      <c r="DM101" s="96" t="str">
        <f>IFERROR(__xludf.DUMMYFUNCTION("""COMPUTED_VALUE"""),"#REF!")</f>
        <v>#REF!</v>
      </c>
      <c r="DN101" s="97" t="str">
        <f>IFERROR(__xludf.DUMMYFUNCTION("""COMPUTED_VALUE"""),"#REF!")</f>
        <v>#REF!</v>
      </c>
      <c r="DO101" s="95" t="str">
        <f>IFERROR(__xludf.DUMMYFUNCTION("""COMPUTED_VALUE"""),"#REF!")</f>
        <v>#REF!</v>
      </c>
      <c r="DP101" s="96" t="str">
        <f>IFERROR(__xludf.DUMMYFUNCTION("""COMPUTED_VALUE"""),"#REF!")</f>
        <v>#REF!</v>
      </c>
      <c r="DQ101" s="97"/>
      <c r="DR101" s="95"/>
    </row>
    <row r="102">
      <c r="B102" s="120" t="str">
        <f>IFERROR(__xludf.DUMMYFUNCTION("""COMPUTED_VALUE"""),"EPU4")</f>
        <v>EPU4</v>
      </c>
      <c r="C102" s="82">
        <f>IFERROR(__xludf.DUMMYFUNCTION("""COMPUTED_VALUE"""),89.0)</f>
        <v>89</v>
      </c>
      <c r="D102" s="88" t="str">
        <f>IFERROR(__xludf.DUMMYFUNCTION("""COMPUTED_VALUE"""),"Deming")</f>
        <v>Deming</v>
      </c>
      <c r="E102" s="82" t="str">
        <f>IFERROR(__xludf.DUMMYFUNCTION("""COMPUTED_VALUE"""),"デミング")</f>
        <v>デミング</v>
      </c>
      <c r="F102" s="102">
        <f>IFERROR(__xludf.DUMMYFUNCTION("""COMPUTED_VALUE"""),17.0)</f>
        <v>17</v>
      </c>
      <c r="G102" s="82">
        <f>IFERROR(__xludf.DUMMYFUNCTION("""COMPUTED_VALUE"""),6486.0)</f>
        <v>6486</v>
      </c>
      <c r="H102" s="231" t="str">
        <f>IFERROR(__xludf.DUMMYFUNCTION("""COMPUTED_VALUE"""),"")</f>
        <v/>
      </c>
      <c r="I102" s="232" t="str">
        <f>IFERROR(__xludf.DUMMYFUNCTION("""COMPUTED_VALUE"""),"")</f>
        <v/>
      </c>
      <c r="J102" s="233" t="str">
        <f>IFERROR(__xludf.DUMMYFUNCTION("""COMPUTED_VALUE"""),"")</f>
        <v/>
      </c>
      <c r="K102" s="231" t="str">
        <f>IFERROR(__xludf.DUMMYFUNCTION("""COMPUTED_VALUE"""),"")</f>
        <v/>
      </c>
      <c r="L102" s="232" t="str">
        <f>IFERROR(__xludf.DUMMYFUNCTION("""COMPUTED_VALUE"""),"")</f>
        <v/>
      </c>
      <c r="M102" s="233" t="str">
        <f>IFERROR(__xludf.DUMMYFUNCTION("""COMPUTED_VALUE"""),"")</f>
        <v/>
      </c>
      <c r="N102" s="231" t="str">
        <f>IFERROR(__xludf.DUMMYFUNCTION("""COMPUTED_VALUE"""),"")</f>
        <v/>
      </c>
      <c r="O102" s="232" t="str">
        <f>IFERROR(__xludf.DUMMYFUNCTION("""COMPUTED_VALUE"""),"")</f>
        <v/>
      </c>
      <c r="P102" s="233" t="str">
        <f>IFERROR(__xludf.DUMMYFUNCTION("""COMPUTED_VALUE"""),"")</f>
        <v/>
      </c>
      <c r="Q102" s="231" t="str">
        <f>IFERROR(__xludf.DUMMYFUNCTION("""COMPUTED_VALUE"""),"")</f>
        <v/>
      </c>
      <c r="R102" s="232" t="str">
        <f>IFERROR(__xludf.DUMMYFUNCTION("""COMPUTED_VALUE"""),"")</f>
        <v/>
      </c>
      <c r="S102" s="233" t="str">
        <f>IFERROR(__xludf.DUMMYFUNCTION("""COMPUTED_VALUE"""),"")</f>
        <v/>
      </c>
      <c r="T102" s="231" t="str">
        <f>IFERROR(__xludf.DUMMYFUNCTION("""COMPUTED_VALUE"""),"")</f>
        <v/>
      </c>
      <c r="U102" s="232" t="str">
        <f>IFERROR(__xludf.DUMMYFUNCTION("""COMPUTED_VALUE"""),"")</f>
        <v/>
      </c>
      <c r="V102" s="233" t="str">
        <f>IFERROR(__xludf.DUMMYFUNCTION("""COMPUTED_VALUE"""),"")</f>
        <v/>
      </c>
      <c r="W102" s="231" t="str">
        <f>IFERROR(__xludf.DUMMYFUNCTION("""COMPUTED_VALUE"""),"")</f>
        <v/>
      </c>
      <c r="X102" s="232" t="str">
        <f>IFERROR(__xludf.DUMMYFUNCTION("""COMPUTED_VALUE"""),"")</f>
        <v/>
      </c>
      <c r="Y102" s="233" t="str">
        <f>IFERROR(__xludf.DUMMYFUNCTION("""COMPUTED_VALUE"""),"")</f>
        <v/>
      </c>
      <c r="Z102" s="231" t="str">
        <f>IFERROR(__xludf.DUMMYFUNCTION("""COMPUTED_VALUE"""),"")</f>
        <v/>
      </c>
      <c r="AA102" s="232" t="str">
        <f>IFERROR(__xludf.DUMMYFUNCTION("""COMPUTED_VALUE"""),"")</f>
        <v/>
      </c>
      <c r="AB102" s="233" t="str">
        <f>IFERROR(__xludf.DUMMYFUNCTION("""COMPUTED_VALUE"""),"")</f>
        <v/>
      </c>
      <c r="AC102" s="231" t="str">
        <f>IFERROR(__xludf.DUMMYFUNCTION("""COMPUTED_VALUE"""),"")</f>
        <v/>
      </c>
      <c r="AD102" s="232" t="str">
        <f>IFERROR(__xludf.DUMMYFUNCTION("""COMPUTED_VALUE"""),"")</f>
        <v/>
      </c>
      <c r="AE102" s="233" t="str">
        <f>IFERROR(__xludf.DUMMYFUNCTION("""COMPUTED_VALUE"""),"")</f>
        <v/>
      </c>
      <c r="AF102" s="231" t="str">
        <f>IFERROR(__xludf.DUMMYFUNCTION("""COMPUTED_VALUE"""),"")</f>
        <v/>
      </c>
      <c r="AG102" s="232" t="str">
        <f>IFERROR(__xludf.DUMMYFUNCTION("""COMPUTED_VALUE"""),"")</f>
        <v/>
      </c>
      <c r="AH102" s="233" t="str">
        <f>IFERROR(__xludf.DUMMYFUNCTION("""COMPUTED_VALUE"""),"")</f>
        <v/>
      </c>
      <c r="AI102" s="231" t="str">
        <f>IFERROR(__xludf.DUMMYFUNCTION("""COMPUTED_VALUE"""),"")</f>
        <v/>
      </c>
      <c r="AJ102" s="232" t="str">
        <f>IFERROR(__xludf.DUMMYFUNCTION("""COMPUTED_VALUE"""),"")</f>
        <v/>
      </c>
      <c r="AK102" s="233" t="str">
        <f>IFERROR(__xludf.DUMMYFUNCTION("""COMPUTED_VALUE"""),"")</f>
        <v/>
      </c>
      <c r="AL102" s="231" t="str">
        <f>IFERROR(__xludf.DUMMYFUNCTION("""COMPUTED_VALUE"""),"")</f>
        <v/>
      </c>
      <c r="AM102" s="232" t="str">
        <f>IFERROR(__xludf.DUMMYFUNCTION("""COMPUTED_VALUE"""),"")</f>
        <v/>
      </c>
      <c r="AN102" s="233" t="str">
        <f>IFERROR(__xludf.DUMMYFUNCTION("""COMPUTED_VALUE"""),"")</f>
        <v/>
      </c>
      <c r="AO102" s="231" t="str">
        <f>IFERROR(__xludf.DUMMYFUNCTION("""COMPUTED_VALUE"""),"")</f>
        <v/>
      </c>
      <c r="AP102" s="232" t="str">
        <f>IFERROR(__xludf.DUMMYFUNCTION("""COMPUTED_VALUE"""),"")</f>
        <v/>
      </c>
      <c r="AQ102" s="233" t="str">
        <f>IFERROR(__xludf.DUMMYFUNCTION("""COMPUTED_VALUE"""),"")</f>
        <v/>
      </c>
      <c r="AR102" s="231" t="str">
        <f>IFERROR(__xludf.DUMMYFUNCTION("""COMPUTED_VALUE"""),"")</f>
        <v/>
      </c>
      <c r="AS102" s="232" t="str">
        <f>IFERROR(__xludf.DUMMYFUNCTION("""COMPUTED_VALUE"""),"")</f>
        <v/>
      </c>
      <c r="AT102" s="233" t="str">
        <f>IFERROR(__xludf.DUMMYFUNCTION("""COMPUTED_VALUE"""),"")</f>
        <v/>
      </c>
      <c r="AU102" s="231" t="str">
        <f>IFERROR(__xludf.DUMMYFUNCTION("""COMPUTED_VALUE"""),"")</f>
        <v/>
      </c>
      <c r="AV102" s="232">
        <f>IFERROR(__xludf.DUMMYFUNCTION("""COMPUTED_VALUE"""),62.5999999)</f>
        <v>62.5999999</v>
      </c>
      <c r="AW102" s="233" t="str">
        <f>IFERROR(__xludf.DUMMYFUNCTION("""COMPUTED_VALUE"""),"")</f>
        <v/>
      </c>
      <c r="AX102" s="231" t="str">
        <f>IFERROR(__xludf.DUMMYFUNCTION("""COMPUTED_VALUE"""),"")</f>
        <v/>
      </c>
      <c r="AY102" s="232" t="str">
        <f>IFERROR(__xludf.DUMMYFUNCTION("""COMPUTED_VALUE"""),"")</f>
        <v/>
      </c>
      <c r="AZ102" s="233" t="str">
        <f>IFERROR(__xludf.DUMMYFUNCTION("""COMPUTED_VALUE"""),"")</f>
        <v/>
      </c>
      <c r="BA102" s="231" t="str">
        <f>IFERROR(__xludf.DUMMYFUNCTION("""COMPUTED_VALUE"""),"")</f>
        <v/>
      </c>
      <c r="BB102" s="232" t="str">
        <f>IFERROR(__xludf.DUMMYFUNCTION("""COMPUTED_VALUE"""),"")</f>
        <v/>
      </c>
      <c r="BC102" s="233" t="str">
        <f>IFERROR(__xludf.DUMMYFUNCTION("""COMPUTED_VALUE"""),"")</f>
        <v/>
      </c>
      <c r="BD102" s="231" t="str">
        <f>IFERROR(__xludf.DUMMYFUNCTION("""COMPUTED_VALUE"""),"")</f>
        <v/>
      </c>
      <c r="BE102" s="232" t="str">
        <f>IFERROR(__xludf.DUMMYFUNCTION("""COMPUTED_VALUE"""),"")</f>
        <v/>
      </c>
      <c r="BF102" s="233" t="str">
        <f>IFERROR(__xludf.DUMMYFUNCTION("""COMPUTED_VALUE"""),"")</f>
        <v/>
      </c>
      <c r="BG102" s="231" t="str">
        <f>IFERROR(__xludf.DUMMYFUNCTION("""COMPUTED_VALUE"""),"")</f>
        <v/>
      </c>
      <c r="BH102" s="232" t="str">
        <f>IFERROR(__xludf.DUMMYFUNCTION("""COMPUTED_VALUE"""),"")</f>
        <v/>
      </c>
      <c r="BI102" s="233" t="str">
        <f>IFERROR(__xludf.DUMMYFUNCTION("""COMPUTED_VALUE"""),"")</f>
        <v/>
      </c>
      <c r="BJ102" s="231" t="str">
        <f>IFERROR(__xludf.DUMMYFUNCTION("""COMPUTED_VALUE"""),"")</f>
        <v/>
      </c>
      <c r="BK102" s="232" t="str">
        <f>IFERROR(__xludf.DUMMYFUNCTION("""COMPUTED_VALUE"""),"")</f>
        <v/>
      </c>
      <c r="BL102" s="233" t="str">
        <f>IFERROR(__xludf.DUMMYFUNCTION("""COMPUTED_VALUE"""),"")</f>
        <v/>
      </c>
      <c r="BM102" s="231">
        <f>IFERROR(__xludf.DUMMYFUNCTION("""COMPUTED_VALUE"""),8.3)</f>
        <v>8.3</v>
      </c>
      <c r="BN102" s="232" t="str">
        <f>IFERROR(__xludf.DUMMYFUNCTION("""COMPUTED_VALUE"""),"")</f>
        <v/>
      </c>
      <c r="BO102" s="233" t="str">
        <f>IFERROR(__xludf.DUMMYFUNCTION("""COMPUTED_VALUE"""),"")</f>
        <v/>
      </c>
      <c r="BP102" s="231" t="str">
        <f>IFERROR(__xludf.DUMMYFUNCTION("""COMPUTED_VALUE"""),"")</f>
        <v/>
      </c>
      <c r="BQ102" s="232" t="str">
        <f>IFERROR(__xludf.DUMMYFUNCTION("""COMPUTED_VALUE"""),"")</f>
        <v/>
      </c>
      <c r="BR102" s="233" t="str">
        <f>IFERROR(__xludf.DUMMYFUNCTION("""COMPUTED_VALUE"""),"")</f>
        <v/>
      </c>
      <c r="BS102" s="231" t="str">
        <f>IFERROR(__xludf.DUMMYFUNCTION("""COMPUTED_VALUE"""),"")</f>
        <v/>
      </c>
      <c r="BT102" s="232">
        <f>IFERROR(__xludf.DUMMYFUNCTION("""COMPUTED_VALUE"""),35.5)</f>
        <v>35.5</v>
      </c>
      <c r="BU102" s="233" t="str">
        <f>IFERROR(__xludf.DUMMYFUNCTION("""COMPUTED_VALUE"""),"")</f>
        <v/>
      </c>
      <c r="BV102" s="231" t="str">
        <f>IFERROR(__xludf.DUMMYFUNCTION("""COMPUTED_VALUE"""),"")</f>
        <v/>
      </c>
      <c r="BW102" s="232" t="str">
        <f>IFERROR(__xludf.DUMMYFUNCTION("""COMPUTED_VALUE"""),"")</f>
        <v/>
      </c>
      <c r="BX102" s="233" t="str">
        <f>IFERROR(__xludf.DUMMYFUNCTION("""COMPUTED_VALUE"""),"")</f>
        <v/>
      </c>
      <c r="BY102" s="231" t="str">
        <f>IFERROR(__xludf.DUMMYFUNCTION("""COMPUTED_VALUE"""),"")</f>
        <v/>
      </c>
      <c r="BZ102" s="232" t="str">
        <f>IFERROR(__xludf.DUMMYFUNCTION("""COMPUTED_VALUE"""),"")</f>
        <v/>
      </c>
      <c r="CA102" s="233" t="str">
        <f>IFERROR(__xludf.DUMMYFUNCTION("""COMPUTED_VALUE"""),"")</f>
        <v/>
      </c>
      <c r="CB102" s="231" t="str">
        <f>IFERROR(__xludf.DUMMYFUNCTION("""COMPUTED_VALUE"""),"")</f>
        <v/>
      </c>
      <c r="CC102" s="232" t="str">
        <f>IFERROR(__xludf.DUMMYFUNCTION("""COMPUTED_VALUE"""),"")</f>
        <v/>
      </c>
      <c r="CD102" s="233" t="str">
        <f>IFERROR(__xludf.DUMMYFUNCTION("""COMPUTED_VALUE"""),"")</f>
        <v/>
      </c>
      <c r="CE102" s="234" t="str">
        <f>IFERROR(__xludf.DUMMYFUNCTION("""COMPUTED_VALUE"""),"")</f>
        <v/>
      </c>
      <c r="CF102" s="230" t="str">
        <f>IFERROR(__xludf.DUMMYFUNCTION("""COMPUTED_VALUE"""),"")</f>
        <v/>
      </c>
      <c r="CG102" s="235" t="str">
        <f>IFERROR(__xludf.DUMMYFUNCTION("""COMPUTED_VALUE"""),"")</f>
        <v/>
      </c>
      <c r="CH102" s="234" t="str">
        <f>IFERROR(__xludf.DUMMYFUNCTION("""COMPUTED_VALUE"""),"")</f>
        <v/>
      </c>
      <c r="CI102" s="230" t="str">
        <f>IFERROR(__xludf.DUMMYFUNCTION("""COMPUTED_VALUE"""),"")</f>
        <v/>
      </c>
      <c r="CJ102" s="235" t="str">
        <f>IFERROR(__xludf.DUMMYFUNCTION("""COMPUTED_VALUE"""),"")</f>
        <v/>
      </c>
      <c r="CK102" s="95" t="str">
        <f>IFERROR(__xludf.DUMMYFUNCTION("""COMPUTED_VALUE"""),"")</f>
        <v/>
      </c>
      <c r="CL102" s="96" t="str">
        <f>IFERROR(__xludf.DUMMYFUNCTION("""COMPUTED_VALUE"""),"")</f>
        <v/>
      </c>
      <c r="CM102" s="97" t="str">
        <f>IFERROR(__xludf.DUMMYFUNCTION("""COMPUTED_VALUE"""),"")</f>
        <v/>
      </c>
      <c r="CN102" s="95" t="str">
        <f>IFERROR(__xludf.DUMMYFUNCTION("""COMPUTED_VALUE"""),"")</f>
        <v/>
      </c>
      <c r="CO102" s="96" t="str">
        <f>IFERROR(__xludf.DUMMYFUNCTION("""COMPUTED_VALUE"""),"")</f>
        <v/>
      </c>
      <c r="CP102" s="97" t="str">
        <f>IFERROR(__xludf.DUMMYFUNCTION("""COMPUTED_VALUE"""),"")</f>
        <v/>
      </c>
      <c r="CQ102" s="95" t="str">
        <f>IFERROR(__xludf.DUMMYFUNCTION("""COMPUTED_VALUE"""),"")</f>
        <v/>
      </c>
      <c r="CR102" s="96" t="str">
        <f>IFERROR(__xludf.DUMMYFUNCTION("""COMPUTED_VALUE"""),"")</f>
        <v/>
      </c>
      <c r="CS102" s="97" t="str">
        <f>IFERROR(__xludf.DUMMYFUNCTION("""COMPUTED_VALUE"""),"#REF!")</f>
        <v>#REF!</v>
      </c>
      <c r="CT102" s="95" t="str">
        <f>IFERROR(__xludf.DUMMYFUNCTION("""COMPUTED_VALUE"""),"#REF!")</f>
        <v>#REF!</v>
      </c>
      <c r="CU102" s="96" t="str">
        <f>IFERROR(__xludf.DUMMYFUNCTION("""COMPUTED_VALUE"""),"#REF!")</f>
        <v>#REF!</v>
      </c>
      <c r="CV102" s="97" t="str">
        <f>IFERROR(__xludf.DUMMYFUNCTION("""COMPUTED_VALUE"""),"#REF!")</f>
        <v>#REF!</v>
      </c>
      <c r="CW102" s="95" t="str">
        <f>IFERROR(__xludf.DUMMYFUNCTION("""COMPUTED_VALUE"""),"#REF!")</f>
        <v>#REF!</v>
      </c>
      <c r="CX102" s="96" t="str">
        <f>IFERROR(__xludf.DUMMYFUNCTION("""COMPUTED_VALUE"""),"#REF!")</f>
        <v>#REF!</v>
      </c>
      <c r="CY102" s="97" t="str">
        <f>IFERROR(__xludf.DUMMYFUNCTION("""COMPUTED_VALUE"""),"#REF!")</f>
        <v>#REF!</v>
      </c>
      <c r="CZ102" s="95" t="str">
        <f>IFERROR(__xludf.DUMMYFUNCTION("""COMPUTED_VALUE"""),"#REF!")</f>
        <v>#REF!</v>
      </c>
      <c r="DA102" s="96" t="str">
        <f>IFERROR(__xludf.DUMMYFUNCTION("""COMPUTED_VALUE"""),"#REF!")</f>
        <v>#REF!</v>
      </c>
      <c r="DB102" s="97" t="str">
        <f>IFERROR(__xludf.DUMMYFUNCTION("""COMPUTED_VALUE"""),"#REF!")</f>
        <v>#REF!</v>
      </c>
      <c r="DC102" s="95" t="str">
        <f>IFERROR(__xludf.DUMMYFUNCTION("""COMPUTED_VALUE"""),"#REF!")</f>
        <v>#REF!</v>
      </c>
      <c r="DD102" s="96" t="str">
        <f>IFERROR(__xludf.DUMMYFUNCTION("""COMPUTED_VALUE"""),"#REF!")</f>
        <v>#REF!</v>
      </c>
      <c r="DE102" s="97" t="str">
        <f>IFERROR(__xludf.DUMMYFUNCTION("""COMPUTED_VALUE"""),"#REF!")</f>
        <v>#REF!</v>
      </c>
      <c r="DF102" s="95" t="str">
        <f>IFERROR(__xludf.DUMMYFUNCTION("""COMPUTED_VALUE"""),"#REF!")</f>
        <v>#REF!</v>
      </c>
      <c r="DG102" s="96" t="str">
        <f>IFERROR(__xludf.DUMMYFUNCTION("""COMPUTED_VALUE"""),"#REF!")</f>
        <v>#REF!</v>
      </c>
      <c r="DH102" s="97" t="str">
        <f>IFERROR(__xludf.DUMMYFUNCTION("""COMPUTED_VALUE"""),"#REF!")</f>
        <v>#REF!</v>
      </c>
      <c r="DI102" s="95" t="str">
        <f>IFERROR(__xludf.DUMMYFUNCTION("""COMPUTED_VALUE"""),"#REF!")</f>
        <v>#REF!</v>
      </c>
      <c r="DJ102" s="96" t="str">
        <f>IFERROR(__xludf.DUMMYFUNCTION("""COMPUTED_VALUE"""),"#REF!")</f>
        <v>#REF!</v>
      </c>
      <c r="DK102" s="97" t="str">
        <f>IFERROR(__xludf.DUMMYFUNCTION("""COMPUTED_VALUE"""),"#REF!")</f>
        <v>#REF!</v>
      </c>
      <c r="DL102" s="95" t="str">
        <f>IFERROR(__xludf.DUMMYFUNCTION("""COMPUTED_VALUE"""),"#REF!")</f>
        <v>#REF!</v>
      </c>
      <c r="DM102" s="96" t="str">
        <f>IFERROR(__xludf.DUMMYFUNCTION("""COMPUTED_VALUE"""),"#REF!")</f>
        <v>#REF!</v>
      </c>
      <c r="DN102" s="97" t="str">
        <f>IFERROR(__xludf.DUMMYFUNCTION("""COMPUTED_VALUE"""),"#REF!")</f>
        <v>#REF!</v>
      </c>
      <c r="DO102" s="95" t="str">
        <f>IFERROR(__xludf.DUMMYFUNCTION("""COMPUTED_VALUE"""),"#REF!")</f>
        <v>#REF!</v>
      </c>
      <c r="DP102" s="96" t="str">
        <f>IFERROR(__xludf.DUMMYFUNCTION("""COMPUTED_VALUE"""),"#REF!")</f>
        <v>#REF!</v>
      </c>
      <c r="DQ102" s="97"/>
      <c r="DR102" s="95"/>
    </row>
    <row r="103">
      <c r="B103" s="120" t="str">
        <f>IFERROR(__xludf.DUMMYFUNCTION("""COMPUTED_VALUE"""),"EPU5")</f>
        <v>EPU5</v>
      </c>
      <c r="C103" s="82">
        <f>IFERROR(__xludf.DUMMYFUNCTION("""COMPUTED_VALUE"""),90.0)</f>
        <v>90</v>
      </c>
      <c r="D103" s="88" t="str">
        <f>IFERROR(__xludf.DUMMYFUNCTION("""COMPUTED_VALUE"""),"Dallas")</f>
        <v>Dallas</v>
      </c>
      <c r="E103" s="82" t="str">
        <f>IFERROR(__xludf.DUMMYFUNCTION("""COMPUTED_VALUE"""),"ダラス")</f>
        <v>ダラス</v>
      </c>
      <c r="F103" s="102">
        <f>IFERROR(__xludf.DUMMYFUNCTION("""COMPUTED_VALUE"""),17.0)</f>
        <v>17</v>
      </c>
      <c r="G103" s="82">
        <f>IFERROR(__xludf.DUMMYFUNCTION("""COMPUTED_VALUE"""),7709.0)</f>
        <v>7709</v>
      </c>
      <c r="H103" s="231" t="str">
        <f>IFERROR(__xludf.DUMMYFUNCTION("""COMPUTED_VALUE"""),"")</f>
        <v/>
      </c>
      <c r="I103" s="232" t="str">
        <f>IFERROR(__xludf.DUMMYFUNCTION("""COMPUTED_VALUE"""),"")</f>
        <v/>
      </c>
      <c r="J103" s="233" t="str">
        <f>IFERROR(__xludf.DUMMYFUNCTION("""COMPUTED_VALUE"""),"")</f>
        <v/>
      </c>
      <c r="K103" s="231" t="str">
        <f>IFERROR(__xludf.DUMMYFUNCTION("""COMPUTED_VALUE"""),"")</f>
        <v/>
      </c>
      <c r="L103" s="232" t="str">
        <f>IFERROR(__xludf.DUMMYFUNCTION("""COMPUTED_VALUE"""),"")</f>
        <v/>
      </c>
      <c r="M103" s="233" t="str">
        <f>IFERROR(__xludf.DUMMYFUNCTION("""COMPUTED_VALUE"""),"")</f>
        <v/>
      </c>
      <c r="N103" s="231" t="str">
        <f>IFERROR(__xludf.DUMMYFUNCTION("""COMPUTED_VALUE"""),"")</f>
        <v/>
      </c>
      <c r="O103" s="232" t="str">
        <f>IFERROR(__xludf.DUMMYFUNCTION("""COMPUTED_VALUE"""),"")</f>
        <v/>
      </c>
      <c r="P103" s="233" t="str">
        <f>IFERROR(__xludf.DUMMYFUNCTION("""COMPUTED_VALUE"""),"")</f>
        <v/>
      </c>
      <c r="Q103" s="231" t="str">
        <f>IFERROR(__xludf.DUMMYFUNCTION("""COMPUTED_VALUE"""),"")</f>
        <v/>
      </c>
      <c r="R103" s="232" t="str">
        <f>IFERROR(__xludf.DUMMYFUNCTION("""COMPUTED_VALUE"""),"")</f>
        <v/>
      </c>
      <c r="S103" s="233" t="str">
        <f>IFERROR(__xludf.DUMMYFUNCTION("""COMPUTED_VALUE"""),"")</f>
        <v/>
      </c>
      <c r="T103" s="231" t="str">
        <f>IFERROR(__xludf.DUMMYFUNCTION("""COMPUTED_VALUE"""),"")</f>
        <v/>
      </c>
      <c r="U103" s="232" t="str">
        <f>IFERROR(__xludf.DUMMYFUNCTION("""COMPUTED_VALUE"""),"")</f>
        <v/>
      </c>
      <c r="V103" s="233" t="str">
        <f>IFERROR(__xludf.DUMMYFUNCTION("""COMPUTED_VALUE"""),"")</f>
        <v/>
      </c>
      <c r="W103" s="231" t="str">
        <f>IFERROR(__xludf.DUMMYFUNCTION("""COMPUTED_VALUE"""),"")</f>
        <v/>
      </c>
      <c r="X103" s="232" t="str">
        <f>IFERROR(__xludf.DUMMYFUNCTION("""COMPUTED_VALUE"""),"")</f>
        <v/>
      </c>
      <c r="Y103" s="233" t="str">
        <f>IFERROR(__xludf.DUMMYFUNCTION("""COMPUTED_VALUE"""),"")</f>
        <v/>
      </c>
      <c r="Z103" s="231" t="str">
        <f>IFERROR(__xludf.DUMMYFUNCTION("""COMPUTED_VALUE"""),"")</f>
        <v/>
      </c>
      <c r="AA103" s="232" t="str">
        <f>IFERROR(__xludf.DUMMYFUNCTION("""COMPUTED_VALUE"""),"")</f>
        <v/>
      </c>
      <c r="AB103" s="233" t="str">
        <f>IFERROR(__xludf.DUMMYFUNCTION("""COMPUTED_VALUE"""),"")</f>
        <v/>
      </c>
      <c r="AC103" s="231" t="str">
        <f>IFERROR(__xludf.DUMMYFUNCTION("""COMPUTED_VALUE"""),"")</f>
        <v/>
      </c>
      <c r="AD103" s="232" t="str">
        <f>IFERROR(__xludf.DUMMYFUNCTION("""COMPUTED_VALUE"""),"")</f>
        <v/>
      </c>
      <c r="AE103" s="233" t="str">
        <f>IFERROR(__xludf.DUMMYFUNCTION("""COMPUTED_VALUE"""),"")</f>
        <v/>
      </c>
      <c r="AF103" s="231" t="str">
        <f>IFERROR(__xludf.DUMMYFUNCTION("""COMPUTED_VALUE"""),"")</f>
        <v/>
      </c>
      <c r="AG103" s="232" t="str">
        <f>IFERROR(__xludf.DUMMYFUNCTION("""COMPUTED_VALUE"""),"")</f>
        <v/>
      </c>
      <c r="AH103" s="233" t="str">
        <f>IFERROR(__xludf.DUMMYFUNCTION("""COMPUTED_VALUE"""),"")</f>
        <v/>
      </c>
      <c r="AI103" s="231" t="str">
        <f>IFERROR(__xludf.DUMMYFUNCTION("""COMPUTED_VALUE"""),"")</f>
        <v/>
      </c>
      <c r="AJ103" s="232" t="str">
        <f>IFERROR(__xludf.DUMMYFUNCTION("""COMPUTED_VALUE"""),"")</f>
        <v/>
      </c>
      <c r="AK103" s="233" t="str">
        <f>IFERROR(__xludf.DUMMYFUNCTION("""COMPUTED_VALUE"""),"")</f>
        <v/>
      </c>
      <c r="AL103" s="231" t="str">
        <f>IFERROR(__xludf.DUMMYFUNCTION("""COMPUTED_VALUE"""),"")</f>
        <v/>
      </c>
      <c r="AM103" s="232" t="str">
        <f>IFERROR(__xludf.DUMMYFUNCTION("""COMPUTED_VALUE"""),"")</f>
        <v/>
      </c>
      <c r="AN103" s="233" t="str">
        <f>IFERROR(__xludf.DUMMYFUNCTION("""COMPUTED_VALUE"""),"")</f>
        <v/>
      </c>
      <c r="AO103" s="231" t="str">
        <f>IFERROR(__xludf.DUMMYFUNCTION("""COMPUTED_VALUE"""),"")</f>
        <v/>
      </c>
      <c r="AP103" s="232" t="str">
        <f>IFERROR(__xludf.DUMMYFUNCTION("""COMPUTED_VALUE"""),"")</f>
        <v/>
      </c>
      <c r="AQ103" s="233" t="str">
        <f>IFERROR(__xludf.DUMMYFUNCTION("""COMPUTED_VALUE"""),"")</f>
        <v/>
      </c>
      <c r="AR103" s="231" t="str">
        <f>IFERROR(__xludf.DUMMYFUNCTION("""COMPUTED_VALUE"""),"")</f>
        <v/>
      </c>
      <c r="AS103" s="232" t="str">
        <f>IFERROR(__xludf.DUMMYFUNCTION("""COMPUTED_VALUE"""),"")</f>
        <v/>
      </c>
      <c r="AT103" s="233">
        <f>IFERROR(__xludf.DUMMYFUNCTION("""COMPUTED_VALUE"""),66.4)</f>
        <v>66.4</v>
      </c>
      <c r="AU103" s="231" t="str">
        <f>IFERROR(__xludf.DUMMYFUNCTION("""COMPUTED_VALUE"""),"")</f>
        <v/>
      </c>
      <c r="AV103" s="232" t="str">
        <f>IFERROR(__xludf.DUMMYFUNCTION("""COMPUTED_VALUE"""),"")</f>
        <v/>
      </c>
      <c r="AW103" s="233" t="str">
        <f>IFERROR(__xludf.DUMMYFUNCTION("""COMPUTED_VALUE"""),"")</f>
        <v/>
      </c>
      <c r="AX103" s="231" t="str">
        <f>IFERROR(__xludf.DUMMYFUNCTION("""COMPUTED_VALUE"""),"")</f>
        <v/>
      </c>
      <c r="AY103" s="232" t="str">
        <f>IFERROR(__xludf.DUMMYFUNCTION("""COMPUTED_VALUE"""),"")</f>
        <v/>
      </c>
      <c r="AZ103" s="233" t="str">
        <f>IFERROR(__xludf.DUMMYFUNCTION("""COMPUTED_VALUE"""),"")</f>
        <v/>
      </c>
      <c r="BA103" s="231" t="str">
        <f>IFERROR(__xludf.DUMMYFUNCTION("""COMPUTED_VALUE"""),"")</f>
        <v/>
      </c>
      <c r="BB103" s="232" t="str">
        <f>IFERROR(__xludf.DUMMYFUNCTION("""COMPUTED_VALUE"""),"")</f>
        <v/>
      </c>
      <c r="BC103" s="233" t="str">
        <f>IFERROR(__xludf.DUMMYFUNCTION("""COMPUTED_VALUE"""),"")</f>
        <v/>
      </c>
      <c r="BD103" s="231" t="str">
        <f>IFERROR(__xludf.DUMMYFUNCTION("""COMPUTED_VALUE"""),"")</f>
        <v/>
      </c>
      <c r="BE103" s="232" t="str">
        <f>IFERROR(__xludf.DUMMYFUNCTION("""COMPUTED_VALUE"""),"")</f>
        <v/>
      </c>
      <c r="BF103" s="233" t="str">
        <f>IFERROR(__xludf.DUMMYFUNCTION("""COMPUTED_VALUE"""),"")</f>
        <v/>
      </c>
      <c r="BG103" s="231" t="str">
        <f>IFERROR(__xludf.DUMMYFUNCTION("""COMPUTED_VALUE"""),"")</f>
        <v/>
      </c>
      <c r="BH103" s="232" t="str">
        <f>IFERROR(__xludf.DUMMYFUNCTION("""COMPUTED_VALUE"""),"")</f>
        <v/>
      </c>
      <c r="BI103" s="233" t="str">
        <f>IFERROR(__xludf.DUMMYFUNCTION("""COMPUTED_VALUE"""),"")</f>
        <v/>
      </c>
      <c r="BJ103" s="231" t="str">
        <f>IFERROR(__xludf.DUMMYFUNCTION("""COMPUTED_VALUE"""),"")</f>
        <v/>
      </c>
      <c r="BK103" s="232" t="str">
        <f>IFERROR(__xludf.DUMMYFUNCTION("""COMPUTED_VALUE"""),"")</f>
        <v/>
      </c>
      <c r="BL103" s="233" t="str">
        <f>IFERROR(__xludf.DUMMYFUNCTION("""COMPUTED_VALUE"""),"")</f>
        <v/>
      </c>
      <c r="BM103" s="231" t="str">
        <f>IFERROR(__xludf.DUMMYFUNCTION("""COMPUTED_VALUE"""),"")</f>
        <v/>
      </c>
      <c r="BN103" s="232" t="str">
        <f>IFERROR(__xludf.DUMMYFUNCTION("""COMPUTED_VALUE"""),"")</f>
        <v/>
      </c>
      <c r="BO103" s="233" t="str">
        <f>IFERROR(__xludf.DUMMYFUNCTION("""COMPUTED_VALUE"""),"")</f>
        <v/>
      </c>
      <c r="BP103" s="231" t="str">
        <f>IFERROR(__xludf.DUMMYFUNCTION("""COMPUTED_VALUE"""),"")</f>
        <v/>
      </c>
      <c r="BQ103" s="232" t="str">
        <f>IFERROR(__xludf.DUMMYFUNCTION("""COMPUTED_VALUE"""),"")</f>
        <v/>
      </c>
      <c r="BR103" s="233">
        <f>IFERROR(__xludf.DUMMYFUNCTION("""COMPUTED_VALUE"""),9.9)</f>
        <v>9.9</v>
      </c>
      <c r="BS103" s="231">
        <f>IFERROR(__xludf.DUMMYFUNCTION("""COMPUTED_VALUE"""),25.7)</f>
        <v>25.7</v>
      </c>
      <c r="BT103" s="232" t="str">
        <f>IFERROR(__xludf.DUMMYFUNCTION("""COMPUTED_VALUE"""),"")</f>
        <v/>
      </c>
      <c r="BU103" s="233" t="str">
        <f>IFERROR(__xludf.DUMMYFUNCTION("""COMPUTED_VALUE"""),"")</f>
        <v/>
      </c>
      <c r="BV103" s="231" t="str">
        <f>IFERROR(__xludf.DUMMYFUNCTION("""COMPUTED_VALUE"""),"")</f>
        <v/>
      </c>
      <c r="BW103" s="232" t="str">
        <f>IFERROR(__xludf.DUMMYFUNCTION("""COMPUTED_VALUE"""),"")</f>
        <v/>
      </c>
      <c r="BX103" s="233" t="str">
        <f>IFERROR(__xludf.DUMMYFUNCTION("""COMPUTED_VALUE"""),"")</f>
        <v/>
      </c>
      <c r="BY103" s="231" t="str">
        <f>IFERROR(__xludf.DUMMYFUNCTION("""COMPUTED_VALUE"""),"")</f>
        <v/>
      </c>
      <c r="BZ103" s="232" t="str">
        <f>IFERROR(__xludf.DUMMYFUNCTION("""COMPUTED_VALUE"""),"")</f>
        <v/>
      </c>
      <c r="CA103" s="233" t="str">
        <f>IFERROR(__xludf.DUMMYFUNCTION("""COMPUTED_VALUE"""),"")</f>
        <v/>
      </c>
      <c r="CB103" s="231" t="str">
        <f>IFERROR(__xludf.DUMMYFUNCTION("""COMPUTED_VALUE"""),"")</f>
        <v/>
      </c>
      <c r="CC103" s="232" t="str">
        <f>IFERROR(__xludf.DUMMYFUNCTION("""COMPUTED_VALUE"""),"")</f>
        <v/>
      </c>
      <c r="CD103" s="233" t="str">
        <f>IFERROR(__xludf.DUMMYFUNCTION("""COMPUTED_VALUE"""),"")</f>
        <v/>
      </c>
      <c r="CE103" s="234" t="str">
        <f>IFERROR(__xludf.DUMMYFUNCTION("""COMPUTED_VALUE"""),"")</f>
        <v/>
      </c>
      <c r="CF103" s="230" t="str">
        <f>IFERROR(__xludf.DUMMYFUNCTION("""COMPUTED_VALUE"""),"")</f>
        <v/>
      </c>
      <c r="CG103" s="235" t="str">
        <f>IFERROR(__xludf.DUMMYFUNCTION("""COMPUTED_VALUE"""),"")</f>
        <v/>
      </c>
      <c r="CH103" s="234" t="str">
        <f>IFERROR(__xludf.DUMMYFUNCTION("""COMPUTED_VALUE"""),"")</f>
        <v/>
      </c>
      <c r="CI103" s="230" t="str">
        <f>IFERROR(__xludf.DUMMYFUNCTION("""COMPUTED_VALUE"""),"")</f>
        <v/>
      </c>
      <c r="CJ103" s="235" t="str">
        <f>IFERROR(__xludf.DUMMYFUNCTION("""COMPUTED_VALUE"""),"")</f>
        <v/>
      </c>
      <c r="CK103" s="95" t="str">
        <f>IFERROR(__xludf.DUMMYFUNCTION("""COMPUTED_VALUE"""),"")</f>
        <v/>
      </c>
      <c r="CL103" s="96" t="str">
        <f>IFERROR(__xludf.DUMMYFUNCTION("""COMPUTED_VALUE"""),"")</f>
        <v/>
      </c>
      <c r="CM103" s="97" t="str">
        <f>IFERROR(__xludf.DUMMYFUNCTION("""COMPUTED_VALUE"""),"")</f>
        <v/>
      </c>
      <c r="CN103" s="95" t="str">
        <f>IFERROR(__xludf.DUMMYFUNCTION("""COMPUTED_VALUE"""),"")</f>
        <v/>
      </c>
      <c r="CO103" s="96" t="str">
        <f>IFERROR(__xludf.DUMMYFUNCTION("""COMPUTED_VALUE"""),"")</f>
        <v/>
      </c>
      <c r="CP103" s="97" t="str">
        <f>IFERROR(__xludf.DUMMYFUNCTION("""COMPUTED_VALUE"""),"")</f>
        <v/>
      </c>
      <c r="CQ103" s="95" t="str">
        <f>IFERROR(__xludf.DUMMYFUNCTION("""COMPUTED_VALUE"""),"")</f>
        <v/>
      </c>
      <c r="CR103" s="96" t="str">
        <f>IFERROR(__xludf.DUMMYFUNCTION("""COMPUTED_VALUE"""),"")</f>
        <v/>
      </c>
      <c r="CS103" s="97" t="str">
        <f>IFERROR(__xludf.DUMMYFUNCTION("""COMPUTED_VALUE"""),"#REF!")</f>
        <v>#REF!</v>
      </c>
      <c r="CT103" s="95" t="str">
        <f>IFERROR(__xludf.DUMMYFUNCTION("""COMPUTED_VALUE"""),"#REF!")</f>
        <v>#REF!</v>
      </c>
      <c r="CU103" s="96" t="str">
        <f>IFERROR(__xludf.DUMMYFUNCTION("""COMPUTED_VALUE"""),"#REF!")</f>
        <v>#REF!</v>
      </c>
      <c r="CV103" s="97" t="str">
        <f>IFERROR(__xludf.DUMMYFUNCTION("""COMPUTED_VALUE"""),"#REF!")</f>
        <v>#REF!</v>
      </c>
      <c r="CW103" s="95" t="str">
        <f>IFERROR(__xludf.DUMMYFUNCTION("""COMPUTED_VALUE"""),"#REF!")</f>
        <v>#REF!</v>
      </c>
      <c r="CX103" s="96" t="str">
        <f>IFERROR(__xludf.DUMMYFUNCTION("""COMPUTED_VALUE"""),"#REF!")</f>
        <v>#REF!</v>
      </c>
      <c r="CY103" s="97" t="str">
        <f>IFERROR(__xludf.DUMMYFUNCTION("""COMPUTED_VALUE"""),"#REF!")</f>
        <v>#REF!</v>
      </c>
      <c r="CZ103" s="95" t="str">
        <f>IFERROR(__xludf.DUMMYFUNCTION("""COMPUTED_VALUE"""),"#REF!")</f>
        <v>#REF!</v>
      </c>
      <c r="DA103" s="96" t="str">
        <f>IFERROR(__xludf.DUMMYFUNCTION("""COMPUTED_VALUE"""),"#REF!")</f>
        <v>#REF!</v>
      </c>
      <c r="DB103" s="97" t="str">
        <f>IFERROR(__xludf.DUMMYFUNCTION("""COMPUTED_VALUE"""),"#REF!")</f>
        <v>#REF!</v>
      </c>
      <c r="DC103" s="95" t="str">
        <f>IFERROR(__xludf.DUMMYFUNCTION("""COMPUTED_VALUE"""),"#REF!")</f>
        <v>#REF!</v>
      </c>
      <c r="DD103" s="96" t="str">
        <f>IFERROR(__xludf.DUMMYFUNCTION("""COMPUTED_VALUE"""),"#REF!")</f>
        <v>#REF!</v>
      </c>
      <c r="DE103" s="97" t="str">
        <f>IFERROR(__xludf.DUMMYFUNCTION("""COMPUTED_VALUE"""),"#REF!")</f>
        <v>#REF!</v>
      </c>
      <c r="DF103" s="95" t="str">
        <f>IFERROR(__xludf.DUMMYFUNCTION("""COMPUTED_VALUE"""),"#REF!")</f>
        <v>#REF!</v>
      </c>
      <c r="DG103" s="96" t="str">
        <f>IFERROR(__xludf.DUMMYFUNCTION("""COMPUTED_VALUE"""),"#REF!")</f>
        <v>#REF!</v>
      </c>
      <c r="DH103" s="97" t="str">
        <f>IFERROR(__xludf.DUMMYFUNCTION("""COMPUTED_VALUE"""),"#REF!")</f>
        <v>#REF!</v>
      </c>
      <c r="DI103" s="95" t="str">
        <f>IFERROR(__xludf.DUMMYFUNCTION("""COMPUTED_VALUE"""),"#REF!")</f>
        <v>#REF!</v>
      </c>
      <c r="DJ103" s="96" t="str">
        <f>IFERROR(__xludf.DUMMYFUNCTION("""COMPUTED_VALUE"""),"#REF!")</f>
        <v>#REF!</v>
      </c>
      <c r="DK103" s="97" t="str">
        <f>IFERROR(__xludf.DUMMYFUNCTION("""COMPUTED_VALUE"""),"#REF!")</f>
        <v>#REF!</v>
      </c>
      <c r="DL103" s="95" t="str">
        <f>IFERROR(__xludf.DUMMYFUNCTION("""COMPUTED_VALUE"""),"#REF!")</f>
        <v>#REF!</v>
      </c>
      <c r="DM103" s="96" t="str">
        <f>IFERROR(__xludf.DUMMYFUNCTION("""COMPUTED_VALUE"""),"#REF!")</f>
        <v>#REF!</v>
      </c>
      <c r="DN103" s="97" t="str">
        <f>IFERROR(__xludf.DUMMYFUNCTION("""COMPUTED_VALUE"""),"#REF!")</f>
        <v>#REF!</v>
      </c>
      <c r="DO103" s="95" t="str">
        <f>IFERROR(__xludf.DUMMYFUNCTION("""COMPUTED_VALUE"""),"#REF!")</f>
        <v>#REF!</v>
      </c>
      <c r="DP103" s="96" t="str">
        <f>IFERROR(__xludf.DUMMYFUNCTION("""COMPUTED_VALUE"""),"#REF!")</f>
        <v>#REF!</v>
      </c>
      <c r="DQ103" s="97"/>
      <c r="DR103" s="95"/>
    </row>
    <row r="104">
      <c r="B104" s="120" t="str">
        <f>IFERROR(__xludf.DUMMYFUNCTION("""COMPUTED_VALUE"""),"EPU6")</f>
        <v>EPU6</v>
      </c>
      <c r="C104" s="82">
        <f>IFERROR(__xludf.DUMMYFUNCTION("""COMPUTED_VALUE"""),91.0)</f>
        <v>91</v>
      </c>
      <c r="D104" s="88" t="str">
        <f>IFERROR(__xludf.DUMMYFUNCTION("""COMPUTED_VALUE"""),"Alcatraz")</f>
        <v>Alcatraz</v>
      </c>
      <c r="E104" s="82" t="str">
        <f>IFERROR(__xludf.DUMMYFUNCTION("""COMPUTED_VALUE"""),"アルカトラズ")</f>
        <v>アルカトラズ</v>
      </c>
      <c r="F104" s="102">
        <f>IFERROR(__xludf.DUMMYFUNCTION("""COMPUTED_VALUE"""),18.0)</f>
        <v>18</v>
      </c>
      <c r="G104" s="82">
        <f>IFERROR(__xludf.DUMMYFUNCTION("""COMPUTED_VALUE"""),1210.0)</f>
        <v>1210</v>
      </c>
      <c r="H104" s="231" t="str">
        <f>IFERROR(__xludf.DUMMYFUNCTION("""COMPUTED_VALUE"""),"")</f>
        <v/>
      </c>
      <c r="I104" s="232" t="str">
        <f>IFERROR(__xludf.DUMMYFUNCTION("""COMPUTED_VALUE"""),"")</f>
        <v/>
      </c>
      <c r="J104" s="233" t="str">
        <f>IFERROR(__xludf.DUMMYFUNCTION("""COMPUTED_VALUE"""),"")</f>
        <v/>
      </c>
      <c r="K104" s="231" t="str">
        <f>IFERROR(__xludf.DUMMYFUNCTION("""COMPUTED_VALUE"""),"")</f>
        <v/>
      </c>
      <c r="L104" s="232" t="str">
        <f>IFERROR(__xludf.DUMMYFUNCTION("""COMPUTED_VALUE"""),"")</f>
        <v/>
      </c>
      <c r="M104" s="233" t="str">
        <f>IFERROR(__xludf.DUMMYFUNCTION("""COMPUTED_VALUE"""),"")</f>
        <v/>
      </c>
      <c r="N104" s="231" t="str">
        <f>IFERROR(__xludf.DUMMYFUNCTION("""COMPUTED_VALUE"""),"")</f>
        <v/>
      </c>
      <c r="O104" s="232" t="str">
        <f>IFERROR(__xludf.DUMMYFUNCTION("""COMPUTED_VALUE"""),"")</f>
        <v/>
      </c>
      <c r="P104" s="233" t="str">
        <f>IFERROR(__xludf.DUMMYFUNCTION("""COMPUTED_VALUE"""),"")</f>
        <v/>
      </c>
      <c r="Q104" s="231" t="str">
        <f>IFERROR(__xludf.DUMMYFUNCTION("""COMPUTED_VALUE"""),"")</f>
        <v/>
      </c>
      <c r="R104" s="232" t="str">
        <f>IFERROR(__xludf.DUMMYFUNCTION("""COMPUTED_VALUE"""),"")</f>
        <v/>
      </c>
      <c r="S104" s="233" t="str">
        <f>IFERROR(__xludf.DUMMYFUNCTION("""COMPUTED_VALUE"""),"")</f>
        <v/>
      </c>
      <c r="T104" s="231" t="str">
        <f>IFERROR(__xludf.DUMMYFUNCTION("""COMPUTED_VALUE"""),"")</f>
        <v/>
      </c>
      <c r="U104" s="232" t="str">
        <f>IFERROR(__xludf.DUMMYFUNCTION("""COMPUTED_VALUE"""),"")</f>
        <v/>
      </c>
      <c r="V104" s="233" t="str">
        <f>IFERROR(__xludf.DUMMYFUNCTION("""COMPUTED_VALUE"""),"")</f>
        <v/>
      </c>
      <c r="W104" s="231" t="str">
        <f>IFERROR(__xludf.DUMMYFUNCTION("""COMPUTED_VALUE"""),"")</f>
        <v/>
      </c>
      <c r="X104" s="232" t="str">
        <f>IFERROR(__xludf.DUMMYFUNCTION("""COMPUTED_VALUE"""),"")</f>
        <v/>
      </c>
      <c r="Y104" s="233" t="str">
        <f>IFERROR(__xludf.DUMMYFUNCTION("""COMPUTED_VALUE"""),"")</f>
        <v/>
      </c>
      <c r="Z104" s="231" t="str">
        <f>IFERROR(__xludf.DUMMYFUNCTION("""COMPUTED_VALUE"""),"")</f>
        <v/>
      </c>
      <c r="AA104" s="232" t="str">
        <f>IFERROR(__xludf.DUMMYFUNCTION("""COMPUTED_VALUE"""),"")</f>
        <v/>
      </c>
      <c r="AB104" s="233" t="str">
        <f>IFERROR(__xludf.DUMMYFUNCTION("""COMPUTED_VALUE"""),"")</f>
        <v/>
      </c>
      <c r="AC104" s="231" t="str">
        <f>IFERROR(__xludf.DUMMYFUNCTION("""COMPUTED_VALUE"""),"")</f>
        <v/>
      </c>
      <c r="AD104" s="232" t="str">
        <f>IFERROR(__xludf.DUMMYFUNCTION("""COMPUTED_VALUE"""),"")</f>
        <v/>
      </c>
      <c r="AE104" s="233" t="str">
        <f>IFERROR(__xludf.DUMMYFUNCTION("""COMPUTED_VALUE"""),"")</f>
        <v/>
      </c>
      <c r="AF104" s="231" t="str">
        <f>IFERROR(__xludf.DUMMYFUNCTION("""COMPUTED_VALUE"""),"")</f>
        <v/>
      </c>
      <c r="AG104" s="232" t="str">
        <f>IFERROR(__xludf.DUMMYFUNCTION("""COMPUTED_VALUE"""),"")</f>
        <v/>
      </c>
      <c r="AH104" s="233" t="str">
        <f>IFERROR(__xludf.DUMMYFUNCTION("""COMPUTED_VALUE"""),"")</f>
        <v/>
      </c>
      <c r="AI104" s="231" t="str">
        <f>IFERROR(__xludf.DUMMYFUNCTION("""COMPUTED_VALUE"""),"")</f>
        <v/>
      </c>
      <c r="AJ104" s="232" t="str">
        <f>IFERROR(__xludf.DUMMYFUNCTION("""COMPUTED_VALUE"""),"")</f>
        <v/>
      </c>
      <c r="AK104" s="233" t="str">
        <f>IFERROR(__xludf.DUMMYFUNCTION("""COMPUTED_VALUE"""),"")</f>
        <v/>
      </c>
      <c r="AL104" s="231" t="str">
        <f>IFERROR(__xludf.DUMMYFUNCTION("""COMPUTED_VALUE"""),"")</f>
        <v/>
      </c>
      <c r="AM104" s="232" t="str">
        <f>IFERROR(__xludf.DUMMYFUNCTION("""COMPUTED_VALUE"""),"")</f>
        <v/>
      </c>
      <c r="AN104" s="233" t="str">
        <f>IFERROR(__xludf.DUMMYFUNCTION("""COMPUTED_VALUE"""),"")</f>
        <v/>
      </c>
      <c r="AO104" s="231" t="str">
        <f>IFERROR(__xludf.DUMMYFUNCTION("""COMPUTED_VALUE"""),"")</f>
        <v/>
      </c>
      <c r="AP104" s="232" t="str">
        <f>IFERROR(__xludf.DUMMYFUNCTION("""COMPUTED_VALUE"""),"")</f>
        <v/>
      </c>
      <c r="AQ104" s="233" t="str">
        <f>IFERROR(__xludf.DUMMYFUNCTION("""COMPUTED_VALUE"""),"")</f>
        <v/>
      </c>
      <c r="AR104" s="231" t="str">
        <f>IFERROR(__xludf.DUMMYFUNCTION("""COMPUTED_VALUE"""),"")</f>
        <v/>
      </c>
      <c r="AS104" s="232" t="str">
        <f>IFERROR(__xludf.DUMMYFUNCTION("""COMPUTED_VALUE"""),"")</f>
        <v/>
      </c>
      <c r="AT104" s="233">
        <f>IFERROR(__xludf.DUMMYFUNCTION("""COMPUTED_VALUE"""),51.1)</f>
        <v>51.1</v>
      </c>
      <c r="AU104" s="231" t="str">
        <f>IFERROR(__xludf.DUMMYFUNCTION("""COMPUTED_VALUE"""),"")</f>
        <v/>
      </c>
      <c r="AV104" s="232" t="str">
        <f>IFERROR(__xludf.DUMMYFUNCTION("""COMPUTED_VALUE"""),"")</f>
        <v/>
      </c>
      <c r="AW104" s="233">
        <f>IFERROR(__xludf.DUMMYFUNCTION("""COMPUTED_VALUE"""),11.3)</f>
        <v>11.3</v>
      </c>
      <c r="AX104" s="231" t="str">
        <f>IFERROR(__xludf.DUMMYFUNCTION("""COMPUTED_VALUE"""),"")</f>
        <v/>
      </c>
      <c r="AY104" s="232" t="str">
        <f>IFERROR(__xludf.DUMMYFUNCTION("""COMPUTED_VALUE"""),"")</f>
        <v/>
      </c>
      <c r="AZ104" s="233" t="str">
        <f>IFERROR(__xludf.DUMMYFUNCTION("""COMPUTED_VALUE"""),"")</f>
        <v/>
      </c>
      <c r="BA104" s="231" t="str">
        <f>IFERROR(__xludf.DUMMYFUNCTION("""COMPUTED_VALUE"""),"")</f>
        <v/>
      </c>
      <c r="BB104" s="232" t="str">
        <f>IFERROR(__xludf.DUMMYFUNCTION("""COMPUTED_VALUE"""),"")</f>
        <v/>
      </c>
      <c r="BC104" s="233" t="str">
        <f>IFERROR(__xludf.DUMMYFUNCTION("""COMPUTED_VALUE"""),"")</f>
        <v/>
      </c>
      <c r="BD104" s="231" t="str">
        <f>IFERROR(__xludf.DUMMYFUNCTION("""COMPUTED_VALUE"""),"")</f>
        <v/>
      </c>
      <c r="BE104" s="232" t="str">
        <f>IFERROR(__xludf.DUMMYFUNCTION("""COMPUTED_VALUE"""),"")</f>
        <v/>
      </c>
      <c r="BF104" s="233" t="str">
        <f>IFERROR(__xludf.DUMMYFUNCTION("""COMPUTED_VALUE"""),"")</f>
        <v/>
      </c>
      <c r="BG104" s="231" t="str">
        <f>IFERROR(__xludf.DUMMYFUNCTION("""COMPUTED_VALUE"""),"")</f>
        <v/>
      </c>
      <c r="BH104" s="232" t="str">
        <f>IFERROR(__xludf.DUMMYFUNCTION("""COMPUTED_VALUE"""),"")</f>
        <v/>
      </c>
      <c r="BI104" s="233" t="str">
        <f>IFERROR(__xludf.DUMMYFUNCTION("""COMPUTED_VALUE"""),"")</f>
        <v/>
      </c>
      <c r="BJ104" s="231" t="str">
        <f>IFERROR(__xludf.DUMMYFUNCTION("""COMPUTED_VALUE"""),"")</f>
        <v/>
      </c>
      <c r="BK104" s="232" t="str">
        <f>IFERROR(__xludf.DUMMYFUNCTION("""COMPUTED_VALUE"""),"")</f>
        <v/>
      </c>
      <c r="BL104" s="233" t="str">
        <f>IFERROR(__xludf.DUMMYFUNCTION("""COMPUTED_VALUE"""),"")</f>
        <v/>
      </c>
      <c r="BM104" s="231" t="str">
        <f>IFERROR(__xludf.DUMMYFUNCTION("""COMPUTED_VALUE"""),"")</f>
        <v/>
      </c>
      <c r="BN104" s="232" t="str">
        <f>IFERROR(__xludf.DUMMYFUNCTION("""COMPUTED_VALUE"""),"")</f>
        <v/>
      </c>
      <c r="BO104" s="233" t="str">
        <f>IFERROR(__xludf.DUMMYFUNCTION("""COMPUTED_VALUE"""),"")</f>
        <v/>
      </c>
      <c r="BP104" s="231" t="str">
        <f>IFERROR(__xludf.DUMMYFUNCTION("""COMPUTED_VALUE"""),"")</f>
        <v/>
      </c>
      <c r="BQ104" s="232">
        <f>IFERROR(__xludf.DUMMYFUNCTION("""COMPUTED_VALUE"""),5.7)</f>
        <v>5.7</v>
      </c>
      <c r="BR104" s="233" t="str">
        <f>IFERROR(__xludf.DUMMYFUNCTION("""COMPUTED_VALUE"""),"")</f>
        <v/>
      </c>
      <c r="BS104" s="231">
        <f>IFERROR(__xludf.DUMMYFUNCTION("""COMPUTED_VALUE"""),25.3)</f>
        <v>25.3</v>
      </c>
      <c r="BT104" s="232" t="str">
        <f>IFERROR(__xludf.DUMMYFUNCTION("""COMPUTED_VALUE"""),"")</f>
        <v/>
      </c>
      <c r="BU104" s="233" t="str">
        <f>IFERROR(__xludf.DUMMYFUNCTION("""COMPUTED_VALUE"""),"")</f>
        <v/>
      </c>
      <c r="BV104" s="231" t="str">
        <f>IFERROR(__xludf.DUMMYFUNCTION("""COMPUTED_VALUE"""),"")</f>
        <v/>
      </c>
      <c r="BW104" s="232" t="str">
        <f>IFERROR(__xludf.DUMMYFUNCTION("""COMPUTED_VALUE"""),"")</f>
        <v/>
      </c>
      <c r="BX104" s="233" t="str">
        <f>IFERROR(__xludf.DUMMYFUNCTION("""COMPUTED_VALUE"""),"")</f>
        <v/>
      </c>
      <c r="BY104" s="231" t="str">
        <f>IFERROR(__xludf.DUMMYFUNCTION("""COMPUTED_VALUE"""),"")</f>
        <v/>
      </c>
      <c r="BZ104" s="232" t="str">
        <f>IFERROR(__xludf.DUMMYFUNCTION("""COMPUTED_VALUE"""),"")</f>
        <v/>
      </c>
      <c r="CA104" s="233" t="str">
        <f>IFERROR(__xludf.DUMMYFUNCTION("""COMPUTED_VALUE"""),"")</f>
        <v/>
      </c>
      <c r="CB104" s="231" t="str">
        <f>IFERROR(__xludf.DUMMYFUNCTION("""COMPUTED_VALUE"""),"")</f>
        <v/>
      </c>
      <c r="CC104" s="232" t="str">
        <f>IFERROR(__xludf.DUMMYFUNCTION("""COMPUTED_VALUE"""),"")</f>
        <v/>
      </c>
      <c r="CD104" s="233">
        <f>IFERROR(__xludf.DUMMYFUNCTION("""COMPUTED_VALUE"""),2.1)</f>
        <v>2.1</v>
      </c>
      <c r="CE104" s="234" t="str">
        <f>IFERROR(__xludf.DUMMYFUNCTION("""COMPUTED_VALUE"""),"")</f>
        <v/>
      </c>
      <c r="CF104" s="230" t="str">
        <f>IFERROR(__xludf.DUMMYFUNCTION("""COMPUTED_VALUE"""),"")</f>
        <v/>
      </c>
      <c r="CG104" s="235" t="str">
        <f>IFERROR(__xludf.DUMMYFUNCTION("""COMPUTED_VALUE"""),"")</f>
        <v/>
      </c>
      <c r="CH104" s="234" t="str">
        <f>IFERROR(__xludf.DUMMYFUNCTION("""COMPUTED_VALUE"""),"")</f>
        <v/>
      </c>
      <c r="CI104" s="230" t="str">
        <f>IFERROR(__xludf.DUMMYFUNCTION("""COMPUTED_VALUE"""),"")</f>
        <v/>
      </c>
      <c r="CJ104" s="235" t="str">
        <f>IFERROR(__xludf.DUMMYFUNCTION("""COMPUTED_VALUE"""),"")</f>
        <v/>
      </c>
      <c r="CK104" s="95">
        <f>IFERROR(__xludf.DUMMYFUNCTION("""COMPUTED_VALUE"""),9.9)</f>
        <v>9.9</v>
      </c>
      <c r="CL104" s="96" t="str">
        <f>IFERROR(__xludf.DUMMYFUNCTION("""COMPUTED_VALUE"""),"")</f>
        <v/>
      </c>
      <c r="CM104" s="97" t="str">
        <f>IFERROR(__xludf.DUMMYFUNCTION("""COMPUTED_VALUE"""),"")</f>
        <v/>
      </c>
      <c r="CN104" s="95" t="str">
        <f>IFERROR(__xludf.DUMMYFUNCTION("""COMPUTED_VALUE"""),"")</f>
        <v/>
      </c>
      <c r="CO104" s="96" t="str">
        <f>IFERROR(__xludf.DUMMYFUNCTION("""COMPUTED_VALUE"""),"")</f>
        <v/>
      </c>
      <c r="CP104" s="97" t="str">
        <f>IFERROR(__xludf.DUMMYFUNCTION("""COMPUTED_VALUE"""),"")</f>
        <v/>
      </c>
      <c r="CQ104" s="95" t="str">
        <f>IFERROR(__xludf.DUMMYFUNCTION("""COMPUTED_VALUE"""),"")</f>
        <v/>
      </c>
      <c r="CR104" s="96" t="str">
        <f>IFERROR(__xludf.DUMMYFUNCTION("""COMPUTED_VALUE"""),"")</f>
        <v/>
      </c>
      <c r="CS104" s="97" t="str">
        <f>IFERROR(__xludf.DUMMYFUNCTION("""COMPUTED_VALUE"""),"#REF!")</f>
        <v>#REF!</v>
      </c>
      <c r="CT104" s="95" t="str">
        <f>IFERROR(__xludf.DUMMYFUNCTION("""COMPUTED_VALUE"""),"#REF!")</f>
        <v>#REF!</v>
      </c>
      <c r="CU104" s="96" t="str">
        <f>IFERROR(__xludf.DUMMYFUNCTION("""COMPUTED_VALUE"""),"#REF!")</f>
        <v>#REF!</v>
      </c>
      <c r="CV104" s="97" t="str">
        <f>IFERROR(__xludf.DUMMYFUNCTION("""COMPUTED_VALUE"""),"#REF!")</f>
        <v>#REF!</v>
      </c>
      <c r="CW104" s="95" t="str">
        <f>IFERROR(__xludf.DUMMYFUNCTION("""COMPUTED_VALUE"""),"#REF!")</f>
        <v>#REF!</v>
      </c>
      <c r="CX104" s="96" t="str">
        <f>IFERROR(__xludf.DUMMYFUNCTION("""COMPUTED_VALUE"""),"#REF!")</f>
        <v>#REF!</v>
      </c>
      <c r="CY104" s="97" t="str">
        <f>IFERROR(__xludf.DUMMYFUNCTION("""COMPUTED_VALUE"""),"#REF!")</f>
        <v>#REF!</v>
      </c>
      <c r="CZ104" s="95" t="str">
        <f>IFERROR(__xludf.DUMMYFUNCTION("""COMPUTED_VALUE"""),"#REF!")</f>
        <v>#REF!</v>
      </c>
      <c r="DA104" s="96" t="str">
        <f>IFERROR(__xludf.DUMMYFUNCTION("""COMPUTED_VALUE"""),"#REF!")</f>
        <v>#REF!</v>
      </c>
      <c r="DB104" s="97" t="str">
        <f>IFERROR(__xludf.DUMMYFUNCTION("""COMPUTED_VALUE"""),"#REF!")</f>
        <v>#REF!</v>
      </c>
      <c r="DC104" s="95" t="str">
        <f>IFERROR(__xludf.DUMMYFUNCTION("""COMPUTED_VALUE"""),"#REF!")</f>
        <v>#REF!</v>
      </c>
      <c r="DD104" s="96" t="str">
        <f>IFERROR(__xludf.DUMMYFUNCTION("""COMPUTED_VALUE"""),"#REF!")</f>
        <v>#REF!</v>
      </c>
      <c r="DE104" s="97" t="str">
        <f>IFERROR(__xludf.DUMMYFUNCTION("""COMPUTED_VALUE"""),"#REF!")</f>
        <v>#REF!</v>
      </c>
      <c r="DF104" s="95" t="str">
        <f>IFERROR(__xludf.DUMMYFUNCTION("""COMPUTED_VALUE"""),"#REF!")</f>
        <v>#REF!</v>
      </c>
      <c r="DG104" s="96" t="str">
        <f>IFERROR(__xludf.DUMMYFUNCTION("""COMPUTED_VALUE"""),"#REF!")</f>
        <v>#REF!</v>
      </c>
      <c r="DH104" s="97" t="str">
        <f>IFERROR(__xludf.DUMMYFUNCTION("""COMPUTED_VALUE"""),"#REF!")</f>
        <v>#REF!</v>
      </c>
      <c r="DI104" s="95" t="str">
        <f>IFERROR(__xludf.DUMMYFUNCTION("""COMPUTED_VALUE"""),"#REF!")</f>
        <v>#REF!</v>
      </c>
      <c r="DJ104" s="96" t="str">
        <f>IFERROR(__xludf.DUMMYFUNCTION("""COMPUTED_VALUE"""),"#REF!")</f>
        <v>#REF!</v>
      </c>
      <c r="DK104" s="97" t="str">
        <f>IFERROR(__xludf.DUMMYFUNCTION("""COMPUTED_VALUE"""),"#REF!")</f>
        <v>#REF!</v>
      </c>
      <c r="DL104" s="95" t="str">
        <f>IFERROR(__xludf.DUMMYFUNCTION("""COMPUTED_VALUE"""),"#REF!")</f>
        <v>#REF!</v>
      </c>
      <c r="DM104" s="96" t="str">
        <f>IFERROR(__xludf.DUMMYFUNCTION("""COMPUTED_VALUE"""),"#REF!")</f>
        <v>#REF!</v>
      </c>
      <c r="DN104" s="97" t="str">
        <f>IFERROR(__xludf.DUMMYFUNCTION("""COMPUTED_VALUE"""),"#REF!")</f>
        <v>#REF!</v>
      </c>
      <c r="DO104" s="95" t="str">
        <f>IFERROR(__xludf.DUMMYFUNCTION("""COMPUTED_VALUE"""),"#REF!")</f>
        <v>#REF!</v>
      </c>
      <c r="DP104" s="96" t="str">
        <f>IFERROR(__xludf.DUMMYFUNCTION("""COMPUTED_VALUE"""),"#REF!")</f>
        <v>#REF!</v>
      </c>
      <c r="DQ104" s="97"/>
      <c r="DR104" s="95"/>
    </row>
    <row r="105">
      <c r="B105" s="120" t="str">
        <f>IFERROR(__xludf.DUMMYFUNCTION("""COMPUTED_VALUE"""),"EPU7")</f>
        <v>EPU7</v>
      </c>
      <c r="C105" s="82">
        <f>IFERROR(__xludf.DUMMYFUNCTION("""COMPUTED_VALUE"""),92.0)</f>
        <v>92</v>
      </c>
      <c r="D105" s="88" t="str">
        <f>IFERROR(__xludf.DUMMYFUNCTION("""COMPUTED_VALUE"""),"Des Moines")</f>
        <v>Des Moines</v>
      </c>
      <c r="E105" s="82" t="str">
        <f>IFERROR(__xludf.DUMMYFUNCTION("""COMPUTED_VALUE"""),"デモイン")</f>
        <v>デモイン</v>
      </c>
      <c r="F105" s="102">
        <f>IFERROR(__xludf.DUMMYFUNCTION("""COMPUTED_VALUE"""),18.0)</f>
        <v>18</v>
      </c>
      <c r="G105" s="82">
        <f>IFERROR(__xludf.DUMMYFUNCTION("""COMPUTED_VALUE"""),23872.0)</f>
        <v>23872</v>
      </c>
      <c r="H105" s="231">
        <f>IFERROR(__xludf.DUMMYFUNCTION("""COMPUTED_VALUE"""),20.1)</f>
        <v>20.1</v>
      </c>
      <c r="I105" s="232" t="str">
        <f>IFERROR(__xludf.DUMMYFUNCTION("""COMPUTED_VALUE"""),"")</f>
        <v/>
      </c>
      <c r="J105" s="233" t="str">
        <f>IFERROR(__xludf.DUMMYFUNCTION("""COMPUTED_VALUE"""),"")</f>
        <v/>
      </c>
      <c r="K105" s="231" t="str">
        <f>IFERROR(__xludf.DUMMYFUNCTION("""COMPUTED_VALUE"""),"")</f>
        <v/>
      </c>
      <c r="L105" s="232" t="str">
        <f>IFERROR(__xludf.DUMMYFUNCTION("""COMPUTED_VALUE"""),"")</f>
        <v/>
      </c>
      <c r="M105" s="233" t="str">
        <f>IFERROR(__xludf.DUMMYFUNCTION("""COMPUTED_VALUE"""),"")</f>
        <v/>
      </c>
      <c r="N105" s="231" t="str">
        <f>IFERROR(__xludf.DUMMYFUNCTION("""COMPUTED_VALUE"""),"")</f>
        <v/>
      </c>
      <c r="O105" s="232" t="str">
        <f>IFERROR(__xludf.DUMMYFUNCTION("""COMPUTED_VALUE"""),"")</f>
        <v/>
      </c>
      <c r="P105" s="233" t="str">
        <f>IFERROR(__xludf.DUMMYFUNCTION("""COMPUTED_VALUE"""),"")</f>
        <v/>
      </c>
      <c r="Q105" s="231" t="str">
        <f>IFERROR(__xludf.DUMMYFUNCTION("""COMPUTED_VALUE"""),"")</f>
        <v/>
      </c>
      <c r="R105" s="232" t="str">
        <f>IFERROR(__xludf.DUMMYFUNCTION("""COMPUTED_VALUE"""),"")</f>
        <v/>
      </c>
      <c r="S105" s="233" t="str">
        <f>IFERROR(__xludf.DUMMYFUNCTION("""COMPUTED_VALUE"""),"")</f>
        <v/>
      </c>
      <c r="T105" s="231" t="str">
        <f>IFERROR(__xludf.DUMMYFUNCTION("""COMPUTED_VALUE"""),"")</f>
        <v/>
      </c>
      <c r="U105" s="232" t="str">
        <f>IFERROR(__xludf.DUMMYFUNCTION("""COMPUTED_VALUE"""),"")</f>
        <v/>
      </c>
      <c r="V105" s="233" t="str">
        <f>IFERROR(__xludf.DUMMYFUNCTION("""COMPUTED_VALUE"""),"")</f>
        <v/>
      </c>
      <c r="W105" s="231" t="str">
        <f>IFERROR(__xludf.DUMMYFUNCTION("""COMPUTED_VALUE"""),"")</f>
        <v/>
      </c>
      <c r="X105" s="232" t="str">
        <f>IFERROR(__xludf.DUMMYFUNCTION("""COMPUTED_VALUE"""),"")</f>
        <v/>
      </c>
      <c r="Y105" s="233" t="str">
        <f>IFERROR(__xludf.DUMMYFUNCTION("""COMPUTED_VALUE"""),"")</f>
        <v/>
      </c>
      <c r="Z105" s="231">
        <f>IFERROR(__xludf.DUMMYFUNCTION("""COMPUTED_VALUE"""),9.2)</f>
        <v>9.2</v>
      </c>
      <c r="AA105" s="232" t="str">
        <f>IFERROR(__xludf.DUMMYFUNCTION("""COMPUTED_VALUE"""),"")</f>
        <v/>
      </c>
      <c r="AB105" s="233" t="str">
        <f>IFERROR(__xludf.DUMMYFUNCTION("""COMPUTED_VALUE"""),"")</f>
        <v/>
      </c>
      <c r="AC105" s="231" t="str">
        <f>IFERROR(__xludf.DUMMYFUNCTION("""COMPUTED_VALUE"""),"")</f>
        <v/>
      </c>
      <c r="AD105" s="232" t="str">
        <f>IFERROR(__xludf.DUMMYFUNCTION("""COMPUTED_VALUE"""),"")</f>
        <v/>
      </c>
      <c r="AE105" s="233" t="str">
        <f>IFERROR(__xludf.DUMMYFUNCTION("""COMPUTED_VALUE"""),"")</f>
        <v/>
      </c>
      <c r="AF105" s="231" t="str">
        <f>IFERROR(__xludf.DUMMYFUNCTION("""COMPUTED_VALUE"""),"")</f>
        <v/>
      </c>
      <c r="AG105" s="232" t="str">
        <f>IFERROR(__xludf.DUMMYFUNCTION("""COMPUTED_VALUE"""),"")</f>
        <v/>
      </c>
      <c r="AH105" s="233" t="str">
        <f>IFERROR(__xludf.DUMMYFUNCTION("""COMPUTED_VALUE"""),"")</f>
        <v/>
      </c>
      <c r="AI105" s="231" t="str">
        <f>IFERROR(__xludf.DUMMYFUNCTION("""COMPUTED_VALUE"""),"")</f>
        <v/>
      </c>
      <c r="AJ105" s="232" t="str">
        <f>IFERROR(__xludf.DUMMYFUNCTION("""COMPUTED_VALUE"""),"")</f>
        <v/>
      </c>
      <c r="AK105" s="233" t="str">
        <f>IFERROR(__xludf.DUMMYFUNCTION("""COMPUTED_VALUE"""),"")</f>
        <v/>
      </c>
      <c r="AL105" s="231" t="str">
        <f>IFERROR(__xludf.DUMMYFUNCTION("""COMPUTED_VALUE"""),"")</f>
        <v/>
      </c>
      <c r="AM105" s="232" t="str">
        <f>IFERROR(__xludf.DUMMYFUNCTION("""COMPUTED_VALUE"""),"")</f>
        <v/>
      </c>
      <c r="AN105" s="233" t="str">
        <f>IFERROR(__xludf.DUMMYFUNCTION("""COMPUTED_VALUE"""),"")</f>
        <v/>
      </c>
      <c r="AO105" s="231" t="str">
        <f>IFERROR(__xludf.DUMMYFUNCTION("""COMPUTED_VALUE"""),"")</f>
        <v/>
      </c>
      <c r="AP105" s="232" t="str">
        <f>IFERROR(__xludf.DUMMYFUNCTION("""COMPUTED_VALUE"""),"")</f>
        <v/>
      </c>
      <c r="AQ105" s="233" t="str">
        <f>IFERROR(__xludf.DUMMYFUNCTION("""COMPUTED_VALUE"""),"")</f>
        <v/>
      </c>
      <c r="AR105" s="231" t="str">
        <f>IFERROR(__xludf.DUMMYFUNCTION("""COMPUTED_VALUE"""),"")</f>
        <v/>
      </c>
      <c r="AS105" s="232" t="str">
        <f>IFERROR(__xludf.DUMMYFUNCTION("""COMPUTED_VALUE"""),"")</f>
        <v/>
      </c>
      <c r="AT105" s="233" t="str">
        <f>IFERROR(__xludf.DUMMYFUNCTION("""COMPUTED_VALUE"""),"")</f>
        <v/>
      </c>
      <c r="AU105" s="231" t="str">
        <f>IFERROR(__xludf.DUMMYFUNCTION("""COMPUTED_VALUE"""),"")</f>
        <v/>
      </c>
      <c r="AV105" s="232" t="str">
        <f>IFERROR(__xludf.DUMMYFUNCTION("""COMPUTED_VALUE"""),"")</f>
        <v/>
      </c>
      <c r="AW105" s="233">
        <f>IFERROR(__xludf.DUMMYFUNCTION("""COMPUTED_VALUE"""),15.9)</f>
        <v>15.9</v>
      </c>
      <c r="AX105" s="231" t="str">
        <f>IFERROR(__xludf.DUMMYFUNCTION("""COMPUTED_VALUE"""),"")</f>
        <v/>
      </c>
      <c r="AY105" s="232" t="str">
        <f>IFERROR(__xludf.DUMMYFUNCTION("""COMPUTED_VALUE"""),"")</f>
        <v/>
      </c>
      <c r="AZ105" s="233" t="str">
        <f>IFERROR(__xludf.DUMMYFUNCTION("""COMPUTED_VALUE"""),"")</f>
        <v/>
      </c>
      <c r="BA105" s="231" t="str">
        <f>IFERROR(__xludf.DUMMYFUNCTION("""COMPUTED_VALUE"""),"")</f>
        <v/>
      </c>
      <c r="BB105" s="232" t="str">
        <f>IFERROR(__xludf.DUMMYFUNCTION("""COMPUTED_VALUE"""),"")</f>
        <v/>
      </c>
      <c r="BC105" s="233" t="str">
        <f>IFERROR(__xludf.DUMMYFUNCTION("""COMPUTED_VALUE"""),"")</f>
        <v/>
      </c>
      <c r="BD105" s="231" t="str">
        <f>IFERROR(__xludf.DUMMYFUNCTION("""COMPUTED_VALUE"""),"")</f>
        <v/>
      </c>
      <c r="BE105" s="232" t="str">
        <f>IFERROR(__xludf.DUMMYFUNCTION("""COMPUTED_VALUE"""),"")</f>
        <v/>
      </c>
      <c r="BF105" s="233" t="str">
        <f>IFERROR(__xludf.DUMMYFUNCTION("""COMPUTED_VALUE"""),"")</f>
        <v/>
      </c>
      <c r="BG105" s="231" t="str">
        <f>IFERROR(__xludf.DUMMYFUNCTION("""COMPUTED_VALUE"""),"")</f>
        <v/>
      </c>
      <c r="BH105" s="232" t="str">
        <f>IFERROR(__xludf.DUMMYFUNCTION("""COMPUTED_VALUE"""),"")</f>
        <v/>
      </c>
      <c r="BI105" s="233" t="str">
        <f>IFERROR(__xludf.DUMMYFUNCTION("""COMPUTED_VALUE"""),"")</f>
        <v/>
      </c>
      <c r="BJ105" s="231" t="str">
        <f>IFERROR(__xludf.DUMMYFUNCTION("""COMPUTED_VALUE"""),"")</f>
        <v/>
      </c>
      <c r="BK105" s="232" t="str">
        <f>IFERROR(__xludf.DUMMYFUNCTION("""COMPUTED_VALUE"""),"")</f>
        <v/>
      </c>
      <c r="BL105" s="233" t="str">
        <f>IFERROR(__xludf.DUMMYFUNCTION("""COMPUTED_VALUE"""),"")</f>
        <v/>
      </c>
      <c r="BM105" s="231" t="str">
        <f>IFERROR(__xludf.DUMMYFUNCTION("""COMPUTED_VALUE"""),"")</f>
        <v/>
      </c>
      <c r="BN105" s="232" t="str">
        <f>IFERROR(__xludf.DUMMYFUNCTION("""COMPUTED_VALUE"""),"")</f>
        <v/>
      </c>
      <c r="BO105" s="233">
        <f>IFERROR(__xludf.DUMMYFUNCTION("""COMPUTED_VALUE"""),9.1)</f>
        <v>9.1</v>
      </c>
      <c r="BP105" s="231">
        <f>IFERROR(__xludf.DUMMYFUNCTION("""COMPUTED_VALUE"""),7.9)</f>
        <v>7.9</v>
      </c>
      <c r="BQ105" s="232" t="str">
        <f>IFERROR(__xludf.DUMMYFUNCTION("""COMPUTED_VALUE"""),"")</f>
        <v/>
      </c>
      <c r="BR105" s="233" t="str">
        <f>IFERROR(__xludf.DUMMYFUNCTION("""COMPUTED_VALUE"""),"")</f>
        <v/>
      </c>
      <c r="BS105" s="231" t="str">
        <f>IFERROR(__xludf.DUMMYFUNCTION("""COMPUTED_VALUE"""),"")</f>
        <v/>
      </c>
      <c r="BT105" s="232" t="str">
        <f>IFERROR(__xludf.DUMMYFUNCTION("""COMPUTED_VALUE"""),"")</f>
        <v/>
      </c>
      <c r="BU105" s="233" t="str">
        <f>IFERROR(__xludf.DUMMYFUNCTION("""COMPUTED_VALUE"""),"")</f>
        <v/>
      </c>
      <c r="BV105" s="231" t="str">
        <f>IFERROR(__xludf.DUMMYFUNCTION("""COMPUTED_VALUE"""),"")</f>
        <v/>
      </c>
      <c r="BW105" s="232" t="str">
        <f>IFERROR(__xludf.DUMMYFUNCTION("""COMPUTED_VALUE"""),"")</f>
        <v/>
      </c>
      <c r="BX105" s="233" t="str">
        <f>IFERROR(__xludf.DUMMYFUNCTION("""COMPUTED_VALUE"""),"")</f>
        <v/>
      </c>
      <c r="BY105" s="231" t="str">
        <f>IFERROR(__xludf.DUMMYFUNCTION("""COMPUTED_VALUE"""),"")</f>
        <v/>
      </c>
      <c r="BZ105" s="232">
        <f>IFERROR(__xludf.DUMMYFUNCTION("""COMPUTED_VALUE"""),4.8)</f>
        <v>4.8</v>
      </c>
      <c r="CA105" s="233" t="str">
        <f>IFERROR(__xludf.DUMMYFUNCTION("""COMPUTED_VALUE"""),"")</f>
        <v/>
      </c>
      <c r="CB105" s="231" t="str">
        <f>IFERROR(__xludf.DUMMYFUNCTION("""COMPUTED_VALUE"""),"")</f>
        <v/>
      </c>
      <c r="CC105" s="232" t="str">
        <f>IFERROR(__xludf.DUMMYFUNCTION("""COMPUTED_VALUE"""),"")</f>
        <v/>
      </c>
      <c r="CD105" s="233" t="str">
        <f>IFERROR(__xludf.DUMMYFUNCTION("""COMPUTED_VALUE"""),"")</f>
        <v/>
      </c>
      <c r="CE105" s="234" t="str">
        <f>IFERROR(__xludf.DUMMYFUNCTION("""COMPUTED_VALUE"""),"")</f>
        <v/>
      </c>
      <c r="CF105" s="230" t="str">
        <f>IFERROR(__xludf.DUMMYFUNCTION("""COMPUTED_VALUE"""),"")</f>
        <v/>
      </c>
      <c r="CG105" s="235">
        <f>IFERROR(__xludf.DUMMYFUNCTION("""COMPUTED_VALUE"""),9.1)</f>
        <v>9.1</v>
      </c>
      <c r="CH105" s="234" t="str">
        <f>IFERROR(__xludf.DUMMYFUNCTION("""COMPUTED_VALUE"""),"")</f>
        <v/>
      </c>
      <c r="CI105" s="230" t="str">
        <f>IFERROR(__xludf.DUMMYFUNCTION("""COMPUTED_VALUE"""),"")</f>
        <v/>
      </c>
      <c r="CJ105" s="235" t="str">
        <f>IFERROR(__xludf.DUMMYFUNCTION("""COMPUTED_VALUE"""),"")</f>
        <v/>
      </c>
      <c r="CK105" s="95" t="str">
        <f>IFERROR(__xludf.DUMMYFUNCTION("""COMPUTED_VALUE"""),"")</f>
        <v/>
      </c>
      <c r="CL105" s="96" t="str">
        <f>IFERROR(__xludf.DUMMYFUNCTION("""COMPUTED_VALUE"""),"")</f>
        <v/>
      </c>
      <c r="CM105" s="97" t="str">
        <f>IFERROR(__xludf.DUMMYFUNCTION("""COMPUTED_VALUE"""),"")</f>
        <v/>
      </c>
      <c r="CN105" s="95" t="str">
        <f>IFERROR(__xludf.DUMMYFUNCTION("""COMPUTED_VALUE"""),"")</f>
        <v/>
      </c>
      <c r="CO105" s="96" t="str">
        <f>IFERROR(__xludf.DUMMYFUNCTION("""COMPUTED_VALUE"""),"")</f>
        <v/>
      </c>
      <c r="CP105" s="97" t="str">
        <f>IFERROR(__xludf.DUMMYFUNCTION("""COMPUTED_VALUE"""),"")</f>
        <v/>
      </c>
      <c r="CQ105" s="95" t="str">
        <f>IFERROR(__xludf.DUMMYFUNCTION("""COMPUTED_VALUE"""),"")</f>
        <v/>
      </c>
      <c r="CR105" s="96" t="str">
        <f>IFERROR(__xludf.DUMMYFUNCTION("""COMPUTED_VALUE"""),"")</f>
        <v/>
      </c>
      <c r="CS105" s="97" t="str">
        <f>IFERROR(__xludf.DUMMYFUNCTION("""COMPUTED_VALUE"""),"#REF!")</f>
        <v>#REF!</v>
      </c>
      <c r="CT105" s="95" t="str">
        <f>IFERROR(__xludf.DUMMYFUNCTION("""COMPUTED_VALUE"""),"#REF!")</f>
        <v>#REF!</v>
      </c>
      <c r="CU105" s="96" t="str">
        <f>IFERROR(__xludf.DUMMYFUNCTION("""COMPUTED_VALUE"""),"#REF!")</f>
        <v>#REF!</v>
      </c>
      <c r="CV105" s="97" t="str">
        <f>IFERROR(__xludf.DUMMYFUNCTION("""COMPUTED_VALUE"""),"#REF!")</f>
        <v>#REF!</v>
      </c>
      <c r="CW105" s="95" t="str">
        <f>IFERROR(__xludf.DUMMYFUNCTION("""COMPUTED_VALUE"""),"#REF!")</f>
        <v>#REF!</v>
      </c>
      <c r="CX105" s="96" t="str">
        <f>IFERROR(__xludf.DUMMYFUNCTION("""COMPUTED_VALUE"""),"#REF!")</f>
        <v>#REF!</v>
      </c>
      <c r="CY105" s="97" t="str">
        <f>IFERROR(__xludf.DUMMYFUNCTION("""COMPUTED_VALUE"""),"#REF!")</f>
        <v>#REF!</v>
      </c>
      <c r="CZ105" s="95" t="str">
        <f>IFERROR(__xludf.DUMMYFUNCTION("""COMPUTED_VALUE"""),"#REF!")</f>
        <v>#REF!</v>
      </c>
      <c r="DA105" s="96" t="str">
        <f>IFERROR(__xludf.DUMMYFUNCTION("""COMPUTED_VALUE"""),"#REF!")</f>
        <v>#REF!</v>
      </c>
      <c r="DB105" s="97" t="str">
        <f>IFERROR(__xludf.DUMMYFUNCTION("""COMPUTED_VALUE"""),"#REF!")</f>
        <v>#REF!</v>
      </c>
      <c r="DC105" s="95" t="str">
        <f>IFERROR(__xludf.DUMMYFUNCTION("""COMPUTED_VALUE"""),"#REF!")</f>
        <v>#REF!</v>
      </c>
      <c r="DD105" s="96" t="str">
        <f>IFERROR(__xludf.DUMMYFUNCTION("""COMPUTED_VALUE"""),"#REF!")</f>
        <v>#REF!</v>
      </c>
      <c r="DE105" s="97" t="str">
        <f>IFERROR(__xludf.DUMMYFUNCTION("""COMPUTED_VALUE"""),"#REF!")</f>
        <v>#REF!</v>
      </c>
      <c r="DF105" s="95" t="str">
        <f>IFERROR(__xludf.DUMMYFUNCTION("""COMPUTED_VALUE"""),"#REF!")</f>
        <v>#REF!</v>
      </c>
      <c r="DG105" s="96" t="str">
        <f>IFERROR(__xludf.DUMMYFUNCTION("""COMPUTED_VALUE"""),"#REF!")</f>
        <v>#REF!</v>
      </c>
      <c r="DH105" s="97" t="str">
        <f>IFERROR(__xludf.DUMMYFUNCTION("""COMPUTED_VALUE"""),"#REF!")</f>
        <v>#REF!</v>
      </c>
      <c r="DI105" s="95" t="str">
        <f>IFERROR(__xludf.DUMMYFUNCTION("""COMPUTED_VALUE"""),"#REF!")</f>
        <v>#REF!</v>
      </c>
      <c r="DJ105" s="96" t="str">
        <f>IFERROR(__xludf.DUMMYFUNCTION("""COMPUTED_VALUE"""),"#REF!")</f>
        <v>#REF!</v>
      </c>
      <c r="DK105" s="97" t="str">
        <f>IFERROR(__xludf.DUMMYFUNCTION("""COMPUTED_VALUE"""),"#REF!")</f>
        <v>#REF!</v>
      </c>
      <c r="DL105" s="95" t="str">
        <f>IFERROR(__xludf.DUMMYFUNCTION("""COMPUTED_VALUE"""),"#REF!")</f>
        <v>#REF!</v>
      </c>
      <c r="DM105" s="96" t="str">
        <f>IFERROR(__xludf.DUMMYFUNCTION("""COMPUTED_VALUE"""),"#REF!")</f>
        <v>#REF!</v>
      </c>
      <c r="DN105" s="97" t="str">
        <f>IFERROR(__xludf.DUMMYFUNCTION("""COMPUTED_VALUE"""),"#REF!")</f>
        <v>#REF!</v>
      </c>
      <c r="DO105" s="95" t="str">
        <f>IFERROR(__xludf.DUMMYFUNCTION("""COMPUTED_VALUE"""),"#REF!")</f>
        <v>#REF!</v>
      </c>
      <c r="DP105" s="96" t="str">
        <f>IFERROR(__xludf.DUMMYFUNCTION("""COMPUTED_VALUE"""),"#REF!")</f>
        <v>#REF!</v>
      </c>
      <c r="DQ105" s="97"/>
      <c r="DR105" s="95"/>
    </row>
    <row r="106">
      <c r="B106" s="120" t="str">
        <f>IFERROR(__xludf.DUMMYFUNCTION("""COMPUTED_VALUE"""),"EPU8")</f>
        <v>EPU8</v>
      </c>
      <c r="C106" s="82">
        <f>IFERROR(__xludf.DUMMYFUNCTION("""COMPUTED_VALUE"""),93.0)</f>
        <v>93</v>
      </c>
      <c r="D106" s="88" t="str">
        <f>IFERROR(__xludf.DUMMYFUNCTION("""COMPUTED_VALUE"""),"Montgomery")</f>
        <v>Montgomery</v>
      </c>
      <c r="E106" s="82" t="str">
        <f>IFERROR(__xludf.DUMMYFUNCTION("""COMPUTED_VALUE"""),"モントゴメリー")</f>
        <v>モントゴメリー</v>
      </c>
      <c r="F106" s="102">
        <f>IFERROR(__xludf.DUMMYFUNCTION("""COMPUTED_VALUE"""),18.0)</f>
        <v>18</v>
      </c>
      <c r="G106" s="82">
        <f>IFERROR(__xludf.DUMMYFUNCTION("""COMPUTED_VALUE"""),4484.0)</f>
        <v>4484</v>
      </c>
      <c r="H106" s="231" t="str">
        <f>IFERROR(__xludf.DUMMYFUNCTION("""COMPUTED_VALUE"""),"")</f>
        <v/>
      </c>
      <c r="I106" s="232" t="str">
        <f>IFERROR(__xludf.DUMMYFUNCTION("""COMPUTED_VALUE"""),"")</f>
        <v/>
      </c>
      <c r="J106" s="233" t="str">
        <f>IFERROR(__xludf.DUMMYFUNCTION("""COMPUTED_VALUE"""),"")</f>
        <v/>
      </c>
      <c r="K106" s="231" t="str">
        <f>IFERROR(__xludf.DUMMYFUNCTION("""COMPUTED_VALUE"""),"")</f>
        <v/>
      </c>
      <c r="L106" s="232" t="str">
        <f>IFERROR(__xludf.DUMMYFUNCTION("""COMPUTED_VALUE"""),"")</f>
        <v/>
      </c>
      <c r="M106" s="233" t="str">
        <f>IFERROR(__xludf.DUMMYFUNCTION("""COMPUTED_VALUE"""),"")</f>
        <v/>
      </c>
      <c r="N106" s="231" t="str">
        <f>IFERROR(__xludf.DUMMYFUNCTION("""COMPUTED_VALUE"""),"")</f>
        <v/>
      </c>
      <c r="O106" s="232" t="str">
        <f>IFERROR(__xludf.DUMMYFUNCTION("""COMPUTED_VALUE"""),"")</f>
        <v/>
      </c>
      <c r="P106" s="233" t="str">
        <f>IFERROR(__xludf.DUMMYFUNCTION("""COMPUTED_VALUE"""),"")</f>
        <v/>
      </c>
      <c r="Q106" s="231" t="str">
        <f>IFERROR(__xludf.DUMMYFUNCTION("""COMPUTED_VALUE"""),"")</f>
        <v/>
      </c>
      <c r="R106" s="232" t="str">
        <f>IFERROR(__xludf.DUMMYFUNCTION("""COMPUTED_VALUE"""),"")</f>
        <v/>
      </c>
      <c r="S106" s="233" t="str">
        <f>IFERROR(__xludf.DUMMYFUNCTION("""COMPUTED_VALUE"""),"")</f>
        <v/>
      </c>
      <c r="T106" s="231" t="str">
        <f>IFERROR(__xludf.DUMMYFUNCTION("""COMPUTED_VALUE"""),"")</f>
        <v/>
      </c>
      <c r="U106" s="232" t="str">
        <f>IFERROR(__xludf.DUMMYFUNCTION("""COMPUTED_VALUE"""),"")</f>
        <v/>
      </c>
      <c r="V106" s="233" t="str">
        <f>IFERROR(__xludf.DUMMYFUNCTION("""COMPUTED_VALUE"""),"")</f>
        <v/>
      </c>
      <c r="W106" s="231" t="str">
        <f>IFERROR(__xludf.DUMMYFUNCTION("""COMPUTED_VALUE"""),"")</f>
        <v/>
      </c>
      <c r="X106" s="232" t="str">
        <f>IFERROR(__xludf.DUMMYFUNCTION("""COMPUTED_VALUE"""),"")</f>
        <v/>
      </c>
      <c r="Y106" s="233" t="str">
        <f>IFERROR(__xludf.DUMMYFUNCTION("""COMPUTED_VALUE"""),"")</f>
        <v/>
      </c>
      <c r="Z106" s="231" t="str">
        <f>IFERROR(__xludf.DUMMYFUNCTION("""COMPUTED_VALUE"""),"")</f>
        <v/>
      </c>
      <c r="AA106" s="232" t="str">
        <f>IFERROR(__xludf.DUMMYFUNCTION("""COMPUTED_VALUE"""),"")</f>
        <v/>
      </c>
      <c r="AB106" s="233" t="str">
        <f>IFERROR(__xludf.DUMMYFUNCTION("""COMPUTED_VALUE"""),"")</f>
        <v/>
      </c>
      <c r="AC106" s="231" t="str">
        <f>IFERROR(__xludf.DUMMYFUNCTION("""COMPUTED_VALUE"""),"")</f>
        <v/>
      </c>
      <c r="AD106" s="232" t="str">
        <f>IFERROR(__xludf.DUMMYFUNCTION("""COMPUTED_VALUE"""),"")</f>
        <v/>
      </c>
      <c r="AE106" s="233" t="str">
        <f>IFERROR(__xludf.DUMMYFUNCTION("""COMPUTED_VALUE"""),"")</f>
        <v/>
      </c>
      <c r="AF106" s="231" t="str">
        <f>IFERROR(__xludf.DUMMYFUNCTION("""COMPUTED_VALUE"""),"")</f>
        <v/>
      </c>
      <c r="AG106" s="232" t="str">
        <f>IFERROR(__xludf.DUMMYFUNCTION("""COMPUTED_VALUE"""),"")</f>
        <v/>
      </c>
      <c r="AH106" s="233" t="str">
        <f>IFERROR(__xludf.DUMMYFUNCTION("""COMPUTED_VALUE"""),"")</f>
        <v/>
      </c>
      <c r="AI106" s="231" t="str">
        <f>IFERROR(__xludf.DUMMYFUNCTION("""COMPUTED_VALUE"""),"")</f>
        <v/>
      </c>
      <c r="AJ106" s="232" t="str">
        <f>IFERROR(__xludf.DUMMYFUNCTION("""COMPUTED_VALUE"""),"")</f>
        <v/>
      </c>
      <c r="AK106" s="233" t="str">
        <f>IFERROR(__xludf.DUMMYFUNCTION("""COMPUTED_VALUE"""),"")</f>
        <v/>
      </c>
      <c r="AL106" s="231" t="str">
        <f>IFERROR(__xludf.DUMMYFUNCTION("""COMPUTED_VALUE"""),"")</f>
        <v/>
      </c>
      <c r="AM106" s="232" t="str">
        <f>IFERROR(__xludf.DUMMYFUNCTION("""COMPUTED_VALUE"""),"")</f>
        <v/>
      </c>
      <c r="AN106" s="233" t="str">
        <f>IFERROR(__xludf.DUMMYFUNCTION("""COMPUTED_VALUE"""),"")</f>
        <v/>
      </c>
      <c r="AO106" s="231" t="str">
        <f>IFERROR(__xludf.DUMMYFUNCTION("""COMPUTED_VALUE"""),"")</f>
        <v/>
      </c>
      <c r="AP106" s="232" t="str">
        <f>IFERROR(__xludf.DUMMYFUNCTION("""COMPUTED_VALUE"""),"")</f>
        <v/>
      </c>
      <c r="AQ106" s="233" t="str">
        <f>IFERROR(__xludf.DUMMYFUNCTION("""COMPUTED_VALUE"""),"")</f>
        <v/>
      </c>
      <c r="AR106" s="231" t="str">
        <f>IFERROR(__xludf.DUMMYFUNCTION("""COMPUTED_VALUE"""),"")</f>
        <v/>
      </c>
      <c r="AS106" s="232" t="str">
        <f>IFERROR(__xludf.DUMMYFUNCTION("""COMPUTED_VALUE"""),"")</f>
        <v/>
      </c>
      <c r="AT106" s="233">
        <f>IFERROR(__xludf.DUMMYFUNCTION("""COMPUTED_VALUE"""),62.5)</f>
        <v>62.5</v>
      </c>
      <c r="AU106" s="231" t="str">
        <f>IFERROR(__xludf.DUMMYFUNCTION("""COMPUTED_VALUE"""),"")</f>
        <v/>
      </c>
      <c r="AV106" s="232" t="str">
        <f>IFERROR(__xludf.DUMMYFUNCTION("""COMPUTED_VALUE"""),"")</f>
        <v/>
      </c>
      <c r="AW106" s="233">
        <f>IFERROR(__xludf.DUMMYFUNCTION("""COMPUTED_VALUE"""),15.4)</f>
        <v>15.4</v>
      </c>
      <c r="AX106" s="231" t="str">
        <f>IFERROR(__xludf.DUMMYFUNCTION("""COMPUTED_VALUE"""),"")</f>
        <v/>
      </c>
      <c r="AY106" s="232" t="str">
        <f>IFERROR(__xludf.DUMMYFUNCTION("""COMPUTED_VALUE"""),"")</f>
        <v/>
      </c>
      <c r="AZ106" s="233" t="str">
        <f>IFERROR(__xludf.DUMMYFUNCTION("""COMPUTED_VALUE"""),"")</f>
        <v/>
      </c>
      <c r="BA106" s="231" t="str">
        <f>IFERROR(__xludf.DUMMYFUNCTION("""COMPUTED_VALUE"""),"")</f>
        <v/>
      </c>
      <c r="BB106" s="232" t="str">
        <f>IFERROR(__xludf.DUMMYFUNCTION("""COMPUTED_VALUE"""),"")</f>
        <v/>
      </c>
      <c r="BC106" s="233" t="str">
        <f>IFERROR(__xludf.DUMMYFUNCTION("""COMPUTED_VALUE"""),"")</f>
        <v/>
      </c>
      <c r="BD106" s="231" t="str">
        <f>IFERROR(__xludf.DUMMYFUNCTION("""COMPUTED_VALUE"""),"")</f>
        <v/>
      </c>
      <c r="BE106" s="232" t="str">
        <f>IFERROR(__xludf.DUMMYFUNCTION("""COMPUTED_VALUE"""),"")</f>
        <v/>
      </c>
      <c r="BF106" s="233" t="str">
        <f>IFERROR(__xludf.DUMMYFUNCTION("""COMPUTED_VALUE"""),"")</f>
        <v/>
      </c>
      <c r="BG106" s="231" t="str">
        <f>IFERROR(__xludf.DUMMYFUNCTION("""COMPUTED_VALUE"""),"")</f>
        <v/>
      </c>
      <c r="BH106" s="232" t="str">
        <f>IFERROR(__xludf.DUMMYFUNCTION("""COMPUTED_VALUE"""),"")</f>
        <v/>
      </c>
      <c r="BI106" s="233" t="str">
        <f>IFERROR(__xludf.DUMMYFUNCTION("""COMPUTED_VALUE"""),"")</f>
        <v/>
      </c>
      <c r="BJ106" s="231" t="str">
        <f>IFERROR(__xludf.DUMMYFUNCTION("""COMPUTED_VALUE"""),"")</f>
        <v/>
      </c>
      <c r="BK106" s="232" t="str">
        <f>IFERROR(__xludf.DUMMYFUNCTION("""COMPUTED_VALUE"""),"")</f>
        <v/>
      </c>
      <c r="BL106" s="233" t="str">
        <f>IFERROR(__xludf.DUMMYFUNCTION("""COMPUTED_VALUE"""),"")</f>
        <v/>
      </c>
      <c r="BM106" s="231" t="str">
        <f>IFERROR(__xludf.DUMMYFUNCTION("""COMPUTED_VALUE"""),"")</f>
        <v/>
      </c>
      <c r="BN106" s="232" t="str">
        <f>IFERROR(__xludf.DUMMYFUNCTION("""COMPUTED_VALUE"""),"")</f>
        <v/>
      </c>
      <c r="BO106" s="233" t="str">
        <f>IFERROR(__xludf.DUMMYFUNCTION("""COMPUTED_VALUE"""),"")</f>
        <v/>
      </c>
      <c r="BP106" s="231" t="str">
        <f>IFERROR(__xludf.DUMMYFUNCTION("""COMPUTED_VALUE"""),"")</f>
        <v/>
      </c>
      <c r="BQ106" s="232" t="str">
        <f>IFERROR(__xludf.DUMMYFUNCTION("""COMPUTED_VALUE"""),"")</f>
        <v/>
      </c>
      <c r="BR106" s="233">
        <f>IFERROR(__xludf.DUMMYFUNCTION("""COMPUTED_VALUE"""),30.6)</f>
        <v>30.6</v>
      </c>
      <c r="BS106" s="231" t="str">
        <f>IFERROR(__xludf.DUMMYFUNCTION("""COMPUTED_VALUE"""),"")</f>
        <v/>
      </c>
      <c r="BT106" s="232" t="str">
        <f>IFERROR(__xludf.DUMMYFUNCTION("""COMPUTED_VALUE"""),"")</f>
        <v/>
      </c>
      <c r="BU106" s="233" t="str">
        <f>IFERROR(__xludf.DUMMYFUNCTION("""COMPUTED_VALUE"""),"")</f>
        <v/>
      </c>
      <c r="BV106" s="231" t="str">
        <f>IFERROR(__xludf.DUMMYFUNCTION("""COMPUTED_VALUE"""),"")</f>
        <v/>
      </c>
      <c r="BW106" s="232" t="str">
        <f>IFERROR(__xludf.DUMMYFUNCTION("""COMPUTED_VALUE"""),"")</f>
        <v/>
      </c>
      <c r="BX106" s="233" t="str">
        <f>IFERROR(__xludf.DUMMYFUNCTION("""COMPUTED_VALUE"""),"")</f>
        <v/>
      </c>
      <c r="BY106" s="231">
        <f>IFERROR(__xludf.DUMMYFUNCTION("""COMPUTED_VALUE"""),4.2)</f>
        <v>4.2</v>
      </c>
      <c r="BZ106" s="232" t="str">
        <f>IFERROR(__xludf.DUMMYFUNCTION("""COMPUTED_VALUE"""),"")</f>
        <v/>
      </c>
      <c r="CA106" s="233" t="str">
        <f>IFERROR(__xludf.DUMMYFUNCTION("""COMPUTED_VALUE"""),"")</f>
        <v/>
      </c>
      <c r="CB106" s="231" t="str">
        <f>IFERROR(__xludf.DUMMYFUNCTION("""COMPUTED_VALUE"""),"")</f>
        <v/>
      </c>
      <c r="CC106" s="232" t="str">
        <f>IFERROR(__xludf.DUMMYFUNCTION("""COMPUTED_VALUE"""),"")</f>
        <v/>
      </c>
      <c r="CD106" s="233" t="str">
        <f>IFERROR(__xludf.DUMMYFUNCTION("""COMPUTED_VALUE"""),"")</f>
        <v/>
      </c>
      <c r="CE106" s="234" t="str">
        <f>IFERROR(__xludf.DUMMYFUNCTION("""COMPUTED_VALUE"""),"")</f>
        <v/>
      </c>
      <c r="CF106" s="230">
        <f>IFERROR(__xludf.DUMMYFUNCTION("""COMPUTED_VALUE"""),10.1)</f>
        <v>10.1</v>
      </c>
      <c r="CG106" s="235" t="str">
        <f>IFERROR(__xludf.DUMMYFUNCTION("""COMPUTED_VALUE"""),"")</f>
        <v/>
      </c>
      <c r="CH106" s="234" t="str">
        <f>IFERROR(__xludf.DUMMYFUNCTION("""COMPUTED_VALUE"""),"")</f>
        <v/>
      </c>
      <c r="CI106" s="230" t="str">
        <f>IFERROR(__xludf.DUMMYFUNCTION("""COMPUTED_VALUE"""),"")</f>
        <v/>
      </c>
      <c r="CJ106" s="235" t="str">
        <f>IFERROR(__xludf.DUMMYFUNCTION("""COMPUTED_VALUE"""),"")</f>
        <v/>
      </c>
      <c r="CK106" s="95" t="str">
        <f>IFERROR(__xludf.DUMMYFUNCTION("""COMPUTED_VALUE"""),"")</f>
        <v/>
      </c>
      <c r="CL106" s="96" t="str">
        <f>IFERROR(__xludf.DUMMYFUNCTION("""COMPUTED_VALUE"""),"")</f>
        <v/>
      </c>
      <c r="CM106" s="97" t="str">
        <f>IFERROR(__xludf.DUMMYFUNCTION("""COMPUTED_VALUE"""),"")</f>
        <v/>
      </c>
      <c r="CN106" s="95" t="str">
        <f>IFERROR(__xludf.DUMMYFUNCTION("""COMPUTED_VALUE"""),"")</f>
        <v/>
      </c>
      <c r="CO106" s="96" t="str">
        <f>IFERROR(__xludf.DUMMYFUNCTION("""COMPUTED_VALUE"""),"")</f>
        <v/>
      </c>
      <c r="CP106" s="97" t="str">
        <f>IFERROR(__xludf.DUMMYFUNCTION("""COMPUTED_VALUE"""),"")</f>
        <v/>
      </c>
      <c r="CQ106" s="95" t="str">
        <f>IFERROR(__xludf.DUMMYFUNCTION("""COMPUTED_VALUE"""),"")</f>
        <v/>
      </c>
      <c r="CR106" s="96" t="str">
        <f>IFERROR(__xludf.DUMMYFUNCTION("""COMPUTED_VALUE"""),"")</f>
        <v/>
      </c>
      <c r="CS106" s="97" t="str">
        <f>IFERROR(__xludf.DUMMYFUNCTION("""COMPUTED_VALUE"""),"#REF!")</f>
        <v>#REF!</v>
      </c>
      <c r="CT106" s="95" t="str">
        <f>IFERROR(__xludf.DUMMYFUNCTION("""COMPUTED_VALUE"""),"#REF!")</f>
        <v>#REF!</v>
      </c>
      <c r="CU106" s="96" t="str">
        <f>IFERROR(__xludf.DUMMYFUNCTION("""COMPUTED_VALUE"""),"#REF!")</f>
        <v>#REF!</v>
      </c>
      <c r="CV106" s="97" t="str">
        <f>IFERROR(__xludf.DUMMYFUNCTION("""COMPUTED_VALUE"""),"#REF!")</f>
        <v>#REF!</v>
      </c>
      <c r="CW106" s="95" t="str">
        <f>IFERROR(__xludf.DUMMYFUNCTION("""COMPUTED_VALUE"""),"#REF!")</f>
        <v>#REF!</v>
      </c>
      <c r="CX106" s="96" t="str">
        <f>IFERROR(__xludf.DUMMYFUNCTION("""COMPUTED_VALUE"""),"#REF!")</f>
        <v>#REF!</v>
      </c>
      <c r="CY106" s="97" t="str">
        <f>IFERROR(__xludf.DUMMYFUNCTION("""COMPUTED_VALUE"""),"#REF!")</f>
        <v>#REF!</v>
      </c>
      <c r="CZ106" s="95" t="str">
        <f>IFERROR(__xludf.DUMMYFUNCTION("""COMPUTED_VALUE"""),"#REF!")</f>
        <v>#REF!</v>
      </c>
      <c r="DA106" s="96" t="str">
        <f>IFERROR(__xludf.DUMMYFUNCTION("""COMPUTED_VALUE"""),"#REF!")</f>
        <v>#REF!</v>
      </c>
      <c r="DB106" s="97" t="str">
        <f>IFERROR(__xludf.DUMMYFUNCTION("""COMPUTED_VALUE"""),"#REF!")</f>
        <v>#REF!</v>
      </c>
      <c r="DC106" s="95" t="str">
        <f>IFERROR(__xludf.DUMMYFUNCTION("""COMPUTED_VALUE"""),"#REF!")</f>
        <v>#REF!</v>
      </c>
      <c r="DD106" s="96" t="str">
        <f>IFERROR(__xludf.DUMMYFUNCTION("""COMPUTED_VALUE"""),"#REF!")</f>
        <v>#REF!</v>
      </c>
      <c r="DE106" s="97" t="str">
        <f>IFERROR(__xludf.DUMMYFUNCTION("""COMPUTED_VALUE"""),"#REF!")</f>
        <v>#REF!</v>
      </c>
      <c r="DF106" s="95" t="str">
        <f>IFERROR(__xludf.DUMMYFUNCTION("""COMPUTED_VALUE"""),"#REF!")</f>
        <v>#REF!</v>
      </c>
      <c r="DG106" s="96" t="str">
        <f>IFERROR(__xludf.DUMMYFUNCTION("""COMPUTED_VALUE"""),"#REF!")</f>
        <v>#REF!</v>
      </c>
      <c r="DH106" s="97" t="str">
        <f>IFERROR(__xludf.DUMMYFUNCTION("""COMPUTED_VALUE"""),"#REF!")</f>
        <v>#REF!</v>
      </c>
      <c r="DI106" s="95" t="str">
        <f>IFERROR(__xludf.DUMMYFUNCTION("""COMPUTED_VALUE"""),"#REF!")</f>
        <v>#REF!</v>
      </c>
      <c r="DJ106" s="96" t="str">
        <f>IFERROR(__xludf.DUMMYFUNCTION("""COMPUTED_VALUE"""),"#REF!")</f>
        <v>#REF!</v>
      </c>
      <c r="DK106" s="97" t="str">
        <f>IFERROR(__xludf.DUMMYFUNCTION("""COMPUTED_VALUE"""),"#REF!")</f>
        <v>#REF!</v>
      </c>
      <c r="DL106" s="95" t="str">
        <f>IFERROR(__xludf.DUMMYFUNCTION("""COMPUTED_VALUE"""),"#REF!")</f>
        <v>#REF!</v>
      </c>
      <c r="DM106" s="96" t="str">
        <f>IFERROR(__xludf.DUMMYFUNCTION("""COMPUTED_VALUE"""),"#REF!")</f>
        <v>#REF!</v>
      </c>
      <c r="DN106" s="97" t="str">
        <f>IFERROR(__xludf.DUMMYFUNCTION("""COMPUTED_VALUE"""),"#REF!")</f>
        <v>#REF!</v>
      </c>
      <c r="DO106" s="95" t="str">
        <f>IFERROR(__xludf.DUMMYFUNCTION("""COMPUTED_VALUE"""),"#REF!")</f>
        <v>#REF!</v>
      </c>
      <c r="DP106" s="96" t="str">
        <f>IFERROR(__xludf.DUMMYFUNCTION("""COMPUTED_VALUE"""),"#REF!")</f>
        <v>#REF!</v>
      </c>
      <c r="DQ106" s="97"/>
      <c r="DR106" s="95"/>
    </row>
    <row r="107">
      <c r="B107" s="120" t="str">
        <f>IFERROR(__xludf.DUMMYFUNCTION("""COMPUTED_VALUE"""),"EPU9")</f>
        <v>EPU9</v>
      </c>
      <c r="C107" s="82">
        <f>IFERROR(__xludf.DUMMYFUNCTION("""COMPUTED_VALUE"""),94.0)</f>
        <v>94</v>
      </c>
      <c r="D107" s="88" t="str">
        <f>IFERROR(__xludf.DUMMYFUNCTION("""COMPUTED_VALUE"""),"Lubbock")</f>
        <v>Lubbock</v>
      </c>
      <c r="E107" s="82" t="str">
        <f>IFERROR(__xludf.DUMMYFUNCTION("""COMPUTED_VALUE"""),"ラボック")</f>
        <v>ラボック</v>
      </c>
      <c r="F107" s="102">
        <f>IFERROR(__xludf.DUMMYFUNCTION("""COMPUTED_VALUE"""),18.0)</f>
        <v>18</v>
      </c>
      <c r="G107" s="82">
        <f>IFERROR(__xludf.DUMMYFUNCTION("""COMPUTED_VALUE"""),1005.0)</f>
        <v>1005</v>
      </c>
      <c r="H107" s="231" t="str">
        <f>IFERROR(__xludf.DUMMYFUNCTION("""COMPUTED_VALUE"""),"")</f>
        <v/>
      </c>
      <c r="I107" s="232" t="str">
        <f>IFERROR(__xludf.DUMMYFUNCTION("""COMPUTED_VALUE"""),"")</f>
        <v/>
      </c>
      <c r="J107" s="233" t="str">
        <f>IFERROR(__xludf.DUMMYFUNCTION("""COMPUTED_VALUE"""),"")</f>
        <v/>
      </c>
      <c r="K107" s="231" t="str">
        <f>IFERROR(__xludf.DUMMYFUNCTION("""COMPUTED_VALUE"""),"")</f>
        <v/>
      </c>
      <c r="L107" s="232" t="str">
        <f>IFERROR(__xludf.DUMMYFUNCTION("""COMPUTED_VALUE"""),"")</f>
        <v/>
      </c>
      <c r="M107" s="233" t="str">
        <f>IFERROR(__xludf.DUMMYFUNCTION("""COMPUTED_VALUE"""),"")</f>
        <v/>
      </c>
      <c r="N107" s="231">
        <f>IFERROR(__xludf.DUMMYFUNCTION("""COMPUTED_VALUE"""),12.3)</f>
        <v>12.3</v>
      </c>
      <c r="O107" s="232" t="str">
        <f>IFERROR(__xludf.DUMMYFUNCTION("""COMPUTED_VALUE"""),"")</f>
        <v/>
      </c>
      <c r="P107" s="233" t="str">
        <f>IFERROR(__xludf.DUMMYFUNCTION("""COMPUTED_VALUE"""),"")</f>
        <v/>
      </c>
      <c r="Q107" s="231" t="str">
        <f>IFERROR(__xludf.DUMMYFUNCTION("""COMPUTED_VALUE"""),"")</f>
        <v/>
      </c>
      <c r="R107" s="232" t="str">
        <f>IFERROR(__xludf.DUMMYFUNCTION("""COMPUTED_VALUE"""),"")</f>
        <v/>
      </c>
      <c r="S107" s="233" t="str">
        <f>IFERROR(__xludf.DUMMYFUNCTION("""COMPUTED_VALUE"""),"")</f>
        <v/>
      </c>
      <c r="T107" s="231" t="str">
        <f>IFERROR(__xludf.DUMMYFUNCTION("""COMPUTED_VALUE"""),"")</f>
        <v/>
      </c>
      <c r="U107" s="232" t="str">
        <f>IFERROR(__xludf.DUMMYFUNCTION("""COMPUTED_VALUE"""),"")</f>
        <v/>
      </c>
      <c r="V107" s="233" t="str">
        <f>IFERROR(__xludf.DUMMYFUNCTION("""COMPUTED_VALUE"""),"")</f>
        <v/>
      </c>
      <c r="W107" s="231" t="str">
        <f>IFERROR(__xludf.DUMMYFUNCTION("""COMPUTED_VALUE"""),"")</f>
        <v/>
      </c>
      <c r="X107" s="232" t="str">
        <f>IFERROR(__xludf.DUMMYFUNCTION("""COMPUTED_VALUE"""),"")</f>
        <v/>
      </c>
      <c r="Y107" s="233" t="str">
        <f>IFERROR(__xludf.DUMMYFUNCTION("""COMPUTED_VALUE"""),"")</f>
        <v/>
      </c>
      <c r="Z107" s="231" t="str">
        <f>IFERROR(__xludf.DUMMYFUNCTION("""COMPUTED_VALUE"""),"")</f>
        <v/>
      </c>
      <c r="AA107" s="232" t="str">
        <f>IFERROR(__xludf.DUMMYFUNCTION("""COMPUTED_VALUE"""),"")</f>
        <v/>
      </c>
      <c r="AB107" s="233" t="str">
        <f>IFERROR(__xludf.DUMMYFUNCTION("""COMPUTED_VALUE"""),"")</f>
        <v/>
      </c>
      <c r="AC107" s="231" t="str">
        <f>IFERROR(__xludf.DUMMYFUNCTION("""COMPUTED_VALUE"""),"")</f>
        <v/>
      </c>
      <c r="AD107" s="232" t="str">
        <f>IFERROR(__xludf.DUMMYFUNCTION("""COMPUTED_VALUE"""),"")</f>
        <v/>
      </c>
      <c r="AE107" s="233" t="str">
        <f>IFERROR(__xludf.DUMMYFUNCTION("""COMPUTED_VALUE"""),"")</f>
        <v/>
      </c>
      <c r="AF107" s="231" t="str">
        <f>IFERROR(__xludf.DUMMYFUNCTION("""COMPUTED_VALUE"""),"")</f>
        <v/>
      </c>
      <c r="AG107" s="232" t="str">
        <f>IFERROR(__xludf.DUMMYFUNCTION("""COMPUTED_VALUE"""),"")</f>
        <v/>
      </c>
      <c r="AH107" s="233" t="str">
        <f>IFERROR(__xludf.DUMMYFUNCTION("""COMPUTED_VALUE"""),"")</f>
        <v/>
      </c>
      <c r="AI107" s="231" t="str">
        <f>IFERROR(__xludf.DUMMYFUNCTION("""COMPUTED_VALUE"""),"")</f>
        <v/>
      </c>
      <c r="AJ107" s="232" t="str">
        <f>IFERROR(__xludf.DUMMYFUNCTION("""COMPUTED_VALUE"""),"")</f>
        <v/>
      </c>
      <c r="AK107" s="233" t="str">
        <f>IFERROR(__xludf.DUMMYFUNCTION("""COMPUTED_VALUE"""),"")</f>
        <v/>
      </c>
      <c r="AL107" s="231" t="str">
        <f>IFERROR(__xludf.DUMMYFUNCTION("""COMPUTED_VALUE"""),"")</f>
        <v/>
      </c>
      <c r="AM107" s="232" t="str">
        <f>IFERROR(__xludf.DUMMYFUNCTION("""COMPUTED_VALUE"""),"")</f>
        <v/>
      </c>
      <c r="AN107" s="233" t="str">
        <f>IFERROR(__xludf.DUMMYFUNCTION("""COMPUTED_VALUE"""),"")</f>
        <v/>
      </c>
      <c r="AO107" s="231" t="str">
        <f>IFERROR(__xludf.DUMMYFUNCTION("""COMPUTED_VALUE"""),"")</f>
        <v/>
      </c>
      <c r="AP107" s="232" t="str">
        <f>IFERROR(__xludf.DUMMYFUNCTION("""COMPUTED_VALUE"""),"")</f>
        <v/>
      </c>
      <c r="AQ107" s="233" t="str">
        <f>IFERROR(__xludf.DUMMYFUNCTION("""COMPUTED_VALUE"""),"")</f>
        <v/>
      </c>
      <c r="AR107" s="231" t="str">
        <f>IFERROR(__xludf.DUMMYFUNCTION("""COMPUTED_VALUE"""),"")</f>
        <v/>
      </c>
      <c r="AS107" s="232" t="str">
        <f>IFERROR(__xludf.DUMMYFUNCTION("""COMPUTED_VALUE"""),"")</f>
        <v/>
      </c>
      <c r="AT107" s="233">
        <f>IFERROR(__xludf.DUMMYFUNCTION("""COMPUTED_VALUE"""),54.1)</f>
        <v>54.1</v>
      </c>
      <c r="AU107" s="231" t="str">
        <f>IFERROR(__xludf.DUMMYFUNCTION("""COMPUTED_VALUE"""),"")</f>
        <v/>
      </c>
      <c r="AV107" s="232" t="str">
        <f>IFERROR(__xludf.DUMMYFUNCTION("""COMPUTED_VALUE"""),"")</f>
        <v/>
      </c>
      <c r="AW107" s="233" t="str">
        <f>IFERROR(__xludf.DUMMYFUNCTION("""COMPUTED_VALUE"""),"")</f>
        <v/>
      </c>
      <c r="AX107" s="231" t="str">
        <f>IFERROR(__xludf.DUMMYFUNCTION("""COMPUTED_VALUE"""),"")</f>
        <v/>
      </c>
      <c r="AY107" s="232" t="str">
        <f>IFERROR(__xludf.DUMMYFUNCTION("""COMPUTED_VALUE"""),"")</f>
        <v/>
      </c>
      <c r="AZ107" s="233" t="str">
        <f>IFERROR(__xludf.DUMMYFUNCTION("""COMPUTED_VALUE"""),"")</f>
        <v/>
      </c>
      <c r="BA107" s="231" t="str">
        <f>IFERROR(__xludf.DUMMYFUNCTION("""COMPUTED_VALUE"""),"")</f>
        <v/>
      </c>
      <c r="BB107" s="232" t="str">
        <f>IFERROR(__xludf.DUMMYFUNCTION("""COMPUTED_VALUE"""),"")</f>
        <v/>
      </c>
      <c r="BC107" s="233" t="str">
        <f>IFERROR(__xludf.DUMMYFUNCTION("""COMPUTED_VALUE"""),"")</f>
        <v/>
      </c>
      <c r="BD107" s="231" t="str">
        <f>IFERROR(__xludf.DUMMYFUNCTION("""COMPUTED_VALUE"""),"")</f>
        <v/>
      </c>
      <c r="BE107" s="232" t="str">
        <f>IFERROR(__xludf.DUMMYFUNCTION("""COMPUTED_VALUE"""),"")</f>
        <v/>
      </c>
      <c r="BF107" s="233" t="str">
        <f>IFERROR(__xludf.DUMMYFUNCTION("""COMPUTED_VALUE"""),"")</f>
        <v/>
      </c>
      <c r="BG107" s="231" t="str">
        <f>IFERROR(__xludf.DUMMYFUNCTION("""COMPUTED_VALUE"""),"")</f>
        <v/>
      </c>
      <c r="BH107" s="232" t="str">
        <f>IFERROR(__xludf.DUMMYFUNCTION("""COMPUTED_VALUE"""),"")</f>
        <v/>
      </c>
      <c r="BI107" s="233" t="str">
        <f>IFERROR(__xludf.DUMMYFUNCTION("""COMPUTED_VALUE"""),"")</f>
        <v/>
      </c>
      <c r="BJ107" s="231" t="str">
        <f>IFERROR(__xludf.DUMMYFUNCTION("""COMPUTED_VALUE"""),"")</f>
        <v/>
      </c>
      <c r="BK107" s="232" t="str">
        <f>IFERROR(__xludf.DUMMYFUNCTION("""COMPUTED_VALUE"""),"")</f>
        <v/>
      </c>
      <c r="BL107" s="233" t="str">
        <f>IFERROR(__xludf.DUMMYFUNCTION("""COMPUTED_VALUE"""),"")</f>
        <v/>
      </c>
      <c r="BM107" s="231" t="str">
        <f>IFERROR(__xludf.DUMMYFUNCTION("""COMPUTED_VALUE"""),"")</f>
        <v/>
      </c>
      <c r="BN107" s="232" t="str">
        <f>IFERROR(__xludf.DUMMYFUNCTION("""COMPUTED_VALUE"""),"")</f>
        <v/>
      </c>
      <c r="BO107" s="233">
        <f>IFERROR(__xludf.DUMMYFUNCTION("""COMPUTED_VALUE"""),8.3)</f>
        <v>8.3</v>
      </c>
      <c r="BP107" s="231" t="str">
        <f>IFERROR(__xludf.DUMMYFUNCTION("""COMPUTED_VALUE"""),"")</f>
        <v/>
      </c>
      <c r="BQ107" s="232">
        <f>IFERROR(__xludf.DUMMYFUNCTION("""COMPUTED_VALUE"""),21.3)</f>
        <v>21.3</v>
      </c>
      <c r="BR107" s="233">
        <f>IFERROR(__xludf.DUMMYFUNCTION("""COMPUTED_VALUE"""),11.5)</f>
        <v>11.5</v>
      </c>
      <c r="BS107" s="231" t="str">
        <f>IFERROR(__xludf.DUMMYFUNCTION("""COMPUTED_VALUE"""),"")</f>
        <v/>
      </c>
      <c r="BT107" s="232" t="str">
        <f>IFERROR(__xludf.DUMMYFUNCTION("""COMPUTED_VALUE"""),"")</f>
        <v/>
      </c>
      <c r="BU107" s="233" t="str">
        <f>IFERROR(__xludf.DUMMYFUNCTION("""COMPUTED_VALUE"""),"")</f>
        <v/>
      </c>
      <c r="BV107" s="231" t="str">
        <f>IFERROR(__xludf.DUMMYFUNCTION("""COMPUTED_VALUE"""),"")</f>
        <v/>
      </c>
      <c r="BW107" s="232" t="str">
        <f>IFERROR(__xludf.DUMMYFUNCTION("""COMPUTED_VALUE"""),"")</f>
        <v/>
      </c>
      <c r="BX107" s="233" t="str">
        <f>IFERROR(__xludf.DUMMYFUNCTION("""COMPUTED_VALUE"""),"")</f>
        <v/>
      </c>
      <c r="BY107" s="231" t="str">
        <f>IFERROR(__xludf.DUMMYFUNCTION("""COMPUTED_VALUE"""),"")</f>
        <v/>
      </c>
      <c r="BZ107" s="232" t="str">
        <f>IFERROR(__xludf.DUMMYFUNCTION("""COMPUTED_VALUE"""),"")</f>
        <v/>
      </c>
      <c r="CA107" s="233" t="str">
        <f>IFERROR(__xludf.DUMMYFUNCTION("""COMPUTED_VALUE"""),"")</f>
        <v/>
      </c>
      <c r="CB107" s="231" t="str">
        <f>IFERROR(__xludf.DUMMYFUNCTION("""COMPUTED_VALUE"""),"")</f>
        <v/>
      </c>
      <c r="CC107" s="232" t="str">
        <f>IFERROR(__xludf.DUMMYFUNCTION("""COMPUTED_VALUE"""),"")</f>
        <v/>
      </c>
      <c r="CD107" s="233" t="str">
        <f>IFERROR(__xludf.DUMMYFUNCTION("""COMPUTED_VALUE"""),"")</f>
        <v/>
      </c>
      <c r="CE107" s="234" t="str">
        <f>IFERROR(__xludf.DUMMYFUNCTION("""COMPUTED_VALUE"""),"")</f>
        <v/>
      </c>
      <c r="CF107" s="230" t="str">
        <f>IFERROR(__xludf.DUMMYFUNCTION("""COMPUTED_VALUE"""),"")</f>
        <v/>
      </c>
      <c r="CG107" s="235" t="str">
        <f>IFERROR(__xludf.DUMMYFUNCTION("""COMPUTED_VALUE"""),"")</f>
        <v/>
      </c>
      <c r="CH107" s="234" t="str">
        <f>IFERROR(__xludf.DUMMYFUNCTION("""COMPUTED_VALUE"""),"")</f>
        <v/>
      </c>
      <c r="CI107" s="230" t="str">
        <f>IFERROR(__xludf.DUMMYFUNCTION("""COMPUTED_VALUE"""),"")</f>
        <v/>
      </c>
      <c r="CJ107" s="235" t="str">
        <f>IFERROR(__xludf.DUMMYFUNCTION("""COMPUTED_VALUE"""),"")</f>
        <v/>
      </c>
      <c r="CK107" s="95" t="str">
        <f>IFERROR(__xludf.DUMMYFUNCTION("""COMPUTED_VALUE"""),"")</f>
        <v/>
      </c>
      <c r="CL107" s="96" t="str">
        <f>IFERROR(__xludf.DUMMYFUNCTION("""COMPUTED_VALUE"""),"")</f>
        <v/>
      </c>
      <c r="CM107" s="97" t="str">
        <f>IFERROR(__xludf.DUMMYFUNCTION("""COMPUTED_VALUE"""),"")</f>
        <v/>
      </c>
      <c r="CN107" s="95" t="str">
        <f>IFERROR(__xludf.DUMMYFUNCTION("""COMPUTED_VALUE"""),"")</f>
        <v/>
      </c>
      <c r="CO107" s="96" t="str">
        <f>IFERROR(__xludf.DUMMYFUNCTION("""COMPUTED_VALUE"""),"")</f>
        <v/>
      </c>
      <c r="CP107" s="97" t="str">
        <f>IFERROR(__xludf.DUMMYFUNCTION("""COMPUTED_VALUE"""),"")</f>
        <v/>
      </c>
      <c r="CQ107" s="95" t="str">
        <f>IFERROR(__xludf.DUMMYFUNCTION("""COMPUTED_VALUE"""),"")</f>
        <v/>
      </c>
      <c r="CR107" s="96" t="str">
        <f>IFERROR(__xludf.DUMMYFUNCTION("""COMPUTED_VALUE"""),"")</f>
        <v/>
      </c>
      <c r="CS107" s="97" t="str">
        <f>IFERROR(__xludf.DUMMYFUNCTION("""COMPUTED_VALUE"""),"#REF!")</f>
        <v>#REF!</v>
      </c>
      <c r="CT107" s="95" t="str">
        <f>IFERROR(__xludf.DUMMYFUNCTION("""COMPUTED_VALUE"""),"#REF!")</f>
        <v>#REF!</v>
      </c>
      <c r="CU107" s="96" t="str">
        <f>IFERROR(__xludf.DUMMYFUNCTION("""COMPUTED_VALUE"""),"#REF!")</f>
        <v>#REF!</v>
      </c>
      <c r="CV107" s="97" t="str">
        <f>IFERROR(__xludf.DUMMYFUNCTION("""COMPUTED_VALUE"""),"#REF!")</f>
        <v>#REF!</v>
      </c>
      <c r="CW107" s="95" t="str">
        <f>IFERROR(__xludf.DUMMYFUNCTION("""COMPUTED_VALUE"""),"#REF!")</f>
        <v>#REF!</v>
      </c>
      <c r="CX107" s="96" t="str">
        <f>IFERROR(__xludf.DUMMYFUNCTION("""COMPUTED_VALUE"""),"#REF!")</f>
        <v>#REF!</v>
      </c>
      <c r="CY107" s="97" t="str">
        <f>IFERROR(__xludf.DUMMYFUNCTION("""COMPUTED_VALUE"""),"#REF!")</f>
        <v>#REF!</v>
      </c>
      <c r="CZ107" s="95" t="str">
        <f>IFERROR(__xludf.DUMMYFUNCTION("""COMPUTED_VALUE"""),"#REF!")</f>
        <v>#REF!</v>
      </c>
      <c r="DA107" s="96" t="str">
        <f>IFERROR(__xludf.DUMMYFUNCTION("""COMPUTED_VALUE"""),"#REF!")</f>
        <v>#REF!</v>
      </c>
      <c r="DB107" s="97" t="str">
        <f>IFERROR(__xludf.DUMMYFUNCTION("""COMPUTED_VALUE"""),"#REF!")</f>
        <v>#REF!</v>
      </c>
      <c r="DC107" s="95" t="str">
        <f>IFERROR(__xludf.DUMMYFUNCTION("""COMPUTED_VALUE"""),"#REF!")</f>
        <v>#REF!</v>
      </c>
      <c r="DD107" s="96" t="str">
        <f>IFERROR(__xludf.DUMMYFUNCTION("""COMPUTED_VALUE"""),"#REF!")</f>
        <v>#REF!</v>
      </c>
      <c r="DE107" s="97" t="str">
        <f>IFERROR(__xludf.DUMMYFUNCTION("""COMPUTED_VALUE"""),"#REF!")</f>
        <v>#REF!</v>
      </c>
      <c r="DF107" s="95" t="str">
        <f>IFERROR(__xludf.DUMMYFUNCTION("""COMPUTED_VALUE"""),"#REF!")</f>
        <v>#REF!</v>
      </c>
      <c r="DG107" s="96" t="str">
        <f>IFERROR(__xludf.DUMMYFUNCTION("""COMPUTED_VALUE"""),"#REF!")</f>
        <v>#REF!</v>
      </c>
      <c r="DH107" s="97" t="str">
        <f>IFERROR(__xludf.DUMMYFUNCTION("""COMPUTED_VALUE"""),"#REF!")</f>
        <v>#REF!</v>
      </c>
      <c r="DI107" s="95" t="str">
        <f>IFERROR(__xludf.DUMMYFUNCTION("""COMPUTED_VALUE"""),"#REF!")</f>
        <v>#REF!</v>
      </c>
      <c r="DJ107" s="96" t="str">
        <f>IFERROR(__xludf.DUMMYFUNCTION("""COMPUTED_VALUE"""),"#REF!")</f>
        <v>#REF!</v>
      </c>
      <c r="DK107" s="97" t="str">
        <f>IFERROR(__xludf.DUMMYFUNCTION("""COMPUTED_VALUE"""),"#REF!")</f>
        <v>#REF!</v>
      </c>
      <c r="DL107" s="95" t="str">
        <f>IFERROR(__xludf.DUMMYFUNCTION("""COMPUTED_VALUE"""),"#REF!")</f>
        <v>#REF!</v>
      </c>
      <c r="DM107" s="96" t="str">
        <f>IFERROR(__xludf.DUMMYFUNCTION("""COMPUTED_VALUE"""),"#REF!")</f>
        <v>#REF!</v>
      </c>
      <c r="DN107" s="97" t="str">
        <f>IFERROR(__xludf.DUMMYFUNCTION("""COMPUTED_VALUE"""),"#REF!")</f>
        <v>#REF!</v>
      </c>
      <c r="DO107" s="95" t="str">
        <f>IFERROR(__xludf.DUMMYFUNCTION("""COMPUTED_VALUE"""),"#REF!")</f>
        <v>#REF!</v>
      </c>
      <c r="DP107" s="96" t="str">
        <f>IFERROR(__xludf.DUMMYFUNCTION("""COMPUTED_VALUE"""),"#REF!")</f>
        <v>#REF!</v>
      </c>
      <c r="DQ107" s="97"/>
      <c r="DR107" s="95"/>
    </row>
    <row r="108">
      <c r="B108" s="120" t="str">
        <f>IFERROR(__xludf.DUMMYFUNCTION("""COMPUTED_VALUE"""),"EPU10")</f>
        <v>EPU10</v>
      </c>
      <c r="C108" s="82">
        <f>IFERROR(__xludf.DUMMYFUNCTION("""COMPUTED_VALUE"""),95.0)</f>
        <v>95</v>
      </c>
      <c r="D108" s="88" t="str">
        <f>IFERROR(__xludf.DUMMYFUNCTION("""COMPUTED_VALUE"""),"Alexandria")</f>
        <v>Alexandria</v>
      </c>
      <c r="E108" s="82" t="str">
        <f>IFERROR(__xludf.DUMMYFUNCTION("""COMPUTED_VALUE"""),"アレクサンドリア")</f>
        <v>アレクサンドリア</v>
      </c>
      <c r="F108" s="102">
        <f>IFERROR(__xludf.DUMMYFUNCTION("""COMPUTED_VALUE"""),18.0)</f>
        <v>18</v>
      </c>
      <c r="G108" s="82">
        <f>IFERROR(__xludf.DUMMYFUNCTION("""COMPUTED_VALUE"""),12696.0)</f>
        <v>12696</v>
      </c>
      <c r="H108" s="231" t="str">
        <f>IFERROR(__xludf.DUMMYFUNCTION("""COMPUTED_VALUE"""),"")</f>
        <v/>
      </c>
      <c r="I108" s="232" t="str">
        <f>IFERROR(__xludf.DUMMYFUNCTION("""COMPUTED_VALUE"""),"")</f>
        <v/>
      </c>
      <c r="J108" s="233" t="str">
        <f>IFERROR(__xludf.DUMMYFUNCTION("""COMPUTED_VALUE"""),"")</f>
        <v/>
      </c>
      <c r="K108" s="231" t="str">
        <f>IFERROR(__xludf.DUMMYFUNCTION("""COMPUTED_VALUE"""),"")</f>
        <v/>
      </c>
      <c r="L108" s="232" t="str">
        <f>IFERROR(__xludf.DUMMYFUNCTION("""COMPUTED_VALUE"""),"")</f>
        <v/>
      </c>
      <c r="M108" s="233">
        <f>IFERROR(__xludf.DUMMYFUNCTION("""COMPUTED_VALUE"""),12.1)</f>
        <v>12.1</v>
      </c>
      <c r="N108" s="231" t="str">
        <f>IFERROR(__xludf.DUMMYFUNCTION("""COMPUTED_VALUE"""),"")</f>
        <v/>
      </c>
      <c r="O108" s="232" t="str">
        <f>IFERROR(__xludf.DUMMYFUNCTION("""COMPUTED_VALUE"""),"")</f>
        <v/>
      </c>
      <c r="P108" s="233" t="str">
        <f>IFERROR(__xludf.DUMMYFUNCTION("""COMPUTED_VALUE"""),"")</f>
        <v/>
      </c>
      <c r="Q108" s="231" t="str">
        <f>IFERROR(__xludf.DUMMYFUNCTION("""COMPUTED_VALUE"""),"")</f>
        <v/>
      </c>
      <c r="R108" s="232" t="str">
        <f>IFERROR(__xludf.DUMMYFUNCTION("""COMPUTED_VALUE"""),"")</f>
        <v/>
      </c>
      <c r="S108" s="233" t="str">
        <f>IFERROR(__xludf.DUMMYFUNCTION("""COMPUTED_VALUE"""),"")</f>
        <v/>
      </c>
      <c r="T108" s="231" t="str">
        <f>IFERROR(__xludf.DUMMYFUNCTION("""COMPUTED_VALUE"""),"")</f>
        <v/>
      </c>
      <c r="U108" s="232" t="str">
        <f>IFERROR(__xludf.DUMMYFUNCTION("""COMPUTED_VALUE"""),"")</f>
        <v/>
      </c>
      <c r="V108" s="233" t="str">
        <f>IFERROR(__xludf.DUMMYFUNCTION("""COMPUTED_VALUE"""),"")</f>
        <v/>
      </c>
      <c r="W108" s="231" t="str">
        <f>IFERROR(__xludf.DUMMYFUNCTION("""COMPUTED_VALUE"""),"")</f>
        <v/>
      </c>
      <c r="X108" s="232" t="str">
        <f>IFERROR(__xludf.DUMMYFUNCTION("""COMPUTED_VALUE"""),"")</f>
        <v/>
      </c>
      <c r="Y108" s="233" t="str">
        <f>IFERROR(__xludf.DUMMYFUNCTION("""COMPUTED_VALUE"""),"")</f>
        <v/>
      </c>
      <c r="Z108" s="231" t="str">
        <f>IFERROR(__xludf.DUMMYFUNCTION("""COMPUTED_VALUE"""),"")</f>
        <v/>
      </c>
      <c r="AA108" s="232" t="str">
        <f>IFERROR(__xludf.DUMMYFUNCTION("""COMPUTED_VALUE"""),"")</f>
        <v/>
      </c>
      <c r="AB108" s="233" t="str">
        <f>IFERROR(__xludf.DUMMYFUNCTION("""COMPUTED_VALUE"""),"")</f>
        <v/>
      </c>
      <c r="AC108" s="231" t="str">
        <f>IFERROR(__xludf.DUMMYFUNCTION("""COMPUTED_VALUE"""),"")</f>
        <v/>
      </c>
      <c r="AD108" s="232" t="str">
        <f>IFERROR(__xludf.DUMMYFUNCTION("""COMPUTED_VALUE"""),"")</f>
        <v/>
      </c>
      <c r="AE108" s="233" t="str">
        <f>IFERROR(__xludf.DUMMYFUNCTION("""COMPUTED_VALUE"""),"")</f>
        <v/>
      </c>
      <c r="AF108" s="231" t="str">
        <f>IFERROR(__xludf.DUMMYFUNCTION("""COMPUTED_VALUE"""),"")</f>
        <v/>
      </c>
      <c r="AG108" s="232" t="str">
        <f>IFERROR(__xludf.DUMMYFUNCTION("""COMPUTED_VALUE"""),"")</f>
        <v/>
      </c>
      <c r="AH108" s="233" t="str">
        <f>IFERROR(__xludf.DUMMYFUNCTION("""COMPUTED_VALUE"""),"")</f>
        <v/>
      </c>
      <c r="AI108" s="231" t="str">
        <f>IFERROR(__xludf.DUMMYFUNCTION("""COMPUTED_VALUE"""),"")</f>
        <v/>
      </c>
      <c r="AJ108" s="232" t="str">
        <f>IFERROR(__xludf.DUMMYFUNCTION("""COMPUTED_VALUE"""),"")</f>
        <v/>
      </c>
      <c r="AK108" s="233" t="str">
        <f>IFERROR(__xludf.DUMMYFUNCTION("""COMPUTED_VALUE"""),"")</f>
        <v/>
      </c>
      <c r="AL108" s="231" t="str">
        <f>IFERROR(__xludf.DUMMYFUNCTION("""COMPUTED_VALUE"""),"")</f>
        <v/>
      </c>
      <c r="AM108" s="232" t="str">
        <f>IFERROR(__xludf.DUMMYFUNCTION("""COMPUTED_VALUE"""),"")</f>
        <v/>
      </c>
      <c r="AN108" s="233" t="str">
        <f>IFERROR(__xludf.DUMMYFUNCTION("""COMPUTED_VALUE"""),"")</f>
        <v/>
      </c>
      <c r="AO108" s="231" t="str">
        <f>IFERROR(__xludf.DUMMYFUNCTION("""COMPUTED_VALUE"""),"")</f>
        <v/>
      </c>
      <c r="AP108" s="232" t="str">
        <f>IFERROR(__xludf.DUMMYFUNCTION("""COMPUTED_VALUE"""),"")</f>
        <v/>
      </c>
      <c r="AQ108" s="233" t="str">
        <f>IFERROR(__xludf.DUMMYFUNCTION("""COMPUTED_VALUE"""),"")</f>
        <v/>
      </c>
      <c r="AR108" s="231" t="str">
        <f>IFERROR(__xludf.DUMMYFUNCTION("""COMPUTED_VALUE"""),"")</f>
        <v/>
      </c>
      <c r="AS108" s="232" t="str">
        <f>IFERROR(__xludf.DUMMYFUNCTION("""COMPUTED_VALUE"""),"")</f>
        <v/>
      </c>
      <c r="AT108" s="233">
        <f>IFERROR(__xludf.DUMMYFUNCTION("""COMPUTED_VALUE"""),53.4)</f>
        <v>53.4</v>
      </c>
      <c r="AU108" s="231" t="str">
        <f>IFERROR(__xludf.DUMMYFUNCTION("""COMPUTED_VALUE"""),"")</f>
        <v/>
      </c>
      <c r="AV108" s="232" t="str">
        <f>IFERROR(__xludf.DUMMYFUNCTION("""COMPUTED_VALUE"""),"")</f>
        <v/>
      </c>
      <c r="AW108" s="233" t="str">
        <f>IFERROR(__xludf.DUMMYFUNCTION("""COMPUTED_VALUE"""),"")</f>
        <v/>
      </c>
      <c r="AX108" s="231" t="str">
        <f>IFERROR(__xludf.DUMMYFUNCTION("""COMPUTED_VALUE"""),"")</f>
        <v/>
      </c>
      <c r="AY108" s="232" t="str">
        <f>IFERROR(__xludf.DUMMYFUNCTION("""COMPUTED_VALUE"""),"")</f>
        <v/>
      </c>
      <c r="AZ108" s="233" t="str">
        <f>IFERROR(__xludf.DUMMYFUNCTION("""COMPUTED_VALUE"""),"")</f>
        <v/>
      </c>
      <c r="BA108" s="231" t="str">
        <f>IFERROR(__xludf.DUMMYFUNCTION("""COMPUTED_VALUE"""),"")</f>
        <v/>
      </c>
      <c r="BB108" s="232" t="str">
        <f>IFERROR(__xludf.DUMMYFUNCTION("""COMPUTED_VALUE"""),"")</f>
        <v/>
      </c>
      <c r="BC108" s="233" t="str">
        <f>IFERROR(__xludf.DUMMYFUNCTION("""COMPUTED_VALUE"""),"")</f>
        <v/>
      </c>
      <c r="BD108" s="231" t="str">
        <f>IFERROR(__xludf.DUMMYFUNCTION("""COMPUTED_VALUE"""),"")</f>
        <v/>
      </c>
      <c r="BE108" s="232" t="str">
        <f>IFERROR(__xludf.DUMMYFUNCTION("""COMPUTED_VALUE"""),"")</f>
        <v/>
      </c>
      <c r="BF108" s="233" t="str">
        <f>IFERROR(__xludf.DUMMYFUNCTION("""COMPUTED_VALUE"""),"")</f>
        <v/>
      </c>
      <c r="BG108" s="231" t="str">
        <f>IFERROR(__xludf.DUMMYFUNCTION("""COMPUTED_VALUE"""),"")</f>
        <v/>
      </c>
      <c r="BH108" s="232" t="str">
        <f>IFERROR(__xludf.DUMMYFUNCTION("""COMPUTED_VALUE"""),"")</f>
        <v/>
      </c>
      <c r="BI108" s="233" t="str">
        <f>IFERROR(__xludf.DUMMYFUNCTION("""COMPUTED_VALUE"""),"")</f>
        <v/>
      </c>
      <c r="BJ108" s="231" t="str">
        <f>IFERROR(__xludf.DUMMYFUNCTION("""COMPUTED_VALUE"""),"")</f>
        <v/>
      </c>
      <c r="BK108" s="232">
        <f>IFERROR(__xludf.DUMMYFUNCTION("""COMPUTED_VALUE"""),8.0)</f>
        <v>8</v>
      </c>
      <c r="BL108" s="233" t="str">
        <f>IFERROR(__xludf.DUMMYFUNCTION("""COMPUTED_VALUE"""),"")</f>
        <v/>
      </c>
      <c r="BM108" s="231" t="str">
        <f>IFERROR(__xludf.DUMMYFUNCTION("""COMPUTED_VALUE"""),"")</f>
        <v/>
      </c>
      <c r="BN108" s="232" t="str">
        <f>IFERROR(__xludf.DUMMYFUNCTION("""COMPUTED_VALUE"""),"")</f>
        <v/>
      </c>
      <c r="BO108" s="233" t="str">
        <f>IFERROR(__xludf.DUMMYFUNCTION("""COMPUTED_VALUE"""),"")</f>
        <v/>
      </c>
      <c r="BP108" s="231" t="str">
        <f>IFERROR(__xludf.DUMMYFUNCTION("""COMPUTED_VALUE"""),"")</f>
        <v/>
      </c>
      <c r="BQ108" s="232">
        <f>IFERROR(__xludf.DUMMYFUNCTION("""COMPUTED_VALUE"""),14.8)</f>
        <v>14.8</v>
      </c>
      <c r="BR108" s="233">
        <f>IFERROR(__xludf.DUMMYFUNCTION("""COMPUTED_VALUE"""),4.8)</f>
        <v>4.8</v>
      </c>
      <c r="BS108" s="231">
        <f>IFERROR(__xludf.DUMMYFUNCTION("""COMPUTED_VALUE"""),10.1)</f>
        <v>10.1</v>
      </c>
      <c r="BT108" s="232" t="str">
        <f>IFERROR(__xludf.DUMMYFUNCTION("""COMPUTED_VALUE"""),"")</f>
        <v/>
      </c>
      <c r="BU108" s="233" t="str">
        <f>IFERROR(__xludf.DUMMYFUNCTION("""COMPUTED_VALUE"""),"")</f>
        <v/>
      </c>
      <c r="BV108" s="231" t="str">
        <f>IFERROR(__xludf.DUMMYFUNCTION("""COMPUTED_VALUE"""),"")</f>
        <v/>
      </c>
      <c r="BW108" s="232" t="str">
        <f>IFERROR(__xludf.DUMMYFUNCTION("""COMPUTED_VALUE"""),"")</f>
        <v/>
      </c>
      <c r="BX108" s="233" t="str">
        <f>IFERROR(__xludf.DUMMYFUNCTION("""COMPUTED_VALUE"""),"")</f>
        <v/>
      </c>
      <c r="BY108" s="231" t="str">
        <f>IFERROR(__xludf.DUMMYFUNCTION("""COMPUTED_VALUE"""),"")</f>
        <v/>
      </c>
      <c r="BZ108" s="232" t="str">
        <f>IFERROR(__xludf.DUMMYFUNCTION("""COMPUTED_VALUE"""),"")</f>
        <v/>
      </c>
      <c r="CA108" s="233" t="str">
        <f>IFERROR(__xludf.DUMMYFUNCTION("""COMPUTED_VALUE"""),"")</f>
        <v/>
      </c>
      <c r="CB108" s="231" t="str">
        <f>IFERROR(__xludf.DUMMYFUNCTION("""COMPUTED_VALUE"""),"")</f>
        <v/>
      </c>
      <c r="CC108" s="232" t="str">
        <f>IFERROR(__xludf.DUMMYFUNCTION("""COMPUTED_VALUE"""),"")</f>
        <v/>
      </c>
      <c r="CD108" s="233" t="str">
        <f>IFERROR(__xludf.DUMMYFUNCTION("""COMPUTED_VALUE"""),"")</f>
        <v/>
      </c>
      <c r="CE108" s="234" t="str">
        <f>IFERROR(__xludf.DUMMYFUNCTION("""COMPUTED_VALUE"""),"")</f>
        <v/>
      </c>
      <c r="CF108" s="230" t="str">
        <f>IFERROR(__xludf.DUMMYFUNCTION("""COMPUTED_VALUE"""),"")</f>
        <v/>
      </c>
      <c r="CG108" s="235" t="str">
        <f>IFERROR(__xludf.DUMMYFUNCTION("""COMPUTED_VALUE"""),"")</f>
        <v/>
      </c>
      <c r="CH108" s="234" t="str">
        <f>IFERROR(__xludf.DUMMYFUNCTION("""COMPUTED_VALUE"""),"")</f>
        <v/>
      </c>
      <c r="CI108" s="230" t="str">
        <f>IFERROR(__xludf.DUMMYFUNCTION("""COMPUTED_VALUE"""),"")</f>
        <v/>
      </c>
      <c r="CJ108" s="235" t="str">
        <f>IFERROR(__xludf.DUMMYFUNCTION("""COMPUTED_VALUE"""),"")</f>
        <v/>
      </c>
      <c r="CK108" s="95" t="str">
        <f>IFERROR(__xludf.DUMMYFUNCTION("""COMPUTED_VALUE"""),"")</f>
        <v/>
      </c>
      <c r="CL108" s="96" t="str">
        <f>IFERROR(__xludf.DUMMYFUNCTION("""COMPUTED_VALUE"""),"")</f>
        <v/>
      </c>
      <c r="CM108" s="97" t="str">
        <f>IFERROR(__xludf.DUMMYFUNCTION("""COMPUTED_VALUE"""),"")</f>
        <v/>
      </c>
      <c r="CN108" s="95" t="str">
        <f>IFERROR(__xludf.DUMMYFUNCTION("""COMPUTED_VALUE"""),"")</f>
        <v/>
      </c>
      <c r="CO108" s="96" t="str">
        <f>IFERROR(__xludf.DUMMYFUNCTION("""COMPUTED_VALUE"""),"")</f>
        <v/>
      </c>
      <c r="CP108" s="97" t="str">
        <f>IFERROR(__xludf.DUMMYFUNCTION("""COMPUTED_VALUE"""),"")</f>
        <v/>
      </c>
      <c r="CQ108" s="95" t="str">
        <f>IFERROR(__xludf.DUMMYFUNCTION("""COMPUTED_VALUE"""),"")</f>
        <v/>
      </c>
      <c r="CR108" s="96" t="str">
        <f>IFERROR(__xludf.DUMMYFUNCTION("""COMPUTED_VALUE"""),"")</f>
        <v/>
      </c>
      <c r="CS108" s="97" t="str">
        <f>IFERROR(__xludf.DUMMYFUNCTION("""COMPUTED_VALUE"""),"#REF!")</f>
        <v>#REF!</v>
      </c>
      <c r="CT108" s="95" t="str">
        <f>IFERROR(__xludf.DUMMYFUNCTION("""COMPUTED_VALUE"""),"#REF!")</f>
        <v>#REF!</v>
      </c>
      <c r="CU108" s="96" t="str">
        <f>IFERROR(__xludf.DUMMYFUNCTION("""COMPUTED_VALUE"""),"#REF!")</f>
        <v>#REF!</v>
      </c>
      <c r="CV108" s="97" t="str">
        <f>IFERROR(__xludf.DUMMYFUNCTION("""COMPUTED_VALUE"""),"#REF!")</f>
        <v>#REF!</v>
      </c>
      <c r="CW108" s="95" t="str">
        <f>IFERROR(__xludf.DUMMYFUNCTION("""COMPUTED_VALUE"""),"#REF!")</f>
        <v>#REF!</v>
      </c>
      <c r="CX108" s="96" t="str">
        <f>IFERROR(__xludf.DUMMYFUNCTION("""COMPUTED_VALUE"""),"#REF!")</f>
        <v>#REF!</v>
      </c>
      <c r="CY108" s="97" t="str">
        <f>IFERROR(__xludf.DUMMYFUNCTION("""COMPUTED_VALUE"""),"#REF!")</f>
        <v>#REF!</v>
      </c>
      <c r="CZ108" s="95" t="str">
        <f>IFERROR(__xludf.DUMMYFUNCTION("""COMPUTED_VALUE"""),"#REF!")</f>
        <v>#REF!</v>
      </c>
      <c r="DA108" s="96" t="str">
        <f>IFERROR(__xludf.DUMMYFUNCTION("""COMPUTED_VALUE"""),"#REF!")</f>
        <v>#REF!</v>
      </c>
      <c r="DB108" s="97" t="str">
        <f>IFERROR(__xludf.DUMMYFUNCTION("""COMPUTED_VALUE"""),"#REF!")</f>
        <v>#REF!</v>
      </c>
      <c r="DC108" s="95" t="str">
        <f>IFERROR(__xludf.DUMMYFUNCTION("""COMPUTED_VALUE"""),"#REF!")</f>
        <v>#REF!</v>
      </c>
      <c r="DD108" s="96" t="str">
        <f>IFERROR(__xludf.DUMMYFUNCTION("""COMPUTED_VALUE"""),"#REF!")</f>
        <v>#REF!</v>
      </c>
      <c r="DE108" s="97" t="str">
        <f>IFERROR(__xludf.DUMMYFUNCTION("""COMPUTED_VALUE"""),"#REF!")</f>
        <v>#REF!</v>
      </c>
      <c r="DF108" s="95" t="str">
        <f>IFERROR(__xludf.DUMMYFUNCTION("""COMPUTED_VALUE"""),"#REF!")</f>
        <v>#REF!</v>
      </c>
      <c r="DG108" s="96" t="str">
        <f>IFERROR(__xludf.DUMMYFUNCTION("""COMPUTED_VALUE"""),"#REF!")</f>
        <v>#REF!</v>
      </c>
      <c r="DH108" s="97" t="str">
        <f>IFERROR(__xludf.DUMMYFUNCTION("""COMPUTED_VALUE"""),"#REF!")</f>
        <v>#REF!</v>
      </c>
      <c r="DI108" s="95" t="str">
        <f>IFERROR(__xludf.DUMMYFUNCTION("""COMPUTED_VALUE"""),"#REF!")</f>
        <v>#REF!</v>
      </c>
      <c r="DJ108" s="96" t="str">
        <f>IFERROR(__xludf.DUMMYFUNCTION("""COMPUTED_VALUE"""),"#REF!")</f>
        <v>#REF!</v>
      </c>
      <c r="DK108" s="97" t="str">
        <f>IFERROR(__xludf.DUMMYFUNCTION("""COMPUTED_VALUE"""),"#REF!")</f>
        <v>#REF!</v>
      </c>
      <c r="DL108" s="95" t="str">
        <f>IFERROR(__xludf.DUMMYFUNCTION("""COMPUTED_VALUE"""),"#REF!")</f>
        <v>#REF!</v>
      </c>
      <c r="DM108" s="96" t="str">
        <f>IFERROR(__xludf.DUMMYFUNCTION("""COMPUTED_VALUE"""),"#REF!")</f>
        <v>#REF!</v>
      </c>
      <c r="DN108" s="97" t="str">
        <f>IFERROR(__xludf.DUMMYFUNCTION("""COMPUTED_VALUE"""),"#REF!")</f>
        <v>#REF!</v>
      </c>
      <c r="DO108" s="95" t="str">
        <f>IFERROR(__xludf.DUMMYFUNCTION("""COMPUTED_VALUE"""),"#REF!")</f>
        <v>#REF!</v>
      </c>
      <c r="DP108" s="96" t="str">
        <f>IFERROR(__xludf.DUMMYFUNCTION("""COMPUTED_VALUE"""),"#REF!")</f>
        <v>#REF!</v>
      </c>
      <c r="DQ108" s="97"/>
      <c r="DR108" s="95"/>
    </row>
    <row r="109">
      <c r="B109" s="120" t="str">
        <f>IFERROR(__xludf.DUMMYFUNCTION("""COMPUTED_VALUE"""),"EPU11")</f>
        <v>EPU11</v>
      </c>
      <c r="C109" s="82">
        <f>IFERROR(__xludf.DUMMYFUNCTION("""COMPUTED_VALUE"""),96.0)</f>
        <v>96</v>
      </c>
      <c r="D109" s="88" t="str">
        <f>IFERROR(__xludf.DUMMYFUNCTION("""COMPUTED_VALUE"""),"Kearney")</f>
        <v>Kearney</v>
      </c>
      <c r="E109" s="82" t="str">
        <f>IFERROR(__xludf.DUMMYFUNCTION("""COMPUTED_VALUE"""),"カーニー")</f>
        <v>カーニー</v>
      </c>
      <c r="F109" s="102">
        <f>IFERROR(__xludf.DUMMYFUNCTION("""COMPUTED_VALUE"""),18.0)</f>
        <v>18</v>
      </c>
      <c r="G109" s="82">
        <f>IFERROR(__xludf.DUMMYFUNCTION("""COMPUTED_VALUE"""),2205.0)</f>
        <v>2205</v>
      </c>
      <c r="H109" s="231" t="str">
        <f>IFERROR(__xludf.DUMMYFUNCTION("""COMPUTED_VALUE"""),"")</f>
        <v/>
      </c>
      <c r="I109" s="232" t="str">
        <f>IFERROR(__xludf.DUMMYFUNCTION("""COMPUTED_VALUE"""),"")</f>
        <v/>
      </c>
      <c r="J109" s="233" t="str">
        <f>IFERROR(__xludf.DUMMYFUNCTION("""COMPUTED_VALUE"""),"")</f>
        <v/>
      </c>
      <c r="K109" s="231" t="str">
        <f>IFERROR(__xludf.DUMMYFUNCTION("""COMPUTED_VALUE"""),"")</f>
        <v/>
      </c>
      <c r="L109" s="232">
        <f>IFERROR(__xludf.DUMMYFUNCTION("""COMPUTED_VALUE"""),12.4)</f>
        <v>12.4</v>
      </c>
      <c r="M109" s="233" t="str">
        <f>IFERROR(__xludf.DUMMYFUNCTION("""COMPUTED_VALUE"""),"")</f>
        <v/>
      </c>
      <c r="N109" s="231" t="str">
        <f>IFERROR(__xludf.DUMMYFUNCTION("""COMPUTED_VALUE"""),"")</f>
        <v/>
      </c>
      <c r="O109" s="232" t="str">
        <f>IFERROR(__xludf.DUMMYFUNCTION("""COMPUTED_VALUE"""),"")</f>
        <v/>
      </c>
      <c r="P109" s="233" t="str">
        <f>IFERROR(__xludf.DUMMYFUNCTION("""COMPUTED_VALUE"""),"")</f>
        <v/>
      </c>
      <c r="Q109" s="231" t="str">
        <f>IFERROR(__xludf.DUMMYFUNCTION("""COMPUTED_VALUE"""),"")</f>
        <v/>
      </c>
      <c r="R109" s="232" t="str">
        <f>IFERROR(__xludf.DUMMYFUNCTION("""COMPUTED_VALUE"""),"")</f>
        <v/>
      </c>
      <c r="S109" s="233" t="str">
        <f>IFERROR(__xludf.DUMMYFUNCTION("""COMPUTED_VALUE"""),"")</f>
        <v/>
      </c>
      <c r="T109" s="231" t="str">
        <f>IFERROR(__xludf.DUMMYFUNCTION("""COMPUTED_VALUE"""),"")</f>
        <v/>
      </c>
      <c r="U109" s="232" t="str">
        <f>IFERROR(__xludf.DUMMYFUNCTION("""COMPUTED_VALUE"""),"")</f>
        <v/>
      </c>
      <c r="V109" s="233" t="str">
        <f>IFERROR(__xludf.DUMMYFUNCTION("""COMPUTED_VALUE"""),"")</f>
        <v/>
      </c>
      <c r="W109" s="231" t="str">
        <f>IFERROR(__xludf.DUMMYFUNCTION("""COMPUTED_VALUE"""),"")</f>
        <v/>
      </c>
      <c r="X109" s="232" t="str">
        <f>IFERROR(__xludf.DUMMYFUNCTION("""COMPUTED_VALUE"""),"")</f>
        <v/>
      </c>
      <c r="Y109" s="233" t="str">
        <f>IFERROR(__xludf.DUMMYFUNCTION("""COMPUTED_VALUE"""),"")</f>
        <v/>
      </c>
      <c r="Z109" s="231" t="str">
        <f>IFERROR(__xludf.DUMMYFUNCTION("""COMPUTED_VALUE"""),"")</f>
        <v/>
      </c>
      <c r="AA109" s="232" t="str">
        <f>IFERROR(__xludf.DUMMYFUNCTION("""COMPUTED_VALUE"""),"")</f>
        <v/>
      </c>
      <c r="AB109" s="233" t="str">
        <f>IFERROR(__xludf.DUMMYFUNCTION("""COMPUTED_VALUE"""),"")</f>
        <v/>
      </c>
      <c r="AC109" s="231" t="str">
        <f>IFERROR(__xludf.DUMMYFUNCTION("""COMPUTED_VALUE"""),"")</f>
        <v/>
      </c>
      <c r="AD109" s="232" t="str">
        <f>IFERROR(__xludf.DUMMYFUNCTION("""COMPUTED_VALUE"""),"")</f>
        <v/>
      </c>
      <c r="AE109" s="233" t="str">
        <f>IFERROR(__xludf.DUMMYFUNCTION("""COMPUTED_VALUE"""),"")</f>
        <v/>
      </c>
      <c r="AF109" s="231" t="str">
        <f>IFERROR(__xludf.DUMMYFUNCTION("""COMPUTED_VALUE"""),"")</f>
        <v/>
      </c>
      <c r="AG109" s="232" t="str">
        <f>IFERROR(__xludf.DUMMYFUNCTION("""COMPUTED_VALUE"""),"")</f>
        <v/>
      </c>
      <c r="AH109" s="233" t="str">
        <f>IFERROR(__xludf.DUMMYFUNCTION("""COMPUTED_VALUE"""),"")</f>
        <v/>
      </c>
      <c r="AI109" s="231" t="str">
        <f>IFERROR(__xludf.DUMMYFUNCTION("""COMPUTED_VALUE"""),"")</f>
        <v/>
      </c>
      <c r="AJ109" s="232" t="str">
        <f>IFERROR(__xludf.DUMMYFUNCTION("""COMPUTED_VALUE"""),"")</f>
        <v/>
      </c>
      <c r="AK109" s="233" t="str">
        <f>IFERROR(__xludf.DUMMYFUNCTION("""COMPUTED_VALUE"""),"")</f>
        <v/>
      </c>
      <c r="AL109" s="231" t="str">
        <f>IFERROR(__xludf.DUMMYFUNCTION("""COMPUTED_VALUE"""),"")</f>
        <v/>
      </c>
      <c r="AM109" s="232" t="str">
        <f>IFERROR(__xludf.DUMMYFUNCTION("""COMPUTED_VALUE"""),"")</f>
        <v/>
      </c>
      <c r="AN109" s="233" t="str">
        <f>IFERROR(__xludf.DUMMYFUNCTION("""COMPUTED_VALUE"""),"")</f>
        <v/>
      </c>
      <c r="AO109" s="231" t="str">
        <f>IFERROR(__xludf.DUMMYFUNCTION("""COMPUTED_VALUE"""),"")</f>
        <v/>
      </c>
      <c r="AP109" s="232" t="str">
        <f>IFERROR(__xludf.DUMMYFUNCTION("""COMPUTED_VALUE"""),"")</f>
        <v/>
      </c>
      <c r="AQ109" s="233" t="str">
        <f>IFERROR(__xludf.DUMMYFUNCTION("""COMPUTED_VALUE"""),"")</f>
        <v/>
      </c>
      <c r="AR109" s="231" t="str">
        <f>IFERROR(__xludf.DUMMYFUNCTION("""COMPUTED_VALUE"""),"")</f>
        <v/>
      </c>
      <c r="AS109" s="232" t="str">
        <f>IFERROR(__xludf.DUMMYFUNCTION("""COMPUTED_VALUE"""),"")</f>
        <v/>
      </c>
      <c r="AT109" s="233">
        <f>IFERROR(__xludf.DUMMYFUNCTION("""COMPUTED_VALUE"""),55.5)</f>
        <v>55.5</v>
      </c>
      <c r="AU109" s="231" t="str">
        <f>IFERROR(__xludf.DUMMYFUNCTION("""COMPUTED_VALUE"""),"")</f>
        <v/>
      </c>
      <c r="AV109" s="232" t="str">
        <f>IFERROR(__xludf.DUMMYFUNCTION("""COMPUTED_VALUE"""),"")</f>
        <v/>
      </c>
      <c r="AW109" s="233" t="str">
        <f>IFERROR(__xludf.DUMMYFUNCTION("""COMPUTED_VALUE"""),"")</f>
        <v/>
      </c>
      <c r="AX109" s="231" t="str">
        <f>IFERROR(__xludf.DUMMYFUNCTION("""COMPUTED_VALUE"""),"")</f>
        <v/>
      </c>
      <c r="AY109" s="232" t="str">
        <f>IFERROR(__xludf.DUMMYFUNCTION("""COMPUTED_VALUE"""),"")</f>
        <v/>
      </c>
      <c r="AZ109" s="233" t="str">
        <f>IFERROR(__xludf.DUMMYFUNCTION("""COMPUTED_VALUE"""),"")</f>
        <v/>
      </c>
      <c r="BA109" s="231" t="str">
        <f>IFERROR(__xludf.DUMMYFUNCTION("""COMPUTED_VALUE"""),"")</f>
        <v/>
      </c>
      <c r="BB109" s="232" t="str">
        <f>IFERROR(__xludf.DUMMYFUNCTION("""COMPUTED_VALUE"""),"")</f>
        <v/>
      </c>
      <c r="BC109" s="233" t="str">
        <f>IFERROR(__xludf.DUMMYFUNCTION("""COMPUTED_VALUE"""),"")</f>
        <v/>
      </c>
      <c r="BD109" s="231" t="str">
        <f>IFERROR(__xludf.DUMMYFUNCTION("""COMPUTED_VALUE"""),"")</f>
        <v/>
      </c>
      <c r="BE109" s="232" t="str">
        <f>IFERROR(__xludf.DUMMYFUNCTION("""COMPUTED_VALUE"""),"")</f>
        <v/>
      </c>
      <c r="BF109" s="233" t="str">
        <f>IFERROR(__xludf.DUMMYFUNCTION("""COMPUTED_VALUE"""),"")</f>
        <v/>
      </c>
      <c r="BG109" s="231" t="str">
        <f>IFERROR(__xludf.DUMMYFUNCTION("""COMPUTED_VALUE"""),"")</f>
        <v/>
      </c>
      <c r="BH109" s="232" t="str">
        <f>IFERROR(__xludf.DUMMYFUNCTION("""COMPUTED_VALUE"""),"")</f>
        <v/>
      </c>
      <c r="BI109" s="233" t="str">
        <f>IFERROR(__xludf.DUMMYFUNCTION("""COMPUTED_VALUE"""),"")</f>
        <v/>
      </c>
      <c r="BJ109" s="231" t="str">
        <f>IFERROR(__xludf.DUMMYFUNCTION("""COMPUTED_VALUE"""),"")</f>
        <v/>
      </c>
      <c r="BK109" s="232" t="str">
        <f>IFERROR(__xludf.DUMMYFUNCTION("""COMPUTED_VALUE"""),"")</f>
        <v/>
      </c>
      <c r="BL109" s="233">
        <f>IFERROR(__xludf.DUMMYFUNCTION("""COMPUTED_VALUE"""),9.3)</f>
        <v>9.3</v>
      </c>
      <c r="BM109" s="231" t="str">
        <f>IFERROR(__xludf.DUMMYFUNCTION("""COMPUTED_VALUE"""),"")</f>
        <v/>
      </c>
      <c r="BN109" s="232" t="str">
        <f>IFERROR(__xludf.DUMMYFUNCTION("""COMPUTED_VALUE"""),"")</f>
        <v/>
      </c>
      <c r="BO109" s="233" t="str">
        <f>IFERROR(__xludf.DUMMYFUNCTION("""COMPUTED_VALUE"""),"")</f>
        <v/>
      </c>
      <c r="BP109" s="231" t="str">
        <f>IFERROR(__xludf.DUMMYFUNCTION("""COMPUTED_VALUE"""),"")</f>
        <v/>
      </c>
      <c r="BQ109" s="232">
        <f>IFERROR(__xludf.DUMMYFUNCTION("""COMPUTED_VALUE"""),13.2)</f>
        <v>13.2</v>
      </c>
      <c r="BR109" s="233" t="str">
        <f>IFERROR(__xludf.DUMMYFUNCTION("""COMPUTED_VALUE"""),"")</f>
        <v/>
      </c>
      <c r="BS109" s="231">
        <f>IFERROR(__xludf.DUMMYFUNCTION("""COMPUTED_VALUE"""),15.4)</f>
        <v>15.4</v>
      </c>
      <c r="BT109" s="232" t="str">
        <f>IFERROR(__xludf.DUMMYFUNCTION("""COMPUTED_VALUE"""),"")</f>
        <v/>
      </c>
      <c r="BU109" s="233" t="str">
        <f>IFERROR(__xludf.DUMMYFUNCTION("""COMPUTED_VALUE"""),"")</f>
        <v/>
      </c>
      <c r="BV109" s="231" t="str">
        <f>IFERROR(__xludf.DUMMYFUNCTION("""COMPUTED_VALUE"""),"")</f>
        <v/>
      </c>
      <c r="BW109" s="232" t="str">
        <f>IFERROR(__xludf.DUMMYFUNCTION("""COMPUTED_VALUE"""),"")</f>
        <v/>
      </c>
      <c r="BX109" s="233" t="str">
        <f>IFERROR(__xludf.DUMMYFUNCTION("""COMPUTED_VALUE"""),"")</f>
        <v/>
      </c>
      <c r="BY109" s="231" t="str">
        <f>IFERROR(__xludf.DUMMYFUNCTION("""COMPUTED_VALUE"""),"")</f>
        <v/>
      </c>
      <c r="BZ109" s="232" t="str">
        <f>IFERROR(__xludf.DUMMYFUNCTION("""COMPUTED_VALUE"""),"")</f>
        <v/>
      </c>
      <c r="CA109" s="233" t="str">
        <f>IFERROR(__xludf.DUMMYFUNCTION("""COMPUTED_VALUE"""),"")</f>
        <v/>
      </c>
      <c r="CB109" s="231" t="str">
        <f>IFERROR(__xludf.DUMMYFUNCTION("""COMPUTED_VALUE"""),"")</f>
        <v/>
      </c>
      <c r="CC109" s="232" t="str">
        <f>IFERROR(__xludf.DUMMYFUNCTION("""COMPUTED_VALUE"""),"")</f>
        <v/>
      </c>
      <c r="CD109" s="233" t="str">
        <f>IFERROR(__xludf.DUMMYFUNCTION("""COMPUTED_VALUE"""),"")</f>
        <v/>
      </c>
      <c r="CE109" s="234" t="str">
        <f>IFERROR(__xludf.DUMMYFUNCTION("""COMPUTED_VALUE"""),"")</f>
        <v/>
      </c>
      <c r="CF109" s="230" t="str">
        <f>IFERROR(__xludf.DUMMYFUNCTION("""COMPUTED_VALUE"""),"")</f>
        <v/>
      </c>
      <c r="CG109" s="235" t="str">
        <f>IFERROR(__xludf.DUMMYFUNCTION("""COMPUTED_VALUE"""),"")</f>
        <v/>
      </c>
      <c r="CH109" s="234" t="str">
        <f>IFERROR(__xludf.DUMMYFUNCTION("""COMPUTED_VALUE"""),"")</f>
        <v/>
      </c>
      <c r="CI109" s="230" t="str">
        <f>IFERROR(__xludf.DUMMYFUNCTION("""COMPUTED_VALUE"""),"")</f>
        <v/>
      </c>
      <c r="CJ109" s="235" t="str">
        <f>IFERROR(__xludf.DUMMYFUNCTION("""COMPUTED_VALUE"""),"")</f>
        <v/>
      </c>
      <c r="CK109" s="95" t="str">
        <f>IFERROR(__xludf.DUMMYFUNCTION("""COMPUTED_VALUE"""),"")</f>
        <v/>
      </c>
      <c r="CL109" s="96" t="str">
        <f>IFERROR(__xludf.DUMMYFUNCTION("""COMPUTED_VALUE"""),"")</f>
        <v/>
      </c>
      <c r="CM109" s="97" t="str">
        <f>IFERROR(__xludf.DUMMYFUNCTION("""COMPUTED_VALUE"""),"")</f>
        <v/>
      </c>
      <c r="CN109" s="95" t="str">
        <f>IFERROR(__xludf.DUMMYFUNCTION("""COMPUTED_VALUE"""),"")</f>
        <v/>
      </c>
      <c r="CO109" s="96" t="str">
        <f>IFERROR(__xludf.DUMMYFUNCTION("""COMPUTED_VALUE"""),"")</f>
        <v/>
      </c>
      <c r="CP109" s="97" t="str">
        <f>IFERROR(__xludf.DUMMYFUNCTION("""COMPUTED_VALUE"""),"")</f>
        <v/>
      </c>
      <c r="CQ109" s="95" t="str">
        <f>IFERROR(__xludf.DUMMYFUNCTION("""COMPUTED_VALUE"""),"")</f>
        <v/>
      </c>
      <c r="CR109" s="96" t="str">
        <f>IFERROR(__xludf.DUMMYFUNCTION("""COMPUTED_VALUE"""),"")</f>
        <v/>
      </c>
      <c r="CS109" s="97" t="str">
        <f>IFERROR(__xludf.DUMMYFUNCTION("""COMPUTED_VALUE"""),"#REF!")</f>
        <v>#REF!</v>
      </c>
      <c r="CT109" s="95" t="str">
        <f>IFERROR(__xludf.DUMMYFUNCTION("""COMPUTED_VALUE"""),"#REF!")</f>
        <v>#REF!</v>
      </c>
      <c r="CU109" s="96" t="str">
        <f>IFERROR(__xludf.DUMMYFUNCTION("""COMPUTED_VALUE"""),"#REF!")</f>
        <v>#REF!</v>
      </c>
      <c r="CV109" s="97" t="str">
        <f>IFERROR(__xludf.DUMMYFUNCTION("""COMPUTED_VALUE"""),"#REF!")</f>
        <v>#REF!</v>
      </c>
      <c r="CW109" s="95" t="str">
        <f>IFERROR(__xludf.DUMMYFUNCTION("""COMPUTED_VALUE"""),"#REF!")</f>
        <v>#REF!</v>
      </c>
      <c r="CX109" s="96" t="str">
        <f>IFERROR(__xludf.DUMMYFUNCTION("""COMPUTED_VALUE"""),"#REF!")</f>
        <v>#REF!</v>
      </c>
      <c r="CY109" s="97" t="str">
        <f>IFERROR(__xludf.DUMMYFUNCTION("""COMPUTED_VALUE"""),"#REF!")</f>
        <v>#REF!</v>
      </c>
      <c r="CZ109" s="95" t="str">
        <f>IFERROR(__xludf.DUMMYFUNCTION("""COMPUTED_VALUE"""),"#REF!")</f>
        <v>#REF!</v>
      </c>
      <c r="DA109" s="96" t="str">
        <f>IFERROR(__xludf.DUMMYFUNCTION("""COMPUTED_VALUE"""),"#REF!")</f>
        <v>#REF!</v>
      </c>
      <c r="DB109" s="97" t="str">
        <f>IFERROR(__xludf.DUMMYFUNCTION("""COMPUTED_VALUE"""),"#REF!")</f>
        <v>#REF!</v>
      </c>
      <c r="DC109" s="95" t="str">
        <f>IFERROR(__xludf.DUMMYFUNCTION("""COMPUTED_VALUE"""),"#REF!")</f>
        <v>#REF!</v>
      </c>
      <c r="DD109" s="96" t="str">
        <f>IFERROR(__xludf.DUMMYFUNCTION("""COMPUTED_VALUE"""),"#REF!")</f>
        <v>#REF!</v>
      </c>
      <c r="DE109" s="97" t="str">
        <f>IFERROR(__xludf.DUMMYFUNCTION("""COMPUTED_VALUE"""),"#REF!")</f>
        <v>#REF!</v>
      </c>
      <c r="DF109" s="95" t="str">
        <f>IFERROR(__xludf.DUMMYFUNCTION("""COMPUTED_VALUE"""),"#REF!")</f>
        <v>#REF!</v>
      </c>
      <c r="DG109" s="96" t="str">
        <f>IFERROR(__xludf.DUMMYFUNCTION("""COMPUTED_VALUE"""),"#REF!")</f>
        <v>#REF!</v>
      </c>
      <c r="DH109" s="97" t="str">
        <f>IFERROR(__xludf.DUMMYFUNCTION("""COMPUTED_VALUE"""),"#REF!")</f>
        <v>#REF!</v>
      </c>
      <c r="DI109" s="95" t="str">
        <f>IFERROR(__xludf.DUMMYFUNCTION("""COMPUTED_VALUE"""),"#REF!")</f>
        <v>#REF!</v>
      </c>
      <c r="DJ109" s="96" t="str">
        <f>IFERROR(__xludf.DUMMYFUNCTION("""COMPUTED_VALUE"""),"#REF!")</f>
        <v>#REF!</v>
      </c>
      <c r="DK109" s="97" t="str">
        <f>IFERROR(__xludf.DUMMYFUNCTION("""COMPUTED_VALUE"""),"#REF!")</f>
        <v>#REF!</v>
      </c>
      <c r="DL109" s="95" t="str">
        <f>IFERROR(__xludf.DUMMYFUNCTION("""COMPUTED_VALUE"""),"#REF!")</f>
        <v>#REF!</v>
      </c>
      <c r="DM109" s="96" t="str">
        <f>IFERROR(__xludf.DUMMYFUNCTION("""COMPUTED_VALUE"""),"#REF!")</f>
        <v>#REF!</v>
      </c>
      <c r="DN109" s="97" t="str">
        <f>IFERROR(__xludf.DUMMYFUNCTION("""COMPUTED_VALUE"""),"#REF!")</f>
        <v>#REF!</v>
      </c>
      <c r="DO109" s="95" t="str">
        <f>IFERROR(__xludf.DUMMYFUNCTION("""COMPUTED_VALUE"""),"#REF!")</f>
        <v>#REF!</v>
      </c>
      <c r="DP109" s="96" t="str">
        <f>IFERROR(__xludf.DUMMYFUNCTION("""COMPUTED_VALUE"""),"#REF!")</f>
        <v>#REF!</v>
      </c>
      <c r="DQ109" s="97"/>
      <c r="DR109" s="95"/>
    </row>
    <row r="110">
      <c r="B110" s="120" t="str">
        <f>IFERROR(__xludf.DUMMYFUNCTION("""COMPUTED_VALUE"""),"EPU12")</f>
        <v>EPU12</v>
      </c>
      <c r="C110" s="82">
        <f>IFERROR(__xludf.DUMMYFUNCTION("""COMPUTED_VALUE"""),97.0)</f>
        <v>97</v>
      </c>
      <c r="D110" s="88" t="str">
        <f>IFERROR(__xludf.DUMMYFUNCTION("""COMPUTED_VALUE"""),"Charlotte")</f>
        <v>Charlotte</v>
      </c>
      <c r="E110" s="82" t="str">
        <f>IFERROR(__xludf.DUMMYFUNCTION("""COMPUTED_VALUE"""),"シャーロット")</f>
        <v>シャーロット</v>
      </c>
      <c r="F110" s="102">
        <f>IFERROR(__xludf.DUMMYFUNCTION("""COMPUTED_VALUE"""),20.0)</f>
        <v>20</v>
      </c>
      <c r="G110" s="82">
        <f>IFERROR(__xludf.DUMMYFUNCTION("""COMPUTED_VALUE"""),358394.0)</f>
        <v>358394</v>
      </c>
      <c r="H110" s="231" t="str">
        <f>IFERROR(__xludf.DUMMYFUNCTION("""COMPUTED_VALUE"""),"")</f>
        <v/>
      </c>
      <c r="I110" s="232" t="str">
        <f>IFERROR(__xludf.DUMMYFUNCTION("""COMPUTED_VALUE"""),"")</f>
        <v/>
      </c>
      <c r="J110" s="233" t="str">
        <f>IFERROR(__xludf.DUMMYFUNCTION("""COMPUTED_VALUE"""),"")</f>
        <v/>
      </c>
      <c r="K110" s="231" t="str">
        <f>IFERROR(__xludf.DUMMYFUNCTION("""COMPUTED_VALUE"""),"")</f>
        <v/>
      </c>
      <c r="L110" s="232" t="str">
        <f>IFERROR(__xludf.DUMMYFUNCTION("""COMPUTED_VALUE"""),"")</f>
        <v/>
      </c>
      <c r="M110" s="233" t="str">
        <f>IFERROR(__xludf.DUMMYFUNCTION("""COMPUTED_VALUE"""),"")</f>
        <v/>
      </c>
      <c r="N110" s="231" t="str">
        <f>IFERROR(__xludf.DUMMYFUNCTION("""COMPUTED_VALUE"""),"")</f>
        <v/>
      </c>
      <c r="O110" s="232" t="str">
        <f>IFERROR(__xludf.DUMMYFUNCTION("""COMPUTED_VALUE"""),"")</f>
        <v/>
      </c>
      <c r="P110" s="233" t="str">
        <f>IFERROR(__xludf.DUMMYFUNCTION("""COMPUTED_VALUE"""),"")</f>
        <v/>
      </c>
      <c r="Q110" s="231" t="str">
        <f>IFERROR(__xludf.DUMMYFUNCTION("""COMPUTED_VALUE"""),"")</f>
        <v/>
      </c>
      <c r="R110" s="232" t="str">
        <f>IFERROR(__xludf.DUMMYFUNCTION("""COMPUTED_VALUE"""),"")</f>
        <v/>
      </c>
      <c r="S110" s="233" t="str">
        <f>IFERROR(__xludf.DUMMYFUNCTION("""COMPUTED_VALUE"""),"")</f>
        <v/>
      </c>
      <c r="T110" s="231" t="str">
        <f>IFERROR(__xludf.DUMMYFUNCTION("""COMPUTED_VALUE"""),"")</f>
        <v/>
      </c>
      <c r="U110" s="232" t="str">
        <f>IFERROR(__xludf.DUMMYFUNCTION("""COMPUTED_VALUE"""),"")</f>
        <v/>
      </c>
      <c r="V110" s="233" t="str">
        <f>IFERROR(__xludf.DUMMYFUNCTION("""COMPUTED_VALUE"""),"")</f>
        <v/>
      </c>
      <c r="W110" s="231" t="str">
        <f>IFERROR(__xludf.DUMMYFUNCTION("""COMPUTED_VALUE"""),"")</f>
        <v/>
      </c>
      <c r="X110" s="232" t="str">
        <f>IFERROR(__xludf.DUMMYFUNCTION("""COMPUTED_VALUE"""),"")</f>
        <v/>
      </c>
      <c r="Y110" s="233" t="str">
        <f>IFERROR(__xludf.DUMMYFUNCTION("""COMPUTED_VALUE"""),"")</f>
        <v/>
      </c>
      <c r="Z110" s="231" t="str">
        <f>IFERROR(__xludf.DUMMYFUNCTION("""COMPUTED_VALUE"""),"")</f>
        <v/>
      </c>
      <c r="AA110" s="232" t="str">
        <f>IFERROR(__xludf.DUMMYFUNCTION("""COMPUTED_VALUE"""),"")</f>
        <v/>
      </c>
      <c r="AB110" s="233" t="str">
        <f>IFERROR(__xludf.DUMMYFUNCTION("""COMPUTED_VALUE"""),"")</f>
        <v/>
      </c>
      <c r="AC110" s="231" t="str">
        <f>IFERROR(__xludf.DUMMYFUNCTION("""COMPUTED_VALUE"""),"")</f>
        <v/>
      </c>
      <c r="AD110" s="232" t="str">
        <f>IFERROR(__xludf.DUMMYFUNCTION("""COMPUTED_VALUE"""),"")</f>
        <v/>
      </c>
      <c r="AE110" s="233" t="str">
        <f>IFERROR(__xludf.DUMMYFUNCTION("""COMPUTED_VALUE"""),"")</f>
        <v/>
      </c>
      <c r="AF110" s="231" t="str">
        <f>IFERROR(__xludf.DUMMYFUNCTION("""COMPUTED_VALUE"""),"")</f>
        <v/>
      </c>
      <c r="AG110" s="232" t="str">
        <f>IFERROR(__xludf.DUMMYFUNCTION("""COMPUTED_VALUE"""),"")</f>
        <v/>
      </c>
      <c r="AH110" s="233" t="str">
        <f>IFERROR(__xludf.DUMMYFUNCTION("""COMPUTED_VALUE"""),"")</f>
        <v/>
      </c>
      <c r="AI110" s="231" t="str">
        <f>IFERROR(__xludf.DUMMYFUNCTION("""COMPUTED_VALUE"""),"")</f>
        <v/>
      </c>
      <c r="AJ110" s="232" t="str">
        <f>IFERROR(__xludf.DUMMYFUNCTION("""COMPUTED_VALUE"""),"")</f>
        <v/>
      </c>
      <c r="AK110" s="233" t="str">
        <f>IFERROR(__xludf.DUMMYFUNCTION("""COMPUTED_VALUE"""),"")</f>
        <v/>
      </c>
      <c r="AL110" s="231" t="str">
        <f>IFERROR(__xludf.DUMMYFUNCTION("""COMPUTED_VALUE"""),"")</f>
        <v/>
      </c>
      <c r="AM110" s="232" t="str">
        <f>IFERROR(__xludf.DUMMYFUNCTION("""COMPUTED_VALUE"""),"")</f>
        <v/>
      </c>
      <c r="AN110" s="233" t="str">
        <f>IFERROR(__xludf.DUMMYFUNCTION("""COMPUTED_VALUE"""),"")</f>
        <v/>
      </c>
      <c r="AO110" s="231" t="str">
        <f>IFERROR(__xludf.DUMMYFUNCTION("""COMPUTED_VALUE"""),"")</f>
        <v/>
      </c>
      <c r="AP110" s="232" t="str">
        <f>IFERROR(__xludf.DUMMYFUNCTION("""COMPUTED_VALUE"""),"")</f>
        <v/>
      </c>
      <c r="AQ110" s="233" t="str">
        <f>IFERROR(__xludf.DUMMYFUNCTION("""COMPUTED_VALUE"""),"")</f>
        <v/>
      </c>
      <c r="AR110" s="231" t="str">
        <f>IFERROR(__xludf.DUMMYFUNCTION("""COMPUTED_VALUE"""),"")</f>
        <v/>
      </c>
      <c r="AS110" s="232" t="str">
        <f>IFERROR(__xludf.DUMMYFUNCTION("""COMPUTED_VALUE"""),"")</f>
        <v/>
      </c>
      <c r="AT110" s="233">
        <f>IFERROR(__xludf.DUMMYFUNCTION("""COMPUTED_VALUE"""),48.1)</f>
        <v>48.1</v>
      </c>
      <c r="AU110" s="231" t="str">
        <f>IFERROR(__xludf.DUMMYFUNCTION("""COMPUTED_VALUE"""),"")</f>
        <v/>
      </c>
      <c r="AV110" s="232" t="str">
        <f>IFERROR(__xludf.DUMMYFUNCTION("""COMPUTED_VALUE"""),"")</f>
        <v/>
      </c>
      <c r="AW110" s="233">
        <f>IFERROR(__xludf.DUMMYFUNCTION("""COMPUTED_VALUE"""),64.2)</f>
        <v>64.2</v>
      </c>
      <c r="AX110" s="231" t="str">
        <f>IFERROR(__xludf.DUMMYFUNCTION("""COMPUTED_VALUE"""),"")</f>
        <v/>
      </c>
      <c r="AY110" s="232" t="str">
        <f>IFERROR(__xludf.DUMMYFUNCTION("""COMPUTED_VALUE"""),"")</f>
        <v/>
      </c>
      <c r="AZ110" s="233" t="str">
        <f>IFERROR(__xludf.DUMMYFUNCTION("""COMPUTED_VALUE"""),"")</f>
        <v/>
      </c>
      <c r="BA110" s="231" t="str">
        <f>IFERROR(__xludf.DUMMYFUNCTION("""COMPUTED_VALUE"""),"")</f>
        <v/>
      </c>
      <c r="BB110" s="232" t="str">
        <f>IFERROR(__xludf.DUMMYFUNCTION("""COMPUTED_VALUE"""),"")</f>
        <v/>
      </c>
      <c r="BC110" s="233" t="str">
        <f>IFERROR(__xludf.DUMMYFUNCTION("""COMPUTED_VALUE"""),"")</f>
        <v/>
      </c>
      <c r="BD110" s="231" t="str">
        <f>IFERROR(__xludf.DUMMYFUNCTION("""COMPUTED_VALUE"""),"")</f>
        <v/>
      </c>
      <c r="BE110" s="232" t="str">
        <f>IFERROR(__xludf.DUMMYFUNCTION("""COMPUTED_VALUE"""),"")</f>
        <v/>
      </c>
      <c r="BF110" s="233" t="str">
        <f>IFERROR(__xludf.DUMMYFUNCTION("""COMPUTED_VALUE"""),"")</f>
        <v/>
      </c>
      <c r="BG110" s="231" t="str">
        <f>IFERROR(__xludf.DUMMYFUNCTION("""COMPUTED_VALUE"""),"")</f>
        <v/>
      </c>
      <c r="BH110" s="232" t="str">
        <f>IFERROR(__xludf.DUMMYFUNCTION("""COMPUTED_VALUE"""),"")</f>
        <v/>
      </c>
      <c r="BI110" s="233" t="str">
        <f>IFERROR(__xludf.DUMMYFUNCTION("""COMPUTED_VALUE"""),"")</f>
        <v/>
      </c>
      <c r="BJ110" s="231" t="str">
        <f>IFERROR(__xludf.DUMMYFUNCTION("""COMPUTED_VALUE"""),"")</f>
        <v/>
      </c>
      <c r="BK110" s="232" t="str">
        <f>IFERROR(__xludf.DUMMYFUNCTION("""COMPUTED_VALUE"""),"")</f>
        <v/>
      </c>
      <c r="BL110" s="233" t="str">
        <f>IFERROR(__xludf.DUMMYFUNCTION("""COMPUTED_VALUE"""),"")</f>
        <v/>
      </c>
      <c r="BM110" s="231" t="str">
        <f>IFERROR(__xludf.DUMMYFUNCTION("""COMPUTED_VALUE"""),"")</f>
        <v/>
      </c>
      <c r="BN110" s="232" t="str">
        <f>IFERROR(__xludf.DUMMYFUNCTION("""COMPUTED_VALUE"""),"")</f>
        <v/>
      </c>
      <c r="BO110" s="233" t="str">
        <f>IFERROR(__xludf.DUMMYFUNCTION("""COMPUTED_VALUE"""),"")</f>
        <v/>
      </c>
      <c r="BP110" s="231" t="str">
        <f>IFERROR(__xludf.DUMMYFUNCTION("""COMPUTED_VALUE"""),"")</f>
        <v/>
      </c>
      <c r="BQ110" s="232" t="str">
        <f>IFERROR(__xludf.DUMMYFUNCTION("""COMPUTED_VALUE"""),"")</f>
        <v/>
      </c>
      <c r="BR110" s="233">
        <f>IFERROR(__xludf.DUMMYFUNCTION("""COMPUTED_VALUE"""),8.4)</f>
        <v>8.4</v>
      </c>
      <c r="BS110" s="231">
        <f>IFERROR(__xludf.DUMMYFUNCTION("""COMPUTED_VALUE"""),8.5)</f>
        <v>8.5</v>
      </c>
      <c r="BT110" s="232" t="str">
        <f>IFERROR(__xludf.DUMMYFUNCTION("""COMPUTED_VALUE"""),"")</f>
        <v/>
      </c>
      <c r="BU110" s="233">
        <f>IFERROR(__xludf.DUMMYFUNCTION("""COMPUTED_VALUE"""),4.3)</f>
        <v>4.3</v>
      </c>
      <c r="BV110" s="231" t="str">
        <f>IFERROR(__xludf.DUMMYFUNCTION("""COMPUTED_VALUE"""),"")</f>
        <v/>
      </c>
      <c r="BW110" s="232" t="str">
        <f>IFERROR(__xludf.DUMMYFUNCTION("""COMPUTED_VALUE"""),"")</f>
        <v/>
      </c>
      <c r="BX110" s="233" t="str">
        <f>IFERROR(__xludf.DUMMYFUNCTION("""COMPUTED_VALUE"""),"")</f>
        <v/>
      </c>
      <c r="BY110" s="231" t="str">
        <f>IFERROR(__xludf.DUMMYFUNCTION("""COMPUTED_VALUE"""),"")</f>
        <v/>
      </c>
      <c r="BZ110" s="232">
        <f>IFERROR(__xludf.DUMMYFUNCTION("""COMPUTED_VALUE"""),3.5)</f>
        <v>3.5</v>
      </c>
      <c r="CA110" s="233" t="str">
        <f>IFERROR(__xludf.DUMMYFUNCTION("""COMPUTED_VALUE"""),"")</f>
        <v/>
      </c>
      <c r="CB110" s="231" t="str">
        <f>IFERROR(__xludf.DUMMYFUNCTION("""COMPUTED_VALUE"""),"")</f>
        <v/>
      </c>
      <c r="CC110" s="232" t="str">
        <f>IFERROR(__xludf.DUMMYFUNCTION("""COMPUTED_VALUE"""),"")</f>
        <v/>
      </c>
      <c r="CD110" s="233">
        <f>IFERROR(__xludf.DUMMYFUNCTION("""COMPUTED_VALUE"""),10.3)</f>
        <v>10.3</v>
      </c>
      <c r="CE110" s="234" t="str">
        <f>IFERROR(__xludf.DUMMYFUNCTION("""COMPUTED_VALUE"""),"")</f>
        <v/>
      </c>
      <c r="CF110" s="230" t="str">
        <f>IFERROR(__xludf.DUMMYFUNCTION("""COMPUTED_VALUE"""),"")</f>
        <v/>
      </c>
      <c r="CG110" s="235">
        <f>IFERROR(__xludf.DUMMYFUNCTION("""COMPUTED_VALUE"""),8.4)</f>
        <v>8.4</v>
      </c>
      <c r="CH110" s="234" t="str">
        <f>IFERROR(__xludf.DUMMYFUNCTION("""COMPUTED_VALUE"""),"")</f>
        <v/>
      </c>
      <c r="CI110" s="230" t="str">
        <f>IFERROR(__xludf.DUMMYFUNCTION("""COMPUTED_VALUE"""),"")</f>
        <v/>
      </c>
      <c r="CJ110" s="235" t="str">
        <f>IFERROR(__xludf.DUMMYFUNCTION("""COMPUTED_VALUE"""),"")</f>
        <v/>
      </c>
      <c r="CK110" s="95">
        <f>IFERROR(__xludf.DUMMYFUNCTION("""COMPUTED_VALUE"""),25.1)</f>
        <v>25.1</v>
      </c>
      <c r="CL110" s="96" t="str">
        <f>IFERROR(__xludf.DUMMYFUNCTION("""COMPUTED_VALUE"""),"")</f>
        <v/>
      </c>
      <c r="CM110" s="97" t="str">
        <f>IFERROR(__xludf.DUMMYFUNCTION("""COMPUTED_VALUE"""),"")</f>
        <v/>
      </c>
      <c r="CN110" s="95" t="str">
        <f>IFERROR(__xludf.DUMMYFUNCTION("""COMPUTED_VALUE"""),"")</f>
        <v/>
      </c>
      <c r="CO110" s="96" t="str">
        <f>IFERROR(__xludf.DUMMYFUNCTION("""COMPUTED_VALUE"""),"")</f>
        <v/>
      </c>
      <c r="CP110" s="97" t="str">
        <f>IFERROR(__xludf.DUMMYFUNCTION("""COMPUTED_VALUE"""),"")</f>
        <v/>
      </c>
      <c r="CQ110" s="95" t="str">
        <f>IFERROR(__xludf.DUMMYFUNCTION("""COMPUTED_VALUE"""),"")</f>
        <v/>
      </c>
      <c r="CR110" s="96" t="str">
        <f>IFERROR(__xludf.DUMMYFUNCTION("""COMPUTED_VALUE"""),"")</f>
        <v/>
      </c>
      <c r="CS110" s="97" t="str">
        <f>IFERROR(__xludf.DUMMYFUNCTION("""COMPUTED_VALUE"""),"#REF!")</f>
        <v>#REF!</v>
      </c>
      <c r="CT110" s="95" t="str">
        <f>IFERROR(__xludf.DUMMYFUNCTION("""COMPUTED_VALUE"""),"#REF!")</f>
        <v>#REF!</v>
      </c>
      <c r="CU110" s="96" t="str">
        <f>IFERROR(__xludf.DUMMYFUNCTION("""COMPUTED_VALUE"""),"#REF!")</f>
        <v>#REF!</v>
      </c>
      <c r="CV110" s="97" t="str">
        <f>IFERROR(__xludf.DUMMYFUNCTION("""COMPUTED_VALUE"""),"#REF!")</f>
        <v>#REF!</v>
      </c>
      <c r="CW110" s="95" t="str">
        <f>IFERROR(__xludf.DUMMYFUNCTION("""COMPUTED_VALUE"""),"#REF!")</f>
        <v>#REF!</v>
      </c>
      <c r="CX110" s="96" t="str">
        <f>IFERROR(__xludf.DUMMYFUNCTION("""COMPUTED_VALUE"""),"#REF!")</f>
        <v>#REF!</v>
      </c>
      <c r="CY110" s="97" t="str">
        <f>IFERROR(__xludf.DUMMYFUNCTION("""COMPUTED_VALUE"""),"#REF!")</f>
        <v>#REF!</v>
      </c>
      <c r="CZ110" s="95" t="str">
        <f>IFERROR(__xludf.DUMMYFUNCTION("""COMPUTED_VALUE"""),"#REF!")</f>
        <v>#REF!</v>
      </c>
      <c r="DA110" s="96" t="str">
        <f>IFERROR(__xludf.DUMMYFUNCTION("""COMPUTED_VALUE"""),"#REF!")</f>
        <v>#REF!</v>
      </c>
      <c r="DB110" s="97" t="str">
        <f>IFERROR(__xludf.DUMMYFUNCTION("""COMPUTED_VALUE"""),"#REF!")</f>
        <v>#REF!</v>
      </c>
      <c r="DC110" s="95" t="str">
        <f>IFERROR(__xludf.DUMMYFUNCTION("""COMPUTED_VALUE"""),"#REF!")</f>
        <v>#REF!</v>
      </c>
      <c r="DD110" s="96" t="str">
        <f>IFERROR(__xludf.DUMMYFUNCTION("""COMPUTED_VALUE"""),"#REF!")</f>
        <v>#REF!</v>
      </c>
      <c r="DE110" s="97" t="str">
        <f>IFERROR(__xludf.DUMMYFUNCTION("""COMPUTED_VALUE"""),"#REF!")</f>
        <v>#REF!</v>
      </c>
      <c r="DF110" s="95" t="str">
        <f>IFERROR(__xludf.DUMMYFUNCTION("""COMPUTED_VALUE"""),"#REF!")</f>
        <v>#REF!</v>
      </c>
      <c r="DG110" s="96" t="str">
        <f>IFERROR(__xludf.DUMMYFUNCTION("""COMPUTED_VALUE"""),"#REF!")</f>
        <v>#REF!</v>
      </c>
      <c r="DH110" s="97" t="str">
        <f>IFERROR(__xludf.DUMMYFUNCTION("""COMPUTED_VALUE"""),"#REF!")</f>
        <v>#REF!</v>
      </c>
      <c r="DI110" s="95" t="str">
        <f>IFERROR(__xludf.DUMMYFUNCTION("""COMPUTED_VALUE"""),"#REF!")</f>
        <v>#REF!</v>
      </c>
      <c r="DJ110" s="96" t="str">
        <f>IFERROR(__xludf.DUMMYFUNCTION("""COMPUTED_VALUE"""),"#REF!")</f>
        <v>#REF!</v>
      </c>
      <c r="DK110" s="97" t="str">
        <f>IFERROR(__xludf.DUMMYFUNCTION("""COMPUTED_VALUE"""),"#REF!")</f>
        <v>#REF!</v>
      </c>
      <c r="DL110" s="95" t="str">
        <f>IFERROR(__xludf.DUMMYFUNCTION("""COMPUTED_VALUE"""),"#REF!")</f>
        <v>#REF!</v>
      </c>
      <c r="DM110" s="96" t="str">
        <f>IFERROR(__xludf.DUMMYFUNCTION("""COMPUTED_VALUE"""),"#REF!")</f>
        <v>#REF!</v>
      </c>
      <c r="DN110" s="97" t="str">
        <f>IFERROR(__xludf.DUMMYFUNCTION("""COMPUTED_VALUE"""),"#REF!")</f>
        <v>#REF!</v>
      </c>
      <c r="DO110" s="95" t="str">
        <f>IFERROR(__xludf.DUMMYFUNCTION("""COMPUTED_VALUE"""),"#REF!")</f>
        <v>#REF!</v>
      </c>
      <c r="DP110" s="96" t="str">
        <f>IFERROR(__xludf.DUMMYFUNCTION("""COMPUTED_VALUE"""),"#REF!")</f>
        <v>#REF!</v>
      </c>
      <c r="DQ110" s="97"/>
      <c r="DR110" s="95"/>
    </row>
    <row r="111">
      <c r="B111" s="120" t="str">
        <f>IFERROR(__xludf.DUMMYFUNCTION("""COMPUTED_VALUE"""),"EPU13")</f>
        <v>EPU13</v>
      </c>
      <c r="C111" s="82">
        <f>IFERROR(__xludf.DUMMYFUNCTION("""COMPUTED_VALUE"""),98.0)</f>
        <v>98</v>
      </c>
      <c r="D111" s="88" t="str">
        <f>IFERROR(__xludf.DUMMYFUNCTION("""COMPUTED_VALUE"""),"Washington")</f>
        <v>Washington</v>
      </c>
      <c r="E111" s="82" t="str">
        <f>IFERROR(__xludf.DUMMYFUNCTION("""COMPUTED_VALUE"""),"ワシントン")</f>
        <v>ワシントン</v>
      </c>
      <c r="F111" s="102">
        <f>IFERROR(__xludf.DUMMYFUNCTION("""COMPUTED_VALUE"""),20.0)</f>
        <v>20</v>
      </c>
      <c r="G111" s="82">
        <f>IFERROR(__xludf.DUMMYFUNCTION("""COMPUTED_VALUE"""),1551.0)</f>
        <v>1551</v>
      </c>
      <c r="H111" s="231" t="str">
        <f>IFERROR(__xludf.DUMMYFUNCTION("""COMPUTED_VALUE"""),"")</f>
        <v/>
      </c>
      <c r="I111" s="232" t="str">
        <f>IFERROR(__xludf.DUMMYFUNCTION("""COMPUTED_VALUE"""),"")</f>
        <v/>
      </c>
      <c r="J111" s="233" t="str">
        <f>IFERROR(__xludf.DUMMYFUNCTION("""COMPUTED_VALUE"""),"")</f>
        <v/>
      </c>
      <c r="K111" s="231">
        <f>IFERROR(__xludf.DUMMYFUNCTION("""COMPUTED_VALUE"""),8.3)</f>
        <v>8.3</v>
      </c>
      <c r="L111" s="232" t="str">
        <f>IFERROR(__xludf.DUMMYFUNCTION("""COMPUTED_VALUE"""),"")</f>
        <v/>
      </c>
      <c r="M111" s="233" t="str">
        <f>IFERROR(__xludf.DUMMYFUNCTION("""COMPUTED_VALUE"""),"")</f>
        <v/>
      </c>
      <c r="N111" s="231" t="str">
        <f>IFERROR(__xludf.DUMMYFUNCTION("""COMPUTED_VALUE"""),"")</f>
        <v/>
      </c>
      <c r="O111" s="232" t="str">
        <f>IFERROR(__xludf.DUMMYFUNCTION("""COMPUTED_VALUE"""),"")</f>
        <v/>
      </c>
      <c r="P111" s="233" t="str">
        <f>IFERROR(__xludf.DUMMYFUNCTION("""COMPUTED_VALUE"""),"")</f>
        <v/>
      </c>
      <c r="Q111" s="231" t="str">
        <f>IFERROR(__xludf.DUMMYFUNCTION("""COMPUTED_VALUE"""),"")</f>
        <v/>
      </c>
      <c r="R111" s="232" t="str">
        <f>IFERROR(__xludf.DUMMYFUNCTION("""COMPUTED_VALUE"""),"")</f>
        <v/>
      </c>
      <c r="S111" s="233" t="str">
        <f>IFERROR(__xludf.DUMMYFUNCTION("""COMPUTED_VALUE"""),"")</f>
        <v/>
      </c>
      <c r="T111" s="231" t="str">
        <f>IFERROR(__xludf.DUMMYFUNCTION("""COMPUTED_VALUE"""),"")</f>
        <v/>
      </c>
      <c r="U111" s="232" t="str">
        <f>IFERROR(__xludf.DUMMYFUNCTION("""COMPUTED_VALUE"""),"")</f>
        <v/>
      </c>
      <c r="V111" s="233" t="str">
        <f>IFERROR(__xludf.DUMMYFUNCTION("""COMPUTED_VALUE"""),"")</f>
        <v/>
      </c>
      <c r="W111" s="231" t="str">
        <f>IFERROR(__xludf.DUMMYFUNCTION("""COMPUTED_VALUE"""),"")</f>
        <v/>
      </c>
      <c r="X111" s="232" t="str">
        <f>IFERROR(__xludf.DUMMYFUNCTION("""COMPUTED_VALUE"""),"")</f>
        <v/>
      </c>
      <c r="Y111" s="233" t="str">
        <f>IFERROR(__xludf.DUMMYFUNCTION("""COMPUTED_VALUE"""),"")</f>
        <v/>
      </c>
      <c r="Z111" s="231" t="str">
        <f>IFERROR(__xludf.DUMMYFUNCTION("""COMPUTED_VALUE"""),"")</f>
        <v/>
      </c>
      <c r="AA111" s="232" t="str">
        <f>IFERROR(__xludf.DUMMYFUNCTION("""COMPUTED_VALUE"""),"")</f>
        <v/>
      </c>
      <c r="AB111" s="233" t="str">
        <f>IFERROR(__xludf.DUMMYFUNCTION("""COMPUTED_VALUE"""),"")</f>
        <v/>
      </c>
      <c r="AC111" s="231" t="str">
        <f>IFERROR(__xludf.DUMMYFUNCTION("""COMPUTED_VALUE"""),"")</f>
        <v/>
      </c>
      <c r="AD111" s="232" t="str">
        <f>IFERROR(__xludf.DUMMYFUNCTION("""COMPUTED_VALUE"""),"")</f>
        <v/>
      </c>
      <c r="AE111" s="233" t="str">
        <f>IFERROR(__xludf.DUMMYFUNCTION("""COMPUTED_VALUE"""),"")</f>
        <v/>
      </c>
      <c r="AF111" s="231" t="str">
        <f>IFERROR(__xludf.DUMMYFUNCTION("""COMPUTED_VALUE"""),"")</f>
        <v/>
      </c>
      <c r="AG111" s="232" t="str">
        <f>IFERROR(__xludf.DUMMYFUNCTION("""COMPUTED_VALUE"""),"")</f>
        <v/>
      </c>
      <c r="AH111" s="233" t="str">
        <f>IFERROR(__xludf.DUMMYFUNCTION("""COMPUTED_VALUE"""),"")</f>
        <v/>
      </c>
      <c r="AI111" s="231" t="str">
        <f>IFERROR(__xludf.DUMMYFUNCTION("""COMPUTED_VALUE"""),"")</f>
        <v/>
      </c>
      <c r="AJ111" s="232" t="str">
        <f>IFERROR(__xludf.DUMMYFUNCTION("""COMPUTED_VALUE"""),"")</f>
        <v/>
      </c>
      <c r="AK111" s="233" t="str">
        <f>IFERROR(__xludf.DUMMYFUNCTION("""COMPUTED_VALUE"""),"")</f>
        <v/>
      </c>
      <c r="AL111" s="231" t="str">
        <f>IFERROR(__xludf.DUMMYFUNCTION("""COMPUTED_VALUE"""),"")</f>
        <v/>
      </c>
      <c r="AM111" s="232" t="str">
        <f>IFERROR(__xludf.DUMMYFUNCTION("""COMPUTED_VALUE"""),"")</f>
        <v/>
      </c>
      <c r="AN111" s="233" t="str">
        <f>IFERROR(__xludf.DUMMYFUNCTION("""COMPUTED_VALUE"""),"")</f>
        <v/>
      </c>
      <c r="AO111" s="231" t="str">
        <f>IFERROR(__xludf.DUMMYFUNCTION("""COMPUTED_VALUE"""),"")</f>
        <v/>
      </c>
      <c r="AP111" s="232" t="str">
        <f>IFERROR(__xludf.DUMMYFUNCTION("""COMPUTED_VALUE"""),"")</f>
        <v/>
      </c>
      <c r="AQ111" s="233" t="str">
        <f>IFERROR(__xludf.DUMMYFUNCTION("""COMPUTED_VALUE"""),"")</f>
        <v/>
      </c>
      <c r="AR111" s="231" t="str">
        <f>IFERROR(__xludf.DUMMYFUNCTION("""COMPUTED_VALUE"""),"")</f>
        <v/>
      </c>
      <c r="AS111" s="232" t="str">
        <f>IFERROR(__xludf.DUMMYFUNCTION("""COMPUTED_VALUE"""),"")</f>
        <v/>
      </c>
      <c r="AT111" s="233">
        <f>IFERROR(__xludf.DUMMYFUNCTION("""COMPUTED_VALUE"""),52.7)</f>
        <v>52.7</v>
      </c>
      <c r="AU111" s="231" t="str">
        <f>IFERROR(__xludf.DUMMYFUNCTION("""COMPUTED_VALUE"""),"")</f>
        <v/>
      </c>
      <c r="AV111" s="232" t="str">
        <f>IFERROR(__xludf.DUMMYFUNCTION("""COMPUTED_VALUE"""),"")</f>
        <v/>
      </c>
      <c r="AW111" s="233" t="str">
        <f>IFERROR(__xludf.DUMMYFUNCTION("""COMPUTED_VALUE"""),"")</f>
        <v/>
      </c>
      <c r="AX111" s="231" t="str">
        <f>IFERROR(__xludf.DUMMYFUNCTION("""COMPUTED_VALUE"""),"")</f>
        <v/>
      </c>
      <c r="AY111" s="232" t="str">
        <f>IFERROR(__xludf.DUMMYFUNCTION("""COMPUTED_VALUE"""),"")</f>
        <v/>
      </c>
      <c r="AZ111" s="233" t="str">
        <f>IFERROR(__xludf.DUMMYFUNCTION("""COMPUTED_VALUE"""),"")</f>
        <v/>
      </c>
      <c r="BA111" s="231" t="str">
        <f>IFERROR(__xludf.DUMMYFUNCTION("""COMPUTED_VALUE"""),"")</f>
        <v/>
      </c>
      <c r="BB111" s="232" t="str">
        <f>IFERROR(__xludf.DUMMYFUNCTION("""COMPUTED_VALUE"""),"")</f>
        <v/>
      </c>
      <c r="BC111" s="233">
        <f>IFERROR(__xludf.DUMMYFUNCTION("""COMPUTED_VALUE"""),3.2)</f>
        <v>3.2</v>
      </c>
      <c r="BD111" s="231" t="str">
        <f>IFERROR(__xludf.DUMMYFUNCTION("""COMPUTED_VALUE"""),"")</f>
        <v/>
      </c>
      <c r="BE111" s="232" t="str">
        <f>IFERROR(__xludf.DUMMYFUNCTION("""COMPUTED_VALUE"""),"")</f>
        <v/>
      </c>
      <c r="BF111" s="233" t="str">
        <f>IFERROR(__xludf.DUMMYFUNCTION("""COMPUTED_VALUE"""),"")</f>
        <v/>
      </c>
      <c r="BG111" s="231" t="str">
        <f>IFERROR(__xludf.DUMMYFUNCTION("""COMPUTED_VALUE"""),"")</f>
        <v/>
      </c>
      <c r="BH111" s="232" t="str">
        <f>IFERROR(__xludf.DUMMYFUNCTION("""COMPUTED_VALUE"""),"")</f>
        <v/>
      </c>
      <c r="BI111" s="233" t="str">
        <f>IFERROR(__xludf.DUMMYFUNCTION("""COMPUTED_VALUE"""),"")</f>
        <v/>
      </c>
      <c r="BJ111" s="231" t="str">
        <f>IFERROR(__xludf.DUMMYFUNCTION("""COMPUTED_VALUE"""),"")</f>
        <v/>
      </c>
      <c r="BK111" s="232" t="str">
        <f>IFERROR(__xludf.DUMMYFUNCTION("""COMPUTED_VALUE"""),"")</f>
        <v/>
      </c>
      <c r="BL111" s="233" t="str">
        <f>IFERROR(__xludf.DUMMYFUNCTION("""COMPUTED_VALUE"""),"")</f>
        <v/>
      </c>
      <c r="BM111" s="231" t="str">
        <f>IFERROR(__xludf.DUMMYFUNCTION("""COMPUTED_VALUE"""),"")</f>
        <v/>
      </c>
      <c r="BN111" s="232" t="str">
        <f>IFERROR(__xludf.DUMMYFUNCTION("""COMPUTED_VALUE"""),"")</f>
        <v/>
      </c>
      <c r="BO111" s="233" t="str">
        <f>IFERROR(__xludf.DUMMYFUNCTION("""COMPUTED_VALUE"""),"")</f>
        <v/>
      </c>
      <c r="BP111" s="231" t="str">
        <f>IFERROR(__xludf.DUMMYFUNCTION("""COMPUTED_VALUE"""),"")</f>
        <v/>
      </c>
      <c r="BQ111" s="232">
        <f>IFERROR(__xludf.DUMMYFUNCTION("""COMPUTED_VALUE"""),14.0)</f>
        <v>14</v>
      </c>
      <c r="BR111" s="233">
        <f>IFERROR(__xludf.DUMMYFUNCTION("""COMPUTED_VALUE"""),5.4)</f>
        <v>5.4</v>
      </c>
      <c r="BS111" s="231">
        <f>IFERROR(__xludf.DUMMYFUNCTION("""COMPUTED_VALUE"""),4.5)</f>
        <v>4.5</v>
      </c>
      <c r="BT111" s="232" t="str">
        <f>IFERROR(__xludf.DUMMYFUNCTION("""COMPUTED_VALUE"""),"")</f>
        <v/>
      </c>
      <c r="BU111" s="233">
        <f>IFERROR(__xludf.DUMMYFUNCTION("""COMPUTED_VALUE"""),5.9)</f>
        <v>5.9</v>
      </c>
      <c r="BV111" s="231" t="str">
        <f>IFERROR(__xludf.DUMMYFUNCTION("""COMPUTED_VALUE"""),"")</f>
        <v/>
      </c>
      <c r="BW111" s="232" t="str">
        <f>IFERROR(__xludf.DUMMYFUNCTION("""COMPUTED_VALUE"""),"")</f>
        <v/>
      </c>
      <c r="BX111" s="233" t="str">
        <f>IFERROR(__xludf.DUMMYFUNCTION("""COMPUTED_VALUE"""),"")</f>
        <v/>
      </c>
      <c r="BY111" s="231" t="str">
        <f>IFERROR(__xludf.DUMMYFUNCTION("""COMPUTED_VALUE"""),"")</f>
        <v/>
      </c>
      <c r="BZ111" s="232" t="str">
        <f>IFERROR(__xludf.DUMMYFUNCTION("""COMPUTED_VALUE"""),"")</f>
        <v/>
      </c>
      <c r="CA111" s="233" t="str">
        <f>IFERROR(__xludf.DUMMYFUNCTION("""COMPUTED_VALUE"""),"")</f>
        <v/>
      </c>
      <c r="CB111" s="231" t="str">
        <f>IFERROR(__xludf.DUMMYFUNCTION("""COMPUTED_VALUE"""),"")</f>
        <v/>
      </c>
      <c r="CC111" s="232" t="str">
        <f>IFERROR(__xludf.DUMMYFUNCTION("""COMPUTED_VALUE"""),"")</f>
        <v/>
      </c>
      <c r="CD111" s="233" t="str">
        <f>IFERROR(__xludf.DUMMYFUNCTION("""COMPUTED_VALUE"""),"")</f>
        <v/>
      </c>
      <c r="CE111" s="234" t="str">
        <f>IFERROR(__xludf.DUMMYFUNCTION("""COMPUTED_VALUE"""),"")</f>
        <v/>
      </c>
      <c r="CF111" s="230" t="str">
        <f>IFERROR(__xludf.DUMMYFUNCTION("""COMPUTED_VALUE"""),"")</f>
        <v/>
      </c>
      <c r="CG111" s="235" t="str">
        <f>IFERROR(__xludf.DUMMYFUNCTION("""COMPUTED_VALUE"""),"")</f>
        <v/>
      </c>
      <c r="CH111" s="234" t="str">
        <f>IFERROR(__xludf.DUMMYFUNCTION("""COMPUTED_VALUE"""),"")</f>
        <v/>
      </c>
      <c r="CI111" s="230" t="str">
        <f>IFERROR(__xludf.DUMMYFUNCTION("""COMPUTED_VALUE"""),"")</f>
        <v/>
      </c>
      <c r="CJ111" s="235" t="str">
        <f>IFERROR(__xludf.DUMMYFUNCTION("""COMPUTED_VALUE"""),"")</f>
        <v/>
      </c>
      <c r="CK111" s="95" t="str">
        <f>IFERROR(__xludf.DUMMYFUNCTION("""COMPUTED_VALUE"""),"")</f>
        <v/>
      </c>
      <c r="CL111" s="96">
        <f>IFERROR(__xludf.DUMMYFUNCTION("""COMPUTED_VALUE"""),87.8)</f>
        <v>87.8</v>
      </c>
      <c r="CM111" s="97" t="str">
        <f>IFERROR(__xludf.DUMMYFUNCTION("""COMPUTED_VALUE"""),"")</f>
        <v/>
      </c>
      <c r="CN111" s="95" t="str">
        <f>IFERROR(__xludf.DUMMYFUNCTION("""COMPUTED_VALUE"""),"")</f>
        <v/>
      </c>
      <c r="CO111" s="96" t="str">
        <f>IFERROR(__xludf.DUMMYFUNCTION("""COMPUTED_VALUE"""),"")</f>
        <v/>
      </c>
      <c r="CP111" s="97" t="str">
        <f>IFERROR(__xludf.DUMMYFUNCTION("""COMPUTED_VALUE"""),"")</f>
        <v/>
      </c>
      <c r="CQ111" s="95" t="str">
        <f>IFERROR(__xludf.DUMMYFUNCTION("""COMPUTED_VALUE"""),"")</f>
        <v/>
      </c>
      <c r="CR111" s="96" t="str">
        <f>IFERROR(__xludf.DUMMYFUNCTION("""COMPUTED_VALUE"""),"")</f>
        <v/>
      </c>
      <c r="CS111" s="97" t="str">
        <f>IFERROR(__xludf.DUMMYFUNCTION("""COMPUTED_VALUE"""),"#REF!")</f>
        <v>#REF!</v>
      </c>
      <c r="CT111" s="95" t="str">
        <f>IFERROR(__xludf.DUMMYFUNCTION("""COMPUTED_VALUE"""),"#REF!")</f>
        <v>#REF!</v>
      </c>
      <c r="CU111" s="96" t="str">
        <f>IFERROR(__xludf.DUMMYFUNCTION("""COMPUTED_VALUE"""),"#REF!")</f>
        <v>#REF!</v>
      </c>
      <c r="CV111" s="97" t="str">
        <f>IFERROR(__xludf.DUMMYFUNCTION("""COMPUTED_VALUE"""),"#REF!")</f>
        <v>#REF!</v>
      </c>
      <c r="CW111" s="95" t="str">
        <f>IFERROR(__xludf.DUMMYFUNCTION("""COMPUTED_VALUE"""),"#REF!")</f>
        <v>#REF!</v>
      </c>
      <c r="CX111" s="96" t="str">
        <f>IFERROR(__xludf.DUMMYFUNCTION("""COMPUTED_VALUE"""),"#REF!")</f>
        <v>#REF!</v>
      </c>
      <c r="CY111" s="97" t="str">
        <f>IFERROR(__xludf.DUMMYFUNCTION("""COMPUTED_VALUE"""),"#REF!")</f>
        <v>#REF!</v>
      </c>
      <c r="CZ111" s="95" t="str">
        <f>IFERROR(__xludf.DUMMYFUNCTION("""COMPUTED_VALUE"""),"#REF!")</f>
        <v>#REF!</v>
      </c>
      <c r="DA111" s="96" t="str">
        <f>IFERROR(__xludf.DUMMYFUNCTION("""COMPUTED_VALUE"""),"#REF!")</f>
        <v>#REF!</v>
      </c>
      <c r="DB111" s="97" t="str">
        <f>IFERROR(__xludf.DUMMYFUNCTION("""COMPUTED_VALUE"""),"#REF!")</f>
        <v>#REF!</v>
      </c>
      <c r="DC111" s="95" t="str">
        <f>IFERROR(__xludf.DUMMYFUNCTION("""COMPUTED_VALUE"""),"#REF!")</f>
        <v>#REF!</v>
      </c>
      <c r="DD111" s="96" t="str">
        <f>IFERROR(__xludf.DUMMYFUNCTION("""COMPUTED_VALUE"""),"#REF!")</f>
        <v>#REF!</v>
      </c>
      <c r="DE111" s="97" t="str">
        <f>IFERROR(__xludf.DUMMYFUNCTION("""COMPUTED_VALUE"""),"#REF!")</f>
        <v>#REF!</v>
      </c>
      <c r="DF111" s="95" t="str">
        <f>IFERROR(__xludf.DUMMYFUNCTION("""COMPUTED_VALUE"""),"#REF!")</f>
        <v>#REF!</v>
      </c>
      <c r="DG111" s="96" t="str">
        <f>IFERROR(__xludf.DUMMYFUNCTION("""COMPUTED_VALUE"""),"#REF!")</f>
        <v>#REF!</v>
      </c>
      <c r="DH111" s="97" t="str">
        <f>IFERROR(__xludf.DUMMYFUNCTION("""COMPUTED_VALUE"""),"#REF!")</f>
        <v>#REF!</v>
      </c>
      <c r="DI111" s="95" t="str">
        <f>IFERROR(__xludf.DUMMYFUNCTION("""COMPUTED_VALUE"""),"#REF!")</f>
        <v>#REF!</v>
      </c>
      <c r="DJ111" s="96" t="str">
        <f>IFERROR(__xludf.DUMMYFUNCTION("""COMPUTED_VALUE"""),"#REF!")</f>
        <v>#REF!</v>
      </c>
      <c r="DK111" s="97" t="str">
        <f>IFERROR(__xludf.DUMMYFUNCTION("""COMPUTED_VALUE"""),"#REF!")</f>
        <v>#REF!</v>
      </c>
      <c r="DL111" s="95" t="str">
        <f>IFERROR(__xludf.DUMMYFUNCTION("""COMPUTED_VALUE"""),"#REF!")</f>
        <v>#REF!</v>
      </c>
      <c r="DM111" s="96" t="str">
        <f>IFERROR(__xludf.DUMMYFUNCTION("""COMPUTED_VALUE"""),"#REF!")</f>
        <v>#REF!</v>
      </c>
      <c r="DN111" s="97" t="str">
        <f>IFERROR(__xludf.DUMMYFUNCTION("""COMPUTED_VALUE"""),"#REF!")</f>
        <v>#REF!</v>
      </c>
      <c r="DO111" s="95" t="str">
        <f>IFERROR(__xludf.DUMMYFUNCTION("""COMPUTED_VALUE"""),"#REF!")</f>
        <v>#REF!</v>
      </c>
      <c r="DP111" s="96" t="str">
        <f>IFERROR(__xludf.DUMMYFUNCTION("""COMPUTED_VALUE"""),"#REF!")</f>
        <v>#REF!</v>
      </c>
      <c r="DQ111" s="97"/>
      <c r="DR111" s="95"/>
    </row>
    <row r="112">
      <c r="B112" s="120" t="str">
        <f>IFERROR(__xludf.DUMMYFUNCTION("""COMPUTED_VALUE"""),"EPU14")</f>
        <v>EPU14</v>
      </c>
      <c r="C112" s="82">
        <f>IFERROR(__xludf.DUMMYFUNCTION("""COMPUTED_VALUE"""),99.0)</f>
        <v>99</v>
      </c>
      <c r="D112" s="88" t="str">
        <f>IFERROR(__xludf.DUMMYFUNCTION("""COMPUTED_VALUE"""),"Chicago")</f>
        <v>Chicago</v>
      </c>
      <c r="E112" s="82" t="str">
        <f>IFERROR(__xludf.DUMMYFUNCTION("""COMPUTED_VALUE"""),"シカゴ")</f>
        <v>シカゴ</v>
      </c>
      <c r="F112" s="102">
        <f>IFERROR(__xludf.DUMMYFUNCTION("""COMPUTED_VALUE"""),21.0)</f>
        <v>21</v>
      </c>
      <c r="G112" s="82">
        <f>IFERROR(__xludf.DUMMYFUNCTION("""COMPUTED_VALUE"""),3494.0)</f>
        <v>3494</v>
      </c>
      <c r="H112" s="231" t="str">
        <f>IFERROR(__xludf.DUMMYFUNCTION("""COMPUTED_VALUE"""),"")</f>
        <v/>
      </c>
      <c r="I112" s="232" t="str">
        <f>IFERROR(__xludf.DUMMYFUNCTION("""COMPUTED_VALUE"""),"")</f>
        <v/>
      </c>
      <c r="J112" s="233" t="str">
        <f>IFERROR(__xludf.DUMMYFUNCTION("""COMPUTED_VALUE"""),"")</f>
        <v/>
      </c>
      <c r="K112" s="231" t="str">
        <f>IFERROR(__xludf.DUMMYFUNCTION("""COMPUTED_VALUE"""),"")</f>
        <v/>
      </c>
      <c r="L112" s="232" t="str">
        <f>IFERROR(__xludf.DUMMYFUNCTION("""COMPUTED_VALUE"""),"")</f>
        <v/>
      </c>
      <c r="M112" s="233" t="str">
        <f>IFERROR(__xludf.DUMMYFUNCTION("""COMPUTED_VALUE"""),"")</f>
        <v/>
      </c>
      <c r="N112" s="231" t="str">
        <f>IFERROR(__xludf.DUMMYFUNCTION("""COMPUTED_VALUE"""),"")</f>
        <v/>
      </c>
      <c r="O112" s="232" t="str">
        <f>IFERROR(__xludf.DUMMYFUNCTION("""COMPUTED_VALUE"""),"")</f>
        <v/>
      </c>
      <c r="P112" s="233" t="str">
        <f>IFERROR(__xludf.DUMMYFUNCTION("""COMPUTED_VALUE"""),"")</f>
        <v/>
      </c>
      <c r="Q112" s="231" t="str">
        <f>IFERROR(__xludf.DUMMYFUNCTION("""COMPUTED_VALUE"""),"")</f>
        <v/>
      </c>
      <c r="R112" s="232" t="str">
        <f>IFERROR(__xludf.DUMMYFUNCTION("""COMPUTED_VALUE"""),"")</f>
        <v/>
      </c>
      <c r="S112" s="233" t="str">
        <f>IFERROR(__xludf.DUMMYFUNCTION("""COMPUTED_VALUE"""),"")</f>
        <v/>
      </c>
      <c r="T112" s="231" t="str">
        <f>IFERROR(__xludf.DUMMYFUNCTION("""COMPUTED_VALUE"""),"")</f>
        <v/>
      </c>
      <c r="U112" s="232" t="str">
        <f>IFERROR(__xludf.DUMMYFUNCTION("""COMPUTED_VALUE"""),"")</f>
        <v/>
      </c>
      <c r="V112" s="233" t="str">
        <f>IFERROR(__xludf.DUMMYFUNCTION("""COMPUTED_VALUE"""),"")</f>
        <v/>
      </c>
      <c r="W112" s="231" t="str">
        <f>IFERROR(__xludf.DUMMYFUNCTION("""COMPUTED_VALUE"""),"")</f>
        <v/>
      </c>
      <c r="X112" s="232" t="str">
        <f>IFERROR(__xludf.DUMMYFUNCTION("""COMPUTED_VALUE"""),"")</f>
        <v/>
      </c>
      <c r="Y112" s="233" t="str">
        <f>IFERROR(__xludf.DUMMYFUNCTION("""COMPUTED_VALUE"""),"")</f>
        <v/>
      </c>
      <c r="Z112" s="231" t="str">
        <f>IFERROR(__xludf.DUMMYFUNCTION("""COMPUTED_VALUE"""),"")</f>
        <v/>
      </c>
      <c r="AA112" s="232" t="str">
        <f>IFERROR(__xludf.DUMMYFUNCTION("""COMPUTED_VALUE"""),"")</f>
        <v/>
      </c>
      <c r="AB112" s="233" t="str">
        <f>IFERROR(__xludf.DUMMYFUNCTION("""COMPUTED_VALUE"""),"")</f>
        <v/>
      </c>
      <c r="AC112" s="231" t="str">
        <f>IFERROR(__xludf.DUMMYFUNCTION("""COMPUTED_VALUE"""),"")</f>
        <v/>
      </c>
      <c r="AD112" s="232" t="str">
        <f>IFERROR(__xludf.DUMMYFUNCTION("""COMPUTED_VALUE"""),"")</f>
        <v/>
      </c>
      <c r="AE112" s="233">
        <f>IFERROR(__xludf.DUMMYFUNCTION("""COMPUTED_VALUE"""),40.4)</f>
        <v>40.4</v>
      </c>
      <c r="AF112" s="231" t="str">
        <f>IFERROR(__xludf.DUMMYFUNCTION("""COMPUTED_VALUE"""),"")</f>
        <v/>
      </c>
      <c r="AG112" s="232" t="str">
        <f>IFERROR(__xludf.DUMMYFUNCTION("""COMPUTED_VALUE"""),"")</f>
        <v/>
      </c>
      <c r="AH112" s="233" t="str">
        <f>IFERROR(__xludf.DUMMYFUNCTION("""COMPUTED_VALUE"""),"")</f>
        <v/>
      </c>
      <c r="AI112" s="231" t="str">
        <f>IFERROR(__xludf.DUMMYFUNCTION("""COMPUTED_VALUE"""),"")</f>
        <v/>
      </c>
      <c r="AJ112" s="232" t="str">
        <f>IFERROR(__xludf.DUMMYFUNCTION("""COMPUTED_VALUE"""),"")</f>
        <v/>
      </c>
      <c r="AK112" s="233" t="str">
        <f>IFERROR(__xludf.DUMMYFUNCTION("""COMPUTED_VALUE"""),"")</f>
        <v/>
      </c>
      <c r="AL112" s="231" t="str">
        <f>IFERROR(__xludf.DUMMYFUNCTION("""COMPUTED_VALUE"""),"")</f>
        <v/>
      </c>
      <c r="AM112" s="232" t="str">
        <f>IFERROR(__xludf.DUMMYFUNCTION("""COMPUTED_VALUE"""),"")</f>
        <v/>
      </c>
      <c r="AN112" s="233" t="str">
        <f>IFERROR(__xludf.DUMMYFUNCTION("""COMPUTED_VALUE"""),"")</f>
        <v/>
      </c>
      <c r="AO112" s="231" t="str">
        <f>IFERROR(__xludf.DUMMYFUNCTION("""COMPUTED_VALUE"""),"")</f>
        <v/>
      </c>
      <c r="AP112" s="232" t="str">
        <f>IFERROR(__xludf.DUMMYFUNCTION("""COMPUTED_VALUE"""),"")</f>
        <v/>
      </c>
      <c r="AQ112" s="233" t="str">
        <f>IFERROR(__xludf.DUMMYFUNCTION("""COMPUTED_VALUE"""),"")</f>
        <v/>
      </c>
      <c r="AR112" s="231" t="str">
        <f>IFERROR(__xludf.DUMMYFUNCTION("""COMPUTED_VALUE"""),"")</f>
        <v/>
      </c>
      <c r="AS112" s="232" t="str">
        <f>IFERROR(__xludf.DUMMYFUNCTION("""COMPUTED_VALUE"""),"")</f>
        <v/>
      </c>
      <c r="AT112" s="233" t="str">
        <f>IFERROR(__xludf.DUMMYFUNCTION("""COMPUTED_VALUE"""),"")</f>
        <v/>
      </c>
      <c r="AU112" s="231" t="str">
        <f>IFERROR(__xludf.DUMMYFUNCTION("""COMPUTED_VALUE"""),"")</f>
        <v/>
      </c>
      <c r="AV112" s="232" t="str">
        <f>IFERROR(__xludf.DUMMYFUNCTION("""COMPUTED_VALUE"""),"")</f>
        <v/>
      </c>
      <c r="AW112" s="233" t="str">
        <f>IFERROR(__xludf.DUMMYFUNCTION("""COMPUTED_VALUE"""),"")</f>
        <v/>
      </c>
      <c r="AX112" s="231" t="str">
        <f>IFERROR(__xludf.DUMMYFUNCTION("""COMPUTED_VALUE"""),"")</f>
        <v/>
      </c>
      <c r="AY112" s="232" t="str">
        <f>IFERROR(__xludf.DUMMYFUNCTION("""COMPUTED_VALUE"""),"")</f>
        <v/>
      </c>
      <c r="AZ112" s="233" t="str">
        <f>IFERROR(__xludf.DUMMYFUNCTION("""COMPUTED_VALUE"""),"")</f>
        <v/>
      </c>
      <c r="BA112" s="231" t="str">
        <f>IFERROR(__xludf.DUMMYFUNCTION("""COMPUTED_VALUE"""),"")</f>
        <v/>
      </c>
      <c r="BB112" s="232" t="str">
        <f>IFERROR(__xludf.DUMMYFUNCTION("""COMPUTED_VALUE"""),"")</f>
        <v/>
      </c>
      <c r="BC112" s="233" t="str">
        <f>IFERROR(__xludf.DUMMYFUNCTION("""COMPUTED_VALUE"""),"")</f>
        <v/>
      </c>
      <c r="BD112" s="231">
        <f>IFERROR(__xludf.DUMMYFUNCTION("""COMPUTED_VALUE"""),3.8)</f>
        <v>3.8</v>
      </c>
      <c r="BE112" s="232" t="str">
        <f>IFERROR(__xludf.DUMMYFUNCTION("""COMPUTED_VALUE"""),"")</f>
        <v/>
      </c>
      <c r="BF112" s="233" t="str">
        <f>IFERROR(__xludf.DUMMYFUNCTION("""COMPUTED_VALUE"""),"")</f>
        <v/>
      </c>
      <c r="BG112" s="231" t="str">
        <f>IFERROR(__xludf.DUMMYFUNCTION("""COMPUTED_VALUE"""),"")</f>
        <v/>
      </c>
      <c r="BH112" s="232" t="str">
        <f>IFERROR(__xludf.DUMMYFUNCTION("""COMPUTED_VALUE"""),"")</f>
        <v/>
      </c>
      <c r="BI112" s="233" t="str">
        <f>IFERROR(__xludf.DUMMYFUNCTION("""COMPUTED_VALUE"""),"")</f>
        <v/>
      </c>
      <c r="BJ112" s="231" t="str">
        <f>IFERROR(__xludf.DUMMYFUNCTION("""COMPUTED_VALUE"""),"")</f>
        <v/>
      </c>
      <c r="BK112" s="232">
        <f>IFERROR(__xludf.DUMMYFUNCTION("""COMPUTED_VALUE"""),16.3)</f>
        <v>16.3</v>
      </c>
      <c r="BL112" s="233" t="str">
        <f>IFERROR(__xludf.DUMMYFUNCTION("""COMPUTED_VALUE"""),"")</f>
        <v/>
      </c>
      <c r="BM112" s="231" t="str">
        <f>IFERROR(__xludf.DUMMYFUNCTION("""COMPUTED_VALUE"""),"")</f>
        <v/>
      </c>
      <c r="BN112" s="232" t="str">
        <f>IFERROR(__xludf.DUMMYFUNCTION("""COMPUTED_VALUE"""),"")</f>
        <v/>
      </c>
      <c r="BO112" s="233" t="str">
        <f>IFERROR(__xludf.DUMMYFUNCTION("""COMPUTED_VALUE"""),"")</f>
        <v/>
      </c>
      <c r="BP112" s="231" t="str">
        <f>IFERROR(__xludf.DUMMYFUNCTION("""COMPUTED_VALUE"""),"")</f>
        <v/>
      </c>
      <c r="BQ112" s="232" t="str">
        <f>IFERROR(__xludf.DUMMYFUNCTION("""COMPUTED_VALUE"""),"")</f>
        <v/>
      </c>
      <c r="BR112" s="233">
        <f>IFERROR(__xludf.DUMMYFUNCTION("""COMPUTED_VALUE"""),23.0)</f>
        <v>23</v>
      </c>
      <c r="BS112" s="231" t="str">
        <f>IFERROR(__xludf.DUMMYFUNCTION("""COMPUTED_VALUE"""),"")</f>
        <v/>
      </c>
      <c r="BT112" s="232" t="str">
        <f>IFERROR(__xludf.DUMMYFUNCTION("""COMPUTED_VALUE"""),"")</f>
        <v/>
      </c>
      <c r="BU112" s="233" t="str">
        <f>IFERROR(__xludf.DUMMYFUNCTION("""COMPUTED_VALUE"""),"")</f>
        <v/>
      </c>
      <c r="BV112" s="231" t="str">
        <f>IFERROR(__xludf.DUMMYFUNCTION("""COMPUTED_VALUE"""),"")</f>
        <v/>
      </c>
      <c r="BW112" s="232" t="str">
        <f>IFERROR(__xludf.DUMMYFUNCTION("""COMPUTED_VALUE"""),"")</f>
        <v/>
      </c>
      <c r="BX112" s="233" t="str">
        <f>IFERROR(__xludf.DUMMYFUNCTION("""COMPUTED_VALUE"""),"")</f>
        <v/>
      </c>
      <c r="BY112" s="231" t="str">
        <f>IFERROR(__xludf.DUMMYFUNCTION("""COMPUTED_VALUE"""),"")</f>
        <v/>
      </c>
      <c r="BZ112" s="232" t="str">
        <f>IFERROR(__xludf.DUMMYFUNCTION("""COMPUTED_VALUE"""),"")</f>
        <v/>
      </c>
      <c r="CA112" s="233" t="str">
        <f>IFERROR(__xludf.DUMMYFUNCTION("""COMPUTED_VALUE"""),"")</f>
        <v/>
      </c>
      <c r="CB112" s="231" t="str">
        <f>IFERROR(__xludf.DUMMYFUNCTION("""COMPUTED_VALUE"""),"")</f>
        <v/>
      </c>
      <c r="CC112" s="232" t="str">
        <f>IFERROR(__xludf.DUMMYFUNCTION("""COMPUTED_VALUE"""),"")</f>
        <v/>
      </c>
      <c r="CD112" s="233" t="str">
        <f>IFERROR(__xludf.DUMMYFUNCTION("""COMPUTED_VALUE"""),"")</f>
        <v/>
      </c>
      <c r="CE112" s="234" t="str">
        <f>IFERROR(__xludf.DUMMYFUNCTION("""COMPUTED_VALUE"""),"")</f>
        <v/>
      </c>
      <c r="CF112" s="230" t="str">
        <f>IFERROR(__xludf.DUMMYFUNCTION("""COMPUTED_VALUE"""),"")</f>
        <v/>
      </c>
      <c r="CG112" s="235" t="str">
        <f>IFERROR(__xludf.DUMMYFUNCTION("""COMPUTED_VALUE"""),"")</f>
        <v/>
      </c>
      <c r="CH112" s="234" t="str">
        <f>IFERROR(__xludf.DUMMYFUNCTION("""COMPUTED_VALUE"""),"")</f>
        <v/>
      </c>
      <c r="CI112" s="230" t="str">
        <f>IFERROR(__xludf.DUMMYFUNCTION("""COMPUTED_VALUE"""),"")</f>
        <v/>
      </c>
      <c r="CJ112" s="235" t="str">
        <f>IFERROR(__xludf.DUMMYFUNCTION("""COMPUTED_VALUE"""),"")</f>
        <v/>
      </c>
      <c r="CK112" s="95" t="str">
        <f>IFERROR(__xludf.DUMMYFUNCTION("""COMPUTED_VALUE"""),"")</f>
        <v/>
      </c>
      <c r="CL112" s="96" t="str">
        <f>IFERROR(__xludf.DUMMYFUNCTION("""COMPUTED_VALUE"""),"")</f>
        <v/>
      </c>
      <c r="CM112" s="97" t="str">
        <f>IFERROR(__xludf.DUMMYFUNCTION("""COMPUTED_VALUE"""),"")</f>
        <v/>
      </c>
      <c r="CN112" s="95" t="str">
        <f>IFERROR(__xludf.DUMMYFUNCTION("""COMPUTED_VALUE"""),"")</f>
        <v/>
      </c>
      <c r="CO112" s="96" t="str">
        <f>IFERROR(__xludf.DUMMYFUNCTION("""COMPUTED_VALUE"""),"")</f>
        <v/>
      </c>
      <c r="CP112" s="97" t="str">
        <f>IFERROR(__xludf.DUMMYFUNCTION("""COMPUTED_VALUE"""),"")</f>
        <v/>
      </c>
      <c r="CQ112" s="95" t="str">
        <f>IFERROR(__xludf.DUMMYFUNCTION("""COMPUTED_VALUE"""),"")</f>
        <v/>
      </c>
      <c r="CR112" s="96" t="str">
        <f>IFERROR(__xludf.DUMMYFUNCTION("""COMPUTED_VALUE"""),"")</f>
        <v/>
      </c>
      <c r="CS112" s="97" t="str">
        <f>IFERROR(__xludf.DUMMYFUNCTION("""COMPUTED_VALUE"""),"#REF!")</f>
        <v>#REF!</v>
      </c>
      <c r="CT112" s="95" t="str">
        <f>IFERROR(__xludf.DUMMYFUNCTION("""COMPUTED_VALUE"""),"#REF!")</f>
        <v>#REF!</v>
      </c>
      <c r="CU112" s="96" t="str">
        <f>IFERROR(__xludf.DUMMYFUNCTION("""COMPUTED_VALUE"""),"#REF!")</f>
        <v>#REF!</v>
      </c>
      <c r="CV112" s="97" t="str">
        <f>IFERROR(__xludf.DUMMYFUNCTION("""COMPUTED_VALUE"""),"#REF!")</f>
        <v>#REF!</v>
      </c>
      <c r="CW112" s="95" t="str">
        <f>IFERROR(__xludf.DUMMYFUNCTION("""COMPUTED_VALUE"""),"#REF!")</f>
        <v>#REF!</v>
      </c>
      <c r="CX112" s="96" t="str">
        <f>IFERROR(__xludf.DUMMYFUNCTION("""COMPUTED_VALUE"""),"#REF!")</f>
        <v>#REF!</v>
      </c>
      <c r="CY112" s="97" t="str">
        <f>IFERROR(__xludf.DUMMYFUNCTION("""COMPUTED_VALUE"""),"#REF!")</f>
        <v>#REF!</v>
      </c>
      <c r="CZ112" s="95" t="str">
        <f>IFERROR(__xludf.DUMMYFUNCTION("""COMPUTED_VALUE"""),"#REF!")</f>
        <v>#REF!</v>
      </c>
      <c r="DA112" s="96" t="str">
        <f>IFERROR(__xludf.DUMMYFUNCTION("""COMPUTED_VALUE"""),"#REF!")</f>
        <v>#REF!</v>
      </c>
      <c r="DB112" s="97" t="str">
        <f>IFERROR(__xludf.DUMMYFUNCTION("""COMPUTED_VALUE"""),"#REF!")</f>
        <v>#REF!</v>
      </c>
      <c r="DC112" s="95" t="str">
        <f>IFERROR(__xludf.DUMMYFUNCTION("""COMPUTED_VALUE"""),"#REF!")</f>
        <v>#REF!</v>
      </c>
      <c r="DD112" s="96" t="str">
        <f>IFERROR(__xludf.DUMMYFUNCTION("""COMPUTED_VALUE"""),"#REF!")</f>
        <v>#REF!</v>
      </c>
      <c r="DE112" s="97" t="str">
        <f>IFERROR(__xludf.DUMMYFUNCTION("""COMPUTED_VALUE"""),"#REF!")</f>
        <v>#REF!</v>
      </c>
      <c r="DF112" s="95" t="str">
        <f>IFERROR(__xludf.DUMMYFUNCTION("""COMPUTED_VALUE"""),"#REF!")</f>
        <v>#REF!</v>
      </c>
      <c r="DG112" s="96" t="str">
        <f>IFERROR(__xludf.DUMMYFUNCTION("""COMPUTED_VALUE"""),"#REF!")</f>
        <v>#REF!</v>
      </c>
      <c r="DH112" s="97" t="str">
        <f>IFERROR(__xludf.DUMMYFUNCTION("""COMPUTED_VALUE"""),"#REF!")</f>
        <v>#REF!</v>
      </c>
      <c r="DI112" s="95" t="str">
        <f>IFERROR(__xludf.DUMMYFUNCTION("""COMPUTED_VALUE"""),"#REF!")</f>
        <v>#REF!</v>
      </c>
      <c r="DJ112" s="96" t="str">
        <f>IFERROR(__xludf.DUMMYFUNCTION("""COMPUTED_VALUE"""),"#REF!")</f>
        <v>#REF!</v>
      </c>
      <c r="DK112" s="97" t="str">
        <f>IFERROR(__xludf.DUMMYFUNCTION("""COMPUTED_VALUE"""),"#REF!")</f>
        <v>#REF!</v>
      </c>
      <c r="DL112" s="95" t="str">
        <f>IFERROR(__xludf.DUMMYFUNCTION("""COMPUTED_VALUE"""),"#REF!")</f>
        <v>#REF!</v>
      </c>
      <c r="DM112" s="96" t="str">
        <f>IFERROR(__xludf.DUMMYFUNCTION("""COMPUTED_VALUE"""),"#REF!")</f>
        <v>#REF!</v>
      </c>
      <c r="DN112" s="97" t="str">
        <f>IFERROR(__xludf.DUMMYFUNCTION("""COMPUTED_VALUE"""),"#REF!")</f>
        <v>#REF!</v>
      </c>
      <c r="DO112" s="95" t="str">
        <f>IFERROR(__xludf.DUMMYFUNCTION("""COMPUTED_VALUE"""),"#REF!")</f>
        <v>#REF!</v>
      </c>
      <c r="DP112" s="96" t="str">
        <f>IFERROR(__xludf.DUMMYFUNCTION("""COMPUTED_VALUE"""),"#REF!")</f>
        <v>#REF!</v>
      </c>
      <c r="DQ112" s="97"/>
      <c r="DR112" s="95"/>
    </row>
    <row r="113">
      <c r="A113" s="141" t="str">
        <f>IFERROR(__xludf.DUMMYFUNCTION("""COMPUTED_VALUE"""),"CAMELOT")</f>
        <v>CAMELOT</v>
      </c>
      <c r="B113" s="120" t="str">
        <f>IFERROR(__xludf.DUMMYFUNCTION("""COMPUTED_VALUE"""),"CML1")</f>
        <v>CML1</v>
      </c>
      <c r="C113" s="82">
        <f>IFERROR(__xludf.DUMMYFUNCTION("""COMPUTED_VALUE"""),102.0)</f>
        <v>102</v>
      </c>
      <c r="D113" s="88" t="str">
        <f>IFERROR(__xludf.DUMMYFUNCTION("""COMPUTED_VALUE"""),"Sandstorm Desert")</f>
        <v>Sandstorm Desert</v>
      </c>
      <c r="E113" s="82" t="str">
        <f>IFERROR(__xludf.DUMMYFUNCTION("""COMPUTED_VALUE"""),"砂嵐の砂漠")</f>
        <v>砂嵐の砂漠</v>
      </c>
      <c r="F113" s="102">
        <f>IFERROR(__xludf.DUMMYFUNCTION("""COMPUTED_VALUE"""),19.0)</f>
        <v>19</v>
      </c>
      <c r="G113" s="82">
        <f>IFERROR(__xludf.DUMMYFUNCTION("""COMPUTED_VALUE"""),70842.0)</f>
        <v>70842</v>
      </c>
      <c r="H113" s="231" t="str">
        <f>IFERROR(__xludf.DUMMYFUNCTION("""COMPUTED_VALUE"""),"")</f>
        <v/>
      </c>
      <c r="I113" s="232" t="str">
        <f>IFERROR(__xludf.DUMMYFUNCTION("""COMPUTED_VALUE"""),"")</f>
        <v/>
      </c>
      <c r="J113" s="233" t="str">
        <f>IFERROR(__xludf.DUMMYFUNCTION("""COMPUTED_VALUE"""),"")</f>
        <v/>
      </c>
      <c r="K113" s="231" t="str">
        <f>IFERROR(__xludf.DUMMYFUNCTION("""COMPUTED_VALUE"""),"")</f>
        <v/>
      </c>
      <c r="L113" s="232" t="str">
        <f>IFERROR(__xludf.DUMMYFUNCTION("""COMPUTED_VALUE"""),"")</f>
        <v/>
      </c>
      <c r="M113" s="233" t="str">
        <f>IFERROR(__xludf.DUMMYFUNCTION("""COMPUTED_VALUE"""),"")</f>
        <v/>
      </c>
      <c r="N113" s="231" t="str">
        <f>IFERROR(__xludf.DUMMYFUNCTION("""COMPUTED_VALUE"""),"")</f>
        <v/>
      </c>
      <c r="O113" s="232" t="str">
        <f>IFERROR(__xludf.DUMMYFUNCTION("""COMPUTED_VALUE"""),"")</f>
        <v/>
      </c>
      <c r="P113" s="233">
        <f>IFERROR(__xludf.DUMMYFUNCTION("""COMPUTED_VALUE"""),8.1)</f>
        <v>8.1</v>
      </c>
      <c r="Q113" s="231" t="str">
        <f>IFERROR(__xludf.DUMMYFUNCTION("""COMPUTED_VALUE"""),"")</f>
        <v/>
      </c>
      <c r="R113" s="232" t="str">
        <f>IFERROR(__xludf.DUMMYFUNCTION("""COMPUTED_VALUE"""),"")</f>
        <v/>
      </c>
      <c r="S113" s="233" t="str">
        <f>IFERROR(__xludf.DUMMYFUNCTION("""COMPUTED_VALUE"""),"")</f>
        <v/>
      </c>
      <c r="T113" s="231" t="str">
        <f>IFERROR(__xludf.DUMMYFUNCTION("""COMPUTED_VALUE"""),"")</f>
        <v/>
      </c>
      <c r="U113" s="232" t="str">
        <f>IFERROR(__xludf.DUMMYFUNCTION("""COMPUTED_VALUE"""),"")</f>
        <v/>
      </c>
      <c r="V113" s="233" t="str">
        <f>IFERROR(__xludf.DUMMYFUNCTION("""COMPUTED_VALUE"""),"")</f>
        <v/>
      </c>
      <c r="W113" s="231" t="str">
        <f>IFERROR(__xludf.DUMMYFUNCTION("""COMPUTED_VALUE"""),"")</f>
        <v/>
      </c>
      <c r="X113" s="232" t="str">
        <f>IFERROR(__xludf.DUMMYFUNCTION("""COMPUTED_VALUE"""),"")</f>
        <v/>
      </c>
      <c r="Y113" s="233" t="str">
        <f>IFERROR(__xludf.DUMMYFUNCTION("""COMPUTED_VALUE"""),"")</f>
        <v/>
      </c>
      <c r="Z113" s="231" t="str">
        <f>IFERROR(__xludf.DUMMYFUNCTION("""COMPUTED_VALUE"""),"")</f>
        <v/>
      </c>
      <c r="AA113" s="232" t="str">
        <f>IFERROR(__xludf.DUMMYFUNCTION("""COMPUTED_VALUE"""),"")</f>
        <v/>
      </c>
      <c r="AB113" s="233" t="str">
        <f>IFERROR(__xludf.DUMMYFUNCTION("""COMPUTED_VALUE"""),"")</f>
        <v/>
      </c>
      <c r="AC113" s="231" t="str">
        <f>IFERROR(__xludf.DUMMYFUNCTION("""COMPUTED_VALUE"""),"")</f>
        <v/>
      </c>
      <c r="AD113" s="232" t="str">
        <f>IFERROR(__xludf.DUMMYFUNCTION("""COMPUTED_VALUE"""),"")</f>
        <v/>
      </c>
      <c r="AE113" s="233" t="str">
        <f>IFERROR(__xludf.DUMMYFUNCTION("""COMPUTED_VALUE"""),"")</f>
        <v/>
      </c>
      <c r="AF113" s="231" t="str">
        <f>IFERROR(__xludf.DUMMYFUNCTION("""COMPUTED_VALUE"""),"")</f>
        <v/>
      </c>
      <c r="AG113" s="232" t="str">
        <f>IFERROR(__xludf.DUMMYFUNCTION("""COMPUTED_VALUE"""),"")</f>
        <v/>
      </c>
      <c r="AH113" s="233" t="str">
        <f>IFERROR(__xludf.DUMMYFUNCTION("""COMPUTED_VALUE"""),"")</f>
        <v/>
      </c>
      <c r="AI113" s="231" t="str">
        <f>IFERROR(__xludf.DUMMYFUNCTION("""COMPUTED_VALUE"""),"")</f>
        <v/>
      </c>
      <c r="AJ113" s="232" t="str">
        <f>IFERROR(__xludf.DUMMYFUNCTION("""COMPUTED_VALUE"""),"")</f>
        <v/>
      </c>
      <c r="AK113" s="233" t="str">
        <f>IFERROR(__xludf.DUMMYFUNCTION("""COMPUTED_VALUE"""),"")</f>
        <v/>
      </c>
      <c r="AL113" s="231" t="str">
        <f>IFERROR(__xludf.DUMMYFUNCTION("""COMPUTED_VALUE"""),"")</f>
        <v/>
      </c>
      <c r="AM113" s="232" t="str">
        <f>IFERROR(__xludf.DUMMYFUNCTION("""COMPUTED_VALUE"""),"")</f>
        <v/>
      </c>
      <c r="AN113" s="233" t="str">
        <f>IFERROR(__xludf.DUMMYFUNCTION("""COMPUTED_VALUE"""),"")</f>
        <v/>
      </c>
      <c r="AO113" s="231" t="str">
        <f>IFERROR(__xludf.DUMMYFUNCTION("""COMPUTED_VALUE"""),"")</f>
        <v/>
      </c>
      <c r="AP113" s="232" t="str">
        <f>IFERROR(__xludf.DUMMYFUNCTION("""COMPUTED_VALUE"""),"")</f>
        <v/>
      </c>
      <c r="AQ113" s="233" t="str">
        <f>IFERROR(__xludf.DUMMYFUNCTION("""COMPUTED_VALUE"""),"")</f>
        <v/>
      </c>
      <c r="AR113" s="231" t="str">
        <f>IFERROR(__xludf.DUMMYFUNCTION("""COMPUTED_VALUE"""),"")</f>
        <v/>
      </c>
      <c r="AS113" s="232" t="str">
        <f>IFERROR(__xludf.DUMMYFUNCTION("""COMPUTED_VALUE"""),"")</f>
        <v/>
      </c>
      <c r="AT113" s="233" t="str">
        <f>IFERROR(__xludf.DUMMYFUNCTION("""COMPUTED_VALUE"""),"")</f>
        <v/>
      </c>
      <c r="AU113" s="231">
        <f>IFERROR(__xludf.DUMMYFUNCTION("""COMPUTED_VALUE"""),63.0)</f>
        <v>63</v>
      </c>
      <c r="AV113" s="232" t="str">
        <f>IFERROR(__xludf.DUMMYFUNCTION("""COMPUTED_VALUE"""),"")</f>
        <v/>
      </c>
      <c r="AW113" s="233" t="str">
        <f>IFERROR(__xludf.DUMMYFUNCTION("""COMPUTED_VALUE"""),"")</f>
        <v/>
      </c>
      <c r="AX113" s="231" t="str">
        <f>IFERROR(__xludf.DUMMYFUNCTION("""COMPUTED_VALUE"""),"")</f>
        <v/>
      </c>
      <c r="AY113" s="232" t="str">
        <f>IFERROR(__xludf.DUMMYFUNCTION("""COMPUTED_VALUE"""),"")</f>
        <v/>
      </c>
      <c r="AZ113" s="233" t="str">
        <f>IFERROR(__xludf.DUMMYFUNCTION("""COMPUTED_VALUE"""),"")</f>
        <v/>
      </c>
      <c r="BA113" s="231" t="str">
        <f>IFERROR(__xludf.DUMMYFUNCTION("""COMPUTED_VALUE"""),"")</f>
        <v/>
      </c>
      <c r="BB113" s="232" t="str">
        <f>IFERROR(__xludf.DUMMYFUNCTION("""COMPUTED_VALUE"""),"")</f>
        <v/>
      </c>
      <c r="BC113" s="233" t="str">
        <f>IFERROR(__xludf.DUMMYFUNCTION("""COMPUTED_VALUE"""),"")</f>
        <v/>
      </c>
      <c r="BD113" s="231" t="str">
        <f>IFERROR(__xludf.DUMMYFUNCTION("""COMPUTED_VALUE"""),"")</f>
        <v/>
      </c>
      <c r="BE113" s="232" t="str">
        <f>IFERROR(__xludf.DUMMYFUNCTION("""COMPUTED_VALUE"""),"")</f>
        <v/>
      </c>
      <c r="BF113" s="233" t="str">
        <f>IFERROR(__xludf.DUMMYFUNCTION("""COMPUTED_VALUE"""),"")</f>
        <v/>
      </c>
      <c r="BG113" s="231">
        <f>IFERROR(__xludf.DUMMYFUNCTION("""COMPUTED_VALUE"""),3.1)</f>
        <v>3.1</v>
      </c>
      <c r="BH113" s="232" t="str">
        <f>IFERROR(__xludf.DUMMYFUNCTION("""COMPUTED_VALUE"""),"")</f>
        <v/>
      </c>
      <c r="BI113" s="233" t="str">
        <f>IFERROR(__xludf.DUMMYFUNCTION("""COMPUTED_VALUE"""),"")</f>
        <v/>
      </c>
      <c r="BJ113" s="231" t="str">
        <f>IFERROR(__xludf.DUMMYFUNCTION("""COMPUTED_VALUE"""),"")</f>
        <v/>
      </c>
      <c r="BK113" s="232" t="str">
        <f>IFERROR(__xludf.DUMMYFUNCTION("""COMPUTED_VALUE"""),"")</f>
        <v/>
      </c>
      <c r="BL113" s="233" t="str">
        <f>IFERROR(__xludf.DUMMYFUNCTION("""COMPUTED_VALUE"""),"")</f>
        <v/>
      </c>
      <c r="BM113" s="231" t="str">
        <f>IFERROR(__xludf.DUMMYFUNCTION("""COMPUTED_VALUE"""),"")</f>
        <v/>
      </c>
      <c r="BN113" s="232" t="str">
        <f>IFERROR(__xludf.DUMMYFUNCTION("""COMPUTED_VALUE"""),"")</f>
        <v/>
      </c>
      <c r="BO113" s="233" t="str">
        <f>IFERROR(__xludf.DUMMYFUNCTION("""COMPUTED_VALUE"""),"")</f>
        <v/>
      </c>
      <c r="BP113" s="231" t="str">
        <f>IFERROR(__xludf.DUMMYFUNCTION("""COMPUTED_VALUE"""),"")</f>
        <v/>
      </c>
      <c r="BQ113" s="232">
        <f>IFERROR(__xludf.DUMMYFUNCTION("""COMPUTED_VALUE"""),11.8)</f>
        <v>11.8</v>
      </c>
      <c r="BR113" s="233">
        <f>IFERROR(__xludf.DUMMYFUNCTION("""COMPUTED_VALUE"""),9.8)</f>
        <v>9.8</v>
      </c>
      <c r="BS113" s="231">
        <f>IFERROR(__xludf.DUMMYFUNCTION("""COMPUTED_VALUE"""),9.9)</f>
        <v>9.9</v>
      </c>
      <c r="BT113" s="232" t="str">
        <f>IFERROR(__xludf.DUMMYFUNCTION("""COMPUTED_VALUE"""),"")</f>
        <v/>
      </c>
      <c r="BU113" s="233" t="str">
        <f>IFERROR(__xludf.DUMMYFUNCTION("""COMPUTED_VALUE"""),"")</f>
        <v/>
      </c>
      <c r="BV113" s="231" t="str">
        <f>IFERROR(__xludf.DUMMYFUNCTION("""COMPUTED_VALUE"""),"")</f>
        <v/>
      </c>
      <c r="BW113" s="232" t="str">
        <f>IFERROR(__xludf.DUMMYFUNCTION("""COMPUTED_VALUE"""),"")</f>
        <v/>
      </c>
      <c r="BX113" s="233" t="str">
        <f>IFERROR(__xludf.DUMMYFUNCTION("""COMPUTED_VALUE"""),"")</f>
        <v/>
      </c>
      <c r="BY113" s="231" t="str">
        <f>IFERROR(__xludf.DUMMYFUNCTION("""COMPUTED_VALUE"""),"")</f>
        <v/>
      </c>
      <c r="BZ113" s="232" t="str">
        <f>IFERROR(__xludf.DUMMYFUNCTION("""COMPUTED_VALUE"""),"")</f>
        <v/>
      </c>
      <c r="CA113" s="233" t="str">
        <f>IFERROR(__xludf.DUMMYFUNCTION("""COMPUTED_VALUE"""),"")</f>
        <v/>
      </c>
      <c r="CB113" s="231" t="str">
        <f>IFERROR(__xludf.DUMMYFUNCTION("""COMPUTED_VALUE"""),"")</f>
        <v/>
      </c>
      <c r="CC113" s="232" t="str">
        <f>IFERROR(__xludf.DUMMYFUNCTION("""COMPUTED_VALUE"""),"")</f>
        <v/>
      </c>
      <c r="CD113" s="233" t="str">
        <f>IFERROR(__xludf.DUMMYFUNCTION("""COMPUTED_VALUE"""),"")</f>
        <v/>
      </c>
      <c r="CE113" s="234" t="str">
        <f>IFERROR(__xludf.DUMMYFUNCTION("""COMPUTED_VALUE"""),"")</f>
        <v/>
      </c>
      <c r="CF113" s="230" t="str">
        <f>IFERROR(__xludf.DUMMYFUNCTION("""COMPUTED_VALUE"""),"")</f>
        <v/>
      </c>
      <c r="CG113" s="235" t="str">
        <f>IFERROR(__xludf.DUMMYFUNCTION("""COMPUTED_VALUE"""),"")</f>
        <v/>
      </c>
      <c r="CH113" s="234" t="str">
        <f>IFERROR(__xludf.DUMMYFUNCTION("""COMPUTED_VALUE"""),"")</f>
        <v/>
      </c>
      <c r="CI113" s="230" t="str">
        <f>IFERROR(__xludf.DUMMYFUNCTION("""COMPUTED_VALUE"""),"")</f>
        <v/>
      </c>
      <c r="CJ113" s="235" t="str">
        <f>IFERROR(__xludf.DUMMYFUNCTION("""COMPUTED_VALUE"""),"")</f>
        <v/>
      </c>
      <c r="CK113" s="95" t="str">
        <f>IFERROR(__xludf.DUMMYFUNCTION("""COMPUTED_VALUE"""),"")</f>
        <v/>
      </c>
      <c r="CL113" s="96" t="str">
        <f>IFERROR(__xludf.DUMMYFUNCTION("""COMPUTED_VALUE"""),"")</f>
        <v/>
      </c>
      <c r="CM113" s="97" t="str">
        <f>IFERROR(__xludf.DUMMYFUNCTION("""COMPUTED_VALUE"""),"")</f>
        <v/>
      </c>
      <c r="CN113" s="95" t="str">
        <f>IFERROR(__xludf.DUMMYFUNCTION("""COMPUTED_VALUE"""),"")</f>
        <v/>
      </c>
      <c r="CO113" s="96" t="str">
        <f>IFERROR(__xludf.DUMMYFUNCTION("""COMPUTED_VALUE"""),"")</f>
        <v/>
      </c>
      <c r="CP113" s="97">
        <f>IFERROR(__xludf.DUMMYFUNCTION("""COMPUTED_VALUE"""),87.6)</f>
        <v>87.6</v>
      </c>
      <c r="CQ113" s="95" t="str">
        <f>IFERROR(__xludf.DUMMYFUNCTION("""COMPUTED_VALUE"""),"")</f>
        <v/>
      </c>
      <c r="CR113" s="96" t="str">
        <f>IFERROR(__xludf.DUMMYFUNCTION("""COMPUTED_VALUE"""),"")</f>
        <v/>
      </c>
      <c r="CS113" s="97" t="str">
        <f>IFERROR(__xludf.DUMMYFUNCTION("""COMPUTED_VALUE"""),"#REF!")</f>
        <v>#REF!</v>
      </c>
      <c r="CT113" s="95" t="str">
        <f>IFERROR(__xludf.DUMMYFUNCTION("""COMPUTED_VALUE"""),"#REF!")</f>
        <v>#REF!</v>
      </c>
      <c r="CU113" s="96" t="str">
        <f>IFERROR(__xludf.DUMMYFUNCTION("""COMPUTED_VALUE"""),"#REF!")</f>
        <v>#REF!</v>
      </c>
      <c r="CV113" s="97" t="str">
        <f>IFERROR(__xludf.DUMMYFUNCTION("""COMPUTED_VALUE"""),"#REF!")</f>
        <v>#REF!</v>
      </c>
      <c r="CW113" s="95" t="str">
        <f>IFERROR(__xludf.DUMMYFUNCTION("""COMPUTED_VALUE"""),"#REF!")</f>
        <v>#REF!</v>
      </c>
      <c r="CX113" s="96" t="str">
        <f>IFERROR(__xludf.DUMMYFUNCTION("""COMPUTED_VALUE"""),"#REF!")</f>
        <v>#REF!</v>
      </c>
      <c r="CY113" s="97" t="str">
        <f>IFERROR(__xludf.DUMMYFUNCTION("""COMPUTED_VALUE"""),"#REF!")</f>
        <v>#REF!</v>
      </c>
      <c r="CZ113" s="95" t="str">
        <f>IFERROR(__xludf.DUMMYFUNCTION("""COMPUTED_VALUE"""),"#REF!")</f>
        <v>#REF!</v>
      </c>
      <c r="DA113" s="96" t="str">
        <f>IFERROR(__xludf.DUMMYFUNCTION("""COMPUTED_VALUE"""),"#REF!")</f>
        <v>#REF!</v>
      </c>
      <c r="DB113" s="97" t="str">
        <f>IFERROR(__xludf.DUMMYFUNCTION("""COMPUTED_VALUE"""),"#REF!")</f>
        <v>#REF!</v>
      </c>
      <c r="DC113" s="95" t="str">
        <f>IFERROR(__xludf.DUMMYFUNCTION("""COMPUTED_VALUE"""),"#REF!")</f>
        <v>#REF!</v>
      </c>
      <c r="DD113" s="96" t="str">
        <f>IFERROR(__xludf.DUMMYFUNCTION("""COMPUTED_VALUE"""),"#REF!")</f>
        <v>#REF!</v>
      </c>
      <c r="DE113" s="97" t="str">
        <f>IFERROR(__xludf.DUMMYFUNCTION("""COMPUTED_VALUE"""),"#REF!")</f>
        <v>#REF!</v>
      </c>
      <c r="DF113" s="95" t="str">
        <f>IFERROR(__xludf.DUMMYFUNCTION("""COMPUTED_VALUE"""),"#REF!")</f>
        <v>#REF!</v>
      </c>
      <c r="DG113" s="96" t="str">
        <f>IFERROR(__xludf.DUMMYFUNCTION("""COMPUTED_VALUE"""),"#REF!")</f>
        <v>#REF!</v>
      </c>
      <c r="DH113" s="97" t="str">
        <f>IFERROR(__xludf.DUMMYFUNCTION("""COMPUTED_VALUE"""),"#REF!")</f>
        <v>#REF!</v>
      </c>
      <c r="DI113" s="95" t="str">
        <f>IFERROR(__xludf.DUMMYFUNCTION("""COMPUTED_VALUE"""),"#REF!")</f>
        <v>#REF!</v>
      </c>
      <c r="DJ113" s="96" t="str">
        <f>IFERROR(__xludf.DUMMYFUNCTION("""COMPUTED_VALUE"""),"#REF!")</f>
        <v>#REF!</v>
      </c>
      <c r="DK113" s="97" t="str">
        <f>IFERROR(__xludf.DUMMYFUNCTION("""COMPUTED_VALUE"""),"#REF!")</f>
        <v>#REF!</v>
      </c>
      <c r="DL113" s="95" t="str">
        <f>IFERROR(__xludf.DUMMYFUNCTION("""COMPUTED_VALUE"""),"#REF!")</f>
        <v>#REF!</v>
      </c>
      <c r="DM113" s="96" t="str">
        <f>IFERROR(__xludf.DUMMYFUNCTION("""COMPUTED_VALUE"""),"#REF!")</f>
        <v>#REF!</v>
      </c>
      <c r="DN113" s="97" t="str">
        <f>IFERROR(__xludf.DUMMYFUNCTION("""COMPUTED_VALUE"""),"#REF!")</f>
        <v>#REF!</v>
      </c>
      <c r="DO113" s="95" t="str">
        <f>IFERROR(__xludf.DUMMYFUNCTION("""COMPUTED_VALUE"""),"#REF!")</f>
        <v>#REF!</v>
      </c>
      <c r="DP113" s="96" t="str">
        <f>IFERROR(__xludf.DUMMYFUNCTION("""COMPUTED_VALUE"""),"#REF!")</f>
        <v>#REF!</v>
      </c>
      <c r="DQ113" s="97"/>
      <c r="DR113" s="95"/>
    </row>
    <row r="114">
      <c r="B114" s="120" t="str">
        <f>IFERROR(__xludf.DUMMYFUNCTION("""COMPUTED_VALUE"""),"CML2")</f>
        <v>CML2</v>
      </c>
      <c r="C114" s="82">
        <f>IFERROR(__xludf.DUMMYFUNCTION("""COMPUTED_VALUE"""),103.0)</f>
        <v>103</v>
      </c>
      <c r="D114" s="88" t="str">
        <f>IFERROR(__xludf.DUMMYFUNCTION("""COMPUTED_VALUE"""),"Dune of Dawn")</f>
        <v>Dune of Dawn</v>
      </c>
      <c r="E114" s="82" t="str">
        <f>IFERROR(__xludf.DUMMYFUNCTION("""COMPUTED_VALUE"""),"明けの砂丘")</f>
        <v>明けの砂丘</v>
      </c>
      <c r="F114" s="102">
        <f>IFERROR(__xludf.DUMMYFUNCTION("""COMPUTED_VALUE"""),19.0)</f>
        <v>19</v>
      </c>
      <c r="G114" s="82">
        <f>IFERROR(__xludf.DUMMYFUNCTION("""COMPUTED_VALUE"""),1102.0)</f>
        <v>1102</v>
      </c>
      <c r="H114" s="231" t="str">
        <f>IFERROR(__xludf.DUMMYFUNCTION("""COMPUTED_VALUE"""),"")</f>
        <v/>
      </c>
      <c r="I114" s="232" t="str">
        <f>IFERROR(__xludf.DUMMYFUNCTION("""COMPUTED_VALUE"""),"")</f>
        <v/>
      </c>
      <c r="J114" s="233" t="str">
        <f>IFERROR(__xludf.DUMMYFUNCTION("""COMPUTED_VALUE"""),"")</f>
        <v/>
      </c>
      <c r="K114" s="231" t="str">
        <f>IFERROR(__xludf.DUMMYFUNCTION("""COMPUTED_VALUE"""),"")</f>
        <v/>
      </c>
      <c r="L114" s="232" t="str">
        <f>IFERROR(__xludf.DUMMYFUNCTION("""COMPUTED_VALUE"""),"")</f>
        <v/>
      </c>
      <c r="M114" s="233" t="str">
        <f>IFERROR(__xludf.DUMMYFUNCTION("""COMPUTED_VALUE"""),"")</f>
        <v/>
      </c>
      <c r="N114" s="231" t="str">
        <f>IFERROR(__xludf.DUMMYFUNCTION("""COMPUTED_VALUE"""),"")</f>
        <v/>
      </c>
      <c r="O114" s="232">
        <f>IFERROR(__xludf.DUMMYFUNCTION("""COMPUTED_VALUE"""),10.9)</f>
        <v>10.9</v>
      </c>
      <c r="P114" s="233" t="str">
        <f>IFERROR(__xludf.DUMMYFUNCTION("""COMPUTED_VALUE"""),"")</f>
        <v/>
      </c>
      <c r="Q114" s="231" t="str">
        <f>IFERROR(__xludf.DUMMYFUNCTION("""COMPUTED_VALUE"""),"")</f>
        <v/>
      </c>
      <c r="R114" s="232" t="str">
        <f>IFERROR(__xludf.DUMMYFUNCTION("""COMPUTED_VALUE"""),"")</f>
        <v/>
      </c>
      <c r="S114" s="233" t="str">
        <f>IFERROR(__xludf.DUMMYFUNCTION("""COMPUTED_VALUE"""),"")</f>
        <v/>
      </c>
      <c r="T114" s="231" t="str">
        <f>IFERROR(__xludf.DUMMYFUNCTION("""COMPUTED_VALUE"""),"")</f>
        <v/>
      </c>
      <c r="U114" s="232" t="str">
        <f>IFERROR(__xludf.DUMMYFUNCTION("""COMPUTED_VALUE"""),"")</f>
        <v/>
      </c>
      <c r="V114" s="233" t="str">
        <f>IFERROR(__xludf.DUMMYFUNCTION("""COMPUTED_VALUE"""),"")</f>
        <v/>
      </c>
      <c r="W114" s="231" t="str">
        <f>IFERROR(__xludf.DUMMYFUNCTION("""COMPUTED_VALUE"""),"")</f>
        <v/>
      </c>
      <c r="X114" s="232" t="str">
        <f>IFERROR(__xludf.DUMMYFUNCTION("""COMPUTED_VALUE"""),"")</f>
        <v/>
      </c>
      <c r="Y114" s="233" t="str">
        <f>IFERROR(__xludf.DUMMYFUNCTION("""COMPUTED_VALUE"""),"")</f>
        <v/>
      </c>
      <c r="Z114" s="231" t="str">
        <f>IFERROR(__xludf.DUMMYFUNCTION("""COMPUTED_VALUE"""),"")</f>
        <v/>
      </c>
      <c r="AA114" s="232" t="str">
        <f>IFERROR(__xludf.DUMMYFUNCTION("""COMPUTED_VALUE"""),"")</f>
        <v/>
      </c>
      <c r="AB114" s="233" t="str">
        <f>IFERROR(__xludf.DUMMYFUNCTION("""COMPUTED_VALUE"""),"")</f>
        <v/>
      </c>
      <c r="AC114" s="231">
        <f>IFERROR(__xludf.DUMMYFUNCTION("""COMPUTED_VALUE"""),14.0)</f>
        <v>14</v>
      </c>
      <c r="AD114" s="232" t="str">
        <f>IFERROR(__xludf.DUMMYFUNCTION("""COMPUTED_VALUE"""),"")</f>
        <v/>
      </c>
      <c r="AE114" s="233" t="str">
        <f>IFERROR(__xludf.DUMMYFUNCTION("""COMPUTED_VALUE"""),"")</f>
        <v/>
      </c>
      <c r="AF114" s="231" t="str">
        <f>IFERROR(__xludf.DUMMYFUNCTION("""COMPUTED_VALUE"""),"")</f>
        <v/>
      </c>
      <c r="AG114" s="232" t="str">
        <f>IFERROR(__xludf.DUMMYFUNCTION("""COMPUTED_VALUE"""),"")</f>
        <v/>
      </c>
      <c r="AH114" s="233" t="str">
        <f>IFERROR(__xludf.DUMMYFUNCTION("""COMPUTED_VALUE"""),"")</f>
        <v/>
      </c>
      <c r="AI114" s="231" t="str">
        <f>IFERROR(__xludf.DUMMYFUNCTION("""COMPUTED_VALUE"""),"")</f>
        <v/>
      </c>
      <c r="AJ114" s="232" t="str">
        <f>IFERROR(__xludf.DUMMYFUNCTION("""COMPUTED_VALUE"""),"")</f>
        <v/>
      </c>
      <c r="AK114" s="233" t="str">
        <f>IFERROR(__xludf.DUMMYFUNCTION("""COMPUTED_VALUE"""),"")</f>
        <v/>
      </c>
      <c r="AL114" s="231" t="str">
        <f>IFERROR(__xludf.DUMMYFUNCTION("""COMPUTED_VALUE"""),"")</f>
        <v/>
      </c>
      <c r="AM114" s="232" t="str">
        <f>IFERROR(__xludf.DUMMYFUNCTION("""COMPUTED_VALUE"""),"")</f>
        <v/>
      </c>
      <c r="AN114" s="233" t="str">
        <f>IFERROR(__xludf.DUMMYFUNCTION("""COMPUTED_VALUE"""),"")</f>
        <v/>
      </c>
      <c r="AO114" s="231" t="str">
        <f>IFERROR(__xludf.DUMMYFUNCTION("""COMPUTED_VALUE"""),"")</f>
        <v/>
      </c>
      <c r="AP114" s="232" t="str">
        <f>IFERROR(__xludf.DUMMYFUNCTION("""COMPUTED_VALUE"""),"")</f>
        <v/>
      </c>
      <c r="AQ114" s="233" t="str">
        <f>IFERROR(__xludf.DUMMYFUNCTION("""COMPUTED_VALUE"""),"")</f>
        <v/>
      </c>
      <c r="AR114" s="231" t="str">
        <f>IFERROR(__xludf.DUMMYFUNCTION("""COMPUTED_VALUE"""),"")</f>
        <v/>
      </c>
      <c r="AS114" s="232" t="str">
        <f>IFERROR(__xludf.DUMMYFUNCTION("""COMPUTED_VALUE"""),"")</f>
        <v/>
      </c>
      <c r="AT114" s="233" t="str">
        <f>IFERROR(__xludf.DUMMYFUNCTION("""COMPUTED_VALUE"""),"")</f>
        <v/>
      </c>
      <c r="AU114" s="231" t="str">
        <f>IFERROR(__xludf.DUMMYFUNCTION("""COMPUTED_VALUE"""),"")</f>
        <v/>
      </c>
      <c r="AV114" s="232" t="str">
        <f>IFERROR(__xludf.DUMMYFUNCTION("""COMPUTED_VALUE"""),"")</f>
        <v/>
      </c>
      <c r="AW114" s="233" t="str">
        <f>IFERROR(__xludf.DUMMYFUNCTION("""COMPUTED_VALUE"""),"")</f>
        <v/>
      </c>
      <c r="AX114" s="231" t="str">
        <f>IFERROR(__xludf.DUMMYFUNCTION("""COMPUTED_VALUE"""),"")</f>
        <v/>
      </c>
      <c r="AY114" s="232" t="str">
        <f>IFERROR(__xludf.DUMMYFUNCTION("""COMPUTED_VALUE"""),"")</f>
        <v/>
      </c>
      <c r="AZ114" s="233" t="str">
        <f>IFERROR(__xludf.DUMMYFUNCTION("""COMPUTED_VALUE"""),"")</f>
        <v/>
      </c>
      <c r="BA114" s="231" t="str">
        <f>IFERROR(__xludf.DUMMYFUNCTION("""COMPUTED_VALUE"""),"")</f>
        <v/>
      </c>
      <c r="BB114" s="232" t="str">
        <f>IFERROR(__xludf.DUMMYFUNCTION("""COMPUTED_VALUE"""),"")</f>
        <v/>
      </c>
      <c r="BC114" s="233" t="str">
        <f>IFERROR(__xludf.DUMMYFUNCTION("""COMPUTED_VALUE"""),"")</f>
        <v/>
      </c>
      <c r="BD114" s="231" t="str">
        <f>IFERROR(__xludf.DUMMYFUNCTION("""COMPUTED_VALUE"""),"")</f>
        <v/>
      </c>
      <c r="BE114" s="232" t="str">
        <f>IFERROR(__xludf.DUMMYFUNCTION("""COMPUTED_VALUE"""),"")</f>
        <v/>
      </c>
      <c r="BF114" s="233" t="str">
        <f>IFERROR(__xludf.DUMMYFUNCTION("""COMPUTED_VALUE"""),"")</f>
        <v/>
      </c>
      <c r="BG114" s="231" t="str">
        <f>IFERROR(__xludf.DUMMYFUNCTION("""COMPUTED_VALUE"""),"")</f>
        <v/>
      </c>
      <c r="BH114" s="232" t="str">
        <f>IFERROR(__xludf.DUMMYFUNCTION("""COMPUTED_VALUE"""),"")</f>
        <v/>
      </c>
      <c r="BI114" s="233" t="str">
        <f>IFERROR(__xludf.DUMMYFUNCTION("""COMPUTED_VALUE"""),"")</f>
        <v/>
      </c>
      <c r="BJ114" s="231" t="str">
        <f>IFERROR(__xludf.DUMMYFUNCTION("""COMPUTED_VALUE"""),"")</f>
        <v/>
      </c>
      <c r="BK114" s="232" t="str">
        <f>IFERROR(__xludf.DUMMYFUNCTION("""COMPUTED_VALUE"""),"")</f>
        <v/>
      </c>
      <c r="BL114" s="233" t="str">
        <f>IFERROR(__xludf.DUMMYFUNCTION("""COMPUTED_VALUE"""),"")</f>
        <v/>
      </c>
      <c r="BM114" s="231" t="str">
        <f>IFERROR(__xludf.DUMMYFUNCTION("""COMPUTED_VALUE"""),"")</f>
        <v/>
      </c>
      <c r="BN114" s="232">
        <f>IFERROR(__xludf.DUMMYFUNCTION("""COMPUTED_VALUE"""),44.3)</f>
        <v>44.3</v>
      </c>
      <c r="BO114" s="233" t="str">
        <f>IFERROR(__xludf.DUMMYFUNCTION("""COMPUTED_VALUE"""),"")</f>
        <v/>
      </c>
      <c r="BP114" s="231" t="str">
        <f>IFERROR(__xludf.DUMMYFUNCTION("""COMPUTED_VALUE"""),"")</f>
        <v/>
      </c>
      <c r="BQ114" s="232" t="str">
        <f>IFERROR(__xludf.DUMMYFUNCTION("""COMPUTED_VALUE"""),"")</f>
        <v/>
      </c>
      <c r="BR114" s="233" t="str">
        <f>IFERROR(__xludf.DUMMYFUNCTION("""COMPUTED_VALUE"""),"")</f>
        <v/>
      </c>
      <c r="BS114" s="231" t="str">
        <f>IFERROR(__xludf.DUMMYFUNCTION("""COMPUTED_VALUE"""),"")</f>
        <v/>
      </c>
      <c r="BT114" s="232" t="str">
        <f>IFERROR(__xludf.DUMMYFUNCTION("""COMPUTED_VALUE"""),"")</f>
        <v/>
      </c>
      <c r="BU114" s="233">
        <f>IFERROR(__xludf.DUMMYFUNCTION("""COMPUTED_VALUE"""),16.0)</f>
        <v>16</v>
      </c>
      <c r="BV114" s="231" t="str">
        <f>IFERROR(__xludf.DUMMYFUNCTION("""COMPUTED_VALUE"""),"")</f>
        <v/>
      </c>
      <c r="BW114" s="232" t="str">
        <f>IFERROR(__xludf.DUMMYFUNCTION("""COMPUTED_VALUE"""),"")</f>
        <v/>
      </c>
      <c r="BX114" s="233" t="str">
        <f>IFERROR(__xludf.DUMMYFUNCTION("""COMPUTED_VALUE"""),"")</f>
        <v/>
      </c>
      <c r="BY114" s="231" t="str">
        <f>IFERROR(__xludf.DUMMYFUNCTION("""COMPUTED_VALUE"""),"")</f>
        <v/>
      </c>
      <c r="BZ114" s="232" t="str">
        <f>IFERROR(__xludf.DUMMYFUNCTION("""COMPUTED_VALUE"""),"")</f>
        <v/>
      </c>
      <c r="CA114" s="233" t="str">
        <f>IFERROR(__xludf.DUMMYFUNCTION("""COMPUTED_VALUE"""),"")</f>
        <v/>
      </c>
      <c r="CB114" s="231" t="str">
        <f>IFERROR(__xludf.DUMMYFUNCTION("""COMPUTED_VALUE"""),"")</f>
        <v/>
      </c>
      <c r="CC114" s="232" t="str">
        <f>IFERROR(__xludf.DUMMYFUNCTION("""COMPUTED_VALUE"""),"")</f>
        <v/>
      </c>
      <c r="CD114" s="233" t="str">
        <f>IFERROR(__xludf.DUMMYFUNCTION("""COMPUTED_VALUE"""),"")</f>
        <v/>
      </c>
      <c r="CE114" s="234" t="str">
        <f>IFERROR(__xludf.DUMMYFUNCTION("""COMPUTED_VALUE"""),"")</f>
        <v/>
      </c>
      <c r="CF114" s="230" t="str">
        <f>IFERROR(__xludf.DUMMYFUNCTION("""COMPUTED_VALUE"""),"")</f>
        <v/>
      </c>
      <c r="CG114" s="235" t="str">
        <f>IFERROR(__xludf.DUMMYFUNCTION("""COMPUTED_VALUE"""),"")</f>
        <v/>
      </c>
      <c r="CH114" s="234" t="str">
        <f>IFERROR(__xludf.DUMMYFUNCTION("""COMPUTED_VALUE"""),"")</f>
        <v/>
      </c>
      <c r="CI114" s="230" t="str">
        <f>IFERROR(__xludf.DUMMYFUNCTION("""COMPUTED_VALUE"""),"")</f>
        <v/>
      </c>
      <c r="CJ114" s="235" t="str">
        <f>IFERROR(__xludf.DUMMYFUNCTION("""COMPUTED_VALUE"""),"")</f>
        <v/>
      </c>
      <c r="CK114" s="95" t="str">
        <f>IFERROR(__xludf.DUMMYFUNCTION("""COMPUTED_VALUE"""),"")</f>
        <v/>
      </c>
      <c r="CL114" s="96" t="str">
        <f>IFERROR(__xludf.DUMMYFUNCTION("""COMPUTED_VALUE"""),"")</f>
        <v/>
      </c>
      <c r="CM114" s="97" t="str">
        <f>IFERROR(__xludf.DUMMYFUNCTION("""COMPUTED_VALUE"""),"")</f>
        <v/>
      </c>
      <c r="CN114" s="95" t="str">
        <f>IFERROR(__xludf.DUMMYFUNCTION("""COMPUTED_VALUE"""),"")</f>
        <v/>
      </c>
      <c r="CO114" s="96" t="str">
        <f>IFERROR(__xludf.DUMMYFUNCTION("""COMPUTED_VALUE"""),"")</f>
        <v/>
      </c>
      <c r="CP114" s="97">
        <f>IFERROR(__xludf.DUMMYFUNCTION("""COMPUTED_VALUE"""),80.9)</f>
        <v>80.9</v>
      </c>
      <c r="CQ114" s="95" t="str">
        <f>IFERROR(__xludf.DUMMYFUNCTION("""COMPUTED_VALUE"""),"")</f>
        <v/>
      </c>
      <c r="CR114" s="96" t="str">
        <f>IFERROR(__xludf.DUMMYFUNCTION("""COMPUTED_VALUE"""),"")</f>
        <v/>
      </c>
      <c r="CS114" s="97" t="str">
        <f>IFERROR(__xludf.DUMMYFUNCTION("""COMPUTED_VALUE"""),"#REF!")</f>
        <v>#REF!</v>
      </c>
      <c r="CT114" s="95" t="str">
        <f>IFERROR(__xludf.DUMMYFUNCTION("""COMPUTED_VALUE"""),"#REF!")</f>
        <v>#REF!</v>
      </c>
      <c r="CU114" s="96" t="str">
        <f>IFERROR(__xludf.DUMMYFUNCTION("""COMPUTED_VALUE"""),"#REF!")</f>
        <v>#REF!</v>
      </c>
      <c r="CV114" s="97" t="str">
        <f>IFERROR(__xludf.DUMMYFUNCTION("""COMPUTED_VALUE"""),"#REF!")</f>
        <v>#REF!</v>
      </c>
      <c r="CW114" s="95" t="str">
        <f>IFERROR(__xludf.DUMMYFUNCTION("""COMPUTED_VALUE"""),"#REF!")</f>
        <v>#REF!</v>
      </c>
      <c r="CX114" s="96" t="str">
        <f>IFERROR(__xludf.DUMMYFUNCTION("""COMPUTED_VALUE"""),"#REF!")</f>
        <v>#REF!</v>
      </c>
      <c r="CY114" s="97" t="str">
        <f>IFERROR(__xludf.DUMMYFUNCTION("""COMPUTED_VALUE"""),"#REF!")</f>
        <v>#REF!</v>
      </c>
      <c r="CZ114" s="95" t="str">
        <f>IFERROR(__xludf.DUMMYFUNCTION("""COMPUTED_VALUE"""),"#REF!")</f>
        <v>#REF!</v>
      </c>
      <c r="DA114" s="96" t="str">
        <f>IFERROR(__xludf.DUMMYFUNCTION("""COMPUTED_VALUE"""),"#REF!")</f>
        <v>#REF!</v>
      </c>
      <c r="DB114" s="97" t="str">
        <f>IFERROR(__xludf.DUMMYFUNCTION("""COMPUTED_VALUE"""),"#REF!")</f>
        <v>#REF!</v>
      </c>
      <c r="DC114" s="95" t="str">
        <f>IFERROR(__xludf.DUMMYFUNCTION("""COMPUTED_VALUE"""),"#REF!")</f>
        <v>#REF!</v>
      </c>
      <c r="DD114" s="96" t="str">
        <f>IFERROR(__xludf.DUMMYFUNCTION("""COMPUTED_VALUE"""),"#REF!")</f>
        <v>#REF!</v>
      </c>
      <c r="DE114" s="97" t="str">
        <f>IFERROR(__xludf.DUMMYFUNCTION("""COMPUTED_VALUE"""),"#REF!")</f>
        <v>#REF!</v>
      </c>
      <c r="DF114" s="95" t="str">
        <f>IFERROR(__xludf.DUMMYFUNCTION("""COMPUTED_VALUE"""),"#REF!")</f>
        <v>#REF!</v>
      </c>
      <c r="DG114" s="96" t="str">
        <f>IFERROR(__xludf.DUMMYFUNCTION("""COMPUTED_VALUE"""),"#REF!")</f>
        <v>#REF!</v>
      </c>
      <c r="DH114" s="97" t="str">
        <f>IFERROR(__xludf.DUMMYFUNCTION("""COMPUTED_VALUE"""),"#REF!")</f>
        <v>#REF!</v>
      </c>
      <c r="DI114" s="95" t="str">
        <f>IFERROR(__xludf.DUMMYFUNCTION("""COMPUTED_VALUE"""),"#REF!")</f>
        <v>#REF!</v>
      </c>
      <c r="DJ114" s="96" t="str">
        <f>IFERROR(__xludf.DUMMYFUNCTION("""COMPUTED_VALUE"""),"#REF!")</f>
        <v>#REF!</v>
      </c>
      <c r="DK114" s="97" t="str">
        <f>IFERROR(__xludf.DUMMYFUNCTION("""COMPUTED_VALUE"""),"#REF!")</f>
        <v>#REF!</v>
      </c>
      <c r="DL114" s="95" t="str">
        <f>IFERROR(__xludf.DUMMYFUNCTION("""COMPUTED_VALUE"""),"#REF!")</f>
        <v>#REF!</v>
      </c>
      <c r="DM114" s="96" t="str">
        <f>IFERROR(__xludf.DUMMYFUNCTION("""COMPUTED_VALUE"""),"#REF!")</f>
        <v>#REF!</v>
      </c>
      <c r="DN114" s="97" t="str">
        <f>IFERROR(__xludf.DUMMYFUNCTION("""COMPUTED_VALUE"""),"#REF!")</f>
        <v>#REF!</v>
      </c>
      <c r="DO114" s="95" t="str">
        <f>IFERROR(__xludf.DUMMYFUNCTION("""COMPUTED_VALUE"""),"#REF!")</f>
        <v>#REF!</v>
      </c>
      <c r="DP114" s="96" t="str">
        <f>IFERROR(__xludf.DUMMYFUNCTION("""COMPUTED_VALUE"""),"#REF!")</f>
        <v>#REF!</v>
      </c>
      <c r="DQ114" s="97"/>
      <c r="DR114" s="95"/>
    </row>
    <row r="115">
      <c r="B115" s="120" t="str">
        <f>IFERROR(__xludf.DUMMYFUNCTION("""COMPUTED_VALUE"""),"CML3")</f>
        <v>CML3</v>
      </c>
      <c r="C115" s="82">
        <f>IFERROR(__xludf.DUMMYFUNCTION("""COMPUTED_VALUE"""),104.0)</f>
        <v>104</v>
      </c>
      <c r="D115" s="88" t="str">
        <f>IFERROR(__xludf.DUMMYFUNCTION("""COMPUTED_VALUE"""),"Wastelands of Death")</f>
        <v>Wastelands of Death</v>
      </c>
      <c r="E115" s="82" t="str">
        <f>IFERROR(__xludf.DUMMYFUNCTION("""COMPUTED_VALUE"""),"死の荒野")</f>
        <v>死の荒野</v>
      </c>
      <c r="F115" s="102">
        <f>IFERROR(__xludf.DUMMYFUNCTION("""COMPUTED_VALUE"""),19.0)</f>
        <v>19</v>
      </c>
      <c r="G115" s="82">
        <f>IFERROR(__xludf.DUMMYFUNCTION("""COMPUTED_VALUE"""),16747.0)</f>
        <v>16747</v>
      </c>
      <c r="H115" s="231" t="str">
        <f>IFERROR(__xludf.DUMMYFUNCTION("""COMPUTED_VALUE"""),"")</f>
        <v/>
      </c>
      <c r="I115" s="232" t="str">
        <f>IFERROR(__xludf.DUMMYFUNCTION("""COMPUTED_VALUE"""),"")</f>
        <v/>
      </c>
      <c r="J115" s="233" t="str">
        <f>IFERROR(__xludf.DUMMYFUNCTION("""COMPUTED_VALUE"""),"")</f>
        <v/>
      </c>
      <c r="K115" s="231" t="str">
        <f>IFERROR(__xludf.DUMMYFUNCTION("""COMPUTED_VALUE"""),"")</f>
        <v/>
      </c>
      <c r="L115" s="232" t="str">
        <f>IFERROR(__xludf.DUMMYFUNCTION("""COMPUTED_VALUE"""),"")</f>
        <v/>
      </c>
      <c r="M115" s="233" t="str">
        <f>IFERROR(__xludf.DUMMYFUNCTION("""COMPUTED_VALUE"""),"")</f>
        <v/>
      </c>
      <c r="N115" s="231" t="str">
        <f>IFERROR(__xludf.DUMMYFUNCTION("""COMPUTED_VALUE"""),"")</f>
        <v/>
      </c>
      <c r="O115" s="232" t="str">
        <f>IFERROR(__xludf.DUMMYFUNCTION("""COMPUTED_VALUE"""),"")</f>
        <v/>
      </c>
      <c r="P115" s="233" t="str">
        <f>IFERROR(__xludf.DUMMYFUNCTION("""COMPUTED_VALUE"""),"")</f>
        <v/>
      </c>
      <c r="Q115" s="231" t="str">
        <f>IFERROR(__xludf.DUMMYFUNCTION("""COMPUTED_VALUE"""),"")</f>
        <v/>
      </c>
      <c r="R115" s="232" t="str">
        <f>IFERROR(__xludf.DUMMYFUNCTION("""COMPUTED_VALUE"""),"")</f>
        <v/>
      </c>
      <c r="S115" s="233" t="str">
        <f>IFERROR(__xludf.DUMMYFUNCTION("""COMPUTED_VALUE"""),"")</f>
        <v/>
      </c>
      <c r="T115" s="231" t="str">
        <f>IFERROR(__xludf.DUMMYFUNCTION("""COMPUTED_VALUE"""),"")</f>
        <v/>
      </c>
      <c r="U115" s="232" t="str">
        <f>IFERROR(__xludf.DUMMYFUNCTION("""COMPUTED_VALUE"""),"")</f>
        <v/>
      </c>
      <c r="V115" s="233" t="str">
        <f>IFERROR(__xludf.DUMMYFUNCTION("""COMPUTED_VALUE"""),"")</f>
        <v/>
      </c>
      <c r="W115" s="231" t="str">
        <f>IFERROR(__xludf.DUMMYFUNCTION("""COMPUTED_VALUE"""),"")</f>
        <v/>
      </c>
      <c r="X115" s="232" t="str">
        <f>IFERROR(__xludf.DUMMYFUNCTION("""COMPUTED_VALUE"""),"")</f>
        <v/>
      </c>
      <c r="Y115" s="233" t="str">
        <f>IFERROR(__xludf.DUMMYFUNCTION("""COMPUTED_VALUE"""),"")</f>
        <v/>
      </c>
      <c r="Z115" s="231" t="str">
        <f>IFERROR(__xludf.DUMMYFUNCTION("""COMPUTED_VALUE"""),"")</f>
        <v/>
      </c>
      <c r="AA115" s="232" t="str">
        <f>IFERROR(__xludf.DUMMYFUNCTION("""COMPUTED_VALUE"""),"")</f>
        <v/>
      </c>
      <c r="AB115" s="233" t="str">
        <f>IFERROR(__xludf.DUMMYFUNCTION("""COMPUTED_VALUE"""),"")</f>
        <v/>
      </c>
      <c r="AC115" s="231" t="str">
        <f>IFERROR(__xludf.DUMMYFUNCTION("""COMPUTED_VALUE"""),"")</f>
        <v/>
      </c>
      <c r="AD115" s="232" t="str">
        <f>IFERROR(__xludf.DUMMYFUNCTION("""COMPUTED_VALUE"""),"")</f>
        <v/>
      </c>
      <c r="AE115" s="233" t="str">
        <f>IFERROR(__xludf.DUMMYFUNCTION("""COMPUTED_VALUE"""),"")</f>
        <v/>
      </c>
      <c r="AF115" s="231" t="str">
        <f>IFERROR(__xludf.DUMMYFUNCTION("""COMPUTED_VALUE"""),"")</f>
        <v/>
      </c>
      <c r="AG115" s="232" t="str">
        <f>IFERROR(__xludf.DUMMYFUNCTION("""COMPUTED_VALUE"""),"")</f>
        <v/>
      </c>
      <c r="AH115" s="233" t="str">
        <f>IFERROR(__xludf.DUMMYFUNCTION("""COMPUTED_VALUE"""),"")</f>
        <v/>
      </c>
      <c r="AI115" s="231" t="str">
        <f>IFERROR(__xludf.DUMMYFUNCTION("""COMPUTED_VALUE"""),"")</f>
        <v/>
      </c>
      <c r="AJ115" s="232" t="str">
        <f>IFERROR(__xludf.DUMMYFUNCTION("""COMPUTED_VALUE"""),"")</f>
        <v/>
      </c>
      <c r="AK115" s="233" t="str">
        <f>IFERROR(__xludf.DUMMYFUNCTION("""COMPUTED_VALUE"""),"")</f>
        <v/>
      </c>
      <c r="AL115" s="231" t="str">
        <f>IFERROR(__xludf.DUMMYFUNCTION("""COMPUTED_VALUE"""),"")</f>
        <v/>
      </c>
      <c r="AM115" s="232" t="str">
        <f>IFERROR(__xludf.DUMMYFUNCTION("""COMPUTED_VALUE"""),"")</f>
        <v/>
      </c>
      <c r="AN115" s="233" t="str">
        <f>IFERROR(__xludf.DUMMYFUNCTION("""COMPUTED_VALUE"""),"")</f>
        <v/>
      </c>
      <c r="AO115" s="231" t="str">
        <f>IFERROR(__xludf.DUMMYFUNCTION("""COMPUTED_VALUE"""),"")</f>
        <v/>
      </c>
      <c r="AP115" s="232" t="str">
        <f>IFERROR(__xludf.DUMMYFUNCTION("""COMPUTED_VALUE"""),"")</f>
        <v/>
      </c>
      <c r="AQ115" s="233" t="str">
        <f>IFERROR(__xludf.DUMMYFUNCTION("""COMPUTED_VALUE"""),"")</f>
        <v/>
      </c>
      <c r="AR115" s="231" t="str">
        <f>IFERROR(__xludf.DUMMYFUNCTION("""COMPUTED_VALUE"""),"")</f>
        <v/>
      </c>
      <c r="AS115" s="232" t="str">
        <f>IFERROR(__xludf.DUMMYFUNCTION("""COMPUTED_VALUE"""),"")</f>
        <v/>
      </c>
      <c r="AT115" s="233" t="str">
        <f>IFERROR(__xludf.DUMMYFUNCTION("""COMPUTED_VALUE"""),"")</f>
        <v/>
      </c>
      <c r="AU115" s="231" t="str">
        <f>IFERROR(__xludf.DUMMYFUNCTION("""COMPUTED_VALUE"""),"")</f>
        <v/>
      </c>
      <c r="AV115" s="232" t="str">
        <f>IFERROR(__xludf.DUMMYFUNCTION("""COMPUTED_VALUE"""),"")</f>
        <v/>
      </c>
      <c r="AW115" s="233" t="str">
        <f>IFERROR(__xludf.DUMMYFUNCTION("""COMPUTED_VALUE"""),"")</f>
        <v/>
      </c>
      <c r="AX115" s="231">
        <f>IFERROR(__xludf.DUMMYFUNCTION("""COMPUTED_VALUE"""),65.0)</f>
        <v>65</v>
      </c>
      <c r="AY115" s="232" t="str">
        <f>IFERROR(__xludf.DUMMYFUNCTION("""COMPUTED_VALUE"""),"")</f>
        <v/>
      </c>
      <c r="AZ115" s="233" t="str">
        <f>IFERROR(__xludf.DUMMYFUNCTION("""COMPUTED_VALUE"""),"")</f>
        <v/>
      </c>
      <c r="BA115" s="231" t="str">
        <f>IFERROR(__xludf.DUMMYFUNCTION("""COMPUTED_VALUE"""),"")</f>
        <v/>
      </c>
      <c r="BB115" s="232" t="str">
        <f>IFERROR(__xludf.DUMMYFUNCTION("""COMPUTED_VALUE"""),"")</f>
        <v/>
      </c>
      <c r="BC115" s="233" t="str">
        <f>IFERROR(__xludf.DUMMYFUNCTION("""COMPUTED_VALUE"""),"")</f>
        <v/>
      </c>
      <c r="BD115" s="231" t="str">
        <f>IFERROR(__xludf.DUMMYFUNCTION("""COMPUTED_VALUE"""),"")</f>
        <v/>
      </c>
      <c r="BE115" s="232" t="str">
        <f>IFERROR(__xludf.DUMMYFUNCTION("""COMPUTED_VALUE"""),"")</f>
        <v/>
      </c>
      <c r="BF115" s="233" t="str">
        <f>IFERROR(__xludf.DUMMYFUNCTION("""COMPUTED_VALUE"""),"")</f>
        <v/>
      </c>
      <c r="BG115" s="231" t="str">
        <f>IFERROR(__xludf.DUMMYFUNCTION("""COMPUTED_VALUE"""),"")</f>
        <v/>
      </c>
      <c r="BH115" s="232" t="str">
        <f>IFERROR(__xludf.DUMMYFUNCTION("""COMPUTED_VALUE"""),"")</f>
        <v/>
      </c>
      <c r="BI115" s="233" t="str">
        <f>IFERROR(__xludf.DUMMYFUNCTION("""COMPUTED_VALUE"""),"")</f>
        <v/>
      </c>
      <c r="BJ115" s="231" t="str">
        <f>IFERROR(__xludf.DUMMYFUNCTION("""COMPUTED_VALUE"""),"")</f>
        <v/>
      </c>
      <c r="BK115" s="232" t="str">
        <f>IFERROR(__xludf.DUMMYFUNCTION("""COMPUTED_VALUE"""),"")</f>
        <v/>
      </c>
      <c r="BL115" s="233" t="str">
        <f>IFERROR(__xludf.DUMMYFUNCTION("""COMPUTED_VALUE"""),"")</f>
        <v/>
      </c>
      <c r="BM115" s="231" t="str">
        <f>IFERROR(__xludf.DUMMYFUNCTION("""COMPUTED_VALUE"""),"")</f>
        <v/>
      </c>
      <c r="BN115" s="232" t="str">
        <f>IFERROR(__xludf.DUMMYFUNCTION("""COMPUTED_VALUE"""),"")</f>
        <v/>
      </c>
      <c r="BO115" s="233" t="str">
        <f>IFERROR(__xludf.DUMMYFUNCTION("""COMPUTED_VALUE"""),"")</f>
        <v/>
      </c>
      <c r="BP115" s="231" t="str">
        <f>IFERROR(__xludf.DUMMYFUNCTION("""COMPUTED_VALUE"""),"")</f>
        <v/>
      </c>
      <c r="BQ115" s="232" t="str">
        <f>IFERROR(__xludf.DUMMYFUNCTION("""COMPUTED_VALUE"""),"")</f>
        <v/>
      </c>
      <c r="BR115" s="233" t="str">
        <f>IFERROR(__xludf.DUMMYFUNCTION("""COMPUTED_VALUE"""),"")</f>
        <v/>
      </c>
      <c r="BS115" s="231" t="str">
        <f>IFERROR(__xludf.DUMMYFUNCTION("""COMPUTED_VALUE"""),"")</f>
        <v/>
      </c>
      <c r="BT115" s="232" t="str">
        <f>IFERROR(__xludf.DUMMYFUNCTION("""COMPUTED_VALUE"""),"")</f>
        <v/>
      </c>
      <c r="BU115" s="233" t="str">
        <f>IFERROR(__xludf.DUMMYFUNCTION("""COMPUTED_VALUE"""),"")</f>
        <v/>
      </c>
      <c r="BV115" s="231">
        <f>IFERROR(__xludf.DUMMYFUNCTION("""COMPUTED_VALUE"""),20.1)</f>
        <v>20.1</v>
      </c>
      <c r="BW115" s="232">
        <f>IFERROR(__xludf.DUMMYFUNCTION("""COMPUTED_VALUE"""),15.3)</f>
        <v>15.3</v>
      </c>
      <c r="BX115" s="233" t="str">
        <f>IFERROR(__xludf.DUMMYFUNCTION("""COMPUTED_VALUE"""),"")</f>
        <v/>
      </c>
      <c r="BY115" s="231" t="str">
        <f>IFERROR(__xludf.DUMMYFUNCTION("""COMPUTED_VALUE"""),"")</f>
        <v/>
      </c>
      <c r="BZ115" s="232" t="str">
        <f>IFERROR(__xludf.DUMMYFUNCTION("""COMPUTED_VALUE"""),"")</f>
        <v/>
      </c>
      <c r="CA115" s="233" t="str">
        <f>IFERROR(__xludf.DUMMYFUNCTION("""COMPUTED_VALUE"""),"")</f>
        <v/>
      </c>
      <c r="CB115" s="231" t="str">
        <f>IFERROR(__xludf.DUMMYFUNCTION("""COMPUTED_VALUE"""),"")</f>
        <v/>
      </c>
      <c r="CC115" s="232" t="str">
        <f>IFERROR(__xludf.DUMMYFUNCTION("""COMPUTED_VALUE"""),"")</f>
        <v/>
      </c>
      <c r="CD115" s="233" t="str">
        <f>IFERROR(__xludf.DUMMYFUNCTION("""COMPUTED_VALUE"""),"")</f>
        <v/>
      </c>
      <c r="CE115" s="234" t="str">
        <f>IFERROR(__xludf.DUMMYFUNCTION("""COMPUTED_VALUE"""),"")</f>
        <v/>
      </c>
      <c r="CF115" s="230" t="str">
        <f>IFERROR(__xludf.DUMMYFUNCTION("""COMPUTED_VALUE"""),"")</f>
        <v/>
      </c>
      <c r="CG115" s="235" t="str">
        <f>IFERROR(__xludf.DUMMYFUNCTION("""COMPUTED_VALUE"""),"")</f>
        <v/>
      </c>
      <c r="CH115" s="234" t="str">
        <f>IFERROR(__xludf.DUMMYFUNCTION("""COMPUTED_VALUE"""),"")</f>
        <v/>
      </c>
      <c r="CI115" s="230" t="str">
        <f>IFERROR(__xludf.DUMMYFUNCTION("""COMPUTED_VALUE"""),"")</f>
        <v/>
      </c>
      <c r="CJ115" s="235" t="str">
        <f>IFERROR(__xludf.DUMMYFUNCTION("""COMPUTED_VALUE"""),"")</f>
        <v/>
      </c>
      <c r="CK115" s="95" t="str">
        <f>IFERROR(__xludf.DUMMYFUNCTION("""COMPUTED_VALUE"""),"")</f>
        <v/>
      </c>
      <c r="CL115" s="96" t="str">
        <f>IFERROR(__xludf.DUMMYFUNCTION("""COMPUTED_VALUE"""),"")</f>
        <v/>
      </c>
      <c r="CM115" s="97" t="str">
        <f>IFERROR(__xludf.DUMMYFUNCTION("""COMPUTED_VALUE"""),"")</f>
        <v/>
      </c>
      <c r="CN115" s="95" t="str">
        <f>IFERROR(__xludf.DUMMYFUNCTION("""COMPUTED_VALUE"""),"")</f>
        <v/>
      </c>
      <c r="CO115" s="96" t="str">
        <f>IFERROR(__xludf.DUMMYFUNCTION("""COMPUTED_VALUE"""),"")</f>
        <v/>
      </c>
      <c r="CP115" s="97" t="str">
        <f>IFERROR(__xludf.DUMMYFUNCTION("""COMPUTED_VALUE"""),"")</f>
        <v/>
      </c>
      <c r="CQ115" s="95" t="str">
        <f>IFERROR(__xludf.DUMMYFUNCTION("""COMPUTED_VALUE"""),"")</f>
        <v/>
      </c>
      <c r="CR115" s="96" t="str">
        <f>IFERROR(__xludf.DUMMYFUNCTION("""COMPUTED_VALUE"""),"")</f>
        <v/>
      </c>
      <c r="CS115" s="97" t="str">
        <f>IFERROR(__xludf.DUMMYFUNCTION("""COMPUTED_VALUE"""),"#REF!")</f>
        <v>#REF!</v>
      </c>
      <c r="CT115" s="95" t="str">
        <f>IFERROR(__xludf.DUMMYFUNCTION("""COMPUTED_VALUE"""),"#REF!")</f>
        <v>#REF!</v>
      </c>
      <c r="CU115" s="96" t="str">
        <f>IFERROR(__xludf.DUMMYFUNCTION("""COMPUTED_VALUE"""),"#REF!")</f>
        <v>#REF!</v>
      </c>
      <c r="CV115" s="97" t="str">
        <f>IFERROR(__xludf.DUMMYFUNCTION("""COMPUTED_VALUE"""),"#REF!")</f>
        <v>#REF!</v>
      </c>
      <c r="CW115" s="95" t="str">
        <f>IFERROR(__xludf.DUMMYFUNCTION("""COMPUTED_VALUE"""),"#REF!")</f>
        <v>#REF!</v>
      </c>
      <c r="CX115" s="96" t="str">
        <f>IFERROR(__xludf.DUMMYFUNCTION("""COMPUTED_VALUE"""),"#REF!")</f>
        <v>#REF!</v>
      </c>
      <c r="CY115" s="97" t="str">
        <f>IFERROR(__xludf.DUMMYFUNCTION("""COMPUTED_VALUE"""),"#REF!")</f>
        <v>#REF!</v>
      </c>
      <c r="CZ115" s="95" t="str">
        <f>IFERROR(__xludf.DUMMYFUNCTION("""COMPUTED_VALUE"""),"#REF!")</f>
        <v>#REF!</v>
      </c>
      <c r="DA115" s="96" t="str">
        <f>IFERROR(__xludf.DUMMYFUNCTION("""COMPUTED_VALUE"""),"#REF!")</f>
        <v>#REF!</v>
      </c>
      <c r="DB115" s="97" t="str">
        <f>IFERROR(__xludf.DUMMYFUNCTION("""COMPUTED_VALUE"""),"#REF!")</f>
        <v>#REF!</v>
      </c>
      <c r="DC115" s="95" t="str">
        <f>IFERROR(__xludf.DUMMYFUNCTION("""COMPUTED_VALUE"""),"#REF!")</f>
        <v>#REF!</v>
      </c>
      <c r="DD115" s="96" t="str">
        <f>IFERROR(__xludf.DUMMYFUNCTION("""COMPUTED_VALUE"""),"#REF!")</f>
        <v>#REF!</v>
      </c>
      <c r="DE115" s="97" t="str">
        <f>IFERROR(__xludf.DUMMYFUNCTION("""COMPUTED_VALUE"""),"#REF!")</f>
        <v>#REF!</v>
      </c>
      <c r="DF115" s="95" t="str">
        <f>IFERROR(__xludf.DUMMYFUNCTION("""COMPUTED_VALUE"""),"#REF!")</f>
        <v>#REF!</v>
      </c>
      <c r="DG115" s="96" t="str">
        <f>IFERROR(__xludf.DUMMYFUNCTION("""COMPUTED_VALUE"""),"#REF!")</f>
        <v>#REF!</v>
      </c>
      <c r="DH115" s="97" t="str">
        <f>IFERROR(__xludf.DUMMYFUNCTION("""COMPUTED_VALUE"""),"#REF!")</f>
        <v>#REF!</v>
      </c>
      <c r="DI115" s="95" t="str">
        <f>IFERROR(__xludf.DUMMYFUNCTION("""COMPUTED_VALUE"""),"#REF!")</f>
        <v>#REF!</v>
      </c>
      <c r="DJ115" s="96" t="str">
        <f>IFERROR(__xludf.DUMMYFUNCTION("""COMPUTED_VALUE"""),"#REF!")</f>
        <v>#REF!</v>
      </c>
      <c r="DK115" s="97" t="str">
        <f>IFERROR(__xludf.DUMMYFUNCTION("""COMPUTED_VALUE"""),"#REF!")</f>
        <v>#REF!</v>
      </c>
      <c r="DL115" s="95" t="str">
        <f>IFERROR(__xludf.DUMMYFUNCTION("""COMPUTED_VALUE"""),"#REF!")</f>
        <v>#REF!</v>
      </c>
      <c r="DM115" s="96" t="str">
        <f>IFERROR(__xludf.DUMMYFUNCTION("""COMPUTED_VALUE"""),"#REF!")</f>
        <v>#REF!</v>
      </c>
      <c r="DN115" s="97" t="str">
        <f>IFERROR(__xludf.DUMMYFUNCTION("""COMPUTED_VALUE"""),"#REF!")</f>
        <v>#REF!</v>
      </c>
      <c r="DO115" s="95" t="str">
        <f>IFERROR(__xludf.DUMMYFUNCTION("""COMPUTED_VALUE"""),"#REF!")</f>
        <v>#REF!</v>
      </c>
      <c r="DP115" s="96" t="str">
        <f>IFERROR(__xludf.DUMMYFUNCTION("""COMPUTED_VALUE"""),"#REF!")</f>
        <v>#REF!</v>
      </c>
      <c r="DQ115" s="97"/>
      <c r="DR115" s="95"/>
    </row>
    <row r="116">
      <c r="B116" s="120" t="str">
        <f>IFERROR(__xludf.DUMMYFUNCTION("""COMPUTED_VALUE"""),"CML4")</f>
        <v>CML4</v>
      </c>
      <c r="C116" s="82">
        <f>IFERROR(__xludf.DUMMYFUNCTION("""COMPUTED_VALUE"""),105.0)</f>
        <v>105</v>
      </c>
      <c r="D116" s="88" t="str">
        <f>IFERROR(__xludf.DUMMYFUNCTION("""COMPUTED_VALUE"""),"East Village")</f>
        <v>East Village</v>
      </c>
      <c r="E116" s="82" t="str">
        <f>IFERROR(__xludf.DUMMYFUNCTION("""COMPUTED_VALUE"""),"東の村")</f>
        <v>東の村</v>
      </c>
      <c r="F116" s="102">
        <f>IFERROR(__xludf.DUMMYFUNCTION("""COMPUTED_VALUE"""),19.0)</f>
        <v>19</v>
      </c>
      <c r="G116" s="82">
        <f>IFERROR(__xludf.DUMMYFUNCTION("""COMPUTED_VALUE"""),1404.0)</f>
        <v>1404</v>
      </c>
      <c r="H116" s="231" t="str">
        <f>IFERROR(__xludf.DUMMYFUNCTION("""COMPUTED_VALUE"""),"")</f>
        <v/>
      </c>
      <c r="I116" s="232" t="str">
        <f>IFERROR(__xludf.DUMMYFUNCTION("""COMPUTED_VALUE"""),"")</f>
        <v/>
      </c>
      <c r="J116" s="233" t="str">
        <f>IFERROR(__xludf.DUMMYFUNCTION("""COMPUTED_VALUE"""),"")</f>
        <v/>
      </c>
      <c r="K116" s="231" t="str">
        <f>IFERROR(__xludf.DUMMYFUNCTION("""COMPUTED_VALUE"""),"")</f>
        <v/>
      </c>
      <c r="L116" s="232">
        <f>IFERROR(__xludf.DUMMYFUNCTION("""COMPUTED_VALUE"""),16.5)</f>
        <v>16.5</v>
      </c>
      <c r="M116" s="233" t="str">
        <f>IFERROR(__xludf.DUMMYFUNCTION("""COMPUTED_VALUE"""),"")</f>
        <v/>
      </c>
      <c r="N116" s="231" t="str">
        <f>IFERROR(__xludf.DUMMYFUNCTION("""COMPUTED_VALUE"""),"")</f>
        <v/>
      </c>
      <c r="O116" s="232" t="str">
        <f>IFERROR(__xludf.DUMMYFUNCTION("""COMPUTED_VALUE"""),"")</f>
        <v/>
      </c>
      <c r="P116" s="233" t="str">
        <f>IFERROR(__xludf.DUMMYFUNCTION("""COMPUTED_VALUE"""),"")</f>
        <v/>
      </c>
      <c r="Q116" s="231" t="str">
        <f>IFERROR(__xludf.DUMMYFUNCTION("""COMPUTED_VALUE"""),"")</f>
        <v/>
      </c>
      <c r="R116" s="232" t="str">
        <f>IFERROR(__xludf.DUMMYFUNCTION("""COMPUTED_VALUE"""),"")</f>
        <v/>
      </c>
      <c r="S116" s="233" t="str">
        <f>IFERROR(__xludf.DUMMYFUNCTION("""COMPUTED_VALUE"""),"")</f>
        <v/>
      </c>
      <c r="T116" s="231" t="str">
        <f>IFERROR(__xludf.DUMMYFUNCTION("""COMPUTED_VALUE"""),"")</f>
        <v/>
      </c>
      <c r="U116" s="232" t="str">
        <f>IFERROR(__xludf.DUMMYFUNCTION("""COMPUTED_VALUE"""),"")</f>
        <v/>
      </c>
      <c r="V116" s="233" t="str">
        <f>IFERROR(__xludf.DUMMYFUNCTION("""COMPUTED_VALUE"""),"")</f>
        <v/>
      </c>
      <c r="W116" s="231" t="str">
        <f>IFERROR(__xludf.DUMMYFUNCTION("""COMPUTED_VALUE"""),"")</f>
        <v/>
      </c>
      <c r="X116" s="232" t="str">
        <f>IFERROR(__xludf.DUMMYFUNCTION("""COMPUTED_VALUE"""),"")</f>
        <v/>
      </c>
      <c r="Y116" s="233" t="str">
        <f>IFERROR(__xludf.DUMMYFUNCTION("""COMPUTED_VALUE"""),"")</f>
        <v/>
      </c>
      <c r="Z116" s="231" t="str">
        <f>IFERROR(__xludf.DUMMYFUNCTION("""COMPUTED_VALUE"""),"")</f>
        <v/>
      </c>
      <c r="AA116" s="232" t="str">
        <f>IFERROR(__xludf.DUMMYFUNCTION("""COMPUTED_VALUE"""),"")</f>
        <v/>
      </c>
      <c r="AB116" s="233" t="str">
        <f>IFERROR(__xludf.DUMMYFUNCTION("""COMPUTED_VALUE"""),"")</f>
        <v/>
      </c>
      <c r="AC116" s="231" t="str">
        <f>IFERROR(__xludf.DUMMYFUNCTION("""COMPUTED_VALUE"""),"")</f>
        <v/>
      </c>
      <c r="AD116" s="232" t="str">
        <f>IFERROR(__xludf.DUMMYFUNCTION("""COMPUTED_VALUE"""),"")</f>
        <v/>
      </c>
      <c r="AE116" s="233" t="str">
        <f>IFERROR(__xludf.DUMMYFUNCTION("""COMPUTED_VALUE"""),"")</f>
        <v/>
      </c>
      <c r="AF116" s="231" t="str">
        <f>IFERROR(__xludf.DUMMYFUNCTION("""COMPUTED_VALUE"""),"")</f>
        <v/>
      </c>
      <c r="AG116" s="232" t="str">
        <f>IFERROR(__xludf.DUMMYFUNCTION("""COMPUTED_VALUE"""),"")</f>
        <v/>
      </c>
      <c r="AH116" s="233" t="str">
        <f>IFERROR(__xludf.DUMMYFUNCTION("""COMPUTED_VALUE"""),"")</f>
        <v/>
      </c>
      <c r="AI116" s="231" t="str">
        <f>IFERROR(__xludf.DUMMYFUNCTION("""COMPUTED_VALUE"""),"")</f>
        <v/>
      </c>
      <c r="AJ116" s="232" t="str">
        <f>IFERROR(__xludf.DUMMYFUNCTION("""COMPUTED_VALUE"""),"")</f>
        <v/>
      </c>
      <c r="AK116" s="233" t="str">
        <f>IFERROR(__xludf.DUMMYFUNCTION("""COMPUTED_VALUE"""),"")</f>
        <v/>
      </c>
      <c r="AL116" s="231" t="str">
        <f>IFERROR(__xludf.DUMMYFUNCTION("""COMPUTED_VALUE"""),"")</f>
        <v/>
      </c>
      <c r="AM116" s="232" t="str">
        <f>IFERROR(__xludf.DUMMYFUNCTION("""COMPUTED_VALUE"""),"")</f>
        <v/>
      </c>
      <c r="AN116" s="233" t="str">
        <f>IFERROR(__xludf.DUMMYFUNCTION("""COMPUTED_VALUE"""),"")</f>
        <v/>
      </c>
      <c r="AO116" s="231" t="str">
        <f>IFERROR(__xludf.DUMMYFUNCTION("""COMPUTED_VALUE"""),"")</f>
        <v/>
      </c>
      <c r="AP116" s="232" t="str">
        <f>IFERROR(__xludf.DUMMYFUNCTION("""COMPUTED_VALUE"""),"")</f>
        <v/>
      </c>
      <c r="AQ116" s="233" t="str">
        <f>IFERROR(__xludf.DUMMYFUNCTION("""COMPUTED_VALUE"""),"")</f>
        <v/>
      </c>
      <c r="AR116" s="231" t="str">
        <f>IFERROR(__xludf.DUMMYFUNCTION("""COMPUTED_VALUE"""),"")</f>
        <v/>
      </c>
      <c r="AS116" s="232" t="str">
        <f>IFERROR(__xludf.DUMMYFUNCTION("""COMPUTED_VALUE"""),"")</f>
        <v/>
      </c>
      <c r="AT116" s="233" t="str">
        <f>IFERROR(__xludf.DUMMYFUNCTION("""COMPUTED_VALUE"""),"")</f>
        <v/>
      </c>
      <c r="AU116" s="231" t="str">
        <f>IFERROR(__xludf.DUMMYFUNCTION("""COMPUTED_VALUE"""),"")</f>
        <v/>
      </c>
      <c r="AV116" s="232">
        <f>IFERROR(__xludf.DUMMYFUNCTION("""COMPUTED_VALUE"""),41.0)</f>
        <v>41</v>
      </c>
      <c r="AW116" s="233" t="str">
        <f>IFERROR(__xludf.DUMMYFUNCTION("""COMPUTED_VALUE"""),"")</f>
        <v/>
      </c>
      <c r="AX116" s="231" t="str">
        <f>IFERROR(__xludf.DUMMYFUNCTION("""COMPUTED_VALUE"""),"")</f>
        <v/>
      </c>
      <c r="AY116" s="232" t="str">
        <f>IFERROR(__xludf.DUMMYFUNCTION("""COMPUTED_VALUE"""),"")</f>
        <v/>
      </c>
      <c r="AZ116" s="233" t="str">
        <f>IFERROR(__xludf.DUMMYFUNCTION("""COMPUTED_VALUE"""),"")</f>
        <v/>
      </c>
      <c r="BA116" s="231" t="str">
        <f>IFERROR(__xludf.DUMMYFUNCTION("""COMPUTED_VALUE"""),"")</f>
        <v/>
      </c>
      <c r="BB116" s="232" t="str">
        <f>IFERROR(__xludf.DUMMYFUNCTION("""COMPUTED_VALUE"""),"")</f>
        <v/>
      </c>
      <c r="BC116" s="233" t="str">
        <f>IFERROR(__xludf.DUMMYFUNCTION("""COMPUTED_VALUE"""),"")</f>
        <v/>
      </c>
      <c r="BD116" s="231" t="str">
        <f>IFERROR(__xludf.DUMMYFUNCTION("""COMPUTED_VALUE"""),"")</f>
        <v/>
      </c>
      <c r="BE116" s="232" t="str">
        <f>IFERROR(__xludf.DUMMYFUNCTION("""COMPUTED_VALUE"""),"")</f>
        <v/>
      </c>
      <c r="BF116" s="233" t="str">
        <f>IFERROR(__xludf.DUMMYFUNCTION("""COMPUTED_VALUE"""),"")</f>
        <v/>
      </c>
      <c r="BG116" s="231" t="str">
        <f>IFERROR(__xludf.DUMMYFUNCTION("""COMPUTED_VALUE"""),"")</f>
        <v/>
      </c>
      <c r="BH116" s="232" t="str">
        <f>IFERROR(__xludf.DUMMYFUNCTION("""COMPUTED_VALUE"""),"")</f>
        <v/>
      </c>
      <c r="BI116" s="233" t="str">
        <f>IFERROR(__xludf.DUMMYFUNCTION("""COMPUTED_VALUE"""),"")</f>
        <v/>
      </c>
      <c r="BJ116" s="231" t="str">
        <f>IFERROR(__xludf.DUMMYFUNCTION("""COMPUTED_VALUE"""),"")</f>
        <v/>
      </c>
      <c r="BK116" s="232" t="str">
        <f>IFERROR(__xludf.DUMMYFUNCTION("""COMPUTED_VALUE"""),"")</f>
        <v/>
      </c>
      <c r="BL116" s="233">
        <f>IFERROR(__xludf.DUMMYFUNCTION("""COMPUTED_VALUE"""),8.1)</f>
        <v>8.1</v>
      </c>
      <c r="BM116" s="231" t="str">
        <f>IFERROR(__xludf.DUMMYFUNCTION("""COMPUTED_VALUE"""),"")</f>
        <v/>
      </c>
      <c r="BN116" s="232" t="str">
        <f>IFERROR(__xludf.DUMMYFUNCTION("""COMPUTED_VALUE"""),"")</f>
        <v/>
      </c>
      <c r="BO116" s="233" t="str">
        <f>IFERROR(__xludf.DUMMYFUNCTION("""COMPUTED_VALUE"""),"")</f>
        <v/>
      </c>
      <c r="BP116" s="231" t="str">
        <f>IFERROR(__xludf.DUMMYFUNCTION("""COMPUTED_VALUE"""),"")</f>
        <v/>
      </c>
      <c r="BQ116" s="232" t="str">
        <f>IFERROR(__xludf.DUMMYFUNCTION("""COMPUTED_VALUE"""),"")</f>
        <v/>
      </c>
      <c r="BR116" s="233" t="str">
        <f>IFERROR(__xludf.DUMMYFUNCTION("""COMPUTED_VALUE"""),"")</f>
        <v/>
      </c>
      <c r="BS116" s="231" t="str">
        <f>IFERROR(__xludf.DUMMYFUNCTION("""COMPUTED_VALUE"""),"")</f>
        <v/>
      </c>
      <c r="BT116" s="232">
        <f>IFERROR(__xludf.DUMMYFUNCTION("""COMPUTED_VALUE"""),37.9)</f>
        <v>37.9</v>
      </c>
      <c r="BU116" s="233" t="str">
        <f>IFERROR(__xludf.DUMMYFUNCTION("""COMPUTED_VALUE"""),"")</f>
        <v/>
      </c>
      <c r="BV116" s="231" t="str">
        <f>IFERROR(__xludf.DUMMYFUNCTION("""COMPUTED_VALUE"""),"")</f>
        <v/>
      </c>
      <c r="BW116" s="232" t="str">
        <f>IFERROR(__xludf.DUMMYFUNCTION("""COMPUTED_VALUE"""),"")</f>
        <v/>
      </c>
      <c r="BX116" s="233" t="str">
        <f>IFERROR(__xludf.DUMMYFUNCTION("""COMPUTED_VALUE"""),"")</f>
        <v/>
      </c>
      <c r="BY116" s="231" t="str">
        <f>IFERROR(__xludf.DUMMYFUNCTION("""COMPUTED_VALUE"""),"")</f>
        <v/>
      </c>
      <c r="BZ116" s="232" t="str">
        <f>IFERROR(__xludf.DUMMYFUNCTION("""COMPUTED_VALUE"""),"")</f>
        <v/>
      </c>
      <c r="CA116" s="233" t="str">
        <f>IFERROR(__xludf.DUMMYFUNCTION("""COMPUTED_VALUE"""),"")</f>
        <v/>
      </c>
      <c r="CB116" s="231" t="str">
        <f>IFERROR(__xludf.DUMMYFUNCTION("""COMPUTED_VALUE"""),"")</f>
        <v/>
      </c>
      <c r="CC116" s="232" t="str">
        <f>IFERROR(__xludf.DUMMYFUNCTION("""COMPUTED_VALUE"""),"")</f>
        <v/>
      </c>
      <c r="CD116" s="233" t="str">
        <f>IFERROR(__xludf.DUMMYFUNCTION("""COMPUTED_VALUE"""),"")</f>
        <v/>
      </c>
      <c r="CE116" s="234" t="str">
        <f>IFERROR(__xludf.DUMMYFUNCTION("""COMPUTED_VALUE"""),"")</f>
        <v/>
      </c>
      <c r="CF116" s="230" t="str">
        <f>IFERROR(__xludf.DUMMYFUNCTION("""COMPUTED_VALUE"""),"")</f>
        <v/>
      </c>
      <c r="CG116" s="235" t="str">
        <f>IFERROR(__xludf.DUMMYFUNCTION("""COMPUTED_VALUE"""),"")</f>
        <v/>
      </c>
      <c r="CH116" s="234" t="str">
        <f>IFERROR(__xludf.DUMMYFUNCTION("""COMPUTED_VALUE"""),"")</f>
        <v/>
      </c>
      <c r="CI116" s="230" t="str">
        <f>IFERROR(__xludf.DUMMYFUNCTION("""COMPUTED_VALUE"""),"")</f>
        <v/>
      </c>
      <c r="CJ116" s="235" t="str">
        <f>IFERROR(__xludf.DUMMYFUNCTION("""COMPUTED_VALUE"""),"")</f>
        <v/>
      </c>
      <c r="CK116" s="95" t="str">
        <f>IFERROR(__xludf.DUMMYFUNCTION("""COMPUTED_VALUE"""),"")</f>
        <v/>
      </c>
      <c r="CL116" s="96" t="str">
        <f>IFERROR(__xludf.DUMMYFUNCTION("""COMPUTED_VALUE"""),"")</f>
        <v/>
      </c>
      <c r="CM116" s="97" t="str">
        <f>IFERROR(__xludf.DUMMYFUNCTION("""COMPUTED_VALUE"""),"")</f>
        <v/>
      </c>
      <c r="CN116" s="95" t="str">
        <f>IFERROR(__xludf.DUMMYFUNCTION("""COMPUTED_VALUE"""),"")</f>
        <v/>
      </c>
      <c r="CO116" s="96" t="str">
        <f>IFERROR(__xludf.DUMMYFUNCTION("""COMPUTED_VALUE"""),"")</f>
        <v/>
      </c>
      <c r="CP116" s="97" t="str">
        <f>IFERROR(__xludf.DUMMYFUNCTION("""COMPUTED_VALUE"""),"")</f>
        <v/>
      </c>
      <c r="CQ116" s="95" t="str">
        <f>IFERROR(__xludf.DUMMYFUNCTION("""COMPUTED_VALUE"""),"")</f>
        <v/>
      </c>
      <c r="CR116" s="96" t="str">
        <f>IFERROR(__xludf.DUMMYFUNCTION("""COMPUTED_VALUE"""),"")</f>
        <v/>
      </c>
      <c r="CS116" s="97" t="str">
        <f>IFERROR(__xludf.DUMMYFUNCTION("""COMPUTED_VALUE"""),"#REF!")</f>
        <v>#REF!</v>
      </c>
      <c r="CT116" s="95" t="str">
        <f>IFERROR(__xludf.DUMMYFUNCTION("""COMPUTED_VALUE"""),"#REF!")</f>
        <v>#REF!</v>
      </c>
      <c r="CU116" s="96" t="str">
        <f>IFERROR(__xludf.DUMMYFUNCTION("""COMPUTED_VALUE"""),"#REF!")</f>
        <v>#REF!</v>
      </c>
      <c r="CV116" s="97" t="str">
        <f>IFERROR(__xludf.DUMMYFUNCTION("""COMPUTED_VALUE"""),"#REF!")</f>
        <v>#REF!</v>
      </c>
      <c r="CW116" s="95" t="str">
        <f>IFERROR(__xludf.DUMMYFUNCTION("""COMPUTED_VALUE"""),"#REF!")</f>
        <v>#REF!</v>
      </c>
      <c r="CX116" s="96" t="str">
        <f>IFERROR(__xludf.DUMMYFUNCTION("""COMPUTED_VALUE"""),"#REF!")</f>
        <v>#REF!</v>
      </c>
      <c r="CY116" s="97" t="str">
        <f>IFERROR(__xludf.DUMMYFUNCTION("""COMPUTED_VALUE"""),"#REF!")</f>
        <v>#REF!</v>
      </c>
      <c r="CZ116" s="95" t="str">
        <f>IFERROR(__xludf.DUMMYFUNCTION("""COMPUTED_VALUE"""),"#REF!")</f>
        <v>#REF!</v>
      </c>
      <c r="DA116" s="96" t="str">
        <f>IFERROR(__xludf.DUMMYFUNCTION("""COMPUTED_VALUE"""),"#REF!")</f>
        <v>#REF!</v>
      </c>
      <c r="DB116" s="97" t="str">
        <f>IFERROR(__xludf.DUMMYFUNCTION("""COMPUTED_VALUE"""),"#REF!")</f>
        <v>#REF!</v>
      </c>
      <c r="DC116" s="95" t="str">
        <f>IFERROR(__xludf.DUMMYFUNCTION("""COMPUTED_VALUE"""),"#REF!")</f>
        <v>#REF!</v>
      </c>
      <c r="DD116" s="96" t="str">
        <f>IFERROR(__xludf.DUMMYFUNCTION("""COMPUTED_VALUE"""),"#REF!")</f>
        <v>#REF!</v>
      </c>
      <c r="DE116" s="97" t="str">
        <f>IFERROR(__xludf.DUMMYFUNCTION("""COMPUTED_VALUE"""),"#REF!")</f>
        <v>#REF!</v>
      </c>
      <c r="DF116" s="95" t="str">
        <f>IFERROR(__xludf.DUMMYFUNCTION("""COMPUTED_VALUE"""),"#REF!")</f>
        <v>#REF!</v>
      </c>
      <c r="DG116" s="96" t="str">
        <f>IFERROR(__xludf.DUMMYFUNCTION("""COMPUTED_VALUE"""),"#REF!")</f>
        <v>#REF!</v>
      </c>
      <c r="DH116" s="97" t="str">
        <f>IFERROR(__xludf.DUMMYFUNCTION("""COMPUTED_VALUE"""),"#REF!")</f>
        <v>#REF!</v>
      </c>
      <c r="DI116" s="95" t="str">
        <f>IFERROR(__xludf.DUMMYFUNCTION("""COMPUTED_VALUE"""),"#REF!")</f>
        <v>#REF!</v>
      </c>
      <c r="DJ116" s="96" t="str">
        <f>IFERROR(__xludf.DUMMYFUNCTION("""COMPUTED_VALUE"""),"#REF!")</f>
        <v>#REF!</v>
      </c>
      <c r="DK116" s="97" t="str">
        <f>IFERROR(__xludf.DUMMYFUNCTION("""COMPUTED_VALUE"""),"#REF!")</f>
        <v>#REF!</v>
      </c>
      <c r="DL116" s="95" t="str">
        <f>IFERROR(__xludf.DUMMYFUNCTION("""COMPUTED_VALUE"""),"#REF!")</f>
        <v>#REF!</v>
      </c>
      <c r="DM116" s="96" t="str">
        <f>IFERROR(__xludf.DUMMYFUNCTION("""COMPUTED_VALUE"""),"#REF!")</f>
        <v>#REF!</v>
      </c>
      <c r="DN116" s="97" t="str">
        <f>IFERROR(__xludf.DUMMYFUNCTION("""COMPUTED_VALUE"""),"#REF!")</f>
        <v>#REF!</v>
      </c>
      <c r="DO116" s="95" t="str">
        <f>IFERROR(__xludf.DUMMYFUNCTION("""COMPUTED_VALUE"""),"#REF!")</f>
        <v>#REF!</v>
      </c>
      <c r="DP116" s="96" t="str">
        <f>IFERROR(__xludf.DUMMYFUNCTION("""COMPUTED_VALUE"""),"#REF!")</f>
        <v>#REF!</v>
      </c>
      <c r="DQ116" s="97"/>
      <c r="DR116" s="95"/>
    </row>
    <row r="117">
      <c r="B117" s="120" t="str">
        <f>IFERROR(__xludf.DUMMYFUNCTION("""COMPUTED_VALUE"""),"CML5")</f>
        <v>CML5</v>
      </c>
      <c r="C117" s="82">
        <f>IFERROR(__xludf.DUMMYFUNCTION("""COMPUTED_VALUE"""),106.0)</f>
        <v>106</v>
      </c>
      <c r="D117" s="88" t="str">
        <f>IFERROR(__xludf.DUMMYFUNCTION("""COMPUTED_VALUE"""),"Fortress of the Round Table")</f>
        <v>Fortress of the Round Table</v>
      </c>
      <c r="E117" s="82" t="str">
        <f>IFERROR(__xludf.DUMMYFUNCTION("""COMPUTED_VALUE"""),"円卓の砦")</f>
        <v>円卓の砦</v>
      </c>
      <c r="F117" s="102">
        <f>IFERROR(__xludf.DUMMYFUNCTION("""COMPUTED_VALUE"""),19.0)</f>
        <v>19</v>
      </c>
      <c r="G117" s="82">
        <f>IFERROR(__xludf.DUMMYFUNCTION("""COMPUTED_VALUE"""),3427.0)</f>
        <v>3427</v>
      </c>
      <c r="H117" s="231" t="str">
        <f>IFERROR(__xludf.DUMMYFUNCTION("""COMPUTED_VALUE"""),"")</f>
        <v/>
      </c>
      <c r="I117" s="232" t="str">
        <f>IFERROR(__xludf.DUMMYFUNCTION("""COMPUTED_VALUE"""),"")</f>
        <v/>
      </c>
      <c r="J117" s="233" t="str">
        <f>IFERROR(__xludf.DUMMYFUNCTION("""COMPUTED_VALUE"""),"")</f>
        <v/>
      </c>
      <c r="K117" s="231" t="str">
        <f>IFERROR(__xludf.DUMMYFUNCTION("""COMPUTED_VALUE"""),"")</f>
        <v/>
      </c>
      <c r="L117" s="232" t="str">
        <f>IFERROR(__xludf.DUMMYFUNCTION("""COMPUTED_VALUE"""),"")</f>
        <v/>
      </c>
      <c r="M117" s="233" t="str">
        <f>IFERROR(__xludf.DUMMYFUNCTION("""COMPUTED_VALUE"""),"")</f>
        <v/>
      </c>
      <c r="N117" s="231" t="str">
        <f>IFERROR(__xludf.DUMMYFUNCTION("""COMPUTED_VALUE"""),"")</f>
        <v/>
      </c>
      <c r="O117" s="232" t="str">
        <f>IFERROR(__xludf.DUMMYFUNCTION("""COMPUTED_VALUE"""),"")</f>
        <v/>
      </c>
      <c r="P117" s="233" t="str">
        <f>IFERROR(__xludf.DUMMYFUNCTION("""COMPUTED_VALUE"""),"")</f>
        <v/>
      </c>
      <c r="Q117" s="231" t="str">
        <f>IFERROR(__xludf.DUMMYFUNCTION("""COMPUTED_VALUE"""),"")</f>
        <v/>
      </c>
      <c r="R117" s="232" t="str">
        <f>IFERROR(__xludf.DUMMYFUNCTION("""COMPUTED_VALUE"""),"")</f>
        <v/>
      </c>
      <c r="S117" s="233" t="str">
        <f>IFERROR(__xludf.DUMMYFUNCTION("""COMPUTED_VALUE"""),"")</f>
        <v/>
      </c>
      <c r="T117" s="231" t="str">
        <f>IFERROR(__xludf.DUMMYFUNCTION("""COMPUTED_VALUE"""),"")</f>
        <v/>
      </c>
      <c r="U117" s="232" t="str">
        <f>IFERROR(__xludf.DUMMYFUNCTION("""COMPUTED_VALUE"""),"")</f>
        <v/>
      </c>
      <c r="V117" s="233" t="str">
        <f>IFERROR(__xludf.DUMMYFUNCTION("""COMPUTED_VALUE"""),"")</f>
        <v/>
      </c>
      <c r="W117" s="231" t="str">
        <f>IFERROR(__xludf.DUMMYFUNCTION("""COMPUTED_VALUE"""),"")</f>
        <v/>
      </c>
      <c r="X117" s="232" t="str">
        <f>IFERROR(__xludf.DUMMYFUNCTION("""COMPUTED_VALUE"""),"")</f>
        <v/>
      </c>
      <c r="Y117" s="233" t="str">
        <f>IFERROR(__xludf.DUMMYFUNCTION("""COMPUTED_VALUE"""),"")</f>
        <v/>
      </c>
      <c r="Z117" s="231" t="str">
        <f>IFERROR(__xludf.DUMMYFUNCTION("""COMPUTED_VALUE"""),"")</f>
        <v/>
      </c>
      <c r="AA117" s="232" t="str">
        <f>IFERROR(__xludf.DUMMYFUNCTION("""COMPUTED_VALUE"""),"")</f>
        <v/>
      </c>
      <c r="AB117" s="233" t="str">
        <f>IFERROR(__xludf.DUMMYFUNCTION("""COMPUTED_VALUE"""),"")</f>
        <v/>
      </c>
      <c r="AC117" s="231" t="str">
        <f>IFERROR(__xludf.DUMMYFUNCTION("""COMPUTED_VALUE"""),"")</f>
        <v/>
      </c>
      <c r="AD117" s="232" t="str">
        <f>IFERROR(__xludf.DUMMYFUNCTION("""COMPUTED_VALUE"""),"")</f>
        <v/>
      </c>
      <c r="AE117" s="233" t="str">
        <f>IFERROR(__xludf.DUMMYFUNCTION("""COMPUTED_VALUE"""),"")</f>
        <v/>
      </c>
      <c r="AF117" s="231" t="str">
        <f>IFERROR(__xludf.DUMMYFUNCTION("""COMPUTED_VALUE"""),"")</f>
        <v/>
      </c>
      <c r="AG117" s="232" t="str">
        <f>IFERROR(__xludf.DUMMYFUNCTION("""COMPUTED_VALUE"""),"")</f>
        <v/>
      </c>
      <c r="AH117" s="233" t="str">
        <f>IFERROR(__xludf.DUMMYFUNCTION("""COMPUTED_VALUE"""),"")</f>
        <v/>
      </c>
      <c r="AI117" s="231">
        <f>IFERROR(__xludf.DUMMYFUNCTION("""COMPUTED_VALUE"""),18.1)</f>
        <v>18.1</v>
      </c>
      <c r="AJ117" s="232" t="str">
        <f>IFERROR(__xludf.DUMMYFUNCTION("""COMPUTED_VALUE"""),"")</f>
        <v/>
      </c>
      <c r="AK117" s="233" t="str">
        <f>IFERROR(__xludf.DUMMYFUNCTION("""COMPUTED_VALUE"""),"")</f>
        <v/>
      </c>
      <c r="AL117" s="231" t="str">
        <f>IFERROR(__xludf.DUMMYFUNCTION("""COMPUTED_VALUE"""),"")</f>
        <v/>
      </c>
      <c r="AM117" s="232" t="str">
        <f>IFERROR(__xludf.DUMMYFUNCTION("""COMPUTED_VALUE"""),"")</f>
        <v/>
      </c>
      <c r="AN117" s="233" t="str">
        <f>IFERROR(__xludf.DUMMYFUNCTION("""COMPUTED_VALUE"""),"")</f>
        <v/>
      </c>
      <c r="AO117" s="231" t="str">
        <f>IFERROR(__xludf.DUMMYFUNCTION("""COMPUTED_VALUE"""),"")</f>
        <v/>
      </c>
      <c r="AP117" s="232" t="str">
        <f>IFERROR(__xludf.DUMMYFUNCTION("""COMPUTED_VALUE"""),"")</f>
        <v/>
      </c>
      <c r="AQ117" s="233" t="str">
        <f>IFERROR(__xludf.DUMMYFUNCTION("""COMPUTED_VALUE"""),"")</f>
        <v/>
      </c>
      <c r="AR117" s="231" t="str">
        <f>IFERROR(__xludf.DUMMYFUNCTION("""COMPUTED_VALUE"""),"")</f>
        <v/>
      </c>
      <c r="AS117" s="232" t="str">
        <f>IFERROR(__xludf.DUMMYFUNCTION("""COMPUTED_VALUE"""),"")</f>
        <v/>
      </c>
      <c r="AT117" s="233">
        <f>IFERROR(__xludf.DUMMYFUNCTION("""COMPUTED_VALUE"""),44.1)</f>
        <v>44.1</v>
      </c>
      <c r="AU117" s="231" t="str">
        <f>IFERROR(__xludf.DUMMYFUNCTION("""COMPUTED_VALUE"""),"")</f>
        <v/>
      </c>
      <c r="AV117" s="232" t="str">
        <f>IFERROR(__xludf.DUMMYFUNCTION("""COMPUTED_VALUE"""),"")</f>
        <v/>
      </c>
      <c r="AW117" s="233" t="str">
        <f>IFERROR(__xludf.DUMMYFUNCTION("""COMPUTED_VALUE"""),"")</f>
        <v/>
      </c>
      <c r="AX117" s="231" t="str">
        <f>IFERROR(__xludf.DUMMYFUNCTION("""COMPUTED_VALUE"""),"")</f>
        <v/>
      </c>
      <c r="AY117" s="232" t="str">
        <f>IFERROR(__xludf.DUMMYFUNCTION("""COMPUTED_VALUE"""),"")</f>
        <v/>
      </c>
      <c r="AZ117" s="233" t="str">
        <f>IFERROR(__xludf.DUMMYFUNCTION("""COMPUTED_VALUE"""),"")</f>
        <v/>
      </c>
      <c r="BA117" s="231" t="str">
        <f>IFERROR(__xludf.DUMMYFUNCTION("""COMPUTED_VALUE"""),"")</f>
        <v/>
      </c>
      <c r="BB117" s="232" t="str">
        <f>IFERROR(__xludf.DUMMYFUNCTION("""COMPUTED_VALUE"""),"")</f>
        <v/>
      </c>
      <c r="BC117" s="233" t="str">
        <f>IFERROR(__xludf.DUMMYFUNCTION("""COMPUTED_VALUE"""),"")</f>
        <v/>
      </c>
      <c r="BD117" s="231" t="str">
        <f>IFERROR(__xludf.DUMMYFUNCTION("""COMPUTED_VALUE"""),"")</f>
        <v/>
      </c>
      <c r="BE117" s="232" t="str">
        <f>IFERROR(__xludf.DUMMYFUNCTION("""COMPUTED_VALUE"""),"")</f>
        <v/>
      </c>
      <c r="BF117" s="233" t="str">
        <f>IFERROR(__xludf.DUMMYFUNCTION("""COMPUTED_VALUE"""),"")</f>
        <v/>
      </c>
      <c r="BG117" s="231" t="str">
        <f>IFERROR(__xludf.DUMMYFUNCTION("""COMPUTED_VALUE"""),"")</f>
        <v/>
      </c>
      <c r="BH117" s="232" t="str">
        <f>IFERROR(__xludf.DUMMYFUNCTION("""COMPUTED_VALUE"""),"")</f>
        <v/>
      </c>
      <c r="BI117" s="233" t="str">
        <f>IFERROR(__xludf.DUMMYFUNCTION("""COMPUTED_VALUE"""),"")</f>
        <v/>
      </c>
      <c r="BJ117" s="231">
        <f>IFERROR(__xludf.DUMMYFUNCTION("""COMPUTED_VALUE"""),10.4)</f>
        <v>10.4</v>
      </c>
      <c r="BK117" s="232" t="str">
        <f>IFERROR(__xludf.DUMMYFUNCTION("""COMPUTED_VALUE"""),"")</f>
        <v/>
      </c>
      <c r="BL117" s="233">
        <f>IFERROR(__xludf.DUMMYFUNCTION("""COMPUTED_VALUE"""),9.5)</f>
        <v>9.5</v>
      </c>
      <c r="BM117" s="231" t="str">
        <f>IFERROR(__xludf.DUMMYFUNCTION("""COMPUTED_VALUE"""),"")</f>
        <v/>
      </c>
      <c r="BN117" s="232" t="str">
        <f>IFERROR(__xludf.DUMMYFUNCTION("""COMPUTED_VALUE"""),"")</f>
        <v/>
      </c>
      <c r="BO117" s="233" t="str">
        <f>IFERROR(__xludf.DUMMYFUNCTION("""COMPUTED_VALUE"""),"")</f>
        <v/>
      </c>
      <c r="BP117" s="231" t="str">
        <f>IFERROR(__xludf.DUMMYFUNCTION("""COMPUTED_VALUE"""),"")</f>
        <v/>
      </c>
      <c r="BQ117" s="232">
        <f>IFERROR(__xludf.DUMMYFUNCTION("""COMPUTED_VALUE"""),9.8)</f>
        <v>9.8</v>
      </c>
      <c r="BR117" s="233" t="str">
        <f>IFERROR(__xludf.DUMMYFUNCTION("""COMPUTED_VALUE"""),"")</f>
        <v/>
      </c>
      <c r="BS117" s="231">
        <f>IFERROR(__xludf.DUMMYFUNCTION("""COMPUTED_VALUE"""),14.6)</f>
        <v>14.6</v>
      </c>
      <c r="BT117" s="232" t="str">
        <f>IFERROR(__xludf.DUMMYFUNCTION("""COMPUTED_VALUE"""),"")</f>
        <v/>
      </c>
      <c r="BU117" s="233" t="str">
        <f>IFERROR(__xludf.DUMMYFUNCTION("""COMPUTED_VALUE"""),"")</f>
        <v/>
      </c>
      <c r="BV117" s="231" t="str">
        <f>IFERROR(__xludf.DUMMYFUNCTION("""COMPUTED_VALUE"""),"")</f>
        <v/>
      </c>
      <c r="BW117" s="232" t="str">
        <f>IFERROR(__xludf.DUMMYFUNCTION("""COMPUTED_VALUE"""),"")</f>
        <v/>
      </c>
      <c r="BX117" s="233" t="str">
        <f>IFERROR(__xludf.DUMMYFUNCTION("""COMPUTED_VALUE"""),"")</f>
        <v/>
      </c>
      <c r="BY117" s="231" t="str">
        <f>IFERROR(__xludf.DUMMYFUNCTION("""COMPUTED_VALUE"""),"")</f>
        <v/>
      </c>
      <c r="BZ117" s="232" t="str">
        <f>IFERROR(__xludf.DUMMYFUNCTION("""COMPUTED_VALUE"""),"")</f>
        <v/>
      </c>
      <c r="CA117" s="233" t="str">
        <f>IFERROR(__xludf.DUMMYFUNCTION("""COMPUTED_VALUE"""),"")</f>
        <v/>
      </c>
      <c r="CB117" s="231" t="str">
        <f>IFERROR(__xludf.DUMMYFUNCTION("""COMPUTED_VALUE"""),"")</f>
        <v/>
      </c>
      <c r="CC117" s="232" t="str">
        <f>IFERROR(__xludf.DUMMYFUNCTION("""COMPUTED_VALUE"""),"")</f>
        <v/>
      </c>
      <c r="CD117" s="233" t="str">
        <f>IFERROR(__xludf.DUMMYFUNCTION("""COMPUTED_VALUE"""),"")</f>
        <v/>
      </c>
      <c r="CE117" s="234" t="str">
        <f>IFERROR(__xludf.DUMMYFUNCTION("""COMPUTED_VALUE"""),"")</f>
        <v/>
      </c>
      <c r="CF117" s="230" t="str">
        <f>IFERROR(__xludf.DUMMYFUNCTION("""COMPUTED_VALUE"""),"")</f>
        <v/>
      </c>
      <c r="CG117" s="235" t="str">
        <f>IFERROR(__xludf.DUMMYFUNCTION("""COMPUTED_VALUE"""),"")</f>
        <v/>
      </c>
      <c r="CH117" s="234" t="str">
        <f>IFERROR(__xludf.DUMMYFUNCTION("""COMPUTED_VALUE"""),"")</f>
        <v/>
      </c>
      <c r="CI117" s="230" t="str">
        <f>IFERROR(__xludf.DUMMYFUNCTION("""COMPUTED_VALUE"""),"")</f>
        <v/>
      </c>
      <c r="CJ117" s="235" t="str">
        <f>IFERROR(__xludf.DUMMYFUNCTION("""COMPUTED_VALUE"""),"")</f>
        <v/>
      </c>
      <c r="CK117" s="95" t="str">
        <f>IFERROR(__xludf.DUMMYFUNCTION("""COMPUTED_VALUE"""),"")</f>
        <v/>
      </c>
      <c r="CL117" s="96">
        <f>IFERROR(__xludf.DUMMYFUNCTION("""COMPUTED_VALUE"""),10.0)</f>
        <v>10</v>
      </c>
      <c r="CM117" s="97" t="str">
        <f>IFERROR(__xludf.DUMMYFUNCTION("""COMPUTED_VALUE"""),"")</f>
        <v/>
      </c>
      <c r="CN117" s="95">
        <f>IFERROR(__xludf.DUMMYFUNCTION("""COMPUTED_VALUE"""),9.7)</f>
        <v>9.7</v>
      </c>
      <c r="CO117" s="96" t="str">
        <f>IFERROR(__xludf.DUMMYFUNCTION("""COMPUTED_VALUE"""),"")</f>
        <v/>
      </c>
      <c r="CP117" s="97" t="str">
        <f>IFERROR(__xludf.DUMMYFUNCTION("""COMPUTED_VALUE"""),"")</f>
        <v/>
      </c>
      <c r="CQ117" s="95" t="str">
        <f>IFERROR(__xludf.DUMMYFUNCTION("""COMPUTED_VALUE"""),"")</f>
        <v/>
      </c>
      <c r="CR117" s="96" t="str">
        <f>IFERROR(__xludf.DUMMYFUNCTION("""COMPUTED_VALUE"""),"")</f>
        <v/>
      </c>
      <c r="CS117" s="97" t="str">
        <f>IFERROR(__xludf.DUMMYFUNCTION("""COMPUTED_VALUE"""),"#REF!")</f>
        <v>#REF!</v>
      </c>
      <c r="CT117" s="95" t="str">
        <f>IFERROR(__xludf.DUMMYFUNCTION("""COMPUTED_VALUE"""),"#REF!")</f>
        <v>#REF!</v>
      </c>
      <c r="CU117" s="96" t="str">
        <f>IFERROR(__xludf.DUMMYFUNCTION("""COMPUTED_VALUE"""),"#REF!")</f>
        <v>#REF!</v>
      </c>
      <c r="CV117" s="97" t="str">
        <f>IFERROR(__xludf.DUMMYFUNCTION("""COMPUTED_VALUE"""),"#REF!")</f>
        <v>#REF!</v>
      </c>
      <c r="CW117" s="95" t="str">
        <f>IFERROR(__xludf.DUMMYFUNCTION("""COMPUTED_VALUE"""),"#REF!")</f>
        <v>#REF!</v>
      </c>
      <c r="CX117" s="96" t="str">
        <f>IFERROR(__xludf.DUMMYFUNCTION("""COMPUTED_VALUE"""),"#REF!")</f>
        <v>#REF!</v>
      </c>
      <c r="CY117" s="97" t="str">
        <f>IFERROR(__xludf.DUMMYFUNCTION("""COMPUTED_VALUE"""),"#REF!")</f>
        <v>#REF!</v>
      </c>
      <c r="CZ117" s="95" t="str">
        <f>IFERROR(__xludf.DUMMYFUNCTION("""COMPUTED_VALUE"""),"#REF!")</f>
        <v>#REF!</v>
      </c>
      <c r="DA117" s="96" t="str">
        <f>IFERROR(__xludf.DUMMYFUNCTION("""COMPUTED_VALUE"""),"#REF!")</f>
        <v>#REF!</v>
      </c>
      <c r="DB117" s="97" t="str">
        <f>IFERROR(__xludf.DUMMYFUNCTION("""COMPUTED_VALUE"""),"#REF!")</f>
        <v>#REF!</v>
      </c>
      <c r="DC117" s="95" t="str">
        <f>IFERROR(__xludf.DUMMYFUNCTION("""COMPUTED_VALUE"""),"#REF!")</f>
        <v>#REF!</v>
      </c>
      <c r="DD117" s="96" t="str">
        <f>IFERROR(__xludf.DUMMYFUNCTION("""COMPUTED_VALUE"""),"#REF!")</f>
        <v>#REF!</v>
      </c>
      <c r="DE117" s="97" t="str">
        <f>IFERROR(__xludf.DUMMYFUNCTION("""COMPUTED_VALUE"""),"#REF!")</f>
        <v>#REF!</v>
      </c>
      <c r="DF117" s="95" t="str">
        <f>IFERROR(__xludf.DUMMYFUNCTION("""COMPUTED_VALUE"""),"#REF!")</f>
        <v>#REF!</v>
      </c>
      <c r="DG117" s="96" t="str">
        <f>IFERROR(__xludf.DUMMYFUNCTION("""COMPUTED_VALUE"""),"#REF!")</f>
        <v>#REF!</v>
      </c>
      <c r="DH117" s="97" t="str">
        <f>IFERROR(__xludf.DUMMYFUNCTION("""COMPUTED_VALUE"""),"#REF!")</f>
        <v>#REF!</v>
      </c>
      <c r="DI117" s="95" t="str">
        <f>IFERROR(__xludf.DUMMYFUNCTION("""COMPUTED_VALUE"""),"#REF!")</f>
        <v>#REF!</v>
      </c>
      <c r="DJ117" s="96" t="str">
        <f>IFERROR(__xludf.DUMMYFUNCTION("""COMPUTED_VALUE"""),"#REF!")</f>
        <v>#REF!</v>
      </c>
      <c r="DK117" s="97" t="str">
        <f>IFERROR(__xludf.DUMMYFUNCTION("""COMPUTED_VALUE"""),"#REF!")</f>
        <v>#REF!</v>
      </c>
      <c r="DL117" s="95" t="str">
        <f>IFERROR(__xludf.DUMMYFUNCTION("""COMPUTED_VALUE"""),"#REF!")</f>
        <v>#REF!</v>
      </c>
      <c r="DM117" s="96" t="str">
        <f>IFERROR(__xludf.DUMMYFUNCTION("""COMPUTED_VALUE"""),"#REF!")</f>
        <v>#REF!</v>
      </c>
      <c r="DN117" s="97" t="str">
        <f>IFERROR(__xludf.DUMMYFUNCTION("""COMPUTED_VALUE"""),"#REF!")</f>
        <v>#REF!</v>
      </c>
      <c r="DO117" s="95" t="str">
        <f>IFERROR(__xludf.DUMMYFUNCTION("""COMPUTED_VALUE"""),"#REF!")</f>
        <v>#REF!</v>
      </c>
      <c r="DP117" s="96" t="str">
        <f>IFERROR(__xludf.DUMMYFUNCTION("""COMPUTED_VALUE"""),"#REF!")</f>
        <v>#REF!</v>
      </c>
      <c r="DQ117" s="97"/>
      <c r="DR117" s="95"/>
    </row>
    <row r="118">
      <c r="B118" s="120" t="str">
        <f>IFERROR(__xludf.DUMMYFUNCTION("""COMPUTED_VALUE"""),"CML6")</f>
        <v>CML6</v>
      </c>
      <c r="C118" s="82">
        <f>IFERROR(__xludf.DUMMYFUNCTION("""COMPUTED_VALUE"""),107.0)</f>
        <v>107</v>
      </c>
      <c r="D118" s="88" t="str">
        <f>IFERROR(__xludf.DUMMYFUNCTION("""COMPUTED_VALUE"""),"Mausoleum of the Evening Bell")</f>
        <v>Mausoleum of the Evening Bell</v>
      </c>
      <c r="E118" s="82" t="str">
        <f>IFERROR(__xludf.DUMMYFUNCTION("""COMPUTED_VALUE"""),"晩鐘廟")</f>
        <v>晩鐘廟</v>
      </c>
      <c r="F118" s="102">
        <f>IFERROR(__xludf.DUMMYFUNCTION("""COMPUTED_VALUE"""),19.0)</f>
        <v>19</v>
      </c>
      <c r="G118" s="82">
        <f>IFERROR(__xludf.DUMMYFUNCTION("""COMPUTED_VALUE"""),2303.0)</f>
        <v>2303</v>
      </c>
      <c r="H118" s="231" t="str">
        <f>IFERROR(__xludf.DUMMYFUNCTION("""COMPUTED_VALUE"""),"")</f>
        <v/>
      </c>
      <c r="I118" s="232" t="str">
        <f>IFERROR(__xludf.DUMMYFUNCTION("""COMPUTED_VALUE"""),"")</f>
        <v/>
      </c>
      <c r="J118" s="233" t="str">
        <f>IFERROR(__xludf.DUMMYFUNCTION("""COMPUTED_VALUE"""),"")</f>
        <v/>
      </c>
      <c r="K118" s="231" t="str">
        <f>IFERROR(__xludf.DUMMYFUNCTION("""COMPUTED_VALUE"""),"")</f>
        <v/>
      </c>
      <c r="L118" s="232" t="str">
        <f>IFERROR(__xludf.DUMMYFUNCTION("""COMPUTED_VALUE"""),"")</f>
        <v/>
      </c>
      <c r="M118" s="233" t="str">
        <f>IFERROR(__xludf.DUMMYFUNCTION("""COMPUTED_VALUE"""),"")</f>
        <v/>
      </c>
      <c r="N118" s="231" t="str">
        <f>IFERROR(__xludf.DUMMYFUNCTION("""COMPUTED_VALUE"""),"")</f>
        <v/>
      </c>
      <c r="O118" s="232" t="str">
        <f>IFERROR(__xludf.DUMMYFUNCTION("""COMPUTED_VALUE"""),"")</f>
        <v/>
      </c>
      <c r="P118" s="233" t="str">
        <f>IFERROR(__xludf.DUMMYFUNCTION("""COMPUTED_VALUE"""),"")</f>
        <v/>
      </c>
      <c r="Q118" s="231" t="str">
        <f>IFERROR(__xludf.DUMMYFUNCTION("""COMPUTED_VALUE"""),"")</f>
        <v/>
      </c>
      <c r="R118" s="232" t="str">
        <f>IFERROR(__xludf.DUMMYFUNCTION("""COMPUTED_VALUE"""),"")</f>
        <v/>
      </c>
      <c r="S118" s="233" t="str">
        <f>IFERROR(__xludf.DUMMYFUNCTION("""COMPUTED_VALUE"""),"")</f>
        <v/>
      </c>
      <c r="T118" s="231" t="str">
        <f>IFERROR(__xludf.DUMMYFUNCTION("""COMPUTED_VALUE"""),"")</f>
        <v/>
      </c>
      <c r="U118" s="232" t="str">
        <f>IFERROR(__xludf.DUMMYFUNCTION("""COMPUTED_VALUE"""),"")</f>
        <v/>
      </c>
      <c r="V118" s="233" t="str">
        <f>IFERROR(__xludf.DUMMYFUNCTION("""COMPUTED_VALUE"""),"")</f>
        <v/>
      </c>
      <c r="W118" s="231" t="str">
        <f>IFERROR(__xludf.DUMMYFUNCTION("""COMPUTED_VALUE"""),"")</f>
        <v/>
      </c>
      <c r="X118" s="232" t="str">
        <f>IFERROR(__xludf.DUMMYFUNCTION("""COMPUTED_VALUE"""),"")</f>
        <v/>
      </c>
      <c r="Y118" s="233" t="str">
        <f>IFERROR(__xludf.DUMMYFUNCTION("""COMPUTED_VALUE"""),"")</f>
        <v/>
      </c>
      <c r="Z118" s="231" t="str">
        <f>IFERROR(__xludf.DUMMYFUNCTION("""COMPUTED_VALUE"""),"")</f>
        <v/>
      </c>
      <c r="AA118" s="232">
        <f>IFERROR(__xludf.DUMMYFUNCTION("""COMPUTED_VALUE"""),32.1)</f>
        <v>32.1</v>
      </c>
      <c r="AB118" s="233" t="str">
        <f>IFERROR(__xludf.DUMMYFUNCTION("""COMPUTED_VALUE"""),"")</f>
        <v/>
      </c>
      <c r="AC118" s="231" t="str">
        <f>IFERROR(__xludf.DUMMYFUNCTION("""COMPUTED_VALUE"""),"")</f>
        <v/>
      </c>
      <c r="AD118" s="232" t="str">
        <f>IFERROR(__xludf.DUMMYFUNCTION("""COMPUTED_VALUE"""),"")</f>
        <v/>
      </c>
      <c r="AE118" s="233" t="str">
        <f>IFERROR(__xludf.DUMMYFUNCTION("""COMPUTED_VALUE"""),"")</f>
        <v/>
      </c>
      <c r="AF118" s="231" t="str">
        <f>IFERROR(__xludf.DUMMYFUNCTION("""COMPUTED_VALUE"""),"")</f>
        <v/>
      </c>
      <c r="AG118" s="232" t="str">
        <f>IFERROR(__xludf.DUMMYFUNCTION("""COMPUTED_VALUE"""),"")</f>
        <v/>
      </c>
      <c r="AH118" s="233" t="str">
        <f>IFERROR(__xludf.DUMMYFUNCTION("""COMPUTED_VALUE"""),"")</f>
        <v/>
      </c>
      <c r="AI118" s="231" t="str">
        <f>IFERROR(__xludf.DUMMYFUNCTION("""COMPUTED_VALUE"""),"")</f>
        <v/>
      </c>
      <c r="AJ118" s="232" t="str">
        <f>IFERROR(__xludf.DUMMYFUNCTION("""COMPUTED_VALUE"""),"")</f>
        <v/>
      </c>
      <c r="AK118" s="233" t="str">
        <f>IFERROR(__xludf.DUMMYFUNCTION("""COMPUTED_VALUE"""),"")</f>
        <v/>
      </c>
      <c r="AL118" s="231" t="str">
        <f>IFERROR(__xludf.DUMMYFUNCTION("""COMPUTED_VALUE"""),"")</f>
        <v/>
      </c>
      <c r="AM118" s="232" t="str">
        <f>IFERROR(__xludf.DUMMYFUNCTION("""COMPUTED_VALUE"""),"")</f>
        <v/>
      </c>
      <c r="AN118" s="233" t="str">
        <f>IFERROR(__xludf.DUMMYFUNCTION("""COMPUTED_VALUE"""),"")</f>
        <v/>
      </c>
      <c r="AO118" s="231" t="str">
        <f>IFERROR(__xludf.DUMMYFUNCTION("""COMPUTED_VALUE"""),"")</f>
        <v/>
      </c>
      <c r="AP118" s="232" t="str">
        <f>IFERROR(__xludf.DUMMYFUNCTION("""COMPUTED_VALUE"""),"")</f>
        <v/>
      </c>
      <c r="AQ118" s="233" t="str">
        <f>IFERROR(__xludf.DUMMYFUNCTION("""COMPUTED_VALUE"""),"")</f>
        <v/>
      </c>
      <c r="AR118" s="231" t="str">
        <f>IFERROR(__xludf.DUMMYFUNCTION("""COMPUTED_VALUE"""),"")</f>
        <v/>
      </c>
      <c r="AS118" s="232" t="str">
        <f>IFERROR(__xludf.DUMMYFUNCTION("""COMPUTED_VALUE"""),"")</f>
        <v/>
      </c>
      <c r="AT118" s="233" t="str">
        <f>IFERROR(__xludf.DUMMYFUNCTION("""COMPUTED_VALUE"""),"")</f>
        <v/>
      </c>
      <c r="AU118" s="231" t="str">
        <f>IFERROR(__xludf.DUMMYFUNCTION("""COMPUTED_VALUE"""),"")</f>
        <v/>
      </c>
      <c r="AV118" s="232" t="str">
        <f>IFERROR(__xludf.DUMMYFUNCTION("""COMPUTED_VALUE"""),"")</f>
        <v/>
      </c>
      <c r="AW118" s="233" t="str">
        <f>IFERROR(__xludf.DUMMYFUNCTION("""COMPUTED_VALUE"""),"")</f>
        <v/>
      </c>
      <c r="AX118" s="231" t="str">
        <f>IFERROR(__xludf.DUMMYFUNCTION("""COMPUTED_VALUE"""),"")</f>
        <v/>
      </c>
      <c r="AY118" s="232" t="str">
        <f>IFERROR(__xludf.DUMMYFUNCTION("""COMPUTED_VALUE"""),"")</f>
        <v/>
      </c>
      <c r="AZ118" s="233" t="str">
        <f>IFERROR(__xludf.DUMMYFUNCTION("""COMPUTED_VALUE"""),"")</f>
        <v/>
      </c>
      <c r="BA118" s="231" t="str">
        <f>IFERROR(__xludf.DUMMYFUNCTION("""COMPUTED_VALUE"""),"")</f>
        <v/>
      </c>
      <c r="BB118" s="232" t="str">
        <f>IFERROR(__xludf.DUMMYFUNCTION("""COMPUTED_VALUE"""),"")</f>
        <v/>
      </c>
      <c r="BC118" s="233" t="str">
        <f>IFERROR(__xludf.DUMMYFUNCTION("""COMPUTED_VALUE"""),"")</f>
        <v/>
      </c>
      <c r="BD118" s="231" t="str">
        <f>IFERROR(__xludf.DUMMYFUNCTION("""COMPUTED_VALUE"""),"")</f>
        <v/>
      </c>
      <c r="BE118" s="232" t="str">
        <f>IFERROR(__xludf.DUMMYFUNCTION("""COMPUTED_VALUE"""),"")</f>
        <v/>
      </c>
      <c r="BF118" s="233" t="str">
        <f>IFERROR(__xludf.DUMMYFUNCTION("""COMPUTED_VALUE"""),"")</f>
        <v/>
      </c>
      <c r="BG118" s="231" t="str">
        <f>IFERROR(__xludf.DUMMYFUNCTION("""COMPUTED_VALUE"""),"")</f>
        <v/>
      </c>
      <c r="BH118" s="232" t="str">
        <f>IFERROR(__xludf.DUMMYFUNCTION("""COMPUTED_VALUE"""),"")</f>
        <v/>
      </c>
      <c r="BI118" s="233" t="str">
        <f>IFERROR(__xludf.DUMMYFUNCTION("""COMPUTED_VALUE"""),"")</f>
        <v/>
      </c>
      <c r="BJ118" s="231" t="str">
        <f>IFERROR(__xludf.DUMMYFUNCTION("""COMPUTED_VALUE"""),"")</f>
        <v/>
      </c>
      <c r="BK118" s="232" t="str">
        <f>IFERROR(__xludf.DUMMYFUNCTION("""COMPUTED_VALUE"""),"")</f>
        <v/>
      </c>
      <c r="BL118" s="233" t="str">
        <f>IFERROR(__xludf.DUMMYFUNCTION("""COMPUTED_VALUE"""),"")</f>
        <v/>
      </c>
      <c r="BM118" s="231" t="str">
        <f>IFERROR(__xludf.DUMMYFUNCTION("""COMPUTED_VALUE"""),"")</f>
        <v/>
      </c>
      <c r="BN118" s="232" t="str">
        <f>IFERROR(__xludf.DUMMYFUNCTION("""COMPUTED_VALUE"""),"")</f>
        <v/>
      </c>
      <c r="BO118" s="233">
        <f>IFERROR(__xludf.DUMMYFUNCTION("""COMPUTED_VALUE"""),2.3)</f>
        <v>2.3</v>
      </c>
      <c r="BP118" s="231" t="str">
        <f>IFERROR(__xludf.DUMMYFUNCTION("""COMPUTED_VALUE"""),"")</f>
        <v/>
      </c>
      <c r="BQ118" s="232" t="str">
        <f>IFERROR(__xludf.DUMMYFUNCTION("""COMPUTED_VALUE"""),"")</f>
        <v/>
      </c>
      <c r="BR118" s="233" t="str">
        <f>IFERROR(__xludf.DUMMYFUNCTION("""COMPUTED_VALUE"""),"")</f>
        <v/>
      </c>
      <c r="BS118" s="231" t="str">
        <f>IFERROR(__xludf.DUMMYFUNCTION("""COMPUTED_VALUE"""),"")</f>
        <v/>
      </c>
      <c r="BT118" s="232" t="str">
        <f>IFERROR(__xludf.DUMMYFUNCTION("""COMPUTED_VALUE"""),"")</f>
        <v/>
      </c>
      <c r="BU118" s="233" t="str">
        <f>IFERROR(__xludf.DUMMYFUNCTION("""COMPUTED_VALUE"""),"")</f>
        <v/>
      </c>
      <c r="BV118" s="231">
        <f>IFERROR(__xludf.DUMMYFUNCTION("""COMPUTED_VALUE"""),49.8)</f>
        <v>49.8</v>
      </c>
      <c r="BW118" s="232" t="str">
        <f>IFERROR(__xludf.DUMMYFUNCTION("""COMPUTED_VALUE"""),"")</f>
        <v/>
      </c>
      <c r="BX118" s="233" t="str">
        <f>IFERROR(__xludf.DUMMYFUNCTION("""COMPUTED_VALUE"""),"")</f>
        <v/>
      </c>
      <c r="BY118" s="231" t="str">
        <f>IFERROR(__xludf.DUMMYFUNCTION("""COMPUTED_VALUE"""),"")</f>
        <v/>
      </c>
      <c r="BZ118" s="232" t="str">
        <f>IFERROR(__xludf.DUMMYFUNCTION("""COMPUTED_VALUE"""),"")</f>
        <v/>
      </c>
      <c r="CA118" s="233" t="str">
        <f>IFERROR(__xludf.DUMMYFUNCTION("""COMPUTED_VALUE"""),"")</f>
        <v/>
      </c>
      <c r="CB118" s="231" t="str">
        <f>IFERROR(__xludf.DUMMYFUNCTION("""COMPUTED_VALUE"""),"")</f>
        <v/>
      </c>
      <c r="CC118" s="232" t="str">
        <f>IFERROR(__xludf.DUMMYFUNCTION("""COMPUTED_VALUE"""),"")</f>
        <v/>
      </c>
      <c r="CD118" s="233" t="str">
        <f>IFERROR(__xludf.DUMMYFUNCTION("""COMPUTED_VALUE"""),"")</f>
        <v/>
      </c>
      <c r="CE118" s="234" t="str">
        <f>IFERROR(__xludf.DUMMYFUNCTION("""COMPUTED_VALUE"""),"")</f>
        <v/>
      </c>
      <c r="CF118" s="230" t="str">
        <f>IFERROR(__xludf.DUMMYFUNCTION("""COMPUTED_VALUE"""),"")</f>
        <v/>
      </c>
      <c r="CG118" s="235" t="str">
        <f>IFERROR(__xludf.DUMMYFUNCTION("""COMPUTED_VALUE"""),"")</f>
        <v/>
      </c>
      <c r="CH118" s="234" t="str">
        <f>IFERROR(__xludf.DUMMYFUNCTION("""COMPUTED_VALUE"""),"")</f>
        <v/>
      </c>
      <c r="CI118" s="230" t="str">
        <f>IFERROR(__xludf.DUMMYFUNCTION("""COMPUTED_VALUE"""),"")</f>
        <v/>
      </c>
      <c r="CJ118" s="235" t="str">
        <f>IFERROR(__xludf.DUMMYFUNCTION("""COMPUTED_VALUE"""),"")</f>
        <v/>
      </c>
      <c r="CK118" s="95" t="str">
        <f>IFERROR(__xludf.DUMMYFUNCTION("""COMPUTED_VALUE"""),"")</f>
        <v/>
      </c>
      <c r="CL118" s="96" t="str">
        <f>IFERROR(__xludf.DUMMYFUNCTION("""COMPUTED_VALUE"""),"")</f>
        <v/>
      </c>
      <c r="CM118" s="97" t="str">
        <f>IFERROR(__xludf.DUMMYFUNCTION("""COMPUTED_VALUE"""),"")</f>
        <v/>
      </c>
      <c r="CN118" s="95" t="str">
        <f>IFERROR(__xludf.DUMMYFUNCTION("""COMPUTED_VALUE"""),"")</f>
        <v/>
      </c>
      <c r="CO118" s="96" t="str">
        <f>IFERROR(__xludf.DUMMYFUNCTION("""COMPUTED_VALUE"""),"")</f>
        <v/>
      </c>
      <c r="CP118" s="97" t="str">
        <f>IFERROR(__xludf.DUMMYFUNCTION("""COMPUTED_VALUE"""),"")</f>
        <v/>
      </c>
      <c r="CQ118" s="95" t="str">
        <f>IFERROR(__xludf.DUMMYFUNCTION("""COMPUTED_VALUE"""),"")</f>
        <v/>
      </c>
      <c r="CR118" s="96" t="str">
        <f>IFERROR(__xludf.DUMMYFUNCTION("""COMPUTED_VALUE"""),"")</f>
        <v/>
      </c>
      <c r="CS118" s="97" t="str">
        <f>IFERROR(__xludf.DUMMYFUNCTION("""COMPUTED_VALUE"""),"#REF!")</f>
        <v>#REF!</v>
      </c>
      <c r="CT118" s="95" t="str">
        <f>IFERROR(__xludf.DUMMYFUNCTION("""COMPUTED_VALUE"""),"#REF!")</f>
        <v>#REF!</v>
      </c>
      <c r="CU118" s="96" t="str">
        <f>IFERROR(__xludf.DUMMYFUNCTION("""COMPUTED_VALUE"""),"#REF!")</f>
        <v>#REF!</v>
      </c>
      <c r="CV118" s="97" t="str">
        <f>IFERROR(__xludf.DUMMYFUNCTION("""COMPUTED_VALUE"""),"#REF!")</f>
        <v>#REF!</v>
      </c>
      <c r="CW118" s="95" t="str">
        <f>IFERROR(__xludf.DUMMYFUNCTION("""COMPUTED_VALUE"""),"#REF!")</f>
        <v>#REF!</v>
      </c>
      <c r="CX118" s="96" t="str">
        <f>IFERROR(__xludf.DUMMYFUNCTION("""COMPUTED_VALUE"""),"#REF!")</f>
        <v>#REF!</v>
      </c>
      <c r="CY118" s="97" t="str">
        <f>IFERROR(__xludf.DUMMYFUNCTION("""COMPUTED_VALUE"""),"#REF!")</f>
        <v>#REF!</v>
      </c>
      <c r="CZ118" s="95" t="str">
        <f>IFERROR(__xludf.DUMMYFUNCTION("""COMPUTED_VALUE"""),"#REF!")</f>
        <v>#REF!</v>
      </c>
      <c r="DA118" s="96" t="str">
        <f>IFERROR(__xludf.DUMMYFUNCTION("""COMPUTED_VALUE"""),"#REF!")</f>
        <v>#REF!</v>
      </c>
      <c r="DB118" s="97" t="str">
        <f>IFERROR(__xludf.DUMMYFUNCTION("""COMPUTED_VALUE"""),"#REF!")</f>
        <v>#REF!</v>
      </c>
      <c r="DC118" s="95" t="str">
        <f>IFERROR(__xludf.DUMMYFUNCTION("""COMPUTED_VALUE"""),"#REF!")</f>
        <v>#REF!</v>
      </c>
      <c r="DD118" s="96" t="str">
        <f>IFERROR(__xludf.DUMMYFUNCTION("""COMPUTED_VALUE"""),"#REF!")</f>
        <v>#REF!</v>
      </c>
      <c r="DE118" s="97" t="str">
        <f>IFERROR(__xludf.DUMMYFUNCTION("""COMPUTED_VALUE"""),"#REF!")</f>
        <v>#REF!</v>
      </c>
      <c r="DF118" s="95" t="str">
        <f>IFERROR(__xludf.DUMMYFUNCTION("""COMPUTED_VALUE"""),"#REF!")</f>
        <v>#REF!</v>
      </c>
      <c r="DG118" s="96" t="str">
        <f>IFERROR(__xludf.DUMMYFUNCTION("""COMPUTED_VALUE"""),"#REF!")</f>
        <v>#REF!</v>
      </c>
      <c r="DH118" s="97" t="str">
        <f>IFERROR(__xludf.DUMMYFUNCTION("""COMPUTED_VALUE"""),"#REF!")</f>
        <v>#REF!</v>
      </c>
      <c r="DI118" s="95" t="str">
        <f>IFERROR(__xludf.DUMMYFUNCTION("""COMPUTED_VALUE"""),"#REF!")</f>
        <v>#REF!</v>
      </c>
      <c r="DJ118" s="96" t="str">
        <f>IFERROR(__xludf.DUMMYFUNCTION("""COMPUTED_VALUE"""),"#REF!")</f>
        <v>#REF!</v>
      </c>
      <c r="DK118" s="97" t="str">
        <f>IFERROR(__xludf.DUMMYFUNCTION("""COMPUTED_VALUE"""),"#REF!")</f>
        <v>#REF!</v>
      </c>
      <c r="DL118" s="95" t="str">
        <f>IFERROR(__xludf.DUMMYFUNCTION("""COMPUTED_VALUE"""),"#REF!")</f>
        <v>#REF!</v>
      </c>
      <c r="DM118" s="96" t="str">
        <f>IFERROR(__xludf.DUMMYFUNCTION("""COMPUTED_VALUE"""),"#REF!")</f>
        <v>#REF!</v>
      </c>
      <c r="DN118" s="97" t="str">
        <f>IFERROR(__xludf.DUMMYFUNCTION("""COMPUTED_VALUE"""),"#REF!")</f>
        <v>#REF!</v>
      </c>
      <c r="DO118" s="95" t="str">
        <f>IFERROR(__xludf.DUMMYFUNCTION("""COMPUTED_VALUE"""),"#REF!")</f>
        <v>#REF!</v>
      </c>
      <c r="DP118" s="96" t="str">
        <f>IFERROR(__xludf.DUMMYFUNCTION("""COMPUTED_VALUE"""),"#REF!")</f>
        <v>#REF!</v>
      </c>
      <c r="DQ118" s="97"/>
      <c r="DR118" s="95"/>
    </row>
    <row r="119">
      <c r="B119" s="120" t="str">
        <f>IFERROR(__xludf.DUMMYFUNCTION("""COMPUTED_VALUE"""),"CML7")</f>
        <v>CML7</v>
      </c>
      <c r="C119" s="82">
        <f>IFERROR(__xludf.DUMMYFUNCTION("""COMPUTED_VALUE"""),108.0)</f>
        <v>108</v>
      </c>
      <c r="D119" s="88" t="str">
        <f>IFERROR(__xludf.DUMMYFUNCTION("""COMPUTED_VALUE"""),"West Village Ruins")</f>
        <v>West Village Ruins</v>
      </c>
      <c r="E119" s="82" t="str">
        <f>IFERROR(__xludf.DUMMYFUNCTION("""COMPUTED_VALUE"""),"西の村跡")</f>
        <v>西の村跡</v>
      </c>
      <c r="F119" s="102">
        <f>IFERROR(__xludf.DUMMYFUNCTION("""COMPUTED_VALUE"""),20.0)</f>
        <v>20</v>
      </c>
      <c r="G119" s="82">
        <f>IFERROR(__xludf.DUMMYFUNCTION("""COMPUTED_VALUE"""),1370.0)</f>
        <v>1370</v>
      </c>
      <c r="H119" s="231" t="str">
        <f>IFERROR(__xludf.DUMMYFUNCTION("""COMPUTED_VALUE"""),"")</f>
        <v/>
      </c>
      <c r="I119" s="232" t="str">
        <f>IFERROR(__xludf.DUMMYFUNCTION("""COMPUTED_VALUE"""),"")</f>
        <v/>
      </c>
      <c r="J119" s="233" t="str">
        <f>IFERROR(__xludf.DUMMYFUNCTION("""COMPUTED_VALUE"""),"")</f>
        <v/>
      </c>
      <c r="K119" s="231" t="str">
        <f>IFERROR(__xludf.DUMMYFUNCTION("""COMPUTED_VALUE"""),"")</f>
        <v/>
      </c>
      <c r="L119" s="232" t="str">
        <f>IFERROR(__xludf.DUMMYFUNCTION("""COMPUTED_VALUE"""),"")</f>
        <v/>
      </c>
      <c r="M119" s="233" t="str">
        <f>IFERROR(__xludf.DUMMYFUNCTION("""COMPUTED_VALUE"""),"")</f>
        <v/>
      </c>
      <c r="N119" s="231" t="str">
        <f>IFERROR(__xludf.DUMMYFUNCTION("""COMPUTED_VALUE"""),"")</f>
        <v/>
      </c>
      <c r="O119" s="232" t="str">
        <f>IFERROR(__xludf.DUMMYFUNCTION("""COMPUTED_VALUE"""),"")</f>
        <v/>
      </c>
      <c r="P119" s="233" t="str">
        <f>IFERROR(__xludf.DUMMYFUNCTION("""COMPUTED_VALUE"""),"")</f>
        <v/>
      </c>
      <c r="Q119" s="231" t="str">
        <f>IFERROR(__xludf.DUMMYFUNCTION("""COMPUTED_VALUE"""),"")</f>
        <v/>
      </c>
      <c r="R119" s="232" t="str">
        <f>IFERROR(__xludf.DUMMYFUNCTION("""COMPUTED_VALUE"""),"")</f>
        <v/>
      </c>
      <c r="S119" s="233" t="str">
        <f>IFERROR(__xludf.DUMMYFUNCTION("""COMPUTED_VALUE"""),"")</f>
        <v/>
      </c>
      <c r="T119" s="231" t="str">
        <f>IFERROR(__xludf.DUMMYFUNCTION("""COMPUTED_VALUE"""),"")</f>
        <v/>
      </c>
      <c r="U119" s="232" t="str">
        <f>IFERROR(__xludf.DUMMYFUNCTION("""COMPUTED_VALUE"""),"")</f>
        <v/>
      </c>
      <c r="V119" s="233" t="str">
        <f>IFERROR(__xludf.DUMMYFUNCTION("""COMPUTED_VALUE"""),"")</f>
        <v/>
      </c>
      <c r="W119" s="231" t="str">
        <f>IFERROR(__xludf.DUMMYFUNCTION("""COMPUTED_VALUE"""),"")</f>
        <v/>
      </c>
      <c r="X119" s="232" t="str">
        <f>IFERROR(__xludf.DUMMYFUNCTION("""COMPUTED_VALUE"""),"")</f>
        <v/>
      </c>
      <c r="Y119" s="233" t="str">
        <f>IFERROR(__xludf.DUMMYFUNCTION("""COMPUTED_VALUE"""),"")</f>
        <v/>
      </c>
      <c r="Z119" s="231" t="str">
        <f>IFERROR(__xludf.DUMMYFUNCTION("""COMPUTED_VALUE"""),"")</f>
        <v/>
      </c>
      <c r="AA119" s="232" t="str">
        <f>IFERROR(__xludf.DUMMYFUNCTION("""COMPUTED_VALUE"""),"")</f>
        <v/>
      </c>
      <c r="AB119" s="233" t="str">
        <f>IFERROR(__xludf.DUMMYFUNCTION("""COMPUTED_VALUE"""),"")</f>
        <v/>
      </c>
      <c r="AC119" s="231" t="str">
        <f>IFERROR(__xludf.DUMMYFUNCTION("""COMPUTED_VALUE"""),"")</f>
        <v/>
      </c>
      <c r="AD119" s="232" t="str">
        <f>IFERROR(__xludf.DUMMYFUNCTION("""COMPUTED_VALUE"""),"")</f>
        <v/>
      </c>
      <c r="AE119" s="233" t="str">
        <f>IFERROR(__xludf.DUMMYFUNCTION("""COMPUTED_VALUE"""),"")</f>
        <v/>
      </c>
      <c r="AF119" s="231" t="str">
        <f>IFERROR(__xludf.DUMMYFUNCTION("""COMPUTED_VALUE"""),"")</f>
        <v/>
      </c>
      <c r="AG119" s="232" t="str">
        <f>IFERROR(__xludf.DUMMYFUNCTION("""COMPUTED_VALUE"""),"")</f>
        <v/>
      </c>
      <c r="AH119" s="233" t="str">
        <f>IFERROR(__xludf.DUMMYFUNCTION("""COMPUTED_VALUE"""),"")</f>
        <v/>
      </c>
      <c r="AI119" s="231" t="str">
        <f>IFERROR(__xludf.DUMMYFUNCTION("""COMPUTED_VALUE"""),"")</f>
        <v/>
      </c>
      <c r="AJ119" s="232" t="str">
        <f>IFERROR(__xludf.DUMMYFUNCTION("""COMPUTED_VALUE"""),"")</f>
        <v/>
      </c>
      <c r="AK119" s="233" t="str">
        <f>IFERROR(__xludf.DUMMYFUNCTION("""COMPUTED_VALUE"""),"")</f>
        <v/>
      </c>
      <c r="AL119" s="231" t="str">
        <f>IFERROR(__xludf.DUMMYFUNCTION("""COMPUTED_VALUE"""),"")</f>
        <v/>
      </c>
      <c r="AM119" s="232" t="str">
        <f>IFERROR(__xludf.DUMMYFUNCTION("""COMPUTED_VALUE"""),"")</f>
        <v/>
      </c>
      <c r="AN119" s="233" t="str">
        <f>IFERROR(__xludf.DUMMYFUNCTION("""COMPUTED_VALUE"""),"")</f>
        <v/>
      </c>
      <c r="AO119" s="231" t="str">
        <f>IFERROR(__xludf.DUMMYFUNCTION("""COMPUTED_VALUE"""),"")</f>
        <v/>
      </c>
      <c r="AP119" s="232" t="str">
        <f>IFERROR(__xludf.DUMMYFUNCTION("""COMPUTED_VALUE"""),"")</f>
        <v/>
      </c>
      <c r="AQ119" s="233" t="str">
        <f>IFERROR(__xludf.DUMMYFUNCTION("""COMPUTED_VALUE"""),"")</f>
        <v/>
      </c>
      <c r="AR119" s="231" t="str">
        <f>IFERROR(__xludf.DUMMYFUNCTION("""COMPUTED_VALUE"""),"")</f>
        <v/>
      </c>
      <c r="AS119" s="232" t="str">
        <f>IFERROR(__xludf.DUMMYFUNCTION("""COMPUTED_VALUE"""),"")</f>
        <v/>
      </c>
      <c r="AT119" s="233" t="str">
        <f>IFERROR(__xludf.DUMMYFUNCTION("""COMPUTED_VALUE"""),"")</f>
        <v/>
      </c>
      <c r="AU119" s="231" t="str">
        <f>IFERROR(__xludf.DUMMYFUNCTION("""COMPUTED_VALUE"""),"")</f>
        <v/>
      </c>
      <c r="AV119" s="232" t="str">
        <f>IFERROR(__xludf.DUMMYFUNCTION("""COMPUTED_VALUE"""),"")</f>
        <v/>
      </c>
      <c r="AW119" s="233">
        <f>IFERROR(__xludf.DUMMYFUNCTION("""COMPUTED_VALUE"""),47.1)</f>
        <v>47.1</v>
      </c>
      <c r="AX119" s="231" t="str">
        <f>IFERROR(__xludf.DUMMYFUNCTION("""COMPUTED_VALUE"""),"")</f>
        <v/>
      </c>
      <c r="AY119" s="232" t="str">
        <f>IFERROR(__xludf.DUMMYFUNCTION("""COMPUTED_VALUE"""),"")</f>
        <v/>
      </c>
      <c r="AZ119" s="233" t="str">
        <f>IFERROR(__xludf.DUMMYFUNCTION("""COMPUTED_VALUE"""),"")</f>
        <v/>
      </c>
      <c r="BA119" s="231" t="str">
        <f>IFERROR(__xludf.DUMMYFUNCTION("""COMPUTED_VALUE"""),"")</f>
        <v/>
      </c>
      <c r="BB119" s="232" t="str">
        <f>IFERROR(__xludf.DUMMYFUNCTION("""COMPUTED_VALUE"""),"")</f>
        <v/>
      </c>
      <c r="BC119" s="233" t="str">
        <f>IFERROR(__xludf.DUMMYFUNCTION("""COMPUTED_VALUE"""),"")</f>
        <v/>
      </c>
      <c r="BD119" s="231" t="str">
        <f>IFERROR(__xludf.DUMMYFUNCTION("""COMPUTED_VALUE"""),"")</f>
        <v/>
      </c>
      <c r="BE119" s="232" t="str">
        <f>IFERROR(__xludf.DUMMYFUNCTION("""COMPUTED_VALUE"""),"")</f>
        <v/>
      </c>
      <c r="BF119" s="233" t="str">
        <f>IFERROR(__xludf.DUMMYFUNCTION("""COMPUTED_VALUE"""),"")</f>
        <v/>
      </c>
      <c r="BG119" s="231" t="str">
        <f>IFERROR(__xludf.DUMMYFUNCTION("""COMPUTED_VALUE"""),"")</f>
        <v/>
      </c>
      <c r="BH119" s="232" t="str">
        <f>IFERROR(__xludf.DUMMYFUNCTION("""COMPUTED_VALUE"""),"")</f>
        <v/>
      </c>
      <c r="BI119" s="233" t="str">
        <f>IFERROR(__xludf.DUMMYFUNCTION("""COMPUTED_VALUE"""),"")</f>
        <v/>
      </c>
      <c r="BJ119" s="231" t="str">
        <f>IFERROR(__xludf.DUMMYFUNCTION("""COMPUTED_VALUE"""),"")</f>
        <v/>
      </c>
      <c r="BK119" s="232" t="str">
        <f>IFERROR(__xludf.DUMMYFUNCTION("""COMPUTED_VALUE"""),"")</f>
        <v/>
      </c>
      <c r="BL119" s="233" t="str">
        <f>IFERROR(__xludf.DUMMYFUNCTION("""COMPUTED_VALUE"""),"")</f>
        <v/>
      </c>
      <c r="BM119" s="231" t="str">
        <f>IFERROR(__xludf.DUMMYFUNCTION("""COMPUTED_VALUE"""),"")</f>
        <v/>
      </c>
      <c r="BN119" s="232" t="str">
        <f>IFERROR(__xludf.DUMMYFUNCTION("""COMPUTED_VALUE"""),"")</f>
        <v/>
      </c>
      <c r="BO119" s="233" t="str">
        <f>IFERROR(__xludf.DUMMYFUNCTION("""COMPUTED_VALUE"""),"")</f>
        <v/>
      </c>
      <c r="BP119" s="231" t="str">
        <f>IFERROR(__xludf.DUMMYFUNCTION("""COMPUTED_VALUE"""),"")</f>
        <v/>
      </c>
      <c r="BQ119" s="232" t="str">
        <f>IFERROR(__xludf.DUMMYFUNCTION("""COMPUTED_VALUE"""),"")</f>
        <v/>
      </c>
      <c r="BR119" s="233" t="str">
        <f>IFERROR(__xludf.DUMMYFUNCTION("""COMPUTED_VALUE"""),"")</f>
        <v/>
      </c>
      <c r="BS119" s="231" t="str">
        <f>IFERROR(__xludf.DUMMYFUNCTION("""COMPUTED_VALUE"""),"")</f>
        <v/>
      </c>
      <c r="BT119" s="232" t="str">
        <f>IFERROR(__xludf.DUMMYFUNCTION("""COMPUTED_VALUE"""),"")</f>
        <v/>
      </c>
      <c r="BU119" s="233" t="str">
        <f>IFERROR(__xludf.DUMMYFUNCTION("""COMPUTED_VALUE"""),"")</f>
        <v/>
      </c>
      <c r="BV119" s="231">
        <f>IFERROR(__xludf.DUMMYFUNCTION("""COMPUTED_VALUE"""),45.9)</f>
        <v>45.9</v>
      </c>
      <c r="BW119" s="232" t="str">
        <f>IFERROR(__xludf.DUMMYFUNCTION("""COMPUTED_VALUE"""),"")</f>
        <v/>
      </c>
      <c r="BX119" s="233" t="str">
        <f>IFERROR(__xludf.DUMMYFUNCTION("""COMPUTED_VALUE"""),"")</f>
        <v/>
      </c>
      <c r="BY119" s="231" t="str">
        <f>IFERROR(__xludf.DUMMYFUNCTION("""COMPUTED_VALUE"""),"")</f>
        <v/>
      </c>
      <c r="BZ119" s="232" t="str">
        <f>IFERROR(__xludf.DUMMYFUNCTION("""COMPUTED_VALUE"""),"")</f>
        <v/>
      </c>
      <c r="CA119" s="233" t="str">
        <f>IFERROR(__xludf.DUMMYFUNCTION("""COMPUTED_VALUE"""),"")</f>
        <v/>
      </c>
      <c r="CB119" s="231" t="str">
        <f>IFERROR(__xludf.DUMMYFUNCTION("""COMPUTED_VALUE"""),"")</f>
        <v/>
      </c>
      <c r="CC119" s="232">
        <f>IFERROR(__xludf.DUMMYFUNCTION("""COMPUTED_VALUE"""),4.2)</f>
        <v>4.2</v>
      </c>
      <c r="CD119" s="233" t="str">
        <f>IFERROR(__xludf.DUMMYFUNCTION("""COMPUTED_VALUE"""),"")</f>
        <v/>
      </c>
      <c r="CE119" s="234" t="str">
        <f>IFERROR(__xludf.DUMMYFUNCTION("""COMPUTED_VALUE"""),"")</f>
        <v/>
      </c>
      <c r="CF119" s="230" t="str">
        <f>IFERROR(__xludf.DUMMYFUNCTION("""COMPUTED_VALUE"""),"")</f>
        <v/>
      </c>
      <c r="CG119" s="235" t="str">
        <f>IFERROR(__xludf.DUMMYFUNCTION("""COMPUTED_VALUE"""),"")</f>
        <v/>
      </c>
      <c r="CH119" s="234" t="str">
        <f>IFERROR(__xludf.DUMMYFUNCTION("""COMPUTED_VALUE"""),"")</f>
        <v/>
      </c>
      <c r="CI119" s="230" t="str">
        <f>IFERROR(__xludf.DUMMYFUNCTION("""COMPUTED_VALUE"""),"")</f>
        <v/>
      </c>
      <c r="CJ119" s="235">
        <f>IFERROR(__xludf.DUMMYFUNCTION("""COMPUTED_VALUE"""),9.2)</f>
        <v>9.2</v>
      </c>
      <c r="CK119" s="95" t="str">
        <f>IFERROR(__xludf.DUMMYFUNCTION("""COMPUTED_VALUE"""),"")</f>
        <v/>
      </c>
      <c r="CL119" s="96" t="str">
        <f>IFERROR(__xludf.DUMMYFUNCTION("""COMPUTED_VALUE"""),"")</f>
        <v/>
      </c>
      <c r="CM119" s="97" t="str">
        <f>IFERROR(__xludf.DUMMYFUNCTION("""COMPUTED_VALUE"""),"")</f>
        <v/>
      </c>
      <c r="CN119" s="95" t="str">
        <f>IFERROR(__xludf.DUMMYFUNCTION("""COMPUTED_VALUE"""),"")</f>
        <v/>
      </c>
      <c r="CO119" s="96" t="str">
        <f>IFERROR(__xludf.DUMMYFUNCTION("""COMPUTED_VALUE"""),"")</f>
        <v/>
      </c>
      <c r="CP119" s="97" t="str">
        <f>IFERROR(__xludf.DUMMYFUNCTION("""COMPUTED_VALUE"""),"")</f>
        <v/>
      </c>
      <c r="CQ119" s="95" t="str">
        <f>IFERROR(__xludf.DUMMYFUNCTION("""COMPUTED_VALUE"""),"")</f>
        <v/>
      </c>
      <c r="CR119" s="96" t="str">
        <f>IFERROR(__xludf.DUMMYFUNCTION("""COMPUTED_VALUE"""),"")</f>
        <v/>
      </c>
      <c r="CS119" s="97" t="str">
        <f>IFERROR(__xludf.DUMMYFUNCTION("""COMPUTED_VALUE"""),"#REF!")</f>
        <v>#REF!</v>
      </c>
      <c r="CT119" s="95" t="str">
        <f>IFERROR(__xludf.DUMMYFUNCTION("""COMPUTED_VALUE"""),"#REF!")</f>
        <v>#REF!</v>
      </c>
      <c r="CU119" s="96" t="str">
        <f>IFERROR(__xludf.DUMMYFUNCTION("""COMPUTED_VALUE"""),"#REF!")</f>
        <v>#REF!</v>
      </c>
      <c r="CV119" s="97" t="str">
        <f>IFERROR(__xludf.DUMMYFUNCTION("""COMPUTED_VALUE"""),"#REF!")</f>
        <v>#REF!</v>
      </c>
      <c r="CW119" s="95" t="str">
        <f>IFERROR(__xludf.DUMMYFUNCTION("""COMPUTED_VALUE"""),"#REF!")</f>
        <v>#REF!</v>
      </c>
      <c r="CX119" s="96" t="str">
        <f>IFERROR(__xludf.DUMMYFUNCTION("""COMPUTED_VALUE"""),"#REF!")</f>
        <v>#REF!</v>
      </c>
      <c r="CY119" s="97" t="str">
        <f>IFERROR(__xludf.DUMMYFUNCTION("""COMPUTED_VALUE"""),"#REF!")</f>
        <v>#REF!</v>
      </c>
      <c r="CZ119" s="95" t="str">
        <f>IFERROR(__xludf.DUMMYFUNCTION("""COMPUTED_VALUE"""),"#REF!")</f>
        <v>#REF!</v>
      </c>
      <c r="DA119" s="96" t="str">
        <f>IFERROR(__xludf.DUMMYFUNCTION("""COMPUTED_VALUE"""),"#REF!")</f>
        <v>#REF!</v>
      </c>
      <c r="DB119" s="97" t="str">
        <f>IFERROR(__xludf.DUMMYFUNCTION("""COMPUTED_VALUE"""),"#REF!")</f>
        <v>#REF!</v>
      </c>
      <c r="DC119" s="95" t="str">
        <f>IFERROR(__xludf.DUMMYFUNCTION("""COMPUTED_VALUE"""),"#REF!")</f>
        <v>#REF!</v>
      </c>
      <c r="DD119" s="96" t="str">
        <f>IFERROR(__xludf.DUMMYFUNCTION("""COMPUTED_VALUE"""),"#REF!")</f>
        <v>#REF!</v>
      </c>
      <c r="DE119" s="97" t="str">
        <f>IFERROR(__xludf.DUMMYFUNCTION("""COMPUTED_VALUE"""),"#REF!")</f>
        <v>#REF!</v>
      </c>
      <c r="DF119" s="95" t="str">
        <f>IFERROR(__xludf.DUMMYFUNCTION("""COMPUTED_VALUE"""),"#REF!")</f>
        <v>#REF!</v>
      </c>
      <c r="DG119" s="96" t="str">
        <f>IFERROR(__xludf.DUMMYFUNCTION("""COMPUTED_VALUE"""),"#REF!")</f>
        <v>#REF!</v>
      </c>
      <c r="DH119" s="97" t="str">
        <f>IFERROR(__xludf.DUMMYFUNCTION("""COMPUTED_VALUE"""),"#REF!")</f>
        <v>#REF!</v>
      </c>
      <c r="DI119" s="95" t="str">
        <f>IFERROR(__xludf.DUMMYFUNCTION("""COMPUTED_VALUE"""),"#REF!")</f>
        <v>#REF!</v>
      </c>
      <c r="DJ119" s="96" t="str">
        <f>IFERROR(__xludf.DUMMYFUNCTION("""COMPUTED_VALUE"""),"#REF!")</f>
        <v>#REF!</v>
      </c>
      <c r="DK119" s="97" t="str">
        <f>IFERROR(__xludf.DUMMYFUNCTION("""COMPUTED_VALUE"""),"#REF!")</f>
        <v>#REF!</v>
      </c>
      <c r="DL119" s="95" t="str">
        <f>IFERROR(__xludf.DUMMYFUNCTION("""COMPUTED_VALUE"""),"#REF!")</f>
        <v>#REF!</v>
      </c>
      <c r="DM119" s="96" t="str">
        <f>IFERROR(__xludf.DUMMYFUNCTION("""COMPUTED_VALUE"""),"#REF!")</f>
        <v>#REF!</v>
      </c>
      <c r="DN119" s="97" t="str">
        <f>IFERROR(__xludf.DUMMYFUNCTION("""COMPUTED_VALUE"""),"#REF!")</f>
        <v>#REF!</v>
      </c>
      <c r="DO119" s="95" t="str">
        <f>IFERROR(__xludf.DUMMYFUNCTION("""COMPUTED_VALUE"""),"#REF!")</f>
        <v>#REF!</v>
      </c>
      <c r="DP119" s="96" t="str">
        <f>IFERROR(__xludf.DUMMYFUNCTION("""COMPUTED_VALUE"""),"#REF!")</f>
        <v>#REF!</v>
      </c>
      <c r="DQ119" s="97"/>
      <c r="DR119" s="95"/>
    </row>
    <row r="120">
      <c r="B120" s="120" t="str">
        <f>IFERROR(__xludf.DUMMYFUNCTION("""COMPUTED_VALUE"""),"CML8")</f>
        <v>CML8</v>
      </c>
      <c r="C120" s="82">
        <f>IFERROR(__xludf.DUMMYFUNCTION("""COMPUTED_VALUE"""),109.0)</f>
        <v>109</v>
      </c>
      <c r="D120" s="88" t="str">
        <f>IFERROR(__xludf.DUMMYFUNCTION("""COMPUTED_VALUE"""),"Atlas Institute")</f>
        <v>Atlas Institute</v>
      </c>
      <c r="E120" s="82" t="str">
        <f>IFERROR(__xludf.DUMMYFUNCTION("""COMPUTED_VALUE"""),"アトラス院")</f>
        <v>アトラス院</v>
      </c>
      <c r="F120" s="102">
        <f>IFERROR(__xludf.DUMMYFUNCTION("""COMPUTED_VALUE"""),20.0)</f>
        <v>20</v>
      </c>
      <c r="G120" s="82">
        <f>IFERROR(__xludf.DUMMYFUNCTION("""COMPUTED_VALUE"""),1106.0)</f>
        <v>1106</v>
      </c>
      <c r="H120" s="231" t="str">
        <f>IFERROR(__xludf.DUMMYFUNCTION("""COMPUTED_VALUE"""),"")</f>
        <v/>
      </c>
      <c r="I120" s="232" t="str">
        <f>IFERROR(__xludf.DUMMYFUNCTION("""COMPUTED_VALUE"""),"")</f>
        <v/>
      </c>
      <c r="J120" s="233" t="str">
        <f>IFERROR(__xludf.DUMMYFUNCTION("""COMPUTED_VALUE"""),"")</f>
        <v/>
      </c>
      <c r="K120" s="231" t="str">
        <f>IFERROR(__xludf.DUMMYFUNCTION("""COMPUTED_VALUE"""),"")</f>
        <v/>
      </c>
      <c r="L120" s="232" t="str">
        <f>IFERROR(__xludf.DUMMYFUNCTION("""COMPUTED_VALUE"""),"")</f>
        <v/>
      </c>
      <c r="M120" s="233" t="str">
        <f>IFERROR(__xludf.DUMMYFUNCTION("""COMPUTED_VALUE"""),"")</f>
        <v/>
      </c>
      <c r="N120" s="231" t="str">
        <f>IFERROR(__xludf.DUMMYFUNCTION("""COMPUTED_VALUE"""),"")</f>
        <v/>
      </c>
      <c r="O120" s="232" t="str">
        <f>IFERROR(__xludf.DUMMYFUNCTION("""COMPUTED_VALUE"""),"")</f>
        <v/>
      </c>
      <c r="P120" s="233" t="str">
        <f>IFERROR(__xludf.DUMMYFUNCTION("""COMPUTED_VALUE"""),"")</f>
        <v/>
      </c>
      <c r="Q120" s="231" t="str">
        <f>IFERROR(__xludf.DUMMYFUNCTION("""COMPUTED_VALUE"""),"")</f>
        <v/>
      </c>
      <c r="R120" s="232" t="str">
        <f>IFERROR(__xludf.DUMMYFUNCTION("""COMPUTED_VALUE"""),"")</f>
        <v/>
      </c>
      <c r="S120" s="233" t="str">
        <f>IFERROR(__xludf.DUMMYFUNCTION("""COMPUTED_VALUE"""),"")</f>
        <v/>
      </c>
      <c r="T120" s="231" t="str">
        <f>IFERROR(__xludf.DUMMYFUNCTION("""COMPUTED_VALUE"""),"")</f>
        <v/>
      </c>
      <c r="U120" s="232" t="str">
        <f>IFERROR(__xludf.DUMMYFUNCTION("""COMPUTED_VALUE"""),"")</f>
        <v/>
      </c>
      <c r="V120" s="233" t="str">
        <f>IFERROR(__xludf.DUMMYFUNCTION("""COMPUTED_VALUE"""),"")</f>
        <v/>
      </c>
      <c r="W120" s="231" t="str">
        <f>IFERROR(__xludf.DUMMYFUNCTION("""COMPUTED_VALUE"""),"")</f>
        <v/>
      </c>
      <c r="X120" s="232" t="str">
        <f>IFERROR(__xludf.DUMMYFUNCTION("""COMPUTED_VALUE"""),"")</f>
        <v/>
      </c>
      <c r="Y120" s="233" t="str">
        <f>IFERROR(__xludf.DUMMYFUNCTION("""COMPUTED_VALUE"""),"")</f>
        <v/>
      </c>
      <c r="Z120" s="231" t="str">
        <f>IFERROR(__xludf.DUMMYFUNCTION("""COMPUTED_VALUE"""),"")</f>
        <v/>
      </c>
      <c r="AA120" s="232" t="str">
        <f>IFERROR(__xludf.DUMMYFUNCTION("""COMPUTED_VALUE"""),"")</f>
        <v/>
      </c>
      <c r="AB120" s="233" t="str">
        <f>IFERROR(__xludf.DUMMYFUNCTION("""COMPUTED_VALUE"""),"")</f>
        <v/>
      </c>
      <c r="AC120" s="231" t="str">
        <f>IFERROR(__xludf.DUMMYFUNCTION("""COMPUTED_VALUE"""),"")</f>
        <v/>
      </c>
      <c r="AD120" s="232" t="str">
        <f>IFERROR(__xludf.DUMMYFUNCTION("""COMPUTED_VALUE"""),"")</f>
        <v/>
      </c>
      <c r="AE120" s="233">
        <f>IFERROR(__xludf.DUMMYFUNCTION("""COMPUTED_VALUE"""),20.5)</f>
        <v>20.5</v>
      </c>
      <c r="AF120" s="231">
        <f>IFERROR(__xludf.DUMMYFUNCTION("""COMPUTED_VALUE"""),8.0)</f>
        <v>8</v>
      </c>
      <c r="AG120" s="232" t="str">
        <f>IFERROR(__xludf.DUMMYFUNCTION("""COMPUTED_VALUE"""),"")</f>
        <v/>
      </c>
      <c r="AH120" s="233" t="str">
        <f>IFERROR(__xludf.DUMMYFUNCTION("""COMPUTED_VALUE"""),"")</f>
        <v/>
      </c>
      <c r="AI120" s="231" t="str">
        <f>IFERROR(__xludf.DUMMYFUNCTION("""COMPUTED_VALUE"""),"")</f>
        <v/>
      </c>
      <c r="AJ120" s="232" t="str">
        <f>IFERROR(__xludf.DUMMYFUNCTION("""COMPUTED_VALUE"""),"")</f>
        <v/>
      </c>
      <c r="AK120" s="233" t="str">
        <f>IFERROR(__xludf.DUMMYFUNCTION("""COMPUTED_VALUE"""),"")</f>
        <v/>
      </c>
      <c r="AL120" s="231" t="str">
        <f>IFERROR(__xludf.DUMMYFUNCTION("""COMPUTED_VALUE"""),"")</f>
        <v/>
      </c>
      <c r="AM120" s="232" t="str">
        <f>IFERROR(__xludf.DUMMYFUNCTION("""COMPUTED_VALUE"""),"")</f>
        <v/>
      </c>
      <c r="AN120" s="233" t="str">
        <f>IFERROR(__xludf.DUMMYFUNCTION("""COMPUTED_VALUE"""),"")</f>
        <v/>
      </c>
      <c r="AO120" s="231" t="str">
        <f>IFERROR(__xludf.DUMMYFUNCTION("""COMPUTED_VALUE"""),"")</f>
        <v/>
      </c>
      <c r="AP120" s="232" t="str">
        <f>IFERROR(__xludf.DUMMYFUNCTION("""COMPUTED_VALUE"""),"")</f>
        <v/>
      </c>
      <c r="AQ120" s="233" t="str">
        <f>IFERROR(__xludf.DUMMYFUNCTION("""COMPUTED_VALUE"""),"")</f>
        <v/>
      </c>
      <c r="AR120" s="231" t="str">
        <f>IFERROR(__xludf.DUMMYFUNCTION("""COMPUTED_VALUE"""),"")</f>
        <v/>
      </c>
      <c r="AS120" s="232" t="str">
        <f>IFERROR(__xludf.DUMMYFUNCTION("""COMPUTED_VALUE"""),"")</f>
        <v/>
      </c>
      <c r="AT120" s="233" t="str">
        <f>IFERROR(__xludf.DUMMYFUNCTION("""COMPUTED_VALUE"""),"")</f>
        <v/>
      </c>
      <c r="AU120" s="231" t="str">
        <f>IFERROR(__xludf.DUMMYFUNCTION("""COMPUTED_VALUE"""),"")</f>
        <v/>
      </c>
      <c r="AV120" s="232" t="str">
        <f>IFERROR(__xludf.DUMMYFUNCTION("""COMPUTED_VALUE"""),"")</f>
        <v/>
      </c>
      <c r="AW120" s="233" t="str">
        <f>IFERROR(__xludf.DUMMYFUNCTION("""COMPUTED_VALUE"""),"")</f>
        <v/>
      </c>
      <c r="AX120" s="231" t="str">
        <f>IFERROR(__xludf.DUMMYFUNCTION("""COMPUTED_VALUE"""),"")</f>
        <v/>
      </c>
      <c r="AY120" s="232" t="str">
        <f>IFERROR(__xludf.DUMMYFUNCTION("""COMPUTED_VALUE"""),"")</f>
        <v/>
      </c>
      <c r="AZ120" s="233" t="str">
        <f>IFERROR(__xludf.DUMMYFUNCTION("""COMPUTED_VALUE"""),"")</f>
        <v/>
      </c>
      <c r="BA120" s="231" t="str">
        <f>IFERROR(__xludf.DUMMYFUNCTION("""COMPUTED_VALUE"""),"")</f>
        <v/>
      </c>
      <c r="BB120" s="232" t="str">
        <f>IFERROR(__xludf.DUMMYFUNCTION("""COMPUTED_VALUE"""),"")</f>
        <v/>
      </c>
      <c r="BC120" s="233" t="str">
        <f>IFERROR(__xludf.DUMMYFUNCTION("""COMPUTED_VALUE"""),"")</f>
        <v/>
      </c>
      <c r="BD120" s="231" t="str">
        <f>IFERROR(__xludf.DUMMYFUNCTION("""COMPUTED_VALUE"""),"")</f>
        <v/>
      </c>
      <c r="BE120" s="232" t="str">
        <f>IFERROR(__xludf.DUMMYFUNCTION("""COMPUTED_VALUE"""),"")</f>
        <v/>
      </c>
      <c r="BF120" s="233" t="str">
        <f>IFERROR(__xludf.DUMMYFUNCTION("""COMPUTED_VALUE"""),"")</f>
        <v/>
      </c>
      <c r="BG120" s="231" t="str">
        <f>IFERROR(__xludf.DUMMYFUNCTION("""COMPUTED_VALUE"""),"")</f>
        <v/>
      </c>
      <c r="BH120" s="232" t="str">
        <f>IFERROR(__xludf.DUMMYFUNCTION("""COMPUTED_VALUE"""),"")</f>
        <v/>
      </c>
      <c r="BI120" s="233" t="str">
        <f>IFERROR(__xludf.DUMMYFUNCTION("""COMPUTED_VALUE"""),"")</f>
        <v/>
      </c>
      <c r="BJ120" s="231" t="str">
        <f>IFERROR(__xludf.DUMMYFUNCTION("""COMPUTED_VALUE"""),"")</f>
        <v/>
      </c>
      <c r="BK120" s="232">
        <f>IFERROR(__xludf.DUMMYFUNCTION("""COMPUTED_VALUE"""),16.5)</f>
        <v>16.5</v>
      </c>
      <c r="BL120" s="233" t="str">
        <f>IFERROR(__xludf.DUMMYFUNCTION("""COMPUTED_VALUE"""),"")</f>
        <v/>
      </c>
      <c r="BM120" s="231" t="str">
        <f>IFERROR(__xludf.DUMMYFUNCTION("""COMPUTED_VALUE"""),"")</f>
        <v/>
      </c>
      <c r="BN120" s="232">
        <f>IFERROR(__xludf.DUMMYFUNCTION("""COMPUTED_VALUE"""),15.7)</f>
        <v>15.7</v>
      </c>
      <c r="BO120" s="233" t="str">
        <f>IFERROR(__xludf.DUMMYFUNCTION("""COMPUTED_VALUE"""),"")</f>
        <v/>
      </c>
      <c r="BP120" s="231" t="str">
        <f>IFERROR(__xludf.DUMMYFUNCTION("""COMPUTED_VALUE"""),"")</f>
        <v/>
      </c>
      <c r="BQ120" s="232" t="str">
        <f>IFERROR(__xludf.DUMMYFUNCTION("""COMPUTED_VALUE"""),"")</f>
        <v/>
      </c>
      <c r="BR120" s="233">
        <f>IFERROR(__xludf.DUMMYFUNCTION("""COMPUTED_VALUE"""),14.7)</f>
        <v>14.7</v>
      </c>
      <c r="BS120" s="231" t="str">
        <f>IFERROR(__xludf.DUMMYFUNCTION("""COMPUTED_VALUE"""),"")</f>
        <v/>
      </c>
      <c r="BT120" s="232" t="str">
        <f>IFERROR(__xludf.DUMMYFUNCTION("""COMPUTED_VALUE"""),"")</f>
        <v/>
      </c>
      <c r="BU120" s="233" t="str">
        <f>IFERROR(__xludf.DUMMYFUNCTION("""COMPUTED_VALUE"""),"")</f>
        <v/>
      </c>
      <c r="BV120" s="231" t="str">
        <f>IFERROR(__xludf.DUMMYFUNCTION("""COMPUTED_VALUE"""),"")</f>
        <v/>
      </c>
      <c r="BW120" s="232" t="str">
        <f>IFERROR(__xludf.DUMMYFUNCTION("""COMPUTED_VALUE"""),"")</f>
        <v/>
      </c>
      <c r="BX120" s="233" t="str">
        <f>IFERROR(__xludf.DUMMYFUNCTION("""COMPUTED_VALUE"""),"")</f>
        <v/>
      </c>
      <c r="BY120" s="231" t="str">
        <f>IFERROR(__xludf.DUMMYFUNCTION("""COMPUTED_VALUE"""),"")</f>
        <v/>
      </c>
      <c r="BZ120" s="232" t="str">
        <f>IFERROR(__xludf.DUMMYFUNCTION("""COMPUTED_VALUE"""),"")</f>
        <v/>
      </c>
      <c r="CA120" s="233" t="str">
        <f>IFERROR(__xludf.DUMMYFUNCTION("""COMPUTED_VALUE"""),"")</f>
        <v/>
      </c>
      <c r="CB120" s="231" t="str">
        <f>IFERROR(__xludf.DUMMYFUNCTION("""COMPUTED_VALUE"""),"")</f>
        <v/>
      </c>
      <c r="CC120" s="232" t="str">
        <f>IFERROR(__xludf.DUMMYFUNCTION("""COMPUTED_VALUE"""),"")</f>
        <v/>
      </c>
      <c r="CD120" s="233" t="str">
        <f>IFERROR(__xludf.DUMMYFUNCTION("""COMPUTED_VALUE"""),"")</f>
        <v/>
      </c>
      <c r="CE120" s="234" t="str">
        <f>IFERROR(__xludf.DUMMYFUNCTION("""COMPUTED_VALUE"""),"")</f>
        <v/>
      </c>
      <c r="CF120" s="230" t="str">
        <f>IFERROR(__xludf.DUMMYFUNCTION("""COMPUTED_VALUE"""),"")</f>
        <v/>
      </c>
      <c r="CG120" s="235" t="str">
        <f>IFERROR(__xludf.DUMMYFUNCTION("""COMPUTED_VALUE"""),"")</f>
        <v/>
      </c>
      <c r="CH120" s="234" t="str">
        <f>IFERROR(__xludf.DUMMYFUNCTION("""COMPUTED_VALUE"""),"")</f>
        <v/>
      </c>
      <c r="CI120" s="230" t="str">
        <f>IFERROR(__xludf.DUMMYFUNCTION("""COMPUTED_VALUE"""),"")</f>
        <v/>
      </c>
      <c r="CJ120" s="235" t="str">
        <f>IFERROR(__xludf.DUMMYFUNCTION("""COMPUTED_VALUE"""),"")</f>
        <v/>
      </c>
      <c r="CK120" s="95" t="str">
        <f>IFERROR(__xludf.DUMMYFUNCTION("""COMPUTED_VALUE"""),"")</f>
        <v/>
      </c>
      <c r="CL120" s="96" t="str">
        <f>IFERROR(__xludf.DUMMYFUNCTION("""COMPUTED_VALUE"""),"")</f>
        <v/>
      </c>
      <c r="CM120" s="97">
        <f>IFERROR(__xludf.DUMMYFUNCTION("""COMPUTED_VALUE"""),14.3)</f>
        <v>14.3</v>
      </c>
      <c r="CN120" s="95" t="str">
        <f>IFERROR(__xludf.DUMMYFUNCTION("""COMPUTED_VALUE"""),"")</f>
        <v/>
      </c>
      <c r="CO120" s="96" t="str">
        <f>IFERROR(__xludf.DUMMYFUNCTION("""COMPUTED_VALUE"""),"")</f>
        <v/>
      </c>
      <c r="CP120" s="97" t="str">
        <f>IFERROR(__xludf.DUMMYFUNCTION("""COMPUTED_VALUE"""),"")</f>
        <v/>
      </c>
      <c r="CQ120" s="95" t="str">
        <f>IFERROR(__xludf.DUMMYFUNCTION("""COMPUTED_VALUE"""),"")</f>
        <v/>
      </c>
      <c r="CR120" s="96" t="str">
        <f>IFERROR(__xludf.DUMMYFUNCTION("""COMPUTED_VALUE"""),"")</f>
        <v/>
      </c>
      <c r="CS120" s="97" t="str">
        <f>IFERROR(__xludf.DUMMYFUNCTION("""COMPUTED_VALUE"""),"#REF!")</f>
        <v>#REF!</v>
      </c>
      <c r="CT120" s="95" t="str">
        <f>IFERROR(__xludf.DUMMYFUNCTION("""COMPUTED_VALUE"""),"#REF!")</f>
        <v>#REF!</v>
      </c>
      <c r="CU120" s="96" t="str">
        <f>IFERROR(__xludf.DUMMYFUNCTION("""COMPUTED_VALUE"""),"#REF!")</f>
        <v>#REF!</v>
      </c>
      <c r="CV120" s="97" t="str">
        <f>IFERROR(__xludf.DUMMYFUNCTION("""COMPUTED_VALUE"""),"#REF!")</f>
        <v>#REF!</v>
      </c>
      <c r="CW120" s="95" t="str">
        <f>IFERROR(__xludf.DUMMYFUNCTION("""COMPUTED_VALUE"""),"#REF!")</f>
        <v>#REF!</v>
      </c>
      <c r="CX120" s="96" t="str">
        <f>IFERROR(__xludf.DUMMYFUNCTION("""COMPUTED_VALUE"""),"#REF!")</f>
        <v>#REF!</v>
      </c>
      <c r="CY120" s="97" t="str">
        <f>IFERROR(__xludf.DUMMYFUNCTION("""COMPUTED_VALUE"""),"#REF!")</f>
        <v>#REF!</v>
      </c>
      <c r="CZ120" s="95" t="str">
        <f>IFERROR(__xludf.DUMMYFUNCTION("""COMPUTED_VALUE"""),"#REF!")</f>
        <v>#REF!</v>
      </c>
      <c r="DA120" s="96" t="str">
        <f>IFERROR(__xludf.DUMMYFUNCTION("""COMPUTED_VALUE"""),"#REF!")</f>
        <v>#REF!</v>
      </c>
      <c r="DB120" s="97" t="str">
        <f>IFERROR(__xludf.DUMMYFUNCTION("""COMPUTED_VALUE"""),"#REF!")</f>
        <v>#REF!</v>
      </c>
      <c r="DC120" s="95" t="str">
        <f>IFERROR(__xludf.DUMMYFUNCTION("""COMPUTED_VALUE"""),"#REF!")</f>
        <v>#REF!</v>
      </c>
      <c r="DD120" s="96" t="str">
        <f>IFERROR(__xludf.DUMMYFUNCTION("""COMPUTED_VALUE"""),"#REF!")</f>
        <v>#REF!</v>
      </c>
      <c r="DE120" s="97" t="str">
        <f>IFERROR(__xludf.DUMMYFUNCTION("""COMPUTED_VALUE"""),"#REF!")</f>
        <v>#REF!</v>
      </c>
      <c r="DF120" s="95" t="str">
        <f>IFERROR(__xludf.DUMMYFUNCTION("""COMPUTED_VALUE"""),"#REF!")</f>
        <v>#REF!</v>
      </c>
      <c r="DG120" s="96" t="str">
        <f>IFERROR(__xludf.DUMMYFUNCTION("""COMPUTED_VALUE"""),"#REF!")</f>
        <v>#REF!</v>
      </c>
      <c r="DH120" s="97" t="str">
        <f>IFERROR(__xludf.DUMMYFUNCTION("""COMPUTED_VALUE"""),"#REF!")</f>
        <v>#REF!</v>
      </c>
      <c r="DI120" s="95" t="str">
        <f>IFERROR(__xludf.DUMMYFUNCTION("""COMPUTED_VALUE"""),"#REF!")</f>
        <v>#REF!</v>
      </c>
      <c r="DJ120" s="96" t="str">
        <f>IFERROR(__xludf.DUMMYFUNCTION("""COMPUTED_VALUE"""),"#REF!")</f>
        <v>#REF!</v>
      </c>
      <c r="DK120" s="97" t="str">
        <f>IFERROR(__xludf.DUMMYFUNCTION("""COMPUTED_VALUE"""),"#REF!")</f>
        <v>#REF!</v>
      </c>
      <c r="DL120" s="95" t="str">
        <f>IFERROR(__xludf.DUMMYFUNCTION("""COMPUTED_VALUE"""),"#REF!")</f>
        <v>#REF!</v>
      </c>
      <c r="DM120" s="96" t="str">
        <f>IFERROR(__xludf.DUMMYFUNCTION("""COMPUTED_VALUE"""),"#REF!")</f>
        <v>#REF!</v>
      </c>
      <c r="DN120" s="97" t="str">
        <f>IFERROR(__xludf.DUMMYFUNCTION("""COMPUTED_VALUE"""),"#REF!")</f>
        <v>#REF!</v>
      </c>
      <c r="DO120" s="95" t="str">
        <f>IFERROR(__xludf.DUMMYFUNCTION("""COMPUTED_VALUE"""),"#REF!")</f>
        <v>#REF!</v>
      </c>
      <c r="DP120" s="96" t="str">
        <f>IFERROR(__xludf.DUMMYFUNCTION("""COMPUTED_VALUE"""),"#REF!")</f>
        <v>#REF!</v>
      </c>
      <c r="DQ120" s="97"/>
      <c r="DR120" s="95"/>
    </row>
    <row r="121">
      <c r="B121" s="120" t="str">
        <f>IFERROR(__xludf.DUMMYFUNCTION("""COMPUTED_VALUE"""),"CML9")</f>
        <v>CML9</v>
      </c>
      <c r="C121" s="82">
        <f>IFERROR(__xludf.DUMMYFUNCTION("""COMPUTED_VALUE"""),110.0)</f>
        <v>110</v>
      </c>
      <c r="D121" s="88" t="str">
        <f>IFERROR(__xludf.DUMMYFUNCTION("""COMPUTED_VALUE"""),"Main Gate")</f>
        <v>Main Gate</v>
      </c>
      <c r="E121" s="82" t="str">
        <f>IFERROR(__xludf.DUMMYFUNCTION("""COMPUTED_VALUE"""),"聖都正門")</f>
        <v>聖都正門</v>
      </c>
      <c r="F121" s="102">
        <f>IFERROR(__xludf.DUMMYFUNCTION("""COMPUTED_VALUE"""),20.0)</f>
        <v>20</v>
      </c>
      <c r="G121" s="82">
        <f>IFERROR(__xludf.DUMMYFUNCTION("""COMPUTED_VALUE"""),50897.0)</f>
        <v>50897</v>
      </c>
      <c r="H121" s="231" t="str">
        <f>IFERROR(__xludf.DUMMYFUNCTION("""COMPUTED_VALUE"""),"")</f>
        <v/>
      </c>
      <c r="I121" s="232" t="str">
        <f>IFERROR(__xludf.DUMMYFUNCTION("""COMPUTED_VALUE"""),"")</f>
        <v/>
      </c>
      <c r="J121" s="233" t="str">
        <f>IFERROR(__xludf.DUMMYFUNCTION("""COMPUTED_VALUE"""),"")</f>
        <v/>
      </c>
      <c r="K121" s="231" t="str">
        <f>IFERROR(__xludf.DUMMYFUNCTION("""COMPUTED_VALUE"""),"")</f>
        <v/>
      </c>
      <c r="L121" s="232" t="str">
        <f>IFERROR(__xludf.DUMMYFUNCTION("""COMPUTED_VALUE"""),"")</f>
        <v/>
      </c>
      <c r="M121" s="233" t="str">
        <f>IFERROR(__xludf.DUMMYFUNCTION("""COMPUTED_VALUE"""),"")</f>
        <v/>
      </c>
      <c r="N121" s="231" t="str">
        <f>IFERROR(__xludf.DUMMYFUNCTION("""COMPUTED_VALUE"""),"")</f>
        <v/>
      </c>
      <c r="O121" s="232" t="str">
        <f>IFERROR(__xludf.DUMMYFUNCTION("""COMPUTED_VALUE"""),"")</f>
        <v/>
      </c>
      <c r="P121" s="233" t="str">
        <f>IFERROR(__xludf.DUMMYFUNCTION("""COMPUTED_VALUE"""),"")</f>
        <v/>
      </c>
      <c r="Q121" s="231" t="str">
        <f>IFERROR(__xludf.DUMMYFUNCTION("""COMPUTED_VALUE"""),"")</f>
        <v/>
      </c>
      <c r="R121" s="232" t="str">
        <f>IFERROR(__xludf.DUMMYFUNCTION("""COMPUTED_VALUE"""),"")</f>
        <v/>
      </c>
      <c r="S121" s="233" t="str">
        <f>IFERROR(__xludf.DUMMYFUNCTION("""COMPUTED_VALUE"""),"")</f>
        <v/>
      </c>
      <c r="T121" s="231" t="str">
        <f>IFERROR(__xludf.DUMMYFUNCTION("""COMPUTED_VALUE"""),"")</f>
        <v/>
      </c>
      <c r="U121" s="232" t="str">
        <f>IFERROR(__xludf.DUMMYFUNCTION("""COMPUTED_VALUE"""),"")</f>
        <v/>
      </c>
      <c r="V121" s="233" t="str">
        <f>IFERROR(__xludf.DUMMYFUNCTION("""COMPUTED_VALUE"""),"")</f>
        <v/>
      </c>
      <c r="W121" s="231" t="str">
        <f>IFERROR(__xludf.DUMMYFUNCTION("""COMPUTED_VALUE"""),"")</f>
        <v/>
      </c>
      <c r="X121" s="232" t="str">
        <f>IFERROR(__xludf.DUMMYFUNCTION("""COMPUTED_VALUE"""),"")</f>
        <v/>
      </c>
      <c r="Y121" s="233" t="str">
        <f>IFERROR(__xludf.DUMMYFUNCTION("""COMPUTED_VALUE"""),"")</f>
        <v/>
      </c>
      <c r="Z121" s="231" t="str">
        <f>IFERROR(__xludf.DUMMYFUNCTION("""COMPUTED_VALUE"""),"")</f>
        <v/>
      </c>
      <c r="AA121" s="232" t="str">
        <f>IFERROR(__xludf.DUMMYFUNCTION("""COMPUTED_VALUE"""),"")</f>
        <v/>
      </c>
      <c r="AB121" s="233" t="str">
        <f>IFERROR(__xludf.DUMMYFUNCTION("""COMPUTED_VALUE"""),"")</f>
        <v/>
      </c>
      <c r="AC121" s="231" t="str">
        <f>IFERROR(__xludf.DUMMYFUNCTION("""COMPUTED_VALUE"""),"")</f>
        <v/>
      </c>
      <c r="AD121" s="232" t="str">
        <f>IFERROR(__xludf.DUMMYFUNCTION("""COMPUTED_VALUE"""),"")</f>
        <v/>
      </c>
      <c r="AE121" s="233" t="str">
        <f>IFERROR(__xludf.DUMMYFUNCTION("""COMPUTED_VALUE"""),"")</f>
        <v/>
      </c>
      <c r="AF121" s="231" t="str">
        <f>IFERROR(__xludf.DUMMYFUNCTION("""COMPUTED_VALUE"""),"")</f>
        <v/>
      </c>
      <c r="AG121" s="232" t="str">
        <f>IFERROR(__xludf.DUMMYFUNCTION("""COMPUTED_VALUE"""),"")</f>
        <v/>
      </c>
      <c r="AH121" s="233" t="str">
        <f>IFERROR(__xludf.DUMMYFUNCTION("""COMPUTED_VALUE"""),"")</f>
        <v/>
      </c>
      <c r="AI121" s="231">
        <f>IFERROR(__xludf.DUMMYFUNCTION("""COMPUTED_VALUE"""),30.1)</f>
        <v>30.1</v>
      </c>
      <c r="AJ121" s="232" t="str">
        <f>IFERROR(__xludf.DUMMYFUNCTION("""COMPUTED_VALUE"""),"")</f>
        <v/>
      </c>
      <c r="AK121" s="233" t="str">
        <f>IFERROR(__xludf.DUMMYFUNCTION("""COMPUTED_VALUE"""),"")</f>
        <v/>
      </c>
      <c r="AL121" s="231" t="str">
        <f>IFERROR(__xludf.DUMMYFUNCTION("""COMPUTED_VALUE"""),"")</f>
        <v/>
      </c>
      <c r="AM121" s="232" t="str">
        <f>IFERROR(__xludf.DUMMYFUNCTION("""COMPUTED_VALUE"""),"")</f>
        <v/>
      </c>
      <c r="AN121" s="233" t="str">
        <f>IFERROR(__xludf.DUMMYFUNCTION("""COMPUTED_VALUE"""),"")</f>
        <v/>
      </c>
      <c r="AO121" s="231" t="str">
        <f>IFERROR(__xludf.DUMMYFUNCTION("""COMPUTED_VALUE"""),"")</f>
        <v/>
      </c>
      <c r="AP121" s="232" t="str">
        <f>IFERROR(__xludf.DUMMYFUNCTION("""COMPUTED_VALUE"""),"")</f>
        <v/>
      </c>
      <c r="AQ121" s="233" t="str">
        <f>IFERROR(__xludf.DUMMYFUNCTION("""COMPUTED_VALUE"""),"")</f>
        <v/>
      </c>
      <c r="AR121" s="231" t="str">
        <f>IFERROR(__xludf.DUMMYFUNCTION("""COMPUTED_VALUE"""),"")</f>
        <v/>
      </c>
      <c r="AS121" s="232" t="str">
        <f>IFERROR(__xludf.DUMMYFUNCTION("""COMPUTED_VALUE"""),"")</f>
        <v/>
      </c>
      <c r="AT121" s="233" t="str">
        <f>IFERROR(__xludf.DUMMYFUNCTION("""COMPUTED_VALUE"""),"")</f>
        <v/>
      </c>
      <c r="AU121" s="231" t="str">
        <f>IFERROR(__xludf.DUMMYFUNCTION("""COMPUTED_VALUE"""),"")</f>
        <v/>
      </c>
      <c r="AV121" s="232" t="str">
        <f>IFERROR(__xludf.DUMMYFUNCTION("""COMPUTED_VALUE"""),"")</f>
        <v/>
      </c>
      <c r="AW121" s="233" t="str">
        <f>IFERROR(__xludf.DUMMYFUNCTION("""COMPUTED_VALUE"""),"")</f>
        <v/>
      </c>
      <c r="AX121" s="231" t="str">
        <f>IFERROR(__xludf.DUMMYFUNCTION("""COMPUTED_VALUE"""),"")</f>
        <v/>
      </c>
      <c r="AY121" s="232" t="str">
        <f>IFERROR(__xludf.DUMMYFUNCTION("""COMPUTED_VALUE"""),"")</f>
        <v/>
      </c>
      <c r="AZ121" s="233" t="str">
        <f>IFERROR(__xludf.DUMMYFUNCTION("""COMPUTED_VALUE"""),"")</f>
        <v/>
      </c>
      <c r="BA121" s="231" t="str">
        <f>IFERROR(__xludf.DUMMYFUNCTION("""COMPUTED_VALUE"""),"")</f>
        <v/>
      </c>
      <c r="BB121" s="232" t="str">
        <f>IFERROR(__xludf.DUMMYFUNCTION("""COMPUTED_VALUE"""),"")</f>
        <v/>
      </c>
      <c r="BC121" s="233" t="str">
        <f>IFERROR(__xludf.DUMMYFUNCTION("""COMPUTED_VALUE"""),"")</f>
        <v/>
      </c>
      <c r="BD121" s="231" t="str">
        <f>IFERROR(__xludf.DUMMYFUNCTION("""COMPUTED_VALUE"""),"")</f>
        <v/>
      </c>
      <c r="BE121" s="232" t="str">
        <f>IFERROR(__xludf.DUMMYFUNCTION("""COMPUTED_VALUE"""),"")</f>
        <v/>
      </c>
      <c r="BF121" s="233" t="str">
        <f>IFERROR(__xludf.DUMMYFUNCTION("""COMPUTED_VALUE"""),"")</f>
        <v/>
      </c>
      <c r="BG121" s="231" t="str">
        <f>IFERROR(__xludf.DUMMYFUNCTION("""COMPUTED_VALUE"""),"")</f>
        <v/>
      </c>
      <c r="BH121" s="232" t="str">
        <f>IFERROR(__xludf.DUMMYFUNCTION("""COMPUTED_VALUE"""),"")</f>
        <v/>
      </c>
      <c r="BI121" s="233" t="str">
        <f>IFERROR(__xludf.DUMMYFUNCTION("""COMPUTED_VALUE"""),"")</f>
        <v/>
      </c>
      <c r="BJ121" s="231">
        <f>IFERROR(__xludf.DUMMYFUNCTION("""COMPUTED_VALUE"""),10.4)</f>
        <v>10.4</v>
      </c>
      <c r="BK121" s="232">
        <f>IFERROR(__xludf.DUMMYFUNCTION("""COMPUTED_VALUE"""),5.3)</f>
        <v>5.3</v>
      </c>
      <c r="BL121" s="233">
        <f>IFERROR(__xludf.DUMMYFUNCTION("""COMPUTED_VALUE"""),10.5)</f>
        <v>10.5</v>
      </c>
      <c r="BM121" s="231" t="str">
        <f>IFERROR(__xludf.DUMMYFUNCTION("""COMPUTED_VALUE"""),"")</f>
        <v/>
      </c>
      <c r="BN121" s="232" t="str">
        <f>IFERROR(__xludf.DUMMYFUNCTION("""COMPUTED_VALUE"""),"")</f>
        <v/>
      </c>
      <c r="BO121" s="233" t="str">
        <f>IFERROR(__xludf.DUMMYFUNCTION("""COMPUTED_VALUE"""),"")</f>
        <v/>
      </c>
      <c r="BP121" s="231" t="str">
        <f>IFERROR(__xludf.DUMMYFUNCTION("""COMPUTED_VALUE"""),"")</f>
        <v/>
      </c>
      <c r="BQ121" s="232" t="str">
        <f>IFERROR(__xludf.DUMMYFUNCTION("""COMPUTED_VALUE"""),"")</f>
        <v/>
      </c>
      <c r="BR121" s="233" t="str">
        <f>IFERROR(__xludf.DUMMYFUNCTION("""COMPUTED_VALUE"""),"")</f>
        <v/>
      </c>
      <c r="BS121" s="231" t="str">
        <f>IFERROR(__xludf.DUMMYFUNCTION("""COMPUTED_VALUE"""),"")</f>
        <v/>
      </c>
      <c r="BT121" s="232" t="str">
        <f>IFERROR(__xludf.DUMMYFUNCTION("""COMPUTED_VALUE"""),"")</f>
        <v/>
      </c>
      <c r="BU121" s="233" t="str">
        <f>IFERROR(__xludf.DUMMYFUNCTION("""COMPUTED_VALUE"""),"")</f>
        <v/>
      </c>
      <c r="BV121" s="231" t="str">
        <f>IFERROR(__xludf.DUMMYFUNCTION("""COMPUTED_VALUE"""),"")</f>
        <v/>
      </c>
      <c r="BW121" s="232" t="str">
        <f>IFERROR(__xludf.DUMMYFUNCTION("""COMPUTED_VALUE"""),"")</f>
        <v/>
      </c>
      <c r="BX121" s="233" t="str">
        <f>IFERROR(__xludf.DUMMYFUNCTION("""COMPUTED_VALUE"""),"")</f>
        <v/>
      </c>
      <c r="BY121" s="231" t="str">
        <f>IFERROR(__xludf.DUMMYFUNCTION("""COMPUTED_VALUE"""),"")</f>
        <v/>
      </c>
      <c r="BZ121" s="232" t="str">
        <f>IFERROR(__xludf.DUMMYFUNCTION("""COMPUTED_VALUE"""),"")</f>
        <v/>
      </c>
      <c r="CA121" s="233" t="str">
        <f>IFERROR(__xludf.DUMMYFUNCTION("""COMPUTED_VALUE"""),"")</f>
        <v/>
      </c>
      <c r="CB121" s="231" t="str">
        <f>IFERROR(__xludf.DUMMYFUNCTION("""COMPUTED_VALUE"""),"")</f>
        <v/>
      </c>
      <c r="CC121" s="232" t="str">
        <f>IFERROR(__xludf.DUMMYFUNCTION("""COMPUTED_VALUE"""),"")</f>
        <v/>
      </c>
      <c r="CD121" s="233" t="str">
        <f>IFERROR(__xludf.DUMMYFUNCTION("""COMPUTED_VALUE"""),"")</f>
        <v/>
      </c>
      <c r="CE121" s="234" t="str">
        <f>IFERROR(__xludf.DUMMYFUNCTION("""COMPUTED_VALUE"""),"")</f>
        <v/>
      </c>
      <c r="CF121" s="230" t="str">
        <f>IFERROR(__xludf.DUMMYFUNCTION("""COMPUTED_VALUE"""),"")</f>
        <v/>
      </c>
      <c r="CG121" s="235" t="str">
        <f>IFERROR(__xludf.DUMMYFUNCTION("""COMPUTED_VALUE"""),"")</f>
        <v/>
      </c>
      <c r="CH121" s="234" t="str">
        <f>IFERROR(__xludf.DUMMYFUNCTION("""COMPUTED_VALUE"""),"")</f>
        <v/>
      </c>
      <c r="CI121" s="230" t="str">
        <f>IFERROR(__xludf.DUMMYFUNCTION("""COMPUTED_VALUE"""),"")</f>
        <v/>
      </c>
      <c r="CJ121" s="235" t="str">
        <f>IFERROR(__xludf.DUMMYFUNCTION("""COMPUTED_VALUE"""),"")</f>
        <v/>
      </c>
      <c r="CK121" s="95" t="str">
        <f>IFERROR(__xludf.DUMMYFUNCTION("""COMPUTED_VALUE"""),"")</f>
        <v/>
      </c>
      <c r="CL121" s="96">
        <f>IFERROR(__xludf.DUMMYFUNCTION("""COMPUTED_VALUE"""),9.0)</f>
        <v>9</v>
      </c>
      <c r="CM121" s="97">
        <f>IFERROR(__xludf.DUMMYFUNCTION("""COMPUTED_VALUE"""),4.4)</f>
        <v>4.4</v>
      </c>
      <c r="CN121" s="95">
        <f>IFERROR(__xludf.DUMMYFUNCTION("""COMPUTED_VALUE"""),8.3)</f>
        <v>8.3</v>
      </c>
      <c r="CO121" s="96" t="str">
        <f>IFERROR(__xludf.DUMMYFUNCTION("""COMPUTED_VALUE"""),"")</f>
        <v/>
      </c>
      <c r="CP121" s="97" t="str">
        <f>IFERROR(__xludf.DUMMYFUNCTION("""COMPUTED_VALUE"""),"")</f>
        <v/>
      </c>
      <c r="CQ121" s="95" t="str">
        <f>IFERROR(__xludf.DUMMYFUNCTION("""COMPUTED_VALUE"""),"")</f>
        <v/>
      </c>
      <c r="CR121" s="96" t="str">
        <f>IFERROR(__xludf.DUMMYFUNCTION("""COMPUTED_VALUE"""),"")</f>
        <v/>
      </c>
      <c r="CS121" s="97" t="str">
        <f>IFERROR(__xludf.DUMMYFUNCTION("""COMPUTED_VALUE"""),"#REF!")</f>
        <v>#REF!</v>
      </c>
      <c r="CT121" s="95" t="str">
        <f>IFERROR(__xludf.DUMMYFUNCTION("""COMPUTED_VALUE"""),"#REF!")</f>
        <v>#REF!</v>
      </c>
      <c r="CU121" s="96" t="str">
        <f>IFERROR(__xludf.DUMMYFUNCTION("""COMPUTED_VALUE"""),"#REF!")</f>
        <v>#REF!</v>
      </c>
      <c r="CV121" s="97" t="str">
        <f>IFERROR(__xludf.DUMMYFUNCTION("""COMPUTED_VALUE"""),"#REF!")</f>
        <v>#REF!</v>
      </c>
      <c r="CW121" s="95" t="str">
        <f>IFERROR(__xludf.DUMMYFUNCTION("""COMPUTED_VALUE"""),"#REF!")</f>
        <v>#REF!</v>
      </c>
      <c r="CX121" s="96" t="str">
        <f>IFERROR(__xludf.DUMMYFUNCTION("""COMPUTED_VALUE"""),"#REF!")</f>
        <v>#REF!</v>
      </c>
      <c r="CY121" s="97" t="str">
        <f>IFERROR(__xludf.DUMMYFUNCTION("""COMPUTED_VALUE"""),"#REF!")</f>
        <v>#REF!</v>
      </c>
      <c r="CZ121" s="95" t="str">
        <f>IFERROR(__xludf.DUMMYFUNCTION("""COMPUTED_VALUE"""),"#REF!")</f>
        <v>#REF!</v>
      </c>
      <c r="DA121" s="96" t="str">
        <f>IFERROR(__xludf.DUMMYFUNCTION("""COMPUTED_VALUE"""),"#REF!")</f>
        <v>#REF!</v>
      </c>
      <c r="DB121" s="97" t="str">
        <f>IFERROR(__xludf.DUMMYFUNCTION("""COMPUTED_VALUE"""),"#REF!")</f>
        <v>#REF!</v>
      </c>
      <c r="DC121" s="95" t="str">
        <f>IFERROR(__xludf.DUMMYFUNCTION("""COMPUTED_VALUE"""),"#REF!")</f>
        <v>#REF!</v>
      </c>
      <c r="DD121" s="96" t="str">
        <f>IFERROR(__xludf.DUMMYFUNCTION("""COMPUTED_VALUE"""),"#REF!")</f>
        <v>#REF!</v>
      </c>
      <c r="DE121" s="97" t="str">
        <f>IFERROR(__xludf.DUMMYFUNCTION("""COMPUTED_VALUE"""),"#REF!")</f>
        <v>#REF!</v>
      </c>
      <c r="DF121" s="95" t="str">
        <f>IFERROR(__xludf.DUMMYFUNCTION("""COMPUTED_VALUE"""),"#REF!")</f>
        <v>#REF!</v>
      </c>
      <c r="DG121" s="96" t="str">
        <f>IFERROR(__xludf.DUMMYFUNCTION("""COMPUTED_VALUE"""),"#REF!")</f>
        <v>#REF!</v>
      </c>
      <c r="DH121" s="97" t="str">
        <f>IFERROR(__xludf.DUMMYFUNCTION("""COMPUTED_VALUE"""),"#REF!")</f>
        <v>#REF!</v>
      </c>
      <c r="DI121" s="95" t="str">
        <f>IFERROR(__xludf.DUMMYFUNCTION("""COMPUTED_VALUE"""),"#REF!")</f>
        <v>#REF!</v>
      </c>
      <c r="DJ121" s="96" t="str">
        <f>IFERROR(__xludf.DUMMYFUNCTION("""COMPUTED_VALUE"""),"#REF!")</f>
        <v>#REF!</v>
      </c>
      <c r="DK121" s="97" t="str">
        <f>IFERROR(__xludf.DUMMYFUNCTION("""COMPUTED_VALUE"""),"#REF!")</f>
        <v>#REF!</v>
      </c>
      <c r="DL121" s="95" t="str">
        <f>IFERROR(__xludf.DUMMYFUNCTION("""COMPUTED_VALUE"""),"#REF!")</f>
        <v>#REF!</v>
      </c>
      <c r="DM121" s="96" t="str">
        <f>IFERROR(__xludf.DUMMYFUNCTION("""COMPUTED_VALUE"""),"#REF!")</f>
        <v>#REF!</v>
      </c>
      <c r="DN121" s="97" t="str">
        <f>IFERROR(__xludf.DUMMYFUNCTION("""COMPUTED_VALUE"""),"#REF!")</f>
        <v>#REF!</v>
      </c>
      <c r="DO121" s="95" t="str">
        <f>IFERROR(__xludf.DUMMYFUNCTION("""COMPUTED_VALUE"""),"#REF!")</f>
        <v>#REF!</v>
      </c>
      <c r="DP121" s="96" t="str">
        <f>IFERROR(__xludf.DUMMYFUNCTION("""COMPUTED_VALUE"""),"#REF!")</f>
        <v>#REF!</v>
      </c>
      <c r="DQ121" s="97"/>
      <c r="DR121" s="95"/>
    </row>
    <row r="122">
      <c r="B122" s="120" t="str">
        <f>IFERROR(__xludf.DUMMYFUNCTION("""COMPUTED_VALUE"""),"CML10")</f>
        <v>CML10</v>
      </c>
      <c r="C122" s="82">
        <f>IFERROR(__xludf.DUMMYFUNCTION("""COMPUTED_VALUE"""),111.0)</f>
        <v>111</v>
      </c>
      <c r="D122" s="88" t="str">
        <f>IFERROR(__xludf.DUMMYFUNCTION("""COMPUTED_VALUE"""),"Holy City")</f>
        <v>Holy City</v>
      </c>
      <c r="E122" s="82" t="str">
        <f>IFERROR(__xludf.DUMMYFUNCTION("""COMPUTED_VALUE"""),"聖都市街")</f>
        <v>聖都市街</v>
      </c>
      <c r="F122" s="102">
        <f>IFERROR(__xludf.DUMMYFUNCTION("""COMPUTED_VALUE"""),20.0)</f>
        <v>20</v>
      </c>
      <c r="G122" s="82">
        <f>IFERROR(__xludf.DUMMYFUNCTION("""COMPUTED_VALUE"""),28629.0)</f>
        <v>28629</v>
      </c>
      <c r="H122" s="231" t="str">
        <f>IFERROR(__xludf.DUMMYFUNCTION("""COMPUTED_VALUE"""),"")</f>
        <v/>
      </c>
      <c r="I122" s="232" t="str">
        <f>IFERROR(__xludf.DUMMYFUNCTION("""COMPUTED_VALUE"""),"")</f>
        <v/>
      </c>
      <c r="J122" s="233" t="str">
        <f>IFERROR(__xludf.DUMMYFUNCTION("""COMPUTED_VALUE"""),"")</f>
        <v/>
      </c>
      <c r="K122" s="231">
        <f>IFERROR(__xludf.DUMMYFUNCTION("""COMPUTED_VALUE"""),12.0)</f>
        <v>12</v>
      </c>
      <c r="L122" s="232" t="str">
        <f>IFERROR(__xludf.DUMMYFUNCTION("""COMPUTED_VALUE"""),"")</f>
        <v/>
      </c>
      <c r="M122" s="233" t="str">
        <f>IFERROR(__xludf.DUMMYFUNCTION("""COMPUTED_VALUE"""),"")</f>
        <v/>
      </c>
      <c r="N122" s="231" t="str">
        <f>IFERROR(__xludf.DUMMYFUNCTION("""COMPUTED_VALUE"""),"")</f>
        <v/>
      </c>
      <c r="O122" s="232" t="str">
        <f>IFERROR(__xludf.DUMMYFUNCTION("""COMPUTED_VALUE"""),"")</f>
        <v/>
      </c>
      <c r="P122" s="233" t="str">
        <f>IFERROR(__xludf.DUMMYFUNCTION("""COMPUTED_VALUE"""),"")</f>
        <v/>
      </c>
      <c r="Q122" s="231" t="str">
        <f>IFERROR(__xludf.DUMMYFUNCTION("""COMPUTED_VALUE"""),"")</f>
        <v/>
      </c>
      <c r="R122" s="232" t="str">
        <f>IFERROR(__xludf.DUMMYFUNCTION("""COMPUTED_VALUE"""),"")</f>
        <v/>
      </c>
      <c r="S122" s="233" t="str">
        <f>IFERROR(__xludf.DUMMYFUNCTION("""COMPUTED_VALUE"""),"")</f>
        <v/>
      </c>
      <c r="T122" s="231" t="str">
        <f>IFERROR(__xludf.DUMMYFUNCTION("""COMPUTED_VALUE"""),"")</f>
        <v/>
      </c>
      <c r="U122" s="232" t="str">
        <f>IFERROR(__xludf.DUMMYFUNCTION("""COMPUTED_VALUE"""),"")</f>
        <v/>
      </c>
      <c r="V122" s="233" t="str">
        <f>IFERROR(__xludf.DUMMYFUNCTION("""COMPUTED_VALUE"""),"")</f>
        <v/>
      </c>
      <c r="W122" s="231" t="str">
        <f>IFERROR(__xludf.DUMMYFUNCTION("""COMPUTED_VALUE"""),"")</f>
        <v/>
      </c>
      <c r="X122" s="232" t="str">
        <f>IFERROR(__xludf.DUMMYFUNCTION("""COMPUTED_VALUE"""),"")</f>
        <v/>
      </c>
      <c r="Y122" s="233" t="str">
        <f>IFERROR(__xludf.DUMMYFUNCTION("""COMPUTED_VALUE"""),"")</f>
        <v/>
      </c>
      <c r="Z122" s="231" t="str">
        <f>IFERROR(__xludf.DUMMYFUNCTION("""COMPUTED_VALUE"""),"")</f>
        <v/>
      </c>
      <c r="AA122" s="232" t="str">
        <f>IFERROR(__xludf.DUMMYFUNCTION("""COMPUTED_VALUE"""),"")</f>
        <v/>
      </c>
      <c r="AB122" s="233">
        <f>IFERROR(__xludf.DUMMYFUNCTION("""COMPUTED_VALUE"""),27.4)</f>
        <v>27.4</v>
      </c>
      <c r="AC122" s="231" t="str">
        <f>IFERROR(__xludf.DUMMYFUNCTION("""COMPUTED_VALUE"""),"")</f>
        <v/>
      </c>
      <c r="AD122" s="232" t="str">
        <f>IFERROR(__xludf.DUMMYFUNCTION("""COMPUTED_VALUE"""),"")</f>
        <v/>
      </c>
      <c r="AE122" s="233" t="str">
        <f>IFERROR(__xludf.DUMMYFUNCTION("""COMPUTED_VALUE"""),"")</f>
        <v/>
      </c>
      <c r="AF122" s="231" t="str">
        <f>IFERROR(__xludf.DUMMYFUNCTION("""COMPUTED_VALUE"""),"")</f>
        <v/>
      </c>
      <c r="AG122" s="232" t="str">
        <f>IFERROR(__xludf.DUMMYFUNCTION("""COMPUTED_VALUE"""),"")</f>
        <v/>
      </c>
      <c r="AH122" s="233" t="str">
        <f>IFERROR(__xludf.DUMMYFUNCTION("""COMPUTED_VALUE"""),"")</f>
        <v/>
      </c>
      <c r="AI122" s="231" t="str">
        <f>IFERROR(__xludf.DUMMYFUNCTION("""COMPUTED_VALUE"""),"")</f>
        <v/>
      </c>
      <c r="AJ122" s="232" t="str">
        <f>IFERROR(__xludf.DUMMYFUNCTION("""COMPUTED_VALUE"""),"")</f>
        <v/>
      </c>
      <c r="AK122" s="233" t="str">
        <f>IFERROR(__xludf.DUMMYFUNCTION("""COMPUTED_VALUE"""),"")</f>
        <v/>
      </c>
      <c r="AL122" s="231" t="str">
        <f>IFERROR(__xludf.DUMMYFUNCTION("""COMPUTED_VALUE"""),"")</f>
        <v/>
      </c>
      <c r="AM122" s="232" t="str">
        <f>IFERROR(__xludf.DUMMYFUNCTION("""COMPUTED_VALUE"""),"")</f>
        <v/>
      </c>
      <c r="AN122" s="233" t="str">
        <f>IFERROR(__xludf.DUMMYFUNCTION("""COMPUTED_VALUE"""),"")</f>
        <v/>
      </c>
      <c r="AO122" s="231" t="str">
        <f>IFERROR(__xludf.DUMMYFUNCTION("""COMPUTED_VALUE"""),"")</f>
        <v/>
      </c>
      <c r="AP122" s="232" t="str">
        <f>IFERROR(__xludf.DUMMYFUNCTION("""COMPUTED_VALUE"""),"")</f>
        <v/>
      </c>
      <c r="AQ122" s="233" t="str">
        <f>IFERROR(__xludf.DUMMYFUNCTION("""COMPUTED_VALUE"""),"")</f>
        <v/>
      </c>
      <c r="AR122" s="231" t="str">
        <f>IFERROR(__xludf.DUMMYFUNCTION("""COMPUTED_VALUE"""),"")</f>
        <v/>
      </c>
      <c r="AS122" s="232" t="str">
        <f>IFERROR(__xludf.DUMMYFUNCTION("""COMPUTED_VALUE"""),"")</f>
        <v/>
      </c>
      <c r="AT122" s="233">
        <f>IFERROR(__xludf.DUMMYFUNCTION("""COMPUTED_VALUE"""),35.8)</f>
        <v>35.8</v>
      </c>
      <c r="AU122" s="231" t="str">
        <f>IFERROR(__xludf.DUMMYFUNCTION("""COMPUTED_VALUE"""),"")</f>
        <v/>
      </c>
      <c r="AV122" s="232" t="str">
        <f>IFERROR(__xludf.DUMMYFUNCTION("""COMPUTED_VALUE"""),"")</f>
        <v/>
      </c>
      <c r="AW122" s="233" t="str">
        <f>IFERROR(__xludf.DUMMYFUNCTION("""COMPUTED_VALUE"""),"")</f>
        <v/>
      </c>
      <c r="AX122" s="231" t="str">
        <f>IFERROR(__xludf.DUMMYFUNCTION("""COMPUTED_VALUE"""),"")</f>
        <v/>
      </c>
      <c r="AY122" s="232" t="str">
        <f>IFERROR(__xludf.DUMMYFUNCTION("""COMPUTED_VALUE"""),"")</f>
        <v/>
      </c>
      <c r="AZ122" s="233" t="str">
        <f>IFERROR(__xludf.DUMMYFUNCTION("""COMPUTED_VALUE"""),"")</f>
        <v/>
      </c>
      <c r="BA122" s="231" t="str">
        <f>IFERROR(__xludf.DUMMYFUNCTION("""COMPUTED_VALUE"""),"")</f>
        <v/>
      </c>
      <c r="BB122" s="232" t="str">
        <f>IFERROR(__xludf.DUMMYFUNCTION("""COMPUTED_VALUE"""),"")</f>
        <v/>
      </c>
      <c r="BC122" s="233">
        <f>IFERROR(__xludf.DUMMYFUNCTION("""COMPUTED_VALUE"""),3.3)</f>
        <v>3.3</v>
      </c>
      <c r="BD122" s="231" t="str">
        <f>IFERROR(__xludf.DUMMYFUNCTION("""COMPUTED_VALUE"""),"")</f>
        <v/>
      </c>
      <c r="BE122" s="232" t="str">
        <f>IFERROR(__xludf.DUMMYFUNCTION("""COMPUTED_VALUE"""),"")</f>
        <v/>
      </c>
      <c r="BF122" s="233" t="str">
        <f>IFERROR(__xludf.DUMMYFUNCTION("""COMPUTED_VALUE"""),"")</f>
        <v/>
      </c>
      <c r="BG122" s="231" t="str">
        <f>IFERROR(__xludf.DUMMYFUNCTION("""COMPUTED_VALUE"""),"")</f>
        <v/>
      </c>
      <c r="BH122" s="232" t="str">
        <f>IFERROR(__xludf.DUMMYFUNCTION("""COMPUTED_VALUE"""),"")</f>
        <v/>
      </c>
      <c r="BI122" s="233">
        <f>IFERROR(__xludf.DUMMYFUNCTION("""COMPUTED_VALUE"""),9.2)</f>
        <v>9.2</v>
      </c>
      <c r="BJ122" s="231" t="str">
        <f>IFERROR(__xludf.DUMMYFUNCTION("""COMPUTED_VALUE"""),"")</f>
        <v/>
      </c>
      <c r="BK122" s="232" t="str">
        <f>IFERROR(__xludf.DUMMYFUNCTION("""COMPUTED_VALUE"""),"")</f>
        <v/>
      </c>
      <c r="BL122" s="233" t="str">
        <f>IFERROR(__xludf.DUMMYFUNCTION("""COMPUTED_VALUE"""),"")</f>
        <v/>
      </c>
      <c r="BM122" s="231" t="str">
        <f>IFERROR(__xludf.DUMMYFUNCTION("""COMPUTED_VALUE"""),"")</f>
        <v/>
      </c>
      <c r="BN122" s="232" t="str">
        <f>IFERROR(__xludf.DUMMYFUNCTION("""COMPUTED_VALUE"""),"")</f>
        <v/>
      </c>
      <c r="BO122" s="233" t="str">
        <f>IFERROR(__xludf.DUMMYFUNCTION("""COMPUTED_VALUE"""),"")</f>
        <v/>
      </c>
      <c r="BP122" s="231" t="str">
        <f>IFERROR(__xludf.DUMMYFUNCTION("""COMPUTED_VALUE"""),"")</f>
        <v/>
      </c>
      <c r="BQ122" s="232">
        <f>IFERROR(__xludf.DUMMYFUNCTION("""COMPUTED_VALUE"""),5.1)</f>
        <v>5.1</v>
      </c>
      <c r="BR122" s="233" t="str">
        <f>IFERROR(__xludf.DUMMYFUNCTION("""COMPUTED_VALUE"""),"")</f>
        <v/>
      </c>
      <c r="BS122" s="231">
        <f>IFERROR(__xludf.DUMMYFUNCTION("""COMPUTED_VALUE"""),10.0)</f>
        <v>10</v>
      </c>
      <c r="BT122" s="232" t="str">
        <f>IFERROR(__xludf.DUMMYFUNCTION("""COMPUTED_VALUE"""),"")</f>
        <v/>
      </c>
      <c r="BU122" s="233" t="str">
        <f>IFERROR(__xludf.DUMMYFUNCTION("""COMPUTED_VALUE"""),"")</f>
        <v/>
      </c>
      <c r="BV122" s="231" t="str">
        <f>IFERROR(__xludf.DUMMYFUNCTION("""COMPUTED_VALUE"""),"")</f>
        <v/>
      </c>
      <c r="BW122" s="232" t="str">
        <f>IFERROR(__xludf.DUMMYFUNCTION("""COMPUTED_VALUE"""),"")</f>
        <v/>
      </c>
      <c r="BX122" s="233" t="str">
        <f>IFERROR(__xludf.DUMMYFUNCTION("""COMPUTED_VALUE"""),"")</f>
        <v/>
      </c>
      <c r="BY122" s="231" t="str">
        <f>IFERROR(__xludf.DUMMYFUNCTION("""COMPUTED_VALUE"""),"")</f>
        <v/>
      </c>
      <c r="BZ122" s="232" t="str">
        <f>IFERROR(__xludf.DUMMYFUNCTION("""COMPUTED_VALUE"""),"")</f>
        <v/>
      </c>
      <c r="CA122" s="233" t="str">
        <f>IFERROR(__xludf.DUMMYFUNCTION("""COMPUTED_VALUE"""),"")</f>
        <v/>
      </c>
      <c r="CB122" s="231" t="str">
        <f>IFERROR(__xludf.DUMMYFUNCTION("""COMPUTED_VALUE"""),"")</f>
        <v/>
      </c>
      <c r="CC122" s="232" t="str">
        <f>IFERROR(__xludf.DUMMYFUNCTION("""COMPUTED_VALUE"""),"")</f>
        <v/>
      </c>
      <c r="CD122" s="233" t="str">
        <f>IFERROR(__xludf.DUMMYFUNCTION("""COMPUTED_VALUE"""),"")</f>
        <v/>
      </c>
      <c r="CE122" s="234" t="str">
        <f>IFERROR(__xludf.DUMMYFUNCTION("""COMPUTED_VALUE"""),"")</f>
        <v/>
      </c>
      <c r="CF122" s="230" t="str">
        <f>IFERROR(__xludf.DUMMYFUNCTION("""COMPUTED_VALUE"""),"")</f>
        <v/>
      </c>
      <c r="CG122" s="235" t="str">
        <f>IFERROR(__xludf.DUMMYFUNCTION("""COMPUTED_VALUE"""),"")</f>
        <v/>
      </c>
      <c r="CH122" s="234" t="str">
        <f>IFERROR(__xludf.DUMMYFUNCTION("""COMPUTED_VALUE"""),"")</f>
        <v/>
      </c>
      <c r="CI122" s="230" t="str">
        <f>IFERROR(__xludf.DUMMYFUNCTION("""COMPUTED_VALUE"""),"")</f>
        <v/>
      </c>
      <c r="CJ122" s="235" t="str">
        <f>IFERROR(__xludf.DUMMYFUNCTION("""COMPUTED_VALUE"""),"")</f>
        <v/>
      </c>
      <c r="CK122" s="95" t="str">
        <f>IFERROR(__xludf.DUMMYFUNCTION("""COMPUTED_VALUE"""),"")</f>
        <v/>
      </c>
      <c r="CL122" s="96">
        <f>IFERROR(__xludf.DUMMYFUNCTION("""COMPUTED_VALUE"""),80.7)</f>
        <v>80.7</v>
      </c>
      <c r="CM122" s="97" t="str">
        <f>IFERROR(__xludf.DUMMYFUNCTION("""COMPUTED_VALUE"""),"")</f>
        <v/>
      </c>
      <c r="CN122" s="95" t="str">
        <f>IFERROR(__xludf.DUMMYFUNCTION("""COMPUTED_VALUE"""),"")</f>
        <v/>
      </c>
      <c r="CO122" s="96" t="str">
        <f>IFERROR(__xludf.DUMMYFUNCTION("""COMPUTED_VALUE"""),"")</f>
        <v/>
      </c>
      <c r="CP122" s="97" t="str">
        <f>IFERROR(__xludf.DUMMYFUNCTION("""COMPUTED_VALUE"""),"")</f>
        <v/>
      </c>
      <c r="CQ122" s="95" t="str">
        <f>IFERROR(__xludf.DUMMYFUNCTION("""COMPUTED_VALUE"""),"")</f>
        <v/>
      </c>
      <c r="CR122" s="96" t="str">
        <f>IFERROR(__xludf.DUMMYFUNCTION("""COMPUTED_VALUE"""),"")</f>
        <v/>
      </c>
      <c r="CS122" s="97" t="str">
        <f>IFERROR(__xludf.DUMMYFUNCTION("""COMPUTED_VALUE"""),"#REF!")</f>
        <v>#REF!</v>
      </c>
      <c r="CT122" s="95" t="str">
        <f>IFERROR(__xludf.DUMMYFUNCTION("""COMPUTED_VALUE"""),"#REF!")</f>
        <v>#REF!</v>
      </c>
      <c r="CU122" s="96" t="str">
        <f>IFERROR(__xludf.DUMMYFUNCTION("""COMPUTED_VALUE"""),"#REF!")</f>
        <v>#REF!</v>
      </c>
      <c r="CV122" s="97" t="str">
        <f>IFERROR(__xludf.DUMMYFUNCTION("""COMPUTED_VALUE"""),"#REF!")</f>
        <v>#REF!</v>
      </c>
      <c r="CW122" s="95" t="str">
        <f>IFERROR(__xludf.DUMMYFUNCTION("""COMPUTED_VALUE"""),"#REF!")</f>
        <v>#REF!</v>
      </c>
      <c r="CX122" s="96" t="str">
        <f>IFERROR(__xludf.DUMMYFUNCTION("""COMPUTED_VALUE"""),"#REF!")</f>
        <v>#REF!</v>
      </c>
      <c r="CY122" s="97" t="str">
        <f>IFERROR(__xludf.DUMMYFUNCTION("""COMPUTED_VALUE"""),"#REF!")</f>
        <v>#REF!</v>
      </c>
      <c r="CZ122" s="95" t="str">
        <f>IFERROR(__xludf.DUMMYFUNCTION("""COMPUTED_VALUE"""),"#REF!")</f>
        <v>#REF!</v>
      </c>
      <c r="DA122" s="96" t="str">
        <f>IFERROR(__xludf.DUMMYFUNCTION("""COMPUTED_VALUE"""),"#REF!")</f>
        <v>#REF!</v>
      </c>
      <c r="DB122" s="97" t="str">
        <f>IFERROR(__xludf.DUMMYFUNCTION("""COMPUTED_VALUE"""),"#REF!")</f>
        <v>#REF!</v>
      </c>
      <c r="DC122" s="95" t="str">
        <f>IFERROR(__xludf.DUMMYFUNCTION("""COMPUTED_VALUE"""),"#REF!")</f>
        <v>#REF!</v>
      </c>
      <c r="DD122" s="96" t="str">
        <f>IFERROR(__xludf.DUMMYFUNCTION("""COMPUTED_VALUE"""),"#REF!")</f>
        <v>#REF!</v>
      </c>
      <c r="DE122" s="97" t="str">
        <f>IFERROR(__xludf.DUMMYFUNCTION("""COMPUTED_VALUE"""),"#REF!")</f>
        <v>#REF!</v>
      </c>
      <c r="DF122" s="95" t="str">
        <f>IFERROR(__xludf.DUMMYFUNCTION("""COMPUTED_VALUE"""),"#REF!")</f>
        <v>#REF!</v>
      </c>
      <c r="DG122" s="96" t="str">
        <f>IFERROR(__xludf.DUMMYFUNCTION("""COMPUTED_VALUE"""),"#REF!")</f>
        <v>#REF!</v>
      </c>
      <c r="DH122" s="97" t="str">
        <f>IFERROR(__xludf.DUMMYFUNCTION("""COMPUTED_VALUE"""),"#REF!")</f>
        <v>#REF!</v>
      </c>
      <c r="DI122" s="95" t="str">
        <f>IFERROR(__xludf.DUMMYFUNCTION("""COMPUTED_VALUE"""),"#REF!")</f>
        <v>#REF!</v>
      </c>
      <c r="DJ122" s="96" t="str">
        <f>IFERROR(__xludf.DUMMYFUNCTION("""COMPUTED_VALUE"""),"#REF!")</f>
        <v>#REF!</v>
      </c>
      <c r="DK122" s="97" t="str">
        <f>IFERROR(__xludf.DUMMYFUNCTION("""COMPUTED_VALUE"""),"#REF!")</f>
        <v>#REF!</v>
      </c>
      <c r="DL122" s="95" t="str">
        <f>IFERROR(__xludf.DUMMYFUNCTION("""COMPUTED_VALUE"""),"#REF!")</f>
        <v>#REF!</v>
      </c>
      <c r="DM122" s="96" t="str">
        <f>IFERROR(__xludf.DUMMYFUNCTION("""COMPUTED_VALUE"""),"#REF!")</f>
        <v>#REF!</v>
      </c>
      <c r="DN122" s="97" t="str">
        <f>IFERROR(__xludf.DUMMYFUNCTION("""COMPUTED_VALUE"""),"#REF!")</f>
        <v>#REF!</v>
      </c>
      <c r="DO122" s="95" t="str">
        <f>IFERROR(__xludf.DUMMYFUNCTION("""COMPUTED_VALUE"""),"#REF!")</f>
        <v>#REF!</v>
      </c>
      <c r="DP122" s="96" t="str">
        <f>IFERROR(__xludf.DUMMYFUNCTION("""COMPUTED_VALUE"""),"#REF!")</f>
        <v>#REF!</v>
      </c>
      <c r="DQ122" s="97"/>
      <c r="DR122" s="95"/>
    </row>
    <row r="123">
      <c r="B123" s="120" t="str">
        <f>IFERROR(__xludf.DUMMYFUNCTION("""COMPUTED_VALUE"""),"CML11")</f>
        <v>CML11</v>
      </c>
      <c r="C123" s="82">
        <f>IFERROR(__xludf.DUMMYFUNCTION("""COMPUTED_VALUE"""),112.0)</f>
        <v>112</v>
      </c>
      <c r="D123" s="88" t="str">
        <f>IFERROR(__xludf.DUMMYFUNCTION("""COMPUTED_VALUE"""),"Hidden Village")</f>
        <v>Hidden Village</v>
      </c>
      <c r="E123" s="82" t="str">
        <f>IFERROR(__xludf.DUMMYFUNCTION("""COMPUTED_VALUE"""),"隠れ村")</f>
        <v>隠れ村</v>
      </c>
      <c r="F123" s="102">
        <f>IFERROR(__xludf.DUMMYFUNCTION("""COMPUTED_VALUE"""),21.0)</f>
        <v>21</v>
      </c>
      <c r="G123" s="82">
        <f>IFERROR(__xludf.DUMMYFUNCTION("""COMPUTED_VALUE"""),123673.0)</f>
        <v>123673</v>
      </c>
      <c r="H123" s="231" t="str">
        <f>IFERROR(__xludf.DUMMYFUNCTION("""COMPUTED_VALUE"""),"")</f>
        <v/>
      </c>
      <c r="I123" s="232" t="str">
        <f>IFERROR(__xludf.DUMMYFUNCTION("""COMPUTED_VALUE"""),"")</f>
        <v/>
      </c>
      <c r="J123" s="233" t="str">
        <f>IFERROR(__xludf.DUMMYFUNCTION("""COMPUTED_VALUE"""),"")</f>
        <v/>
      </c>
      <c r="K123" s="231" t="str">
        <f>IFERROR(__xludf.DUMMYFUNCTION("""COMPUTED_VALUE"""),"")</f>
        <v/>
      </c>
      <c r="L123" s="232" t="str">
        <f>IFERROR(__xludf.DUMMYFUNCTION("""COMPUTED_VALUE"""),"")</f>
        <v/>
      </c>
      <c r="M123" s="233" t="str">
        <f>IFERROR(__xludf.DUMMYFUNCTION("""COMPUTED_VALUE"""),"")</f>
        <v/>
      </c>
      <c r="N123" s="231" t="str">
        <f>IFERROR(__xludf.DUMMYFUNCTION("""COMPUTED_VALUE"""),"")</f>
        <v/>
      </c>
      <c r="O123" s="232">
        <f>IFERROR(__xludf.DUMMYFUNCTION("""COMPUTED_VALUE"""),16.1)</f>
        <v>16.1</v>
      </c>
      <c r="P123" s="233" t="str">
        <f>IFERROR(__xludf.DUMMYFUNCTION("""COMPUTED_VALUE"""),"")</f>
        <v/>
      </c>
      <c r="Q123" s="231" t="str">
        <f>IFERROR(__xludf.DUMMYFUNCTION("""COMPUTED_VALUE"""),"")</f>
        <v/>
      </c>
      <c r="R123" s="232" t="str">
        <f>IFERROR(__xludf.DUMMYFUNCTION("""COMPUTED_VALUE"""),"")</f>
        <v/>
      </c>
      <c r="S123" s="233" t="str">
        <f>IFERROR(__xludf.DUMMYFUNCTION("""COMPUTED_VALUE"""),"")</f>
        <v/>
      </c>
      <c r="T123" s="231" t="str">
        <f>IFERROR(__xludf.DUMMYFUNCTION("""COMPUTED_VALUE"""),"")</f>
        <v/>
      </c>
      <c r="U123" s="232" t="str">
        <f>IFERROR(__xludf.DUMMYFUNCTION("""COMPUTED_VALUE"""),"")</f>
        <v/>
      </c>
      <c r="V123" s="233" t="str">
        <f>IFERROR(__xludf.DUMMYFUNCTION("""COMPUTED_VALUE"""),"")</f>
        <v/>
      </c>
      <c r="W123" s="231" t="str">
        <f>IFERROR(__xludf.DUMMYFUNCTION("""COMPUTED_VALUE"""),"")</f>
        <v/>
      </c>
      <c r="X123" s="232" t="str">
        <f>IFERROR(__xludf.DUMMYFUNCTION("""COMPUTED_VALUE"""),"")</f>
        <v/>
      </c>
      <c r="Y123" s="233" t="str">
        <f>IFERROR(__xludf.DUMMYFUNCTION("""COMPUTED_VALUE"""),"")</f>
        <v/>
      </c>
      <c r="Z123" s="231" t="str">
        <f>IFERROR(__xludf.DUMMYFUNCTION("""COMPUTED_VALUE"""),"")</f>
        <v/>
      </c>
      <c r="AA123" s="232" t="str">
        <f>IFERROR(__xludf.DUMMYFUNCTION("""COMPUTED_VALUE"""),"")</f>
        <v/>
      </c>
      <c r="AB123" s="233" t="str">
        <f>IFERROR(__xludf.DUMMYFUNCTION("""COMPUTED_VALUE"""),"")</f>
        <v/>
      </c>
      <c r="AC123" s="231" t="str">
        <f>IFERROR(__xludf.DUMMYFUNCTION("""COMPUTED_VALUE"""),"")</f>
        <v/>
      </c>
      <c r="AD123" s="232" t="str">
        <f>IFERROR(__xludf.DUMMYFUNCTION("""COMPUTED_VALUE"""),"")</f>
        <v/>
      </c>
      <c r="AE123" s="233" t="str">
        <f>IFERROR(__xludf.DUMMYFUNCTION("""COMPUTED_VALUE"""),"")</f>
        <v/>
      </c>
      <c r="AF123" s="231" t="str">
        <f>IFERROR(__xludf.DUMMYFUNCTION("""COMPUTED_VALUE"""),"")</f>
        <v/>
      </c>
      <c r="AG123" s="232" t="str">
        <f>IFERROR(__xludf.DUMMYFUNCTION("""COMPUTED_VALUE"""),"")</f>
        <v/>
      </c>
      <c r="AH123" s="233" t="str">
        <f>IFERROR(__xludf.DUMMYFUNCTION("""COMPUTED_VALUE"""),"")</f>
        <v/>
      </c>
      <c r="AI123" s="231" t="str">
        <f>IFERROR(__xludf.DUMMYFUNCTION("""COMPUTED_VALUE"""),"")</f>
        <v/>
      </c>
      <c r="AJ123" s="232" t="str">
        <f>IFERROR(__xludf.DUMMYFUNCTION("""COMPUTED_VALUE"""),"")</f>
        <v/>
      </c>
      <c r="AK123" s="233" t="str">
        <f>IFERROR(__xludf.DUMMYFUNCTION("""COMPUTED_VALUE"""),"")</f>
        <v/>
      </c>
      <c r="AL123" s="231" t="str">
        <f>IFERROR(__xludf.DUMMYFUNCTION("""COMPUTED_VALUE"""),"")</f>
        <v/>
      </c>
      <c r="AM123" s="232" t="str">
        <f>IFERROR(__xludf.DUMMYFUNCTION("""COMPUTED_VALUE"""),"")</f>
        <v/>
      </c>
      <c r="AN123" s="233" t="str">
        <f>IFERROR(__xludf.DUMMYFUNCTION("""COMPUTED_VALUE"""),"")</f>
        <v/>
      </c>
      <c r="AO123" s="231" t="str">
        <f>IFERROR(__xludf.DUMMYFUNCTION("""COMPUTED_VALUE"""),"")</f>
        <v/>
      </c>
      <c r="AP123" s="232" t="str">
        <f>IFERROR(__xludf.DUMMYFUNCTION("""COMPUTED_VALUE"""),"")</f>
        <v/>
      </c>
      <c r="AQ123" s="233" t="str">
        <f>IFERROR(__xludf.DUMMYFUNCTION("""COMPUTED_VALUE"""),"")</f>
        <v/>
      </c>
      <c r="AR123" s="231" t="str">
        <f>IFERROR(__xludf.DUMMYFUNCTION("""COMPUTED_VALUE"""),"")</f>
        <v/>
      </c>
      <c r="AS123" s="232" t="str">
        <f>IFERROR(__xludf.DUMMYFUNCTION("""COMPUTED_VALUE"""),"")</f>
        <v/>
      </c>
      <c r="AT123" s="233" t="str">
        <f>IFERROR(__xludf.DUMMYFUNCTION("""COMPUTED_VALUE"""),"")</f>
        <v/>
      </c>
      <c r="AU123" s="231" t="str">
        <f>IFERROR(__xludf.DUMMYFUNCTION("""COMPUTED_VALUE"""),"")</f>
        <v/>
      </c>
      <c r="AV123" s="232" t="str">
        <f>IFERROR(__xludf.DUMMYFUNCTION("""COMPUTED_VALUE"""),"")</f>
        <v/>
      </c>
      <c r="AW123" s="233" t="str">
        <f>IFERROR(__xludf.DUMMYFUNCTION("""COMPUTED_VALUE"""),"")</f>
        <v/>
      </c>
      <c r="AX123" s="231">
        <f>IFERROR(__xludf.DUMMYFUNCTION("""COMPUTED_VALUE"""),30.4)</f>
        <v>30.4</v>
      </c>
      <c r="AY123" s="232" t="str">
        <f>IFERROR(__xludf.DUMMYFUNCTION("""COMPUTED_VALUE"""),"")</f>
        <v/>
      </c>
      <c r="AZ123" s="233" t="str">
        <f>IFERROR(__xludf.DUMMYFUNCTION("""COMPUTED_VALUE"""),"")</f>
        <v/>
      </c>
      <c r="BA123" s="231" t="str">
        <f>IFERROR(__xludf.DUMMYFUNCTION("""COMPUTED_VALUE"""),"")</f>
        <v/>
      </c>
      <c r="BB123" s="232" t="str">
        <f>IFERROR(__xludf.DUMMYFUNCTION("""COMPUTED_VALUE"""),"")</f>
        <v/>
      </c>
      <c r="BC123" s="233" t="str">
        <f>IFERROR(__xludf.DUMMYFUNCTION("""COMPUTED_VALUE"""),"")</f>
        <v/>
      </c>
      <c r="BD123" s="231" t="str">
        <f>IFERROR(__xludf.DUMMYFUNCTION("""COMPUTED_VALUE"""),"")</f>
        <v/>
      </c>
      <c r="BE123" s="232" t="str">
        <f>IFERROR(__xludf.DUMMYFUNCTION("""COMPUTED_VALUE"""),"")</f>
        <v/>
      </c>
      <c r="BF123" s="233" t="str">
        <f>IFERROR(__xludf.DUMMYFUNCTION("""COMPUTED_VALUE"""),"")</f>
        <v/>
      </c>
      <c r="BG123" s="231" t="str">
        <f>IFERROR(__xludf.DUMMYFUNCTION("""COMPUTED_VALUE"""),"")</f>
        <v/>
      </c>
      <c r="BH123" s="232" t="str">
        <f>IFERROR(__xludf.DUMMYFUNCTION("""COMPUTED_VALUE"""),"")</f>
        <v/>
      </c>
      <c r="BI123" s="233" t="str">
        <f>IFERROR(__xludf.DUMMYFUNCTION("""COMPUTED_VALUE"""),"")</f>
        <v/>
      </c>
      <c r="BJ123" s="231" t="str">
        <f>IFERROR(__xludf.DUMMYFUNCTION("""COMPUTED_VALUE"""),"")</f>
        <v/>
      </c>
      <c r="BK123" s="232" t="str">
        <f>IFERROR(__xludf.DUMMYFUNCTION("""COMPUTED_VALUE"""),"")</f>
        <v/>
      </c>
      <c r="BL123" s="233" t="str">
        <f>IFERROR(__xludf.DUMMYFUNCTION("""COMPUTED_VALUE"""),"")</f>
        <v/>
      </c>
      <c r="BM123" s="231" t="str">
        <f>IFERROR(__xludf.DUMMYFUNCTION("""COMPUTED_VALUE"""),"")</f>
        <v/>
      </c>
      <c r="BN123" s="232">
        <f>IFERROR(__xludf.DUMMYFUNCTION("""COMPUTED_VALUE"""),7.9)</f>
        <v>7.9</v>
      </c>
      <c r="BO123" s="233" t="str">
        <f>IFERROR(__xludf.DUMMYFUNCTION("""COMPUTED_VALUE"""),"")</f>
        <v/>
      </c>
      <c r="BP123" s="231" t="str">
        <f>IFERROR(__xludf.DUMMYFUNCTION("""COMPUTED_VALUE"""),"")</f>
        <v/>
      </c>
      <c r="BQ123" s="232" t="str">
        <f>IFERROR(__xludf.DUMMYFUNCTION("""COMPUTED_VALUE"""),"")</f>
        <v/>
      </c>
      <c r="BR123" s="233" t="str">
        <f>IFERROR(__xludf.DUMMYFUNCTION("""COMPUTED_VALUE"""),"")</f>
        <v/>
      </c>
      <c r="BS123" s="231" t="str">
        <f>IFERROR(__xludf.DUMMYFUNCTION("""COMPUTED_VALUE"""),"")</f>
        <v/>
      </c>
      <c r="BT123" s="232" t="str">
        <f>IFERROR(__xludf.DUMMYFUNCTION("""COMPUTED_VALUE"""),"")</f>
        <v/>
      </c>
      <c r="BU123" s="233" t="str">
        <f>IFERROR(__xludf.DUMMYFUNCTION("""COMPUTED_VALUE"""),"")</f>
        <v/>
      </c>
      <c r="BV123" s="231">
        <f>IFERROR(__xludf.DUMMYFUNCTION("""COMPUTED_VALUE"""),10.0)</f>
        <v>10</v>
      </c>
      <c r="BW123" s="232">
        <f>IFERROR(__xludf.DUMMYFUNCTION("""COMPUTED_VALUE"""),4.9)</f>
        <v>4.9</v>
      </c>
      <c r="BX123" s="233" t="str">
        <f>IFERROR(__xludf.DUMMYFUNCTION("""COMPUTED_VALUE"""),"")</f>
        <v/>
      </c>
      <c r="BY123" s="231" t="str">
        <f>IFERROR(__xludf.DUMMYFUNCTION("""COMPUTED_VALUE"""),"")</f>
        <v/>
      </c>
      <c r="BZ123" s="232" t="str">
        <f>IFERROR(__xludf.DUMMYFUNCTION("""COMPUTED_VALUE"""),"")</f>
        <v/>
      </c>
      <c r="CA123" s="233" t="str">
        <f>IFERROR(__xludf.DUMMYFUNCTION("""COMPUTED_VALUE"""),"")</f>
        <v/>
      </c>
      <c r="CB123" s="231" t="str">
        <f>IFERROR(__xludf.DUMMYFUNCTION("""COMPUTED_VALUE"""),"")</f>
        <v/>
      </c>
      <c r="CC123" s="232" t="str">
        <f>IFERROR(__xludf.DUMMYFUNCTION("""COMPUTED_VALUE"""),"")</f>
        <v/>
      </c>
      <c r="CD123" s="233" t="str">
        <f>IFERROR(__xludf.DUMMYFUNCTION("""COMPUTED_VALUE"""),"")</f>
        <v/>
      </c>
      <c r="CE123" s="234" t="str">
        <f>IFERROR(__xludf.DUMMYFUNCTION("""COMPUTED_VALUE"""),"")</f>
        <v/>
      </c>
      <c r="CF123" s="230" t="str">
        <f>IFERROR(__xludf.DUMMYFUNCTION("""COMPUTED_VALUE"""),"")</f>
        <v/>
      </c>
      <c r="CG123" s="235" t="str">
        <f>IFERROR(__xludf.DUMMYFUNCTION("""COMPUTED_VALUE"""),"")</f>
        <v/>
      </c>
      <c r="CH123" s="234" t="str">
        <f>IFERROR(__xludf.DUMMYFUNCTION("""COMPUTED_VALUE"""),"")</f>
        <v/>
      </c>
      <c r="CI123" s="230" t="str">
        <f>IFERROR(__xludf.DUMMYFUNCTION("""COMPUTED_VALUE"""),"")</f>
        <v/>
      </c>
      <c r="CJ123" s="235" t="str">
        <f>IFERROR(__xludf.DUMMYFUNCTION("""COMPUTED_VALUE"""),"")</f>
        <v/>
      </c>
      <c r="CK123" s="95" t="str">
        <f>IFERROR(__xludf.DUMMYFUNCTION("""COMPUTED_VALUE"""),"")</f>
        <v/>
      </c>
      <c r="CL123" s="96" t="str">
        <f>IFERROR(__xludf.DUMMYFUNCTION("""COMPUTED_VALUE"""),"")</f>
        <v/>
      </c>
      <c r="CM123" s="97" t="str">
        <f>IFERROR(__xludf.DUMMYFUNCTION("""COMPUTED_VALUE"""),"")</f>
        <v/>
      </c>
      <c r="CN123" s="95" t="str">
        <f>IFERROR(__xludf.DUMMYFUNCTION("""COMPUTED_VALUE"""),"")</f>
        <v/>
      </c>
      <c r="CO123" s="96" t="str">
        <f>IFERROR(__xludf.DUMMYFUNCTION("""COMPUTED_VALUE"""),"")</f>
        <v/>
      </c>
      <c r="CP123" s="97">
        <f>IFERROR(__xludf.DUMMYFUNCTION("""COMPUTED_VALUE"""),71.1)</f>
        <v>71.1</v>
      </c>
      <c r="CQ123" s="95" t="str">
        <f>IFERROR(__xludf.DUMMYFUNCTION("""COMPUTED_VALUE"""),"")</f>
        <v/>
      </c>
      <c r="CR123" s="96" t="str">
        <f>IFERROR(__xludf.DUMMYFUNCTION("""COMPUTED_VALUE"""),"")</f>
        <v/>
      </c>
      <c r="CS123" s="97" t="str">
        <f>IFERROR(__xludf.DUMMYFUNCTION("""COMPUTED_VALUE"""),"#REF!")</f>
        <v>#REF!</v>
      </c>
      <c r="CT123" s="95" t="str">
        <f>IFERROR(__xludf.DUMMYFUNCTION("""COMPUTED_VALUE"""),"#REF!")</f>
        <v>#REF!</v>
      </c>
      <c r="CU123" s="96" t="str">
        <f>IFERROR(__xludf.DUMMYFUNCTION("""COMPUTED_VALUE"""),"#REF!")</f>
        <v>#REF!</v>
      </c>
      <c r="CV123" s="97" t="str">
        <f>IFERROR(__xludf.DUMMYFUNCTION("""COMPUTED_VALUE"""),"#REF!")</f>
        <v>#REF!</v>
      </c>
      <c r="CW123" s="95" t="str">
        <f>IFERROR(__xludf.DUMMYFUNCTION("""COMPUTED_VALUE"""),"#REF!")</f>
        <v>#REF!</v>
      </c>
      <c r="CX123" s="96" t="str">
        <f>IFERROR(__xludf.DUMMYFUNCTION("""COMPUTED_VALUE"""),"#REF!")</f>
        <v>#REF!</v>
      </c>
      <c r="CY123" s="97" t="str">
        <f>IFERROR(__xludf.DUMMYFUNCTION("""COMPUTED_VALUE"""),"#REF!")</f>
        <v>#REF!</v>
      </c>
      <c r="CZ123" s="95" t="str">
        <f>IFERROR(__xludf.DUMMYFUNCTION("""COMPUTED_VALUE"""),"#REF!")</f>
        <v>#REF!</v>
      </c>
      <c r="DA123" s="96" t="str">
        <f>IFERROR(__xludf.DUMMYFUNCTION("""COMPUTED_VALUE"""),"#REF!")</f>
        <v>#REF!</v>
      </c>
      <c r="DB123" s="97" t="str">
        <f>IFERROR(__xludf.DUMMYFUNCTION("""COMPUTED_VALUE"""),"#REF!")</f>
        <v>#REF!</v>
      </c>
      <c r="DC123" s="95" t="str">
        <f>IFERROR(__xludf.DUMMYFUNCTION("""COMPUTED_VALUE"""),"#REF!")</f>
        <v>#REF!</v>
      </c>
      <c r="DD123" s="96" t="str">
        <f>IFERROR(__xludf.DUMMYFUNCTION("""COMPUTED_VALUE"""),"#REF!")</f>
        <v>#REF!</v>
      </c>
      <c r="DE123" s="97" t="str">
        <f>IFERROR(__xludf.DUMMYFUNCTION("""COMPUTED_VALUE"""),"#REF!")</f>
        <v>#REF!</v>
      </c>
      <c r="DF123" s="95" t="str">
        <f>IFERROR(__xludf.DUMMYFUNCTION("""COMPUTED_VALUE"""),"#REF!")</f>
        <v>#REF!</v>
      </c>
      <c r="DG123" s="96" t="str">
        <f>IFERROR(__xludf.DUMMYFUNCTION("""COMPUTED_VALUE"""),"#REF!")</f>
        <v>#REF!</v>
      </c>
      <c r="DH123" s="97" t="str">
        <f>IFERROR(__xludf.DUMMYFUNCTION("""COMPUTED_VALUE"""),"#REF!")</f>
        <v>#REF!</v>
      </c>
      <c r="DI123" s="95" t="str">
        <f>IFERROR(__xludf.DUMMYFUNCTION("""COMPUTED_VALUE"""),"#REF!")</f>
        <v>#REF!</v>
      </c>
      <c r="DJ123" s="96" t="str">
        <f>IFERROR(__xludf.DUMMYFUNCTION("""COMPUTED_VALUE"""),"#REF!")</f>
        <v>#REF!</v>
      </c>
      <c r="DK123" s="97" t="str">
        <f>IFERROR(__xludf.DUMMYFUNCTION("""COMPUTED_VALUE"""),"#REF!")</f>
        <v>#REF!</v>
      </c>
      <c r="DL123" s="95" t="str">
        <f>IFERROR(__xludf.DUMMYFUNCTION("""COMPUTED_VALUE"""),"#REF!")</f>
        <v>#REF!</v>
      </c>
      <c r="DM123" s="96" t="str">
        <f>IFERROR(__xludf.DUMMYFUNCTION("""COMPUTED_VALUE"""),"#REF!")</f>
        <v>#REF!</v>
      </c>
      <c r="DN123" s="97" t="str">
        <f>IFERROR(__xludf.DUMMYFUNCTION("""COMPUTED_VALUE"""),"#REF!")</f>
        <v>#REF!</v>
      </c>
      <c r="DO123" s="95" t="str">
        <f>IFERROR(__xludf.DUMMYFUNCTION("""COMPUTED_VALUE"""),"#REF!")</f>
        <v>#REF!</v>
      </c>
      <c r="DP123" s="96" t="str">
        <f>IFERROR(__xludf.DUMMYFUNCTION("""COMPUTED_VALUE"""),"#REF!")</f>
        <v>#REF!</v>
      </c>
      <c r="DQ123" s="97"/>
      <c r="DR123" s="95"/>
    </row>
    <row r="124">
      <c r="B124" s="120" t="str">
        <f>IFERROR(__xludf.DUMMYFUNCTION("""COMPUTED_VALUE"""),"CML12")</f>
        <v>CML12</v>
      </c>
      <c r="C124" s="82">
        <f>IFERROR(__xludf.DUMMYFUNCTION("""COMPUTED_VALUE"""),113.0)</f>
        <v>113</v>
      </c>
      <c r="D124" s="88" t="str">
        <f>IFERROR(__xludf.DUMMYFUNCTION("""COMPUTED_VALUE"""),"Royal Castle")</f>
        <v>Royal Castle</v>
      </c>
      <c r="E124" s="82" t="str">
        <f>IFERROR(__xludf.DUMMYFUNCTION("""COMPUTED_VALUE"""),"王城")</f>
        <v>王城</v>
      </c>
      <c r="F124" s="102">
        <f>IFERROR(__xludf.DUMMYFUNCTION("""COMPUTED_VALUE"""),21.0)</f>
        <v>21</v>
      </c>
      <c r="G124" s="82">
        <f>IFERROR(__xludf.DUMMYFUNCTION("""COMPUTED_VALUE"""),100000.0)</f>
        <v>100000</v>
      </c>
      <c r="H124" s="231" t="str">
        <f>IFERROR(__xludf.DUMMYFUNCTION("""COMPUTED_VALUE"""),"")</f>
        <v/>
      </c>
      <c r="I124" s="232" t="str">
        <f>IFERROR(__xludf.DUMMYFUNCTION("""COMPUTED_VALUE"""),"")</f>
        <v/>
      </c>
      <c r="J124" s="233" t="str">
        <f>IFERROR(__xludf.DUMMYFUNCTION("""COMPUTED_VALUE"""),"")</f>
        <v/>
      </c>
      <c r="K124" s="231" t="str">
        <f>IFERROR(__xludf.DUMMYFUNCTION("""COMPUTED_VALUE"""),"")</f>
        <v/>
      </c>
      <c r="L124" s="232" t="str">
        <f>IFERROR(__xludf.DUMMYFUNCTION("""COMPUTED_VALUE"""),"")</f>
        <v/>
      </c>
      <c r="M124" s="233" t="str">
        <f>IFERROR(__xludf.DUMMYFUNCTION("""COMPUTED_VALUE"""),"")</f>
        <v/>
      </c>
      <c r="N124" s="231" t="str">
        <f>IFERROR(__xludf.DUMMYFUNCTION("""COMPUTED_VALUE"""),"")</f>
        <v/>
      </c>
      <c r="O124" s="232" t="str">
        <f>IFERROR(__xludf.DUMMYFUNCTION("""COMPUTED_VALUE"""),"")</f>
        <v/>
      </c>
      <c r="P124" s="233" t="str">
        <f>IFERROR(__xludf.DUMMYFUNCTION("""COMPUTED_VALUE"""),"")</f>
        <v/>
      </c>
      <c r="Q124" s="231" t="str">
        <f>IFERROR(__xludf.DUMMYFUNCTION("""COMPUTED_VALUE"""),"")</f>
        <v/>
      </c>
      <c r="R124" s="232" t="str">
        <f>IFERROR(__xludf.DUMMYFUNCTION("""COMPUTED_VALUE"""),"")</f>
        <v/>
      </c>
      <c r="S124" s="233" t="str">
        <f>IFERROR(__xludf.DUMMYFUNCTION("""COMPUTED_VALUE"""),"")</f>
        <v/>
      </c>
      <c r="T124" s="231" t="str">
        <f>IFERROR(__xludf.DUMMYFUNCTION("""COMPUTED_VALUE"""),"")</f>
        <v/>
      </c>
      <c r="U124" s="232" t="str">
        <f>IFERROR(__xludf.DUMMYFUNCTION("""COMPUTED_VALUE"""),"")</f>
        <v/>
      </c>
      <c r="V124" s="233" t="str">
        <f>IFERROR(__xludf.DUMMYFUNCTION("""COMPUTED_VALUE"""),"")</f>
        <v/>
      </c>
      <c r="W124" s="231" t="str">
        <f>IFERROR(__xludf.DUMMYFUNCTION("""COMPUTED_VALUE"""),"")</f>
        <v/>
      </c>
      <c r="X124" s="232" t="str">
        <f>IFERROR(__xludf.DUMMYFUNCTION("""COMPUTED_VALUE"""),"")</f>
        <v/>
      </c>
      <c r="Y124" s="233" t="str">
        <f>IFERROR(__xludf.DUMMYFUNCTION("""COMPUTED_VALUE"""),"")</f>
        <v/>
      </c>
      <c r="Z124" s="231" t="str">
        <f>IFERROR(__xludf.DUMMYFUNCTION("""COMPUTED_VALUE"""),"")</f>
        <v/>
      </c>
      <c r="AA124" s="232" t="str">
        <f>IFERROR(__xludf.DUMMYFUNCTION("""COMPUTED_VALUE"""),"")</f>
        <v/>
      </c>
      <c r="AB124" s="233" t="str">
        <f>IFERROR(__xludf.DUMMYFUNCTION("""COMPUTED_VALUE"""),"")</f>
        <v/>
      </c>
      <c r="AC124" s="231" t="str">
        <f>IFERROR(__xludf.DUMMYFUNCTION("""COMPUTED_VALUE"""),"")</f>
        <v/>
      </c>
      <c r="AD124" s="232" t="str">
        <f>IFERROR(__xludf.DUMMYFUNCTION("""COMPUTED_VALUE"""),"")</f>
        <v/>
      </c>
      <c r="AE124" s="233" t="str">
        <f>IFERROR(__xludf.DUMMYFUNCTION("""COMPUTED_VALUE"""),"")</f>
        <v/>
      </c>
      <c r="AF124" s="231" t="str">
        <f>IFERROR(__xludf.DUMMYFUNCTION("""COMPUTED_VALUE"""),"")</f>
        <v/>
      </c>
      <c r="AG124" s="232" t="str">
        <f>IFERROR(__xludf.DUMMYFUNCTION("""COMPUTED_VALUE"""),"")</f>
        <v/>
      </c>
      <c r="AH124" s="233" t="str">
        <f>IFERROR(__xludf.DUMMYFUNCTION("""COMPUTED_VALUE"""),"")</f>
        <v/>
      </c>
      <c r="AI124" s="231">
        <f>IFERROR(__xludf.DUMMYFUNCTION("""COMPUTED_VALUE"""),35.3)</f>
        <v>35.3</v>
      </c>
      <c r="AJ124" s="232" t="str">
        <f>IFERROR(__xludf.DUMMYFUNCTION("""COMPUTED_VALUE"""),"")</f>
        <v/>
      </c>
      <c r="AK124" s="233" t="str">
        <f>IFERROR(__xludf.DUMMYFUNCTION("""COMPUTED_VALUE"""),"")</f>
        <v/>
      </c>
      <c r="AL124" s="231" t="str">
        <f>IFERROR(__xludf.DUMMYFUNCTION("""COMPUTED_VALUE"""),"")</f>
        <v/>
      </c>
      <c r="AM124" s="232" t="str">
        <f>IFERROR(__xludf.DUMMYFUNCTION("""COMPUTED_VALUE"""),"")</f>
        <v/>
      </c>
      <c r="AN124" s="233" t="str">
        <f>IFERROR(__xludf.DUMMYFUNCTION("""COMPUTED_VALUE"""),"")</f>
        <v/>
      </c>
      <c r="AO124" s="231" t="str">
        <f>IFERROR(__xludf.DUMMYFUNCTION("""COMPUTED_VALUE"""),"")</f>
        <v/>
      </c>
      <c r="AP124" s="232" t="str">
        <f>IFERROR(__xludf.DUMMYFUNCTION("""COMPUTED_VALUE"""),"")</f>
        <v/>
      </c>
      <c r="AQ124" s="233" t="str">
        <f>IFERROR(__xludf.DUMMYFUNCTION("""COMPUTED_VALUE"""),"")</f>
        <v/>
      </c>
      <c r="AR124" s="231" t="str">
        <f>IFERROR(__xludf.DUMMYFUNCTION("""COMPUTED_VALUE"""),"")</f>
        <v/>
      </c>
      <c r="AS124" s="232" t="str">
        <f>IFERROR(__xludf.DUMMYFUNCTION("""COMPUTED_VALUE"""),"")</f>
        <v/>
      </c>
      <c r="AT124" s="233" t="str">
        <f>IFERROR(__xludf.DUMMYFUNCTION("""COMPUTED_VALUE"""),"")</f>
        <v/>
      </c>
      <c r="AU124" s="231" t="str">
        <f>IFERROR(__xludf.DUMMYFUNCTION("""COMPUTED_VALUE"""),"")</f>
        <v/>
      </c>
      <c r="AV124" s="232" t="str">
        <f>IFERROR(__xludf.DUMMYFUNCTION("""COMPUTED_VALUE"""),"")</f>
        <v/>
      </c>
      <c r="AW124" s="233">
        <f>IFERROR(__xludf.DUMMYFUNCTION("""COMPUTED_VALUE"""),16.0)</f>
        <v>16</v>
      </c>
      <c r="AX124" s="231" t="str">
        <f>IFERROR(__xludf.DUMMYFUNCTION("""COMPUTED_VALUE"""),"")</f>
        <v/>
      </c>
      <c r="AY124" s="232" t="str">
        <f>IFERROR(__xludf.DUMMYFUNCTION("""COMPUTED_VALUE"""),"")</f>
        <v/>
      </c>
      <c r="AZ124" s="233" t="str">
        <f>IFERROR(__xludf.DUMMYFUNCTION("""COMPUTED_VALUE"""),"")</f>
        <v/>
      </c>
      <c r="BA124" s="231" t="str">
        <f>IFERROR(__xludf.DUMMYFUNCTION("""COMPUTED_VALUE"""),"")</f>
        <v/>
      </c>
      <c r="BB124" s="232" t="str">
        <f>IFERROR(__xludf.DUMMYFUNCTION("""COMPUTED_VALUE"""),"")</f>
        <v/>
      </c>
      <c r="BC124" s="233" t="str">
        <f>IFERROR(__xludf.DUMMYFUNCTION("""COMPUTED_VALUE"""),"")</f>
        <v/>
      </c>
      <c r="BD124" s="231" t="str">
        <f>IFERROR(__xludf.DUMMYFUNCTION("""COMPUTED_VALUE"""),"")</f>
        <v/>
      </c>
      <c r="BE124" s="232" t="str">
        <f>IFERROR(__xludf.DUMMYFUNCTION("""COMPUTED_VALUE"""),"")</f>
        <v/>
      </c>
      <c r="BF124" s="233" t="str">
        <f>IFERROR(__xludf.DUMMYFUNCTION("""COMPUTED_VALUE"""),"")</f>
        <v/>
      </c>
      <c r="BG124" s="231" t="str">
        <f>IFERROR(__xludf.DUMMYFUNCTION("""COMPUTED_VALUE"""),"")</f>
        <v/>
      </c>
      <c r="BH124" s="232" t="str">
        <f>IFERROR(__xludf.DUMMYFUNCTION("""COMPUTED_VALUE"""),"")</f>
        <v/>
      </c>
      <c r="BI124" s="233" t="str">
        <f>IFERROR(__xludf.DUMMYFUNCTION("""COMPUTED_VALUE"""),"")</f>
        <v/>
      </c>
      <c r="BJ124" s="231">
        <f>IFERROR(__xludf.DUMMYFUNCTION("""COMPUTED_VALUE"""),24.4)</f>
        <v>24.4</v>
      </c>
      <c r="BK124" s="232" t="str">
        <f>IFERROR(__xludf.DUMMYFUNCTION("""COMPUTED_VALUE"""),"")</f>
        <v/>
      </c>
      <c r="BL124" s="233" t="str">
        <f>IFERROR(__xludf.DUMMYFUNCTION("""COMPUTED_VALUE"""),"")</f>
        <v/>
      </c>
      <c r="BM124" s="231" t="str">
        <f>IFERROR(__xludf.DUMMYFUNCTION("""COMPUTED_VALUE"""),"")</f>
        <v/>
      </c>
      <c r="BN124" s="232" t="str">
        <f>IFERROR(__xludf.DUMMYFUNCTION("""COMPUTED_VALUE"""),"")</f>
        <v/>
      </c>
      <c r="BO124" s="233" t="str">
        <f>IFERROR(__xludf.DUMMYFUNCTION("""COMPUTED_VALUE"""),"")</f>
        <v/>
      </c>
      <c r="BP124" s="231" t="str">
        <f>IFERROR(__xludf.DUMMYFUNCTION("""COMPUTED_VALUE"""),"")</f>
        <v/>
      </c>
      <c r="BQ124" s="232" t="str">
        <f>IFERROR(__xludf.DUMMYFUNCTION("""COMPUTED_VALUE"""),"")</f>
        <v/>
      </c>
      <c r="BR124" s="233" t="str">
        <f>IFERROR(__xludf.DUMMYFUNCTION("""COMPUTED_VALUE"""),"")</f>
        <v/>
      </c>
      <c r="BS124" s="231" t="str">
        <f>IFERROR(__xludf.DUMMYFUNCTION("""COMPUTED_VALUE"""),"")</f>
        <v/>
      </c>
      <c r="BT124" s="232" t="str">
        <f>IFERROR(__xludf.DUMMYFUNCTION("""COMPUTED_VALUE"""),"")</f>
        <v/>
      </c>
      <c r="BU124" s="233" t="str">
        <f>IFERROR(__xludf.DUMMYFUNCTION("""COMPUTED_VALUE"""),"")</f>
        <v/>
      </c>
      <c r="BV124" s="231" t="str">
        <f>IFERROR(__xludf.DUMMYFUNCTION("""COMPUTED_VALUE"""),"")</f>
        <v/>
      </c>
      <c r="BW124" s="232" t="str">
        <f>IFERROR(__xludf.DUMMYFUNCTION("""COMPUTED_VALUE"""),"")</f>
        <v/>
      </c>
      <c r="BX124" s="233">
        <f>IFERROR(__xludf.DUMMYFUNCTION("""COMPUTED_VALUE"""),4.1)</f>
        <v>4.1</v>
      </c>
      <c r="BY124" s="231" t="str">
        <f>IFERROR(__xludf.DUMMYFUNCTION("""COMPUTED_VALUE"""),"")</f>
        <v/>
      </c>
      <c r="BZ124" s="232" t="str">
        <f>IFERROR(__xludf.DUMMYFUNCTION("""COMPUTED_VALUE"""),"")</f>
        <v/>
      </c>
      <c r="CA124" s="233" t="str">
        <f>IFERROR(__xludf.DUMMYFUNCTION("""COMPUTED_VALUE"""),"")</f>
        <v/>
      </c>
      <c r="CB124" s="231" t="str">
        <f>IFERROR(__xludf.DUMMYFUNCTION("""COMPUTED_VALUE"""),"")</f>
        <v/>
      </c>
      <c r="CC124" s="232" t="str">
        <f>IFERROR(__xludf.DUMMYFUNCTION("""COMPUTED_VALUE"""),"")</f>
        <v/>
      </c>
      <c r="CD124" s="233" t="str">
        <f>IFERROR(__xludf.DUMMYFUNCTION("""COMPUTED_VALUE"""),"")</f>
        <v/>
      </c>
      <c r="CE124" s="234">
        <f>IFERROR(__xludf.DUMMYFUNCTION("""COMPUTED_VALUE"""),10.0)</f>
        <v>10</v>
      </c>
      <c r="CF124" s="230" t="str">
        <f>IFERROR(__xludf.DUMMYFUNCTION("""COMPUTED_VALUE"""),"")</f>
        <v/>
      </c>
      <c r="CG124" s="235" t="str">
        <f>IFERROR(__xludf.DUMMYFUNCTION("""COMPUTED_VALUE"""),"")</f>
        <v/>
      </c>
      <c r="CH124" s="234" t="str">
        <f>IFERROR(__xludf.DUMMYFUNCTION("""COMPUTED_VALUE"""),"")</f>
        <v/>
      </c>
      <c r="CI124" s="230" t="str">
        <f>IFERROR(__xludf.DUMMYFUNCTION("""COMPUTED_VALUE"""),"")</f>
        <v/>
      </c>
      <c r="CJ124" s="235" t="str">
        <f>IFERROR(__xludf.DUMMYFUNCTION("""COMPUTED_VALUE"""),"")</f>
        <v/>
      </c>
      <c r="CK124" s="95" t="str">
        <f>IFERROR(__xludf.DUMMYFUNCTION("""COMPUTED_VALUE"""),"")</f>
        <v/>
      </c>
      <c r="CL124" s="96">
        <f>IFERROR(__xludf.DUMMYFUNCTION("""COMPUTED_VALUE"""),22.2)</f>
        <v>22.2</v>
      </c>
      <c r="CM124" s="97" t="str">
        <f>IFERROR(__xludf.DUMMYFUNCTION("""COMPUTED_VALUE"""),"")</f>
        <v/>
      </c>
      <c r="CN124" s="95" t="str">
        <f>IFERROR(__xludf.DUMMYFUNCTION("""COMPUTED_VALUE"""),"")</f>
        <v/>
      </c>
      <c r="CO124" s="96" t="str">
        <f>IFERROR(__xludf.DUMMYFUNCTION("""COMPUTED_VALUE"""),"")</f>
        <v/>
      </c>
      <c r="CP124" s="97" t="str">
        <f>IFERROR(__xludf.DUMMYFUNCTION("""COMPUTED_VALUE"""),"")</f>
        <v/>
      </c>
      <c r="CQ124" s="95" t="str">
        <f>IFERROR(__xludf.DUMMYFUNCTION("""COMPUTED_VALUE"""),"")</f>
        <v/>
      </c>
      <c r="CR124" s="96" t="str">
        <f>IFERROR(__xludf.DUMMYFUNCTION("""COMPUTED_VALUE"""),"")</f>
        <v/>
      </c>
      <c r="CS124" s="97" t="str">
        <f>IFERROR(__xludf.DUMMYFUNCTION("""COMPUTED_VALUE"""),"#REF!")</f>
        <v>#REF!</v>
      </c>
      <c r="CT124" s="95" t="str">
        <f>IFERROR(__xludf.DUMMYFUNCTION("""COMPUTED_VALUE"""),"#REF!")</f>
        <v>#REF!</v>
      </c>
      <c r="CU124" s="96" t="str">
        <f>IFERROR(__xludf.DUMMYFUNCTION("""COMPUTED_VALUE"""),"#REF!")</f>
        <v>#REF!</v>
      </c>
      <c r="CV124" s="97" t="str">
        <f>IFERROR(__xludf.DUMMYFUNCTION("""COMPUTED_VALUE"""),"#REF!")</f>
        <v>#REF!</v>
      </c>
      <c r="CW124" s="95" t="str">
        <f>IFERROR(__xludf.DUMMYFUNCTION("""COMPUTED_VALUE"""),"#REF!")</f>
        <v>#REF!</v>
      </c>
      <c r="CX124" s="96" t="str">
        <f>IFERROR(__xludf.DUMMYFUNCTION("""COMPUTED_VALUE"""),"#REF!")</f>
        <v>#REF!</v>
      </c>
      <c r="CY124" s="97" t="str">
        <f>IFERROR(__xludf.DUMMYFUNCTION("""COMPUTED_VALUE"""),"#REF!")</f>
        <v>#REF!</v>
      </c>
      <c r="CZ124" s="95" t="str">
        <f>IFERROR(__xludf.DUMMYFUNCTION("""COMPUTED_VALUE"""),"#REF!")</f>
        <v>#REF!</v>
      </c>
      <c r="DA124" s="96" t="str">
        <f>IFERROR(__xludf.DUMMYFUNCTION("""COMPUTED_VALUE"""),"#REF!")</f>
        <v>#REF!</v>
      </c>
      <c r="DB124" s="97" t="str">
        <f>IFERROR(__xludf.DUMMYFUNCTION("""COMPUTED_VALUE"""),"#REF!")</f>
        <v>#REF!</v>
      </c>
      <c r="DC124" s="95" t="str">
        <f>IFERROR(__xludf.DUMMYFUNCTION("""COMPUTED_VALUE"""),"#REF!")</f>
        <v>#REF!</v>
      </c>
      <c r="DD124" s="96" t="str">
        <f>IFERROR(__xludf.DUMMYFUNCTION("""COMPUTED_VALUE"""),"#REF!")</f>
        <v>#REF!</v>
      </c>
      <c r="DE124" s="97" t="str">
        <f>IFERROR(__xludf.DUMMYFUNCTION("""COMPUTED_VALUE"""),"#REF!")</f>
        <v>#REF!</v>
      </c>
      <c r="DF124" s="95" t="str">
        <f>IFERROR(__xludf.DUMMYFUNCTION("""COMPUTED_VALUE"""),"#REF!")</f>
        <v>#REF!</v>
      </c>
      <c r="DG124" s="96" t="str">
        <f>IFERROR(__xludf.DUMMYFUNCTION("""COMPUTED_VALUE"""),"#REF!")</f>
        <v>#REF!</v>
      </c>
      <c r="DH124" s="97" t="str">
        <f>IFERROR(__xludf.DUMMYFUNCTION("""COMPUTED_VALUE"""),"#REF!")</f>
        <v>#REF!</v>
      </c>
      <c r="DI124" s="95" t="str">
        <f>IFERROR(__xludf.DUMMYFUNCTION("""COMPUTED_VALUE"""),"#REF!")</f>
        <v>#REF!</v>
      </c>
      <c r="DJ124" s="96" t="str">
        <f>IFERROR(__xludf.DUMMYFUNCTION("""COMPUTED_VALUE"""),"#REF!")</f>
        <v>#REF!</v>
      </c>
      <c r="DK124" s="97" t="str">
        <f>IFERROR(__xludf.DUMMYFUNCTION("""COMPUTED_VALUE"""),"#REF!")</f>
        <v>#REF!</v>
      </c>
      <c r="DL124" s="95" t="str">
        <f>IFERROR(__xludf.DUMMYFUNCTION("""COMPUTED_VALUE"""),"#REF!")</f>
        <v>#REF!</v>
      </c>
      <c r="DM124" s="96" t="str">
        <f>IFERROR(__xludf.DUMMYFUNCTION("""COMPUTED_VALUE"""),"#REF!")</f>
        <v>#REF!</v>
      </c>
      <c r="DN124" s="97" t="str">
        <f>IFERROR(__xludf.DUMMYFUNCTION("""COMPUTED_VALUE"""),"#REF!")</f>
        <v>#REF!</v>
      </c>
      <c r="DO124" s="95" t="str">
        <f>IFERROR(__xludf.DUMMYFUNCTION("""COMPUTED_VALUE"""),"#REF!")</f>
        <v>#REF!</v>
      </c>
      <c r="DP124" s="96" t="str">
        <f>IFERROR(__xludf.DUMMYFUNCTION("""COMPUTED_VALUE"""),"#REF!")</f>
        <v>#REF!</v>
      </c>
      <c r="DQ124" s="97"/>
      <c r="DR124" s="95"/>
    </row>
    <row r="125">
      <c r="B125" s="120" t="str">
        <f>IFERROR(__xludf.DUMMYFUNCTION("""COMPUTED_VALUE"""),"CML13")</f>
        <v>CML13</v>
      </c>
      <c r="C125" s="82">
        <f>IFERROR(__xludf.DUMMYFUNCTION("""COMPUTED_VALUE"""),114.0)</f>
        <v>114</v>
      </c>
      <c r="D125" s="88" t="str">
        <f>IFERROR(__xludf.DUMMYFUNCTION("""COMPUTED_VALUE"""),"Land of the Void")</f>
        <v>Land of the Void</v>
      </c>
      <c r="E125" s="82" t="str">
        <f>IFERROR(__xludf.DUMMYFUNCTION("""COMPUTED_VALUE"""),"無の大地")</f>
        <v>無の大地</v>
      </c>
      <c r="F125" s="102">
        <f>IFERROR(__xludf.DUMMYFUNCTION("""COMPUTED_VALUE"""),22.0)</f>
        <v>22</v>
      </c>
      <c r="G125" s="82">
        <f>IFERROR(__xludf.DUMMYFUNCTION("""COMPUTED_VALUE"""),4857.0)</f>
        <v>4857</v>
      </c>
      <c r="H125" s="231" t="str">
        <f>IFERROR(__xludf.DUMMYFUNCTION("""COMPUTED_VALUE"""),"")</f>
        <v/>
      </c>
      <c r="I125" s="232" t="str">
        <f>IFERROR(__xludf.DUMMYFUNCTION("""COMPUTED_VALUE"""),"")</f>
        <v/>
      </c>
      <c r="J125" s="233" t="str">
        <f>IFERROR(__xludf.DUMMYFUNCTION("""COMPUTED_VALUE"""),"")</f>
        <v/>
      </c>
      <c r="K125" s="231" t="str">
        <f>IFERROR(__xludf.DUMMYFUNCTION("""COMPUTED_VALUE"""),"")</f>
        <v/>
      </c>
      <c r="L125" s="232" t="str">
        <f>IFERROR(__xludf.DUMMYFUNCTION("""COMPUTED_VALUE"""),"")</f>
        <v/>
      </c>
      <c r="M125" s="233" t="str">
        <f>IFERROR(__xludf.DUMMYFUNCTION("""COMPUTED_VALUE"""),"")</f>
        <v/>
      </c>
      <c r="N125" s="231" t="str">
        <f>IFERROR(__xludf.DUMMYFUNCTION("""COMPUTED_VALUE"""),"")</f>
        <v/>
      </c>
      <c r="O125" s="232" t="str">
        <f>IFERROR(__xludf.DUMMYFUNCTION("""COMPUTED_VALUE"""),"")</f>
        <v/>
      </c>
      <c r="P125" s="233" t="str">
        <f>IFERROR(__xludf.DUMMYFUNCTION("""COMPUTED_VALUE"""),"")</f>
        <v/>
      </c>
      <c r="Q125" s="231" t="str">
        <f>IFERROR(__xludf.DUMMYFUNCTION("""COMPUTED_VALUE"""),"")</f>
        <v/>
      </c>
      <c r="R125" s="232" t="str">
        <f>IFERROR(__xludf.DUMMYFUNCTION("""COMPUTED_VALUE"""),"")</f>
        <v/>
      </c>
      <c r="S125" s="233" t="str">
        <f>IFERROR(__xludf.DUMMYFUNCTION("""COMPUTED_VALUE"""),"")</f>
        <v/>
      </c>
      <c r="T125" s="231" t="str">
        <f>IFERROR(__xludf.DUMMYFUNCTION("""COMPUTED_VALUE"""),"")</f>
        <v/>
      </c>
      <c r="U125" s="232" t="str">
        <f>IFERROR(__xludf.DUMMYFUNCTION("""COMPUTED_VALUE"""),"")</f>
        <v/>
      </c>
      <c r="V125" s="233" t="str">
        <f>IFERROR(__xludf.DUMMYFUNCTION("""COMPUTED_VALUE"""),"")</f>
        <v/>
      </c>
      <c r="W125" s="231" t="str">
        <f>IFERROR(__xludf.DUMMYFUNCTION("""COMPUTED_VALUE"""),"")</f>
        <v/>
      </c>
      <c r="X125" s="232" t="str">
        <f>IFERROR(__xludf.DUMMYFUNCTION("""COMPUTED_VALUE"""),"")</f>
        <v/>
      </c>
      <c r="Y125" s="233" t="str">
        <f>IFERROR(__xludf.DUMMYFUNCTION("""COMPUTED_VALUE"""),"")</f>
        <v/>
      </c>
      <c r="Z125" s="231" t="str">
        <f>IFERROR(__xludf.DUMMYFUNCTION("""COMPUTED_VALUE"""),"")</f>
        <v/>
      </c>
      <c r="AA125" s="232" t="str">
        <f>IFERROR(__xludf.DUMMYFUNCTION("""COMPUTED_VALUE"""),"")</f>
        <v/>
      </c>
      <c r="AB125" s="233" t="str">
        <f>IFERROR(__xludf.DUMMYFUNCTION("""COMPUTED_VALUE"""),"")</f>
        <v/>
      </c>
      <c r="AC125" s="231" t="str">
        <f>IFERROR(__xludf.DUMMYFUNCTION("""COMPUTED_VALUE"""),"")</f>
        <v/>
      </c>
      <c r="AD125" s="232" t="str">
        <f>IFERROR(__xludf.DUMMYFUNCTION("""COMPUTED_VALUE"""),"")</f>
        <v/>
      </c>
      <c r="AE125" s="233" t="str">
        <f>IFERROR(__xludf.DUMMYFUNCTION("""COMPUTED_VALUE"""),"")</f>
        <v/>
      </c>
      <c r="AF125" s="231" t="str">
        <f>IFERROR(__xludf.DUMMYFUNCTION("""COMPUTED_VALUE"""),"")</f>
        <v/>
      </c>
      <c r="AG125" s="232" t="str">
        <f>IFERROR(__xludf.DUMMYFUNCTION("""COMPUTED_VALUE"""),"")</f>
        <v/>
      </c>
      <c r="AH125" s="233">
        <f>IFERROR(__xludf.DUMMYFUNCTION("""COMPUTED_VALUE"""),44.7)</f>
        <v>44.7</v>
      </c>
      <c r="AI125" s="231" t="str">
        <f>IFERROR(__xludf.DUMMYFUNCTION("""COMPUTED_VALUE"""),"")</f>
        <v/>
      </c>
      <c r="AJ125" s="232" t="str">
        <f>IFERROR(__xludf.DUMMYFUNCTION("""COMPUTED_VALUE"""),"")</f>
        <v/>
      </c>
      <c r="AK125" s="233" t="str">
        <f>IFERROR(__xludf.DUMMYFUNCTION("""COMPUTED_VALUE"""),"")</f>
        <v/>
      </c>
      <c r="AL125" s="231" t="str">
        <f>IFERROR(__xludf.DUMMYFUNCTION("""COMPUTED_VALUE"""),"")</f>
        <v/>
      </c>
      <c r="AM125" s="232" t="str">
        <f>IFERROR(__xludf.DUMMYFUNCTION("""COMPUTED_VALUE"""),"")</f>
        <v/>
      </c>
      <c r="AN125" s="233" t="str">
        <f>IFERROR(__xludf.DUMMYFUNCTION("""COMPUTED_VALUE"""),"")</f>
        <v/>
      </c>
      <c r="AO125" s="231" t="str">
        <f>IFERROR(__xludf.DUMMYFUNCTION("""COMPUTED_VALUE"""),"")</f>
        <v/>
      </c>
      <c r="AP125" s="232" t="str">
        <f>IFERROR(__xludf.DUMMYFUNCTION("""COMPUTED_VALUE"""),"")</f>
        <v/>
      </c>
      <c r="AQ125" s="233" t="str">
        <f>IFERROR(__xludf.DUMMYFUNCTION("""COMPUTED_VALUE"""),"")</f>
        <v/>
      </c>
      <c r="AR125" s="231" t="str">
        <f>IFERROR(__xludf.DUMMYFUNCTION("""COMPUTED_VALUE"""),"")</f>
        <v/>
      </c>
      <c r="AS125" s="232" t="str">
        <f>IFERROR(__xludf.DUMMYFUNCTION("""COMPUTED_VALUE"""),"")</f>
        <v/>
      </c>
      <c r="AT125" s="233" t="str">
        <f>IFERROR(__xludf.DUMMYFUNCTION("""COMPUTED_VALUE"""),"")</f>
        <v/>
      </c>
      <c r="AU125" s="231" t="str">
        <f>IFERROR(__xludf.DUMMYFUNCTION("""COMPUTED_VALUE"""),"")</f>
        <v/>
      </c>
      <c r="AV125" s="232" t="str">
        <f>IFERROR(__xludf.DUMMYFUNCTION("""COMPUTED_VALUE"""),"")</f>
        <v/>
      </c>
      <c r="AW125" s="233" t="str">
        <f>IFERROR(__xludf.DUMMYFUNCTION("""COMPUTED_VALUE"""),"")</f>
        <v/>
      </c>
      <c r="AX125" s="231" t="str">
        <f>IFERROR(__xludf.DUMMYFUNCTION("""COMPUTED_VALUE"""),"")</f>
        <v/>
      </c>
      <c r="AY125" s="232" t="str">
        <f>IFERROR(__xludf.DUMMYFUNCTION("""COMPUTED_VALUE"""),"")</f>
        <v/>
      </c>
      <c r="AZ125" s="233" t="str">
        <f>IFERROR(__xludf.DUMMYFUNCTION("""COMPUTED_VALUE"""),"")</f>
        <v/>
      </c>
      <c r="BA125" s="231" t="str">
        <f>IFERROR(__xludf.DUMMYFUNCTION("""COMPUTED_VALUE"""),"")</f>
        <v/>
      </c>
      <c r="BB125" s="232" t="str">
        <f>IFERROR(__xludf.DUMMYFUNCTION("""COMPUTED_VALUE"""),"")</f>
        <v/>
      </c>
      <c r="BC125" s="233" t="str">
        <f>IFERROR(__xludf.DUMMYFUNCTION("""COMPUTED_VALUE"""),"")</f>
        <v/>
      </c>
      <c r="BD125" s="231">
        <f>IFERROR(__xludf.DUMMYFUNCTION("""COMPUTED_VALUE"""),3.3)</f>
        <v>3.3</v>
      </c>
      <c r="BE125" s="232" t="str">
        <f>IFERROR(__xludf.DUMMYFUNCTION("""COMPUTED_VALUE"""),"")</f>
        <v/>
      </c>
      <c r="BF125" s="233">
        <f>IFERROR(__xludf.DUMMYFUNCTION("""COMPUTED_VALUE"""),6.3)</f>
        <v>6.3</v>
      </c>
      <c r="BG125" s="231" t="str">
        <f>IFERROR(__xludf.DUMMYFUNCTION("""COMPUTED_VALUE"""),"")</f>
        <v/>
      </c>
      <c r="BH125" s="232" t="str">
        <f>IFERROR(__xludf.DUMMYFUNCTION("""COMPUTED_VALUE"""),"")</f>
        <v/>
      </c>
      <c r="BI125" s="233" t="str">
        <f>IFERROR(__xludf.DUMMYFUNCTION("""COMPUTED_VALUE"""),"")</f>
        <v/>
      </c>
      <c r="BJ125" s="231" t="str">
        <f>IFERROR(__xludf.DUMMYFUNCTION("""COMPUTED_VALUE"""),"")</f>
        <v/>
      </c>
      <c r="BK125" s="232" t="str">
        <f>IFERROR(__xludf.DUMMYFUNCTION("""COMPUTED_VALUE"""),"")</f>
        <v/>
      </c>
      <c r="BL125" s="233" t="str">
        <f>IFERROR(__xludf.DUMMYFUNCTION("""COMPUTED_VALUE"""),"")</f>
        <v/>
      </c>
      <c r="BM125" s="231">
        <f>IFERROR(__xludf.DUMMYFUNCTION("""COMPUTED_VALUE"""),4.4)</f>
        <v>4.4</v>
      </c>
      <c r="BN125" s="232" t="str">
        <f>IFERROR(__xludf.DUMMYFUNCTION("""COMPUTED_VALUE"""),"")</f>
        <v/>
      </c>
      <c r="BO125" s="233">
        <f>IFERROR(__xludf.DUMMYFUNCTION("""COMPUTED_VALUE"""),5.6)</f>
        <v>5.6</v>
      </c>
      <c r="BP125" s="231" t="str">
        <f>IFERROR(__xludf.DUMMYFUNCTION("""COMPUTED_VALUE"""),"")</f>
        <v/>
      </c>
      <c r="BQ125" s="232" t="str">
        <f>IFERROR(__xludf.DUMMYFUNCTION("""COMPUTED_VALUE"""),"")</f>
        <v/>
      </c>
      <c r="BR125" s="233">
        <f>IFERROR(__xludf.DUMMYFUNCTION("""COMPUTED_VALUE"""),8.6)</f>
        <v>8.6</v>
      </c>
      <c r="BS125" s="231" t="str">
        <f>IFERROR(__xludf.DUMMYFUNCTION("""COMPUTED_VALUE"""),"")</f>
        <v/>
      </c>
      <c r="BT125" s="232">
        <f>IFERROR(__xludf.DUMMYFUNCTION("""COMPUTED_VALUE"""),15.3)</f>
        <v>15.3</v>
      </c>
      <c r="BU125" s="233" t="str">
        <f>IFERROR(__xludf.DUMMYFUNCTION("""COMPUTED_VALUE"""),"")</f>
        <v/>
      </c>
      <c r="BV125" s="231" t="str">
        <f>IFERROR(__xludf.DUMMYFUNCTION("""COMPUTED_VALUE"""),"")</f>
        <v/>
      </c>
      <c r="BW125" s="232" t="str">
        <f>IFERROR(__xludf.DUMMYFUNCTION("""COMPUTED_VALUE"""),"")</f>
        <v/>
      </c>
      <c r="BX125" s="233" t="str">
        <f>IFERROR(__xludf.DUMMYFUNCTION("""COMPUTED_VALUE"""),"")</f>
        <v/>
      </c>
      <c r="BY125" s="231" t="str">
        <f>IFERROR(__xludf.DUMMYFUNCTION("""COMPUTED_VALUE"""),"")</f>
        <v/>
      </c>
      <c r="BZ125" s="232" t="str">
        <f>IFERROR(__xludf.DUMMYFUNCTION("""COMPUTED_VALUE"""),"")</f>
        <v/>
      </c>
      <c r="CA125" s="233" t="str">
        <f>IFERROR(__xludf.DUMMYFUNCTION("""COMPUTED_VALUE"""),"")</f>
        <v/>
      </c>
      <c r="CB125" s="231" t="str">
        <f>IFERROR(__xludf.DUMMYFUNCTION("""COMPUTED_VALUE"""),"")</f>
        <v/>
      </c>
      <c r="CC125" s="232" t="str">
        <f>IFERROR(__xludf.DUMMYFUNCTION("""COMPUTED_VALUE"""),"")</f>
        <v/>
      </c>
      <c r="CD125" s="233" t="str">
        <f>IFERROR(__xludf.DUMMYFUNCTION("""COMPUTED_VALUE"""),"")</f>
        <v/>
      </c>
      <c r="CE125" s="234" t="str">
        <f>IFERROR(__xludf.DUMMYFUNCTION("""COMPUTED_VALUE"""),"")</f>
        <v/>
      </c>
      <c r="CF125" s="230" t="str">
        <f>IFERROR(__xludf.DUMMYFUNCTION("""COMPUTED_VALUE"""),"")</f>
        <v/>
      </c>
      <c r="CG125" s="235" t="str">
        <f>IFERROR(__xludf.DUMMYFUNCTION("""COMPUTED_VALUE"""),"")</f>
        <v/>
      </c>
      <c r="CH125" s="234" t="str">
        <f>IFERROR(__xludf.DUMMYFUNCTION("""COMPUTED_VALUE"""),"")</f>
        <v/>
      </c>
      <c r="CI125" s="230" t="str">
        <f>IFERROR(__xludf.DUMMYFUNCTION("""COMPUTED_VALUE"""),"")</f>
        <v/>
      </c>
      <c r="CJ125" s="235" t="str">
        <f>IFERROR(__xludf.DUMMYFUNCTION("""COMPUTED_VALUE"""),"")</f>
        <v/>
      </c>
      <c r="CK125" s="95" t="str">
        <f>IFERROR(__xludf.DUMMYFUNCTION("""COMPUTED_VALUE"""),"")</f>
        <v/>
      </c>
      <c r="CL125" s="96" t="str">
        <f>IFERROR(__xludf.DUMMYFUNCTION("""COMPUTED_VALUE"""),"")</f>
        <v/>
      </c>
      <c r="CM125" s="97" t="str">
        <f>IFERROR(__xludf.DUMMYFUNCTION("""COMPUTED_VALUE"""),"")</f>
        <v/>
      </c>
      <c r="CN125" s="95" t="str">
        <f>IFERROR(__xludf.DUMMYFUNCTION("""COMPUTED_VALUE"""),"")</f>
        <v/>
      </c>
      <c r="CO125" s="96" t="str">
        <f>IFERROR(__xludf.DUMMYFUNCTION("""COMPUTED_VALUE"""),"")</f>
        <v/>
      </c>
      <c r="CP125" s="97" t="str">
        <f>IFERROR(__xludf.DUMMYFUNCTION("""COMPUTED_VALUE"""),"")</f>
        <v/>
      </c>
      <c r="CQ125" s="95" t="str">
        <f>IFERROR(__xludf.DUMMYFUNCTION("""COMPUTED_VALUE"""),"")</f>
        <v/>
      </c>
      <c r="CR125" s="96" t="str">
        <f>IFERROR(__xludf.DUMMYFUNCTION("""COMPUTED_VALUE"""),"")</f>
        <v/>
      </c>
      <c r="CS125" s="97" t="str">
        <f>IFERROR(__xludf.DUMMYFUNCTION("""COMPUTED_VALUE"""),"#REF!")</f>
        <v>#REF!</v>
      </c>
      <c r="CT125" s="95" t="str">
        <f>IFERROR(__xludf.DUMMYFUNCTION("""COMPUTED_VALUE"""),"#REF!")</f>
        <v>#REF!</v>
      </c>
      <c r="CU125" s="96" t="str">
        <f>IFERROR(__xludf.DUMMYFUNCTION("""COMPUTED_VALUE"""),"#REF!")</f>
        <v>#REF!</v>
      </c>
      <c r="CV125" s="97" t="str">
        <f>IFERROR(__xludf.DUMMYFUNCTION("""COMPUTED_VALUE"""),"#REF!")</f>
        <v>#REF!</v>
      </c>
      <c r="CW125" s="95" t="str">
        <f>IFERROR(__xludf.DUMMYFUNCTION("""COMPUTED_VALUE"""),"#REF!")</f>
        <v>#REF!</v>
      </c>
      <c r="CX125" s="96" t="str">
        <f>IFERROR(__xludf.DUMMYFUNCTION("""COMPUTED_VALUE"""),"#REF!")</f>
        <v>#REF!</v>
      </c>
      <c r="CY125" s="97" t="str">
        <f>IFERROR(__xludf.DUMMYFUNCTION("""COMPUTED_VALUE"""),"#REF!")</f>
        <v>#REF!</v>
      </c>
      <c r="CZ125" s="95" t="str">
        <f>IFERROR(__xludf.DUMMYFUNCTION("""COMPUTED_VALUE"""),"#REF!")</f>
        <v>#REF!</v>
      </c>
      <c r="DA125" s="96" t="str">
        <f>IFERROR(__xludf.DUMMYFUNCTION("""COMPUTED_VALUE"""),"#REF!")</f>
        <v>#REF!</v>
      </c>
      <c r="DB125" s="97" t="str">
        <f>IFERROR(__xludf.DUMMYFUNCTION("""COMPUTED_VALUE"""),"#REF!")</f>
        <v>#REF!</v>
      </c>
      <c r="DC125" s="95" t="str">
        <f>IFERROR(__xludf.DUMMYFUNCTION("""COMPUTED_VALUE"""),"#REF!")</f>
        <v>#REF!</v>
      </c>
      <c r="DD125" s="96" t="str">
        <f>IFERROR(__xludf.DUMMYFUNCTION("""COMPUTED_VALUE"""),"#REF!")</f>
        <v>#REF!</v>
      </c>
      <c r="DE125" s="97" t="str">
        <f>IFERROR(__xludf.DUMMYFUNCTION("""COMPUTED_VALUE"""),"#REF!")</f>
        <v>#REF!</v>
      </c>
      <c r="DF125" s="95" t="str">
        <f>IFERROR(__xludf.DUMMYFUNCTION("""COMPUTED_VALUE"""),"#REF!")</f>
        <v>#REF!</v>
      </c>
      <c r="DG125" s="96" t="str">
        <f>IFERROR(__xludf.DUMMYFUNCTION("""COMPUTED_VALUE"""),"#REF!")</f>
        <v>#REF!</v>
      </c>
      <c r="DH125" s="97" t="str">
        <f>IFERROR(__xludf.DUMMYFUNCTION("""COMPUTED_VALUE"""),"#REF!")</f>
        <v>#REF!</v>
      </c>
      <c r="DI125" s="95" t="str">
        <f>IFERROR(__xludf.DUMMYFUNCTION("""COMPUTED_VALUE"""),"#REF!")</f>
        <v>#REF!</v>
      </c>
      <c r="DJ125" s="96" t="str">
        <f>IFERROR(__xludf.DUMMYFUNCTION("""COMPUTED_VALUE"""),"#REF!")</f>
        <v>#REF!</v>
      </c>
      <c r="DK125" s="97" t="str">
        <f>IFERROR(__xludf.DUMMYFUNCTION("""COMPUTED_VALUE"""),"#REF!")</f>
        <v>#REF!</v>
      </c>
      <c r="DL125" s="95" t="str">
        <f>IFERROR(__xludf.DUMMYFUNCTION("""COMPUTED_VALUE"""),"#REF!")</f>
        <v>#REF!</v>
      </c>
      <c r="DM125" s="96" t="str">
        <f>IFERROR(__xludf.DUMMYFUNCTION("""COMPUTED_VALUE"""),"#REF!")</f>
        <v>#REF!</v>
      </c>
      <c r="DN125" s="97" t="str">
        <f>IFERROR(__xludf.DUMMYFUNCTION("""COMPUTED_VALUE"""),"#REF!")</f>
        <v>#REF!</v>
      </c>
      <c r="DO125" s="95" t="str">
        <f>IFERROR(__xludf.DUMMYFUNCTION("""COMPUTED_VALUE"""),"#REF!")</f>
        <v>#REF!</v>
      </c>
      <c r="DP125" s="96" t="str">
        <f>IFERROR(__xludf.DUMMYFUNCTION("""COMPUTED_VALUE"""),"#REF!")</f>
        <v>#REF!</v>
      </c>
      <c r="DQ125" s="97"/>
      <c r="DR125" s="95"/>
    </row>
    <row r="126">
      <c r="B126" s="120" t="str">
        <f>IFERROR(__xludf.DUMMYFUNCTION("""COMPUTED_VALUE"""),"CML14")</f>
        <v>CML14</v>
      </c>
      <c r="C126" s="82">
        <f>IFERROR(__xludf.DUMMYFUNCTION("""COMPUTED_VALUE"""),115.0)</f>
        <v>115</v>
      </c>
      <c r="D126" s="88" t="str">
        <f>IFERROR(__xludf.DUMMYFUNCTION("""COMPUTED_VALUE"""),"Great Temple")</f>
        <v>Great Temple</v>
      </c>
      <c r="E126" s="82" t="str">
        <f>IFERROR(__xludf.DUMMYFUNCTION("""COMPUTED_VALUE"""),"大神殿")</f>
        <v>大神殿</v>
      </c>
      <c r="F126" s="102">
        <f>IFERROR(__xludf.DUMMYFUNCTION("""COMPUTED_VALUE"""),22.0)</f>
        <v>22</v>
      </c>
      <c r="G126" s="82">
        <f>IFERROR(__xludf.DUMMYFUNCTION("""COMPUTED_VALUE"""),42852.0)</f>
        <v>42852</v>
      </c>
      <c r="H126" s="231" t="str">
        <f>IFERROR(__xludf.DUMMYFUNCTION("""COMPUTED_VALUE"""),"")</f>
        <v/>
      </c>
      <c r="I126" s="232" t="str">
        <f>IFERROR(__xludf.DUMMYFUNCTION("""COMPUTED_VALUE"""),"")</f>
        <v/>
      </c>
      <c r="J126" s="233" t="str">
        <f>IFERROR(__xludf.DUMMYFUNCTION("""COMPUTED_VALUE"""),"")</f>
        <v/>
      </c>
      <c r="K126" s="231" t="str">
        <f>IFERROR(__xludf.DUMMYFUNCTION("""COMPUTED_VALUE"""),"")</f>
        <v/>
      </c>
      <c r="L126" s="232" t="str">
        <f>IFERROR(__xludf.DUMMYFUNCTION("""COMPUTED_VALUE"""),"")</f>
        <v/>
      </c>
      <c r="M126" s="233" t="str">
        <f>IFERROR(__xludf.DUMMYFUNCTION("""COMPUTED_VALUE"""),"")</f>
        <v/>
      </c>
      <c r="N126" s="231" t="str">
        <f>IFERROR(__xludf.DUMMYFUNCTION("""COMPUTED_VALUE"""),"")</f>
        <v/>
      </c>
      <c r="O126" s="232" t="str">
        <f>IFERROR(__xludf.DUMMYFUNCTION("""COMPUTED_VALUE"""),"")</f>
        <v/>
      </c>
      <c r="P126" s="233">
        <f>IFERROR(__xludf.DUMMYFUNCTION("""COMPUTED_VALUE"""),12.1)</f>
        <v>12.1</v>
      </c>
      <c r="Q126" s="231" t="str">
        <f>IFERROR(__xludf.DUMMYFUNCTION("""COMPUTED_VALUE"""),"")</f>
        <v/>
      </c>
      <c r="R126" s="232" t="str">
        <f>IFERROR(__xludf.DUMMYFUNCTION("""COMPUTED_VALUE"""),"")</f>
        <v/>
      </c>
      <c r="S126" s="233" t="str">
        <f>IFERROR(__xludf.DUMMYFUNCTION("""COMPUTED_VALUE"""),"")</f>
        <v/>
      </c>
      <c r="T126" s="231" t="str">
        <f>IFERROR(__xludf.DUMMYFUNCTION("""COMPUTED_VALUE"""),"")</f>
        <v/>
      </c>
      <c r="U126" s="232" t="str">
        <f>IFERROR(__xludf.DUMMYFUNCTION("""COMPUTED_VALUE"""),"")</f>
        <v/>
      </c>
      <c r="V126" s="233" t="str">
        <f>IFERROR(__xludf.DUMMYFUNCTION("""COMPUTED_VALUE"""),"")</f>
        <v/>
      </c>
      <c r="W126" s="231" t="str">
        <f>IFERROR(__xludf.DUMMYFUNCTION("""COMPUTED_VALUE"""),"")</f>
        <v/>
      </c>
      <c r="X126" s="232" t="str">
        <f>IFERROR(__xludf.DUMMYFUNCTION("""COMPUTED_VALUE"""),"")</f>
        <v/>
      </c>
      <c r="Y126" s="233" t="str">
        <f>IFERROR(__xludf.DUMMYFUNCTION("""COMPUTED_VALUE"""),"")</f>
        <v/>
      </c>
      <c r="Z126" s="231" t="str">
        <f>IFERROR(__xludf.DUMMYFUNCTION("""COMPUTED_VALUE"""),"")</f>
        <v/>
      </c>
      <c r="AA126" s="232" t="str">
        <f>IFERROR(__xludf.DUMMYFUNCTION("""COMPUTED_VALUE"""),"")</f>
        <v/>
      </c>
      <c r="AB126" s="233" t="str">
        <f>IFERROR(__xludf.DUMMYFUNCTION("""COMPUTED_VALUE"""),"")</f>
        <v/>
      </c>
      <c r="AC126" s="231" t="str">
        <f>IFERROR(__xludf.DUMMYFUNCTION("""COMPUTED_VALUE"""),"")</f>
        <v/>
      </c>
      <c r="AD126" s="232" t="str">
        <f>IFERROR(__xludf.DUMMYFUNCTION("""COMPUTED_VALUE"""),"")</f>
        <v/>
      </c>
      <c r="AE126" s="233" t="str">
        <f>IFERROR(__xludf.DUMMYFUNCTION("""COMPUTED_VALUE"""),"")</f>
        <v/>
      </c>
      <c r="AF126" s="231" t="str">
        <f>IFERROR(__xludf.DUMMYFUNCTION("""COMPUTED_VALUE"""),"")</f>
        <v/>
      </c>
      <c r="AG126" s="232" t="str">
        <f>IFERROR(__xludf.DUMMYFUNCTION("""COMPUTED_VALUE"""),"")</f>
        <v/>
      </c>
      <c r="AH126" s="233" t="str">
        <f>IFERROR(__xludf.DUMMYFUNCTION("""COMPUTED_VALUE"""),"")</f>
        <v/>
      </c>
      <c r="AI126" s="231" t="str">
        <f>IFERROR(__xludf.DUMMYFUNCTION("""COMPUTED_VALUE"""),"")</f>
        <v/>
      </c>
      <c r="AJ126" s="232" t="str">
        <f>IFERROR(__xludf.DUMMYFUNCTION("""COMPUTED_VALUE"""),"")</f>
        <v/>
      </c>
      <c r="AK126" s="233" t="str">
        <f>IFERROR(__xludf.DUMMYFUNCTION("""COMPUTED_VALUE"""),"")</f>
        <v/>
      </c>
      <c r="AL126" s="231" t="str">
        <f>IFERROR(__xludf.DUMMYFUNCTION("""COMPUTED_VALUE"""),"")</f>
        <v/>
      </c>
      <c r="AM126" s="232" t="str">
        <f>IFERROR(__xludf.DUMMYFUNCTION("""COMPUTED_VALUE"""),"")</f>
        <v/>
      </c>
      <c r="AN126" s="233" t="str">
        <f>IFERROR(__xludf.DUMMYFUNCTION("""COMPUTED_VALUE"""),"")</f>
        <v/>
      </c>
      <c r="AO126" s="231" t="str">
        <f>IFERROR(__xludf.DUMMYFUNCTION("""COMPUTED_VALUE"""),"")</f>
        <v/>
      </c>
      <c r="AP126" s="232" t="str">
        <f>IFERROR(__xludf.DUMMYFUNCTION("""COMPUTED_VALUE"""),"")</f>
        <v/>
      </c>
      <c r="AQ126" s="233" t="str">
        <f>IFERROR(__xludf.DUMMYFUNCTION("""COMPUTED_VALUE"""),"")</f>
        <v/>
      </c>
      <c r="AR126" s="231" t="str">
        <f>IFERROR(__xludf.DUMMYFUNCTION("""COMPUTED_VALUE"""),"")</f>
        <v/>
      </c>
      <c r="AS126" s="232" t="str">
        <f>IFERROR(__xludf.DUMMYFUNCTION("""COMPUTED_VALUE"""),"")</f>
        <v/>
      </c>
      <c r="AT126" s="233" t="str">
        <f>IFERROR(__xludf.DUMMYFUNCTION("""COMPUTED_VALUE"""),"")</f>
        <v/>
      </c>
      <c r="AU126" s="231" t="str">
        <f>IFERROR(__xludf.DUMMYFUNCTION("""COMPUTED_VALUE"""),"")</f>
        <v/>
      </c>
      <c r="AV126" s="232" t="str">
        <f>IFERROR(__xludf.DUMMYFUNCTION("""COMPUTED_VALUE"""),"")</f>
        <v/>
      </c>
      <c r="AW126" s="233" t="str">
        <f>IFERROR(__xludf.DUMMYFUNCTION("""COMPUTED_VALUE"""),"")</f>
        <v/>
      </c>
      <c r="AX126" s="231">
        <f>IFERROR(__xludf.DUMMYFUNCTION("""COMPUTED_VALUE"""),42.4)</f>
        <v>42.4</v>
      </c>
      <c r="AY126" s="232" t="str">
        <f>IFERROR(__xludf.DUMMYFUNCTION("""COMPUTED_VALUE"""),"")</f>
        <v/>
      </c>
      <c r="AZ126" s="233" t="str">
        <f>IFERROR(__xludf.DUMMYFUNCTION("""COMPUTED_VALUE"""),"")</f>
        <v/>
      </c>
      <c r="BA126" s="231" t="str">
        <f>IFERROR(__xludf.DUMMYFUNCTION("""COMPUTED_VALUE"""),"")</f>
        <v/>
      </c>
      <c r="BB126" s="232" t="str">
        <f>IFERROR(__xludf.DUMMYFUNCTION("""COMPUTED_VALUE"""),"")</f>
        <v/>
      </c>
      <c r="BC126" s="233" t="str">
        <f>IFERROR(__xludf.DUMMYFUNCTION("""COMPUTED_VALUE"""),"")</f>
        <v/>
      </c>
      <c r="BD126" s="231" t="str">
        <f>IFERROR(__xludf.DUMMYFUNCTION("""COMPUTED_VALUE"""),"")</f>
        <v/>
      </c>
      <c r="BE126" s="232" t="str">
        <f>IFERROR(__xludf.DUMMYFUNCTION("""COMPUTED_VALUE"""),"")</f>
        <v/>
      </c>
      <c r="BF126" s="233" t="str">
        <f>IFERROR(__xludf.DUMMYFUNCTION("""COMPUTED_VALUE"""),"")</f>
        <v/>
      </c>
      <c r="BG126" s="231">
        <f>IFERROR(__xludf.DUMMYFUNCTION("""COMPUTED_VALUE"""),6.0)</f>
        <v>6</v>
      </c>
      <c r="BH126" s="232" t="str">
        <f>IFERROR(__xludf.DUMMYFUNCTION("""COMPUTED_VALUE"""),"")</f>
        <v/>
      </c>
      <c r="BI126" s="233" t="str">
        <f>IFERROR(__xludf.DUMMYFUNCTION("""COMPUTED_VALUE"""),"")</f>
        <v/>
      </c>
      <c r="BJ126" s="231" t="str">
        <f>IFERROR(__xludf.DUMMYFUNCTION("""COMPUTED_VALUE"""),"")</f>
        <v/>
      </c>
      <c r="BK126" s="232" t="str">
        <f>IFERROR(__xludf.DUMMYFUNCTION("""COMPUTED_VALUE"""),"")</f>
        <v/>
      </c>
      <c r="BL126" s="233" t="str">
        <f>IFERROR(__xludf.DUMMYFUNCTION("""COMPUTED_VALUE"""),"")</f>
        <v/>
      </c>
      <c r="BM126" s="231" t="str">
        <f>IFERROR(__xludf.DUMMYFUNCTION("""COMPUTED_VALUE"""),"")</f>
        <v/>
      </c>
      <c r="BN126" s="232" t="str">
        <f>IFERROR(__xludf.DUMMYFUNCTION("""COMPUTED_VALUE"""),"")</f>
        <v/>
      </c>
      <c r="BO126" s="233" t="str">
        <f>IFERROR(__xludf.DUMMYFUNCTION("""COMPUTED_VALUE"""),"")</f>
        <v/>
      </c>
      <c r="BP126" s="231" t="str">
        <f>IFERROR(__xludf.DUMMYFUNCTION("""COMPUTED_VALUE"""),"")</f>
        <v/>
      </c>
      <c r="BQ126" s="232" t="str">
        <f>IFERROR(__xludf.DUMMYFUNCTION("""COMPUTED_VALUE"""),"")</f>
        <v/>
      </c>
      <c r="BR126" s="233" t="str">
        <f>IFERROR(__xludf.DUMMYFUNCTION("""COMPUTED_VALUE"""),"")</f>
        <v/>
      </c>
      <c r="BS126" s="231" t="str">
        <f>IFERROR(__xludf.DUMMYFUNCTION("""COMPUTED_VALUE"""),"")</f>
        <v/>
      </c>
      <c r="BT126" s="232" t="str">
        <f>IFERROR(__xludf.DUMMYFUNCTION("""COMPUTED_VALUE"""),"")</f>
        <v/>
      </c>
      <c r="BU126" s="233" t="str">
        <f>IFERROR(__xludf.DUMMYFUNCTION("""COMPUTED_VALUE"""),"")</f>
        <v/>
      </c>
      <c r="BV126" s="231">
        <f>IFERROR(__xludf.DUMMYFUNCTION("""COMPUTED_VALUE"""),4.7)</f>
        <v>4.7</v>
      </c>
      <c r="BW126" s="232">
        <f>IFERROR(__xludf.DUMMYFUNCTION("""COMPUTED_VALUE"""),15.0)</f>
        <v>15</v>
      </c>
      <c r="BX126" s="233" t="str">
        <f>IFERROR(__xludf.DUMMYFUNCTION("""COMPUTED_VALUE"""),"")</f>
        <v/>
      </c>
      <c r="BY126" s="231" t="str">
        <f>IFERROR(__xludf.DUMMYFUNCTION("""COMPUTED_VALUE"""),"")</f>
        <v/>
      </c>
      <c r="BZ126" s="232" t="str">
        <f>IFERROR(__xludf.DUMMYFUNCTION("""COMPUTED_VALUE"""),"")</f>
        <v/>
      </c>
      <c r="CA126" s="233" t="str">
        <f>IFERROR(__xludf.DUMMYFUNCTION("""COMPUTED_VALUE"""),"")</f>
        <v/>
      </c>
      <c r="CB126" s="231" t="str">
        <f>IFERROR(__xludf.DUMMYFUNCTION("""COMPUTED_VALUE"""),"")</f>
        <v/>
      </c>
      <c r="CC126" s="232" t="str">
        <f>IFERROR(__xludf.DUMMYFUNCTION("""COMPUTED_VALUE"""),"")</f>
        <v/>
      </c>
      <c r="CD126" s="233" t="str">
        <f>IFERROR(__xludf.DUMMYFUNCTION("""COMPUTED_VALUE"""),"")</f>
        <v/>
      </c>
      <c r="CE126" s="234" t="str">
        <f>IFERROR(__xludf.DUMMYFUNCTION("""COMPUTED_VALUE"""),"")</f>
        <v/>
      </c>
      <c r="CF126" s="230" t="str">
        <f>IFERROR(__xludf.DUMMYFUNCTION("""COMPUTED_VALUE"""),"")</f>
        <v/>
      </c>
      <c r="CG126" s="235" t="str">
        <f>IFERROR(__xludf.DUMMYFUNCTION("""COMPUTED_VALUE"""),"")</f>
        <v/>
      </c>
      <c r="CH126" s="234" t="str">
        <f>IFERROR(__xludf.DUMMYFUNCTION("""COMPUTED_VALUE"""),"")</f>
        <v/>
      </c>
      <c r="CI126" s="230" t="str">
        <f>IFERROR(__xludf.DUMMYFUNCTION("""COMPUTED_VALUE"""),"")</f>
        <v/>
      </c>
      <c r="CJ126" s="235" t="str">
        <f>IFERROR(__xludf.DUMMYFUNCTION("""COMPUTED_VALUE"""),"")</f>
        <v/>
      </c>
      <c r="CK126" s="95" t="str">
        <f>IFERROR(__xludf.DUMMYFUNCTION("""COMPUTED_VALUE"""),"")</f>
        <v/>
      </c>
      <c r="CL126" s="96" t="str">
        <f>IFERROR(__xludf.DUMMYFUNCTION("""COMPUTED_VALUE"""),"")</f>
        <v/>
      </c>
      <c r="CM126" s="97" t="str">
        <f>IFERROR(__xludf.DUMMYFUNCTION("""COMPUTED_VALUE"""),"")</f>
        <v/>
      </c>
      <c r="CN126" s="95" t="str">
        <f>IFERROR(__xludf.DUMMYFUNCTION("""COMPUTED_VALUE"""),"")</f>
        <v/>
      </c>
      <c r="CO126" s="96" t="str">
        <f>IFERROR(__xludf.DUMMYFUNCTION("""COMPUTED_VALUE"""),"")</f>
        <v/>
      </c>
      <c r="CP126" s="97">
        <f>IFERROR(__xludf.DUMMYFUNCTION("""COMPUTED_VALUE"""),163.6)</f>
        <v>163.6</v>
      </c>
      <c r="CQ126" s="95" t="str">
        <f>IFERROR(__xludf.DUMMYFUNCTION("""COMPUTED_VALUE"""),"")</f>
        <v/>
      </c>
      <c r="CR126" s="96" t="str">
        <f>IFERROR(__xludf.DUMMYFUNCTION("""COMPUTED_VALUE"""),"")</f>
        <v/>
      </c>
      <c r="CS126" s="97" t="str">
        <f>IFERROR(__xludf.DUMMYFUNCTION("""COMPUTED_VALUE"""),"#REF!")</f>
        <v>#REF!</v>
      </c>
      <c r="CT126" s="95" t="str">
        <f>IFERROR(__xludf.DUMMYFUNCTION("""COMPUTED_VALUE"""),"#REF!")</f>
        <v>#REF!</v>
      </c>
      <c r="CU126" s="96" t="str">
        <f>IFERROR(__xludf.DUMMYFUNCTION("""COMPUTED_VALUE"""),"#REF!")</f>
        <v>#REF!</v>
      </c>
      <c r="CV126" s="97" t="str">
        <f>IFERROR(__xludf.DUMMYFUNCTION("""COMPUTED_VALUE"""),"#REF!")</f>
        <v>#REF!</v>
      </c>
      <c r="CW126" s="95" t="str">
        <f>IFERROR(__xludf.DUMMYFUNCTION("""COMPUTED_VALUE"""),"#REF!")</f>
        <v>#REF!</v>
      </c>
      <c r="CX126" s="96" t="str">
        <f>IFERROR(__xludf.DUMMYFUNCTION("""COMPUTED_VALUE"""),"#REF!")</f>
        <v>#REF!</v>
      </c>
      <c r="CY126" s="97" t="str">
        <f>IFERROR(__xludf.DUMMYFUNCTION("""COMPUTED_VALUE"""),"#REF!")</f>
        <v>#REF!</v>
      </c>
      <c r="CZ126" s="95" t="str">
        <f>IFERROR(__xludf.DUMMYFUNCTION("""COMPUTED_VALUE"""),"#REF!")</f>
        <v>#REF!</v>
      </c>
      <c r="DA126" s="96" t="str">
        <f>IFERROR(__xludf.DUMMYFUNCTION("""COMPUTED_VALUE"""),"#REF!")</f>
        <v>#REF!</v>
      </c>
      <c r="DB126" s="97" t="str">
        <f>IFERROR(__xludf.DUMMYFUNCTION("""COMPUTED_VALUE"""),"#REF!")</f>
        <v>#REF!</v>
      </c>
      <c r="DC126" s="95" t="str">
        <f>IFERROR(__xludf.DUMMYFUNCTION("""COMPUTED_VALUE"""),"#REF!")</f>
        <v>#REF!</v>
      </c>
      <c r="DD126" s="96" t="str">
        <f>IFERROR(__xludf.DUMMYFUNCTION("""COMPUTED_VALUE"""),"#REF!")</f>
        <v>#REF!</v>
      </c>
      <c r="DE126" s="97" t="str">
        <f>IFERROR(__xludf.DUMMYFUNCTION("""COMPUTED_VALUE"""),"#REF!")</f>
        <v>#REF!</v>
      </c>
      <c r="DF126" s="95" t="str">
        <f>IFERROR(__xludf.DUMMYFUNCTION("""COMPUTED_VALUE"""),"#REF!")</f>
        <v>#REF!</v>
      </c>
      <c r="DG126" s="96" t="str">
        <f>IFERROR(__xludf.DUMMYFUNCTION("""COMPUTED_VALUE"""),"#REF!")</f>
        <v>#REF!</v>
      </c>
      <c r="DH126" s="97" t="str">
        <f>IFERROR(__xludf.DUMMYFUNCTION("""COMPUTED_VALUE"""),"#REF!")</f>
        <v>#REF!</v>
      </c>
      <c r="DI126" s="95" t="str">
        <f>IFERROR(__xludf.DUMMYFUNCTION("""COMPUTED_VALUE"""),"#REF!")</f>
        <v>#REF!</v>
      </c>
      <c r="DJ126" s="96" t="str">
        <f>IFERROR(__xludf.DUMMYFUNCTION("""COMPUTED_VALUE"""),"#REF!")</f>
        <v>#REF!</v>
      </c>
      <c r="DK126" s="97" t="str">
        <f>IFERROR(__xludf.DUMMYFUNCTION("""COMPUTED_VALUE"""),"#REF!")</f>
        <v>#REF!</v>
      </c>
      <c r="DL126" s="95" t="str">
        <f>IFERROR(__xludf.DUMMYFUNCTION("""COMPUTED_VALUE"""),"#REF!")</f>
        <v>#REF!</v>
      </c>
      <c r="DM126" s="96" t="str">
        <f>IFERROR(__xludf.DUMMYFUNCTION("""COMPUTED_VALUE"""),"#REF!")</f>
        <v>#REF!</v>
      </c>
      <c r="DN126" s="97" t="str">
        <f>IFERROR(__xludf.DUMMYFUNCTION("""COMPUTED_VALUE"""),"#REF!")</f>
        <v>#REF!</v>
      </c>
      <c r="DO126" s="95" t="str">
        <f>IFERROR(__xludf.DUMMYFUNCTION("""COMPUTED_VALUE"""),"#REF!")</f>
        <v>#REF!</v>
      </c>
      <c r="DP126" s="96" t="str">
        <f>IFERROR(__xludf.DUMMYFUNCTION("""COMPUTED_VALUE"""),"#REF!")</f>
        <v>#REF!</v>
      </c>
      <c r="DQ126" s="97"/>
      <c r="DR126" s="95"/>
    </row>
    <row r="127">
      <c r="A127" s="145" t="str">
        <f>IFERROR(__xludf.DUMMYFUNCTION("""COMPUTED_VALUE"""),"BABYLONIA")</f>
        <v>BABYLONIA</v>
      </c>
      <c r="B127" s="120" t="str">
        <f>IFERROR(__xludf.DUMMYFUNCTION("""COMPUTED_VALUE"""),"BBL1")</f>
        <v>BBL1</v>
      </c>
      <c r="C127" s="82">
        <f>IFERROR(__xludf.DUMMYFUNCTION("""COMPUTED_VALUE"""),116.0)</f>
        <v>116</v>
      </c>
      <c r="D127" s="88" t="str">
        <f>IFERROR(__xludf.DUMMYFUNCTION("""COMPUTED_VALUE"""),"Fallen Babylon")</f>
        <v>Fallen Babylon</v>
      </c>
      <c r="E127" s="82" t="str">
        <f>IFERROR(__xludf.DUMMYFUNCTION("""COMPUTED_VALUE"""),"廃都バビロン")</f>
        <v>廃都バビロン</v>
      </c>
      <c r="F127" s="102">
        <f>IFERROR(__xludf.DUMMYFUNCTION("""COMPUTED_VALUE"""),20.0)</f>
        <v>20</v>
      </c>
      <c r="G127" s="82">
        <f>IFERROR(__xludf.DUMMYFUNCTION("""COMPUTED_VALUE"""),13741.0)</f>
        <v>13741</v>
      </c>
      <c r="H127" s="231" t="str">
        <f>IFERROR(__xludf.DUMMYFUNCTION("""COMPUTED_VALUE"""),"")</f>
        <v/>
      </c>
      <c r="I127" s="232" t="str">
        <f>IFERROR(__xludf.DUMMYFUNCTION("""COMPUTED_VALUE"""),"")</f>
        <v/>
      </c>
      <c r="J127" s="233" t="str">
        <f>IFERROR(__xludf.DUMMYFUNCTION("""COMPUTED_VALUE"""),"")</f>
        <v/>
      </c>
      <c r="K127" s="231" t="str">
        <f>IFERROR(__xludf.DUMMYFUNCTION("""COMPUTED_VALUE"""),"")</f>
        <v/>
      </c>
      <c r="L127" s="232" t="str">
        <f>IFERROR(__xludf.DUMMYFUNCTION("""COMPUTED_VALUE"""),"")</f>
        <v/>
      </c>
      <c r="M127" s="233" t="str">
        <f>IFERROR(__xludf.DUMMYFUNCTION("""COMPUTED_VALUE"""),"")</f>
        <v/>
      </c>
      <c r="N127" s="231" t="str">
        <f>IFERROR(__xludf.DUMMYFUNCTION("""COMPUTED_VALUE"""),"")</f>
        <v/>
      </c>
      <c r="O127" s="232" t="str">
        <f>IFERROR(__xludf.DUMMYFUNCTION("""COMPUTED_VALUE"""),"")</f>
        <v/>
      </c>
      <c r="P127" s="233" t="str">
        <f>IFERROR(__xludf.DUMMYFUNCTION("""COMPUTED_VALUE"""),"")</f>
        <v/>
      </c>
      <c r="Q127" s="231" t="str">
        <f>IFERROR(__xludf.DUMMYFUNCTION("""COMPUTED_VALUE"""),"")</f>
        <v/>
      </c>
      <c r="R127" s="232" t="str">
        <f>IFERROR(__xludf.DUMMYFUNCTION("""COMPUTED_VALUE"""),"")</f>
        <v/>
      </c>
      <c r="S127" s="233" t="str">
        <f>IFERROR(__xludf.DUMMYFUNCTION("""COMPUTED_VALUE"""),"")</f>
        <v/>
      </c>
      <c r="T127" s="231" t="str">
        <f>IFERROR(__xludf.DUMMYFUNCTION("""COMPUTED_VALUE"""),"")</f>
        <v/>
      </c>
      <c r="U127" s="232" t="str">
        <f>IFERROR(__xludf.DUMMYFUNCTION("""COMPUTED_VALUE"""),"")</f>
        <v/>
      </c>
      <c r="V127" s="233" t="str">
        <f>IFERROR(__xludf.DUMMYFUNCTION("""COMPUTED_VALUE"""),"")</f>
        <v/>
      </c>
      <c r="W127" s="231" t="str">
        <f>IFERROR(__xludf.DUMMYFUNCTION("""COMPUTED_VALUE"""),"")</f>
        <v/>
      </c>
      <c r="X127" s="232" t="str">
        <f>IFERROR(__xludf.DUMMYFUNCTION("""COMPUTED_VALUE"""),"")</f>
        <v/>
      </c>
      <c r="Y127" s="233" t="str">
        <f>IFERROR(__xludf.DUMMYFUNCTION("""COMPUTED_VALUE"""),"")</f>
        <v/>
      </c>
      <c r="Z127" s="231">
        <f>IFERROR(__xludf.DUMMYFUNCTION("""COMPUTED_VALUE"""),49.6)</f>
        <v>49.6</v>
      </c>
      <c r="AA127" s="232" t="str">
        <f>IFERROR(__xludf.DUMMYFUNCTION("""COMPUTED_VALUE"""),"")</f>
        <v/>
      </c>
      <c r="AB127" s="233" t="str">
        <f>IFERROR(__xludf.DUMMYFUNCTION("""COMPUTED_VALUE"""),"")</f>
        <v/>
      </c>
      <c r="AC127" s="231" t="str">
        <f>IFERROR(__xludf.DUMMYFUNCTION("""COMPUTED_VALUE"""),"")</f>
        <v/>
      </c>
      <c r="AD127" s="232" t="str">
        <f>IFERROR(__xludf.DUMMYFUNCTION("""COMPUTED_VALUE"""),"")</f>
        <v/>
      </c>
      <c r="AE127" s="233" t="str">
        <f>IFERROR(__xludf.DUMMYFUNCTION("""COMPUTED_VALUE"""),"")</f>
        <v/>
      </c>
      <c r="AF127" s="231" t="str">
        <f>IFERROR(__xludf.DUMMYFUNCTION("""COMPUTED_VALUE"""),"")</f>
        <v/>
      </c>
      <c r="AG127" s="232" t="str">
        <f>IFERROR(__xludf.DUMMYFUNCTION("""COMPUTED_VALUE"""),"")</f>
        <v/>
      </c>
      <c r="AH127" s="233" t="str">
        <f>IFERROR(__xludf.DUMMYFUNCTION("""COMPUTED_VALUE"""),"")</f>
        <v/>
      </c>
      <c r="AI127" s="231" t="str">
        <f>IFERROR(__xludf.DUMMYFUNCTION("""COMPUTED_VALUE"""),"")</f>
        <v/>
      </c>
      <c r="AJ127" s="232" t="str">
        <f>IFERROR(__xludf.DUMMYFUNCTION("""COMPUTED_VALUE"""),"")</f>
        <v/>
      </c>
      <c r="AK127" s="233" t="str">
        <f>IFERROR(__xludf.DUMMYFUNCTION("""COMPUTED_VALUE"""),"")</f>
        <v/>
      </c>
      <c r="AL127" s="231" t="str">
        <f>IFERROR(__xludf.DUMMYFUNCTION("""COMPUTED_VALUE"""),"")</f>
        <v/>
      </c>
      <c r="AM127" s="232" t="str">
        <f>IFERROR(__xludf.DUMMYFUNCTION("""COMPUTED_VALUE"""),"")</f>
        <v/>
      </c>
      <c r="AN127" s="233" t="str">
        <f>IFERROR(__xludf.DUMMYFUNCTION("""COMPUTED_VALUE"""),"")</f>
        <v/>
      </c>
      <c r="AO127" s="231" t="str">
        <f>IFERROR(__xludf.DUMMYFUNCTION("""COMPUTED_VALUE"""),"")</f>
        <v/>
      </c>
      <c r="AP127" s="232" t="str">
        <f>IFERROR(__xludf.DUMMYFUNCTION("""COMPUTED_VALUE"""),"")</f>
        <v/>
      </c>
      <c r="AQ127" s="233" t="str">
        <f>IFERROR(__xludf.DUMMYFUNCTION("""COMPUTED_VALUE"""),"")</f>
        <v/>
      </c>
      <c r="AR127" s="231" t="str">
        <f>IFERROR(__xludf.DUMMYFUNCTION("""COMPUTED_VALUE"""),"")</f>
        <v/>
      </c>
      <c r="AS127" s="232" t="str">
        <f>IFERROR(__xludf.DUMMYFUNCTION("""COMPUTED_VALUE"""),"")</f>
        <v/>
      </c>
      <c r="AT127" s="233" t="str">
        <f>IFERROR(__xludf.DUMMYFUNCTION("""COMPUTED_VALUE"""),"")</f>
        <v/>
      </c>
      <c r="AU127" s="231" t="str">
        <f>IFERROR(__xludf.DUMMYFUNCTION("""COMPUTED_VALUE"""),"")</f>
        <v/>
      </c>
      <c r="AV127" s="232" t="str">
        <f>IFERROR(__xludf.DUMMYFUNCTION("""COMPUTED_VALUE"""),"")</f>
        <v/>
      </c>
      <c r="AW127" s="233" t="str">
        <f>IFERROR(__xludf.DUMMYFUNCTION("""COMPUTED_VALUE"""),"")</f>
        <v/>
      </c>
      <c r="AX127" s="231" t="str">
        <f>IFERROR(__xludf.DUMMYFUNCTION("""COMPUTED_VALUE"""),"")</f>
        <v/>
      </c>
      <c r="AY127" s="232" t="str">
        <f>IFERROR(__xludf.DUMMYFUNCTION("""COMPUTED_VALUE"""),"")</f>
        <v/>
      </c>
      <c r="AZ127" s="233" t="str">
        <f>IFERROR(__xludf.DUMMYFUNCTION("""COMPUTED_VALUE"""),"")</f>
        <v/>
      </c>
      <c r="BA127" s="231" t="str">
        <f>IFERROR(__xludf.DUMMYFUNCTION("""COMPUTED_VALUE"""),"")</f>
        <v/>
      </c>
      <c r="BB127" s="232" t="str">
        <f>IFERROR(__xludf.DUMMYFUNCTION("""COMPUTED_VALUE"""),"")</f>
        <v/>
      </c>
      <c r="BC127" s="233" t="str">
        <f>IFERROR(__xludf.DUMMYFUNCTION("""COMPUTED_VALUE"""),"")</f>
        <v/>
      </c>
      <c r="BD127" s="231" t="str">
        <f>IFERROR(__xludf.DUMMYFUNCTION("""COMPUTED_VALUE"""),"")</f>
        <v/>
      </c>
      <c r="BE127" s="232" t="str">
        <f>IFERROR(__xludf.DUMMYFUNCTION("""COMPUTED_VALUE"""),"")</f>
        <v/>
      </c>
      <c r="BF127" s="233" t="str">
        <f>IFERROR(__xludf.DUMMYFUNCTION("""COMPUTED_VALUE"""),"")</f>
        <v/>
      </c>
      <c r="BG127" s="231" t="str">
        <f>IFERROR(__xludf.DUMMYFUNCTION("""COMPUTED_VALUE"""),"")</f>
        <v/>
      </c>
      <c r="BH127" s="232" t="str">
        <f>IFERROR(__xludf.DUMMYFUNCTION("""COMPUTED_VALUE"""),"")</f>
        <v/>
      </c>
      <c r="BI127" s="233" t="str">
        <f>IFERROR(__xludf.DUMMYFUNCTION("""COMPUTED_VALUE"""),"")</f>
        <v/>
      </c>
      <c r="BJ127" s="231" t="str">
        <f>IFERROR(__xludf.DUMMYFUNCTION("""COMPUTED_VALUE"""),"")</f>
        <v/>
      </c>
      <c r="BK127" s="232" t="str">
        <f>IFERROR(__xludf.DUMMYFUNCTION("""COMPUTED_VALUE"""),"")</f>
        <v/>
      </c>
      <c r="BL127" s="233" t="str">
        <f>IFERROR(__xludf.DUMMYFUNCTION("""COMPUTED_VALUE"""),"")</f>
        <v/>
      </c>
      <c r="BM127" s="231" t="str">
        <f>IFERROR(__xludf.DUMMYFUNCTION("""COMPUTED_VALUE"""),"")</f>
        <v/>
      </c>
      <c r="BN127" s="232" t="str">
        <f>IFERROR(__xludf.DUMMYFUNCTION("""COMPUTED_VALUE"""),"")</f>
        <v/>
      </c>
      <c r="BO127" s="233" t="str">
        <f>IFERROR(__xludf.DUMMYFUNCTION("""COMPUTED_VALUE"""),"")</f>
        <v/>
      </c>
      <c r="BP127" s="231" t="str">
        <f>IFERROR(__xludf.DUMMYFUNCTION("""COMPUTED_VALUE"""),"")</f>
        <v/>
      </c>
      <c r="BQ127" s="232" t="str">
        <f>IFERROR(__xludf.DUMMYFUNCTION("""COMPUTED_VALUE"""),"")</f>
        <v/>
      </c>
      <c r="BR127" s="233" t="str">
        <f>IFERROR(__xludf.DUMMYFUNCTION("""COMPUTED_VALUE"""),"")</f>
        <v/>
      </c>
      <c r="BS127" s="231" t="str">
        <f>IFERROR(__xludf.DUMMYFUNCTION("""COMPUTED_VALUE"""),"")</f>
        <v/>
      </c>
      <c r="BT127" s="232">
        <f>IFERROR(__xludf.DUMMYFUNCTION("""COMPUTED_VALUE"""),45.4)</f>
        <v>45.4</v>
      </c>
      <c r="BU127" s="233" t="str">
        <f>IFERROR(__xludf.DUMMYFUNCTION("""COMPUTED_VALUE"""),"")</f>
        <v/>
      </c>
      <c r="BV127" s="231" t="str">
        <f>IFERROR(__xludf.DUMMYFUNCTION("""COMPUTED_VALUE"""),"")</f>
        <v/>
      </c>
      <c r="BW127" s="232" t="str">
        <f>IFERROR(__xludf.DUMMYFUNCTION("""COMPUTED_VALUE"""),"")</f>
        <v/>
      </c>
      <c r="BX127" s="233" t="str">
        <f>IFERROR(__xludf.DUMMYFUNCTION("""COMPUTED_VALUE"""),"")</f>
        <v/>
      </c>
      <c r="BY127" s="231" t="str">
        <f>IFERROR(__xludf.DUMMYFUNCTION("""COMPUTED_VALUE"""),"")</f>
        <v/>
      </c>
      <c r="BZ127" s="232" t="str">
        <f>IFERROR(__xludf.DUMMYFUNCTION("""COMPUTED_VALUE"""),"")</f>
        <v/>
      </c>
      <c r="CA127" s="233" t="str">
        <f>IFERROR(__xludf.DUMMYFUNCTION("""COMPUTED_VALUE"""),"")</f>
        <v/>
      </c>
      <c r="CB127" s="231" t="str">
        <f>IFERROR(__xludf.DUMMYFUNCTION("""COMPUTED_VALUE"""),"")</f>
        <v/>
      </c>
      <c r="CC127" s="232" t="str">
        <f>IFERROR(__xludf.DUMMYFUNCTION("""COMPUTED_VALUE"""),"")</f>
        <v/>
      </c>
      <c r="CD127" s="233" t="str">
        <f>IFERROR(__xludf.DUMMYFUNCTION("""COMPUTED_VALUE"""),"")</f>
        <v/>
      </c>
      <c r="CE127" s="234" t="str">
        <f>IFERROR(__xludf.DUMMYFUNCTION("""COMPUTED_VALUE"""),"")</f>
        <v/>
      </c>
      <c r="CF127" s="230" t="str">
        <f>IFERROR(__xludf.DUMMYFUNCTION("""COMPUTED_VALUE"""),"")</f>
        <v/>
      </c>
      <c r="CG127" s="235" t="str">
        <f>IFERROR(__xludf.DUMMYFUNCTION("""COMPUTED_VALUE"""),"")</f>
        <v/>
      </c>
      <c r="CH127" s="234" t="str">
        <f>IFERROR(__xludf.DUMMYFUNCTION("""COMPUTED_VALUE"""),"")</f>
        <v/>
      </c>
      <c r="CI127" s="230" t="str">
        <f>IFERROR(__xludf.DUMMYFUNCTION("""COMPUTED_VALUE"""),"")</f>
        <v/>
      </c>
      <c r="CJ127" s="235" t="str">
        <f>IFERROR(__xludf.DUMMYFUNCTION("""COMPUTED_VALUE"""),"")</f>
        <v/>
      </c>
      <c r="CK127" s="95" t="str">
        <f>IFERROR(__xludf.DUMMYFUNCTION("""COMPUTED_VALUE"""),"")</f>
        <v/>
      </c>
      <c r="CL127" s="96" t="str">
        <f>IFERROR(__xludf.DUMMYFUNCTION("""COMPUTED_VALUE"""),"")</f>
        <v/>
      </c>
      <c r="CM127" s="97" t="str">
        <f>IFERROR(__xludf.DUMMYFUNCTION("""COMPUTED_VALUE"""),"")</f>
        <v/>
      </c>
      <c r="CN127" s="95" t="str">
        <f>IFERROR(__xludf.DUMMYFUNCTION("""COMPUTED_VALUE"""),"")</f>
        <v/>
      </c>
      <c r="CO127" s="96" t="str">
        <f>IFERROR(__xludf.DUMMYFUNCTION("""COMPUTED_VALUE"""),"")</f>
        <v/>
      </c>
      <c r="CP127" s="97" t="str">
        <f>IFERROR(__xludf.DUMMYFUNCTION("""COMPUTED_VALUE"""),"")</f>
        <v/>
      </c>
      <c r="CQ127" s="95" t="str">
        <f>IFERROR(__xludf.DUMMYFUNCTION("""COMPUTED_VALUE"""),"")</f>
        <v/>
      </c>
      <c r="CR127" s="96" t="str">
        <f>IFERROR(__xludf.DUMMYFUNCTION("""COMPUTED_VALUE"""),"")</f>
        <v/>
      </c>
      <c r="CS127" s="97" t="str">
        <f>IFERROR(__xludf.DUMMYFUNCTION("""COMPUTED_VALUE"""),"#REF!")</f>
        <v>#REF!</v>
      </c>
      <c r="CT127" s="95" t="str">
        <f>IFERROR(__xludf.DUMMYFUNCTION("""COMPUTED_VALUE"""),"#REF!")</f>
        <v>#REF!</v>
      </c>
      <c r="CU127" s="96" t="str">
        <f>IFERROR(__xludf.DUMMYFUNCTION("""COMPUTED_VALUE"""),"#REF!")</f>
        <v>#REF!</v>
      </c>
      <c r="CV127" s="97" t="str">
        <f>IFERROR(__xludf.DUMMYFUNCTION("""COMPUTED_VALUE"""),"#REF!")</f>
        <v>#REF!</v>
      </c>
      <c r="CW127" s="95" t="str">
        <f>IFERROR(__xludf.DUMMYFUNCTION("""COMPUTED_VALUE"""),"#REF!")</f>
        <v>#REF!</v>
      </c>
      <c r="CX127" s="96" t="str">
        <f>IFERROR(__xludf.DUMMYFUNCTION("""COMPUTED_VALUE"""),"#REF!")</f>
        <v>#REF!</v>
      </c>
      <c r="CY127" s="97" t="str">
        <f>IFERROR(__xludf.DUMMYFUNCTION("""COMPUTED_VALUE"""),"#REF!")</f>
        <v>#REF!</v>
      </c>
      <c r="CZ127" s="95" t="str">
        <f>IFERROR(__xludf.DUMMYFUNCTION("""COMPUTED_VALUE"""),"#REF!")</f>
        <v>#REF!</v>
      </c>
      <c r="DA127" s="96" t="str">
        <f>IFERROR(__xludf.DUMMYFUNCTION("""COMPUTED_VALUE"""),"#REF!")</f>
        <v>#REF!</v>
      </c>
      <c r="DB127" s="97" t="str">
        <f>IFERROR(__xludf.DUMMYFUNCTION("""COMPUTED_VALUE"""),"#REF!")</f>
        <v>#REF!</v>
      </c>
      <c r="DC127" s="95" t="str">
        <f>IFERROR(__xludf.DUMMYFUNCTION("""COMPUTED_VALUE"""),"#REF!")</f>
        <v>#REF!</v>
      </c>
      <c r="DD127" s="96" t="str">
        <f>IFERROR(__xludf.DUMMYFUNCTION("""COMPUTED_VALUE"""),"#REF!")</f>
        <v>#REF!</v>
      </c>
      <c r="DE127" s="97" t="str">
        <f>IFERROR(__xludf.DUMMYFUNCTION("""COMPUTED_VALUE"""),"#REF!")</f>
        <v>#REF!</v>
      </c>
      <c r="DF127" s="95" t="str">
        <f>IFERROR(__xludf.DUMMYFUNCTION("""COMPUTED_VALUE"""),"#REF!")</f>
        <v>#REF!</v>
      </c>
      <c r="DG127" s="96" t="str">
        <f>IFERROR(__xludf.DUMMYFUNCTION("""COMPUTED_VALUE"""),"#REF!")</f>
        <v>#REF!</v>
      </c>
      <c r="DH127" s="97" t="str">
        <f>IFERROR(__xludf.DUMMYFUNCTION("""COMPUTED_VALUE"""),"#REF!")</f>
        <v>#REF!</v>
      </c>
      <c r="DI127" s="95" t="str">
        <f>IFERROR(__xludf.DUMMYFUNCTION("""COMPUTED_VALUE"""),"#REF!")</f>
        <v>#REF!</v>
      </c>
      <c r="DJ127" s="96" t="str">
        <f>IFERROR(__xludf.DUMMYFUNCTION("""COMPUTED_VALUE"""),"#REF!")</f>
        <v>#REF!</v>
      </c>
      <c r="DK127" s="97" t="str">
        <f>IFERROR(__xludf.DUMMYFUNCTION("""COMPUTED_VALUE"""),"#REF!")</f>
        <v>#REF!</v>
      </c>
      <c r="DL127" s="95" t="str">
        <f>IFERROR(__xludf.DUMMYFUNCTION("""COMPUTED_VALUE"""),"#REF!")</f>
        <v>#REF!</v>
      </c>
      <c r="DM127" s="96" t="str">
        <f>IFERROR(__xludf.DUMMYFUNCTION("""COMPUTED_VALUE"""),"#REF!")</f>
        <v>#REF!</v>
      </c>
      <c r="DN127" s="97" t="str">
        <f>IFERROR(__xludf.DUMMYFUNCTION("""COMPUTED_VALUE"""),"#REF!")</f>
        <v>#REF!</v>
      </c>
      <c r="DO127" s="95" t="str">
        <f>IFERROR(__xludf.DUMMYFUNCTION("""COMPUTED_VALUE"""),"#REF!")</f>
        <v>#REF!</v>
      </c>
      <c r="DP127" s="96" t="str">
        <f>IFERROR(__xludf.DUMMYFUNCTION("""COMPUTED_VALUE"""),"#REF!")</f>
        <v>#REF!</v>
      </c>
      <c r="DQ127" s="97"/>
      <c r="DR127" s="95"/>
    </row>
    <row r="128">
      <c r="B128" s="120" t="str">
        <f>IFERROR(__xludf.DUMMYFUNCTION("""COMPUTED_VALUE"""),"BBL2")</f>
        <v>BBL2</v>
      </c>
      <c r="C128" s="82">
        <f>IFERROR(__xludf.DUMMYFUNCTION("""COMPUTED_VALUE"""),117.0)</f>
        <v>117</v>
      </c>
      <c r="D128" s="88" t="str">
        <f>IFERROR(__xludf.DUMMYFUNCTION("""COMPUTED_VALUE"""),"Northern Hill")</f>
        <v>Northern Hill</v>
      </c>
      <c r="E128" s="82" t="str">
        <f>IFERROR(__xludf.DUMMYFUNCTION("""COMPUTED_VALUE"""),"北の高台")</f>
        <v>北の高台</v>
      </c>
      <c r="F128" s="102">
        <f>IFERROR(__xludf.DUMMYFUNCTION("""COMPUTED_VALUE"""),20.0)</f>
        <v>20</v>
      </c>
      <c r="G128" s="82">
        <f>IFERROR(__xludf.DUMMYFUNCTION("""COMPUTED_VALUE"""),14135.0)</f>
        <v>14135</v>
      </c>
      <c r="H128" s="231" t="str">
        <f>IFERROR(__xludf.DUMMYFUNCTION("""COMPUTED_VALUE"""),"")</f>
        <v/>
      </c>
      <c r="I128" s="232" t="str">
        <f>IFERROR(__xludf.DUMMYFUNCTION("""COMPUTED_VALUE"""),"")</f>
        <v/>
      </c>
      <c r="J128" s="233" t="str">
        <f>IFERROR(__xludf.DUMMYFUNCTION("""COMPUTED_VALUE"""),"")</f>
        <v/>
      </c>
      <c r="K128" s="231" t="str">
        <f>IFERROR(__xludf.DUMMYFUNCTION("""COMPUTED_VALUE"""),"")</f>
        <v/>
      </c>
      <c r="L128" s="232" t="str">
        <f>IFERROR(__xludf.DUMMYFUNCTION("""COMPUTED_VALUE"""),"")</f>
        <v/>
      </c>
      <c r="M128" s="233" t="str">
        <f>IFERROR(__xludf.DUMMYFUNCTION("""COMPUTED_VALUE"""),"")</f>
        <v/>
      </c>
      <c r="N128" s="231">
        <f>IFERROR(__xludf.DUMMYFUNCTION("""COMPUTED_VALUE"""),17.7)</f>
        <v>17.7</v>
      </c>
      <c r="O128" s="232" t="str">
        <f>IFERROR(__xludf.DUMMYFUNCTION("""COMPUTED_VALUE"""),"")</f>
        <v/>
      </c>
      <c r="P128" s="233" t="str">
        <f>IFERROR(__xludf.DUMMYFUNCTION("""COMPUTED_VALUE"""),"")</f>
        <v/>
      </c>
      <c r="Q128" s="231" t="str">
        <f>IFERROR(__xludf.DUMMYFUNCTION("""COMPUTED_VALUE"""),"")</f>
        <v/>
      </c>
      <c r="R128" s="232" t="str">
        <f>IFERROR(__xludf.DUMMYFUNCTION("""COMPUTED_VALUE"""),"")</f>
        <v/>
      </c>
      <c r="S128" s="233" t="str">
        <f>IFERROR(__xludf.DUMMYFUNCTION("""COMPUTED_VALUE"""),"")</f>
        <v/>
      </c>
      <c r="T128" s="231" t="str">
        <f>IFERROR(__xludf.DUMMYFUNCTION("""COMPUTED_VALUE"""),"")</f>
        <v/>
      </c>
      <c r="U128" s="232" t="str">
        <f>IFERROR(__xludf.DUMMYFUNCTION("""COMPUTED_VALUE"""),"")</f>
        <v/>
      </c>
      <c r="V128" s="233" t="str">
        <f>IFERROR(__xludf.DUMMYFUNCTION("""COMPUTED_VALUE"""),"")</f>
        <v/>
      </c>
      <c r="W128" s="231" t="str">
        <f>IFERROR(__xludf.DUMMYFUNCTION("""COMPUTED_VALUE"""),"")</f>
        <v/>
      </c>
      <c r="X128" s="232" t="str">
        <f>IFERROR(__xludf.DUMMYFUNCTION("""COMPUTED_VALUE"""),"")</f>
        <v/>
      </c>
      <c r="Y128" s="233" t="str">
        <f>IFERROR(__xludf.DUMMYFUNCTION("""COMPUTED_VALUE"""),"")</f>
        <v/>
      </c>
      <c r="Z128" s="231">
        <f>IFERROR(__xludf.DUMMYFUNCTION("""COMPUTED_VALUE"""),24.9)</f>
        <v>24.9</v>
      </c>
      <c r="AA128" s="232" t="str">
        <f>IFERROR(__xludf.DUMMYFUNCTION("""COMPUTED_VALUE"""),"")</f>
        <v/>
      </c>
      <c r="AB128" s="233" t="str">
        <f>IFERROR(__xludf.DUMMYFUNCTION("""COMPUTED_VALUE"""),"")</f>
        <v/>
      </c>
      <c r="AC128" s="231" t="str">
        <f>IFERROR(__xludf.DUMMYFUNCTION("""COMPUTED_VALUE"""),"")</f>
        <v/>
      </c>
      <c r="AD128" s="232" t="str">
        <f>IFERROR(__xludf.DUMMYFUNCTION("""COMPUTED_VALUE"""),"")</f>
        <v/>
      </c>
      <c r="AE128" s="233" t="str">
        <f>IFERROR(__xludf.DUMMYFUNCTION("""COMPUTED_VALUE"""),"")</f>
        <v/>
      </c>
      <c r="AF128" s="231" t="str">
        <f>IFERROR(__xludf.DUMMYFUNCTION("""COMPUTED_VALUE"""),"")</f>
        <v/>
      </c>
      <c r="AG128" s="232" t="str">
        <f>IFERROR(__xludf.DUMMYFUNCTION("""COMPUTED_VALUE"""),"")</f>
        <v/>
      </c>
      <c r="AH128" s="233" t="str">
        <f>IFERROR(__xludf.DUMMYFUNCTION("""COMPUTED_VALUE"""),"")</f>
        <v/>
      </c>
      <c r="AI128" s="231" t="str">
        <f>IFERROR(__xludf.DUMMYFUNCTION("""COMPUTED_VALUE"""),"")</f>
        <v/>
      </c>
      <c r="AJ128" s="232" t="str">
        <f>IFERROR(__xludf.DUMMYFUNCTION("""COMPUTED_VALUE"""),"")</f>
        <v/>
      </c>
      <c r="AK128" s="233" t="str">
        <f>IFERROR(__xludf.DUMMYFUNCTION("""COMPUTED_VALUE"""),"")</f>
        <v/>
      </c>
      <c r="AL128" s="231" t="str">
        <f>IFERROR(__xludf.DUMMYFUNCTION("""COMPUTED_VALUE"""),"")</f>
        <v/>
      </c>
      <c r="AM128" s="232" t="str">
        <f>IFERROR(__xludf.DUMMYFUNCTION("""COMPUTED_VALUE"""),"")</f>
        <v/>
      </c>
      <c r="AN128" s="233" t="str">
        <f>IFERROR(__xludf.DUMMYFUNCTION("""COMPUTED_VALUE"""),"")</f>
        <v/>
      </c>
      <c r="AO128" s="231" t="str">
        <f>IFERROR(__xludf.DUMMYFUNCTION("""COMPUTED_VALUE"""),"")</f>
        <v/>
      </c>
      <c r="AP128" s="232" t="str">
        <f>IFERROR(__xludf.DUMMYFUNCTION("""COMPUTED_VALUE"""),"")</f>
        <v/>
      </c>
      <c r="AQ128" s="233" t="str">
        <f>IFERROR(__xludf.DUMMYFUNCTION("""COMPUTED_VALUE"""),"")</f>
        <v/>
      </c>
      <c r="AR128" s="231" t="str">
        <f>IFERROR(__xludf.DUMMYFUNCTION("""COMPUTED_VALUE"""),"")</f>
        <v/>
      </c>
      <c r="AS128" s="232" t="str">
        <f>IFERROR(__xludf.DUMMYFUNCTION("""COMPUTED_VALUE"""),"")</f>
        <v/>
      </c>
      <c r="AT128" s="233" t="str">
        <f>IFERROR(__xludf.DUMMYFUNCTION("""COMPUTED_VALUE"""),"")</f>
        <v/>
      </c>
      <c r="AU128" s="231" t="str">
        <f>IFERROR(__xludf.DUMMYFUNCTION("""COMPUTED_VALUE"""),"")</f>
        <v/>
      </c>
      <c r="AV128" s="232" t="str">
        <f>IFERROR(__xludf.DUMMYFUNCTION("""COMPUTED_VALUE"""),"")</f>
        <v/>
      </c>
      <c r="AW128" s="233" t="str">
        <f>IFERROR(__xludf.DUMMYFUNCTION("""COMPUTED_VALUE"""),"")</f>
        <v/>
      </c>
      <c r="AX128" s="231" t="str">
        <f>IFERROR(__xludf.DUMMYFUNCTION("""COMPUTED_VALUE"""),"")</f>
        <v/>
      </c>
      <c r="AY128" s="232" t="str">
        <f>IFERROR(__xludf.DUMMYFUNCTION("""COMPUTED_VALUE"""),"")</f>
        <v/>
      </c>
      <c r="AZ128" s="233" t="str">
        <f>IFERROR(__xludf.DUMMYFUNCTION("""COMPUTED_VALUE"""),"")</f>
        <v/>
      </c>
      <c r="BA128" s="231" t="str">
        <f>IFERROR(__xludf.DUMMYFUNCTION("""COMPUTED_VALUE"""),"")</f>
        <v/>
      </c>
      <c r="BB128" s="232" t="str">
        <f>IFERROR(__xludf.DUMMYFUNCTION("""COMPUTED_VALUE"""),"")</f>
        <v/>
      </c>
      <c r="BC128" s="233" t="str">
        <f>IFERROR(__xludf.DUMMYFUNCTION("""COMPUTED_VALUE"""),"")</f>
        <v/>
      </c>
      <c r="BD128" s="231" t="str">
        <f>IFERROR(__xludf.DUMMYFUNCTION("""COMPUTED_VALUE"""),"")</f>
        <v/>
      </c>
      <c r="BE128" s="232" t="str">
        <f>IFERROR(__xludf.DUMMYFUNCTION("""COMPUTED_VALUE"""),"")</f>
        <v/>
      </c>
      <c r="BF128" s="233" t="str">
        <f>IFERROR(__xludf.DUMMYFUNCTION("""COMPUTED_VALUE"""),"")</f>
        <v/>
      </c>
      <c r="BG128" s="231" t="str">
        <f>IFERROR(__xludf.DUMMYFUNCTION("""COMPUTED_VALUE"""),"")</f>
        <v/>
      </c>
      <c r="BH128" s="232" t="str">
        <f>IFERROR(__xludf.DUMMYFUNCTION("""COMPUTED_VALUE"""),"")</f>
        <v/>
      </c>
      <c r="BI128" s="233" t="str">
        <f>IFERROR(__xludf.DUMMYFUNCTION("""COMPUTED_VALUE"""),"")</f>
        <v/>
      </c>
      <c r="BJ128" s="231" t="str">
        <f>IFERROR(__xludf.DUMMYFUNCTION("""COMPUTED_VALUE"""),"")</f>
        <v/>
      </c>
      <c r="BK128" s="232" t="str">
        <f>IFERROR(__xludf.DUMMYFUNCTION("""COMPUTED_VALUE"""),"")</f>
        <v/>
      </c>
      <c r="BL128" s="233" t="str">
        <f>IFERROR(__xludf.DUMMYFUNCTION("""COMPUTED_VALUE"""),"")</f>
        <v/>
      </c>
      <c r="BM128" s="231" t="str">
        <f>IFERROR(__xludf.DUMMYFUNCTION("""COMPUTED_VALUE"""),"")</f>
        <v/>
      </c>
      <c r="BN128" s="232" t="str">
        <f>IFERROR(__xludf.DUMMYFUNCTION("""COMPUTED_VALUE"""),"")</f>
        <v/>
      </c>
      <c r="BO128" s="233">
        <f>IFERROR(__xludf.DUMMYFUNCTION("""COMPUTED_VALUE"""),8.0)</f>
        <v>8</v>
      </c>
      <c r="BP128" s="231" t="str">
        <f>IFERROR(__xludf.DUMMYFUNCTION("""COMPUTED_VALUE"""),"")</f>
        <v/>
      </c>
      <c r="BQ128" s="232" t="str">
        <f>IFERROR(__xludf.DUMMYFUNCTION("""COMPUTED_VALUE"""),"")</f>
        <v/>
      </c>
      <c r="BR128" s="233" t="str">
        <f>IFERROR(__xludf.DUMMYFUNCTION("""COMPUTED_VALUE"""),"")</f>
        <v/>
      </c>
      <c r="BS128" s="231" t="str">
        <f>IFERROR(__xludf.DUMMYFUNCTION("""COMPUTED_VALUE"""),"")</f>
        <v/>
      </c>
      <c r="BT128" s="232">
        <f>IFERROR(__xludf.DUMMYFUNCTION("""COMPUTED_VALUE"""),24.1)</f>
        <v>24.1</v>
      </c>
      <c r="BU128" s="233" t="str">
        <f>IFERROR(__xludf.DUMMYFUNCTION("""COMPUTED_VALUE"""),"")</f>
        <v/>
      </c>
      <c r="BV128" s="231" t="str">
        <f>IFERROR(__xludf.DUMMYFUNCTION("""COMPUTED_VALUE"""),"")</f>
        <v/>
      </c>
      <c r="BW128" s="232" t="str">
        <f>IFERROR(__xludf.DUMMYFUNCTION("""COMPUTED_VALUE"""),"")</f>
        <v/>
      </c>
      <c r="BX128" s="233" t="str">
        <f>IFERROR(__xludf.DUMMYFUNCTION("""COMPUTED_VALUE"""),"")</f>
        <v/>
      </c>
      <c r="BY128" s="231" t="str">
        <f>IFERROR(__xludf.DUMMYFUNCTION("""COMPUTED_VALUE"""),"")</f>
        <v/>
      </c>
      <c r="BZ128" s="232" t="str">
        <f>IFERROR(__xludf.DUMMYFUNCTION("""COMPUTED_VALUE"""),"")</f>
        <v/>
      </c>
      <c r="CA128" s="233" t="str">
        <f>IFERROR(__xludf.DUMMYFUNCTION("""COMPUTED_VALUE"""),"")</f>
        <v/>
      </c>
      <c r="CB128" s="231" t="str">
        <f>IFERROR(__xludf.DUMMYFUNCTION("""COMPUTED_VALUE"""),"")</f>
        <v/>
      </c>
      <c r="CC128" s="232" t="str">
        <f>IFERROR(__xludf.DUMMYFUNCTION("""COMPUTED_VALUE"""),"")</f>
        <v/>
      </c>
      <c r="CD128" s="233" t="str">
        <f>IFERROR(__xludf.DUMMYFUNCTION("""COMPUTED_VALUE"""),"")</f>
        <v/>
      </c>
      <c r="CE128" s="234" t="str">
        <f>IFERROR(__xludf.DUMMYFUNCTION("""COMPUTED_VALUE"""),"")</f>
        <v/>
      </c>
      <c r="CF128" s="230" t="str">
        <f>IFERROR(__xludf.DUMMYFUNCTION("""COMPUTED_VALUE"""),"")</f>
        <v/>
      </c>
      <c r="CG128" s="235" t="str">
        <f>IFERROR(__xludf.DUMMYFUNCTION("""COMPUTED_VALUE"""),"")</f>
        <v/>
      </c>
      <c r="CH128" s="234" t="str">
        <f>IFERROR(__xludf.DUMMYFUNCTION("""COMPUTED_VALUE"""),"")</f>
        <v/>
      </c>
      <c r="CI128" s="230" t="str">
        <f>IFERROR(__xludf.DUMMYFUNCTION("""COMPUTED_VALUE"""),"")</f>
        <v/>
      </c>
      <c r="CJ128" s="235" t="str">
        <f>IFERROR(__xludf.DUMMYFUNCTION("""COMPUTED_VALUE"""),"")</f>
        <v/>
      </c>
      <c r="CK128" s="95" t="str">
        <f>IFERROR(__xludf.DUMMYFUNCTION("""COMPUTED_VALUE"""),"")</f>
        <v/>
      </c>
      <c r="CL128" s="96" t="str">
        <f>IFERROR(__xludf.DUMMYFUNCTION("""COMPUTED_VALUE"""),"")</f>
        <v/>
      </c>
      <c r="CM128" s="97" t="str">
        <f>IFERROR(__xludf.DUMMYFUNCTION("""COMPUTED_VALUE"""),"")</f>
        <v/>
      </c>
      <c r="CN128" s="95" t="str">
        <f>IFERROR(__xludf.DUMMYFUNCTION("""COMPUTED_VALUE"""),"")</f>
        <v/>
      </c>
      <c r="CO128" s="96" t="str">
        <f>IFERROR(__xludf.DUMMYFUNCTION("""COMPUTED_VALUE"""),"")</f>
        <v/>
      </c>
      <c r="CP128" s="97" t="str">
        <f>IFERROR(__xludf.DUMMYFUNCTION("""COMPUTED_VALUE"""),"")</f>
        <v/>
      </c>
      <c r="CQ128" s="95">
        <f>IFERROR(__xludf.DUMMYFUNCTION("""COMPUTED_VALUE"""),3.6)</f>
        <v>3.6</v>
      </c>
      <c r="CR128" s="96" t="str">
        <f>IFERROR(__xludf.DUMMYFUNCTION("""COMPUTED_VALUE"""),"")</f>
        <v/>
      </c>
      <c r="CS128" s="97" t="str">
        <f>IFERROR(__xludf.DUMMYFUNCTION("""COMPUTED_VALUE"""),"#REF!")</f>
        <v>#REF!</v>
      </c>
      <c r="CT128" s="95" t="str">
        <f>IFERROR(__xludf.DUMMYFUNCTION("""COMPUTED_VALUE"""),"#REF!")</f>
        <v>#REF!</v>
      </c>
      <c r="CU128" s="96" t="str">
        <f>IFERROR(__xludf.DUMMYFUNCTION("""COMPUTED_VALUE"""),"#REF!")</f>
        <v>#REF!</v>
      </c>
      <c r="CV128" s="97" t="str">
        <f>IFERROR(__xludf.DUMMYFUNCTION("""COMPUTED_VALUE"""),"#REF!")</f>
        <v>#REF!</v>
      </c>
      <c r="CW128" s="95" t="str">
        <f>IFERROR(__xludf.DUMMYFUNCTION("""COMPUTED_VALUE"""),"#REF!")</f>
        <v>#REF!</v>
      </c>
      <c r="CX128" s="96" t="str">
        <f>IFERROR(__xludf.DUMMYFUNCTION("""COMPUTED_VALUE"""),"#REF!")</f>
        <v>#REF!</v>
      </c>
      <c r="CY128" s="97" t="str">
        <f>IFERROR(__xludf.DUMMYFUNCTION("""COMPUTED_VALUE"""),"#REF!")</f>
        <v>#REF!</v>
      </c>
      <c r="CZ128" s="95" t="str">
        <f>IFERROR(__xludf.DUMMYFUNCTION("""COMPUTED_VALUE"""),"#REF!")</f>
        <v>#REF!</v>
      </c>
      <c r="DA128" s="96" t="str">
        <f>IFERROR(__xludf.DUMMYFUNCTION("""COMPUTED_VALUE"""),"#REF!")</f>
        <v>#REF!</v>
      </c>
      <c r="DB128" s="97" t="str">
        <f>IFERROR(__xludf.DUMMYFUNCTION("""COMPUTED_VALUE"""),"#REF!")</f>
        <v>#REF!</v>
      </c>
      <c r="DC128" s="95" t="str">
        <f>IFERROR(__xludf.DUMMYFUNCTION("""COMPUTED_VALUE"""),"#REF!")</f>
        <v>#REF!</v>
      </c>
      <c r="DD128" s="96" t="str">
        <f>IFERROR(__xludf.DUMMYFUNCTION("""COMPUTED_VALUE"""),"#REF!")</f>
        <v>#REF!</v>
      </c>
      <c r="DE128" s="97" t="str">
        <f>IFERROR(__xludf.DUMMYFUNCTION("""COMPUTED_VALUE"""),"#REF!")</f>
        <v>#REF!</v>
      </c>
      <c r="DF128" s="95" t="str">
        <f>IFERROR(__xludf.DUMMYFUNCTION("""COMPUTED_VALUE"""),"#REF!")</f>
        <v>#REF!</v>
      </c>
      <c r="DG128" s="96" t="str">
        <f>IFERROR(__xludf.DUMMYFUNCTION("""COMPUTED_VALUE"""),"#REF!")</f>
        <v>#REF!</v>
      </c>
      <c r="DH128" s="97" t="str">
        <f>IFERROR(__xludf.DUMMYFUNCTION("""COMPUTED_VALUE"""),"#REF!")</f>
        <v>#REF!</v>
      </c>
      <c r="DI128" s="95" t="str">
        <f>IFERROR(__xludf.DUMMYFUNCTION("""COMPUTED_VALUE"""),"#REF!")</f>
        <v>#REF!</v>
      </c>
      <c r="DJ128" s="96" t="str">
        <f>IFERROR(__xludf.DUMMYFUNCTION("""COMPUTED_VALUE"""),"#REF!")</f>
        <v>#REF!</v>
      </c>
      <c r="DK128" s="97" t="str">
        <f>IFERROR(__xludf.DUMMYFUNCTION("""COMPUTED_VALUE"""),"#REF!")</f>
        <v>#REF!</v>
      </c>
      <c r="DL128" s="95" t="str">
        <f>IFERROR(__xludf.DUMMYFUNCTION("""COMPUTED_VALUE"""),"#REF!")</f>
        <v>#REF!</v>
      </c>
      <c r="DM128" s="96" t="str">
        <f>IFERROR(__xludf.DUMMYFUNCTION("""COMPUTED_VALUE"""),"#REF!")</f>
        <v>#REF!</v>
      </c>
      <c r="DN128" s="97" t="str">
        <f>IFERROR(__xludf.DUMMYFUNCTION("""COMPUTED_VALUE"""),"#REF!")</f>
        <v>#REF!</v>
      </c>
      <c r="DO128" s="95" t="str">
        <f>IFERROR(__xludf.DUMMYFUNCTION("""COMPUTED_VALUE"""),"#REF!")</f>
        <v>#REF!</v>
      </c>
      <c r="DP128" s="96" t="str">
        <f>IFERROR(__xludf.DUMMYFUNCTION("""COMPUTED_VALUE"""),"#REF!")</f>
        <v>#REF!</v>
      </c>
      <c r="DQ128" s="97"/>
      <c r="DR128" s="95"/>
    </row>
    <row r="129">
      <c r="B129" s="120" t="str">
        <f>IFERROR(__xludf.DUMMYFUNCTION("""COMPUTED_VALUE"""),"BBL3")</f>
        <v>BBL3</v>
      </c>
      <c r="C129" s="82">
        <f>IFERROR(__xludf.DUMMYFUNCTION("""COMPUTED_VALUE"""),118.0)</f>
        <v>118</v>
      </c>
      <c r="D129" s="88" t="str">
        <f>IFERROR(__xludf.DUMMYFUNCTION("""COMPUTED_VALUE"""),"Black Cedar Forest")</f>
        <v>Black Cedar Forest</v>
      </c>
      <c r="E129" s="82" t="str">
        <f>IFERROR(__xludf.DUMMYFUNCTION("""COMPUTED_VALUE"""),"黒い杉の森")</f>
        <v>黒い杉の森</v>
      </c>
      <c r="F129" s="102">
        <f>IFERROR(__xludf.DUMMYFUNCTION("""COMPUTED_VALUE"""),20.0)</f>
        <v>20</v>
      </c>
      <c r="G129" s="82">
        <f>IFERROR(__xludf.DUMMYFUNCTION("""COMPUTED_VALUE"""),1916.0)</f>
        <v>1916</v>
      </c>
      <c r="H129" s="231" t="str">
        <f>IFERROR(__xludf.DUMMYFUNCTION("""COMPUTED_VALUE"""),"")</f>
        <v/>
      </c>
      <c r="I129" s="232" t="str">
        <f>IFERROR(__xludf.DUMMYFUNCTION("""COMPUTED_VALUE"""),"")</f>
        <v/>
      </c>
      <c r="J129" s="233" t="str">
        <f>IFERROR(__xludf.DUMMYFUNCTION("""COMPUTED_VALUE"""),"")</f>
        <v/>
      </c>
      <c r="K129" s="231" t="str">
        <f>IFERROR(__xludf.DUMMYFUNCTION("""COMPUTED_VALUE"""),"")</f>
        <v/>
      </c>
      <c r="L129" s="232" t="str">
        <f>IFERROR(__xludf.DUMMYFUNCTION("""COMPUTED_VALUE"""),"")</f>
        <v/>
      </c>
      <c r="M129" s="233" t="str">
        <f>IFERROR(__xludf.DUMMYFUNCTION("""COMPUTED_VALUE"""),"")</f>
        <v/>
      </c>
      <c r="N129" s="231" t="str">
        <f>IFERROR(__xludf.DUMMYFUNCTION("""COMPUTED_VALUE"""),"")</f>
        <v/>
      </c>
      <c r="O129" s="232" t="str">
        <f>IFERROR(__xludf.DUMMYFUNCTION("""COMPUTED_VALUE"""),"")</f>
        <v/>
      </c>
      <c r="P129" s="233" t="str">
        <f>IFERROR(__xludf.DUMMYFUNCTION("""COMPUTED_VALUE"""),"")</f>
        <v/>
      </c>
      <c r="Q129" s="231">
        <f>IFERROR(__xludf.DUMMYFUNCTION("""COMPUTED_VALUE"""),13.3)</f>
        <v>13.3</v>
      </c>
      <c r="R129" s="232" t="str">
        <f>IFERROR(__xludf.DUMMYFUNCTION("""COMPUTED_VALUE"""),"")</f>
        <v/>
      </c>
      <c r="S129" s="233" t="str">
        <f>IFERROR(__xludf.DUMMYFUNCTION("""COMPUTED_VALUE"""),"")</f>
        <v/>
      </c>
      <c r="T129" s="231" t="str">
        <f>IFERROR(__xludf.DUMMYFUNCTION("""COMPUTED_VALUE"""),"")</f>
        <v/>
      </c>
      <c r="U129" s="232" t="str">
        <f>IFERROR(__xludf.DUMMYFUNCTION("""COMPUTED_VALUE"""),"")</f>
        <v/>
      </c>
      <c r="V129" s="233" t="str">
        <f>IFERROR(__xludf.DUMMYFUNCTION("""COMPUTED_VALUE"""),"")</f>
        <v/>
      </c>
      <c r="W129" s="231" t="str">
        <f>IFERROR(__xludf.DUMMYFUNCTION("""COMPUTED_VALUE"""),"")</f>
        <v/>
      </c>
      <c r="X129" s="232" t="str">
        <f>IFERROR(__xludf.DUMMYFUNCTION("""COMPUTED_VALUE"""),"")</f>
        <v/>
      </c>
      <c r="Y129" s="233" t="str">
        <f>IFERROR(__xludf.DUMMYFUNCTION("""COMPUTED_VALUE"""),"")</f>
        <v/>
      </c>
      <c r="Z129" s="231">
        <f>IFERROR(__xludf.DUMMYFUNCTION("""COMPUTED_VALUE"""),34.1)</f>
        <v>34.1</v>
      </c>
      <c r="AA129" s="232" t="str">
        <f>IFERROR(__xludf.DUMMYFUNCTION("""COMPUTED_VALUE"""),"")</f>
        <v/>
      </c>
      <c r="AB129" s="233" t="str">
        <f>IFERROR(__xludf.DUMMYFUNCTION("""COMPUTED_VALUE"""),"")</f>
        <v/>
      </c>
      <c r="AC129" s="231" t="str">
        <f>IFERROR(__xludf.DUMMYFUNCTION("""COMPUTED_VALUE"""),"")</f>
        <v/>
      </c>
      <c r="AD129" s="232" t="str">
        <f>IFERROR(__xludf.DUMMYFUNCTION("""COMPUTED_VALUE"""),"")</f>
        <v/>
      </c>
      <c r="AE129" s="233" t="str">
        <f>IFERROR(__xludf.DUMMYFUNCTION("""COMPUTED_VALUE"""),"")</f>
        <v/>
      </c>
      <c r="AF129" s="231" t="str">
        <f>IFERROR(__xludf.DUMMYFUNCTION("""COMPUTED_VALUE"""),"")</f>
        <v/>
      </c>
      <c r="AG129" s="232" t="str">
        <f>IFERROR(__xludf.DUMMYFUNCTION("""COMPUTED_VALUE"""),"")</f>
        <v/>
      </c>
      <c r="AH129" s="233" t="str">
        <f>IFERROR(__xludf.DUMMYFUNCTION("""COMPUTED_VALUE"""),"")</f>
        <v/>
      </c>
      <c r="AI129" s="231" t="str">
        <f>IFERROR(__xludf.DUMMYFUNCTION("""COMPUTED_VALUE"""),"")</f>
        <v/>
      </c>
      <c r="AJ129" s="232" t="str">
        <f>IFERROR(__xludf.DUMMYFUNCTION("""COMPUTED_VALUE"""),"")</f>
        <v/>
      </c>
      <c r="AK129" s="233" t="str">
        <f>IFERROR(__xludf.DUMMYFUNCTION("""COMPUTED_VALUE"""),"")</f>
        <v/>
      </c>
      <c r="AL129" s="231" t="str">
        <f>IFERROR(__xludf.DUMMYFUNCTION("""COMPUTED_VALUE"""),"")</f>
        <v/>
      </c>
      <c r="AM129" s="232" t="str">
        <f>IFERROR(__xludf.DUMMYFUNCTION("""COMPUTED_VALUE"""),"")</f>
        <v/>
      </c>
      <c r="AN129" s="233" t="str">
        <f>IFERROR(__xludf.DUMMYFUNCTION("""COMPUTED_VALUE"""),"")</f>
        <v/>
      </c>
      <c r="AO129" s="231" t="str">
        <f>IFERROR(__xludf.DUMMYFUNCTION("""COMPUTED_VALUE"""),"")</f>
        <v/>
      </c>
      <c r="AP129" s="232" t="str">
        <f>IFERROR(__xludf.DUMMYFUNCTION("""COMPUTED_VALUE"""),"")</f>
        <v/>
      </c>
      <c r="AQ129" s="233" t="str">
        <f>IFERROR(__xludf.DUMMYFUNCTION("""COMPUTED_VALUE"""),"")</f>
        <v/>
      </c>
      <c r="AR129" s="231" t="str">
        <f>IFERROR(__xludf.DUMMYFUNCTION("""COMPUTED_VALUE"""),"")</f>
        <v/>
      </c>
      <c r="AS129" s="232" t="str">
        <f>IFERROR(__xludf.DUMMYFUNCTION("""COMPUTED_VALUE"""),"")</f>
        <v/>
      </c>
      <c r="AT129" s="233" t="str">
        <f>IFERROR(__xludf.DUMMYFUNCTION("""COMPUTED_VALUE"""),"")</f>
        <v/>
      </c>
      <c r="AU129" s="231" t="str">
        <f>IFERROR(__xludf.DUMMYFUNCTION("""COMPUTED_VALUE"""),"")</f>
        <v/>
      </c>
      <c r="AV129" s="232" t="str">
        <f>IFERROR(__xludf.DUMMYFUNCTION("""COMPUTED_VALUE"""),"")</f>
        <v/>
      </c>
      <c r="AW129" s="233" t="str">
        <f>IFERROR(__xludf.DUMMYFUNCTION("""COMPUTED_VALUE"""),"")</f>
        <v/>
      </c>
      <c r="AX129" s="231" t="str">
        <f>IFERROR(__xludf.DUMMYFUNCTION("""COMPUTED_VALUE"""),"")</f>
        <v/>
      </c>
      <c r="AY129" s="232" t="str">
        <f>IFERROR(__xludf.DUMMYFUNCTION("""COMPUTED_VALUE"""),"")</f>
        <v/>
      </c>
      <c r="AZ129" s="233" t="str">
        <f>IFERROR(__xludf.DUMMYFUNCTION("""COMPUTED_VALUE"""),"")</f>
        <v/>
      </c>
      <c r="BA129" s="231" t="str">
        <f>IFERROR(__xludf.DUMMYFUNCTION("""COMPUTED_VALUE"""),"")</f>
        <v/>
      </c>
      <c r="BB129" s="232" t="str">
        <f>IFERROR(__xludf.DUMMYFUNCTION("""COMPUTED_VALUE"""),"")</f>
        <v/>
      </c>
      <c r="BC129" s="233" t="str">
        <f>IFERROR(__xludf.DUMMYFUNCTION("""COMPUTED_VALUE"""),"")</f>
        <v/>
      </c>
      <c r="BD129" s="231" t="str">
        <f>IFERROR(__xludf.DUMMYFUNCTION("""COMPUTED_VALUE"""),"")</f>
        <v/>
      </c>
      <c r="BE129" s="232" t="str">
        <f>IFERROR(__xludf.DUMMYFUNCTION("""COMPUTED_VALUE"""),"")</f>
        <v/>
      </c>
      <c r="BF129" s="233" t="str">
        <f>IFERROR(__xludf.DUMMYFUNCTION("""COMPUTED_VALUE"""),"")</f>
        <v/>
      </c>
      <c r="BG129" s="231" t="str">
        <f>IFERROR(__xludf.DUMMYFUNCTION("""COMPUTED_VALUE"""),"")</f>
        <v/>
      </c>
      <c r="BH129" s="232" t="str">
        <f>IFERROR(__xludf.DUMMYFUNCTION("""COMPUTED_VALUE"""),"")</f>
        <v/>
      </c>
      <c r="BI129" s="233" t="str">
        <f>IFERROR(__xludf.DUMMYFUNCTION("""COMPUTED_VALUE"""),"")</f>
        <v/>
      </c>
      <c r="BJ129" s="231" t="str">
        <f>IFERROR(__xludf.DUMMYFUNCTION("""COMPUTED_VALUE"""),"")</f>
        <v/>
      </c>
      <c r="BK129" s="232" t="str">
        <f>IFERROR(__xludf.DUMMYFUNCTION("""COMPUTED_VALUE"""),"")</f>
        <v/>
      </c>
      <c r="BL129" s="233" t="str">
        <f>IFERROR(__xludf.DUMMYFUNCTION("""COMPUTED_VALUE"""),"")</f>
        <v/>
      </c>
      <c r="BM129" s="231">
        <f>IFERROR(__xludf.DUMMYFUNCTION("""COMPUTED_VALUE"""),8.6)</f>
        <v>8.6</v>
      </c>
      <c r="BN129" s="232" t="str">
        <f>IFERROR(__xludf.DUMMYFUNCTION("""COMPUTED_VALUE"""),"")</f>
        <v/>
      </c>
      <c r="BO129" s="233" t="str">
        <f>IFERROR(__xludf.DUMMYFUNCTION("""COMPUTED_VALUE"""),"")</f>
        <v/>
      </c>
      <c r="BP129" s="231" t="str">
        <f>IFERROR(__xludf.DUMMYFUNCTION("""COMPUTED_VALUE"""),"")</f>
        <v/>
      </c>
      <c r="BQ129" s="232" t="str">
        <f>IFERROR(__xludf.DUMMYFUNCTION("""COMPUTED_VALUE"""),"")</f>
        <v/>
      </c>
      <c r="BR129" s="233" t="str">
        <f>IFERROR(__xludf.DUMMYFUNCTION("""COMPUTED_VALUE"""),"")</f>
        <v/>
      </c>
      <c r="BS129" s="231" t="str">
        <f>IFERROR(__xludf.DUMMYFUNCTION("""COMPUTED_VALUE"""),"")</f>
        <v/>
      </c>
      <c r="BT129" s="232">
        <f>IFERROR(__xludf.DUMMYFUNCTION("""COMPUTED_VALUE"""),33.9)</f>
        <v>33.9</v>
      </c>
      <c r="BU129" s="233" t="str">
        <f>IFERROR(__xludf.DUMMYFUNCTION("""COMPUTED_VALUE"""),"")</f>
        <v/>
      </c>
      <c r="BV129" s="231" t="str">
        <f>IFERROR(__xludf.DUMMYFUNCTION("""COMPUTED_VALUE"""),"")</f>
        <v/>
      </c>
      <c r="BW129" s="232" t="str">
        <f>IFERROR(__xludf.DUMMYFUNCTION("""COMPUTED_VALUE"""),"")</f>
        <v/>
      </c>
      <c r="BX129" s="233" t="str">
        <f>IFERROR(__xludf.DUMMYFUNCTION("""COMPUTED_VALUE"""),"")</f>
        <v/>
      </c>
      <c r="BY129" s="231" t="str">
        <f>IFERROR(__xludf.DUMMYFUNCTION("""COMPUTED_VALUE"""),"")</f>
        <v/>
      </c>
      <c r="BZ129" s="232" t="str">
        <f>IFERROR(__xludf.DUMMYFUNCTION("""COMPUTED_VALUE"""),"")</f>
        <v/>
      </c>
      <c r="CA129" s="233" t="str">
        <f>IFERROR(__xludf.DUMMYFUNCTION("""COMPUTED_VALUE"""),"")</f>
        <v/>
      </c>
      <c r="CB129" s="231" t="str">
        <f>IFERROR(__xludf.DUMMYFUNCTION("""COMPUTED_VALUE"""),"")</f>
        <v/>
      </c>
      <c r="CC129" s="232" t="str">
        <f>IFERROR(__xludf.DUMMYFUNCTION("""COMPUTED_VALUE"""),"")</f>
        <v/>
      </c>
      <c r="CD129" s="233" t="str">
        <f>IFERROR(__xludf.DUMMYFUNCTION("""COMPUTED_VALUE"""),"")</f>
        <v/>
      </c>
      <c r="CE129" s="234" t="str">
        <f>IFERROR(__xludf.DUMMYFUNCTION("""COMPUTED_VALUE"""),"")</f>
        <v/>
      </c>
      <c r="CF129" s="230" t="str">
        <f>IFERROR(__xludf.DUMMYFUNCTION("""COMPUTED_VALUE"""),"")</f>
        <v/>
      </c>
      <c r="CG129" s="235" t="str">
        <f>IFERROR(__xludf.DUMMYFUNCTION("""COMPUTED_VALUE"""),"")</f>
        <v/>
      </c>
      <c r="CH129" s="234" t="str">
        <f>IFERROR(__xludf.DUMMYFUNCTION("""COMPUTED_VALUE"""),"")</f>
        <v/>
      </c>
      <c r="CI129" s="230" t="str">
        <f>IFERROR(__xludf.DUMMYFUNCTION("""COMPUTED_VALUE"""),"")</f>
        <v/>
      </c>
      <c r="CJ129" s="235" t="str">
        <f>IFERROR(__xludf.DUMMYFUNCTION("""COMPUTED_VALUE"""),"")</f>
        <v/>
      </c>
      <c r="CK129" s="95" t="str">
        <f>IFERROR(__xludf.DUMMYFUNCTION("""COMPUTED_VALUE"""),"")</f>
        <v/>
      </c>
      <c r="CL129" s="96" t="str">
        <f>IFERROR(__xludf.DUMMYFUNCTION("""COMPUTED_VALUE"""),"")</f>
        <v/>
      </c>
      <c r="CM129" s="97" t="str">
        <f>IFERROR(__xludf.DUMMYFUNCTION("""COMPUTED_VALUE"""),"")</f>
        <v/>
      </c>
      <c r="CN129" s="95" t="str">
        <f>IFERROR(__xludf.DUMMYFUNCTION("""COMPUTED_VALUE"""),"")</f>
        <v/>
      </c>
      <c r="CO129" s="96">
        <f>IFERROR(__xludf.DUMMYFUNCTION("""COMPUTED_VALUE"""),3.5)</f>
        <v>3.5</v>
      </c>
      <c r="CP129" s="97" t="str">
        <f>IFERROR(__xludf.DUMMYFUNCTION("""COMPUTED_VALUE"""),"")</f>
        <v/>
      </c>
      <c r="CQ129" s="95" t="str">
        <f>IFERROR(__xludf.DUMMYFUNCTION("""COMPUTED_VALUE"""),"")</f>
        <v/>
      </c>
      <c r="CR129" s="96" t="str">
        <f>IFERROR(__xludf.DUMMYFUNCTION("""COMPUTED_VALUE"""),"")</f>
        <v/>
      </c>
      <c r="CS129" s="97" t="str">
        <f>IFERROR(__xludf.DUMMYFUNCTION("""COMPUTED_VALUE"""),"#REF!")</f>
        <v>#REF!</v>
      </c>
      <c r="CT129" s="95" t="str">
        <f>IFERROR(__xludf.DUMMYFUNCTION("""COMPUTED_VALUE"""),"#REF!")</f>
        <v>#REF!</v>
      </c>
      <c r="CU129" s="96" t="str">
        <f>IFERROR(__xludf.DUMMYFUNCTION("""COMPUTED_VALUE"""),"#REF!")</f>
        <v>#REF!</v>
      </c>
      <c r="CV129" s="97" t="str">
        <f>IFERROR(__xludf.DUMMYFUNCTION("""COMPUTED_VALUE"""),"#REF!")</f>
        <v>#REF!</v>
      </c>
      <c r="CW129" s="95" t="str">
        <f>IFERROR(__xludf.DUMMYFUNCTION("""COMPUTED_VALUE"""),"#REF!")</f>
        <v>#REF!</v>
      </c>
      <c r="CX129" s="96" t="str">
        <f>IFERROR(__xludf.DUMMYFUNCTION("""COMPUTED_VALUE"""),"#REF!")</f>
        <v>#REF!</v>
      </c>
      <c r="CY129" s="97" t="str">
        <f>IFERROR(__xludf.DUMMYFUNCTION("""COMPUTED_VALUE"""),"#REF!")</f>
        <v>#REF!</v>
      </c>
      <c r="CZ129" s="95" t="str">
        <f>IFERROR(__xludf.DUMMYFUNCTION("""COMPUTED_VALUE"""),"#REF!")</f>
        <v>#REF!</v>
      </c>
      <c r="DA129" s="96" t="str">
        <f>IFERROR(__xludf.DUMMYFUNCTION("""COMPUTED_VALUE"""),"#REF!")</f>
        <v>#REF!</v>
      </c>
      <c r="DB129" s="97" t="str">
        <f>IFERROR(__xludf.DUMMYFUNCTION("""COMPUTED_VALUE"""),"#REF!")</f>
        <v>#REF!</v>
      </c>
      <c r="DC129" s="95" t="str">
        <f>IFERROR(__xludf.DUMMYFUNCTION("""COMPUTED_VALUE"""),"#REF!")</f>
        <v>#REF!</v>
      </c>
      <c r="DD129" s="96" t="str">
        <f>IFERROR(__xludf.DUMMYFUNCTION("""COMPUTED_VALUE"""),"#REF!")</f>
        <v>#REF!</v>
      </c>
      <c r="DE129" s="97" t="str">
        <f>IFERROR(__xludf.DUMMYFUNCTION("""COMPUTED_VALUE"""),"#REF!")</f>
        <v>#REF!</v>
      </c>
      <c r="DF129" s="95" t="str">
        <f>IFERROR(__xludf.DUMMYFUNCTION("""COMPUTED_VALUE"""),"#REF!")</f>
        <v>#REF!</v>
      </c>
      <c r="DG129" s="96" t="str">
        <f>IFERROR(__xludf.DUMMYFUNCTION("""COMPUTED_VALUE"""),"#REF!")</f>
        <v>#REF!</v>
      </c>
      <c r="DH129" s="97" t="str">
        <f>IFERROR(__xludf.DUMMYFUNCTION("""COMPUTED_VALUE"""),"#REF!")</f>
        <v>#REF!</v>
      </c>
      <c r="DI129" s="95" t="str">
        <f>IFERROR(__xludf.DUMMYFUNCTION("""COMPUTED_VALUE"""),"#REF!")</f>
        <v>#REF!</v>
      </c>
      <c r="DJ129" s="96" t="str">
        <f>IFERROR(__xludf.DUMMYFUNCTION("""COMPUTED_VALUE"""),"#REF!")</f>
        <v>#REF!</v>
      </c>
      <c r="DK129" s="97" t="str">
        <f>IFERROR(__xludf.DUMMYFUNCTION("""COMPUTED_VALUE"""),"#REF!")</f>
        <v>#REF!</v>
      </c>
      <c r="DL129" s="95" t="str">
        <f>IFERROR(__xludf.DUMMYFUNCTION("""COMPUTED_VALUE"""),"#REF!")</f>
        <v>#REF!</v>
      </c>
      <c r="DM129" s="96" t="str">
        <f>IFERROR(__xludf.DUMMYFUNCTION("""COMPUTED_VALUE"""),"#REF!")</f>
        <v>#REF!</v>
      </c>
      <c r="DN129" s="97" t="str">
        <f>IFERROR(__xludf.DUMMYFUNCTION("""COMPUTED_VALUE"""),"#REF!")</f>
        <v>#REF!</v>
      </c>
      <c r="DO129" s="95" t="str">
        <f>IFERROR(__xludf.DUMMYFUNCTION("""COMPUTED_VALUE"""),"#REF!")</f>
        <v>#REF!</v>
      </c>
      <c r="DP129" s="96" t="str">
        <f>IFERROR(__xludf.DUMMYFUNCTION("""COMPUTED_VALUE"""),"#REF!")</f>
        <v>#REF!</v>
      </c>
      <c r="DQ129" s="97"/>
      <c r="DR129" s="95"/>
    </row>
    <row r="130">
      <c r="B130" s="120" t="str">
        <f>IFERROR(__xludf.DUMMYFUNCTION("""COMPUTED_VALUE"""),"BBL4")</f>
        <v>BBL4</v>
      </c>
      <c r="C130" s="82">
        <f>IFERROR(__xludf.DUMMYFUNCTION("""COMPUTED_VALUE"""),119.0)</f>
        <v>119</v>
      </c>
      <c r="D130" s="88" t="str">
        <f>IFERROR(__xludf.DUMMYFUNCTION("""COMPUTED_VALUE"""),"Plateau")</f>
        <v>Plateau</v>
      </c>
      <c r="E130" s="82" t="str">
        <f>IFERROR(__xludf.DUMMYFUNCTION("""COMPUTED_VALUE"""),"高原")</f>
        <v>高原</v>
      </c>
      <c r="F130" s="102">
        <f>IFERROR(__xludf.DUMMYFUNCTION("""COMPUTED_VALUE"""),20.0)</f>
        <v>20</v>
      </c>
      <c r="G130" s="82">
        <f>IFERROR(__xludf.DUMMYFUNCTION("""COMPUTED_VALUE"""),13305.0)</f>
        <v>13305</v>
      </c>
      <c r="H130" s="231" t="str">
        <f>IFERROR(__xludf.DUMMYFUNCTION("""COMPUTED_VALUE"""),"")</f>
        <v/>
      </c>
      <c r="I130" s="232" t="str">
        <f>IFERROR(__xludf.DUMMYFUNCTION("""COMPUTED_VALUE"""),"")</f>
        <v/>
      </c>
      <c r="J130" s="233" t="str">
        <f>IFERROR(__xludf.DUMMYFUNCTION("""COMPUTED_VALUE"""),"")</f>
        <v/>
      </c>
      <c r="K130" s="231" t="str">
        <f>IFERROR(__xludf.DUMMYFUNCTION("""COMPUTED_VALUE"""),"")</f>
        <v/>
      </c>
      <c r="L130" s="232" t="str">
        <f>IFERROR(__xludf.DUMMYFUNCTION("""COMPUTED_VALUE"""),"")</f>
        <v/>
      </c>
      <c r="M130" s="233" t="str">
        <f>IFERROR(__xludf.DUMMYFUNCTION("""COMPUTED_VALUE"""),"")</f>
        <v/>
      </c>
      <c r="N130" s="231" t="str">
        <f>IFERROR(__xludf.DUMMYFUNCTION("""COMPUTED_VALUE"""),"")</f>
        <v/>
      </c>
      <c r="O130" s="232" t="str">
        <f>IFERROR(__xludf.DUMMYFUNCTION("""COMPUTED_VALUE"""),"")</f>
        <v/>
      </c>
      <c r="P130" s="233" t="str">
        <f>IFERROR(__xludf.DUMMYFUNCTION("""COMPUTED_VALUE"""),"")</f>
        <v/>
      </c>
      <c r="Q130" s="231" t="str">
        <f>IFERROR(__xludf.DUMMYFUNCTION("""COMPUTED_VALUE"""),"")</f>
        <v/>
      </c>
      <c r="R130" s="232" t="str">
        <f>IFERROR(__xludf.DUMMYFUNCTION("""COMPUTED_VALUE"""),"")</f>
        <v/>
      </c>
      <c r="S130" s="233" t="str">
        <f>IFERROR(__xludf.DUMMYFUNCTION("""COMPUTED_VALUE"""),"")</f>
        <v/>
      </c>
      <c r="T130" s="231" t="str">
        <f>IFERROR(__xludf.DUMMYFUNCTION("""COMPUTED_VALUE"""),"")</f>
        <v/>
      </c>
      <c r="U130" s="232" t="str">
        <f>IFERROR(__xludf.DUMMYFUNCTION("""COMPUTED_VALUE"""),"")</f>
        <v/>
      </c>
      <c r="V130" s="233" t="str">
        <f>IFERROR(__xludf.DUMMYFUNCTION("""COMPUTED_VALUE"""),"")</f>
        <v/>
      </c>
      <c r="W130" s="231" t="str">
        <f>IFERROR(__xludf.DUMMYFUNCTION("""COMPUTED_VALUE"""),"")</f>
        <v/>
      </c>
      <c r="X130" s="232" t="str">
        <f>IFERROR(__xludf.DUMMYFUNCTION("""COMPUTED_VALUE"""),"")</f>
        <v/>
      </c>
      <c r="Y130" s="233" t="str">
        <f>IFERROR(__xludf.DUMMYFUNCTION("""COMPUTED_VALUE"""),"")</f>
        <v/>
      </c>
      <c r="Z130" s="231">
        <f>IFERROR(__xludf.DUMMYFUNCTION("""COMPUTED_VALUE"""),25.4)</f>
        <v>25.4</v>
      </c>
      <c r="AA130" s="232" t="str">
        <f>IFERROR(__xludf.DUMMYFUNCTION("""COMPUTED_VALUE"""),"")</f>
        <v/>
      </c>
      <c r="AB130" s="233" t="str">
        <f>IFERROR(__xludf.DUMMYFUNCTION("""COMPUTED_VALUE"""),"")</f>
        <v/>
      </c>
      <c r="AC130" s="231" t="str">
        <f>IFERROR(__xludf.DUMMYFUNCTION("""COMPUTED_VALUE"""),"")</f>
        <v/>
      </c>
      <c r="AD130" s="232" t="str">
        <f>IFERROR(__xludf.DUMMYFUNCTION("""COMPUTED_VALUE"""),"")</f>
        <v/>
      </c>
      <c r="AE130" s="233" t="str">
        <f>IFERROR(__xludf.DUMMYFUNCTION("""COMPUTED_VALUE"""),"")</f>
        <v/>
      </c>
      <c r="AF130" s="231" t="str">
        <f>IFERROR(__xludf.DUMMYFUNCTION("""COMPUTED_VALUE"""),"")</f>
        <v/>
      </c>
      <c r="AG130" s="232" t="str">
        <f>IFERROR(__xludf.DUMMYFUNCTION("""COMPUTED_VALUE"""),"")</f>
        <v/>
      </c>
      <c r="AH130" s="233" t="str">
        <f>IFERROR(__xludf.DUMMYFUNCTION("""COMPUTED_VALUE"""),"")</f>
        <v/>
      </c>
      <c r="AI130" s="231" t="str">
        <f>IFERROR(__xludf.DUMMYFUNCTION("""COMPUTED_VALUE"""),"")</f>
        <v/>
      </c>
      <c r="AJ130" s="232" t="str">
        <f>IFERROR(__xludf.DUMMYFUNCTION("""COMPUTED_VALUE"""),"")</f>
        <v/>
      </c>
      <c r="AK130" s="233" t="str">
        <f>IFERROR(__xludf.DUMMYFUNCTION("""COMPUTED_VALUE"""),"")</f>
        <v/>
      </c>
      <c r="AL130" s="231" t="str">
        <f>IFERROR(__xludf.DUMMYFUNCTION("""COMPUTED_VALUE"""),"")</f>
        <v/>
      </c>
      <c r="AM130" s="232" t="str">
        <f>IFERROR(__xludf.DUMMYFUNCTION("""COMPUTED_VALUE"""),"")</f>
        <v/>
      </c>
      <c r="AN130" s="233" t="str">
        <f>IFERROR(__xludf.DUMMYFUNCTION("""COMPUTED_VALUE"""),"")</f>
        <v/>
      </c>
      <c r="AO130" s="231" t="str">
        <f>IFERROR(__xludf.DUMMYFUNCTION("""COMPUTED_VALUE"""),"")</f>
        <v/>
      </c>
      <c r="AP130" s="232" t="str">
        <f>IFERROR(__xludf.DUMMYFUNCTION("""COMPUTED_VALUE"""),"")</f>
        <v/>
      </c>
      <c r="AQ130" s="233" t="str">
        <f>IFERROR(__xludf.DUMMYFUNCTION("""COMPUTED_VALUE"""),"")</f>
        <v/>
      </c>
      <c r="AR130" s="231" t="str">
        <f>IFERROR(__xludf.DUMMYFUNCTION("""COMPUTED_VALUE"""),"")</f>
        <v/>
      </c>
      <c r="AS130" s="232" t="str">
        <f>IFERROR(__xludf.DUMMYFUNCTION("""COMPUTED_VALUE"""),"")</f>
        <v/>
      </c>
      <c r="AT130" s="233" t="str">
        <f>IFERROR(__xludf.DUMMYFUNCTION("""COMPUTED_VALUE"""),"")</f>
        <v/>
      </c>
      <c r="AU130" s="231" t="str">
        <f>IFERROR(__xludf.DUMMYFUNCTION("""COMPUTED_VALUE"""),"")</f>
        <v/>
      </c>
      <c r="AV130" s="232" t="str">
        <f>IFERROR(__xludf.DUMMYFUNCTION("""COMPUTED_VALUE"""),"")</f>
        <v/>
      </c>
      <c r="AW130" s="233" t="str">
        <f>IFERROR(__xludf.DUMMYFUNCTION("""COMPUTED_VALUE"""),"")</f>
        <v/>
      </c>
      <c r="AX130" s="231" t="str">
        <f>IFERROR(__xludf.DUMMYFUNCTION("""COMPUTED_VALUE"""),"")</f>
        <v/>
      </c>
      <c r="AY130" s="232">
        <f>IFERROR(__xludf.DUMMYFUNCTION("""COMPUTED_VALUE"""),49.4)</f>
        <v>49.4</v>
      </c>
      <c r="AZ130" s="233" t="str">
        <f>IFERROR(__xludf.DUMMYFUNCTION("""COMPUTED_VALUE"""),"")</f>
        <v/>
      </c>
      <c r="BA130" s="231" t="str">
        <f>IFERROR(__xludf.DUMMYFUNCTION("""COMPUTED_VALUE"""),"")</f>
        <v/>
      </c>
      <c r="BB130" s="232" t="str">
        <f>IFERROR(__xludf.DUMMYFUNCTION("""COMPUTED_VALUE"""),"")</f>
        <v/>
      </c>
      <c r="BC130" s="233" t="str">
        <f>IFERROR(__xludf.DUMMYFUNCTION("""COMPUTED_VALUE"""),"")</f>
        <v/>
      </c>
      <c r="BD130" s="231" t="str">
        <f>IFERROR(__xludf.DUMMYFUNCTION("""COMPUTED_VALUE"""),"")</f>
        <v/>
      </c>
      <c r="BE130" s="232" t="str">
        <f>IFERROR(__xludf.DUMMYFUNCTION("""COMPUTED_VALUE"""),"")</f>
        <v/>
      </c>
      <c r="BF130" s="233" t="str">
        <f>IFERROR(__xludf.DUMMYFUNCTION("""COMPUTED_VALUE"""),"")</f>
        <v/>
      </c>
      <c r="BG130" s="231" t="str">
        <f>IFERROR(__xludf.DUMMYFUNCTION("""COMPUTED_VALUE"""),"")</f>
        <v/>
      </c>
      <c r="BH130" s="232" t="str">
        <f>IFERROR(__xludf.DUMMYFUNCTION("""COMPUTED_VALUE"""),"")</f>
        <v/>
      </c>
      <c r="BI130" s="233" t="str">
        <f>IFERROR(__xludf.DUMMYFUNCTION("""COMPUTED_VALUE"""),"")</f>
        <v/>
      </c>
      <c r="BJ130" s="231" t="str">
        <f>IFERROR(__xludf.DUMMYFUNCTION("""COMPUTED_VALUE"""),"")</f>
        <v/>
      </c>
      <c r="BK130" s="232" t="str">
        <f>IFERROR(__xludf.DUMMYFUNCTION("""COMPUTED_VALUE"""),"")</f>
        <v/>
      </c>
      <c r="BL130" s="233" t="str">
        <f>IFERROR(__xludf.DUMMYFUNCTION("""COMPUTED_VALUE"""),"")</f>
        <v/>
      </c>
      <c r="BM130" s="231" t="str">
        <f>IFERROR(__xludf.DUMMYFUNCTION("""COMPUTED_VALUE"""),"")</f>
        <v/>
      </c>
      <c r="BN130" s="232" t="str">
        <f>IFERROR(__xludf.DUMMYFUNCTION("""COMPUTED_VALUE"""),"")</f>
        <v/>
      </c>
      <c r="BO130" s="233" t="str">
        <f>IFERROR(__xludf.DUMMYFUNCTION("""COMPUTED_VALUE"""),"")</f>
        <v/>
      </c>
      <c r="BP130" s="231" t="str">
        <f>IFERROR(__xludf.DUMMYFUNCTION("""COMPUTED_VALUE"""),"")</f>
        <v/>
      </c>
      <c r="BQ130" s="232" t="str">
        <f>IFERROR(__xludf.DUMMYFUNCTION("""COMPUTED_VALUE"""),"")</f>
        <v/>
      </c>
      <c r="BR130" s="233" t="str">
        <f>IFERROR(__xludf.DUMMYFUNCTION("""COMPUTED_VALUE"""),"")</f>
        <v/>
      </c>
      <c r="BS130" s="231">
        <f>IFERROR(__xludf.DUMMYFUNCTION("""COMPUTED_VALUE"""),20.6)</f>
        <v>20.6</v>
      </c>
      <c r="BT130" s="232">
        <f>IFERROR(__xludf.DUMMYFUNCTION("""COMPUTED_VALUE"""),25.5)</f>
        <v>25.5</v>
      </c>
      <c r="BU130" s="233" t="str">
        <f>IFERROR(__xludf.DUMMYFUNCTION("""COMPUTED_VALUE"""),"")</f>
        <v/>
      </c>
      <c r="BV130" s="231" t="str">
        <f>IFERROR(__xludf.DUMMYFUNCTION("""COMPUTED_VALUE"""),"")</f>
        <v/>
      </c>
      <c r="BW130" s="232" t="str">
        <f>IFERROR(__xludf.DUMMYFUNCTION("""COMPUTED_VALUE"""),"")</f>
        <v/>
      </c>
      <c r="BX130" s="233" t="str">
        <f>IFERROR(__xludf.DUMMYFUNCTION("""COMPUTED_VALUE"""),"")</f>
        <v/>
      </c>
      <c r="BY130" s="231" t="str">
        <f>IFERROR(__xludf.DUMMYFUNCTION("""COMPUTED_VALUE"""),"")</f>
        <v/>
      </c>
      <c r="BZ130" s="232" t="str">
        <f>IFERROR(__xludf.DUMMYFUNCTION("""COMPUTED_VALUE"""),"")</f>
        <v/>
      </c>
      <c r="CA130" s="233" t="str">
        <f>IFERROR(__xludf.DUMMYFUNCTION("""COMPUTED_VALUE"""),"")</f>
        <v/>
      </c>
      <c r="CB130" s="231" t="str">
        <f>IFERROR(__xludf.DUMMYFUNCTION("""COMPUTED_VALUE"""),"")</f>
        <v/>
      </c>
      <c r="CC130" s="232" t="str">
        <f>IFERROR(__xludf.DUMMYFUNCTION("""COMPUTED_VALUE"""),"")</f>
        <v/>
      </c>
      <c r="CD130" s="233" t="str">
        <f>IFERROR(__xludf.DUMMYFUNCTION("""COMPUTED_VALUE"""),"")</f>
        <v/>
      </c>
      <c r="CE130" s="234" t="str">
        <f>IFERROR(__xludf.DUMMYFUNCTION("""COMPUTED_VALUE"""),"")</f>
        <v/>
      </c>
      <c r="CF130" s="230" t="str">
        <f>IFERROR(__xludf.DUMMYFUNCTION("""COMPUTED_VALUE"""),"")</f>
        <v/>
      </c>
      <c r="CG130" s="235" t="str">
        <f>IFERROR(__xludf.DUMMYFUNCTION("""COMPUTED_VALUE"""),"")</f>
        <v/>
      </c>
      <c r="CH130" s="234" t="str">
        <f>IFERROR(__xludf.DUMMYFUNCTION("""COMPUTED_VALUE"""),"")</f>
        <v/>
      </c>
      <c r="CI130" s="230" t="str">
        <f>IFERROR(__xludf.DUMMYFUNCTION("""COMPUTED_VALUE"""),"")</f>
        <v/>
      </c>
      <c r="CJ130" s="235" t="str">
        <f>IFERROR(__xludf.DUMMYFUNCTION("""COMPUTED_VALUE"""),"")</f>
        <v/>
      </c>
      <c r="CK130" s="95" t="str">
        <f>IFERROR(__xludf.DUMMYFUNCTION("""COMPUTED_VALUE"""),"")</f>
        <v/>
      </c>
      <c r="CL130" s="96" t="str">
        <f>IFERROR(__xludf.DUMMYFUNCTION("""COMPUTED_VALUE"""),"")</f>
        <v/>
      </c>
      <c r="CM130" s="97" t="str">
        <f>IFERROR(__xludf.DUMMYFUNCTION("""COMPUTED_VALUE"""),"")</f>
        <v/>
      </c>
      <c r="CN130" s="95" t="str">
        <f>IFERROR(__xludf.DUMMYFUNCTION("""COMPUTED_VALUE"""),"")</f>
        <v/>
      </c>
      <c r="CO130" s="96" t="str">
        <f>IFERROR(__xludf.DUMMYFUNCTION("""COMPUTED_VALUE"""),"")</f>
        <v/>
      </c>
      <c r="CP130" s="97" t="str">
        <f>IFERROR(__xludf.DUMMYFUNCTION("""COMPUTED_VALUE"""),"")</f>
        <v/>
      </c>
      <c r="CQ130" s="95" t="str">
        <f>IFERROR(__xludf.DUMMYFUNCTION("""COMPUTED_VALUE"""),"")</f>
        <v/>
      </c>
      <c r="CR130" s="96" t="str">
        <f>IFERROR(__xludf.DUMMYFUNCTION("""COMPUTED_VALUE"""),"")</f>
        <v/>
      </c>
      <c r="CS130" s="97" t="str">
        <f>IFERROR(__xludf.DUMMYFUNCTION("""COMPUTED_VALUE"""),"#REF!")</f>
        <v>#REF!</v>
      </c>
      <c r="CT130" s="95" t="str">
        <f>IFERROR(__xludf.DUMMYFUNCTION("""COMPUTED_VALUE"""),"#REF!")</f>
        <v>#REF!</v>
      </c>
      <c r="CU130" s="96" t="str">
        <f>IFERROR(__xludf.DUMMYFUNCTION("""COMPUTED_VALUE"""),"#REF!")</f>
        <v>#REF!</v>
      </c>
      <c r="CV130" s="97" t="str">
        <f>IFERROR(__xludf.DUMMYFUNCTION("""COMPUTED_VALUE"""),"#REF!")</f>
        <v>#REF!</v>
      </c>
      <c r="CW130" s="95" t="str">
        <f>IFERROR(__xludf.DUMMYFUNCTION("""COMPUTED_VALUE"""),"#REF!")</f>
        <v>#REF!</v>
      </c>
      <c r="CX130" s="96" t="str">
        <f>IFERROR(__xludf.DUMMYFUNCTION("""COMPUTED_VALUE"""),"#REF!")</f>
        <v>#REF!</v>
      </c>
      <c r="CY130" s="97" t="str">
        <f>IFERROR(__xludf.DUMMYFUNCTION("""COMPUTED_VALUE"""),"#REF!")</f>
        <v>#REF!</v>
      </c>
      <c r="CZ130" s="95" t="str">
        <f>IFERROR(__xludf.DUMMYFUNCTION("""COMPUTED_VALUE"""),"#REF!")</f>
        <v>#REF!</v>
      </c>
      <c r="DA130" s="96" t="str">
        <f>IFERROR(__xludf.DUMMYFUNCTION("""COMPUTED_VALUE"""),"#REF!")</f>
        <v>#REF!</v>
      </c>
      <c r="DB130" s="97" t="str">
        <f>IFERROR(__xludf.DUMMYFUNCTION("""COMPUTED_VALUE"""),"#REF!")</f>
        <v>#REF!</v>
      </c>
      <c r="DC130" s="95" t="str">
        <f>IFERROR(__xludf.DUMMYFUNCTION("""COMPUTED_VALUE"""),"#REF!")</f>
        <v>#REF!</v>
      </c>
      <c r="DD130" s="96" t="str">
        <f>IFERROR(__xludf.DUMMYFUNCTION("""COMPUTED_VALUE"""),"#REF!")</f>
        <v>#REF!</v>
      </c>
      <c r="DE130" s="97" t="str">
        <f>IFERROR(__xludf.DUMMYFUNCTION("""COMPUTED_VALUE"""),"#REF!")</f>
        <v>#REF!</v>
      </c>
      <c r="DF130" s="95" t="str">
        <f>IFERROR(__xludf.DUMMYFUNCTION("""COMPUTED_VALUE"""),"#REF!")</f>
        <v>#REF!</v>
      </c>
      <c r="DG130" s="96" t="str">
        <f>IFERROR(__xludf.DUMMYFUNCTION("""COMPUTED_VALUE"""),"#REF!")</f>
        <v>#REF!</v>
      </c>
      <c r="DH130" s="97" t="str">
        <f>IFERROR(__xludf.DUMMYFUNCTION("""COMPUTED_VALUE"""),"#REF!")</f>
        <v>#REF!</v>
      </c>
      <c r="DI130" s="95" t="str">
        <f>IFERROR(__xludf.DUMMYFUNCTION("""COMPUTED_VALUE"""),"#REF!")</f>
        <v>#REF!</v>
      </c>
      <c r="DJ130" s="96" t="str">
        <f>IFERROR(__xludf.DUMMYFUNCTION("""COMPUTED_VALUE"""),"#REF!")</f>
        <v>#REF!</v>
      </c>
      <c r="DK130" s="97" t="str">
        <f>IFERROR(__xludf.DUMMYFUNCTION("""COMPUTED_VALUE"""),"#REF!")</f>
        <v>#REF!</v>
      </c>
      <c r="DL130" s="95" t="str">
        <f>IFERROR(__xludf.DUMMYFUNCTION("""COMPUTED_VALUE"""),"#REF!")</f>
        <v>#REF!</v>
      </c>
      <c r="DM130" s="96" t="str">
        <f>IFERROR(__xludf.DUMMYFUNCTION("""COMPUTED_VALUE"""),"#REF!")</f>
        <v>#REF!</v>
      </c>
      <c r="DN130" s="97" t="str">
        <f>IFERROR(__xludf.DUMMYFUNCTION("""COMPUTED_VALUE"""),"#REF!")</f>
        <v>#REF!</v>
      </c>
      <c r="DO130" s="95" t="str">
        <f>IFERROR(__xludf.DUMMYFUNCTION("""COMPUTED_VALUE"""),"#REF!")</f>
        <v>#REF!</v>
      </c>
      <c r="DP130" s="96" t="str">
        <f>IFERROR(__xludf.DUMMYFUNCTION("""COMPUTED_VALUE"""),"#REF!")</f>
        <v>#REF!</v>
      </c>
      <c r="DQ130" s="97"/>
      <c r="DR130" s="95"/>
    </row>
    <row r="131">
      <c r="B131" s="120" t="str">
        <f>IFERROR(__xludf.DUMMYFUNCTION("""COMPUTED_VALUE"""),"BBL5")</f>
        <v>BBL5</v>
      </c>
      <c r="C131" s="82">
        <f>IFERROR(__xludf.DUMMYFUNCTION("""COMPUTED_VALUE"""),120.0)</f>
        <v>120</v>
      </c>
      <c r="D131" s="88" t="str">
        <f>IFERROR(__xludf.DUMMYFUNCTION("""COMPUTED_VALUE"""),"Bog")</f>
        <v>Bog</v>
      </c>
      <c r="E131" s="82" t="str">
        <f>IFERROR(__xludf.DUMMYFUNCTION("""COMPUTED_VALUE"""),"湿原")</f>
        <v>湿原</v>
      </c>
      <c r="F131" s="102">
        <f>IFERROR(__xludf.DUMMYFUNCTION("""COMPUTED_VALUE"""),21.0)</f>
        <v>21</v>
      </c>
      <c r="G131" s="82">
        <f>IFERROR(__xludf.DUMMYFUNCTION("""COMPUTED_VALUE"""),1889.0)</f>
        <v>1889</v>
      </c>
      <c r="H131" s="231" t="str">
        <f>IFERROR(__xludf.DUMMYFUNCTION("""COMPUTED_VALUE"""),"")</f>
        <v/>
      </c>
      <c r="I131" s="232" t="str">
        <f>IFERROR(__xludf.DUMMYFUNCTION("""COMPUTED_VALUE"""),"")</f>
        <v/>
      </c>
      <c r="J131" s="233" t="str">
        <f>IFERROR(__xludf.DUMMYFUNCTION("""COMPUTED_VALUE"""),"")</f>
        <v/>
      </c>
      <c r="K131" s="231" t="str">
        <f>IFERROR(__xludf.DUMMYFUNCTION("""COMPUTED_VALUE"""),"")</f>
        <v/>
      </c>
      <c r="L131" s="232" t="str">
        <f>IFERROR(__xludf.DUMMYFUNCTION("""COMPUTED_VALUE"""),"")</f>
        <v/>
      </c>
      <c r="M131" s="233" t="str">
        <f>IFERROR(__xludf.DUMMYFUNCTION("""COMPUTED_VALUE"""),"")</f>
        <v/>
      </c>
      <c r="N131" s="231" t="str">
        <f>IFERROR(__xludf.DUMMYFUNCTION("""COMPUTED_VALUE"""),"")</f>
        <v/>
      </c>
      <c r="O131" s="232" t="str">
        <f>IFERROR(__xludf.DUMMYFUNCTION("""COMPUTED_VALUE"""),"")</f>
        <v/>
      </c>
      <c r="P131" s="233" t="str">
        <f>IFERROR(__xludf.DUMMYFUNCTION("""COMPUTED_VALUE"""),"")</f>
        <v/>
      </c>
      <c r="Q131" s="231" t="str">
        <f>IFERROR(__xludf.DUMMYFUNCTION("""COMPUTED_VALUE"""),"")</f>
        <v/>
      </c>
      <c r="R131" s="232" t="str">
        <f>IFERROR(__xludf.DUMMYFUNCTION("""COMPUTED_VALUE"""),"")</f>
        <v/>
      </c>
      <c r="S131" s="233" t="str">
        <f>IFERROR(__xludf.DUMMYFUNCTION("""COMPUTED_VALUE"""),"")</f>
        <v/>
      </c>
      <c r="T131" s="231" t="str">
        <f>IFERROR(__xludf.DUMMYFUNCTION("""COMPUTED_VALUE"""),"")</f>
        <v/>
      </c>
      <c r="U131" s="232" t="str">
        <f>IFERROR(__xludf.DUMMYFUNCTION("""COMPUTED_VALUE"""),"")</f>
        <v/>
      </c>
      <c r="V131" s="233" t="str">
        <f>IFERROR(__xludf.DUMMYFUNCTION("""COMPUTED_VALUE"""),"")</f>
        <v/>
      </c>
      <c r="W131" s="231" t="str">
        <f>IFERROR(__xludf.DUMMYFUNCTION("""COMPUTED_VALUE"""),"")</f>
        <v/>
      </c>
      <c r="X131" s="232" t="str">
        <f>IFERROR(__xludf.DUMMYFUNCTION("""COMPUTED_VALUE"""),"")</f>
        <v/>
      </c>
      <c r="Y131" s="233" t="str">
        <f>IFERROR(__xludf.DUMMYFUNCTION("""COMPUTED_VALUE"""),"")</f>
        <v/>
      </c>
      <c r="Z131" s="231" t="str">
        <f>IFERROR(__xludf.DUMMYFUNCTION("""COMPUTED_VALUE"""),"")</f>
        <v/>
      </c>
      <c r="AA131" s="232" t="str">
        <f>IFERROR(__xludf.DUMMYFUNCTION("""COMPUTED_VALUE"""),"")</f>
        <v/>
      </c>
      <c r="AB131" s="233" t="str">
        <f>IFERROR(__xludf.DUMMYFUNCTION("""COMPUTED_VALUE"""),"")</f>
        <v/>
      </c>
      <c r="AC131" s="231">
        <f>IFERROR(__xludf.DUMMYFUNCTION("""COMPUTED_VALUE"""),24.5)</f>
        <v>24.5</v>
      </c>
      <c r="AD131" s="232" t="str">
        <f>IFERROR(__xludf.DUMMYFUNCTION("""COMPUTED_VALUE"""),"")</f>
        <v/>
      </c>
      <c r="AE131" s="233" t="str">
        <f>IFERROR(__xludf.DUMMYFUNCTION("""COMPUTED_VALUE"""),"")</f>
        <v/>
      </c>
      <c r="AF131" s="231" t="str">
        <f>IFERROR(__xludf.DUMMYFUNCTION("""COMPUTED_VALUE"""),"")</f>
        <v/>
      </c>
      <c r="AG131" s="232" t="str">
        <f>IFERROR(__xludf.DUMMYFUNCTION("""COMPUTED_VALUE"""),"")</f>
        <v/>
      </c>
      <c r="AH131" s="233" t="str">
        <f>IFERROR(__xludf.DUMMYFUNCTION("""COMPUTED_VALUE"""),"")</f>
        <v/>
      </c>
      <c r="AI131" s="231" t="str">
        <f>IFERROR(__xludf.DUMMYFUNCTION("""COMPUTED_VALUE"""),"")</f>
        <v/>
      </c>
      <c r="AJ131" s="232" t="str">
        <f>IFERROR(__xludf.DUMMYFUNCTION("""COMPUTED_VALUE"""),"")</f>
        <v/>
      </c>
      <c r="AK131" s="233" t="str">
        <f>IFERROR(__xludf.DUMMYFUNCTION("""COMPUTED_VALUE"""),"")</f>
        <v/>
      </c>
      <c r="AL131" s="231" t="str">
        <f>IFERROR(__xludf.DUMMYFUNCTION("""COMPUTED_VALUE"""),"")</f>
        <v/>
      </c>
      <c r="AM131" s="232" t="str">
        <f>IFERROR(__xludf.DUMMYFUNCTION("""COMPUTED_VALUE"""),"")</f>
        <v/>
      </c>
      <c r="AN131" s="233" t="str">
        <f>IFERROR(__xludf.DUMMYFUNCTION("""COMPUTED_VALUE"""),"")</f>
        <v/>
      </c>
      <c r="AO131" s="231" t="str">
        <f>IFERROR(__xludf.DUMMYFUNCTION("""COMPUTED_VALUE"""),"")</f>
        <v/>
      </c>
      <c r="AP131" s="232" t="str">
        <f>IFERROR(__xludf.DUMMYFUNCTION("""COMPUTED_VALUE"""),"")</f>
        <v/>
      </c>
      <c r="AQ131" s="233" t="str">
        <f>IFERROR(__xludf.DUMMYFUNCTION("""COMPUTED_VALUE"""),"")</f>
        <v/>
      </c>
      <c r="AR131" s="231" t="str">
        <f>IFERROR(__xludf.DUMMYFUNCTION("""COMPUTED_VALUE"""),"")</f>
        <v/>
      </c>
      <c r="AS131" s="232" t="str">
        <f>IFERROR(__xludf.DUMMYFUNCTION("""COMPUTED_VALUE"""),"")</f>
        <v/>
      </c>
      <c r="AT131" s="233" t="str">
        <f>IFERROR(__xludf.DUMMYFUNCTION("""COMPUTED_VALUE"""),"")</f>
        <v/>
      </c>
      <c r="AU131" s="231" t="str">
        <f>IFERROR(__xludf.DUMMYFUNCTION("""COMPUTED_VALUE"""),"")</f>
        <v/>
      </c>
      <c r="AV131" s="232" t="str">
        <f>IFERROR(__xludf.DUMMYFUNCTION("""COMPUTED_VALUE"""),"")</f>
        <v/>
      </c>
      <c r="AW131" s="233" t="str">
        <f>IFERROR(__xludf.DUMMYFUNCTION("""COMPUTED_VALUE"""),"")</f>
        <v/>
      </c>
      <c r="AX131" s="231" t="str">
        <f>IFERROR(__xludf.DUMMYFUNCTION("""COMPUTED_VALUE"""),"")</f>
        <v/>
      </c>
      <c r="AY131" s="232">
        <f>IFERROR(__xludf.DUMMYFUNCTION("""COMPUTED_VALUE"""),39.4)</f>
        <v>39.4</v>
      </c>
      <c r="AZ131" s="233" t="str">
        <f>IFERROR(__xludf.DUMMYFUNCTION("""COMPUTED_VALUE"""),"")</f>
        <v/>
      </c>
      <c r="BA131" s="231" t="str">
        <f>IFERROR(__xludf.DUMMYFUNCTION("""COMPUTED_VALUE"""),"")</f>
        <v/>
      </c>
      <c r="BB131" s="232" t="str">
        <f>IFERROR(__xludf.DUMMYFUNCTION("""COMPUTED_VALUE"""),"")</f>
        <v/>
      </c>
      <c r="BC131" s="233" t="str">
        <f>IFERROR(__xludf.DUMMYFUNCTION("""COMPUTED_VALUE"""),"")</f>
        <v/>
      </c>
      <c r="BD131" s="231" t="str">
        <f>IFERROR(__xludf.DUMMYFUNCTION("""COMPUTED_VALUE"""),"")</f>
        <v/>
      </c>
      <c r="BE131" s="232" t="str">
        <f>IFERROR(__xludf.DUMMYFUNCTION("""COMPUTED_VALUE"""),"")</f>
        <v/>
      </c>
      <c r="BF131" s="233" t="str">
        <f>IFERROR(__xludf.DUMMYFUNCTION("""COMPUTED_VALUE"""),"")</f>
        <v/>
      </c>
      <c r="BG131" s="231" t="str">
        <f>IFERROR(__xludf.DUMMYFUNCTION("""COMPUTED_VALUE"""),"")</f>
        <v/>
      </c>
      <c r="BH131" s="232" t="str">
        <f>IFERROR(__xludf.DUMMYFUNCTION("""COMPUTED_VALUE"""),"")</f>
        <v/>
      </c>
      <c r="BI131" s="233" t="str">
        <f>IFERROR(__xludf.DUMMYFUNCTION("""COMPUTED_VALUE"""),"")</f>
        <v/>
      </c>
      <c r="BJ131" s="231" t="str">
        <f>IFERROR(__xludf.DUMMYFUNCTION("""COMPUTED_VALUE"""),"")</f>
        <v/>
      </c>
      <c r="BK131" s="232">
        <f>IFERROR(__xludf.DUMMYFUNCTION("""COMPUTED_VALUE"""),16.6)</f>
        <v>16.6</v>
      </c>
      <c r="BL131" s="233" t="str">
        <f>IFERROR(__xludf.DUMMYFUNCTION("""COMPUTED_VALUE"""),"")</f>
        <v/>
      </c>
      <c r="BM131" s="231" t="str">
        <f>IFERROR(__xludf.DUMMYFUNCTION("""COMPUTED_VALUE"""),"")</f>
        <v/>
      </c>
      <c r="BN131" s="232" t="str">
        <f>IFERROR(__xludf.DUMMYFUNCTION("""COMPUTED_VALUE"""),"")</f>
        <v/>
      </c>
      <c r="BO131" s="233" t="str">
        <f>IFERROR(__xludf.DUMMYFUNCTION("""COMPUTED_VALUE"""),"")</f>
        <v/>
      </c>
      <c r="BP131" s="231" t="str">
        <f>IFERROR(__xludf.DUMMYFUNCTION("""COMPUTED_VALUE"""),"")</f>
        <v/>
      </c>
      <c r="BQ131" s="232" t="str">
        <f>IFERROR(__xludf.DUMMYFUNCTION("""COMPUTED_VALUE"""),"")</f>
        <v/>
      </c>
      <c r="BR131" s="233" t="str">
        <f>IFERROR(__xludf.DUMMYFUNCTION("""COMPUTED_VALUE"""),"")</f>
        <v/>
      </c>
      <c r="BS131" s="231">
        <f>IFERROR(__xludf.DUMMYFUNCTION("""COMPUTED_VALUE"""),25.6)</f>
        <v>25.6</v>
      </c>
      <c r="BT131" s="232" t="str">
        <f>IFERROR(__xludf.DUMMYFUNCTION("""COMPUTED_VALUE"""),"")</f>
        <v/>
      </c>
      <c r="BU131" s="233" t="str">
        <f>IFERROR(__xludf.DUMMYFUNCTION("""COMPUTED_VALUE"""),"")</f>
        <v/>
      </c>
      <c r="BV131" s="231" t="str">
        <f>IFERROR(__xludf.DUMMYFUNCTION("""COMPUTED_VALUE"""),"")</f>
        <v/>
      </c>
      <c r="BW131" s="232" t="str">
        <f>IFERROR(__xludf.DUMMYFUNCTION("""COMPUTED_VALUE"""),"")</f>
        <v/>
      </c>
      <c r="BX131" s="233" t="str">
        <f>IFERROR(__xludf.DUMMYFUNCTION("""COMPUTED_VALUE"""),"")</f>
        <v/>
      </c>
      <c r="BY131" s="231" t="str">
        <f>IFERROR(__xludf.DUMMYFUNCTION("""COMPUTED_VALUE"""),"")</f>
        <v/>
      </c>
      <c r="BZ131" s="232" t="str">
        <f>IFERROR(__xludf.DUMMYFUNCTION("""COMPUTED_VALUE"""),"")</f>
        <v/>
      </c>
      <c r="CA131" s="233" t="str">
        <f>IFERROR(__xludf.DUMMYFUNCTION("""COMPUTED_VALUE"""),"")</f>
        <v/>
      </c>
      <c r="CB131" s="231" t="str">
        <f>IFERROR(__xludf.DUMMYFUNCTION("""COMPUTED_VALUE"""),"")</f>
        <v/>
      </c>
      <c r="CC131" s="232" t="str">
        <f>IFERROR(__xludf.DUMMYFUNCTION("""COMPUTED_VALUE"""),"")</f>
        <v/>
      </c>
      <c r="CD131" s="233" t="str">
        <f>IFERROR(__xludf.DUMMYFUNCTION("""COMPUTED_VALUE"""),"")</f>
        <v/>
      </c>
      <c r="CE131" s="234" t="str">
        <f>IFERROR(__xludf.DUMMYFUNCTION("""COMPUTED_VALUE"""),"")</f>
        <v/>
      </c>
      <c r="CF131" s="230" t="str">
        <f>IFERROR(__xludf.DUMMYFUNCTION("""COMPUTED_VALUE"""),"")</f>
        <v/>
      </c>
      <c r="CG131" s="235" t="str">
        <f>IFERROR(__xludf.DUMMYFUNCTION("""COMPUTED_VALUE"""),"")</f>
        <v/>
      </c>
      <c r="CH131" s="234" t="str">
        <f>IFERROR(__xludf.DUMMYFUNCTION("""COMPUTED_VALUE"""),"")</f>
        <v/>
      </c>
      <c r="CI131" s="230" t="str">
        <f>IFERROR(__xludf.DUMMYFUNCTION("""COMPUTED_VALUE"""),"")</f>
        <v/>
      </c>
      <c r="CJ131" s="235" t="str">
        <f>IFERROR(__xludf.DUMMYFUNCTION("""COMPUTED_VALUE"""),"")</f>
        <v/>
      </c>
      <c r="CK131" s="95" t="str">
        <f>IFERROR(__xludf.DUMMYFUNCTION("""COMPUTED_VALUE"""),"")</f>
        <v/>
      </c>
      <c r="CL131" s="96" t="str">
        <f>IFERROR(__xludf.DUMMYFUNCTION("""COMPUTED_VALUE"""),"")</f>
        <v/>
      </c>
      <c r="CM131" s="97" t="str">
        <f>IFERROR(__xludf.DUMMYFUNCTION("""COMPUTED_VALUE"""),"")</f>
        <v/>
      </c>
      <c r="CN131" s="95" t="str">
        <f>IFERROR(__xludf.DUMMYFUNCTION("""COMPUTED_VALUE"""),"")</f>
        <v/>
      </c>
      <c r="CO131" s="96" t="str">
        <f>IFERROR(__xludf.DUMMYFUNCTION("""COMPUTED_VALUE"""),"")</f>
        <v/>
      </c>
      <c r="CP131" s="97" t="str">
        <f>IFERROR(__xludf.DUMMYFUNCTION("""COMPUTED_VALUE"""),"")</f>
        <v/>
      </c>
      <c r="CQ131" s="95" t="str">
        <f>IFERROR(__xludf.DUMMYFUNCTION("""COMPUTED_VALUE"""),"")</f>
        <v/>
      </c>
      <c r="CR131" s="96" t="str">
        <f>IFERROR(__xludf.DUMMYFUNCTION("""COMPUTED_VALUE"""),"")</f>
        <v/>
      </c>
      <c r="CS131" s="97" t="str">
        <f>IFERROR(__xludf.DUMMYFUNCTION("""COMPUTED_VALUE"""),"#REF!")</f>
        <v>#REF!</v>
      </c>
      <c r="CT131" s="95" t="str">
        <f>IFERROR(__xludf.DUMMYFUNCTION("""COMPUTED_VALUE"""),"#REF!")</f>
        <v>#REF!</v>
      </c>
      <c r="CU131" s="96" t="str">
        <f>IFERROR(__xludf.DUMMYFUNCTION("""COMPUTED_VALUE"""),"#REF!")</f>
        <v>#REF!</v>
      </c>
      <c r="CV131" s="97" t="str">
        <f>IFERROR(__xludf.DUMMYFUNCTION("""COMPUTED_VALUE"""),"#REF!")</f>
        <v>#REF!</v>
      </c>
      <c r="CW131" s="95" t="str">
        <f>IFERROR(__xludf.DUMMYFUNCTION("""COMPUTED_VALUE"""),"#REF!")</f>
        <v>#REF!</v>
      </c>
      <c r="CX131" s="96" t="str">
        <f>IFERROR(__xludf.DUMMYFUNCTION("""COMPUTED_VALUE"""),"#REF!")</f>
        <v>#REF!</v>
      </c>
      <c r="CY131" s="97" t="str">
        <f>IFERROR(__xludf.DUMMYFUNCTION("""COMPUTED_VALUE"""),"#REF!")</f>
        <v>#REF!</v>
      </c>
      <c r="CZ131" s="95" t="str">
        <f>IFERROR(__xludf.DUMMYFUNCTION("""COMPUTED_VALUE"""),"#REF!")</f>
        <v>#REF!</v>
      </c>
      <c r="DA131" s="96" t="str">
        <f>IFERROR(__xludf.DUMMYFUNCTION("""COMPUTED_VALUE"""),"#REF!")</f>
        <v>#REF!</v>
      </c>
      <c r="DB131" s="97" t="str">
        <f>IFERROR(__xludf.DUMMYFUNCTION("""COMPUTED_VALUE"""),"#REF!")</f>
        <v>#REF!</v>
      </c>
      <c r="DC131" s="95" t="str">
        <f>IFERROR(__xludf.DUMMYFUNCTION("""COMPUTED_VALUE"""),"#REF!")</f>
        <v>#REF!</v>
      </c>
      <c r="DD131" s="96" t="str">
        <f>IFERROR(__xludf.DUMMYFUNCTION("""COMPUTED_VALUE"""),"#REF!")</f>
        <v>#REF!</v>
      </c>
      <c r="DE131" s="97" t="str">
        <f>IFERROR(__xludf.DUMMYFUNCTION("""COMPUTED_VALUE"""),"#REF!")</f>
        <v>#REF!</v>
      </c>
      <c r="DF131" s="95" t="str">
        <f>IFERROR(__xludf.DUMMYFUNCTION("""COMPUTED_VALUE"""),"#REF!")</f>
        <v>#REF!</v>
      </c>
      <c r="DG131" s="96" t="str">
        <f>IFERROR(__xludf.DUMMYFUNCTION("""COMPUTED_VALUE"""),"#REF!")</f>
        <v>#REF!</v>
      </c>
      <c r="DH131" s="97" t="str">
        <f>IFERROR(__xludf.DUMMYFUNCTION("""COMPUTED_VALUE"""),"#REF!")</f>
        <v>#REF!</v>
      </c>
      <c r="DI131" s="95" t="str">
        <f>IFERROR(__xludf.DUMMYFUNCTION("""COMPUTED_VALUE"""),"#REF!")</f>
        <v>#REF!</v>
      </c>
      <c r="DJ131" s="96" t="str">
        <f>IFERROR(__xludf.DUMMYFUNCTION("""COMPUTED_VALUE"""),"#REF!")</f>
        <v>#REF!</v>
      </c>
      <c r="DK131" s="97" t="str">
        <f>IFERROR(__xludf.DUMMYFUNCTION("""COMPUTED_VALUE"""),"#REF!")</f>
        <v>#REF!</v>
      </c>
      <c r="DL131" s="95" t="str">
        <f>IFERROR(__xludf.DUMMYFUNCTION("""COMPUTED_VALUE"""),"#REF!")</f>
        <v>#REF!</v>
      </c>
      <c r="DM131" s="96" t="str">
        <f>IFERROR(__xludf.DUMMYFUNCTION("""COMPUTED_VALUE"""),"#REF!")</f>
        <v>#REF!</v>
      </c>
      <c r="DN131" s="97" t="str">
        <f>IFERROR(__xludf.DUMMYFUNCTION("""COMPUTED_VALUE"""),"#REF!")</f>
        <v>#REF!</v>
      </c>
      <c r="DO131" s="95" t="str">
        <f>IFERROR(__xludf.DUMMYFUNCTION("""COMPUTED_VALUE"""),"#REF!")</f>
        <v>#REF!</v>
      </c>
      <c r="DP131" s="96" t="str">
        <f>IFERROR(__xludf.DUMMYFUNCTION("""COMPUTED_VALUE"""),"#REF!")</f>
        <v>#REF!</v>
      </c>
      <c r="DQ131" s="97"/>
      <c r="DR131" s="95"/>
    </row>
    <row r="132">
      <c r="B132" s="120" t="str">
        <f>IFERROR(__xludf.DUMMYFUNCTION("""COMPUTED_VALUE"""),"BBL6")</f>
        <v>BBL6</v>
      </c>
      <c r="C132" s="82">
        <f>IFERROR(__xludf.DUMMYFUNCTION("""COMPUTED_VALUE"""),121.0)</f>
        <v>121</v>
      </c>
      <c r="D132" s="88" t="str">
        <f>IFERROR(__xludf.DUMMYFUNCTION("""COMPUTED_VALUE"""),"Ur")</f>
        <v>Ur</v>
      </c>
      <c r="E132" s="82" t="str">
        <f>IFERROR(__xludf.DUMMYFUNCTION("""COMPUTED_VALUE"""),"ウル")</f>
        <v>ウル</v>
      </c>
      <c r="F132" s="102">
        <f>IFERROR(__xludf.DUMMYFUNCTION("""COMPUTED_VALUE"""),21.0)</f>
        <v>21</v>
      </c>
      <c r="G132" s="82">
        <f>IFERROR(__xludf.DUMMYFUNCTION("""COMPUTED_VALUE"""),22584.0)</f>
        <v>22584</v>
      </c>
      <c r="H132" s="231">
        <f>IFERROR(__xludf.DUMMYFUNCTION("""COMPUTED_VALUE"""),18.1)</f>
        <v>18.1</v>
      </c>
      <c r="I132" s="232" t="str">
        <f>IFERROR(__xludf.DUMMYFUNCTION("""COMPUTED_VALUE"""),"")</f>
        <v/>
      </c>
      <c r="J132" s="233" t="str">
        <f>IFERROR(__xludf.DUMMYFUNCTION("""COMPUTED_VALUE"""),"")</f>
        <v/>
      </c>
      <c r="K132" s="231" t="str">
        <f>IFERROR(__xludf.DUMMYFUNCTION("""COMPUTED_VALUE"""),"")</f>
        <v/>
      </c>
      <c r="L132" s="232" t="str">
        <f>IFERROR(__xludf.DUMMYFUNCTION("""COMPUTED_VALUE"""),"")</f>
        <v/>
      </c>
      <c r="M132" s="233" t="str">
        <f>IFERROR(__xludf.DUMMYFUNCTION("""COMPUTED_VALUE"""),"")</f>
        <v/>
      </c>
      <c r="N132" s="231" t="str">
        <f>IFERROR(__xludf.DUMMYFUNCTION("""COMPUTED_VALUE"""),"")</f>
        <v/>
      </c>
      <c r="O132" s="232" t="str">
        <f>IFERROR(__xludf.DUMMYFUNCTION("""COMPUTED_VALUE"""),"")</f>
        <v/>
      </c>
      <c r="P132" s="233" t="str">
        <f>IFERROR(__xludf.DUMMYFUNCTION("""COMPUTED_VALUE"""),"")</f>
        <v/>
      </c>
      <c r="Q132" s="231" t="str">
        <f>IFERROR(__xludf.DUMMYFUNCTION("""COMPUTED_VALUE"""),"")</f>
        <v/>
      </c>
      <c r="R132" s="232" t="str">
        <f>IFERROR(__xludf.DUMMYFUNCTION("""COMPUTED_VALUE"""),"")</f>
        <v/>
      </c>
      <c r="S132" s="233" t="str">
        <f>IFERROR(__xludf.DUMMYFUNCTION("""COMPUTED_VALUE"""),"")</f>
        <v/>
      </c>
      <c r="T132" s="231" t="str">
        <f>IFERROR(__xludf.DUMMYFUNCTION("""COMPUTED_VALUE"""),"")</f>
        <v/>
      </c>
      <c r="U132" s="232" t="str">
        <f>IFERROR(__xludf.DUMMYFUNCTION("""COMPUTED_VALUE"""),"")</f>
        <v/>
      </c>
      <c r="V132" s="233" t="str">
        <f>IFERROR(__xludf.DUMMYFUNCTION("""COMPUTED_VALUE"""),"")</f>
        <v/>
      </c>
      <c r="W132" s="231" t="str">
        <f>IFERROR(__xludf.DUMMYFUNCTION("""COMPUTED_VALUE"""),"")</f>
        <v/>
      </c>
      <c r="X132" s="232" t="str">
        <f>IFERROR(__xludf.DUMMYFUNCTION("""COMPUTED_VALUE"""),"")</f>
        <v/>
      </c>
      <c r="Y132" s="233" t="str">
        <f>IFERROR(__xludf.DUMMYFUNCTION("""COMPUTED_VALUE"""),"")</f>
        <v/>
      </c>
      <c r="Z132" s="231">
        <f>IFERROR(__xludf.DUMMYFUNCTION("""COMPUTED_VALUE"""),23.8)</f>
        <v>23.8</v>
      </c>
      <c r="AA132" s="232" t="str">
        <f>IFERROR(__xludf.DUMMYFUNCTION("""COMPUTED_VALUE"""),"")</f>
        <v/>
      </c>
      <c r="AB132" s="233" t="str">
        <f>IFERROR(__xludf.DUMMYFUNCTION("""COMPUTED_VALUE"""),"")</f>
        <v/>
      </c>
      <c r="AC132" s="231" t="str">
        <f>IFERROR(__xludf.DUMMYFUNCTION("""COMPUTED_VALUE"""),"")</f>
        <v/>
      </c>
      <c r="AD132" s="232" t="str">
        <f>IFERROR(__xludf.DUMMYFUNCTION("""COMPUTED_VALUE"""),"")</f>
        <v/>
      </c>
      <c r="AE132" s="233" t="str">
        <f>IFERROR(__xludf.DUMMYFUNCTION("""COMPUTED_VALUE"""),"")</f>
        <v/>
      </c>
      <c r="AF132" s="231" t="str">
        <f>IFERROR(__xludf.DUMMYFUNCTION("""COMPUTED_VALUE"""),"")</f>
        <v/>
      </c>
      <c r="AG132" s="232" t="str">
        <f>IFERROR(__xludf.DUMMYFUNCTION("""COMPUTED_VALUE"""),"")</f>
        <v/>
      </c>
      <c r="AH132" s="233" t="str">
        <f>IFERROR(__xludf.DUMMYFUNCTION("""COMPUTED_VALUE"""),"")</f>
        <v/>
      </c>
      <c r="AI132" s="231" t="str">
        <f>IFERROR(__xludf.DUMMYFUNCTION("""COMPUTED_VALUE"""),"")</f>
        <v/>
      </c>
      <c r="AJ132" s="232" t="str">
        <f>IFERROR(__xludf.DUMMYFUNCTION("""COMPUTED_VALUE"""),"")</f>
        <v/>
      </c>
      <c r="AK132" s="233" t="str">
        <f>IFERROR(__xludf.DUMMYFUNCTION("""COMPUTED_VALUE"""),"")</f>
        <v/>
      </c>
      <c r="AL132" s="231" t="str">
        <f>IFERROR(__xludf.DUMMYFUNCTION("""COMPUTED_VALUE"""),"")</f>
        <v/>
      </c>
      <c r="AM132" s="232" t="str">
        <f>IFERROR(__xludf.DUMMYFUNCTION("""COMPUTED_VALUE"""),"")</f>
        <v/>
      </c>
      <c r="AN132" s="233" t="str">
        <f>IFERROR(__xludf.DUMMYFUNCTION("""COMPUTED_VALUE"""),"")</f>
        <v/>
      </c>
      <c r="AO132" s="231" t="str">
        <f>IFERROR(__xludf.DUMMYFUNCTION("""COMPUTED_VALUE"""),"")</f>
        <v/>
      </c>
      <c r="AP132" s="232" t="str">
        <f>IFERROR(__xludf.DUMMYFUNCTION("""COMPUTED_VALUE"""),"")</f>
        <v/>
      </c>
      <c r="AQ132" s="233" t="str">
        <f>IFERROR(__xludf.DUMMYFUNCTION("""COMPUTED_VALUE"""),"")</f>
        <v/>
      </c>
      <c r="AR132" s="231" t="str">
        <f>IFERROR(__xludf.DUMMYFUNCTION("""COMPUTED_VALUE"""),"")</f>
        <v/>
      </c>
      <c r="AS132" s="232" t="str">
        <f>IFERROR(__xludf.DUMMYFUNCTION("""COMPUTED_VALUE"""),"")</f>
        <v/>
      </c>
      <c r="AT132" s="233" t="str">
        <f>IFERROR(__xludf.DUMMYFUNCTION("""COMPUTED_VALUE"""),"")</f>
        <v/>
      </c>
      <c r="AU132" s="231" t="str">
        <f>IFERROR(__xludf.DUMMYFUNCTION("""COMPUTED_VALUE"""),"")</f>
        <v/>
      </c>
      <c r="AV132" s="232" t="str">
        <f>IFERROR(__xludf.DUMMYFUNCTION("""COMPUTED_VALUE"""),"")</f>
        <v/>
      </c>
      <c r="AW132" s="233" t="str">
        <f>IFERROR(__xludf.DUMMYFUNCTION("""COMPUTED_VALUE"""),"")</f>
        <v/>
      </c>
      <c r="AX132" s="231" t="str">
        <f>IFERROR(__xludf.DUMMYFUNCTION("""COMPUTED_VALUE"""),"")</f>
        <v/>
      </c>
      <c r="AY132" s="232" t="str">
        <f>IFERROR(__xludf.DUMMYFUNCTION("""COMPUTED_VALUE"""),"")</f>
        <v/>
      </c>
      <c r="AZ132" s="233" t="str">
        <f>IFERROR(__xludf.DUMMYFUNCTION("""COMPUTED_VALUE"""),"")</f>
        <v/>
      </c>
      <c r="BA132" s="231" t="str">
        <f>IFERROR(__xludf.DUMMYFUNCTION("""COMPUTED_VALUE"""),"")</f>
        <v/>
      </c>
      <c r="BB132" s="232" t="str">
        <f>IFERROR(__xludf.DUMMYFUNCTION("""COMPUTED_VALUE"""),"")</f>
        <v/>
      </c>
      <c r="BC132" s="233" t="str">
        <f>IFERROR(__xludf.DUMMYFUNCTION("""COMPUTED_VALUE"""),"")</f>
        <v/>
      </c>
      <c r="BD132" s="231" t="str">
        <f>IFERROR(__xludf.DUMMYFUNCTION("""COMPUTED_VALUE"""),"")</f>
        <v/>
      </c>
      <c r="BE132" s="232" t="str">
        <f>IFERROR(__xludf.DUMMYFUNCTION("""COMPUTED_VALUE"""),"")</f>
        <v/>
      </c>
      <c r="BF132" s="233" t="str">
        <f>IFERROR(__xludf.DUMMYFUNCTION("""COMPUTED_VALUE"""),"")</f>
        <v/>
      </c>
      <c r="BG132" s="231" t="str">
        <f>IFERROR(__xludf.DUMMYFUNCTION("""COMPUTED_VALUE"""),"")</f>
        <v/>
      </c>
      <c r="BH132" s="232" t="str">
        <f>IFERROR(__xludf.DUMMYFUNCTION("""COMPUTED_VALUE"""),"")</f>
        <v/>
      </c>
      <c r="BI132" s="233" t="str">
        <f>IFERROR(__xludf.DUMMYFUNCTION("""COMPUTED_VALUE"""),"")</f>
        <v/>
      </c>
      <c r="BJ132" s="231">
        <f>IFERROR(__xludf.DUMMYFUNCTION("""COMPUTED_VALUE"""),8.7)</f>
        <v>8.7</v>
      </c>
      <c r="BK132" s="232" t="str">
        <f>IFERROR(__xludf.DUMMYFUNCTION("""COMPUTED_VALUE"""),"")</f>
        <v/>
      </c>
      <c r="BL132" s="233" t="str">
        <f>IFERROR(__xludf.DUMMYFUNCTION("""COMPUTED_VALUE"""),"")</f>
        <v/>
      </c>
      <c r="BM132" s="231" t="str">
        <f>IFERROR(__xludf.DUMMYFUNCTION("""COMPUTED_VALUE"""),"")</f>
        <v/>
      </c>
      <c r="BN132" s="232" t="str">
        <f>IFERROR(__xludf.DUMMYFUNCTION("""COMPUTED_VALUE"""),"")</f>
        <v/>
      </c>
      <c r="BO132" s="233">
        <f>IFERROR(__xludf.DUMMYFUNCTION("""COMPUTED_VALUE"""),9.1)</f>
        <v>9.1</v>
      </c>
      <c r="BP132" s="231">
        <f>IFERROR(__xludf.DUMMYFUNCTION("""COMPUTED_VALUE"""),23.0)</f>
        <v>23</v>
      </c>
      <c r="BQ132" s="232" t="str">
        <f>IFERROR(__xludf.DUMMYFUNCTION("""COMPUTED_VALUE"""),"")</f>
        <v/>
      </c>
      <c r="BR132" s="233" t="str">
        <f>IFERROR(__xludf.DUMMYFUNCTION("""COMPUTED_VALUE"""),"")</f>
        <v/>
      </c>
      <c r="BS132" s="231" t="str">
        <f>IFERROR(__xludf.DUMMYFUNCTION("""COMPUTED_VALUE"""),"")</f>
        <v/>
      </c>
      <c r="BT132" s="232" t="str">
        <f>IFERROR(__xludf.DUMMYFUNCTION("""COMPUTED_VALUE"""),"")</f>
        <v/>
      </c>
      <c r="BU132" s="233" t="str">
        <f>IFERROR(__xludf.DUMMYFUNCTION("""COMPUTED_VALUE"""),"")</f>
        <v/>
      </c>
      <c r="BV132" s="231" t="str">
        <f>IFERROR(__xludf.DUMMYFUNCTION("""COMPUTED_VALUE"""),"")</f>
        <v/>
      </c>
      <c r="BW132" s="232" t="str">
        <f>IFERROR(__xludf.DUMMYFUNCTION("""COMPUTED_VALUE"""),"")</f>
        <v/>
      </c>
      <c r="BX132" s="233" t="str">
        <f>IFERROR(__xludf.DUMMYFUNCTION("""COMPUTED_VALUE"""),"")</f>
        <v/>
      </c>
      <c r="BY132" s="231" t="str">
        <f>IFERROR(__xludf.DUMMYFUNCTION("""COMPUTED_VALUE"""),"")</f>
        <v/>
      </c>
      <c r="BZ132" s="232" t="str">
        <f>IFERROR(__xludf.DUMMYFUNCTION("""COMPUTED_VALUE"""),"")</f>
        <v/>
      </c>
      <c r="CA132" s="233" t="str">
        <f>IFERROR(__xludf.DUMMYFUNCTION("""COMPUTED_VALUE"""),"")</f>
        <v/>
      </c>
      <c r="CB132" s="231" t="str">
        <f>IFERROR(__xludf.DUMMYFUNCTION("""COMPUTED_VALUE"""),"")</f>
        <v/>
      </c>
      <c r="CC132" s="232" t="str">
        <f>IFERROR(__xludf.DUMMYFUNCTION("""COMPUTED_VALUE"""),"")</f>
        <v/>
      </c>
      <c r="CD132" s="233" t="str">
        <f>IFERROR(__xludf.DUMMYFUNCTION("""COMPUTED_VALUE"""),"")</f>
        <v/>
      </c>
      <c r="CE132" s="234" t="str">
        <f>IFERROR(__xludf.DUMMYFUNCTION("""COMPUTED_VALUE"""),"")</f>
        <v/>
      </c>
      <c r="CF132" s="230" t="str">
        <f>IFERROR(__xludf.DUMMYFUNCTION("""COMPUTED_VALUE"""),"")</f>
        <v/>
      </c>
      <c r="CG132" s="235" t="str">
        <f>IFERROR(__xludf.DUMMYFUNCTION("""COMPUTED_VALUE"""),"")</f>
        <v/>
      </c>
      <c r="CH132" s="234" t="str">
        <f>IFERROR(__xludf.DUMMYFUNCTION("""COMPUTED_VALUE"""),"")</f>
        <v/>
      </c>
      <c r="CI132" s="230" t="str">
        <f>IFERROR(__xludf.DUMMYFUNCTION("""COMPUTED_VALUE"""),"")</f>
        <v/>
      </c>
      <c r="CJ132" s="235" t="str">
        <f>IFERROR(__xludf.DUMMYFUNCTION("""COMPUTED_VALUE"""),"")</f>
        <v/>
      </c>
      <c r="CK132" s="95" t="str">
        <f>IFERROR(__xludf.DUMMYFUNCTION("""COMPUTED_VALUE"""),"")</f>
        <v/>
      </c>
      <c r="CL132" s="96" t="str">
        <f>IFERROR(__xludf.DUMMYFUNCTION("""COMPUTED_VALUE"""),"")</f>
        <v/>
      </c>
      <c r="CM132" s="97" t="str">
        <f>IFERROR(__xludf.DUMMYFUNCTION("""COMPUTED_VALUE"""),"")</f>
        <v/>
      </c>
      <c r="CN132" s="95" t="str">
        <f>IFERROR(__xludf.DUMMYFUNCTION("""COMPUTED_VALUE"""),"")</f>
        <v/>
      </c>
      <c r="CO132" s="96" t="str">
        <f>IFERROR(__xludf.DUMMYFUNCTION("""COMPUTED_VALUE"""),"")</f>
        <v/>
      </c>
      <c r="CP132" s="97" t="str">
        <f>IFERROR(__xludf.DUMMYFUNCTION("""COMPUTED_VALUE"""),"")</f>
        <v/>
      </c>
      <c r="CQ132" s="95" t="str">
        <f>IFERROR(__xludf.DUMMYFUNCTION("""COMPUTED_VALUE"""),"")</f>
        <v/>
      </c>
      <c r="CR132" s="96" t="str">
        <f>IFERROR(__xludf.DUMMYFUNCTION("""COMPUTED_VALUE"""),"")</f>
        <v/>
      </c>
      <c r="CS132" s="97" t="str">
        <f>IFERROR(__xludf.DUMMYFUNCTION("""COMPUTED_VALUE"""),"#REF!")</f>
        <v>#REF!</v>
      </c>
      <c r="CT132" s="95" t="str">
        <f>IFERROR(__xludf.DUMMYFUNCTION("""COMPUTED_VALUE"""),"#REF!")</f>
        <v>#REF!</v>
      </c>
      <c r="CU132" s="96" t="str">
        <f>IFERROR(__xludf.DUMMYFUNCTION("""COMPUTED_VALUE"""),"#REF!")</f>
        <v>#REF!</v>
      </c>
      <c r="CV132" s="97" t="str">
        <f>IFERROR(__xludf.DUMMYFUNCTION("""COMPUTED_VALUE"""),"#REF!")</f>
        <v>#REF!</v>
      </c>
      <c r="CW132" s="95" t="str">
        <f>IFERROR(__xludf.DUMMYFUNCTION("""COMPUTED_VALUE"""),"#REF!")</f>
        <v>#REF!</v>
      </c>
      <c r="CX132" s="96" t="str">
        <f>IFERROR(__xludf.DUMMYFUNCTION("""COMPUTED_VALUE"""),"#REF!")</f>
        <v>#REF!</v>
      </c>
      <c r="CY132" s="97" t="str">
        <f>IFERROR(__xludf.DUMMYFUNCTION("""COMPUTED_VALUE"""),"#REF!")</f>
        <v>#REF!</v>
      </c>
      <c r="CZ132" s="95" t="str">
        <f>IFERROR(__xludf.DUMMYFUNCTION("""COMPUTED_VALUE"""),"#REF!")</f>
        <v>#REF!</v>
      </c>
      <c r="DA132" s="96" t="str">
        <f>IFERROR(__xludf.DUMMYFUNCTION("""COMPUTED_VALUE"""),"#REF!")</f>
        <v>#REF!</v>
      </c>
      <c r="DB132" s="97" t="str">
        <f>IFERROR(__xludf.DUMMYFUNCTION("""COMPUTED_VALUE"""),"#REF!")</f>
        <v>#REF!</v>
      </c>
      <c r="DC132" s="95" t="str">
        <f>IFERROR(__xludf.DUMMYFUNCTION("""COMPUTED_VALUE"""),"#REF!")</f>
        <v>#REF!</v>
      </c>
      <c r="DD132" s="96" t="str">
        <f>IFERROR(__xludf.DUMMYFUNCTION("""COMPUTED_VALUE"""),"#REF!")</f>
        <v>#REF!</v>
      </c>
      <c r="DE132" s="97" t="str">
        <f>IFERROR(__xludf.DUMMYFUNCTION("""COMPUTED_VALUE"""),"#REF!")</f>
        <v>#REF!</v>
      </c>
      <c r="DF132" s="95" t="str">
        <f>IFERROR(__xludf.DUMMYFUNCTION("""COMPUTED_VALUE"""),"#REF!")</f>
        <v>#REF!</v>
      </c>
      <c r="DG132" s="96" t="str">
        <f>IFERROR(__xludf.DUMMYFUNCTION("""COMPUTED_VALUE"""),"#REF!")</f>
        <v>#REF!</v>
      </c>
      <c r="DH132" s="97" t="str">
        <f>IFERROR(__xludf.DUMMYFUNCTION("""COMPUTED_VALUE"""),"#REF!")</f>
        <v>#REF!</v>
      </c>
      <c r="DI132" s="95" t="str">
        <f>IFERROR(__xludf.DUMMYFUNCTION("""COMPUTED_VALUE"""),"#REF!")</f>
        <v>#REF!</v>
      </c>
      <c r="DJ132" s="96" t="str">
        <f>IFERROR(__xludf.DUMMYFUNCTION("""COMPUTED_VALUE"""),"#REF!")</f>
        <v>#REF!</v>
      </c>
      <c r="DK132" s="97" t="str">
        <f>IFERROR(__xludf.DUMMYFUNCTION("""COMPUTED_VALUE"""),"#REF!")</f>
        <v>#REF!</v>
      </c>
      <c r="DL132" s="95" t="str">
        <f>IFERROR(__xludf.DUMMYFUNCTION("""COMPUTED_VALUE"""),"#REF!")</f>
        <v>#REF!</v>
      </c>
      <c r="DM132" s="96" t="str">
        <f>IFERROR(__xludf.DUMMYFUNCTION("""COMPUTED_VALUE"""),"#REF!")</f>
        <v>#REF!</v>
      </c>
      <c r="DN132" s="97" t="str">
        <f>IFERROR(__xludf.DUMMYFUNCTION("""COMPUTED_VALUE"""),"#REF!")</f>
        <v>#REF!</v>
      </c>
      <c r="DO132" s="95" t="str">
        <f>IFERROR(__xludf.DUMMYFUNCTION("""COMPUTED_VALUE"""),"#REF!")</f>
        <v>#REF!</v>
      </c>
      <c r="DP132" s="96" t="str">
        <f>IFERROR(__xludf.DUMMYFUNCTION("""COMPUTED_VALUE"""),"#REF!")</f>
        <v>#REF!</v>
      </c>
      <c r="DQ132" s="97"/>
      <c r="DR132" s="95"/>
    </row>
    <row r="133">
      <c r="B133" s="120" t="str">
        <f>IFERROR(__xludf.DUMMYFUNCTION("""COMPUTED_VALUE"""),"BBL7")</f>
        <v>BBL7</v>
      </c>
      <c r="C133" s="82">
        <f>IFERROR(__xludf.DUMMYFUNCTION("""COMPUTED_VALUE"""),122.0)</f>
        <v>122</v>
      </c>
      <c r="D133" s="88" t="str">
        <f>IFERROR(__xludf.DUMMYFUNCTION("""COMPUTED_VALUE"""),"Eridu")</f>
        <v>Eridu</v>
      </c>
      <c r="E133" s="82" t="str">
        <f>IFERROR(__xludf.DUMMYFUNCTION("""COMPUTED_VALUE"""),"エリドゥ")</f>
        <v>エリドゥ</v>
      </c>
      <c r="F133" s="102">
        <f>IFERROR(__xludf.DUMMYFUNCTION("""COMPUTED_VALUE"""),21.0)</f>
        <v>21</v>
      </c>
      <c r="G133" s="82">
        <f>IFERROR(__xludf.DUMMYFUNCTION("""COMPUTED_VALUE"""),16194.0)</f>
        <v>16194</v>
      </c>
      <c r="H133" s="231" t="str">
        <f>IFERROR(__xludf.DUMMYFUNCTION("""COMPUTED_VALUE"""),"")</f>
        <v/>
      </c>
      <c r="I133" s="232" t="str">
        <f>IFERROR(__xludf.DUMMYFUNCTION("""COMPUTED_VALUE"""),"")</f>
        <v/>
      </c>
      <c r="J133" s="233" t="str">
        <f>IFERROR(__xludf.DUMMYFUNCTION("""COMPUTED_VALUE"""),"")</f>
        <v/>
      </c>
      <c r="K133" s="231" t="str">
        <f>IFERROR(__xludf.DUMMYFUNCTION("""COMPUTED_VALUE"""),"")</f>
        <v/>
      </c>
      <c r="L133" s="232" t="str">
        <f>IFERROR(__xludf.DUMMYFUNCTION("""COMPUTED_VALUE"""),"")</f>
        <v/>
      </c>
      <c r="M133" s="233" t="str">
        <f>IFERROR(__xludf.DUMMYFUNCTION("""COMPUTED_VALUE"""),"")</f>
        <v/>
      </c>
      <c r="N133" s="231" t="str">
        <f>IFERROR(__xludf.DUMMYFUNCTION("""COMPUTED_VALUE"""),"")</f>
        <v/>
      </c>
      <c r="O133" s="232" t="str">
        <f>IFERROR(__xludf.DUMMYFUNCTION("""COMPUTED_VALUE"""),"")</f>
        <v/>
      </c>
      <c r="P133" s="233" t="str">
        <f>IFERROR(__xludf.DUMMYFUNCTION("""COMPUTED_VALUE"""),"")</f>
        <v/>
      </c>
      <c r="Q133" s="231" t="str">
        <f>IFERROR(__xludf.DUMMYFUNCTION("""COMPUTED_VALUE"""),"")</f>
        <v/>
      </c>
      <c r="R133" s="232" t="str">
        <f>IFERROR(__xludf.DUMMYFUNCTION("""COMPUTED_VALUE"""),"")</f>
        <v/>
      </c>
      <c r="S133" s="233" t="str">
        <f>IFERROR(__xludf.DUMMYFUNCTION("""COMPUTED_VALUE"""),"")</f>
        <v/>
      </c>
      <c r="T133" s="231" t="str">
        <f>IFERROR(__xludf.DUMMYFUNCTION("""COMPUTED_VALUE"""),"")</f>
        <v/>
      </c>
      <c r="U133" s="232" t="str">
        <f>IFERROR(__xludf.DUMMYFUNCTION("""COMPUTED_VALUE"""),"")</f>
        <v/>
      </c>
      <c r="V133" s="233" t="str">
        <f>IFERROR(__xludf.DUMMYFUNCTION("""COMPUTED_VALUE"""),"")</f>
        <v/>
      </c>
      <c r="W133" s="231" t="str">
        <f>IFERROR(__xludf.DUMMYFUNCTION("""COMPUTED_VALUE"""),"")</f>
        <v/>
      </c>
      <c r="X133" s="232" t="str">
        <f>IFERROR(__xludf.DUMMYFUNCTION("""COMPUTED_VALUE"""),"")</f>
        <v/>
      </c>
      <c r="Y133" s="233" t="str">
        <f>IFERROR(__xludf.DUMMYFUNCTION("""COMPUTED_VALUE"""),"")</f>
        <v/>
      </c>
      <c r="Z133" s="231" t="str">
        <f>IFERROR(__xludf.DUMMYFUNCTION("""COMPUTED_VALUE"""),"")</f>
        <v/>
      </c>
      <c r="AA133" s="232" t="str">
        <f>IFERROR(__xludf.DUMMYFUNCTION("""COMPUTED_VALUE"""),"")</f>
        <v/>
      </c>
      <c r="AB133" s="233" t="str">
        <f>IFERROR(__xludf.DUMMYFUNCTION("""COMPUTED_VALUE"""),"")</f>
        <v/>
      </c>
      <c r="AC133" s="231" t="str">
        <f>IFERROR(__xludf.DUMMYFUNCTION("""COMPUTED_VALUE"""),"")</f>
        <v/>
      </c>
      <c r="AD133" s="232" t="str">
        <f>IFERROR(__xludf.DUMMYFUNCTION("""COMPUTED_VALUE"""),"")</f>
        <v/>
      </c>
      <c r="AE133" s="233" t="str">
        <f>IFERROR(__xludf.DUMMYFUNCTION("""COMPUTED_VALUE"""),"")</f>
        <v/>
      </c>
      <c r="AF133" s="231" t="str">
        <f>IFERROR(__xludf.DUMMYFUNCTION("""COMPUTED_VALUE"""),"")</f>
        <v/>
      </c>
      <c r="AG133" s="232" t="str">
        <f>IFERROR(__xludf.DUMMYFUNCTION("""COMPUTED_VALUE"""),"")</f>
        <v/>
      </c>
      <c r="AH133" s="233" t="str">
        <f>IFERROR(__xludf.DUMMYFUNCTION("""COMPUTED_VALUE"""),"")</f>
        <v/>
      </c>
      <c r="AI133" s="231" t="str">
        <f>IFERROR(__xludf.DUMMYFUNCTION("""COMPUTED_VALUE"""),"")</f>
        <v/>
      </c>
      <c r="AJ133" s="232" t="str">
        <f>IFERROR(__xludf.DUMMYFUNCTION("""COMPUTED_VALUE"""),"")</f>
        <v/>
      </c>
      <c r="AK133" s="233" t="str">
        <f>IFERROR(__xludf.DUMMYFUNCTION("""COMPUTED_VALUE"""),"")</f>
        <v/>
      </c>
      <c r="AL133" s="231" t="str">
        <f>IFERROR(__xludf.DUMMYFUNCTION("""COMPUTED_VALUE"""),"")</f>
        <v/>
      </c>
      <c r="AM133" s="232" t="str">
        <f>IFERROR(__xludf.DUMMYFUNCTION("""COMPUTED_VALUE"""),"")</f>
        <v/>
      </c>
      <c r="AN133" s="233" t="str">
        <f>IFERROR(__xludf.DUMMYFUNCTION("""COMPUTED_VALUE"""),"")</f>
        <v/>
      </c>
      <c r="AO133" s="231" t="str">
        <f>IFERROR(__xludf.DUMMYFUNCTION("""COMPUTED_VALUE"""),"")</f>
        <v/>
      </c>
      <c r="AP133" s="232" t="str">
        <f>IFERROR(__xludf.DUMMYFUNCTION("""COMPUTED_VALUE"""),"")</f>
        <v/>
      </c>
      <c r="AQ133" s="233" t="str">
        <f>IFERROR(__xludf.DUMMYFUNCTION("""COMPUTED_VALUE"""),"")</f>
        <v/>
      </c>
      <c r="AR133" s="231" t="str">
        <f>IFERROR(__xludf.DUMMYFUNCTION("""COMPUTED_VALUE"""),"")</f>
        <v/>
      </c>
      <c r="AS133" s="232" t="str">
        <f>IFERROR(__xludf.DUMMYFUNCTION("""COMPUTED_VALUE"""),"")</f>
        <v/>
      </c>
      <c r="AT133" s="233" t="str">
        <f>IFERROR(__xludf.DUMMYFUNCTION("""COMPUTED_VALUE"""),"")</f>
        <v/>
      </c>
      <c r="AU133" s="231" t="str">
        <f>IFERROR(__xludf.DUMMYFUNCTION("""COMPUTED_VALUE"""),"")</f>
        <v/>
      </c>
      <c r="AV133" s="232">
        <f>IFERROR(__xludf.DUMMYFUNCTION("""COMPUTED_VALUE"""),62.8)</f>
        <v>62.8</v>
      </c>
      <c r="AW133" s="233" t="str">
        <f>IFERROR(__xludf.DUMMYFUNCTION("""COMPUTED_VALUE"""),"")</f>
        <v/>
      </c>
      <c r="AX133" s="231" t="str">
        <f>IFERROR(__xludf.DUMMYFUNCTION("""COMPUTED_VALUE"""),"")</f>
        <v/>
      </c>
      <c r="AY133" s="232" t="str">
        <f>IFERROR(__xludf.DUMMYFUNCTION("""COMPUTED_VALUE"""),"")</f>
        <v/>
      </c>
      <c r="AZ133" s="233" t="str">
        <f>IFERROR(__xludf.DUMMYFUNCTION("""COMPUTED_VALUE"""),"")</f>
        <v/>
      </c>
      <c r="BA133" s="231" t="str">
        <f>IFERROR(__xludf.DUMMYFUNCTION("""COMPUTED_VALUE"""),"")</f>
        <v/>
      </c>
      <c r="BB133" s="232" t="str">
        <f>IFERROR(__xludf.DUMMYFUNCTION("""COMPUTED_VALUE"""),"")</f>
        <v/>
      </c>
      <c r="BC133" s="233" t="str">
        <f>IFERROR(__xludf.DUMMYFUNCTION("""COMPUTED_VALUE"""),"")</f>
        <v/>
      </c>
      <c r="BD133" s="231" t="str">
        <f>IFERROR(__xludf.DUMMYFUNCTION("""COMPUTED_VALUE"""),"")</f>
        <v/>
      </c>
      <c r="BE133" s="232" t="str">
        <f>IFERROR(__xludf.DUMMYFUNCTION("""COMPUTED_VALUE"""),"")</f>
        <v/>
      </c>
      <c r="BF133" s="233" t="str">
        <f>IFERROR(__xludf.DUMMYFUNCTION("""COMPUTED_VALUE"""),"")</f>
        <v/>
      </c>
      <c r="BG133" s="231" t="str">
        <f>IFERROR(__xludf.DUMMYFUNCTION("""COMPUTED_VALUE"""),"")</f>
        <v/>
      </c>
      <c r="BH133" s="232" t="str">
        <f>IFERROR(__xludf.DUMMYFUNCTION("""COMPUTED_VALUE"""),"")</f>
        <v/>
      </c>
      <c r="BI133" s="233" t="str">
        <f>IFERROR(__xludf.DUMMYFUNCTION("""COMPUTED_VALUE"""),"")</f>
        <v/>
      </c>
      <c r="BJ133" s="231" t="str">
        <f>IFERROR(__xludf.DUMMYFUNCTION("""COMPUTED_VALUE"""),"")</f>
        <v/>
      </c>
      <c r="BK133" s="232" t="str">
        <f>IFERROR(__xludf.DUMMYFUNCTION("""COMPUTED_VALUE"""),"")</f>
        <v/>
      </c>
      <c r="BL133" s="233" t="str">
        <f>IFERROR(__xludf.DUMMYFUNCTION("""COMPUTED_VALUE"""),"")</f>
        <v/>
      </c>
      <c r="BM133" s="231">
        <f>IFERROR(__xludf.DUMMYFUNCTION("""COMPUTED_VALUE"""),19.8)</f>
        <v>19.8</v>
      </c>
      <c r="BN133" s="232" t="str">
        <f>IFERROR(__xludf.DUMMYFUNCTION("""COMPUTED_VALUE"""),"")</f>
        <v/>
      </c>
      <c r="BO133" s="233" t="str">
        <f>IFERROR(__xludf.DUMMYFUNCTION("""COMPUTED_VALUE"""),"")</f>
        <v/>
      </c>
      <c r="BP133" s="231" t="str">
        <f>IFERROR(__xludf.DUMMYFUNCTION("""COMPUTED_VALUE"""),"")</f>
        <v/>
      </c>
      <c r="BQ133" s="232" t="str">
        <f>IFERROR(__xludf.DUMMYFUNCTION("""COMPUTED_VALUE"""),"")</f>
        <v/>
      </c>
      <c r="BR133" s="233" t="str">
        <f>IFERROR(__xludf.DUMMYFUNCTION("""COMPUTED_VALUE"""),"")</f>
        <v/>
      </c>
      <c r="BS133" s="231" t="str">
        <f>IFERROR(__xludf.DUMMYFUNCTION("""COMPUTED_VALUE"""),"")</f>
        <v/>
      </c>
      <c r="BT133" s="232">
        <f>IFERROR(__xludf.DUMMYFUNCTION("""COMPUTED_VALUE"""),38.2)</f>
        <v>38.2</v>
      </c>
      <c r="BU133" s="233" t="str">
        <f>IFERROR(__xludf.DUMMYFUNCTION("""COMPUTED_VALUE"""),"")</f>
        <v/>
      </c>
      <c r="BV133" s="231" t="str">
        <f>IFERROR(__xludf.DUMMYFUNCTION("""COMPUTED_VALUE"""),"")</f>
        <v/>
      </c>
      <c r="BW133" s="232" t="str">
        <f>IFERROR(__xludf.DUMMYFUNCTION("""COMPUTED_VALUE"""),"")</f>
        <v/>
      </c>
      <c r="BX133" s="233" t="str">
        <f>IFERROR(__xludf.DUMMYFUNCTION("""COMPUTED_VALUE"""),"")</f>
        <v/>
      </c>
      <c r="BY133" s="231" t="str">
        <f>IFERROR(__xludf.DUMMYFUNCTION("""COMPUTED_VALUE"""),"")</f>
        <v/>
      </c>
      <c r="BZ133" s="232" t="str">
        <f>IFERROR(__xludf.DUMMYFUNCTION("""COMPUTED_VALUE"""),"")</f>
        <v/>
      </c>
      <c r="CA133" s="233" t="str">
        <f>IFERROR(__xludf.DUMMYFUNCTION("""COMPUTED_VALUE"""),"")</f>
        <v/>
      </c>
      <c r="CB133" s="231" t="str">
        <f>IFERROR(__xludf.DUMMYFUNCTION("""COMPUTED_VALUE"""),"")</f>
        <v/>
      </c>
      <c r="CC133" s="232" t="str">
        <f>IFERROR(__xludf.DUMMYFUNCTION("""COMPUTED_VALUE"""),"")</f>
        <v/>
      </c>
      <c r="CD133" s="233" t="str">
        <f>IFERROR(__xludf.DUMMYFUNCTION("""COMPUTED_VALUE"""),"")</f>
        <v/>
      </c>
      <c r="CE133" s="234" t="str">
        <f>IFERROR(__xludf.DUMMYFUNCTION("""COMPUTED_VALUE"""),"")</f>
        <v/>
      </c>
      <c r="CF133" s="230" t="str">
        <f>IFERROR(__xludf.DUMMYFUNCTION("""COMPUTED_VALUE"""),"")</f>
        <v/>
      </c>
      <c r="CG133" s="235" t="str">
        <f>IFERROR(__xludf.DUMMYFUNCTION("""COMPUTED_VALUE"""),"")</f>
        <v/>
      </c>
      <c r="CH133" s="234" t="str">
        <f>IFERROR(__xludf.DUMMYFUNCTION("""COMPUTED_VALUE"""),"")</f>
        <v/>
      </c>
      <c r="CI133" s="230" t="str">
        <f>IFERROR(__xludf.DUMMYFUNCTION("""COMPUTED_VALUE"""),"")</f>
        <v/>
      </c>
      <c r="CJ133" s="235" t="str">
        <f>IFERROR(__xludf.DUMMYFUNCTION("""COMPUTED_VALUE"""),"")</f>
        <v/>
      </c>
      <c r="CK133" s="95" t="str">
        <f>IFERROR(__xludf.DUMMYFUNCTION("""COMPUTED_VALUE"""),"")</f>
        <v/>
      </c>
      <c r="CL133" s="96" t="str">
        <f>IFERROR(__xludf.DUMMYFUNCTION("""COMPUTED_VALUE"""),"")</f>
        <v/>
      </c>
      <c r="CM133" s="97" t="str">
        <f>IFERROR(__xludf.DUMMYFUNCTION("""COMPUTED_VALUE"""),"")</f>
        <v/>
      </c>
      <c r="CN133" s="95" t="str">
        <f>IFERROR(__xludf.DUMMYFUNCTION("""COMPUTED_VALUE"""),"")</f>
        <v/>
      </c>
      <c r="CO133" s="96" t="str">
        <f>IFERROR(__xludf.DUMMYFUNCTION("""COMPUTED_VALUE"""),"")</f>
        <v/>
      </c>
      <c r="CP133" s="97" t="str">
        <f>IFERROR(__xludf.DUMMYFUNCTION("""COMPUTED_VALUE"""),"")</f>
        <v/>
      </c>
      <c r="CQ133" s="95" t="str">
        <f>IFERROR(__xludf.DUMMYFUNCTION("""COMPUTED_VALUE"""),"")</f>
        <v/>
      </c>
      <c r="CR133" s="96" t="str">
        <f>IFERROR(__xludf.DUMMYFUNCTION("""COMPUTED_VALUE"""),"")</f>
        <v/>
      </c>
      <c r="CS133" s="97" t="str">
        <f>IFERROR(__xludf.DUMMYFUNCTION("""COMPUTED_VALUE"""),"#REF!")</f>
        <v>#REF!</v>
      </c>
      <c r="CT133" s="95" t="str">
        <f>IFERROR(__xludf.DUMMYFUNCTION("""COMPUTED_VALUE"""),"#REF!")</f>
        <v>#REF!</v>
      </c>
      <c r="CU133" s="96" t="str">
        <f>IFERROR(__xludf.DUMMYFUNCTION("""COMPUTED_VALUE"""),"#REF!")</f>
        <v>#REF!</v>
      </c>
      <c r="CV133" s="97" t="str">
        <f>IFERROR(__xludf.DUMMYFUNCTION("""COMPUTED_VALUE"""),"#REF!")</f>
        <v>#REF!</v>
      </c>
      <c r="CW133" s="95" t="str">
        <f>IFERROR(__xludf.DUMMYFUNCTION("""COMPUTED_VALUE"""),"#REF!")</f>
        <v>#REF!</v>
      </c>
      <c r="CX133" s="96" t="str">
        <f>IFERROR(__xludf.DUMMYFUNCTION("""COMPUTED_VALUE"""),"#REF!")</f>
        <v>#REF!</v>
      </c>
      <c r="CY133" s="97" t="str">
        <f>IFERROR(__xludf.DUMMYFUNCTION("""COMPUTED_VALUE"""),"#REF!")</f>
        <v>#REF!</v>
      </c>
      <c r="CZ133" s="95" t="str">
        <f>IFERROR(__xludf.DUMMYFUNCTION("""COMPUTED_VALUE"""),"#REF!")</f>
        <v>#REF!</v>
      </c>
      <c r="DA133" s="96" t="str">
        <f>IFERROR(__xludf.DUMMYFUNCTION("""COMPUTED_VALUE"""),"#REF!")</f>
        <v>#REF!</v>
      </c>
      <c r="DB133" s="97" t="str">
        <f>IFERROR(__xludf.DUMMYFUNCTION("""COMPUTED_VALUE"""),"#REF!")</f>
        <v>#REF!</v>
      </c>
      <c r="DC133" s="95" t="str">
        <f>IFERROR(__xludf.DUMMYFUNCTION("""COMPUTED_VALUE"""),"#REF!")</f>
        <v>#REF!</v>
      </c>
      <c r="DD133" s="96" t="str">
        <f>IFERROR(__xludf.DUMMYFUNCTION("""COMPUTED_VALUE"""),"#REF!")</f>
        <v>#REF!</v>
      </c>
      <c r="DE133" s="97" t="str">
        <f>IFERROR(__xludf.DUMMYFUNCTION("""COMPUTED_VALUE"""),"#REF!")</f>
        <v>#REF!</v>
      </c>
      <c r="DF133" s="95" t="str">
        <f>IFERROR(__xludf.DUMMYFUNCTION("""COMPUTED_VALUE"""),"#REF!")</f>
        <v>#REF!</v>
      </c>
      <c r="DG133" s="96" t="str">
        <f>IFERROR(__xludf.DUMMYFUNCTION("""COMPUTED_VALUE"""),"#REF!")</f>
        <v>#REF!</v>
      </c>
      <c r="DH133" s="97" t="str">
        <f>IFERROR(__xludf.DUMMYFUNCTION("""COMPUTED_VALUE"""),"#REF!")</f>
        <v>#REF!</v>
      </c>
      <c r="DI133" s="95" t="str">
        <f>IFERROR(__xludf.DUMMYFUNCTION("""COMPUTED_VALUE"""),"#REF!")</f>
        <v>#REF!</v>
      </c>
      <c r="DJ133" s="96" t="str">
        <f>IFERROR(__xludf.DUMMYFUNCTION("""COMPUTED_VALUE"""),"#REF!")</f>
        <v>#REF!</v>
      </c>
      <c r="DK133" s="97" t="str">
        <f>IFERROR(__xludf.DUMMYFUNCTION("""COMPUTED_VALUE"""),"#REF!")</f>
        <v>#REF!</v>
      </c>
      <c r="DL133" s="95" t="str">
        <f>IFERROR(__xludf.DUMMYFUNCTION("""COMPUTED_VALUE"""),"#REF!")</f>
        <v>#REF!</v>
      </c>
      <c r="DM133" s="96" t="str">
        <f>IFERROR(__xludf.DUMMYFUNCTION("""COMPUTED_VALUE"""),"#REF!")</f>
        <v>#REF!</v>
      </c>
      <c r="DN133" s="97" t="str">
        <f>IFERROR(__xludf.DUMMYFUNCTION("""COMPUTED_VALUE"""),"#REF!")</f>
        <v>#REF!</v>
      </c>
      <c r="DO133" s="95" t="str">
        <f>IFERROR(__xludf.DUMMYFUNCTION("""COMPUTED_VALUE"""),"#REF!")</f>
        <v>#REF!</v>
      </c>
      <c r="DP133" s="96" t="str">
        <f>IFERROR(__xludf.DUMMYFUNCTION("""COMPUTED_VALUE"""),"#REF!")</f>
        <v>#REF!</v>
      </c>
      <c r="DQ133" s="97"/>
      <c r="DR133" s="95"/>
    </row>
    <row r="134">
      <c r="B134" s="120" t="str">
        <f>IFERROR(__xludf.DUMMYFUNCTION("""COMPUTED_VALUE"""),"BBL8")</f>
        <v>BBL8</v>
      </c>
      <c r="C134" s="82">
        <f>IFERROR(__xludf.DUMMYFUNCTION("""COMPUTED_VALUE"""),123.0)</f>
        <v>123</v>
      </c>
      <c r="D134" s="88" t="str">
        <f>IFERROR(__xludf.DUMMYFUNCTION("""COMPUTED_VALUE"""),"Observatory")</f>
        <v>Observatory</v>
      </c>
      <c r="E134" s="82" t="str">
        <f>IFERROR(__xludf.DUMMYFUNCTION("""COMPUTED_VALUE"""),"観測所")</f>
        <v>観測所</v>
      </c>
      <c r="F134" s="102">
        <f>IFERROR(__xludf.DUMMYFUNCTION("""COMPUTED_VALUE"""),21.0)</f>
        <v>21</v>
      </c>
      <c r="G134" s="82">
        <f>IFERROR(__xludf.DUMMYFUNCTION("""COMPUTED_VALUE"""),31146.0)</f>
        <v>31146</v>
      </c>
      <c r="H134" s="231" t="str">
        <f>IFERROR(__xludf.DUMMYFUNCTION("""COMPUTED_VALUE"""),"")</f>
        <v/>
      </c>
      <c r="I134" s="232" t="str">
        <f>IFERROR(__xludf.DUMMYFUNCTION("""COMPUTED_VALUE"""),"")</f>
        <v/>
      </c>
      <c r="J134" s="233" t="str">
        <f>IFERROR(__xludf.DUMMYFUNCTION("""COMPUTED_VALUE"""),"")</f>
        <v/>
      </c>
      <c r="K134" s="231" t="str">
        <f>IFERROR(__xludf.DUMMYFUNCTION("""COMPUTED_VALUE"""),"")</f>
        <v/>
      </c>
      <c r="L134" s="232" t="str">
        <f>IFERROR(__xludf.DUMMYFUNCTION("""COMPUTED_VALUE"""),"")</f>
        <v/>
      </c>
      <c r="M134" s="233" t="str">
        <f>IFERROR(__xludf.DUMMYFUNCTION("""COMPUTED_VALUE"""),"")</f>
        <v/>
      </c>
      <c r="N134" s="231" t="str">
        <f>IFERROR(__xludf.DUMMYFUNCTION("""COMPUTED_VALUE"""),"")</f>
        <v/>
      </c>
      <c r="O134" s="232" t="str">
        <f>IFERROR(__xludf.DUMMYFUNCTION("""COMPUTED_VALUE"""),"")</f>
        <v/>
      </c>
      <c r="P134" s="233" t="str">
        <f>IFERROR(__xludf.DUMMYFUNCTION("""COMPUTED_VALUE"""),"")</f>
        <v/>
      </c>
      <c r="Q134" s="231" t="str">
        <f>IFERROR(__xludf.DUMMYFUNCTION("""COMPUTED_VALUE"""),"")</f>
        <v/>
      </c>
      <c r="R134" s="232" t="str">
        <f>IFERROR(__xludf.DUMMYFUNCTION("""COMPUTED_VALUE"""),"")</f>
        <v/>
      </c>
      <c r="S134" s="233" t="str">
        <f>IFERROR(__xludf.DUMMYFUNCTION("""COMPUTED_VALUE"""),"")</f>
        <v/>
      </c>
      <c r="T134" s="231" t="str">
        <f>IFERROR(__xludf.DUMMYFUNCTION("""COMPUTED_VALUE"""),"")</f>
        <v/>
      </c>
      <c r="U134" s="232" t="str">
        <f>IFERROR(__xludf.DUMMYFUNCTION("""COMPUTED_VALUE"""),"")</f>
        <v/>
      </c>
      <c r="V134" s="233" t="str">
        <f>IFERROR(__xludf.DUMMYFUNCTION("""COMPUTED_VALUE"""),"")</f>
        <v/>
      </c>
      <c r="W134" s="231" t="str">
        <f>IFERROR(__xludf.DUMMYFUNCTION("""COMPUTED_VALUE"""),"")</f>
        <v/>
      </c>
      <c r="X134" s="232" t="str">
        <f>IFERROR(__xludf.DUMMYFUNCTION("""COMPUTED_VALUE"""),"")</f>
        <v/>
      </c>
      <c r="Y134" s="233" t="str">
        <f>IFERROR(__xludf.DUMMYFUNCTION("""COMPUTED_VALUE"""),"")</f>
        <v/>
      </c>
      <c r="Z134" s="231" t="str">
        <f>IFERROR(__xludf.DUMMYFUNCTION("""COMPUTED_VALUE"""),"")</f>
        <v/>
      </c>
      <c r="AA134" s="232" t="str">
        <f>IFERROR(__xludf.DUMMYFUNCTION("""COMPUTED_VALUE"""),"")</f>
        <v/>
      </c>
      <c r="AB134" s="233" t="str">
        <f>IFERROR(__xludf.DUMMYFUNCTION("""COMPUTED_VALUE"""),"")</f>
        <v/>
      </c>
      <c r="AC134" s="231" t="str">
        <f>IFERROR(__xludf.DUMMYFUNCTION("""COMPUTED_VALUE"""),"")</f>
        <v/>
      </c>
      <c r="AD134" s="232" t="str">
        <f>IFERROR(__xludf.DUMMYFUNCTION("""COMPUTED_VALUE"""),"")</f>
        <v/>
      </c>
      <c r="AE134" s="233" t="str">
        <f>IFERROR(__xludf.DUMMYFUNCTION("""COMPUTED_VALUE"""),"")</f>
        <v/>
      </c>
      <c r="AF134" s="231" t="str">
        <f>IFERROR(__xludf.DUMMYFUNCTION("""COMPUTED_VALUE"""),"")</f>
        <v/>
      </c>
      <c r="AG134" s="232" t="str">
        <f>IFERROR(__xludf.DUMMYFUNCTION("""COMPUTED_VALUE"""),"")</f>
        <v/>
      </c>
      <c r="AH134" s="233" t="str">
        <f>IFERROR(__xludf.DUMMYFUNCTION("""COMPUTED_VALUE"""),"")</f>
        <v/>
      </c>
      <c r="AI134" s="231" t="str">
        <f>IFERROR(__xludf.DUMMYFUNCTION("""COMPUTED_VALUE"""),"")</f>
        <v/>
      </c>
      <c r="AJ134" s="232">
        <f>IFERROR(__xludf.DUMMYFUNCTION("""COMPUTED_VALUE"""),40.2)</f>
        <v>40.2</v>
      </c>
      <c r="AK134" s="233" t="str">
        <f>IFERROR(__xludf.DUMMYFUNCTION("""COMPUTED_VALUE"""),"")</f>
        <v/>
      </c>
      <c r="AL134" s="231" t="str">
        <f>IFERROR(__xludf.DUMMYFUNCTION("""COMPUTED_VALUE"""),"")</f>
        <v/>
      </c>
      <c r="AM134" s="232" t="str">
        <f>IFERROR(__xludf.DUMMYFUNCTION("""COMPUTED_VALUE"""),"")</f>
        <v/>
      </c>
      <c r="AN134" s="233" t="str">
        <f>IFERROR(__xludf.DUMMYFUNCTION("""COMPUTED_VALUE"""),"")</f>
        <v/>
      </c>
      <c r="AO134" s="231" t="str">
        <f>IFERROR(__xludf.DUMMYFUNCTION("""COMPUTED_VALUE"""),"")</f>
        <v/>
      </c>
      <c r="AP134" s="232" t="str">
        <f>IFERROR(__xludf.DUMMYFUNCTION("""COMPUTED_VALUE"""),"")</f>
        <v/>
      </c>
      <c r="AQ134" s="233" t="str">
        <f>IFERROR(__xludf.DUMMYFUNCTION("""COMPUTED_VALUE"""),"")</f>
        <v/>
      </c>
      <c r="AR134" s="231" t="str">
        <f>IFERROR(__xludf.DUMMYFUNCTION("""COMPUTED_VALUE"""),"")</f>
        <v/>
      </c>
      <c r="AS134" s="232" t="str">
        <f>IFERROR(__xludf.DUMMYFUNCTION("""COMPUTED_VALUE"""),"")</f>
        <v/>
      </c>
      <c r="AT134" s="233" t="str">
        <f>IFERROR(__xludf.DUMMYFUNCTION("""COMPUTED_VALUE"""),"")</f>
        <v/>
      </c>
      <c r="AU134" s="231" t="str">
        <f>IFERROR(__xludf.DUMMYFUNCTION("""COMPUTED_VALUE"""),"")</f>
        <v/>
      </c>
      <c r="AV134" s="232" t="str">
        <f>IFERROR(__xludf.DUMMYFUNCTION("""COMPUTED_VALUE"""),"")</f>
        <v/>
      </c>
      <c r="AW134" s="233" t="str">
        <f>IFERROR(__xludf.DUMMYFUNCTION("""COMPUTED_VALUE"""),"")</f>
        <v/>
      </c>
      <c r="AX134" s="231" t="str">
        <f>IFERROR(__xludf.DUMMYFUNCTION("""COMPUTED_VALUE"""),"")</f>
        <v/>
      </c>
      <c r="AY134" s="232" t="str">
        <f>IFERROR(__xludf.DUMMYFUNCTION("""COMPUTED_VALUE"""),"")</f>
        <v/>
      </c>
      <c r="AZ134" s="233" t="str">
        <f>IFERROR(__xludf.DUMMYFUNCTION("""COMPUTED_VALUE"""),"")</f>
        <v/>
      </c>
      <c r="BA134" s="231" t="str">
        <f>IFERROR(__xludf.DUMMYFUNCTION("""COMPUTED_VALUE"""),"")</f>
        <v/>
      </c>
      <c r="BB134" s="232" t="str">
        <f>IFERROR(__xludf.DUMMYFUNCTION("""COMPUTED_VALUE"""),"")</f>
        <v/>
      </c>
      <c r="BC134" s="233" t="str">
        <f>IFERROR(__xludf.DUMMYFUNCTION("""COMPUTED_VALUE"""),"")</f>
        <v/>
      </c>
      <c r="BD134" s="231" t="str">
        <f>IFERROR(__xludf.DUMMYFUNCTION("""COMPUTED_VALUE"""),"")</f>
        <v/>
      </c>
      <c r="BE134" s="232" t="str">
        <f>IFERROR(__xludf.DUMMYFUNCTION("""COMPUTED_VALUE"""),"")</f>
        <v/>
      </c>
      <c r="BF134" s="233" t="str">
        <f>IFERROR(__xludf.DUMMYFUNCTION("""COMPUTED_VALUE"""),"")</f>
        <v/>
      </c>
      <c r="BG134" s="231" t="str">
        <f>IFERROR(__xludf.DUMMYFUNCTION("""COMPUTED_VALUE"""),"")</f>
        <v/>
      </c>
      <c r="BH134" s="232" t="str">
        <f>IFERROR(__xludf.DUMMYFUNCTION("""COMPUTED_VALUE"""),"")</f>
        <v/>
      </c>
      <c r="BI134" s="233" t="str">
        <f>IFERROR(__xludf.DUMMYFUNCTION("""COMPUTED_VALUE"""),"")</f>
        <v/>
      </c>
      <c r="BJ134" s="231">
        <f>IFERROR(__xludf.DUMMYFUNCTION("""COMPUTED_VALUE"""),12.8)</f>
        <v>12.8</v>
      </c>
      <c r="BK134" s="232" t="str">
        <f>IFERROR(__xludf.DUMMYFUNCTION("""COMPUTED_VALUE"""),"")</f>
        <v/>
      </c>
      <c r="BL134" s="233" t="str">
        <f>IFERROR(__xludf.DUMMYFUNCTION("""COMPUTED_VALUE"""),"")</f>
        <v/>
      </c>
      <c r="BM134" s="231" t="str">
        <f>IFERROR(__xludf.DUMMYFUNCTION("""COMPUTED_VALUE"""),"")</f>
        <v/>
      </c>
      <c r="BN134" s="232" t="str">
        <f>IFERROR(__xludf.DUMMYFUNCTION("""COMPUTED_VALUE"""),"")</f>
        <v/>
      </c>
      <c r="BO134" s="233" t="str">
        <f>IFERROR(__xludf.DUMMYFUNCTION("""COMPUTED_VALUE"""),"")</f>
        <v/>
      </c>
      <c r="BP134" s="231" t="str">
        <f>IFERROR(__xludf.DUMMYFUNCTION("""COMPUTED_VALUE"""),"")</f>
        <v/>
      </c>
      <c r="BQ134" s="232">
        <f>IFERROR(__xludf.DUMMYFUNCTION("""COMPUTED_VALUE"""),36.7)</f>
        <v>36.7</v>
      </c>
      <c r="BR134" s="233" t="str">
        <f>IFERROR(__xludf.DUMMYFUNCTION("""COMPUTED_VALUE"""),"")</f>
        <v/>
      </c>
      <c r="BS134" s="231" t="str">
        <f>IFERROR(__xludf.DUMMYFUNCTION("""COMPUTED_VALUE"""),"")</f>
        <v/>
      </c>
      <c r="BT134" s="232" t="str">
        <f>IFERROR(__xludf.DUMMYFUNCTION("""COMPUTED_VALUE"""),"")</f>
        <v/>
      </c>
      <c r="BU134" s="233" t="str">
        <f>IFERROR(__xludf.DUMMYFUNCTION("""COMPUTED_VALUE"""),"")</f>
        <v/>
      </c>
      <c r="BV134" s="231" t="str">
        <f>IFERROR(__xludf.DUMMYFUNCTION("""COMPUTED_VALUE"""),"")</f>
        <v/>
      </c>
      <c r="BW134" s="232" t="str">
        <f>IFERROR(__xludf.DUMMYFUNCTION("""COMPUTED_VALUE"""),"")</f>
        <v/>
      </c>
      <c r="BX134" s="233" t="str">
        <f>IFERROR(__xludf.DUMMYFUNCTION("""COMPUTED_VALUE"""),"")</f>
        <v/>
      </c>
      <c r="BY134" s="231" t="str">
        <f>IFERROR(__xludf.DUMMYFUNCTION("""COMPUTED_VALUE"""),"")</f>
        <v/>
      </c>
      <c r="BZ134" s="232" t="str">
        <f>IFERROR(__xludf.DUMMYFUNCTION("""COMPUTED_VALUE"""),"")</f>
        <v/>
      </c>
      <c r="CA134" s="233" t="str">
        <f>IFERROR(__xludf.DUMMYFUNCTION("""COMPUTED_VALUE"""),"")</f>
        <v/>
      </c>
      <c r="CB134" s="231" t="str">
        <f>IFERROR(__xludf.DUMMYFUNCTION("""COMPUTED_VALUE"""),"")</f>
        <v/>
      </c>
      <c r="CC134" s="232" t="str">
        <f>IFERROR(__xludf.DUMMYFUNCTION("""COMPUTED_VALUE"""),"")</f>
        <v/>
      </c>
      <c r="CD134" s="233" t="str">
        <f>IFERROR(__xludf.DUMMYFUNCTION("""COMPUTED_VALUE"""),"")</f>
        <v/>
      </c>
      <c r="CE134" s="234" t="str">
        <f>IFERROR(__xludf.DUMMYFUNCTION("""COMPUTED_VALUE"""),"")</f>
        <v/>
      </c>
      <c r="CF134" s="230" t="str">
        <f>IFERROR(__xludf.DUMMYFUNCTION("""COMPUTED_VALUE"""),"")</f>
        <v/>
      </c>
      <c r="CG134" s="235" t="str">
        <f>IFERROR(__xludf.DUMMYFUNCTION("""COMPUTED_VALUE"""),"")</f>
        <v/>
      </c>
      <c r="CH134" s="234" t="str">
        <f>IFERROR(__xludf.DUMMYFUNCTION("""COMPUTED_VALUE"""),"")</f>
        <v/>
      </c>
      <c r="CI134" s="230" t="str">
        <f>IFERROR(__xludf.DUMMYFUNCTION("""COMPUTED_VALUE"""),"")</f>
        <v/>
      </c>
      <c r="CJ134" s="235" t="str">
        <f>IFERROR(__xludf.DUMMYFUNCTION("""COMPUTED_VALUE"""),"")</f>
        <v/>
      </c>
      <c r="CK134" s="95" t="str">
        <f>IFERROR(__xludf.DUMMYFUNCTION("""COMPUTED_VALUE"""),"")</f>
        <v/>
      </c>
      <c r="CL134" s="96">
        <f>IFERROR(__xludf.DUMMYFUNCTION("""COMPUTED_VALUE"""),9.7)</f>
        <v>9.7</v>
      </c>
      <c r="CM134" s="97" t="str">
        <f>IFERROR(__xludf.DUMMYFUNCTION("""COMPUTED_VALUE"""),"")</f>
        <v/>
      </c>
      <c r="CN134" s="95" t="str">
        <f>IFERROR(__xludf.DUMMYFUNCTION("""COMPUTED_VALUE"""),"")</f>
        <v/>
      </c>
      <c r="CO134" s="96" t="str">
        <f>IFERROR(__xludf.DUMMYFUNCTION("""COMPUTED_VALUE"""),"")</f>
        <v/>
      </c>
      <c r="CP134" s="97" t="str">
        <f>IFERROR(__xludf.DUMMYFUNCTION("""COMPUTED_VALUE"""),"")</f>
        <v/>
      </c>
      <c r="CQ134" s="95" t="str">
        <f>IFERROR(__xludf.DUMMYFUNCTION("""COMPUTED_VALUE"""),"")</f>
        <v/>
      </c>
      <c r="CR134" s="96" t="str">
        <f>IFERROR(__xludf.DUMMYFUNCTION("""COMPUTED_VALUE"""),"")</f>
        <v/>
      </c>
      <c r="CS134" s="97" t="str">
        <f>IFERROR(__xludf.DUMMYFUNCTION("""COMPUTED_VALUE"""),"#REF!")</f>
        <v>#REF!</v>
      </c>
      <c r="CT134" s="95" t="str">
        <f>IFERROR(__xludf.DUMMYFUNCTION("""COMPUTED_VALUE"""),"#REF!")</f>
        <v>#REF!</v>
      </c>
      <c r="CU134" s="96" t="str">
        <f>IFERROR(__xludf.DUMMYFUNCTION("""COMPUTED_VALUE"""),"#REF!")</f>
        <v>#REF!</v>
      </c>
      <c r="CV134" s="97" t="str">
        <f>IFERROR(__xludf.DUMMYFUNCTION("""COMPUTED_VALUE"""),"#REF!")</f>
        <v>#REF!</v>
      </c>
      <c r="CW134" s="95" t="str">
        <f>IFERROR(__xludf.DUMMYFUNCTION("""COMPUTED_VALUE"""),"#REF!")</f>
        <v>#REF!</v>
      </c>
      <c r="CX134" s="96" t="str">
        <f>IFERROR(__xludf.DUMMYFUNCTION("""COMPUTED_VALUE"""),"#REF!")</f>
        <v>#REF!</v>
      </c>
      <c r="CY134" s="97" t="str">
        <f>IFERROR(__xludf.DUMMYFUNCTION("""COMPUTED_VALUE"""),"#REF!")</f>
        <v>#REF!</v>
      </c>
      <c r="CZ134" s="95" t="str">
        <f>IFERROR(__xludf.DUMMYFUNCTION("""COMPUTED_VALUE"""),"#REF!")</f>
        <v>#REF!</v>
      </c>
      <c r="DA134" s="96" t="str">
        <f>IFERROR(__xludf.DUMMYFUNCTION("""COMPUTED_VALUE"""),"#REF!")</f>
        <v>#REF!</v>
      </c>
      <c r="DB134" s="97" t="str">
        <f>IFERROR(__xludf.DUMMYFUNCTION("""COMPUTED_VALUE"""),"#REF!")</f>
        <v>#REF!</v>
      </c>
      <c r="DC134" s="95" t="str">
        <f>IFERROR(__xludf.DUMMYFUNCTION("""COMPUTED_VALUE"""),"#REF!")</f>
        <v>#REF!</v>
      </c>
      <c r="DD134" s="96" t="str">
        <f>IFERROR(__xludf.DUMMYFUNCTION("""COMPUTED_VALUE"""),"#REF!")</f>
        <v>#REF!</v>
      </c>
      <c r="DE134" s="97" t="str">
        <f>IFERROR(__xludf.DUMMYFUNCTION("""COMPUTED_VALUE"""),"#REF!")</f>
        <v>#REF!</v>
      </c>
      <c r="DF134" s="95" t="str">
        <f>IFERROR(__xludf.DUMMYFUNCTION("""COMPUTED_VALUE"""),"#REF!")</f>
        <v>#REF!</v>
      </c>
      <c r="DG134" s="96" t="str">
        <f>IFERROR(__xludf.DUMMYFUNCTION("""COMPUTED_VALUE"""),"#REF!")</f>
        <v>#REF!</v>
      </c>
      <c r="DH134" s="97" t="str">
        <f>IFERROR(__xludf.DUMMYFUNCTION("""COMPUTED_VALUE"""),"#REF!")</f>
        <v>#REF!</v>
      </c>
      <c r="DI134" s="95" t="str">
        <f>IFERROR(__xludf.DUMMYFUNCTION("""COMPUTED_VALUE"""),"#REF!")</f>
        <v>#REF!</v>
      </c>
      <c r="DJ134" s="96" t="str">
        <f>IFERROR(__xludf.DUMMYFUNCTION("""COMPUTED_VALUE"""),"#REF!")</f>
        <v>#REF!</v>
      </c>
      <c r="DK134" s="97" t="str">
        <f>IFERROR(__xludf.DUMMYFUNCTION("""COMPUTED_VALUE"""),"#REF!")</f>
        <v>#REF!</v>
      </c>
      <c r="DL134" s="95" t="str">
        <f>IFERROR(__xludf.DUMMYFUNCTION("""COMPUTED_VALUE"""),"#REF!")</f>
        <v>#REF!</v>
      </c>
      <c r="DM134" s="96" t="str">
        <f>IFERROR(__xludf.DUMMYFUNCTION("""COMPUTED_VALUE"""),"#REF!")</f>
        <v>#REF!</v>
      </c>
      <c r="DN134" s="97" t="str">
        <f>IFERROR(__xludf.DUMMYFUNCTION("""COMPUTED_VALUE"""),"#REF!")</f>
        <v>#REF!</v>
      </c>
      <c r="DO134" s="95" t="str">
        <f>IFERROR(__xludf.DUMMYFUNCTION("""COMPUTED_VALUE"""),"#REF!")</f>
        <v>#REF!</v>
      </c>
      <c r="DP134" s="96" t="str">
        <f>IFERROR(__xludf.DUMMYFUNCTION("""COMPUTED_VALUE"""),"#REF!")</f>
        <v>#REF!</v>
      </c>
      <c r="DQ134" s="97"/>
      <c r="DR134" s="95"/>
    </row>
    <row r="135">
      <c r="B135" s="120" t="str">
        <f>IFERROR(__xludf.DUMMYFUNCTION("""COMPUTED_VALUE"""),"BBL9")</f>
        <v>BBL9</v>
      </c>
      <c r="C135" s="82">
        <f>IFERROR(__xludf.DUMMYFUNCTION("""COMPUTED_VALUE"""),124.0)</f>
        <v>124</v>
      </c>
      <c r="D135" s="88" t="str">
        <f>IFERROR(__xludf.DUMMYFUNCTION("""COMPUTED_VALUE"""),"Field of Reeds")</f>
        <v>Field of Reeds</v>
      </c>
      <c r="E135" s="82" t="str">
        <f>IFERROR(__xludf.DUMMYFUNCTION("""COMPUTED_VALUE"""),"葦の原")</f>
        <v>葦の原</v>
      </c>
      <c r="F135" s="102">
        <f>IFERROR(__xludf.DUMMYFUNCTION("""COMPUTED_VALUE"""),21.0)</f>
        <v>21</v>
      </c>
      <c r="G135" s="82">
        <f>IFERROR(__xludf.DUMMYFUNCTION("""COMPUTED_VALUE"""),22327.0)</f>
        <v>22327</v>
      </c>
      <c r="H135" s="231" t="str">
        <f>IFERROR(__xludf.DUMMYFUNCTION("""COMPUTED_VALUE"""),"")</f>
        <v/>
      </c>
      <c r="I135" s="232" t="str">
        <f>IFERROR(__xludf.DUMMYFUNCTION("""COMPUTED_VALUE"""),"")</f>
        <v/>
      </c>
      <c r="J135" s="233" t="str">
        <f>IFERROR(__xludf.DUMMYFUNCTION("""COMPUTED_VALUE"""),"")</f>
        <v/>
      </c>
      <c r="K135" s="231" t="str">
        <f>IFERROR(__xludf.DUMMYFUNCTION("""COMPUTED_VALUE"""),"")</f>
        <v/>
      </c>
      <c r="L135" s="232" t="str">
        <f>IFERROR(__xludf.DUMMYFUNCTION("""COMPUTED_VALUE"""),"")</f>
        <v/>
      </c>
      <c r="M135" s="233" t="str">
        <f>IFERROR(__xludf.DUMMYFUNCTION("""COMPUTED_VALUE"""),"")</f>
        <v/>
      </c>
      <c r="N135" s="231" t="str">
        <f>IFERROR(__xludf.DUMMYFUNCTION("""COMPUTED_VALUE"""),"")</f>
        <v/>
      </c>
      <c r="O135" s="232" t="str">
        <f>IFERROR(__xludf.DUMMYFUNCTION("""COMPUTED_VALUE"""),"")</f>
        <v/>
      </c>
      <c r="P135" s="233" t="str">
        <f>IFERROR(__xludf.DUMMYFUNCTION("""COMPUTED_VALUE"""),"")</f>
        <v/>
      </c>
      <c r="Q135" s="231" t="str">
        <f>IFERROR(__xludf.DUMMYFUNCTION("""COMPUTED_VALUE"""),"")</f>
        <v/>
      </c>
      <c r="R135" s="232" t="str">
        <f>IFERROR(__xludf.DUMMYFUNCTION("""COMPUTED_VALUE"""),"")</f>
        <v/>
      </c>
      <c r="S135" s="233" t="str">
        <f>IFERROR(__xludf.DUMMYFUNCTION("""COMPUTED_VALUE"""),"")</f>
        <v/>
      </c>
      <c r="T135" s="231" t="str">
        <f>IFERROR(__xludf.DUMMYFUNCTION("""COMPUTED_VALUE"""),"")</f>
        <v/>
      </c>
      <c r="U135" s="232" t="str">
        <f>IFERROR(__xludf.DUMMYFUNCTION("""COMPUTED_VALUE"""),"")</f>
        <v/>
      </c>
      <c r="V135" s="233" t="str">
        <f>IFERROR(__xludf.DUMMYFUNCTION("""COMPUTED_VALUE"""),"")</f>
        <v/>
      </c>
      <c r="W135" s="231" t="str">
        <f>IFERROR(__xludf.DUMMYFUNCTION("""COMPUTED_VALUE"""),"")</f>
        <v/>
      </c>
      <c r="X135" s="232" t="str">
        <f>IFERROR(__xludf.DUMMYFUNCTION("""COMPUTED_VALUE"""),"")</f>
        <v/>
      </c>
      <c r="Y135" s="233" t="str">
        <f>IFERROR(__xludf.DUMMYFUNCTION("""COMPUTED_VALUE"""),"")</f>
        <v/>
      </c>
      <c r="Z135" s="231" t="str">
        <f>IFERROR(__xludf.DUMMYFUNCTION("""COMPUTED_VALUE"""),"")</f>
        <v/>
      </c>
      <c r="AA135" s="232" t="str">
        <f>IFERROR(__xludf.DUMMYFUNCTION("""COMPUTED_VALUE"""),"")</f>
        <v/>
      </c>
      <c r="AB135" s="233" t="str">
        <f>IFERROR(__xludf.DUMMYFUNCTION("""COMPUTED_VALUE"""),"")</f>
        <v/>
      </c>
      <c r="AC135" s="231" t="str">
        <f>IFERROR(__xludf.DUMMYFUNCTION("""COMPUTED_VALUE"""),"")</f>
        <v/>
      </c>
      <c r="AD135" s="232" t="str">
        <f>IFERROR(__xludf.DUMMYFUNCTION("""COMPUTED_VALUE"""),"")</f>
        <v/>
      </c>
      <c r="AE135" s="233" t="str">
        <f>IFERROR(__xludf.DUMMYFUNCTION("""COMPUTED_VALUE"""),"")</f>
        <v/>
      </c>
      <c r="AF135" s="231" t="str">
        <f>IFERROR(__xludf.DUMMYFUNCTION("""COMPUTED_VALUE"""),"")</f>
        <v/>
      </c>
      <c r="AG135" s="232" t="str">
        <f>IFERROR(__xludf.DUMMYFUNCTION("""COMPUTED_VALUE"""),"")</f>
        <v/>
      </c>
      <c r="AH135" s="233" t="str">
        <f>IFERROR(__xludf.DUMMYFUNCTION("""COMPUTED_VALUE"""),"")</f>
        <v/>
      </c>
      <c r="AI135" s="231" t="str">
        <f>IFERROR(__xludf.DUMMYFUNCTION("""COMPUTED_VALUE"""),"")</f>
        <v/>
      </c>
      <c r="AJ135" s="232" t="str">
        <f>IFERROR(__xludf.DUMMYFUNCTION("""COMPUTED_VALUE"""),"")</f>
        <v/>
      </c>
      <c r="AK135" s="233" t="str">
        <f>IFERROR(__xludf.DUMMYFUNCTION("""COMPUTED_VALUE"""),"")</f>
        <v/>
      </c>
      <c r="AL135" s="231" t="str">
        <f>IFERROR(__xludf.DUMMYFUNCTION("""COMPUTED_VALUE"""),"")</f>
        <v/>
      </c>
      <c r="AM135" s="232" t="str">
        <f>IFERROR(__xludf.DUMMYFUNCTION("""COMPUTED_VALUE"""),"")</f>
        <v/>
      </c>
      <c r="AN135" s="233" t="str">
        <f>IFERROR(__xludf.DUMMYFUNCTION("""COMPUTED_VALUE"""),"")</f>
        <v/>
      </c>
      <c r="AO135" s="231" t="str">
        <f>IFERROR(__xludf.DUMMYFUNCTION("""COMPUTED_VALUE"""),"")</f>
        <v/>
      </c>
      <c r="AP135" s="232" t="str">
        <f>IFERROR(__xludf.DUMMYFUNCTION("""COMPUTED_VALUE"""),"")</f>
        <v/>
      </c>
      <c r="AQ135" s="233" t="str">
        <f>IFERROR(__xludf.DUMMYFUNCTION("""COMPUTED_VALUE"""),"")</f>
        <v/>
      </c>
      <c r="AR135" s="231" t="str">
        <f>IFERROR(__xludf.DUMMYFUNCTION("""COMPUTED_VALUE"""),"")</f>
        <v/>
      </c>
      <c r="AS135" s="232" t="str">
        <f>IFERROR(__xludf.DUMMYFUNCTION("""COMPUTED_VALUE"""),"")</f>
        <v/>
      </c>
      <c r="AT135" s="233" t="str">
        <f>IFERROR(__xludf.DUMMYFUNCTION("""COMPUTED_VALUE"""),"")</f>
        <v/>
      </c>
      <c r="AU135" s="231" t="str">
        <f>IFERROR(__xludf.DUMMYFUNCTION("""COMPUTED_VALUE"""),"")</f>
        <v/>
      </c>
      <c r="AV135" s="232" t="str">
        <f>IFERROR(__xludf.DUMMYFUNCTION("""COMPUTED_VALUE"""),"")</f>
        <v/>
      </c>
      <c r="AW135" s="233" t="str">
        <f>IFERROR(__xludf.DUMMYFUNCTION("""COMPUTED_VALUE"""),"")</f>
        <v/>
      </c>
      <c r="AX135" s="231" t="str">
        <f>IFERROR(__xludf.DUMMYFUNCTION("""COMPUTED_VALUE"""),"")</f>
        <v/>
      </c>
      <c r="AY135" s="232">
        <f>IFERROR(__xludf.DUMMYFUNCTION("""COMPUTED_VALUE"""),62.4)</f>
        <v>62.4</v>
      </c>
      <c r="AZ135" s="233" t="str">
        <f>IFERROR(__xludf.DUMMYFUNCTION("""COMPUTED_VALUE"""),"")</f>
        <v/>
      </c>
      <c r="BA135" s="231" t="str">
        <f>IFERROR(__xludf.DUMMYFUNCTION("""COMPUTED_VALUE"""),"")</f>
        <v/>
      </c>
      <c r="BB135" s="232" t="str">
        <f>IFERROR(__xludf.DUMMYFUNCTION("""COMPUTED_VALUE"""),"")</f>
        <v/>
      </c>
      <c r="BC135" s="233" t="str">
        <f>IFERROR(__xludf.DUMMYFUNCTION("""COMPUTED_VALUE"""),"")</f>
        <v/>
      </c>
      <c r="BD135" s="231" t="str">
        <f>IFERROR(__xludf.DUMMYFUNCTION("""COMPUTED_VALUE"""),"")</f>
        <v/>
      </c>
      <c r="BE135" s="232" t="str">
        <f>IFERROR(__xludf.DUMMYFUNCTION("""COMPUTED_VALUE"""),"")</f>
        <v/>
      </c>
      <c r="BF135" s="233" t="str">
        <f>IFERROR(__xludf.DUMMYFUNCTION("""COMPUTED_VALUE"""),"")</f>
        <v/>
      </c>
      <c r="BG135" s="231" t="str">
        <f>IFERROR(__xludf.DUMMYFUNCTION("""COMPUTED_VALUE"""),"")</f>
        <v/>
      </c>
      <c r="BH135" s="232" t="str">
        <f>IFERROR(__xludf.DUMMYFUNCTION("""COMPUTED_VALUE"""),"")</f>
        <v/>
      </c>
      <c r="BI135" s="233" t="str">
        <f>IFERROR(__xludf.DUMMYFUNCTION("""COMPUTED_VALUE"""),"")</f>
        <v/>
      </c>
      <c r="BJ135" s="231" t="str">
        <f>IFERROR(__xludf.DUMMYFUNCTION("""COMPUTED_VALUE"""),"")</f>
        <v/>
      </c>
      <c r="BK135" s="232" t="str">
        <f>IFERROR(__xludf.DUMMYFUNCTION("""COMPUTED_VALUE"""),"")</f>
        <v/>
      </c>
      <c r="BL135" s="233" t="str">
        <f>IFERROR(__xludf.DUMMYFUNCTION("""COMPUTED_VALUE"""),"")</f>
        <v/>
      </c>
      <c r="BM135" s="231" t="str">
        <f>IFERROR(__xludf.DUMMYFUNCTION("""COMPUTED_VALUE"""),"")</f>
        <v/>
      </c>
      <c r="BN135" s="232" t="str">
        <f>IFERROR(__xludf.DUMMYFUNCTION("""COMPUTED_VALUE"""),"")</f>
        <v/>
      </c>
      <c r="BO135" s="233" t="str">
        <f>IFERROR(__xludf.DUMMYFUNCTION("""COMPUTED_VALUE"""),"")</f>
        <v/>
      </c>
      <c r="BP135" s="231" t="str">
        <f>IFERROR(__xludf.DUMMYFUNCTION("""COMPUTED_VALUE"""),"")</f>
        <v/>
      </c>
      <c r="BQ135" s="232" t="str">
        <f>IFERROR(__xludf.DUMMYFUNCTION("""COMPUTED_VALUE"""),"")</f>
        <v/>
      </c>
      <c r="BR135" s="233" t="str">
        <f>IFERROR(__xludf.DUMMYFUNCTION("""COMPUTED_VALUE"""),"")</f>
        <v/>
      </c>
      <c r="BS135" s="231">
        <f>IFERROR(__xludf.DUMMYFUNCTION("""COMPUTED_VALUE"""),44.8)</f>
        <v>44.8</v>
      </c>
      <c r="BT135" s="232" t="str">
        <f>IFERROR(__xludf.DUMMYFUNCTION("""COMPUTED_VALUE"""),"")</f>
        <v/>
      </c>
      <c r="BU135" s="233" t="str">
        <f>IFERROR(__xludf.DUMMYFUNCTION("""COMPUTED_VALUE"""),"")</f>
        <v/>
      </c>
      <c r="BV135" s="231" t="str">
        <f>IFERROR(__xludf.DUMMYFUNCTION("""COMPUTED_VALUE"""),"")</f>
        <v/>
      </c>
      <c r="BW135" s="232" t="str">
        <f>IFERROR(__xludf.DUMMYFUNCTION("""COMPUTED_VALUE"""),"")</f>
        <v/>
      </c>
      <c r="BX135" s="233" t="str">
        <f>IFERROR(__xludf.DUMMYFUNCTION("""COMPUTED_VALUE"""),"")</f>
        <v/>
      </c>
      <c r="BY135" s="231" t="str">
        <f>IFERROR(__xludf.DUMMYFUNCTION("""COMPUTED_VALUE"""),"")</f>
        <v/>
      </c>
      <c r="BZ135" s="232" t="str">
        <f>IFERROR(__xludf.DUMMYFUNCTION("""COMPUTED_VALUE"""),"")</f>
        <v/>
      </c>
      <c r="CA135" s="233" t="str">
        <f>IFERROR(__xludf.DUMMYFUNCTION("""COMPUTED_VALUE"""),"")</f>
        <v/>
      </c>
      <c r="CB135" s="231" t="str">
        <f>IFERROR(__xludf.DUMMYFUNCTION("""COMPUTED_VALUE"""),"")</f>
        <v/>
      </c>
      <c r="CC135" s="232" t="str">
        <f>IFERROR(__xludf.DUMMYFUNCTION("""COMPUTED_VALUE"""),"")</f>
        <v/>
      </c>
      <c r="CD135" s="233" t="str">
        <f>IFERROR(__xludf.DUMMYFUNCTION("""COMPUTED_VALUE"""),"")</f>
        <v/>
      </c>
      <c r="CE135" s="234" t="str">
        <f>IFERROR(__xludf.DUMMYFUNCTION("""COMPUTED_VALUE"""),"")</f>
        <v/>
      </c>
      <c r="CF135" s="230" t="str">
        <f>IFERROR(__xludf.DUMMYFUNCTION("""COMPUTED_VALUE"""),"")</f>
        <v/>
      </c>
      <c r="CG135" s="235" t="str">
        <f>IFERROR(__xludf.DUMMYFUNCTION("""COMPUTED_VALUE"""),"")</f>
        <v/>
      </c>
      <c r="CH135" s="234" t="str">
        <f>IFERROR(__xludf.DUMMYFUNCTION("""COMPUTED_VALUE"""),"")</f>
        <v/>
      </c>
      <c r="CI135" s="230" t="str">
        <f>IFERROR(__xludf.DUMMYFUNCTION("""COMPUTED_VALUE"""),"")</f>
        <v/>
      </c>
      <c r="CJ135" s="235" t="str">
        <f>IFERROR(__xludf.DUMMYFUNCTION("""COMPUTED_VALUE"""),"")</f>
        <v/>
      </c>
      <c r="CK135" s="95" t="str">
        <f>IFERROR(__xludf.DUMMYFUNCTION("""COMPUTED_VALUE"""),"")</f>
        <v/>
      </c>
      <c r="CL135" s="96" t="str">
        <f>IFERROR(__xludf.DUMMYFUNCTION("""COMPUTED_VALUE"""),"")</f>
        <v/>
      </c>
      <c r="CM135" s="97" t="str">
        <f>IFERROR(__xludf.DUMMYFUNCTION("""COMPUTED_VALUE"""),"")</f>
        <v/>
      </c>
      <c r="CN135" s="95" t="str">
        <f>IFERROR(__xludf.DUMMYFUNCTION("""COMPUTED_VALUE"""),"")</f>
        <v/>
      </c>
      <c r="CO135" s="96" t="str">
        <f>IFERROR(__xludf.DUMMYFUNCTION("""COMPUTED_VALUE"""),"")</f>
        <v/>
      </c>
      <c r="CP135" s="97" t="str">
        <f>IFERROR(__xludf.DUMMYFUNCTION("""COMPUTED_VALUE"""),"")</f>
        <v/>
      </c>
      <c r="CQ135" s="95" t="str">
        <f>IFERROR(__xludf.DUMMYFUNCTION("""COMPUTED_VALUE"""),"")</f>
        <v/>
      </c>
      <c r="CR135" s="96" t="str">
        <f>IFERROR(__xludf.DUMMYFUNCTION("""COMPUTED_VALUE"""),"")</f>
        <v/>
      </c>
      <c r="CS135" s="97" t="str">
        <f>IFERROR(__xludf.DUMMYFUNCTION("""COMPUTED_VALUE"""),"#REF!")</f>
        <v>#REF!</v>
      </c>
      <c r="CT135" s="95" t="str">
        <f>IFERROR(__xludf.DUMMYFUNCTION("""COMPUTED_VALUE"""),"#REF!")</f>
        <v>#REF!</v>
      </c>
      <c r="CU135" s="96" t="str">
        <f>IFERROR(__xludf.DUMMYFUNCTION("""COMPUTED_VALUE"""),"#REF!")</f>
        <v>#REF!</v>
      </c>
      <c r="CV135" s="97" t="str">
        <f>IFERROR(__xludf.DUMMYFUNCTION("""COMPUTED_VALUE"""),"#REF!")</f>
        <v>#REF!</v>
      </c>
      <c r="CW135" s="95" t="str">
        <f>IFERROR(__xludf.DUMMYFUNCTION("""COMPUTED_VALUE"""),"#REF!")</f>
        <v>#REF!</v>
      </c>
      <c r="CX135" s="96" t="str">
        <f>IFERROR(__xludf.DUMMYFUNCTION("""COMPUTED_VALUE"""),"#REF!")</f>
        <v>#REF!</v>
      </c>
      <c r="CY135" s="97" t="str">
        <f>IFERROR(__xludf.DUMMYFUNCTION("""COMPUTED_VALUE"""),"#REF!")</f>
        <v>#REF!</v>
      </c>
      <c r="CZ135" s="95" t="str">
        <f>IFERROR(__xludf.DUMMYFUNCTION("""COMPUTED_VALUE"""),"#REF!")</f>
        <v>#REF!</v>
      </c>
      <c r="DA135" s="96" t="str">
        <f>IFERROR(__xludf.DUMMYFUNCTION("""COMPUTED_VALUE"""),"#REF!")</f>
        <v>#REF!</v>
      </c>
      <c r="DB135" s="97" t="str">
        <f>IFERROR(__xludf.DUMMYFUNCTION("""COMPUTED_VALUE"""),"#REF!")</f>
        <v>#REF!</v>
      </c>
      <c r="DC135" s="95" t="str">
        <f>IFERROR(__xludf.DUMMYFUNCTION("""COMPUTED_VALUE"""),"#REF!")</f>
        <v>#REF!</v>
      </c>
      <c r="DD135" s="96" t="str">
        <f>IFERROR(__xludf.DUMMYFUNCTION("""COMPUTED_VALUE"""),"#REF!")</f>
        <v>#REF!</v>
      </c>
      <c r="DE135" s="97" t="str">
        <f>IFERROR(__xludf.DUMMYFUNCTION("""COMPUTED_VALUE"""),"#REF!")</f>
        <v>#REF!</v>
      </c>
      <c r="DF135" s="95" t="str">
        <f>IFERROR(__xludf.DUMMYFUNCTION("""COMPUTED_VALUE"""),"#REF!")</f>
        <v>#REF!</v>
      </c>
      <c r="DG135" s="96" t="str">
        <f>IFERROR(__xludf.DUMMYFUNCTION("""COMPUTED_VALUE"""),"#REF!")</f>
        <v>#REF!</v>
      </c>
      <c r="DH135" s="97" t="str">
        <f>IFERROR(__xludf.DUMMYFUNCTION("""COMPUTED_VALUE"""),"#REF!")</f>
        <v>#REF!</v>
      </c>
      <c r="DI135" s="95" t="str">
        <f>IFERROR(__xludf.DUMMYFUNCTION("""COMPUTED_VALUE"""),"#REF!")</f>
        <v>#REF!</v>
      </c>
      <c r="DJ135" s="96" t="str">
        <f>IFERROR(__xludf.DUMMYFUNCTION("""COMPUTED_VALUE"""),"#REF!")</f>
        <v>#REF!</v>
      </c>
      <c r="DK135" s="97" t="str">
        <f>IFERROR(__xludf.DUMMYFUNCTION("""COMPUTED_VALUE"""),"#REF!")</f>
        <v>#REF!</v>
      </c>
      <c r="DL135" s="95" t="str">
        <f>IFERROR(__xludf.DUMMYFUNCTION("""COMPUTED_VALUE"""),"#REF!")</f>
        <v>#REF!</v>
      </c>
      <c r="DM135" s="96" t="str">
        <f>IFERROR(__xludf.DUMMYFUNCTION("""COMPUTED_VALUE"""),"#REF!")</f>
        <v>#REF!</v>
      </c>
      <c r="DN135" s="97" t="str">
        <f>IFERROR(__xludf.DUMMYFUNCTION("""COMPUTED_VALUE"""),"#REF!")</f>
        <v>#REF!</v>
      </c>
      <c r="DO135" s="95" t="str">
        <f>IFERROR(__xludf.DUMMYFUNCTION("""COMPUTED_VALUE"""),"#REF!")</f>
        <v>#REF!</v>
      </c>
      <c r="DP135" s="96" t="str">
        <f>IFERROR(__xludf.DUMMYFUNCTION("""COMPUTED_VALUE"""),"#REF!")</f>
        <v>#REF!</v>
      </c>
      <c r="DQ135" s="97"/>
      <c r="DR135" s="95"/>
    </row>
    <row r="136">
      <c r="B136" s="120" t="str">
        <f>IFERROR(__xludf.DUMMYFUNCTION("""COMPUTED_VALUE"""),"BBL10")</f>
        <v>BBL10</v>
      </c>
      <c r="C136" s="82">
        <f>IFERROR(__xludf.DUMMYFUNCTION("""COMPUTED_VALUE"""),125.0)</f>
        <v>125</v>
      </c>
      <c r="D136" s="88" t="str">
        <f>IFERROR(__xludf.DUMMYFUNCTION("""COMPUTED_VALUE"""),"Kutha")</f>
        <v>Kutha</v>
      </c>
      <c r="E136" s="82" t="str">
        <f>IFERROR(__xludf.DUMMYFUNCTION("""COMPUTED_VALUE"""),"クタ")</f>
        <v>クタ</v>
      </c>
      <c r="F136" s="102">
        <f>IFERROR(__xludf.DUMMYFUNCTION("""COMPUTED_VALUE"""),21.0)</f>
        <v>21</v>
      </c>
      <c r="G136" s="82">
        <f>IFERROR(__xludf.DUMMYFUNCTION("""COMPUTED_VALUE"""),13611.0)</f>
        <v>13611</v>
      </c>
      <c r="H136" s="231" t="str">
        <f>IFERROR(__xludf.DUMMYFUNCTION("""COMPUTED_VALUE"""),"")</f>
        <v/>
      </c>
      <c r="I136" s="232" t="str">
        <f>IFERROR(__xludf.DUMMYFUNCTION("""COMPUTED_VALUE"""),"")</f>
        <v/>
      </c>
      <c r="J136" s="233" t="str">
        <f>IFERROR(__xludf.DUMMYFUNCTION("""COMPUTED_VALUE"""),"")</f>
        <v/>
      </c>
      <c r="K136" s="231" t="str">
        <f>IFERROR(__xludf.DUMMYFUNCTION("""COMPUTED_VALUE"""),"")</f>
        <v/>
      </c>
      <c r="L136" s="232" t="str">
        <f>IFERROR(__xludf.DUMMYFUNCTION("""COMPUTED_VALUE"""),"")</f>
        <v/>
      </c>
      <c r="M136" s="233" t="str">
        <f>IFERROR(__xludf.DUMMYFUNCTION("""COMPUTED_VALUE"""),"")</f>
        <v/>
      </c>
      <c r="N136" s="231" t="str">
        <f>IFERROR(__xludf.DUMMYFUNCTION("""COMPUTED_VALUE"""),"")</f>
        <v/>
      </c>
      <c r="O136" s="232" t="str">
        <f>IFERROR(__xludf.DUMMYFUNCTION("""COMPUTED_VALUE"""),"")</f>
        <v/>
      </c>
      <c r="P136" s="233" t="str">
        <f>IFERROR(__xludf.DUMMYFUNCTION("""COMPUTED_VALUE"""),"")</f>
        <v/>
      </c>
      <c r="Q136" s="231" t="str">
        <f>IFERROR(__xludf.DUMMYFUNCTION("""COMPUTED_VALUE"""),"")</f>
        <v/>
      </c>
      <c r="R136" s="232" t="str">
        <f>IFERROR(__xludf.DUMMYFUNCTION("""COMPUTED_VALUE"""),"")</f>
        <v/>
      </c>
      <c r="S136" s="233" t="str">
        <f>IFERROR(__xludf.DUMMYFUNCTION("""COMPUTED_VALUE"""),"")</f>
        <v/>
      </c>
      <c r="T136" s="231" t="str">
        <f>IFERROR(__xludf.DUMMYFUNCTION("""COMPUTED_VALUE"""),"")</f>
        <v/>
      </c>
      <c r="U136" s="232" t="str">
        <f>IFERROR(__xludf.DUMMYFUNCTION("""COMPUTED_VALUE"""),"")</f>
        <v/>
      </c>
      <c r="V136" s="233" t="str">
        <f>IFERROR(__xludf.DUMMYFUNCTION("""COMPUTED_VALUE"""),"")</f>
        <v/>
      </c>
      <c r="W136" s="231" t="str">
        <f>IFERROR(__xludf.DUMMYFUNCTION("""COMPUTED_VALUE"""),"")</f>
        <v/>
      </c>
      <c r="X136" s="232" t="str">
        <f>IFERROR(__xludf.DUMMYFUNCTION("""COMPUTED_VALUE"""),"")</f>
        <v/>
      </c>
      <c r="Y136" s="233" t="str">
        <f>IFERROR(__xludf.DUMMYFUNCTION("""COMPUTED_VALUE"""),"")</f>
        <v/>
      </c>
      <c r="Z136" s="231" t="str">
        <f>IFERROR(__xludf.DUMMYFUNCTION("""COMPUTED_VALUE"""),"")</f>
        <v/>
      </c>
      <c r="AA136" s="232">
        <f>IFERROR(__xludf.DUMMYFUNCTION("""COMPUTED_VALUE"""),40.2)</f>
        <v>40.2</v>
      </c>
      <c r="AB136" s="233" t="str">
        <f>IFERROR(__xludf.DUMMYFUNCTION("""COMPUTED_VALUE"""),"")</f>
        <v/>
      </c>
      <c r="AC136" s="231" t="str">
        <f>IFERROR(__xludf.DUMMYFUNCTION("""COMPUTED_VALUE"""),"")</f>
        <v/>
      </c>
      <c r="AD136" s="232" t="str">
        <f>IFERROR(__xludf.DUMMYFUNCTION("""COMPUTED_VALUE"""),"")</f>
        <v/>
      </c>
      <c r="AE136" s="233" t="str">
        <f>IFERROR(__xludf.DUMMYFUNCTION("""COMPUTED_VALUE"""),"")</f>
        <v/>
      </c>
      <c r="AF136" s="231" t="str">
        <f>IFERROR(__xludf.DUMMYFUNCTION("""COMPUTED_VALUE"""),"")</f>
        <v/>
      </c>
      <c r="AG136" s="232" t="str">
        <f>IFERROR(__xludf.DUMMYFUNCTION("""COMPUTED_VALUE"""),"")</f>
        <v/>
      </c>
      <c r="AH136" s="233" t="str">
        <f>IFERROR(__xludf.DUMMYFUNCTION("""COMPUTED_VALUE"""),"")</f>
        <v/>
      </c>
      <c r="AI136" s="231" t="str">
        <f>IFERROR(__xludf.DUMMYFUNCTION("""COMPUTED_VALUE"""),"")</f>
        <v/>
      </c>
      <c r="AJ136" s="232" t="str">
        <f>IFERROR(__xludf.DUMMYFUNCTION("""COMPUTED_VALUE"""),"")</f>
        <v/>
      </c>
      <c r="AK136" s="233" t="str">
        <f>IFERROR(__xludf.DUMMYFUNCTION("""COMPUTED_VALUE"""),"")</f>
        <v/>
      </c>
      <c r="AL136" s="231" t="str">
        <f>IFERROR(__xludf.DUMMYFUNCTION("""COMPUTED_VALUE"""),"")</f>
        <v/>
      </c>
      <c r="AM136" s="232" t="str">
        <f>IFERROR(__xludf.DUMMYFUNCTION("""COMPUTED_VALUE"""),"")</f>
        <v/>
      </c>
      <c r="AN136" s="233" t="str">
        <f>IFERROR(__xludf.DUMMYFUNCTION("""COMPUTED_VALUE"""),"")</f>
        <v/>
      </c>
      <c r="AO136" s="231" t="str">
        <f>IFERROR(__xludf.DUMMYFUNCTION("""COMPUTED_VALUE"""),"")</f>
        <v/>
      </c>
      <c r="AP136" s="232" t="str">
        <f>IFERROR(__xludf.DUMMYFUNCTION("""COMPUTED_VALUE"""),"")</f>
        <v/>
      </c>
      <c r="AQ136" s="233" t="str">
        <f>IFERROR(__xludf.DUMMYFUNCTION("""COMPUTED_VALUE"""),"")</f>
        <v/>
      </c>
      <c r="AR136" s="231" t="str">
        <f>IFERROR(__xludf.DUMMYFUNCTION("""COMPUTED_VALUE"""),"")</f>
        <v/>
      </c>
      <c r="AS136" s="232" t="str">
        <f>IFERROR(__xludf.DUMMYFUNCTION("""COMPUTED_VALUE"""),"")</f>
        <v/>
      </c>
      <c r="AT136" s="233" t="str">
        <f>IFERROR(__xludf.DUMMYFUNCTION("""COMPUTED_VALUE"""),"")</f>
        <v/>
      </c>
      <c r="AU136" s="231" t="str">
        <f>IFERROR(__xludf.DUMMYFUNCTION("""COMPUTED_VALUE"""),"")</f>
        <v/>
      </c>
      <c r="AV136" s="232" t="str">
        <f>IFERROR(__xludf.DUMMYFUNCTION("""COMPUTED_VALUE"""),"")</f>
        <v/>
      </c>
      <c r="AW136" s="233" t="str">
        <f>IFERROR(__xludf.DUMMYFUNCTION("""COMPUTED_VALUE"""),"")</f>
        <v/>
      </c>
      <c r="AX136" s="231" t="str">
        <f>IFERROR(__xludf.DUMMYFUNCTION("""COMPUTED_VALUE"""),"")</f>
        <v/>
      </c>
      <c r="AY136" s="232" t="str">
        <f>IFERROR(__xludf.DUMMYFUNCTION("""COMPUTED_VALUE"""),"")</f>
        <v/>
      </c>
      <c r="AZ136" s="233" t="str">
        <f>IFERROR(__xludf.DUMMYFUNCTION("""COMPUTED_VALUE"""),"")</f>
        <v/>
      </c>
      <c r="BA136" s="231" t="str">
        <f>IFERROR(__xludf.DUMMYFUNCTION("""COMPUTED_VALUE"""),"")</f>
        <v/>
      </c>
      <c r="BB136" s="232" t="str">
        <f>IFERROR(__xludf.DUMMYFUNCTION("""COMPUTED_VALUE"""),"")</f>
        <v/>
      </c>
      <c r="BC136" s="233" t="str">
        <f>IFERROR(__xludf.DUMMYFUNCTION("""COMPUTED_VALUE"""),"")</f>
        <v/>
      </c>
      <c r="BD136" s="231" t="str">
        <f>IFERROR(__xludf.DUMMYFUNCTION("""COMPUTED_VALUE"""),"")</f>
        <v/>
      </c>
      <c r="BE136" s="232" t="str">
        <f>IFERROR(__xludf.DUMMYFUNCTION("""COMPUTED_VALUE"""),"")</f>
        <v/>
      </c>
      <c r="BF136" s="233" t="str">
        <f>IFERROR(__xludf.DUMMYFUNCTION("""COMPUTED_VALUE"""),"")</f>
        <v/>
      </c>
      <c r="BG136" s="231" t="str">
        <f>IFERROR(__xludf.DUMMYFUNCTION("""COMPUTED_VALUE"""),"")</f>
        <v/>
      </c>
      <c r="BH136" s="232" t="str">
        <f>IFERROR(__xludf.DUMMYFUNCTION("""COMPUTED_VALUE"""),"")</f>
        <v/>
      </c>
      <c r="BI136" s="233" t="str">
        <f>IFERROR(__xludf.DUMMYFUNCTION("""COMPUTED_VALUE"""),"")</f>
        <v/>
      </c>
      <c r="BJ136" s="231" t="str">
        <f>IFERROR(__xludf.DUMMYFUNCTION("""COMPUTED_VALUE"""),"")</f>
        <v/>
      </c>
      <c r="BK136" s="232" t="str">
        <f>IFERROR(__xludf.DUMMYFUNCTION("""COMPUTED_VALUE"""),"")</f>
        <v/>
      </c>
      <c r="BL136" s="233" t="str">
        <f>IFERROR(__xludf.DUMMYFUNCTION("""COMPUTED_VALUE"""),"")</f>
        <v/>
      </c>
      <c r="BM136" s="231" t="str">
        <f>IFERROR(__xludf.DUMMYFUNCTION("""COMPUTED_VALUE"""),"")</f>
        <v/>
      </c>
      <c r="BN136" s="232" t="str">
        <f>IFERROR(__xludf.DUMMYFUNCTION("""COMPUTED_VALUE"""),"")</f>
        <v/>
      </c>
      <c r="BO136" s="233">
        <f>IFERROR(__xludf.DUMMYFUNCTION("""COMPUTED_VALUE"""),12.2)</f>
        <v>12.2</v>
      </c>
      <c r="BP136" s="231" t="str">
        <f>IFERROR(__xludf.DUMMYFUNCTION("""COMPUTED_VALUE"""),"")</f>
        <v/>
      </c>
      <c r="BQ136" s="232" t="str">
        <f>IFERROR(__xludf.DUMMYFUNCTION("""COMPUTED_VALUE"""),"")</f>
        <v/>
      </c>
      <c r="BR136" s="233" t="str">
        <f>IFERROR(__xludf.DUMMYFUNCTION("""COMPUTED_VALUE"""),"")</f>
        <v/>
      </c>
      <c r="BS136" s="231" t="str">
        <f>IFERROR(__xludf.DUMMYFUNCTION("""COMPUTED_VALUE"""),"")</f>
        <v/>
      </c>
      <c r="BT136" s="232" t="str">
        <f>IFERROR(__xludf.DUMMYFUNCTION("""COMPUTED_VALUE"""),"")</f>
        <v/>
      </c>
      <c r="BU136" s="233" t="str">
        <f>IFERROR(__xludf.DUMMYFUNCTION("""COMPUTED_VALUE"""),"")</f>
        <v/>
      </c>
      <c r="BV136" s="231">
        <f>IFERROR(__xludf.DUMMYFUNCTION("""COMPUTED_VALUE"""),33.0)</f>
        <v>33</v>
      </c>
      <c r="BW136" s="232" t="str">
        <f>IFERROR(__xludf.DUMMYFUNCTION("""COMPUTED_VALUE"""),"")</f>
        <v/>
      </c>
      <c r="BX136" s="233" t="str">
        <f>IFERROR(__xludf.DUMMYFUNCTION("""COMPUTED_VALUE"""),"")</f>
        <v/>
      </c>
      <c r="BY136" s="231" t="str">
        <f>IFERROR(__xludf.DUMMYFUNCTION("""COMPUTED_VALUE"""),"")</f>
        <v/>
      </c>
      <c r="BZ136" s="232" t="str">
        <f>IFERROR(__xludf.DUMMYFUNCTION("""COMPUTED_VALUE"""),"")</f>
        <v/>
      </c>
      <c r="CA136" s="233" t="str">
        <f>IFERROR(__xludf.DUMMYFUNCTION("""COMPUTED_VALUE"""),"")</f>
        <v/>
      </c>
      <c r="CB136" s="231" t="str">
        <f>IFERROR(__xludf.DUMMYFUNCTION("""COMPUTED_VALUE"""),"")</f>
        <v/>
      </c>
      <c r="CC136" s="232" t="str">
        <f>IFERROR(__xludf.DUMMYFUNCTION("""COMPUTED_VALUE"""),"")</f>
        <v/>
      </c>
      <c r="CD136" s="233" t="str">
        <f>IFERROR(__xludf.DUMMYFUNCTION("""COMPUTED_VALUE"""),"")</f>
        <v/>
      </c>
      <c r="CE136" s="234" t="str">
        <f>IFERROR(__xludf.DUMMYFUNCTION("""COMPUTED_VALUE"""),"")</f>
        <v/>
      </c>
      <c r="CF136" s="230" t="str">
        <f>IFERROR(__xludf.DUMMYFUNCTION("""COMPUTED_VALUE"""),"")</f>
        <v/>
      </c>
      <c r="CG136" s="235" t="str">
        <f>IFERROR(__xludf.DUMMYFUNCTION("""COMPUTED_VALUE"""),"")</f>
        <v/>
      </c>
      <c r="CH136" s="234" t="str">
        <f>IFERROR(__xludf.DUMMYFUNCTION("""COMPUTED_VALUE"""),"")</f>
        <v/>
      </c>
      <c r="CI136" s="230" t="str">
        <f>IFERROR(__xludf.DUMMYFUNCTION("""COMPUTED_VALUE"""),"")</f>
        <v/>
      </c>
      <c r="CJ136" s="235" t="str">
        <f>IFERROR(__xludf.DUMMYFUNCTION("""COMPUTED_VALUE"""),"")</f>
        <v/>
      </c>
      <c r="CK136" s="95" t="str">
        <f>IFERROR(__xludf.DUMMYFUNCTION("""COMPUTED_VALUE"""),"")</f>
        <v/>
      </c>
      <c r="CL136" s="96" t="str">
        <f>IFERROR(__xludf.DUMMYFUNCTION("""COMPUTED_VALUE"""),"")</f>
        <v/>
      </c>
      <c r="CM136" s="97" t="str">
        <f>IFERROR(__xludf.DUMMYFUNCTION("""COMPUTED_VALUE"""),"")</f>
        <v/>
      </c>
      <c r="CN136" s="95" t="str">
        <f>IFERROR(__xludf.DUMMYFUNCTION("""COMPUTED_VALUE"""),"")</f>
        <v/>
      </c>
      <c r="CO136" s="96" t="str">
        <f>IFERROR(__xludf.DUMMYFUNCTION("""COMPUTED_VALUE"""),"")</f>
        <v/>
      </c>
      <c r="CP136" s="97" t="str">
        <f>IFERROR(__xludf.DUMMYFUNCTION("""COMPUTED_VALUE"""),"")</f>
        <v/>
      </c>
      <c r="CQ136" s="95">
        <f>IFERROR(__xludf.DUMMYFUNCTION("""COMPUTED_VALUE"""),4.8)</f>
        <v>4.8</v>
      </c>
      <c r="CR136" s="96" t="str">
        <f>IFERROR(__xludf.DUMMYFUNCTION("""COMPUTED_VALUE"""),"")</f>
        <v/>
      </c>
      <c r="CS136" s="97" t="str">
        <f>IFERROR(__xludf.DUMMYFUNCTION("""COMPUTED_VALUE"""),"#REF!")</f>
        <v>#REF!</v>
      </c>
      <c r="CT136" s="95" t="str">
        <f>IFERROR(__xludf.DUMMYFUNCTION("""COMPUTED_VALUE"""),"#REF!")</f>
        <v>#REF!</v>
      </c>
      <c r="CU136" s="96" t="str">
        <f>IFERROR(__xludf.DUMMYFUNCTION("""COMPUTED_VALUE"""),"#REF!")</f>
        <v>#REF!</v>
      </c>
      <c r="CV136" s="97" t="str">
        <f>IFERROR(__xludf.DUMMYFUNCTION("""COMPUTED_VALUE"""),"#REF!")</f>
        <v>#REF!</v>
      </c>
      <c r="CW136" s="95" t="str">
        <f>IFERROR(__xludf.DUMMYFUNCTION("""COMPUTED_VALUE"""),"#REF!")</f>
        <v>#REF!</v>
      </c>
      <c r="CX136" s="96" t="str">
        <f>IFERROR(__xludf.DUMMYFUNCTION("""COMPUTED_VALUE"""),"#REF!")</f>
        <v>#REF!</v>
      </c>
      <c r="CY136" s="97" t="str">
        <f>IFERROR(__xludf.DUMMYFUNCTION("""COMPUTED_VALUE"""),"#REF!")</f>
        <v>#REF!</v>
      </c>
      <c r="CZ136" s="95" t="str">
        <f>IFERROR(__xludf.DUMMYFUNCTION("""COMPUTED_VALUE"""),"#REF!")</f>
        <v>#REF!</v>
      </c>
      <c r="DA136" s="96" t="str">
        <f>IFERROR(__xludf.DUMMYFUNCTION("""COMPUTED_VALUE"""),"#REF!")</f>
        <v>#REF!</v>
      </c>
      <c r="DB136" s="97" t="str">
        <f>IFERROR(__xludf.DUMMYFUNCTION("""COMPUTED_VALUE"""),"#REF!")</f>
        <v>#REF!</v>
      </c>
      <c r="DC136" s="95" t="str">
        <f>IFERROR(__xludf.DUMMYFUNCTION("""COMPUTED_VALUE"""),"#REF!")</f>
        <v>#REF!</v>
      </c>
      <c r="DD136" s="96" t="str">
        <f>IFERROR(__xludf.DUMMYFUNCTION("""COMPUTED_VALUE"""),"#REF!")</f>
        <v>#REF!</v>
      </c>
      <c r="DE136" s="97" t="str">
        <f>IFERROR(__xludf.DUMMYFUNCTION("""COMPUTED_VALUE"""),"#REF!")</f>
        <v>#REF!</v>
      </c>
      <c r="DF136" s="95" t="str">
        <f>IFERROR(__xludf.DUMMYFUNCTION("""COMPUTED_VALUE"""),"#REF!")</f>
        <v>#REF!</v>
      </c>
      <c r="DG136" s="96" t="str">
        <f>IFERROR(__xludf.DUMMYFUNCTION("""COMPUTED_VALUE"""),"#REF!")</f>
        <v>#REF!</v>
      </c>
      <c r="DH136" s="97" t="str">
        <f>IFERROR(__xludf.DUMMYFUNCTION("""COMPUTED_VALUE"""),"#REF!")</f>
        <v>#REF!</v>
      </c>
      <c r="DI136" s="95" t="str">
        <f>IFERROR(__xludf.DUMMYFUNCTION("""COMPUTED_VALUE"""),"#REF!")</f>
        <v>#REF!</v>
      </c>
      <c r="DJ136" s="96" t="str">
        <f>IFERROR(__xludf.DUMMYFUNCTION("""COMPUTED_VALUE"""),"#REF!")</f>
        <v>#REF!</v>
      </c>
      <c r="DK136" s="97" t="str">
        <f>IFERROR(__xludf.DUMMYFUNCTION("""COMPUTED_VALUE"""),"#REF!")</f>
        <v>#REF!</v>
      </c>
      <c r="DL136" s="95" t="str">
        <f>IFERROR(__xludf.DUMMYFUNCTION("""COMPUTED_VALUE"""),"#REF!")</f>
        <v>#REF!</v>
      </c>
      <c r="DM136" s="96" t="str">
        <f>IFERROR(__xludf.DUMMYFUNCTION("""COMPUTED_VALUE"""),"#REF!")</f>
        <v>#REF!</v>
      </c>
      <c r="DN136" s="97" t="str">
        <f>IFERROR(__xludf.DUMMYFUNCTION("""COMPUTED_VALUE"""),"#REF!")</f>
        <v>#REF!</v>
      </c>
      <c r="DO136" s="95" t="str">
        <f>IFERROR(__xludf.DUMMYFUNCTION("""COMPUTED_VALUE"""),"#REF!")</f>
        <v>#REF!</v>
      </c>
      <c r="DP136" s="96" t="str">
        <f>IFERROR(__xludf.DUMMYFUNCTION("""COMPUTED_VALUE"""),"#REF!")</f>
        <v>#REF!</v>
      </c>
      <c r="DQ136" s="97"/>
      <c r="DR136" s="95"/>
    </row>
    <row r="137">
      <c r="B137" s="120" t="str">
        <f>IFERROR(__xludf.DUMMYFUNCTION("""COMPUTED_VALUE"""),"BBL11")</f>
        <v>BBL11</v>
      </c>
      <c r="C137" s="82">
        <f>IFERROR(__xludf.DUMMYFUNCTION("""COMPUTED_VALUE"""),126.0)</f>
        <v>126</v>
      </c>
      <c r="D137" s="88" t="str">
        <f>IFERROR(__xludf.DUMMYFUNCTION("""COMPUTED_VALUE"""),"Northern Wall")</f>
        <v>Northern Wall</v>
      </c>
      <c r="E137" s="82" t="str">
        <f>IFERROR(__xludf.DUMMYFUNCTION("""COMPUTED_VALUE"""),"北壁")</f>
        <v>北壁</v>
      </c>
      <c r="F137" s="102">
        <f>IFERROR(__xludf.DUMMYFUNCTION("""COMPUTED_VALUE"""),21.0)</f>
        <v>21</v>
      </c>
      <c r="G137" s="82">
        <f>IFERROR(__xludf.DUMMYFUNCTION("""COMPUTED_VALUE"""),5788.0)</f>
        <v>5788</v>
      </c>
      <c r="H137" s="231" t="str">
        <f>IFERROR(__xludf.DUMMYFUNCTION("""COMPUTED_VALUE"""),"")</f>
        <v/>
      </c>
      <c r="I137" s="232" t="str">
        <f>IFERROR(__xludf.DUMMYFUNCTION("""COMPUTED_VALUE"""),"")</f>
        <v/>
      </c>
      <c r="J137" s="233" t="str">
        <f>IFERROR(__xludf.DUMMYFUNCTION("""COMPUTED_VALUE"""),"")</f>
        <v/>
      </c>
      <c r="K137" s="231" t="str">
        <f>IFERROR(__xludf.DUMMYFUNCTION("""COMPUTED_VALUE"""),"")</f>
        <v/>
      </c>
      <c r="L137" s="232" t="str">
        <f>IFERROR(__xludf.DUMMYFUNCTION("""COMPUTED_VALUE"""),"")</f>
        <v/>
      </c>
      <c r="M137" s="233" t="str">
        <f>IFERROR(__xludf.DUMMYFUNCTION("""COMPUTED_VALUE"""),"")</f>
        <v/>
      </c>
      <c r="N137" s="231" t="str">
        <f>IFERROR(__xludf.DUMMYFUNCTION("""COMPUTED_VALUE"""),"")</f>
        <v/>
      </c>
      <c r="O137" s="232" t="str">
        <f>IFERROR(__xludf.DUMMYFUNCTION("""COMPUTED_VALUE"""),"")</f>
        <v/>
      </c>
      <c r="P137" s="233" t="str">
        <f>IFERROR(__xludf.DUMMYFUNCTION("""COMPUTED_VALUE"""),"")</f>
        <v/>
      </c>
      <c r="Q137" s="231">
        <f>IFERROR(__xludf.DUMMYFUNCTION("""COMPUTED_VALUE"""),12.6)</f>
        <v>12.6</v>
      </c>
      <c r="R137" s="232" t="str">
        <f>IFERROR(__xludf.DUMMYFUNCTION("""COMPUTED_VALUE"""),"")</f>
        <v/>
      </c>
      <c r="S137" s="233" t="str">
        <f>IFERROR(__xludf.DUMMYFUNCTION("""COMPUTED_VALUE"""),"")</f>
        <v/>
      </c>
      <c r="T137" s="231" t="str">
        <f>IFERROR(__xludf.DUMMYFUNCTION("""COMPUTED_VALUE"""),"")</f>
        <v/>
      </c>
      <c r="U137" s="232" t="str">
        <f>IFERROR(__xludf.DUMMYFUNCTION("""COMPUTED_VALUE"""),"")</f>
        <v/>
      </c>
      <c r="V137" s="233" t="str">
        <f>IFERROR(__xludf.DUMMYFUNCTION("""COMPUTED_VALUE"""),"")</f>
        <v/>
      </c>
      <c r="W137" s="231" t="str">
        <f>IFERROR(__xludf.DUMMYFUNCTION("""COMPUTED_VALUE"""),"")</f>
        <v/>
      </c>
      <c r="X137" s="232" t="str">
        <f>IFERROR(__xludf.DUMMYFUNCTION("""COMPUTED_VALUE"""),"")</f>
        <v/>
      </c>
      <c r="Y137" s="233" t="str">
        <f>IFERROR(__xludf.DUMMYFUNCTION("""COMPUTED_VALUE"""),"")</f>
        <v/>
      </c>
      <c r="Z137" s="231" t="str">
        <f>IFERROR(__xludf.DUMMYFUNCTION("""COMPUTED_VALUE"""),"")</f>
        <v/>
      </c>
      <c r="AA137" s="232" t="str">
        <f>IFERROR(__xludf.DUMMYFUNCTION("""COMPUTED_VALUE"""),"")</f>
        <v/>
      </c>
      <c r="AB137" s="233" t="str">
        <f>IFERROR(__xludf.DUMMYFUNCTION("""COMPUTED_VALUE"""),"")</f>
        <v/>
      </c>
      <c r="AC137" s="231" t="str">
        <f>IFERROR(__xludf.DUMMYFUNCTION("""COMPUTED_VALUE"""),"")</f>
        <v/>
      </c>
      <c r="AD137" s="232" t="str">
        <f>IFERROR(__xludf.DUMMYFUNCTION("""COMPUTED_VALUE"""),"")</f>
        <v/>
      </c>
      <c r="AE137" s="233" t="str">
        <f>IFERROR(__xludf.DUMMYFUNCTION("""COMPUTED_VALUE"""),"")</f>
        <v/>
      </c>
      <c r="AF137" s="231" t="str">
        <f>IFERROR(__xludf.DUMMYFUNCTION("""COMPUTED_VALUE"""),"")</f>
        <v/>
      </c>
      <c r="AG137" s="232" t="str">
        <f>IFERROR(__xludf.DUMMYFUNCTION("""COMPUTED_VALUE"""),"")</f>
        <v/>
      </c>
      <c r="AH137" s="233" t="str">
        <f>IFERROR(__xludf.DUMMYFUNCTION("""COMPUTED_VALUE"""),"")</f>
        <v/>
      </c>
      <c r="AI137" s="231" t="str">
        <f>IFERROR(__xludf.DUMMYFUNCTION("""COMPUTED_VALUE"""),"")</f>
        <v/>
      </c>
      <c r="AJ137" s="232" t="str">
        <f>IFERROR(__xludf.DUMMYFUNCTION("""COMPUTED_VALUE"""),"")</f>
        <v/>
      </c>
      <c r="AK137" s="233" t="str">
        <f>IFERROR(__xludf.DUMMYFUNCTION("""COMPUTED_VALUE"""),"")</f>
        <v/>
      </c>
      <c r="AL137" s="231" t="str">
        <f>IFERROR(__xludf.DUMMYFUNCTION("""COMPUTED_VALUE"""),"")</f>
        <v/>
      </c>
      <c r="AM137" s="232" t="str">
        <f>IFERROR(__xludf.DUMMYFUNCTION("""COMPUTED_VALUE"""),"")</f>
        <v/>
      </c>
      <c r="AN137" s="233" t="str">
        <f>IFERROR(__xludf.DUMMYFUNCTION("""COMPUTED_VALUE"""),"")</f>
        <v/>
      </c>
      <c r="AO137" s="231" t="str">
        <f>IFERROR(__xludf.DUMMYFUNCTION("""COMPUTED_VALUE"""),"")</f>
        <v/>
      </c>
      <c r="AP137" s="232" t="str">
        <f>IFERROR(__xludf.DUMMYFUNCTION("""COMPUTED_VALUE"""),"")</f>
        <v/>
      </c>
      <c r="AQ137" s="233" t="str">
        <f>IFERROR(__xludf.DUMMYFUNCTION("""COMPUTED_VALUE"""),"")</f>
        <v/>
      </c>
      <c r="AR137" s="231" t="str">
        <f>IFERROR(__xludf.DUMMYFUNCTION("""COMPUTED_VALUE"""),"")</f>
        <v/>
      </c>
      <c r="AS137" s="232" t="str">
        <f>IFERROR(__xludf.DUMMYFUNCTION("""COMPUTED_VALUE"""),"")</f>
        <v/>
      </c>
      <c r="AT137" s="233" t="str">
        <f>IFERROR(__xludf.DUMMYFUNCTION("""COMPUTED_VALUE"""),"")</f>
        <v/>
      </c>
      <c r="AU137" s="231" t="str">
        <f>IFERROR(__xludf.DUMMYFUNCTION("""COMPUTED_VALUE"""),"")</f>
        <v/>
      </c>
      <c r="AV137" s="232" t="str">
        <f>IFERROR(__xludf.DUMMYFUNCTION("""COMPUTED_VALUE"""),"")</f>
        <v/>
      </c>
      <c r="AW137" s="233" t="str">
        <f>IFERROR(__xludf.DUMMYFUNCTION("""COMPUTED_VALUE"""),"")</f>
        <v/>
      </c>
      <c r="AX137" s="231" t="str">
        <f>IFERROR(__xludf.DUMMYFUNCTION("""COMPUTED_VALUE"""),"")</f>
        <v/>
      </c>
      <c r="AY137" s="232">
        <f>IFERROR(__xludf.DUMMYFUNCTION("""COMPUTED_VALUE"""),41.3)</f>
        <v>41.3</v>
      </c>
      <c r="AZ137" s="233" t="str">
        <f>IFERROR(__xludf.DUMMYFUNCTION("""COMPUTED_VALUE"""),"")</f>
        <v/>
      </c>
      <c r="BA137" s="231" t="str">
        <f>IFERROR(__xludf.DUMMYFUNCTION("""COMPUTED_VALUE"""),"")</f>
        <v/>
      </c>
      <c r="BB137" s="232" t="str">
        <f>IFERROR(__xludf.DUMMYFUNCTION("""COMPUTED_VALUE"""),"")</f>
        <v/>
      </c>
      <c r="BC137" s="233" t="str">
        <f>IFERROR(__xludf.DUMMYFUNCTION("""COMPUTED_VALUE"""),"")</f>
        <v/>
      </c>
      <c r="BD137" s="231" t="str">
        <f>IFERROR(__xludf.DUMMYFUNCTION("""COMPUTED_VALUE"""),"")</f>
        <v/>
      </c>
      <c r="BE137" s="232" t="str">
        <f>IFERROR(__xludf.DUMMYFUNCTION("""COMPUTED_VALUE"""),"")</f>
        <v/>
      </c>
      <c r="BF137" s="233" t="str">
        <f>IFERROR(__xludf.DUMMYFUNCTION("""COMPUTED_VALUE"""),"")</f>
        <v/>
      </c>
      <c r="BG137" s="231" t="str">
        <f>IFERROR(__xludf.DUMMYFUNCTION("""COMPUTED_VALUE"""),"")</f>
        <v/>
      </c>
      <c r="BH137" s="232" t="str">
        <f>IFERROR(__xludf.DUMMYFUNCTION("""COMPUTED_VALUE"""),"")</f>
        <v/>
      </c>
      <c r="BI137" s="233" t="str">
        <f>IFERROR(__xludf.DUMMYFUNCTION("""COMPUTED_VALUE"""),"")</f>
        <v/>
      </c>
      <c r="BJ137" s="231" t="str">
        <f>IFERROR(__xludf.DUMMYFUNCTION("""COMPUTED_VALUE"""),"")</f>
        <v/>
      </c>
      <c r="BK137" s="232" t="str">
        <f>IFERROR(__xludf.DUMMYFUNCTION("""COMPUTED_VALUE"""),"")</f>
        <v/>
      </c>
      <c r="BL137" s="233" t="str">
        <f>IFERROR(__xludf.DUMMYFUNCTION("""COMPUTED_VALUE"""),"")</f>
        <v/>
      </c>
      <c r="BM137" s="231">
        <f>IFERROR(__xludf.DUMMYFUNCTION("""COMPUTED_VALUE"""),7.6)</f>
        <v>7.6</v>
      </c>
      <c r="BN137" s="232" t="str">
        <f>IFERROR(__xludf.DUMMYFUNCTION("""COMPUTED_VALUE"""),"")</f>
        <v/>
      </c>
      <c r="BO137" s="233" t="str">
        <f>IFERROR(__xludf.DUMMYFUNCTION("""COMPUTED_VALUE"""),"")</f>
        <v/>
      </c>
      <c r="BP137" s="231" t="str">
        <f>IFERROR(__xludf.DUMMYFUNCTION("""COMPUTED_VALUE"""),"")</f>
        <v/>
      </c>
      <c r="BQ137" s="232" t="str">
        <f>IFERROR(__xludf.DUMMYFUNCTION("""COMPUTED_VALUE"""),"")</f>
        <v/>
      </c>
      <c r="BR137" s="233" t="str">
        <f>IFERROR(__xludf.DUMMYFUNCTION("""COMPUTED_VALUE"""),"")</f>
        <v/>
      </c>
      <c r="BS137" s="231">
        <f>IFERROR(__xludf.DUMMYFUNCTION("""COMPUTED_VALUE"""),31.2)</f>
        <v>31.2</v>
      </c>
      <c r="BT137" s="232" t="str">
        <f>IFERROR(__xludf.DUMMYFUNCTION("""COMPUTED_VALUE"""),"")</f>
        <v/>
      </c>
      <c r="BU137" s="233" t="str">
        <f>IFERROR(__xludf.DUMMYFUNCTION("""COMPUTED_VALUE"""),"")</f>
        <v/>
      </c>
      <c r="BV137" s="231" t="str">
        <f>IFERROR(__xludf.DUMMYFUNCTION("""COMPUTED_VALUE"""),"")</f>
        <v/>
      </c>
      <c r="BW137" s="232" t="str">
        <f>IFERROR(__xludf.DUMMYFUNCTION("""COMPUTED_VALUE"""),"")</f>
        <v/>
      </c>
      <c r="BX137" s="233" t="str">
        <f>IFERROR(__xludf.DUMMYFUNCTION("""COMPUTED_VALUE"""),"")</f>
        <v/>
      </c>
      <c r="BY137" s="231" t="str">
        <f>IFERROR(__xludf.DUMMYFUNCTION("""COMPUTED_VALUE"""),"")</f>
        <v/>
      </c>
      <c r="BZ137" s="232" t="str">
        <f>IFERROR(__xludf.DUMMYFUNCTION("""COMPUTED_VALUE"""),"")</f>
        <v/>
      </c>
      <c r="CA137" s="233" t="str">
        <f>IFERROR(__xludf.DUMMYFUNCTION("""COMPUTED_VALUE"""),"")</f>
        <v/>
      </c>
      <c r="CB137" s="231" t="str">
        <f>IFERROR(__xludf.DUMMYFUNCTION("""COMPUTED_VALUE"""),"")</f>
        <v/>
      </c>
      <c r="CC137" s="232" t="str">
        <f>IFERROR(__xludf.DUMMYFUNCTION("""COMPUTED_VALUE"""),"")</f>
        <v/>
      </c>
      <c r="CD137" s="233" t="str">
        <f>IFERROR(__xludf.DUMMYFUNCTION("""COMPUTED_VALUE"""),"")</f>
        <v/>
      </c>
      <c r="CE137" s="234" t="str">
        <f>IFERROR(__xludf.DUMMYFUNCTION("""COMPUTED_VALUE"""),"")</f>
        <v/>
      </c>
      <c r="CF137" s="230" t="str">
        <f>IFERROR(__xludf.DUMMYFUNCTION("""COMPUTED_VALUE"""),"")</f>
        <v/>
      </c>
      <c r="CG137" s="235" t="str">
        <f>IFERROR(__xludf.DUMMYFUNCTION("""COMPUTED_VALUE"""),"")</f>
        <v/>
      </c>
      <c r="CH137" s="234" t="str">
        <f>IFERROR(__xludf.DUMMYFUNCTION("""COMPUTED_VALUE"""),"")</f>
        <v/>
      </c>
      <c r="CI137" s="230" t="str">
        <f>IFERROR(__xludf.DUMMYFUNCTION("""COMPUTED_VALUE"""),"")</f>
        <v/>
      </c>
      <c r="CJ137" s="235" t="str">
        <f>IFERROR(__xludf.DUMMYFUNCTION("""COMPUTED_VALUE"""),"")</f>
        <v/>
      </c>
      <c r="CK137" s="95" t="str">
        <f>IFERROR(__xludf.DUMMYFUNCTION("""COMPUTED_VALUE"""),"")</f>
        <v/>
      </c>
      <c r="CL137" s="96" t="str">
        <f>IFERROR(__xludf.DUMMYFUNCTION("""COMPUTED_VALUE"""),"")</f>
        <v/>
      </c>
      <c r="CM137" s="97" t="str">
        <f>IFERROR(__xludf.DUMMYFUNCTION("""COMPUTED_VALUE"""),"")</f>
        <v/>
      </c>
      <c r="CN137" s="95" t="str">
        <f>IFERROR(__xludf.DUMMYFUNCTION("""COMPUTED_VALUE"""),"")</f>
        <v/>
      </c>
      <c r="CO137" s="96">
        <f>IFERROR(__xludf.DUMMYFUNCTION("""COMPUTED_VALUE"""),5.3)</f>
        <v>5.3</v>
      </c>
      <c r="CP137" s="97" t="str">
        <f>IFERROR(__xludf.DUMMYFUNCTION("""COMPUTED_VALUE"""),"")</f>
        <v/>
      </c>
      <c r="CQ137" s="95" t="str">
        <f>IFERROR(__xludf.DUMMYFUNCTION("""COMPUTED_VALUE"""),"")</f>
        <v/>
      </c>
      <c r="CR137" s="96" t="str">
        <f>IFERROR(__xludf.DUMMYFUNCTION("""COMPUTED_VALUE"""),"")</f>
        <v/>
      </c>
      <c r="CS137" s="97" t="str">
        <f>IFERROR(__xludf.DUMMYFUNCTION("""COMPUTED_VALUE"""),"#REF!")</f>
        <v>#REF!</v>
      </c>
      <c r="CT137" s="95" t="str">
        <f>IFERROR(__xludf.DUMMYFUNCTION("""COMPUTED_VALUE"""),"#REF!")</f>
        <v>#REF!</v>
      </c>
      <c r="CU137" s="96" t="str">
        <f>IFERROR(__xludf.DUMMYFUNCTION("""COMPUTED_VALUE"""),"#REF!")</f>
        <v>#REF!</v>
      </c>
      <c r="CV137" s="97" t="str">
        <f>IFERROR(__xludf.DUMMYFUNCTION("""COMPUTED_VALUE"""),"#REF!")</f>
        <v>#REF!</v>
      </c>
      <c r="CW137" s="95" t="str">
        <f>IFERROR(__xludf.DUMMYFUNCTION("""COMPUTED_VALUE"""),"#REF!")</f>
        <v>#REF!</v>
      </c>
      <c r="CX137" s="96" t="str">
        <f>IFERROR(__xludf.DUMMYFUNCTION("""COMPUTED_VALUE"""),"#REF!")</f>
        <v>#REF!</v>
      </c>
      <c r="CY137" s="97" t="str">
        <f>IFERROR(__xludf.DUMMYFUNCTION("""COMPUTED_VALUE"""),"#REF!")</f>
        <v>#REF!</v>
      </c>
      <c r="CZ137" s="95" t="str">
        <f>IFERROR(__xludf.DUMMYFUNCTION("""COMPUTED_VALUE"""),"#REF!")</f>
        <v>#REF!</v>
      </c>
      <c r="DA137" s="96" t="str">
        <f>IFERROR(__xludf.DUMMYFUNCTION("""COMPUTED_VALUE"""),"#REF!")</f>
        <v>#REF!</v>
      </c>
      <c r="DB137" s="97" t="str">
        <f>IFERROR(__xludf.DUMMYFUNCTION("""COMPUTED_VALUE"""),"#REF!")</f>
        <v>#REF!</v>
      </c>
      <c r="DC137" s="95" t="str">
        <f>IFERROR(__xludf.DUMMYFUNCTION("""COMPUTED_VALUE"""),"#REF!")</f>
        <v>#REF!</v>
      </c>
      <c r="DD137" s="96" t="str">
        <f>IFERROR(__xludf.DUMMYFUNCTION("""COMPUTED_VALUE"""),"#REF!")</f>
        <v>#REF!</v>
      </c>
      <c r="DE137" s="97" t="str">
        <f>IFERROR(__xludf.DUMMYFUNCTION("""COMPUTED_VALUE"""),"#REF!")</f>
        <v>#REF!</v>
      </c>
      <c r="DF137" s="95" t="str">
        <f>IFERROR(__xludf.DUMMYFUNCTION("""COMPUTED_VALUE"""),"#REF!")</f>
        <v>#REF!</v>
      </c>
      <c r="DG137" s="96" t="str">
        <f>IFERROR(__xludf.DUMMYFUNCTION("""COMPUTED_VALUE"""),"#REF!")</f>
        <v>#REF!</v>
      </c>
      <c r="DH137" s="97" t="str">
        <f>IFERROR(__xludf.DUMMYFUNCTION("""COMPUTED_VALUE"""),"#REF!")</f>
        <v>#REF!</v>
      </c>
      <c r="DI137" s="95" t="str">
        <f>IFERROR(__xludf.DUMMYFUNCTION("""COMPUTED_VALUE"""),"#REF!")</f>
        <v>#REF!</v>
      </c>
      <c r="DJ137" s="96" t="str">
        <f>IFERROR(__xludf.DUMMYFUNCTION("""COMPUTED_VALUE"""),"#REF!")</f>
        <v>#REF!</v>
      </c>
      <c r="DK137" s="97" t="str">
        <f>IFERROR(__xludf.DUMMYFUNCTION("""COMPUTED_VALUE"""),"#REF!")</f>
        <v>#REF!</v>
      </c>
      <c r="DL137" s="95" t="str">
        <f>IFERROR(__xludf.DUMMYFUNCTION("""COMPUTED_VALUE"""),"#REF!")</f>
        <v>#REF!</v>
      </c>
      <c r="DM137" s="96" t="str">
        <f>IFERROR(__xludf.DUMMYFUNCTION("""COMPUTED_VALUE"""),"#REF!")</f>
        <v>#REF!</v>
      </c>
      <c r="DN137" s="97" t="str">
        <f>IFERROR(__xludf.DUMMYFUNCTION("""COMPUTED_VALUE"""),"#REF!")</f>
        <v>#REF!</v>
      </c>
      <c r="DO137" s="95" t="str">
        <f>IFERROR(__xludf.DUMMYFUNCTION("""COMPUTED_VALUE"""),"#REF!")</f>
        <v>#REF!</v>
      </c>
      <c r="DP137" s="96" t="str">
        <f>IFERROR(__xludf.DUMMYFUNCTION("""COMPUTED_VALUE"""),"#REF!")</f>
        <v>#REF!</v>
      </c>
      <c r="DQ137" s="97"/>
      <c r="DR137" s="95"/>
    </row>
    <row r="138">
      <c r="B138" s="120" t="str">
        <f>IFERROR(__xludf.DUMMYFUNCTION("""COMPUTED_VALUE"""),"BBL12")</f>
        <v>BBL12</v>
      </c>
      <c r="C138" s="82">
        <f>IFERROR(__xludf.DUMMYFUNCTION("""COMPUTED_VALUE"""),127.0)</f>
        <v>127</v>
      </c>
      <c r="D138" s="88" t="str">
        <f>IFERROR(__xludf.DUMMYFUNCTION("""COMPUTED_VALUE"""),"Nippur")</f>
        <v>Nippur</v>
      </c>
      <c r="E138" s="82" t="str">
        <f>IFERROR(__xludf.DUMMYFUNCTION("""COMPUTED_VALUE"""),"ニップル")</f>
        <v>ニップル</v>
      </c>
      <c r="F138" s="102">
        <f>IFERROR(__xludf.DUMMYFUNCTION("""COMPUTED_VALUE"""),21.0)</f>
        <v>21</v>
      </c>
      <c r="G138" s="82">
        <f>IFERROR(__xludf.DUMMYFUNCTION("""COMPUTED_VALUE"""),69855.0)</f>
        <v>69855</v>
      </c>
      <c r="H138" s="231" t="str">
        <f>IFERROR(__xludf.DUMMYFUNCTION("""COMPUTED_VALUE"""),"")</f>
        <v/>
      </c>
      <c r="I138" s="232" t="str">
        <f>IFERROR(__xludf.DUMMYFUNCTION("""COMPUTED_VALUE"""),"")</f>
        <v/>
      </c>
      <c r="J138" s="233">
        <f>IFERROR(__xludf.DUMMYFUNCTION("""COMPUTED_VALUE"""),12.1)</f>
        <v>12.1</v>
      </c>
      <c r="K138" s="231" t="str">
        <f>IFERROR(__xludf.DUMMYFUNCTION("""COMPUTED_VALUE"""),"")</f>
        <v/>
      </c>
      <c r="L138" s="232" t="str">
        <f>IFERROR(__xludf.DUMMYFUNCTION("""COMPUTED_VALUE"""),"")</f>
        <v/>
      </c>
      <c r="M138" s="233" t="str">
        <f>IFERROR(__xludf.DUMMYFUNCTION("""COMPUTED_VALUE"""),"")</f>
        <v/>
      </c>
      <c r="N138" s="231" t="str">
        <f>IFERROR(__xludf.DUMMYFUNCTION("""COMPUTED_VALUE"""),"")</f>
        <v/>
      </c>
      <c r="O138" s="232" t="str">
        <f>IFERROR(__xludf.DUMMYFUNCTION("""COMPUTED_VALUE"""),"")</f>
        <v/>
      </c>
      <c r="P138" s="233" t="str">
        <f>IFERROR(__xludf.DUMMYFUNCTION("""COMPUTED_VALUE"""),"")</f>
        <v/>
      </c>
      <c r="Q138" s="231" t="str">
        <f>IFERROR(__xludf.DUMMYFUNCTION("""COMPUTED_VALUE"""),"")</f>
        <v/>
      </c>
      <c r="R138" s="232" t="str">
        <f>IFERROR(__xludf.DUMMYFUNCTION("""COMPUTED_VALUE"""),"")</f>
        <v/>
      </c>
      <c r="S138" s="233" t="str">
        <f>IFERROR(__xludf.DUMMYFUNCTION("""COMPUTED_VALUE"""),"")</f>
        <v/>
      </c>
      <c r="T138" s="231" t="str">
        <f>IFERROR(__xludf.DUMMYFUNCTION("""COMPUTED_VALUE"""),"")</f>
        <v/>
      </c>
      <c r="U138" s="232" t="str">
        <f>IFERROR(__xludf.DUMMYFUNCTION("""COMPUTED_VALUE"""),"")</f>
        <v/>
      </c>
      <c r="V138" s="233" t="str">
        <f>IFERROR(__xludf.DUMMYFUNCTION("""COMPUTED_VALUE"""),"")</f>
        <v/>
      </c>
      <c r="W138" s="231" t="str">
        <f>IFERROR(__xludf.DUMMYFUNCTION("""COMPUTED_VALUE"""),"")</f>
        <v/>
      </c>
      <c r="X138" s="232" t="str">
        <f>IFERROR(__xludf.DUMMYFUNCTION("""COMPUTED_VALUE"""),"")</f>
        <v/>
      </c>
      <c r="Y138" s="233" t="str">
        <f>IFERROR(__xludf.DUMMYFUNCTION("""COMPUTED_VALUE"""),"")</f>
        <v/>
      </c>
      <c r="Z138" s="231" t="str">
        <f>IFERROR(__xludf.DUMMYFUNCTION("""COMPUTED_VALUE"""),"")</f>
        <v/>
      </c>
      <c r="AA138" s="232" t="str">
        <f>IFERROR(__xludf.DUMMYFUNCTION("""COMPUTED_VALUE"""),"")</f>
        <v/>
      </c>
      <c r="AB138" s="233" t="str">
        <f>IFERROR(__xludf.DUMMYFUNCTION("""COMPUTED_VALUE"""),"")</f>
        <v/>
      </c>
      <c r="AC138" s="231" t="str">
        <f>IFERROR(__xludf.DUMMYFUNCTION("""COMPUTED_VALUE"""),"")</f>
        <v/>
      </c>
      <c r="AD138" s="232" t="str">
        <f>IFERROR(__xludf.DUMMYFUNCTION("""COMPUTED_VALUE"""),"")</f>
        <v/>
      </c>
      <c r="AE138" s="233" t="str">
        <f>IFERROR(__xludf.DUMMYFUNCTION("""COMPUTED_VALUE"""),"")</f>
        <v/>
      </c>
      <c r="AF138" s="231" t="str">
        <f>IFERROR(__xludf.DUMMYFUNCTION("""COMPUTED_VALUE"""),"")</f>
        <v/>
      </c>
      <c r="AG138" s="232" t="str">
        <f>IFERROR(__xludf.DUMMYFUNCTION("""COMPUTED_VALUE"""),"")</f>
        <v/>
      </c>
      <c r="AH138" s="233" t="str">
        <f>IFERROR(__xludf.DUMMYFUNCTION("""COMPUTED_VALUE"""),"")</f>
        <v/>
      </c>
      <c r="AI138" s="231" t="str">
        <f>IFERROR(__xludf.DUMMYFUNCTION("""COMPUTED_VALUE"""),"")</f>
        <v/>
      </c>
      <c r="AJ138" s="232" t="str">
        <f>IFERROR(__xludf.DUMMYFUNCTION("""COMPUTED_VALUE"""),"")</f>
        <v/>
      </c>
      <c r="AK138" s="233" t="str">
        <f>IFERROR(__xludf.DUMMYFUNCTION("""COMPUTED_VALUE"""),"")</f>
        <v/>
      </c>
      <c r="AL138" s="231" t="str">
        <f>IFERROR(__xludf.DUMMYFUNCTION("""COMPUTED_VALUE"""),"")</f>
        <v/>
      </c>
      <c r="AM138" s="232" t="str">
        <f>IFERROR(__xludf.DUMMYFUNCTION("""COMPUTED_VALUE"""),"")</f>
        <v/>
      </c>
      <c r="AN138" s="233" t="str">
        <f>IFERROR(__xludf.DUMMYFUNCTION("""COMPUTED_VALUE"""),"")</f>
        <v/>
      </c>
      <c r="AO138" s="231" t="str">
        <f>IFERROR(__xludf.DUMMYFUNCTION("""COMPUTED_VALUE"""),"")</f>
        <v/>
      </c>
      <c r="AP138" s="232" t="str">
        <f>IFERROR(__xludf.DUMMYFUNCTION("""COMPUTED_VALUE"""),"")</f>
        <v/>
      </c>
      <c r="AQ138" s="233" t="str">
        <f>IFERROR(__xludf.DUMMYFUNCTION("""COMPUTED_VALUE"""),"")</f>
        <v/>
      </c>
      <c r="AR138" s="231" t="str">
        <f>IFERROR(__xludf.DUMMYFUNCTION("""COMPUTED_VALUE"""),"")</f>
        <v/>
      </c>
      <c r="AS138" s="232" t="str">
        <f>IFERROR(__xludf.DUMMYFUNCTION("""COMPUTED_VALUE"""),"")</f>
        <v/>
      </c>
      <c r="AT138" s="233" t="str">
        <f>IFERROR(__xludf.DUMMYFUNCTION("""COMPUTED_VALUE"""),"")</f>
        <v/>
      </c>
      <c r="AU138" s="231" t="str">
        <f>IFERROR(__xludf.DUMMYFUNCTION("""COMPUTED_VALUE"""),"")</f>
        <v/>
      </c>
      <c r="AV138" s="232" t="str">
        <f>IFERROR(__xludf.DUMMYFUNCTION("""COMPUTED_VALUE"""),"")</f>
        <v/>
      </c>
      <c r="AW138" s="233" t="str">
        <f>IFERROR(__xludf.DUMMYFUNCTION("""COMPUTED_VALUE"""),"")</f>
        <v/>
      </c>
      <c r="AX138" s="231" t="str">
        <f>IFERROR(__xludf.DUMMYFUNCTION("""COMPUTED_VALUE"""),"")</f>
        <v/>
      </c>
      <c r="AY138" s="232">
        <f>IFERROR(__xludf.DUMMYFUNCTION("""COMPUTED_VALUE"""),30.0)</f>
        <v>30</v>
      </c>
      <c r="AZ138" s="233" t="str">
        <f>IFERROR(__xludf.DUMMYFUNCTION("""COMPUTED_VALUE"""),"")</f>
        <v/>
      </c>
      <c r="BA138" s="231" t="str">
        <f>IFERROR(__xludf.DUMMYFUNCTION("""COMPUTED_VALUE"""),"")</f>
        <v/>
      </c>
      <c r="BB138" s="232" t="str">
        <f>IFERROR(__xludf.DUMMYFUNCTION("""COMPUTED_VALUE"""),"")</f>
        <v/>
      </c>
      <c r="BC138" s="233" t="str">
        <f>IFERROR(__xludf.DUMMYFUNCTION("""COMPUTED_VALUE"""),"")</f>
        <v/>
      </c>
      <c r="BD138" s="231" t="str">
        <f>IFERROR(__xludf.DUMMYFUNCTION("""COMPUTED_VALUE"""),"")</f>
        <v/>
      </c>
      <c r="BE138" s="232" t="str">
        <f>IFERROR(__xludf.DUMMYFUNCTION("""COMPUTED_VALUE"""),"")</f>
        <v/>
      </c>
      <c r="BF138" s="233">
        <f>IFERROR(__xludf.DUMMYFUNCTION("""COMPUTED_VALUE"""),3.2)</f>
        <v>3.2</v>
      </c>
      <c r="BG138" s="231" t="str">
        <f>IFERROR(__xludf.DUMMYFUNCTION("""COMPUTED_VALUE"""),"")</f>
        <v/>
      </c>
      <c r="BH138" s="232" t="str">
        <f>IFERROR(__xludf.DUMMYFUNCTION("""COMPUTED_VALUE"""),"")</f>
        <v/>
      </c>
      <c r="BI138" s="233" t="str">
        <f>IFERROR(__xludf.DUMMYFUNCTION("""COMPUTED_VALUE"""),"")</f>
        <v/>
      </c>
      <c r="BJ138" s="231" t="str">
        <f>IFERROR(__xludf.DUMMYFUNCTION("""COMPUTED_VALUE"""),"")</f>
        <v/>
      </c>
      <c r="BK138" s="232" t="str">
        <f>IFERROR(__xludf.DUMMYFUNCTION("""COMPUTED_VALUE"""),"")</f>
        <v/>
      </c>
      <c r="BL138" s="233" t="str">
        <f>IFERROR(__xludf.DUMMYFUNCTION("""COMPUTED_VALUE"""),"")</f>
        <v/>
      </c>
      <c r="BM138" s="231" t="str">
        <f>IFERROR(__xludf.DUMMYFUNCTION("""COMPUTED_VALUE"""),"")</f>
        <v/>
      </c>
      <c r="BN138" s="232" t="str">
        <f>IFERROR(__xludf.DUMMYFUNCTION("""COMPUTED_VALUE"""),"")</f>
        <v/>
      </c>
      <c r="BO138" s="233" t="str">
        <f>IFERROR(__xludf.DUMMYFUNCTION("""COMPUTED_VALUE"""),"")</f>
        <v/>
      </c>
      <c r="BP138" s="231" t="str">
        <f>IFERROR(__xludf.DUMMYFUNCTION("""COMPUTED_VALUE"""),"")</f>
        <v/>
      </c>
      <c r="BQ138" s="232" t="str">
        <f>IFERROR(__xludf.DUMMYFUNCTION("""COMPUTED_VALUE"""),"")</f>
        <v/>
      </c>
      <c r="BR138" s="233" t="str">
        <f>IFERROR(__xludf.DUMMYFUNCTION("""COMPUTED_VALUE"""),"")</f>
        <v/>
      </c>
      <c r="BS138" s="231">
        <f>IFERROR(__xludf.DUMMYFUNCTION("""COMPUTED_VALUE"""),24.8)</f>
        <v>24.8</v>
      </c>
      <c r="BT138" s="232" t="str">
        <f>IFERROR(__xludf.DUMMYFUNCTION("""COMPUTED_VALUE"""),"")</f>
        <v/>
      </c>
      <c r="BU138" s="233" t="str">
        <f>IFERROR(__xludf.DUMMYFUNCTION("""COMPUTED_VALUE"""),"")</f>
        <v/>
      </c>
      <c r="BV138" s="231" t="str">
        <f>IFERROR(__xludf.DUMMYFUNCTION("""COMPUTED_VALUE"""),"")</f>
        <v/>
      </c>
      <c r="BW138" s="232" t="str">
        <f>IFERROR(__xludf.DUMMYFUNCTION("""COMPUTED_VALUE"""),"")</f>
        <v/>
      </c>
      <c r="BX138" s="233" t="str">
        <f>IFERROR(__xludf.DUMMYFUNCTION("""COMPUTED_VALUE"""),"")</f>
        <v/>
      </c>
      <c r="BY138" s="231" t="str">
        <f>IFERROR(__xludf.DUMMYFUNCTION("""COMPUTED_VALUE"""),"")</f>
        <v/>
      </c>
      <c r="BZ138" s="232" t="str">
        <f>IFERROR(__xludf.DUMMYFUNCTION("""COMPUTED_VALUE"""),"")</f>
        <v/>
      </c>
      <c r="CA138" s="233" t="str">
        <f>IFERROR(__xludf.DUMMYFUNCTION("""COMPUTED_VALUE"""),"")</f>
        <v/>
      </c>
      <c r="CB138" s="231" t="str">
        <f>IFERROR(__xludf.DUMMYFUNCTION("""COMPUTED_VALUE"""),"")</f>
        <v/>
      </c>
      <c r="CC138" s="232" t="str">
        <f>IFERROR(__xludf.DUMMYFUNCTION("""COMPUTED_VALUE"""),"")</f>
        <v/>
      </c>
      <c r="CD138" s="233" t="str">
        <f>IFERROR(__xludf.DUMMYFUNCTION("""COMPUTED_VALUE"""),"")</f>
        <v/>
      </c>
      <c r="CE138" s="234" t="str">
        <f>IFERROR(__xludf.DUMMYFUNCTION("""COMPUTED_VALUE"""),"")</f>
        <v/>
      </c>
      <c r="CF138" s="230" t="str">
        <f>IFERROR(__xludf.DUMMYFUNCTION("""COMPUTED_VALUE"""),"")</f>
        <v/>
      </c>
      <c r="CG138" s="235" t="str">
        <f>IFERROR(__xludf.DUMMYFUNCTION("""COMPUTED_VALUE"""),"")</f>
        <v/>
      </c>
      <c r="CH138" s="234" t="str">
        <f>IFERROR(__xludf.DUMMYFUNCTION("""COMPUTED_VALUE"""),"")</f>
        <v/>
      </c>
      <c r="CI138" s="230" t="str">
        <f>IFERROR(__xludf.DUMMYFUNCTION("""COMPUTED_VALUE"""),"")</f>
        <v/>
      </c>
      <c r="CJ138" s="235" t="str">
        <f>IFERROR(__xludf.DUMMYFUNCTION("""COMPUTED_VALUE"""),"")</f>
        <v/>
      </c>
      <c r="CK138" s="95" t="str">
        <f>IFERROR(__xludf.DUMMYFUNCTION("""COMPUTED_VALUE"""),"")</f>
        <v/>
      </c>
      <c r="CL138" s="96" t="str">
        <f>IFERROR(__xludf.DUMMYFUNCTION("""COMPUTED_VALUE"""),"")</f>
        <v/>
      </c>
      <c r="CM138" s="97" t="str">
        <f>IFERROR(__xludf.DUMMYFUNCTION("""COMPUTED_VALUE"""),"")</f>
        <v/>
      </c>
      <c r="CN138" s="95" t="str">
        <f>IFERROR(__xludf.DUMMYFUNCTION("""COMPUTED_VALUE"""),"")</f>
        <v/>
      </c>
      <c r="CO138" s="96">
        <f>IFERROR(__xludf.DUMMYFUNCTION("""COMPUTED_VALUE"""),4.8)</f>
        <v>4.8</v>
      </c>
      <c r="CP138" s="97" t="str">
        <f>IFERROR(__xludf.DUMMYFUNCTION("""COMPUTED_VALUE"""),"")</f>
        <v/>
      </c>
      <c r="CQ138" s="95" t="str">
        <f>IFERROR(__xludf.DUMMYFUNCTION("""COMPUTED_VALUE"""),"")</f>
        <v/>
      </c>
      <c r="CR138" s="96" t="str">
        <f>IFERROR(__xludf.DUMMYFUNCTION("""COMPUTED_VALUE"""),"")</f>
        <v/>
      </c>
      <c r="CS138" s="97" t="str">
        <f>IFERROR(__xludf.DUMMYFUNCTION("""COMPUTED_VALUE"""),"#REF!")</f>
        <v>#REF!</v>
      </c>
      <c r="CT138" s="95" t="str">
        <f>IFERROR(__xludf.DUMMYFUNCTION("""COMPUTED_VALUE"""),"#REF!")</f>
        <v>#REF!</v>
      </c>
      <c r="CU138" s="96" t="str">
        <f>IFERROR(__xludf.DUMMYFUNCTION("""COMPUTED_VALUE"""),"#REF!")</f>
        <v>#REF!</v>
      </c>
      <c r="CV138" s="97" t="str">
        <f>IFERROR(__xludf.DUMMYFUNCTION("""COMPUTED_VALUE"""),"#REF!")</f>
        <v>#REF!</v>
      </c>
      <c r="CW138" s="95" t="str">
        <f>IFERROR(__xludf.DUMMYFUNCTION("""COMPUTED_VALUE"""),"#REF!")</f>
        <v>#REF!</v>
      </c>
      <c r="CX138" s="96" t="str">
        <f>IFERROR(__xludf.DUMMYFUNCTION("""COMPUTED_VALUE"""),"#REF!")</f>
        <v>#REF!</v>
      </c>
      <c r="CY138" s="97" t="str">
        <f>IFERROR(__xludf.DUMMYFUNCTION("""COMPUTED_VALUE"""),"#REF!")</f>
        <v>#REF!</v>
      </c>
      <c r="CZ138" s="95" t="str">
        <f>IFERROR(__xludf.DUMMYFUNCTION("""COMPUTED_VALUE"""),"#REF!")</f>
        <v>#REF!</v>
      </c>
      <c r="DA138" s="96" t="str">
        <f>IFERROR(__xludf.DUMMYFUNCTION("""COMPUTED_VALUE"""),"#REF!")</f>
        <v>#REF!</v>
      </c>
      <c r="DB138" s="97" t="str">
        <f>IFERROR(__xludf.DUMMYFUNCTION("""COMPUTED_VALUE"""),"#REF!")</f>
        <v>#REF!</v>
      </c>
      <c r="DC138" s="95" t="str">
        <f>IFERROR(__xludf.DUMMYFUNCTION("""COMPUTED_VALUE"""),"#REF!")</f>
        <v>#REF!</v>
      </c>
      <c r="DD138" s="96" t="str">
        <f>IFERROR(__xludf.DUMMYFUNCTION("""COMPUTED_VALUE"""),"#REF!")</f>
        <v>#REF!</v>
      </c>
      <c r="DE138" s="97" t="str">
        <f>IFERROR(__xludf.DUMMYFUNCTION("""COMPUTED_VALUE"""),"#REF!")</f>
        <v>#REF!</v>
      </c>
      <c r="DF138" s="95" t="str">
        <f>IFERROR(__xludf.DUMMYFUNCTION("""COMPUTED_VALUE"""),"#REF!")</f>
        <v>#REF!</v>
      </c>
      <c r="DG138" s="96" t="str">
        <f>IFERROR(__xludf.DUMMYFUNCTION("""COMPUTED_VALUE"""),"#REF!")</f>
        <v>#REF!</v>
      </c>
      <c r="DH138" s="97" t="str">
        <f>IFERROR(__xludf.DUMMYFUNCTION("""COMPUTED_VALUE"""),"#REF!")</f>
        <v>#REF!</v>
      </c>
      <c r="DI138" s="95" t="str">
        <f>IFERROR(__xludf.DUMMYFUNCTION("""COMPUTED_VALUE"""),"#REF!")</f>
        <v>#REF!</v>
      </c>
      <c r="DJ138" s="96" t="str">
        <f>IFERROR(__xludf.DUMMYFUNCTION("""COMPUTED_VALUE"""),"#REF!")</f>
        <v>#REF!</v>
      </c>
      <c r="DK138" s="97" t="str">
        <f>IFERROR(__xludf.DUMMYFUNCTION("""COMPUTED_VALUE"""),"#REF!")</f>
        <v>#REF!</v>
      </c>
      <c r="DL138" s="95" t="str">
        <f>IFERROR(__xludf.DUMMYFUNCTION("""COMPUTED_VALUE"""),"#REF!")</f>
        <v>#REF!</v>
      </c>
      <c r="DM138" s="96" t="str">
        <f>IFERROR(__xludf.DUMMYFUNCTION("""COMPUTED_VALUE"""),"#REF!")</f>
        <v>#REF!</v>
      </c>
      <c r="DN138" s="97" t="str">
        <f>IFERROR(__xludf.DUMMYFUNCTION("""COMPUTED_VALUE"""),"#REF!")</f>
        <v>#REF!</v>
      </c>
      <c r="DO138" s="95" t="str">
        <f>IFERROR(__xludf.DUMMYFUNCTION("""COMPUTED_VALUE"""),"#REF!")</f>
        <v>#REF!</v>
      </c>
      <c r="DP138" s="96" t="str">
        <f>IFERROR(__xludf.DUMMYFUNCTION("""COMPUTED_VALUE"""),"#REF!")</f>
        <v>#REF!</v>
      </c>
      <c r="DQ138" s="97"/>
      <c r="DR138" s="95"/>
    </row>
    <row r="139">
      <c r="B139" s="120" t="str">
        <f>IFERROR(__xludf.DUMMYFUNCTION("""COMPUTED_VALUE"""),"BBL13")</f>
        <v>BBL13</v>
      </c>
      <c r="C139" s="82">
        <f>IFERROR(__xludf.DUMMYFUNCTION("""COMPUTED_VALUE"""),128.0)</f>
        <v>128</v>
      </c>
      <c r="D139" s="88" t="str">
        <f>IFERROR(__xludf.DUMMYFUNCTION("""COMPUTED_VALUE"""),"Mt. Ebih")</f>
        <v>Mt. Ebih</v>
      </c>
      <c r="E139" s="82" t="str">
        <f>IFERROR(__xludf.DUMMYFUNCTION("""COMPUTED_VALUE"""),"エビフ山")</f>
        <v>エビフ山</v>
      </c>
      <c r="F139" s="102">
        <f>IFERROR(__xludf.DUMMYFUNCTION("""COMPUTED_VALUE"""),21.0)</f>
        <v>21</v>
      </c>
      <c r="G139" s="82">
        <f>IFERROR(__xludf.DUMMYFUNCTION("""COMPUTED_VALUE"""),29368.0)</f>
        <v>29368</v>
      </c>
      <c r="H139" s="231" t="str">
        <f>IFERROR(__xludf.DUMMYFUNCTION("""COMPUTED_VALUE"""),"")</f>
        <v/>
      </c>
      <c r="I139" s="232" t="str">
        <f>IFERROR(__xludf.DUMMYFUNCTION("""COMPUTED_VALUE"""),"")</f>
        <v/>
      </c>
      <c r="J139" s="233" t="str">
        <f>IFERROR(__xludf.DUMMYFUNCTION("""COMPUTED_VALUE"""),"")</f>
        <v/>
      </c>
      <c r="K139" s="231" t="str">
        <f>IFERROR(__xludf.DUMMYFUNCTION("""COMPUTED_VALUE"""),"")</f>
        <v/>
      </c>
      <c r="L139" s="232" t="str">
        <f>IFERROR(__xludf.DUMMYFUNCTION("""COMPUTED_VALUE"""),"")</f>
        <v/>
      </c>
      <c r="M139" s="233" t="str">
        <f>IFERROR(__xludf.DUMMYFUNCTION("""COMPUTED_VALUE"""),"")</f>
        <v/>
      </c>
      <c r="N139" s="231" t="str">
        <f>IFERROR(__xludf.DUMMYFUNCTION("""COMPUTED_VALUE"""),"")</f>
        <v/>
      </c>
      <c r="O139" s="232" t="str">
        <f>IFERROR(__xludf.DUMMYFUNCTION("""COMPUTED_VALUE"""),"")</f>
        <v/>
      </c>
      <c r="P139" s="233" t="str">
        <f>IFERROR(__xludf.DUMMYFUNCTION("""COMPUTED_VALUE"""),"")</f>
        <v/>
      </c>
      <c r="Q139" s="231" t="str">
        <f>IFERROR(__xludf.DUMMYFUNCTION("""COMPUTED_VALUE"""),"")</f>
        <v/>
      </c>
      <c r="R139" s="232">
        <f>IFERROR(__xludf.DUMMYFUNCTION("""COMPUTED_VALUE"""),11.6999999)</f>
        <v>11.6999999</v>
      </c>
      <c r="S139" s="233" t="str">
        <f>IFERROR(__xludf.DUMMYFUNCTION("""COMPUTED_VALUE"""),"")</f>
        <v/>
      </c>
      <c r="T139" s="231" t="str">
        <f>IFERROR(__xludf.DUMMYFUNCTION("""COMPUTED_VALUE"""),"")</f>
        <v/>
      </c>
      <c r="U139" s="232" t="str">
        <f>IFERROR(__xludf.DUMMYFUNCTION("""COMPUTED_VALUE"""),"")</f>
        <v/>
      </c>
      <c r="V139" s="233" t="str">
        <f>IFERROR(__xludf.DUMMYFUNCTION("""COMPUTED_VALUE"""),"")</f>
        <v/>
      </c>
      <c r="W139" s="231" t="str">
        <f>IFERROR(__xludf.DUMMYFUNCTION("""COMPUTED_VALUE"""),"")</f>
        <v/>
      </c>
      <c r="X139" s="232" t="str">
        <f>IFERROR(__xludf.DUMMYFUNCTION("""COMPUTED_VALUE"""),"")</f>
        <v/>
      </c>
      <c r="Y139" s="233" t="str">
        <f>IFERROR(__xludf.DUMMYFUNCTION("""COMPUTED_VALUE"""),"")</f>
        <v/>
      </c>
      <c r="Z139" s="231">
        <f>IFERROR(__xludf.DUMMYFUNCTION("""COMPUTED_VALUE"""),25.5)</f>
        <v>25.5</v>
      </c>
      <c r="AA139" s="232" t="str">
        <f>IFERROR(__xludf.DUMMYFUNCTION("""COMPUTED_VALUE"""),"")</f>
        <v/>
      </c>
      <c r="AB139" s="233" t="str">
        <f>IFERROR(__xludf.DUMMYFUNCTION("""COMPUTED_VALUE"""),"")</f>
        <v/>
      </c>
      <c r="AC139" s="231" t="str">
        <f>IFERROR(__xludf.DUMMYFUNCTION("""COMPUTED_VALUE"""),"")</f>
        <v/>
      </c>
      <c r="AD139" s="232" t="str">
        <f>IFERROR(__xludf.DUMMYFUNCTION("""COMPUTED_VALUE"""),"")</f>
        <v/>
      </c>
      <c r="AE139" s="233" t="str">
        <f>IFERROR(__xludf.DUMMYFUNCTION("""COMPUTED_VALUE"""),"")</f>
        <v/>
      </c>
      <c r="AF139" s="231" t="str">
        <f>IFERROR(__xludf.DUMMYFUNCTION("""COMPUTED_VALUE"""),"")</f>
        <v/>
      </c>
      <c r="AG139" s="232" t="str">
        <f>IFERROR(__xludf.DUMMYFUNCTION("""COMPUTED_VALUE"""),"")</f>
        <v/>
      </c>
      <c r="AH139" s="233" t="str">
        <f>IFERROR(__xludf.DUMMYFUNCTION("""COMPUTED_VALUE"""),"")</f>
        <v/>
      </c>
      <c r="AI139" s="231" t="str">
        <f>IFERROR(__xludf.DUMMYFUNCTION("""COMPUTED_VALUE"""),"")</f>
        <v/>
      </c>
      <c r="AJ139" s="232" t="str">
        <f>IFERROR(__xludf.DUMMYFUNCTION("""COMPUTED_VALUE"""),"")</f>
        <v/>
      </c>
      <c r="AK139" s="233" t="str">
        <f>IFERROR(__xludf.DUMMYFUNCTION("""COMPUTED_VALUE"""),"")</f>
        <v/>
      </c>
      <c r="AL139" s="231" t="str">
        <f>IFERROR(__xludf.DUMMYFUNCTION("""COMPUTED_VALUE"""),"")</f>
        <v/>
      </c>
      <c r="AM139" s="232" t="str">
        <f>IFERROR(__xludf.DUMMYFUNCTION("""COMPUTED_VALUE"""),"")</f>
        <v/>
      </c>
      <c r="AN139" s="233" t="str">
        <f>IFERROR(__xludf.DUMMYFUNCTION("""COMPUTED_VALUE"""),"")</f>
        <v/>
      </c>
      <c r="AO139" s="231" t="str">
        <f>IFERROR(__xludf.DUMMYFUNCTION("""COMPUTED_VALUE"""),"")</f>
        <v/>
      </c>
      <c r="AP139" s="232" t="str">
        <f>IFERROR(__xludf.DUMMYFUNCTION("""COMPUTED_VALUE"""),"")</f>
        <v/>
      </c>
      <c r="AQ139" s="233" t="str">
        <f>IFERROR(__xludf.DUMMYFUNCTION("""COMPUTED_VALUE"""),"")</f>
        <v/>
      </c>
      <c r="AR139" s="231" t="str">
        <f>IFERROR(__xludf.DUMMYFUNCTION("""COMPUTED_VALUE"""),"")</f>
        <v/>
      </c>
      <c r="AS139" s="232" t="str">
        <f>IFERROR(__xludf.DUMMYFUNCTION("""COMPUTED_VALUE"""),"")</f>
        <v/>
      </c>
      <c r="AT139" s="233" t="str">
        <f>IFERROR(__xludf.DUMMYFUNCTION("""COMPUTED_VALUE"""),"")</f>
        <v/>
      </c>
      <c r="AU139" s="231" t="str">
        <f>IFERROR(__xludf.DUMMYFUNCTION("""COMPUTED_VALUE"""),"")</f>
        <v/>
      </c>
      <c r="AV139" s="232" t="str">
        <f>IFERROR(__xludf.DUMMYFUNCTION("""COMPUTED_VALUE"""),"")</f>
        <v/>
      </c>
      <c r="AW139" s="233" t="str">
        <f>IFERROR(__xludf.DUMMYFUNCTION("""COMPUTED_VALUE"""),"")</f>
        <v/>
      </c>
      <c r="AX139" s="231" t="str">
        <f>IFERROR(__xludf.DUMMYFUNCTION("""COMPUTED_VALUE"""),"")</f>
        <v/>
      </c>
      <c r="AY139" s="232" t="str">
        <f>IFERROR(__xludf.DUMMYFUNCTION("""COMPUTED_VALUE"""),"")</f>
        <v/>
      </c>
      <c r="AZ139" s="233" t="str">
        <f>IFERROR(__xludf.DUMMYFUNCTION("""COMPUTED_VALUE"""),"")</f>
        <v/>
      </c>
      <c r="BA139" s="231" t="str">
        <f>IFERROR(__xludf.DUMMYFUNCTION("""COMPUTED_VALUE"""),"")</f>
        <v/>
      </c>
      <c r="BB139" s="232" t="str">
        <f>IFERROR(__xludf.DUMMYFUNCTION("""COMPUTED_VALUE"""),"")</f>
        <v/>
      </c>
      <c r="BC139" s="233" t="str">
        <f>IFERROR(__xludf.DUMMYFUNCTION("""COMPUTED_VALUE"""),"")</f>
        <v/>
      </c>
      <c r="BD139" s="231" t="str">
        <f>IFERROR(__xludf.DUMMYFUNCTION("""COMPUTED_VALUE"""),"")</f>
        <v/>
      </c>
      <c r="BE139" s="232" t="str">
        <f>IFERROR(__xludf.DUMMYFUNCTION("""COMPUTED_VALUE"""),"")</f>
        <v/>
      </c>
      <c r="BF139" s="233" t="str">
        <f>IFERROR(__xludf.DUMMYFUNCTION("""COMPUTED_VALUE"""),"")</f>
        <v/>
      </c>
      <c r="BG139" s="231" t="str">
        <f>IFERROR(__xludf.DUMMYFUNCTION("""COMPUTED_VALUE"""),"")</f>
        <v/>
      </c>
      <c r="BH139" s="232" t="str">
        <f>IFERROR(__xludf.DUMMYFUNCTION("""COMPUTED_VALUE"""),"")</f>
        <v/>
      </c>
      <c r="BI139" s="233">
        <f>IFERROR(__xludf.DUMMYFUNCTION("""COMPUTED_VALUE"""),3.2)</f>
        <v>3.2</v>
      </c>
      <c r="BJ139" s="231" t="str">
        <f>IFERROR(__xludf.DUMMYFUNCTION("""COMPUTED_VALUE"""),"")</f>
        <v/>
      </c>
      <c r="BK139" s="232" t="str">
        <f>IFERROR(__xludf.DUMMYFUNCTION("""COMPUTED_VALUE"""),"")</f>
        <v/>
      </c>
      <c r="BL139" s="233" t="str">
        <f>IFERROR(__xludf.DUMMYFUNCTION("""COMPUTED_VALUE"""),"")</f>
        <v/>
      </c>
      <c r="BM139" s="231" t="str">
        <f>IFERROR(__xludf.DUMMYFUNCTION("""COMPUTED_VALUE"""),"")</f>
        <v/>
      </c>
      <c r="BN139" s="232" t="str">
        <f>IFERROR(__xludf.DUMMYFUNCTION("""COMPUTED_VALUE"""),"")</f>
        <v/>
      </c>
      <c r="BO139" s="233" t="str">
        <f>IFERROR(__xludf.DUMMYFUNCTION("""COMPUTED_VALUE"""),"")</f>
        <v/>
      </c>
      <c r="BP139" s="231">
        <f>IFERROR(__xludf.DUMMYFUNCTION("""COMPUTED_VALUE"""),24.8)</f>
        <v>24.8</v>
      </c>
      <c r="BQ139" s="232" t="str">
        <f>IFERROR(__xludf.DUMMYFUNCTION("""COMPUTED_VALUE"""),"")</f>
        <v/>
      </c>
      <c r="BR139" s="233" t="str">
        <f>IFERROR(__xludf.DUMMYFUNCTION("""COMPUTED_VALUE"""),"")</f>
        <v/>
      </c>
      <c r="BS139" s="231" t="str">
        <f>IFERROR(__xludf.DUMMYFUNCTION("""COMPUTED_VALUE"""),"")</f>
        <v/>
      </c>
      <c r="BT139" s="232" t="str">
        <f>IFERROR(__xludf.DUMMYFUNCTION("""COMPUTED_VALUE"""),"")</f>
        <v/>
      </c>
      <c r="BU139" s="233" t="str">
        <f>IFERROR(__xludf.DUMMYFUNCTION("""COMPUTED_VALUE"""),"")</f>
        <v/>
      </c>
      <c r="BV139" s="231" t="str">
        <f>IFERROR(__xludf.DUMMYFUNCTION("""COMPUTED_VALUE"""),"")</f>
        <v/>
      </c>
      <c r="BW139" s="232" t="str">
        <f>IFERROR(__xludf.DUMMYFUNCTION("""COMPUTED_VALUE"""),"")</f>
        <v/>
      </c>
      <c r="BX139" s="233" t="str">
        <f>IFERROR(__xludf.DUMMYFUNCTION("""COMPUTED_VALUE"""),"")</f>
        <v/>
      </c>
      <c r="BY139" s="231" t="str">
        <f>IFERROR(__xludf.DUMMYFUNCTION("""COMPUTED_VALUE"""),"")</f>
        <v/>
      </c>
      <c r="BZ139" s="232" t="str">
        <f>IFERROR(__xludf.DUMMYFUNCTION("""COMPUTED_VALUE"""),"")</f>
        <v/>
      </c>
      <c r="CA139" s="233" t="str">
        <f>IFERROR(__xludf.DUMMYFUNCTION("""COMPUTED_VALUE"""),"")</f>
        <v/>
      </c>
      <c r="CB139" s="231" t="str">
        <f>IFERROR(__xludf.DUMMYFUNCTION("""COMPUTED_VALUE"""),"")</f>
        <v/>
      </c>
      <c r="CC139" s="232" t="str">
        <f>IFERROR(__xludf.DUMMYFUNCTION("""COMPUTED_VALUE"""),"")</f>
        <v/>
      </c>
      <c r="CD139" s="233" t="str">
        <f>IFERROR(__xludf.DUMMYFUNCTION("""COMPUTED_VALUE"""),"")</f>
        <v/>
      </c>
      <c r="CE139" s="234" t="str">
        <f>IFERROR(__xludf.DUMMYFUNCTION("""COMPUTED_VALUE"""),"")</f>
        <v/>
      </c>
      <c r="CF139" s="230" t="str">
        <f>IFERROR(__xludf.DUMMYFUNCTION("""COMPUTED_VALUE"""),"")</f>
        <v/>
      </c>
      <c r="CG139" s="235" t="str">
        <f>IFERROR(__xludf.DUMMYFUNCTION("""COMPUTED_VALUE"""),"")</f>
        <v/>
      </c>
      <c r="CH139" s="234" t="str">
        <f>IFERROR(__xludf.DUMMYFUNCTION("""COMPUTED_VALUE"""),"")</f>
        <v/>
      </c>
      <c r="CI139" s="230" t="str">
        <f>IFERROR(__xludf.DUMMYFUNCTION("""COMPUTED_VALUE"""),"")</f>
        <v/>
      </c>
      <c r="CJ139" s="235" t="str">
        <f>IFERROR(__xludf.DUMMYFUNCTION("""COMPUTED_VALUE"""),"")</f>
        <v/>
      </c>
      <c r="CK139" s="95" t="str">
        <f>IFERROR(__xludf.DUMMYFUNCTION("""COMPUTED_VALUE"""),"")</f>
        <v/>
      </c>
      <c r="CL139" s="96" t="str">
        <f>IFERROR(__xludf.DUMMYFUNCTION("""COMPUTED_VALUE"""),"")</f>
        <v/>
      </c>
      <c r="CM139" s="97" t="str">
        <f>IFERROR(__xludf.DUMMYFUNCTION("""COMPUTED_VALUE"""),"")</f>
        <v/>
      </c>
      <c r="CN139" s="95" t="str">
        <f>IFERROR(__xludf.DUMMYFUNCTION("""COMPUTED_VALUE"""),"")</f>
        <v/>
      </c>
      <c r="CO139" s="96" t="str">
        <f>IFERROR(__xludf.DUMMYFUNCTION("""COMPUTED_VALUE"""),"")</f>
        <v/>
      </c>
      <c r="CP139" s="97" t="str">
        <f>IFERROR(__xludf.DUMMYFUNCTION("""COMPUTED_VALUE"""),"")</f>
        <v/>
      </c>
      <c r="CQ139" s="95" t="str">
        <f>IFERROR(__xludf.DUMMYFUNCTION("""COMPUTED_VALUE"""),"")</f>
        <v/>
      </c>
      <c r="CR139" s="96">
        <f>IFERROR(__xludf.DUMMYFUNCTION("""COMPUTED_VALUE"""),5.2)</f>
        <v>5.2</v>
      </c>
      <c r="CS139" s="97" t="str">
        <f>IFERROR(__xludf.DUMMYFUNCTION("""COMPUTED_VALUE"""),"#REF!")</f>
        <v>#REF!</v>
      </c>
      <c r="CT139" s="95" t="str">
        <f>IFERROR(__xludf.DUMMYFUNCTION("""COMPUTED_VALUE"""),"#REF!")</f>
        <v>#REF!</v>
      </c>
      <c r="CU139" s="96" t="str">
        <f>IFERROR(__xludf.DUMMYFUNCTION("""COMPUTED_VALUE"""),"#REF!")</f>
        <v>#REF!</v>
      </c>
      <c r="CV139" s="97" t="str">
        <f>IFERROR(__xludf.DUMMYFUNCTION("""COMPUTED_VALUE"""),"#REF!")</f>
        <v>#REF!</v>
      </c>
      <c r="CW139" s="95" t="str">
        <f>IFERROR(__xludf.DUMMYFUNCTION("""COMPUTED_VALUE"""),"#REF!")</f>
        <v>#REF!</v>
      </c>
      <c r="CX139" s="96" t="str">
        <f>IFERROR(__xludf.DUMMYFUNCTION("""COMPUTED_VALUE"""),"#REF!")</f>
        <v>#REF!</v>
      </c>
      <c r="CY139" s="97" t="str">
        <f>IFERROR(__xludf.DUMMYFUNCTION("""COMPUTED_VALUE"""),"#REF!")</f>
        <v>#REF!</v>
      </c>
      <c r="CZ139" s="95" t="str">
        <f>IFERROR(__xludf.DUMMYFUNCTION("""COMPUTED_VALUE"""),"#REF!")</f>
        <v>#REF!</v>
      </c>
      <c r="DA139" s="96" t="str">
        <f>IFERROR(__xludf.DUMMYFUNCTION("""COMPUTED_VALUE"""),"#REF!")</f>
        <v>#REF!</v>
      </c>
      <c r="DB139" s="97" t="str">
        <f>IFERROR(__xludf.DUMMYFUNCTION("""COMPUTED_VALUE"""),"#REF!")</f>
        <v>#REF!</v>
      </c>
      <c r="DC139" s="95" t="str">
        <f>IFERROR(__xludf.DUMMYFUNCTION("""COMPUTED_VALUE"""),"#REF!")</f>
        <v>#REF!</v>
      </c>
      <c r="DD139" s="96" t="str">
        <f>IFERROR(__xludf.DUMMYFUNCTION("""COMPUTED_VALUE"""),"#REF!")</f>
        <v>#REF!</v>
      </c>
      <c r="DE139" s="97" t="str">
        <f>IFERROR(__xludf.DUMMYFUNCTION("""COMPUTED_VALUE"""),"#REF!")</f>
        <v>#REF!</v>
      </c>
      <c r="DF139" s="95" t="str">
        <f>IFERROR(__xludf.DUMMYFUNCTION("""COMPUTED_VALUE"""),"#REF!")</f>
        <v>#REF!</v>
      </c>
      <c r="DG139" s="96" t="str">
        <f>IFERROR(__xludf.DUMMYFUNCTION("""COMPUTED_VALUE"""),"#REF!")</f>
        <v>#REF!</v>
      </c>
      <c r="DH139" s="97" t="str">
        <f>IFERROR(__xludf.DUMMYFUNCTION("""COMPUTED_VALUE"""),"#REF!")</f>
        <v>#REF!</v>
      </c>
      <c r="DI139" s="95" t="str">
        <f>IFERROR(__xludf.DUMMYFUNCTION("""COMPUTED_VALUE"""),"#REF!")</f>
        <v>#REF!</v>
      </c>
      <c r="DJ139" s="96" t="str">
        <f>IFERROR(__xludf.DUMMYFUNCTION("""COMPUTED_VALUE"""),"#REF!")</f>
        <v>#REF!</v>
      </c>
      <c r="DK139" s="97" t="str">
        <f>IFERROR(__xludf.DUMMYFUNCTION("""COMPUTED_VALUE"""),"#REF!")</f>
        <v>#REF!</v>
      </c>
      <c r="DL139" s="95" t="str">
        <f>IFERROR(__xludf.DUMMYFUNCTION("""COMPUTED_VALUE"""),"#REF!")</f>
        <v>#REF!</v>
      </c>
      <c r="DM139" s="96" t="str">
        <f>IFERROR(__xludf.DUMMYFUNCTION("""COMPUTED_VALUE"""),"#REF!")</f>
        <v>#REF!</v>
      </c>
      <c r="DN139" s="97" t="str">
        <f>IFERROR(__xludf.DUMMYFUNCTION("""COMPUTED_VALUE"""),"#REF!")</f>
        <v>#REF!</v>
      </c>
      <c r="DO139" s="95" t="str">
        <f>IFERROR(__xludf.DUMMYFUNCTION("""COMPUTED_VALUE"""),"#REF!")</f>
        <v>#REF!</v>
      </c>
      <c r="DP139" s="96" t="str">
        <f>IFERROR(__xludf.DUMMYFUNCTION("""COMPUTED_VALUE"""),"#REF!")</f>
        <v>#REF!</v>
      </c>
      <c r="DQ139" s="97"/>
      <c r="DR139" s="95"/>
    </row>
    <row r="140">
      <c r="B140" s="120" t="str">
        <f>IFERROR(__xludf.DUMMYFUNCTION("""COMPUTED_VALUE"""),"BBL14")</f>
        <v>BBL14</v>
      </c>
      <c r="C140" s="82">
        <f>IFERROR(__xludf.DUMMYFUNCTION("""COMPUTED_VALUE"""),129.0)</f>
        <v>129</v>
      </c>
      <c r="D140" s="88" t="str">
        <f>IFERROR(__xludf.DUMMYFUNCTION("""COMPUTED_VALUE"""),"Blood Fort")</f>
        <v>Blood Fort</v>
      </c>
      <c r="E140" s="82" t="str">
        <f>IFERROR(__xludf.DUMMYFUNCTION("""COMPUTED_VALUE"""),"鮮血神殿")</f>
        <v>鮮血神殿</v>
      </c>
      <c r="F140" s="102">
        <f>IFERROR(__xludf.DUMMYFUNCTION("""COMPUTED_VALUE"""),21.0)</f>
        <v>21</v>
      </c>
      <c r="G140" s="82">
        <f>IFERROR(__xludf.DUMMYFUNCTION("""COMPUTED_VALUE"""),80896.0)</f>
        <v>80896</v>
      </c>
      <c r="H140" s="231" t="str">
        <f>IFERROR(__xludf.DUMMYFUNCTION("""COMPUTED_VALUE"""),"")</f>
        <v/>
      </c>
      <c r="I140" s="232" t="str">
        <f>IFERROR(__xludf.DUMMYFUNCTION("""COMPUTED_VALUE"""),"")</f>
        <v/>
      </c>
      <c r="J140" s="233" t="str">
        <f>IFERROR(__xludf.DUMMYFUNCTION("""COMPUTED_VALUE"""),"")</f>
        <v/>
      </c>
      <c r="K140" s="231" t="str">
        <f>IFERROR(__xludf.DUMMYFUNCTION("""COMPUTED_VALUE"""),"")</f>
        <v/>
      </c>
      <c r="L140" s="232" t="str">
        <f>IFERROR(__xludf.DUMMYFUNCTION("""COMPUTED_VALUE"""),"")</f>
        <v/>
      </c>
      <c r="M140" s="233" t="str">
        <f>IFERROR(__xludf.DUMMYFUNCTION("""COMPUTED_VALUE"""),"")</f>
        <v/>
      </c>
      <c r="N140" s="231" t="str">
        <f>IFERROR(__xludf.DUMMYFUNCTION("""COMPUTED_VALUE"""),"")</f>
        <v/>
      </c>
      <c r="O140" s="232" t="str">
        <f>IFERROR(__xludf.DUMMYFUNCTION("""COMPUTED_VALUE"""),"")</f>
        <v/>
      </c>
      <c r="P140" s="233" t="str">
        <f>IFERROR(__xludf.DUMMYFUNCTION("""COMPUTED_VALUE"""),"")</f>
        <v/>
      </c>
      <c r="Q140" s="231">
        <f>IFERROR(__xludf.DUMMYFUNCTION("""COMPUTED_VALUE"""),18.2)</f>
        <v>18.2</v>
      </c>
      <c r="R140" s="232" t="str">
        <f>IFERROR(__xludf.DUMMYFUNCTION("""COMPUTED_VALUE"""),"")</f>
        <v/>
      </c>
      <c r="S140" s="233" t="str">
        <f>IFERROR(__xludf.DUMMYFUNCTION("""COMPUTED_VALUE"""),"")</f>
        <v/>
      </c>
      <c r="T140" s="231" t="str">
        <f>IFERROR(__xludf.DUMMYFUNCTION("""COMPUTED_VALUE"""),"")</f>
        <v/>
      </c>
      <c r="U140" s="232" t="str">
        <f>IFERROR(__xludf.DUMMYFUNCTION("""COMPUTED_VALUE"""),"")</f>
        <v/>
      </c>
      <c r="V140" s="233" t="str">
        <f>IFERROR(__xludf.DUMMYFUNCTION("""COMPUTED_VALUE"""),"")</f>
        <v/>
      </c>
      <c r="W140" s="231" t="str">
        <f>IFERROR(__xludf.DUMMYFUNCTION("""COMPUTED_VALUE"""),"")</f>
        <v/>
      </c>
      <c r="X140" s="232" t="str">
        <f>IFERROR(__xludf.DUMMYFUNCTION("""COMPUTED_VALUE"""),"")</f>
        <v/>
      </c>
      <c r="Y140" s="233" t="str">
        <f>IFERROR(__xludf.DUMMYFUNCTION("""COMPUTED_VALUE"""),"")</f>
        <v/>
      </c>
      <c r="Z140" s="231">
        <f>IFERROR(__xludf.DUMMYFUNCTION("""COMPUTED_VALUE"""),24.1)</f>
        <v>24.1</v>
      </c>
      <c r="AA140" s="232" t="str">
        <f>IFERROR(__xludf.DUMMYFUNCTION("""COMPUTED_VALUE"""),"")</f>
        <v/>
      </c>
      <c r="AB140" s="233" t="str">
        <f>IFERROR(__xludf.DUMMYFUNCTION("""COMPUTED_VALUE"""),"")</f>
        <v/>
      </c>
      <c r="AC140" s="231" t="str">
        <f>IFERROR(__xludf.DUMMYFUNCTION("""COMPUTED_VALUE"""),"")</f>
        <v/>
      </c>
      <c r="AD140" s="232" t="str">
        <f>IFERROR(__xludf.DUMMYFUNCTION("""COMPUTED_VALUE"""),"")</f>
        <v/>
      </c>
      <c r="AE140" s="233" t="str">
        <f>IFERROR(__xludf.DUMMYFUNCTION("""COMPUTED_VALUE"""),"")</f>
        <v/>
      </c>
      <c r="AF140" s="231" t="str">
        <f>IFERROR(__xludf.DUMMYFUNCTION("""COMPUTED_VALUE"""),"")</f>
        <v/>
      </c>
      <c r="AG140" s="232" t="str">
        <f>IFERROR(__xludf.DUMMYFUNCTION("""COMPUTED_VALUE"""),"")</f>
        <v/>
      </c>
      <c r="AH140" s="233" t="str">
        <f>IFERROR(__xludf.DUMMYFUNCTION("""COMPUTED_VALUE"""),"")</f>
        <v/>
      </c>
      <c r="AI140" s="231" t="str">
        <f>IFERROR(__xludf.DUMMYFUNCTION("""COMPUTED_VALUE"""),"")</f>
        <v/>
      </c>
      <c r="AJ140" s="232" t="str">
        <f>IFERROR(__xludf.DUMMYFUNCTION("""COMPUTED_VALUE"""),"")</f>
        <v/>
      </c>
      <c r="AK140" s="233" t="str">
        <f>IFERROR(__xludf.DUMMYFUNCTION("""COMPUTED_VALUE"""),"")</f>
        <v/>
      </c>
      <c r="AL140" s="231" t="str">
        <f>IFERROR(__xludf.DUMMYFUNCTION("""COMPUTED_VALUE"""),"")</f>
        <v/>
      </c>
      <c r="AM140" s="232" t="str">
        <f>IFERROR(__xludf.DUMMYFUNCTION("""COMPUTED_VALUE"""),"")</f>
        <v/>
      </c>
      <c r="AN140" s="233" t="str">
        <f>IFERROR(__xludf.DUMMYFUNCTION("""COMPUTED_VALUE"""),"")</f>
        <v/>
      </c>
      <c r="AO140" s="231" t="str">
        <f>IFERROR(__xludf.DUMMYFUNCTION("""COMPUTED_VALUE"""),"")</f>
        <v/>
      </c>
      <c r="AP140" s="232" t="str">
        <f>IFERROR(__xludf.DUMMYFUNCTION("""COMPUTED_VALUE"""),"")</f>
        <v/>
      </c>
      <c r="AQ140" s="233" t="str">
        <f>IFERROR(__xludf.DUMMYFUNCTION("""COMPUTED_VALUE"""),"")</f>
        <v/>
      </c>
      <c r="AR140" s="231" t="str">
        <f>IFERROR(__xludf.DUMMYFUNCTION("""COMPUTED_VALUE"""),"")</f>
        <v/>
      </c>
      <c r="AS140" s="232" t="str">
        <f>IFERROR(__xludf.DUMMYFUNCTION("""COMPUTED_VALUE"""),"")</f>
        <v/>
      </c>
      <c r="AT140" s="233" t="str">
        <f>IFERROR(__xludf.DUMMYFUNCTION("""COMPUTED_VALUE"""),"")</f>
        <v/>
      </c>
      <c r="AU140" s="231" t="str">
        <f>IFERROR(__xludf.DUMMYFUNCTION("""COMPUTED_VALUE"""),"")</f>
        <v/>
      </c>
      <c r="AV140" s="232" t="str">
        <f>IFERROR(__xludf.DUMMYFUNCTION("""COMPUTED_VALUE"""),"")</f>
        <v/>
      </c>
      <c r="AW140" s="233" t="str">
        <f>IFERROR(__xludf.DUMMYFUNCTION("""COMPUTED_VALUE"""),"")</f>
        <v/>
      </c>
      <c r="AX140" s="231" t="str">
        <f>IFERROR(__xludf.DUMMYFUNCTION("""COMPUTED_VALUE"""),"")</f>
        <v/>
      </c>
      <c r="AY140" s="232" t="str">
        <f>IFERROR(__xludf.DUMMYFUNCTION("""COMPUTED_VALUE"""),"")</f>
        <v/>
      </c>
      <c r="AZ140" s="233" t="str">
        <f>IFERROR(__xludf.DUMMYFUNCTION("""COMPUTED_VALUE"""),"")</f>
        <v/>
      </c>
      <c r="BA140" s="231" t="str">
        <f>IFERROR(__xludf.DUMMYFUNCTION("""COMPUTED_VALUE"""),"")</f>
        <v/>
      </c>
      <c r="BB140" s="232" t="str">
        <f>IFERROR(__xludf.DUMMYFUNCTION("""COMPUTED_VALUE"""),"")</f>
        <v/>
      </c>
      <c r="BC140" s="233" t="str">
        <f>IFERROR(__xludf.DUMMYFUNCTION("""COMPUTED_VALUE"""),"")</f>
        <v/>
      </c>
      <c r="BD140" s="231" t="str">
        <f>IFERROR(__xludf.DUMMYFUNCTION("""COMPUTED_VALUE"""),"")</f>
        <v/>
      </c>
      <c r="BE140" s="232" t="str">
        <f>IFERROR(__xludf.DUMMYFUNCTION("""COMPUTED_VALUE"""),"")</f>
        <v/>
      </c>
      <c r="BF140" s="233" t="str">
        <f>IFERROR(__xludf.DUMMYFUNCTION("""COMPUTED_VALUE"""),"")</f>
        <v/>
      </c>
      <c r="BG140" s="231" t="str">
        <f>IFERROR(__xludf.DUMMYFUNCTION("""COMPUTED_VALUE"""),"")</f>
        <v/>
      </c>
      <c r="BH140" s="232" t="str">
        <f>IFERROR(__xludf.DUMMYFUNCTION("""COMPUTED_VALUE"""),"")</f>
        <v/>
      </c>
      <c r="BI140" s="233" t="str">
        <f>IFERROR(__xludf.DUMMYFUNCTION("""COMPUTED_VALUE"""),"")</f>
        <v/>
      </c>
      <c r="BJ140" s="231" t="str">
        <f>IFERROR(__xludf.DUMMYFUNCTION("""COMPUTED_VALUE"""),"")</f>
        <v/>
      </c>
      <c r="BK140" s="232" t="str">
        <f>IFERROR(__xludf.DUMMYFUNCTION("""COMPUTED_VALUE"""),"")</f>
        <v/>
      </c>
      <c r="BL140" s="233" t="str">
        <f>IFERROR(__xludf.DUMMYFUNCTION("""COMPUTED_VALUE"""),"")</f>
        <v/>
      </c>
      <c r="BM140" s="231">
        <f>IFERROR(__xludf.DUMMYFUNCTION("""COMPUTED_VALUE"""),15.9)</f>
        <v>15.9</v>
      </c>
      <c r="BN140" s="232" t="str">
        <f>IFERROR(__xludf.DUMMYFUNCTION("""COMPUTED_VALUE"""),"")</f>
        <v/>
      </c>
      <c r="BO140" s="233" t="str">
        <f>IFERROR(__xludf.DUMMYFUNCTION("""COMPUTED_VALUE"""),"")</f>
        <v/>
      </c>
      <c r="BP140" s="231" t="str">
        <f>IFERROR(__xludf.DUMMYFUNCTION("""COMPUTED_VALUE"""),"")</f>
        <v/>
      </c>
      <c r="BQ140" s="232" t="str">
        <f>IFERROR(__xludf.DUMMYFUNCTION("""COMPUTED_VALUE"""),"")</f>
        <v/>
      </c>
      <c r="BR140" s="233" t="str">
        <f>IFERROR(__xludf.DUMMYFUNCTION("""COMPUTED_VALUE"""),"")</f>
        <v/>
      </c>
      <c r="BS140" s="231" t="str">
        <f>IFERROR(__xludf.DUMMYFUNCTION("""COMPUTED_VALUE"""),"")</f>
        <v/>
      </c>
      <c r="BT140" s="232">
        <f>IFERROR(__xludf.DUMMYFUNCTION("""COMPUTED_VALUE"""),15.0)</f>
        <v>15</v>
      </c>
      <c r="BU140" s="233" t="str">
        <f>IFERROR(__xludf.DUMMYFUNCTION("""COMPUTED_VALUE"""),"")</f>
        <v/>
      </c>
      <c r="BV140" s="231" t="str">
        <f>IFERROR(__xludf.DUMMYFUNCTION("""COMPUTED_VALUE"""),"")</f>
        <v/>
      </c>
      <c r="BW140" s="232" t="str">
        <f>IFERROR(__xludf.DUMMYFUNCTION("""COMPUTED_VALUE"""),"")</f>
        <v/>
      </c>
      <c r="BX140" s="233" t="str">
        <f>IFERROR(__xludf.DUMMYFUNCTION("""COMPUTED_VALUE"""),"")</f>
        <v/>
      </c>
      <c r="BY140" s="231" t="str">
        <f>IFERROR(__xludf.DUMMYFUNCTION("""COMPUTED_VALUE"""),"")</f>
        <v/>
      </c>
      <c r="BZ140" s="232" t="str">
        <f>IFERROR(__xludf.DUMMYFUNCTION("""COMPUTED_VALUE"""),"")</f>
        <v/>
      </c>
      <c r="CA140" s="233" t="str">
        <f>IFERROR(__xludf.DUMMYFUNCTION("""COMPUTED_VALUE"""),"")</f>
        <v/>
      </c>
      <c r="CB140" s="231" t="str">
        <f>IFERROR(__xludf.DUMMYFUNCTION("""COMPUTED_VALUE"""),"")</f>
        <v/>
      </c>
      <c r="CC140" s="232" t="str">
        <f>IFERROR(__xludf.DUMMYFUNCTION("""COMPUTED_VALUE"""),"")</f>
        <v/>
      </c>
      <c r="CD140" s="233" t="str">
        <f>IFERROR(__xludf.DUMMYFUNCTION("""COMPUTED_VALUE"""),"")</f>
        <v/>
      </c>
      <c r="CE140" s="234" t="str">
        <f>IFERROR(__xludf.DUMMYFUNCTION("""COMPUTED_VALUE"""),"")</f>
        <v/>
      </c>
      <c r="CF140" s="230" t="str">
        <f>IFERROR(__xludf.DUMMYFUNCTION("""COMPUTED_VALUE"""),"")</f>
        <v/>
      </c>
      <c r="CG140" s="235" t="str">
        <f>IFERROR(__xludf.DUMMYFUNCTION("""COMPUTED_VALUE"""),"")</f>
        <v/>
      </c>
      <c r="CH140" s="234" t="str">
        <f>IFERROR(__xludf.DUMMYFUNCTION("""COMPUTED_VALUE"""),"")</f>
        <v/>
      </c>
      <c r="CI140" s="230" t="str">
        <f>IFERROR(__xludf.DUMMYFUNCTION("""COMPUTED_VALUE"""),"")</f>
        <v/>
      </c>
      <c r="CJ140" s="235" t="str">
        <f>IFERROR(__xludf.DUMMYFUNCTION("""COMPUTED_VALUE"""),"")</f>
        <v/>
      </c>
      <c r="CK140" s="95" t="str">
        <f>IFERROR(__xludf.DUMMYFUNCTION("""COMPUTED_VALUE"""),"")</f>
        <v/>
      </c>
      <c r="CL140" s="96" t="str">
        <f>IFERROR(__xludf.DUMMYFUNCTION("""COMPUTED_VALUE"""),"")</f>
        <v/>
      </c>
      <c r="CM140" s="97" t="str">
        <f>IFERROR(__xludf.DUMMYFUNCTION("""COMPUTED_VALUE"""),"")</f>
        <v/>
      </c>
      <c r="CN140" s="95" t="str">
        <f>IFERROR(__xludf.DUMMYFUNCTION("""COMPUTED_VALUE"""),"")</f>
        <v/>
      </c>
      <c r="CO140" s="96">
        <f>IFERROR(__xludf.DUMMYFUNCTION("""COMPUTED_VALUE"""),10.1)</f>
        <v>10.1</v>
      </c>
      <c r="CP140" s="97" t="str">
        <f>IFERROR(__xludf.DUMMYFUNCTION("""COMPUTED_VALUE"""),"")</f>
        <v/>
      </c>
      <c r="CQ140" s="95" t="str">
        <f>IFERROR(__xludf.DUMMYFUNCTION("""COMPUTED_VALUE"""),"")</f>
        <v/>
      </c>
      <c r="CR140" s="96" t="str">
        <f>IFERROR(__xludf.DUMMYFUNCTION("""COMPUTED_VALUE"""),"")</f>
        <v/>
      </c>
      <c r="CS140" s="97" t="str">
        <f>IFERROR(__xludf.DUMMYFUNCTION("""COMPUTED_VALUE"""),"#REF!")</f>
        <v>#REF!</v>
      </c>
      <c r="CT140" s="95" t="str">
        <f>IFERROR(__xludf.DUMMYFUNCTION("""COMPUTED_VALUE"""),"#REF!")</f>
        <v>#REF!</v>
      </c>
      <c r="CU140" s="96" t="str">
        <f>IFERROR(__xludf.DUMMYFUNCTION("""COMPUTED_VALUE"""),"#REF!")</f>
        <v>#REF!</v>
      </c>
      <c r="CV140" s="97" t="str">
        <f>IFERROR(__xludf.DUMMYFUNCTION("""COMPUTED_VALUE"""),"#REF!")</f>
        <v>#REF!</v>
      </c>
      <c r="CW140" s="95" t="str">
        <f>IFERROR(__xludf.DUMMYFUNCTION("""COMPUTED_VALUE"""),"#REF!")</f>
        <v>#REF!</v>
      </c>
      <c r="CX140" s="96" t="str">
        <f>IFERROR(__xludf.DUMMYFUNCTION("""COMPUTED_VALUE"""),"#REF!")</f>
        <v>#REF!</v>
      </c>
      <c r="CY140" s="97" t="str">
        <f>IFERROR(__xludf.DUMMYFUNCTION("""COMPUTED_VALUE"""),"#REF!")</f>
        <v>#REF!</v>
      </c>
      <c r="CZ140" s="95" t="str">
        <f>IFERROR(__xludf.DUMMYFUNCTION("""COMPUTED_VALUE"""),"#REF!")</f>
        <v>#REF!</v>
      </c>
      <c r="DA140" s="96" t="str">
        <f>IFERROR(__xludf.DUMMYFUNCTION("""COMPUTED_VALUE"""),"#REF!")</f>
        <v>#REF!</v>
      </c>
      <c r="DB140" s="97" t="str">
        <f>IFERROR(__xludf.DUMMYFUNCTION("""COMPUTED_VALUE"""),"#REF!")</f>
        <v>#REF!</v>
      </c>
      <c r="DC140" s="95" t="str">
        <f>IFERROR(__xludf.DUMMYFUNCTION("""COMPUTED_VALUE"""),"#REF!")</f>
        <v>#REF!</v>
      </c>
      <c r="DD140" s="96" t="str">
        <f>IFERROR(__xludf.DUMMYFUNCTION("""COMPUTED_VALUE"""),"#REF!")</f>
        <v>#REF!</v>
      </c>
      <c r="DE140" s="97" t="str">
        <f>IFERROR(__xludf.DUMMYFUNCTION("""COMPUTED_VALUE"""),"#REF!")</f>
        <v>#REF!</v>
      </c>
      <c r="DF140" s="95" t="str">
        <f>IFERROR(__xludf.DUMMYFUNCTION("""COMPUTED_VALUE"""),"#REF!")</f>
        <v>#REF!</v>
      </c>
      <c r="DG140" s="96" t="str">
        <f>IFERROR(__xludf.DUMMYFUNCTION("""COMPUTED_VALUE"""),"#REF!")</f>
        <v>#REF!</v>
      </c>
      <c r="DH140" s="97" t="str">
        <f>IFERROR(__xludf.DUMMYFUNCTION("""COMPUTED_VALUE"""),"#REF!")</f>
        <v>#REF!</v>
      </c>
      <c r="DI140" s="95" t="str">
        <f>IFERROR(__xludf.DUMMYFUNCTION("""COMPUTED_VALUE"""),"#REF!")</f>
        <v>#REF!</v>
      </c>
      <c r="DJ140" s="96" t="str">
        <f>IFERROR(__xludf.DUMMYFUNCTION("""COMPUTED_VALUE"""),"#REF!")</f>
        <v>#REF!</v>
      </c>
      <c r="DK140" s="97" t="str">
        <f>IFERROR(__xludf.DUMMYFUNCTION("""COMPUTED_VALUE"""),"#REF!")</f>
        <v>#REF!</v>
      </c>
      <c r="DL140" s="95" t="str">
        <f>IFERROR(__xludf.DUMMYFUNCTION("""COMPUTED_VALUE"""),"#REF!")</f>
        <v>#REF!</v>
      </c>
      <c r="DM140" s="96" t="str">
        <f>IFERROR(__xludf.DUMMYFUNCTION("""COMPUTED_VALUE"""),"#REF!")</f>
        <v>#REF!</v>
      </c>
      <c r="DN140" s="97" t="str">
        <f>IFERROR(__xludf.DUMMYFUNCTION("""COMPUTED_VALUE"""),"#REF!")</f>
        <v>#REF!</v>
      </c>
      <c r="DO140" s="95" t="str">
        <f>IFERROR(__xludf.DUMMYFUNCTION("""COMPUTED_VALUE"""),"#REF!")</f>
        <v>#REF!</v>
      </c>
      <c r="DP140" s="96" t="str">
        <f>IFERROR(__xludf.DUMMYFUNCTION("""COMPUTED_VALUE"""),"#REF!")</f>
        <v>#REF!</v>
      </c>
      <c r="DQ140" s="97"/>
      <c r="DR140" s="95"/>
    </row>
    <row r="141">
      <c r="A141" s="150" t="str">
        <f>IFERROR(__xludf.DUMMYFUNCTION("""COMPUTED_VALUE"""),"SHINJUKU")</f>
        <v>SHINJUKU</v>
      </c>
      <c r="B141" s="120" t="str">
        <f>IFERROR(__xludf.DUMMYFUNCTION("""COMPUTED_VALUE"""),"SJK1")</f>
        <v>SJK1</v>
      </c>
      <c r="C141" s="82">
        <f>IFERROR(__xludf.DUMMYFUNCTION("""COMPUTED_VALUE"""),132.0)</f>
        <v>132</v>
      </c>
      <c r="D141" s="88" t="str">
        <f>IFERROR(__xludf.DUMMYFUNCTION("""COMPUTED_VALUE"""),"Yoyogi 2-Chome")</f>
        <v>Yoyogi 2-Chome</v>
      </c>
      <c r="E141" s="82" t="str">
        <f>IFERROR(__xludf.DUMMYFUNCTION("""COMPUTED_VALUE"""),"代々木二丁目")</f>
        <v>代々木二丁目</v>
      </c>
      <c r="F141" s="102">
        <f>IFERROR(__xludf.DUMMYFUNCTION("""COMPUTED_VALUE"""),20.0)</f>
        <v>20</v>
      </c>
      <c r="G141" s="82">
        <f>IFERROR(__xludf.DUMMYFUNCTION("""COMPUTED_VALUE"""),1109.0)</f>
        <v>1109</v>
      </c>
      <c r="H141" s="231" t="str">
        <f>IFERROR(__xludf.DUMMYFUNCTION("""COMPUTED_VALUE"""),"")</f>
        <v/>
      </c>
      <c r="I141" s="232" t="str">
        <f>IFERROR(__xludf.DUMMYFUNCTION("""COMPUTED_VALUE"""),"")</f>
        <v/>
      </c>
      <c r="J141" s="233" t="str">
        <f>IFERROR(__xludf.DUMMYFUNCTION("""COMPUTED_VALUE"""),"")</f>
        <v/>
      </c>
      <c r="K141" s="231" t="str">
        <f>IFERROR(__xludf.DUMMYFUNCTION("""COMPUTED_VALUE"""),"")</f>
        <v/>
      </c>
      <c r="L141" s="232" t="str">
        <f>IFERROR(__xludf.DUMMYFUNCTION("""COMPUTED_VALUE"""),"")</f>
        <v/>
      </c>
      <c r="M141" s="233" t="str">
        <f>IFERROR(__xludf.DUMMYFUNCTION("""COMPUTED_VALUE"""),"")</f>
        <v/>
      </c>
      <c r="N141" s="231" t="str">
        <f>IFERROR(__xludf.DUMMYFUNCTION("""COMPUTED_VALUE"""),"")</f>
        <v/>
      </c>
      <c r="O141" s="232" t="str">
        <f>IFERROR(__xludf.DUMMYFUNCTION("""COMPUTED_VALUE"""),"")</f>
        <v/>
      </c>
      <c r="P141" s="233" t="str">
        <f>IFERROR(__xludf.DUMMYFUNCTION("""COMPUTED_VALUE"""),"")</f>
        <v/>
      </c>
      <c r="Q141" s="231" t="str">
        <f>IFERROR(__xludf.DUMMYFUNCTION("""COMPUTED_VALUE"""),"")</f>
        <v/>
      </c>
      <c r="R141" s="232" t="str">
        <f>IFERROR(__xludf.DUMMYFUNCTION("""COMPUTED_VALUE"""),"")</f>
        <v/>
      </c>
      <c r="S141" s="233" t="str">
        <f>IFERROR(__xludf.DUMMYFUNCTION("""COMPUTED_VALUE"""),"")</f>
        <v/>
      </c>
      <c r="T141" s="231" t="str">
        <f>IFERROR(__xludf.DUMMYFUNCTION("""COMPUTED_VALUE"""),"")</f>
        <v/>
      </c>
      <c r="U141" s="232" t="str">
        <f>IFERROR(__xludf.DUMMYFUNCTION("""COMPUTED_VALUE"""),"")</f>
        <v/>
      </c>
      <c r="V141" s="233" t="str">
        <f>IFERROR(__xludf.DUMMYFUNCTION("""COMPUTED_VALUE"""),"")</f>
        <v/>
      </c>
      <c r="W141" s="231" t="str">
        <f>IFERROR(__xludf.DUMMYFUNCTION("""COMPUTED_VALUE"""),"")</f>
        <v/>
      </c>
      <c r="X141" s="232" t="str">
        <f>IFERROR(__xludf.DUMMYFUNCTION("""COMPUTED_VALUE"""),"")</f>
        <v/>
      </c>
      <c r="Y141" s="233" t="str">
        <f>IFERROR(__xludf.DUMMYFUNCTION("""COMPUTED_VALUE"""),"")</f>
        <v/>
      </c>
      <c r="Z141" s="231" t="str">
        <f>IFERROR(__xludf.DUMMYFUNCTION("""COMPUTED_VALUE"""),"")</f>
        <v/>
      </c>
      <c r="AA141" s="232" t="str">
        <f>IFERROR(__xludf.DUMMYFUNCTION("""COMPUTED_VALUE"""),"")</f>
        <v/>
      </c>
      <c r="AB141" s="233" t="str">
        <f>IFERROR(__xludf.DUMMYFUNCTION("""COMPUTED_VALUE"""),"")</f>
        <v/>
      </c>
      <c r="AC141" s="231" t="str">
        <f>IFERROR(__xludf.DUMMYFUNCTION("""COMPUTED_VALUE"""),"")</f>
        <v/>
      </c>
      <c r="AD141" s="232" t="str">
        <f>IFERROR(__xludf.DUMMYFUNCTION("""COMPUTED_VALUE"""),"")</f>
        <v/>
      </c>
      <c r="AE141" s="233" t="str">
        <f>IFERROR(__xludf.DUMMYFUNCTION("""COMPUTED_VALUE"""),"")</f>
        <v/>
      </c>
      <c r="AF141" s="231" t="str">
        <f>IFERROR(__xludf.DUMMYFUNCTION("""COMPUTED_VALUE"""),"")</f>
        <v/>
      </c>
      <c r="AG141" s="232" t="str">
        <f>IFERROR(__xludf.DUMMYFUNCTION("""COMPUTED_VALUE"""),"")</f>
        <v/>
      </c>
      <c r="AH141" s="233" t="str">
        <f>IFERROR(__xludf.DUMMYFUNCTION("""COMPUTED_VALUE"""),"")</f>
        <v/>
      </c>
      <c r="AI141" s="231" t="str">
        <f>IFERROR(__xludf.DUMMYFUNCTION("""COMPUTED_VALUE"""),"")</f>
        <v/>
      </c>
      <c r="AJ141" s="232" t="str">
        <f>IFERROR(__xludf.DUMMYFUNCTION("""COMPUTED_VALUE"""),"")</f>
        <v/>
      </c>
      <c r="AK141" s="233" t="str">
        <f>IFERROR(__xludf.DUMMYFUNCTION("""COMPUTED_VALUE"""),"")</f>
        <v/>
      </c>
      <c r="AL141" s="231" t="str">
        <f>IFERROR(__xludf.DUMMYFUNCTION("""COMPUTED_VALUE"""),"")</f>
        <v/>
      </c>
      <c r="AM141" s="232" t="str">
        <f>IFERROR(__xludf.DUMMYFUNCTION("""COMPUTED_VALUE"""),"")</f>
        <v/>
      </c>
      <c r="AN141" s="233" t="str">
        <f>IFERROR(__xludf.DUMMYFUNCTION("""COMPUTED_VALUE"""),"")</f>
        <v/>
      </c>
      <c r="AO141" s="231" t="str">
        <f>IFERROR(__xludf.DUMMYFUNCTION("""COMPUTED_VALUE"""),"")</f>
        <v/>
      </c>
      <c r="AP141" s="232" t="str">
        <f>IFERROR(__xludf.DUMMYFUNCTION("""COMPUTED_VALUE"""),"")</f>
        <v/>
      </c>
      <c r="AQ141" s="233" t="str">
        <f>IFERROR(__xludf.DUMMYFUNCTION("""COMPUTED_VALUE"""),"")</f>
        <v/>
      </c>
      <c r="AR141" s="231" t="str">
        <f>IFERROR(__xludf.DUMMYFUNCTION("""COMPUTED_VALUE"""),"")</f>
        <v/>
      </c>
      <c r="AS141" s="232" t="str">
        <f>IFERROR(__xludf.DUMMYFUNCTION("""COMPUTED_VALUE"""),"")</f>
        <v/>
      </c>
      <c r="AT141" s="233" t="str">
        <f>IFERROR(__xludf.DUMMYFUNCTION("""COMPUTED_VALUE"""),"")</f>
        <v/>
      </c>
      <c r="AU141" s="231" t="str">
        <f>IFERROR(__xludf.DUMMYFUNCTION("""COMPUTED_VALUE"""),"")</f>
        <v/>
      </c>
      <c r="AV141" s="232" t="str">
        <f>IFERROR(__xludf.DUMMYFUNCTION("""COMPUTED_VALUE"""),"")</f>
        <v/>
      </c>
      <c r="AW141" s="233" t="str">
        <f>IFERROR(__xludf.DUMMYFUNCTION("""COMPUTED_VALUE"""),"")</f>
        <v/>
      </c>
      <c r="AX141" s="231" t="str">
        <f>IFERROR(__xludf.DUMMYFUNCTION("""COMPUTED_VALUE"""),"")</f>
        <v/>
      </c>
      <c r="AY141" s="232" t="str">
        <f>IFERROR(__xludf.DUMMYFUNCTION("""COMPUTED_VALUE"""),"")</f>
        <v/>
      </c>
      <c r="AZ141" s="233">
        <f>IFERROR(__xludf.DUMMYFUNCTION("""COMPUTED_VALUE"""),40.6)</f>
        <v>40.6</v>
      </c>
      <c r="BA141" s="231" t="str">
        <f>IFERROR(__xludf.DUMMYFUNCTION("""COMPUTED_VALUE"""),"")</f>
        <v/>
      </c>
      <c r="BB141" s="232" t="str">
        <f>IFERROR(__xludf.DUMMYFUNCTION("""COMPUTED_VALUE"""),"")</f>
        <v/>
      </c>
      <c r="BC141" s="233" t="str">
        <f>IFERROR(__xludf.DUMMYFUNCTION("""COMPUTED_VALUE"""),"")</f>
        <v/>
      </c>
      <c r="BD141" s="231" t="str">
        <f>IFERROR(__xludf.DUMMYFUNCTION("""COMPUTED_VALUE"""),"")</f>
        <v/>
      </c>
      <c r="BE141" s="232" t="str">
        <f>IFERROR(__xludf.DUMMYFUNCTION("""COMPUTED_VALUE"""),"")</f>
        <v/>
      </c>
      <c r="BF141" s="233" t="str">
        <f>IFERROR(__xludf.DUMMYFUNCTION("""COMPUTED_VALUE"""),"")</f>
        <v/>
      </c>
      <c r="BG141" s="231" t="str">
        <f>IFERROR(__xludf.DUMMYFUNCTION("""COMPUTED_VALUE"""),"")</f>
        <v/>
      </c>
      <c r="BH141" s="232" t="str">
        <f>IFERROR(__xludf.DUMMYFUNCTION("""COMPUTED_VALUE"""),"")</f>
        <v/>
      </c>
      <c r="BI141" s="233" t="str">
        <f>IFERROR(__xludf.DUMMYFUNCTION("""COMPUTED_VALUE"""),"")</f>
        <v/>
      </c>
      <c r="BJ141" s="231" t="str">
        <f>IFERROR(__xludf.DUMMYFUNCTION("""COMPUTED_VALUE"""),"")</f>
        <v/>
      </c>
      <c r="BK141" s="232" t="str">
        <f>IFERROR(__xludf.DUMMYFUNCTION("""COMPUTED_VALUE"""),"")</f>
        <v/>
      </c>
      <c r="BL141" s="233" t="str">
        <f>IFERROR(__xludf.DUMMYFUNCTION("""COMPUTED_VALUE"""),"")</f>
        <v/>
      </c>
      <c r="BM141" s="231" t="str">
        <f>IFERROR(__xludf.DUMMYFUNCTION("""COMPUTED_VALUE"""),"")</f>
        <v/>
      </c>
      <c r="BN141" s="232" t="str">
        <f>IFERROR(__xludf.DUMMYFUNCTION("""COMPUTED_VALUE"""),"")</f>
        <v/>
      </c>
      <c r="BO141" s="233" t="str">
        <f>IFERROR(__xludf.DUMMYFUNCTION("""COMPUTED_VALUE"""),"")</f>
        <v/>
      </c>
      <c r="BP141" s="231" t="str">
        <f>IFERROR(__xludf.DUMMYFUNCTION("""COMPUTED_VALUE"""),"")</f>
        <v/>
      </c>
      <c r="BQ141" s="232" t="str">
        <f>IFERROR(__xludf.DUMMYFUNCTION("""COMPUTED_VALUE"""),"")</f>
        <v/>
      </c>
      <c r="BR141" s="233" t="str">
        <f>IFERROR(__xludf.DUMMYFUNCTION("""COMPUTED_VALUE"""),"")</f>
        <v/>
      </c>
      <c r="BS141" s="231" t="str">
        <f>IFERROR(__xludf.DUMMYFUNCTION("""COMPUTED_VALUE"""),"")</f>
        <v/>
      </c>
      <c r="BT141" s="232" t="str">
        <f>IFERROR(__xludf.DUMMYFUNCTION("""COMPUTED_VALUE"""),"")</f>
        <v/>
      </c>
      <c r="BU141" s="233">
        <f>IFERROR(__xludf.DUMMYFUNCTION("""COMPUTED_VALUE"""),29.3)</f>
        <v>29.3</v>
      </c>
      <c r="BV141" s="231" t="str">
        <f>IFERROR(__xludf.DUMMYFUNCTION("""COMPUTED_VALUE"""),"")</f>
        <v/>
      </c>
      <c r="BW141" s="232" t="str">
        <f>IFERROR(__xludf.DUMMYFUNCTION("""COMPUTED_VALUE"""),"")</f>
        <v/>
      </c>
      <c r="BX141" s="233" t="str">
        <f>IFERROR(__xludf.DUMMYFUNCTION("""COMPUTED_VALUE"""),"")</f>
        <v/>
      </c>
      <c r="BY141" s="231" t="str">
        <f>IFERROR(__xludf.DUMMYFUNCTION("""COMPUTED_VALUE"""),"")</f>
        <v/>
      </c>
      <c r="BZ141" s="232" t="str">
        <f>IFERROR(__xludf.DUMMYFUNCTION("""COMPUTED_VALUE"""),"")</f>
        <v/>
      </c>
      <c r="CA141" s="233" t="str">
        <f>IFERROR(__xludf.DUMMYFUNCTION("""COMPUTED_VALUE"""),"")</f>
        <v/>
      </c>
      <c r="CB141" s="231" t="str">
        <f>IFERROR(__xludf.DUMMYFUNCTION("""COMPUTED_VALUE"""),"")</f>
        <v/>
      </c>
      <c r="CC141" s="232" t="str">
        <f>IFERROR(__xludf.DUMMYFUNCTION("""COMPUTED_VALUE"""),"")</f>
        <v/>
      </c>
      <c r="CD141" s="233" t="str">
        <f>IFERROR(__xludf.DUMMYFUNCTION("""COMPUTED_VALUE"""),"")</f>
        <v/>
      </c>
      <c r="CE141" s="234" t="str">
        <f>IFERROR(__xludf.DUMMYFUNCTION("""COMPUTED_VALUE"""),"")</f>
        <v/>
      </c>
      <c r="CF141" s="230" t="str">
        <f>IFERROR(__xludf.DUMMYFUNCTION("""COMPUTED_VALUE"""),"")</f>
        <v/>
      </c>
      <c r="CG141" s="235" t="str">
        <f>IFERROR(__xludf.DUMMYFUNCTION("""COMPUTED_VALUE"""),"")</f>
        <v/>
      </c>
      <c r="CH141" s="234" t="str">
        <f>IFERROR(__xludf.DUMMYFUNCTION("""COMPUTED_VALUE"""),"")</f>
        <v/>
      </c>
      <c r="CI141" s="230" t="str">
        <f>IFERROR(__xludf.DUMMYFUNCTION("""COMPUTED_VALUE"""),"")</f>
        <v/>
      </c>
      <c r="CJ141" s="235" t="str">
        <f>IFERROR(__xludf.DUMMYFUNCTION("""COMPUTED_VALUE"""),"")</f>
        <v/>
      </c>
      <c r="CK141" s="95" t="str">
        <f>IFERROR(__xludf.DUMMYFUNCTION("""COMPUTED_VALUE"""),"")</f>
        <v/>
      </c>
      <c r="CL141" s="96" t="str">
        <f>IFERROR(__xludf.DUMMYFUNCTION("""COMPUTED_VALUE"""),"")</f>
        <v/>
      </c>
      <c r="CM141" s="97" t="str">
        <f>IFERROR(__xludf.DUMMYFUNCTION("""COMPUTED_VALUE"""),"")</f>
        <v/>
      </c>
      <c r="CN141" s="95" t="str">
        <f>IFERROR(__xludf.DUMMYFUNCTION("""COMPUTED_VALUE"""),"")</f>
        <v/>
      </c>
      <c r="CO141" s="96" t="str">
        <f>IFERROR(__xludf.DUMMYFUNCTION("""COMPUTED_VALUE"""),"")</f>
        <v/>
      </c>
      <c r="CP141" s="97" t="str">
        <f>IFERROR(__xludf.DUMMYFUNCTION("""COMPUTED_VALUE"""),"")</f>
        <v/>
      </c>
      <c r="CQ141" s="95" t="str">
        <f>IFERROR(__xludf.DUMMYFUNCTION("""COMPUTED_VALUE"""),"")</f>
        <v/>
      </c>
      <c r="CR141" s="96" t="str">
        <f>IFERROR(__xludf.DUMMYFUNCTION("""COMPUTED_VALUE"""),"")</f>
        <v/>
      </c>
      <c r="CS141" s="97" t="str">
        <f>IFERROR(__xludf.DUMMYFUNCTION("""COMPUTED_VALUE"""),"#REF!")</f>
        <v>#REF!</v>
      </c>
      <c r="CT141" s="95" t="str">
        <f>IFERROR(__xludf.DUMMYFUNCTION("""COMPUTED_VALUE"""),"#REF!")</f>
        <v>#REF!</v>
      </c>
      <c r="CU141" s="96" t="str">
        <f>IFERROR(__xludf.DUMMYFUNCTION("""COMPUTED_VALUE"""),"#REF!")</f>
        <v>#REF!</v>
      </c>
      <c r="CV141" s="97" t="str">
        <f>IFERROR(__xludf.DUMMYFUNCTION("""COMPUTED_VALUE"""),"#REF!")</f>
        <v>#REF!</v>
      </c>
      <c r="CW141" s="95" t="str">
        <f>IFERROR(__xludf.DUMMYFUNCTION("""COMPUTED_VALUE"""),"#REF!")</f>
        <v>#REF!</v>
      </c>
      <c r="CX141" s="96" t="str">
        <f>IFERROR(__xludf.DUMMYFUNCTION("""COMPUTED_VALUE"""),"#REF!")</f>
        <v>#REF!</v>
      </c>
      <c r="CY141" s="97" t="str">
        <f>IFERROR(__xludf.DUMMYFUNCTION("""COMPUTED_VALUE"""),"#REF!")</f>
        <v>#REF!</v>
      </c>
      <c r="CZ141" s="95" t="str">
        <f>IFERROR(__xludf.DUMMYFUNCTION("""COMPUTED_VALUE"""),"#REF!")</f>
        <v>#REF!</v>
      </c>
      <c r="DA141" s="96" t="str">
        <f>IFERROR(__xludf.DUMMYFUNCTION("""COMPUTED_VALUE"""),"#REF!")</f>
        <v>#REF!</v>
      </c>
      <c r="DB141" s="97" t="str">
        <f>IFERROR(__xludf.DUMMYFUNCTION("""COMPUTED_VALUE"""),"#REF!")</f>
        <v>#REF!</v>
      </c>
      <c r="DC141" s="95" t="str">
        <f>IFERROR(__xludf.DUMMYFUNCTION("""COMPUTED_VALUE"""),"#REF!")</f>
        <v>#REF!</v>
      </c>
      <c r="DD141" s="96" t="str">
        <f>IFERROR(__xludf.DUMMYFUNCTION("""COMPUTED_VALUE"""),"#REF!")</f>
        <v>#REF!</v>
      </c>
      <c r="DE141" s="97" t="str">
        <f>IFERROR(__xludf.DUMMYFUNCTION("""COMPUTED_VALUE"""),"#REF!")</f>
        <v>#REF!</v>
      </c>
      <c r="DF141" s="95" t="str">
        <f>IFERROR(__xludf.DUMMYFUNCTION("""COMPUTED_VALUE"""),"#REF!")</f>
        <v>#REF!</v>
      </c>
      <c r="DG141" s="96" t="str">
        <f>IFERROR(__xludf.DUMMYFUNCTION("""COMPUTED_VALUE"""),"#REF!")</f>
        <v>#REF!</v>
      </c>
      <c r="DH141" s="97" t="str">
        <f>IFERROR(__xludf.DUMMYFUNCTION("""COMPUTED_VALUE"""),"#REF!")</f>
        <v>#REF!</v>
      </c>
      <c r="DI141" s="95" t="str">
        <f>IFERROR(__xludf.DUMMYFUNCTION("""COMPUTED_VALUE"""),"#REF!")</f>
        <v>#REF!</v>
      </c>
      <c r="DJ141" s="96" t="str">
        <f>IFERROR(__xludf.DUMMYFUNCTION("""COMPUTED_VALUE"""),"#REF!")</f>
        <v>#REF!</v>
      </c>
      <c r="DK141" s="97" t="str">
        <f>IFERROR(__xludf.DUMMYFUNCTION("""COMPUTED_VALUE"""),"#REF!")</f>
        <v>#REF!</v>
      </c>
      <c r="DL141" s="95" t="str">
        <f>IFERROR(__xludf.DUMMYFUNCTION("""COMPUTED_VALUE"""),"#REF!")</f>
        <v>#REF!</v>
      </c>
      <c r="DM141" s="96" t="str">
        <f>IFERROR(__xludf.DUMMYFUNCTION("""COMPUTED_VALUE"""),"#REF!")</f>
        <v>#REF!</v>
      </c>
      <c r="DN141" s="97" t="str">
        <f>IFERROR(__xludf.DUMMYFUNCTION("""COMPUTED_VALUE"""),"#REF!")</f>
        <v>#REF!</v>
      </c>
      <c r="DO141" s="95" t="str">
        <f>IFERROR(__xludf.DUMMYFUNCTION("""COMPUTED_VALUE"""),"#REF!")</f>
        <v>#REF!</v>
      </c>
      <c r="DP141" s="96" t="str">
        <f>IFERROR(__xludf.DUMMYFUNCTION("""COMPUTED_VALUE"""),"#REF!")</f>
        <v>#REF!</v>
      </c>
      <c r="DQ141" s="97"/>
      <c r="DR141" s="95"/>
    </row>
    <row r="142">
      <c r="B142" s="120" t="str">
        <f>IFERROR(__xludf.DUMMYFUNCTION("""COMPUTED_VALUE"""),"SJK2")</f>
        <v>SJK2</v>
      </c>
      <c r="C142" s="82">
        <f>IFERROR(__xludf.DUMMYFUNCTION("""COMPUTED_VALUE"""),133.0)</f>
        <v>133</v>
      </c>
      <c r="D142" s="88" t="str">
        <f>IFERROR(__xludf.DUMMYFUNCTION("""COMPUTED_VALUE"""),"Route 20")</f>
        <v>Route 20</v>
      </c>
      <c r="E142" s="82" t="str">
        <f>IFERROR(__xludf.DUMMYFUNCTION("""COMPUTED_VALUE"""),"国道20号")</f>
        <v>国道20号</v>
      </c>
      <c r="F142" s="102">
        <f>IFERROR(__xludf.DUMMYFUNCTION("""COMPUTED_VALUE"""),20.0)</f>
        <v>20</v>
      </c>
      <c r="G142" s="82">
        <f>IFERROR(__xludf.DUMMYFUNCTION("""COMPUTED_VALUE"""),43124.0)</f>
        <v>43124</v>
      </c>
      <c r="H142" s="231" t="str">
        <f>IFERROR(__xludf.DUMMYFUNCTION("""COMPUTED_VALUE"""),"")</f>
        <v/>
      </c>
      <c r="I142" s="232" t="str">
        <f>IFERROR(__xludf.DUMMYFUNCTION("""COMPUTED_VALUE"""),"")</f>
        <v/>
      </c>
      <c r="J142" s="233" t="str">
        <f>IFERROR(__xludf.DUMMYFUNCTION("""COMPUTED_VALUE"""),"")</f>
        <v/>
      </c>
      <c r="K142" s="231" t="str">
        <f>IFERROR(__xludf.DUMMYFUNCTION("""COMPUTED_VALUE"""),"")</f>
        <v/>
      </c>
      <c r="L142" s="232" t="str">
        <f>IFERROR(__xludf.DUMMYFUNCTION("""COMPUTED_VALUE"""),"")</f>
        <v/>
      </c>
      <c r="M142" s="233" t="str">
        <f>IFERROR(__xludf.DUMMYFUNCTION("""COMPUTED_VALUE"""),"")</f>
        <v/>
      </c>
      <c r="N142" s="231" t="str">
        <f>IFERROR(__xludf.DUMMYFUNCTION("""COMPUTED_VALUE"""),"")</f>
        <v/>
      </c>
      <c r="O142" s="232" t="str">
        <f>IFERROR(__xludf.DUMMYFUNCTION("""COMPUTED_VALUE"""),"")</f>
        <v/>
      </c>
      <c r="P142" s="233" t="str">
        <f>IFERROR(__xludf.DUMMYFUNCTION("""COMPUTED_VALUE"""),"")</f>
        <v/>
      </c>
      <c r="Q142" s="231" t="str">
        <f>IFERROR(__xludf.DUMMYFUNCTION("""COMPUTED_VALUE"""),"")</f>
        <v/>
      </c>
      <c r="R142" s="232" t="str">
        <f>IFERROR(__xludf.DUMMYFUNCTION("""COMPUTED_VALUE"""),"")</f>
        <v/>
      </c>
      <c r="S142" s="233" t="str">
        <f>IFERROR(__xludf.DUMMYFUNCTION("""COMPUTED_VALUE"""),"")</f>
        <v/>
      </c>
      <c r="T142" s="231" t="str">
        <f>IFERROR(__xludf.DUMMYFUNCTION("""COMPUTED_VALUE"""),"")</f>
        <v/>
      </c>
      <c r="U142" s="232" t="str">
        <f>IFERROR(__xludf.DUMMYFUNCTION("""COMPUTED_VALUE"""),"")</f>
        <v/>
      </c>
      <c r="V142" s="233" t="str">
        <f>IFERROR(__xludf.DUMMYFUNCTION("""COMPUTED_VALUE"""),"")</f>
        <v/>
      </c>
      <c r="W142" s="231" t="str">
        <f>IFERROR(__xludf.DUMMYFUNCTION("""COMPUTED_VALUE"""),"")</f>
        <v/>
      </c>
      <c r="X142" s="232" t="str">
        <f>IFERROR(__xludf.DUMMYFUNCTION("""COMPUTED_VALUE"""),"")</f>
        <v/>
      </c>
      <c r="Y142" s="233" t="str">
        <f>IFERROR(__xludf.DUMMYFUNCTION("""COMPUTED_VALUE"""),"")</f>
        <v/>
      </c>
      <c r="Z142" s="231" t="str">
        <f>IFERROR(__xludf.DUMMYFUNCTION("""COMPUTED_VALUE"""),"")</f>
        <v/>
      </c>
      <c r="AA142" s="232" t="str">
        <f>IFERROR(__xludf.DUMMYFUNCTION("""COMPUTED_VALUE"""),"")</f>
        <v/>
      </c>
      <c r="AB142" s="233" t="str">
        <f>IFERROR(__xludf.DUMMYFUNCTION("""COMPUTED_VALUE"""),"")</f>
        <v/>
      </c>
      <c r="AC142" s="231" t="str">
        <f>IFERROR(__xludf.DUMMYFUNCTION("""COMPUTED_VALUE"""),"")</f>
        <v/>
      </c>
      <c r="AD142" s="232" t="str">
        <f>IFERROR(__xludf.DUMMYFUNCTION("""COMPUTED_VALUE"""),"")</f>
        <v/>
      </c>
      <c r="AE142" s="233" t="str">
        <f>IFERROR(__xludf.DUMMYFUNCTION("""COMPUTED_VALUE"""),"")</f>
        <v/>
      </c>
      <c r="AF142" s="231" t="str">
        <f>IFERROR(__xludf.DUMMYFUNCTION("""COMPUTED_VALUE"""),"")</f>
        <v/>
      </c>
      <c r="AG142" s="232" t="str">
        <f>IFERROR(__xludf.DUMMYFUNCTION("""COMPUTED_VALUE"""),"")</f>
        <v/>
      </c>
      <c r="AH142" s="233" t="str">
        <f>IFERROR(__xludf.DUMMYFUNCTION("""COMPUTED_VALUE"""),"")</f>
        <v/>
      </c>
      <c r="AI142" s="231" t="str">
        <f>IFERROR(__xludf.DUMMYFUNCTION("""COMPUTED_VALUE"""),"")</f>
        <v/>
      </c>
      <c r="AJ142" s="232" t="str">
        <f>IFERROR(__xludf.DUMMYFUNCTION("""COMPUTED_VALUE"""),"")</f>
        <v/>
      </c>
      <c r="AK142" s="233" t="str">
        <f>IFERROR(__xludf.DUMMYFUNCTION("""COMPUTED_VALUE"""),"")</f>
        <v/>
      </c>
      <c r="AL142" s="231" t="str">
        <f>IFERROR(__xludf.DUMMYFUNCTION("""COMPUTED_VALUE"""),"")</f>
        <v/>
      </c>
      <c r="AM142" s="232" t="str">
        <f>IFERROR(__xludf.DUMMYFUNCTION("""COMPUTED_VALUE"""),"")</f>
        <v/>
      </c>
      <c r="AN142" s="233" t="str">
        <f>IFERROR(__xludf.DUMMYFUNCTION("""COMPUTED_VALUE"""),"")</f>
        <v/>
      </c>
      <c r="AO142" s="231" t="str">
        <f>IFERROR(__xludf.DUMMYFUNCTION("""COMPUTED_VALUE"""),"")</f>
        <v/>
      </c>
      <c r="AP142" s="232" t="str">
        <f>IFERROR(__xludf.DUMMYFUNCTION("""COMPUTED_VALUE"""),"")</f>
        <v/>
      </c>
      <c r="AQ142" s="233" t="str">
        <f>IFERROR(__xludf.DUMMYFUNCTION("""COMPUTED_VALUE"""),"")</f>
        <v/>
      </c>
      <c r="AR142" s="231" t="str">
        <f>IFERROR(__xludf.DUMMYFUNCTION("""COMPUTED_VALUE"""),"")</f>
        <v/>
      </c>
      <c r="AS142" s="232" t="str">
        <f>IFERROR(__xludf.DUMMYFUNCTION("""COMPUTED_VALUE"""),"")</f>
        <v/>
      </c>
      <c r="AT142" s="233" t="str">
        <f>IFERROR(__xludf.DUMMYFUNCTION("""COMPUTED_VALUE"""),"")</f>
        <v/>
      </c>
      <c r="AU142" s="231" t="str">
        <f>IFERROR(__xludf.DUMMYFUNCTION("""COMPUTED_VALUE"""),"")</f>
        <v/>
      </c>
      <c r="AV142" s="232" t="str">
        <f>IFERROR(__xludf.DUMMYFUNCTION("""COMPUTED_VALUE"""),"")</f>
        <v/>
      </c>
      <c r="AW142" s="233">
        <f>IFERROR(__xludf.DUMMYFUNCTION("""COMPUTED_VALUE"""),30.3)</f>
        <v>30.3</v>
      </c>
      <c r="AX142" s="231" t="str">
        <f>IFERROR(__xludf.DUMMYFUNCTION("""COMPUTED_VALUE"""),"")</f>
        <v/>
      </c>
      <c r="AY142" s="232" t="str">
        <f>IFERROR(__xludf.DUMMYFUNCTION("""COMPUTED_VALUE"""),"")</f>
        <v/>
      </c>
      <c r="AZ142" s="233">
        <f>IFERROR(__xludf.DUMMYFUNCTION("""COMPUTED_VALUE"""),39.9)</f>
        <v>39.9</v>
      </c>
      <c r="BA142" s="231" t="str">
        <f>IFERROR(__xludf.DUMMYFUNCTION("""COMPUTED_VALUE"""),"")</f>
        <v/>
      </c>
      <c r="BB142" s="232" t="str">
        <f>IFERROR(__xludf.DUMMYFUNCTION("""COMPUTED_VALUE"""),"")</f>
        <v/>
      </c>
      <c r="BC142" s="233" t="str">
        <f>IFERROR(__xludf.DUMMYFUNCTION("""COMPUTED_VALUE"""),"")</f>
        <v/>
      </c>
      <c r="BD142" s="231" t="str">
        <f>IFERROR(__xludf.DUMMYFUNCTION("""COMPUTED_VALUE"""),"")</f>
        <v/>
      </c>
      <c r="BE142" s="232" t="str">
        <f>IFERROR(__xludf.DUMMYFUNCTION("""COMPUTED_VALUE"""),"")</f>
        <v/>
      </c>
      <c r="BF142" s="233" t="str">
        <f>IFERROR(__xludf.DUMMYFUNCTION("""COMPUTED_VALUE"""),"")</f>
        <v/>
      </c>
      <c r="BG142" s="231" t="str">
        <f>IFERROR(__xludf.DUMMYFUNCTION("""COMPUTED_VALUE"""),"")</f>
        <v/>
      </c>
      <c r="BH142" s="232" t="str">
        <f>IFERROR(__xludf.DUMMYFUNCTION("""COMPUTED_VALUE"""),"")</f>
        <v/>
      </c>
      <c r="BI142" s="233" t="str">
        <f>IFERROR(__xludf.DUMMYFUNCTION("""COMPUTED_VALUE"""),"")</f>
        <v/>
      </c>
      <c r="BJ142" s="231" t="str">
        <f>IFERROR(__xludf.DUMMYFUNCTION("""COMPUTED_VALUE"""),"")</f>
        <v/>
      </c>
      <c r="BK142" s="232">
        <f>IFERROR(__xludf.DUMMYFUNCTION("""COMPUTED_VALUE"""),10.7)</f>
        <v>10.7</v>
      </c>
      <c r="BL142" s="233" t="str">
        <f>IFERROR(__xludf.DUMMYFUNCTION("""COMPUTED_VALUE"""),"")</f>
        <v/>
      </c>
      <c r="BM142" s="231" t="str">
        <f>IFERROR(__xludf.DUMMYFUNCTION("""COMPUTED_VALUE"""),"")</f>
        <v/>
      </c>
      <c r="BN142" s="232" t="str">
        <f>IFERROR(__xludf.DUMMYFUNCTION("""COMPUTED_VALUE"""),"")</f>
        <v/>
      </c>
      <c r="BO142" s="233" t="str">
        <f>IFERROR(__xludf.DUMMYFUNCTION("""COMPUTED_VALUE"""),"")</f>
        <v/>
      </c>
      <c r="BP142" s="231" t="str">
        <f>IFERROR(__xludf.DUMMYFUNCTION("""COMPUTED_VALUE"""),"")</f>
        <v/>
      </c>
      <c r="BQ142" s="232" t="str">
        <f>IFERROR(__xludf.DUMMYFUNCTION("""COMPUTED_VALUE"""),"")</f>
        <v/>
      </c>
      <c r="BR142" s="233">
        <f>IFERROR(__xludf.DUMMYFUNCTION("""COMPUTED_VALUE"""),15.8)</f>
        <v>15.8</v>
      </c>
      <c r="BS142" s="231" t="str">
        <f>IFERROR(__xludf.DUMMYFUNCTION("""COMPUTED_VALUE"""),"")</f>
        <v/>
      </c>
      <c r="BT142" s="232" t="str">
        <f>IFERROR(__xludf.DUMMYFUNCTION("""COMPUTED_VALUE"""),"")</f>
        <v/>
      </c>
      <c r="BU142" s="233" t="str">
        <f>IFERROR(__xludf.DUMMYFUNCTION("""COMPUTED_VALUE"""),"")</f>
        <v/>
      </c>
      <c r="BV142" s="231" t="str">
        <f>IFERROR(__xludf.DUMMYFUNCTION("""COMPUTED_VALUE"""),"")</f>
        <v/>
      </c>
      <c r="BW142" s="232" t="str">
        <f>IFERROR(__xludf.DUMMYFUNCTION("""COMPUTED_VALUE"""),"")</f>
        <v/>
      </c>
      <c r="BX142" s="233" t="str">
        <f>IFERROR(__xludf.DUMMYFUNCTION("""COMPUTED_VALUE"""),"")</f>
        <v/>
      </c>
      <c r="BY142" s="231" t="str">
        <f>IFERROR(__xludf.DUMMYFUNCTION("""COMPUTED_VALUE"""),"")</f>
        <v/>
      </c>
      <c r="BZ142" s="232" t="str">
        <f>IFERROR(__xludf.DUMMYFUNCTION("""COMPUTED_VALUE"""),"")</f>
        <v/>
      </c>
      <c r="CA142" s="233" t="str">
        <f>IFERROR(__xludf.DUMMYFUNCTION("""COMPUTED_VALUE"""),"")</f>
        <v/>
      </c>
      <c r="CB142" s="231" t="str">
        <f>IFERROR(__xludf.DUMMYFUNCTION("""COMPUTED_VALUE"""),"")</f>
        <v/>
      </c>
      <c r="CC142" s="232" t="str">
        <f>IFERROR(__xludf.DUMMYFUNCTION("""COMPUTED_VALUE"""),"")</f>
        <v/>
      </c>
      <c r="CD142" s="233" t="str">
        <f>IFERROR(__xludf.DUMMYFUNCTION("""COMPUTED_VALUE"""),"")</f>
        <v/>
      </c>
      <c r="CE142" s="234" t="str">
        <f>IFERROR(__xludf.DUMMYFUNCTION("""COMPUTED_VALUE"""),"")</f>
        <v/>
      </c>
      <c r="CF142" s="230" t="str">
        <f>IFERROR(__xludf.DUMMYFUNCTION("""COMPUTED_VALUE"""),"")</f>
        <v/>
      </c>
      <c r="CG142" s="235" t="str">
        <f>IFERROR(__xludf.DUMMYFUNCTION("""COMPUTED_VALUE"""),"")</f>
        <v/>
      </c>
      <c r="CH142" s="234" t="str">
        <f>IFERROR(__xludf.DUMMYFUNCTION("""COMPUTED_VALUE"""),"")</f>
        <v/>
      </c>
      <c r="CI142" s="230" t="str">
        <f>IFERROR(__xludf.DUMMYFUNCTION("""COMPUTED_VALUE"""),"")</f>
        <v/>
      </c>
      <c r="CJ142" s="235" t="str">
        <f>IFERROR(__xludf.DUMMYFUNCTION("""COMPUTED_VALUE"""),"")</f>
        <v/>
      </c>
      <c r="CK142" s="95" t="str">
        <f>IFERROR(__xludf.DUMMYFUNCTION("""COMPUTED_VALUE"""),"")</f>
        <v/>
      </c>
      <c r="CL142" s="96" t="str">
        <f>IFERROR(__xludf.DUMMYFUNCTION("""COMPUTED_VALUE"""),"")</f>
        <v/>
      </c>
      <c r="CM142" s="97" t="str">
        <f>IFERROR(__xludf.DUMMYFUNCTION("""COMPUTED_VALUE"""),"")</f>
        <v/>
      </c>
      <c r="CN142" s="95" t="str">
        <f>IFERROR(__xludf.DUMMYFUNCTION("""COMPUTED_VALUE"""),"")</f>
        <v/>
      </c>
      <c r="CO142" s="96" t="str">
        <f>IFERROR(__xludf.DUMMYFUNCTION("""COMPUTED_VALUE"""),"")</f>
        <v/>
      </c>
      <c r="CP142" s="97" t="str">
        <f>IFERROR(__xludf.DUMMYFUNCTION("""COMPUTED_VALUE"""),"")</f>
        <v/>
      </c>
      <c r="CQ142" s="95" t="str">
        <f>IFERROR(__xludf.DUMMYFUNCTION("""COMPUTED_VALUE"""),"")</f>
        <v/>
      </c>
      <c r="CR142" s="96" t="str">
        <f>IFERROR(__xludf.DUMMYFUNCTION("""COMPUTED_VALUE"""),"")</f>
        <v/>
      </c>
      <c r="CS142" s="97" t="str">
        <f>IFERROR(__xludf.DUMMYFUNCTION("""COMPUTED_VALUE"""),"#REF!")</f>
        <v>#REF!</v>
      </c>
      <c r="CT142" s="95" t="str">
        <f>IFERROR(__xludf.DUMMYFUNCTION("""COMPUTED_VALUE"""),"#REF!")</f>
        <v>#REF!</v>
      </c>
      <c r="CU142" s="96" t="str">
        <f>IFERROR(__xludf.DUMMYFUNCTION("""COMPUTED_VALUE"""),"#REF!")</f>
        <v>#REF!</v>
      </c>
      <c r="CV142" s="97" t="str">
        <f>IFERROR(__xludf.DUMMYFUNCTION("""COMPUTED_VALUE"""),"#REF!")</f>
        <v>#REF!</v>
      </c>
      <c r="CW142" s="95" t="str">
        <f>IFERROR(__xludf.DUMMYFUNCTION("""COMPUTED_VALUE"""),"#REF!")</f>
        <v>#REF!</v>
      </c>
      <c r="CX142" s="96" t="str">
        <f>IFERROR(__xludf.DUMMYFUNCTION("""COMPUTED_VALUE"""),"#REF!")</f>
        <v>#REF!</v>
      </c>
      <c r="CY142" s="97" t="str">
        <f>IFERROR(__xludf.DUMMYFUNCTION("""COMPUTED_VALUE"""),"#REF!")</f>
        <v>#REF!</v>
      </c>
      <c r="CZ142" s="95" t="str">
        <f>IFERROR(__xludf.DUMMYFUNCTION("""COMPUTED_VALUE"""),"#REF!")</f>
        <v>#REF!</v>
      </c>
      <c r="DA142" s="96" t="str">
        <f>IFERROR(__xludf.DUMMYFUNCTION("""COMPUTED_VALUE"""),"#REF!")</f>
        <v>#REF!</v>
      </c>
      <c r="DB142" s="97" t="str">
        <f>IFERROR(__xludf.DUMMYFUNCTION("""COMPUTED_VALUE"""),"#REF!")</f>
        <v>#REF!</v>
      </c>
      <c r="DC142" s="95" t="str">
        <f>IFERROR(__xludf.DUMMYFUNCTION("""COMPUTED_VALUE"""),"#REF!")</f>
        <v>#REF!</v>
      </c>
      <c r="DD142" s="96" t="str">
        <f>IFERROR(__xludf.DUMMYFUNCTION("""COMPUTED_VALUE"""),"#REF!")</f>
        <v>#REF!</v>
      </c>
      <c r="DE142" s="97" t="str">
        <f>IFERROR(__xludf.DUMMYFUNCTION("""COMPUTED_VALUE"""),"#REF!")</f>
        <v>#REF!</v>
      </c>
      <c r="DF142" s="95" t="str">
        <f>IFERROR(__xludf.DUMMYFUNCTION("""COMPUTED_VALUE"""),"#REF!")</f>
        <v>#REF!</v>
      </c>
      <c r="DG142" s="96" t="str">
        <f>IFERROR(__xludf.DUMMYFUNCTION("""COMPUTED_VALUE"""),"#REF!")</f>
        <v>#REF!</v>
      </c>
      <c r="DH142" s="97" t="str">
        <f>IFERROR(__xludf.DUMMYFUNCTION("""COMPUTED_VALUE"""),"#REF!")</f>
        <v>#REF!</v>
      </c>
      <c r="DI142" s="95" t="str">
        <f>IFERROR(__xludf.DUMMYFUNCTION("""COMPUTED_VALUE"""),"#REF!")</f>
        <v>#REF!</v>
      </c>
      <c r="DJ142" s="96" t="str">
        <f>IFERROR(__xludf.DUMMYFUNCTION("""COMPUTED_VALUE"""),"#REF!")</f>
        <v>#REF!</v>
      </c>
      <c r="DK142" s="97" t="str">
        <f>IFERROR(__xludf.DUMMYFUNCTION("""COMPUTED_VALUE"""),"#REF!")</f>
        <v>#REF!</v>
      </c>
      <c r="DL142" s="95" t="str">
        <f>IFERROR(__xludf.DUMMYFUNCTION("""COMPUTED_VALUE"""),"#REF!")</f>
        <v>#REF!</v>
      </c>
      <c r="DM142" s="96" t="str">
        <f>IFERROR(__xludf.DUMMYFUNCTION("""COMPUTED_VALUE"""),"#REF!")</f>
        <v>#REF!</v>
      </c>
      <c r="DN142" s="97" t="str">
        <f>IFERROR(__xludf.DUMMYFUNCTION("""COMPUTED_VALUE"""),"#REF!")</f>
        <v>#REF!</v>
      </c>
      <c r="DO142" s="95" t="str">
        <f>IFERROR(__xludf.DUMMYFUNCTION("""COMPUTED_VALUE"""),"#REF!")</f>
        <v>#REF!</v>
      </c>
      <c r="DP142" s="96" t="str">
        <f>IFERROR(__xludf.DUMMYFUNCTION("""COMPUTED_VALUE"""),"#REF!")</f>
        <v>#REF!</v>
      </c>
      <c r="DQ142" s="97"/>
      <c r="DR142" s="95"/>
    </row>
    <row r="143">
      <c r="B143" s="120" t="str">
        <f>IFERROR(__xludf.DUMMYFUNCTION("""COMPUTED_VALUE"""),"SJK3")</f>
        <v>SJK3</v>
      </c>
      <c r="C143" s="82">
        <f>IFERROR(__xludf.DUMMYFUNCTION("""COMPUTED_VALUE"""),134.0)</f>
        <v>134</v>
      </c>
      <c r="D143" s="88" t="str">
        <f>IFERROR(__xludf.DUMMYFUNCTION("""COMPUTED_VALUE"""),"Shinjuku Station")</f>
        <v>Shinjuku Station</v>
      </c>
      <c r="E143" s="82" t="str">
        <f>IFERROR(__xludf.DUMMYFUNCTION("""COMPUTED_VALUE"""),"新宿駅")</f>
        <v>新宿駅</v>
      </c>
      <c r="F143" s="102">
        <f>IFERROR(__xludf.DUMMYFUNCTION("""COMPUTED_VALUE"""),21.0)</f>
        <v>21</v>
      </c>
      <c r="G143" s="82">
        <f>IFERROR(__xludf.DUMMYFUNCTION("""COMPUTED_VALUE"""),62899.0)</f>
        <v>62899</v>
      </c>
      <c r="H143" s="231" t="str">
        <f>IFERROR(__xludf.DUMMYFUNCTION("""COMPUTED_VALUE"""),"")</f>
        <v/>
      </c>
      <c r="I143" s="232" t="str">
        <f>IFERROR(__xludf.DUMMYFUNCTION("""COMPUTED_VALUE"""),"")</f>
        <v/>
      </c>
      <c r="J143" s="233" t="str">
        <f>IFERROR(__xludf.DUMMYFUNCTION("""COMPUTED_VALUE"""),"")</f>
        <v/>
      </c>
      <c r="K143" s="231" t="str">
        <f>IFERROR(__xludf.DUMMYFUNCTION("""COMPUTED_VALUE"""),"")</f>
        <v/>
      </c>
      <c r="L143" s="232" t="str">
        <f>IFERROR(__xludf.DUMMYFUNCTION("""COMPUTED_VALUE"""),"")</f>
        <v/>
      </c>
      <c r="M143" s="233" t="str">
        <f>IFERROR(__xludf.DUMMYFUNCTION("""COMPUTED_VALUE"""),"")</f>
        <v/>
      </c>
      <c r="N143" s="231" t="str">
        <f>IFERROR(__xludf.DUMMYFUNCTION("""COMPUTED_VALUE"""),"")</f>
        <v/>
      </c>
      <c r="O143" s="232" t="str">
        <f>IFERROR(__xludf.DUMMYFUNCTION("""COMPUTED_VALUE"""),"")</f>
        <v/>
      </c>
      <c r="P143" s="233" t="str">
        <f>IFERROR(__xludf.DUMMYFUNCTION("""COMPUTED_VALUE"""),"")</f>
        <v/>
      </c>
      <c r="Q143" s="231" t="str">
        <f>IFERROR(__xludf.DUMMYFUNCTION("""COMPUTED_VALUE"""),"")</f>
        <v/>
      </c>
      <c r="R143" s="232" t="str">
        <f>IFERROR(__xludf.DUMMYFUNCTION("""COMPUTED_VALUE"""),"")</f>
        <v/>
      </c>
      <c r="S143" s="233" t="str">
        <f>IFERROR(__xludf.DUMMYFUNCTION("""COMPUTED_VALUE"""),"")</f>
        <v/>
      </c>
      <c r="T143" s="231" t="str">
        <f>IFERROR(__xludf.DUMMYFUNCTION("""COMPUTED_VALUE"""),"")</f>
        <v/>
      </c>
      <c r="U143" s="232" t="str">
        <f>IFERROR(__xludf.DUMMYFUNCTION("""COMPUTED_VALUE"""),"")</f>
        <v/>
      </c>
      <c r="V143" s="233" t="str">
        <f>IFERROR(__xludf.DUMMYFUNCTION("""COMPUTED_VALUE"""),"")</f>
        <v/>
      </c>
      <c r="W143" s="231" t="str">
        <f>IFERROR(__xludf.DUMMYFUNCTION("""COMPUTED_VALUE"""),"")</f>
        <v/>
      </c>
      <c r="X143" s="232" t="str">
        <f>IFERROR(__xludf.DUMMYFUNCTION("""COMPUTED_VALUE"""),"")</f>
        <v/>
      </c>
      <c r="Y143" s="233" t="str">
        <f>IFERROR(__xludf.DUMMYFUNCTION("""COMPUTED_VALUE"""),"")</f>
        <v/>
      </c>
      <c r="Z143" s="231" t="str">
        <f>IFERROR(__xludf.DUMMYFUNCTION("""COMPUTED_VALUE"""),"")</f>
        <v/>
      </c>
      <c r="AA143" s="232" t="str">
        <f>IFERROR(__xludf.DUMMYFUNCTION("""COMPUTED_VALUE"""),"")</f>
        <v/>
      </c>
      <c r="AB143" s="233" t="str">
        <f>IFERROR(__xludf.DUMMYFUNCTION("""COMPUTED_VALUE"""),"")</f>
        <v/>
      </c>
      <c r="AC143" s="231" t="str">
        <f>IFERROR(__xludf.DUMMYFUNCTION("""COMPUTED_VALUE"""),"")</f>
        <v/>
      </c>
      <c r="AD143" s="232" t="str">
        <f>IFERROR(__xludf.DUMMYFUNCTION("""COMPUTED_VALUE"""),"")</f>
        <v/>
      </c>
      <c r="AE143" s="233" t="str">
        <f>IFERROR(__xludf.DUMMYFUNCTION("""COMPUTED_VALUE"""),"")</f>
        <v/>
      </c>
      <c r="AF143" s="231" t="str">
        <f>IFERROR(__xludf.DUMMYFUNCTION("""COMPUTED_VALUE"""),"")</f>
        <v/>
      </c>
      <c r="AG143" s="232" t="str">
        <f>IFERROR(__xludf.DUMMYFUNCTION("""COMPUTED_VALUE"""),"")</f>
        <v/>
      </c>
      <c r="AH143" s="233" t="str">
        <f>IFERROR(__xludf.DUMMYFUNCTION("""COMPUTED_VALUE"""),"")</f>
        <v/>
      </c>
      <c r="AI143" s="231" t="str">
        <f>IFERROR(__xludf.DUMMYFUNCTION("""COMPUTED_VALUE"""),"")</f>
        <v/>
      </c>
      <c r="AJ143" s="232" t="str">
        <f>IFERROR(__xludf.DUMMYFUNCTION("""COMPUTED_VALUE"""),"")</f>
        <v/>
      </c>
      <c r="AK143" s="233" t="str">
        <f>IFERROR(__xludf.DUMMYFUNCTION("""COMPUTED_VALUE"""),"")</f>
        <v/>
      </c>
      <c r="AL143" s="231" t="str">
        <f>IFERROR(__xludf.DUMMYFUNCTION("""COMPUTED_VALUE"""),"")</f>
        <v/>
      </c>
      <c r="AM143" s="232" t="str">
        <f>IFERROR(__xludf.DUMMYFUNCTION("""COMPUTED_VALUE"""),"")</f>
        <v/>
      </c>
      <c r="AN143" s="233" t="str">
        <f>IFERROR(__xludf.DUMMYFUNCTION("""COMPUTED_VALUE"""),"")</f>
        <v/>
      </c>
      <c r="AO143" s="231" t="str">
        <f>IFERROR(__xludf.DUMMYFUNCTION("""COMPUTED_VALUE"""),"")</f>
        <v/>
      </c>
      <c r="AP143" s="232" t="str">
        <f>IFERROR(__xludf.DUMMYFUNCTION("""COMPUTED_VALUE"""),"")</f>
        <v/>
      </c>
      <c r="AQ143" s="233" t="str">
        <f>IFERROR(__xludf.DUMMYFUNCTION("""COMPUTED_VALUE"""),"")</f>
        <v/>
      </c>
      <c r="AR143" s="231" t="str">
        <f>IFERROR(__xludf.DUMMYFUNCTION("""COMPUTED_VALUE"""),"")</f>
        <v/>
      </c>
      <c r="AS143" s="232" t="str">
        <f>IFERROR(__xludf.DUMMYFUNCTION("""COMPUTED_VALUE"""),"")</f>
        <v/>
      </c>
      <c r="AT143" s="233" t="str">
        <f>IFERROR(__xludf.DUMMYFUNCTION("""COMPUTED_VALUE"""),"")</f>
        <v/>
      </c>
      <c r="AU143" s="231" t="str">
        <f>IFERROR(__xludf.DUMMYFUNCTION("""COMPUTED_VALUE"""),"")</f>
        <v/>
      </c>
      <c r="AV143" s="232" t="str">
        <f>IFERROR(__xludf.DUMMYFUNCTION("""COMPUTED_VALUE"""),"")</f>
        <v/>
      </c>
      <c r="AW143" s="233" t="str">
        <f>IFERROR(__xludf.DUMMYFUNCTION("""COMPUTED_VALUE"""),"")</f>
        <v/>
      </c>
      <c r="AX143" s="231" t="str">
        <f>IFERROR(__xludf.DUMMYFUNCTION("""COMPUTED_VALUE"""),"")</f>
        <v/>
      </c>
      <c r="AY143" s="232" t="str">
        <f>IFERROR(__xludf.DUMMYFUNCTION("""COMPUTED_VALUE"""),"")</f>
        <v/>
      </c>
      <c r="AZ143" s="233">
        <f>IFERROR(__xludf.DUMMYFUNCTION("""COMPUTED_VALUE"""),65.5)</f>
        <v>65.5</v>
      </c>
      <c r="BA143" s="231" t="str">
        <f>IFERROR(__xludf.DUMMYFUNCTION("""COMPUTED_VALUE"""),"")</f>
        <v/>
      </c>
      <c r="BB143" s="232" t="str">
        <f>IFERROR(__xludf.DUMMYFUNCTION("""COMPUTED_VALUE"""),"")</f>
        <v/>
      </c>
      <c r="BC143" s="233" t="str">
        <f>IFERROR(__xludf.DUMMYFUNCTION("""COMPUTED_VALUE"""),"")</f>
        <v/>
      </c>
      <c r="BD143" s="231" t="str">
        <f>IFERROR(__xludf.DUMMYFUNCTION("""COMPUTED_VALUE"""),"")</f>
        <v/>
      </c>
      <c r="BE143" s="232" t="str">
        <f>IFERROR(__xludf.DUMMYFUNCTION("""COMPUTED_VALUE"""),"")</f>
        <v/>
      </c>
      <c r="BF143" s="233" t="str">
        <f>IFERROR(__xludf.DUMMYFUNCTION("""COMPUTED_VALUE"""),"")</f>
        <v/>
      </c>
      <c r="BG143" s="231" t="str">
        <f>IFERROR(__xludf.DUMMYFUNCTION("""COMPUTED_VALUE"""),"")</f>
        <v/>
      </c>
      <c r="BH143" s="232" t="str">
        <f>IFERROR(__xludf.DUMMYFUNCTION("""COMPUTED_VALUE"""),"")</f>
        <v/>
      </c>
      <c r="BI143" s="233" t="str">
        <f>IFERROR(__xludf.DUMMYFUNCTION("""COMPUTED_VALUE"""),"")</f>
        <v/>
      </c>
      <c r="BJ143" s="231" t="str">
        <f>IFERROR(__xludf.DUMMYFUNCTION("""COMPUTED_VALUE"""),"")</f>
        <v/>
      </c>
      <c r="BK143" s="232">
        <f>IFERROR(__xludf.DUMMYFUNCTION("""COMPUTED_VALUE"""),25.2)</f>
        <v>25.2</v>
      </c>
      <c r="BL143" s="233" t="str">
        <f>IFERROR(__xludf.DUMMYFUNCTION("""COMPUTED_VALUE"""),"")</f>
        <v/>
      </c>
      <c r="BM143" s="231" t="str">
        <f>IFERROR(__xludf.DUMMYFUNCTION("""COMPUTED_VALUE"""),"")</f>
        <v/>
      </c>
      <c r="BN143" s="232" t="str">
        <f>IFERROR(__xludf.DUMMYFUNCTION("""COMPUTED_VALUE"""),"")</f>
        <v/>
      </c>
      <c r="BO143" s="233" t="str">
        <f>IFERROR(__xludf.DUMMYFUNCTION("""COMPUTED_VALUE"""),"")</f>
        <v/>
      </c>
      <c r="BP143" s="231" t="str">
        <f>IFERROR(__xludf.DUMMYFUNCTION("""COMPUTED_VALUE"""),"")</f>
        <v/>
      </c>
      <c r="BQ143" s="232" t="str">
        <f>IFERROR(__xludf.DUMMYFUNCTION("""COMPUTED_VALUE"""),"")</f>
        <v/>
      </c>
      <c r="BR143" s="233">
        <f>IFERROR(__xludf.DUMMYFUNCTION("""COMPUTED_VALUE"""),20.4)</f>
        <v>20.4</v>
      </c>
      <c r="BS143" s="231" t="str">
        <f>IFERROR(__xludf.DUMMYFUNCTION("""COMPUTED_VALUE"""),"")</f>
        <v/>
      </c>
      <c r="BT143" s="232" t="str">
        <f>IFERROR(__xludf.DUMMYFUNCTION("""COMPUTED_VALUE"""),"")</f>
        <v/>
      </c>
      <c r="BU143" s="233" t="str">
        <f>IFERROR(__xludf.DUMMYFUNCTION("""COMPUTED_VALUE"""),"")</f>
        <v/>
      </c>
      <c r="BV143" s="231" t="str">
        <f>IFERROR(__xludf.DUMMYFUNCTION("""COMPUTED_VALUE"""),"")</f>
        <v/>
      </c>
      <c r="BW143" s="232" t="str">
        <f>IFERROR(__xludf.DUMMYFUNCTION("""COMPUTED_VALUE"""),"")</f>
        <v/>
      </c>
      <c r="BX143" s="233" t="str">
        <f>IFERROR(__xludf.DUMMYFUNCTION("""COMPUTED_VALUE"""),"")</f>
        <v/>
      </c>
      <c r="BY143" s="231" t="str">
        <f>IFERROR(__xludf.DUMMYFUNCTION("""COMPUTED_VALUE"""),"")</f>
        <v/>
      </c>
      <c r="BZ143" s="232" t="str">
        <f>IFERROR(__xludf.DUMMYFUNCTION("""COMPUTED_VALUE"""),"")</f>
        <v/>
      </c>
      <c r="CA143" s="233" t="str">
        <f>IFERROR(__xludf.DUMMYFUNCTION("""COMPUTED_VALUE"""),"")</f>
        <v/>
      </c>
      <c r="CB143" s="231" t="str">
        <f>IFERROR(__xludf.DUMMYFUNCTION("""COMPUTED_VALUE"""),"")</f>
        <v/>
      </c>
      <c r="CC143" s="232" t="str">
        <f>IFERROR(__xludf.DUMMYFUNCTION("""COMPUTED_VALUE"""),"")</f>
        <v/>
      </c>
      <c r="CD143" s="233" t="str">
        <f>IFERROR(__xludf.DUMMYFUNCTION("""COMPUTED_VALUE"""),"")</f>
        <v/>
      </c>
      <c r="CE143" s="234" t="str">
        <f>IFERROR(__xludf.DUMMYFUNCTION("""COMPUTED_VALUE"""),"")</f>
        <v/>
      </c>
      <c r="CF143" s="230" t="str">
        <f>IFERROR(__xludf.DUMMYFUNCTION("""COMPUTED_VALUE"""),"")</f>
        <v/>
      </c>
      <c r="CG143" s="235" t="str">
        <f>IFERROR(__xludf.DUMMYFUNCTION("""COMPUTED_VALUE"""),"")</f>
        <v/>
      </c>
      <c r="CH143" s="234" t="str">
        <f>IFERROR(__xludf.DUMMYFUNCTION("""COMPUTED_VALUE"""),"")</f>
        <v/>
      </c>
      <c r="CI143" s="230" t="str">
        <f>IFERROR(__xludf.DUMMYFUNCTION("""COMPUTED_VALUE"""),"")</f>
        <v/>
      </c>
      <c r="CJ143" s="235" t="str">
        <f>IFERROR(__xludf.DUMMYFUNCTION("""COMPUTED_VALUE"""),"")</f>
        <v/>
      </c>
      <c r="CK143" s="95" t="str">
        <f>IFERROR(__xludf.DUMMYFUNCTION("""COMPUTED_VALUE"""),"")</f>
        <v/>
      </c>
      <c r="CL143" s="96" t="str">
        <f>IFERROR(__xludf.DUMMYFUNCTION("""COMPUTED_VALUE"""),"")</f>
        <v/>
      </c>
      <c r="CM143" s="97" t="str">
        <f>IFERROR(__xludf.DUMMYFUNCTION("""COMPUTED_VALUE"""),"")</f>
        <v/>
      </c>
      <c r="CN143" s="95" t="str">
        <f>IFERROR(__xludf.DUMMYFUNCTION("""COMPUTED_VALUE"""),"")</f>
        <v/>
      </c>
      <c r="CO143" s="96" t="str">
        <f>IFERROR(__xludf.DUMMYFUNCTION("""COMPUTED_VALUE"""),"")</f>
        <v/>
      </c>
      <c r="CP143" s="97" t="str">
        <f>IFERROR(__xludf.DUMMYFUNCTION("""COMPUTED_VALUE"""),"")</f>
        <v/>
      </c>
      <c r="CQ143" s="95" t="str">
        <f>IFERROR(__xludf.DUMMYFUNCTION("""COMPUTED_VALUE"""),"")</f>
        <v/>
      </c>
      <c r="CR143" s="96" t="str">
        <f>IFERROR(__xludf.DUMMYFUNCTION("""COMPUTED_VALUE"""),"")</f>
        <v/>
      </c>
      <c r="CS143" s="97" t="str">
        <f>IFERROR(__xludf.DUMMYFUNCTION("""COMPUTED_VALUE"""),"#REF!")</f>
        <v>#REF!</v>
      </c>
      <c r="CT143" s="95" t="str">
        <f>IFERROR(__xludf.DUMMYFUNCTION("""COMPUTED_VALUE"""),"#REF!")</f>
        <v>#REF!</v>
      </c>
      <c r="CU143" s="96" t="str">
        <f>IFERROR(__xludf.DUMMYFUNCTION("""COMPUTED_VALUE"""),"#REF!")</f>
        <v>#REF!</v>
      </c>
      <c r="CV143" s="97" t="str">
        <f>IFERROR(__xludf.DUMMYFUNCTION("""COMPUTED_VALUE"""),"#REF!")</f>
        <v>#REF!</v>
      </c>
      <c r="CW143" s="95" t="str">
        <f>IFERROR(__xludf.DUMMYFUNCTION("""COMPUTED_VALUE"""),"#REF!")</f>
        <v>#REF!</v>
      </c>
      <c r="CX143" s="96" t="str">
        <f>IFERROR(__xludf.DUMMYFUNCTION("""COMPUTED_VALUE"""),"#REF!")</f>
        <v>#REF!</v>
      </c>
      <c r="CY143" s="97" t="str">
        <f>IFERROR(__xludf.DUMMYFUNCTION("""COMPUTED_VALUE"""),"#REF!")</f>
        <v>#REF!</v>
      </c>
      <c r="CZ143" s="95" t="str">
        <f>IFERROR(__xludf.DUMMYFUNCTION("""COMPUTED_VALUE"""),"#REF!")</f>
        <v>#REF!</v>
      </c>
      <c r="DA143" s="96" t="str">
        <f>IFERROR(__xludf.DUMMYFUNCTION("""COMPUTED_VALUE"""),"#REF!")</f>
        <v>#REF!</v>
      </c>
      <c r="DB143" s="97" t="str">
        <f>IFERROR(__xludf.DUMMYFUNCTION("""COMPUTED_VALUE"""),"#REF!")</f>
        <v>#REF!</v>
      </c>
      <c r="DC143" s="95" t="str">
        <f>IFERROR(__xludf.DUMMYFUNCTION("""COMPUTED_VALUE"""),"#REF!")</f>
        <v>#REF!</v>
      </c>
      <c r="DD143" s="96" t="str">
        <f>IFERROR(__xludf.DUMMYFUNCTION("""COMPUTED_VALUE"""),"#REF!")</f>
        <v>#REF!</v>
      </c>
      <c r="DE143" s="97" t="str">
        <f>IFERROR(__xludf.DUMMYFUNCTION("""COMPUTED_VALUE"""),"#REF!")</f>
        <v>#REF!</v>
      </c>
      <c r="DF143" s="95" t="str">
        <f>IFERROR(__xludf.DUMMYFUNCTION("""COMPUTED_VALUE"""),"#REF!")</f>
        <v>#REF!</v>
      </c>
      <c r="DG143" s="96" t="str">
        <f>IFERROR(__xludf.DUMMYFUNCTION("""COMPUTED_VALUE"""),"#REF!")</f>
        <v>#REF!</v>
      </c>
      <c r="DH143" s="97" t="str">
        <f>IFERROR(__xludf.DUMMYFUNCTION("""COMPUTED_VALUE"""),"#REF!")</f>
        <v>#REF!</v>
      </c>
      <c r="DI143" s="95" t="str">
        <f>IFERROR(__xludf.DUMMYFUNCTION("""COMPUTED_VALUE"""),"#REF!")</f>
        <v>#REF!</v>
      </c>
      <c r="DJ143" s="96" t="str">
        <f>IFERROR(__xludf.DUMMYFUNCTION("""COMPUTED_VALUE"""),"#REF!")</f>
        <v>#REF!</v>
      </c>
      <c r="DK143" s="97" t="str">
        <f>IFERROR(__xludf.DUMMYFUNCTION("""COMPUTED_VALUE"""),"#REF!")</f>
        <v>#REF!</v>
      </c>
      <c r="DL143" s="95" t="str">
        <f>IFERROR(__xludf.DUMMYFUNCTION("""COMPUTED_VALUE"""),"#REF!")</f>
        <v>#REF!</v>
      </c>
      <c r="DM143" s="96" t="str">
        <f>IFERROR(__xludf.DUMMYFUNCTION("""COMPUTED_VALUE"""),"#REF!")</f>
        <v>#REF!</v>
      </c>
      <c r="DN143" s="97" t="str">
        <f>IFERROR(__xludf.DUMMYFUNCTION("""COMPUTED_VALUE"""),"#REF!")</f>
        <v>#REF!</v>
      </c>
      <c r="DO143" s="95" t="str">
        <f>IFERROR(__xludf.DUMMYFUNCTION("""COMPUTED_VALUE"""),"#REF!")</f>
        <v>#REF!</v>
      </c>
      <c r="DP143" s="96" t="str">
        <f>IFERROR(__xludf.DUMMYFUNCTION("""COMPUTED_VALUE"""),"#REF!")</f>
        <v>#REF!</v>
      </c>
      <c r="DQ143" s="97"/>
      <c r="DR143" s="95"/>
    </row>
    <row r="144">
      <c r="B144" s="120" t="str">
        <f>IFERROR(__xludf.DUMMYFUNCTION("""COMPUTED_VALUE"""),"SJK4")</f>
        <v>SJK4</v>
      </c>
      <c r="C144" s="82">
        <f>IFERROR(__xludf.DUMMYFUNCTION("""COMPUTED_VALUE"""),135.0)</f>
        <v>135</v>
      </c>
      <c r="D144" s="88" t="str">
        <f>IFERROR(__xludf.DUMMYFUNCTION("""COMPUTED_VALUE"""),"Shinjuku 4-Chome")</f>
        <v>Shinjuku 4-Chome</v>
      </c>
      <c r="E144" s="82" t="str">
        <f>IFERROR(__xludf.DUMMYFUNCTION("""COMPUTED_VALUE"""),"新宿四丁目")</f>
        <v>新宿四丁目</v>
      </c>
      <c r="F144" s="102">
        <f>IFERROR(__xludf.DUMMYFUNCTION("""COMPUTED_VALUE"""),21.0)</f>
        <v>21</v>
      </c>
      <c r="G144" s="82">
        <f>IFERROR(__xludf.DUMMYFUNCTION("""COMPUTED_VALUE"""),50000.0)</f>
        <v>50000</v>
      </c>
      <c r="H144" s="231">
        <f>IFERROR(__xludf.DUMMYFUNCTION("""COMPUTED_VALUE"""),18.1)</f>
        <v>18.1</v>
      </c>
      <c r="I144" s="232" t="str">
        <f>IFERROR(__xludf.DUMMYFUNCTION("""COMPUTED_VALUE"""),"")</f>
        <v/>
      </c>
      <c r="J144" s="233" t="str">
        <f>IFERROR(__xludf.DUMMYFUNCTION("""COMPUTED_VALUE"""),"")</f>
        <v/>
      </c>
      <c r="K144" s="231" t="str">
        <f>IFERROR(__xludf.DUMMYFUNCTION("""COMPUTED_VALUE"""),"")</f>
        <v/>
      </c>
      <c r="L144" s="232" t="str">
        <f>IFERROR(__xludf.DUMMYFUNCTION("""COMPUTED_VALUE"""),"")</f>
        <v/>
      </c>
      <c r="M144" s="233" t="str">
        <f>IFERROR(__xludf.DUMMYFUNCTION("""COMPUTED_VALUE"""),"")</f>
        <v/>
      </c>
      <c r="N144" s="231" t="str">
        <f>IFERROR(__xludf.DUMMYFUNCTION("""COMPUTED_VALUE"""),"")</f>
        <v/>
      </c>
      <c r="O144" s="232" t="str">
        <f>IFERROR(__xludf.DUMMYFUNCTION("""COMPUTED_VALUE"""),"")</f>
        <v/>
      </c>
      <c r="P144" s="233" t="str">
        <f>IFERROR(__xludf.DUMMYFUNCTION("""COMPUTED_VALUE"""),"")</f>
        <v/>
      </c>
      <c r="Q144" s="231" t="str">
        <f>IFERROR(__xludf.DUMMYFUNCTION("""COMPUTED_VALUE"""),"")</f>
        <v/>
      </c>
      <c r="R144" s="232" t="str">
        <f>IFERROR(__xludf.DUMMYFUNCTION("""COMPUTED_VALUE"""),"")</f>
        <v/>
      </c>
      <c r="S144" s="233" t="str">
        <f>IFERROR(__xludf.DUMMYFUNCTION("""COMPUTED_VALUE"""),"")</f>
        <v/>
      </c>
      <c r="T144" s="231" t="str">
        <f>IFERROR(__xludf.DUMMYFUNCTION("""COMPUTED_VALUE"""),"")</f>
        <v/>
      </c>
      <c r="U144" s="232" t="str">
        <f>IFERROR(__xludf.DUMMYFUNCTION("""COMPUTED_VALUE"""),"")</f>
        <v/>
      </c>
      <c r="V144" s="233" t="str">
        <f>IFERROR(__xludf.DUMMYFUNCTION("""COMPUTED_VALUE"""),"")</f>
        <v/>
      </c>
      <c r="W144" s="231" t="str">
        <f>IFERROR(__xludf.DUMMYFUNCTION("""COMPUTED_VALUE"""),"")</f>
        <v/>
      </c>
      <c r="X144" s="232" t="str">
        <f>IFERROR(__xludf.DUMMYFUNCTION("""COMPUTED_VALUE"""),"")</f>
        <v/>
      </c>
      <c r="Y144" s="233" t="str">
        <f>IFERROR(__xludf.DUMMYFUNCTION("""COMPUTED_VALUE"""),"")</f>
        <v/>
      </c>
      <c r="Z144" s="231" t="str">
        <f>IFERROR(__xludf.DUMMYFUNCTION("""COMPUTED_VALUE"""),"")</f>
        <v/>
      </c>
      <c r="AA144" s="232" t="str">
        <f>IFERROR(__xludf.DUMMYFUNCTION("""COMPUTED_VALUE"""),"")</f>
        <v/>
      </c>
      <c r="AB144" s="233" t="str">
        <f>IFERROR(__xludf.DUMMYFUNCTION("""COMPUTED_VALUE"""),"")</f>
        <v/>
      </c>
      <c r="AC144" s="231" t="str">
        <f>IFERROR(__xludf.DUMMYFUNCTION("""COMPUTED_VALUE"""),"")</f>
        <v/>
      </c>
      <c r="AD144" s="232" t="str">
        <f>IFERROR(__xludf.DUMMYFUNCTION("""COMPUTED_VALUE"""),"")</f>
        <v/>
      </c>
      <c r="AE144" s="233" t="str">
        <f>IFERROR(__xludf.DUMMYFUNCTION("""COMPUTED_VALUE"""),"")</f>
        <v/>
      </c>
      <c r="AF144" s="231" t="str">
        <f>IFERROR(__xludf.DUMMYFUNCTION("""COMPUTED_VALUE"""),"")</f>
        <v/>
      </c>
      <c r="AG144" s="232" t="str">
        <f>IFERROR(__xludf.DUMMYFUNCTION("""COMPUTED_VALUE"""),"")</f>
        <v/>
      </c>
      <c r="AH144" s="233" t="str">
        <f>IFERROR(__xludf.DUMMYFUNCTION("""COMPUTED_VALUE"""),"")</f>
        <v/>
      </c>
      <c r="AI144" s="231" t="str">
        <f>IFERROR(__xludf.DUMMYFUNCTION("""COMPUTED_VALUE"""),"")</f>
        <v/>
      </c>
      <c r="AJ144" s="232" t="str">
        <f>IFERROR(__xludf.DUMMYFUNCTION("""COMPUTED_VALUE"""),"")</f>
        <v/>
      </c>
      <c r="AK144" s="233" t="str">
        <f>IFERROR(__xludf.DUMMYFUNCTION("""COMPUTED_VALUE"""),"")</f>
        <v/>
      </c>
      <c r="AL144" s="231" t="str">
        <f>IFERROR(__xludf.DUMMYFUNCTION("""COMPUTED_VALUE"""),"")</f>
        <v/>
      </c>
      <c r="AM144" s="232" t="str">
        <f>IFERROR(__xludf.DUMMYFUNCTION("""COMPUTED_VALUE"""),"")</f>
        <v/>
      </c>
      <c r="AN144" s="233" t="str">
        <f>IFERROR(__xludf.DUMMYFUNCTION("""COMPUTED_VALUE"""),"")</f>
        <v/>
      </c>
      <c r="AO144" s="231" t="str">
        <f>IFERROR(__xludf.DUMMYFUNCTION("""COMPUTED_VALUE"""),"")</f>
        <v/>
      </c>
      <c r="AP144" s="232" t="str">
        <f>IFERROR(__xludf.DUMMYFUNCTION("""COMPUTED_VALUE"""),"")</f>
        <v/>
      </c>
      <c r="AQ144" s="233" t="str">
        <f>IFERROR(__xludf.DUMMYFUNCTION("""COMPUTED_VALUE"""),"")</f>
        <v/>
      </c>
      <c r="AR144" s="231" t="str">
        <f>IFERROR(__xludf.DUMMYFUNCTION("""COMPUTED_VALUE"""),"")</f>
        <v/>
      </c>
      <c r="AS144" s="232" t="str">
        <f>IFERROR(__xludf.DUMMYFUNCTION("""COMPUTED_VALUE"""),"")</f>
        <v/>
      </c>
      <c r="AT144" s="233" t="str">
        <f>IFERROR(__xludf.DUMMYFUNCTION("""COMPUTED_VALUE"""),"")</f>
        <v/>
      </c>
      <c r="AU144" s="231" t="str">
        <f>IFERROR(__xludf.DUMMYFUNCTION("""COMPUTED_VALUE"""),"")</f>
        <v/>
      </c>
      <c r="AV144" s="232" t="str">
        <f>IFERROR(__xludf.DUMMYFUNCTION("""COMPUTED_VALUE"""),"")</f>
        <v/>
      </c>
      <c r="AW144" s="233" t="str">
        <f>IFERROR(__xludf.DUMMYFUNCTION("""COMPUTED_VALUE"""),"")</f>
        <v/>
      </c>
      <c r="AX144" s="231" t="str">
        <f>IFERROR(__xludf.DUMMYFUNCTION("""COMPUTED_VALUE"""),"")</f>
        <v/>
      </c>
      <c r="AY144" s="232" t="str">
        <f>IFERROR(__xludf.DUMMYFUNCTION("""COMPUTED_VALUE"""),"")</f>
        <v/>
      </c>
      <c r="AZ144" s="233">
        <f>IFERROR(__xludf.DUMMYFUNCTION("""COMPUTED_VALUE"""),40.6)</f>
        <v>40.6</v>
      </c>
      <c r="BA144" s="231" t="str">
        <f>IFERROR(__xludf.DUMMYFUNCTION("""COMPUTED_VALUE"""),"")</f>
        <v/>
      </c>
      <c r="BB144" s="232" t="str">
        <f>IFERROR(__xludf.DUMMYFUNCTION("""COMPUTED_VALUE"""),"")</f>
        <v/>
      </c>
      <c r="BC144" s="233" t="str">
        <f>IFERROR(__xludf.DUMMYFUNCTION("""COMPUTED_VALUE"""),"")</f>
        <v/>
      </c>
      <c r="BD144" s="231" t="str">
        <f>IFERROR(__xludf.DUMMYFUNCTION("""COMPUTED_VALUE"""),"")</f>
        <v/>
      </c>
      <c r="BE144" s="232" t="str">
        <f>IFERROR(__xludf.DUMMYFUNCTION("""COMPUTED_VALUE"""),"")</f>
        <v/>
      </c>
      <c r="BF144" s="233" t="str">
        <f>IFERROR(__xludf.DUMMYFUNCTION("""COMPUTED_VALUE"""),"")</f>
        <v/>
      </c>
      <c r="BG144" s="231" t="str">
        <f>IFERROR(__xludf.DUMMYFUNCTION("""COMPUTED_VALUE"""),"")</f>
        <v/>
      </c>
      <c r="BH144" s="232" t="str">
        <f>IFERROR(__xludf.DUMMYFUNCTION("""COMPUTED_VALUE"""),"")</f>
        <v/>
      </c>
      <c r="BI144" s="233">
        <f>IFERROR(__xludf.DUMMYFUNCTION("""COMPUTED_VALUE"""),5.1)</f>
        <v>5.1</v>
      </c>
      <c r="BJ144" s="231" t="str">
        <f>IFERROR(__xludf.DUMMYFUNCTION("""COMPUTED_VALUE"""),"")</f>
        <v/>
      </c>
      <c r="BK144" s="232" t="str">
        <f>IFERROR(__xludf.DUMMYFUNCTION("""COMPUTED_VALUE"""),"")</f>
        <v/>
      </c>
      <c r="BL144" s="233" t="str">
        <f>IFERROR(__xludf.DUMMYFUNCTION("""COMPUTED_VALUE"""),"")</f>
        <v/>
      </c>
      <c r="BM144" s="231" t="str">
        <f>IFERROR(__xludf.DUMMYFUNCTION("""COMPUTED_VALUE"""),"")</f>
        <v/>
      </c>
      <c r="BN144" s="232" t="str">
        <f>IFERROR(__xludf.DUMMYFUNCTION("""COMPUTED_VALUE"""),"")</f>
        <v/>
      </c>
      <c r="BO144" s="233" t="str">
        <f>IFERROR(__xludf.DUMMYFUNCTION("""COMPUTED_VALUE"""),"")</f>
        <v/>
      </c>
      <c r="BP144" s="231" t="str">
        <f>IFERROR(__xludf.DUMMYFUNCTION("""COMPUTED_VALUE"""),"")</f>
        <v/>
      </c>
      <c r="BQ144" s="232" t="str">
        <f>IFERROR(__xludf.DUMMYFUNCTION("""COMPUTED_VALUE"""),"")</f>
        <v/>
      </c>
      <c r="BR144" s="233" t="str">
        <f>IFERROR(__xludf.DUMMYFUNCTION("""COMPUTED_VALUE"""),"")</f>
        <v/>
      </c>
      <c r="BS144" s="231" t="str">
        <f>IFERROR(__xludf.DUMMYFUNCTION("""COMPUTED_VALUE"""),"")</f>
        <v/>
      </c>
      <c r="BT144" s="232" t="str">
        <f>IFERROR(__xludf.DUMMYFUNCTION("""COMPUTED_VALUE"""),"")</f>
        <v/>
      </c>
      <c r="BU144" s="233">
        <f>IFERROR(__xludf.DUMMYFUNCTION("""COMPUTED_VALUE"""),24.7)</f>
        <v>24.7</v>
      </c>
      <c r="BV144" s="231" t="str">
        <f>IFERROR(__xludf.DUMMYFUNCTION("""COMPUTED_VALUE"""),"")</f>
        <v/>
      </c>
      <c r="BW144" s="232" t="str">
        <f>IFERROR(__xludf.DUMMYFUNCTION("""COMPUTED_VALUE"""),"")</f>
        <v/>
      </c>
      <c r="BX144" s="233" t="str">
        <f>IFERROR(__xludf.DUMMYFUNCTION("""COMPUTED_VALUE"""),"")</f>
        <v/>
      </c>
      <c r="BY144" s="231" t="str">
        <f>IFERROR(__xludf.DUMMYFUNCTION("""COMPUTED_VALUE"""),"")</f>
        <v/>
      </c>
      <c r="BZ144" s="232" t="str">
        <f>IFERROR(__xludf.DUMMYFUNCTION("""COMPUTED_VALUE"""),"")</f>
        <v/>
      </c>
      <c r="CA144" s="233" t="str">
        <f>IFERROR(__xludf.DUMMYFUNCTION("""COMPUTED_VALUE"""),"")</f>
        <v/>
      </c>
      <c r="CB144" s="231" t="str">
        <f>IFERROR(__xludf.DUMMYFUNCTION("""COMPUTED_VALUE"""),"")</f>
        <v/>
      </c>
      <c r="CC144" s="232" t="str">
        <f>IFERROR(__xludf.DUMMYFUNCTION("""COMPUTED_VALUE"""),"")</f>
        <v/>
      </c>
      <c r="CD144" s="233" t="str">
        <f>IFERROR(__xludf.DUMMYFUNCTION("""COMPUTED_VALUE"""),"")</f>
        <v/>
      </c>
      <c r="CE144" s="234" t="str">
        <f>IFERROR(__xludf.DUMMYFUNCTION("""COMPUTED_VALUE"""),"")</f>
        <v/>
      </c>
      <c r="CF144" s="230" t="str">
        <f>IFERROR(__xludf.DUMMYFUNCTION("""COMPUTED_VALUE"""),"")</f>
        <v/>
      </c>
      <c r="CG144" s="235" t="str">
        <f>IFERROR(__xludf.DUMMYFUNCTION("""COMPUTED_VALUE"""),"")</f>
        <v/>
      </c>
      <c r="CH144" s="234" t="str">
        <f>IFERROR(__xludf.DUMMYFUNCTION("""COMPUTED_VALUE"""),"")</f>
        <v/>
      </c>
      <c r="CI144" s="230" t="str">
        <f>IFERROR(__xludf.DUMMYFUNCTION("""COMPUTED_VALUE"""),"")</f>
        <v/>
      </c>
      <c r="CJ144" s="235" t="str">
        <f>IFERROR(__xludf.DUMMYFUNCTION("""COMPUTED_VALUE"""),"")</f>
        <v/>
      </c>
      <c r="CK144" s="95" t="str">
        <f>IFERROR(__xludf.DUMMYFUNCTION("""COMPUTED_VALUE"""),"")</f>
        <v/>
      </c>
      <c r="CL144" s="96" t="str">
        <f>IFERROR(__xludf.DUMMYFUNCTION("""COMPUTED_VALUE"""),"")</f>
        <v/>
      </c>
      <c r="CM144" s="97" t="str">
        <f>IFERROR(__xludf.DUMMYFUNCTION("""COMPUTED_VALUE"""),"")</f>
        <v/>
      </c>
      <c r="CN144" s="95" t="str">
        <f>IFERROR(__xludf.DUMMYFUNCTION("""COMPUTED_VALUE"""),"")</f>
        <v/>
      </c>
      <c r="CO144" s="96" t="str">
        <f>IFERROR(__xludf.DUMMYFUNCTION("""COMPUTED_VALUE"""),"")</f>
        <v/>
      </c>
      <c r="CP144" s="97" t="str">
        <f>IFERROR(__xludf.DUMMYFUNCTION("""COMPUTED_VALUE"""),"")</f>
        <v/>
      </c>
      <c r="CQ144" s="95" t="str">
        <f>IFERROR(__xludf.DUMMYFUNCTION("""COMPUTED_VALUE"""),"")</f>
        <v/>
      </c>
      <c r="CR144" s="96">
        <f>IFERROR(__xludf.DUMMYFUNCTION("""COMPUTED_VALUE"""),4.9)</f>
        <v>4.9</v>
      </c>
      <c r="CS144" s="97" t="str">
        <f>IFERROR(__xludf.DUMMYFUNCTION("""COMPUTED_VALUE"""),"#REF!")</f>
        <v>#REF!</v>
      </c>
      <c r="CT144" s="95" t="str">
        <f>IFERROR(__xludf.DUMMYFUNCTION("""COMPUTED_VALUE"""),"#REF!")</f>
        <v>#REF!</v>
      </c>
      <c r="CU144" s="96" t="str">
        <f>IFERROR(__xludf.DUMMYFUNCTION("""COMPUTED_VALUE"""),"#REF!")</f>
        <v>#REF!</v>
      </c>
      <c r="CV144" s="97" t="str">
        <f>IFERROR(__xludf.DUMMYFUNCTION("""COMPUTED_VALUE"""),"#REF!")</f>
        <v>#REF!</v>
      </c>
      <c r="CW144" s="95" t="str">
        <f>IFERROR(__xludf.DUMMYFUNCTION("""COMPUTED_VALUE"""),"#REF!")</f>
        <v>#REF!</v>
      </c>
      <c r="CX144" s="96" t="str">
        <f>IFERROR(__xludf.DUMMYFUNCTION("""COMPUTED_VALUE"""),"#REF!")</f>
        <v>#REF!</v>
      </c>
      <c r="CY144" s="97" t="str">
        <f>IFERROR(__xludf.DUMMYFUNCTION("""COMPUTED_VALUE"""),"#REF!")</f>
        <v>#REF!</v>
      </c>
      <c r="CZ144" s="95" t="str">
        <f>IFERROR(__xludf.DUMMYFUNCTION("""COMPUTED_VALUE"""),"#REF!")</f>
        <v>#REF!</v>
      </c>
      <c r="DA144" s="96" t="str">
        <f>IFERROR(__xludf.DUMMYFUNCTION("""COMPUTED_VALUE"""),"#REF!")</f>
        <v>#REF!</v>
      </c>
      <c r="DB144" s="97" t="str">
        <f>IFERROR(__xludf.DUMMYFUNCTION("""COMPUTED_VALUE"""),"#REF!")</f>
        <v>#REF!</v>
      </c>
      <c r="DC144" s="95" t="str">
        <f>IFERROR(__xludf.DUMMYFUNCTION("""COMPUTED_VALUE"""),"#REF!")</f>
        <v>#REF!</v>
      </c>
      <c r="DD144" s="96" t="str">
        <f>IFERROR(__xludf.DUMMYFUNCTION("""COMPUTED_VALUE"""),"#REF!")</f>
        <v>#REF!</v>
      </c>
      <c r="DE144" s="97" t="str">
        <f>IFERROR(__xludf.DUMMYFUNCTION("""COMPUTED_VALUE"""),"#REF!")</f>
        <v>#REF!</v>
      </c>
      <c r="DF144" s="95" t="str">
        <f>IFERROR(__xludf.DUMMYFUNCTION("""COMPUTED_VALUE"""),"#REF!")</f>
        <v>#REF!</v>
      </c>
      <c r="DG144" s="96" t="str">
        <f>IFERROR(__xludf.DUMMYFUNCTION("""COMPUTED_VALUE"""),"#REF!")</f>
        <v>#REF!</v>
      </c>
      <c r="DH144" s="97" t="str">
        <f>IFERROR(__xludf.DUMMYFUNCTION("""COMPUTED_VALUE"""),"#REF!")</f>
        <v>#REF!</v>
      </c>
      <c r="DI144" s="95" t="str">
        <f>IFERROR(__xludf.DUMMYFUNCTION("""COMPUTED_VALUE"""),"#REF!")</f>
        <v>#REF!</v>
      </c>
      <c r="DJ144" s="96" t="str">
        <f>IFERROR(__xludf.DUMMYFUNCTION("""COMPUTED_VALUE"""),"#REF!")</f>
        <v>#REF!</v>
      </c>
      <c r="DK144" s="97" t="str">
        <f>IFERROR(__xludf.DUMMYFUNCTION("""COMPUTED_VALUE"""),"#REF!")</f>
        <v>#REF!</v>
      </c>
      <c r="DL144" s="95" t="str">
        <f>IFERROR(__xludf.DUMMYFUNCTION("""COMPUTED_VALUE"""),"#REF!")</f>
        <v>#REF!</v>
      </c>
      <c r="DM144" s="96" t="str">
        <f>IFERROR(__xludf.DUMMYFUNCTION("""COMPUTED_VALUE"""),"#REF!")</f>
        <v>#REF!</v>
      </c>
      <c r="DN144" s="97" t="str">
        <f>IFERROR(__xludf.DUMMYFUNCTION("""COMPUTED_VALUE"""),"#REF!")</f>
        <v>#REF!</v>
      </c>
      <c r="DO144" s="95" t="str">
        <f>IFERROR(__xludf.DUMMYFUNCTION("""COMPUTED_VALUE"""),"#REF!")</f>
        <v>#REF!</v>
      </c>
      <c r="DP144" s="96" t="str">
        <f>IFERROR(__xludf.DUMMYFUNCTION("""COMPUTED_VALUE"""),"#REF!")</f>
        <v>#REF!</v>
      </c>
      <c r="DQ144" s="97"/>
      <c r="DR144" s="95"/>
    </row>
    <row r="145">
      <c r="B145" s="120" t="str">
        <f>IFERROR(__xludf.DUMMYFUNCTION("""COMPUTED_VALUE"""),"SJK5")</f>
        <v>SJK5</v>
      </c>
      <c r="C145" s="82">
        <f>IFERROR(__xludf.DUMMYFUNCTION("""COMPUTED_VALUE"""),136.0)</f>
        <v>136</v>
      </c>
      <c r="D145" s="88" t="str">
        <f>IFERROR(__xludf.DUMMYFUNCTION("""COMPUTED_VALUE"""),"Kabukicho")</f>
        <v>Kabukicho</v>
      </c>
      <c r="E145" s="82" t="str">
        <f>IFERROR(__xludf.DUMMYFUNCTION("""COMPUTED_VALUE"""),"歌舞伎町")</f>
        <v>歌舞伎町</v>
      </c>
      <c r="F145" s="102">
        <f>IFERROR(__xludf.DUMMYFUNCTION("""COMPUTED_VALUE"""),21.0)</f>
        <v>21</v>
      </c>
      <c r="G145" s="82">
        <f>IFERROR(__xludf.DUMMYFUNCTION("""COMPUTED_VALUE"""),8459.0)</f>
        <v>8459</v>
      </c>
      <c r="H145" s="231" t="str">
        <f>IFERROR(__xludf.DUMMYFUNCTION("""COMPUTED_VALUE"""),"")</f>
        <v/>
      </c>
      <c r="I145" s="232" t="str">
        <f>IFERROR(__xludf.DUMMYFUNCTION("""COMPUTED_VALUE"""),"")</f>
        <v/>
      </c>
      <c r="J145" s="233" t="str">
        <f>IFERROR(__xludf.DUMMYFUNCTION("""COMPUTED_VALUE"""),"")</f>
        <v/>
      </c>
      <c r="K145" s="231" t="str">
        <f>IFERROR(__xludf.DUMMYFUNCTION("""COMPUTED_VALUE"""),"")</f>
        <v/>
      </c>
      <c r="L145" s="232" t="str">
        <f>IFERROR(__xludf.DUMMYFUNCTION("""COMPUTED_VALUE"""),"")</f>
        <v/>
      </c>
      <c r="M145" s="233" t="str">
        <f>IFERROR(__xludf.DUMMYFUNCTION("""COMPUTED_VALUE"""),"")</f>
        <v/>
      </c>
      <c r="N145" s="231" t="str">
        <f>IFERROR(__xludf.DUMMYFUNCTION("""COMPUTED_VALUE"""),"")</f>
        <v/>
      </c>
      <c r="O145" s="232" t="str">
        <f>IFERROR(__xludf.DUMMYFUNCTION("""COMPUTED_VALUE"""),"")</f>
        <v/>
      </c>
      <c r="P145" s="233" t="str">
        <f>IFERROR(__xludf.DUMMYFUNCTION("""COMPUTED_VALUE"""),"")</f>
        <v/>
      </c>
      <c r="Q145" s="231" t="str">
        <f>IFERROR(__xludf.DUMMYFUNCTION("""COMPUTED_VALUE"""),"")</f>
        <v/>
      </c>
      <c r="R145" s="232" t="str">
        <f>IFERROR(__xludf.DUMMYFUNCTION("""COMPUTED_VALUE"""),"")</f>
        <v/>
      </c>
      <c r="S145" s="233" t="str">
        <f>IFERROR(__xludf.DUMMYFUNCTION("""COMPUTED_VALUE"""),"")</f>
        <v/>
      </c>
      <c r="T145" s="231" t="str">
        <f>IFERROR(__xludf.DUMMYFUNCTION("""COMPUTED_VALUE"""),"")</f>
        <v/>
      </c>
      <c r="U145" s="232" t="str">
        <f>IFERROR(__xludf.DUMMYFUNCTION("""COMPUTED_VALUE"""),"")</f>
        <v/>
      </c>
      <c r="V145" s="233" t="str">
        <f>IFERROR(__xludf.DUMMYFUNCTION("""COMPUTED_VALUE"""),"")</f>
        <v/>
      </c>
      <c r="W145" s="231" t="str">
        <f>IFERROR(__xludf.DUMMYFUNCTION("""COMPUTED_VALUE"""),"")</f>
        <v/>
      </c>
      <c r="X145" s="232" t="str">
        <f>IFERROR(__xludf.DUMMYFUNCTION("""COMPUTED_VALUE"""),"")</f>
        <v/>
      </c>
      <c r="Y145" s="233" t="str">
        <f>IFERROR(__xludf.DUMMYFUNCTION("""COMPUTED_VALUE"""),"")</f>
        <v/>
      </c>
      <c r="Z145" s="231" t="str">
        <f>IFERROR(__xludf.DUMMYFUNCTION("""COMPUTED_VALUE"""),"")</f>
        <v/>
      </c>
      <c r="AA145" s="232" t="str">
        <f>IFERROR(__xludf.DUMMYFUNCTION("""COMPUTED_VALUE"""),"")</f>
        <v/>
      </c>
      <c r="AB145" s="233" t="str">
        <f>IFERROR(__xludf.DUMMYFUNCTION("""COMPUTED_VALUE"""),"")</f>
        <v/>
      </c>
      <c r="AC145" s="231" t="str">
        <f>IFERROR(__xludf.DUMMYFUNCTION("""COMPUTED_VALUE"""),"")</f>
        <v/>
      </c>
      <c r="AD145" s="232" t="str">
        <f>IFERROR(__xludf.DUMMYFUNCTION("""COMPUTED_VALUE"""),"")</f>
        <v/>
      </c>
      <c r="AE145" s="233">
        <f>IFERROR(__xludf.DUMMYFUNCTION("""COMPUTED_VALUE"""),31.2)</f>
        <v>31.2</v>
      </c>
      <c r="AF145" s="231" t="str">
        <f>IFERROR(__xludf.DUMMYFUNCTION("""COMPUTED_VALUE"""),"")</f>
        <v/>
      </c>
      <c r="AG145" s="232" t="str">
        <f>IFERROR(__xludf.DUMMYFUNCTION("""COMPUTED_VALUE"""),"")</f>
        <v/>
      </c>
      <c r="AH145" s="233" t="str">
        <f>IFERROR(__xludf.DUMMYFUNCTION("""COMPUTED_VALUE"""),"")</f>
        <v/>
      </c>
      <c r="AI145" s="231" t="str">
        <f>IFERROR(__xludf.DUMMYFUNCTION("""COMPUTED_VALUE"""),"")</f>
        <v/>
      </c>
      <c r="AJ145" s="232" t="str">
        <f>IFERROR(__xludf.DUMMYFUNCTION("""COMPUTED_VALUE"""),"")</f>
        <v/>
      </c>
      <c r="AK145" s="233" t="str">
        <f>IFERROR(__xludf.DUMMYFUNCTION("""COMPUTED_VALUE"""),"")</f>
        <v/>
      </c>
      <c r="AL145" s="231" t="str">
        <f>IFERROR(__xludf.DUMMYFUNCTION("""COMPUTED_VALUE"""),"")</f>
        <v/>
      </c>
      <c r="AM145" s="232" t="str">
        <f>IFERROR(__xludf.DUMMYFUNCTION("""COMPUTED_VALUE"""),"")</f>
        <v/>
      </c>
      <c r="AN145" s="233" t="str">
        <f>IFERROR(__xludf.DUMMYFUNCTION("""COMPUTED_VALUE"""),"")</f>
        <v/>
      </c>
      <c r="AO145" s="231" t="str">
        <f>IFERROR(__xludf.DUMMYFUNCTION("""COMPUTED_VALUE"""),"")</f>
        <v/>
      </c>
      <c r="AP145" s="232" t="str">
        <f>IFERROR(__xludf.DUMMYFUNCTION("""COMPUTED_VALUE"""),"")</f>
        <v/>
      </c>
      <c r="AQ145" s="233" t="str">
        <f>IFERROR(__xludf.DUMMYFUNCTION("""COMPUTED_VALUE"""),"")</f>
        <v/>
      </c>
      <c r="AR145" s="231" t="str">
        <f>IFERROR(__xludf.DUMMYFUNCTION("""COMPUTED_VALUE"""),"")</f>
        <v/>
      </c>
      <c r="AS145" s="232" t="str">
        <f>IFERROR(__xludf.DUMMYFUNCTION("""COMPUTED_VALUE"""),"")</f>
        <v/>
      </c>
      <c r="AT145" s="233" t="str">
        <f>IFERROR(__xludf.DUMMYFUNCTION("""COMPUTED_VALUE"""),"")</f>
        <v/>
      </c>
      <c r="AU145" s="231" t="str">
        <f>IFERROR(__xludf.DUMMYFUNCTION("""COMPUTED_VALUE"""),"")</f>
        <v/>
      </c>
      <c r="AV145" s="232" t="str">
        <f>IFERROR(__xludf.DUMMYFUNCTION("""COMPUTED_VALUE"""),"")</f>
        <v/>
      </c>
      <c r="AW145" s="233">
        <f>IFERROR(__xludf.DUMMYFUNCTION("""COMPUTED_VALUE"""),30.4)</f>
        <v>30.4</v>
      </c>
      <c r="AX145" s="231" t="str">
        <f>IFERROR(__xludf.DUMMYFUNCTION("""COMPUTED_VALUE"""),"")</f>
        <v/>
      </c>
      <c r="AY145" s="232" t="str">
        <f>IFERROR(__xludf.DUMMYFUNCTION("""COMPUTED_VALUE"""),"")</f>
        <v/>
      </c>
      <c r="AZ145" s="233" t="str">
        <f>IFERROR(__xludf.DUMMYFUNCTION("""COMPUTED_VALUE"""),"")</f>
        <v/>
      </c>
      <c r="BA145" s="231" t="str">
        <f>IFERROR(__xludf.DUMMYFUNCTION("""COMPUTED_VALUE"""),"")</f>
        <v/>
      </c>
      <c r="BB145" s="232" t="str">
        <f>IFERROR(__xludf.DUMMYFUNCTION("""COMPUTED_VALUE"""),"")</f>
        <v/>
      </c>
      <c r="BC145" s="233" t="str">
        <f>IFERROR(__xludf.DUMMYFUNCTION("""COMPUTED_VALUE"""),"")</f>
        <v/>
      </c>
      <c r="BD145" s="231" t="str">
        <f>IFERROR(__xludf.DUMMYFUNCTION("""COMPUTED_VALUE"""),"")</f>
        <v/>
      </c>
      <c r="BE145" s="232" t="str">
        <f>IFERROR(__xludf.DUMMYFUNCTION("""COMPUTED_VALUE"""),"")</f>
        <v/>
      </c>
      <c r="BF145" s="233" t="str">
        <f>IFERROR(__xludf.DUMMYFUNCTION("""COMPUTED_VALUE"""),"")</f>
        <v/>
      </c>
      <c r="BG145" s="231" t="str">
        <f>IFERROR(__xludf.DUMMYFUNCTION("""COMPUTED_VALUE"""),"")</f>
        <v/>
      </c>
      <c r="BH145" s="232" t="str">
        <f>IFERROR(__xludf.DUMMYFUNCTION("""COMPUTED_VALUE"""),"")</f>
        <v/>
      </c>
      <c r="BI145" s="233" t="str">
        <f>IFERROR(__xludf.DUMMYFUNCTION("""COMPUTED_VALUE"""),"")</f>
        <v/>
      </c>
      <c r="BJ145" s="231" t="str">
        <f>IFERROR(__xludf.DUMMYFUNCTION("""COMPUTED_VALUE"""),"")</f>
        <v/>
      </c>
      <c r="BK145" s="232" t="str">
        <f>IFERROR(__xludf.DUMMYFUNCTION("""COMPUTED_VALUE"""),"")</f>
        <v/>
      </c>
      <c r="BL145" s="233" t="str">
        <f>IFERROR(__xludf.DUMMYFUNCTION("""COMPUTED_VALUE"""),"")</f>
        <v/>
      </c>
      <c r="BM145" s="231" t="str">
        <f>IFERROR(__xludf.DUMMYFUNCTION("""COMPUTED_VALUE"""),"")</f>
        <v/>
      </c>
      <c r="BN145" s="232" t="str">
        <f>IFERROR(__xludf.DUMMYFUNCTION("""COMPUTED_VALUE"""),"")</f>
        <v/>
      </c>
      <c r="BO145" s="233">
        <f>IFERROR(__xludf.DUMMYFUNCTION("""COMPUTED_VALUE"""),36.2)</f>
        <v>36.2</v>
      </c>
      <c r="BP145" s="231" t="str">
        <f>IFERROR(__xludf.DUMMYFUNCTION("""COMPUTED_VALUE"""),"")</f>
        <v/>
      </c>
      <c r="BQ145" s="232" t="str">
        <f>IFERROR(__xludf.DUMMYFUNCTION("""COMPUTED_VALUE"""),"")</f>
        <v/>
      </c>
      <c r="BR145" s="233" t="str">
        <f>IFERROR(__xludf.DUMMYFUNCTION("""COMPUTED_VALUE"""),"")</f>
        <v/>
      </c>
      <c r="BS145" s="231" t="str">
        <f>IFERROR(__xludf.DUMMYFUNCTION("""COMPUTED_VALUE"""),"")</f>
        <v/>
      </c>
      <c r="BT145" s="232" t="str">
        <f>IFERROR(__xludf.DUMMYFUNCTION("""COMPUTED_VALUE"""),"")</f>
        <v/>
      </c>
      <c r="BU145" s="233" t="str">
        <f>IFERROR(__xludf.DUMMYFUNCTION("""COMPUTED_VALUE"""),"")</f>
        <v/>
      </c>
      <c r="BV145" s="231" t="str">
        <f>IFERROR(__xludf.DUMMYFUNCTION("""COMPUTED_VALUE"""),"")</f>
        <v/>
      </c>
      <c r="BW145" s="232" t="str">
        <f>IFERROR(__xludf.DUMMYFUNCTION("""COMPUTED_VALUE"""),"")</f>
        <v/>
      </c>
      <c r="BX145" s="233" t="str">
        <f>IFERROR(__xludf.DUMMYFUNCTION("""COMPUTED_VALUE"""),"")</f>
        <v/>
      </c>
      <c r="BY145" s="231" t="str">
        <f>IFERROR(__xludf.DUMMYFUNCTION("""COMPUTED_VALUE"""),"")</f>
        <v/>
      </c>
      <c r="BZ145" s="232" t="str">
        <f>IFERROR(__xludf.DUMMYFUNCTION("""COMPUTED_VALUE"""),"")</f>
        <v/>
      </c>
      <c r="CA145" s="233" t="str">
        <f>IFERROR(__xludf.DUMMYFUNCTION("""COMPUTED_VALUE"""),"")</f>
        <v/>
      </c>
      <c r="CB145" s="231" t="str">
        <f>IFERROR(__xludf.DUMMYFUNCTION("""COMPUTED_VALUE"""),"")</f>
        <v/>
      </c>
      <c r="CC145" s="232" t="str">
        <f>IFERROR(__xludf.DUMMYFUNCTION("""COMPUTED_VALUE"""),"")</f>
        <v/>
      </c>
      <c r="CD145" s="233" t="str">
        <f>IFERROR(__xludf.DUMMYFUNCTION("""COMPUTED_VALUE"""),"")</f>
        <v/>
      </c>
      <c r="CE145" s="234" t="str">
        <f>IFERROR(__xludf.DUMMYFUNCTION("""COMPUTED_VALUE"""),"")</f>
        <v/>
      </c>
      <c r="CF145" s="230" t="str">
        <f>IFERROR(__xludf.DUMMYFUNCTION("""COMPUTED_VALUE"""),"")</f>
        <v/>
      </c>
      <c r="CG145" s="235" t="str">
        <f>IFERROR(__xludf.DUMMYFUNCTION("""COMPUTED_VALUE"""),"")</f>
        <v/>
      </c>
      <c r="CH145" s="234" t="str">
        <f>IFERROR(__xludf.DUMMYFUNCTION("""COMPUTED_VALUE"""),"")</f>
        <v/>
      </c>
      <c r="CI145" s="230" t="str">
        <f>IFERROR(__xludf.DUMMYFUNCTION("""COMPUTED_VALUE"""),"")</f>
        <v/>
      </c>
      <c r="CJ145" s="235" t="str">
        <f>IFERROR(__xludf.DUMMYFUNCTION("""COMPUTED_VALUE"""),"")</f>
        <v/>
      </c>
      <c r="CK145" s="95" t="str">
        <f>IFERROR(__xludf.DUMMYFUNCTION("""COMPUTED_VALUE"""),"")</f>
        <v/>
      </c>
      <c r="CL145" s="96" t="str">
        <f>IFERROR(__xludf.DUMMYFUNCTION("""COMPUTED_VALUE"""),"")</f>
        <v/>
      </c>
      <c r="CM145" s="97" t="str">
        <f>IFERROR(__xludf.DUMMYFUNCTION("""COMPUTED_VALUE"""),"")</f>
        <v/>
      </c>
      <c r="CN145" s="95" t="str">
        <f>IFERROR(__xludf.DUMMYFUNCTION("""COMPUTED_VALUE"""),"")</f>
        <v/>
      </c>
      <c r="CO145" s="96" t="str">
        <f>IFERROR(__xludf.DUMMYFUNCTION("""COMPUTED_VALUE"""),"")</f>
        <v/>
      </c>
      <c r="CP145" s="97" t="str">
        <f>IFERROR(__xludf.DUMMYFUNCTION("""COMPUTED_VALUE"""),"")</f>
        <v/>
      </c>
      <c r="CQ145" s="95" t="str">
        <f>IFERROR(__xludf.DUMMYFUNCTION("""COMPUTED_VALUE"""),"")</f>
        <v/>
      </c>
      <c r="CR145" s="96" t="str">
        <f>IFERROR(__xludf.DUMMYFUNCTION("""COMPUTED_VALUE"""),"")</f>
        <v/>
      </c>
      <c r="CS145" s="97" t="str">
        <f>IFERROR(__xludf.DUMMYFUNCTION("""COMPUTED_VALUE"""),"#REF!")</f>
        <v>#REF!</v>
      </c>
      <c r="CT145" s="95" t="str">
        <f>IFERROR(__xludf.DUMMYFUNCTION("""COMPUTED_VALUE"""),"#REF!")</f>
        <v>#REF!</v>
      </c>
      <c r="CU145" s="96" t="str">
        <f>IFERROR(__xludf.DUMMYFUNCTION("""COMPUTED_VALUE"""),"#REF!")</f>
        <v>#REF!</v>
      </c>
      <c r="CV145" s="97" t="str">
        <f>IFERROR(__xludf.DUMMYFUNCTION("""COMPUTED_VALUE"""),"#REF!")</f>
        <v>#REF!</v>
      </c>
      <c r="CW145" s="95" t="str">
        <f>IFERROR(__xludf.DUMMYFUNCTION("""COMPUTED_VALUE"""),"#REF!")</f>
        <v>#REF!</v>
      </c>
      <c r="CX145" s="96" t="str">
        <f>IFERROR(__xludf.DUMMYFUNCTION("""COMPUTED_VALUE"""),"#REF!")</f>
        <v>#REF!</v>
      </c>
      <c r="CY145" s="97" t="str">
        <f>IFERROR(__xludf.DUMMYFUNCTION("""COMPUTED_VALUE"""),"#REF!")</f>
        <v>#REF!</v>
      </c>
      <c r="CZ145" s="95" t="str">
        <f>IFERROR(__xludf.DUMMYFUNCTION("""COMPUTED_VALUE"""),"#REF!")</f>
        <v>#REF!</v>
      </c>
      <c r="DA145" s="96" t="str">
        <f>IFERROR(__xludf.DUMMYFUNCTION("""COMPUTED_VALUE"""),"#REF!")</f>
        <v>#REF!</v>
      </c>
      <c r="DB145" s="97" t="str">
        <f>IFERROR(__xludf.DUMMYFUNCTION("""COMPUTED_VALUE"""),"#REF!")</f>
        <v>#REF!</v>
      </c>
      <c r="DC145" s="95" t="str">
        <f>IFERROR(__xludf.DUMMYFUNCTION("""COMPUTED_VALUE"""),"#REF!")</f>
        <v>#REF!</v>
      </c>
      <c r="DD145" s="96" t="str">
        <f>IFERROR(__xludf.DUMMYFUNCTION("""COMPUTED_VALUE"""),"#REF!")</f>
        <v>#REF!</v>
      </c>
      <c r="DE145" s="97" t="str">
        <f>IFERROR(__xludf.DUMMYFUNCTION("""COMPUTED_VALUE"""),"#REF!")</f>
        <v>#REF!</v>
      </c>
      <c r="DF145" s="95" t="str">
        <f>IFERROR(__xludf.DUMMYFUNCTION("""COMPUTED_VALUE"""),"#REF!")</f>
        <v>#REF!</v>
      </c>
      <c r="DG145" s="96" t="str">
        <f>IFERROR(__xludf.DUMMYFUNCTION("""COMPUTED_VALUE"""),"#REF!")</f>
        <v>#REF!</v>
      </c>
      <c r="DH145" s="97" t="str">
        <f>IFERROR(__xludf.DUMMYFUNCTION("""COMPUTED_VALUE"""),"#REF!")</f>
        <v>#REF!</v>
      </c>
      <c r="DI145" s="95" t="str">
        <f>IFERROR(__xludf.DUMMYFUNCTION("""COMPUTED_VALUE"""),"#REF!")</f>
        <v>#REF!</v>
      </c>
      <c r="DJ145" s="96" t="str">
        <f>IFERROR(__xludf.DUMMYFUNCTION("""COMPUTED_VALUE"""),"#REF!")</f>
        <v>#REF!</v>
      </c>
      <c r="DK145" s="97" t="str">
        <f>IFERROR(__xludf.DUMMYFUNCTION("""COMPUTED_VALUE"""),"#REF!")</f>
        <v>#REF!</v>
      </c>
      <c r="DL145" s="95" t="str">
        <f>IFERROR(__xludf.DUMMYFUNCTION("""COMPUTED_VALUE"""),"#REF!")</f>
        <v>#REF!</v>
      </c>
      <c r="DM145" s="96" t="str">
        <f>IFERROR(__xludf.DUMMYFUNCTION("""COMPUTED_VALUE"""),"#REF!")</f>
        <v>#REF!</v>
      </c>
      <c r="DN145" s="97" t="str">
        <f>IFERROR(__xludf.DUMMYFUNCTION("""COMPUTED_VALUE"""),"#REF!")</f>
        <v>#REF!</v>
      </c>
      <c r="DO145" s="95" t="str">
        <f>IFERROR(__xludf.DUMMYFUNCTION("""COMPUTED_VALUE"""),"#REF!")</f>
        <v>#REF!</v>
      </c>
      <c r="DP145" s="96" t="str">
        <f>IFERROR(__xludf.DUMMYFUNCTION("""COMPUTED_VALUE"""),"#REF!")</f>
        <v>#REF!</v>
      </c>
      <c r="DQ145" s="97"/>
      <c r="DR145" s="95"/>
    </row>
    <row r="146">
      <c r="B146" s="120" t="str">
        <f>IFERROR(__xludf.DUMMYFUNCTION("""COMPUTED_VALUE"""),"SJK6")</f>
        <v>SJK6</v>
      </c>
      <c r="C146" s="82">
        <f>IFERROR(__xludf.DUMMYFUNCTION("""COMPUTED_VALUE"""),137.0)</f>
        <v>137</v>
      </c>
      <c r="D146" s="88" t="str">
        <f>IFERROR(__xludf.DUMMYFUNCTION("""COMPUTED_VALUE"""),"Barrel Tower")</f>
        <v>Barrel Tower</v>
      </c>
      <c r="E146" s="82" t="str">
        <f>IFERROR(__xludf.DUMMYFUNCTION("""COMPUTED_VALUE"""),"バレルタワー")</f>
        <v>バレルタワー</v>
      </c>
      <c r="F146" s="102">
        <f>IFERROR(__xludf.DUMMYFUNCTION("""COMPUTED_VALUE"""),21.0)</f>
        <v>21</v>
      </c>
      <c r="G146" s="82">
        <f>IFERROR(__xludf.DUMMYFUNCTION("""COMPUTED_VALUE"""),14216.0)</f>
        <v>14216</v>
      </c>
      <c r="H146" s="231" t="str">
        <f>IFERROR(__xludf.DUMMYFUNCTION("""COMPUTED_VALUE"""),"")</f>
        <v/>
      </c>
      <c r="I146" s="232" t="str">
        <f>IFERROR(__xludf.DUMMYFUNCTION("""COMPUTED_VALUE"""),"")</f>
        <v/>
      </c>
      <c r="J146" s="233" t="str">
        <f>IFERROR(__xludf.DUMMYFUNCTION("""COMPUTED_VALUE"""),"")</f>
        <v/>
      </c>
      <c r="K146" s="231" t="str">
        <f>IFERROR(__xludf.DUMMYFUNCTION("""COMPUTED_VALUE"""),"")</f>
        <v/>
      </c>
      <c r="L146" s="232" t="str">
        <f>IFERROR(__xludf.DUMMYFUNCTION("""COMPUTED_VALUE"""),"")</f>
        <v/>
      </c>
      <c r="M146" s="233" t="str">
        <f>IFERROR(__xludf.DUMMYFUNCTION("""COMPUTED_VALUE"""),"")</f>
        <v/>
      </c>
      <c r="N146" s="231" t="str">
        <f>IFERROR(__xludf.DUMMYFUNCTION("""COMPUTED_VALUE"""),"")</f>
        <v/>
      </c>
      <c r="O146" s="232" t="str">
        <f>IFERROR(__xludf.DUMMYFUNCTION("""COMPUTED_VALUE"""),"")</f>
        <v/>
      </c>
      <c r="P146" s="233" t="str">
        <f>IFERROR(__xludf.DUMMYFUNCTION("""COMPUTED_VALUE"""),"")</f>
        <v/>
      </c>
      <c r="Q146" s="231" t="str">
        <f>IFERROR(__xludf.DUMMYFUNCTION("""COMPUTED_VALUE"""),"")</f>
        <v/>
      </c>
      <c r="R146" s="232" t="str">
        <f>IFERROR(__xludf.DUMMYFUNCTION("""COMPUTED_VALUE"""),"")</f>
        <v/>
      </c>
      <c r="S146" s="233" t="str">
        <f>IFERROR(__xludf.DUMMYFUNCTION("""COMPUTED_VALUE"""),"")</f>
        <v/>
      </c>
      <c r="T146" s="231" t="str">
        <f>IFERROR(__xludf.DUMMYFUNCTION("""COMPUTED_VALUE"""),"")</f>
        <v/>
      </c>
      <c r="U146" s="232" t="str">
        <f>IFERROR(__xludf.DUMMYFUNCTION("""COMPUTED_VALUE"""),"")</f>
        <v/>
      </c>
      <c r="V146" s="233" t="str">
        <f>IFERROR(__xludf.DUMMYFUNCTION("""COMPUTED_VALUE"""),"")</f>
        <v/>
      </c>
      <c r="W146" s="231" t="str">
        <f>IFERROR(__xludf.DUMMYFUNCTION("""COMPUTED_VALUE"""),"")</f>
        <v/>
      </c>
      <c r="X146" s="232" t="str">
        <f>IFERROR(__xludf.DUMMYFUNCTION("""COMPUTED_VALUE"""),"")</f>
        <v/>
      </c>
      <c r="Y146" s="233" t="str">
        <f>IFERROR(__xludf.DUMMYFUNCTION("""COMPUTED_VALUE"""),"")</f>
        <v/>
      </c>
      <c r="Z146" s="231" t="str">
        <f>IFERROR(__xludf.DUMMYFUNCTION("""COMPUTED_VALUE"""),"")</f>
        <v/>
      </c>
      <c r="AA146" s="232" t="str">
        <f>IFERROR(__xludf.DUMMYFUNCTION("""COMPUTED_VALUE"""),"")</f>
        <v/>
      </c>
      <c r="AB146" s="233" t="str">
        <f>IFERROR(__xludf.DUMMYFUNCTION("""COMPUTED_VALUE"""),"")</f>
        <v/>
      </c>
      <c r="AC146" s="231" t="str">
        <f>IFERROR(__xludf.DUMMYFUNCTION("""COMPUTED_VALUE"""),"")</f>
        <v/>
      </c>
      <c r="AD146" s="232" t="str">
        <f>IFERROR(__xludf.DUMMYFUNCTION("""COMPUTED_VALUE"""),"")</f>
        <v/>
      </c>
      <c r="AE146" s="233">
        <f>IFERROR(__xludf.DUMMYFUNCTION("""COMPUTED_VALUE"""),46.2)</f>
        <v>46.2</v>
      </c>
      <c r="AF146" s="231" t="str">
        <f>IFERROR(__xludf.DUMMYFUNCTION("""COMPUTED_VALUE"""),"")</f>
        <v/>
      </c>
      <c r="AG146" s="232" t="str">
        <f>IFERROR(__xludf.DUMMYFUNCTION("""COMPUTED_VALUE"""),"")</f>
        <v/>
      </c>
      <c r="AH146" s="233" t="str">
        <f>IFERROR(__xludf.DUMMYFUNCTION("""COMPUTED_VALUE"""),"")</f>
        <v/>
      </c>
      <c r="AI146" s="231" t="str">
        <f>IFERROR(__xludf.DUMMYFUNCTION("""COMPUTED_VALUE"""),"")</f>
        <v/>
      </c>
      <c r="AJ146" s="232" t="str">
        <f>IFERROR(__xludf.DUMMYFUNCTION("""COMPUTED_VALUE"""),"")</f>
        <v/>
      </c>
      <c r="AK146" s="233" t="str">
        <f>IFERROR(__xludf.DUMMYFUNCTION("""COMPUTED_VALUE"""),"")</f>
        <v/>
      </c>
      <c r="AL146" s="231" t="str">
        <f>IFERROR(__xludf.DUMMYFUNCTION("""COMPUTED_VALUE"""),"")</f>
        <v/>
      </c>
      <c r="AM146" s="232" t="str">
        <f>IFERROR(__xludf.DUMMYFUNCTION("""COMPUTED_VALUE"""),"")</f>
        <v/>
      </c>
      <c r="AN146" s="233" t="str">
        <f>IFERROR(__xludf.DUMMYFUNCTION("""COMPUTED_VALUE"""),"")</f>
        <v/>
      </c>
      <c r="AO146" s="231" t="str">
        <f>IFERROR(__xludf.DUMMYFUNCTION("""COMPUTED_VALUE"""),"")</f>
        <v/>
      </c>
      <c r="AP146" s="232" t="str">
        <f>IFERROR(__xludf.DUMMYFUNCTION("""COMPUTED_VALUE"""),"")</f>
        <v/>
      </c>
      <c r="AQ146" s="233" t="str">
        <f>IFERROR(__xludf.DUMMYFUNCTION("""COMPUTED_VALUE"""),"")</f>
        <v/>
      </c>
      <c r="AR146" s="231" t="str">
        <f>IFERROR(__xludf.DUMMYFUNCTION("""COMPUTED_VALUE"""),"")</f>
        <v/>
      </c>
      <c r="AS146" s="232" t="str">
        <f>IFERROR(__xludf.DUMMYFUNCTION("""COMPUTED_VALUE"""),"")</f>
        <v/>
      </c>
      <c r="AT146" s="233" t="str">
        <f>IFERROR(__xludf.DUMMYFUNCTION("""COMPUTED_VALUE"""),"")</f>
        <v/>
      </c>
      <c r="AU146" s="231" t="str">
        <f>IFERROR(__xludf.DUMMYFUNCTION("""COMPUTED_VALUE"""),"")</f>
        <v/>
      </c>
      <c r="AV146" s="232" t="str">
        <f>IFERROR(__xludf.DUMMYFUNCTION("""COMPUTED_VALUE"""),"")</f>
        <v/>
      </c>
      <c r="AW146" s="233" t="str">
        <f>IFERROR(__xludf.DUMMYFUNCTION("""COMPUTED_VALUE"""),"")</f>
        <v/>
      </c>
      <c r="AX146" s="231" t="str">
        <f>IFERROR(__xludf.DUMMYFUNCTION("""COMPUTED_VALUE"""),"")</f>
        <v/>
      </c>
      <c r="AY146" s="232" t="str">
        <f>IFERROR(__xludf.DUMMYFUNCTION("""COMPUTED_VALUE"""),"")</f>
        <v/>
      </c>
      <c r="AZ146" s="233" t="str">
        <f>IFERROR(__xludf.DUMMYFUNCTION("""COMPUTED_VALUE"""),"")</f>
        <v/>
      </c>
      <c r="BA146" s="231" t="str">
        <f>IFERROR(__xludf.DUMMYFUNCTION("""COMPUTED_VALUE"""),"")</f>
        <v/>
      </c>
      <c r="BB146" s="232" t="str">
        <f>IFERROR(__xludf.DUMMYFUNCTION("""COMPUTED_VALUE"""),"")</f>
        <v/>
      </c>
      <c r="BC146" s="233" t="str">
        <f>IFERROR(__xludf.DUMMYFUNCTION("""COMPUTED_VALUE"""),"")</f>
        <v/>
      </c>
      <c r="BD146" s="231" t="str">
        <f>IFERROR(__xludf.DUMMYFUNCTION("""COMPUTED_VALUE"""),"")</f>
        <v/>
      </c>
      <c r="BE146" s="232" t="str">
        <f>IFERROR(__xludf.DUMMYFUNCTION("""COMPUTED_VALUE"""),"")</f>
        <v/>
      </c>
      <c r="BF146" s="233" t="str">
        <f>IFERROR(__xludf.DUMMYFUNCTION("""COMPUTED_VALUE"""),"")</f>
        <v/>
      </c>
      <c r="BG146" s="231" t="str">
        <f>IFERROR(__xludf.DUMMYFUNCTION("""COMPUTED_VALUE"""),"")</f>
        <v/>
      </c>
      <c r="BH146" s="232" t="str">
        <f>IFERROR(__xludf.DUMMYFUNCTION("""COMPUTED_VALUE"""),"")</f>
        <v/>
      </c>
      <c r="BI146" s="233" t="str">
        <f>IFERROR(__xludf.DUMMYFUNCTION("""COMPUTED_VALUE"""),"")</f>
        <v/>
      </c>
      <c r="BJ146" s="231" t="str">
        <f>IFERROR(__xludf.DUMMYFUNCTION("""COMPUTED_VALUE"""),"")</f>
        <v/>
      </c>
      <c r="BK146" s="232" t="str">
        <f>IFERROR(__xludf.DUMMYFUNCTION("""COMPUTED_VALUE"""),"")</f>
        <v/>
      </c>
      <c r="BL146" s="233" t="str">
        <f>IFERROR(__xludf.DUMMYFUNCTION("""COMPUTED_VALUE"""),"")</f>
        <v/>
      </c>
      <c r="BM146" s="231" t="str">
        <f>IFERROR(__xludf.DUMMYFUNCTION("""COMPUTED_VALUE"""),"")</f>
        <v/>
      </c>
      <c r="BN146" s="232" t="str">
        <f>IFERROR(__xludf.DUMMYFUNCTION("""COMPUTED_VALUE"""),"")</f>
        <v/>
      </c>
      <c r="BO146" s="233">
        <f>IFERROR(__xludf.DUMMYFUNCTION("""COMPUTED_VALUE"""),46.2)</f>
        <v>46.2</v>
      </c>
      <c r="BP146" s="231" t="str">
        <f>IFERROR(__xludf.DUMMYFUNCTION("""COMPUTED_VALUE"""),"")</f>
        <v/>
      </c>
      <c r="BQ146" s="232" t="str">
        <f>IFERROR(__xludf.DUMMYFUNCTION("""COMPUTED_VALUE"""),"")</f>
        <v/>
      </c>
      <c r="BR146" s="233" t="str">
        <f>IFERROR(__xludf.DUMMYFUNCTION("""COMPUTED_VALUE"""),"")</f>
        <v/>
      </c>
      <c r="BS146" s="231" t="str">
        <f>IFERROR(__xludf.DUMMYFUNCTION("""COMPUTED_VALUE"""),"")</f>
        <v/>
      </c>
      <c r="BT146" s="232" t="str">
        <f>IFERROR(__xludf.DUMMYFUNCTION("""COMPUTED_VALUE"""),"")</f>
        <v/>
      </c>
      <c r="BU146" s="233" t="str">
        <f>IFERROR(__xludf.DUMMYFUNCTION("""COMPUTED_VALUE"""),"")</f>
        <v/>
      </c>
      <c r="BV146" s="231" t="str">
        <f>IFERROR(__xludf.DUMMYFUNCTION("""COMPUTED_VALUE"""),"")</f>
        <v/>
      </c>
      <c r="BW146" s="232" t="str">
        <f>IFERROR(__xludf.DUMMYFUNCTION("""COMPUTED_VALUE"""),"")</f>
        <v/>
      </c>
      <c r="BX146" s="233" t="str">
        <f>IFERROR(__xludf.DUMMYFUNCTION("""COMPUTED_VALUE"""),"")</f>
        <v/>
      </c>
      <c r="BY146" s="231" t="str">
        <f>IFERROR(__xludf.DUMMYFUNCTION("""COMPUTED_VALUE"""),"")</f>
        <v/>
      </c>
      <c r="BZ146" s="232" t="str">
        <f>IFERROR(__xludf.DUMMYFUNCTION("""COMPUTED_VALUE"""),"")</f>
        <v/>
      </c>
      <c r="CA146" s="233" t="str">
        <f>IFERROR(__xludf.DUMMYFUNCTION("""COMPUTED_VALUE"""),"")</f>
        <v/>
      </c>
      <c r="CB146" s="231" t="str">
        <f>IFERROR(__xludf.DUMMYFUNCTION("""COMPUTED_VALUE"""),"")</f>
        <v/>
      </c>
      <c r="CC146" s="232" t="str">
        <f>IFERROR(__xludf.DUMMYFUNCTION("""COMPUTED_VALUE"""),"")</f>
        <v/>
      </c>
      <c r="CD146" s="233" t="str">
        <f>IFERROR(__xludf.DUMMYFUNCTION("""COMPUTED_VALUE"""),"")</f>
        <v/>
      </c>
      <c r="CE146" s="234" t="str">
        <f>IFERROR(__xludf.DUMMYFUNCTION("""COMPUTED_VALUE"""),"")</f>
        <v/>
      </c>
      <c r="CF146" s="230" t="str">
        <f>IFERROR(__xludf.DUMMYFUNCTION("""COMPUTED_VALUE"""),"")</f>
        <v/>
      </c>
      <c r="CG146" s="235" t="str">
        <f>IFERROR(__xludf.DUMMYFUNCTION("""COMPUTED_VALUE"""),"")</f>
        <v/>
      </c>
      <c r="CH146" s="234" t="str">
        <f>IFERROR(__xludf.DUMMYFUNCTION("""COMPUTED_VALUE"""),"")</f>
        <v/>
      </c>
      <c r="CI146" s="230" t="str">
        <f>IFERROR(__xludf.DUMMYFUNCTION("""COMPUTED_VALUE"""),"")</f>
        <v/>
      </c>
      <c r="CJ146" s="235" t="str">
        <f>IFERROR(__xludf.DUMMYFUNCTION("""COMPUTED_VALUE"""),"")</f>
        <v/>
      </c>
      <c r="CK146" s="95" t="str">
        <f>IFERROR(__xludf.DUMMYFUNCTION("""COMPUTED_VALUE"""),"")</f>
        <v/>
      </c>
      <c r="CL146" s="96" t="str">
        <f>IFERROR(__xludf.DUMMYFUNCTION("""COMPUTED_VALUE"""),"")</f>
        <v/>
      </c>
      <c r="CM146" s="97" t="str">
        <f>IFERROR(__xludf.DUMMYFUNCTION("""COMPUTED_VALUE"""),"")</f>
        <v/>
      </c>
      <c r="CN146" s="95" t="str">
        <f>IFERROR(__xludf.DUMMYFUNCTION("""COMPUTED_VALUE"""),"")</f>
        <v/>
      </c>
      <c r="CO146" s="96" t="str">
        <f>IFERROR(__xludf.DUMMYFUNCTION("""COMPUTED_VALUE"""),"")</f>
        <v/>
      </c>
      <c r="CP146" s="97" t="str">
        <f>IFERROR(__xludf.DUMMYFUNCTION("""COMPUTED_VALUE"""),"")</f>
        <v/>
      </c>
      <c r="CQ146" s="95" t="str">
        <f>IFERROR(__xludf.DUMMYFUNCTION("""COMPUTED_VALUE"""),"")</f>
        <v/>
      </c>
      <c r="CR146" s="96" t="str">
        <f>IFERROR(__xludf.DUMMYFUNCTION("""COMPUTED_VALUE"""),"")</f>
        <v/>
      </c>
      <c r="CS146" s="97" t="str">
        <f>IFERROR(__xludf.DUMMYFUNCTION("""COMPUTED_VALUE"""),"#REF!")</f>
        <v>#REF!</v>
      </c>
      <c r="CT146" s="95" t="str">
        <f>IFERROR(__xludf.DUMMYFUNCTION("""COMPUTED_VALUE"""),"#REF!")</f>
        <v>#REF!</v>
      </c>
      <c r="CU146" s="96" t="str">
        <f>IFERROR(__xludf.DUMMYFUNCTION("""COMPUTED_VALUE"""),"#REF!")</f>
        <v>#REF!</v>
      </c>
      <c r="CV146" s="97" t="str">
        <f>IFERROR(__xludf.DUMMYFUNCTION("""COMPUTED_VALUE"""),"#REF!")</f>
        <v>#REF!</v>
      </c>
      <c r="CW146" s="95" t="str">
        <f>IFERROR(__xludf.DUMMYFUNCTION("""COMPUTED_VALUE"""),"#REF!")</f>
        <v>#REF!</v>
      </c>
      <c r="CX146" s="96" t="str">
        <f>IFERROR(__xludf.DUMMYFUNCTION("""COMPUTED_VALUE"""),"#REF!")</f>
        <v>#REF!</v>
      </c>
      <c r="CY146" s="97" t="str">
        <f>IFERROR(__xludf.DUMMYFUNCTION("""COMPUTED_VALUE"""),"#REF!")</f>
        <v>#REF!</v>
      </c>
      <c r="CZ146" s="95" t="str">
        <f>IFERROR(__xludf.DUMMYFUNCTION("""COMPUTED_VALUE"""),"#REF!")</f>
        <v>#REF!</v>
      </c>
      <c r="DA146" s="96" t="str">
        <f>IFERROR(__xludf.DUMMYFUNCTION("""COMPUTED_VALUE"""),"#REF!")</f>
        <v>#REF!</v>
      </c>
      <c r="DB146" s="97" t="str">
        <f>IFERROR(__xludf.DUMMYFUNCTION("""COMPUTED_VALUE"""),"#REF!")</f>
        <v>#REF!</v>
      </c>
      <c r="DC146" s="95" t="str">
        <f>IFERROR(__xludf.DUMMYFUNCTION("""COMPUTED_VALUE"""),"#REF!")</f>
        <v>#REF!</v>
      </c>
      <c r="DD146" s="96" t="str">
        <f>IFERROR(__xludf.DUMMYFUNCTION("""COMPUTED_VALUE"""),"#REF!")</f>
        <v>#REF!</v>
      </c>
      <c r="DE146" s="97" t="str">
        <f>IFERROR(__xludf.DUMMYFUNCTION("""COMPUTED_VALUE"""),"#REF!")</f>
        <v>#REF!</v>
      </c>
      <c r="DF146" s="95" t="str">
        <f>IFERROR(__xludf.DUMMYFUNCTION("""COMPUTED_VALUE"""),"#REF!")</f>
        <v>#REF!</v>
      </c>
      <c r="DG146" s="96" t="str">
        <f>IFERROR(__xludf.DUMMYFUNCTION("""COMPUTED_VALUE"""),"#REF!")</f>
        <v>#REF!</v>
      </c>
      <c r="DH146" s="97" t="str">
        <f>IFERROR(__xludf.DUMMYFUNCTION("""COMPUTED_VALUE"""),"#REF!")</f>
        <v>#REF!</v>
      </c>
      <c r="DI146" s="95" t="str">
        <f>IFERROR(__xludf.DUMMYFUNCTION("""COMPUTED_VALUE"""),"#REF!")</f>
        <v>#REF!</v>
      </c>
      <c r="DJ146" s="96" t="str">
        <f>IFERROR(__xludf.DUMMYFUNCTION("""COMPUTED_VALUE"""),"#REF!")</f>
        <v>#REF!</v>
      </c>
      <c r="DK146" s="97" t="str">
        <f>IFERROR(__xludf.DUMMYFUNCTION("""COMPUTED_VALUE"""),"#REF!")</f>
        <v>#REF!</v>
      </c>
      <c r="DL146" s="95" t="str">
        <f>IFERROR(__xludf.DUMMYFUNCTION("""COMPUTED_VALUE"""),"#REF!")</f>
        <v>#REF!</v>
      </c>
      <c r="DM146" s="96" t="str">
        <f>IFERROR(__xludf.DUMMYFUNCTION("""COMPUTED_VALUE"""),"#REF!")</f>
        <v>#REF!</v>
      </c>
      <c r="DN146" s="97" t="str">
        <f>IFERROR(__xludf.DUMMYFUNCTION("""COMPUTED_VALUE"""),"#REF!")</f>
        <v>#REF!</v>
      </c>
      <c r="DO146" s="95" t="str">
        <f>IFERROR(__xludf.DUMMYFUNCTION("""COMPUTED_VALUE"""),"#REF!")</f>
        <v>#REF!</v>
      </c>
      <c r="DP146" s="96" t="str">
        <f>IFERROR(__xludf.DUMMYFUNCTION("""COMPUTED_VALUE"""),"#REF!")</f>
        <v>#REF!</v>
      </c>
      <c r="DQ146" s="97"/>
      <c r="DR146" s="95"/>
    </row>
    <row r="147">
      <c r="B147" s="120" t="str">
        <f>IFERROR(__xludf.DUMMYFUNCTION("""COMPUTED_VALUE"""),"SJK7")</f>
        <v>SJK7</v>
      </c>
      <c r="C147" s="82">
        <f>IFERROR(__xludf.DUMMYFUNCTION("""COMPUTED_VALUE"""),138.0)</f>
        <v>138</v>
      </c>
      <c r="D147" s="88" t="str">
        <f>IFERROR(__xludf.DUMMYFUNCTION("""COMPUTED_VALUE"""),"Party Hall")</f>
        <v>Party Hall</v>
      </c>
      <c r="E147" s="82" t="str">
        <f>IFERROR(__xludf.DUMMYFUNCTION("""COMPUTED_VALUE"""),"パーティー会場")</f>
        <v>パーティー会場</v>
      </c>
      <c r="F147" s="102">
        <f>IFERROR(__xludf.DUMMYFUNCTION("""COMPUTED_VALUE"""),21.0)</f>
        <v>21</v>
      </c>
      <c r="G147" s="82">
        <f>IFERROR(__xludf.DUMMYFUNCTION("""COMPUTED_VALUE"""),2804.0)</f>
        <v>2804</v>
      </c>
      <c r="H147" s="231" t="str">
        <f>IFERROR(__xludf.DUMMYFUNCTION("""COMPUTED_VALUE"""),"")</f>
        <v/>
      </c>
      <c r="I147" s="232" t="str">
        <f>IFERROR(__xludf.DUMMYFUNCTION("""COMPUTED_VALUE"""),"")</f>
        <v/>
      </c>
      <c r="J147" s="233" t="str">
        <f>IFERROR(__xludf.DUMMYFUNCTION("""COMPUTED_VALUE"""),"")</f>
        <v/>
      </c>
      <c r="K147" s="231" t="str">
        <f>IFERROR(__xludf.DUMMYFUNCTION("""COMPUTED_VALUE"""),"")</f>
        <v/>
      </c>
      <c r="L147" s="232" t="str">
        <f>IFERROR(__xludf.DUMMYFUNCTION("""COMPUTED_VALUE"""),"")</f>
        <v/>
      </c>
      <c r="M147" s="233" t="str">
        <f>IFERROR(__xludf.DUMMYFUNCTION("""COMPUTED_VALUE"""),"")</f>
        <v/>
      </c>
      <c r="N147" s="231" t="str">
        <f>IFERROR(__xludf.DUMMYFUNCTION("""COMPUTED_VALUE"""),"")</f>
        <v/>
      </c>
      <c r="O147" s="232" t="str">
        <f>IFERROR(__xludf.DUMMYFUNCTION("""COMPUTED_VALUE"""),"")</f>
        <v/>
      </c>
      <c r="P147" s="233" t="str">
        <f>IFERROR(__xludf.DUMMYFUNCTION("""COMPUTED_VALUE"""),"")</f>
        <v/>
      </c>
      <c r="Q147" s="231" t="str">
        <f>IFERROR(__xludf.DUMMYFUNCTION("""COMPUTED_VALUE"""),"")</f>
        <v/>
      </c>
      <c r="R147" s="232" t="str">
        <f>IFERROR(__xludf.DUMMYFUNCTION("""COMPUTED_VALUE"""),"")</f>
        <v/>
      </c>
      <c r="S147" s="233" t="str">
        <f>IFERROR(__xludf.DUMMYFUNCTION("""COMPUTED_VALUE"""),"")</f>
        <v/>
      </c>
      <c r="T147" s="231" t="str">
        <f>IFERROR(__xludf.DUMMYFUNCTION("""COMPUTED_VALUE"""),"")</f>
        <v/>
      </c>
      <c r="U147" s="232" t="str">
        <f>IFERROR(__xludf.DUMMYFUNCTION("""COMPUTED_VALUE"""),"")</f>
        <v/>
      </c>
      <c r="V147" s="233" t="str">
        <f>IFERROR(__xludf.DUMMYFUNCTION("""COMPUTED_VALUE"""),"")</f>
        <v/>
      </c>
      <c r="W147" s="231" t="str">
        <f>IFERROR(__xludf.DUMMYFUNCTION("""COMPUTED_VALUE"""),"")</f>
        <v/>
      </c>
      <c r="X147" s="232" t="str">
        <f>IFERROR(__xludf.DUMMYFUNCTION("""COMPUTED_VALUE"""),"")</f>
        <v/>
      </c>
      <c r="Y147" s="233" t="str">
        <f>IFERROR(__xludf.DUMMYFUNCTION("""COMPUTED_VALUE"""),"")</f>
        <v/>
      </c>
      <c r="Z147" s="231" t="str">
        <f>IFERROR(__xludf.DUMMYFUNCTION("""COMPUTED_VALUE"""),"")</f>
        <v/>
      </c>
      <c r="AA147" s="232" t="str">
        <f>IFERROR(__xludf.DUMMYFUNCTION("""COMPUTED_VALUE"""),"")</f>
        <v/>
      </c>
      <c r="AB147" s="233" t="str">
        <f>IFERROR(__xludf.DUMMYFUNCTION("""COMPUTED_VALUE"""),"")</f>
        <v/>
      </c>
      <c r="AC147" s="231" t="str">
        <f>IFERROR(__xludf.DUMMYFUNCTION("""COMPUTED_VALUE"""),"")</f>
        <v/>
      </c>
      <c r="AD147" s="232" t="str">
        <f>IFERROR(__xludf.DUMMYFUNCTION("""COMPUTED_VALUE"""),"")</f>
        <v/>
      </c>
      <c r="AE147" s="233">
        <f>IFERROR(__xludf.DUMMYFUNCTION("""COMPUTED_VALUE"""),19.7)</f>
        <v>19.7</v>
      </c>
      <c r="AF147" s="231" t="str">
        <f>IFERROR(__xludf.DUMMYFUNCTION("""COMPUTED_VALUE"""),"")</f>
        <v/>
      </c>
      <c r="AG147" s="232" t="str">
        <f>IFERROR(__xludf.DUMMYFUNCTION("""COMPUTED_VALUE"""),"")</f>
        <v/>
      </c>
      <c r="AH147" s="233" t="str">
        <f>IFERROR(__xludf.DUMMYFUNCTION("""COMPUTED_VALUE"""),"")</f>
        <v/>
      </c>
      <c r="AI147" s="231" t="str">
        <f>IFERROR(__xludf.DUMMYFUNCTION("""COMPUTED_VALUE"""),"")</f>
        <v/>
      </c>
      <c r="AJ147" s="232" t="str">
        <f>IFERROR(__xludf.DUMMYFUNCTION("""COMPUTED_VALUE"""),"")</f>
        <v/>
      </c>
      <c r="AK147" s="233" t="str">
        <f>IFERROR(__xludf.DUMMYFUNCTION("""COMPUTED_VALUE"""),"")</f>
        <v/>
      </c>
      <c r="AL147" s="231" t="str">
        <f>IFERROR(__xludf.DUMMYFUNCTION("""COMPUTED_VALUE"""),"")</f>
        <v/>
      </c>
      <c r="AM147" s="232" t="str">
        <f>IFERROR(__xludf.DUMMYFUNCTION("""COMPUTED_VALUE"""),"")</f>
        <v/>
      </c>
      <c r="AN147" s="233" t="str">
        <f>IFERROR(__xludf.DUMMYFUNCTION("""COMPUTED_VALUE"""),"")</f>
        <v/>
      </c>
      <c r="AO147" s="231" t="str">
        <f>IFERROR(__xludf.DUMMYFUNCTION("""COMPUTED_VALUE"""),"")</f>
        <v/>
      </c>
      <c r="AP147" s="232" t="str">
        <f>IFERROR(__xludf.DUMMYFUNCTION("""COMPUTED_VALUE"""),"")</f>
        <v/>
      </c>
      <c r="AQ147" s="233" t="str">
        <f>IFERROR(__xludf.DUMMYFUNCTION("""COMPUTED_VALUE"""),"")</f>
        <v/>
      </c>
      <c r="AR147" s="231" t="str">
        <f>IFERROR(__xludf.DUMMYFUNCTION("""COMPUTED_VALUE"""),"")</f>
        <v/>
      </c>
      <c r="AS147" s="232" t="str">
        <f>IFERROR(__xludf.DUMMYFUNCTION("""COMPUTED_VALUE"""),"")</f>
        <v/>
      </c>
      <c r="AT147" s="233" t="str">
        <f>IFERROR(__xludf.DUMMYFUNCTION("""COMPUTED_VALUE"""),"")</f>
        <v/>
      </c>
      <c r="AU147" s="231" t="str">
        <f>IFERROR(__xludf.DUMMYFUNCTION("""COMPUTED_VALUE"""),"")</f>
        <v/>
      </c>
      <c r="AV147" s="232" t="str">
        <f>IFERROR(__xludf.DUMMYFUNCTION("""COMPUTED_VALUE"""),"")</f>
        <v/>
      </c>
      <c r="AW147" s="233">
        <f>IFERROR(__xludf.DUMMYFUNCTION("""COMPUTED_VALUE"""),28.3)</f>
        <v>28.3</v>
      </c>
      <c r="AX147" s="231" t="str">
        <f>IFERROR(__xludf.DUMMYFUNCTION("""COMPUTED_VALUE"""),"")</f>
        <v/>
      </c>
      <c r="AY147" s="232" t="str">
        <f>IFERROR(__xludf.DUMMYFUNCTION("""COMPUTED_VALUE"""),"")</f>
        <v/>
      </c>
      <c r="AZ147" s="233">
        <f>IFERROR(__xludf.DUMMYFUNCTION("""COMPUTED_VALUE"""),28.9)</f>
        <v>28.9</v>
      </c>
      <c r="BA147" s="231" t="str">
        <f>IFERROR(__xludf.DUMMYFUNCTION("""COMPUTED_VALUE"""),"")</f>
        <v/>
      </c>
      <c r="BB147" s="232" t="str">
        <f>IFERROR(__xludf.DUMMYFUNCTION("""COMPUTED_VALUE"""),"")</f>
        <v/>
      </c>
      <c r="BC147" s="233" t="str">
        <f>IFERROR(__xludf.DUMMYFUNCTION("""COMPUTED_VALUE"""),"")</f>
        <v/>
      </c>
      <c r="BD147" s="231" t="str">
        <f>IFERROR(__xludf.DUMMYFUNCTION("""COMPUTED_VALUE"""),"")</f>
        <v/>
      </c>
      <c r="BE147" s="232" t="str">
        <f>IFERROR(__xludf.DUMMYFUNCTION("""COMPUTED_VALUE"""),"")</f>
        <v/>
      </c>
      <c r="BF147" s="233" t="str">
        <f>IFERROR(__xludf.DUMMYFUNCTION("""COMPUTED_VALUE"""),"")</f>
        <v/>
      </c>
      <c r="BG147" s="231" t="str">
        <f>IFERROR(__xludf.DUMMYFUNCTION("""COMPUTED_VALUE"""),"")</f>
        <v/>
      </c>
      <c r="BH147" s="232" t="str">
        <f>IFERROR(__xludf.DUMMYFUNCTION("""COMPUTED_VALUE"""),"")</f>
        <v/>
      </c>
      <c r="BI147" s="233" t="str">
        <f>IFERROR(__xludf.DUMMYFUNCTION("""COMPUTED_VALUE"""),"")</f>
        <v/>
      </c>
      <c r="BJ147" s="231" t="str">
        <f>IFERROR(__xludf.DUMMYFUNCTION("""COMPUTED_VALUE"""),"")</f>
        <v/>
      </c>
      <c r="BK147" s="232">
        <f>IFERROR(__xludf.DUMMYFUNCTION("""COMPUTED_VALUE"""),10.8)</f>
        <v>10.8</v>
      </c>
      <c r="BL147" s="233" t="str">
        <f>IFERROR(__xludf.DUMMYFUNCTION("""COMPUTED_VALUE"""),"")</f>
        <v/>
      </c>
      <c r="BM147" s="231" t="str">
        <f>IFERROR(__xludf.DUMMYFUNCTION("""COMPUTED_VALUE"""),"")</f>
        <v/>
      </c>
      <c r="BN147" s="232" t="str">
        <f>IFERROR(__xludf.DUMMYFUNCTION("""COMPUTED_VALUE"""),"")</f>
        <v/>
      </c>
      <c r="BO147" s="233">
        <f>IFERROR(__xludf.DUMMYFUNCTION("""COMPUTED_VALUE"""),14.7)</f>
        <v>14.7</v>
      </c>
      <c r="BP147" s="231" t="str">
        <f>IFERROR(__xludf.DUMMYFUNCTION("""COMPUTED_VALUE"""),"")</f>
        <v/>
      </c>
      <c r="BQ147" s="232" t="str">
        <f>IFERROR(__xludf.DUMMYFUNCTION("""COMPUTED_VALUE"""),"")</f>
        <v/>
      </c>
      <c r="BR147" s="233">
        <f>IFERROR(__xludf.DUMMYFUNCTION("""COMPUTED_VALUE"""),14.8)</f>
        <v>14.8</v>
      </c>
      <c r="BS147" s="231" t="str">
        <f>IFERROR(__xludf.DUMMYFUNCTION("""COMPUTED_VALUE"""),"")</f>
        <v/>
      </c>
      <c r="BT147" s="232" t="str">
        <f>IFERROR(__xludf.DUMMYFUNCTION("""COMPUTED_VALUE"""),"")</f>
        <v/>
      </c>
      <c r="BU147" s="233" t="str">
        <f>IFERROR(__xludf.DUMMYFUNCTION("""COMPUTED_VALUE"""),"")</f>
        <v/>
      </c>
      <c r="BV147" s="231" t="str">
        <f>IFERROR(__xludf.DUMMYFUNCTION("""COMPUTED_VALUE"""),"")</f>
        <v/>
      </c>
      <c r="BW147" s="232" t="str">
        <f>IFERROR(__xludf.DUMMYFUNCTION("""COMPUTED_VALUE"""),"")</f>
        <v/>
      </c>
      <c r="BX147" s="233" t="str">
        <f>IFERROR(__xludf.DUMMYFUNCTION("""COMPUTED_VALUE"""),"")</f>
        <v/>
      </c>
      <c r="BY147" s="231" t="str">
        <f>IFERROR(__xludf.DUMMYFUNCTION("""COMPUTED_VALUE"""),"")</f>
        <v/>
      </c>
      <c r="BZ147" s="232" t="str">
        <f>IFERROR(__xludf.DUMMYFUNCTION("""COMPUTED_VALUE"""),"")</f>
        <v/>
      </c>
      <c r="CA147" s="233" t="str">
        <f>IFERROR(__xludf.DUMMYFUNCTION("""COMPUTED_VALUE"""),"")</f>
        <v/>
      </c>
      <c r="CB147" s="231" t="str">
        <f>IFERROR(__xludf.DUMMYFUNCTION("""COMPUTED_VALUE"""),"")</f>
        <v/>
      </c>
      <c r="CC147" s="232" t="str">
        <f>IFERROR(__xludf.DUMMYFUNCTION("""COMPUTED_VALUE"""),"")</f>
        <v/>
      </c>
      <c r="CD147" s="233" t="str">
        <f>IFERROR(__xludf.DUMMYFUNCTION("""COMPUTED_VALUE"""),"")</f>
        <v/>
      </c>
      <c r="CE147" s="234" t="str">
        <f>IFERROR(__xludf.DUMMYFUNCTION("""COMPUTED_VALUE"""),"")</f>
        <v/>
      </c>
      <c r="CF147" s="230" t="str">
        <f>IFERROR(__xludf.DUMMYFUNCTION("""COMPUTED_VALUE"""),"")</f>
        <v/>
      </c>
      <c r="CG147" s="235" t="str">
        <f>IFERROR(__xludf.DUMMYFUNCTION("""COMPUTED_VALUE"""),"")</f>
        <v/>
      </c>
      <c r="CH147" s="234" t="str">
        <f>IFERROR(__xludf.DUMMYFUNCTION("""COMPUTED_VALUE"""),"")</f>
        <v/>
      </c>
      <c r="CI147" s="230" t="str">
        <f>IFERROR(__xludf.DUMMYFUNCTION("""COMPUTED_VALUE"""),"")</f>
        <v/>
      </c>
      <c r="CJ147" s="235" t="str">
        <f>IFERROR(__xludf.DUMMYFUNCTION("""COMPUTED_VALUE"""),"")</f>
        <v/>
      </c>
      <c r="CK147" s="95" t="str">
        <f>IFERROR(__xludf.DUMMYFUNCTION("""COMPUTED_VALUE"""),"")</f>
        <v/>
      </c>
      <c r="CL147" s="96" t="str">
        <f>IFERROR(__xludf.DUMMYFUNCTION("""COMPUTED_VALUE"""),"")</f>
        <v/>
      </c>
      <c r="CM147" s="97" t="str">
        <f>IFERROR(__xludf.DUMMYFUNCTION("""COMPUTED_VALUE"""),"")</f>
        <v/>
      </c>
      <c r="CN147" s="95" t="str">
        <f>IFERROR(__xludf.DUMMYFUNCTION("""COMPUTED_VALUE"""),"")</f>
        <v/>
      </c>
      <c r="CO147" s="96" t="str">
        <f>IFERROR(__xludf.DUMMYFUNCTION("""COMPUTED_VALUE"""),"")</f>
        <v/>
      </c>
      <c r="CP147" s="97" t="str">
        <f>IFERROR(__xludf.DUMMYFUNCTION("""COMPUTED_VALUE"""),"")</f>
        <v/>
      </c>
      <c r="CQ147" s="95" t="str">
        <f>IFERROR(__xludf.DUMMYFUNCTION("""COMPUTED_VALUE"""),"")</f>
        <v/>
      </c>
      <c r="CR147" s="96" t="str">
        <f>IFERROR(__xludf.DUMMYFUNCTION("""COMPUTED_VALUE"""),"")</f>
        <v/>
      </c>
      <c r="CS147" s="97" t="str">
        <f>IFERROR(__xludf.DUMMYFUNCTION("""COMPUTED_VALUE"""),"#REF!")</f>
        <v>#REF!</v>
      </c>
      <c r="CT147" s="95" t="str">
        <f>IFERROR(__xludf.DUMMYFUNCTION("""COMPUTED_VALUE"""),"#REF!")</f>
        <v>#REF!</v>
      </c>
      <c r="CU147" s="96" t="str">
        <f>IFERROR(__xludf.DUMMYFUNCTION("""COMPUTED_VALUE"""),"#REF!")</f>
        <v>#REF!</v>
      </c>
      <c r="CV147" s="97" t="str">
        <f>IFERROR(__xludf.DUMMYFUNCTION("""COMPUTED_VALUE"""),"#REF!")</f>
        <v>#REF!</v>
      </c>
      <c r="CW147" s="95" t="str">
        <f>IFERROR(__xludf.DUMMYFUNCTION("""COMPUTED_VALUE"""),"#REF!")</f>
        <v>#REF!</v>
      </c>
      <c r="CX147" s="96" t="str">
        <f>IFERROR(__xludf.DUMMYFUNCTION("""COMPUTED_VALUE"""),"#REF!")</f>
        <v>#REF!</v>
      </c>
      <c r="CY147" s="97" t="str">
        <f>IFERROR(__xludf.DUMMYFUNCTION("""COMPUTED_VALUE"""),"#REF!")</f>
        <v>#REF!</v>
      </c>
      <c r="CZ147" s="95" t="str">
        <f>IFERROR(__xludf.DUMMYFUNCTION("""COMPUTED_VALUE"""),"#REF!")</f>
        <v>#REF!</v>
      </c>
      <c r="DA147" s="96" t="str">
        <f>IFERROR(__xludf.DUMMYFUNCTION("""COMPUTED_VALUE"""),"#REF!")</f>
        <v>#REF!</v>
      </c>
      <c r="DB147" s="97" t="str">
        <f>IFERROR(__xludf.DUMMYFUNCTION("""COMPUTED_VALUE"""),"#REF!")</f>
        <v>#REF!</v>
      </c>
      <c r="DC147" s="95" t="str">
        <f>IFERROR(__xludf.DUMMYFUNCTION("""COMPUTED_VALUE"""),"#REF!")</f>
        <v>#REF!</v>
      </c>
      <c r="DD147" s="96" t="str">
        <f>IFERROR(__xludf.DUMMYFUNCTION("""COMPUTED_VALUE"""),"#REF!")</f>
        <v>#REF!</v>
      </c>
      <c r="DE147" s="97" t="str">
        <f>IFERROR(__xludf.DUMMYFUNCTION("""COMPUTED_VALUE"""),"#REF!")</f>
        <v>#REF!</v>
      </c>
      <c r="DF147" s="95" t="str">
        <f>IFERROR(__xludf.DUMMYFUNCTION("""COMPUTED_VALUE"""),"#REF!")</f>
        <v>#REF!</v>
      </c>
      <c r="DG147" s="96" t="str">
        <f>IFERROR(__xludf.DUMMYFUNCTION("""COMPUTED_VALUE"""),"#REF!")</f>
        <v>#REF!</v>
      </c>
      <c r="DH147" s="97" t="str">
        <f>IFERROR(__xludf.DUMMYFUNCTION("""COMPUTED_VALUE"""),"#REF!")</f>
        <v>#REF!</v>
      </c>
      <c r="DI147" s="95" t="str">
        <f>IFERROR(__xludf.DUMMYFUNCTION("""COMPUTED_VALUE"""),"#REF!")</f>
        <v>#REF!</v>
      </c>
      <c r="DJ147" s="96" t="str">
        <f>IFERROR(__xludf.DUMMYFUNCTION("""COMPUTED_VALUE"""),"#REF!")</f>
        <v>#REF!</v>
      </c>
      <c r="DK147" s="97" t="str">
        <f>IFERROR(__xludf.DUMMYFUNCTION("""COMPUTED_VALUE"""),"#REF!")</f>
        <v>#REF!</v>
      </c>
      <c r="DL147" s="95" t="str">
        <f>IFERROR(__xludf.DUMMYFUNCTION("""COMPUTED_VALUE"""),"#REF!")</f>
        <v>#REF!</v>
      </c>
      <c r="DM147" s="96" t="str">
        <f>IFERROR(__xludf.DUMMYFUNCTION("""COMPUTED_VALUE"""),"#REF!")</f>
        <v>#REF!</v>
      </c>
      <c r="DN147" s="97" t="str">
        <f>IFERROR(__xludf.DUMMYFUNCTION("""COMPUTED_VALUE"""),"#REF!")</f>
        <v>#REF!</v>
      </c>
      <c r="DO147" s="95" t="str">
        <f>IFERROR(__xludf.DUMMYFUNCTION("""COMPUTED_VALUE"""),"#REF!")</f>
        <v>#REF!</v>
      </c>
      <c r="DP147" s="96" t="str">
        <f>IFERROR(__xludf.DUMMYFUNCTION("""COMPUTED_VALUE"""),"#REF!")</f>
        <v>#REF!</v>
      </c>
      <c r="DQ147" s="97"/>
      <c r="DR147" s="95"/>
    </row>
    <row r="148">
      <c r="B148" s="120" t="str">
        <f>IFERROR(__xludf.DUMMYFUNCTION("""COMPUTED_VALUE"""),"SJK8")</f>
        <v>SJK8</v>
      </c>
      <c r="C148" s="82">
        <f>IFERROR(__xludf.DUMMYFUNCTION("""COMPUTED_VALUE"""),139.0)</f>
        <v>139</v>
      </c>
      <c r="D148" s="88" t="str">
        <f>IFERROR(__xludf.DUMMYFUNCTION("""COMPUTED_VALUE"""),"Tower - Top Floor")</f>
        <v>Tower - Top Floor</v>
      </c>
      <c r="E148" s="82" t="str">
        <f>IFERROR(__xludf.DUMMYFUNCTION("""COMPUTED_VALUE"""),"タワー最上階")</f>
        <v>タワー最上階</v>
      </c>
      <c r="F148" s="102">
        <f>IFERROR(__xludf.DUMMYFUNCTION("""COMPUTED_VALUE"""),21.0)</f>
        <v>21</v>
      </c>
      <c r="G148" s="82">
        <f>IFERROR(__xludf.DUMMYFUNCTION("""COMPUTED_VALUE"""),13982.0)</f>
        <v>13982</v>
      </c>
      <c r="H148" s="231" t="str">
        <f>IFERROR(__xludf.DUMMYFUNCTION("""COMPUTED_VALUE"""),"")</f>
        <v/>
      </c>
      <c r="I148" s="232" t="str">
        <f>IFERROR(__xludf.DUMMYFUNCTION("""COMPUTED_VALUE"""),"")</f>
        <v/>
      </c>
      <c r="J148" s="233" t="str">
        <f>IFERROR(__xludf.DUMMYFUNCTION("""COMPUTED_VALUE"""),"")</f>
        <v/>
      </c>
      <c r="K148" s="231">
        <f>IFERROR(__xludf.DUMMYFUNCTION("""COMPUTED_VALUE"""),11.7)</f>
        <v>11.7</v>
      </c>
      <c r="L148" s="232" t="str">
        <f>IFERROR(__xludf.DUMMYFUNCTION("""COMPUTED_VALUE"""),"")</f>
        <v/>
      </c>
      <c r="M148" s="233" t="str">
        <f>IFERROR(__xludf.DUMMYFUNCTION("""COMPUTED_VALUE"""),"")</f>
        <v/>
      </c>
      <c r="N148" s="231" t="str">
        <f>IFERROR(__xludf.DUMMYFUNCTION("""COMPUTED_VALUE"""),"")</f>
        <v/>
      </c>
      <c r="O148" s="232" t="str">
        <f>IFERROR(__xludf.DUMMYFUNCTION("""COMPUTED_VALUE"""),"")</f>
        <v/>
      </c>
      <c r="P148" s="233" t="str">
        <f>IFERROR(__xludf.DUMMYFUNCTION("""COMPUTED_VALUE"""),"")</f>
        <v/>
      </c>
      <c r="Q148" s="231" t="str">
        <f>IFERROR(__xludf.DUMMYFUNCTION("""COMPUTED_VALUE"""),"")</f>
        <v/>
      </c>
      <c r="R148" s="232" t="str">
        <f>IFERROR(__xludf.DUMMYFUNCTION("""COMPUTED_VALUE"""),"")</f>
        <v/>
      </c>
      <c r="S148" s="233" t="str">
        <f>IFERROR(__xludf.DUMMYFUNCTION("""COMPUTED_VALUE"""),"")</f>
        <v/>
      </c>
      <c r="T148" s="231" t="str">
        <f>IFERROR(__xludf.DUMMYFUNCTION("""COMPUTED_VALUE"""),"")</f>
        <v/>
      </c>
      <c r="U148" s="232" t="str">
        <f>IFERROR(__xludf.DUMMYFUNCTION("""COMPUTED_VALUE"""),"")</f>
        <v/>
      </c>
      <c r="V148" s="233" t="str">
        <f>IFERROR(__xludf.DUMMYFUNCTION("""COMPUTED_VALUE"""),"")</f>
        <v/>
      </c>
      <c r="W148" s="231" t="str">
        <f>IFERROR(__xludf.DUMMYFUNCTION("""COMPUTED_VALUE"""),"")</f>
        <v/>
      </c>
      <c r="X148" s="232" t="str">
        <f>IFERROR(__xludf.DUMMYFUNCTION("""COMPUTED_VALUE"""),"")</f>
        <v/>
      </c>
      <c r="Y148" s="233" t="str">
        <f>IFERROR(__xludf.DUMMYFUNCTION("""COMPUTED_VALUE"""),"")</f>
        <v/>
      </c>
      <c r="Z148" s="231" t="str">
        <f>IFERROR(__xludf.DUMMYFUNCTION("""COMPUTED_VALUE"""),"")</f>
        <v/>
      </c>
      <c r="AA148" s="232" t="str">
        <f>IFERROR(__xludf.DUMMYFUNCTION("""COMPUTED_VALUE"""),"")</f>
        <v/>
      </c>
      <c r="AB148" s="233" t="str">
        <f>IFERROR(__xludf.DUMMYFUNCTION("""COMPUTED_VALUE"""),"")</f>
        <v/>
      </c>
      <c r="AC148" s="231" t="str">
        <f>IFERROR(__xludf.DUMMYFUNCTION("""COMPUTED_VALUE"""),"")</f>
        <v/>
      </c>
      <c r="AD148" s="232" t="str">
        <f>IFERROR(__xludf.DUMMYFUNCTION("""COMPUTED_VALUE"""),"")</f>
        <v/>
      </c>
      <c r="AE148" s="233">
        <f>IFERROR(__xludf.DUMMYFUNCTION("""COMPUTED_VALUE"""),20.6)</f>
        <v>20.6</v>
      </c>
      <c r="AF148" s="231" t="str">
        <f>IFERROR(__xludf.DUMMYFUNCTION("""COMPUTED_VALUE"""),"")</f>
        <v/>
      </c>
      <c r="AG148" s="232" t="str">
        <f>IFERROR(__xludf.DUMMYFUNCTION("""COMPUTED_VALUE"""),"")</f>
        <v/>
      </c>
      <c r="AH148" s="233" t="str">
        <f>IFERROR(__xludf.DUMMYFUNCTION("""COMPUTED_VALUE"""),"")</f>
        <v/>
      </c>
      <c r="AI148" s="231" t="str">
        <f>IFERROR(__xludf.DUMMYFUNCTION("""COMPUTED_VALUE"""),"")</f>
        <v/>
      </c>
      <c r="AJ148" s="232" t="str">
        <f>IFERROR(__xludf.DUMMYFUNCTION("""COMPUTED_VALUE"""),"")</f>
        <v/>
      </c>
      <c r="AK148" s="233" t="str">
        <f>IFERROR(__xludf.DUMMYFUNCTION("""COMPUTED_VALUE"""),"")</f>
        <v/>
      </c>
      <c r="AL148" s="231" t="str">
        <f>IFERROR(__xludf.DUMMYFUNCTION("""COMPUTED_VALUE"""),"")</f>
        <v/>
      </c>
      <c r="AM148" s="232" t="str">
        <f>IFERROR(__xludf.DUMMYFUNCTION("""COMPUTED_VALUE"""),"")</f>
        <v/>
      </c>
      <c r="AN148" s="233" t="str">
        <f>IFERROR(__xludf.DUMMYFUNCTION("""COMPUTED_VALUE"""),"")</f>
        <v/>
      </c>
      <c r="AO148" s="231" t="str">
        <f>IFERROR(__xludf.DUMMYFUNCTION("""COMPUTED_VALUE"""),"")</f>
        <v/>
      </c>
      <c r="AP148" s="232" t="str">
        <f>IFERROR(__xludf.DUMMYFUNCTION("""COMPUTED_VALUE"""),"")</f>
        <v/>
      </c>
      <c r="AQ148" s="233" t="str">
        <f>IFERROR(__xludf.DUMMYFUNCTION("""COMPUTED_VALUE"""),"")</f>
        <v/>
      </c>
      <c r="AR148" s="231" t="str">
        <f>IFERROR(__xludf.DUMMYFUNCTION("""COMPUTED_VALUE"""),"")</f>
        <v/>
      </c>
      <c r="AS148" s="232" t="str">
        <f>IFERROR(__xludf.DUMMYFUNCTION("""COMPUTED_VALUE"""),"")</f>
        <v/>
      </c>
      <c r="AT148" s="233" t="str">
        <f>IFERROR(__xludf.DUMMYFUNCTION("""COMPUTED_VALUE"""),"")</f>
        <v/>
      </c>
      <c r="AU148" s="231" t="str">
        <f>IFERROR(__xludf.DUMMYFUNCTION("""COMPUTED_VALUE"""),"")</f>
        <v/>
      </c>
      <c r="AV148" s="232" t="str">
        <f>IFERROR(__xludf.DUMMYFUNCTION("""COMPUTED_VALUE"""),"")</f>
        <v/>
      </c>
      <c r="AW148" s="233" t="str">
        <f>IFERROR(__xludf.DUMMYFUNCTION("""COMPUTED_VALUE"""),"")</f>
        <v/>
      </c>
      <c r="AX148" s="231" t="str">
        <f>IFERROR(__xludf.DUMMYFUNCTION("""COMPUTED_VALUE"""),"")</f>
        <v/>
      </c>
      <c r="AY148" s="232" t="str">
        <f>IFERROR(__xludf.DUMMYFUNCTION("""COMPUTED_VALUE"""),"")</f>
        <v/>
      </c>
      <c r="AZ148" s="233" t="str">
        <f>IFERROR(__xludf.DUMMYFUNCTION("""COMPUTED_VALUE"""),"")</f>
        <v/>
      </c>
      <c r="BA148" s="231" t="str">
        <f>IFERROR(__xludf.DUMMYFUNCTION("""COMPUTED_VALUE"""),"")</f>
        <v/>
      </c>
      <c r="BB148" s="232" t="str">
        <f>IFERROR(__xludf.DUMMYFUNCTION("""COMPUTED_VALUE"""),"")</f>
        <v/>
      </c>
      <c r="BC148" s="233">
        <f>IFERROR(__xludf.DUMMYFUNCTION("""COMPUTED_VALUE"""),4.2)</f>
        <v>4.2</v>
      </c>
      <c r="BD148" s="231" t="str">
        <f>IFERROR(__xludf.DUMMYFUNCTION("""COMPUTED_VALUE"""),"")</f>
        <v/>
      </c>
      <c r="BE148" s="232" t="str">
        <f>IFERROR(__xludf.DUMMYFUNCTION("""COMPUTED_VALUE"""),"")</f>
        <v/>
      </c>
      <c r="BF148" s="233" t="str">
        <f>IFERROR(__xludf.DUMMYFUNCTION("""COMPUTED_VALUE"""),"")</f>
        <v/>
      </c>
      <c r="BG148" s="231" t="str">
        <f>IFERROR(__xludf.DUMMYFUNCTION("""COMPUTED_VALUE"""),"")</f>
        <v/>
      </c>
      <c r="BH148" s="232" t="str">
        <f>IFERROR(__xludf.DUMMYFUNCTION("""COMPUTED_VALUE"""),"")</f>
        <v/>
      </c>
      <c r="BI148" s="233" t="str">
        <f>IFERROR(__xludf.DUMMYFUNCTION("""COMPUTED_VALUE"""),"")</f>
        <v/>
      </c>
      <c r="BJ148" s="231" t="str">
        <f>IFERROR(__xludf.DUMMYFUNCTION("""COMPUTED_VALUE"""),"")</f>
        <v/>
      </c>
      <c r="BK148" s="232" t="str">
        <f>IFERROR(__xludf.DUMMYFUNCTION("""COMPUTED_VALUE"""),"")</f>
        <v/>
      </c>
      <c r="BL148" s="233" t="str">
        <f>IFERROR(__xludf.DUMMYFUNCTION("""COMPUTED_VALUE"""),"")</f>
        <v/>
      </c>
      <c r="BM148" s="231" t="str">
        <f>IFERROR(__xludf.DUMMYFUNCTION("""COMPUTED_VALUE"""),"")</f>
        <v/>
      </c>
      <c r="BN148" s="232" t="str">
        <f>IFERROR(__xludf.DUMMYFUNCTION("""COMPUTED_VALUE"""),"")</f>
        <v/>
      </c>
      <c r="BO148" s="233">
        <f>IFERROR(__xludf.DUMMYFUNCTION("""COMPUTED_VALUE"""),26.5)</f>
        <v>26.5</v>
      </c>
      <c r="BP148" s="231" t="str">
        <f>IFERROR(__xludf.DUMMYFUNCTION("""COMPUTED_VALUE"""),"")</f>
        <v/>
      </c>
      <c r="BQ148" s="232" t="str">
        <f>IFERROR(__xludf.DUMMYFUNCTION("""COMPUTED_VALUE"""),"")</f>
        <v/>
      </c>
      <c r="BR148" s="233" t="str">
        <f>IFERROR(__xludf.DUMMYFUNCTION("""COMPUTED_VALUE"""),"")</f>
        <v/>
      </c>
      <c r="BS148" s="231" t="str">
        <f>IFERROR(__xludf.DUMMYFUNCTION("""COMPUTED_VALUE"""),"")</f>
        <v/>
      </c>
      <c r="BT148" s="232" t="str">
        <f>IFERROR(__xludf.DUMMYFUNCTION("""COMPUTED_VALUE"""),"")</f>
        <v/>
      </c>
      <c r="BU148" s="233" t="str">
        <f>IFERROR(__xludf.DUMMYFUNCTION("""COMPUTED_VALUE"""),"")</f>
        <v/>
      </c>
      <c r="BV148" s="231" t="str">
        <f>IFERROR(__xludf.DUMMYFUNCTION("""COMPUTED_VALUE"""),"")</f>
        <v/>
      </c>
      <c r="BW148" s="232" t="str">
        <f>IFERROR(__xludf.DUMMYFUNCTION("""COMPUTED_VALUE"""),"")</f>
        <v/>
      </c>
      <c r="BX148" s="233" t="str">
        <f>IFERROR(__xludf.DUMMYFUNCTION("""COMPUTED_VALUE"""),"")</f>
        <v/>
      </c>
      <c r="BY148" s="231" t="str">
        <f>IFERROR(__xludf.DUMMYFUNCTION("""COMPUTED_VALUE"""),"")</f>
        <v/>
      </c>
      <c r="BZ148" s="232" t="str">
        <f>IFERROR(__xludf.DUMMYFUNCTION("""COMPUTED_VALUE"""),"")</f>
        <v/>
      </c>
      <c r="CA148" s="233" t="str">
        <f>IFERROR(__xludf.DUMMYFUNCTION("""COMPUTED_VALUE"""),"")</f>
        <v/>
      </c>
      <c r="CB148" s="231" t="str">
        <f>IFERROR(__xludf.DUMMYFUNCTION("""COMPUTED_VALUE"""),"")</f>
        <v/>
      </c>
      <c r="CC148" s="232" t="str">
        <f>IFERROR(__xludf.DUMMYFUNCTION("""COMPUTED_VALUE"""),"")</f>
        <v/>
      </c>
      <c r="CD148" s="233" t="str">
        <f>IFERROR(__xludf.DUMMYFUNCTION("""COMPUTED_VALUE"""),"")</f>
        <v/>
      </c>
      <c r="CE148" s="234" t="str">
        <f>IFERROR(__xludf.DUMMYFUNCTION("""COMPUTED_VALUE"""),"")</f>
        <v/>
      </c>
      <c r="CF148" s="230" t="str">
        <f>IFERROR(__xludf.DUMMYFUNCTION("""COMPUTED_VALUE"""),"")</f>
        <v/>
      </c>
      <c r="CG148" s="235" t="str">
        <f>IFERROR(__xludf.DUMMYFUNCTION("""COMPUTED_VALUE"""),"")</f>
        <v/>
      </c>
      <c r="CH148" s="234" t="str">
        <f>IFERROR(__xludf.DUMMYFUNCTION("""COMPUTED_VALUE"""),"")</f>
        <v/>
      </c>
      <c r="CI148" s="230" t="str">
        <f>IFERROR(__xludf.DUMMYFUNCTION("""COMPUTED_VALUE"""),"")</f>
        <v/>
      </c>
      <c r="CJ148" s="235" t="str">
        <f>IFERROR(__xludf.DUMMYFUNCTION("""COMPUTED_VALUE"""),"")</f>
        <v/>
      </c>
      <c r="CK148" s="95" t="str">
        <f>IFERROR(__xludf.DUMMYFUNCTION("""COMPUTED_VALUE"""),"")</f>
        <v/>
      </c>
      <c r="CL148" s="96">
        <f>IFERROR(__xludf.DUMMYFUNCTION("""COMPUTED_VALUE"""),4.8)</f>
        <v>4.8</v>
      </c>
      <c r="CM148" s="97" t="str">
        <f>IFERROR(__xludf.DUMMYFUNCTION("""COMPUTED_VALUE"""),"")</f>
        <v/>
      </c>
      <c r="CN148" s="95" t="str">
        <f>IFERROR(__xludf.DUMMYFUNCTION("""COMPUTED_VALUE"""),"")</f>
        <v/>
      </c>
      <c r="CO148" s="96" t="str">
        <f>IFERROR(__xludf.DUMMYFUNCTION("""COMPUTED_VALUE"""),"")</f>
        <v/>
      </c>
      <c r="CP148" s="97" t="str">
        <f>IFERROR(__xludf.DUMMYFUNCTION("""COMPUTED_VALUE"""),"")</f>
        <v/>
      </c>
      <c r="CQ148" s="95" t="str">
        <f>IFERROR(__xludf.DUMMYFUNCTION("""COMPUTED_VALUE"""),"")</f>
        <v/>
      </c>
      <c r="CR148" s="96" t="str">
        <f>IFERROR(__xludf.DUMMYFUNCTION("""COMPUTED_VALUE"""),"")</f>
        <v/>
      </c>
      <c r="CS148" s="97" t="str">
        <f>IFERROR(__xludf.DUMMYFUNCTION("""COMPUTED_VALUE"""),"#REF!")</f>
        <v>#REF!</v>
      </c>
      <c r="CT148" s="95" t="str">
        <f>IFERROR(__xludf.DUMMYFUNCTION("""COMPUTED_VALUE"""),"#REF!")</f>
        <v>#REF!</v>
      </c>
      <c r="CU148" s="96" t="str">
        <f>IFERROR(__xludf.DUMMYFUNCTION("""COMPUTED_VALUE"""),"#REF!")</f>
        <v>#REF!</v>
      </c>
      <c r="CV148" s="97" t="str">
        <f>IFERROR(__xludf.DUMMYFUNCTION("""COMPUTED_VALUE"""),"#REF!")</f>
        <v>#REF!</v>
      </c>
      <c r="CW148" s="95" t="str">
        <f>IFERROR(__xludf.DUMMYFUNCTION("""COMPUTED_VALUE"""),"#REF!")</f>
        <v>#REF!</v>
      </c>
      <c r="CX148" s="96" t="str">
        <f>IFERROR(__xludf.DUMMYFUNCTION("""COMPUTED_VALUE"""),"#REF!")</f>
        <v>#REF!</v>
      </c>
      <c r="CY148" s="97" t="str">
        <f>IFERROR(__xludf.DUMMYFUNCTION("""COMPUTED_VALUE"""),"#REF!")</f>
        <v>#REF!</v>
      </c>
      <c r="CZ148" s="95" t="str">
        <f>IFERROR(__xludf.DUMMYFUNCTION("""COMPUTED_VALUE"""),"#REF!")</f>
        <v>#REF!</v>
      </c>
      <c r="DA148" s="96" t="str">
        <f>IFERROR(__xludf.DUMMYFUNCTION("""COMPUTED_VALUE"""),"#REF!")</f>
        <v>#REF!</v>
      </c>
      <c r="DB148" s="97" t="str">
        <f>IFERROR(__xludf.DUMMYFUNCTION("""COMPUTED_VALUE"""),"#REF!")</f>
        <v>#REF!</v>
      </c>
      <c r="DC148" s="95" t="str">
        <f>IFERROR(__xludf.DUMMYFUNCTION("""COMPUTED_VALUE"""),"#REF!")</f>
        <v>#REF!</v>
      </c>
      <c r="DD148" s="96" t="str">
        <f>IFERROR(__xludf.DUMMYFUNCTION("""COMPUTED_VALUE"""),"#REF!")</f>
        <v>#REF!</v>
      </c>
      <c r="DE148" s="97" t="str">
        <f>IFERROR(__xludf.DUMMYFUNCTION("""COMPUTED_VALUE"""),"#REF!")</f>
        <v>#REF!</v>
      </c>
      <c r="DF148" s="95" t="str">
        <f>IFERROR(__xludf.DUMMYFUNCTION("""COMPUTED_VALUE"""),"#REF!")</f>
        <v>#REF!</v>
      </c>
      <c r="DG148" s="96" t="str">
        <f>IFERROR(__xludf.DUMMYFUNCTION("""COMPUTED_VALUE"""),"#REF!")</f>
        <v>#REF!</v>
      </c>
      <c r="DH148" s="97" t="str">
        <f>IFERROR(__xludf.DUMMYFUNCTION("""COMPUTED_VALUE"""),"#REF!")</f>
        <v>#REF!</v>
      </c>
      <c r="DI148" s="95" t="str">
        <f>IFERROR(__xludf.DUMMYFUNCTION("""COMPUTED_VALUE"""),"#REF!")</f>
        <v>#REF!</v>
      </c>
      <c r="DJ148" s="96" t="str">
        <f>IFERROR(__xludf.DUMMYFUNCTION("""COMPUTED_VALUE"""),"#REF!")</f>
        <v>#REF!</v>
      </c>
      <c r="DK148" s="97" t="str">
        <f>IFERROR(__xludf.DUMMYFUNCTION("""COMPUTED_VALUE"""),"#REF!")</f>
        <v>#REF!</v>
      </c>
      <c r="DL148" s="95" t="str">
        <f>IFERROR(__xludf.DUMMYFUNCTION("""COMPUTED_VALUE"""),"#REF!")</f>
        <v>#REF!</v>
      </c>
      <c r="DM148" s="96" t="str">
        <f>IFERROR(__xludf.DUMMYFUNCTION("""COMPUTED_VALUE"""),"#REF!")</f>
        <v>#REF!</v>
      </c>
      <c r="DN148" s="97" t="str">
        <f>IFERROR(__xludf.DUMMYFUNCTION("""COMPUTED_VALUE"""),"#REF!")</f>
        <v>#REF!</v>
      </c>
      <c r="DO148" s="95" t="str">
        <f>IFERROR(__xludf.DUMMYFUNCTION("""COMPUTED_VALUE"""),"#REF!")</f>
        <v>#REF!</v>
      </c>
      <c r="DP148" s="96" t="str">
        <f>IFERROR(__xludf.DUMMYFUNCTION("""COMPUTED_VALUE"""),"#REF!")</f>
        <v>#REF!</v>
      </c>
      <c r="DQ148" s="97"/>
      <c r="DR148" s="95"/>
    </row>
    <row r="149">
      <c r="B149" s="120" t="str">
        <f>IFERROR(__xludf.DUMMYFUNCTION("""COMPUTED_VALUE"""),"SJK9")</f>
        <v>SJK9</v>
      </c>
      <c r="C149" s="82">
        <f>IFERROR(__xludf.DUMMYFUNCTION("""COMPUTED_VALUE"""),140.0)</f>
        <v>140</v>
      </c>
      <c r="D149" s="88" t="str">
        <f>IFERROR(__xludf.DUMMYFUNCTION("""COMPUTED_VALUE"""),"Shinjuku Gyoen")</f>
        <v>Shinjuku Gyoen</v>
      </c>
      <c r="E149" s="82" t="str">
        <f>IFERROR(__xludf.DUMMYFUNCTION("""COMPUTED_VALUE"""),"新宿御苑")</f>
        <v>新宿御苑</v>
      </c>
      <c r="F149" s="102">
        <f>IFERROR(__xludf.DUMMYFUNCTION("""COMPUTED_VALUE"""),21.0)</f>
        <v>21</v>
      </c>
      <c r="G149" s="82">
        <f>IFERROR(__xludf.DUMMYFUNCTION("""COMPUTED_VALUE"""),59275.0)</f>
        <v>59275</v>
      </c>
      <c r="H149" s="231" t="str">
        <f>IFERROR(__xludf.DUMMYFUNCTION("""COMPUTED_VALUE"""),"")</f>
        <v/>
      </c>
      <c r="I149" s="232">
        <f>IFERROR(__xludf.DUMMYFUNCTION("""COMPUTED_VALUE"""),12.0)</f>
        <v>12</v>
      </c>
      <c r="J149" s="233" t="str">
        <f>IFERROR(__xludf.DUMMYFUNCTION("""COMPUTED_VALUE"""),"")</f>
        <v/>
      </c>
      <c r="K149" s="231" t="str">
        <f>IFERROR(__xludf.DUMMYFUNCTION("""COMPUTED_VALUE"""),"")</f>
        <v/>
      </c>
      <c r="L149" s="232" t="str">
        <f>IFERROR(__xludf.DUMMYFUNCTION("""COMPUTED_VALUE"""),"")</f>
        <v/>
      </c>
      <c r="M149" s="233" t="str">
        <f>IFERROR(__xludf.DUMMYFUNCTION("""COMPUTED_VALUE"""),"")</f>
        <v/>
      </c>
      <c r="N149" s="231" t="str">
        <f>IFERROR(__xludf.DUMMYFUNCTION("""COMPUTED_VALUE"""),"")</f>
        <v/>
      </c>
      <c r="O149" s="232" t="str">
        <f>IFERROR(__xludf.DUMMYFUNCTION("""COMPUTED_VALUE"""),"")</f>
        <v/>
      </c>
      <c r="P149" s="233" t="str">
        <f>IFERROR(__xludf.DUMMYFUNCTION("""COMPUTED_VALUE"""),"")</f>
        <v/>
      </c>
      <c r="Q149" s="231" t="str">
        <f>IFERROR(__xludf.DUMMYFUNCTION("""COMPUTED_VALUE"""),"")</f>
        <v/>
      </c>
      <c r="R149" s="232" t="str">
        <f>IFERROR(__xludf.DUMMYFUNCTION("""COMPUTED_VALUE"""),"")</f>
        <v/>
      </c>
      <c r="S149" s="233" t="str">
        <f>IFERROR(__xludf.DUMMYFUNCTION("""COMPUTED_VALUE"""),"")</f>
        <v/>
      </c>
      <c r="T149" s="231" t="str">
        <f>IFERROR(__xludf.DUMMYFUNCTION("""COMPUTED_VALUE"""),"")</f>
        <v/>
      </c>
      <c r="U149" s="232" t="str">
        <f>IFERROR(__xludf.DUMMYFUNCTION("""COMPUTED_VALUE"""),"")</f>
        <v/>
      </c>
      <c r="V149" s="233" t="str">
        <f>IFERROR(__xludf.DUMMYFUNCTION("""COMPUTED_VALUE"""),"")</f>
        <v/>
      </c>
      <c r="W149" s="231" t="str">
        <f>IFERROR(__xludf.DUMMYFUNCTION("""COMPUTED_VALUE"""),"")</f>
        <v/>
      </c>
      <c r="X149" s="232" t="str">
        <f>IFERROR(__xludf.DUMMYFUNCTION("""COMPUTED_VALUE"""),"")</f>
        <v/>
      </c>
      <c r="Y149" s="233" t="str">
        <f>IFERROR(__xludf.DUMMYFUNCTION("""COMPUTED_VALUE"""),"")</f>
        <v/>
      </c>
      <c r="Z149" s="231" t="str">
        <f>IFERROR(__xludf.DUMMYFUNCTION("""COMPUTED_VALUE"""),"")</f>
        <v/>
      </c>
      <c r="AA149" s="232" t="str">
        <f>IFERROR(__xludf.DUMMYFUNCTION("""COMPUTED_VALUE"""),"")</f>
        <v/>
      </c>
      <c r="AB149" s="233" t="str">
        <f>IFERROR(__xludf.DUMMYFUNCTION("""COMPUTED_VALUE"""),"")</f>
        <v/>
      </c>
      <c r="AC149" s="231" t="str">
        <f>IFERROR(__xludf.DUMMYFUNCTION("""COMPUTED_VALUE"""),"")</f>
        <v/>
      </c>
      <c r="AD149" s="232" t="str">
        <f>IFERROR(__xludf.DUMMYFUNCTION("""COMPUTED_VALUE"""),"")</f>
        <v/>
      </c>
      <c r="AE149" s="233" t="str">
        <f>IFERROR(__xludf.DUMMYFUNCTION("""COMPUTED_VALUE"""),"")</f>
        <v/>
      </c>
      <c r="AF149" s="231" t="str">
        <f>IFERROR(__xludf.DUMMYFUNCTION("""COMPUTED_VALUE"""),"")</f>
        <v/>
      </c>
      <c r="AG149" s="232" t="str">
        <f>IFERROR(__xludf.DUMMYFUNCTION("""COMPUTED_VALUE"""),"")</f>
        <v/>
      </c>
      <c r="AH149" s="233" t="str">
        <f>IFERROR(__xludf.DUMMYFUNCTION("""COMPUTED_VALUE"""),"")</f>
        <v/>
      </c>
      <c r="AI149" s="231" t="str">
        <f>IFERROR(__xludf.DUMMYFUNCTION("""COMPUTED_VALUE"""),"")</f>
        <v/>
      </c>
      <c r="AJ149" s="232" t="str">
        <f>IFERROR(__xludf.DUMMYFUNCTION("""COMPUTED_VALUE"""),"")</f>
        <v/>
      </c>
      <c r="AK149" s="233" t="str">
        <f>IFERROR(__xludf.DUMMYFUNCTION("""COMPUTED_VALUE"""),"")</f>
        <v/>
      </c>
      <c r="AL149" s="231" t="str">
        <f>IFERROR(__xludf.DUMMYFUNCTION("""COMPUTED_VALUE"""),"")</f>
        <v/>
      </c>
      <c r="AM149" s="232" t="str">
        <f>IFERROR(__xludf.DUMMYFUNCTION("""COMPUTED_VALUE"""),"")</f>
        <v/>
      </c>
      <c r="AN149" s="233" t="str">
        <f>IFERROR(__xludf.DUMMYFUNCTION("""COMPUTED_VALUE"""),"")</f>
        <v/>
      </c>
      <c r="AO149" s="231" t="str">
        <f>IFERROR(__xludf.DUMMYFUNCTION("""COMPUTED_VALUE"""),"")</f>
        <v/>
      </c>
      <c r="AP149" s="232" t="str">
        <f>IFERROR(__xludf.DUMMYFUNCTION("""COMPUTED_VALUE"""),"")</f>
        <v/>
      </c>
      <c r="AQ149" s="233" t="str">
        <f>IFERROR(__xludf.DUMMYFUNCTION("""COMPUTED_VALUE"""),"")</f>
        <v/>
      </c>
      <c r="AR149" s="231" t="str">
        <f>IFERROR(__xludf.DUMMYFUNCTION("""COMPUTED_VALUE"""),"")</f>
        <v/>
      </c>
      <c r="AS149" s="232" t="str">
        <f>IFERROR(__xludf.DUMMYFUNCTION("""COMPUTED_VALUE"""),"")</f>
        <v/>
      </c>
      <c r="AT149" s="233" t="str">
        <f>IFERROR(__xludf.DUMMYFUNCTION("""COMPUTED_VALUE"""),"")</f>
        <v/>
      </c>
      <c r="AU149" s="231" t="str">
        <f>IFERROR(__xludf.DUMMYFUNCTION("""COMPUTED_VALUE"""),"")</f>
        <v/>
      </c>
      <c r="AV149" s="232" t="str">
        <f>IFERROR(__xludf.DUMMYFUNCTION("""COMPUTED_VALUE"""),"")</f>
        <v/>
      </c>
      <c r="AW149" s="233" t="str">
        <f>IFERROR(__xludf.DUMMYFUNCTION("""COMPUTED_VALUE"""),"")</f>
        <v/>
      </c>
      <c r="AX149" s="231" t="str">
        <f>IFERROR(__xludf.DUMMYFUNCTION("""COMPUTED_VALUE"""),"")</f>
        <v/>
      </c>
      <c r="AY149" s="232" t="str">
        <f>IFERROR(__xludf.DUMMYFUNCTION("""COMPUTED_VALUE"""),"")</f>
        <v/>
      </c>
      <c r="AZ149" s="233">
        <f>IFERROR(__xludf.DUMMYFUNCTION("""COMPUTED_VALUE"""),30.2)</f>
        <v>30.2</v>
      </c>
      <c r="BA149" s="231" t="str">
        <f>IFERROR(__xludf.DUMMYFUNCTION("""COMPUTED_VALUE"""),"")</f>
        <v/>
      </c>
      <c r="BB149" s="232" t="str">
        <f>IFERROR(__xludf.DUMMYFUNCTION("""COMPUTED_VALUE"""),"")</f>
        <v/>
      </c>
      <c r="BC149" s="233" t="str">
        <f>IFERROR(__xludf.DUMMYFUNCTION("""COMPUTED_VALUE"""),"")</f>
        <v/>
      </c>
      <c r="BD149" s="231" t="str">
        <f>IFERROR(__xludf.DUMMYFUNCTION("""COMPUTED_VALUE"""),"")</f>
        <v/>
      </c>
      <c r="BE149" s="232" t="str">
        <f>IFERROR(__xludf.DUMMYFUNCTION("""COMPUTED_VALUE"""),"")</f>
        <v/>
      </c>
      <c r="BF149" s="233" t="str">
        <f>IFERROR(__xludf.DUMMYFUNCTION("""COMPUTED_VALUE"""),"")</f>
        <v/>
      </c>
      <c r="BG149" s="231">
        <f>IFERROR(__xludf.DUMMYFUNCTION("""COMPUTED_VALUE"""),4.499999999)</f>
        <v>4.499999999</v>
      </c>
      <c r="BH149" s="232" t="str">
        <f>IFERROR(__xludf.DUMMYFUNCTION("""COMPUTED_VALUE"""),"")</f>
        <v/>
      </c>
      <c r="BI149" s="233" t="str">
        <f>IFERROR(__xludf.DUMMYFUNCTION("""COMPUTED_VALUE"""),"")</f>
        <v/>
      </c>
      <c r="BJ149" s="231" t="str">
        <f>IFERROR(__xludf.DUMMYFUNCTION("""COMPUTED_VALUE"""),"")</f>
        <v/>
      </c>
      <c r="BK149" s="232" t="str">
        <f>IFERROR(__xludf.DUMMYFUNCTION("""COMPUTED_VALUE"""),"")</f>
        <v/>
      </c>
      <c r="BL149" s="233" t="str">
        <f>IFERROR(__xludf.DUMMYFUNCTION("""COMPUTED_VALUE"""),"")</f>
        <v/>
      </c>
      <c r="BM149" s="231" t="str">
        <f>IFERROR(__xludf.DUMMYFUNCTION("""COMPUTED_VALUE"""),"")</f>
        <v/>
      </c>
      <c r="BN149" s="232" t="str">
        <f>IFERROR(__xludf.DUMMYFUNCTION("""COMPUTED_VALUE"""),"")</f>
        <v/>
      </c>
      <c r="BO149" s="233" t="str">
        <f>IFERROR(__xludf.DUMMYFUNCTION("""COMPUTED_VALUE"""),"")</f>
        <v/>
      </c>
      <c r="BP149" s="231" t="str">
        <f>IFERROR(__xludf.DUMMYFUNCTION("""COMPUTED_VALUE"""),"")</f>
        <v/>
      </c>
      <c r="BQ149" s="232" t="str">
        <f>IFERROR(__xludf.DUMMYFUNCTION("""COMPUTED_VALUE"""),"")</f>
        <v/>
      </c>
      <c r="BR149" s="233" t="str">
        <f>IFERROR(__xludf.DUMMYFUNCTION("""COMPUTED_VALUE"""),"")</f>
        <v/>
      </c>
      <c r="BS149" s="231" t="str">
        <f>IFERROR(__xludf.DUMMYFUNCTION("""COMPUTED_VALUE"""),"")</f>
        <v/>
      </c>
      <c r="BT149" s="232" t="str">
        <f>IFERROR(__xludf.DUMMYFUNCTION("""COMPUTED_VALUE"""),"")</f>
        <v/>
      </c>
      <c r="BU149" s="233">
        <f>IFERROR(__xludf.DUMMYFUNCTION("""COMPUTED_VALUE"""),38.8)</f>
        <v>38.8</v>
      </c>
      <c r="BV149" s="231" t="str">
        <f>IFERROR(__xludf.DUMMYFUNCTION("""COMPUTED_VALUE"""),"")</f>
        <v/>
      </c>
      <c r="BW149" s="232" t="str">
        <f>IFERROR(__xludf.DUMMYFUNCTION("""COMPUTED_VALUE"""),"")</f>
        <v/>
      </c>
      <c r="BX149" s="233" t="str">
        <f>IFERROR(__xludf.DUMMYFUNCTION("""COMPUTED_VALUE"""),"")</f>
        <v/>
      </c>
      <c r="BY149" s="231" t="str">
        <f>IFERROR(__xludf.DUMMYFUNCTION("""COMPUTED_VALUE"""),"")</f>
        <v/>
      </c>
      <c r="BZ149" s="232" t="str">
        <f>IFERROR(__xludf.DUMMYFUNCTION("""COMPUTED_VALUE"""),"")</f>
        <v/>
      </c>
      <c r="CA149" s="233" t="str">
        <f>IFERROR(__xludf.DUMMYFUNCTION("""COMPUTED_VALUE"""),"")</f>
        <v/>
      </c>
      <c r="CB149" s="231" t="str">
        <f>IFERROR(__xludf.DUMMYFUNCTION("""COMPUTED_VALUE"""),"")</f>
        <v/>
      </c>
      <c r="CC149" s="232" t="str">
        <f>IFERROR(__xludf.DUMMYFUNCTION("""COMPUTED_VALUE"""),"")</f>
        <v/>
      </c>
      <c r="CD149" s="233" t="str">
        <f>IFERROR(__xludf.DUMMYFUNCTION("""COMPUTED_VALUE"""),"")</f>
        <v/>
      </c>
      <c r="CE149" s="234" t="str">
        <f>IFERROR(__xludf.DUMMYFUNCTION("""COMPUTED_VALUE"""),"")</f>
        <v/>
      </c>
      <c r="CF149" s="230" t="str">
        <f>IFERROR(__xludf.DUMMYFUNCTION("""COMPUTED_VALUE"""),"")</f>
        <v/>
      </c>
      <c r="CG149" s="235" t="str">
        <f>IFERROR(__xludf.DUMMYFUNCTION("""COMPUTED_VALUE"""),"")</f>
        <v/>
      </c>
      <c r="CH149" s="234" t="str">
        <f>IFERROR(__xludf.DUMMYFUNCTION("""COMPUTED_VALUE"""),"")</f>
        <v/>
      </c>
      <c r="CI149" s="230" t="str">
        <f>IFERROR(__xludf.DUMMYFUNCTION("""COMPUTED_VALUE"""),"")</f>
        <v/>
      </c>
      <c r="CJ149" s="235" t="str">
        <f>IFERROR(__xludf.DUMMYFUNCTION("""COMPUTED_VALUE"""),"")</f>
        <v/>
      </c>
      <c r="CK149" s="95" t="str">
        <f>IFERROR(__xludf.DUMMYFUNCTION("""COMPUTED_VALUE"""),"")</f>
        <v/>
      </c>
      <c r="CL149" s="96" t="str">
        <f>IFERROR(__xludf.DUMMYFUNCTION("""COMPUTED_VALUE"""),"")</f>
        <v/>
      </c>
      <c r="CM149" s="97" t="str">
        <f>IFERROR(__xludf.DUMMYFUNCTION("""COMPUTED_VALUE"""),"")</f>
        <v/>
      </c>
      <c r="CN149" s="95" t="str">
        <f>IFERROR(__xludf.DUMMYFUNCTION("""COMPUTED_VALUE"""),"")</f>
        <v/>
      </c>
      <c r="CO149" s="96" t="str">
        <f>IFERROR(__xludf.DUMMYFUNCTION("""COMPUTED_VALUE"""),"")</f>
        <v/>
      </c>
      <c r="CP149" s="97">
        <f>IFERROR(__xludf.DUMMYFUNCTION("""COMPUTED_VALUE"""),4.8)</f>
        <v>4.8</v>
      </c>
      <c r="CQ149" s="95" t="str">
        <f>IFERROR(__xludf.DUMMYFUNCTION("""COMPUTED_VALUE"""),"")</f>
        <v/>
      </c>
      <c r="CR149" s="96" t="str">
        <f>IFERROR(__xludf.DUMMYFUNCTION("""COMPUTED_VALUE"""),"")</f>
        <v/>
      </c>
      <c r="CS149" s="97" t="str">
        <f>IFERROR(__xludf.DUMMYFUNCTION("""COMPUTED_VALUE"""),"#REF!")</f>
        <v>#REF!</v>
      </c>
      <c r="CT149" s="95" t="str">
        <f>IFERROR(__xludf.DUMMYFUNCTION("""COMPUTED_VALUE"""),"#REF!")</f>
        <v>#REF!</v>
      </c>
      <c r="CU149" s="96" t="str">
        <f>IFERROR(__xludf.DUMMYFUNCTION("""COMPUTED_VALUE"""),"#REF!")</f>
        <v>#REF!</v>
      </c>
      <c r="CV149" s="97" t="str">
        <f>IFERROR(__xludf.DUMMYFUNCTION("""COMPUTED_VALUE"""),"#REF!")</f>
        <v>#REF!</v>
      </c>
      <c r="CW149" s="95" t="str">
        <f>IFERROR(__xludf.DUMMYFUNCTION("""COMPUTED_VALUE"""),"#REF!")</f>
        <v>#REF!</v>
      </c>
      <c r="CX149" s="96" t="str">
        <f>IFERROR(__xludf.DUMMYFUNCTION("""COMPUTED_VALUE"""),"#REF!")</f>
        <v>#REF!</v>
      </c>
      <c r="CY149" s="97" t="str">
        <f>IFERROR(__xludf.DUMMYFUNCTION("""COMPUTED_VALUE"""),"#REF!")</f>
        <v>#REF!</v>
      </c>
      <c r="CZ149" s="95" t="str">
        <f>IFERROR(__xludf.DUMMYFUNCTION("""COMPUTED_VALUE"""),"#REF!")</f>
        <v>#REF!</v>
      </c>
      <c r="DA149" s="96" t="str">
        <f>IFERROR(__xludf.DUMMYFUNCTION("""COMPUTED_VALUE"""),"#REF!")</f>
        <v>#REF!</v>
      </c>
      <c r="DB149" s="97" t="str">
        <f>IFERROR(__xludf.DUMMYFUNCTION("""COMPUTED_VALUE"""),"#REF!")</f>
        <v>#REF!</v>
      </c>
      <c r="DC149" s="95" t="str">
        <f>IFERROR(__xludf.DUMMYFUNCTION("""COMPUTED_VALUE"""),"#REF!")</f>
        <v>#REF!</v>
      </c>
      <c r="DD149" s="96" t="str">
        <f>IFERROR(__xludf.DUMMYFUNCTION("""COMPUTED_VALUE"""),"#REF!")</f>
        <v>#REF!</v>
      </c>
      <c r="DE149" s="97" t="str">
        <f>IFERROR(__xludf.DUMMYFUNCTION("""COMPUTED_VALUE"""),"#REF!")</f>
        <v>#REF!</v>
      </c>
      <c r="DF149" s="95" t="str">
        <f>IFERROR(__xludf.DUMMYFUNCTION("""COMPUTED_VALUE"""),"#REF!")</f>
        <v>#REF!</v>
      </c>
      <c r="DG149" s="96" t="str">
        <f>IFERROR(__xludf.DUMMYFUNCTION("""COMPUTED_VALUE"""),"#REF!")</f>
        <v>#REF!</v>
      </c>
      <c r="DH149" s="97" t="str">
        <f>IFERROR(__xludf.DUMMYFUNCTION("""COMPUTED_VALUE"""),"#REF!")</f>
        <v>#REF!</v>
      </c>
      <c r="DI149" s="95" t="str">
        <f>IFERROR(__xludf.DUMMYFUNCTION("""COMPUTED_VALUE"""),"#REF!")</f>
        <v>#REF!</v>
      </c>
      <c r="DJ149" s="96" t="str">
        <f>IFERROR(__xludf.DUMMYFUNCTION("""COMPUTED_VALUE"""),"#REF!")</f>
        <v>#REF!</v>
      </c>
      <c r="DK149" s="97" t="str">
        <f>IFERROR(__xludf.DUMMYFUNCTION("""COMPUTED_VALUE"""),"#REF!")</f>
        <v>#REF!</v>
      </c>
      <c r="DL149" s="95" t="str">
        <f>IFERROR(__xludf.DUMMYFUNCTION("""COMPUTED_VALUE"""),"#REF!")</f>
        <v>#REF!</v>
      </c>
      <c r="DM149" s="96" t="str">
        <f>IFERROR(__xludf.DUMMYFUNCTION("""COMPUTED_VALUE"""),"#REF!")</f>
        <v>#REF!</v>
      </c>
      <c r="DN149" s="97" t="str">
        <f>IFERROR(__xludf.DUMMYFUNCTION("""COMPUTED_VALUE"""),"#REF!")</f>
        <v>#REF!</v>
      </c>
      <c r="DO149" s="95" t="str">
        <f>IFERROR(__xludf.DUMMYFUNCTION("""COMPUTED_VALUE"""),"#REF!")</f>
        <v>#REF!</v>
      </c>
      <c r="DP149" s="96" t="str">
        <f>IFERROR(__xludf.DUMMYFUNCTION("""COMPUTED_VALUE"""),"#REF!")</f>
        <v>#REF!</v>
      </c>
      <c r="DQ149" s="97"/>
      <c r="DR149" s="95"/>
    </row>
    <row r="150">
      <c r="B150" s="120" t="str">
        <f>IFERROR(__xludf.DUMMYFUNCTION("""COMPUTED_VALUE"""),"SJK10")</f>
        <v>SJK10</v>
      </c>
      <c r="C150" s="82">
        <f>IFERROR(__xludf.DUMMYFUNCTION("""COMPUTED_VALUE"""),141.0)</f>
        <v>141</v>
      </c>
      <c r="D150" s="88" t="str">
        <f>IFERROR(__xludf.DUMMYFUNCTION("""COMPUTED_VALUE"""),"Shinjuku 2-chome")</f>
        <v>Shinjuku 2-chome</v>
      </c>
      <c r="E150" s="82" t="str">
        <f>IFERROR(__xludf.DUMMYFUNCTION("""COMPUTED_VALUE"""),"新宿二丁目")</f>
        <v>新宿二丁目</v>
      </c>
      <c r="F150" s="102">
        <f>IFERROR(__xludf.DUMMYFUNCTION("""COMPUTED_VALUE"""),21.0)</f>
        <v>21</v>
      </c>
      <c r="G150" s="82">
        <f>IFERROR(__xludf.DUMMYFUNCTION("""COMPUTED_VALUE"""),70270.0)</f>
        <v>70270</v>
      </c>
      <c r="H150" s="231" t="str">
        <f>IFERROR(__xludf.DUMMYFUNCTION("""COMPUTED_VALUE"""),"")</f>
        <v/>
      </c>
      <c r="I150" s="232" t="str">
        <f>IFERROR(__xludf.DUMMYFUNCTION("""COMPUTED_VALUE"""),"")</f>
        <v/>
      </c>
      <c r="J150" s="233" t="str">
        <f>IFERROR(__xludf.DUMMYFUNCTION("""COMPUTED_VALUE"""),"")</f>
        <v/>
      </c>
      <c r="K150" s="231" t="str">
        <f>IFERROR(__xludf.DUMMYFUNCTION("""COMPUTED_VALUE"""),"")</f>
        <v/>
      </c>
      <c r="L150" s="232" t="str">
        <f>IFERROR(__xludf.DUMMYFUNCTION("""COMPUTED_VALUE"""),"")</f>
        <v/>
      </c>
      <c r="M150" s="233">
        <f>IFERROR(__xludf.DUMMYFUNCTION("""COMPUTED_VALUE"""),18.1)</f>
        <v>18.1</v>
      </c>
      <c r="N150" s="231" t="str">
        <f>IFERROR(__xludf.DUMMYFUNCTION("""COMPUTED_VALUE"""),"")</f>
        <v/>
      </c>
      <c r="O150" s="232" t="str">
        <f>IFERROR(__xludf.DUMMYFUNCTION("""COMPUTED_VALUE"""),"")</f>
        <v/>
      </c>
      <c r="P150" s="233" t="str">
        <f>IFERROR(__xludf.DUMMYFUNCTION("""COMPUTED_VALUE"""),"")</f>
        <v/>
      </c>
      <c r="Q150" s="231" t="str">
        <f>IFERROR(__xludf.DUMMYFUNCTION("""COMPUTED_VALUE"""),"")</f>
        <v/>
      </c>
      <c r="R150" s="232" t="str">
        <f>IFERROR(__xludf.DUMMYFUNCTION("""COMPUTED_VALUE"""),"")</f>
        <v/>
      </c>
      <c r="S150" s="233" t="str">
        <f>IFERROR(__xludf.DUMMYFUNCTION("""COMPUTED_VALUE"""),"")</f>
        <v/>
      </c>
      <c r="T150" s="231" t="str">
        <f>IFERROR(__xludf.DUMMYFUNCTION("""COMPUTED_VALUE"""),"")</f>
        <v/>
      </c>
      <c r="U150" s="232" t="str">
        <f>IFERROR(__xludf.DUMMYFUNCTION("""COMPUTED_VALUE"""),"")</f>
        <v/>
      </c>
      <c r="V150" s="233" t="str">
        <f>IFERROR(__xludf.DUMMYFUNCTION("""COMPUTED_VALUE"""),"")</f>
        <v/>
      </c>
      <c r="W150" s="231" t="str">
        <f>IFERROR(__xludf.DUMMYFUNCTION("""COMPUTED_VALUE"""),"")</f>
        <v/>
      </c>
      <c r="X150" s="232" t="str">
        <f>IFERROR(__xludf.DUMMYFUNCTION("""COMPUTED_VALUE"""),"")</f>
        <v/>
      </c>
      <c r="Y150" s="233" t="str">
        <f>IFERROR(__xludf.DUMMYFUNCTION("""COMPUTED_VALUE"""),"")</f>
        <v/>
      </c>
      <c r="Z150" s="231" t="str">
        <f>IFERROR(__xludf.DUMMYFUNCTION("""COMPUTED_VALUE"""),"")</f>
        <v/>
      </c>
      <c r="AA150" s="232" t="str">
        <f>IFERROR(__xludf.DUMMYFUNCTION("""COMPUTED_VALUE"""),"")</f>
        <v/>
      </c>
      <c r="AB150" s="233" t="str">
        <f>IFERROR(__xludf.DUMMYFUNCTION("""COMPUTED_VALUE"""),"")</f>
        <v/>
      </c>
      <c r="AC150" s="231" t="str">
        <f>IFERROR(__xludf.DUMMYFUNCTION("""COMPUTED_VALUE"""),"")</f>
        <v/>
      </c>
      <c r="AD150" s="232" t="str">
        <f>IFERROR(__xludf.DUMMYFUNCTION("""COMPUTED_VALUE"""),"")</f>
        <v/>
      </c>
      <c r="AE150" s="233" t="str">
        <f>IFERROR(__xludf.DUMMYFUNCTION("""COMPUTED_VALUE"""),"")</f>
        <v/>
      </c>
      <c r="AF150" s="231">
        <f>IFERROR(__xludf.DUMMYFUNCTION("""COMPUTED_VALUE"""),30.2)</f>
        <v>30.2</v>
      </c>
      <c r="AG150" s="232" t="str">
        <f>IFERROR(__xludf.DUMMYFUNCTION("""COMPUTED_VALUE"""),"")</f>
        <v/>
      </c>
      <c r="AH150" s="233" t="str">
        <f>IFERROR(__xludf.DUMMYFUNCTION("""COMPUTED_VALUE"""),"")</f>
        <v/>
      </c>
      <c r="AI150" s="231" t="str">
        <f>IFERROR(__xludf.DUMMYFUNCTION("""COMPUTED_VALUE"""),"")</f>
        <v/>
      </c>
      <c r="AJ150" s="232" t="str">
        <f>IFERROR(__xludf.DUMMYFUNCTION("""COMPUTED_VALUE"""),"")</f>
        <v/>
      </c>
      <c r="AK150" s="233" t="str">
        <f>IFERROR(__xludf.DUMMYFUNCTION("""COMPUTED_VALUE"""),"")</f>
        <v/>
      </c>
      <c r="AL150" s="231" t="str">
        <f>IFERROR(__xludf.DUMMYFUNCTION("""COMPUTED_VALUE"""),"")</f>
        <v/>
      </c>
      <c r="AM150" s="232" t="str">
        <f>IFERROR(__xludf.DUMMYFUNCTION("""COMPUTED_VALUE"""),"")</f>
        <v/>
      </c>
      <c r="AN150" s="233" t="str">
        <f>IFERROR(__xludf.DUMMYFUNCTION("""COMPUTED_VALUE"""),"")</f>
        <v/>
      </c>
      <c r="AO150" s="231" t="str">
        <f>IFERROR(__xludf.DUMMYFUNCTION("""COMPUTED_VALUE"""),"")</f>
        <v/>
      </c>
      <c r="AP150" s="232" t="str">
        <f>IFERROR(__xludf.DUMMYFUNCTION("""COMPUTED_VALUE"""),"")</f>
        <v/>
      </c>
      <c r="AQ150" s="233" t="str">
        <f>IFERROR(__xludf.DUMMYFUNCTION("""COMPUTED_VALUE"""),"")</f>
        <v/>
      </c>
      <c r="AR150" s="231" t="str">
        <f>IFERROR(__xludf.DUMMYFUNCTION("""COMPUTED_VALUE"""),"")</f>
        <v/>
      </c>
      <c r="AS150" s="232" t="str">
        <f>IFERROR(__xludf.DUMMYFUNCTION("""COMPUTED_VALUE"""),"")</f>
        <v/>
      </c>
      <c r="AT150" s="233" t="str">
        <f>IFERROR(__xludf.DUMMYFUNCTION("""COMPUTED_VALUE"""),"")</f>
        <v/>
      </c>
      <c r="AU150" s="231" t="str">
        <f>IFERROR(__xludf.DUMMYFUNCTION("""COMPUTED_VALUE"""),"")</f>
        <v/>
      </c>
      <c r="AV150" s="232" t="str">
        <f>IFERROR(__xludf.DUMMYFUNCTION("""COMPUTED_VALUE"""),"")</f>
        <v/>
      </c>
      <c r="AW150" s="233" t="str">
        <f>IFERROR(__xludf.DUMMYFUNCTION("""COMPUTED_VALUE"""),"")</f>
        <v/>
      </c>
      <c r="AX150" s="231" t="str">
        <f>IFERROR(__xludf.DUMMYFUNCTION("""COMPUTED_VALUE"""),"")</f>
        <v/>
      </c>
      <c r="AY150" s="232" t="str">
        <f>IFERROR(__xludf.DUMMYFUNCTION("""COMPUTED_VALUE"""),"")</f>
        <v/>
      </c>
      <c r="AZ150" s="233" t="str">
        <f>IFERROR(__xludf.DUMMYFUNCTION("""COMPUTED_VALUE"""),"")</f>
        <v/>
      </c>
      <c r="BA150" s="231" t="str">
        <f>IFERROR(__xludf.DUMMYFUNCTION("""COMPUTED_VALUE"""),"")</f>
        <v/>
      </c>
      <c r="BB150" s="232" t="str">
        <f>IFERROR(__xludf.DUMMYFUNCTION("""COMPUTED_VALUE"""),"")</f>
        <v/>
      </c>
      <c r="BC150" s="233" t="str">
        <f>IFERROR(__xludf.DUMMYFUNCTION("""COMPUTED_VALUE"""),"")</f>
        <v/>
      </c>
      <c r="BD150" s="231" t="str">
        <f>IFERROR(__xludf.DUMMYFUNCTION("""COMPUTED_VALUE"""),"")</f>
        <v/>
      </c>
      <c r="BE150" s="232" t="str">
        <f>IFERROR(__xludf.DUMMYFUNCTION("""COMPUTED_VALUE"""),"")</f>
        <v/>
      </c>
      <c r="BF150" s="233" t="str">
        <f>IFERROR(__xludf.DUMMYFUNCTION("""COMPUTED_VALUE"""),"")</f>
        <v/>
      </c>
      <c r="BG150" s="231">
        <f>IFERROR(__xludf.DUMMYFUNCTION("""COMPUTED_VALUE"""),3.3)</f>
        <v>3.3</v>
      </c>
      <c r="BH150" s="232" t="str">
        <f>IFERROR(__xludf.DUMMYFUNCTION("""COMPUTED_VALUE"""),"")</f>
        <v/>
      </c>
      <c r="BI150" s="233" t="str">
        <f>IFERROR(__xludf.DUMMYFUNCTION("""COMPUTED_VALUE"""),"")</f>
        <v/>
      </c>
      <c r="BJ150" s="231" t="str">
        <f>IFERROR(__xludf.DUMMYFUNCTION("""COMPUTED_VALUE"""),"")</f>
        <v/>
      </c>
      <c r="BK150" s="232">
        <f>IFERROR(__xludf.DUMMYFUNCTION("""COMPUTED_VALUE"""),8.2)</f>
        <v>8.2</v>
      </c>
      <c r="BL150" s="233" t="str">
        <f>IFERROR(__xludf.DUMMYFUNCTION("""COMPUTED_VALUE"""),"")</f>
        <v/>
      </c>
      <c r="BM150" s="231" t="str">
        <f>IFERROR(__xludf.DUMMYFUNCTION("""COMPUTED_VALUE"""),"")</f>
        <v/>
      </c>
      <c r="BN150" s="232">
        <f>IFERROR(__xludf.DUMMYFUNCTION("""COMPUTED_VALUE"""),19.6)</f>
        <v>19.6</v>
      </c>
      <c r="BO150" s="233" t="str">
        <f>IFERROR(__xludf.DUMMYFUNCTION("""COMPUTED_VALUE"""),"")</f>
        <v/>
      </c>
      <c r="BP150" s="231" t="str">
        <f>IFERROR(__xludf.DUMMYFUNCTION("""COMPUTED_VALUE"""),"")</f>
        <v/>
      </c>
      <c r="BQ150" s="232" t="str">
        <f>IFERROR(__xludf.DUMMYFUNCTION("""COMPUTED_VALUE"""),"")</f>
        <v/>
      </c>
      <c r="BR150" s="233" t="str">
        <f>IFERROR(__xludf.DUMMYFUNCTION("""COMPUTED_VALUE"""),"")</f>
        <v/>
      </c>
      <c r="BS150" s="231" t="str">
        <f>IFERROR(__xludf.DUMMYFUNCTION("""COMPUTED_VALUE"""),"")</f>
        <v/>
      </c>
      <c r="BT150" s="232" t="str">
        <f>IFERROR(__xludf.DUMMYFUNCTION("""COMPUTED_VALUE"""),"")</f>
        <v/>
      </c>
      <c r="BU150" s="233">
        <f>IFERROR(__xludf.DUMMYFUNCTION("""COMPUTED_VALUE"""),8.4)</f>
        <v>8.4</v>
      </c>
      <c r="BV150" s="231" t="str">
        <f>IFERROR(__xludf.DUMMYFUNCTION("""COMPUTED_VALUE"""),"")</f>
        <v/>
      </c>
      <c r="BW150" s="232" t="str">
        <f>IFERROR(__xludf.DUMMYFUNCTION("""COMPUTED_VALUE"""),"")</f>
        <v/>
      </c>
      <c r="BX150" s="233" t="str">
        <f>IFERROR(__xludf.DUMMYFUNCTION("""COMPUTED_VALUE"""),"")</f>
        <v/>
      </c>
      <c r="BY150" s="231" t="str">
        <f>IFERROR(__xludf.DUMMYFUNCTION("""COMPUTED_VALUE"""),"")</f>
        <v/>
      </c>
      <c r="BZ150" s="232" t="str">
        <f>IFERROR(__xludf.DUMMYFUNCTION("""COMPUTED_VALUE"""),"")</f>
        <v/>
      </c>
      <c r="CA150" s="233" t="str">
        <f>IFERROR(__xludf.DUMMYFUNCTION("""COMPUTED_VALUE"""),"")</f>
        <v/>
      </c>
      <c r="CB150" s="231" t="str">
        <f>IFERROR(__xludf.DUMMYFUNCTION("""COMPUTED_VALUE"""),"")</f>
        <v/>
      </c>
      <c r="CC150" s="232" t="str">
        <f>IFERROR(__xludf.DUMMYFUNCTION("""COMPUTED_VALUE"""),"")</f>
        <v/>
      </c>
      <c r="CD150" s="233" t="str">
        <f>IFERROR(__xludf.DUMMYFUNCTION("""COMPUTED_VALUE"""),"")</f>
        <v/>
      </c>
      <c r="CE150" s="234" t="str">
        <f>IFERROR(__xludf.DUMMYFUNCTION("""COMPUTED_VALUE"""),"")</f>
        <v/>
      </c>
      <c r="CF150" s="230" t="str">
        <f>IFERROR(__xludf.DUMMYFUNCTION("""COMPUTED_VALUE"""),"")</f>
        <v/>
      </c>
      <c r="CG150" s="235" t="str">
        <f>IFERROR(__xludf.DUMMYFUNCTION("""COMPUTED_VALUE"""),"")</f>
        <v/>
      </c>
      <c r="CH150" s="234" t="str">
        <f>IFERROR(__xludf.DUMMYFUNCTION("""COMPUTED_VALUE"""),"")</f>
        <v/>
      </c>
      <c r="CI150" s="230" t="str">
        <f>IFERROR(__xludf.DUMMYFUNCTION("""COMPUTED_VALUE"""),"")</f>
        <v/>
      </c>
      <c r="CJ150" s="235" t="str">
        <f>IFERROR(__xludf.DUMMYFUNCTION("""COMPUTED_VALUE"""),"")</f>
        <v/>
      </c>
      <c r="CK150" s="95" t="str">
        <f>IFERROR(__xludf.DUMMYFUNCTION("""COMPUTED_VALUE"""),"")</f>
        <v/>
      </c>
      <c r="CL150" s="96" t="str">
        <f>IFERROR(__xludf.DUMMYFUNCTION("""COMPUTED_VALUE"""),"")</f>
        <v/>
      </c>
      <c r="CM150" s="97">
        <f>IFERROR(__xludf.DUMMYFUNCTION("""COMPUTED_VALUE"""),4.3)</f>
        <v>4.3</v>
      </c>
      <c r="CN150" s="95" t="str">
        <f>IFERROR(__xludf.DUMMYFUNCTION("""COMPUTED_VALUE"""),"")</f>
        <v/>
      </c>
      <c r="CO150" s="96" t="str">
        <f>IFERROR(__xludf.DUMMYFUNCTION("""COMPUTED_VALUE"""),"")</f>
        <v/>
      </c>
      <c r="CP150" s="97" t="str">
        <f>IFERROR(__xludf.DUMMYFUNCTION("""COMPUTED_VALUE"""),"")</f>
        <v/>
      </c>
      <c r="CQ150" s="95" t="str">
        <f>IFERROR(__xludf.DUMMYFUNCTION("""COMPUTED_VALUE"""),"")</f>
        <v/>
      </c>
      <c r="CR150" s="96" t="str">
        <f>IFERROR(__xludf.DUMMYFUNCTION("""COMPUTED_VALUE"""),"")</f>
        <v/>
      </c>
      <c r="CS150" s="97" t="str">
        <f>IFERROR(__xludf.DUMMYFUNCTION("""COMPUTED_VALUE"""),"#REF!")</f>
        <v>#REF!</v>
      </c>
      <c r="CT150" s="95" t="str">
        <f>IFERROR(__xludf.DUMMYFUNCTION("""COMPUTED_VALUE"""),"#REF!")</f>
        <v>#REF!</v>
      </c>
      <c r="CU150" s="96" t="str">
        <f>IFERROR(__xludf.DUMMYFUNCTION("""COMPUTED_VALUE"""),"#REF!")</f>
        <v>#REF!</v>
      </c>
      <c r="CV150" s="97" t="str">
        <f>IFERROR(__xludf.DUMMYFUNCTION("""COMPUTED_VALUE"""),"#REF!")</f>
        <v>#REF!</v>
      </c>
      <c r="CW150" s="95" t="str">
        <f>IFERROR(__xludf.DUMMYFUNCTION("""COMPUTED_VALUE"""),"#REF!")</f>
        <v>#REF!</v>
      </c>
      <c r="CX150" s="96" t="str">
        <f>IFERROR(__xludf.DUMMYFUNCTION("""COMPUTED_VALUE"""),"#REF!")</f>
        <v>#REF!</v>
      </c>
      <c r="CY150" s="97" t="str">
        <f>IFERROR(__xludf.DUMMYFUNCTION("""COMPUTED_VALUE"""),"#REF!")</f>
        <v>#REF!</v>
      </c>
      <c r="CZ150" s="95" t="str">
        <f>IFERROR(__xludf.DUMMYFUNCTION("""COMPUTED_VALUE"""),"#REF!")</f>
        <v>#REF!</v>
      </c>
      <c r="DA150" s="96" t="str">
        <f>IFERROR(__xludf.DUMMYFUNCTION("""COMPUTED_VALUE"""),"#REF!")</f>
        <v>#REF!</v>
      </c>
      <c r="DB150" s="97" t="str">
        <f>IFERROR(__xludf.DUMMYFUNCTION("""COMPUTED_VALUE"""),"#REF!")</f>
        <v>#REF!</v>
      </c>
      <c r="DC150" s="95" t="str">
        <f>IFERROR(__xludf.DUMMYFUNCTION("""COMPUTED_VALUE"""),"#REF!")</f>
        <v>#REF!</v>
      </c>
      <c r="DD150" s="96" t="str">
        <f>IFERROR(__xludf.DUMMYFUNCTION("""COMPUTED_VALUE"""),"#REF!")</f>
        <v>#REF!</v>
      </c>
      <c r="DE150" s="97" t="str">
        <f>IFERROR(__xludf.DUMMYFUNCTION("""COMPUTED_VALUE"""),"#REF!")</f>
        <v>#REF!</v>
      </c>
      <c r="DF150" s="95" t="str">
        <f>IFERROR(__xludf.DUMMYFUNCTION("""COMPUTED_VALUE"""),"#REF!")</f>
        <v>#REF!</v>
      </c>
      <c r="DG150" s="96" t="str">
        <f>IFERROR(__xludf.DUMMYFUNCTION("""COMPUTED_VALUE"""),"#REF!")</f>
        <v>#REF!</v>
      </c>
      <c r="DH150" s="97" t="str">
        <f>IFERROR(__xludf.DUMMYFUNCTION("""COMPUTED_VALUE"""),"#REF!")</f>
        <v>#REF!</v>
      </c>
      <c r="DI150" s="95" t="str">
        <f>IFERROR(__xludf.DUMMYFUNCTION("""COMPUTED_VALUE"""),"#REF!")</f>
        <v>#REF!</v>
      </c>
      <c r="DJ150" s="96" t="str">
        <f>IFERROR(__xludf.DUMMYFUNCTION("""COMPUTED_VALUE"""),"#REF!")</f>
        <v>#REF!</v>
      </c>
      <c r="DK150" s="97" t="str">
        <f>IFERROR(__xludf.DUMMYFUNCTION("""COMPUTED_VALUE"""),"#REF!")</f>
        <v>#REF!</v>
      </c>
      <c r="DL150" s="95" t="str">
        <f>IFERROR(__xludf.DUMMYFUNCTION("""COMPUTED_VALUE"""),"#REF!")</f>
        <v>#REF!</v>
      </c>
      <c r="DM150" s="96" t="str">
        <f>IFERROR(__xludf.DUMMYFUNCTION("""COMPUTED_VALUE"""),"#REF!")</f>
        <v>#REF!</v>
      </c>
      <c r="DN150" s="97" t="str">
        <f>IFERROR(__xludf.DUMMYFUNCTION("""COMPUTED_VALUE"""),"#REF!")</f>
        <v>#REF!</v>
      </c>
      <c r="DO150" s="95" t="str">
        <f>IFERROR(__xludf.DUMMYFUNCTION("""COMPUTED_VALUE"""),"#REF!")</f>
        <v>#REF!</v>
      </c>
      <c r="DP150" s="96" t="str">
        <f>IFERROR(__xludf.DUMMYFUNCTION("""COMPUTED_VALUE"""),"#REF!")</f>
        <v>#REF!</v>
      </c>
      <c r="DQ150" s="97"/>
      <c r="DR150" s="95"/>
    </row>
    <row r="151">
      <c r="A151" s="152" t="str">
        <f>IFERROR(__xludf.DUMMYFUNCTION("""COMPUTED_VALUE"""),"AGARTHA")</f>
        <v>AGARTHA</v>
      </c>
      <c r="B151" s="120" t="str">
        <f>IFERROR(__xludf.DUMMYFUNCTION("""COMPUTED_VALUE"""),"AGT1")</f>
        <v>AGT1</v>
      </c>
      <c r="C151" s="82">
        <f>IFERROR(__xludf.DUMMYFUNCTION("""COMPUTED_VALUE"""),142.0)</f>
        <v>142</v>
      </c>
      <c r="D151" s="88" t="str">
        <f>IFERROR(__xludf.DUMMYFUNCTION("""COMPUTED_VALUE"""),"Underground Plains")</f>
        <v>Underground Plains</v>
      </c>
      <c r="E151" s="82" t="str">
        <f>IFERROR(__xludf.DUMMYFUNCTION("""COMPUTED_VALUE"""),"地底平原")</f>
        <v>地底平原</v>
      </c>
      <c r="F151" s="102">
        <f>IFERROR(__xludf.DUMMYFUNCTION("""COMPUTED_VALUE"""),20.0)</f>
        <v>20</v>
      </c>
      <c r="G151" s="82">
        <f>IFERROR(__xludf.DUMMYFUNCTION("""COMPUTED_VALUE"""),26340.0)</f>
        <v>26340</v>
      </c>
      <c r="H151" s="231">
        <f>IFERROR(__xludf.DUMMYFUNCTION("""COMPUTED_VALUE"""),20.4999999)</f>
        <v>20.4999999</v>
      </c>
      <c r="I151" s="232" t="str">
        <f>IFERROR(__xludf.DUMMYFUNCTION("""COMPUTED_VALUE"""),"")</f>
        <v/>
      </c>
      <c r="J151" s="233" t="str">
        <f>IFERROR(__xludf.DUMMYFUNCTION("""COMPUTED_VALUE"""),"")</f>
        <v/>
      </c>
      <c r="K151" s="231" t="str">
        <f>IFERROR(__xludf.DUMMYFUNCTION("""COMPUTED_VALUE"""),"")</f>
        <v/>
      </c>
      <c r="L151" s="232" t="str">
        <f>IFERROR(__xludf.DUMMYFUNCTION("""COMPUTED_VALUE"""),"")</f>
        <v/>
      </c>
      <c r="M151" s="233" t="str">
        <f>IFERROR(__xludf.DUMMYFUNCTION("""COMPUTED_VALUE"""),"")</f>
        <v/>
      </c>
      <c r="N151" s="231" t="str">
        <f>IFERROR(__xludf.DUMMYFUNCTION("""COMPUTED_VALUE"""),"")</f>
        <v/>
      </c>
      <c r="O151" s="232" t="str">
        <f>IFERROR(__xludf.DUMMYFUNCTION("""COMPUTED_VALUE"""),"")</f>
        <v/>
      </c>
      <c r="P151" s="233" t="str">
        <f>IFERROR(__xludf.DUMMYFUNCTION("""COMPUTED_VALUE"""),"")</f>
        <v/>
      </c>
      <c r="Q151" s="231" t="str">
        <f>IFERROR(__xludf.DUMMYFUNCTION("""COMPUTED_VALUE"""),"")</f>
        <v/>
      </c>
      <c r="R151" s="232" t="str">
        <f>IFERROR(__xludf.DUMMYFUNCTION("""COMPUTED_VALUE"""),"")</f>
        <v/>
      </c>
      <c r="S151" s="233" t="str">
        <f>IFERROR(__xludf.DUMMYFUNCTION("""COMPUTED_VALUE"""),"")</f>
        <v/>
      </c>
      <c r="T151" s="231" t="str">
        <f>IFERROR(__xludf.DUMMYFUNCTION("""COMPUTED_VALUE"""),"")</f>
        <v/>
      </c>
      <c r="U151" s="232" t="str">
        <f>IFERROR(__xludf.DUMMYFUNCTION("""COMPUTED_VALUE"""),"")</f>
        <v/>
      </c>
      <c r="V151" s="233" t="str">
        <f>IFERROR(__xludf.DUMMYFUNCTION("""COMPUTED_VALUE"""),"")</f>
        <v/>
      </c>
      <c r="W151" s="231" t="str">
        <f>IFERROR(__xludf.DUMMYFUNCTION("""COMPUTED_VALUE"""),"")</f>
        <v/>
      </c>
      <c r="X151" s="232" t="str">
        <f>IFERROR(__xludf.DUMMYFUNCTION("""COMPUTED_VALUE"""),"")</f>
        <v/>
      </c>
      <c r="Y151" s="233" t="str">
        <f>IFERROR(__xludf.DUMMYFUNCTION("""COMPUTED_VALUE"""),"")</f>
        <v/>
      </c>
      <c r="Z151" s="231" t="str">
        <f>IFERROR(__xludf.DUMMYFUNCTION("""COMPUTED_VALUE"""),"")</f>
        <v/>
      </c>
      <c r="AA151" s="232" t="str">
        <f>IFERROR(__xludf.DUMMYFUNCTION("""COMPUTED_VALUE"""),"")</f>
        <v/>
      </c>
      <c r="AB151" s="233" t="str">
        <f>IFERROR(__xludf.DUMMYFUNCTION("""COMPUTED_VALUE"""),"")</f>
        <v/>
      </c>
      <c r="AC151" s="231" t="str">
        <f>IFERROR(__xludf.DUMMYFUNCTION("""COMPUTED_VALUE"""),"")</f>
        <v/>
      </c>
      <c r="AD151" s="232" t="str">
        <f>IFERROR(__xludf.DUMMYFUNCTION("""COMPUTED_VALUE"""),"")</f>
        <v/>
      </c>
      <c r="AE151" s="233" t="str">
        <f>IFERROR(__xludf.DUMMYFUNCTION("""COMPUTED_VALUE"""),"")</f>
        <v/>
      </c>
      <c r="AF151" s="231" t="str">
        <f>IFERROR(__xludf.DUMMYFUNCTION("""COMPUTED_VALUE"""),"")</f>
        <v/>
      </c>
      <c r="AG151" s="232" t="str">
        <f>IFERROR(__xludf.DUMMYFUNCTION("""COMPUTED_VALUE"""),"")</f>
        <v/>
      </c>
      <c r="AH151" s="233" t="str">
        <f>IFERROR(__xludf.DUMMYFUNCTION("""COMPUTED_VALUE"""),"")</f>
        <v/>
      </c>
      <c r="AI151" s="231" t="str">
        <f>IFERROR(__xludf.DUMMYFUNCTION("""COMPUTED_VALUE"""),"")</f>
        <v/>
      </c>
      <c r="AJ151" s="232" t="str">
        <f>IFERROR(__xludf.DUMMYFUNCTION("""COMPUTED_VALUE"""),"")</f>
        <v/>
      </c>
      <c r="AK151" s="233" t="str">
        <f>IFERROR(__xludf.DUMMYFUNCTION("""COMPUTED_VALUE"""),"")</f>
        <v/>
      </c>
      <c r="AL151" s="231" t="str">
        <f>IFERROR(__xludf.DUMMYFUNCTION("""COMPUTED_VALUE"""),"")</f>
        <v/>
      </c>
      <c r="AM151" s="232" t="str">
        <f>IFERROR(__xludf.DUMMYFUNCTION("""COMPUTED_VALUE"""),"")</f>
        <v/>
      </c>
      <c r="AN151" s="233" t="str">
        <f>IFERROR(__xludf.DUMMYFUNCTION("""COMPUTED_VALUE"""),"")</f>
        <v/>
      </c>
      <c r="AO151" s="231" t="str">
        <f>IFERROR(__xludf.DUMMYFUNCTION("""COMPUTED_VALUE"""),"")</f>
        <v/>
      </c>
      <c r="AP151" s="232" t="str">
        <f>IFERROR(__xludf.DUMMYFUNCTION("""COMPUTED_VALUE"""),"")</f>
        <v/>
      </c>
      <c r="AQ151" s="233" t="str">
        <f>IFERROR(__xludf.DUMMYFUNCTION("""COMPUTED_VALUE"""),"")</f>
        <v/>
      </c>
      <c r="AR151" s="231" t="str">
        <f>IFERROR(__xludf.DUMMYFUNCTION("""COMPUTED_VALUE"""),"")</f>
        <v/>
      </c>
      <c r="AS151" s="232" t="str">
        <f>IFERROR(__xludf.DUMMYFUNCTION("""COMPUTED_VALUE"""),"")</f>
        <v/>
      </c>
      <c r="AT151" s="233" t="str">
        <f>IFERROR(__xludf.DUMMYFUNCTION("""COMPUTED_VALUE"""),"")</f>
        <v/>
      </c>
      <c r="AU151" s="231" t="str">
        <f>IFERROR(__xludf.DUMMYFUNCTION("""COMPUTED_VALUE"""),"")</f>
        <v/>
      </c>
      <c r="AV151" s="232">
        <f>IFERROR(__xludf.DUMMYFUNCTION("""COMPUTED_VALUE"""),39.9)</f>
        <v>39.9</v>
      </c>
      <c r="AW151" s="233" t="str">
        <f>IFERROR(__xludf.DUMMYFUNCTION("""COMPUTED_VALUE"""),"")</f>
        <v/>
      </c>
      <c r="AX151" s="231" t="str">
        <f>IFERROR(__xludf.DUMMYFUNCTION("""COMPUTED_VALUE"""),"")</f>
        <v/>
      </c>
      <c r="AY151" s="232" t="str">
        <f>IFERROR(__xludf.DUMMYFUNCTION("""COMPUTED_VALUE"""),"")</f>
        <v/>
      </c>
      <c r="AZ151" s="233" t="str">
        <f>IFERROR(__xludf.DUMMYFUNCTION("""COMPUTED_VALUE"""),"")</f>
        <v/>
      </c>
      <c r="BA151" s="231" t="str">
        <f>IFERROR(__xludf.DUMMYFUNCTION("""COMPUTED_VALUE"""),"")</f>
        <v/>
      </c>
      <c r="BB151" s="232" t="str">
        <f>IFERROR(__xludf.DUMMYFUNCTION("""COMPUTED_VALUE"""),"")</f>
        <v/>
      </c>
      <c r="BC151" s="233" t="str">
        <f>IFERROR(__xludf.DUMMYFUNCTION("""COMPUTED_VALUE"""),"")</f>
        <v/>
      </c>
      <c r="BD151" s="231" t="str">
        <f>IFERROR(__xludf.DUMMYFUNCTION("""COMPUTED_VALUE"""),"")</f>
        <v/>
      </c>
      <c r="BE151" s="232" t="str">
        <f>IFERROR(__xludf.DUMMYFUNCTION("""COMPUTED_VALUE"""),"")</f>
        <v/>
      </c>
      <c r="BF151" s="233" t="str">
        <f>IFERROR(__xludf.DUMMYFUNCTION("""COMPUTED_VALUE"""),"")</f>
        <v/>
      </c>
      <c r="BG151" s="231" t="str">
        <f>IFERROR(__xludf.DUMMYFUNCTION("""COMPUTED_VALUE"""),"")</f>
        <v/>
      </c>
      <c r="BH151" s="232" t="str">
        <f>IFERROR(__xludf.DUMMYFUNCTION("""COMPUTED_VALUE"""),"")</f>
        <v/>
      </c>
      <c r="BI151" s="233">
        <f>IFERROR(__xludf.DUMMYFUNCTION("""COMPUTED_VALUE"""),5.1)</f>
        <v>5.1</v>
      </c>
      <c r="BJ151" s="231" t="str">
        <f>IFERROR(__xludf.DUMMYFUNCTION("""COMPUTED_VALUE"""),"")</f>
        <v/>
      </c>
      <c r="BK151" s="232" t="str">
        <f>IFERROR(__xludf.DUMMYFUNCTION("""COMPUTED_VALUE"""),"")</f>
        <v/>
      </c>
      <c r="BL151" s="233" t="str">
        <f>IFERROR(__xludf.DUMMYFUNCTION("""COMPUTED_VALUE"""),"")</f>
        <v/>
      </c>
      <c r="BM151" s="231" t="str">
        <f>IFERROR(__xludf.DUMMYFUNCTION("""COMPUTED_VALUE"""),"")</f>
        <v/>
      </c>
      <c r="BN151" s="232" t="str">
        <f>IFERROR(__xludf.DUMMYFUNCTION("""COMPUTED_VALUE"""),"")</f>
        <v/>
      </c>
      <c r="BO151" s="233" t="str">
        <f>IFERROR(__xludf.DUMMYFUNCTION("""COMPUTED_VALUE"""),"")</f>
        <v/>
      </c>
      <c r="BP151" s="231" t="str">
        <f>IFERROR(__xludf.DUMMYFUNCTION("""COMPUTED_VALUE"""),"")</f>
        <v/>
      </c>
      <c r="BQ151" s="232" t="str">
        <f>IFERROR(__xludf.DUMMYFUNCTION("""COMPUTED_VALUE"""),"")</f>
        <v/>
      </c>
      <c r="BR151" s="233" t="str">
        <f>IFERROR(__xludf.DUMMYFUNCTION("""COMPUTED_VALUE"""),"")</f>
        <v/>
      </c>
      <c r="BS151" s="231" t="str">
        <f>IFERROR(__xludf.DUMMYFUNCTION("""COMPUTED_VALUE"""),"")</f>
        <v/>
      </c>
      <c r="BT151" s="232">
        <f>IFERROR(__xludf.DUMMYFUNCTION("""COMPUTED_VALUE"""),29.5)</f>
        <v>29.5</v>
      </c>
      <c r="BU151" s="233" t="str">
        <f>IFERROR(__xludf.DUMMYFUNCTION("""COMPUTED_VALUE"""),"")</f>
        <v/>
      </c>
      <c r="BV151" s="231" t="str">
        <f>IFERROR(__xludf.DUMMYFUNCTION("""COMPUTED_VALUE"""),"")</f>
        <v/>
      </c>
      <c r="BW151" s="232" t="str">
        <f>IFERROR(__xludf.DUMMYFUNCTION("""COMPUTED_VALUE"""),"")</f>
        <v/>
      </c>
      <c r="BX151" s="233" t="str">
        <f>IFERROR(__xludf.DUMMYFUNCTION("""COMPUTED_VALUE"""),"")</f>
        <v/>
      </c>
      <c r="BY151" s="231" t="str">
        <f>IFERROR(__xludf.DUMMYFUNCTION("""COMPUTED_VALUE"""),"")</f>
        <v/>
      </c>
      <c r="BZ151" s="232" t="str">
        <f>IFERROR(__xludf.DUMMYFUNCTION("""COMPUTED_VALUE"""),"")</f>
        <v/>
      </c>
      <c r="CA151" s="233" t="str">
        <f>IFERROR(__xludf.DUMMYFUNCTION("""COMPUTED_VALUE"""),"")</f>
        <v/>
      </c>
      <c r="CB151" s="231" t="str">
        <f>IFERROR(__xludf.DUMMYFUNCTION("""COMPUTED_VALUE"""),"")</f>
        <v/>
      </c>
      <c r="CC151" s="232" t="str">
        <f>IFERROR(__xludf.DUMMYFUNCTION("""COMPUTED_VALUE"""),"")</f>
        <v/>
      </c>
      <c r="CD151" s="233" t="str">
        <f>IFERROR(__xludf.DUMMYFUNCTION("""COMPUTED_VALUE"""),"")</f>
        <v/>
      </c>
      <c r="CE151" s="234" t="str">
        <f>IFERROR(__xludf.DUMMYFUNCTION("""COMPUTED_VALUE"""),"")</f>
        <v/>
      </c>
      <c r="CF151" s="230" t="str">
        <f>IFERROR(__xludf.DUMMYFUNCTION("""COMPUTED_VALUE"""),"")</f>
        <v/>
      </c>
      <c r="CG151" s="235" t="str">
        <f>IFERROR(__xludf.DUMMYFUNCTION("""COMPUTED_VALUE"""),"")</f>
        <v/>
      </c>
      <c r="CH151" s="234" t="str">
        <f>IFERROR(__xludf.DUMMYFUNCTION("""COMPUTED_VALUE"""),"")</f>
        <v/>
      </c>
      <c r="CI151" s="230" t="str">
        <f>IFERROR(__xludf.DUMMYFUNCTION("""COMPUTED_VALUE"""),"")</f>
        <v/>
      </c>
      <c r="CJ151" s="235" t="str">
        <f>IFERROR(__xludf.DUMMYFUNCTION("""COMPUTED_VALUE"""),"")</f>
        <v/>
      </c>
      <c r="CK151" s="95" t="str">
        <f>IFERROR(__xludf.DUMMYFUNCTION("""COMPUTED_VALUE"""),"")</f>
        <v/>
      </c>
      <c r="CL151" s="96" t="str">
        <f>IFERROR(__xludf.DUMMYFUNCTION("""COMPUTED_VALUE"""),"")</f>
        <v/>
      </c>
      <c r="CM151" s="97" t="str">
        <f>IFERROR(__xludf.DUMMYFUNCTION("""COMPUTED_VALUE"""),"")</f>
        <v/>
      </c>
      <c r="CN151" s="95" t="str">
        <f>IFERROR(__xludf.DUMMYFUNCTION("""COMPUTED_VALUE"""),"")</f>
        <v/>
      </c>
      <c r="CO151" s="96" t="str">
        <f>IFERROR(__xludf.DUMMYFUNCTION("""COMPUTED_VALUE"""),"")</f>
        <v/>
      </c>
      <c r="CP151" s="97" t="str">
        <f>IFERROR(__xludf.DUMMYFUNCTION("""COMPUTED_VALUE"""),"")</f>
        <v/>
      </c>
      <c r="CQ151" s="95" t="str">
        <f>IFERROR(__xludf.DUMMYFUNCTION("""COMPUTED_VALUE"""),"")</f>
        <v/>
      </c>
      <c r="CR151" s="96">
        <f>IFERROR(__xludf.DUMMYFUNCTION("""COMPUTED_VALUE"""),4.7)</f>
        <v>4.7</v>
      </c>
      <c r="CS151" s="97" t="str">
        <f>IFERROR(__xludf.DUMMYFUNCTION("""COMPUTED_VALUE"""),"#REF!")</f>
        <v>#REF!</v>
      </c>
      <c r="CT151" s="95" t="str">
        <f>IFERROR(__xludf.DUMMYFUNCTION("""COMPUTED_VALUE"""),"#REF!")</f>
        <v>#REF!</v>
      </c>
      <c r="CU151" s="96" t="str">
        <f>IFERROR(__xludf.DUMMYFUNCTION("""COMPUTED_VALUE"""),"#REF!")</f>
        <v>#REF!</v>
      </c>
      <c r="CV151" s="97" t="str">
        <f>IFERROR(__xludf.DUMMYFUNCTION("""COMPUTED_VALUE"""),"#REF!")</f>
        <v>#REF!</v>
      </c>
      <c r="CW151" s="95" t="str">
        <f>IFERROR(__xludf.DUMMYFUNCTION("""COMPUTED_VALUE"""),"#REF!")</f>
        <v>#REF!</v>
      </c>
      <c r="CX151" s="96" t="str">
        <f>IFERROR(__xludf.DUMMYFUNCTION("""COMPUTED_VALUE"""),"#REF!")</f>
        <v>#REF!</v>
      </c>
      <c r="CY151" s="97" t="str">
        <f>IFERROR(__xludf.DUMMYFUNCTION("""COMPUTED_VALUE"""),"#REF!")</f>
        <v>#REF!</v>
      </c>
      <c r="CZ151" s="95" t="str">
        <f>IFERROR(__xludf.DUMMYFUNCTION("""COMPUTED_VALUE"""),"#REF!")</f>
        <v>#REF!</v>
      </c>
      <c r="DA151" s="96" t="str">
        <f>IFERROR(__xludf.DUMMYFUNCTION("""COMPUTED_VALUE"""),"#REF!")</f>
        <v>#REF!</v>
      </c>
      <c r="DB151" s="97" t="str">
        <f>IFERROR(__xludf.DUMMYFUNCTION("""COMPUTED_VALUE"""),"#REF!")</f>
        <v>#REF!</v>
      </c>
      <c r="DC151" s="95" t="str">
        <f>IFERROR(__xludf.DUMMYFUNCTION("""COMPUTED_VALUE"""),"#REF!")</f>
        <v>#REF!</v>
      </c>
      <c r="DD151" s="96" t="str">
        <f>IFERROR(__xludf.DUMMYFUNCTION("""COMPUTED_VALUE"""),"#REF!")</f>
        <v>#REF!</v>
      </c>
      <c r="DE151" s="97" t="str">
        <f>IFERROR(__xludf.DUMMYFUNCTION("""COMPUTED_VALUE"""),"#REF!")</f>
        <v>#REF!</v>
      </c>
      <c r="DF151" s="95" t="str">
        <f>IFERROR(__xludf.DUMMYFUNCTION("""COMPUTED_VALUE"""),"#REF!")</f>
        <v>#REF!</v>
      </c>
      <c r="DG151" s="96" t="str">
        <f>IFERROR(__xludf.DUMMYFUNCTION("""COMPUTED_VALUE"""),"#REF!")</f>
        <v>#REF!</v>
      </c>
      <c r="DH151" s="97" t="str">
        <f>IFERROR(__xludf.DUMMYFUNCTION("""COMPUTED_VALUE"""),"#REF!")</f>
        <v>#REF!</v>
      </c>
      <c r="DI151" s="95" t="str">
        <f>IFERROR(__xludf.DUMMYFUNCTION("""COMPUTED_VALUE"""),"#REF!")</f>
        <v>#REF!</v>
      </c>
      <c r="DJ151" s="96" t="str">
        <f>IFERROR(__xludf.DUMMYFUNCTION("""COMPUTED_VALUE"""),"#REF!")</f>
        <v>#REF!</v>
      </c>
      <c r="DK151" s="97" t="str">
        <f>IFERROR(__xludf.DUMMYFUNCTION("""COMPUTED_VALUE"""),"#REF!")</f>
        <v>#REF!</v>
      </c>
      <c r="DL151" s="95" t="str">
        <f>IFERROR(__xludf.DUMMYFUNCTION("""COMPUTED_VALUE"""),"#REF!")</f>
        <v>#REF!</v>
      </c>
      <c r="DM151" s="96" t="str">
        <f>IFERROR(__xludf.DUMMYFUNCTION("""COMPUTED_VALUE"""),"#REF!")</f>
        <v>#REF!</v>
      </c>
      <c r="DN151" s="97" t="str">
        <f>IFERROR(__xludf.DUMMYFUNCTION("""COMPUTED_VALUE"""),"#REF!")</f>
        <v>#REF!</v>
      </c>
      <c r="DO151" s="95" t="str">
        <f>IFERROR(__xludf.DUMMYFUNCTION("""COMPUTED_VALUE"""),"#REF!")</f>
        <v>#REF!</v>
      </c>
      <c r="DP151" s="96" t="str">
        <f>IFERROR(__xludf.DUMMYFUNCTION("""COMPUTED_VALUE"""),"#REF!")</f>
        <v>#REF!</v>
      </c>
      <c r="DQ151" s="97"/>
      <c r="DR151" s="95"/>
    </row>
    <row r="152">
      <c r="B152" s="120" t="str">
        <f>IFERROR(__xludf.DUMMYFUNCTION("""COMPUTED_VALUE"""),"AGT2")</f>
        <v>AGT2</v>
      </c>
      <c r="C152" s="82">
        <f>IFERROR(__xludf.DUMMYFUNCTION("""COMPUTED_VALUE"""),143.0)</f>
        <v>143</v>
      </c>
      <c r="D152" s="88" t="str">
        <f>IFERROR(__xludf.DUMMYFUNCTION("""COMPUTED_VALUE"""),"Camping Ground")</f>
        <v>Camping Ground</v>
      </c>
      <c r="E152" s="82" t="str">
        <f>IFERROR(__xludf.DUMMYFUNCTION("""COMPUTED_VALUE"""),"野営地")</f>
        <v>野営地</v>
      </c>
      <c r="F152" s="102">
        <f>IFERROR(__xludf.DUMMYFUNCTION("""COMPUTED_VALUE"""),20.0)</f>
        <v>20</v>
      </c>
      <c r="G152" s="82">
        <f>IFERROR(__xludf.DUMMYFUNCTION("""COMPUTED_VALUE"""),2303.0)</f>
        <v>2303</v>
      </c>
      <c r="H152" s="231" t="str">
        <f>IFERROR(__xludf.DUMMYFUNCTION("""COMPUTED_VALUE"""),"")</f>
        <v/>
      </c>
      <c r="I152" s="232" t="str">
        <f>IFERROR(__xludf.DUMMYFUNCTION("""COMPUTED_VALUE"""),"")</f>
        <v/>
      </c>
      <c r="J152" s="233" t="str">
        <f>IFERROR(__xludf.DUMMYFUNCTION("""COMPUTED_VALUE"""),"")</f>
        <v/>
      </c>
      <c r="K152" s="231" t="str">
        <f>IFERROR(__xludf.DUMMYFUNCTION("""COMPUTED_VALUE"""),"")</f>
        <v/>
      </c>
      <c r="L152" s="232">
        <f>IFERROR(__xludf.DUMMYFUNCTION("""COMPUTED_VALUE"""),21.8)</f>
        <v>21.8</v>
      </c>
      <c r="M152" s="233" t="str">
        <f>IFERROR(__xludf.DUMMYFUNCTION("""COMPUTED_VALUE"""),"")</f>
        <v/>
      </c>
      <c r="N152" s="231" t="str">
        <f>IFERROR(__xludf.DUMMYFUNCTION("""COMPUTED_VALUE"""),"")</f>
        <v/>
      </c>
      <c r="O152" s="232" t="str">
        <f>IFERROR(__xludf.DUMMYFUNCTION("""COMPUTED_VALUE"""),"")</f>
        <v/>
      </c>
      <c r="P152" s="233" t="str">
        <f>IFERROR(__xludf.DUMMYFUNCTION("""COMPUTED_VALUE"""),"")</f>
        <v/>
      </c>
      <c r="Q152" s="231" t="str">
        <f>IFERROR(__xludf.DUMMYFUNCTION("""COMPUTED_VALUE"""),"")</f>
        <v/>
      </c>
      <c r="R152" s="232" t="str">
        <f>IFERROR(__xludf.DUMMYFUNCTION("""COMPUTED_VALUE"""),"")</f>
        <v/>
      </c>
      <c r="S152" s="233" t="str">
        <f>IFERROR(__xludf.DUMMYFUNCTION("""COMPUTED_VALUE"""),"")</f>
        <v/>
      </c>
      <c r="T152" s="231" t="str">
        <f>IFERROR(__xludf.DUMMYFUNCTION("""COMPUTED_VALUE"""),"")</f>
        <v/>
      </c>
      <c r="U152" s="232" t="str">
        <f>IFERROR(__xludf.DUMMYFUNCTION("""COMPUTED_VALUE"""),"")</f>
        <v/>
      </c>
      <c r="V152" s="233" t="str">
        <f>IFERROR(__xludf.DUMMYFUNCTION("""COMPUTED_VALUE"""),"")</f>
        <v/>
      </c>
      <c r="W152" s="231" t="str">
        <f>IFERROR(__xludf.DUMMYFUNCTION("""COMPUTED_VALUE"""),"")</f>
        <v/>
      </c>
      <c r="X152" s="232" t="str">
        <f>IFERROR(__xludf.DUMMYFUNCTION("""COMPUTED_VALUE"""),"")</f>
        <v/>
      </c>
      <c r="Y152" s="233" t="str">
        <f>IFERROR(__xludf.DUMMYFUNCTION("""COMPUTED_VALUE"""),"")</f>
        <v/>
      </c>
      <c r="Z152" s="231">
        <f>IFERROR(__xludf.DUMMYFUNCTION("""COMPUTED_VALUE"""),17.0)</f>
        <v>17</v>
      </c>
      <c r="AA152" s="232" t="str">
        <f>IFERROR(__xludf.DUMMYFUNCTION("""COMPUTED_VALUE"""),"")</f>
        <v/>
      </c>
      <c r="AB152" s="233" t="str">
        <f>IFERROR(__xludf.DUMMYFUNCTION("""COMPUTED_VALUE"""),"")</f>
        <v/>
      </c>
      <c r="AC152" s="231" t="str">
        <f>IFERROR(__xludf.DUMMYFUNCTION("""COMPUTED_VALUE"""),"")</f>
        <v/>
      </c>
      <c r="AD152" s="232">
        <f>IFERROR(__xludf.DUMMYFUNCTION("""COMPUTED_VALUE"""),14.9)</f>
        <v>14.9</v>
      </c>
      <c r="AE152" s="233" t="str">
        <f>IFERROR(__xludf.DUMMYFUNCTION("""COMPUTED_VALUE"""),"")</f>
        <v/>
      </c>
      <c r="AF152" s="231" t="str">
        <f>IFERROR(__xludf.DUMMYFUNCTION("""COMPUTED_VALUE"""),"")</f>
        <v/>
      </c>
      <c r="AG152" s="232" t="str">
        <f>IFERROR(__xludf.DUMMYFUNCTION("""COMPUTED_VALUE"""),"")</f>
        <v/>
      </c>
      <c r="AH152" s="233" t="str">
        <f>IFERROR(__xludf.DUMMYFUNCTION("""COMPUTED_VALUE"""),"")</f>
        <v/>
      </c>
      <c r="AI152" s="231" t="str">
        <f>IFERROR(__xludf.DUMMYFUNCTION("""COMPUTED_VALUE"""),"")</f>
        <v/>
      </c>
      <c r="AJ152" s="232" t="str">
        <f>IFERROR(__xludf.DUMMYFUNCTION("""COMPUTED_VALUE"""),"")</f>
        <v/>
      </c>
      <c r="AK152" s="233" t="str">
        <f>IFERROR(__xludf.DUMMYFUNCTION("""COMPUTED_VALUE"""),"")</f>
        <v/>
      </c>
      <c r="AL152" s="231" t="str">
        <f>IFERROR(__xludf.DUMMYFUNCTION("""COMPUTED_VALUE"""),"")</f>
        <v/>
      </c>
      <c r="AM152" s="232" t="str">
        <f>IFERROR(__xludf.DUMMYFUNCTION("""COMPUTED_VALUE"""),"")</f>
        <v/>
      </c>
      <c r="AN152" s="233" t="str">
        <f>IFERROR(__xludf.DUMMYFUNCTION("""COMPUTED_VALUE"""),"")</f>
        <v/>
      </c>
      <c r="AO152" s="231" t="str">
        <f>IFERROR(__xludf.DUMMYFUNCTION("""COMPUTED_VALUE"""),"")</f>
        <v/>
      </c>
      <c r="AP152" s="232" t="str">
        <f>IFERROR(__xludf.DUMMYFUNCTION("""COMPUTED_VALUE"""),"")</f>
        <v/>
      </c>
      <c r="AQ152" s="233" t="str">
        <f>IFERROR(__xludf.DUMMYFUNCTION("""COMPUTED_VALUE"""),"")</f>
        <v/>
      </c>
      <c r="AR152" s="231" t="str">
        <f>IFERROR(__xludf.DUMMYFUNCTION("""COMPUTED_VALUE"""),"")</f>
        <v/>
      </c>
      <c r="AS152" s="232" t="str">
        <f>IFERROR(__xludf.DUMMYFUNCTION("""COMPUTED_VALUE"""),"")</f>
        <v/>
      </c>
      <c r="AT152" s="233" t="str">
        <f>IFERROR(__xludf.DUMMYFUNCTION("""COMPUTED_VALUE"""),"")</f>
        <v/>
      </c>
      <c r="AU152" s="231" t="str">
        <f>IFERROR(__xludf.DUMMYFUNCTION("""COMPUTED_VALUE"""),"")</f>
        <v/>
      </c>
      <c r="AV152" s="232" t="str">
        <f>IFERROR(__xludf.DUMMYFUNCTION("""COMPUTED_VALUE"""),"")</f>
        <v/>
      </c>
      <c r="AW152" s="233" t="str">
        <f>IFERROR(__xludf.DUMMYFUNCTION("""COMPUTED_VALUE"""),"")</f>
        <v/>
      </c>
      <c r="AX152" s="231" t="str">
        <f>IFERROR(__xludf.DUMMYFUNCTION("""COMPUTED_VALUE"""),"")</f>
        <v/>
      </c>
      <c r="AY152" s="232" t="str">
        <f>IFERROR(__xludf.DUMMYFUNCTION("""COMPUTED_VALUE"""),"")</f>
        <v/>
      </c>
      <c r="AZ152" s="233" t="str">
        <f>IFERROR(__xludf.DUMMYFUNCTION("""COMPUTED_VALUE"""),"")</f>
        <v/>
      </c>
      <c r="BA152" s="231" t="str">
        <f>IFERROR(__xludf.DUMMYFUNCTION("""COMPUTED_VALUE"""),"")</f>
        <v/>
      </c>
      <c r="BB152" s="232" t="str">
        <f>IFERROR(__xludf.DUMMYFUNCTION("""COMPUTED_VALUE"""),"")</f>
        <v/>
      </c>
      <c r="BC152" s="233" t="str">
        <f>IFERROR(__xludf.DUMMYFUNCTION("""COMPUTED_VALUE"""),"")</f>
        <v/>
      </c>
      <c r="BD152" s="231" t="str">
        <f>IFERROR(__xludf.DUMMYFUNCTION("""COMPUTED_VALUE"""),"")</f>
        <v/>
      </c>
      <c r="BE152" s="232" t="str">
        <f>IFERROR(__xludf.DUMMYFUNCTION("""COMPUTED_VALUE"""),"")</f>
        <v/>
      </c>
      <c r="BF152" s="233" t="str">
        <f>IFERROR(__xludf.DUMMYFUNCTION("""COMPUTED_VALUE"""),"")</f>
        <v/>
      </c>
      <c r="BG152" s="231" t="str">
        <f>IFERROR(__xludf.DUMMYFUNCTION("""COMPUTED_VALUE"""),"")</f>
        <v/>
      </c>
      <c r="BH152" s="232" t="str">
        <f>IFERROR(__xludf.DUMMYFUNCTION("""COMPUTED_VALUE"""),"")</f>
        <v/>
      </c>
      <c r="BI152" s="233" t="str">
        <f>IFERROR(__xludf.DUMMYFUNCTION("""COMPUTED_VALUE"""),"")</f>
        <v/>
      </c>
      <c r="BJ152" s="231" t="str">
        <f>IFERROR(__xludf.DUMMYFUNCTION("""COMPUTED_VALUE"""),"")</f>
        <v/>
      </c>
      <c r="BK152" s="232" t="str">
        <f>IFERROR(__xludf.DUMMYFUNCTION("""COMPUTED_VALUE"""),"")</f>
        <v/>
      </c>
      <c r="BL152" s="233">
        <f>IFERROR(__xludf.DUMMYFUNCTION("""COMPUTED_VALUE"""),17.7)</f>
        <v>17.7</v>
      </c>
      <c r="BM152" s="231" t="str">
        <f>IFERROR(__xludf.DUMMYFUNCTION("""COMPUTED_VALUE"""),"")</f>
        <v/>
      </c>
      <c r="BN152" s="232" t="str">
        <f>IFERROR(__xludf.DUMMYFUNCTION("""COMPUTED_VALUE"""),"")</f>
        <v/>
      </c>
      <c r="BO152" s="233" t="str">
        <f>IFERROR(__xludf.DUMMYFUNCTION("""COMPUTED_VALUE"""),"")</f>
        <v/>
      </c>
      <c r="BP152" s="231" t="str">
        <f>IFERROR(__xludf.DUMMYFUNCTION("""COMPUTED_VALUE"""),"")</f>
        <v/>
      </c>
      <c r="BQ152" s="232" t="str">
        <f>IFERROR(__xludf.DUMMYFUNCTION("""COMPUTED_VALUE"""),"")</f>
        <v/>
      </c>
      <c r="BR152" s="233" t="str">
        <f>IFERROR(__xludf.DUMMYFUNCTION("""COMPUTED_VALUE"""),"")</f>
        <v/>
      </c>
      <c r="BS152" s="231">
        <f>IFERROR(__xludf.DUMMYFUNCTION("""COMPUTED_VALUE"""),41.7)</f>
        <v>41.7</v>
      </c>
      <c r="BT152" s="232" t="str">
        <f>IFERROR(__xludf.DUMMYFUNCTION("""COMPUTED_VALUE"""),"")</f>
        <v/>
      </c>
      <c r="BU152" s="233" t="str">
        <f>IFERROR(__xludf.DUMMYFUNCTION("""COMPUTED_VALUE"""),"")</f>
        <v/>
      </c>
      <c r="BV152" s="231" t="str">
        <f>IFERROR(__xludf.DUMMYFUNCTION("""COMPUTED_VALUE"""),"")</f>
        <v/>
      </c>
      <c r="BW152" s="232" t="str">
        <f>IFERROR(__xludf.DUMMYFUNCTION("""COMPUTED_VALUE"""),"")</f>
        <v/>
      </c>
      <c r="BX152" s="233" t="str">
        <f>IFERROR(__xludf.DUMMYFUNCTION("""COMPUTED_VALUE"""),"")</f>
        <v/>
      </c>
      <c r="BY152" s="231" t="str">
        <f>IFERROR(__xludf.DUMMYFUNCTION("""COMPUTED_VALUE"""),"")</f>
        <v/>
      </c>
      <c r="BZ152" s="232" t="str">
        <f>IFERROR(__xludf.DUMMYFUNCTION("""COMPUTED_VALUE"""),"")</f>
        <v/>
      </c>
      <c r="CA152" s="233" t="str">
        <f>IFERROR(__xludf.DUMMYFUNCTION("""COMPUTED_VALUE"""),"")</f>
        <v/>
      </c>
      <c r="CB152" s="231" t="str">
        <f>IFERROR(__xludf.DUMMYFUNCTION("""COMPUTED_VALUE"""),"")</f>
        <v/>
      </c>
      <c r="CC152" s="232" t="str">
        <f>IFERROR(__xludf.DUMMYFUNCTION("""COMPUTED_VALUE"""),"")</f>
        <v/>
      </c>
      <c r="CD152" s="233" t="str">
        <f>IFERROR(__xludf.DUMMYFUNCTION("""COMPUTED_VALUE"""),"")</f>
        <v/>
      </c>
      <c r="CE152" s="234" t="str">
        <f>IFERROR(__xludf.DUMMYFUNCTION("""COMPUTED_VALUE"""),"")</f>
        <v/>
      </c>
      <c r="CF152" s="230" t="str">
        <f>IFERROR(__xludf.DUMMYFUNCTION("""COMPUTED_VALUE"""),"")</f>
        <v/>
      </c>
      <c r="CG152" s="235" t="str">
        <f>IFERROR(__xludf.DUMMYFUNCTION("""COMPUTED_VALUE"""),"")</f>
        <v/>
      </c>
      <c r="CH152" s="234" t="str">
        <f>IFERROR(__xludf.DUMMYFUNCTION("""COMPUTED_VALUE"""),"")</f>
        <v/>
      </c>
      <c r="CI152" s="230" t="str">
        <f>IFERROR(__xludf.DUMMYFUNCTION("""COMPUTED_VALUE"""),"")</f>
        <v/>
      </c>
      <c r="CJ152" s="235" t="str">
        <f>IFERROR(__xludf.DUMMYFUNCTION("""COMPUTED_VALUE"""),"")</f>
        <v/>
      </c>
      <c r="CK152" s="95" t="str">
        <f>IFERROR(__xludf.DUMMYFUNCTION("""COMPUTED_VALUE"""),"")</f>
        <v/>
      </c>
      <c r="CL152" s="96" t="str">
        <f>IFERROR(__xludf.DUMMYFUNCTION("""COMPUTED_VALUE"""),"")</f>
        <v/>
      </c>
      <c r="CM152" s="97" t="str">
        <f>IFERROR(__xludf.DUMMYFUNCTION("""COMPUTED_VALUE"""),"")</f>
        <v/>
      </c>
      <c r="CN152" s="95">
        <f>IFERROR(__xludf.DUMMYFUNCTION("""COMPUTED_VALUE"""),5.4)</f>
        <v>5.4</v>
      </c>
      <c r="CO152" s="96" t="str">
        <f>IFERROR(__xludf.DUMMYFUNCTION("""COMPUTED_VALUE"""),"")</f>
        <v/>
      </c>
      <c r="CP152" s="97" t="str">
        <f>IFERROR(__xludf.DUMMYFUNCTION("""COMPUTED_VALUE"""),"")</f>
        <v/>
      </c>
      <c r="CQ152" s="95" t="str">
        <f>IFERROR(__xludf.DUMMYFUNCTION("""COMPUTED_VALUE"""),"")</f>
        <v/>
      </c>
      <c r="CR152" s="96" t="str">
        <f>IFERROR(__xludf.DUMMYFUNCTION("""COMPUTED_VALUE"""),"")</f>
        <v/>
      </c>
      <c r="CS152" s="97" t="str">
        <f>IFERROR(__xludf.DUMMYFUNCTION("""COMPUTED_VALUE"""),"#REF!")</f>
        <v>#REF!</v>
      </c>
      <c r="CT152" s="95" t="str">
        <f>IFERROR(__xludf.DUMMYFUNCTION("""COMPUTED_VALUE"""),"#REF!")</f>
        <v>#REF!</v>
      </c>
      <c r="CU152" s="96" t="str">
        <f>IFERROR(__xludf.DUMMYFUNCTION("""COMPUTED_VALUE"""),"#REF!")</f>
        <v>#REF!</v>
      </c>
      <c r="CV152" s="97" t="str">
        <f>IFERROR(__xludf.DUMMYFUNCTION("""COMPUTED_VALUE"""),"#REF!")</f>
        <v>#REF!</v>
      </c>
      <c r="CW152" s="95" t="str">
        <f>IFERROR(__xludf.DUMMYFUNCTION("""COMPUTED_VALUE"""),"#REF!")</f>
        <v>#REF!</v>
      </c>
      <c r="CX152" s="96" t="str">
        <f>IFERROR(__xludf.DUMMYFUNCTION("""COMPUTED_VALUE"""),"#REF!")</f>
        <v>#REF!</v>
      </c>
      <c r="CY152" s="97" t="str">
        <f>IFERROR(__xludf.DUMMYFUNCTION("""COMPUTED_VALUE"""),"#REF!")</f>
        <v>#REF!</v>
      </c>
      <c r="CZ152" s="95" t="str">
        <f>IFERROR(__xludf.DUMMYFUNCTION("""COMPUTED_VALUE"""),"#REF!")</f>
        <v>#REF!</v>
      </c>
      <c r="DA152" s="96" t="str">
        <f>IFERROR(__xludf.DUMMYFUNCTION("""COMPUTED_VALUE"""),"#REF!")</f>
        <v>#REF!</v>
      </c>
      <c r="DB152" s="97" t="str">
        <f>IFERROR(__xludf.DUMMYFUNCTION("""COMPUTED_VALUE"""),"#REF!")</f>
        <v>#REF!</v>
      </c>
      <c r="DC152" s="95" t="str">
        <f>IFERROR(__xludf.DUMMYFUNCTION("""COMPUTED_VALUE"""),"#REF!")</f>
        <v>#REF!</v>
      </c>
      <c r="DD152" s="96" t="str">
        <f>IFERROR(__xludf.DUMMYFUNCTION("""COMPUTED_VALUE"""),"#REF!")</f>
        <v>#REF!</v>
      </c>
      <c r="DE152" s="97" t="str">
        <f>IFERROR(__xludf.DUMMYFUNCTION("""COMPUTED_VALUE"""),"#REF!")</f>
        <v>#REF!</v>
      </c>
      <c r="DF152" s="95" t="str">
        <f>IFERROR(__xludf.DUMMYFUNCTION("""COMPUTED_VALUE"""),"#REF!")</f>
        <v>#REF!</v>
      </c>
      <c r="DG152" s="96" t="str">
        <f>IFERROR(__xludf.DUMMYFUNCTION("""COMPUTED_VALUE"""),"#REF!")</f>
        <v>#REF!</v>
      </c>
      <c r="DH152" s="97" t="str">
        <f>IFERROR(__xludf.DUMMYFUNCTION("""COMPUTED_VALUE"""),"#REF!")</f>
        <v>#REF!</v>
      </c>
      <c r="DI152" s="95" t="str">
        <f>IFERROR(__xludf.DUMMYFUNCTION("""COMPUTED_VALUE"""),"#REF!")</f>
        <v>#REF!</v>
      </c>
      <c r="DJ152" s="96" t="str">
        <f>IFERROR(__xludf.DUMMYFUNCTION("""COMPUTED_VALUE"""),"#REF!")</f>
        <v>#REF!</v>
      </c>
      <c r="DK152" s="97" t="str">
        <f>IFERROR(__xludf.DUMMYFUNCTION("""COMPUTED_VALUE"""),"#REF!")</f>
        <v>#REF!</v>
      </c>
      <c r="DL152" s="95" t="str">
        <f>IFERROR(__xludf.DUMMYFUNCTION("""COMPUTED_VALUE"""),"#REF!")</f>
        <v>#REF!</v>
      </c>
      <c r="DM152" s="96" t="str">
        <f>IFERROR(__xludf.DUMMYFUNCTION("""COMPUTED_VALUE"""),"#REF!")</f>
        <v>#REF!</v>
      </c>
      <c r="DN152" s="97" t="str">
        <f>IFERROR(__xludf.DUMMYFUNCTION("""COMPUTED_VALUE"""),"#REF!")</f>
        <v>#REF!</v>
      </c>
      <c r="DO152" s="95" t="str">
        <f>IFERROR(__xludf.DUMMYFUNCTION("""COMPUTED_VALUE"""),"#REF!")</f>
        <v>#REF!</v>
      </c>
      <c r="DP152" s="96" t="str">
        <f>IFERROR(__xludf.DUMMYFUNCTION("""COMPUTED_VALUE"""),"#REF!")</f>
        <v>#REF!</v>
      </c>
      <c r="DQ152" s="97"/>
      <c r="DR152" s="95"/>
    </row>
    <row r="153">
      <c r="B153" s="120" t="str">
        <f>IFERROR(__xludf.DUMMYFUNCTION("""COMPUTED_VALUE"""),"AGT3")</f>
        <v>AGT3</v>
      </c>
      <c r="C153" s="82">
        <f>IFERROR(__xludf.DUMMYFUNCTION("""COMPUTED_VALUE"""),144.0)</f>
        <v>144</v>
      </c>
      <c r="D153" s="88" t="str">
        <f>IFERROR(__xludf.DUMMYFUNCTION("""COMPUTED_VALUE"""),"Riverside Town")</f>
        <v>Riverside Town</v>
      </c>
      <c r="E153" s="82" t="str">
        <f>IFERROR(__xludf.DUMMYFUNCTION("""COMPUTED_VALUE"""),"川辺の町")</f>
        <v>川辺の町</v>
      </c>
      <c r="F153" s="102">
        <f>IFERROR(__xludf.DUMMYFUNCTION("""COMPUTED_VALUE"""),20.0)</f>
        <v>20</v>
      </c>
      <c r="G153" s="82">
        <f>IFERROR(__xludf.DUMMYFUNCTION("""COMPUTED_VALUE"""),20334.0)</f>
        <v>20334</v>
      </c>
      <c r="H153" s="231" t="str">
        <f>IFERROR(__xludf.DUMMYFUNCTION("""COMPUTED_VALUE"""),"")</f>
        <v/>
      </c>
      <c r="I153" s="232" t="str">
        <f>IFERROR(__xludf.DUMMYFUNCTION("""COMPUTED_VALUE"""),"")</f>
        <v/>
      </c>
      <c r="J153" s="233" t="str">
        <f>IFERROR(__xludf.DUMMYFUNCTION("""COMPUTED_VALUE"""),"")</f>
        <v/>
      </c>
      <c r="K153" s="231" t="str">
        <f>IFERROR(__xludf.DUMMYFUNCTION("""COMPUTED_VALUE"""),"")</f>
        <v/>
      </c>
      <c r="L153" s="232" t="str">
        <f>IFERROR(__xludf.DUMMYFUNCTION("""COMPUTED_VALUE"""),"")</f>
        <v/>
      </c>
      <c r="M153" s="233" t="str">
        <f>IFERROR(__xludf.DUMMYFUNCTION("""COMPUTED_VALUE"""),"")</f>
        <v/>
      </c>
      <c r="N153" s="231" t="str">
        <f>IFERROR(__xludf.DUMMYFUNCTION("""COMPUTED_VALUE"""),"")</f>
        <v/>
      </c>
      <c r="O153" s="232" t="str">
        <f>IFERROR(__xludf.DUMMYFUNCTION("""COMPUTED_VALUE"""),"")</f>
        <v/>
      </c>
      <c r="P153" s="233" t="str">
        <f>IFERROR(__xludf.DUMMYFUNCTION("""COMPUTED_VALUE"""),"")</f>
        <v/>
      </c>
      <c r="Q153" s="231" t="str">
        <f>IFERROR(__xludf.DUMMYFUNCTION("""COMPUTED_VALUE"""),"")</f>
        <v/>
      </c>
      <c r="R153" s="232" t="str">
        <f>IFERROR(__xludf.DUMMYFUNCTION("""COMPUTED_VALUE"""),"")</f>
        <v/>
      </c>
      <c r="S153" s="233" t="str">
        <f>IFERROR(__xludf.DUMMYFUNCTION("""COMPUTED_VALUE"""),"")</f>
        <v/>
      </c>
      <c r="T153" s="231" t="str">
        <f>IFERROR(__xludf.DUMMYFUNCTION("""COMPUTED_VALUE"""),"")</f>
        <v/>
      </c>
      <c r="U153" s="232" t="str">
        <f>IFERROR(__xludf.DUMMYFUNCTION("""COMPUTED_VALUE"""),"")</f>
        <v/>
      </c>
      <c r="V153" s="233" t="str">
        <f>IFERROR(__xludf.DUMMYFUNCTION("""COMPUTED_VALUE"""),"")</f>
        <v/>
      </c>
      <c r="W153" s="231" t="str">
        <f>IFERROR(__xludf.DUMMYFUNCTION("""COMPUTED_VALUE"""),"")</f>
        <v/>
      </c>
      <c r="X153" s="232" t="str">
        <f>IFERROR(__xludf.DUMMYFUNCTION("""COMPUTED_VALUE"""),"")</f>
        <v/>
      </c>
      <c r="Y153" s="233" t="str">
        <f>IFERROR(__xludf.DUMMYFUNCTION("""COMPUTED_VALUE"""),"")</f>
        <v/>
      </c>
      <c r="Z153" s="231">
        <f>IFERROR(__xludf.DUMMYFUNCTION("""COMPUTED_VALUE"""),39.4)</f>
        <v>39.4</v>
      </c>
      <c r="AA153" s="232" t="str">
        <f>IFERROR(__xludf.DUMMYFUNCTION("""COMPUTED_VALUE"""),"")</f>
        <v/>
      </c>
      <c r="AB153" s="233" t="str">
        <f>IFERROR(__xludf.DUMMYFUNCTION("""COMPUTED_VALUE"""),"")</f>
        <v/>
      </c>
      <c r="AC153" s="231" t="str">
        <f>IFERROR(__xludf.DUMMYFUNCTION("""COMPUTED_VALUE"""),"")</f>
        <v/>
      </c>
      <c r="AD153" s="232">
        <f>IFERROR(__xludf.DUMMYFUNCTION("""COMPUTED_VALUE"""),20.4999999)</f>
        <v>20.4999999</v>
      </c>
      <c r="AE153" s="233" t="str">
        <f>IFERROR(__xludf.DUMMYFUNCTION("""COMPUTED_VALUE"""),"")</f>
        <v/>
      </c>
      <c r="AF153" s="231" t="str">
        <f>IFERROR(__xludf.DUMMYFUNCTION("""COMPUTED_VALUE"""),"")</f>
        <v/>
      </c>
      <c r="AG153" s="232" t="str">
        <f>IFERROR(__xludf.DUMMYFUNCTION("""COMPUTED_VALUE"""),"")</f>
        <v/>
      </c>
      <c r="AH153" s="233" t="str">
        <f>IFERROR(__xludf.DUMMYFUNCTION("""COMPUTED_VALUE"""),"")</f>
        <v/>
      </c>
      <c r="AI153" s="231" t="str">
        <f>IFERROR(__xludf.DUMMYFUNCTION("""COMPUTED_VALUE"""),"")</f>
        <v/>
      </c>
      <c r="AJ153" s="232" t="str">
        <f>IFERROR(__xludf.DUMMYFUNCTION("""COMPUTED_VALUE"""),"")</f>
        <v/>
      </c>
      <c r="AK153" s="233" t="str">
        <f>IFERROR(__xludf.DUMMYFUNCTION("""COMPUTED_VALUE"""),"")</f>
        <v/>
      </c>
      <c r="AL153" s="231" t="str">
        <f>IFERROR(__xludf.DUMMYFUNCTION("""COMPUTED_VALUE"""),"")</f>
        <v/>
      </c>
      <c r="AM153" s="232" t="str">
        <f>IFERROR(__xludf.DUMMYFUNCTION("""COMPUTED_VALUE"""),"")</f>
        <v/>
      </c>
      <c r="AN153" s="233" t="str">
        <f>IFERROR(__xludf.DUMMYFUNCTION("""COMPUTED_VALUE"""),"")</f>
        <v/>
      </c>
      <c r="AO153" s="231" t="str">
        <f>IFERROR(__xludf.DUMMYFUNCTION("""COMPUTED_VALUE"""),"")</f>
        <v/>
      </c>
      <c r="AP153" s="232" t="str">
        <f>IFERROR(__xludf.DUMMYFUNCTION("""COMPUTED_VALUE"""),"")</f>
        <v/>
      </c>
      <c r="AQ153" s="233" t="str">
        <f>IFERROR(__xludf.DUMMYFUNCTION("""COMPUTED_VALUE"""),"")</f>
        <v/>
      </c>
      <c r="AR153" s="231" t="str">
        <f>IFERROR(__xludf.DUMMYFUNCTION("""COMPUTED_VALUE"""),"")</f>
        <v/>
      </c>
      <c r="AS153" s="232" t="str">
        <f>IFERROR(__xludf.DUMMYFUNCTION("""COMPUTED_VALUE"""),"")</f>
        <v/>
      </c>
      <c r="AT153" s="233" t="str">
        <f>IFERROR(__xludf.DUMMYFUNCTION("""COMPUTED_VALUE"""),"")</f>
        <v/>
      </c>
      <c r="AU153" s="231" t="str">
        <f>IFERROR(__xludf.DUMMYFUNCTION("""COMPUTED_VALUE"""),"")</f>
        <v/>
      </c>
      <c r="AV153" s="232" t="str">
        <f>IFERROR(__xludf.DUMMYFUNCTION("""COMPUTED_VALUE"""),"")</f>
        <v/>
      </c>
      <c r="AW153" s="233" t="str">
        <f>IFERROR(__xludf.DUMMYFUNCTION("""COMPUTED_VALUE"""),"")</f>
        <v/>
      </c>
      <c r="AX153" s="231" t="str">
        <f>IFERROR(__xludf.DUMMYFUNCTION("""COMPUTED_VALUE"""),"")</f>
        <v/>
      </c>
      <c r="AY153" s="232" t="str">
        <f>IFERROR(__xludf.DUMMYFUNCTION("""COMPUTED_VALUE"""),"")</f>
        <v/>
      </c>
      <c r="AZ153" s="233" t="str">
        <f>IFERROR(__xludf.DUMMYFUNCTION("""COMPUTED_VALUE"""),"")</f>
        <v/>
      </c>
      <c r="BA153" s="231" t="str">
        <f>IFERROR(__xludf.DUMMYFUNCTION("""COMPUTED_VALUE"""),"")</f>
        <v/>
      </c>
      <c r="BB153" s="232" t="str">
        <f>IFERROR(__xludf.DUMMYFUNCTION("""COMPUTED_VALUE"""),"")</f>
        <v/>
      </c>
      <c r="BC153" s="233">
        <f>IFERROR(__xludf.DUMMYFUNCTION("""COMPUTED_VALUE"""),3.4)</f>
        <v>3.4</v>
      </c>
      <c r="BD153" s="231" t="str">
        <f>IFERROR(__xludf.DUMMYFUNCTION("""COMPUTED_VALUE"""),"")</f>
        <v/>
      </c>
      <c r="BE153" s="232" t="str">
        <f>IFERROR(__xludf.DUMMYFUNCTION("""COMPUTED_VALUE"""),"")</f>
        <v/>
      </c>
      <c r="BF153" s="233" t="str">
        <f>IFERROR(__xludf.DUMMYFUNCTION("""COMPUTED_VALUE"""),"")</f>
        <v/>
      </c>
      <c r="BG153" s="231" t="str">
        <f>IFERROR(__xludf.DUMMYFUNCTION("""COMPUTED_VALUE"""),"")</f>
        <v/>
      </c>
      <c r="BH153" s="232" t="str">
        <f>IFERROR(__xludf.DUMMYFUNCTION("""COMPUTED_VALUE"""),"")</f>
        <v/>
      </c>
      <c r="BI153" s="233" t="str">
        <f>IFERROR(__xludf.DUMMYFUNCTION("""COMPUTED_VALUE"""),"")</f>
        <v/>
      </c>
      <c r="BJ153" s="231">
        <f>IFERROR(__xludf.DUMMYFUNCTION("""COMPUTED_VALUE"""),14.9)</f>
        <v>14.9</v>
      </c>
      <c r="BK153" s="232" t="str">
        <f>IFERROR(__xludf.DUMMYFUNCTION("""COMPUTED_VALUE"""),"")</f>
        <v/>
      </c>
      <c r="BL153" s="233" t="str">
        <f>IFERROR(__xludf.DUMMYFUNCTION("""COMPUTED_VALUE"""),"")</f>
        <v/>
      </c>
      <c r="BM153" s="231" t="str">
        <f>IFERROR(__xludf.DUMMYFUNCTION("""COMPUTED_VALUE"""),"")</f>
        <v/>
      </c>
      <c r="BN153" s="232" t="str">
        <f>IFERROR(__xludf.DUMMYFUNCTION("""COMPUTED_VALUE"""),"")</f>
        <v/>
      </c>
      <c r="BO153" s="233" t="str">
        <f>IFERROR(__xludf.DUMMYFUNCTION("""COMPUTED_VALUE"""),"")</f>
        <v/>
      </c>
      <c r="BP153" s="231" t="str">
        <f>IFERROR(__xludf.DUMMYFUNCTION("""COMPUTED_VALUE"""),"")</f>
        <v/>
      </c>
      <c r="BQ153" s="232">
        <f>IFERROR(__xludf.DUMMYFUNCTION("""COMPUTED_VALUE"""),39.2)</f>
        <v>39.2</v>
      </c>
      <c r="BR153" s="233" t="str">
        <f>IFERROR(__xludf.DUMMYFUNCTION("""COMPUTED_VALUE"""),"")</f>
        <v/>
      </c>
      <c r="BS153" s="231" t="str">
        <f>IFERROR(__xludf.DUMMYFUNCTION("""COMPUTED_VALUE"""),"")</f>
        <v/>
      </c>
      <c r="BT153" s="232" t="str">
        <f>IFERROR(__xludf.DUMMYFUNCTION("""COMPUTED_VALUE"""),"")</f>
        <v/>
      </c>
      <c r="BU153" s="233" t="str">
        <f>IFERROR(__xludf.DUMMYFUNCTION("""COMPUTED_VALUE"""),"")</f>
        <v/>
      </c>
      <c r="BV153" s="231" t="str">
        <f>IFERROR(__xludf.DUMMYFUNCTION("""COMPUTED_VALUE"""),"")</f>
        <v/>
      </c>
      <c r="BW153" s="232" t="str">
        <f>IFERROR(__xludf.DUMMYFUNCTION("""COMPUTED_VALUE"""),"")</f>
        <v/>
      </c>
      <c r="BX153" s="233" t="str">
        <f>IFERROR(__xludf.DUMMYFUNCTION("""COMPUTED_VALUE"""),"")</f>
        <v/>
      </c>
      <c r="BY153" s="231" t="str">
        <f>IFERROR(__xludf.DUMMYFUNCTION("""COMPUTED_VALUE"""),"")</f>
        <v/>
      </c>
      <c r="BZ153" s="232" t="str">
        <f>IFERROR(__xludf.DUMMYFUNCTION("""COMPUTED_VALUE"""),"")</f>
        <v/>
      </c>
      <c r="CA153" s="233" t="str">
        <f>IFERROR(__xludf.DUMMYFUNCTION("""COMPUTED_VALUE"""),"")</f>
        <v/>
      </c>
      <c r="CB153" s="231" t="str">
        <f>IFERROR(__xludf.DUMMYFUNCTION("""COMPUTED_VALUE"""),"")</f>
        <v/>
      </c>
      <c r="CC153" s="232" t="str">
        <f>IFERROR(__xludf.DUMMYFUNCTION("""COMPUTED_VALUE"""),"")</f>
        <v/>
      </c>
      <c r="CD153" s="233" t="str">
        <f>IFERROR(__xludf.DUMMYFUNCTION("""COMPUTED_VALUE"""),"")</f>
        <v/>
      </c>
      <c r="CE153" s="234" t="str">
        <f>IFERROR(__xludf.DUMMYFUNCTION("""COMPUTED_VALUE"""),"")</f>
        <v/>
      </c>
      <c r="CF153" s="230" t="str">
        <f>IFERROR(__xludf.DUMMYFUNCTION("""COMPUTED_VALUE"""),"")</f>
        <v/>
      </c>
      <c r="CG153" s="235" t="str">
        <f>IFERROR(__xludf.DUMMYFUNCTION("""COMPUTED_VALUE"""),"")</f>
        <v/>
      </c>
      <c r="CH153" s="234" t="str">
        <f>IFERROR(__xludf.DUMMYFUNCTION("""COMPUTED_VALUE"""),"")</f>
        <v/>
      </c>
      <c r="CI153" s="230" t="str">
        <f>IFERROR(__xludf.DUMMYFUNCTION("""COMPUTED_VALUE"""),"")</f>
        <v/>
      </c>
      <c r="CJ153" s="235" t="str">
        <f>IFERROR(__xludf.DUMMYFUNCTION("""COMPUTED_VALUE"""),"")</f>
        <v/>
      </c>
      <c r="CK153" s="95" t="str">
        <f>IFERROR(__xludf.DUMMYFUNCTION("""COMPUTED_VALUE"""),"")</f>
        <v/>
      </c>
      <c r="CL153" s="96" t="str">
        <f>IFERROR(__xludf.DUMMYFUNCTION("""COMPUTED_VALUE"""),"")</f>
        <v/>
      </c>
      <c r="CM153" s="97" t="str">
        <f>IFERROR(__xludf.DUMMYFUNCTION("""COMPUTED_VALUE"""),"")</f>
        <v/>
      </c>
      <c r="CN153" s="95" t="str">
        <f>IFERROR(__xludf.DUMMYFUNCTION("""COMPUTED_VALUE"""),"")</f>
        <v/>
      </c>
      <c r="CO153" s="96" t="str">
        <f>IFERROR(__xludf.DUMMYFUNCTION("""COMPUTED_VALUE"""),"")</f>
        <v/>
      </c>
      <c r="CP153" s="97" t="str">
        <f>IFERROR(__xludf.DUMMYFUNCTION("""COMPUTED_VALUE"""),"")</f>
        <v/>
      </c>
      <c r="CQ153" s="95" t="str">
        <f>IFERROR(__xludf.DUMMYFUNCTION("""COMPUTED_VALUE"""),"")</f>
        <v/>
      </c>
      <c r="CR153" s="96" t="str">
        <f>IFERROR(__xludf.DUMMYFUNCTION("""COMPUTED_VALUE"""),"")</f>
        <v/>
      </c>
      <c r="CS153" s="97" t="str">
        <f>IFERROR(__xludf.DUMMYFUNCTION("""COMPUTED_VALUE"""),"#REF!")</f>
        <v>#REF!</v>
      </c>
      <c r="CT153" s="95" t="str">
        <f>IFERROR(__xludf.DUMMYFUNCTION("""COMPUTED_VALUE"""),"#REF!")</f>
        <v>#REF!</v>
      </c>
      <c r="CU153" s="96" t="str">
        <f>IFERROR(__xludf.DUMMYFUNCTION("""COMPUTED_VALUE"""),"#REF!")</f>
        <v>#REF!</v>
      </c>
      <c r="CV153" s="97" t="str">
        <f>IFERROR(__xludf.DUMMYFUNCTION("""COMPUTED_VALUE"""),"#REF!")</f>
        <v>#REF!</v>
      </c>
      <c r="CW153" s="95" t="str">
        <f>IFERROR(__xludf.DUMMYFUNCTION("""COMPUTED_VALUE"""),"#REF!")</f>
        <v>#REF!</v>
      </c>
      <c r="CX153" s="96" t="str">
        <f>IFERROR(__xludf.DUMMYFUNCTION("""COMPUTED_VALUE"""),"#REF!")</f>
        <v>#REF!</v>
      </c>
      <c r="CY153" s="97" t="str">
        <f>IFERROR(__xludf.DUMMYFUNCTION("""COMPUTED_VALUE"""),"#REF!")</f>
        <v>#REF!</v>
      </c>
      <c r="CZ153" s="95" t="str">
        <f>IFERROR(__xludf.DUMMYFUNCTION("""COMPUTED_VALUE"""),"#REF!")</f>
        <v>#REF!</v>
      </c>
      <c r="DA153" s="96" t="str">
        <f>IFERROR(__xludf.DUMMYFUNCTION("""COMPUTED_VALUE"""),"#REF!")</f>
        <v>#REF!</v>
      </c>
      <c r="DB153" s="97" t="str">
        <f>IFERROR(__xludf.DUMMYFUNCTION("""COMPUTED_VALUE"""),"#REF!")</f>
        <v>#REF!</v>
      </c>
      <c r="DC153" s="95" t="str">
        <f>IFERROR(__xludf.DUMMYFUNCTION("""COMPUTED_VALUE"""),"#REF!")</f>
        <v>#REF!</v>
      </c>
      <c r="DD153" s="96" t="str">
        <f>IFERROR(__xludf.DUMMYFUNCTION("""COMPUTED_VALUE"""),"#REF!")</f>
        <v>#REF!</v>
      </c>
      <c r="DE153" s="97" t="str">
        <f>IFERROR(__xludf.DUMMYFUNCTION("""COMPUTED_VALUE"""),"#REF!")</f>
        <v>#REF!</v>
      </c>
      <c r="DF153" s="95" t="str">
        <f>IFERROR(__xludf.DUMMYFUNCTION("""COMPUTED_VALUE"""),"#REF!")</f>
        <v>#REF!</v>
      </c>
      <c r="DG153" s="96" t="str">
        <f>IFERROR(__xludf.DUMMYFUNCTION("""COMPUTED_VALUE"""),"#REF!")</f>
        <v>#REF!</v>
      </c>
      <c r="DH153" s="97" t="str">
        <f>IFERROR(__xludf.DUMMYFUNCTION("""COMPUTED_VALUE"""),"#REF!")</f>
        <v>#REF!</v>
      </c>
      <c r="DI153" s="95" t="str">
        <f>IFERROR(__xludf.DUMMYFUNCTION("""COMPUTED_VALUE"""),"#REF!")</f>
        <v>#REF!</v>
      </c>
      <c r="DJ153" s="96" t="str">
        <f>IFERROR(__xludf.DUMMYFUNCTION("""COMPUTED_VALUE"""),"#REF!")</f>
        <v>#REF!</v>
      </c>
      <c r="DK153" s="97" t="str">
        <f>IFERROR(__xludf.DUMMYFUNCTION("""COMPUTED_VALUE"""),"#REF!")</f>
        <v>#REF!</v>
      </c>
      <c r="DL153" s="95" t="str">
        <f>IFERROR(__xludf.DUMMYFUNCTION("""COMPUTED_VALUE"""),"#REF!")</f>
        <v>#REF!</v>
      </c>
      <c r="DM153" s="96" t="str">
        <f>IFERROR(__xludf.DUMMYFUNCTION("""COMPUTED_VALUE"""),"#REF!")</f>
        <v>#REF!</v>
      </c>
      <c r="DN153" s="97" t="str">
        <f>IFERROR(__xludf.DUMMYFUNCTION("""COMPUTED_VALUE"""),"#REF!")</f>
        <v>#REF!</v>
      </c>
      <c r="DO153" s="95" t="str">
        <f>IFERROR(__xludf.DUMMYFUNCTION("""COMPUTED_VALUE"""),"#REF!")</f>
        <v>#REF!</v>
      </c>
      <c r="DP153" s="96" t="str">
        <f>IFERROR(__xludf.DUMMYFUNCTION("""COMPUTED_VALUE"""),"#REF!")</f>
        <v>#REF!</v>
      </c>
      <c r="DQ153" s="97"/>
      <c r="DR153" s="95"/>
    </row>
    <row r="154">
      <c r="B154" s="120" t="str">
        <f>IFERROR(__xludf.DUMMYFUNCTION("""COMPUTED_VALUE"""),"AGT4")</f>
        <v>AGT4</v>
      </c>
      <c r="C154" s="82">
        <f>IFERROR(__xludf.DUMMYFUNCTION("""COMPUTED_VALUE"""),145.0)</f>
        <v>145</v>
      </c>
      <c r="D154" s="88" t="str">
        <f>IFERROR(__xludf.DUMMYFUNCTION("""COMPUTED_VALUE"""),"Peach Blossom Shangri-La")</f>
        <v>Peach Blossom Shangri-La</v>
      </c>
      <c r="E154" s="82" t="str">
        <f>IFERROR(__xludf.DUMMYFUNCTION("""COMPUTED_VALUE"""),"桃源郷")</f>
        <v>桃源郷</v>
      </c>
      <c r="F154" s="102">
        <f>IFERROR(__xludf.DUMMYFUNCTION("""COMPUTED_VALUE"""),21.0)</f>
        <v>21</v>
      </c>
      <c r="G154" s="82">
        <f>IFERROR(__xludf.DUMMYFUNCTION("""COMPUTED_VALUE"""),19323.0)</f>
        <v>19323</v>
      </c>
      <c r="H154" s="231" t="str">
        <f>IFERROR(__xludf.DUMMYFUNCTION("""COMPUTED_VALUE"""),"")</f>
        <v/>
      </c>
      <c r="I154" s="232" t="str">
        <f>IFERROR(__xludf.DUMMYFUNCTION("""COMPUTED_VALUE"""),"")</f>
        <v/>
      </c>
      <c r="J154" s="233" t="str">
        <f>IFERROR(__xludf.DUMMYFUNCTION("""COMPUTED_VALUE"""),"")</f>
        <v/>
      </c>
      <c r="K154" s="231" t="str">
        <f>IFERROR(__xludf.DUMMYFUNCTION("""COMPUTED_VALUE"""),"")</f>
        <v/>
      </c>
      <c r="L154" s="232" t="str">
        <f>IFERROR(__xludf.DUMMYFUNCTION("""COMPUTED_VALUE"""),"")</f>
        <v/>
      </c>
      <c r="M154" s="233" t="str">
        <f>IFERROR(__xludf.DUMMYFUNCTION("""COMPUTED_VALUE"""),"")</f>
        <v/>
      </c>
      <c r="N154" s="231" t="str">
        <f>IFERROR(__xludf.DUMMYFUNCTION("""COMPUTED_VALUE"""),"")</f>
        <v/>
      </c>
      <c r="O154" s="232" t="str">
        <f>IFERROR(__xludf.DUMMYFUNCTION("""COMPUTED_VALUE"""),"")</f>
        <v/>
      </c>
      <c r="P154" s="233" t="str">
        <f>IFERROR(__xludf.DUMMYFUNCTION("""COMPUTED_VALUE"""),"")</f>
        <v/>
      </c>
      <c r="Q154" s="231" t="str">
        <f>IFERROR(__xludf.DUMMYFUNCTION("""COMPUTED_VALUE"""),"")</f>
        <v/>
      </c>
      <c r="R154" s="232" t="str">
        <f>IFERROR(__xludf.DUMMYFUNCTION("""COMPUTED_VALUE"""),"")</f>
        <v/>
      </c>
      <c r="S154" s="233" t="str">
        <f>IFERROR(__xludf.DUMMYFUNCTION("""COMPUTED_VALUE"""),"")</f>
        <v/>
      </c>
      <c r="T154" s="231" t="str">
        <f>IFERROR(__xludf.DUMMYFUNCTION("""COMPUTED_VALUE"""),"")</f>
        <v/>
      </c>
      <c r="U154" s="232" t="str">
        <f>IFERROR(__xludf.DUMMYFUNCTION("""COMPUTED_VALUE"""),"")</f>
        <v/>
      </c>
      <c r="V154" s="233" t="str">
        <f>IFERROR(__xludf.DUMMYFUNCTION("""COMPUTED_VALUE"""),"")</f>
        <v/>
      </c>
      <c r="W154" s="231" t="str">
        <f>IFERROR(__xludf.DUMMYFUNCTION("""COMPUTED_VALUE"""),"")</f>
        <v/>
      </c>
      <c r="X154" s="232" t="str">
        <f>IFERROR(__xludf.DUMMYFUNCTION("""COMPUTED_VALUE"""),"")</f>
        <v/>
      </c>
      <c r="Y154" s="233" t="str">
        <f>IFERROR(__xludf.DUMMYFUNCTION("""COMPUTED_VALUE"""),"")</f>
        <v/>
      </c>
      <c r="Z154" s="231" t="str">
        <f>IFERROR(__xludf.DUMMYFUNCTION("""COMPUTED_VALUE"""),"")</f>
        <v/>
      </c>
      <c r="AA154" s="232" t="str">
        <f>IFERROR(__xludf.DUMMYFUNCTION("""COMPUTED_VALUE"""),"")</f>
        <v/>
      </c>
      <c r="AB154" s="233">
        <f>IFERROR(__xludf.DUMMYFUNCTION("""COMPUTED_VALUE"""),40.4)</f>
        <v>40.4</v>
      </c>
      <c r="AC154" s="231" t="str">
        <f>IFERROR(__xludf.DUMMYFUNCTION("""COMPUTED_VALUE"""),"")</f>
        <v/>
      </c>
      <c r="AD154" s="232" t="str">
        <f>IFERROR(__xludf.DUMMYFUNCTION("""COMPUTED_VALUE"""),"")</f>
        <v/>
      </c>
      <c r="AE154" s="233" t="str">
        <f>IFERROR(__xludf.DUMMYFUNCTION("""COMPUTED_VALUE"""),"")</f>
        <v/>
      </c>
      <c r="AF154" s="231" t="str">
        <f>IFERROR(__xludf.DUMMYFUNCTION("""COMPUTED_VALUE"""),"")</f>
        <v/>
      </c>
      <c r="AG154" s="232" t="str">
        <f>IFERROR(__xludf.DUMMYFUNCTION("""COMPUTED_VALUE"""),"")</f>
        <v/>
      </c>
      <c r="AH154" s="233" t="str">
        <f>IFERROR(__xludf.DUMMYFUNCTION("""COMPUTED_VALUE"""),"")</f>
        <v/>
      </c>
      <c r="AI154" s="231" t="str">
        <f>IFERROR(__xludf.DUMMYFUNCTION("""COMPUTED_VALUE"""),"")</f>
        <v/>
      </c>
      <c r="AJ154" s="232" t="str">
        <f>IFERROR(__xludf.DUMMYFUNCTION("""COMPUTED_VALUE"""),"")</f>
        <v/>
      </c>
      <c r="AK154" s="233" t="str">
        <f>IFERROR(__xludf.DUMMYFUNCTION("""COMPUTED_VALUE"""),"")</f>
        <v/>
      </c>
      <c r="AL154" s="231" t="str">
        <f>IFERROR(__xludf.DUMMYFUNCTION("""COMPUTED_VALUE"""),"")</f>
        <v/>
      </c>
      <c r="AM154" s="232" t="str">
        <f>IFERROR(__xludf.DUMMYFUNCTION("""COMPUTED_VALUE"""),"")</f>
        <v/>
      </c>
      <c r="AN154" s="233" t="str">
        <f>IFERROR(__xludf.DUMMYFUNCTION("""COMPUTED_VALUE"""),"")</f>
        <v/>
      </c>
      <c r="AO154" s="231" t="str">
        <f>IFERROR(__xludf.DUMMYFUNCTION("""COMPUTED_VALUE"""),"")</f>
        <v/>
      </c>
      <c r="AP154" s="232" t="str">
        <f>IFERROR(__xludf.DUMMYFUNCTION("""COMPUTED_VALUE"""),"")</f>
        <v/>
      </c>
      <c r="AQ154" s="233" t="str">
        <f>IFERROR(__xludf.DUMMYFUNCTION("""COMPUTED_VALUE"""),"")</f>
        <v/>
      </c>
      <c r="AR154" s="231" t="str">
        <f>IFERROR(__xludf.DUMMYFUNCTION("""COMPUTED_VALUE"""),"")</f>
        <v/>
      </c>
      <c r="AS154" s="232" t="str">
        <f>IFERROR(__xludf.DUMMYFUNCTION("""COMPUTED_VALUE"""),"")</f>
        <v/>
      </c>
      <c r="AT154" s="233" t="str">
        <f>IFERROR(__xludf.DUMMYFUNCTION("""COMPUTED_VALUE"""),"")</f>
        <v/>
      </c>
      <c r="AU154" s="231" t="str">
        <f>IFERROR(__xludf.DUMMYFUNCTION("""COMPUTED_VALUE"""),"")</f>
        <v/>
      </c>
      <c r="AV154" s="232" t="str">
        <f>IFERROR(__xludf.DUMMYFUNCTION("""COMPUTED_VALUE"""),"")</f>
        <v/>
      </c>
      <c r="AW154" s="233" t="str">
        <f>IFERROR(__xludf.DUMMYFUNCTION("""COMPUTED_VALUE"""),"")</f>
        <v/>
      </c>
      <c r="AX154" s="231" t="str">
        <f>IFERROR(__xludf.DUMMYFUNCTION("""COMPUTED_VALUE"""),"")</f>
        <v/>
      </c>
      <c r="AY154" s="232" t="str">
        <f>IFERROR(__xludf.DUMMYFUNCTION("""COMPUTED_VALUE"""),"")</f>
        <v/>
      </c>
      <c r="AZ154" s="233" t="str">
        <f>IFERROR(__xludf.DUMMYFUNCTION("""COMPUTED_VALUE"""),"")</f>
        <v/>
      </c>
      <c r="BA154" s="231" t="str">
        <f>IFERROR(__xludf.DUMMYFUNCTION("""COMPUTED_VALUE"""),"")</f>
        <v/>
      </c>
      <c r="BB154" s="232" t="str">
        <f>IFERROR(__xludf.DUMMYFUNCTION("""COMPUTED_VALUE"""),"")</f>
        <v/>
      </c>
      <c r="BC154" s="233" t="str">
        <f>IFERROR(__xludf.DUMMYFUNCTION("""COMPUTED_VALUE"""),"")</f>
        <v/>
      </c>
      <c r="BD154" s="231" t="str">
        <f>IFERROR(__xludf.DUMMYFUNCTION("""COMPUTED_VALUE"""),"")</f>
        <v/>
      </c>
      <c r="BE154" s="232" t="str">
        <f>IFERROR(__xludf.DUMMYFUNCTION("""COMPUTED_VALUE"""),"")</f>
        <v/>
      </c>
      <c r="BF154" s="233" t="str">
        <f>IFERROR(__xludf.DUMMYFUNCTION("""COMPUTED_VALUE"""),"")</f>
        <v/>
      </c>
      <c r="BG154" s="231" t="str">
        <f>IFERROR(__xludf.DUMMYFUNCTION("""COMPUTED_VALUE"""),"")</f>
        <v/>
      </c>
      <c r="BH154" s="232" t="str">
        <f>IFERROR(__xludf.DUMMYFUNCTION("""COMPUTED_VALUE"""),"")</f>
        <v/>
      </c>
      <c r="BI154" s="233">
        <f>IFERROR(__xludf.DUMMYFUNCTION("""COMPUTED_VALUE"""),3.8)</f>
        <v>3.8</v>
      </c>
      <c r="BJ154" s="231" t="str">
        <f>IFERROR(__xludf.DUMMYFUNCTION("""COMPUTED_VALUE"""),"")</f>
        <v/>
      </c>
      <c r="BK154" s="232" t="str">
        <f>IFERROR(__xludf.DUMMYFUNCTION("""COMPUTED_VALUE"""),"")</f>
        <v/>
      </c>
      <c r="BL154" s="233" t="str">
        <f>IFERROR(__xludf.DUMMYFUNCTION("""COMPUTED_VALUE"""),"")</f>
        <v/>
      </c>
      <c r="BM154" s="231" t="str">
        <f>IFERROR(__xludf.DUMMYFUNCTION("""COMPUTED_VALUE"""),"")</f>
        <v/>
      </c>
      <c r="BN154" s="232" t="str">
        <f>IFERROR(__xludf.DUMMYFUNCTION("""COMPUTED_VALUE"""),"")</f>
        <v/>
      </c>
      <c r="BO154" s="233" t="str">
        <f>IFERROR(__xludf.DUMMYFUNCTION("""COMPUTED_VALUE"""),"")</f>
        <v/>
      </c>
      <c r="BP154" s="231">
        <f>IFERROR(__xludf.DUMMYFUNCTION("""COMPUTED_VALUE"""),9.2)</f>
        <v>9.2</v>
      </c>
      <c r="BQ154" s="232" t="str">
        <f>IFERROR(__xludf.DUMMYFUNCTION("""COMPUTED_VALUE"""),"")</f>
        <v/>
      </c>
      <c r="BR154" s="233" t="str">
        <f>IFERROR(__xludf.DUMMYFUNCTION("""COMPUTED_VALUE"""),"")</f>
        <v/>
      </c>
      <c r="BS154" s="231" t="str">
        <f>IFERROR(__xludf.DUMMYFUNCTION("""COMPUTED_VALUE"""),"")</f>
        <v/>
      </c>
      <c r="BT154" s="232" t="str">
        <f>IFERROR(__xludf.DUMMYFUNCTION("""COMPUTED_VALUE"""),"")</f>
        <v/>
      </c>
      <c r="BU154" s="233" t="str">
        <f>IFERROR(__xludf.DUMMYFUNCTION("""COMPUTED_VALUE"""),"")</f>
        <v/>
      </c>
      <c r="BV154" s="231" t="str">
        <f>IFERROR(__xludf.DUMMYFUNCTION("""COMPUTED_VALUE"""),"")</f>
        <v/>
      </c>
      <c r="BW154" s="232">
        <f>IFERROR(__xludf.DUMMYFUNCTION("""COMPUTED_VALUE"""),31.0)</f>
        <v>31</v>
      </c>
      <c r="BX154" s="233" t="str">
        <f>IFERROR(__xludf.DUMMYFUNCTION("""COMPUTED_VALUE"""),"")</f>
        <v/>
      </c>
      <c r="BY154" s="231" t="str">
        <f>IFERROR(__xludf.DUMMYFUNCTION("""COMPUTED_VALUE"""),"")</f>
        <v/>
      </c>
      <c r="BZ154" s="232" t="str">
        <f>IFERROR(__xludf.DUMMYFUNCTION("""COMPUTED_VALUE"""),"")</f>
        <v/>
      </c>
      <c r="CA154" s="233" t="str">
        <f>IFERROR(__xludf.DUMMYFUNCTION("""COMPUTED_VALUE"""),"")</f>
        <v/>
      </c>
      <c r="CB154" s="231" t="str">
        <f>IFERROR(__xludf.DUMMYFUNCTION("""COMPUTED_VALUE"""),"")</f>
        <v/>
      </c>
      <c r="CC154" s="232" t="str">
        <f>IFERROR(__xludf.DUMMYFUNCTION("""COMPUTED_VALUE"""),"")</f>
        <v/>
      </c>
      <c r="CD154" s="233" t="str">
        <f>IFERROR(__xludf.DUMMYFUNCTION("""COMPUTED_VALUE"""),"")</f>
        <v/>
      </c>
      <c r="CE154" s="234" t="str">
        <f>IFERROR(__xludf.DUMMYFUNCTION("""COMPUTED_VALUE"""),"")</f>
        <v/>
      </c>
      <c r="CF154" s="230" t="str">
        <f>IFERROR(__xludf.DUMMYFUNCTION("""COMPUTED_VALUE"""),"")</f>
        <v/>
      </c>
      <c r="CG154" s="235" t="str">
        <f>IFERROR(__xludf.DUMMYFUNCTION("""COMPUTED_VALUE"""),"")</f>
        <v/>
      </c>
      <c r="CH154" s="234" t="str">
        <f>IFERROR(__xludf.DUMMYFUNCTION("""COMPUTED_VALUE"""),"")</f>
        <v/>
      </c>
      <c r="CI154" s="230" t="str">
        <f>IFERROR(__xludf.DUMMYFUNCTION("""COMPUTED_VALUE"""),"")</f>
        <v/>
      </c>
      <c r="CJ154" s="235" t="str">
        <f>IFERROR(__xludf.DUMMYFUNCTION("""COMPUTED_VALUE"""),"")</f>
        <v/>
      </c>
      <c r="CK154" s="95" t="str">
        <f>IFERROR(__xludf.DUMMYFUNCTION("""COMPUTED_VALUE"""),"")</f>
        <v/>
      </c>
      <c r="CL154" s="96" t="str">
        <f>IFERROR(__xludf.DUMMYFUNCTION("""COMPUTED_VALUE"""),"")</f>
        <v/>
      </c>
      <c r="CM154" s="97" t="str">
        <f>IFERROR(__xludf.DUMMYFUNCTION("""COMPUTED_VALUE"""),"")</f>
        <v/>
      </c>
      <c r="CN154" s="95" t="str">
        <f>IFERROR(__xludf.DUMMYFUNCTION("""COMPUTED_VALUE"""),"")</f>
        <v/>
      </c>
      <c r="CO154" s="96" t="str">
        <f>IFERROR(__xludf.DUMMYFUNCTION("""COMPUTED_VALUE"""),"")</f>
        <v/>
      </c>
      <c r="CP154" s="97" t="str">
        <f>IFERROR(__xludf.DUMMYFUNCTION("""COMPUTED_VALUE"""),"")</f>
        <v/>
      </c>
      <c r="CQ154" s="95" t="str">
        <f>IFERROR(__xludf.DUMMYFUNCTION("""COMPUTED_VALUE"""),"")</f>
        <v/>
      </c>
      <c r="CR154" s="96" t="str">
        <f>IFERROR(__xludf.DUMMYFUNCTION("""COMPUTED_VALUE"""),"")</f>
        <v/>
      </c>
      <c r="CS154" s="97" t="str">
        <f>IFERROR(__xludf.DUMMYFUNCTION("""COMPUTED_VALUE"""),"#REF!")</f>
        <v>#REF!</v>
      </c>
      <c r="CT154" s="95" t="str">
        <f>IFERROR(__xludf.DUMMYFUNCTION("""COMPUTED_VALUE"""),"#REF!")</f>
        <v>#REF!</v>
      </c>
      <c r="CU154" s="96" t="str">
        <f>IFERROR(__xludf.DUMMYFUNCTION("""COMPUTED_VALUE"""),"#REF!")</f>
        <v>#REF!</v>
      </c>
      <c r="CV154" s="97" t="str">
        <f>IFERROR(__xludf.DUMMYFUNCTION("""COMPUTED_VALUE"""),"#REF!")</f>
        <v>#REF!</v>
      </c>
      <c r="CW154" s="95" t="str">
        <f>IFERROR(__xludf.DUMMYFUNCTION("""COMPUTED_VALUE"""),"#REF!")</f>
        <v>#REF!</v>
      </c>
      <c r="CX154" s="96" t="str">
        <f>IFERROR(__xludf.DUMMYFUNCTION("""COMPUTED_VALUE"""),"#REF!")</f>
        <v>#REF!</v>
      </c>
      <c r="CY154" s="97" t="str">
        <f>IFERROR(__xludf.DUMMYFUNCTION("""COMPUTED_VALUE"""),"#REF!")</f>
        <v>#REF!</v>
      </c>
      <c r="CZ154" s="95" t="str">
        <f>IFERROR(__xludf.DUMMYFUNCTION("""COMPUTED_VALUE"""),"#REF!")</f>
        <v>#REF!</v>
      </c>
      <c r="DA154" s="96" t="str">
        <f>IFERROR(__xludf.DUMMYFUNCTION("""COMPUTED_VALUE"""),"#REF!")</f>
        <v>#REF!</v>
      </c>
      <c r="DB154" s="97" t="str">
        <f>IFERROR(__xludf.DUMMYFUNCTION("""COMPUTED_VALUE"""),"#REF!")</f>
        <v>#REF!</v>
      </c>
      <c r="DC154" s="95" t="str">
        <f>IFERROR(__xludf.DUMMYFUNCTION("""COMPUTED_VALUE"""),"#REF!")</f>
        <v>#REF!</v>
      </c>
      <c r="DD154" s="96" t="str">
        <f>IFERROR(__xludf.DUMMYFUNCTION("""COMPUTED_VALUE"""),"#REF!")</f>
        <v>#REF!</v>
      </c>
      <c r="DE154" s="97" t="str">
        <f>IFERROR(__xludf.DUMMYFUNCTION("""COMPUTED_VALUE"""),"#REF!")</f>
        <v>#REF!</v>
      </c>
      <c r="DF154" s="95" t="str">
        <f>IFERROR(__xludf.DUMMYFUNCTION("""COMPUTED_VALUE"""),"#REF!")</f>
        <v>#REF!</v>
      </c>
      <c r="DG154" s="96" t="str">
        <f>IFERROR(__xludf.DUMMYFUNCTION("""COMPUTED_VALUE"""),"#REF!")</f>
        <v>#REF!</v>
      </c>
      <c r="DH154" s="97" t="str">
        <f>IFERROR(__xludf.DUMMYFUNCTION("""COMPUTED_VALUE"""),"#REF!")</f>
        <v>#REF!</v>
      </c>
      <c r="DI154" s="95" t="str">
        <f>IFERROR(__xludf.DUMMYFUNCTION("""COMPUTED_VALUE"""),"#REF!")</f>
        <v>#REF!</v>
      </c>
      <c r="DJ154" s="96" t="str">
        <f>IFERROR(__xludf.DUMMYFUNCTION("""COMPUTED_VALUE"""),"#REF!")</f>
        <v>#REF!</v>
      </c>
      <c r="DK154" s="97" t="str">
        <f>IFERROR(__xludf.DUMMYFUNCTION("""COMPUTED_VALUE"""),"#REF!")</f>
        <v>#REF!</v>
      </c>
      <c r="DL154" s="95" t="str">
        <f>IFERROR(__xludf.DUMMYFUNCTION("""COMPUTED_VALUE"""),"#REF!")</f>
        <v>#REF!</v>
      </c>
      <c r="DM154" s="96" t="str">
        <f>IFERROR(__xludf.DUMMYFUNCTION("""COMPUTED_VALUE"""),"#REF!")</f>
        <v>#REF!</v>
      </c>
      <c r="DN154" s="97" t="str">
        <f>IFERROR(__xludf.DUMMYFUNCTION("""COMPUTED_VALUE"""),"#REF!")</f>
        <v>#REF!</v>
      </c>
      <c r="DO154" s="95" t="str">
        <f>IFERROR(__xludf.DUMMYFUNCTION("""COMPUTED_VALUE"""),"#REF!")</f>
        <v>#REF!</v>
      </c>
      <c r="DP154" s="96" t="str">
        <f>IFERROR(__xludf.DUMMYFUNCTION("""COMPUTED_VALUE"""),"#REF!")</f>
        <v>#REF!</v>
      </c>
      <c r="DQ154" s="97"/>
      <c r="DR154" s="95"/>
    </row>
    <row r="155">
      <c r="B155" s="120" t="str">
        <f>IFERROR(__xludf.DUMMYFUNCTION("""COMPUTED_VALUE"""),"AGT5")</f>
        <v>AGT5</v>
      </c>
      <c r="C155" s="82">
        <f>IFERROR(__xludf.DUMMYFUNCTION("""COMPUTED_VALUE"""),146.0)</f>
        <v>146</v>
      </c>
      <c r="D155" s="88" t="str">
        <f>IFERROR(__xludf.DUMMYFUNCTION("""COMPUTED_VALUE"""),"Ys")</f>
        <v>Ys</v>
      </c>
      <c r="E155" s="82" t="str">
        <f>IFERROR(__xludf.DUMMYFUNCTION("""COMPUTED_VALUE"""),"イース")</f>
        <v>イース</v>
      </c>
      <c r="F155" s="102">
        <f>IFERROR(__xludf.DUMMYFUNCTION("""COMPUTED_VALUE"""),21.0)</f>
        <v>21</v>
      </c>
      <c r="G155" s="82">
        <f>IFERROR(__xludf.DUMMYFUNCTION("""COMPUTED_VALUE"""),5732.0)</f>
        <v>5732</v>
      </c>
      <c r="H155" s="231" t="str">
        <f>IFERROR(__xludf.DUMMYFUNCTION("""COMPUTED_VALUE"""),"")</f>
        <v/>
      </c>
      <c r="I155" s="232" t="str">
        <f>IFERROR(__xludf.DUMMYFUNCTION("""COMPUTED_VALUE"""),"")</f>
        <v/>
      </c>
      <c r="J155" s="233" t="str">
        <f>IFERROR(__xludf.DUMMYFUNCTION("""COMPUTED_VALUE"""),"")</f>
        <v/>
      </c>
      <c r="K155" s="231" t="str">
        <f>IFERROR(__xludf.DUMMYFUNCTION("""COMPUTED_VALUE"""),"")</f>
        <v/>
      </c>
      <c r="L155" s="232" t="str">
        <f>IFERROR(__xludf.DUMMYFUNCTION("""COMPUTED_VALUE"""),"")</f>
        <v/>
      </c>
      <c r="M155" s="233" t="str">
        <f>IFERROR(__xludf.DUMMYFUNCTION("""COMPUTED_VALUE"""),"")</f>
        <v/>
      </c>
      <c r="N155" s="231" t="str">
        <f>IFERROR(__xludf.DUMMYFUNCTION("""COMPUTED_VALUE"""),"")</f>
        <v/>
      </c>
      <c r="O155" s="232" t="str">
        <f>IFERROR(__xludf.DUMMYFUNCTION("""COMPUTED_VALUE"""),"")</f>
        <v/>
      </c>
      <c r="P155" s="233" t="str">
        <f>IFERROR(__xludf.DUMMYFUNCTION("""COMPUTED_VALUE"""),"")</f>
        <v/>
      </c>
      <c r="Q155" s="231" t="str">
        <f>IFERROR(__xludf.DUMMYFUNCTION("""COMPUTED_VALUE"""),"")</f>
        <v/>
      </c>
      <c r="R155" s="232" t="str">
        <f>IFERROR(__xludf.DUMMYFUNCTION("""COMPUTED_VALUE"""),"")</f>
        <v/>
      </c>
      <c r="S155" s="233" t="str">
        <f>IFERROR(__xludf.DUMMYFUNCTION("""COMPUTED_VALUE"""),"")</f>
        <v/>
      </c>
      <c r="T155" s="231" t="str">
        <f>IFERROR(__xludf.DUMMYFUNCTION("""COMPUTED_VALUE"""),"")</f>
        <v/>
      </c>
      <c r="U155" s="232" t="str">
        <f>IFERROR(__xludf.DUMMYFUNCTION("""COMPUTED_VALUE"""),"")</f>
        <v/>
      </c>
      <c r="V155" s="233" t="str">
        <f>IFERROR(__xludf.DUMMYFUNCTION("""COMPUTED_VALUE"""),"")</f>
        <v/>
      </c>
      <c r="W155" s="231" t="str">
        <f>IFERROR(__xludf.DUMMYFUNCTION("""COMPUTED_VALUE"""),"")</f>
        <v/>
      </c>
      <c r="X155" s="232" t="str">
        <f>IFERROR(__xludf.DUMMYFUNCTION("""COMPUTED_VALUE"""),"")</f>
        <v/>
      </c>
      <c r="Y155" s="233" t="str">
        <f>IFERROR(__xludf.DUMMYFUNCTION("""COMPUTED_VALUE"""),"")</f>
        <v/>
      </c>
      <c r="Z155" s="231" t="str">
        <f>IFERROR(__xludf.DUMMYFUNCTION("""COMPUTED_VALUE"""),"")</f>
        <v/>
      </c>
      <c r="AA155" s="232" t="str">
        <f>IFERROR(__xludf.DUMMYFUNCTION("""COMPUTED_VALUE"""),"")</f>
        <v/>
      </c>
      <c r="AB155" s="233" t="str">
        <f>IFERROR(__xludf.DUMMYFUNCTION("""COMPUTED_VALUE"""),"")</f>
        <v/>
      </c>
      <c r="AC155" s="231" t="str">
        <f>IFERROR(__xludf.DUMMYFUNCTION("""COMPUTED_VALUE"""),"")</f>
        <v/>
      </c>
      <c r="AD155" s="232" t="str">
        <f>IFERROR(__xludf.DUMMYFUNCTION("""COMPUTED_VALUE"""),"")</f>
        <v/>
      </c>
      <c r="AE155" s="233" t="str">
        <f>IFERROR(__xludf.DUMMYFUNCTION("""COMPUTED_VALUE"""),"")</f>
        <v/>
      </c>
      <c r="AF155" s="231" t="str">
        <f>IFERROR(__xludf.DUMMYFUNCTION("""COMPUTED_VALUE"""),"")</f>
        <v/>
      </c>
      <c r="AG155" s="232" t="str">
        <f>IFERROR(__xludf.DUMMYFUNCTION("""COMPUTED_VALUE"""),"")</f>
        <v/>
      </c>
      <c r="AH155" s="233" t="str">
        <f>IFERROR(__xludf.DUMMYFUNCTION("""COMPUTED_VALUE"""),"")</f>
        <v/>
      </c>
      <c r="AI155" s="231" t="str">
        <f>IFERROR(__xludf.DUMMYFUNCTION("""COMPUTED_VALUE"""),"")</f>
        <v/>
      </c>
      <c r="AJ155" s="232" t="str">
        <f>IFERROR(__xludf.DUMMYFUNCTION("""COMPUTED_VALUE"""),"")</f>
        <v/>
      </c>
      <c r="AK155" s="233" t="str">
        <f>IFERROR(__xludf.DUMMYFUNCTION("""COMPUTED_VALUE"""),"")</f>
        <v/>
      </c>
      <c r="AL155" s="231" t="str">
        <f>IFERROR(__xludf.DUMMYFUNCTION("""COMPUTED_VALUE"""),"")</f>
        <v/>
      </c>
      <c r="AM155" s="232" t="str">
        <f>IFERROR(__xludf.DUMMYFUNCTION("""COMPUTED_VALUE"""),"")</f>
        <v/>
      </c>
      <c r="AN155" s="233" t="str">
        <f>IFERROR(__xludf.DUMMYFUNCTION("""COMPUTED_VALUE"""),"")</f>
        <v/>
      </c>
      <c r="AO155" s="231" t="str">
        <f>IFERROR(__xludf.DUMMYFUNCTION("""COMPUTED_VALUE"""),"")</f>
        <v/>
      </c>
      <c r="AP155" s="232" t="str">
        <f>IFERROR(__xludf.DUMMYFUNCTION("""COMPUTED_VALUE"""),"")</f>
        <v/>
      </c>
      <c r="AQ155" s="233" t="str">
        <f>IFERROR(__xludf.DUMMYFUNCTION("""COMPUTED_VALUE"""),"")</f>
        <v/>
      </c>
      <c r="AR155" s="231" t="str">
        <f>IFERROR(__xludf.DUMMYFUNCTION("""COMPUTED_VALUE"""),"")</f>
        <v/>
      </c>
      <c r="AS155" s="232" t="str">
        <f>IFERROR(__xludf.DUMMYFUNCTION("""COMPUTED_VALUE"""),"")</f>
        <v/>
      </c>
      <c r="AT155" s="233">
        <f>IFERROR(__xludf.DUMMYFUNCTION("""COMPUTED_VALUE"""),37.1)</f>
        <v>37.1</v>
      </c>
      <c r="AU155" s="231" t="str">
        <f>IFERROR(__xludf.DUMMYFUNCTION("""COMPUTED_VALUE"""),"")</f>
        <v/>
      </c>
      <c r="AV155" s="232" t="str">
        <f>IFERROR(__xludf.DUMMYFUNCTION("""COMPUTED_VALUE"""),"")</f>
        <v/>
      </c>
      <c r="AW155" s="233">
        <f>IFERROR(__xludf.DUMMYFUNCTION("""COMPUTED_VALUE"""),31.2)</f>
        <v>31.2</v>
      </c>
      <c r="AX155" s="231" t="str">
        <f>IFERROR(__xludf.DUMMYFUNCTION("""COMPUTED_VALUE"""),"")</f>
        <v/>
      </c>
      <c r="AY155" s="232" t="str">
        <f>IFERROR(__xludf.DUMMYFUNCTION("""COMPUTED_VALUE"""),"")</f>
        <v/>
      </c>
      <c r="AZ155" s="233" t="str">
        <f>IFERROR(__xludf.DUMMYFUNCTION("""COMPUTED_VALUE"""),"")</f>
        <v/>
      </c>
      <c r="BA155" s="231" t="str">
        <f>IFERROR(__xludf.DUMMYFUNCTION("""COMPUTED_VALUE"""),"")</f>
        <v/>
      </c>
      <c r="BB155" s="232" t="str">
        <f>IFERROR(__xludf.DUMMYFUNCTION("""COMPUTED_VALUE"""),"")</f>
        <v/>
      </c>
      <c r="BC155" s="233" t="str">
        <f>IFERROR(__xludf.DUMMYFUNCTION("""COMPUTED_VALUE"""),"")</f>
        <v/>
      </c>
      <c r="BD155" s="231" t="str">
        <f>IFERROR(__xludf.DUMMYFUNCTION("""COMPUTED_VALUE"""),"")</f>
        <v/>
      </c>
      <c r="BE155" s="232" t="str">
        <f>IFERROR(__xludf.DUMMYFUNCTION("""COMPUTED_VALUE"""),"")</f>
        <v/>
      </c>
      <c r="BF155" s="233" t="str">
        <f>IFERROR(__xludf.DUMMYFUNCTION("""COMPUTED_VALUE"""),"")</f>
        <v/>
      </c>
      <c r="BG155" s="231" t="str">
        <f>IFERROR(__xludf.DUMMYFUNCTION("""COMPUTED_VALUE"""),"")</f>
        <v/>
      </c>
      <c r="BH155" s="232" t="str">
        <f>IFERROR(__xludf.DUMMYFUNCTION("""COMPUTED_VALUE"""),"")</f>
        <v/>
      </c>
      <c r="BI155" s="233" t="str">
        <f>IFERROR(__xludf.DUMMYFUNCTION("""COMPUTED_VALUE"""),"")</f>
        <v/>
      </c>
      <c r="BJ155" s="231" t="str">
        <f>IFERROR(__xludf.DUMMYFUNCTION("""COMPUTED_VALUE"""),"")</f>
        <v/>
      </c>
      <c r="BK155" s="232" t="str">
        <f>IFERROR(__xludf.DUMMYFUNCTION("""COMPUTED_VALUE"""),"")</f>
        <v/>
      </c>
      <c r="BL155" s="233" t="str">
        <f>IFERROR(__xludf.DUMMYFUNCTION("""COMPUTED_VALUE"""),"")</f>
        <v/>
      </c>
      <c r="BM155" s="231" t="str">
        <f>IFERROR(__xludf.DUMMYFUNCTION("""COMPUTED_VALUE"""),"")</f>
        <v/>
      </c>
      <c r="BN155" s="232" t="str">
        <f>IFERROR(__xludf.DUMMYFUNCTION("""COMPUTED_VALUE"""),"")</f>
        <v/>
      </c>
      <c r="BO155" s="233" t="str">
        <f>IFERROR(__xludf.DUMMYFUNCTION("""COMPUTED_VALUE"""),"")</f>
        <v/>
      </c>
      <c r="BP155" s="231" t="str">
        <f>IFERROR(__xludf.DUMMYFUNCTION("""COMPUTED_VALUE"""),"")</f>
        <v/>
      </c>
      <c r="BQ155" s="232" t="str">
        <f>IFERROR(__xludf.DUMMYFUNCTION("""COMPUTED_VALUE"""),"")</f>
        <v/>
      </c>
      <c r="BR155" s="233" t="str">
        <f>IFERROR(__xludf.DUMMYFUNCTION("""COMPUTED_VALUE"""),"")</f>
        <v/>
      </c>
      <c r="BS155" s="231" t="str">
        <f>IFERROR(__xludf.DUMMYFUNCTION("""COMPUTED_VALUE"""),"")</f>
        <v/>
      </c>
      <c r="BT155" s="232">
        <f>IFERROR(__xludf.DUMMYFUNCTION("""COMPUTED_VALUE"""),38.2)</f>
        <v>38.2</v>
      </c>
      <c r="BU155" s="233" t="str">
        <f>IFERROR(__xludf.DUMMYFUNCTION("""COMPUTED_VALUE"""),"")</f>
        <v/>
      </c>
      <c r="BV155" s="231" t="str">
        <f>IFERROR(__xludf.DUMMYFUNCTION("""COMPUTED_VALUE"""),"")</f>
        <v/>
      </c>
      <c r="BW155" s="232" t="str">
        <f>IFERROR(__xludf.DUMMYFUNCTION("""COMPUTED_VALUE"""),"")</f>
        <v/>
      </c>
      <c r="BX155" s="233" t="str">
        <f>IFERROR(__xludf.DUMMYFUNCTION("""COMPUTED_VALUE"""),"")</f>
        <v/>
      </c>
      <c r="BY155" s="231" t="str">
        <f>IFERROR(__xludf.DUMMYFUNCTION("""COMPUTED_VALUE"""),"")</f>
        <v/>
      </c>
      <c r="BZ155" s="232" t="str">
        <f>IFERROR(__xludf.DUMMYFUNCTION("""COMPUTED_VALUE"""),"")</f>
        <v/>
      </c>
      <c r="CA155" s="233" t="str">
        <f>IFERROR(__xludf.DUMMYFUNCTION("""COMPUTED_VALUE"""),"")</f>
        <v/>
      </c>
      <c r="CB155" s="231" t="str">
        <f>IFERROR(__xludf.DUMMYFUNCTION("""COMPUTED_VALUE"""),"")</f>
        <v/>
      </c>
      <c r="CC155" s="232" t="str">
        <f>IFERROR(__xludf.DUMMYFUNCTION("""COMPUTED_VALUE"""),"")</f>
        <v/>
      </c>
      <c r="CD155" s="233" t="str">
        <f>IFERROR(__xludf.DUMMYFUNCTION("""COMPUTED_VALUE"""),"")</f>
        <v/>
      </c>
      <c r="CE155" s="234" t="str">
        <f>IFERROR(__xludf.DUMMYFUNCTION("""COMPUTED_VALUE"""),"")</f>
        <v/>
      </c>
      <c r="CF155" s="230" t="str">
        <f>IFERROR(__xludf.DUMMYFUNCTION("""COMPUTED_VALUE"""),"")</f>
        <v/>
      </c>
      <c r="CG155" s="235" t="str">
        <f>IFERROR(__xludf.DUMMYFUNCTION("""COMPUTED_VALUE"""),"")</f>
        <v/>
      </c>
      <c r="CH155" s="234" t="str">
        <f>IFERROR(__xludf.DUMMYFUNCTION("""COMPUTED_VALUE"""),"")</f>
        <v/>
      </c>
      <c r="CI155" s="230" t="str">
        <f>IFERROR(__xludf.DUMMYFUNCTION("""COMPUTED_VALUE"""),"")</f>
        <v/>
      </c>
      <c r="CJ155" s="235" t="str">
        <f>IFERROR(__xludf.DUMMYFUNCTION("""COMPUTED_VALUE"""),"")</f>
        <v/>
      </c>
      <c r="CK155" s="95" t="str">
        <f>IFERROR(__xludf.DUMMYFUNCTION("""COMPUTED_VALUE"""),"")</f>
        <v/>
      </c>
      <c r="CL155" s="96" t="str">
        <f>IFERROR(__xludf.DUMMYFUNCTION("""COMPUTED_VALUE"""),"")</f>
        <v/>
      </c>
      <c r="CM155" s="97" t="str">
        <f>IFERROR(__xludf.DUMMYFUNCTION("""COMPUTED_VALUE"""),"")</f>
        <v/>
      </c>
      <c r="CN155" s="95" t="str">
        <f>IFERROR(__xludf.DUMMYFUNCTION("""COMPUTED_VALUE"""),"")</f>
        <v/>
      </c>
      <c r="CO155" s="96" t="str">
        <f>IFERROR(__xludf.DUMMYFUNCTION("""COMPUTED_VALUE"""),"")</f>
        <v/>
      </c>
      <c r="CP155" s="97" t="str">
        <f>IFERROR(__xludf.DUMMYFUNCTION("""COMPUTED_VALUE"""),"")</f>
        <v/>
      </c>
      <c r="CQ155" s="95" t="str">
        <f>IFERROR(__xludf.DUMMYFUNCTION("""COMPUTED_VALUE"""),"")</f>
        <v/>
      </c>
      <c r="CR155" s="96" t="str">
        <f>IFERROR(__xludf.DUMMYFUNCTION("""COMPUTED_VALUE"""),"")</f>
        <v/>
      </c>
      <c r="CS155" s="97" t="str">
        <f>IFERROR(__xludf.DUMMYFUNCTION("""COMPUTED_VALUE"""),"#REF!")</f>
        <v>#REF!</v>
      </c>
      <c r="CT155" s="95" t="str">
        <f>IFERROR(__xludf.DUMMYFUNCTION("""COMPUTED_VALUE"""),"#REF!")</f>
        <v>#REF!</v>
      </c>
      <c r="CU155" s="96" t="str">
        <f>IFERROR(__xludf.DUMMYFUNCTION("""COMPUTED_VALUE"""),"#REF!")</f>
        <v>#REF!</v>
      </c>
      <c r="CV155" s="97" t="str">
        <f>IFERROR(__xludf.DUMMYFUNCTION("""COMPUTED_VALUE"""),"#REF!")</f>
        <v>#REF!</v>
      </c>
      <c r="CW155" s="95" t="str">
        <f>IFERROR(__xludf.DUMMYFUNCTION("""COMPUTED_VALUE"""),"#REF!")</f>
        <v>#REF!</v>
      </c>
      <c r="CX155" s="96" t="str">
        <f>IFERROR(__xludf.DUMMYFUNCTION("""COMPUTED_VALUE"""),"#REF!")</f>
        <v>#REF!</v>
      </c>
      <c r="CY155" s="97" t="str">
        <f>IFERROR(__xludf.DUMMYFUNCTION("""COMPUTED_VALUE"""),"#REF!")</f>
        <v>#REF!</v>
      </c>
      <c r="CZ155" s="95" t="str">
        <f>IFERROR(__xludf.DUMMYFUNCTION("""COMPUTED_VALUE"""),"#REF!")</f>
        <v>#REF!</v>
      </c>
      <c r="DA155" s="96" t="str">
        <f>IFERROR(__xludf.DUMMYFUNCTION("""COMPUTED_VALUE"""),"#REF!")</f>
        <v>#REF!</v>
      </c>
      <c r="DB155" s="97" t="str">
        <f>IFERROR(__xludf.DUMMYFUNCTION("""COMPUTED_VALUE"""),"#REF!")</f>
        <v>#REF!</v>
      </c>
      <c r="DC155" s="95" t="str">
        <f>IFERROR(__xludf.DUMMYFUNCTION("""COMPUTED_VALUE"""),"#REF!")</f>
        <v>#REF!</v>
      </c>
      <c r="DD155" s="96" t="str">
        <f>IFERROR(__xludf.DUMMYFUNCTION("""COMPUTED_VALUE"""),"#REF!")</f>
        <v>#REF!</v>
      </c>
      <c r="DE155" s="97" t="str">
        <f>IFERROR(__xludf.DUMMYFUNCTION("""COMPUTED_VALUE"""),"#REF!")</f>
        <v>#REF!</v>
      </c>
      <c r="DF155" s="95" t="str">
        <f>IFERROR(__xludf.DUMMYFUNCTION("""COMPUTED_VALUE"""),"#REF!")</f>
        <v>#REF!</v>
      </c>
      <c r="DG155" s="96" t="str">
        <f>IFERROR(__xludf.DUMMYFUNCTION("""COMPUTED_VALUE"""),"#REF!")</f>
        <v>#REF!</v>
      </c>
      <c r="DH155" s="97" t="str">
        <f>IFERROR(__xludf.DUMMYFUNCTION("""COMPUTED_VALUE"""),"#REF!")</f>
        <v>#REF!</v>
      </c>
      <c r="DI155" s="95" t="str">
        <f>IFERROR(__xludf.DUMMYFUNCTION("""COMPUTED_VALUE"""),"#REF!")</f>
        <v>#REF!</v>
      </c>
      <c r="DJ155" s="96" t="str">
        <f>IFERROR(__xludf.DUMMYFUNCTION("""COMPUTED_VALUE"""),"#REF!")</f>
        <v>#REF!</v>
      </c>
      <c r="DK155" s="97" t="str">
        <f>IFERROR(__xludf.DUMMYFUNCTION("""COMPUTED_VALUE"""),"#REF!")</f>
        <v>#REF!</v>
      </c>
      <c r="DL155" s="95" t="str">
        <f>IFERROR(__xludf.DUMMYFUNCTION("""COMPUTED_VALUE"""),"#REF!")</f>
        <v>#REF!</v>
      </c>
      <c r="DM155" s="96" t="str">
        <f>IFERROR(__xludf.DUMMYFUNCTION("""COMPUTED_VALUE"""),"#REF!")</f>
        <v>#REF!</v>
      </c>
      <c r="DN155" s="97" t="str">
        <f>IFERROR(__xludf.DUMMYFUNCTION("""COMPUTED_VALUE"""),"#REF!")</f>
        <v>#REF!</v>
      </c>
      <c r="DO155" s="95" t="str">
        <f>IFERROR(__xludf.DUMMYFUNCTION("""COMPUTED_VALUE"""),"#REF!")</f>
        <v>#REF!</v>
      </c>
      <c r="DP155" s="96" t="str">
        <f>IFERROR(__xludf.DUMMYFUNCTION("""COMPUTED_VALUE"""),"#REF!")</f>
        <v>#REF!</v>
      </c>
      <c r="DQ155" s="97"/>
      <c r="DR155" s="95"/>
    </row>
    <row r="156">
      <c r="B156" s="120" t="str">
        <f>IFERROR(__xludf.DUMMYFUNCTION("""COMPUTED_VALUE"""),"AGT6")</f>
        <v>AGT6</v>
      </c>
      <c r="C156" s="82">
        <f>IFERROR(__xludf.DUMMYFUNCTION("""COMPUTED_VALUE"""),147.0)</f>
        <v>147</v>
      </c>
      <c r="D156" s="88" t="str">
        <f>IFERROR(__xludf.DUMMYFUNCTION("""COMPUTED_VALUE"""),"Northern Cliffs")</f>
        <v>Northern Cliffs</v>
      </c>
      <c r="E156" s="82" t="str">
        <f>IFERROR(__xludf.DUMMYFUNCTION("""COMPUTED_VALUE"""),"北の断崖")</f>
        <v>北の断崖</v>
      </c>
      <c r="F156" s="102">
        <f>IFERROR(__xludf.DUMMYFUNCTION("""COMPUTED_VALUE"""),21.0)</f>
        <v>21</v>
      </c>
      <c r="G156" s="82">
        <f>IFERROR(__xludf.DUMMYFUNCTION("""COMPUTED_VALUE"""),2240.0)</f>
        <v>2240</v>
      </c>
      <c r="H156" s="231" t="str">
        <f>IFERROR(__xludf.DUMMYFUNCTION("""COMPUTED_VALUE"""),"")</f>
        <v/>
      </c>
      <c r="I156" s="232" t="str">
        <f>IFERROR(__xludf.DUMMYFUNCTION("""COMPUTED_VALUE"""),"")</f>
        <v/>
      </c>
      <c r="J156" s="233" t="str">
        <f>IFERROR(__xludf.DUMMYFUNCTION("""COMPUTED_VALUE"""),"")</f>
        <v/>
      </c>
      <c r="K156" s="231" t="str">
        <f>IFERROR(__xludf.DUMMYFUNCTION("""COMPUTED_VALUE"""),"")</f>
        <v/>
      </c>
      <c r="L156" s="232" t="str">
        <f>IFERROR(__xludf.DUMMYFUNCTION("""COMPUTED_VALUE"""),"")</f>
        <v/>
      </c>
      <c r="M156" s="233" t="str">
        <f>IFERROR(__xludf.DUMMYFUNCTION("""COMPUTED_VALUE"""),"")</f>
        <v/>
      </c>
      <c r="N156" s="231">
        <f>IFERROR(__xludf.DUMMYFUNCTION("""COMPUTED_VALUE"""),20.6)</f>
        <v>20.6</v>
      </c>
      <c r="O156" s="232" t="str">
        <f>IFERROR(__xludf.DUMMYFUNCTION("""COMPUTED_VALUE"""),"")</f>
        <v/>
      </c>
      <c r="P156" s="233" t="str">
        <f>IFERROR(__xludf.DUMMYFUNCTION("""COMPUTED_VALUE"""),"")</f>
        <v/>
      </c>
      <c r="Q156" s="231" t="str">
        <f>IFERROR(__xludf.DUMMYFUNCTION("""COMPUTED_VALUE"""),"")</f>
        <v/>
      </c>
      <c r="R156" s="232" t="str">
        <f>IFERROR(__xludf.DUMMYFUNCTION("""COMPUTED_VALUE"""),"")</f>
        <v/>
      </c>
      <c r="S156" s="233" t="str">
        <f>IFERROR(__xludf.DUMMYFUNCTION("""COMPUTED_VALUE"""),"")</f>
        <v/>
      </c>
      <c r="T156" s="231" t="str">
        <f>IFERROR(__xludf.DUMMYFUNCTION("""COMPUTED_VALUE"""),"")</f>
        <v/>
      </c>
      <c r="U156" s="232" t="str">
        <f>IFERROR(__xludf.DUMMYFUNCTION("""COMPUTED_VALUE"""),"")</f>
        <v/>
      </c>
      <c r="V156" s="233" t="str">
        <f>IFERROR(__xludf.DUMMYFUNCTION("""COMPUTED_VALUE"""),"")</f>
        <v/>
      </c>
      <c r="W156" s="231" t="str">
        <f>IFERROR(__xludf.DUMMYFUNCTION("""COMPUTED_VALUE"""),"")</f>
        <v/>
      </c>
      <c r="X156" s="232" t="str">
        <f>IFERROR(__xludf.DUMMYFUNCTION("""COMPUTED_VALUE"""),"")</f>
        <v/>
      </c>
      <c r="Y156" s="233" t="str">
        <f>IFERROR(__xludf.DUMMYFUNCTION("""COMPUTED_VALUE"""),"")</f>
        <v/>
      </c>
      <c r="Z156" s="231" t="str">
        <f>IFERROR(__xludf.DUMMYFUNCTION("""COMPUTED_VALUE"""),"")</f>
        <v/>
      </c>
      <c r="AA156" s="232" t="str">
        <f>IFERROR(__xludf.DUMMYFUNCTION("""COMPUTED_VALUE"""),"")</f>
        <v/>
      </c>
      <c r="AB156" s="233" t="str">
        <f>IFERROR(__xludf.DUMMYFUNCTION("""COMPUTED_VALUE"""),"")</f>
        <v/>
      </c>
      <c r="AC156" s="231" t="str">
        <f>IFERROR(__xludf.DUMMYFUNCTION("""COMPUTED_VALUE"""),"")</f>
        <v/>
      </c>
      <c r="AD156" s="232" t="str">
        <f>IFERROR(__xludf.DUMMYFUNCTION("""COMPUTED_VALUE"""),"")</f>
        <v/>
      </c>
      <c r="AE156" s="233" t="str">
        <f>IFERROR(__xludf.DUMMYFUNCTION("""COMPUTED_VALUE"""),"")</f>
        <v/>
      </c>
      <c r="AF156" s="231" t="str">
        <f>IFERROR(__xludf.DUMMYFUNCTION("""COMPUTED_VALUE"""),"")</f>
        <v/>
      </c>
      <c r="AG156" s="232" t="str">
        <f>IFERROR(__xludf.DUMMYFUNCTION("""COMPUTED_VALUE"""),"")</f>
        <v/>
      </c>
      <c r="AH156" s="233" t="str">
        <f>IFERROR(__xludf.DUMMYFUNCTION("""COMPUTED_VALUE"""),"")</f>
        <v/>
      </c>
      <c r="AI156" s="231" t="str">
        <f>IFERROR(__xludf.DUMMYFUNCTION("""COMPUTED_VALUE"""),"")</f>
        <v/>
      </c>
      <c r="AJ156" s="232" t="str">
        <f>IFERROR(__xludf.DUMMYFUNCTION("""COMPUTED_VALUE"""),"")</f>
        <v/>
      </c>
      <c r="AK156" s="233" t="str">
        <f>IFERROR(__xludf.DUMMYFUNCTION("""COMPUTED_VALUE"""),"")</f>
        <v/>
      </c>
      <c r="AL156" s="231" t="str">
        <f>IFERROR(__xludf.DUMMYFUNCTION("""COMPUTED_VALUE"""),"")</f>
        <v/>
      </c>
      <c r="AM156" s="232" t="str">
        <f>IFERROR(__xludf.DUMMYFUNCTION("""COMPUTED_VALUE"""),"")</f>
        <v/>
      </c>
      <c r="AN156" s="233" t="str">
        <f>IFERROR(__xludf.DUMMYFUNCTION("""COMPUTED_VALUE"""),"")</f>
        <v/>
      </c>
      <c r="AO156" s="231" t="str">
        <f>IFERROR(__xludf.DUMMYFUNCTION("""COMPUTED_VALUE"""),"")</f>
        <v/>
      </c>
      <c r="AP156" s="232" t="str">
        <f>IFERROR(__xludf.DUMMYFUNCTION("""COMPUTED_VALUE"""),"")</f>
        <v/>
      </c>
      <c r="AQ156" s="233" t="str">
        <f>IFERROR(__xludf.DUMMYFUNCTION("""COMPUTED_VALUE"""),"")</f>
        <v/>
      </c>
      <c r="AR156" s="231" t="str">
        <f>IFERROR(__xludf.DUMMYFUNCTION("""COMPUTED_VALUE"""),"")</f>
        <v/>
      </c>
      <c r="AS156" s="232" t="str">
        <f>IFERROR(__xludf.DUMMYFUNCTION("""COMPUTED_VALUE"""),"")</f>
        <v/>
      </c>
      <c r="AT156" s="233" t="str">
        <f>IFERROR(__xludf.DUMMYFUNCTION("""COMPUTED_VALUE"""),"")</f>
        <v/>
      </c>
      <c r="AU156" s="231" t="str">
        <f>IFERROR(__xludf.DUMMYFUNCTION("""COMPUTED_VALUE"""),"")</f>
        <v/>
      </c>
      <c r="AV156" s="232" t="str">
        <f>IFERROR(__xludf.DUMMYFUNCTION("""COMPUTED_VALUE"""),"")</f>
        <v/>
      </c>
      <c r="AW156" s="233" t="str">
        <f>IFERROR(__xludf.DUMMYFUNCTION("""COMPUTED_VALUE"""),"")</f>
        <v/>
      </c>
      <c r="AX156" s="231">
        <f>IFERROR(__xludf.DUMMYFUNCTION("""COMPUTED_VALUE"""),39.8)</f>
        <v>39.8</v>
      </c>
      <c r="AY156" s="232" t="str">
        <f>IFERROR(__xludf.DUMMYFUNCTION("""COMPUTED_VALUE"""),"")</f>
        <v/>
      </c>
      <c r="AZ156" s="233" t="str">
        <f>IFERROR(__xludf.DUMMYFUNCTION("""COMPUTED_VALUE"""),"")</f>
        <v/>
      </c>
      <c r="BA156" s="231" t="str">
        <f>IFERROR(__xludf.DUMMYFUNCTION("""COMPUTED_VALUE"""),"")</f>
        <v/>
      </c>
      <c r="BB156" s="232" t="str">
        <f>IFERROR(__xludf.DUMMYFUNCTION("""COMPUTED_VALUE"""),"")</f>
        <v/>
      </c>
      <c r="BC156" s="233" t="str">
        <f>IFERROR(__xludf.DUMMYFUNCTION("""COMPUTED_VALUE"""),"")</f>
        <v/>
      </c>
      <c r="BD156" s="231" t="str">
        <f>IFERROR(__xludf.DUMMYFUNCTION("""COMPUTED_VALUE"""),"")</f>
        <v/>
      </c>
      <c r="BE156" s="232" t="str">
        <f>IFERROR(__xludf.DUMMYFUNCTION("""COMPUTED_VALUE"""),"")</f>
        <v/>
      </c>
      <c r="BF156" s="233" t="str">
        <f>IFERROR(__xludf.DUMMYFUNCTION("""COMPUTED_VALUE"""),"")</f>
        <v/>
      </c>
      <c r="BG156" s="231" t="str">
        <f>IFERROR(__xludf.DUMMYFUNCTION("""COMPUTED_VALUE"""),"")</f>
        <v/>
      </c>
      <c r="BH156" s="232" t="str">
        <f>IFERROR(__xludf.DUMMYFUNCTION("""COMPUTED_VALUE"""),"")</f>
        <v/>
      </c>
      <c r="BI156" s="233" t="str">
        <f>IFERROR(__xludf.DUMMYFUNCTION("""COMPUTED_VALUE"""),"")</f>
        <v/>
      </c>
      <c r="BJ156" s="231" t="str">
        <f>IFERROR(__xludf.DUMMYFUNCTION("""COMPUTED_VALUE"""),"")</f>
        <v/>
      </c>
      <c r="BK156" s="232" t="str">
        <f>IFERROR(__xludf.DUMMYFUNCTION("""COMPUTED_VALUE"""),"")</f>
        <v/>
      </c>
      <c r="BL156" s="233" t="str">
        <f>IFERROR(__xludf.DUMMYFUNCTION("""COMPUTED_VALUE"""),"")</f>
        <v/>
      </c>
      <c r="BM156" s="231" t="str">
        <f>IFERROR(__xludf.DUMMYFUNCTION("""COMPUTED_VALUE"""),"")</f>
        <v/>
      </c>
      <c r="BN156" s="232" t="str">
        <f>IFERROR(__xludf.DUMMYFUNCTION("""COMPUTED_VALUE"""),"")</f>
        <v/>
      </c>
      <c r="BO156" s="233">
        <f>IFERROR(__xludf.DUMMYFUNCTION("""COMPUTED_VALUE"""),31.1)</f>
        <v>31.1</v>
      </c>
      <c r="BP156" s="231" t="str">
        <f>IFERROR(__xludf.DUMMYFUNCTION("""COMPUTED_VALUE"""),"")</f>
        <v/>
      </c>
      <c r="BQ156" s="232" t="str">
        <f>IFERROR(__xludf.DUMMYFUNCTION("""COMPUTED_VALUE"""),"")</f>
        <v/>
      </c>
      <c r="BR156" s="233" t="str">
        <f>IFERROR(__xludf.DUMMYFUNCTION("""COMPUTED_VALUE"""),"")</f>
        <v/>
      </c>
      <c r="BS156" s="231" t="str">
        <f>IFERROR(__xludf.DUMMYFUNCTION("""COMPUTED_VALUE"""),"")</f>
        <v/>
      </c>
      <c r="BT156" s="232" t="str">
        <f>IFERROR(__xludf.DUMMYFUNCTION("""COMPUTED_VALUE"""),"")</f>
        <v/>
      </c>
      <c r="BU156" s="233" t="str">
        <f>IFERROR(__xludf.DUMMYFUNCTION("""COMPUTED_VALUE"""),"")</f>
        <v/>
      </c>
      <c r="BV156" s="231" t="str">
        <f>IFERROR(__xludf.DUMMYFUNCTION("""COMPUTED_VALUE"""),"")</f>
        <v/>
      </c>
      <c r="BW156" s="232" t="str">
        <f>IFERROR(__xludf.DUMMYFUNCTION("""COMPUTED_VALUE"""),"")</f>
        <v/>
      </c>
      <c r="BX156" s="233" t="str">
        <f>IFERROR(__xludf.DUMMYFUNCTION("""COMPUTED_VALUE"""),"")</f>
        <v/>
      </c>
      <c r="BY156" s="231" t="str">
        <f>IFERROR(__xludf.DUMMYFUNCTION("""COMPUTED_VALUE"""),"")</f>
        <v/>
      </c>
      <c r="BZ156" s="232" t="str">
        <f>IFERROR(__xludf.DUMMYFUNCTION("""COMPUTED_VALUE"""),"")</f>
        <v/>
      </c>
      <c r="CA156" s="233" t="str">
        <f>IFERROR(__xludf.DUMMYFUNCTION("""COMPUTED_VALUE"""),"")</f>
        <v/>
      </c>
      <c r="CB156" s="231" t="str">
        <f>IFERROR(__xludf.DUMMYFUNCTION("""COMPUTED_VALUE"""),"")</f>
        <v/>
      </c>
      <c r="CC156" s="232" t="str">
        <f>IFERROR(__xludf.DUMMYFUNCTION("""COMPUTED_VALUE"""),"")</f>
        <v/>
      </c>
      <c r="CD156" s="233" t="str">
        <f>IFERROR(__xludf.DUMMYFUNCTION("""COMPUTED_VALUE"""),"")</f>
        <v/>
      </c>
      <c r="CE156" s="234" t="str">
        <f>IFERROR(__xludf.DUMMYFUNCTION("""COMPUTED_VALUE"""),"")</f>
        <v/>
      </c>
      <c r="CF156" s="230" t="str">
        <f>IFERROR(__xludf.DUMMYFUNCTION("""COMPUTED_VALUE"""),"")</f>
        <v/>
      </c>
      <c r="CG156" s="235" t="str">
        <f>IFERROR(__xludf.DUMMYFUNCTION("""COMPUTED_VALUE"""),"")</f>
        <v/>
      </c>
      <c r="CH156" s="234" t="str">
        <f>IFERROR(__xludf.DUMMYFUNCTION("""COMPUTED_VALUE"""),"")</f>
        <v/>
      </c>
      <c r="CI156" s="230" t="str">
        <f>IFERROR(__xludf.DUMMYFUNCTION("""COMPUTED_VALUE"""),"")</f>
        <v/>
      </c>
      <c r="CJ156" s="235" t="str">
        <f>IFERROR(__xludf.DUMMYFUNCTION("""COMPUTED_VALUE"""),"")</f>
        <v/>
      </c>
      <c r="CK156" s="95" t="str">
        <f>IFERROR(__xludf.DUMMYFUNCTION("""COMPUTED_VALUE"""),"")</f>
        <v/>
      </c>
      <c r="CL156" s="96" t="str">
        <f>IFERROR(__xludf.DUMMYFUNCTION("""COMPUTED_VALUE"""),"")</f>
        <v/>
      </c>
      <c r="CM156" s="97" t="str">
        <f>IFERROR(__xludf.DUMMYFUNCTION("""COMPUTED_VALUE"""),"")</f>
        <v/>
      </c>
      <c r="CN156" s="95" t="str">
        <f>IFERROR(__xludf.DUMMYFUNCTION("""COMPUTED_VALUE"""),"")</f>
        <v/>
      </c>
      <c r="CO156" s="96" t="str">
        <f>IFERROR(__xludf.DUMMYFUNCTION("""COMPUTED_VALUE"""),"")</f>
        <v/>
      </c>
      <c r="CP156" s="97" t="str">
        <f>IFERROR(__xludf.DUMMYFUNCTION("""COMPUTED_VALUE"""),"")</f>
        <v/>
      </c>
      <c r="CQ156" s="95" t="str">
        <f>IFERROR(__xludf.DUMMYFUNCTION("""COMPUTED_VALUE"""),"")</f>
        <v/>
      </c>
      <c r="CR156" s="96" t="str">
        <f>IFERROR(__xludf.DUMMYFUNCTION("""COMPUTED_VALUE"""),"")</f>
        <v/>
      </c>
      <c r="CS156" s="97" t="str">
        <f>IFERROR(__xludf.DUMMYFUNCTION("""COMPUTED_VALUE"""),"#REF!")</f>
        <v>#REF!</v>
      </c>
      <c r="CT156" s="95" t="str">
        <f>IFERROR(__xludf.DUMMYFUNCTION("""COMPUTED_VALUE"""),"#REF!")</f>
        <v>#REF!</v>
      </c>
      <c r="CU156" s="96" t="str">
        <f>IFERROR(__xludf.DUMMYFUNCTION("""COMPUTED_VALUE"""),"#REF!")</f>
        <v>#REF!</v>
      </c>
      <c r="CV156" s="97" t="str">
        <f>IFERROR(__xludf.DUMMYFUNCTION("""COMPUTED_VALUE"""),"#REF!")</f>
        <v>#REF!</v>
      </c>
      <c r="CW156" s="95" t="str">
        <f>IFERROR(__xludf.DUMMYFUNCTION("""COMPUTED_VALUE"""),"#REF!")</f>
        <v>#REF!</v>
      </c>
      <c r="CX156" s="96" t="str">
        <f>IFERROR(__xludf.DUMMYFUNCTION("""COMPUTED_VALUE"""),"#REF!")</f>
        <v>#REF!</v>
      </c>
      <c r="CY156" s="97" t="str">
        <f>IFERROR(__xludf.DUMMYFUNCTION("""COMPUTED_VALUE"""),"#REF!")</f>
        <v>#REF!</v>
      </c>
      <c r="CZ156" s="95" t="str">
        <f>IFERROR(__xludf.DUMMYFUNCTION("""COMPUTED_VALUE"""),"#REF!")</f>
        <v>#REF!</v>
      </c>
      <c r="DA156" s="96" t="str">
        <f>IFERROR(__xludf.DUMMYFUNCTION("""COMPUTED_VALUE"""),"#REF!")</f>
        <v>#REF!</v>
      </c>
      <c r="DB156" s="97" t="str">
        <f>IFERROR(__xludf.DUMMYFUNCTION("""COMPUTED_VALUE"""),"#REF!")</f>
        <v>#REF!</v>
      </c>
      <c r="DC156" s="95" t="str">
        <f>IFERROR(__xludf.DUMMYFUNCTION("""COMPUTED_VALUE"""),"#REF!")</f>
        <v>#REF!</v>
      </c>
      <c r="DD156" s="96" t="str">
        <f>IFERROR(__xludf.DUMMYFUNCTION("""COMPUTED_VALUE"""),"#REF!")</f>
        <v>#REF!</v>
      </c>
      <c r="DE156" s="97" t="str">
        <f>IFERROR(__xludf.DUMMYFUNCTION("""COMPUTED_VALUE"""),"#REF!")</f>
        <v>#REF!</v>
      </c>
      <c r="DF156" s="95" t="str">
        <f>IFERROR(__xludf.DUMMYFUNCTION("""COMPUTED_VALUE"""),"#REF!")</f>
        <v>#REF!</v>
      </c>
      <c r="DG156" s="96" t="str">
        <f>IFERROR(__xludf.DUMMYFUNCTION("""COMPUTED_VALUE"""),"#REF!")</f>
        <v>#REF!</v>
      </c>
      <c r="DH156" s="97" t="str">
        <f>IFERROR(__xludf.DUMMYFUNCTION("""COMPUTED_VALUE"""),"#REF!")</f>
        <v>#REF!</v>
      </c>
      <c r="DI156" s="95" t="str">
        <f>IFERROR(__xludf.DUMMYFUNCTION("""COMPUTED_VALUE"""),"#REF!")</f>
        <v>#REF!</v>
      </c>
      <c r="DJ156" s="96" t="str">
        <f>IFERROR(__xludf.DUMMYFUNCTION("""COMPUTED_VALUE"""),"#REF!")</f>
        <v>#REF!</v>
      </c>
      <c r="DK156" s="97" t="str">
        <f>IFERROR(__xludf.DUMMYFUNCTION("""COMPUTED_VALUE"""),"#REF!")</f>
        <v>#REF!</v>
      </c>
      <c r="DL156" s="95" t="str">
        <f>IFERROR(__xludf.DUMMYFUNCTION("""COMPUTED_VALUE"""),"#REF!")</f>
        <v>#REF!</v>
      </c>
      <c r="DM156" s="96" t="str">
        <f>IFERROR(__xludf.DUMMYFUNCTION("""COMPUTED_VALUE"""),"#REF!")</f>
        <v>#REF!</v>
      </c>
      <c r="DN156" s="97" t="str">
        <f>IFERROR(__xludf.DUMMYFUNCTION("""COMPUTED_VALUE"""),"#REF!")</f>
        <v>#REF!</v>
      </c>
      <c r="DO156" s="95" t="str">
        <f>IFERROR(__xludf.DUMMYFUNCTION("""COMPUTED_VALUE"""),"#REF!")</f>
        <v>#REF!</v>
      </c>
      <c r="DP156" s="96" t="str">
        <f>IFERROR(__xludf.DUMMYFUNCTION("""COMPUTED_VALUE"""),"#REF!")</f>
        <v>#REF!</v>
      </c>
      <c r="DQ156" s="97"/>
      <c r="DR156" s="95"/>
    </row>
    <row r="157">
      <c r="B157" s="120" t="str">
        <f>IFERROR(__xludf.DUMMYFUNCTION("""COMPUTED_VALUE"""),"AGT7")</f>
        <v>AGT7</v>
      </c>
      <c r="C157" s="82">
        <f>IFERROR(__xludf.DUMMYFUNCTION("""COMPUTED_VALUE"""),148.0)</f>
        <v>148</v>
      </c>
      <c r="D157" s="88" t="str">
        <f>IFERROR(__xludf.DUMMYFUNCTION("""COMPUTED_VALUE"""),"Nightless City")</f>
        <v>Nightless City</v>
      </c>
      <c r="E157" s="82" t="str">
        <f>IFERROR(__xludf.DUMMYFUNCTION("""COMPUTED_VALUE"""),"不夜城")</f>
        <v>不夜城</v>
      </c>
      <c r="F157" s="102">
        <f>IFERROR(__xludf.DUMMYFUNCTION("""COMPUTED_VALUE"""),21.0)</f>
        <v>21</v>
      </c>
      <c r="G157" s="82">
        <f>IFERROR(__xludf.DUMMYFUNCTION("""COMPUTED_VALUE"""),9158.0)</f>
        <v>9158</v>
      </c>
      <c r="H157" s="231" t="str">
        <f>IFERROR(__xludf.DUMMYFUNCTION("""COMPUTED_VALUE"""),"")</f>
        <v/>
      </c>
      <c r="I157" s="232" t="str">
        <f>IFERROR(__xludf.DUMMYFUNCTION("""COMPUTED_VALUE"""),"")</f>
        <v/>
      </c>
      <c r="J157" s="233" t="str">
        <f>IFERROR(__xludf.DUMMYFUNCTION("""COMPUTED_VALUE"""),"")</f>
        <v/>
      </c>
      <c r="K157" s="231" t="str">
        <f>IFERROR(__xludf.DUMMYFUNCTION("""COMPUTED_VALUE"""),"")</f>
        <v/>
      </c>
      <c r="L157" s="232" t="str">
        <f>IFERROR(__xludf.DUMMYFUNCTION("""COMPUTED_VALUE"""),"")</f>
        <v/>
      </c>
      <c r="M157" s="233" t="str">
        <f>IFERROR(__xludf.DUMMYFUNCTION("""COMPUTED_VALUE"""),"")</f>
        <v/>
      </c>
      <c r="N157" s="231" t="str">
        <f>IFERROR(__xludf.DUMMYFUNCTION("""COMPUTED_VALUE"""),"")</f>
        <v/>
      </c>
      <c r="O157" s="232" t="str">
        <f>IFERROR(__xludf.DUMMYFUNCTION("""COMPUTED_VALUE"""),"")</f>
        <v/>
      </c>
      <c r="P157" s="233" t="str">
        <f>IFERROR(__xludf.DUMMYFUNCTION("""COMPUTED_VALUE"""),"")</f>
        <v/>
      </c>
      <c r="Q157" s="231" t="str">
        <f>IFERROR(__xludf.DUMMYFUNCTION("""COMPUTED_VALUE"""),"")</f>
        <v/>
      </c>
      <c r="R157" s="232" t="str">
        <f>IFERROR(__xludf.DUMMYFUNCTION("""COMPUTED_VALUE"""),"")</f>
        <v/>
      </c>
      <c r="S157" s="233" t="str">
        <f>IFERROR(__xludf.DUMMYFUNCTION("""COMPUTED_VALUE"""),"")</f>
        <v/>
      </c>
      <c r="T157" s="231" t="str">
        <f>IFERROR(__xludf.DUMMYFUNCTION("""COMPUTED_VALUE"""),"")</f>
        <v/>
      </c>
      <c r="U157" s="232" t="str">
        <f>IFERROR(__xludf.DUMMYFUNCTION("""COMPUTED_VALUE"""),"")</f>
        <v/>
      </c>
      <c r="V157" s="233" t="str">
        <f>IFERROR(__xludf.DUMMYFUNCTION("""COMPUTED_VALUE"""),"")</f>
        <v/>
      </c>
      <c r="W157" s="231" t="str">
        <f>IFERROR(__xludf.DUMMYFUNCTION("""COMPUTED_VALUE"""),"")</f>
        <v/>
      </c>
      <c r="X157" s="232" t="str">
        <f>IFERROR(__xludf.DUMMYFUNCTION("""COMPUTED_VALUE"""),"")</f>
        <v/>
      </c>
      <c r="Y157" s="233" t="str">
        <f>IFERROR(__xludf.DUMMYFUNCTION("""COMPUTED_VALUE"""),"")</f>
        <v/>
      </c>
      <c r="Z157" s="231" t="str">
        <f>IFERROR(__xludf.DUMMYFUNCTION("""COMPUTED_VALUE"""),"")</f>
        <v/>
      </c>
      <c r="AA157" s="232" t="str">
        <f>IFERROR(__xludf.DUMMYFUNCTION("""COMPUTED_VALUE"""),"")</f>
        <v/>
      </c>
      <c r="AB157" s="233" t="str">
        <f>IFERROR(__xludf.DUMMYFUNCTION("""COMPUTED_VALUE"""),"")</f>
        <v/>
      </c>
      <c r="AC157" s="231" t="str">
        <f>IFERROR(__xludf.DUMMYFUNCTION("""COMPUTED_VALUE"""),"")</f>
        <v/>
      </c>
      <c r="AD157" s="232" t="str">
        <f>IFERROR(__xludf.DUMMYFUNCTION("""COMPUTED_VALUE"""),"")</f>
        <v/>
      </c>
      <c r="AE157" s="233" t="str">
        <f>IFERROR(__xludf.DUMMYFUNCTION("""COMPUTED_VALUE"""),"")</f>
        <v/>
      </c>
      <c r="AF157" s="231" t="str">
        <f>IFERROR(__xludf.DUMMYFUNCTION("""COMPUTED_VALUE"""),"")</f>
        <v/>
      </c>
      <c r="AG157" s="232" t="str">
        <f>IFERROR(__xludf.DUMMYFUNCTION("""COMPUTED_VALUE"""),"")</f>
        <v/>
      </c>
      <c r="AH157" s="233" t="str">
        <f>IFERROR(__xludf.DUMMYFUNCTION("""COMPUTED_VALUE"""),"")</f>
        <v/>
      </c>
      <c r="AI157" s="231" t="str">
        <f>IFERROR(__xludf.DUMMYFUNCTION("""COMPUTED_VALUE"""),"")</f>
        <v/>
      </c>
      <c r="AJ157" s="232" t="str">
        <f>IFERROR(__xludf.DUMMYFUNCTION("""COMPUTED_VALUE"""),"")</f>
        <v/>
      </c>
      <c r="AK157" s="233" t="str">
        <f>IFERROR(__xludf.DUMMYFUNCTION("""COMPUTED_VALUE"""),"")</f>
        <v/>
      </c>
      <c r="AL157" s="231" t="str">
        <f>IFERROR(__xludf.DUMMYFUNCTION("""COMPUTED_VALUE"""),"")</f>
        <v/>
      </c>
      <c r="AM157" s="232" t="str">
        <f>IFERROR(__xludf.DUMMYFUNCTION("""COMPUTED_VALUE"""),"")</f>
        <v/>
      </c>
      <c r="AN157" s="233" t="str">
        <f>IFERROR(__xludf.DUMMYFUNCTION("""COMPUTED_VALUE"""),"")</f>
        <v/>
      </c>
      <c r="AO157" s="231" t="str">
        <f>IFERROR(__xludf.DUMMYFUNCTION("""COMPUTED_VALUE"""),"")</f>
        <v/>
      </c>
      <c r="AP157" s="232" t="str">
        <f>IFERROR(__xludf.DUMMYFUNCTION("""COMPUTED_VALUE"""),"")</f>
        <v/>
      </c>
      <c r="AQ157" s="233" t="str">
        <f>IFERROR(__xludf.DUMMYFUNCTION("""COMPUTED_VALUE"""),"")</f>
        <v/>
      </c>
      <c r="AR157" s="231" t="str">
        <f>IFERROR(__xludf.DUMMYFUNCTION("""COMPUTED_VALUE"""),"")</f>
        <v/>
      </c>
      <c r="AS157" s="232" t="str">
        <f>IFERROR(__xludf.DUMMYFUNCTION("""COMPUTED_VALUE"""),"")</f>
        <v/>
      </c>
      <c r="AT157" s="233" t="str">
        <f>IFERROR(__xludf.DUMMYFUNCTION("""COMPUTED_VALUE"""),"")</f>
        <v/>
      </c>
      <c r="AU157" s="231" t="str">
        <f>IFERROR(__xludf.DUMMYFUNCTION("""COMPUTED_VALUE"""),"")</f>
        <v/>
      </c>
      <c r="AV157" s="232" t="str">
        <f>IFERROR(__xludf.DUMMYFUNCTION("""COMPUTED_VALUE"""),"")</f>
        <v/>
      </c>
      <c r="AW157" s="233">
        <f>IFERROR(__xludf.DUMMYFUNCTION("""COMPUTED_VALUE"""),29.9)</f>
        <v>29.9</v>
      </c>
      <c r="AX157" s="231">
        <f>IFERROR(__xludf.DUMMYFUNCTION("""COMPUTED_VALUE"""),39.1)</f>
        <v>39.1</v>
      </c>
      <c r="AY157" s="232" t="str">
        <f>IFERROR(__xludf.DUMMYFUNCTION("""COMPUTED_VALUE"""),"")</f>
        <v/>
      </c>
      <c r="AZ157" s="233" t="str">
        <f>IFERROR(__xludf.DUMMYFUNCTION("""COMPUTED_VALUE"""),"")</f>
        <v/>
      </c>
      <c r="BA157" s="231" t="str">
        <f>IFERROR(__xludf.DUMMYFUNCTION("""COMPUTED_VALUE"""),"")</f>
        <v/>
      </c>
      <c r="BB157" s="232" t="str">
        <f>IFERROR(__xludf.DUMMYFUNCTION("""COMPUTED_VALUE"""),"")</f>
        <v/>
      </c>
      <c r="BC157" s="233" t="str">
        <f>IFERROR(__xludf.DUMMYFUNCTION("""COMPUTED_VALUE"""),"")</f>
        <v/>
      </c>
      <c r="BD157" s="231" t="str">
        <f>IFERROR(__xludf.DUMMYFUNCTION("""COMPUTED_VALUE"""),"")</f>
        <v/>
      </c>
      <c r="BE157" s="232" t="str">
        <f>IFERROR(__xludf.DUMMYFUNCTION("""COMPUTED_VALUE"""),"")</f>
        <v/>
      </c>
      <c r="BF157" s="233" t="str">
        <f>IFERROR(__xludf.DUMMYFUNCTION("""COMPUTED_VALUE"""),"")</f>
        <v/>
      </c>
      <c r="BG157" s="231" t="str">
        <f>IFERROR(__xludf.DUMMYFUNCTION("""COMPUTED_VALUE"""),"")</f>
        <v/>
      </c>
      <c r="BH157" s="232" t="str">
        <f>IFERROR(__xludf.DUMMYFUNCTION("""COMPUTED_VALUE"""),"")</f>
        <v/>
      </c>
      <c r="BI157" s="233" t="str">
        <f>IFERROR(__xludf.DUMMYFUNCTION("""COMPUTED_VALUE"""),"")</f>
        <v/>
      </c>
      <c r="BJ157" s="231" t="str">
        <f>IFERROR(__xludf.DUMMYFUNCTION("""COMPUTED_VALUE"""),"")</f>
        <v/>
      </c>
      <c r="BK157" s="232" t="str">
        <f>IFERROR(__xludf.DUMMYFUNCTION("""COMPUTED_VALUE"""),"")</f>
        <v/>
      </c>
      <c r="BL157" s="233" t="str">
        <f>IFERROR(__xludf.DUMMYFUNCTION("""COMPUTED_VALUE"""),"")</f>
        <v/>
      </c>
      <c r="BM157" s="231" t="str">
        <f>IFERROR(__xludf.DUMMYFUNCTION("""COMPUTED_VALUE"""),"")</f>
        <v/>
      </c>
      <c r="BN157" s="232" t="str">
        <f>IFERROR(__xludf.DUMMYFUNCTION("""COMPUTED_VALUE"""),"")</f>
        <v/>
      </c>
      <c r="BO157" s="233">
        <f>IFERROR(__xludf.DUMMYFUNCTION("""COMPUTED_VALUE"""),35.2)</f>
        <v>35.2</v>
      </c>
      <c r="BP157" s="231" t="str">
        <f>IFERROR(__xludf.DUMMYFUNCTION("""COMPUTED_VALUE"""),"")</f>
        <v/>
      </c>
      <c r="BQ157" s="232" t="str">
        <f>IFERROR(__xludf.DUMMYFUNCTION("""COMPUTED_VALUE"""),"")</f>
        <v/>
      </c>
      <c r="BR157" s="233" t="str">
        <f>IFERROR(__xludf.DUMMYFUNCTION("""COMPUTED_VALUE"""),"")</f>
        <v/>
      </c>
      <c r="BS157" s="231" t="str">
        <f>IFERROR(__xludf.DUMMYFUNCTION("""COMPUTED_VALUE"""),"")</f>
        <v/>
      </c>
      <c r="BT157" s="232" t="str">
        <f>IFERROR(__xludf.DUMMYFUNCTION("""COMPUTED_VALUE"""),"")</f>
        <v/>
      </c>
      <c r="BU157" s="233" t="str">
        <f>IFERROR(__xludf.DUMMYFUNCTION("""COMPUTED_VALUE"""),"")</f>
        <v/>
      </c>
      <c r="BV157" s="231" t="str">
        <f>IFERROR(__xludf.DUMMYFUNCTION("""COMPUTED_VALUE"""),"")</f>
        <v/>
      </c>
      <c r="BW157" s="232" t="str">
        <f>IFERROR(__xludf.DUMMYFUNCTION("""COMPUTED_VALUE"""),"")</f>
        <v/>
      </c>
      <c r="BX157" s="233" t="str">
        <f>IFERROR(__xludf.DUMMYFUNCTION("""COMPUTED_VALUE"""),"")</f>
        <v/>
      </c>
      <c r="BY157" s="231" t="str">
        <f>IFERROR(__xludf.DUMMYFUNCTION("""COMPUTED_VALUE"""),"")</f>
        <v/>
      </c>
      <c r="BZ157" s="232" t="str">
        <f>IFERROR(__xludf.DUMMYFUNCTION("""COMPUTED_VALUE"""),"")</f>
        <v/>
      </c>
      <c r="CA157" s="233" t="str">
        <f>IFERROR(__xludf.DUMMYFUNCTION("""COMPUTED_VALUE"""),"")</f>
        <v/>
      </c>
      <c r="CB157" s="231" t="str">
        <f>IFERROR(__xludf.DUMMYFUNCTION("""COMPUTED_VALUE"""),"")</f>
        <v/>
      </c>
      <c r="CC157" s="232" t="str">
        <f>IFERROR(__xludf.DUMMYFUNCTION("""COMPUTED_VALUE"""),"")</f>
        <v/>
      </c>
      <c r="CD157" s="233" t="str">
        <f>IFERROR(__xludf.DUMMYFUNCTION("""COMPUTED_VALUE"""),"")</f>
        <v/>
      </c>
      <c r="CE157" s="234" t="str">
        <f>IFERROR(__xludf.DUMMYFUNCTION("""COMPUTED_VALUE"""),"")</f>
        <v/>
      </c>
      <c r="CF157" s="230" t="str">
        <f>IFERROR(__xludf.DUMMYFUNCTION("""COMPUTED_VALUE"""),"")</f>
        <v/>
      </c>
      <c r="CG157" s="235" t="str">
        <f>IFERROR(__xludf.DUMMYFUNCTION("""COMPUTED_VALUE"""),"")</f>
        <v/>
      </c>
      <c r="CH157" s="234" t="str">
        <f>IFERROR(__xludf.DUMMYFUNCTION("""COMPUTED_VALUE"""),"")</f>
        <v/>
      </c>
      <c r="CI157" s="230" t="str">
        <f>IFERROR(__xludf.DUMMYFUNCTION("""COMPUTED_VALUE"""),"")</f>
        <v/>
      </c>
      <c r="CJ157" s="235" t="str">
        <f>IFERROR(__xludf.DUMMYFUNCTION("""COMPUTED_VALUE"""),"")</f>
        <v/>
      </c>
      <c r="CK157" s="95" t="str">
        <f>IFERROR(__xludf.DUMMYFUNCTION("""COMPUTED_VALUE"""),"")</f>
        <v/>
      </c>
      <c r="CL157" s="96" t="str">
        <f>IFERROR(__xludf.DUMMYFUNCTION("""COMPUTED_VALUE"""),"")</f>
        <v/>
      </c>
      <c r="CM157" s="97" t="str">
        <f>IFERROR(__xludf.DUMMYFUNCTION("""COMPUTED_VALUE"""),"")</f>
        <v/>
      </c>
      <c r="CN157" s="95" t="str">
        <f>IFERROR(__xludf.DUMMYFUNCTION("""COMPUTED_VALUE"""),"")</f>
        <v/>
      </c>
      <c r="CO157" s="96" t="str">
        <f>IFERROR(__xludf.DUMMYFUNCTION("""COMPUTED_VALUE"""),"")</f>
        <v/>
      </c>
      <c r="CP157" s="97" t="str">
        <f>IFERROR(__xludf.DUMMYFUNCTION("""COMPUTED_VALUE"""),"")</f>
        <v/>
      </c>
      <c r="CQ157" s="95" t="str">
        <f>IFERROR(__xludf.DUMMYFUNCTION("""COMPUTED_VALUE"""),"")</f>
        <v/>
      </c>
      <c r="CR157" s="96" t="str">
        <f>IFERROR(__xludf.DUMMYFUNCTION("""COMPUTED_VALUE"""),"")</f>
        <v/>
      </c>
      <c r="CS157" s="97" t="str">
        <f>IFERROR(__xludf.DUMMYFUNCTION("""COMPUTED_VALUE"""),"#REF!")</f>
        <v>#REF!</v>
      </c>
      <c r="CT157" s="95" t="str">
        <f>IFERROR(__xludf.DUMMYFUNCTION("""COMPUTED_VALUE"""),"#REF!")</f>
        <v>#REF!</v>
      </c>
      <c r="CU157" s="96" t="str">
        <f>IFERROR(__xludf.DUMMYFUNCTION("""COMPUTED_VALUE"""),"#REF!")</f>
        <v>#REF!</v>
      </c>
      <c r="CV157" s="97" t="str">
        <f>IFERROR(__xludf.DUMMYFUNCTION("""COMPUTED_VALUE"""),"#REF!")</f>
        <v>#REF!</v>
      </c>
      <c r="CW157" s="95" t="str">
        <f>IFERROR(__xludf.DUMMYFUNCTION("""COMPUTED_VALUE"""),"#REF!")</f>
        <v>#REF!</v>
      </c>
      <c r="CX157" s="96" t="str">
        <f>IFERROR(__xludf.DUMMYFUNCTION("""COMPUTED_VALUE"""),"#REF!")</f>
        <v>#REF!</v>
      </c>
      <c r="CY157" s="97" t="str">
        <f>IFERROR(__xludf.DUMMYFUNCTION("""COMPUTED_VALUE"""),"#REF!")</f>
        <v>#REF!</v>
      </c>
      <c r="CZ157" s="95" t="str">
        <f>IFERROR(__xludf.DUMMYFUNCTION("""COMPUTED_VALUE"""),"#REF!")</f>
        <v>#REF!</v>
      </c>
      <c r="DA157" s="96" t="str">
        <f>IFERROR(__xludf.DUMMYFUNCTION("""COMPUTED_VALUE"""),"#REF!")</f>
        <v>#REF!</v>
      </c>
      <c r="DB157" s="97" t="str">
        <f>IFERROR(__xludf.DUMMYFUNCTION("""COMPUTED_VALUE"""),"#REF!")</f>
        <v>#REF!</v>
      </c>
      <c r="DC157" s="95" t="str">
        <f>IFERROR(__xludf.DUMMYFUNCTION("""COMPUTED_VALUE"""),"#REF!")</f>
        <v>#REF!</v>
      </c>
      <c r="DD157" s="96" t="str">
        <f>IFERROR(__xludf.DUMMYFUNCTION("""COMPUTED_VALUE"""),"#REF!")</f>
        <v>#REF!</v>
      </c>
      <c r="DE157" s="97" t="str">
        <f>IFERROR(__xludf.DUMMYFUNCTION("""COMPUTED_VALUE"""),"#REF!")</f>
        <v>#REF!</v>
      </c>
      <c r="DF157" s="95" t="str">
        <f>IFERROR(__xludf.DUMMYFUNCTION("""COMPUTED_VALUE"""),"#REF!")</f>
        <v>#REF!</v>
      </c>
      <c r="DG157" s="96" t="str">
        <f>IFERROR(__xludf.DUMMYFUNCTION("""COMPUTED_VALUE"""),"#REF!")</f>
        <v>#REF!</v>
      </c>
      <c r="DH157" s="97" t="str">
        <f>IFERROR(__xludf.DUMMYFUNCTION("""COMPUTED_VALUE"""),"#REF!")</f>
        <v>#REF!</v>
      </c>
      <c r="DI157" s="95" t="str">
        <f>IFERROR(__xludf.DUMMYFUNCTION("""COMPUTED_VALUE"""),"#REF!")</f>
        <v>#REF!</v>
      </c>
      <c r="DJ157" s="96" t="str">
        <f>IFERROR(__xludf.DUMMYFUNCTION("""COMPUTED_VALUE"""),"#REF!")</f>
        <v>#REF!</v>
      </c>
      <c r="DK157" s="97" t="str">
        <f>IFERROR(__xludf.DUMMYFUNCTION("""COMPUTED_VALUE"""),"#REF!")</f>
        <v>#REF!</v>
      </c>
      <c r="DL157" s="95" t="str">
        <f>IFERROR(__xludf.DUMMYFUNCTION("""COMPUTED_VALUE"""),"#REF!")</f>
        <v>#REF!</v>
      </c>
      <c r="DM157" s="96" t="str">
        <f>IFERROR(__xludf.DUMMYFUNCTION("""COMPUTED_VALUE"""),"#REF!")</f>
        <v>#REF!</v>
      </c>
      <c r="DN157" s="97" t="str">
        <f>IFERROR(__xludf.DUMMYFUNCTION("""COMPUTED_VALUE"""),"#REF!")</f>
        <v>#REF!</v>
      </c>
      <c r="DO157" s="95" t="str">
        <f>IFERROR(__xludf.DUMMYFUNCTION("""COMPUTED_VALUE"""),"#REF!")</f>
        <v>#REF!</v>
      </c>
      <c r="DP157" s="96" t="str">
        <f>IFERROR(__xludf.DUMMYFUNCTION("""COMPUTED_VALUE"""),"#REF!")</f>
        <v>#REF!</v>
      </c>
      <c r="DQ157" s="97"/>
      <c r="DR157" s="95"/>
    </row>
    <row r="158">
      <c r="B158" s="120" t="str">
        <f>IFERROR(__xludf.DUMMYFUNCTION("""COMPUTED_VALUE"""),"AGT8")</f>
        <v>AGT8</v>
      </c>
      <c r="C158" s="82">
        <f>IFERROR(__xludf.DUMMYFUNCTION("""COMPUTED_VALUE"""),149.0)</f>
        <v>149</v>
      </c>
      <c r="D158" s="88" t="str">
        <f>IFERROR(__xludf.DUMMYFUNCTION("""COMPUTED_VALUE"""),"Foothills Jungle")</f>
        <v>Foothills Jungle</v>
      </c>
      <c r="E158" s="82" t="str">
        <f>IFERROR(__xludf.DUMMYFUNCTION("""COMPUTED_VALUE"""),"山裾の密林")</f>
        <v>山裾の密林</v>
      </c>
      <c r="F158" s="102">
        <f>IFERROR(__xludf.DUMMYFUNCTION("""COMPUTED_VALUE"""),21.0)</f>
        <v>21</v>
      </c>
      <c r="G158" s="82">
        <f>IFERROR(__xludf.DUMMYFUNCTION("""COMPUTED_VALUE"""),23100.0)</f>
        <v>23100</v>
      </c>
      <c r="H158" s="231" t="str">
        <f>IFERROR(__xludf.DUMMYFUNCTION("""COMPUTED_VALUE"""),"")</f>
        <v/>
      </c>
      <c r="I158" s="232" t="str">
        <f>IFERROR(__xludf.DUMMYFUNCTION("""COMPUTED_VALUE"""),"")</f>
        <v/>
      </c>
      <c r="J158" s="233" t="str">
        <f>IFERROR(__xludf.DUMMYFUNCTION("""COMPUTED_VALUE"""),"")</f>
        <v/>
      </c>
      <c r="K158" s="231" t="str">
        <f>IFERROR(__xludf.DUMMYFUNCTION("""COMPUTED_VALUE"""),"")</f>
        <v/>
      </c>
      <c r="L158" s="232" t="str">
        <f>IFERROR(__xludf.DUMMYFUNCTION("""COMPUTED_VALUE"""),"")</f>
        <v/>
      </c>
      <c r="M158" s="233" t="str">
        <f>IFERROR(__xludf.DUMMYFUNCTION("""COMPUTED_VALUE"""),"")</f>
        <v/>
      </c>
      <c r="N158" s="231" t="str">
        <f>IFERROR(__xludf.DUMMYFUNCTION("""COMPUTED_VALUE"""),"")</f>
        <v/>
      </c>
      <c r="O158" s="232" t="str">
        <f>IFERROR(__xludf.DUMMYFUNCTION("""COMPUTED_VALUE"""),"")</f>
        <v/>
      </c>
      <c r="P158" s="233" t="str">
        <f>IFERROR(__xludf.DUMMYFUNCTION("""COMPUTED_VALUE"""),"")</f>
        <v/>
      </c>
      <c r="Q158" s="231" t="str">
        <f>IFERROR(__xludf.DUMMYFUNCTION("""COMPUTED_VALUE"""),"")</f>
        <v/>
      </c>
      <c r="R158" s="232" t="str">
        <f>IFERROR(__xludf.DUMMYFUNCTION("""COMPUTED_VALUE"""),"")</f>
        <v/>
      </c>
      <c r="S158" s="233" t="str">
        <f>IFERROR(__xludf.DUMMYFUNCTION("""COMPUTED_VALUE"""),"")</f>
        <v/>
      </c>
      <c r="T158" s="231" t="str">
        <f>IFERROR(__xludf.DUMMYFUNCTION("""COMPUTED_VALUE"""),"")</f>
        <v/>
      </c>
      <c r="U158" s="232" t="str">
        <f>IFERROR(__xludf.DUMMYFUNCTION("""COMPUTED_VALUE"""),"")</f>
        <v/>
      </c>
      <c r="V158" s="233" t="str">
        <f>IFERROR(__xludf.DUMMYFUNCTION("""COMPUTED_VALUE"""),"")</f>
        <v/>
      </c>
      <c r="W158" s="231" t="str">
        <f>IFERROR(__xludf.DUMMYFUNCTION("""COMPUTED_VALUE"""),"")</f>
        <v/>
      </c>
      <c r="X158" s="232" t="str">
        <f>IFERROR(__xludf.DUMMYFUNCTION("""COMPUTED_VALUE"""),"")</f>
        <v/>
      </c>
      <c r="Y158" s="233" t="str">
        <f>IFERROR(__xludf.DUMMYFUNCTION("""COMPUTED_VALUE"""),"")</f>
        <v/>
      </c>
      <c r="Z158" s="231">
        <f>IFERROR(__xludf.DUMMYFUNCTION("""COMPUTED_VALUE"""),15.3)</f>
        <v>15.3</v>
      </c>
      <c r="AA158" s="232" t="str">
        <f>IFERROR(__xludf.DUMMYFUNCTION("""COMPUTED_VALUE"""),"")</f>
        <v/>
      </c>
      <c r="AB158" s="233" t="str">
        <f>IFERROR(__xludf.DUMMYFUNCTION("""COMPUTED_VALUE"""),"")</f>
        <v/>
      </c>
      <c r="AC158" s="231" t="str">
        <f>IFERROR(__xludf.DUMMYFUNCTION("""COMPUTED_VALUE"""),"")</f>
        <v/>
      </c>
      <c r="AD158" s="232">
        <f>IFERROR(__xludf.DUMMYFUNCTION("""COMPUTED_VALUE"""),14.3)</f>
        <v>14.3</v>
      </c>
      <c r="AE158" s="233" t="str">
        <f>IFERROR(__xludf.DUMMYFUNCTION("""COMPUTED_VALUE"""),"")</f>
        <v/>
      </c>
      <c r="AF158" s="231" t="str">
        <f>IFERROR(__xludf.DUMMYFUNCTION("""COMPUTED_VALUE"""),"")</f>
        <v/>
      </c>
      <c r="AG158" s="232" t="str">
        <f>IFERROR(__xludf.DUMMYFUNCTION("""COMPUTED_VALUE"""),"")</f>
        <v/>
      </c>
      <c r="AH158" s="233" t="str">
        <f>IFERROR(__xludf.DUMMYFUNCTION("""COMPUTED_VALUE"""),"")</f>
        <v/>
      </c>
      <c r="AI158" s="231" t="str">
        <f>IFERROR(__xludf.DUMMYFUNCTION("""COMPUTED_VALUE"""),"")</f>
        <v/>
      </c>
      <c r="AJ158" s="232" t="str">
        <f>IFERROR(__xludf.DUMMYFUNCTION("""COMPUTED_VALUE"""),"")</f>
        <v/>
      </c>
      <c r="AK158" s="233" t="str">
        <f>IFERROR(__xludf.DUMMYFUNCTION("""COMPUTED_VALUE"""),"")</f>
        <v/>
      </c>
      <c r="AL158" s="231" t="str">
        <f>IFERROR(__xludf.DUMMYFUNCTION("""COMPUTED_VALUE"""),"")</f>
        <v/>
      </c>
      <c r="AM158" s="232" t="str">
        <f>IFERROR(__xludf.DUMMYFUNCTION("""COMPUTED_VALUE"""),"")</f>
        <v/>
      </c>
      <c r="AN158" s="233" t="str">
        <f>IFERROR(__xludf.DUMMYFUNCTION("""COMPUTED_VALUE"""),"")</f>
        <v/>
      </c>
      <c r="AO158" s="231" t="str">
        <f>IFERROR(__xludf.DUMMYFUNCTION("""COMPUTED_VALUE"""),"")</f>
        <v/>
      </c>
      <c r="AP158" s="232" t="str">
        <f>IFERROR(__xludf.DUMMYFUNCTION("""COMPUTED_VALUE"""),"")</f>
        <v/>
      </c>
      <c r="AQ158" s="233" t="str">
        <f>IFERROR(__xludf.DUMMYFUNCTION("""COMPUTED_VALUE"""),"")</f>
        <v/>
      </c>
      <c r="AR158" s="231" t="str">
        <f>IFERROR(__xludf.DUMMYFUNCTION("""COMPUTED_VALUE"""),"")</f>
        <v/>
      </c>
      <c r="AS158" s="232" t="str">
        <f>IFERROR(__xludf.DUMMYFUNCTION("""COMPUTED_VALUE"""),"")</f>
        <v/>
      </c>
      <c r="AT158" s="233" t="str">
        <f>IFERROR(__xludf.DUMMYFUNCTION("""COMPUTED_VALUE"""),"")</f>
        <v/>
      </c>
      <c r="AU158" s="231" t="str">
        <f>IFERROR(__xludf.DUMMYFUNCTION("""COMPUTED_VALUE"""),"")</f>
        <v/>
      </c>
      <c r="AV158" s="232">
        <f>IFERROR(__xludf.DUMMYFUNCTION("""COMPUTED_VALUE"""),49.4)</f>
        <v>49.4</v>
      </c>
      <c r="AW158" s="233" t="str">
        <f>IFERROR(__xludf.DUMMYFUNCTION("""COMPUTED_VALUE"""),"")</f>
        <v/>
      </c>
      <c r="AX158" s="231" t="str">
        <f>IFERROR(__xludf.DUMMYFUNCTION("""COMPUTED_VALUE"""),"")</f>
        <v/>
      </c>
      <c r="AY158" s="232" t="str">
        <f>IFERROR(__xludf.DUMMYFUNCTION("""COMPUTED_VALUE"""),"")</f>
        <v/>
      </c>
      <c r="AZ158" s="233" t="str">
        <f>IFERROR(__xludf.DUMMYFUNCTION("""COMPUTED_VALUE"""),"")</f>
        <v/>
      </c>
      <c r="BA158" s="231" t="str">
        <f>IFERROR(__xludf.DUMMYFUNCTION("""COMPUTED_VALUE"""),"")</f>
        <v/>
      </c>
      <c r="BB158" s="232" t="str">
        <f>IFERROR(__xludf.DUMMYFUNCTION("""COMPUTED_VALUE"""),"")</f>
        <v/>
      </c>
      <c r="BC158" s="233" t="str">
        <f>IFERROR(__xludf.DUMMYFUNCTION("""COMPUTED_VALUE"""),"")</f>
        <v/>
      </c>
      <c r="BD158" s="231" t="str">
        <f>IFERROR(__xludf.DUMMYFUNCTION("""COMPUTED_VALUE"""),"")</f>
        <v/>
      </c>
      <c r="BE158" s="232" t="str">
        <f>IFERROR(__xludf.DUMMYFUNCTION("""COMPUTED_VALUE"""),"")</f>
        <v/>
      </c>
      <c r="BF158" s="233" t="str">
        <f>IFERROR(__xludf.DUMMYFUNCTION("""COMPUTED_VALUE"""),"")</f>
        <v/>
      </c>
      <c r="BG158" s="231" t="str">
        <f>IFERROR(__xludf.DUMMYFUNCTION("""COMPUTED_VALUE"""),"")</f>
        <v/>
      </c>
      <c r="BH158" s="232" t="str">
        <f>IFERROR(__xludf.DUMMYFUNCTION("""COMPUTED_VALUE"""),"")</f>
        <v/>
      </c>
      <c r="BI158" s="233" t="str">
        <f>IFERROR(__xludf.DUMMYFUNCTION("""COMPUTED_VALUE"""),"")</f>
        <v/>
      </c>
      <c r="BJ158" s="231" t="str">
        <f>IFERROR(__xludf.DUMMYFUNCTION("""COMPUTED_VALUE"""),"")</f>
        <v/>
      </c>
      <c r="BK158" s="232">
        <f>IFERROR(__xludf.DUMMYFUNCTION("""COMPUTED_VALUE"""),9.8)</f>
        <v>9.8</v>
      </c>
      <c r="BL158" s="233" t="str">
        <f>IFERROR(__xludf.DUMMYFUNCTION("""COMPUTED_VALUE"""),"")</f>
        <v/>
      </c>
      <c r="BM158" s="231">
        <f>IFERROR(__xludf.DUMMYFUNCTION("""COMPUTED_VALUE"""),5.3)</f>
        <v>5.3</v>
      </c>
      <c r="BN158" s="232" t="str">
        <f>IFERROR(__xludf.DUMMYFUNCTION("""COMPUTED_VALUE"""),"")</f>
        <v/>
      </c>
      <c r="BO158" s="233" t="str">
        <f>IFERROR(__xludf.DUMMYFUNCTION("""COMPUTED_VALUE"""),"")</f>
        <v/>
      </c>
      <c r="BP158" s="231" t="str">
        <f>IFERROR(__xludf.DUMMYFUNCTION("""COMPUTED_VALUE"""),"")</f>
        <v/>
      </c>
      <c r="BQ158" s="232" t="str">
        <f>IFERROR(__xludf.DUMMYFUNCTION("""COMPUTED_VALUE"""),"")</f>
        <v/>
      </c>
      <c r="BR158" s="233">
        <f>IFERROR(__xludf.DUMMYFUNCTION("""COMPUTED_VALUE"""),15.9)</f>
        <v>15.9</v>
      </c>
      <c r="BS158" s="231" t="str">
        <f>IFERROR(__xludf.DUMMYFUNCTION("""COMPUTED_VALUE"""),"")</f>
        <v/>
      </c>
      <c r="BT158" s="232">
        <f>IFERROR(__xludf.DUMMYFUNCTION("""COMPUTED_VALUE"""),25.1)</f>
        <v>25.1</v>
      </c>
      <c r="BU158" s="233" t="str">
        <f>IFERROR(__xludf.DUMMYFUNCTION("""COMPUTED_VALUE"""),"")</f>
        <v/>
      </c>
      <c r="BV158" s="231" t="str">
        <f>IFERROR(__xludf.DUMMYFUNCTION("""COMPUTED_VALUE"""),"")</f>
        <v/>
      </c>
      <c r="BW158" s="232" t="str">
        <f>IFERROR(__xludf.DUMMYFUNCTION("""COMPUTED_VALUE"""),"")</f>
        <v/>
      </c>
      <c r="BX158" s="233" t="str">
        <f>IFERROR(__xludf.DUMMYFUNCTION("""COMPUTED_VALUE"""),"")</f>
        <v/>
      </c>
      <c r="BY158" s="231" t="str">
        <f>IFERROR(__xludf.DUMMYFUNCTION("""COMPUTED_VALUE"""),"")</f>
        <v/>
      </c>
      <c r="BZ158" s="232" t="str">
        <f>IFERROR(__xludf.DUMMYFUNCTION("""COMPUTED_VALUE"""),"")</f>
        <v/>
      </c>
      <c r="CA158" s="233" t="str">
        <f>IFERROR(__xludf.DUMMYFUNCTION("""COMPUTED_VALUE"""),"")</f>
        <v/>
      </c>
      <c r="CB158" s="231" t="str">
        <f>IFERROR(__xludf.DUMMYFUNCTION("""COMPUTED_VALUE"""),"")</f>
        <v/>
      </c>
      <c r="CC158" s="232" t="str">
        <f>IFERROR(__xludf.DUMMYFUNCTION("""COMPUTED_VALUE"""),"")</f>
        <v/>
      </c>
      <c r="CD158" s="233" t="str">
        <f>IFERROR(__xludf.DUMMYFUNCTION("""COMPUTED_VALUE"""),"")</f>
        <v/>
      </c>
      <c r="CE158" s="234" t="str">
        <f>IFERROR(__xludf.DUMMYFUNCTION("""COMPUTED_VALUE"""),"")</f>
        <v/>
      </c>
      <c r="CF158" s="230" t="str">
        <f>IFERROR(__xludf.DUMMYFUNCTION("""COMPUTED_VALUE"""),"")</f>
        <v/>
      </c>
      <c r="CG158" s="235" t="str">
        <f>IFERROR(__xludf.DUMMYFUNCTION("""COMPUTED_VALUE"""),"")</f>
        <v/>
      </c>
      <c r="CH158" s="234" t="str">
        <f>IFERROR(__xludf.DUMMYFUNCTION("""COMPUTED_VALUE"""),"")</f>
        <v/>
      </c>
      <c r="CI158" s="230" t="str">
        <f>IFERROR(__xludf.DUMMYFUNCTION("""COMPUTED_VALUE"""),"")</f>
        <v/>
      </c>
      <c r="CJ158" s="235" t="str">
        <f>IFERROR(__xludf.DUMMYFUNCTION("""COMPUTED_VALUE"""),"")</f>
        <v/>
      </c>
      <c r="CK158" s="95" t="str">
        <f>IFERROR(__xludf.DUMMYFUNCTION("""COMPUTED_VALUE"""),"")</f>
        <v/>
      </c>
      <c r="CL158" s="96" t="str">
        <f>IFERROR(__xludf.DUMMYFUNCTION("""COMPUTED_VALUE"""),"")</f>
        <v/>
      </c>
      <c r="CM158" s="97" t="str">
        <f>IFERROR(__xludf.DUMMYFUNCTION("""COMPUTED_VALUE"""),"")</f>
        <v/>
      </c>
      <c r="CN158" s="95" t="str">
        <f>IFERROR(__xludf.DUMMYFUNCTION("""COMPUTED_VALUE"""),"")</f>
        <v/>
      </c>
      <c r="CO158" s="96" t="str">
        <f>IFERROR(__xludf.DUMMYFUNCTION("""COMPUTED_VALUE"""),"")</f>
        <v/>
      </c>
      <c r="CP158" s="97" t="str">
        <f>IFERROR(__xludf.DUMMYFUNCTION("""COMPUTED_VALUE"""),"")</f>
        <v/>
      </c>
      <c r="CQ158" s="95" t="str">
        <f>IFERROR(__xludf.DUMMYFUNCTION("""COMPUTED_VALUE"""),"")</f>
        <v/>
      </c>
      <c r="CR158" s="96" t="str">
        <f>IFERROR(__xludf.DUMMYFUNCTION("""COMPUTED_VALUE"""),"")</f>
        <v/>
      </c>
      <c r="CS158" s="97" t="str">
        <f>IFERROR(__xludf.DUMMYFUNCTION("""COMPUTED_VALUE"""),"#REF!")</f>
        <v>#REF!</v>
      </c>
      <c r="CT158" s="95" t="str">
        <f>IFERROR(__xludf.DUMMYFUNCTION("""COMPUTED_VALUE"""),"#REF!")</f>
        <v>#REF!</v>
      </c>
      <c r="CU158" s="96" t="str">
        <f>IFERROR(__xludf.DUMMYFUNCTION("""COMPUTED_VALUE"""),"#REF!")</f>
        <v>#REF!</v>
      </c>
      <c r="CV158" s="97" t="str">
        <f>IFERROR(__xludf.DUMMYFUNCTION("""COMPUTED_VALUE"""),"#REF!")</f>
        <v>#REF!</v>
      </c>
      <c r="CW158" s="95" t="str">
        <f>IFERROR(__xludf.DUMMYFUNCTION("""COMPUTED_VALUE"""),"#REF!")</f>
        <v>#REF!</v>
      </c>
      <c r="CX158" s="96" t="str">
        <f>IFERROR(__xludf.DUMMYFUNCTION("""COMPUTED_VALUE"""),"#REF!")</f>
        <v>#REF!</v>
      </c>
      <c r="CY158" s="97" t="str">
        <f>IFERROR(__xludf.DUMMYFUNCTION("""COMPUTED_VALUE"""),"#REF!")</f>
        <v>#REF!</v>
      </c>
      <c r="CZ158" s="95" t="str">
        <f>IFERROR(__xludf.DUMMYFUNCTION("""COMPUTED_VALUE"""),"#REF!")</f>
        <v>#REF!</v>
      </c>
      <c r="DA158" s="96" t="str">
        <f>IFERROR(__xludf.DUMMYFUNCTION("""COMPUTED_VALUE"""),"#REF!")</f>
        <v>#REF!</v>
      </c>
      <c r="DB158" s="97" t="str">
        <f>IFERROR(__xludf.DUMMYFUNCTION("""COMPUTED_VALUE"""),"#REF!")</f>
        <v>#REF!</v>
      </c>
      <c r="DC158" s="95" t="str">
        <f>IFERROR(__xludf.DUMMYFUNCTION("""COMPUTED_VALUE"""),"#REF!")</f>
        <v>#REF!</v>
      </c>
      <c r="DD158" s="96" t="str">
        <f>IFERROR(__xludf.DUMMYFUNCTION("""COMPUTED_VALUE"""),"#REF!")</f>
        <v>#REF!</v>
      </c>
      <c r="DE158" s="97" t="str">
        <f>IFERROR(__xludf.DUMMYFUNCTION("""COMPUTED_VALUE"""),"#REF!")</f>
        <v>#REF!</v>
      </c>
      <c r="DF158" s="95" t="str">
        <f>IFERROR(__xludf.DUMMYFUNCTION("""COMPUTED_VALUE"""),"#REF!")</f>
        <v>#REF!</v>
      </c>
      <c r="DG158" s="96" t="str">
        <f>IFERROR(__xludf.DUMMYFUNCTION("""COMPUTED_VALUE"""),"#REF!")</f>
        <v>#REF!</v>
      </c>
      <c r="DH158" s="97" t="str">
        <f>IFERROR(__xludf.DUMMYFUNCTION("""COMPUTED_VALUE"""),"#REF!")</f>
        <v>#REF!</v>
      </c>
      <c r="DI158" s="95" t="str">
        <f>IFERROR(__xludf.DUMMYFUNCTION("""COMPUTED_VALUE"""),"#REF!")</f>
        <v>#REF!</v>
      </c>
      <c r="DJ158" s="96" t="str">
        <f>IFERROR(__xludf.DUMMYFUNCTION("""COMPUTED_VALUE"""),"#REF!")</f>
        <v>#REF!</v>
      </c>
      <c r="DK158" s="97" t="str">
        <f>IFERROR(__xludf.DUMMYFUNCTION("""COMPUTED_VALUE"""),"#REF!")</f>
        <v>#REF!</v>
      </c>
      <c r="DL158" s="95" t="str">
        <f>IFERROR(__xludf.DUMMYFUNCTION("""COMPUTED_VALUE"""),"#REF!")</f>
        <v>#REF!</v>
      </c>
      <c r="DM158" s="96" t="str">
        <f>IFERROR(__xludf.DUMMYFUNCTION("""COMPUTED_VALUE"""),"#REF!")</f>
        <v>#REF!</v>
      </c>
      <c r="DN158" s="97" t="str">
        <f>IFERROR(__xludf.DUMMYFUNCTION("""COMPUTED_VALUE"""),"#REF!")</f>
        <v>#REF!</v>
      </c>
      <c r="DO158" s="95" t="str">
        <f>IFERROR(__xludf.DUMMYFUNCTION("""COMPUTED_VALUE"""),"#REF!")</f>
        <v>#REF!</v>
      </c>
      <c r="DP158" s="96" t="str">
        <f>IFERROR(__xludf.DUMMYFUNCTION("""COMPUTED_VALUE"""),"#REF!")</f>
        <v>#REF!</v>
      </c>
      <c r="DQ158" s="97"/>
      <c r="DR158" s="95"/>
    </row>
    <row r="159">
      <c r="B159" s="120" t="str">
        <f>IFERROR(__xludf.DUMMYFUNCTION("""COMPUTED_VALUE"""),"AGT9")</f>
        <v>AGT9</v>
      </c>
      <c r="C159" s="82">
        <f>IFERROR(__xludf.DUMMYFUNCTION("""COMPUTED_VALUE"""),150.0)</f>
        <v>150</v>
      </c>
      <c r="D159" s="88" t="str">
        <f>IFERROR(__xludf.DUMMYFUNCTION("""COMPUTED_VALUE"""),"Palace of Dragon King")</f>
        <v>Palace of Dragon King</v>
      </c>
      <c r="E159" s="82" t="str">
        <f>IFERROR(__xludf.DUMMYFUNCTION("""COMPUTED_VALUE"""),"竜宮城")</f>
        <v>竜宮城</v>
      </c>
      <c r="F159" s="102">
        <f>IFERROR(__xludf.DUMMYFUNCTION("""COMPUTED_VALUE"""),21.0)</f>
        <v>21</v>
      </c>
      <c r="G159" s="82">
        <f>IFERROR(__xludf.DUMMYFUNCTION("""COMPUTED_VALUE"""),4641.0)</f>
        <v>4641</v>
      </c>
      <c r="H159" s="231" t="str">
        <f>IFERROR(__xludf.DUMMYFUNCTION("""COMPUTED_VALUE"""),"")</f>
        <v/>
      </c>
      <c r="I159" s="232" t="str">
        <f>IFERROR(__xludf.DUMMYFUNCTION("""COMPUTED_VALUE"""),"")</f>
        <v/>
      </c>
      <c r="J159" s="233" t="str">
        <f>IFERROR(__xludf.DUMMYFUNCTION("""COMPUTED_VALUE"""),"")</f>
        <v/>
      </c>
      <c r="K159" s="231" t="str">
        <f>IFERROR(__xludf.DUMMYFUNCTION("""COMPUTED_VALUE"""),"")</f>
        <v/>
      </c>
      <c r="L159" s="232" t="str">
        <f>IFERROR(__xludf.DUMMYFUNCTION("""COMPUTED_VALUE"""),"")</f>
        <v/>
      </c>
      <c r="M159" s="233" t="str">
        <f>IFERROR(__xludf.DUMMYFUNCTION("""COMPUTED_VALUE"""),"")</f>
        <v/>
      </c>
      <c r="N159" s="231" t="str">
        <f>IFERROR(__xludf.DUMMYFUNCTION("""COMPUTED_VALUE"""),"")</f>
        <v/>
      </c>
      <c r="O159" s="232" t="str">
        <f>IFERROR(__xludf.DUMMYFUNCTION("""COMPUTED_VALUE"""),"")</f>
        <v/>
      </c>
      <c r="P159" s="233" t="str">
        <f>IFERROR(__xludf.DUMMYFUNCTION("""COMPUTED_VALUE"""),"")</f>
        <v/>
      </c>
      <c r="Q159" s="231" t="str">
        <f>IFERROR(__xludf.DUMMYFUNCTION("""COMPUTED_VALUE"""),"")</f>
        <v/>
      </c>
      <c r="R159" s="232" t="str">
        <f>IFERROR(__xludf.DUMMYFUNCTION("""COMPUTED_VALUE"""),"")</f>
        <v/>
      </c>
      <c r="S159" s="233">
        <f>IFERROR(__xludf.DUMMYFUNCTION("""COMPUTED_VALUE"""),12.3)</f>
        <v>12.3</v>
      </c>
      <c r="T159" s="231" t="str">
        <f>IFERROR(__xludf.DUMMYFUNCTION("""COMPUTED_VALUE"""),"")</f>
        <v/>
      </c>
      <c r="U159" s="232" t="str">
        <f>IFERROR(__xludf.DUMMYFUNCTION("""COMPUTED_VALUE"""),"")</f>
        <v/>
      </c>
      <c r="V159" s="233" t="str">
        <f>IFERROR(__xludf.DUMMYFUNCTION("""COMPUTED_VALUE"""),"")</f>
        <v/>
      </c>
      <c r="W159" s="231" t="str">
        <f>IFERROR(__xludf.DUMMYFUNCTION("""COMPUTED_VALUE"""),"")</f>
        <v/>
      </c>
      <c r="X159" s="232" t="str">
        <f>IFERROR(__xludf.DUMMYFUNCTION("""COMPUTED_VALUE"""),"")</f>
        <v/>
      </c>
      <c r="Y159" s="233" t="str">
        <f>IFERROR(__xludf.DUMMYFUNCTION("""COMPUTED_VALUE"""),"")</f>
        <v/>
      </c>
      <c r="Z159" s="231" t="str">
        <f>IFERROR(__xludf.DUMMYFUNCTION("""COMPUTED_VALUE"""),"")</f>
        <v/>
      </c>
      <c r="AA159" s="232" t="str">
        <f>IFERROR(__xludf.DUMMYFUNCTION("""COMPUTED_VALUE"""),"")</f>
        <v/>
      </c>
      <c r="AB159" s="233" t="str">
        <f>IFERROR(__xludf.DUMMYFUNCTION("""COMPUTED_VALUE"""),"")</f>
        <v/>
      </c>
      <c r="AC159" s="231" t="str">
        <f>IFERROR(__xludf.DUMMYFUNCTION("""COMPUTED_VALUE"""),"")</f>
        <v/>
      </c>
      <c r="AD159" s="232" t="str">
        <f>IFERROR(__xludf.DUMMYFUNCTION("""COMPUTED_VALUE"""),"")</f>
        <v/>
      </c>
      <c r="AE159" s="233" t="str">
        <f>IFERROR(__xludf.DUMMYFUNCTION("""COMPUTED_VALUE"""),"")</f>
        <v/>
      </c>
      <c r="AF159" s="231" t="str">
        <f>IFERROR(__xludf.DUMMYFUNCTION("""COMPUTED_VALUE"""),"")</f>
        <v/>
      </c>
      <c r="AG159" s="232" t="str">
        <f>IFERROR(__xludf.DUMMYFUNCTION("""COMPUTED_VALUE"""),"")</f>
        <v/>
      </c>
      <c r="AH159" s="233" t="str">
        <f>IFERROR(__xludf.DUMMYFUNCTION("""COMPUTED_VALUE"""),"")</f>
        <v/>
      </c>
      <c r="AI159" s="231" t="str">
        <f>IFERROR(__xludf.DUMMYFUNCTION("""COMPUTED_VALUE"""),"")</f>
        <v/>
      </c>
      <c r="AJ159" s="232" t="str">
        <f>IFERROR(__xludf.DUMMYFUNCTION("""COMPUTED_VALUE"""),"")</f>
        <v/>
      </c>
      <c r="AK159" s="233" t="str">
        <f>IFERROR(__xludf.DUMMYFUNCTION("""COMPUTED_VALUE"""),"")</f>
        <v/>
      </c>
      <c r="AL159" s="231" t="str">
        <f>IFERROR(__xludf.DUMMYFUNCTION("""COMPUTED_VALUE"""),"")</f>
        <v/>
      </c>
      <c r="AM159" s="232" t="str">
        <f>IFERROR(__xludf.DUMMYFUNCTION("""COMPUTED_VALUE"""),"")</f>
        <v/>
      </c>
      <c r="AN159" s="233" t="str">
        <f>IFERROR(__xludf.DUMMYFUNCTION("""COMPUTED_VALUE"""),"")</f>
        <v/>
      </c>
      <c r="AO159" s="231" t="str">
        <f>IFERROR(__xludf.DUMMYFUNCTION("""COMPUTED_VALUE"""),"")</f>
        <v/>
      </c>
      <c r="AP159" s="232" t="str">
        <f>IFERROR(__xludf.DUMMYFUNCTION("""COMPUTED_VALUE"""),"")</f>
        <v/>
      </c>
      <c r="AQ159" s="233" t="str">
        <f>IFERROR(__xludf.DUMMYFUNCTION("""COMPUTED_VALUE"""),"")</f>
        <v/>
      </c>
      <c r="AR159" s="231" t="str">
        <f>IFERROR(__xludf.DUMMYFUNCTION("""COMPUTED_VALUE"""),"")</f>
        <v/>
      </c>
      <c r="AS159" s="232" t="str">
        <f>IFERROR(__xludf.DUMMYFUNCTION("""COMPUTED_VALUE"""),"")</f>
        <v/>
      </c>
      <c r="AT159" s="233">
        <f>IFERROR(__xludf.DUMMYFUNCTION("""COMPUTED_VALUE"""),28.5)</f>
        <v>28.5</v>
      </c>
      <c r="AU159" s="231" t="str">
        <f>IFERROR(__xludf.DUMMYFUNCTION("""COMPUTED_VALUE"""),"")</f>
        <v/>
      </c>
      <c r="AV159" s="232" t="str">
        <f>IFERROR(__xludf.DUMMYFUNCTION("""COMPUTED_VALUE"""),"")</f>
        <v/>
      </c>
      <c r="AW159" s="233" t="str">
        <f>IFERROR(__xludf.DUMMYFUNCTION("""COMPUTED_VALUE"""),"")</f>
        <v/>
      </c>
      <c r="AX159" s="231" t="str">
        <f>IFERROR(__xludf.DUMMYFUNCTION("""COMPUTED_VALUE"""),"")</f>
        <v/>
      </c>
      <c r="AY159" s="232" t="str">
        <f>IFERROR(__xludf.DUMMYFUNCTION("""COMPUTED_VALUE"""),"")</f>
        <v/>
      </c>
      <c r="AZ159" s="233" t="str">
        <f>IFERROR(__xludf.DUMMYFUNCTION("""COMPUTED_VALUE"""),"")</f>
        <v/>
      </c>
      <c r="BA159" s="231" t="str">
        <f>IFERROR(__xludf.DUMMYFUNCTION("""COMPUTED_VALUE"""),"")</f>
        <v/>
      </c>
      <c r="BB159" s="232" t="str">
        <f>IFERROR(__xludf.DUMMYFUNCTION("""COMPUTED_VALUE"""),"")</f>
        <v/>
      </c>
      <c r="BC159" s="233" t="str">
        <f>IFERROR(__xludf.DUMMYFUNCTION("""COMPUTED_VALUE"""),"")</f>
        <v/>
      </c>
      <c r="BD159" s="231">
        <f>IFERROR(__xludf.DUMMYFUNCTION("""COMPUTED_VALUE"""),4.3)</f>
        <v>4.3</v>
      </c>
      <c r="BE159" s="232" t="str">
        <f>IFERROR(__xludf.DUMMYFUNCTION("""COMPUTED_VALUE"""),"")</f>
        <v/>
      </c>
      <c r="BF159" s="233" t="str">
        <f>IFERROR(__xludf.DUMMYFUNCTION("""COMPUTED_VALUE"""),"")</f>
        <v/>
      </c>
      <c r="BG159" s="231" t="str">
        <f>IFERROR(__xludf.DUMMYFUNCTION("""COMPUTED_VALUE"""),"")</f>
        <v/>
      </c>
      <c r="BH159" s="232" t="str">
        <f>IFERROR(__xludf.DUMMYFUNCTION("""COMPUTED_VALUE"""),"")</f>
        <v/>
      </c>
      <c r="BI159" s="233" t="str">
        <f>IFERROR(__xludf.DUMMYFUNCTION("""COMPUTED_VALUE"""),"")</f>
        <v/>
      </c>
      <c r="BJ159" s="231" t="str">
        <f>IFERROR(__xludf.DUMMYFUNCTION("""COMPUTED_VALUE"""),"")</f>
        <v/>
      </c>
      <c r="BK159" s="232" t="str">
        <f>IFERROR(__xludf.DUMMYFUNCTION("""COMPUTED_VALUE"""),"")</f>
        <v/>
      </c>
      <c r="BL159" s="233" t="str">
        <f>IFERROR(__xludf.DUMMYFUNCTION("""COMPUTED_VALUE"""),"")</f>
        <v/>
      </c>
      <c r="BM159" s="231" t="str">
        <f>IFERROR(__xludf.DUMMYFUNCTION("""COMPUTED_VALUE"""),"")</f>
        <v/>
      </c>
      <c r="BN159" s="232" t="str">
        <f>IFERROR(__xludf.DUMMYFUNCTION("""COMPUTED_VALUE"""),"")</f>
        <v/>
      </c>
      <c r="BO159" s="233" t="str">
        <f>IFERROR(__xludf.DUMMYFUNCTION("""COMPUTED_VALUE"""),"")</f>
        <v/>
      </c>
      <c r="BP159" s="231" t="str">
        <f>IFERROR(__xludf.DUMMYFUNCTION("""COMPUTED_VALUE"""),"")</f>
        <v/>
      </c>
      <c r="BQ159" s="232" t="str">
        <f>IFERROR(__xludf.DUMMYFUNCTION("""COMPUTED_VALUE"""),"")</f>
        <v/>
      </c>
      <c r="BR159" s="233" t="str">
        <f>IFERROR(__xludf.DUMMYFUNCTION("""COMPUTED_VALUE"""),"")</f>
        <v/>
      </c>
      <c r="BS159" s="231" t="str">
        <f>IFERROR(__xludf.DUMMYFUNCTION("""COMPUTED_VALUE"""),"")</f>
        <v/>
      </c>
      <c r="BT159" s="232">
        <f>IFERROR(__xludf.DUMMYFUNCTION("""COMPUTED_VALUE"""),28.5)</f>
        <v>28.5</v>
      </c>
      <c r="BU159" s="233" t="str">
        <f>IFERROR(__xludf.DUMMYFUNCTION("""COMPUTED_VALUE"""),"")</f>
        <v/>
      </c>
      <c r="BV159" s="231" t="str">
        <f>IFERROR(__xludf.DUMMYFUNCTION("""COMPUTED_VALUE"""),"")</f>
        <v/>
      </c>
      <c r="BW159" s="232" t="str">
        <f>IFERROR(__xludf.DUMMYFUNCTION("""COMPUTED_VALUE"""),"")</f>
        <v/>
      </c>
      <c r="BX159" s="233" t="str">
        <f>IFERROR(__xludf.DUMMYFUNCTION("""COMPUTED_VALUE"""),"")</f>
        <v/>
      </c>
      <c r="BY159" s="231" t="str">
        <f>IFERROR(__xludf.DUMMYFUNCTION("""COMPUTED_VALUE"""),"")</f>
        <v/>
      </c>
      <c r="BZ159" s="232" t="str">
        <f>IFERROR(__xludf.DUMMYFUNCTION("""COMPUTED_VALUE"""),"")</f>
        <v/>
      </c>
      <c r="CA159" s="233" t="str">
        <f>IFERROR(__xludf.DUMMYFUNCTION("""COMPUTED_VALUE"""),"")</f>
        <v/>
      </c>
      <c r="CB159" s="231" t="str">
        <f>IFERROR(__xludf.DUMMYFUNCTION("""COMPUTED_VALUE"""),"")</f>
        <v/>
      </c>
      <c r="CC159" s="232" t="str">
        <f>IFERROR(__xludf.DUMMYFUNCTION("""COMPUTED_VALUE"""),"")</f>
        <v/>
      </c>
      <c r="CD159" s="233" t="str">
        <f>IFERROR(__xludf.DUMMYFUNCTION("""COMPUTED_VALUE"""),"")</f>
        <v/>
      </c>
      <c r="CE159" s="234" t="str">
        <f>IFERROR(__xludf.DUMMYFUNCTION("""COMPUTED_VALUE"""),"")</f>
        <v/>
      </c>
      <c r="CF159" s="230" t="str">
        <f>IFERROR(__xludf.DUMMYFUNCTION("""COMPUTED_VALUE"""),"")</f>
        <v/>
      </c>
      <c r="CG159" s="235" t="str">
        <f>IFERROR(__xludf.DUMMYFUNCTION("""COMPUTED_VALUE"""),"")</f>
        <v/>
      </c>
      <c r="CH159" s="234" t="str">
        <f>IFERROR(__xludf.DUMMYFUNCTION("""COMPUTED_VALUE"""),"")</f>
        <v/>
      </c>
      <c r="CI159" s="230" t="str">
        <f>IFERROR(__xludf.DUMMYFUNCTION("""COMPUTED_VALUE"""),"")</f>
        <v/>
      </c>
      <c r="CJ159" s="235" t="str">
        <f>IFERROR(__xludf.DUMMYFUNCTION("""COMPUTED_VALUE"""),"")</f>
        <v/>
      </c>
      <c r="CK159" s="95" t="str">
        <f>IFERROR(__xludf.DUMMYFUNCTION("""COMPUTED_VALUE"""),"")</f>
        <v/>
      </c>
      <c r="CL159" s="96" t="str">
        <f>IFERROR(__xludf.DUMMYFUNCTION("""COMPUTED_VALUE"""),"")</f>
        <v/>
      </c>
      <c r="CM159" s="97">
        <f>IFERROR(__xludf.DUMMYFUNCTION("""COMPUTED_VALUE"""),4.9)</f>
        <v>4.9</v>
      </c>
      <c r="CN159" s="95" t="str">
        <f>IFERROR(__xludf.DUMMYFUNCTION("""COMPUTED_VALUE"""),"")</f>
        <v/>
      </c>
      <c r="CO159" s="96" t="str">
        <f>IFERROR(__xludf.DUMMYFUNCTION("""COMPUTED_VALUE"""),"")</f>
        <v/>
      </c>
      <c r="CP159" s="97" t="str">
        <f>IFERROR(__xludf.DUMMYFUNCTION("""COMPUTED_VALUE"""),"")</f>
        <v/>
      </c>
      <c r="CQ159" s="95" t="str">
        <f>IFERROR(__xludf.DUMMYFUNCTION("""COMPUTED_VALUE"""),"")</f>
        <v/>
      </c>
      <c r="CR159" s="96" t="str">
        <f>IFERROR(__xludf.DUMMYFUNCTION("""COMPUTED_VALUE"""),"")</f>
        <v/>
      </c>
      <c r="CS159" s="97" t="str">
        <f>IFERROR(__xludf.DUMMYFUNCTION("""COMPUTED_VALUE"""),"#REF!")</f>
        <v>#REF!</v>
      </c>
      <c r="CT159" s="95" t="str">
        <f>IFERROR(__xludf.DUMMYFUNCTION("""COMPUTED_VALUE"""),"#REF!")</f>
        <v>#REF!</v>
      </c>
      <c r="CU159" s="96" t="str">
        <f>IFERROR(__xludf.DUMMYFUNCTION("""COMPUTED_VALUE"""),"#REF!")</f>
        <v>#REF!</v>
      </c>
      <c r="CV159" s="97" t="str">
        <f>IFERROR(__xludf.DUMMYFUNCTION("""COMPUTED_VALUE"""),"#REF!")</f>
        <v>#REF!</v>
      </c>
      <c r="CW159" s="95" t="str">
        <f>IFERROR(__xludf.DUMMYFUNCTION("""COMPUTED_VALUE"""),"#REF!")</f>
        <v>#REF!</v>
      </c>
      <c r="CX159" s="96" t="str">
        <f>IFERROR(__xludf.DUMMYFUNCTION("""COMPUTED_VALUE"""),"#REF!")</f>
        <v>#REF!</v>
      </c>
      <c r="CY159" s="97" t="str">
        <f>IFERROR(__xludf.DUMMYFUNCTION("""COMPUTED_VALUE"""),"#REF!")</f>
        <v>#REF!</v>
      </c>
      <c r="CZ159" s="95" t="str">
        <f>IFERROR(__xludf.DUMMYFUNCTION("""COMPUTED_VALUE"""),"#REF!")</f>
        <v>#REF!</v>
      </c>
      <c r="DA159" s="96" t="str">
        <f>IFERROR(__xludf.DUMMYFUNCTION("""COMPUTED_VALUE"""),"#REF!")</f>
        <v>#REF!</v>
      </c>
      <c r="DB159" s="97" t="str">
        <f>IFERROR(__xludf.DUMMYFUNCTION("""COMPUTED_VALUE"""),"#REF!")</f>
        <v>#REF!</v>
      </c>
      <c r="DC159" s="95" t="str">
        <f>IFERROR(__xludf.DUMMYFUNCTION("""COMPUTED_VALUE"""),"#REF!")</f>
        <v>#REF!</v>
      </c>
      <c r="DD159" s="96" t="str">
        <f>IFERROR(__xludf.DUMMYFUNCTION("""COMPUTED_VALUE"""),"#REF!")</f>
        <v>#REF!</v>
      </c>
      <c r="DE159" s="97" t="str">
        <f>IFERROR(__xludf.DUMMYFUNCTION("""COMPUTED_VALUE"""),"#REF!")</f>
        <v>#REF!</v>
      </c>
      <c r="DF159" s="95" t="str">
        <f>IFERROR(__xludf.DUMMYFUNCTION("""COMPUTED_VALUE"""),"#REF!")</f>
        <v>#REF!</v>
      </c>
      <c r="DG159" s="96" t="str">
        <f>IFERROR(__xludf.DUMMYFUNCTION("""COMPUTED_VALUE"""),"#REF!")</f>
        <v>#REF!</v>
      </c>
      <c r="DH159" s="97" t="str">
        <f>IFERROR(__xludf.DUMMYFUNCTION("""COMPUTED_VALUE"""),"#REF!")</f>
        <v>#REF!</v>
      </c>
      <c r="DI159" s="95" t="str">
        <f>IFERROR(__xludf.DUMMYFUNCTION("""COMPUTED_VALUE"""),"#REF!")</f>
        <v>#REF!</v>
      </c>
      <c r="DJ159" s="96" t="str">
        <f>IFERROR(__xludf.DUMMYFUNCTION("""COMPUTED_VALUE"""),"#REF!")</f>
        <v>#REF!</v>
      </c>
      <c r="DK159" s="97" t="str">
        <f>IFERROR(__xludf.DUMMYFUNCTION("""COMPUTED_VALUE"""),"#REF!")</f>
        <v>#REF!</v>
      </c>
      <c r="DL159" s="95" t="str">
        <f>IFERROR(__xludf.DUMMYFUNCTION("""COMPUTED_VALUE"""),"#REF!")</f>
        <v>#REF!</v>
      </c>
      <c r="DM159" s="96" t="str">
        <f>IFERROR(__xludf.DUMMYFUNCTION("""COMPUTED_VALUE"""),"#REF!")</f>
        <v>#REF!</v>
      </c>
      <c r="DN159" s="97" t="str">
        <f>IFERROR(__xludf.DUMMYFUNCTION("""COMPUTED_VALUE"""),"#REF!")</f>
        <v>#REF!</v>
      </c>
      <c r="DO159" s="95" t="str">
        <f>IFERROR(__xludf.DUMMYFUNCTION("""COMPUTED_VALUE"""),"#REF!")</f>
        <v>#REF!</v>
      </c>
      <c r="DP159" s="96" t="str">
        <f>IFERROR(__xludf.DUMMYFUNCTION("""COMPUTED_VALUE"""),"#REF!")</f>
        <v>#REF!</v>
      </c>
      <c r="DQ159" s="97"/>
      <c r="DR159" s="95"/>
    </row>
    <row r="160">
      <c r="B160" s="120" t="str">
        <f>IFERROR(__xludf.DUMMYFUNCTION("""COMPUTED_VALUE"""),"AGT10")</f>
        <v>AGT10</v>
      </c>
      <c r="C160" s="82">
        <f>IFERROR(__xludf.DUMMYFUNCTION("""COMPUTED_VALUE"""),151.0)</f>
        <v>151</v>
      </c>
      <c r="D160" s="88" t="str">
        <f>IFERROR(__xludf.DUMMYFUNCTION("""COMPUTED_VALUE"""),"Great Underground River")</f>
        <v>Great Underground River</v>
      </c>
      <c r="E160" s="82" t="str">
        <f>IFERROR(__xludf.DUMMYFUNCTION("""COMPUTED_VALUE"""),"地底大河")</f>
        <v>地底大河</v>
      </c>
      <c r="F160" s="102">
        <f>IFERROR(__xludf.DUMMYFUNCTION("""COMPUTED_VALUE"""),21.0)</f>
        <v>21</v>
      </c>
      <c r="G160" s="82">
        <f>IFERROR(__xludf.DUMMYFUNCTION("""COMPUTED_VALUE"""),54691.0)</f>
        <v>54691</v>
      </c>
      <c r="H160" s="231" t="str">
        <f>IFERROR(__xludf.DUMMYFUNCTION("""COMPUTED_VALUE"""),"")</f>
        <v/>
      </c>
      <c r="I160" s="232" t="str">
        <f>IFERROR(__xludf.DUMMYFUNCTION("""COMPUTED_VALUE"""),"")</f>
        <v/>
      </c>
      <c r="J160" s="233" t="str">
        <f>IFERROR(__xludf.DUMMYFUNCTION("""COMPUTED_VALUE"""),"")</f>
        <v/>
      </c>
      <c r="K160" s="231" t="str">
        <f>IFERROR(__xludf.DUMMYFUNCTION("""COMPUTED_VALUE"""),"")</f>
        <v/>
      </c>
      <c r="L160" s="232" t="str">
        <f>IFERROR(__xludf.DUMMYFUNCTION("""COMPUTED_VALUE"""),"")</f>
        <v/>
      </c>
      <c r="M160" s="233" t="str">
        <f>IFERROR(__xludf.DUMMYFUNCTION("""COMPUTED_VALUE"""),"")</f>
        <v/>
      </c>
      <c r="N160" s="231" t="str">
        <f>IFERROR(__xludf.DUMMYFUNCTION("""COMPUTED_VALUE"""),"")</f>
        <v/>
      </c>
      <c r="O160" s="232" t="str">
        <f>IFERROR(__xludf.DUMMYFUNCTION("""COMPUTED_VALUE"""),"")</f>
        <v/>
      </c>
      <c r="P160" s="233" t="str">
        <f>IFERROR(__xludf.DUMMYFUNCTION("""COMPUTED_VALUE"""),"")</f>
        <v/>
      </c>
      <c r="Q160" s="231" t="str">
        <f>IFERROR(__xludf.DUMMYFUNCTION("""COMPUTED_VALUE"""),"")</f>
        <v/>
      </c>
      <c r="R160" s="232" t="str">
        <f>IFERROR(__xludf.DUMMYFUNCTION("""COMPUTED_VALUE"""),"")</f>
        <v/>
      </c>
      <c r="S160" s="233" t="str">
        <f>IFERROR(__xludf.DUMMYFUNCTION("""COMPUTED_VALUE"""),"")</f>
        <v/>
      </c>
      <c r="T160" s="231" t="str">
        <f>IFERROR(__xludf.DUMMYFUNCTION("""COMPUTED_VALUE"""),"")</f>
        <v/>
      </c>
      <c r="U160" s="232" t="str">
        <f>IFERROR(__xludf.DUMMYFUNCTION("""COMPUTED_VALUE"""),"")</f>
        <v/>
      </c>
      <c r="V160" s="233" t="str">
        <f>IFERROR(__xludf.DUMMYFUNCTION("""COMPUTED_VALUE"""),"")</f>
        <v/>
      </c>
      <c r="W160" s="231" t="str">
        <f>IFERROR(__xludf.DUMMYFUNCTION("""COMPUTED_VALUE"""),"")</f>
        <v/>
      </c>
      <c r="X160" s="232" t="str">
        <f>IFERROR(__xludf.DUMMYFUNCTION("""COMPUTED_VALUE"""),"")</f>
        <v/>
      </c>
      <c r="Y160" s="233" t="str">
        <f>IFERROR(__xludf.DUMMYFUNCTION("""COMPUTED_VALUE"""),"")</f>
        <v/>
      </c>
      <c r="Z160" s="231">
        <f>IFERROR(__xludf.DUMMYFUNCTION("""COMPUTED_VALUE"""),25.1)</f>
        <v>25.1</v>
      </c>
      <c r="AA160" s="232" t="str">
        <f>IFERROR(__xludf.DUMMYFUNCTION("""COMPUTED_VALUE"""),"")</f>
        <v/>
      </c>
      <c r="AB160" s="233" t="str">
        <f>IFERROR(__xludf.DUMMYFUNCTION("""COMPUTED_VALUE"""),"")</f>
        <v/>
      </c>
      <c r="AC160" s="231" t="str">
        <f>IFERROR(__xludf.DUMMYFUNCTION("""COMPUTED_VALUE"""),"")</f>
        <v/>
      </c>
      <c r="AD160" s="232">
        <f>IFERROR(__xludf.DUMMYFUNCTION("""COMPUTED_VALUE"""),30.2)</f>
        <v>30.2</v>
      </c>
      <c r="AE160" s="233" t="str">
        <f>IFERROR(__xludf.DUMMYFUNCTION("""COMPUTED_VALUE"""),"")</f>
        <v/>
      </c>
      <c r="AF160" s="231" t="str">
        <f>IFERROR(__xludf.DUMMYFUNCTION("""COMPUTED_VALUE"""),"")</f>
        <v/>
      </c>
      <c r="AG160" s="232" t="str">
        <f>IFERROR(__xludf.DUMMYFUNCTION("""COMPUTED_VALUE"""),"")</f>
        <v/>
      </c>
      <c r="AH160" s="233" t="str">
        <f>IFERROR(__xludf.DUMMYFUNCTION("""COMPUTED_VALUE"""),"")</f>
        <v/>
      </c>
      <c r="AI160" s="231" t="str">
        <f>IFERROR(__xludf.DUMMYFUNCTION("""COMPUTED_VALUE"""),"")</f>
        <v/>
      </c>
      <c r="AJ160" s="232" t="str">
        <f>IFERROR(__xludf.DUMMYFUNCTION("""COMPUTED_VALUE"""),"")</f>
        <v/>
      </c>
      <c r="AK160" s="233" t="str">
        <f>IFERROR(__xludf.DUMMYFUNCTION("""COMPUTED_VALUE"""),"")</f>
        <v/>
      </c>
      <c r="AL160" s="231" t="str">
        <f>IFERROR(__xludf.DUMMYFUNCTION("""COMPUTED_VALUE"""),"")</f>
        <v/>
      </c>
      <c r="AM160" s="232" t="str">
        <f>IFERROR(__xludf.DUMMYFUNCTION("""COMPUTED_VALUE"""),"")</f>
        <v/>
      </c>
      <c r="AN160" s="233" t="str">
        <f>IFERROR(__xludf.DUMMYFUNCTION("""COMPUTED_VALUE"""),"")</f>
        <v/>
      </c>
      <c r="AO160" s="231" t="str">
        <f>IFERROR(__xludf.DUMMYFUNCTION("""COMPUTED_VALUE"""),"")</f>
        <v/>
      </c>
      <c r="AP160" s="232" t="str">
        <f>IFERROR(__xludf.DUMMYFUNCTION("""COMPUTED_VALUE"""),"")</f>
        <v/>
      </c>
      <c r="AQ160" s="233" t="str">
        <f>IFERROR(__xludf.DUMMYFUNCTION("""COMPUTED_VALUE"""),"")</f>
        <v/>
      </c>
      <c r="AR160" s="231" t="str">
        <f>IFERROR(__xludf.DUMMYFUNCTION("""COMPUTED_VALUE"""),"")</f>
        <v/>
      </c>
      <c r="AS160" s="232" t="str">
        <f>IFERROR(__xludf.DUMMYFUNCTION("""COMPUTED_VALUE"""),"")</f>
        <v/>
      </c>
      <c r="AT160" s="233" t="str">
        <f>IFERROR(__xludf.DUMMYFUNCTION("""COMPUTED_VALUE"""),"")</f>
        <v/>
      </c>
      <c r="AU160" s="231" t="str">
        <f>IFERROR(__xludf.DUMMYFUNCTION("""COMPUTED_VALUE"""),"")</f>
        <v/>
      </c>
      <c r="AV160" s="232" t="str">
        <f>IFERROR(__xludf.DUMMYFUNCTION("""COMPUTED_VALUE"""),"")</f>
        <v/>
      </c>
      <c r="AW160" s="233" t="str">
        <f>IFERROR(__xludf.DUMMYFUNCTION("""COMPUTED_VALUE"""),"")</f>
        <v/>
      </c>
      <c r="AX160" s="231" t="str">
        <f>IFERROR(__xludf.DUMMYFUNCTION("""COMPUTED_VALUE"""),"")</f>
        <v/>
      </c>
      <c r="AY160" s="232" t="str">
        <f>IFERROR(__xludf.DUMMYFUNCTION("""COMPUTED_VALUE"""),"")</f>
        <v/>
      </c>
      <c r="AZ160" s="233" t="str">
        <f>IFERROR(__xludf.DUMMYFUNCTION("""COMPUTED_VALUE"""),"")</f>
        <v/>
      </c>
      <c r="BA160" s="231" t="str">
        <f>IFERROR(__xludf.DUMMYFUNCTION("""COMPUTED_VALUE"""),"")</f>
        <v/>
      </c>
      <c r="BB160" s="232" t="str">
        <f>IFERROR(__xludf.DUMMYFUNCTION("""COMPUTED_VALUE"""),"")</f>
        <v/>
      </c>
      <c r="BC160" s="233" t="str">
        <f>IFERROR(__xludf.DUMMYFUNCTION("""COMPUTED_VALUE"""),"")</f>
        <v/>
      </c>
      <c r="BD160" s="231" t="str">
        <f>IFERROR(__xludf.DUMMYFUNCTION("""COMPUTED_VALUE"""),"")</f>
        <v/>
      </c>
      <c r="BE160" s="232">
        <f>IFERROR(__xludf.DUMMYFUNCTION("""COMPUTED_VALUE"""),3.2)</f>
        <v>3.2</v>
      </c>
      <c r="BF160" s="233" t="str">
        <f>IFERROR(__xludf.DUMMYFUNCTION("""COMPUTED_VALUE"""),"")</f>
        <v/>
      </c>
      <c r="BG160" s="231" t="str">
        <f>IFERROR(__xludf.DUMMYFUNCTION("""COMPUTED_VALUE"""),"")</f>
        <v/>
      </c>
      <c r="BH160" s="232" t="str">
        <f>IFERROR(__xludf.DUMMYFUNCTION("""COMPUTED_VALUE"""),"")</f>
        <v/>
      </c>
      <c r="BI160" s="233" t="str">
        <f>IFERROR(__xludf.DUMMYFUNCTION("""COMPUTED_VALUE"""),"")</f>
        <v/>
      </c>
      <c r="BJ160" s="231" t="str">
        <f>IFERROR(__xludf.DUMMYFUNCTION("""COMPUTED_VALUE"""),"")</f>
        <v/>
      </c>
      <c r="BK160" s="232" t="str">
        <f>IFERROR(__xludf.DUMMYFUNCTION("""COMPUTED_VALUE"""),"")</f>
        <v/>
      </c>
      <c r="BL160" s="233">
        <f>IFERROR(__xludf.DUMMYFUNCTION("""COMPUTED_VALUE"""),14.6)</f>
        <v>14.6</v>
      </c>
      <c r="BM160" s="231" t="str">
        <f>IFERROR(__xludf.DUMMYFUNCTION("""COMPUTED_VALUE"""),"")</f>
        <v/>
      </c>
      <c r="BN160" s="232" t="str">
        <f>IFERROR(__xludf.DUMMYFUNCTION("""COMPUTED_VALUE"""),"")</f>
        <v/>
      </c>
      <c r="BO160" s="233" t="str">
        <f>IFERROR(__xludf.DUMMYFUNCTION("""COMPUTED_VALUE"""),"")</f>
        <v/>
      </c>
      <c r="BP160" s="231" t="str">
        <f>IFERROR(__xludf.DUMMYFUNCTION("""COMPUTED_VALUE"""),"")</f>
        <v/>
      </c>
      <c r="BQ160" s="232" t="str">
        <f>IFERROR(__xludf.DUMMYFUNCTION("""COMPUTED_VALUE"""),"")</f>
        <v/>
      </c>
      <c r="BR160" s="233">
        <f>IFERROR(__xludf.DUMMYFUNCTION("""COMPUTED_VALUE"""),39.3)</f>
        <v>39.3</v>
      </c>
      <c r="BS160" s="231" t="str">
        <f>IFERROR(__xludf.DUMMYFUNCTION("""COMPUTED_VALUE"""),"")</f>
        <v/>
      </c>
      <c r="BT160" s="232" t="str">
        <f>IFERROR(__xludf.DUMMYFUNCTION("""COMPUTED_VALUE"""),"")</f>
        <v/>
      </c>
      <c r="BU160" s="233" t="str">
        <f>IFERROR(__xludf.DUMMYFUNCTION("""COMPUTED_VALUE"""),"")</f>
        <v/>
      </c>
      <c r="BV160" s="231" t="str">
        <f>IFERROR(__xludf.DUMMYFUNCTION("""COMPUTED_VALUE"""),"")</f>
        <v/>
      </c>
      <c r="BW160" s="232" t="str">
        <f>IFERROR(__xludf.DUMMYFUNCTION("""COMPUTED_VALUE"""),"")</f>
        <v/>
      </c>
      <c r="BX160" s="233" t="str">
        <f>IFERROR(__xludf.DUMMYFUNCTION("""COMPUTED_VALUE"""),"")</f>
        <v/>
      </c>
      <c r="BY160" s="231" t="str">
        <f>IFERROR(__xludf.DUMMYFUNCTION("""COMPUTED_VALUE"""),"")</f>
        <v/>
      </c>
      <c r="BZ160" s="232" t="str">
        <f>IFERROR(__xludf.DUMMYFUNCTION("""COMPUTED_VALUE"""),"")</f>
        <v/>
      </c>
      <c r="CA160" s="233" t="str">
        <f>IFERROR(__xludf.DUMMYFUNCTION("""COMPUTED_VALUE"""),"")</f>
        <v/>
      </c>
      <c r="CB160" s="231" t="str">
        <f>IFERROR(__xludf.DUMMYFUNCTION("""COMPUTED_VALUE"""),"")</f>
        <v/>
      </c>
      <c r="CC160" s="232" t="str">
        <f>IFERROR(__xludf.DUMMYFUNCTION("""COMPUTED_VALUE"""),"")</f>
        <v/>
      </c>
      <c r="CD160" s="233" t="str">
        <f>IFERROR(__xludf.DUMMYFUNCTION("""COMPUTED_VALUE"""),"")</f>
        <v/>
      </c>
      <c r="CE160" s="234" t="str">
        <f>IFERROR(__xludf.DUMMYFUNCTION("""COMPUTED_VALUE"""),"")</f>
        <v/>
      </c>
      <c r="CF160" s="230" t="str">
        <f>IFERROR(__xludf.DUMMYFUNCTION("""COMPUTED_VALUE"""),"")</f>
        <v/>
      </c>
      <c r="CG160" s="235" t="str">
        <f>IFERROR(__xludf.DUMMYFUNCTION("""COMPUTED_VALUE"""),"")</f>
        <v/>
      </c>
      <c r="CH160" s="234" t="str">
        <f>IFERROR(__xludf.DUMMYFUNCTION("""COMPUTED_VALUE"""),"")</f>
        <v/>
      </c>
      <c r="CI160" s="230" t="str">
        <f>IFERROR(__xludf.DUMMYFUNCTION("""COMPUTED_VALUE"""),"")</f>
        <v/>
      </c>
      <c r="CJ160" s="235" t="str">
        <f>IFERROR(__xludf.DUMMYFUNCTION("""COMPUTED_VALUE"""),"")</f>
        <v/>
      </c>
      <c r="CK160" s="95" t="str">
        <f>IFERROR(__xludf.DUMMYFUNCTION("""COMPUTED_VALUE"""),"")</f>
        <v/>
      </c>
      <c r="CL160" s="96" t="str">
        <f>IFERROR(__xludf.DUMMYFUNCTION("""COMPUTED_VALUE"""),"")</f>
        <v/>
      </c>
      <c r="CM160" s="97" t="str">
        <f>IFERROR(__xludf.DUMMYFUNCTION("""COMPUTED_VALUE"""),"")</f>
        <v/>
      </c>
      <c r="CN160" s="95" t="str">
        <f>IFERROR(__xludf.DUMMYFUNCTION("""COMPUTED_VALUE"""),"")</f>
        <v/>
      </c>
      <c r="CO160" s="96" t="str">
        <f>IFERROR(__xludf.DUMMYFUNCTION("""COMPUTED_VALUE"""),"")</f>
        <v/>
      </c>
      <c r="CP160" s="97" t="str">
        <f>IFERROR(__xludf.DUMMYFUNCTION("""COMPUTED_VALUE"""),"")</f>
        <v/>
      </c>
      <c r="CQ160" s="95" t="str">
        <f>IFERROR(__xludf.DUMMYFUNCTION("""COMPUTED_VALUE"""),"")</f>
        <v/>
      </c>
      <c r="CR160" s="96" t="str">
        <f>IFERROR(__xludf.DUMMYFUNCTION("""COMPUTED_VALUE"""),"")</f>
        <v/>
      </c>
      <c r="CS160" s="97" t="str">
        <f>IFERROR(__xludf.DUMMYFUNCTION("""COMPUTED_VALUE"""),"#REF!")</f>
        <v>#REF!</v>
      </c>
      <c r="CT160" s="95" t="str">
        <f>IFERROR(__xludf.DUMMYFUNCTION("""COMPUTED_VALUE"""),"#REF!")</f>
        <v>#REF!</v>
      </c>
      <c r="CU160" s="96" t="str">
        <f>IFERROR(__xludf.DUMMYFUNCTION("""COMPUTED_VALUE"""),"#REF!")</f>
        <v>#REF!</v>
      </c>
      <c r="CV160" s="97" t="str">
        <f>IFERROR(__xludf.DUMMYFUNCTION("""COMPUTED_VALUE"""),"#REF!")</f>
        <v>#REF!</v>
      </c>
      <c r="CW160" s="95" t="str">
        <f>IFERROR(__xludf.DUMMYFUNCTION("""COMPUTED_VALUE"""),"#REF!")</f>
        <v>#REF!</v>
      </c>
      <c r="CX160" s="96" t="str">
        <f>IFERROR(__xludf.DUMMYFUNCTION("""COMPUTED_VALUE"""),"#REF!")</f>
        <v>#REF!</v>
      </c>
      <c r="CY160" s="97" t="str">
        <f>IFERROR(__xludf.DUMMYFUNCTION("""COMPUTED_VALUE"""),"#REF!")</f>
        <v>#REF!</v>
      </c>
      <c r="CZ160" s="95" t="str">
        <f>IFERROR(__xludf.DUMMYFUNCTION("""COMPUTED_VALUE"""),"#REF!")</f>
        <v>#REF!</v>
      </c>
      <c r="DA160" s="96" t="str">
        <f>IFERROR(__xludf.DUMMYFUNCTION("""COMPUTED_VALUE"""),"#REF!")</f>
        <v>#REF!</v>
      </c>
      <c r="DB160" s="97" t="str">
        <f>IFERROR(__xludf.DUMMYFUNCTION("""COMPUTED_VALUE"""),"#REF!")</f>
        <v>#REF!</v>
      </c>
      <c r="DC160" s="95" t="str">
        <f>IFERROR(__xludf.DUMMYFUNCTION("""COMPUTED_VALUE"""),"#REF!")</f>
        <v>#REF!</v>
      </c>
      <c r="DD160" s="96" t="str">
        <f>IFERROR(__xludf.DUMMYFUNCTION("""COMPUTED_VALUE"""),"#REF!")</f>
        <v>#REF!</v>
      </c>
      <c r="DE160" s="97" t="str">
        <f>IFERROR(__xludf.DUMMYFUNCTION("""COMPUTED_VALUE"""),"#REF!")</f>
        <v>#REF!</v>
      </c>
      <c r="DF160" s="95" t="str">
        <f>IFERROR(__xludf.DUMMYFUNCTION("""COMPUTED_VALUE"""),"#REF!")</f>
        <v>#REF!</v>
      </c>
      <c r="DG160" s="96" t="str">
        <f>IFERROR(__xludf.DUMMYFUNCTION("""COMPUTED_VALUE"""),"#REF!")</f>
        <v>#REF!</v>
      </c>
      <c r="DH160" s="97" t="str">
        <f>IFERROR(__xludf.DUMMYFUNCTION("""COMPUTED_VALUE"""),"#REF!")</f>
        <v>#REF!</v>
      </c>
      <c r="DI160" s="95" t="str">
        <f>IFERROR(__xludf.DUMMYFUNCTION("""COMPUTED_VALUE"""),"#REF!")</f>
        <v>#REF!</v>
      </c>
      <c r="DJ160" s="96" t="str">
        <f>IFERROR(__xludf.DUMMYFUNCTION("""COMPUTED_VALUE"""),"#REF!")</f>
        <v>#REF!</v>
      </c>
      <c r="DK160" s="97" t="str">
        <f>IFERROR(__xludf.DUMMYFUNCTION("""COMPUTED_VALUE"""),"#REF!")</f>
        <v>#REF!</v>
      </c>
      <c r="DL160" s="95" t="str">
        <f>IFERROR(__xludf.DUMMYFUNCTION("""COMPUTED_VALUE"""),"#REF!")</f>
        <v>#REF!</v>
      </c>
      <c r="DM160" s="96" t="str">
        <f>IFERROR(__xludf.DUMMYFUNCTION("""COMPUTED_VALUE"""),"#REF!")</f>
        <v>#REF!</v>
      </c>
      <c r="DN160" s="97" t="str">
        <f>IFERROR(__xludf.DUMMYFUNCTION("""COMPUTED_VALUE"""),"#REF!")</f>
        <v>#REF!</v>
      </c>
      <c r="DO160" s="95" t="str">
        <f>IFERROR(__xludf.DUMMYFUNCTION("""COMPUTED_VALUE"""),"#REF!")</f>
        <v>#REF!</v>
      </c>
      <c r="DP160" s="96" t="str">
        <f>IFERROR(__xludf.DUMMYFUNCTION("""COMPUTED_VALUE"""),"#REF!")</f>
        <v>#REF!</v>
      </c>
      <c r="DQ160" s="97"/>
      <c r="DR160" s="95"/>
    </row>
    <row r="161">
      <c r="B161" s="120" t="str">
        <f>IFERROR(__xludf.DUMMYFUNCTION("""COMPUTED_VALUE"""),"AGT11")</f>
        <v>AGT11</v>
      </c>
      <c r="C161" s="82">
        <f>IFERROR(__xludf.DUMMYFUNCTION("""COMPUTED_VALUE"""),152.0)</f>
        <v>152</v>
      </c>
      <c r="D161" s="88" t="str">
        <f>IFERROR(__xludf.DUMMYFUNCTION("""COMPUTED_VALUE"""),"El Dorado")</f>
        <v>El Dorado</v>
      </c>
      <c r="E161" s="82" t="str">
        <f>IFERROR(__xludf.DUMMYFUNCTION("""COMPUTED_VALUE"""),"エルドラド")</f>
        <v>エルドラド</v>
      </c>
      <c r="F161" s="102">
        <f>IFERROR(__xludf.DUMMYFUNCTION("""COMPUTED_VALUE"""),21.0)</f>
        <v>21</v>
      </c>
      <c r="G161" s="82">
        <f>IFERROR(__xludf.DUMMYFUNCTION("""COMPUTED_VALUE"""),3534.0)</f>
        <v>3534</v>
      </c>
      <c r="H161" s="231" t="str">
        <f>IFERROR(__xludf.DUMMYFUNCTION("""COMPUTED_VALUE"""),"")</f>
        <v/>
      </c>
      <c r="I161" s="232" t="str">
        <f>IFERROR(__xludf.DUMMYFUNCTION("""COMPUTED_VALUE"""),"")</f>
        <v/>
      </c>
      <c r="J161" s="233" t="str">
        <f>IFERROR(__xludf.DUMMYFUNCTION("""COMPUTED_VALUE"""),"")</f>
        <v/>
      </c>
      <c r="K161" s="231" t="str">
        <f>IFERROR(__xludf.DUMMYFUNCTION("""COMPUTED_VALUE"""),"")</f>
        <v/>
      </c>
      <c r="L161" s="232" t="str">
        <f>IFERROR(__xludf.DUMMYFUNCTION("""COMPUTED_VALUE"""),"")</f>
        <v/>
      </c>
      <c r="M161" s="233" t="str">
        <f>IFERROR(__xludf.DUMMYFUNCTION("""COMPUTED_VALUE"""),"")</f>
        <v/>
      </c>
      <c r="N161" s="231" t="str">
        <f>IFERROR(__xludf.DUMMYFUNCTION("""COMPUTED_VALUE"""),"")</f>
        <v/>
      </c>
      <c r="O161" s="232" t="str">
        <f>IFERROR(__xludf.DUMMYFUNCTION("""COMPUTED_VALUE"""),"")</f>
        <v/>
      </c>
      <c r="P161" s="233" t="str">
        <f>IFERROR(__xludf.DUMMYFUNCTION("""COMPUTED_VALUE"""),"")</f>
        <v/>
      </c>
      <c r="Q161" s="231" t="str">
        <f>IFERROR(__xludf.DUMMYFUNCTION("""COMPUTED_VALUE"""),"")</f>
        <v/>
      </c>
      <c r="R161" s="232" t="str">
        <f>IFERROR(__xludf.DUMMYFUNCTION("""COMPUTED_VALUE"""),"")</f>
        <v/>
      </c>
      <c r="S161" s="233" t="str">
        <f>IFERROR(__xludf.DUMMYFUNCTION("""COMPUTED_VALUE"""),"")</f>
        <v/>
      </c>
      <c r="T161" s="231" t="str">
        <f>IFERROR(__xludf.DUMMYFUNCTION("""COMPUTED_VALUE"""),"")</f>
        <v/>
      </c>
      <c r="U161" s="232" t="str">
        <f>IFERROR(__xludf.DUMMYFUNCTION("""COMPUTED_VALUE"""),"")</f>
        <v/>
      </c>
      <c r="V161" s="233" t="str">
        <f>IFERROR(__xludf.DUMMYFUNCTION("""COMPUTED_VALUE"""),"")</f>
        <v/>
      </c>
      <c r="W161" s="231" t="str">
        <f>IFERROR(__xludf.DUMMYFUNCTION("""COMPUTED_VALUE"""),"")</f>
        <v/>
      </c>
      <c r="X161" s="232" t="str">
        <f>IFERROR(__xludf.DUMMYFUNCTION("""COMPUTED_VALUE"""),"")</f>
        <v/>
      </c>
      <c r="Y161" s="233" t="str">
        <f>IFERROR(__xludf.DUMMYFUNCTION("""COMPUTED_VALUE"""),"")</f>
        <v/>
      </c>
      <c r="Z161" s="231">
        <f>IFERROR(__xludf.DUMMYFUNCTION("""COMPUTED_VALUE"""),33.9)</f>
        <v>33.9</v>
      </c>
      <c r="AA161" s="232" t="str">
        <f>IFERROR(__xludf.DUMMYFUNCTION("""COMPUTED_VALUE"""),"")</f>
        <v/>
      </c>
      <c r="AB161" s="233" t="str">
        <f>IFERROR(__xludf.DUMMYFUNCTION("""COMPUTED_VALUE"""),"")</f>
        <v/>
      </c>
      <c r="AC161" s="231" t="str">
        <f>IFERROR(__xludf.DUMMYFUNCTION("""COMPUTED_VALUE"""),"")</f>
        <v/>
      </c>
      <c r="AD161" s="232" t="str">
        <f>IFERROR(__xludf.DUMMYFUNCTION("""COMPUTED_VALUE"""),"")</f>
        <v/>
      </c>
      <c r="AE161" s="233" t="str">
        <f>IFERROR(__xludf.DUMMYFUNCTION("""COMPUTED_VALUE"""),"")</f>
        <v/>
      </c>
      <c r="AF161" s="231" t="str">
        <f>IFERROR(__xludf.DUMMYFUNCTION("""COMPUTED_VALUE"""),"")</f>
        <v/>
      </c>
      <c r="AG161" s="232" t="str">
        <f>IFERROR(__xludf.DUMMYFUNCTION("""COMPUTED_VALUE"""),"")</f>
        <v/>
      </c>
      <c r="AH161" s="233" t="str">
        <f>IFERROR(__xludf.DUMMYFUNCTION("""COMPUTED_VALUE"""),"")</f>
        <v/>
      </c>
      <c r="AI161" s="231" t="str">
        <f>IFERROR(__xludf.DUMMYFUNCTION("""COMPUTED_VALUE"""),"")</f>
        <v/>
      </c>
      <c r="AJ161" s="232" t="str">
        <f>IFERROR(__xludf.DUMMYFUNCTION("""COMPUTED_VALUE"""),"")</f>
        <v/>
      </c>
      <c r="AK161" s="233" t="str">
        <f>IFERROR(__xludf.DUMMYFUNCTION("""COMPUTED_VALUE"""),"")</f>
        <v/>
      </c>
      <c r="AL161" s="231" t="str">
        <f>IFERROR(__xludf.DUMMYFUNCTION("""COMPUTED_VALUE"""),"")</f>
        <v/>
      </c>
      <c r="AM161" s="232" t="str">
        <f>IFERROR(__xludf.DUMMYFUNCTION("""COMPUTED_VALUE"""),"")</f>
        <v/>
      </c>
      <c r="AN161" s="233" t="str">
        <f>IFERROR(__xludf.DUMMYFUNCTION("""COMPUTED_VALUE"""),"")</f>
        <v/>
      </c>
      <c r="AO161" s="231" t="str">
        <f>IFERROR(__xludf.DUMMYFUNCTION("""COMPUTED_VALUE"""),"")</f>
        <v/>
      </c>
      <c r="AP161" s="232" t="str">
        <f>IFERROR(__xludf.DUMMYFUNCTION("""COMPUTED_VALUE"""),"")</f>
        <v/>
      </c>
      <c r="AQ161" s="233" t="str">
        <f>IFERROR(__xludf.DUMMYFUNCTION("""COMPUTED_VALUE"""),"")</f>
        <v/>
      </c>
      <c r="AR161" s="231" t="str">
        <f>IFERROR(__xludf.DUMMYFUNCTION("""COMPUTED_VALUE"""),"")</f>
        <v/>
      </c>
      <c r="AS161" s="232" t="str">
        <f>IFERROR(__xludf.DUMMYFUNCTION("""COMPUTED_VALUE"""),"")</f>
        <v/>
      </c>
      <c r="AT161" s="233" t="str">
        <f>IFERROR(__xludf.DUMMYFUNCTION("""COMPUTED_VALUE"""),"")</f>
        <v/>
      </c>
      <c r="AU161" s="231" t="str">
        <f>IFERROR(__xludf.DUMMYFUNCTION("""COMPUTED_VALUE"""),"")</f>
        <v/>
      </c>
      <c r="AV161" s="232" t="str">
        <f>IFERROR(__xludf.DUMMYFUNCTION("""COMPUTED_VALUE"""),"")</f>
        <v/>
      </c>
      <c r="AW161" s="233">
        <f>IFERROR(__xludf.DUMMYFUNCTION("""COMPUTED_VALUE"""),30.6)</f>
        <v>30.6</v>
      </c>
      <c r="AX161" s="231" t="str">
        <f>IFERROR(__xludf.DUMMYFUNCTION("""COMPUTED_VALUE"""),"")</f>
        <v/>
      </c>
      <c r="AY161" s="232" t="str">
        <f>IFERROR(__xludf.DUMMYFUNCTION("""COMPUTED_VALUE"""),"")</f>
        <v/>
      </c>
      <c r="AZ161" s="233" t="str">
        <f>IFERROR(__xludf.DUMMYFUNCTION("""COMPUTED_VALUE"""),"")</f>
        <v/>
      </c>
      <c r="BA161" s="231" t="str">
        <f>IFERROR(__xludf.DUMMYFUNCTION("""COMPUTED_VALUE"""),"")</f>
        <v/>
      </c>
      <c r="BB161" s="232" t="str">
        <f>IFERROR(__xludf.DUMMYFUNCTION("""COMPUTED_VALUE"""),"")</f>
        <v/>
      </c>
      <c r="BC161" s="233" t="str">
        <f>IFERROR(__xludf.DUMMYFUNCTION("""COMPUTED_VALUE"""),"")</f>
        <v/>
      </c>
      <c r="BD161" s="231" t="str">
        <f>IFERROR(__xludf.DUMMYFUNCTION("""COMPUTED_VALUE"""),"")</f>
        <v/>
      </c>
      <c r="BE161" s="232" t="str">
        <f>IFERROR(__xludf.DUMMYFUNCTION("""COMPUTED_VALUE"""),"")</f>
        <v/>
      </c>
      <c r="BF161" s="233" t="str">
        <f>IFERROR(__xludf.DUMMYFUNCTION("""COMPUTED_VALUE"""),"")</f>
        <v/>
      </c>
      <c r="BG161" s="231" t="str">
        <f>IFERROR(__xludf.DUMMYFUNCTION("""COMPUTED_VALUE"""),"")</f>
        <v/>
      </c>
      <c r="BH161" s="232" t="str">
        <f>IFERROR(__xludf.DUMMYFUNCTION("""COMPUTED_VALUE"""),"")</f>
        <v/>
      </c>
      <c r="BI161" s="233" t="str">
        <f>IFERROR(__xludf.DUMMYFUNCTION("""COMPUTED_VALUE"""),"")</f>
        <v/>
      </c>
      <c r="BJ161" s="231" t="str">
        <f>IFERROR(__xludf.DUMMYFUNCTION("""COMPUTED_VALUE"""),"")</f>
        <v/>
      </c>
      <c r="BK161" s="232" t="str">
        <f>IFERROR(__xludf.DUMMYFUNCTION("""COMPUTED_VALUE"""),"")</f>
        <v/>
      </c>
      <c r="BL161" s="233" t="str">
        <f>IFERROR(__xludf.DUMMYFUNCTION("""COMPUTED_VALUE"""),"")</f>
        <v/>
      </c>
      <c r="BM161" s="231" t="str">
        <f>IFERROR(__xludf.DUMMYFUNCTION("""COMPUTED_VALUE"""),"")</f>
        <v/>
      </c>
      <c r="BN161" s="232" t="str">
        <f>IFERROR(__xludf.DUMMYFUNCTION("""COMPUTED_VALUE"""),"")</f>
        <v/>
      </c>
      <c r="BO161" s="233" t="str">
        <f>IFERROR(__xludf.DUMMYFUNCTION("""COMPUTED_VALUE"""),"")</f>
        <v/>
      </c>
      <c r="BP161" s="231" t="str">
        <f>IFERROR(__xludf.DUMMYFUNCTION("""COMPUTED_VALUE"""),"")</f>
        <v/>
      </c>
      <c r="BQ161" s="232">
        <f>IFERROR(__xludf.DUMMYFUNCTION("""COMPUTED_VALUE"""),52.8)</f>
        <v>52.8</v>
      </c>
      <c r="BR161" s="233" t="str">
        <f>IFERROR(__xludf.DUMMYFUNCTION("""COMPUTED_VALUE"""),"")</f>
        <v/>
      </c>
      <c r="BS161" s="231" t="str">
        <f>IFERROR(__xludf.DUMMYFUNCTION("""COMPUTED_VALUE"""),"")</f>
        <v/>
      </c>
      <c r="BT161" s="232" t="str">
        <f>IFERROR(__xludf.DUMMYFUNCTION("""COMPUTED_VALUE"""),"")</f>
        <v/>
      </c>
      <c r="BU161" s="233" t="str">
        <f>IFERROR(__xludf.DUMMYFUNCTION("""COMPUTED_VALUE"""),"")</f>
        <v/>
      </c>
      <c r="BV161" s="231" t="str">
        <f>IFERROR(__xludf.DUMMYFUNCTION("""COMPUTED_VALUE"""),"")</f>
        <v/>
      </c>
      <c r="BW161" s="232" t="str">
        <f>IFERROR(__xludf.DUMMYFUNCTION("""COMPUTED_VALUE"""),"")</f>
        <v/>
      </c>
      <c r="BX161" s="233" t="str">
        <f>IFERROR(__xludf.DUMMYFUNCTION("""COMPUTED_VALUE"""),"")</f>
        <v/>
      </c>
      <c r="BY161" s="231" t="str">
        <f>IFERROR(__xludf.DUMMYFUNCTION("""COMPUTED_VALUE"""),"")</f>
        <v/>
      </c>
      <c r="BZ161" s="232" t="str">
        <f>IFERROR(__xludf.DUMMYFUNCTION("""COMPUTED_VALUE"""),"")</f>
        <v/>
      </c>
      <c r="CA161" s="233" t="str">
        <f>IFERROR(__xludf.DUMMYFUNCTION("""COMPUTED_VALUE"""),"")</f>
        <v/>
      </c>
      <c r="CB161" s="231" t="str">
        <f>IFERROR(__xludf.DUMMYFUNCTION("""COMPUTED_VALUE"""),"")</f>
        <v/>
      </c>
      <c r="CC161" s="232" t="str">
        <f>IFERROR(__xludf.DUMMYFUNCTION("""COMPUTED_VALUE"""),"")</f>
        <v/>
      </c>
      <c r="CD161" s="233" t="str">
        <f>IFERROR(__xludf.DUMMYFUNCTION("""COMPUTED_VALUE"""),"")</f>
        <v/>
      </c>
      <c r="CE161" s="234" t="str">
        <f>IFERROR(__xludf.DUMMYFUNCTION("""COMPUTED_VALUE"""),"")</f>
        <v/>
      </c>
      <c r="CF161" s="230" t="str">
        <f>IFERROR(__xludf.DUMMYFUNCTION("""COMPUTED_VALUE"""),"")</f>
        <v/>
      </c>
      <c r="CG161" s="235" t="str">
        <f>IFERROR(__xludf.DUMMYFUNCTION("""COMPUTED_VALUE"""),"")</f>
        <v/>
      </c>
      <c r="CH161" s="234" t="str">
        <f>IFERROR(__xludf.DUMMYFUNCTION("""COMPUTED_VALUE"""),"")</f>
        <v/>
      </c>
      <c r="CI161" s="230" t="str">
        <f>IFERROR(__xludf.DUMMYFUNCTION("""COMPUTED_VALUE"""),"")</f>
        <v/>
      </c>
      <c r="CJ161" s="235" t="str">
        <f>IFERROR(__xludf.DUMMYFUNCTION("""COMPUTED_VALUE"""),"")</f>
        <v/>
      </c>
      <c r="CK161" s="95" t="str">
        <f>IFERROR(__xludf.DUMMYFUNCTION("""COMPUTED_VALUE"""),"")</f>
        <v/>
      </c>
      <c r="CL161" s="96" t="str">
        <f>IFERROR(__xludf.DUMMYFUNCTION("""COMPUTED_VALUE"""),"")</f>
        <v/>
      </c>
      <c r="CM161" s="97" t="str">
        <f>IFERROR(__xludf.DUMMYFUNCTION("""COMPUTED_VALUE"""),"")</f>
        <v/>
      </c>
      <c r="CN161" s="95" t="str">
        <f>IFERROR(__xludf.DUMMYFUNCTION("""COMPUTED_VALUE"""),"")</f>
        <v/>
      </c>
      <c r="CO161" s="96" t="str">
        <f>IFERROR(__xludf.DUMMYFUNCTION("""COMPUTED_VALUE"""),"")</f>
        <v/>
      </c>
      <c r="CP161" s="97" t="str">
        <f>IFERROR(__xludf.DUMMYFUNCTION("""COMPUTED_VALUE"""),"")</f>
        <v/>
      </c>
      <c r="CQ161" s="95" t="str">
        <f>IFERROR(__xludf.DUMMYFUNCTION("""COMPUTED_VALUE"""),"")</f>
        <v/>
      </c>
      <c r="CR161" s="96" t="str">
        <f>IFERROR(__xludf.DUMMYFUNCTION("""COMPUTED_VALUE"""),"")</f>
        <v/>
      </c>
      <c r="CS161" s="97" t="str">
        <f>IFERROR(__xludf.DUMMYFUNCTION("""COMPUTED_VALUE"""),"#REF!")</f>
        <v>#REF!</v>
      </c>
      <c r="CT161" s="95" t="str">
        <f>IFERROR(__xludf.DUMMYFUNCTION("""COMPUTED_VALUE"""),"#REF!")</f>
        <v>#REF!</v>
      </c>
      <c r="CU161" s="96" t="str">
        <f>IFERROR(__xludf.DUMMYFUNCTION("""COMPUTED_VALUE"""),"#REF!")</f>
        <v>#REF!</v>
      </c>
      <c r="CV161" s="97" t="str">
        <f>IFERROR(__xludf.DUMMYFUNCTION("""COMPUTED_VALUE"""),"#REF!")</f>
        <v>#REF!</v>
      </c>
      <c r="CW161" s="95" t="str">
        <f>IFERROR(__xludf.DUMMYFUNCTION("""COMPUTED_VALUE"""),"#REF!")</f>
        <v>#REF!</v>
      </c>
      <c r="CX161" s="96" t="str">
        <f>IFERROR(__xludf.DUMMYFUNCTION("""COMPUTED_VALUE"""),"#REF!")</f>
        <v>#REF!</v>
      </c>
      <c r="CY161" s="97" t="str">
        <f>IFERROR(__xludf.DUMMYFUNCTION("""COMPUTED_VALUE"""),"#REF!")</f>
        <v>#REF!</v>
      </c>
      <c r="CZ161" s="95" t="str">
        <f>IFERROR(__xludf.DUMMYFUNCTION("""COMPUTED_VALUE"""),"#REF!")</f>
        <v>#REF!</v>
      </c>
      <c r="DA161" s="96" t="str">
        <f>IFERROR(__xludf.DUMMYFUNCTION("""COMPUTED_VALUE"""),"#REF!")</f>
        <v>#REF!</v>
      </c>
      <c r="DB161" s="97" t="str">
        <f>IFERROR(__xludf.DUMMYFUNCTION("""COMPUTED_VALUE"""),"#REF!")</f>
        <v>#REF!</v>
      </c>
      <c r="DC161" s="95" t="str">
        <f>IFERROR(__xludf.DUMMYFUNCTION("""COMPUTED_VALUE"""),"#REF!")</f>
        <v>#REF!</v>
      </c>
      <c r="DD161" s="96" t="str">
        <f>IFERROR(__xludf.DUMMYFUNCTION("""COMPUTED_VALUE"""),"#REF!")</f>
        <v>#REF!</v>
      </c>
      <c r="DE161" s="97" t="str">
        <f>IFERROR(__xludf.DUMMYFUNCTION("""COMPUTED_VALUE"""),"#REF!")</f>
        <v>#REF!</v>
      </c>
      <c r="DF161" s="95" t="str">
        <f>IFERROR(__xludf.DUMMYFUNCTION("""COMPUTED_VALUE"""),"#REF!")</f>
        <v>#REF!</v>
      </c>
      <c r="DG161" s="96" t="str">
        <f>IFERROR(__xludf.DUMMYFUNCTION("""COMPUTED_VALUE"""),"#REF!")</f>
        <v>#REF!</v>
      </c>
      <c r="DH161" s="97" t="str">
        <f>IFERROR(__xludf.DUMMYFUNCTION("""COMPUTED_VALUE"""),"#REF!")</f>
        <v>#REF!</v>
      </c>
      <c r="DI161" s="95" t="str">
        <f>IFERROR(__xludf.DUMMYFUNCTION("""COMPUTED_VALUE"""),"#REF!")</f>
        <v>#REF!</v>
      </c>
      <c r="DJ161" s="96" t="str">
        <f>IFERROR(__xludf.DUMMYFUNCTION("""COMPUTED_VALUE"""),"#REF!")</f>
        <v>#REF!</v>
      </c>
      <c r="DK161" s="97" t="str">
        <f>IFERROR(__xludf.DUMMYFUNCTION("""COMPUTED_VALUE"""),"#REF!")</f>
        <v>#REF!</v>
      </c>
      <c r="DL161" s="95" t="str">
        <f>IFERROR(__xludf.DUMMYFUNCTION("""COMPUTED_VALUE"""),"#REF!")</f>
        <v>#REF!</v>
      </c>
      <c r="DM161" s="96" t="str">
        <f>IFERROR(__xludf.DUMMYFUNCTION("""COMPUTED_VALUE"""),"#REF!")</f>
        <v>#REF!</v>
      </c>
      <c r="DN161" s="97" t="str">
        <f>IFERROR(__xludf.DUMMYFUNCTION("""COMPUTED_VALUE"""),"#REF!")</f>
        <v>#REF!</v>
      </c>
      <c r="DO161" s="95" t="str">
        <f>IFERROR(__xludf.DUMMYFUNCTION("""COMPUTED_VALUE"""),"#REF!")</f>
        <v>#REF!</v>
      </c>
      <c r="DP161" s="96" t="str">
        <f>IFERROR(__xludf.DUMMYFUNCTION("""COMPUTED_VALUE"""),"#REF!")</f>
        <v>#REF!</v>
      </c>
      <c r="DQ161" s="97"/>
      <c r="DR161" s="95"/>
    </row>
    <row r="162">
      <c r="B162" s="120" t="str">
        <f>IFERROR(__xludf.DUMMYFUNCTION("""COMPUTED_VALUE"""),"AGT12")</f>
        <v>AGT12</v>
      </c>
      <c r="C162" s="82">
        <f>IFERROR(__xludf.DUMMYFUNCTION("""COMPUTED_VALUE"""),153.0)</f>
        <v>153</v>
      </c>
      <c r="D162" s="88" t="str">
        <f>IFERROR(__xludf.DUMMYFUNCTION("""COMPUTED_VALUE"""),"Chasm in the Earth")</f>
        <v>Chasm in the Earth</v>
      </c>
      <c r="E162" s="82" t="str">
        <f>IFERROR(__xludf.DUMMYFUNCTION("""COMPUTED_VALUE"""),"大地の裂け目")</f>
        <v>大地の裂け目</v>
      </c>
      <c r="F162" s="102">
        <f>IFERROR(__xludf.DUMMYFUNCTION("""COMPUTED_VALUE"""),21.0)</f>
        <v>21</v>
      </c>
      <c r="G162" s="82">
        <f>IFERROR(__xludf.DUMMYFUNCTION("""COMPUTED_VALUE"""),1611.0)</f>
        <v>1611</v>
      </c>
      <c r="H162" s="231" t="str">
        <f>IFERROR(__xludf.DUMMYFUNCTION("""COMPUTED_VALUE"""),"")</f>
        <v/>
      </c>
      <c r="I162" s="232" t="str">
        <f>IFERROR(__xludf.DUMMYFUNCTION("""COMPUTED_VALUE"""),"")</f>
        <v/>
      </c>
      <c r="J162" s="233" t="str">
        <f>IFERROR(__xludf.DUMMYFUNCTION("""COMPUTED_VALUE"""),"")</f>
        <v/>
      </c>
      <c r="K162" s="231" t="str">
        <f>IFERROR(__xludf.DUMMYFUNCTION("""COMPUTED_VALUE"""),"")</f>
        <v/>
      </c>
      <c r="L162" s="232" t="str">
        <f>IFERROR(__xludf.DUMMYFUNCTION("""COMPUTED_VALUE"""),"")</f>
        <v/>
      </c>
      <c r="M162" s="233" t="str">
        <f>IFERROR(__xludf.DUMMYFUNCTION("""COMPUTED_VALUE"""),"")</f>
        <v/>
      </c>
      <c r="N162" s="231" t="str">
        <f>IFERROR(__xludf.DUMMYFUNCTION("""COMPUTED_VALUE"""),"")</f>
        <v/>
      </c>
      <c r="O162" s="232" t="str">
        <f>IFERROR(__xludf.DUMMYFUNCTION("""COMPUTED_VALUE"""),"")</f>
        <v/>
      </c>
      <c r="P162" s="233" t="str">
        <f>IFERROR(__xludf.DUMMYFUNCTION("""COMPUTED_VALUE"""),"")</f>
        <v/>
      </c>
      <c r="Q162" s="231" t="str">
        <f>IFERROR(__xludf.DUMMYFUNCTION("""COMPUTED_VALUE"""),"")</f>
        <v/>
      </c>
      <c r="R162" s="232" t="str">
        <f>IFERROR(__xludf.DUMMYFUNCTION("""COMPUTED_VALUE"""),"")</f>
        <v/>
      </c>
      <c r="S162" s="233" t="str">
        <f>IFERROR(__xludf.DUMMYFUNCTION("""COMPUTED_VALUE"""),"")</f>
        <v/>
      </c>
      <c r="T162" s="231" t="str">
        <f>IFERROR(__xludf.DUMMYFUNCTION("""COMPUTED_VALUE"""),"")</f>
        <v/>
      </c>
      <c r="U162" s="232" t="str">
        <f>IFERROR(__xludf.DUMMYFUNCTION("""COMPUTED_VALUE"""),"")</f>
        <v/>
      </c>
      <c r="V162" s="233" t="str">
        <f>IFERROR(__xludf.DUMMYFUNCTION("""COMPUTED_VALUE"""),"")</f>
        <v/>
      </c>
      <c r="W162" s="231" t="str">
        <f>IFERROR(__xludf.DUMMYFUNCTION("""COMPUTED_VALUE"""),"")</f>
        <v/>
      </c>
      <c r="X162" s="232" t="str">
        <f>IFERROR(__xludf.DUMMYFUNCTION("""COMPUTED_VALUE"""),"")</f>
        <v/>
      </c>
      <c r="Y162" s="233" t="str">
        <f>IFERROR(__xludf.DUMMYFUNCTION("""COMPUTED_VALUE"""),"")</f>
        <v/>
      </c>
      <c r="Z162" s="231" t="str">
        <f>IFERROR(__xludf.DUMMYFUNCTION("""COMPUTED_VALUE"""),"")</f>
        <v/>
      </c>
      <c r="AA162" s="232" t="str">
        <f>IFERROR(__xludf.DUMMYFUNCTION("""COMPUTED_VALUE"""),"")</f>
        <v/>
      </c>
      <c r="AB162" s="233" t="str">
        <f>IFERROR(__xludf.DUMMYFUNCTION("""COMPUTED_VALUE"""),"")</f>
        <v/>
      </c>
      <c r="AC162" s="231">
        <f>IFERROR(__xludf.DUMMYFUNCTION("""COMPUTED_VALUE"""),39.9)</f>
        <v>39.9</v>
      </c>
      <c r="AD162" s="232" t="str">
        <f>IFERROR(__xludf.DUMMYFUNCTION("""COMPUTED_VALUE"""),"")</f>
        <v/>
      </c>
      <c r="AE162" s="233" t="str">
        <f>IFERROR(__xludf.DUMMYFUNCTION("""COMPUTED_VALUE"""),"")</f>
        <v/>
      </c>
      <c r="AF162" s="231" t="str">
        <f>IFERROR(__xludf.DUMMYFUNCTION("""COMPUTED_VALUE"""),"")</f>
        <v/>
      </c>
      <c r="AG162" s="232" t="str">
        <f>IFERROR(__xludf.DUMMYFUNCTION("""COMPUTED_VALUE"""),"")</f>
        <v/>
      </c>
      <c r="AH162" s="233" t="str">
        <f>IFERROR(__xludf.DUMMYFUNCTION("""COMPUTED_VALUE"""),"")</f>
        <v/>
      </c>
      <c r="AI162" s="231" t="str">
        <f>IFERROR(__xludf.DUMMYFUNCTION("""COMPUTED_VALUE"""),"")</f>
        <v/>
      </c>
      <c r="AJ162" s="232" t="str">
        <f>IFERROR(__xludf.DUMMYFUNCTION("""COMPUTED_VALUE"""),"")</f>
        <v/>
      </c>
      <c r="AK162" s="233" t="str">
        <f>IFERROR(__xludf.DUMMYFUNCTION("""COMPUTED_VALUE"""),"")</f>
        <v/>
      </c>
      <c r="AL162" s="231" t="str">
        <f>IFERROR(__xludf.DUMMYFUNCTION("""COMPUTED_VALUE"""),"")</f>
        <v/>
      </c>
      <c r="AM162" s="232" t="str">
        <f>IFERROR(__xludf.DUMMYFUNCTION("""COMPUTED_VALUE"""),"")</f>
        <v/>
      </c>
      <c r="AN162" s="233" t="str">
        <f>IFERROR(__xludf.DUMMYFUNCTION("""COMPUTED_VALUE"""),"")</f>
        <v/>
      </c>
      <c r="AO162" s="231" t="str">
        <f>IFERROR(__xludf.DUMMYFUNCTION("""COMPUTED_VALUE"""),"")</f>
        <v/>
      </c>
      <c r="AP162" s="232" t="str">
        <f>IFERROR(__xludf.DUMMYFUNCTION("""COMPUTED_VALUE"""),"")</f>
        <v/>
      </c>
      <c r="AQ162" s="233" t="str">
        <f>IFERROR(__xludf.DUMMYFUNCTION("""COMPUTED_VALUE"""),"")</f>
        <v/>
      </c>
      <c r="AR162" s="231" t="str">
        <f>IFERROR(__xludf.DUMMYFUNCTION("""COMPUTED_VALUE"""),"")</f>
        <v/>
      </c>
      <c r="AS162" s="232" t="str">
        <f>IFERROR(__xludf.DUMMYFUNCTION("""COMPUTED_VALUE"""),"")</f>
        <v/>
      </c>
      <c r="AT162" s="233" t="str">
        <f>IFERROR(__xludf.DUMMYFUNCTION("""COMPUTED_VALUE"""),"")</f>
        <v/>
      </c>
      <c r="AU162" s="231" t="str">
        <f>IFERROR(__xludf.DUMMYFUNCTION("""COMPUTED_VALUE"""),"")</f>
        <v/>
      </c>
      <c r="AV162" s="232" t="str">
        <f>IFERROR(__xludf.DUMMYFUNCTION("""COMPUTED_VALUE"""),"")</f>
        <v/>
      </c>
      <c r="AW162" s="233" t="str">
        <f>IFERROR(__xludf.DUMMYFUNCTION("""COMPUTED_VALUE"""),"")</f>
        <v/>
      </c>
      <c r="AX162" s="231" t="str">
        <f>IFERROR(__xludf.DUMMYFUNCTION("""COMPUTED_VALUE"""),"")</f>
        <v/>
      </c>
      <c r="AY162" s="232" t="str">
        <f>IFERROR(__xludf.DUMMYFUNCTION("""COMPUTED_VALUE"""),"")</f>
        <v/>
      </c>
      <c r="AZ162" s="233" t="str">
        <f>IFERROR(__xludf.DUMMYFUNCTION("""COMPUTED_VALUE"""),"")</f>
        <v/>
      </c>
      <c r="BA162" s="231" t="str">
        <f>IFERROR(__xludf.DUMMYFUNCTION("""COMPUTED_VALUE"""),"")</f>
        <v/>
      </c>
      <c r="BB162" s="232" t="str">
        <f>IFERROR(__xludf.DUMMYFUNCTION("""COMPUTED_VALUE"""),"")</f>
        <v/>
      </c>
      <c r="BC162" s="233" t="str">
        <f>IFERROR(__xludf.DUMMYFUNCTION("""COMPUTED_VALUE"""),"")</f>
        <v/>
      </c>
      <c r="BD162" s="231" t="str">
        <f>IFERROR(__xludf.DUMMYFUNCTION("""COMPUTED_VALUE"""),"")</f>
        <v/>
      </c>
      <c r="BE162" s="232" t="str">
        <f>IFERROR(__xludf.DUMMYFUNCTION("""COMPUTED_VALUE"""),"")</f>
        <v/>
      </c>
      <c r="BF162" s="233" t="str">
        <f>IFERROR(__xludf.DUMMYFUNCTION("""COMPUTED_VALUE"""),"")</f>
        <v/>
      </c>
      <c r="BG162" s="231">
        <f>IFERROR(__xludf.DUMMYFUNCTION("""COMPUTED_VALUE"""),3.1)</f>
        <v>3.1</v>
      </c>
      <c r="BH162" s="232" t="str">
        <f>IFERROR(__xludf.DUMMYFUNCTION("""COMPUTED_VALUE"""),"")</f>
        <v/>
      </c>
      <c r="BI162" s="233" t="str">
        <f>IFERROR(__xludf.DUMMYFUNCTION("""COMPUTED_VALUE"""),"")</f>
        <v/>
      </c>
      <c r="BJ162" s="231" t="str">
        <f>IFERROR(__xludf.DUMMYFUNCTION("""COMPUTED_VALUE"""),"")</f>
        <v/>
      </c>
      <c r="BK162" s="232" t="str">
        <f>IFERROR(__xludf.DUMMYFUNCTION("""COMPUTED_VALUE"""),"")</f>
        <v/>
      </c>
      <c r="BL162" s="233" t="str">
        <f>IFERROR(__xludf.DUMMYFUNCTION("""COMPUTED_VALUE"""),"")</f>
        <v/>
      </c>
      <c r="BM162" s="231" t="str">
        <f>IFERROR(__xludf.DUMMYFUNCTION("""COMPUTED_VALUE"""),"")</f>
        <v/>
      </c>
      <c r="BN162" s="232">
        <f>IFERROR(__xludf.DUMMYFUNCTION("""COMPUTED_VALUE"""),48.5)</f>
        <v>48.5</v>
      </c>
      <c r="BO162" s="233" t="str">
        <f>IFERROR(__xludf.DUMMYFUNCTION("""COMPUTED_VALUE"""),"")</f>
        <v/>
      </c>
      <c r="BP162" s="231" t="str">
        <f>IFERROR(__xludf.DUMMYFUNCTION("""COMPUTED_VALUE"""),"")</f>
        <v/>
      </c>
      <c r="BQ162" s="232" t="str">
        <f>IFERROR(__xludf.DUMMYFUNCTION("""COMPUTED_VALUE"""),"")</f>
        <v/>
      </c>
      <c r="BR162" s="233" t="str">
        <f>IFERROR(__xludf.DUMMYFUNCTION("""COMPUTED_VALUE"""),"")</f>
        <v/>
      </c>
      <c r="BS162" s="231" t="str">
        <f>IFERROR(__xludf.DUMMYFUNCTION("""COMPUTED_VALUE"""),"")</f>
        <v/>
      </c>
      <c r="BT162" s="232" t="str">
        <f>IFERROR(__xludf.DUMMYFUNCTION("""COMPUTED_VALUE"""),"")</f>
        <v/>
      </c>
      <c r="BU162" s="233" t="str">
        <f>IFERROR(__xludf.DUMMYFUNCTION("""COMPUTED_VALUE"""),"")</f>
        <v/>
      </c>
      <c r="BV162" s="231" t="str">
        <f>IFERROR(__xludf.DUMMYFUNCTION("""COMPUTED_VALUE"""),"")</f>
        <v/>
      </c>
      <c r="BW162" s="232" t="str">
        <f>IFERROR(__xludf.DUMMYFUNCTION("""COMPUTED_VALUE"""),"")</f>
        <v/>
      </c>
      <c r="BX162" s="233" t="str">
        <f>IFERROR(__xludf.DUMMYFUNCTION("""COMPUTED_VALUE"""),"")</f>
        <v/>
      </c>
      <c r="BY162" s="231" t="str">
        <f>IFERROR(__xludf.DUMMYFUNCTION("""COMPUTED_VALUE"""),"")</f>
        <v/>
      </c>
      <c r="BZ162" s="232" t="str">
        <f>IFERROR(__xludf.DUMMYFUNCTION("""COMPUTED_VALUE"""),"")</f>
        <v/>
      </c>
      <c r="CA162" s="233" t="str">
        <f>IFERROR(__xludf.DUMMYFUNCTION("""COMPUTED_VALUE"""),"")</f>
        <v/>
      </c>
      <c r="CB162" s="231" t="str">
        <f>IFERROR(__xludf.DUMMYFUNCTION("""COMPUTED_VALUE"""),"")</f>
        <v/>
      </c>
      <c r="CC162" s="232" t="str">
        <f>IFERROR(__xludf.DUMMYFUNCTION("""COMPUTED_VALUE"""),"")</f>
        <v/>
      </c>
      <c r="CD162" s="233" t="str">
        <f>IFERROR(__xludf.DUMMYFUNCTION("""COMPUTED_VALUE"""),"")</f>
        <v/>
      </c>
      <c r="CE162" s="234" t="str">
        <f>IFERROR(__xludf.DUMMYFUNCTION("""COMPUTED_VALUE"""),"")</f>
        <v/>
      </c>
      <c r="CF162" s="230" t="str">
        <f>IFERROR(__xludf.DUMMYFUNCTION("""COMPUTED_VALUE"""),"")</f>
        <v/>
      </c>
      <c r="CG162" s="235" t="str">
        <f>IFERROR(__xludf.DUMMYFUNCTION("""COMPUTED_VALUE"""),"")</f>
        <v/>
      </c>
      <c r="CH162" s="234" t="str">
        <f>IFERROR(__xludf.DUMMYFUNCTION("""COMPUTED_VALUE"""),"")</f>
        <v/>
      </c>
      <c r="CI162" s="230" t="str">
        <f>IFERROR(__xludf.DUMMYFUNCTION("""COMPUTED_VALUE"""),"")</f>
        <v/>
      </c>
      <c r="CJ162" s="235" t="str">
        <f>IFERROR(__xludf.DUMMYFUNCTION("""COMPUTED_VALUE"""),"")</f>
        <v/>
      </c>
      <c r="CK162" s="95" t="str">
        <f>IFERROR(__xludf.DUMMYFUNCTION("""COMPUTED_VALUE"""),"")</f>
        <v/>
      </c>
      <c r="CL162" s="96" t="str">
        <f>IFERROR(__xludf.DUMMYFUNCTION("""COMPUTED_VALUE"""),"")</f>
        <v/>
      </c>
      <c r="CM162" s="97" t="str">
        <f>IFERROR(__xludf.DUMMYFUNCTION("""COMPUTED_VALUE"""),"")</f>
        <v/>
      </c>
      <c r="CN162" s="95" t="str">
        <f>IFERROR(__xludf.DUMMYFUNCTION("""COMPUTED_VALUE"""),"")</f>
        <v/>
      </c>
      <c r="CO162" s="96" t="str">
        <f>IFERROR(__xludf.DUMMYFUNCTION("""COMPUTED_VALUE"""),"")</f>
        <v/>
      </c>
      <c r="CP162" s="97">
        <f>IFERROR(__xludf.DUMMYFUNCTION("""COMPUTED_VALUE"""),3.9)</f>
        <v>3.9</v>
      </c>
      <c r="CQ162" s="95" t="str">
        <f>IFERROR(__xludf.DUMMYFUNCTION("""COMPUTED_VALUE"""),"")</f>
        <v/>
      </c>
      <c r="CR162" s="96" t="str">
        <f>IFERROR(__xludf.DUMMYFUNCTION("""COMPUTED_VALUE"""),"")</f>
        <v/>
      </c>
      <c r="CS162" s="97" t="str">
        <f>IFERROR(__xludf.DUMMYFUNCTION("""COMPUTED_VALUE"""),"#REF!")</f>
        <v>#REF!</v>
      </c>
      <c r="CT162" s="95" t="str">
        <f>IFERROR(__xludf.DUMMYFUNCTION("""COMPUTED_VALUE"""),"#REF!")</f>
        <v>#REF!</v>
      </c>
      <c r="CU162" s="96" t="str">
        <f>IFERROR(__xludf.DUMMYFUNCTION("""COMPUTED_VALUE"""),"#REF!")</f>
        <v>#REF!</v>
      </c>
      <c r="CV162" s="97" t="str">
        <f>IFERROR(__xludf.DUMMYFUNCTION("""COMPUTED_VALUE"""),"#REF!")</f>
        <v>#REF!</v>
      </c>
      <c r="CW162" s="95" t="str">
        <f>IFERROR(__xludf.DUMMYFUNCTION("""COMPUTED_VALUE"""),"#REF!")</f>
        <v>#REF!</v>
      </c>
      <c r="CX162" s="96" t="str">
        <f>IFERROR(__xludf.DUMMYFUNCTION("""COMPUTED_VALUE"""),"#REF!")</f>
        <v>#REF!</v>
      </c>
      <c r="CY162" s="97" t="str">
        <f>IFERROR(__xludf.DUMMYFUNCTION("""COMPUTED_VALUE"""),"#REF!")</f>
        <v>#REF!</v>
      </c>
      <c r="CZ162" s="95" t="str">
        <f>IFERROR(__xludf.DUMMYFUNCTION("""COMPUTED_VALUE"""),"#REF!")</f>
        <v>#REF!</v>
      </c>
      <c r="DA162" s="96" t="str">
        <f>IFERROR(__xludf.DUMMYFUNCTION("""COMPUTED_VALUE"""),"#REF!")</f>
        <v>#REF!</v>
      </c>
      <c r="DB162" s="97" t="str">
        <f>IFERROR(__xludf.DUMMYFUNCTION("""COMPUTED_VALUE"""),"#REF!")</f>
        <v>#REF!</v>
      </c>
      <c r="DC162" s="95" t="str">
        <f>IFERROR(__xludf.DUMMYFUNCTION("""COMPUTED_VALUE"""),"#REF!")</f>
        <v>#REF!</v>
      </c>
      <c r="DD162" s="96" t="str">
        <f>IFERROR(__xludf.DUMMYFUNCTION("""COMPUTED_VALUE"""),"#REF!")</f>
        <v>#REF!</v>
      </c>
      <c r="DE162" s="97" t="str">
        <f>IFERROR(__xludf.DUMMYFUNCTION("""COMPUTED_VALUE"""),"#REF!")</f>
        <v>#REF!</v>
      </c>
      <c r="DF162" s="95" t="str">
        <f>IFERROR(__xludf.DUMMYFUNCTION("""COMPUTED_VALUE"""),"#REF!")</f>
        <v>#REF!</v>
      </c>
      <c r="DG162" s="96" t="str">
        <f>IFERROR(__xludf.DUMMYFUNCTION("""COMPUTED_VALUE"""),"#REF!")</f>
        <v>#REF!</v>
      </c>
      <c r="DH162" s="97" t="str">
        <f>IFERROR(__xludf.DUMMYFUNCTION("""COMPUTED_VALUE"""),"#REF!")</f>
        <v>#REF!</v>
      </c>
      <c r="DI162" s="95" t="str">
        <f>IFERROR(__xludf.DUMMYFUNCTION("""COMPUTED_VALUE"""),"#REF!")</f>
        <v>#REF!</v>
      </c>
      <c r="DJ162" s="96" t="str">
        <f>IFERROR(__xludf.DUMMYFUNCTION("""COMPUTED_VALUE"""),"#REF!")</f>
        <v>#REF!</v>
      </c>
      <c r="DK162" s="97" t="str">
        <f>IFERROR(__xludf.DUMMYFUNCTION("""COMPUTED_VALUE"""),"#REF!")</f>
        <v>#REF!</v>
      </c>
      <c r="DL162" s="95" t="str">
        <f>IFERROR(__xludf.DUMMYFUNCTION("""COMPUTED_VALUE"""),"#REF!")</f>
        <v>#REF!</v>
      </c>
      <c r="DM162" s="96" t="str">
        <f>IFERROR(__xludf.DUMMYFUNCTION("""COMPUTED_VALUE"""),"#REF!")</f>
        <v>#REF!</v>
      </c>
      <c r="DN162" s="97" t="str">
        <f>IFERROR(__xludf.DUMMYFUNCTION("""COMPUTED_VALUE"""),"#REF!")</f>
        <v>#REF!</v>
      </c>
      <c r="DO162" s="95" t="str">
        <f>IFERROR(__xludf.DUMMYFUNCTION("""COMPUTED_VALUE"""),"#REF!")</f>
        <v>#REF!</v>
      </c>
      <c r="DP162" s="96" t="str">
        <f>IFERROR(__xludf.DUMMYFUNCTION("""COMPUTED_VALUE"""),"#REF!")</f>
        <v>#REF!</v>
      </c>
      <c r="DQ162" s="97"/>
      <c r="DR162" s="95"/>
    </row>
    <row r="163">
      <c r="A163" s="155" t="str">
        <f>IFERROR(__xludf.DUMMYFUNCTION("""COMPUTED_VALUE"""),"SHIMOSA")</f>
        <v>SHIMOSA</v>
      </c>
      <c r="B163" s="120" t="str">
        <f>IFERROR(__xludf.DUMMYFUNCTION("""COMPUTED_VALUE"""),"SMS1")</f>
        <v>SMS1</v>
      </c>
      <c r="C163" s="82">
        <f>IFERROR(__xludf.DUMMYFUNCTION("""COMPUTED_VALUE"""),156.0)</f>
        <v>156</v>
      </c>
      <c r="D163" s="88" t="str">
        <f>IFERROR(__xludf.DUMMYFUNCTION("""COMPUTED_VALUE"""),"Rice Field")</f>
        <v>Rice Field</v>
      </c>
      <c r="E163" s="82" t="str">
        <f>IFERROR(__xludf.DUMMYFUNCTION("""COMPUTED_VALUE"""),"田んぼ")</f>
        <v>田んぼ</v>
      </c>
      <c r="F163" s="102">
        <f>IFERROR(__xludf.DUMMYFUNCTION("""COMPUTED_VALUE"""),20.0)</f>
        <v>20</v>
      </c>
      <c r="G163" s="82">
        <f>IFERROR(__xludf.DUMMYFUNCTION("""COMPUTED_VALUE"""),49597.0)</f>
        <v>49597</v>
      </c>
      <c r="H163" s="231" t="str">
        <f>IFERROR(__xludf.DUMMYFUNCTION("""COMPUTED_VALUE"""),"")</f>
        <v/>
      </c>
      <c r="I163" s="232" t="str">
        <f>IFERROR(__xludf.DUMMYFUNCTION("""COMPUTED_VALUE"""),"")</f>
        <v/>
      </c>
      <c r="J163" s="233" t="str">
        <f>IFERROR(__xludf.DUMMYFUNCTION("""COMPUTED_VALUE"""),"")</f>
        <v/>
      </c>
      <c r="K163" s="231" t="str">
        <f>IFERROR(__xludf.DUMMYFUNCTION("""COMPUTED_VALUE"""),"")</f>
        <v/>
      </c>
      <c r="L163" s="232" t="str">
        <f>IFERROR(__xludf.DUMMYFUNCTION("""COMPUTED_VALUE"""),"")</f>
        <v/>
      </c>
      <c r="M163" s="233" t="str">
        <f>IFERROR(__xludf.DUMMYFUNCTION("""COMPUTED_VALUE"""),"")</f>
        <v/>
      </c>
      <c r="N163" s="231" t="str">
        <f>IFERROR(__xludf.DUMMYFUNCTION("""COMPUTED_VALUE"""),"")</f>
        <v/>
      </c>
      <c r="O163" s="232" t="str">
        <f>IFERROR(__xludf.DUMMYFUNCTION("""COMPUTED_VALUE"""),"")</f>
        <v/>
      </c>
      <c r="P163" s="233" t="str">
        <f>IFERROR(__xludf.DUMMYFUNCTION("""COMPUTED_VALUE"""),"")</f>
        <v/>
      </c>
      <c r="Q163" s="231" t="str">
        <f>IFERROR(__xludf.DUMMYFUNCTION("""COMPUTED_VALUE"""),"")</f>
        <v/>
      </c>
      <c r="R163" s="232" t="str">
        <f>IFERROR(__xludf.DUMMYFUNCTION("""COMPUTED_VALUE"""),"")</f>
        <v/>
      </c>
      <c r="S163" s="233" t="str">
        <f>IFERROR(__xludf.DUMMYFUNCTION("""COMPUTED_VALUE"""),"")</f>
        <v/>
      </c>
      <c r="T163" s="231" t="str">
        <f>IFERROR(__xludf.DUMMYFUNCTION("""COMPUTED_VALUE"""),"")</f>
        <v/>
      </c>
      <c r="U163" s="232" t="str">
        <f>IFERROR(__xludf.DUMMYFUNCTION("""COMPUTED_VALUE"""),"")</f>
        <v/>
      </c>
      <c r="V163" s="233" t="str">
        <f>IFERROR(__xludf.DUMMYFUNCTION("""COMPUTED_VALUE"""),"")</f>
        <v/>
      </c>
      <c r="W163" s="231" t="str">
        <f>IFERROR(__xludf.DUMMYFUNCTION("""COMPUTED_VALUE"""),"")</f>
        <v/>
      </c>
      <c r="X163" s="232" t="str">
        <f>IFERROR(__xludf.DUMMYFUNCTION("""COMPUTED_VALUE"""),"")</f>
        <v/>
      </c>
      <c r="Y163" s="233" t="str">
        <f>IFERROR(__xludf.DUMMYFUNCTION("""COMPUTED_VALUE"""),"")</f>
        <v/>
      </c>
      <c r="Z163" s="231">
        <f>IFERROR(__xludf.DUMMYFUNCTION("""COMPUTED_VALUE"""),39.8)</f>
        <v>39.8</v>
      </c>
      <c r="AA163" s="232">
        <f>IFERROR(__xludf.DUMMYFUNCTION("""COMPUTED_VALUE"""),25.7)</f>
        <v>25.7</v>
      </c>
      <c r="AB163" s="233" t="str">
        <f>IFERROR(__xludf.DUMMYFUNCTION("""COMPUTED_VALUE"""),"")</f>
        <v/>
      </c>
      <c r="AC163" s="231" t="str">
        <f>IFERROR(__xludf.DUMMYFUNCTION("""COMPUTED_VALUE"""),"")</f>
        <v/>
      </c>
      <c r="AD163" s="232" t="str">
        <f>IFERROR(__xludf.DUMMYFUNCTION("""COMPUTED_VALUE"""),"")</f>
        <v/>
      </c>
      <c r="AE163" s="233" t="str">
        <f>IFERROR(__xludf.DUMMYFUNCTION("""COMPUTED_VALUE"""),"")</f>
        <v/>
      </c>
      <c r="AF163" s="231" t="str">
        <f>IFERROR(__xludf.DUMMYFUNCTION("""COMPUTED_VALUE"""),"")</f>
        <v/>
      </c>
      <c r="AG163" s="232" t="str">
        <f>IFERROR(__xludf.DUMMYFUNCTION("""COMPUTED_VALUE"""),"")</f>
        <v/>
      </c>
      <c r="AH163" s="233" t="str">
        <f>IFERROR(__xludf.DUMMYFUNCTION("""COMPUTED_VALUE"""),"")</f>
        <v/>
      </c>
      <c r="AI163" s="231" t="str">
        <f>IFERROR(__xludf.DUMMYFUNCTION("""COMPUTED_VALUE"""),"")</f>
        <v/>
      </c>
      <c r="AJ163" s="232" t="str">
        <f>IFERROR(__xludf.DUMMYFUNCTION("""COMPUTED_VALUE"""),"")</f>
        <v/>
      </c>
      <c r="AK163" s="233" t="str">
        <f>IFERROR(__xludf.DUMMYFUNCTION("""COMPUTED_VALUE"""),"")</f>
        <v/>
      </c>
      <c r="AL163" s="231" t="str">
        <f>IFERROR(__xludf.DUMMYFUNCTION("""COMPUTED_VALUE"""),"")</f>
        <v/>
      </c>
      <c r="AM163" s="232" t="str">
        <f>IFERROR(__xludf.DUMMYFUNCTION("""COMPUTED_VALUE"""),"")</f>
        <v/>
      </c>
      <c r="AN163" s="233" t="str">
        <f>IFERROR(__xludf.DUMMYFUNCTION("""COMPUTED_VALUE"""),"")</f>
        <v/>
      </c>
      <c r="AO163" s="231" t="str">
        <f>IFERROR(__xludf.DUMMYFUNCTION("""COMPUTED_VALUE"""),"")</f>
        <v/>
      </c>
      <c r="AP163" s="232" t="str">
        <f>IFERROR(__xludf.DUMMYFUNCTION("""COMPUTED_VALUE"""),"")</f>
        <v/>
      </c>
      <c r="AQ163" s="233" t="str">
        <f>IFERROR(__xludf.DUMMYFUNCTION("""COMPUTED_VALUE"""),"")</f>
        <v/>
      </c>
      <c r="AR163" s="231" t="str">
        <f>IFERROR(__xludf.DUMMYFUNCTION("""COMPUTED_VALUE"""),"")</f>
        <v/>
      </c>
      <c r="AS163" s="232" t="str">
        <f>IFERROR(__xludf.DUMMYFUNCTION("""COMPUTED_VALUE"""),"")</f>
        <v/>
      </c>
      <c r="AT163" s="233" t="str">
        <f>IFERROR(__xludf.DUMMYFUNCTION("""COMPUTED_VALUE"""),"")</f>
        <v/>
      </c>
      <c r="AU163" s="231" t="str">
        <f>IFERROR(__xludf.DUMMYFUNCTION("""COMPUTED_VALUE"""),"")</f>
        <v/>
      </c>
      <c r="AV163" s="232" t="str">
        <f>IFERROR(__xludf.DUMMYFUNCTION("""COMPUTED_VALUE"""),"")</f>
        <v/>
      </c>
      <c r="AW163" s="233" t="str">
        <f>IFERROR(__xludf.DUMMYFUNCTION("""COMPUTED_VALUE"""),"")</f>
        <v/>
      </c>
      <c r="AX163" s="231" t="str">
        <f>IFERROR(__xludf.DUMMYFUNCTION("""COMPUTED_VALUE"""),"")</f>
        <v/>
      </c>
      <c r="AY163" s="232" t="str">
        <f>IFERROR(__xludf.DUMMYFUNCTION("""COMPUTED_VALUE"""),"")</f>
        <v/>
      </c>
      <c r="AZ163" s="233" t="str">
        <f>IFERROR(__xludf.DUMMYFUNCTION("""COMPUTED_VALUE"""),"")</f>
        <v/>
      </c>
      <c r="BA163" s="231" t="str">
        <f>IFERROR(__xludf.DUMMYFUNCTION("""COMPUTED_VALUE"""),"")</f>
        <v/>
      </c>
      <c r="BB163" s="232" t="str">
        <f>IFERROR(__xludf.DUMMYFUNCTION("""COMPUTED_VALUE"""),"")</f>
        <v/>
      </c>
      <c r="BC163" s="233" t="str">
        <f>IFERROR(__xludf.DUMMYFUNCTION("""COMPUTED_VALUE"""),"")</f>
        <v/>
      </c>
      <c r="BD163" s="231" t="str">
        <f>IFERROR(__xludf.DUMMYFUNCTION("""COMPUTED_VALUE"""),"")</f>
        <v/>
      </c>
      <c r="BE163" s="232" t="str">
        <f>IFERROR(__xludf.DUMMYFUNCTION("""COMPUTED_VALUE"""),"")</f>
        <v/>
      </c>
      <c r="BF163" s="233" t="str">
        <f>IFERROR(__xludf.DUMMYFUNCTION("""COMPUTED_VALUE"""),"")</f>
        <v/>
      </c>
      <c r="BG163" s="231" t="str">
        <f>IFERROR(__xludf.DUMMYFUNCTION("""COMPUTED_VALUE"""),"")</f>
        <v/>
      </c>
      <c r="BH163" s="232" t="str">
        <f>IFERROR(__xludf.DUMMYFUNCTION("""COMPUTED_VALUE"""),"")</f>
        <v/>
      </c>
      <c r="BI163" s="233" t="str">
        <f>IFERROR(__xludf.DUMMYFUNCTION("""COMPUTED_VALUE"""),"")</f>
        <v/>
      </c>
      <c r="BJ163" s="231" t="str">
        <f>IFERROR(__xludf.DUMMYFUNCTION("""COMPUTED_VALUE"""),"")</f>
        <v/>
      </c>
      <c r="BK163" s="232" t="str">
        <f>IFERROR(__xludf.DUMMYFUNCTION("""COMPUTED_VALUE"""),"")</f>
        <v/>
      </c>
      <c r="BL163" s="233" t="str">
        <f>IFERROR(__xludf.DUMMYFUNCTION("""COMPUTED_VALUE"""),"")</f>
        <v/>
      </c>
      <c r="BM163" s="231" t="str">
        <f>IFERROR(__xludf.DUMMYFUNCTION("""COMPUTED_VALUE"""),"")</f>
        <v/>
      </c>
      <c r="BN163" s="232" t="str">
        <f>IFERROR(__xludf.DUMMYFUNCTION("""COMPUTED_VALUE"""),"")</f>
        <v/>
      </c>
      <c r="BO163" s="233" t="str">
        <f>IFERROR(__xludf.DUMMYFUNCTION("""COMPUTED_VALUE"""),"")</f>
        <v/>
      </c>
      <c r="BP163" s="231" t="str">
        <f>IFERROR(__xludf.DUMMYFUNCTION("""COMPUTED_VALUE"""),"")</f>
        <v/>
      </c>
      <c r="BQ163" s="232" t="str">
        <f>IFERROR(__xludf.DUMMYFUNCTION("""COMPUTED_VALUE"""),"")</f>
        <v/>
      </c>
      <c r="BR163" s="233" t="str">
        <f>IFERROR(__xludf.DUMMYFUNCTION("""COMPUTED_VALUE"""),"")</f>
        <v/>
      </c>
      <c r="BS163" s="231">
        <f>IFERROR(__xludf.DUMMYFUNCTION("""COMPUTED_VALUE"""),25.0)</f>
        <v>25</v>
      </c>
      <c r="BT163" s="232" t="str">
        <f>IFERROR(__xludf.DUMMYFUNCTION("""COMPUTED_VALUE"""),"")</f>
        <v/>
      </c>
      <c r="BU163" s="233" t="str">
        <f>IFERROR(__xludf.DUMMYFUNCTION("""COMPUTED_VALUE"""),"")</f>
        <v/>
      </c>
      <c r="BV163" s="231">
        <f>IFERROR(__xludf.DUMMYFUNCTION("""COMPUTED_VALUE"""),32.1)</f>
        <v>32.1</v>
      </c>
      <c r="BW163" s="232" t="str">
        <f>IFERROR(__xludf.DUMMYFUNCTION("""COMPUTED_VALUE"""),"")</f>
        <v/>
      </c>
      <c r="BX163" s="233" t="str">
        <f>IFERROR(__xludf.DUMMYFUNCTION("""COMPUTED_VALUE"""),"")</f>
        <v/>
      </c>
      <c r="BY163" s="231" t="str">
        <f>IFERROR(__xludf.DUMMYFUNCTION("""COMPUTED_VALUE"""),"")</f>
        <v/>
      </c>
      <c r="BZ163" s="232" t="str">
        <f>IFERROR(__xludf.DUMMYFUNCTION("""COMPUTED_VALUE"""),"")</f>
        <v/>
      </c>
      <c r="CA163" s="233" t="str">
        <f>IFERROR(__xludf.DUMMYFUNCTION("""COMPUTED_VALUE"""),"")</f>
        <v/>
      </c>
      <c r="CB163" s="231" t="str">
        <f>IFERROR(__xludf.DUMMYFUNCTION("""COMPUTED_VALUE"""),"")</f>
        <v/>
      </c>
      <c r="CC163" s="232" t="str">
        <f>IFERROR(__xludf.DUMMYFUNCTION("""COMPUTED_VALUE"""),"")</f>
        <v/>
      </c>
      <c r="CD163" s="233" t="str">
        <f>IFERROR(__xludf.DUMMYFUNCTION("""COMPUTED_VALUE"""),"")</f>
        <v/>
      </c>
      <c r="CE163" s="234" t="str">
        <f>IFERROR(__xludf.DUMMYFUNCTION("""COMPUTED_VALUE"""),"")</f>
        <v/>
      </c>
      <c r="CF163" s="230" t="str">
        <f>IFERROR(__xludf.DUMMYFUNCTION("""COMPUTED_VALUE"""),"")</f>
        <v/>
      </c>
      <c r="CG163" s="235" t="str">
        <f>IFERROR(__xludf.DUMMYFUNCTION("""COMPUTED_VALUE"""),"")</f>
        <v/>
      </c>
      <c r="CH163" s="234" t="str">
        <f>IFERROR(__xludf.DUMMYFUNCTION("""COMPUTED_VALUE"""),"")</f>
        <v/>
      </c>
      <c r="CI163" s="230" t="str">
        <f>IFERROR(__xludf.DUMMYFUNCTION("""COMPUTED_VALUE"""),"")</f>
        <v/>
      </c>
      <c r="CJ163" s="235" t="str">
        <f>IFERROR(__xludf.DUMMYFUNCTION("""COMPUTED_VALUE"""),"")</f>
        <v/>
      </c>
      <c r="CK163" s="95" t="str">
        <f>IFERROR(__xludf.DUMMYFUNCTION("""COMPUTED_VALUE"""),"")</f>
        <v/>
      </c>
      <c r="CL163" s="96" t="str">
        <f>IFERROR(__xludf.DUMMYFUNCTION("""COMPUTED_VALUE"""),"")</f>
        <v/>
      </c>
      <c r="CM163" s="97" t="str">
        <f>IFERROR(__xludf.DUMMYFUNCTION("""COMPUTED_VALUE"""),"")</f>
        <v/>
      </c>
      <c r="CN163" s="95" t="str">
        <f>IFERROR(__xludf.DUMMYFUNCTION("""COMPUTED_VALUE"""),"")</f>
        <v/>
      </c>
      <c r="CO163" s="96" t="str">
        <f>IFERROR(__xludf.DUMMYFUNCTION("""COMPUTED_VALUE"""),"")</f>
        <v/>
      </c>
      <c r="CP163" s="97" t="str">
        <f>IFERROR(__xludf.DUMMYFUNCTION("""COMPUTED_VALUE"""),"")</f>
        <v/>
      </c>
      <c r="CQ163" s="95" t="str">
        <f>IFERROR(__xludf.DUMMYFUNCTION("""COMPUTED_VALUE"""),"")</f>
        <v/>
      </c>
      <c r="CR163" s="96" t="str">
        <f>IFERROR(__xludf.DUMMYFUNCTION("""COMPUTED_VALUE"""),"")</f>
        <v/>
      </c>
      <c r="CS163" s="97" t="str">
        <f>IFERROR(__xludf.DUMMYFUNCTION("""COMPUTED_VALUE"""),"#REF!")</f>
        <v>#REF!</v>
      </c>
      <c r="CT163" s="95" t="str">
        <f>IFERROR(__xludf.DUMMYFUNCTION("""COMPUTED_VALUE"""),"#REF!")</f>
        <v>#REF!</v>
      </c>
      <c r="CU163" s="96" t="str">
        <f>IFERROR(__xludf.DUMMYFUNCTION("""COMPUTED_VALUE"""),"#REF!")</f>
        <v>#REF!</v>
      </c>
      <c r="CV163" s="97" t="str">
        <f>IFERROR(__xludf.DUMMYFUNCTION("""COMPUTED_VALUE"""),"#REF!")</f>
        <v>#REF!</v>
      </c>
      <c r="CW163" s="95" t="str">
        <f>IFERROR(__xludf.DUMMYFUNCTION("""COMPUTED_VALUE"""),"#REF!")</f>
        <v>#REF!</v>
      </c>
      <c r="CX163" s="96" t="str">
        <f>IFERROR(__xludf.DUMMYFUNCTION("""COMPUTED_VALUE"""),"#REF!")</f>
        <v>#REF!</v>
      </c>
      <c r="CY163" s="97" t="str">
        <f>IFERROR(__xludf.DUMMYFUNCTION("""COMPUTED_VALUE"""),"#REF!")</f>
        <v>#REF!</v>
      </c>
      <c r="CZ163" s="95" t="str">
        <f>IFERROR(__xludf.DUMMYFUNCTION("""COMPUTED_VALUE"""),"#REF!")</f>
        <v>#REF!</v>
      </c>
      <c r="DA163" s="96" t="str">
        <f>IFERROR(__xludf.DUMMYFUNCTION("""COMPUTED_VALUE"""),"#REF!")</f>
        <v>#REF!</v>
      </c>
      <c r="DB163" s="97" t="str">
        <f>IFERROR(__xludf.DUMMYFUNCTION("""COMPUTED_VALUE"""),"#REF!")</f>
        <v>#REF!</v>
      </c>
      <c r="DC163" s="95" t="str">
        <f>IFERROR(__xludf.DUMMYFUNCTION("""COMPUTED_VALUE"""),"#REF!")</f>
        <v>#REF!</v>
      </c>
      <c r="DD163" s="96" t="str">
        <f>IFERROR(__xludf.DUMMYFUNCTION("""COMPUTED_VALUE"""),"#REF!")</f>
        <v>#REF!</v>
      </c>
      <c r="DE163" s="97" t="str">
        <f>IFERROR(__xludf.DUMMYFUNCTION("""COMPUTED_VALUE"""),"#REF!")</f>
        <v>#REF!</v>
      </c>
      <c r="DF163" s="95" t="str">
        <f>IFERROR(__xludf.DUMMYFUNCTION("""COMPUTED_VALUE"""),"#REF!")</f>
        <v>#REF!</v>
      </c>
      <c r="DG163" s="96" t="str">
        <f>IFERROR(__xludf.DUMMYFUNCTION("""COMPUTED_VALUE"""),"#REF!")</f>
        <v>#REF!</v>
      </c>
      <c r="DH163" s="97" t="str">
        <f>IFERROR(__xludf.DUMMYFUNCTION("""COMPUTED_VALUE"""),"#REF!")</f>
        <v>#REF!</v>
      </c>
      <c r="DI163" s="95" t="str">
        <f>IFERROR(__xludf.DUMMYFUNCTION("""COMPUTED_VALUE"""),"#REF!")</f>
        <v>#REF!</v>
      </c>
      <c r="DJ163" s="96" t="str">
        <f>IFERROR(__xludf.DUMMYFUNCTION("""COMPUTED_VALUE"""),"#REF!")</f>
        <v>#REF!</v>
      </c>
      <c r="DK163" s="97" t="str">
        <f>IFERROR(__xludf.DUMMYFUNCTION("""COMPUTED_VALUE"""),"#REF!")</f>
        <v>#REF!</v>
      </c>
      <c r="DL163" s="95" t="str">
        <f>IFERROR(__xludf.DUMMYFUNCTION("""COMPUTED_VALUE"""),"#REF!")</f>
        <v>#REF!</v>
      </c>
      <c r="DM163" s="96" t="str">
        <f>IFERROR(__xludf.DUMMYFUNCTION("""COMPUTED_VALUE"""),"#REF!")</f>
        <v>#REF!</v>
      </c>
      <c r="DN163" s="97" t="str">
        <f>IFERROR(__xludf.DUMMYFUNCTION("""COMPUTED_VALUE"""),"#REF!")</f>
        <v>#REF!</v>
      </c>
      <c r="DO163" s="95" t="str">
        <f>IFERROR(__xludf.DUMMYFUNCTION("""COMPUTED_VALUE"""),"#REF!")</f>
        <v>#REF!</v>
      </c>
      <c r="DP163" s="96" t="str">
        <f>IFERROR(__xludf.DUMMYFUNCTION("""COMPUTED_VALUE"""),"#REF!")</f>
        <v>#REF!</v>
      </c>
      <c r="DQ163" s="97"/>
      <c r="DR163" s="95"/>
    </row>
    <row r="164">
      <c r="B164" s="120" t="str">
        <f>IFERROR(__xludf.DUMMYFUNCTION("""COMPUTED_VALUE"""),"SMS2")</f>
        <v>SMS2</v>
      </c>
      <c r="C164" s="82">
        <f>IFERROR(__xludf.DUMMYFUNCTION("""COMPUTED_VALUE"""),157.0)</f>
        <v>157</v>
      </c>
      <c r="D164" s="88" t="str">
        <f>IFERROR(__xludf.DUMMYFUNCTION("""COMPUTED_VALUE"""),"Village")</f>
        <v>Village</v>
      </c>
      <c r="E164" s="82" t="str">
        <f>IFERROR(__xludf.DUMMYFUNCTION("""COMPUTED_VALUE"""),"里")</f>
        <v>里</v>
      </c>
      <c r="F164" s="102">
        <f>IFERROR(__xludf.DUMMYFUNCTION("""COMPUTED_VALUE"""),21.0)</f>
        <v>21</v>
      </c>
      <c r="G164" s="82">
        <f>IFERROR(__xludf.DUMMYFUNCTION("""COMPUTED_VALUE"""),26324.0)</f>
        <v>26324</v>
      </c>
      <c r="H164" s="231" t="str">
        <f>IFERROR(__xludf.DUMMYFUNCTION("""COMPUTED_VALUE"""),"")</f>
        <v/>
      </c>
      <c r="I164" s="232" t="str">
        <f>IFERROR(__xludf.DUMMYFUNCTION("""COMPUTED_VALUE"""),"")</f>
        <v/>
      </c>
      <c r="J164" s="233" t="str">
        <f>IFERROR(__xludf.DUMMYFUNCTION("""COMPUTED_VALUE"""),"")</f>
        <v/>
      </c>
      <c r="K164" s="231" t="str">
        <f>IFERROR(__xludf.DUMMYFUNCTION("""COMPUTED_VALUE"""),"")</f>
        <v/>
      </c>
      <c r="L164" s="232" t="str">
        <f>IFERROR(__xludf.DUMMYFUNCTION("""COMPUTED_VALUE"""),"")</f>
        <v/>
      </c>
      <c r="M164" s="233" t="str">
        <f>IFERROR(__xludf.DUMMYFUNCTION("""COMPUTED_VALUE"""),"")</f>
        <v/>
      </c>
      <c r="N164" s="231" t="str">
        <f>IFERROR(__xludf.DUMMYFUNCTION("""COMPUTED_VALUE"""),"")</f>
        <v/>
      </c>
      <c r="O164" s="232" t="str">
        <f>IFERROR(__xludf.DUMMYFUNCTION("""COMPUTED_VALUE"""),"")</f>
        <v/>
      </c>
      <c r="P164" s="233" t="str">
        <f>IFERROR(__xludf.DUMMYFUNCTION("""COMPUTED_VALUE"""),"")</f>
        <v/>
      </c>
      <c r="Q164" s="231" t="str">
        <f>IFERROR(__xludf.DUMMYFUNCTION("""COMPUTED_VALUE"""),"")</f>
        <v/>
      </c>
      <c r="R164" s="232" t="str">
        <f>IFERROR(__xludf.DUMMYFUNCTION("""COMPUTED_VALUE"""),"")</f>
        <v/>
      </c>
      <c r="S164" s="233" t="str">
        <f>IFERROR(__xludf.DUMMYFUNCTION("""COMPUTED_VALUE"""),"")</f>
        <v/>
      </c>
      <c r="T164" s="231" t="str">
        <f>IFERROR(__xludf.DUMMYFUNCTION("""COMPUTED_VALUE"""),"")</f>
        <v/>
      </c>
      <c r="U164" s="232" t="str">
        <f>IFERROR(__xludf.DUMMYFUNCTION("""COMPUTED_VALUE"""),"")</f>
        <v/>
      </c>
      <c r="V164" s="233" t="str">
        <f>IFERROR(__xludf.DUMMYFUNCTION("""COMPUTED_VALUE"""),"")</f>
        <v/>
      </c>
      <c r="W164" s="231" t="str">
        <f>IFERROR(__xludf.DUMMYFUNCTION("""COMPUTED_VALUE"""),"")</f>
        <v/>
      </c>
      <c r="X164" s="232" t="str">
        <f>IFERROR(__xludf.DUMMYFUNCTION("""COMPUTED_VALUE"""),"")</f>
        <v/>
      </c>
      <c r="Y164" s="233" t="str">
        <f>IFERROR(__xludf.DUMMYFUNCTION("""COMPUTED_VALUE"""),"")</f>
        <v/>
      </c>
      <c r="Z164" s="231">
        <f>IFERROR(__xludf.DUMMYFUNCTION("""COMPUTED_VALUE"""),35.2)</f>
        <v>35.2</v>
      </c>
      <c r="AA164" s="232" t="str">
        <f>IFERROR(__xludf.DUMMYFUNCTION("""COMPUTED_VALUE"""),"")</f>
        <v/>
      </c>
      <c r="AB164" s="233" t="str">
        <f>IFERROR(__xludf.DUMMYFUNCTION("""COMPUTED_VALUE"""),"")</f>
        <v/>
      </c>
      <c r="AC164" s="231" t="str">
        <f>IFERROR(__xludf.DUMMYFUNCTION("""COMPUTED_VALUE"""),"")</f>
        <v/>
      </c>
      <c r="AD164" s="232" t="str">
        <f>IFERROR(__xludf.DUMMYFUNCTION("""COMPUTED_VALUE"""),"")</f>
        <v/>
      </c>
      <c r="AE164" s="233" t="str">
        <f>IFERROR(__xludf.DUMMYFUNCTION("""COMPUTED_VALUE"""),"")</f>
        <v/>
      </c>
      <c r="AF164" s="231" t="str">
        <f>IFERROR(__xludf.DUMMYFUNCTION("""COMPUTED_VALUE"""),"")</f>
        <v/>
      </c>
      <c r="AG164" s="232" t="str">
        <f>IFERROR(__xludf.DUMMYFUNCTION("""COMPUTED_VALUE"""),"")</f>
        <v/>
      </c>
      <c r="AH164" s="233" t="str">
        <f>IFERROR(__xludf.DUMMYFUNCTION("""COMPUTED_VALUE"""),"")</f>
        <v/>
      </c>
      <c r="AI164" s="231" t="str">
        <f>IFERROR(__xludf.DUMMYFUNCTION("""COMPUTED_VALUE"""),"")</f>
        <v/>
      </c>
      <c r="AJ164" s="232" t="str">
        <f>IFERROR(__xludf.DUMMYFUNCTION("""COMPUTED_VALUE"""),"")</f>
        <v/>
      </c>
      <c r="AK164" s="233">
        <f>IFERROR(__xludf.DUMMYFUNCTION("""COMPUTED_VALUE"""),25.4)</f>
        <v>25.4</v>
      </c>
      <c r="AL164" s="231" t="str">
        <f>IFERROR(__xludf.DUMMYFUNCTION("""COMPUTED_VALUE"""),"")</f>
        <v/>
      </c>
      <c r="AM164" s="232" t="str">
        <f>IFERROR(__xludf.DUMMYFUNCTION("""COMPUTED_VALUE"""),"")</f>
        <v/>
      </c>
      <c r="AN164" s="233" t="str">
        <f>IFERROR(__xludf.DUMMYFUNCTION("""COMPUTED_VALUE"""),"")</f>
        <v/>
      </c>
      <c r="AO164" s="231" t="str">
        <f>IFERROR(__xludf.DUMMYFUNCTION("""COMPUTED_VALUE"""),"")</f>
        <v/>
      </c>
      <c r="AP164" s="232" t="str">
        <f>IFERROR(__xludf.DUMMYFUNCTION("""COMPUTED_VALUE"""),"")</f>
        <v/>
      </c>
      <c r="AQ164" s="233" t="str">
        <f>IFERROR(__xludf.DUMMYFUNCTION("""COMPUTED_VALUE"""),"")</f>
        <v/>
      </c>
      <c r="AR164" s="231" t="str">
        <f>IFERROR(__xludf.DUMMYFUNCTION("""COMPUTED_VALUE"""),"")</f>
        <v/>
      </c>
      <c r="AS164" s="232" t="str">
        <f>IFERROR(__xludf.DUMMYFUNCTION("""COMPUTED_VALUE"""),"")</f>
        <v/>
      </c>
      <c r="AT164" s="233" t="str">
        <f>IFERROR(__xludf.DUMMYFUNCTION("""COMPUTED_VALUE"""),"")</f>
        <v/>
      </c>
      <c r="AU164" s="231" t="str">
        <f>IFERROR(__xludf.DUMMYFUNCTION("""COMPUTED_VALUE"""),"")</f>
        <v/>
      </c>
      <c r="AV164" s="232" t="str">
        <f>IFERROR(__xludf.DUMMYFUNCTION("""COMPUTED_VALUE"""),"")</f>
        <v/>
      </c>
      <c r="AW164" s="233">
        <f>IFERROR(__xludf.DUMMYFUNCTION("""COMPUTED_VALUE"""),30.3)</f>
        <v>30.3</v>
      </c>
      <c r="AX164" s="231" t="str">
        <f>IFERROR(__xludf.DUMMYFUNCTION("""COMPUTED_VALUE"""),"")</f>
        <v/>
      </c>
      <c r="AY164" s="232" t="str">
        <f>IFERROR(__xludf.DUMMYFUNCTION("""COMPUTED_VALUE"""),"")</f>
        <v/>
      </c>
      <c r="AZ164" s="233" t="str">
        <f>IFERROR(__xludf.DUMMYFUNCTION("""COMPUTED_VALUE"""),"")</f>
        <v/>
      </c>
      <c r="BA164" s="231" t="str">
        <f>IFERROR(__xludf.DUMMYFUNCTION("""COMPUTED_VALUE"""),"")</f>
        <v/>
      </c>
      <c r="BB164" s="232" t="str">
        <f>IFERROR(__xludf.DUMMYFUNCTION("""COMPUTED_VALUE"""),"")</f>
        <v/>
      </c>
      <c r="BC164" s="233" t="str">
        <f>IFERROR(__xludf.DUMMYFUNCTION("""COMPUTED_VALUE"""),"")</f>
        <v/>
      </c>
      <c r="BD164" s="231" t="str">
        <f>IFERROR(__xludf.DUMMYFUNCTION("""COMPUTED_VALUE"""),"")</f>
        <v/>
      </c>
      <c r="BE164" s="232" t="str">
        <f>IFERROR(__xludf.DUMMYFUNCTION("""COMPUTED_VALUE"""),"")</f>
        <v/>
      </c>
      <c r="BF164" s="233" t="str">
        <f>IFERROR(__xludf.DUMMYFUNCTION("""COMPUTED_VALUE"""),"")</f>
        <v/>
      </c>
      <c r="BG164" s="231" t="str">
        <f>IFERROR(__xludf.DUMMYFUNCTION("""COMPUTED_VALUE"""),"")</f>
        <v/>
      </c>
      <c r="BH164" s="232" t="str">
        <f>IFERROR(__xludf.DUMMYFUNCTION("""COMPUTED_VALUE"""),"")</f>
        <v/>
      </c>
      <c r="BI164" s="233" t="str">
        <f>IFERROR(__xludf.DUMMYFUNCTION("""COMPUTED_VALUE"""),"")</f>
        <v/>
      </c>
      <c r="BJ164" s="231">
        <f>IFERROR(__xludf.DUMMYFUNCTION("""COMPUTED_VALUE"""),17.6)</f>
        <v>17.6</v>
      </c>
      <c r="BK164" s="232" t="str">
        <f>IFERROR(__xludf.DUMMYFUNCTION("""COMPUTED_VALUE"""),"")</f>
        <v/>
      </c>
      <c r="BL164" s="233" t="str">
        <f>IFERROR(__xludf.DUMMYFUNCTION("""COMPUTED_VALUE"""),"")</f>
        <v/>
      </c>
      <c r="BM164" s="231" t="str">
        <f>IFERROR(__xludf.DUMMYFUNCTION("""COMPUTED_VALUE"""),"")</f>
        <v/>
      </c>
      <c r="BN164" s="232" t="str">
        <f>IFERROR(__xludf.DUMMYFUNCTION("""COMPUTED_VALUE"""),"")</f>
        <v/>
      </c>
      <c r="BO164" s="233" t="str">
        <f>IFERROR(__xludf.DUMMYFUNCTION("""COMPUTED_VALUE"""),"")</f>
        <v/>
      </c>
      <c r="BP164" s="231" t="str">
        <f>IFERROR(__xludf.DUMMYFUNCTION("""COMPUTED_VALUE"""),"")</f>
        <v/>
      </c>
      <c r="BQ164" s="232" t="str">
        <f>IFERROR(__xludf.DUMMYFUNCTION("""COMPUTED_VALUE"""),"")</f>
        <v/>
      </c>
      <c r="BR164" s="233" t="str">
        <f>IFERROR(__xludf.DUMMYFUNCTION("""COMPUTED_VALUE"""),"")</f>
        <v/>
      </c>
      <c r="BS164" s="231">
        <f>IFERROR(__xludf.DUMMYFUNCTION("""COMPUTED_VALUE"""),23.9)</f>
        <v>23.9</v>
      </c>
      <c r="BT164" s="232" t="str">
        <f>IFERROR(__xludf.DUMMYFUNCTION("""COMPUTED_VALUE"""),"")</f>
        <v/>
      </c>
      <c r="BU164" s="233" t="str">
        <f>IFERROR(__xludf.DUMMYFUNCTION("""COMPUTED_VALUE"""),"")</f>
        <v/>
      </c>
      <c r="BV164" s="231" t="str">
        <f>IFERROR(__xludf.DUMMYFUNCTION("""COMPUTED_VALUE"""),"")</f>
        <v/>
      </c>
      <c r="BW164" s="232" t="str">
        <f>IFERROR(__xludf.DUMMYFUNCTION("""COMPUTED_VALUE"""),"")</f>
        <v/>
      </c>
      <c r="BX164" s="233" t="str">
        <f>IFERROR(__xludf.DUMMYFUNCTION("""COMPUTED_VALUE"""),"")</f>
        <v/>
      </c>
      <c r="BY164" s="231" t="str">
        <f>IFERROR(__xludf.DUMMYFUNCTION("""COMPUTED_VALUE"""),"")</f>
        <v/>
      </c>
      <c r="BZ164" s="232" t="str">
        <f>IFERROR(__xludf.DUMMYFUNCTION("""COMPUTED_VALUE"""),"")</f>
        <v/>
      </c>
      <c r="CA164" s="233" t="str">
        <f>IFERROR(__xludf.DUMMYFUNCTION("""COMPUTED_VALUE"""),"")</f>
        <v/>
      </c>
      <c r="CB164" s="231" t="str">
        <f>IFERROR(__xludf.DUMMYFUNCTION("""COMPUTED_VALUE"""),"")</f>
        <v/>
      </c>
      <c r="CC164" s="232" t="str">
        <f>IFERROR(__xludf.DUMMYFUNCTION("""COMPUTED_VALUE"""),"")</f>
        <v/>
      </c>
      <c r="CD164" s="233" t="str">
        <f>IFERROR(__xludf.DUMMYFUNCTION("""COMPUTED_VALUE"""),"")</f>
        <v/>
      </c>
      <c r="CE164" s="234" t="str">
        <f>IFERROR(__xludf.DUMMYFUNCTION("""COMPUTED_VALUE"""),"")</f>
        <v/>
      </c>
      <c r="CF164" s="230" t="str">
        <f>IFERROR(__xludf.DUMMYFUNCTION("""COMPUTED_VALUE"""),"")</f>
        <v/>
      </c>
      <c r="CG164" s="235" t="str">
        <f>IFERROR(__xludf.DUMMYFUNCTION("""COMPUTED_VALUE"""),"")</f>
        <v/>
      </c>
      <c r="CH164" s="234" t="str">
        <f>IFERROR(__xludf.DUMMYFUNCTION("""COMPUTED_VALUE"""),"")</f>
        <v/>
      </c>
      <c r="CI164" s="230" t="str">
        <f>IFERROR(__xludf.DUMMYFUNCTION("""COMPUTED_VALUE"""),"")</f>
        <v/>
      </c>
      <c r="CJ164" s="235" t="str">
        <f>IFERROR(__xludf.DUMMYFUNCTION("""COMPUTED_VALUE"""),"")</f>
        <v/>
      </c>
      <c r="CK164" s="95" t="str">
        <f>IFERROR(__xludf.DUMMYFUNCTION("""COMPUTED_VALUE"""),"")</f>
        <v/>
      </c>
      <c r="CL164" s="96">
        <f>IFERROR(__xludf.DUMMYFUNCTION("""COMPUTED_VALUE"""),13.2)</f>
        <v>13.2</v>
      </c>
      <c r="CM164" s="97" t="str">
        <f>IFERROR(__xludf.DUMMYFUNCTION("""COMPUTED_VALUE"""),"")</f>
        <v/>
      </c>
      <c r="CN164" s="95" t="str">
        <f>IFERROR(__xludf.DUMMYFUNCTION("""COMPUTED_VALUE"""),"")</f>
        <v/>
      </c>
      <c r="CO164" s="96" t="str">
        <f>IFERROR(__xludf.DUMMYFUNCTION("""COMPUTED_VALUE"""),"")</f>
        <v/>
      </c>
      <c r="CP164" s="97" t="str">
        <f>IFERROR(__xludf.DUMMYFUNCTION("""COMPUTED_VALUE"""),"")</f>
        <v/>
      </c>
      <c r="CQ164" s="95" t="str">
        <f>IFERROR(__xludf.DUMMYFUNCTION("""COMPUTED_VALUE"""),"")</f>
        <v/>
      </c>
      <c r="CR164" s="96" t="str">
        <f>IFERROR(__xludf.DUMMYFUNCTION("""COMPUTED_VALUE"""),"")</f>
        <v/>
      </c>
      <c r="CS164" s="97" t="str">
        <f>IFERROR(__xludf.DUMMYFUNCTION("""COMPUTED_VALUE"""),"#REF!")</f>
        <v>#REF!</v>
      </c>
      <c r="CT164" s="95" t="str">
        <f>IFERROR(__xludf.DUMMYFUNCTION("""COMPUTED_VALUE"""),"#REF!")</f>
        <v>#REF!</v>
      </c>
      <c r="CU164" s="96" t="str">
        <f>IFERROR(__xludf.DUMMYFUNCTION("""COMPUTED_VALUE"""),"#REF!")</f>
        <v>#REF!</v>
      </c>
      <c r="CV164" s="97" t="str">
        <f>IFERROR(__xludf.DUMMYFUNCTION("""COMPUTED_VALUE"""),"#REF!")</f>
        <v>#REF!</v>
      </c>
      <c r="CW164" s="95" t="str">
        <f>IFERROR(__xludf.DUMMYFUNCTION("""COMPUTED_VALUE"""),"#REF!")</f>
        <v>#REF!</v>
      </c>
      <c r="CX164" s="96" t="str">
        <f>IFERROR(__xludf.DUMMYFUNCTION("""COMPUTED_VALUE"""),"#REF!")</f>
        <v>#REF!</v>
      </c>
      <c r="CY164" s="97" t="str">
        <f>IFERROR(__xludf.DUMMYFUNCTION("""COMPUTED_VALUE"""),"#REF!")</f>
        <v>#REF!</v>
      </c>
      <c r="CZ164" s="95" t="str">
        <f>IFERROR(__xludf.DUMMYFUNCTION("""COMPUTED_VALUE"""),"#REF!")</f>
        <v>#REF!</v>
      </c>
      <c r="DA164" s="96" t="str">
        <f>IFERROR(__xludf.DUMMYFUNCTION("""COMPUTED_VALUE"""),"#REF!")</f>
        <v>#REF!</v>
      </c>
      <c r="DB164" s="97" t="str">
        <f>IFERROR(__xludf.DUMMYFUNCTION("""COMPUTED_VALUE"""),"#REF!")</f>
        <v>#REF!</v>
      </c>
      <c r="DC164" s="95" t="str">
        <f>IFERROR(__xludf.DUMMYFUNCTION("""COMPUTED_VALUE"""),"#REF!")</f>
        <v>#REF!</v>
      </c>
      <c r="DD164" s="96" t="str">
        <f>IFERROR(__xludf.DUMMYFUNCTION("""COMPUTED_VALUE"""),"#REF!")</f>
        <v>#REF!</v>
      </c>
      <c r="DE164" s="97" t="str">
        <f>IFERROR(__xludf.DUMMYFUNCTION("""COMPUTED_VALUE"""),"#REF!")</f>
        <v>#REF!</v>
      </c>
      <c r="DF164" s="95" t="str">
        <f>IFERROR(__xludf.DUMMYFUNCTION("""COMPUTED_VALUE"""),"#REF!")</f>
        <v>#REF!</v>
      </c>
      <c r="DG164" s="96" t="str">
        <f>IFERROR(__xludf.DUMMYFUNCTION("""COMPUTED_VALUE"""),"#REF!")</f>
        <v>#REF!</v>
      </c>
      <c r="DH164" s="97" t="str">
        <f>IFERROR(__xludf.DUMMYFUNCTION("""COMPUTED_VALUE"""),"#REF!")</f>
        <v>#REF!</v>
      </c>
      <c r="DI164" s="95" t="str">
        <f>IFERROR(__xludf.DUMMYFUNCTION("""COMPUTED_VALUE"""),"#REF!")</f>
        <v>#REF!</v>
      </c>
      <c r="DJ164" s="96" t="str">
        <f>IFERROR(__xludf.DUMMYFUNCTION("""COMPUTED_VALUE"""),"#REF!")</f>
        <v>#REF!</v>
      </c>
      <c r="DK164" s="97" t="str">
        <f>IFERROR(__xludf.DUMMYFUNCTION("""COMPUTED_VALUE"""),"#REF!")</f>
        <v>#REF!</v>
      </c>
      <c r="DL164" s="95" t="str">
        <f>IFERROR(__xludf.DUMMYFUNCTION("""COMPUTED_VALUE"""),"#REF!")</f>
        <v>#REF!</v>
      </c>
      <c r="DM164" s="96" t="str">
        <f>IFERROR(__xludf.DUMMYFUNCTION("""COMPUTED_VALUE"""),"#REF!")</f>
        <v>#REF!</v>
      </c>
      <c r="DN164" s="97" t="str">
        <f>IFERROR(__xludf.DUMMYFUNCTION("""COMPUTED_VALUE"""),"#REF!")</f>
        <v>#REF!</v>
      </c>
      <c r="DO164" s="95" t="str">
        <f>IFERROR(__xludf.DUMMYFUNCTION("""COMPUTED_VALUE"""),"#REF!")</f>
        <v>#REF!</v>
      </c>
      <c r="DP164" s="96" t="str">
        <f>IFERROR(__xludf.DUMMYFUNCTION("""COMPUTED_VALUE"""),"#REF!")</f>
        <v>#REF!</v>
      </c>
      <c r="DQ164" s="97"/>
      <c r="DR164" s="95"/>
    </row>
    <row r="165">
      <c r="B165" s="120" t="str">
        <f>IFERROR(__xludf.DUMMYFUNCTION("""COMPUTED_VALUE"""),"SMS3")</f>
        <v>SMS3</v>
      </c>
      <c r="C165" s="82">
        <f>IFERROR(__xludf.DUMMYFUNCTION("""COMPUTED_VALUE"""),158.0)</f>
        <v>158</v>
      </c>
      <c r="D165" s="88" t="str">
        <f>IFERROR(__xludf.DUMMYFUNCTION("""COMPUTED_VALUE"""),"Monastery")</f>
        <v>Monastery</v>
      </c>
      <c r="E165" s="82" t="str">
        <f>IFERROR(__xludf.DUMMYFUNCTION("""COMPUTED_VALUE"""),"庵")</f>
        <v>庵</v>
      </c>
      <c r="F165" s="102">
        <f>IFERROR(__xludf.DUMMYFUNCTION("""COMPUTED_VALUE"""),21.0)</f>
        <v>21</v>
      </c>
      <c r="G165" s="82">
        <f>IFERROR(__xludf.DUMMYFUNCTION("""COMPUTED_VALUE"""),10300.0)</f>
        <v>10300</v>
      </c>
      <c r="H165" s="231" t="str">
        <f>IFERROR(__xludf.DUMMYFUNCTION("""COMPUTED_VALUE"""),"")</f>
        <v/>
      </c>
      <c r="I165" s="232" t="str">
        <f>IFERROR(__xludf.DUMMYFUNCTION("""COMPUTED_VALUE"""),"")</f>
        <v/>
      </c>
      <c r="J165" s="233" t="str">
        <f>IFERROR(__xludf.DUMMYFUNCTION("""COMPUTED_VALUE"""),"")</f>
        <v/>
      </c>
      <c r="K165" s="231" t="str">
        <f>IFERROR(__xludf.DUMMYFUNCTION("""COMPUTED_VALUE"""),"")</f>
        <v/>
      </c>
      <c r="L165" s="232" t="str">
        <f>IFERROR(__xludf.DUMMYFUNCTION("""COMPUTED_VALUE"""),"")</f>
        <v/>
      </c>
      <c r="M165" s="233" t="str">
        <f>IFERROR(__xludf.DUMMYFUNCTION("""COMPUTED_VALUE"""),"")</f>
        <v/>
      </c>
      <c r="N165" s="231" t="str">
        <f>IFERROR(__xludf.DUMMYFUNCTION("""COMPUTED_VALUE"""),"")</f>
        <v/>
      </c>
      <c r="O165" s="232" t="str">
        <f>IFERROR(__xludf.DUMMYFUNCTION("""COMPUTED_VALUE"""),"")</f>
        <v/>
      </c>
      <c r="P165" s="233" t="str">
        <f>IFERROR(__xludf.DUMMYFUNCTION("""COMPUTED_VALUE"""),"")</f>
        <v/>
      </c>
      <c r="Q165" s="231" t="str">
        <f>IFERROR(__xludf.DUMMYFUNCTION("""COMPUTED_VALUE"""),"")</f>
        <v/>
      </c>
      <c r="R165" s="232" t="str">
        <f>IFERROR(__xludf.DUMMYFUNCTION("""COMPUTED_VALUE"""),"")</f>
        <v/>
      </c>
      <c r="S165" s="233" t="str">
        <f>IFERROR(__xludf.DUMMYFUNCTION("""COMPUTED_VALUE"""),"")</f>
        <v/>
      </c>
      <c r="T165" s="231" t="str">
        <f>IFERROR(__xludf.DUMMYFUNCTION("""COMPUTED_VALUE"""),"")</f>
        <v/>
      </c>
      <c r="U165" s="232" t="str">
        <f>IFERROR(__xludf.DUMMYFUNCTION("""COMPUTED_VALUE"""),"")</f>
        <v/>
      </c>
      <c r="V165" s="233" t="str">
        <f>IFERROR(__xludf.DUMMYFUNCTION("""COMPUTED_VALUE"""),"")</f>
        <v/>
      </c>
      <c r="W165" s="231" t="str">
        <f>IFERROR(__xludf.DUMMYFUNCTION("""COMPUTED_VALUE"""),"")</f>
        <v/>
      </c>
      <c r="X165" s="232" t="str">
        <f>IFERROR(__xludf.DUMMYFUNCTION("""COMPUTED_VALUE"""),"")</f>
        <v/>
      </c>
      <c r="Y165" s="233" t="str">
        <f>IFERROR(__xludf.DUMMYFUNCTION("""COMPUTED_VALUE"""),"")</f>
        <v/>
      </c>
      <c r="Z165" s="231" t="str">
        <f>IFERROR(__xludf.DUMMYFUNCTION("""COMPUTED_VALUE"""),"")</f>
        <v/>
      </c>
      <c r="AA165" s="232">
        <f>IFERROR(__xludf.DUMMYFUNCTION("""COMPUTED_VALUE"""),25.2)</f>
        <v>25.2</v>
      </c>
      <c r="AB165" s="233" t="str">
        <f>IFERROR(__xludf.DUMMYFUNCTION("""COMPUTED_VALUE"""),"")</f>
        <v/>
      </c>
      <c r="AC165" s="231" t="str">
        <f>IFERROR(__xludf.DUMMYFUNCTION("""COMPUTED_VALUE"""),"")</f>
        <v/>
      </c>
      <c r="AD165" s="232" t="str">
        <f>IFERROR(__xludf.DUMMYFUNCTION("""COMPUTED_VALUE"""),"")</f>
        <v/>
      </c>
      <c r="AE165" s="233" t="str">
        <f>IFERROR(__xludf.DUMMYFUNCTION("""COMPUTED_VALUE"""),"")</f>
        <v/>
      </c>
      <c r="AF165" s="231" t="str">
        <f>IFERROR(__xludf.DUMMYFUNCTION("""COMPUTED_VALUE"""),"")</f>
        <v/>
      </c>
      <c r="AG165" s="232" t="str">
        <f>IFERROR(__xludf.DUMMYFUNCTION("""COMPUTED_VALUE"""),"")</f>
        <v/>
      </c>
      <c r="AH165" s="233" t="str">
        <f>IFERROR(__xludf.DUMMYFUNCTION("""COMPUTED_VALUE"""),"")</f>
        <v/>
      </c>
      <c r="AI165" s="231" t="str">
        <f>IFERROR(__xludf.DUMMYFUNCTION("""COMPUTED_VALUE"""),"")</f>
        <v/>
      </c>
      <c r="AJ165" s="232" t="str">
        <f>IFERROR(__xludf.DUMMYFUNCTION("""COMPUTED_VALUE"""),"")</f>
        <v/>
      </c>
      <c r="AK165" s="233">
        <f>IFERROR(__xludf.DUMMYFUNCTION("""COMPUTED_VALUE"""),25.2)</f>
        <v>25.2</v>
      </c>
      <c r="AL165" s="231" t="str">
        <f>IFERROR(__xludf.DUMMYFUNCTION("""COMPUTED_VALUE"""),"")</f>
        <v/>
      </c>
      <c r="AM165" s="232" t="str">
        <f>IFERROR(__xludf.DUMMYFUNCTION("""COMPUTED_VALUE"""),"")</f>
        <v/>
      </c>
      <c r="AN165" s="233" t="str">
        <f>IFERROR(__xludf.DUMMYFUNCTION("""COMPUTED_VALUE"""),"")</f>
        <v/>
      </c>
      <c r="AO165" s="231" t="str">
        <f>IFERROR(__xludf.DUMMYFUNCTION("""COMPUTED_VALUE"""),"")</f>
        <v/>
      </c>
      <c r="AP165" s="232" t="str">
        <f>IFERROR(__xludf.DUMMYFUNCTION("""COMPUTED_VALUE"""),"")</f>
        <v/>
      </c>
      <c r="AQ165" s="233" t="str">
        <f>IFERROR(__xludf.DUMMYFUNCTION("""COMPUTED_VALUE"""),"")</f>
        <v/>
      </c>
      <c r="AR165" s="231" t="str">
        <f>IFERROR(__xludf.DUMMYFUNCTION("""COMPUTED_VALUE"""),"")</f>
        <v/>
      </c>
      <c r="AS165" s="232" t="str">
        <f>IFERROR(__xludf.DUMMYFUNCTION("""COMPUTED_VALUE"""),"")</f>
        <v/>
      </c>
      <c r="AT165" s="233" t="str">
        <f>IFERROR(__xludf.DUMMYFUNCTION("""COMPUTED_VALUE"""),"")</f>
        <v/>
      </c>
      <c r="AU165" s="231" t="str">
        <f>IFERROR(__xludf.DUMMYFUNCTION("""COMPUTED_VALUE"""),"")</f>
        <v/>
      </c>
      <c r="AV165" s="232" t="str">
        <f>IFERROR(__xludf.DUMMYFUNCTION("""COMPUTED_VALUE"""),"")</f>
        <v/>
      </c>
      <c r="AW165" s="233" t="str">
        <f>IFERROR(__xludf.DUMMYFUNCTION("""COMPUTED_VALUE"""),"")</f>
        <v/>
      </c>
      <c r="AX165" s="231" t="str">
        <f>IFERROR(__xludf.DUMMYFUNCTION("""COMPUTED_VALUE"""),"")</f>
        <v/>
      </c>
      <c r="AY165" s="232" t="str">
        <f>IFERROR(__xludf.DUMMYFUNCTION("""COMPUTED_VALUE"""),"")</f>
        <v/>
      </c>
      <c r="AZ165" s="233" t="str">
        <f>IFERROR(__xludf.DUMMYFUNCTION("""COMPUTED_VALUE"""),"")</f>
        <v/>
      </c>
      <c r="BA165" s="231" t="str">
        <f>IFERROR(__xludf.DUMMYFUNCTION("""COMPUTED_VALUE"""),"")</f>
        <v/>
      </c>
      <c r="BB165" s="232" t="str">
        <f>IFERROR(__xludf.DUMMYFUNCTION("""COMPUTED_VALUE"""),"")</f>
        <v/>
      </c>
      <c r="BC165" s="233" t="str">
        <f>IFERROR(__xludf.DUMMYFUNCTION("""COMPUTED_VALUE"""),"")</f>
        <v/>
      </c>
      <c r="BD165" s="231" t="str">
        <f>IFERROR(__xludf.DUMMYFUNCTION("""COMPUTED_VALUE"""),"")</f>
        <v/>
      </c>
      <c r="BE165" s="232" t="str">
        <f>IFERROR(__xludf.DUMMYFUNCTION("""COMPUTED_VALUE"""),"")</f>
        <v/>
      </c>
      <c r="BF165" s="233" t="str">
        <f>IFERROR(__xludf.DUMMYFUNCTION("""COMPUTED_VALUE"""),"")</f>
        <v/>
      </c>
      <c r="BG165" s="231" t="str">
        <f>IFERROR(__xludf.DUMMYFUNCTION("""COMPUTED_VALUE"""),"")</f>
        <v/>
      </c>
      <c r="BH165" s="232" t="str">
        <f>IFERROR(__xludf.DUMMYFUNCTION("""COMPUTED_VALUE"""),"")</f>
        <v/>
      </c>
      <c r="BI165" s="233" t="str">
        <f>IFERROR(__xludf.DUMMYFUNCTION("""COMPUTED_VALUE"""),"")</f>
        <v/>
      </c>
      <c r="BJ165" s="231">
        <f>IFERROR(__xludf.DUMMYFUNCTION("""COMPUTED_VALUE"""),20.8)</f>
        <v>20.8</v>
      </c>
      <c r="BK165" s="232" t="str">
        <f>IFERROR(__xludf.DUMMYFUNCTION("""COMPUTED_VALUE"""),"")</f>
        <v/>
      </c>
      <c r="BL165" s="233" t="str">
        <f>IFERROR(__xludf.DUMMYFUNCTION("""COMPUTED_VALUE"""),"")</f>
        <v/>
      </c>
      <c r="BM165" s="231" t="str">
        <f>IFERROR(__xludf.DUMMYFUNCTION("""COMPUTED_VALUE"""),"")</f>
        <v/>
      </c>
      <c r="BN165" s="232" t="str">
        <f>IFERROR(__xludf.DUMMYFUNCTION("""COMPUTED_VALUE"""),"")</f>
        <v/>
      </c>
      <c r="BO165" s="233" t="str">
        <f>IFERROR(__xludf.DUMMYFUNCTION("""COMPUTED_VALUE"""),"")</f>
        <v/>
      </c>
      <c r="BP165" s="231" t="str">
        <f>IFERROR(__xludf.DUMMYFUNCTION("""COMPUTED_VALUE"""),"")</f>
        <v/>
      </c>
      <c r="BQ165" s="232" t="str">
        <f>IFERROR(__xludf.DUMMYFUNCTION("""COMPUTED_VALUE"""),"")</f>
        <v/>
      </c>
      <c r="BR165" s="233" t="str">
        <f>IFERROR(__xludf.DUMMYFUNCTION("""COMPUTED_VALUE"""),"")</f>
        <v/>
      </c>
      <c r="BS165" s="231" t="str">
        <f>IFERROR(__xludf.DUMMYFUNCTION("""COMPUTED_VALUE"""),"")</f>
        <v/>
      </c>
      <c r="BT165" s="232" t="str">
        <f>IFERROR(__xludf.DUMMYFUNCTION("""COMPUTED_VALUE"""),"")</f>
        <v/>
      </c>
      <c r="BU165" s="233" t="str">
        <f>IFERROR(__xludf.DUMMYFUNCTION("""COMPUTED_VALUE"""),"")</f>
        <v/>
      </c>
      <c r="BV165" s="231">
        <f>IFERROR(__xludf.DUMMYFUNCTION("""COMPUTED_VALUE"""),40.6)</f>
        <v>40.6</v>
      </c>
      <c r="BW165" s="232" t="str">
        <f>IFERROR(__xludf.DUMMYFUNCTION("""COMPUTED_VALUE"""),"")</f>
        <v/>
      </c>
      <c r="BX165" s="233" t="str">
        <f>IFERROR(__xludf.DUMMYFUNCTION("""COMPUTED_VALUE"""),"")</f>
        <v/>
      </c>
      <c r="BY165" s="231" t="str">
        <f>IFERROR(__xludf.DUMMYFUNCTION("""COMPUTED_VALUE"""),"")</f>
        <v/>
      </c>
      <c r="BZ165" s="232" t="str">
        <f>IFERROR(__xludf.DUMMYFUNCTION("""COMPUTED_VALUE"""),"")</f>
        <v/>
      </c>
      <c r="CA165" s="233" t="str">
        <f>IFERROR(__xludf.DUMMYFUNCTION("""COMPUTED_VALUE"""),"")</f>
        <v/>
      </c>
      <c r="CB165" s="231" t="str">
        <f>IFERROR(__xludf.DUMMYFUNCTION("""COMPUTED_VALUE"""),"")</f>
        <v/>
      </c>
      <c r="CC165" s="232" t="str">
        <f>IFERROR(__xludf.DUMMYFUNCTION("""COMPUTED_VALUE"""),"")</f>
        <v/>
      </c>
      <c r="CD165" s="233" t="str">
        <f>IFERROR(__xludf.DUMMYFUNCTION("""COMPUTED_VALUE"""),"")</f>
        <v/>
      </c>
      <c r="CE165" s="234" t="str">
        <f>IFERROR(__xludf.DUMMYFUNCTION("""COMPUTED_VALUE"""),"")</f>
        <v/>
      </c>
      <c r="CF165" s="230" t="str">
        <f>IFERROR(__xludf.DUMMYFUNCTION("""COMPUTED_VALUE"""),"")</f>
        <v/>
      </c>
      <c r="CG165" s="235" t="str">
        <f>IFERROR(__xludf.DUMMYFUNCTION("""COMPUTED_VALUE"""),"")</f>
        <v/>
      </c>
      <c r="CH165" s="234" t="str">
        <f>IFERROR(__xludf.DUMMYFUNCTION("""COMPUTED_VALUE"""),"")</f>
        <v/>
      </c>
      <c r="CI165" s="230" t="str">
        <f>IFERROR(__xludf.DUMMYFUNCTION("""COMPUTED_VALUE"""),"")</f>
        <v/>
      </c>
      <c r="CJ165" s="235" t="str">
        <f>IFERROR(__xludf.DUMMYFUNCTION("""COMPUTED_VALUE"""),"")</f>
        <v/>
      </c>
      <c r="CK165" s="95" t="str">
        <f>IFERROR(__xludf.DUMMYFUNCTION("""COMPUTED_VALUE"""),"")</f>
        <v/>
      </c>
      <c r="CL165" s="96">
        <f>IFERROR(__xludf.DUMMYFUNCTION("""COMPUTED_VALUE"""),22.4)</f>
        <v>22.4</v>
      </c>
      <c r="CM165" s="97" t="str">
        <f>IFERROR(__xludf.DUMMYFUNCTION("""COMPUTED_VALUE"""),"")</f>
        <v/>
      </c>
      <c r="CN165" s="95" t="str">
        <f>IFERROR(__xludf.DUMMYFUNCTION("""COMPUTED_VALUE"""),"")</f>
        <v/>
      </c>
      <c r="CO165" s="96" t="str">
        <f>IFERROR(__xludf.DUMMYFUNCTION("""COMPUTED_VALUE"""),"")</f>
        <v/>
      </c>
      <c r="CP165" s="97" t="str">
        <f>IFERROR(__xludf.DUMMYFUNCTION("""COMPUTED_VALUE"""),"")</f>
        <v/>
      </c>
      <c r="CQ165" s="95" t="str">
        <f>IFERROR(__xludf.DUMMYFUNCTION("""COMPUTED_VALUE"""),"")</f>
        <v/>
      </c>
      <c r="CR165" s="96" t="str">
        <f>IFERROR(__xludf.DUMMYFUNCTION("""COMPUTED_VALUE"""),"")</f>
        <v/>
      </c>
      <c r="CS165" s="97" t="str">
        <f>IFERROR(__xludf.DUMMYFUNCTION("""COMPUTED_VALUE"""),"#REF!")</f>
        <v>#REF!</v>
      </c>
      <c r="CT165" s="95" t="str">
        <f>IFERROR(__xludf.DUMMYFUNCTION("""COMPUTED_VALUE"""),"#REF!")</f>
        <v>#REF!</v>
      </c>
      <c r="CU165" s="96" t="str">
        <f>IFERROR(__xludf.DUMMYFUNCTION("""COMPUTED_VALUE"""),"#REF!")</f>
        <v>#REF!</v>
      </c>
      <c r="CV165" s="97" t="str">
        <f>IFERROR(__xludf.DUMMYFUNCTION("""COMPUTED_VALUE"""),"#REF!")</f>
        <v>#REF!</v>
      </c>
      <c r="CW165" s="95" t="str">
        <f>IFERROR(__xludf.DUMMYFUNCTION("""COMPUTED_VALUE"""),"#REF!")</f>
        <v>#REF!</v>
      </c>
      <c r="CX165" s="96" t="str">
        <f>IFERROR(__xludf.DUMMYFUNCTION("""COMPUTED_VALUE"""),"#REF!")</f>
        <v>#REF!</v>
      </c>
      <c r="CY165" s="97" t="str">
        <f>IFERROR(__xludf.DUMMYFUNCTION("""COMPUTED_VALUE"""),"#REF!")</f>
        <v>#REF!</v>
      </c>
      <c r="CZ165" s="95" t="str">
        <f>IFERROR(__xludf.DUMMYFUNCTION("""COMPUTED_VALUE"""),"#REF!")</f>
        <v>#REF!</v>
      </c>
      <c r="DA165" s="96" t="str">
        <f>IFERROR(__xludf.DUMMYFUNCTION("""COMPUTED_VALUE"""),"#REF!")</f>
        <v>#REF!</v>
      </c>
      <c r="DB165" s="97" t="str">
        <f>IFERROR(__xludf.DUMMYFUNCTION("""COMPUTED_VALUE"""),"#REF!")</f>
        <v>#REF!</v>
      </c>
      <c r="DC165" s="95" t="str">
        <f>IFERROR(__xludf.DUMMYFUNCTION("""COMPUTED_VALUE"""),"#REF!")</f>
        <v>#REF!</v>
      </c>
      <c r="DD165" s="96" t="str">
        <f>IFERROR(__xludf.DUMMYFUNCTION("""COMPUTED_VALUE"""),"#REF!")</f>
        <v>#REF!</v>
      </c>
      <c r="DE165" s="97" t="str">
        <f>IFERROR(__xludf.DUMMYFUNCTION("""COMPUTED_VALUE"""),"#REF!")</f>
        <v>#REF!</v>
      </c>
      <c r="DF165" s="95" t="str">
        <f>IFERROR(__xludf.DUMMYFUNCTION("""COMPUTED_VALUE"""),"#REF!")</f>
        <v>#REF!</v>
      </c>
      <c r="DG165" s="96" t="str">
        <f>IFERROR(__xludf.DUMMYFUNCTION("""COMPUTED_VALUE"""),"#REF!")</f>
        <v>#REF!</v>
      </c>
      <c r="DH165" s="97" t="str">
        <f>IFERROR(__xludf.DUMMYFUNCTION("""COMPUTED_VALUE"""),"#REF!")</f>
        <v>#REF!</v>
      </c>
      <c r="DI165" s="95" t="str">
        <f>IFERROR(__xludf.DUMMYFUNCTION("""COMPUTED_VALUE"""),"#REF!")</f>
        <v>#REF!</v>
      </c>
      <c r="DJ165" s="96" t="str">
        <f>IFERROR(__xludf.DUMMYFUNCTION("""COMPUTED_VALUE"""),"#REF!")</f>
        <v>#REF!</v>
      </c>
      <c r="DK165" s="97" t="str">
        <f>IFERROR(__xludf.DUMMYFUNCTION("""COMPUTED_VALUE"""),"#REF!")</f>
        <v>#REF!</v>
      </c>
      <c r="DL165" s="95" t="str">
        <f>IFERROR(__xludf.DUMMYFUNCTION("""COMPUTED_VALUE"""),"#REF!")</f>
        <v>#REF!</v>
      </c>
      <c r="DM165" s="96" t="str">
        <f>IFERROR(__xludf.DUMMYFUNCTION("""COMPUTED_VALUE"""),"#REF!")</f>
        <v>#REF!</v>
      </c>
      <c r="DN165" s="97" t="str">
        <f>IFERROR(__xludf.DUMMYFUNCTION("""COMPUTED_VALUE"""),"#REF!")</f>
        <v>#REF!</v>
      </c>
      <c r="DO165" s="95" t="str">
        <f>IFERROR(__xludf.DUMMYFUNCTION("""COMPUTED_VALUE"""),"#REF!")</f>
        <v>#REF!</v>
      </c>
      <c r="DP165" s="96" t="str">
        <f>IFERROR(__xludf.DUMMYFUNCTION("""COMPUTED_VALUE"""),"#REF!")</f>
        <v>#REF!</v>
      </c>
      <c r="DQ165" s="97"/>
      <c r="DR165" s="95"/>
    </row>
    <row r="166">
      <c r="B166" s="120" t="str">
        <f>IFERROR(__xludf.DUMMYFUNCTION("""COMPUTED_VALUE"""),"SMS4")</f>
        <v>SMS4</v>
      </c>
      <c r="C166" s="82">
        <f>IFERROR(__xludf.DUMMYFUNCTION("""COMPUTED_VALUE"""),159.0)</f>
        <v>159</v>
      </c>
      <c r="D166" s="88" t="str">
        <f>IFERROR(__xludf.DUMMYFUNCTION("""COMPUTED_VALUE"""),"Castle Town")</f>
        <v>Castle Town</v>
      </c>
      <c r="E166" s="82" t="str">
        <f>IFERROR(__xludf.DUMMYFUNCTION("""COMPUTED_VALUE"""),"城下町")</f>
        <v>城下町</v>
      </c>
      <c r="F166" s="102">
        <f>IFERROR(__xludf.DUMMYFUNCTION("""COMPUTED_VALUE"""),21.0)</f>
        <v>21</v>
      </c>
      <c r="G166" s="82">
        <f>IFERROR(__xludf.DUMMYFUNCTION("""COMPUTED_VALUE"""),10765.0)</f>
        <v>10765</v>
      </c>
      <c r="H166" s="231" t="str">
        <f>IFERROR(__xludf.DUMMYFUNCTION("""COMPUTED_VALUE"""),"")</f>
        <v/>
      </c>
      <c r="I166" s="232" t="str">
        <f>IFERROR(__xludf.DUMMYFUNCTION("""COMPUTED_VALUE"""),"")</f>
        <v/>
      </c>
      <c r="J166" s="233" t="str">
        <f>IFERROR(__xludf.DUMMYFUNCTION("""COMPUTED_VALUE"""),"")</f>
        <v/>
      </c>
      <c r="K166" s="231" t="str">
        <f>IFERROR(__xludf.DUMMYFUNCTION("""COMPUTED_VALUE"""),"")</f>
        <v/>
      </c>
      <c r="L166" s="232" t="str">
        <f>IFERROR(__xludf.DUMMYFUNCTION("""COMPUTED_VALUE"""),"")</f>
        <v/>
      </c>
      <c r="M166" s="233" t="str">
        <f>IFERROR(__xludf.DUMMYFUNCTION("""COMPUTED_VALUE"""),"")</f>
        <v/>
      </c>
      <c r="N166" s="231" t="str">
        <f>IFERROR(__xludf.DUMMYFUNCTION("""COMPUTED_VALUE"""),"")</f>
        <v/>
      </c>
      <c r="O166" s="232" t="str">
        <f>IFERROR(__xludf.DUMMYFUNCTION("""COMPUTED_VALUE"""),"")</f>
        <v/>
      </c>
      <c r="P166" s="233" t="str">
        <f>IFERROR(__xludf.DUMMYFUNCTION("""COMPUTED_VALUE"""),"")</f>
        <v/>
      </c>
      <c r="Q166" s="231" t="str">
        <f>IFERROR(__xludf.DUMMYFUNCTION("""COMPUTED_VALUE"""),"")</f>
        <v/>
      </c>
      <c r="R166" s="232" t="str">
        <f>IFERROR(__xludf.DUMMYFUNCTION("""COMPUTED_VALUE"""),"")</f>
        <v/>
      </c>
      <c r="S166" s="233" t="str">
        <f>IFERROR(__xludf.DUMMYFUNCTION("""COMPUTED_VALUE"""),"")</f>
        <v/>
      </c>
      <c r="T166" s="231" t="str">
        <f>IFERROR(__xludf.DUMMYFUNCTION("""COMPUTED_VALUE"""),"")</f>
        <v/>
      </c>
      <c r="U166" s="232" t="str">
        <f>IFERROR(__xludf.DUMMYFUNCTION("""COMPUTED_VALUE"""),"")</f>
        <v/>
      </c>
      <c r="V166" s="233" t="str">
        <f>IFERROR(__xludf.DUMMYFUNCTION("""COMPUTED_VALUE"""),"")</f>
        <v/>
      </c>
      <c r="W166" s="231" t="str">
        <f>IFERROR(__xludf.DUMMYFUNCTION("""COMPUTED_VALUE"""),"")</f>
        <v/>
      </c>
      <c r="X166" s="232" t="str">
        <f>IFERROR(__xludf.DUMMYFUNCTION("""COMPUTED_VALUE"""),"")</f>
        <v/>
      </c>
      <c r="Y166" s="233" t="str">
        <f>IFERROR(__xludf.DUMMYFUNCTION("""COMPUTED_VALUE"""),"")</f>
        <v/>
      </c>
      <c r="Z166" s="231" t="str">
        <f>IFERROR(__xludf.DUMMYFUNCTION("""COMPUTED_VALUE"""),"")</f>
        <v/>
      </c>
      <c r="AA166" s="232" t="str">
        <f>IFERROR(__xludf.DUMMYFUNCTION("""COMPUTED_VALUE"""),"")</f>
        <v/>
      </c>
      <c r="AB166" s="233" t="str">
        <f>IFERROR(__xludf.DUMMYFUNCTION("""COMPUTED_VALUE"""),"")</f>
        <v/>
      </c>
      <c r="AC166" s="231" t="str">
        <f>IFERROR(__xludf.DUMMYFUNCTION("""COMPUTED_VALUE"""),"")</f>
        <v/>
      </c>
      <c r="AD166" s="232" t="str">
        <f>IFERROR(__xludf.DUMMYFUNCTION("""COMPUTED_VALUE"""),"")</f>
        <v/>
      </c>
      <c r="AE166" s="233" t="str">
        <f>IFERROR(__xludf.DUMMYFUNCTION("""COMPUTED_VALUE"""),"")</f>
        <v/>
      </c>
      <c r="AF166" s="231" t="str">
        <f>IFERROR(__xludf.DUMMYFUNCTION("""COMPUTED_VALUE"""),"")</f>
        <v/>
      </c>
      <c r="AG166" s="232" t="str">
        <f>IFERROR(__xludf.DUMMYFUNCTION("""COMPUTED_VALUE"""),"")</f>
        <v/>
      </c>
      <c r="AH166" s="233" t="str">
        <f>IFERROR(__xludf.DUMMYFUNCTION("""COMPUTED_VALUE"""),"")</f>
        <v/>
      </c>
      <c r="AI166" s="231" t="str">
        <f>IFERROR(__xludf.DUMMYFUNCTION("""COMPUTED_VALUE"""),"")</f>
        <v/>
      </c>
      <c r="AJ166" s="232" t="str">
        <f>IFERROR(__xludf.DUMMYFUNCTION("""COMPUTED_VALUE"""),"")</f>
        <v/>
      </c>
      <c r="AK166" s="233">
        <f>IFERROR(__xludf.DUMMYFUNCTION("""COMPUTED_VALUE"""),40.5)</f>
        <v>40.5</v>
      </c>
      <c r="AL166" s="231" t="str">
        <f>IFERROR(__xludf.DUMMYFUNCTION("""COMPUTED_VALUE"""),"")</f>
        <v/>
      </c>
      <c r="AM166" s="232" t="str">
        <f>IFERROR(__xludf.DUMMYFUNCTION("""COMPUTED_VALUE"""),"")</f>
        <v/>
      </c>
      <c r="AN166" s="233" t="str">
        <f>IFERROR(__xludf.DUMMYFUNCTION("""COMPUTED_VALUE"""),"")</f>
        <v/>
      </c>
      <c r="AO166" s="231" t="str">
        <f>IFERROR(__xludf.DUMMYFUNCTION("""COMPUTED_VALUE"""),"")</f>
        <v/>
      </c>
      <c r="AP166" s="232" t="str">
        <f>IFERROR(__xludf.DUMMYFUNCTION("""COMPUTED_VALUE"""),"")</f>
        <v/>
      </c>
      <c r="AQ166" s="233" t="str">
        <f>IFERROR(__xludf.DUMMYFUNCTION("""COMPUTED_VALUE"""),"")</f>
        <v/>
      </c>
      <c r="AR166" s="231" t="str">
        <f>IFERROR(__xludf.DUMMYFUNCTION("""COMPUTED_VALUE"""),"")</f>
        <v/>
      </c>
      <c r="AS166" s="232" t="str">
        <f>IFERROR(__xludf.DUMMYFUNCTION("""COMPUTED_VALUE"""),"")</f>
        <v/>
      </c>
      <c r="AT166" s="233" t="str">
        <f>IFERROR(__xludf.DUMMYFUNCTION("""COMPUTED_VALUE"""),"")</f>
        <v/>
      </c>
      <c r="AU166" s="231" t="str">
        <f>IFERROR(__xludf.DUMMYFUNCTION("""COMPUTED_VALUE"""),"")</f>
        <v/>
      </c>
      <c r="AV166" s="232" t="str">
        <f>IFERROR(__xludf.DUMMYFUNCTION("""COMPUTED_VALUE"""),"")</f>
        <v/>
      </c>
      <c r="AW166" s="233" t="str">
        <f>IFERROR(__xludf.DUMMYFUNCTION("""COMPUTED_VALUE"""),"")</f>
        <v/>
      </c>
      <c r="AX166" s="231" t="str">
        <f>IFERROR(__xludf.DUMMYFUNCTION("""COMPUTED_VALUE"""),"")</f>
        <v/>
      </c>
      <c r="AY166" s="232" t="str">
        <f>IFERROR(__xludf.DUMMYFUNCTION("""COMPUTED_VALUE"""),"")</f>
        <v/>
      </c>
      <c r="AZ166" s="233" t="str">
        <f>IFERROR(__xludf.DUMMYFUNCTION("""COMPUTED_VALUE"""),"")</f>
        <v/>
      </c>
      <c r="BA166" s="231" t="str">
        <f>IFERROR(__xludf.DUMMYFUNCTION("""COMPUTED_VALUE"""),"")</f>
        <v/>
      </c>
      <c r="BB166" s="232" t="str">
        <f>IFERROR(__xludf.DUMMYFUNCTION("""COMPUTED_VALUE"""),"")</f>
        <v/>
      </c>
      <c r="BC166" s="233" t="str">
        <f>IFERROR(__xludf.DUMMYFUNCTION("""COMPUTED_VALUE"""),"")</f>
        <v/>
      </c>
      <c r="BD166" s="231" t="str">
        <f>IFERROR(__xludf.DUMMYFUNCTION("""COMPUTED_VALUE"""),"")</f>
        <v/>
      </c>
      <c r="BE166" s="232" t="str">
        <f>IFERROR(__xludf.DUMMYFUNCTION("""COMPUTED_VALUE"""),"")</f>
        <v/>
      </c>
      <c r="BF166" s="233" t="str">
        <f>IFERROR(__xludf.DUMMYFUNCTION("""COMPUTED_VALUE"""),"")</f>
        <v/>
      </c>
      <c r="BG166" s="231" t="str">
        <f>IFERROR(__xludf.DUMMYFUNCTION("""COMPUTED_VALUE"""),"")</f>
        <v/>
      </c>
      <c r="BH166" s="232" t="str">
        <f>IFERROR(__xludf.DUMMYFUNCTION("""COMPUTED_VALUE"""),"")</f>
        <v/>
      </c>
      <c r="BI166" s="233" t="str">
        <f>IFERROR(__xludf.DUMMYFUNCTION("""COMPUTED_VALUE"""),"")</f>
        <v/>
      </c>
      <c r="BJ166" s="231">
        <f>IFERROR(__xludf.DUMMYFUNCTION("""COMPUTED_VALUE"""),39.9)</f>
        <v>39.9</v>
      </c>
      <c r="BK166" s="232" t="str">
        <f>IFERROR(__xludf.DUMMYFUNCTION("""COMPUTED_VALUE"""),"")</f>
        <v/>
      </c>
      <c r="BL166" s="233" t="str">
        <f>IFERROR(__xludf.DUMMYFUNCTION("""COMPUTED_VALUE"""),"")</f>
        <v/>
      </c>
      <c r="BM166" s="231" t="str">
        <f>IFERROR(__xludf.DUMMYFUNCTION("""COMPUTED_VALUE"""),"")</f>
        <v/>
      </c>
      <c r="BN166" s="232" t="str">
        <f>IFERROR(__xludf.DUMMYFUNCTION("""COMPUTED_VALUE"""),"")</f>
        <v/>
      </c>
      <c r="BO166" s="233" t="str">
        <f>IFERROR(__xludf.DUMMYFUNCTION("""COMPUTED_VALUE"""),"")</f>
        <v/>
      </c>
      <c r="BP166" s="231" t="str">
        <f>IFERROR(__xludf.DUMMYFUNCTION("""COMPUTED_VALUE"""),"")</f>
        <v/>
      </c>
      <c r="BQ166" s="232" t="str">
        <f>IFERROR(__xludf.DUMMYFUNCTION("""COMPUTED_VALUE"""),"")</f>
        <v/>
      </c>
      <c r="BR166" s="233" t="str">
        <f>IFERROR(__xludf.DUMMYFUNCTION("""COMPUTED_VALUE"""),"")</f>
        <v/>
      </c>
      <c r="BS166" s="231" t="str">
        <f>IFERROR(__xludf.DUMMYFUNCTION("""COMPUTED_VALUE"""),"")</f>
        <v/>
      </c>
      <c r="BT166" s="232" t="str">
        <f>IFERROR(__xludf.DUMMYFUNCTION("""COMPUTED_VALUE"""),"")</f>
        <v/>
      </c>
      <c r="BU166" s="233" t="str">
        <f>IFERROR(__xludf.DUMMYFUNCTION("""COMPUTED_VALUE"""),"")</f>
        <v/>
      </c>
      <c r="BV166" s="231" t="str">
        <f>IFERROR(__xludf.DUMMYFUNCTION("""COMPUTED_VALUE"""),"")</f>
        <v/>
      </c>
      <c r="BW166" s="232" t="str">
        <f>IFERROR(__xludf.DUMMYFUNCTION("""COMPUTED_VALUE"""),"")</f>
        <v/>
      </c>
      <c r="BX166" s="233" t="str">
        <f>IFERROR(__xludf.DUMMYFUNCTION("""COMPUTED_VALUE"""),"")</f>
        <v/>
      </c>
      <c r="BY166" s="231" t="str">
        <f>IFERROR(__xludf.DUMMYFUNCTION("""COMPUTED_VALUE"""),"")</f>
        <v/>
      </c>
      <c r="BZ166" s="232" t="str">
        <f>IFERROR(__xludf.DUMMYFUNCTION("""COMPUTED_VALUE"""),"")</f>
        <v/>
      </c>
      <c r="CA166" s="233" t="str">
        <f>IFERROR(__xludf.DUMMYFUNCTION("""COMPUTED_VALUE"""),"")</f>
        <v/>
      </c>
      <c r="CB166" s="231" t="str">
        <f>IFERROR(__xludf.DUMMYFUNCTION("""COMPUTED_VALUE"""),"")</f>
        <v/>
      </c>
      <c r="CC166" s="232" t="str">
        <f>IFERROR(__xludf.DUMMYFUNCTION("""COMPUTED_VALUE"""),"")</f>
        <v/>
      </c>
      <c r="CD166" s="233" t="str">
        <f>IFERROR(__xludf.DUMMYFUNCTION("""COMPUTED_VALUE"""),"")</f>
        <v/>
      </c>
      <c r="CE166" s="234" t="str">
        <f>IFERROR(__xludf.DUMMYFUNCTION("""COMPUTED_VALUE"""),"")</f>
        <v/>
      </c>
      <c r="CF166" s="230" t="str">
        <f>IFERROR(__xludf.DUMMYFUNCTION("""COMPUTED_VALUE"""),"")</f>
        <v/>
      </c>
      <c r="CG166" s="235" t="str">
        <f>IFERROR(__xludf.DUMMYFUNCTION("""COMPUTED_VALUE"""),"")</f>
        <v/>
      </c>
      <c r="CH166" s="234" t="str">
        <f>IFERROR(__xludf.DUMMYFUNCTION("""COMPUTED_VALUE"""),"")</f>
        <v/>
      </c>
      <c r="CI166" s="230" t="str">
        <f>IFERROR(__xludf.DUMMYFUNCTION("""COMPUTED_VALUE"""),"")</f>
        <v/>
      </c>
      <c r="CJ166" s="235" t="str">
        <f>IFERROR(__xludf.DUMMYFUNCTION("""COMPUTED_VALUE"""),"")</f>
        <v/>
      </c>
      <c r="CK166" s="95" t="str">
        <f>IFERROR(__xludf.DUMMYFUNCTION("""COMPUTED_VALUE"""),"")</f>
        <v/>
      </c>
      <c r="CL166" s="96">
        <f>IFERROR(__xludf.DUMMYFUNCTION("""COMPUTED_VALUE"""),37.9)</f>
        <v>37.9</v>
      </c>
      <c r="CM166" s="97" t="str">
        <f>IFERROR(__xludf.DUMMYFUNCTION("""COMPUTED_VALUE"""),"")</f>
        <v/>
      </c>
      <c r="CN166" s="95" t="str">
        <f>IFERROR(__xludf.DUMMYFUNCTION("""COMPUTED_VALUE"""),"")</f>
        <v/>
      </c>
      <c r="CO166" s="96" t="str">
        <f>IFERROR(__xludf.DUMMYFUNCTION("""COMPUTED_VALUE"""),"")</f>
        <v/>
      </c>
      <c r="CP166" s="97" t="str">
        <f>IFERROR(__xludf.DUMMYFUNCTION("""COMPUTED_VALUE"""),"")</f>
        <v/>
      </c>
      <c r="CQ166" s="95" t="str">
        <f>IFERROR(__xludf.DUMMYFUNCTION("""COMPUTED_VALUE"""),"")</f>
        <v/>
      </c>
      <c r="CR166" s="96" t="str">
        <f>IFERROR(__xludf.DUMMYFUNCTION("""COMPUTED_VALUE"""),"")</f>
        <v/>
      </c>
      <c r="CS166" s="97" t="str">
        <f>IFERROR(__xludf.DUMMYFUNCTION("""COMPUTED_VALUE"""),"#REF!")</f>
        <v>#REF!</v>
      </c>
      <c r="CT166" s="95" t="str">
        <f>IFERROR(__xludf.DUMMYFUNCTION("""COMPUTED_VALUE"""),"#REF!")</f>
        <v>#REF!</v>
      </c>
      <c r="CU166" s="96" t="str">
        <f>IFERROR(__xludf.DUMMYFUNCTION("""COMPUTED_VALUE"""),"#REF!")</f>
        <v>#REF!</v>
      </c>
      <c r="CV166" s="97" t="str">
        <f>IFERROR(__xludf.DUMMYFUNCTION("""COMPUTED_VALUE"""),"#REF!")</f>
        <v>#REF!</v>
      </c>
      <c r="CW166" s="95" t="str">
        <f>IFERROR(__xludf.DUMMYFUNCTION("""COMPUTED_VALUE"""),"#REF!")</f>
        <v>#REF!</v>
      </c>
      <c r="CX166" s="96" t="str">
        <f>IFERROR(__xludf.DUMMYFUNCTION("""COMPUTED_VALUE"""),"#REF!")</f>
        <v>#REF!</v>
      </c>
      <c r="CY166" s="97" t="str">
        <f>IFERROR(__xludf.DUMMYFUNCTION("""COMPUTED_VALUE"""),"#REF!")</f>
        <v>#REF!</v>
      </c>
      <c r="CZ166" s="95" t="str">
        <f>IFERROR(__xludf.DUMMYFUNCTION("""COMPUTED_VALUE"""),"#REF!")</f>
        <v>#REF!</v>
      </c>
      <c r="DA166" s="96" t="str">
        <f>IFERROR(__xludf.DUMMYFUNCTION("""COMPUTED_VALUE"""),"#REF!")</f>
        <v>#REF!</v>
      </c>
      <c r="DB166" s="97" t="str">
        <f>IFERROR(__xludf.DUMMYFUNCTION("""COMPUTED_VALUE"""),"#REF!")</f>
        <v>#REF!</v>
      </c>
      <c r="DC166" s="95" t="str">
        <f>IFERROR(__xludf.DUMMYFUNCTION("""COMPUTED_VALUE"""),"#REF!")</f>
        <v>#REF!</v>
      </c>
      <c r="DD166" s="96" t="str">
        <f>IFERROR(__xludf.DUMMYFUNCTION("""COMPUTED_VALUE"""),"#REF!")</f>
        <v>#REF!</v>
      </c>
      <c r="DE166" s="97" t="str">
        <f>IFERROR(__xludf.DUMMYFUNCTION("""COMPUTED_VALUE"""),"#REF!")</f>
        <v>#REF!</v>
      </c>
      <c r="DF166" s="95" t="str">
        <f>IFERROR(__xludf.DUMMYFUNCTION("""COMPUTED_VALUE"""),"#REF!")</f>
        <v>#REF!</v>
      </c>
      <c r="DG166" s="96" t="str">
        <f>IFERROR(__xludf.DUMMYFUNCTION("""COMPUTED_VALUE"""),"#REF!")</f>
        <v>#REF!</v>
      </c>
      <c r="DH166" s="97" t="str">
        <f>IFERROR(__xludf.DUMMYFUNCTION("""COMPUTED_VALUE"""),"#REF!")</f>
        <v>#REF!</v>
      </c>
      <c r="DI166" s="95" t="str">
        <f>IFERROR(__xludf.DUMMYFUNCTION("""COMPUTED_VALUE"""),"#REF!")</f>
        <v>#REF!</v>
      </c>
      <c r="DJ166" s="96" t="str">
        <f>IFERROR(__xludf.DUMMYFUNCTION("""COMPUTED_VALUE"""),"#REF!")</f>
        <v>#REF!</v>
      </c>
      <c r="DK166" s="97" t="str">
        <f>IFERROR(__xludf.DUMMYFUNCTION("""COMPUTED_VALUE"""),"#REF!")</f>
        <v>#REF!</v>
      </c>
      <c r="DL166" s="95" t="str">
        <f>IFERROR(__xludf.DUMMYFUNCTION("""COMPUTED_VALUE"""),"#REF!")</f>
        <v>#REF!</v>
      </c>
      <c r="DM166" s="96" t="str">
        <f>IFERROR(__xludf.DUMMYFUNCTION("""COMPUTED_VALUE"""),"#REF!")</f>
        <v>#REF!</v>
      </c>
      <c r="DN166" s="97" t="str">
        <f>IFERROR(__xludf.DUMMYFUNCTION("""COMPUTED_VALUE"""),"#REF!")</f>
        <v>#REF!</v>
      </c>
      <c r="DO166" s="95" t="str">
        <f>IFERROR(__xludf.DUMMYFUNCTION("""COMPUTED_VALUE"""),"#REF!")</f>
        <v>#REF!</v>
      </c>
      <c r="DP166" s="96" t="str">
        <f>IFERROR(__xludf.DUMMYFUNCTION("""COMPUTED_VALUE"""),"#REF!")</f>
        <v>#REF!</v>
      </c>
      <c r="DQ166" s="97"/>
      <c r="DR166" s="95"/>
    </row>
    <row r="167">
      <c r="B167" s="120" t="str">
        <f>IFERROR(__xludf.DUMMYFUNCTION("""COMPUTED_VALUE"""),"SMS5")</f>
        <v>SMS5</v>
      </c>
      <c r="C167" s="82">
        <f>IFERROR(__xludf.DUMMYFUNCTION("""COMPUTED_VALUE"""),160.0)</f>
        <v>160</v>
      </c>
      <c r="D167" s="88" t="str">
        <f>IFERROR(__xludf.DUMMYFUNCTION("""COMPUTED_VALUE"""),"Battlefield")</f>
        <v>Battlefield</v>
      </c>
      <c r="E167" s="82" t="str">
        <f>IFERROR(__xludf.DUMMYFUNCTION("""COMPUTED_VALUE"""),"合戦場")</f>
        <v>合戦場</v>
      </c>
      <c r="F167" s="102">
        <f>IFERROR(__xludf.DUMMYFUNCTION("""COMPUTED_VALUE"""),21.0)</f>
        <v>21</v>
      </c>
      <c r="G167" s="82">
        <f>IFERROR(__xludf.DUMMYFUNCTION("""COMPUTED_VALUE"""),110438.0)</f>
        <v>110438</v>
      </c>
      <c r="H167" s="231" t="str">
        <f>IFERROR(__xludf.DUMMYFUNCTION("""COMPUTED_VALUE"""),"")</f>
        <v/>
      </c>
      <c r="I167" s="232" t="str">
        <f>IFERROR(__xludf.DUMMYFUNCTION("""COMPUTED_VALUE"""),"")</f>
        <v/>
      </c>
      <c r="J167" s="233" t="str">
        <f>IFERROR(__xludf.DUMMYFUNCTION("""COMPUTED_VALUE"""),"")</f>
        <v/>
      </c>
      <c r="K167" s="231" t="str">
        <f>IFERROR(__xludf.DUMMYFUNCTION("""COMPUTED_VALUE"""),"")</f>
        <v/>
      </c>
      <c r="L167" s="232" t="str">
        <f>IFERROR(__xludf.DUMMYFUNCTION("""COMPUTED_VALUE"""),"")</f>
        <v/>
      </c>
      <c r="M167" s="233" t="str">
        <f>IFERROR(__xludf.DUMMYFUNCTION("""COMPUTED_VALUE"""),"")</f>
        <v/>
      </c>
      <c r="N167" s="231" t="str">
        <f>IFERROR(__xludf.DUMMYFUNCTION("""COMPUTED_VALUE"""),"")</f>
        <v/>
      </c>
      <c r="O167" s="232" t="str">
        <f>IFERROR(__xludf.DUMMYFUNCTION("""COMPUTED_VALUE"""),"")</f>
        <v/>
      </c>
      <c r="P167" s="233" t="str">
        <f>IFERROR(__xludf.DUMMYFUNCTION("""COMPUTED_VALUE"""),"")</f>
        <v/>
      </c>
      <c r="Q167" s="231" t="str">
        <f>IFERROR(__xludf.DUMMYFUNCTION("""COMPUTED_VALUE"""),"")</f>
        <v/>
      </c>
      <c r="R167" s="232" t="str">
        <f>IFERROR(__xludf.DUMMYFUNCTION("""COMPUTED_VALUE"""),"")</f>
        <v/>
      </c>
      <c r="S167" s="233" t="str">
        <f>IFERROR(__xludf.DUMMYFUNCTION("""COMPUTED_VALUE"""),"")</f>
        <v/>
      </c>
      <c r="T167" s="231" t="str">
        <f>IFERROR(__xludf.DUMMYFUNCTION("""COMPUTED_VALUE"""),"")</f>
        <v/>
      </c>
      <c r="U167" s="232" t="str">
        <f>IFERROR(__xludf.DUMMYFUNCTION("""COMPUTED_VALUE"""),"")</f>
        <v/>
      </c>
      <c r="V167" s="233" t="str">
        <f>IFERROR(__xludf.DUMMYFUNCTION("""COMPUTED_VALUE"""),"")</f>
        <v/>
      </c>
      <c r="W167" s="231" t="str">
        <f>IFERROR(__xludf.DUMMYFUNCTION("""COMPUTED_VALUE"""),"")</f>
        <v/>
      </c>
      <c r="X167" s="232" t="str">
        <f>IFERROR(__xludf.DUMMYFUNCTION("""COMPUTED_VALUE"""),"")</f>
        <v/>
      </c>
      <c r="Y167" s="233" t="str">
        <f>IFERROR(__xludf.DUMMYFUNCTION("""COMPUTED_VALUE"""),"")</f>
        <v/>
      </c>
      <c r="Z167" s="231" t="str">
        <f>IFERROR(__xludf.DUMMYFUNCTION("""COMPUTED_VALUE"""),"")</f>
        <v/>
      </c>
      <c r="AA167" s="232" t="str">
        <f>IFERROR(__xludf.DUMMYFUNCTION("""COMPUTED_VALUE"""),"")</f>
        <v/>
      </c>
      <c r="AB167" s="233" t="str">
        <f>IFERROR(__xludf.DUMMYFUNCTION("""COMPUTED_VALUE"""),"")</f>
        <v/>
      </c>
      <c r="AC167" s="231" t="str">
        <f>IFERROR(__xludf.DUMMYFUNCTION("""COMPUTED_VALUE"""),"")</f>
        <v/>
      </c>
      <c r="AD167" s="232" t="str">
        <f>IFERROR(__xludf.DUMMYFUNCTION("""COMPUTED_VALUE"""),"")</f>
        <v/>
      </c>
      <c r="AE167" s="233" t="str">
        <f>IFERROR(__xludf.DUMMYFUNCTION("""COMPUTED_VALUE"""),"")</f>
        <v/>
      </c>
      <c r="AF167" s="231" t="str">
        <f>IFERROR(__xludf.DUMMYFUNCTION("""COMPUTED_VALUE"""),"")</f>
        <v/>
      </c>
      <c r="AG167" s="232" t="str">
        <f>IFERROR(__xludf.DUMMYFUNCTION("""COMPUTED_VALUE"""),"")</f>
        <v/>
      </c>
      <c r="AH167" s="233" t="str">
        <f>IFERROR(__xludf.DUMMYFUNCTION("""COMPUTED_VALUE"""),"")</f>
        <v/>
      </c>
      <c r="AI167" s="231" t="str">
        <f>IFERROR(__xludf.DUMMYFUNCTION("""COMPUTED_VALUE"""),"")</f>
        <v/>
      </c>
      <c r="AJ167" s="232" t="str">
        <f>IFERROR(__xludf.DUMMYFUNCTION("""COMPUTED_VALUE"""),"")</f>
        <v/>
      </c>
      <c r="AK167" s="233">
        <f>IFERROR(__xludf.DUMMYFUNCTION("""COMPUTED_VALUE"""),25.2)</f>
        <v>25.2</v>
      </c>
      <c r="AL167" s="231" t="str">
        <f>IFERROR(__xludf.DUMMYFUNCTION("""COMPUTED_VALUE"""),"")</f>
        <v/>
      </c>
      <c r="AM167" s="232" t="str">
        <f>IFERROR(__xludf.DUMMYFUNCTION("""COMPUTED_VALUE"""),"")</f>
        <v/>
      </c>
      <c r="AN167" s="233" t="str">
        <f>IFERROR(__xludf.DUMMYFUNCTION("""COMPUTED_VALUE"""),"")</f>
        <v/>
      </c>
      <c r="AO167" s="231" t="str">
        <f>IFERROR(__xludf.DUMMYFUNCTION("""COMPUTED_VALUE"""),"")</f>
        <v/>
      </c>
      <c r="AP167" s="232" t="str">
        <f>IFERROR(__xludf.DUMMYFUNCTION("""COMPUTED_VALUE"""),"")</f>
        <v/>
      </c>
      <c r="AQ167" s="233" t="str">
        <f>IFERROR(__xludf.DUMMYFUNCTION("""COMPUTED_VALUE"""),"")</f>
        <v/>
      </c>
      <c r="AR167" s="231" t="str">
        <f>IFERROR(__xludf.DUMMYFUNCTION("""COMPUTED_VALUE"""),"")</f>
        <v/>
      </c>
      <c r="AS167" s="232" t="str">
        <f>IFERROR(__xludf.DUMMYFUNCTION("""COMPUTED_VALUE"""),"")</f>
        <v/>
      </c>
      <c r="AT167" s="233" t="str">
        <f>IFERROR(__xludf.DUMMYFUNCTION("""COMPUTED_VALUE"""),"")</f>
        <v/>
      </c>
      <c r="AU167" s="231">
        <f>IFERROR(__xludf.DUMMYFUNCTION("""COMPUTED_VALUE"""),39.9)</f>
        <v>39.9</v>
      </c>
      <c r="AV167" s="232" t="str">
        <f>IFERROR(__xludf.DUMMYFUNCTION("""COMPUTED_VALUE"""),"")</f>
        <v/>
      </c>
      <c r="AW167" s="233">
        <f>IFERROR(__xludf.DUMMYFUNCTION("""COMPUTED_VALUE"""),30.7)</f>
        <v>30.7</v>
      </c>
      <c r="AX167" s="231" t="str">
        <f>IFERROR(__xludf.DUMMYFUNCTION("""COMPUTED_VALUE"""),"")</f>
        <v/>
      </c>
      <c r="AY167" s="232" t="str">
        <f>IFERROR(__xludf.DUMMYFUNCTION("""COMPUTED_VALUE"""),"")</f>
        <v/>
      </c>
      <c r="AZ167" s="233" t="str">
        <f>IFERROR(__xludf.DUMMYFUNCTION("""COMPUTED_VALUE"""),"")</f>
        <v/>
      </c>
      <c r="BA167" s="231" t="str">
        <f>IFERROR(__xludf.DUMMYFUNCTION("""COMPUTED_VALUE"""),"")</f>
        <v/>
      </c>
      <c r="BB167" s="232" t="str">
        <f>IFERROR(__xludf.DUMMYFUNCTION("""COMPUTED_VALUE"""),"")</f>
        <v/>
      </c>
      <c r="BC167" s="233" t="str">
        <f>IFERROR(__xludf.DUMMYFUNCTION("""COMPUTED_VALUE"""),"")</f>
        <v/>
      </c>
      <c r="BD167" s="231" t="str">
        <f>IFERROR(__xludf.DUMMYFUNCTION("""COMPUTED_VALUE"""),"")</f>
        <v/>
      </c>
      <c r="BE167" s="232" t="str">
        <f>IFERROR(__xludf.DUMMYFUNCTION("""COMPUTED_VALUE"""),"")</f>
        <v/>
      </c>
      <c r="BF167" s="233" t="str">
        <f>IFERROR(__xludf.DUMMYFUNCTION("""COMPUTED_VALUE"""),"")</f>
        <v/>
      </c>
      <c r="BG167" s="231" t="str">
        <f>IFERROR(__xludf.DUMMYFUNCTION("""COMPUTED_VALUE"""),"")</f>
        <v/>
      </c>
      <c r="BH167" s="232" t="str">
        <f>IFERROR(__xludf.DUMMYFUNCTION("""COMPUTED_VALUE"""),"")</f>
        <v/>
      </c>
      <c r="BI167" s="233" t="str">
        <f>IFERROR(__xludf.DUMMYFUNCTION("""COMPUTED_VALUE"""),"")</f>
        <v/>
      </c>
      <c r="BJ167" s="231">
        <f>IFERROR(__xludf.DUMMYFUNCTION("""COMPUTED_VALUE"""),15.4)</f>
        <v>15.4</v>
      </c>
      <c r="BK167" s="232" t="str">
        <f>IFERROR(__xludf.DUMMYFUNCTION("""COMPUTED_VALUE"""),"")</f>
        <v/>
      </c>
      <c r="BL167" s="233" t="str">
        <f>IFERROR(__xludf.DUMMYFUNCTION("""COMPUTED_VALUE"""),"")</f>
        <v/>
      </c>
      <c r="BM167" s="231" t="str">
        <f>IFERROR(__xludf.DUMMYFUNCTION("""COMPUTED_VALUE"""),"")</f>
        <v/>
      </c>
      <c r="BN167" s="232" t="str">
        <f>IFERROR(__xludf.DUMMYFUNCTION("""COMPUTED_VALUE"""),"")</f>
        <v/>
      </c>
      <c r="BO167" s="233" t="str">
        <f>IFERROR(__xludf.DUMMYFUNCTION("""COMPUTED_VALUE"""),"")</f>
        <v/>
      </c>
      <c r="BP167" s="231" t="str">
        <f>IFERROR(__xludf.DUMMYFUNCTION("""COMPUTED_VALUE"""),"")</f>
        <v/>
      </c>
      <c r="BQ167" s="232">
        <f>IFERROR(__xludf.DUMMYFUNCTION("""COMPUTED_VALUE"""),24.5)</f>
        <v>24.5</v>
      </c>
      <c r="BR167" s="233" t="str">
        <f>IFERROR(__xludf.DUMMYFUNCTION("""COMPUTED_VALUE"""),"")</f>
        <v/>
      </c>
      <c r="BS167" s="231" t="str">
        <f>IFERROR(__xludf.DUMMYFUNCTION("""COMPUTED_VALUE"""),"")</f>
        <v/>
      </c>
      <c r="BT167" s="232" t="str">
        <f>IFERROR(__xludf.DUMMYFUNCTION("""COMPUTED_VALUE"""),"")</f>
        <v/>
      </c>
      <c r="BU167" s="233" t="str">
        <f>IFERROR(__xludf.DUMMYFUNCTION("""COMPUTED_VALUE"""),"")</f>
        <v/>
      </c>
      <c r="BV167" s="231" t="str">
        <f>IFERROR(__xludf.DUMMYFUNCTION("""COMPUTED_VALUE"""),"")</f>
        <v/>
      </c>
      <c r="BW167" s="232" t="str">
        <f>IFERROR(__xludf.DUMMYFUNCTION("""COMPUTED_VALUE"""),"")</f>
        <v/>
      </c>
      <c r="BX167" s="233" t="str">
        <f>IFERROR(__xludf.DUMMYFUNCTION("""COMPUTED_VALUE"""),"")</f>
        <v/>
      </c>
      <c r="BY167" s="231" t="str">
        <f>IFERROR(__xludf.DUMMYFUNCTION("""COMPUTED_VALUE"""),"")</f>
        <v/>
      </c>
      <c r="BZ167" s="232" t="str">
        <f>IFERROR(__xludf.DUMMYFUNCTION("""COMPUTED_VALUE"""),"")</f>
        <v/>
      </c>
      <c r="CA167" s="233" t="str">
        <f>IFERROR(__xludf.DUMMYFUNCTION("""COMPUTED_VALUE"""),"")</f>
        <v/>
      </c>
      <c r="CB167" s="231" t="str">
        <f>IFERROR(__xludf.DUMMYFUNCTION("""COMPUTED_VALUE"""),"")</f>
        <v/>
      </c>
      <c r="CC167" s="232" t="str">
        <f>IFERROR(__xludf.DUMMYFUNCTION("""COMPUTED_VALUE"""),"")</f>
        <v/>
      </c>
      <c r="CD167" s="233" t="str">
        <f>IFERROR(__xludf.DUMMYFUNCTION("""COMPUTED_VALUE"""),"")</f>
        <v/>
      </c>
      <c r="CE167" s="234" t="str">
        <f>IFERROR(__xludf.DUMMYFUNCTION("""COMPUTED_VALUE"""),"")</f>
        <v/>
      </c>
      <c r="CF167" s="230" t="str">
        <f>IFERROR(__xludf.DUMMYFUNCTION("""COMPUTED_VALUE"""),"")</f>
        <v/>
      </c>
      <c r="CG167" s="235" t="str">
        <f>IFERROR(__xludf.DUMMYFUNCTION("""COMPUTED_VALUE"""),"")</f>
        <v/>
      </c>
      <c r="CH167" s="234" t="str">
        <f>IFERROR(__xludf.DUMMYFUNCTION("""COMPUTED_VALUE"""),"")</f>
        <v/>
      </c>
      <c r="CI167" s="230" t="str">
        <f>IFERROR(__xludf.DUMMYFUNCTION("""COMPUTED_VALUE"""),"")</f>
        <v/>
      </c>
      <c r="CJ167" s="235" t="str">
        <f>IFERROR(__xludf.DUMMYFUNCTION("""COMPUTED_VALUE"""),"")</f>
        <v/>
      </c>
      <c r="CK167" s="95" t="str">
        <f>IFERROR(__xludf.DUMMYFUNCTION("""COMPUTED_VALUE"""),"")</f>
        <v/>
      </c>
      <c r="CL167" s="96">
        <f>IFERROR(__xludf.DUMMYFUNCTION("""COMPUTED_VALUE"""),13.5)</f>
        <v>13.5</v>
      </c>
      <c r="CM167" s="97" t="str">
        <f>IFERROR(__xludf.DUMMYFUNCTION("""COMPUTED_VALUE"""),"")</f>
        <v/>
      </c>
      <c r="CN167" s="95" t="str">
        <f>IFERROR(__xludf.DUMMYFUNCTION("""COMPUTED_VALUE"""),"")</f>
        <v/>
      </c>
      <c r="CO167" s="96" t="str">
        <f>IFERROR(__xludf.DUMMYFUNCTION("""COMPUTED_VALUE"""),"")</f>
        <v/>
      </c>
      <c r="CP167" s="97" t="str">
        <f>IFERROR(__xludf.DUMMYFUNCTION("""COMPUTED_VALUE"""),"")</f>
        <v/>
      </c>
      <c r="CQ167" s="95" t="str">
        <f>IFERROR(__xludf.DUMMYFUNCTION("""COMPUTED_VALUE"""),"")</f>
        <v/>
      </c>
      <c r="CR167" s="96" t="str">
        <f>IFERROR(__xludf.DUMMYFUNCTION("""COMPUTED_VALUE"""),"")</f>
        <v/>
      </c>
      <c r="CS167" s="97" t="str">
        <f>IFERROR(__xludf.DUMMYFUNCTION("""COMPUTED_VALUE"""),"#REF!")</f>
        <v>#REF!</v>
      </c>
      <c r="CT167" s="95" t="str">
        <f>IFERROR(__xludf.DUMMYFUNCTION("""COMPUTED_VALUE"""),"#REF!")</f>
        <v>#REF!</v>
      </c>
      <c r="CU167" s="96" t="str">
        <f>IFERROR(__xludf.DUMMYFUNCTION("""COMPUTED_VALUE"""),"#REF!")</f>
        <v>#REF!</v>
      </c>
      <c r="CV167" s="97" t="str">
        <f>IFERROR(__xludf.DUMMYFUNCTION("""COMPUTED_VALUE"""),"#REF!")</f>
        <v>#REF!</v>
      </c>
      <c r="CW167" s="95" t="str">
        <f>IFERROR(__xludf.DUMMYFUNCTION("""COMPUTED_VALUE"""),"#REF!")</f>
        <v>#REF!</v>
      </c>
      <c r="CX167" s="96" t="str">
        <f>IFERROR(__xludf.DUMMYFUNCTION("""COMPUTED_VALUE"""),"#REF!")</f>
        <v>#REF!</v>
      </c>
      <c r="CY167" s="97" t="str">
        <f>IFERROR(__xludf.DUMMYFUNCTION("""COMPUTED_VALUE"""),"#REF!")</f>
        <v>#REF!</v>
      </c>
      <c r="CZ167" s="95" t="str">
        <f>IFERROR(__xludf.DUMMYFUNCTION("""COMPUTED_VALUE"""),"#REF!")</f>
        <v>#REF!</v>
      </c>
      <c r="DA167" s="96" t="str">
        <f>IFERROR(__xludf.DUMMYFUNCTION("""COMPUTED_VALUE"""),"#REF!")</f>
        <v>#REF!</v>
      </c>
      <c r="DB167" s="97" t="str">
        <f>IFERROR(__xludf.DUMMYFUNCTION("""COMPUTED_VALUE"""),"#REF!")</f>
        <v>#REF!</v>
      </c>
      <c r="DC167" s="95" t="str">
        <f>IFERROR(__xludf.DUMMYFUNCTION("""COMPUTED_VALUE"""),"#REF!")</f>
        <v>#REF!</v>
      </c>
      <c r="DD167" s="96" t="str">
        <f>IFERROR(__xludf.DUMMYFUNCTION("""COMPUTED_VALUE"""),"#REF!")</f>
        <v>#REF!</v>
      </c>
      <c r="DE167" s="97" t="str">
        <f>IFERROR(__xludf.DUMMYFUNCTION("""COMPUTED_VALUE"""),"#REF!")</f>
        <v>#REF!</v>
      </c>
      <c r="DF167" s="95" t="str">
        <f>IFERROR(__xludf.DUMMYFUNCTION("""COMPUTED_VALUE"""),"#REF!")</f>
        <v>#REF!</v>
      </c>
      <c r="DG167" s="96" t="str">
        <f>IFERROR(__xludf.DUMMYFUNCTION("""COMPUTED_VALUE"""),"#REF!")</f>
        <v>#REF!</v>
      </c>
      <c r="DH167" s="97" t="str">
        <f>IFERROR(__xludf.DUMMYFUNCTION("""COMPUTED_VALUE"""),"#REF!")</f>
        <v>#REF!</v>
      </c>
      <c r="DI167" s="95" t="str">
        <f>IFERROR(__xludf.DUMMYFUNCTION("""COMPUTED_VALUE"""),"#REF!")</f>
        <v>#REF!</v>
      </c>
      <c r="DJ167" s="96" t="str">
        <f>IFERROR(__xludf.DUMMYFUNCTION("""COMPUTED_VALUE"""),"#REF!")</f>
        <v>#REF!</v>
      </c>
      <c r="DK167" s="97" t="str">
        <f>IFERROR(__xludf.DUMMYFUNCTION("""COMPUTED_VALUE"""),"#REF!")</f>
        <v>#REF!</v>
      </c>
      <c r="DL167" s="95" t="str">
        <f>IFERROR(__xludf.DUMMYFUNCTION("""COMPUTED_VALUE"""),"#REF!")</f>
        <v>#REF!</v>
      </c>
      <c r="DM167" s="96" t="str">
        <f>IFERROR(__xludf.DUMMYFUNCTION("""COMPUTED_VALUE"""),"#REF!")</f>
        <v>#REF!</v>
      </c>
      <c r="DN167" s="97" t="str">
        <f>IFERROR(__xludf.DUMMYFUNCTION("""COMPUTED_VALUE"""),"#REF!")</f>
        <v>#REF!</v>
      </c>
      <c r="DO167" s="95" t="str">
        <f>IFERROR(__xludf.DUMMYFUNCTION("""COMPUTED_VALUE"""),"#REF!")</f>
        <v>#REF!</v>
      </c>
      <c r="DP167" s="96" t="str">
        <f>IFERROR(__xludf.DUMMYFUNCTION("""COMPUTED_VALUE"""),"#REF!")</f>
        <v>#REF!</v>
      </c>
      <c r="DQ167" s="97"/>
      <c r="DR167" s="95"/>
    </row>
    <row r="168">
      <c r="B168" s="120" t="str">
        <f>IFERROR(__xludf.DUMMYFUNCTION("""COMPUTED_VALUE"""),"SMS6")</f>
        <v>SMS6</v>
      </c>
      <c r="C168" s="82">
        <f>IFERROR(__xludf.DUMMYFUNCTION("""COMPUTED_VALUE"""),161.0)</f>
        <v>161</v>
      </c>
      <c r="D168" s="88" t="str">
        <f>IFERROR(__xludf.DUMMYFUNCTION("""COMPUTED_VALUE"""),"Toke Castle")</f>
        <v>Toke Castle</v>
      </c>
      <c r="E168" s="82" t="str">
        <f>IFERROR(__xludf.DUMMYFUNCTION("""COMPUTED_VALUE"""),"土気城")</f>
        <v>土気城</v>
      </c>
      <c r="F168" s="102">
        <f>IFERROR(__xludf.DUMMYFUNCTION("""COMPUTED_VALUE"""),21.0)</f>
        <v>21</v>
      </c>
      <c r="G168" s="82">
        <f>IFERROR(__xludf.DUMMYFUNCTION("""COMPUTED_VALUE"""),2591.0)</f>
        <v>2591</v>
      </c>
      <c r="H168" s="231" t="str">
        <f>IFERROR(__xludf.DUMMYFUNCTION("""COMPUTED_VALUE"""),"")</f>
        <v/>
      </c>
      <c r="I168" s="232" t="str">
        <f>IFERROR(__xludf.DUMMYFUNCTION("""COMPUTED_VALUE"""),"")</f>
        <v/>
      </c>
      <c r="J168" s="233" t="str">
        <f>IFERROR(__xludf.DUMMYFUNCTION("""COMPUTED_VALUE"""),"")</f>
        <v/>
      </c>
      <c r="K168" s="231" t="str">
        <f>IFERROR(__xludf.DUMMYFUNCTION("""COMPUTED_VALUE"""),"")</f>
        <v/>
      </c>
      <c r="L168" s="232" t="str">
        <f>IFERROR(__xludf.DUMMYFUNCTION("""COMPUTED_VALUE"""),"")</f>
        <v/>
      </c>
      <c r="M168" s="233" t="str">
        <f>IFERROR(__xludf.DUMMYFUNCTION("""COMPUTED_VALUE"""),"")</f>
        <v/>
      </c>
      <c r="N168" s="231" t="str">
        <f>IFERROR(__xludf.DUMMYFUNCTION("""COMPUTED_VALUE"""),"")</f>
        <v/>
      </c>
      <c r="O168" s="232" t="str">
        <f>IFERROR(__xludf.DUMMYFUNCTION("""COMPUTED_VALUE"""),"")</f>
        <v/>
      </c>
      <c r="P168" s="233" t="str">
        <f>IFERROR(__xludf.DUMMYFUNCTION("""COMPUTED_VALUE"""),"")</f>
        <v/>
      </c>
      <c r="Q168" s="231" t="str">
        <f>IFERROR(__xludf.DUMMYFUNCTION("""COMPUTED_VALUE"""),"")</f>
        <v/>
      </c>
      <c r="R168" s="232" t="str">
        <f>IFERROR(__xludf.DUMMYFUNCTION("""COMPUTED_VALUE"""),"")</f>
        <v/>
      </c>
      <c r="S168" s="233">
        <f>IFERROR(__xludf.DUMMYFUNCTION("""COMPUTED_VALUE"""),9.5)</f>
        <v>9.5</v>
      </c>
      <c r="T168" s="231" t="str">
        <f>IFERROR(__xludf.DUMMYFUNCTION("""COMPUTED_VALUE"""),"")</f>
        <v/>
      </c>
      <c r="U168" s="232" t="str">
        <f>IFERROR(__xludf.DUMMYFUNCTION("""COMPUTED_VALUE"""),"")</f>
        <v/>
      </c>
      <c r="V168" s="233" t="str">
        <f>IFERROR(__xludf.DUMMYFUNCTION("""COMPUTED_VALUE"""),"")</f>
        <v/>
      </c>
      <c r="W168" s="231" t="str">
        <f>IFERROR(__xludf.DUMMYFUNCTION("""COMPUTED_VALUE"""),"")</f>
        <v/>
      </c>
      <c r="X168" s="232" t="str">
        <f>IFERROR(__xludf.DUMMYFUNCTION("""COMPUTED_VALUE"""),"")</f>
        <v/>
      </c>
      <c r="Y168" s="233" t="str">
        <f>IFERROR(__xludf.DUMMYFUNCTION("""COMPUTED_VALUE"""),"")</f>
        <v/>
      </c>
      <c r="Z168" s="231" t="str">
        <f>IFERROR(__xludf.DUMMYFUNCTION("""COMPUTED_VALUE"""),"")</f>
        <v/>
      </c>
      <c r="AA168" s="232" t="str">
        <f>IFERROR(__xludf.DUMMYFUNCTION("""COMPUTED_VALUE"""),"")</f>
        <v/>
      </c>
      <c r="AB168" s="233" t="str">
        <f>IFERROR(__xludf.DUMMYFUNCTION("""COMPUTED_VALUE"""),"")</f>
        <v/>
      </c>
      <c r="AC168" s="231" t="str">
        <f>IFERROR(__xludf.DUMMYFUNCTION("""COMPUTED_VALUE"""),"")</f>
        <v/>
      </c>
      <c r="AD168" s="232" t="str">
        <f>IFERROR(__xludf.DUMMYFUNCTION("""COMPUTED_VALUE"""),"")</f>
        <v/>
      </c>
      <c r="AE168" s="233" t="str">
        <f>IFERROR(__xludf.DUMMYFUNCTION("""COMPUTED_VALUE"""),"")</f>
        <v/>
      </c>
      <c r="AF168" s="231" t="str">
        <f>IFERROR(__xludf.DUMMYFUNCTION("""COMPUTED_VALUE"""),"")</f>
        <v/>
      </c>
      <c r="AG168" s="232" t="str">
        <f>IFERROR(__xludf.DUMMYFUNCTION("""COMPUTED_VALUE"""),"")</f>
        <v/>
      </c>
      <c r="AH168" s="233" t="str">
        <f>IFERROR(__xludf.DUMMYFUNCTION("""COMPUTED_VALUE"""),"")</f>
        <v/>
      </c>
      <c r="AI168" s="231" t="str">
        <f>IFERROR(__xludf.DUMMYFUNCTION("""COMPUTED_VALUE"""),"")</f>
        <v/>
      </c>
      <c r="AJ168" s="232" t="str">
        <f>IFERROR(__xludf.DUMMYFUNCTION("""COMPUTED_VALUE"""),"")</f>
        <v/>
      </c>
      <c r="AK168" s="233">
        <f>IFERROR(__xludf.DUMMYFUNCTION("""COMPUTED_VALUE"""),26.3)</f>
        <v>26.3</v>
      </c>
      <c r="AL168" s="231" t="str">
        <f>IFERROR(__xludf.DUMMYFUNCTION("""COMPUTED_VALUE"""),"")</f>
        <v/>
      </c>
      <c r="AM168" s="232" t="str">
        <f>IFERROR(__xludf.DUMMYFUNCTION("""COMPUTED_VALUE"""),"")</f>
        <v/>
      </c>
      <c r="AN168" s="233" t="str">
        <f>IFERROR(__xludf.DUMMYFUNCTION("""COMPUTED_VALUE"""),"")</f>
        <v/>
      </c>
      <c r="AO168" s="231" t="str">
        <f>IFERROR(__xludf.DUMMYFUNCTION("""COMPUTED_VALUE"""),"")</f>
        <v/>
      </c>
      <c r="AP168" s="232" t="str">
        <f>IFERROR(__xludf.DUMMYFUNCTION("""COMPUTED_VALUE"""),"")</f>
        <v/>
      </c>
      <c r="AQ168" s="233" t="str">
        <f>IFERROR(__xludf.DUMMYFUNCTION("""COMPUTED_VALUE"""),"")</f>
        <v/>
      </c>
      <c r="AR168" s="231" t="str">
        <f>IFERROR(__xludf.DUMMYFUNCTION("""COMPUTED_VALUE"""),"")</f>
        <v/>
      </c>
      <c r="AS168" s="232" t="str">
        <f>IFERROR(__xludf.DUMMYFUNCTION("""COMPUTED_VALUE"""),"")</f>
        <v/>
      </c>
      <c r="AT168" s="233" t="str">
        <f>IFERROR(__xludf.DUMMYFUNCTION("""COMPUTED_VALUE"""),"")</f>
        <v/>
      </c>
      <c r="AU168" s="231" t="str">
        <f>IFERROR(__xludf.DUMMYFUNCTION("""COMPUTED_VALUE"""),"")</f>
        <v/>
      </c>
      <c r="AV168" s="232" t="str">
        <f>IFERROR(__xludf.DUMMYFUNCTION("""COMPUTED_VALUE"""),"")</f>
        <v/>
      </c>
      <c r="AW168" s="233">
        <f>IFERROR(__xludf.DUMMYFUNCTION("""COMPUTED_VALUE"""),28.9)</f>
        <v>28.9</v>
      </c>
      <c r="AX168" s="231" t="str">
        <f>IFERROR(__xludf.DUMMYFUNCTION("""COMPUTED_VALUE"""),"")</f>
        <v/>
      </c>
      <c r="AY168" s="232" t="str">
        <f>IFERROR(__xludf.DUMMYFUNCTION("""COMPUTED_VALUE"""),"")</f>
        <v/>
      </c>
      <c r="AZ168" s="233" t="str">
        <f>IFERROR(__xludf.DUMMYFUNCTION("""COMPUTED_VALUE"""),"")</f>
        <v/>
      </c>
      <c r="BA168" s="231" t="str">
        <f>IFERROR(__xludf.DUMMYFUNCTION("""COMPUTED_VALUE"""),"")</f>
        <v/>
      </c>
      <c r="BB168" s="232" t="str">
        <f>IFERROR(__xludf.DUMMYFUNCTION("""COMPUTED_VALUE"""),"")</f>
        <v/>
      </c>
      <c r="BC168" s="233" t="str">
        <f>IFERROR(__xludf.DUMMYFUNCTION("""COMPUTED_VALUE"""),"")</f>
        <v/>
      </c>
      <c r="BD168" s="231" t="str">
        <f>IFERROR(__xludf.DUMMYFUNCTION("""COMPUTED_VALUE"""),"")</f>
        <v/>
      </c>
      <c r="BE168" s="232">
        <f>IFERROR(__xludf.DUMMYFUNCTION("""COMPUTED_VALUE"""),4.0)</f>
        <v>4</v>
      </c>
      <c r="BF168" s="233" t="str">
        <f>IFERROR(__xludf.DUMMYFUNCTION("""COMPUTED_VALUE"""),"")</f>
        <v/>
      </c>
      <c r="BG168" s="231" t="str">
        <f>IFERROR(__xludf.DUMMYFUNCTION("""COMPUTED_VALUE"""),"")</f>
        <v/>
      </c>
      <c r="BH168" s="232" t="str">
        <f>IFERROR(__xludf.DUMMYFUNCTION("""COMPUTED_VALUE"""),"")</f>
        <v/>
      </c>
      <c r="BI168" s="233" t="str">
        <f>IFERROR(__xludf.DUMMYFUNCTION("""COMPUTED_VALUE"""),"")</f>
        <v/>
      </c>
      <c r="BJ168" s="231">
        <f>IFERROR(__xludf.DUMMYFUNCTION("""COMPUTED_VALUE"""),22.0)</f>
        <v>22</v>
      </c>
      <c r="BK168" s="232" t="str">
        <f>IFERROR(__xludf.DUMMYFUNCTION("""COMPUTED_VALUE"""),"")</f>
        <v/>
      </c>
      <c r="BL168" s="233" t="str">
        <f>IFERROR(__xludf.DUMMYFUNCTION("""COMPUTED_VALUE"""),"")</f>
        <v/>
      </c>
      <c r="BM168" s="231" t="str">
        <f>IFERROR(__xludf.DUMMYFUNCTION("""COMPUTED_VALUE"""),"")</f>
        <v/>
      </c>
      <c r="BN168" s="232" t="str">
        <f>IFERROR(__xludf.DUMMYFUNCTION("""COMPUTED_VALUE"""),"")</f>
        <v/>
      </c>
      <c r="BO168" s="233" t="str">
        <f>IFERROR(__xludf.DUMMYFUNCTION("""COMPUTED_VALUE"""),"")</f>
        <v/>
      </c>
      <c r="BP168" s="231" t="str">
        <f>IFERROR(__xludf.DUMMYFUNCTION("""COMPUTED_VALUE"""),"")</f>
        <v/>
      </c>
      <c r="BQ168" s="232" t="str">
        <f>IFERROR(__xludf.DUMMYFUNCTION("""COMPUTED_VALUE"""),"")</f>
        <v/>
      </c>
      <c r="BR168" s="233" t="str">
        <f>IFERROR(__xludf.DUMMYFUNCTION("""COMPUTED_VALUE"""),"")</f>
        <v/>
      </c>
      <c r="BS168" s="231" t="str">
        <f>IFERROR(__xludf.DUMMYFUNCTION("""COMPUTED_VALUE"""),"")</f>
        <v/>
      </c>
      <c r="BT168" s="232" t="str">
        <f>IFERROR(__xludf.DUMMYFUNCTION("""COMPUTED_VALUE"""),"")</f>
        <v/>
      </c>
      <c r="BU168" s="233" t="str">
        <f>IFERROR(__xludf.DUMMYFUNCTION("""COMPUTED_VALUE"""),"")</f>
        <v/>
      </c>
      <c r="BV168" s="231" t="str">
        <f>IFERROR(__xludf.DUMMYFUNCTION("""COMPUTED_VALUE"""),"")</f>
        <v/>
      </c>
      <c r="BW168" s="232" t="str">
        <f>IFERROR(__xludf.DUMMYFUNCTION("""COMPUTED_VALUE"""),"")</f>
        <v/>
      </c>
      <c r="BX168" s="233" t="str">
        <f>IFERROR(__xludf.DUMMYFUNCTION("""COMPUTED_VALUE"""),"")</f>
        <v/>
      </c>
      <c r="BY168" s="231" t="str">
        <f>IFERROR(__xludf.DUMMYFUNCTION("""COMPUTED_VALUE"""),"")</f>
        <v/>
      </c>
      <c r="BZ168" s="232" t="str">
        <f>IFERROR(__xludf.DUMMYFUNCTION("""COMPUTED_VALUE"""),"")</f>
        <v/>
      </c>
      <c r="CA168" s="233" t="str">
        <f>IFERROR(__xludf.DUMMYFUNCTION("""COMPUTED_VALUE"""),"")</f>
        <v/>
      </c>
      <c r="CB168" s="231" t="str">
        <f>IFERROR(__xludf.DUMMYFUNCTION("""COMPUTED_VALUE"""),"")</f>
        <v/>
      </c>
      <c r="CC168" s="232" t="str">
        <f>IFERROR(__xludf.DUMMYFUNCTION("""COMPUTED_VALUE"""),"")</f>
        <v/>
      </c>
      <c r="CD168" s="233" t="str">
        <f>IFERROR(__xludf.DUMMYFUNCTION("""COMPUTED_VALUE"""),"")</f>
        <v/>
      </c>
      <c r="CE168" s="234" t="str">
        <f>IFERROR(__xludf.DUMMYFUNCTION("""COMPUTED_VALUE"""),"")</f>
        <v/>
      </c>
      <c r="CF168" s="230" t="str">
        <f>IFERROR(__xludf.DUMMYFUNCTION("""COMPUTED_VALUE"""),"")</f>
        <v/>
      </c>
      <c r="CG168" s="235" t="str">
        <f>IFERROR(__xludf.DUMMYFUNCTION("""COMPUTED_VALUE"""),"")</f>
        <v/>
      </c>
      <c r="CH168" s="234" t="str">
        <f>IFERROR(__xludf.DUMMYFUNCTION("""COMPUTED_VALUE"""),"")</f>
        <v/>
      </c>
      <c r="CI168" s="230" t="str">
        <f>IFERROR(__xludf.DUMMYFUNCTION("""COMPUTED_VALUE"""),"")</f>
        <v/>
      </c>
      <c r="CJ168" s="235" t="str">
        <f>IFERROR(__xludf.DUMMYFUNCTION("""COMPUTED_VALUE"""),"")</f>
        <v/>
      </c>
      <c r="CK168" s="95" t="str">
        <f>IFERROR(__xludf.DUMMYFUNCTION("""COMPUTED_VALUE"""),"")</f>
        <v/>
      </c>
      <c r="CL168" s="96">
        <f>IFERROR(__xludf.DUMMYFUNCTION("""COMPUTED_VALUE"""),22.7)</f>
        <v>22.7</v>
      </c>
      <c r="CM168" s="97" t="str">
        <f>IFERROR(__xludf.DUMMYFUNCTION("""COMPUTED_VALUE"""),"")</f>
        <v/>
      </c>
      <c r="CN168" s="95">
        <f>IFERROR(__xludf.DUMMYFUNCTION("""COMPUTED_VALUE"""),4.2)</f>
        <v>4.2</v>
      </c>
      <c r="CO168" s="96" t="str">
        <f>IFERROR(__xludf.DUMMYFUNCTION("""COMPUTED_VALUE"""),"")</f>
        <v/>
      </c>
      <c r="CP168" s="97" t="str">
        <f>IFERROR(__xludf.DUMMYFUNCTION("""COMPUTED_VALUE"""),"")</f>
        <v/>
      </c>
      <c r="CQ168" s="95" t="str">
        <f>IFERROR(__xludf.DUMMYFUNCTION("""COMPUTED_VALUE"""),"")</f>
        <v/>
      </c>
      <c r="CR168" s="96" t="str">
        <f>IFERROR(__xludf.DUMMYFUNCTION("""COMPUTED_VALUE"""),"")</f>
        <v/>
      </c>
      <c r="CS168" s="97" t="str">
        <f>IFERROR(__xludf.DUMMYFUNCTION("""COMPUTED_VALUE"""),"#REF!")</f>
        <v>#REF!</v>
      </c>
      <c r="CT168" s="95" t="str">
        <f>IFERROR(__xludf.DUMMYFUNCTION("""COMPUTED_VALUE"""),"#REF!")</f>
        <v>#REF!</v>
      </c>
      <c r="CU168" s="96" t="str">
        <f>IFERROR(__xludf.DUMMYFUNCTION("""COMPUTED_VALUE"""),"#REF!")</f>
        <v>#REF!</v>
      </c>
      <c r="CV168" s="97" t="str">
        <f>IFERROR(__xludf.DUMMYFUNCTION("""COMPUTED_VALUE"""),"#REF!")</f>
        <v>#REF!</v>
      </c>
      <c r="CW168" s="95" t="str">
        <f>IFERROR(__xludf.DUMMYFUNCTION("""COMPUTED_VALUE"""),"#REF!")</f>
        <v>#REF!</v>
      </c>
      <c r="CX168" s="96" t="str">
        <f>IFERROR(__xludf.DUMMYFUNCTION("""COMPUTED_VALUE"""),"#REF!")</f>
        <v>#REF!</v>
      </c>
      <c r="CY168" s="97" t="str">
        <f>IFERROR(__xludf.DUMMYFUNCTION("""COMPUTED_VALUE"""),"#REF!")</f>
        <v>#REF!</v>
      </c>
      <c r="CZ168" s="95" t="str">
        <f>IFERROR(__xludf.DUMMYFUNCTION("""COMPUTED_VALUE"""),"#REF!")</f>
        <v>#REF!</v>
      </c>
      <c r="DA168" s="96" t="str">
        <f>IFERROR(__xludf.DUMMYFUNCTION("""COMPUTED_VALUE"""),"#REF!")</f>
        <v>#REF!</v>
      </c>
      <c r="DB168" s="97" t="str">
        <f>IFERROR(__xludf.DUMMYFUNCTION("""COMPUTED_VALUE"""),"#REF!")</f>
        <v>#REF!</v>
      </c>
      <c r="DC168" s="95" t="str">
        <f>IFERROR(__xludf.DUMMYFUNCTION("""COMPUTED_VALUE"""),"#REF!")</f>
        <v>#REF!</v>
      </c>
      <c r="DD168" s="96" t="str">
        <f>IFERROR(__xludf.DUMMYFUNCTION("""COMPUTED_VALUE"""),"#REF!")</f>
        <v>#REF!</v>
      </c>
      <c r="DE168" s="97" t="str">
        <f>IFERROR(__xludf.DUMMYFUNCTION("""COMPUTED_VALUE"""),"#REF!")</f>
        <v>#REF!</v>
      </c>
      <c r="DF168" s="95" t="str">
        <f>IFERROR(__xludf.DUMMYFUNCTION("""COMPUTED_VALUE"""),"#REF!")</f>
        <v>#REF!</v>
      </c>
      <c r="DG168" s="96" t="str">
        <f>IFERROR(__xludf.DUMMYFUNCTION("""COMPUTED_VALUE"""),"#REF!")</f>
        <v>#REF!</v>
      </c>
      <c r="DH168" s="97" t="str">
        <f>IFERROR(__xludf.DUMMYFUNCTION("""COMPUTED_VALUE"""),"#REF!")</f>
        <v>#REF!</v>
      </c>
      <c r="DI168" s="95" t="str">
        <f>IFERROR(__xludf.DUMMYFUNCTION("""COMPUTED_VALUE"""),"#REF!")</f>
        <v>#REF!</v>
      </c>
      <c r="DJ168" s="96" t="str">
        <f>IFERROR(__xludf.DUMMYFUNCTION("""COMPUTED_VALUE"""),"#REF!")</f>
        <v>#REF!</v>
      </c>
      <c r="DK168" s="97" t="str">
        <f>IFERROR(__xludf.DUMMYFUNCTION("""COMPUTED_VALUE"""),"#REF!")</f>
        <v>#REF!</v>
      </c>
      <c r="DL168" s="95" t="str">
        <f>IFERROR(__xludf.DUMMYFUNCTION("""COMPUTED_VALUE"""),"#REF!")</f>
        <v>#REF!</v>
      </c>
      <c r="DM168" s="96" t="str">
        <f>IFERROR(__xludf.DUMMYFUNCTION("""COMPUTED_VALUE"""),"#REF!")</f>
        <v>#REF!</v>
      </c>
      <c r="DN168" s="97" t="str">
        <f>IFERROR(__xludf.DUMMYFUNCTION("""COMPUTED_VALUE"""),"#REF!")</f>
        <v>#REF!</v>
      </c>
      <c r="DO168" s="95" t="str">
        <f>IFERROR(__xludf.DUMMYFUNCTION("""COMPUTED_VALUE"""),"#REF!")</f>
        <v>#REF!</v>
      </c>
      <c r="DP168" s="96" t="str">
        <f>IFERROR(__xludf.DUMMYFUNCTION("""COMPUTED_VALUE"""),"#REF!")</f>
        <v>#REF!</v>
      </c>
      <c r="DQ168" s="97"/>
      <c r="DR168" s="95"/>
    </row>
    <row r="169">
      <c r="B169" s="120" t="str">
        <f>IFERROR(__xludf.DUMMYFUNCTION("""COMPUTED_VALUE"""),"SMS7")</f>
        <v>SMS7</v>
      </c>
      <c r="C169" s="82">
        <f>IFERROR(__xludf.DUMMYFUNCTION("""COMPUTED_VALUE"""),162.0)</f>
        <v>162</v>
      </c>
      <c r="D169" s="88" t="str">
        <f>IFERROR(__xludf.DUMMYFUNCTION("""COMPUTED_VALUE"""),"Rear Mountain (Nameless Sacred Mountain)")</f>
        <v>Rear Mountain (Nameless Sacred Mountain)</v>
      </c>
      <c r="E169" s="82" t="str">
        <f>IFERROR(__xludf.DUMMYFUNCTION("""COMPUTED_VALUE"""),"裏山（名もなき霊峰）")</f>
        <v>裏山（名もなき霊峰）</v>
      </c>
      <c r="F169" s="102">
        <f>IFERROR(__xludf.DUMMYFUNCTION("""COMPUTED_VALUE"""),21.0)</f>
        <v>21</v>
      </c>
      <c r="G169" s="82">
        <f>IFERROR(__xludf.DUMMYFUNCTION("""COMPUTED_VALUE"""),15395.0)</f>
        <v>15395</v>
      </c>
      <c r="H169" s="231" t="str">
        <f>IFERROR(__xludf.DUMMYFUNCTION("""COMPUTED_VALUE"""),"")</f>
        <v/>
      </c>
      <c r="I169" s="232" t="str">
        <f>IFERROR(__xludf.DUMMYFUNCTION("""COMPUTED_VALUE"""),"")</f>
        <v/>
      </c>
      <c r="J169" s="233" t="str">
        <f>IFERROR(__xludf.DUMMYFUNCTION("""COMPUTED_VALUE"""),"")</f>
        <v/>
      </c>
      <c r="K169" s="231" t="str">
        <f>IFERROR(__xludf.DUMMYFUNCTION("""COMPUTED_VALUE"""),"")</f>
        <v/>
      </c>
      <c r="L169" s="232" t="str">
        <f>IFERROR(__xludf.DUMMYFUNCTION("""COMPUTED_VALUE"""),"")</f>
        <v/>
      </c>
      <c r="M169" s="233" t="str">
        <f>IFERROR(__xludf.DUMMYFUNCTION("""COMPUTED_VALUE"""),"")</f>
        <v/>
      </c>
      <c r="N169" s="231" t="str">
        <f>IFERROR(__xludf.DUMMYFUNCTION("""COMPUTED_VALUE"""),"")</f>
        <v/>
      </c>
      <c r="O169" s="232" t="str">
        <f>IFERROR(__xludf.DUMMYFUNCTION("""COMPUTED_VALUE"""),"")</f>
        <v/>
      </c>
      <c r="P169" s="233" t="str">
        <f>IFERROR(__xludf.DUMMYFUNCTION("""COMPUTED_VALUE"""),"")</f>
        <v/>
      </c>
      <c r="Q169" s="231" t="str">
        <f>IFERROR(__xludf.DUMMYFUNCTION("""COMPUTED_VALUE"""),"")</f>
        <v/>
      </c>
      <c r="R169" s="232" t="str">
        <f>IFERROR(__xludf.DUMMYFUNCTION("""COMPUTED_VALUE"""),"")</f>
        <v/>
      </c>
      <c r="S169" s="233" t="str">
        <f>IFERROR(__xludf.DUMMYFUNCTION("""COMPUTED_VALUE"""),"")</f>
        <v/>
      </c>
      <c r="T169" s="231" t="str">
        <f>IFERROR(__xludf.DUMMYFUNCTION("""COMPUTED_VALUE"""),"")</f>
        <v/>
      </c>
      <c r="U169" s="232" t="str">
        <f>IFERROR(__xludf.DUMMYFUNCTION("""COMPUTED_VALUE"""),"")</f>
        <v/>
      </c>
      <c r="V169" s="233" t="str">
        <f>IFERROR(__xludf.DUMMYFUNCTION("""COMPUTED_VALUE"""),"")</f>
        <v/>
      </c>
      <c r="W169" s="231" t="str">
        <f>IFERROR(__xludf.DUMMYFUNCTION("""COMPUTED_VALUE"""),"")</f>
        <v/>
      </c>
      <c r="X169" s="232" t="str">
        <f>IFERROR(__xludf.DUMMYFUNCTION("""COMPUTED_VALUE"""),"")</f>
        <v/>
      </c>
      <c r="Y169" s="233" t="str">
        <f>IFERROR(__xludf.DUMMYFUNCTION("""COMPUTED_VALUE"""),"")</f>
        <v/>
      </c>
      <c r="Z169" s="231" t="str">
        <f>IFERROR(__xludf.DUMMYFUNCTION("""COMPUTED_VALUE"""),"")</f>
        <v/>
      </c>
      <c r="AA169" s="232" t="str">
        <f>IFERROR(__xludf.DUMMYFUNCTION("""COMPUTED_VALUE"""),"")</f>
        <v/>
      </c>
      <c r="AB169" s="233">
        <f>IFERROR(__xludf.DUMMYFUNCTION("""COMPUTED_VALUE"""),24.4)</f>
        <v>24.4</v>
      </c>
      <c r="AC169" s="231" t="str">
        <f>IFERROR(__xludf.DUMMYFUNCTION("""COMPUTED_VALUE"""),"")</f>
        <v/>
      </c>
      <c r="AD169" s="232" t="str">
        <f>IFERROR(__xludf.DUMMYFUNCTION("""COMPUTED_VALUE"""),"")</f>
        <v/>
      </c>
      <c r="AE169" s="233" t="str">
        <f>IFERROR(__xludf.DUMMYFUNCTION("""COMPUTED_VALUE"""),"")</f>
        <v/>
      </c>
      <c r="AF169" s="231" t="str">
        <f>IFERROR(__xludf.DUMMYFUNCTION("""COMPUTED_VALUE"""),"")</f>
        <v/>
      </c>
      <c r="AG169" s="232" t="str">
        <f>IFERROR(__xludf.DUMMYFUNCTION("""COMPUTED_VALUE"""),"")</f>
        <v/>
      </c>
      <c r="AH169" s="233" t="str">
        <f>IFERROR(__xludf.DUMMYFUNCTION("""COMPUTED_VALUE"""),"")</f>
        <v/>
      </c>
      <c r="AI169" s="231" t="str">
        <f>IFERROR(__xludf.DUMMYFUNCTION("""COMPUTED_VALUE"""),"")</f>
        <v/>
      </c>
      <c r="AJ169" s="232" t="str">
        <f>IFERROR(__xludf.DUMMYFUNCTION("""COMPUTED_VALUE"""),"")</f>
        <v/>
      </c>
      <c r="AK169" s="233">
        <f>IFERROR(__xludf.DUMMYFUNCTION("""COMPUTED_VALUE"""),24.1)</f>
        <v>24.1</v>
      </c>
      <c r="AL169" s="231" t="str">
        <f>IFERROR(__xludf.DUMMYFUNCTION("""COMPUTED_VALUE"""),"")</f>
        <v/>
      </c>
      <c r="AM169" s="232" t="str">
        <f>IFERROR(__xludf.DUMMYFUNCTION("""COMPUTED_VALUE"""),"")</f>
        <v/>
      </c>
      <c r="AN169" s="233" t="str">
        <f>IFERROR(__xludf.DUMMYFUNCTION("""COMPUTED_VALUE"""),"")</f>
        <v/>
      </c>
      <c r="AO169" s="231" t="str">
        <f>IFERROR(__xludf.DUMMYFUNCTION("""COMPUTED_VALUE"""),"")</f>
        <v/>
      </c>
      <c r="AP169" s="232" t="str">
        <f>IFERROR(__xludf.DUMMYFUNCTION("""COMPUTED_VALUE"""),"")</f>
        <v/>
      </c>
      <c r="AQ169" s="233" t="str">
        <f>IFERROR(__xludf.DUMMYFUNCTION("""COMPUTED_VALUE"""),"")</f>
        <v/>
      </c>
      <c r="AR169" s="231" t="str">
        <f>IFERROR(__xludf.DUMMYFUNCTION("""COMPUTED_VALUE"""),"")</f>
        <v/>
      </c>
      <c r="AS169" s="232" t="str">
        <f>IFERROR(__xludf.DUMMYFUNCTION("""COMPUTED_VALUE"""),"")</f>
        <v/>
      </c>
      <c r="AT169" s="233" t="str">
        <f>IFERROR(__xludf.DUMMYFUNCTION("""COMPUTED_VALUE"""),"")</f>
        <v/>
      </c>
      <c r="AU169" s="231" t="str">
        <f>IFERROR(__xludf.DUMMYFUNCTION("""COMPUTED_VALUE"""),"")</f>
        <v/>
      </c>
      <c r="AV169" s="232" t="str">
        <f>IFERROR(__xludf.DUMMYFUNCTION("""COMPUTED_VALUE"""),"")</f>
        <v/>
      </c>
      <c r="AW169" s="233">
        <f>IFERROR(__xludf.DUMMYFUNCTION("""COMPUTED_VALUE"""),29.9)</f>
        <v>29.9</v>
      </c>
      <c r="AX169" s="231" t="str">
        <f>IFERROR(__xludf.DUMMYFUNCTION("""COMPUTED_VALUE"""),"")</f>
        <v/>
      </c>
      <c r="AY169" s="232" t="str">
        <f>IFERROR(__xludf.DUMMYFUNCTION("""COMPUTED_VALUE"""),"")</f>
        <v/>
      </c>
      <c r="AZ169" s="233" t="str">
        <f>IFERROR(__xludf.DUMMYFUNCTION("""COMPUTED_VALUE"""),"")</f>
        <v/>
      </c>
      <c r="BA169" s="231" t="str">
        <f>IFERROR(__xludf.DUMMYFUNCTION("""COMPUTED_VALUE"""),"")</f>
        <v/>
      </c>
      <c r="BB169" s="232" t="str">
        <f>IFERROR(__xludf.DUMMYFUNCTION("""COMPUTED_VALUE"""),"")</f>
        <v/>
      </c>
      <c r="BC169" s="233" t="str">
        <f>IFERROR(__xludf.DUMMYFUNCTION("""COMPUTED_VALUE"""),"")</f>
        <v/>
      </c>
      <c r="BD169" s="231" t="str">
        <f>IFERROR(__xludf.DUMMYFUNCTION("""COMPUTED_VALUE"""),"")</f>
        <v/>
      </c>
      <c r="BE169" s="232" t="str">
        <f>IFERROR(__xludf.DUMMYFUNCTION("""COMPUTED_VALUE"""),"")</f>
        <v/>
      </c>
      <c r="BF169" s="233" t="str">
        <f>IFERROR(__xludf.DUMMYFUNCTION("""COMPUTED_VALUE"""),"")</f>
        <v/>
      </c>
      <c r="BG169" s="231" t="str">
        <f>IFERROR(__xludf.DUMMYFUNCTION("""COMPUTED_VALUE"""),"")</f>
        <v/>
      </c>
      <c r="BH169" s="232" t="str">
        <f>IFERROR(__xludf.DUMMYFUNCTION("""COMPUTED_VALUE"""),"")</f>
        <v/>
      </c>
      <c r="BI169" s="233" t="str">
        <f>IFERROR(__xludf.DUMMYFUNCTION("""COMPUTED_VALUE"""),"")</f>
        <v/>
      </c>
      <c r="BJ169" s="231">
        <f>IFERROR(__xludf.DUMMYFUNCTION("""COMPUTED_VALUE"""),24.3)</f>
        <v>24.3</v>
      </c>
      <c r="BK169" s="232" t="str">
        <f>IFERROR(__xludf.DUMMYFUNCTION("""COMPUTED_VALUE"""),"")</f>
        <v/>
      </c>
      <c r="BL169" s="233" t="str">
        <f>IFERROR(__xludf.DUMMYFUNCTION("""COMPUTED_VALUE"""),"")</f>
        <v/>
      </c>
      <c r="BM169" s="231" t="str">
        <f>IFERROR(__xludf.DUMMYFUNCTION("""COMPUTED_VALUE"""),"")</f>
        <v/>
      </c>
      <c r="BN169" s="232" t="str">
        <f>IFERROR(__xludf.DUMMYFUNCTION("""COMPUTED_VALUE"""),"")</f>
        <v/>
      </c>
      <c r="BO169" s="233" t="str">
        <f>IFERROR(__xludf.DUMMYFUNCTION("""COMPUTED_VALUE"""),"")</f>
        <v/>
      </c>
      <c r="BP169" s="231">
        <f>IFERROR(__xludf.DUMMYFUNCTION("""COMPUTED_VALUE"""),8.0)</f>
        <v>8</v>
      </c>
      <c r="BQ169" s="232" t="str">
        <f>IFERROR(__xludf.DUMMYFUNCTION("""COMPUTED_VALUE"""),"")</f>
        <v/>
      </c>
      <c r="BR169" s="233" t="str">
        <f>IFERROR(__xludf.DUMMYFUNCTION("""COMPUTED_VALUE"""),"")</f>
        <v/>
      </c>
      <c r="BS169" s="231" t="str">
        <f>IFERROR(__xludf.DUMMYFUNCTION("""COMPUTED_VALUE"""),"")</f>
        <v/>
      </c>
      <c r="BT169" s="232" t="str">
        <f>IFERROR(__xludf.DUMMYFUNCTION("""COMPUTED_VALUE"""),"")</f>
        <v/>
      </c>
      <c r="BU169" s="233" t="str">
        <f>IFERROR(__xludf.DUMMYFUNCTION("""COMPUTED_VALUE"""),"")</f>
        <v/>
      </c>
      <c r="BV169" s="231" t="str">
        <f>IFERROR(__xludf.DUMMYFUNCTION("""COMPUTED_VALUE"""),"")</f>
        <v/>
      </c>
      <c r="BW169" s="232" t="str">
        <f>IFERROR(__xludf.DUMMYFUNCTION("""COMPUTED_VALUE"""),"")</f>
        <v/>
      </c>
      <c r="BX169" s="233" t="str">
        <f>IFERROR(__xludf.DUMMYFUNCTION("""COMPUTED_VALUE"""),"")</f>
        <v/>
      </c>
      <c r="BY169" s="231" t="str">
        <f>IFERROR(__xludf.DUMMYFUNCTION("""COMPUTED_VALUE"""),"")</f>
        <v/>
      </c>
      <c r="BZ169" s="232" t="str">
        <f>IFERROR(__xludf.DUMMYFUNCTION("""COMPUTED_VALUE"""),"")</f>
        <v/>
      </c>
      <c r="CA169" s="233" t="str">
        <f>IFERROR(__xludf.DUMMYFUNCTION("""COMPUTED_VALUE"""),"")</f>
        <v/>
      </c>
      <c r="CB169" s="231" t="str">
        <f>IFERROR(__xludf.DUMMYFUNCTION("""COMPUTED_VALUE"""),"")</f>
        <v/>
      </c>
      <c r="CC169" s="232" t="str">
        <f>IFERROR(__xludf.DUMMYFUNCTION("""COMPUTED_VALUE"""),"")</f>
        <v/>
      </c>
      <c r="CD169" s="233" t="str">
        <f>IFERROR(__xludf.DUMMYFUNCTION("""COMPUTED_VALUE"""),"")</f>
        <v/>
      </c>
      <c r="CE169" s="234" t="str">
        <f>IFERROR(__xludf.DUMMYFUNCTION("""COMPUTED_VALUE"""),"")</f>
        <v/>
      </c>
      <c r="CF169" s="230" t="str">
        <f>IFERROR(__xludf.DUMMYFUNCTION("""COMPUTED_VALUE"""),"")</f>
        <v/>
      </c>
      <c r="CG169" s="235" t="str">
        <f>IFERROR(__xludf.DUMMYFUNCTION("""COMPUTED_VALUE"""),"")</f>
        <v/>
      </c>
      <c r="CH169" s="234" t="str">
        <f>IFERROR(__xludf.DUMMYFUNCTION("""COMPUTED_VALUE"""),"")</f>
        <v/>
      </c>
      <c r="CI169" s="230" t="str">
        <f>IFERROR(__xludf.DUMMYFUNCTION("""COMPUTED_VALUE"""),"")</f>
        <v/>
      </c>
      <c r="CJ169" s="235" t="str">
        <f>IFERROR(__xludf.DUMMYFUNCTION("""COMPUTED_VALUE"""),"")</f>
        <v/>
      </c>
      <c r="CK169" s="95" t="str">
        <f>IFERROR(__xludf.DUMMYFUNCTION("""COMPUTED_VALUE"""),"")</f>
        <v/>
      </c>
      <c r="CL169" s="96">
        <f>IFERROR(__xludf.DUMMYFUNCTION("""COMPUTED_VALUE"""),23.6)</f>
        <v>23.6</v>
      </c>
      <c r="CM169" s="97" t="str">
        <f>IFERROR(__xludf.DUMMYFUNCTION("""COMPUTED_VALUE"""),"")</f>
        <v/>
      </c>
      <c r="CN169" s="95" t="str">
        <f>IFERROR(__xludf.DUMMYFUNCTION("""COMPUTED_VALUE"""),"")</f>
        <v/>
      </c>
      <c r="CO169" s="96" t="str">
        <f>IFERROR(__xludf.DUMMYFUNCTION("""COMPUTED_VALUE"""),"")</f>
        <v/>
      </c>
      <c r="CP169" s="97" t="str">
        <f>IFERROR(__xludf.DUMMYFUNCTION("""COMPUTED_VALUE"""),"")</f>
        <v/>
      </c>
      <c r="CQ169" s="95" t="str">
        <f>IFERROR(__xludf.DUMMYFUNCTION("""COMPUTED_VALUE"""),"")</f>
        <v/>
      </c>
      <c r="CR169" s="96">
        <f>IFERROR(__xludf.DUMMYFUNCTION("""COMPUTED_VALUE"""),4.8)</f>
        <v>4.8</v>
      </c>
      <c r="CS169" s="97" t="str">
        <f>IFERROR(__xludf.DUMMYFUNCTION("""COMPUTED_VALUE"""),"#REF!")</f>
        <v>#REF!</v>
      </c>
      <c r="CT169" s="95" t="str">
        <f>IFERROR(__xludf.DUMMYFUNCTION("""COMPUTED_VALUE"""),"#REF!")</f>
        <v>#REF!</v>
      </c>
      <c r="CU169" s="96" t="str">
        <f>IFERROR(__xludf.DUMMYFUNCTION("""COMPUTED_VALUE"""),"#REF!")</f>
        <v>#REF!</v>
      </c>
      <c r="CV169" s="97" t="str">
        <f>IFERROR(__xludf.DUMMYFUNCTION("""COMPUTED_VALUE"""),"#REF!")</f>
        <v>#REF!</v>
      </c>
      <c r="CW169" s="95" t="str">
        <f>IFERROR(__xludf.DUMMYFUNCTION("""COMPUTED_VALUE"""),"#REF!")</f>
        <v>#REF!</v>
      </c>
      <c r="CX169" s="96" t="str">
        <f>IFERROR(__xludf.DUMMYFUNCTION("""COMPUTED_VALUE"""),"#REF!")</f>
        <v>#REF!</v>
      </c>
      <c r="CY169" s="97" t="str">
        <f>IFERROR(__xludf.DUMMYFUNCTION("""COMPUTED_VALUE"""),"#REF!")</f>
        <v>#REF!</v>
      </c>
      <c r="CZ169" s="95" t="str">
        <f>IFERROR(__xludf.DUMMYFUNCTION("""COMPUTED_VALUE"""),"#REF!")</f>
        <v>#REF!</v>
      </c>
      <c r="DA169" s="96" t="str">
        <f>IFERROR(__xludf.DUMMYFUNCTION("""COMPUTED_VALUE"""),"#REF!")</f>
        <v>#REF!</v>
      </c>
      <c r="DB169" s="97" t="str">
        <f>IFERROR(__xludf.DUMMYFUNCTION("""COMPUTED_VALUE"""),"#REF!")</f>
        <v>#REF!</v>
      </c>
      <c r="DC169" s="95" t="str">
        <f>IFERROR(__xludf.DUMMYFUNCTION("""COMPUTED_VALUE"""),"#REF!")</f>
        <v>#REF!</v>
      </c>
      <c r="DD169" s="96" t="str">
        <f>IFERROR(__xludf.DUMMYFUNCTION("""COMPUTED_VALUE"""),"#REF!")</f>
        <v>#REF!</v>
      </c>
      <c r="DE169" s="97" t="str">
        <f>IFERROR(__xludf.DUMMYFUNCTION("""COMPUTED_VALUE"""),"#REF!")</f>
        <v>#REF!</v>
      </c>
      <c r="DF169" s="95" t="str">
        <f>IFERROR(__xludf.DUMMYFUNCTION("""COMPUTED_VALUE"""),"#REF!")</f>
        <v>#REF!</v>
      </c>
      <c r="DG169" s="96" t="str">
        <f>IFERROR(__xludf.DUMMYFUNCTION("""COMPUTED_VALUE"""),"#REF!")</f>
        <v>#REF!</v>
      </c>
      <c r="DH169" s="97" t="str">
        <f>IFERROR(__xludf.DUMMYFUNCTION("""COMPUTED_VALUE"""),"#REF!")</f>
        <v>#REF!</v>
      </c>
      <c r="DI169" s="95" t="str">
        <f>IFERROR(__xludf.DUMMYFUNCTION("""COMPUTED_VALUE"""),"#REF!")</f>
        <v>#REF!</v>
      </c>
      <c r="DJ169" s="96" t="str">
        <f>IFERROR(__xludf.DUMMYFUNCTION("""COMPUTED_VALUE"""),"#REF!")</f>
        <v>#REF!</v>
      </c>
      <c r="DK169" s="97" t="str">
        <f>IFERROR(__xludf.DUMMYFUNCTION("""COMPUTED_VALUE"""),"#REF!")</f>
        <v>#REF!</v>
      </c>
      <c r="DL169" s="95" t="str">
        <f>IFERROR(__xludf.DUMMYFUNCTION("""COMPUTED_VALUE"""),"#REF!")</f>
        <v>#REF!</v>
      </c>
      <c r="DM169" s="96" t="str">
        <f>IFERROR(__xludf.DUMMYFUNCTION("""COMPUTED_VALUE"""),"#REF!")</f>
        <v>#REF!</v>
      </c>
      <c r="DN169" s="97" t="str">
        <f>IFERROR(__xludf.DUMMYFUNCTION("""COMPUTED_VALUE"""),"#REF!")</f>
        <v>#REF!</v>
      </c>
      <c r="DO169" s="95" t="str">
        <f>IFERROR(__xludf.DUMMYFUNCTION("""COMPUTED_VALUE"""),"#REF!")</f>
        <v>#REF!</v>
      </c>
      <c r="DP169" s="96" t="str">
        <f>IFERROR(__xludf.DUMMYFUNCTION("""COMPUTED_VALUE"""),"#REF!")</f>
        <v>#REF!</v>
      </c>
      <c r="DQ169" s="97"/>
      <c r="DR169" s="95"/>
    </row>
    <row r="170">
      <c r="B170" s="120" t="str">
        <f>IFERROR(__xludf.DUMMYFUNCTION("""COMPUTED_VALUE"""),"SMS8")</f>
        <v>SMS8</v>
      </c>
      <c r="C170" s="82">
        <f>IFERROR(__xludf.DUMMYFUNCTION("""COMPUTED_VALUE"""),163.0)</f>
        <v>163</v>
      </c>
      <c r="D170" s="88" t="str">
        <f>IFERROR(__xludf.DUMMYFUNCTION("""COMPUTED_VALUE"""),"Arakawa Field")</f>
        <v>Arakawa Field</v>
      </c>
      <c r="E170" s="82" t="str">
        <f>IFERROR(__xludf.DUMMYFUNCTION("""COMPUTED_VALUE"""),"荒川の原")</f>
        <v>荒川の原</v>
      </c>
      <c r="F170" s="102">
        <f>IFERROR(__xludf.DUMMYFUNCTION("""COMPUTED_VALUE"""),21.0)</f>
        <v>21</v>
      </c>
      <c r="G170" s="82">
        <f>IFERROR(__xludf.DUMMYFUNCTION("""COMPUTED_VALUE"""),28975.0)</f>
        <v>28975</v>
      </c>
      <c r="H170" s="231" t="str">
        <f>IFERROR(__xludf.DUMMYFUNCTION("""COMPUTED_VALUE"""),"")</f>
        <v/>
      </c>
      <c r="I170" s="232" t="str">
        <f>IFERROR(__xludf.DUMMYFUNCTION("""COMPUTED_VALUE"""),"")</f>
        <v/>
      </c>
      <c r="J170" s="233" t="str">
        <f>IFERROR(__xludf.DUMMYFUNCTION("""COMPUTED_VALUE"""),"")</f>
        <v/>
      </c>
      <c r="K170" s="231" t="str">
        <f>IFERROR(__xludf.DUMMYFUNCTION("""COMPUTED_VALUE"""),"")</f>
        <v/>
      </c>
      <c r="L170" s="232" t="str">
        <f>IFERROR(__xludf.DUMMYFUNCTION("""COMPUTED_VALUE"""),"")</f>
        <v/>
      </c>
      <c r="M170" s="233" t="str">
        <f>IFERROR(__xludf.DUMMYFUNCTION("""COMPUTED_VALUE"""),"")</f>
        <v/>
      </c>
      <c r="N170" s="231" t="str">
        <f>IFERROR(__xludf.DUMMYFUNCTION("""COMPUTED_VALUE"""),"")</f>
        <v/>
      </c>
      <c r="O170" s="232" t="str">
        <f>IFERROR(__xludf.DUMMYFUNCTION("""COMPUTED_VALUE"""),"")</f>
        <v/>
      </c>
      <c r="P170" s="233" t="str">
        <f>IFERROR(__xludf.DUMMYFUNCTION("""COMPUTED_VALUE"""),"")</f>
        <v/>
      </c>
      <c r="Q170" s="231" t="str">
        <f>IFERROR(__xludf.DUMMYFUNCTION("""COMPUTED_VALUE"""),"")</f>
        <v/>
      </c>
      <c r="R170" s="232">
        <f>IFERROR(__xludf.DUMMYFUNCTION("""COMPUTED_VALUE"""),12.3)</f>
        <v>12.3</v>
      </c>
      <c r="S170" s="233" t="str">
        <f>IFERROR(__xludf.DUMMYFUNCTION("""COMPUTED_VALUE"""),"")</f>
        <v/>
      </c>
      <c r="T170" s="231" t="str">
        <f>IFERROR(__xludf.DUMMYFUNCTION("""COMPUTED_VALUE"""),"")</f>
        <v/>
      </c>
      <c r="U170" s="232" t="str">
        <f>IFERROR(__xludf.DUMMYFUNCTION("""COMPUTED_VALUE"""),"")</f>
        <v/>
      </c>
      <c r="V170" s="233" t="str">
        <f>IFERROR(__xludf.DUMMYFUNCTION("""COMPUTED_VALUE"""),"")</f>
        <v/>
      </c>
      <c r="W170" s="231" t="str">
        <f>IFERROR(__xludf.DUMMYFUNCTION("""COMPUTED_VALUE"""),"")</f>
        <v/>
      </c>
      <c r="X170" s="232" t="str">
        <f>IFERROR(__xludf.DUMMYFUNCTION("""COMPUTED_VALUE"""),"")</f>
        <v/>
      </c>
      <c r="Y170" s="233" t="str">
        <f>IFERROR(__xludf.DUMMYFUNCTION("""COMPUTED_VALUE"""),"")</f>
        <v/>
      </c>
      <c r="Z170" s="231" t="str">
        <f>IFERROR(__xludf.DUMMYFUNCTION("""COMPUTED_VALUE"""),"")</f>
        <v/>
      </c>
      <c r="AA170" s="232" t="str">
        <f>IFERROR(__xludf.DUMMYFUNCTION("""COMPUTED_VALUE"""),"")</f>
        <v/>
      </c>
      <c r="AB170" s="233" t="str">
        <f>IFERROR(__xludf.DUMMYFUNCTION("""COMPUTED_VALUE"""),"")</f>
        <v/>
      </c>
      <c r="AC170" s="231" t="str">
        <f>IFERROR(__xludf.DUMMYFUNCTION("""COMPUTED_VALUE"""),"")</f>
        <v/>
      </c>
      <c r="AD170" s="232" t="str">
        <f>IFERROR(__xludf.DUMMYFUNCTION("""COMPUTED_VALUE"""),"")</f>
        <v/>
      </c>
      <c r="AE170" s="233" t="str">
        <f>IFERROR(__xludf.DUMMYFUNCTION("""COMPUTED_VALUE"""),"")</f>
        <v/>
      </c>
      <c r="AF170" s="231" t="str">
        <f>IFERROR(__xludf.DUMMYFUNCTION("""COMPUTED_VALUE"""),"")</f>
        <v/>
      </c>
      <c r="AG170" s="232" t="str">
        <f>IFERROR(__xludf.DUMMYFUNCTION("""COMPUTED_VALUE"""),"")</f>
        <v/>
      </c>
      <c r="AH170" s="233" t="str">
        <f>IFERROR(__xludf.DUMMYFUNCTION("""COMPUTED_VALUE"""),"")</f>
        <v/>
      </c>
      <c r="AI170" s="231" t="str">
        <f>IFERROR(__xludf.DUMMYFUNCTION("""COMPUTED_VALUE"""),"")</f>
        <v/>
      </c>
      <c r="AJ170" s="232" t="str">
        <f>IFERROR(__xludf.DUMMYFUNCTION("""COMPUTED_VALUE"""),"")</f>
        <v/>
      </c>
      <c r="AK170" s="233">
        <f>IFERROR(__xludf.DUMMYFUNCTION("""COMPUTED_VALUE"""),19.9)</f>
        <v>19.9</v>
      </c>
      <c r="AL170" s="231" t="str">
        <f>IFERROR(__xludf.DUMMYFUNCTION("""COMPUTED_VALUE"""),"")</f>
        <v/>
      </c>
      <c r="AM170" s="232" t="str">
        <f>IFERROR(__xludf.DUMMYFUNCTION("""COMPUTED_VALUE"""),"")</f>
        <v/>
      </c>
      <c r="AN170" s="233" t="str">
        <f>IFERROR(__xludf.DUMMYFUNCTION("""COMPUTED_VALUE"""),"")</f>
        <v/>
      </c>
      <c r="AO170" s="231" t="str">
        <f>IFERROR(__xludf.DUMMYFUNCTION("""COMPUTED_VALUE"""),"")</f>
        <v/>
      </c>
      <c r="AP170" s="232" t="str">
        <f>IFERROR(__xludf.DUMMYFUNCTION("""COMPUTED_VALUE"""),"")</f>
        <v/>
      </c>
      <c r="AQ170" s="233" t="str">
        <f>IFERROR(__xludf.DUMMYFUNCTION("""COMPUTED_VALUE"""),"")</f>
        <v/>
      </c>
      <c r="AR170" s="231" t="str">
        <f>IFERROR(__xludf.DUMMYFUNCTION("""COMPUTED_VALUE"""),"")</f>
        <v/>
      </c>
      <c r="AS170" s="232" t="str">
        <f>IFERROR(__xludf.DUMMYFUNCTION("""COMPUTED_VALUE"""),"")</f>
        <v/>
      </c>
      <c r="AT170" s="233" t="str">
        <f>IFERROR(__xludf.DUMMYFUNCTION("""COMPUTED_VALUE"""),"")</f>
        <v/>
      </c>
      <c r="AU170" s="231" t="str">
        <f>IFERROR(__xludf.DUMMYFUNCTION("""COMPUTED_VALUE"""),"")</f>
        <v/>
      </c>
      <c r="AV170" s="232" t="str">
        <f>IFERROR(__xludf.DUMMYFUNCTION("""COMPUTED_VALUE"""),"")</f>
        <v/>
      </c>
      <c r="AW170" s="233">
        <f>IFERROR(__xludf.DUMMYFUNCTION("""COMPUTED_VALUE"""),30.0)</f>
        <v>30</v>
      </c>
      <c r="AX170" s="231" t="str">
        <f>IFERROR(__xludf.DUMMYFUNCTION("""COMPUTED_VALUE"""),"")</f>
        <v/>
      </c>
      <c r="AY170" s="232" t="str">
        <f>IFERROR(__xludf.DUMMYFUNCTION("""COMPUTED_VALUE"""),"")</f>
        <v/>
      </c>
      <c r="AZ170" s="233" t="str">
        <f>IFERROR(__xludf.DUMMYFUNCTION("""COMPUTED_VALUE"""),"")</f>
        <v/>
      </c>
      <c r="BA170" s="231" t="str">
        <f>IFERROR(__xludf.DUMMYFUNCTION("""COMPUTED_VALUE"""),"")</f>
        <v/>
      </c>
      <c r="BB170" s="232" t="str">
        <f>IFERROR(__xludf.DUMMYFUNCTION("""COMPUTED_VALUE"""),"")</f>
        <v/>
      </c>
      <c r="BC170" s="233" t="str">
        <f>IFERROR(__xludf.DUMMYFUNCTION("""COMPUTED_VALUE"""),"")</f>
        <v/>
      </c>
      <c r="BD170" s="231" t="str">
        <f>IFERROR(__xludf.DUMMYFUNCTION("""COMPUTED_VALUE"""),"")</f>
        <v/>
      </c>
      <c r="BE170" s="232" t="str">
        <f>IFERROR(__xludf.DUMMYFUNCTION("""COMPUTED_VALUE"""),"")</f>
        <v/>
      </c>
      <c r="BF170" s="233" t="str">
        <f>IFERROR(__xludf.DUMMYFUNCTION("""COMPUTED_VALUE"""),"")</f>
        <v/>
      </c>
      <c r="BG170" s="231" t="str">
        <f>IFERROR(__xludf.DUMMYFUNCTION("""COMPUTED_VALUE"""),"")</f>
        <v/>
      </c>
      <c r="BH170" s="232" t="str">
        <f>IFERROR(__xludf.DUMMYFUNCTION("""COMPUTED_VALUE"""),"")</f>
        <v/>
      </c>
      <c r="BI170" s="233">
        <f>IFERROR(__xludf.DUMMYFUNCTION("""COMPUTED_VALUE"""),3.1)</f>
        <v>3.1</v>
      </c>
      <c r="BJ170" s="231">
        <f>IFERROR(__xludf.DUMMYFUNCTION("""COMPUTED_VALUE"""),25.0)</f>
        <v>25</v>
      </c>
      <c r="BK170" s="232" t="str">
        <f>IFERROR(__xludf.DUMMYFUNCTION("""COMPUTED_VALUE"""),"")</f>
        <v/>
      </c>
      <c r="BL170" s="233" t="str">
        <f>IFERROR(__xludf.DUMMYFUNCTION("""COMPUTED_VALUE"""),"")</f>
        <v/>
      </c>
      <c r="BM170" s="231" t="str">
        <f>IFERROR(__xludf.DUMMYFUNCTION("""COMPUTED_VALUE"""),"")</f>
        <v/>
      </c>
      <c r="BN170" s="232" t="str">
        <f>IFERROR(__xludf.DUMMYFUNCTION("""COMPUTED_VALUE"""),"")</f>
        <v/>
      </c>
      <c r="BO170" s="233" t="str">
        <f>IFERROR(__xludf.DUMMYFUNCTION("""COMPUTED_VALUE"""),"")</f>
        <v/>
      </c>
      <c r="BP170" s="231" t="str">
        <f>IFERROR(__xludf.DUMMYFUNCTION("""COMPUTED_VALUE"""),"")</f>
        <v/>
      </c>
      <c r="BQ170" s="232" t="str">
        <f>IFERROR(__xludf.DUMMYFUNCTION("""COMPUTED_VALUE"""),"")</f>
        <v/>
      </c>
      <c r="BR170" s="233" t="str">
        <f>IFERROR(__xludf.DUMMYFUNCTION("""COMPUTED_VALUE"""),"")</f>
        <v/>
      </c>
      <c r="BS170" s="231" t="str">
        <f>IFERROR(__xludf.DUMMYFUNCTION("""COMPUTED_VALUE"""),"")</f>
        <v/>
      </c>
      <c r="BT170" s="232" t="str">
        <f>IFERROR(__xludf.DUMMYFUNCTION("""COMPUTED_VALUE"""),"")</f>
        <v/>
      </c>
      <c r="BU170" s="233" t="str">
        <f>IFERROR(__xludf.DUMMYFUNCTION("""COMPUTED_VALUE"""),"")</f>
        <v/>
      </c>
      <c r="BV170" s="231" t="str">
        <f>IFERROR(__xludf.DUMMYFUNCTION("""COMPUTED_VALUE"""),"")</f>
        <v/>
      </c>
      <c r="BW170" s="232" t="str">
        <f>IFERROR(__xludf.DUMMYFUNCTION("""COMPUTED_VALUE"""),"")</f>
        <v/>
      </c>
      <c r="BX170" s="233" t="str">
        <f>IFERROR(__xludf.DUMMYFUNCTION("""COMPUTED_VALUE"""),"")</f>
        <v/>
      </c>
      <c r="BY170" s="231" t="str">
        <f>IFERROR(__xludf.DUMMYFUNCTION("""COMPUTED_VALUE"""),"")</f>
        <v/>
      </c>
      <c r="BZ170" s="232" t="str">
        <f>IFERROR(__xludf.DUMMYFUNCTION("""COMPUTED_VALUE"""),"")</f>
        <v/>
      </c>
      <c r="CA170" s="233" t="str">
        <f>IFERROR(__xludf.DUMMYFUNCTION("""COMPUTED_VALUE"""),"")</f>
        <v/>
      </c>
      <c r="CB170" s="231" t="str">
        <f>IFERROR(__xludf.DUMMYFUNCTION("""COMPUTED_VALUE"""),"")</f>
        <v/>
      </c>
      <c r="CC170" s="232" t="str">
        <f>IFERROR(__xludf.DUMMYFUNCTION("""COMPUTED_VALUE"""),"")</f>
        <v/>
      </c>
      <c r="CD170" s="233" t="str">
        <f>IFERROR(__xludf.DUMMYFUNCTION("""COMPUTED_VALUE"""),"")</f>
        <v/>
      </c>
      <c r="CE170" s="234" t="str">
        <f>IFERROR(__xludf.DUMMYFUNCTION("""COMPUTED_VALUE"""),"")</f>
        <v/>
      </c>
      <c r="CF170" s="230" t="str">
        <f>IFERROR(__xludf.DUMMYFUNCTION("""COMPUTED_VALUE"""),"")</f>
        <v/>
      </c>
      <c r="CG170" s="235" t="str">
        <f>IFERROR(__xludf.DUMMYFUNCTION("""COMPUTED_VALUE"""),"")</f>
        <v/>
      </c>
      <c r="CH170" s="234" t="str">
        <f>IFERROR(__xludf.DUMMYFUNCTION("""COMPUTED_VALUE"""),"")</f>
        <v/>
      </c>
      <c r="CI170" s="230" t="str">
        <f>IFERROR(__xludf.DUMMYFUNCTION("""COMPUTED_VALUE"""),"")</f>
        <v/>
      </c>
      <c r="CJ170" s="235" t="str">
        <f>IFERROR(__xludf.DUMMYFUNCTION("""COMPUTED_VALUE"""),"")</f>
        <v/>
      </c>
      <c r="CK170" s="95" t="str">
        <f>IFERROR(__xludf.DUMMYFUNCTION("""COMPUTED_VALUE"""),"")</f>
        <v/>
      </c>
      <c r="CL170" s="96">
        <f>IFERROR(__xludf.DUMMYFUNCTION("""COMPUTED_VALUE"""),23.8)</f>
        <v>23.8</v>
      </c>
      <c r="CM170" s="97" t="str">
        <f>IFERROR(__xludf.DUMMYFUNCTION("""COMPUTED_VALUE"""),"")</f>
        <v/>
      </c>
      <c r="CN170" s="95" t="str">
        <f>IFERROR(__xludf.DUMMYFUNCTION("""COMPUTED_VALUE"""),"")</f>
        <v/>
      </c>
      <c r="CO170" s="96" t="str">
        <f>IFERROR(__xludf.DUMMYFUNCTION("""COMPUTED_VALUE"""),"")</f>
        <v/>
      </c>
      <c r="CP170" s="97" t="str">
        <f>IFERROR(__xludf.DUMMYFUNCTION("""COMPUTED_VALUE"""),"")</f>
        <v/>
      </c>
      <c r="CQ170" s="95" t="str">
        <f>IFERROR(__xludf.DUMMYFUNCTION("""COMPUTED_VALUE"""),"")</f>
        <v/>
      </c>
      <c r="CR170" s="96">
        <f>IFERROR(__xludf.DUMMYFUNCTION("""COMPUTED_VALUE"""),5.5)</f>
        <v>5.5</v>
      </c>
      <c r="CS170" s="97" t="str">
        <f>IFERROR(__xludf.DUMMYFUNCTION("""COMPUTED_VALUE"""),"#REF!")</f>
        <v>#REF!</v>
      </c>
      <c r="CT170" s="95" t="str">
        <f>IFERROR(__xludf.DUMMYFUNCTION("""COMPUTED_VALUE"""),"#REF!")</f>
        <v>#REF!</v>
      </c>
      <c r="CU170" s="96" t="str">
        <f>IFERROR(__xludf.DUMMYFUNCTION("""COMPUTED_VALUE"""),"#REF!")</f>
        <v>#REF!</v>
      </c>
      <c r="CV170" s="97" t="str">
        <f>IFERROR(__xludf.DUMMYFUNCTION("""COMPUTED_VALUE"""),"#REF!")</f>
        <v>#REF!</v>
      </c>
      <c r="CW170" s="95" t="str">
        <f>IFERROR(__xludf.DUMMYFUNCTION("""COMPUTED_VALUE"""),"#REF!")</f>
        <v>#REF!</v>
      </c>
      <c r="CX170" s="96" t="str">
        <f>IFERROR(__xludf.DUMMYFUNCTION("""COMPUTED_VALUE"""),"#REF!")</f>
        <v>#REF!</v>
      </c>
      <c r="CY170" s="97" t="str">
        <f>IFERROR(__xludf.DUMMYFUNCTION("""COMPUTED_VALUE"""),"#REF!")</f>
        <v>#REF!</v>
      </c>
      <c r="CZ170" s="95" t="str">
        <f>IFERROR(__xludf.DUMMYFUNCTION("""COMPUTED_VALUE"""),"#REF!")</f>
        <v>#REF!</v>
      </c>
      <c r="DA170" s="96" t="str">
        <f>IFERROR(__xludf.DUMMYFUNCTION("""COMPUTED_VALUE"""),"#REF!")</f>
        <v>#REF!</v>
      </c>
      <c r="DB170" s="97" t="str">
        <f>IFERROR(__xludf.DUMMYFUNCTION("""COMPUTED_VALUE"""),"#REF!")</f>
        <v>#REF!</v>
      </c>
      <c r="DC170" s="95" t="str">
        <f>IFERROR(__xludf.DUMMYFUNCTION("""COMPUTED_VALUE"""),"#REF!")</f>
        <v>#REF!</v>
      </c>
      <c r="DD170" s="96" t="str">
        <f>IFERROR(__xludf.DUMMYFUNCTION("""COMPUTED_VALUE"""),"#REF!")</f>
        <v>#REF!</v>
      </c>
      <c r="DE170" s="97" t="str">
        <f>IFERROR(__xludf.DUMMYFUNCTION("""COMPUTED_VALUE"""),"#REF!")</f>
        <v>#REF!</v>
      </c>
      <c r="DF170" s="95" t="str">
        <f>IFERROR(__xludf.DUMMYFUNCTION("""COMPUTED_VALUE"""),"#REF!")</f>
        <v>#REF!</v>
      </c>
      <c r="DG170" s="96" t="str">
        <f>IFERROR(__xludf.DUMMYFUNCTION("""COMPUTED_VALUE"""),"#REF!")</f>
        <v>#REF!</v>
      </c>
      <c r="DH170" s="97" t="str">
        <f>IFERROR(__xludf.DUMMYFUNCTION("""COMPUTED_VALUE"""),"#REF!")</f>
        <v>#REF!</v>
      </c>
      <c r="DI170" s="95" t="str">
        <f>IFERROR(__xludf.DUMMYFUNCTION("""COMPUTED_VALUE"""),"#REF!")</f>
        <v>#REF!</v>
      </c>
      <c r="DJ170" s="96" t="str">
        <f>IFERROR(__xludf.DUMMYFUNCTION("""COMPUTED_VALUE"""),"#REF!")</f>
        <v>#REF!</v>
      </c>
      <c r="DK170" s="97" t="str">
        <f>IFERROR(__xludf.DUMMYFUNCTION("""COMPUTED_VALUE"""),"#REF!")</f>
        <v>#REF!</v>
      </c>
      <c r="DL170" s="95" t="str">
        <f>IFERROR(__xludf.DUMMYFUNCTION("""COMPUTED_VALUE"""),"#REF!")</f>
        <v>#REF!</v>
      </c>
      <c r="DM170" s="96" t="str">
        <f>IFERROR(__xludf.DUMMYFUNCTION("""COMPUTED_VALUE"""),"#REF!")</f>
        <v>#REF!</v>
      </c>
      <c r="DN170" s="97" t="str">
        <f>IFERROR(__xludf.DUMMYFUNCTION("""COMPUTED_VALUE"""),"#REF!")</f>
        <v>#REF!</v>
      </c>
      <c r="DO170" s="95" t="str">
        <f>IFERROR(__xludf.DUMMYFUNCTION("""COMPUTED_VALUE"""),"#REF!")</f>
        <v>#REF!</v>
      </c>
      <c r="DP170" s="96" t="str">
        <f>IFERROR(__xludf.DUMMYFUNCTION("""COMPUTED_VALUE"""),"#REF!")</f>
        <v>#REF!</v>
      </c>
      <c r="DQ170" s="97"/>
      <c r="DR170" s="95"/>
    </row>
    <row r="171">
      <c r="A171" s="155"/>
      <c r="B171" s="120" t="str">
        <f>IFERROR(__xludf.DUMMYFUNCTION("""COMPUTED_VALUE"""),"SMS9")</f>
        <v>SMS9</v>
      </c>
      <c r="C171" s="82">
        <f>IFERROR(__xludf.DUMMYFUNCTION("""COMPUTED_VALUE"""),164.0)</f>
        <v>164</v>
      </c>
      <c r="D171" s="88" t="str">
        <f>IFERROR(__xludf.DUMMYFUNCTION("""COMPUTED_VALUE"""),"Rear Mountain (Trembling in Fear)")</f>
        <v>Rear Mountain (Trembling in Fear)</v>
      </c>
      <c r="E171" s="82" t="str">
        <f>IFERROR(__xludf.DUMMYFUNCTION("""COMPUTED_VALUE"""),"裏山（戦戦恐恐）")</f>
        <v>裏山（戦戦恐恐）</v>
      </c>
      <c r="F171" s="102">
        <f>IFERROR(__xludf.DUMMYFUNCTION("""COMPUTED_VALUE"""),21.0)</f>
        <v>21</v>
      </c>
      <c r="G171" s="82">
        <f>IFERROR(__xludf.DUMMYFUNCTION("""COMPUTED_VALUE"""),25285.0)</f>
        <v>25285</v>
      </c>
      <c r="H171" s="231" t="str">
        <f>IFERROR(__xludf.DUMMYFUNCTION("""COMPUTED_VALUE"""),"")</f>
        <v/>
      </c>
      <c r="I171" s="232" t="str">
        <f>IFERROR(__xludf.DUMMYFUNCTION("""COMPUTED_VALUE"""),"")</f>
        <v/>
      </c>
      <c r="J171" s="233" t="str">
        <f>IFERROR(__xludf.DUMMYFUNCTION("""COMPUTED_VALUE"""),"")</f>
        <v/>
      </c>
      <c r="K171" s="231" t="str">
        <f>IFERROR(__xludf.DUMMYFUNCTION("""COMPUTED_VALUE"""),"")</f>
        <v/>
      </c>
      <c r="L171" s="232" t="str">
        <f>IFERROR(__xludf.DUMMYFUNCTION("""COMPUTED_VALUE"""),"")</f>
        <v/>
      </c>
      <c r="M171" s="233" t="str">
        <f>IFERROR(__xludf.DUMMYFUNCTION("""COMPUTED_VALUE"""),"")</f>
        <v/>
      </c>
      <c r="N171" s="231" t="str">
        <f>IFERROR(__xludf.DUMMYFUNCTION("""COMPUTED_VALUE"""),"")</f>
        <v/>
      </c>
      <c r="O171" s="232" t="str">
        <f>IFERROR(__xludf.DUMMYFUNCTION("""COMPUTED_VALUE"""),"")</f>
        <v/>
      </c>
      <c r="P171" s="233" t="str">
        <f>IFERROR(__xludf.DUMMYFUNCTION("""COMPUTED_VALUE"""),"")</f>
        <v/>
      </c>
      <c r="Q171" s="231" t="str">
        <f>IFERROR(__xludf.DUMMYFUNCTION("""COMPUTED_VALUE"""),"")</f>
        <v/>
      </c>
      <c r="R171" s="232" t="str">
        <f>IFERROR(__xludf.DUMMYFUNCTION("""COMPUTED_VALUE"""),"")</f>
        <v/>
      </c>
      <c r="S171" s="233" t="str">
        <f>IFERROR(__xludf.DUMMYFUNCTION("""COMPUTED_VALUE"""),"")</f>
        <v/>
      </c>
      <c r="T171" s="231" t="str">
        <f>IFERROR(__xludf.DUMMYFUNCTION("""COMPUTED_VALUE"""),"")</f>
        <v/>
      </c>
      <c r="U171" s="232">
        <f>IFERROR(__xludf.DUMMYFUNCTION("""COMPUTED_VALUE"""),12.1)</f>
        <v>12.1</v>
      </c>
      <c r="V171" s="233" t="str">
        <f>IFERROR(__xludf.DUMMYFUNCTION("""COMPUTED_VALUE"""),"")</f>
        <v/>
      </c>
      <c r="W171" s="231" t="str">
        <f>IFERROR(__xludf.DUMMYFUNCTION("""COMPUTED_VALUE"""),"")</f>
        <v/>
      </c>
      <c r="X171" s="232" t="str">
        <f>IFERROR(__xludf.DUMMYFUNCTION("""COMPUTED_VALUE"""),"")</f>
        <v/>
      </c>
      <c r="Y171" s="233" t="str">
        <f>IFERROR(__xludf.DUMMYFUNCTION("""COMPUTED_VALUE"""),"")</f>
        <v/>
      </c>
      <c r="Z171" s="231" t="str">
        <f>IFERROR(__xludf.DUMMYFUNCTION("""COMPUTED_VALUE"""),"")</f>
        <v/>
      </c>
      <c r="AA171" s="232">
        <f>IFERROR(__xludf.DUMMYFUNCTION("""COMPUTED_VALUE"""),25.6)</f>
        <v>25.6</v>
      </c>
      <c r="AB171" s="233" t="str">
        <f>IFERROR(__xludf.DUMMYFUNCTION("""COMPUTED_VALUE"""),"")</f>
        <v/>
      </c>
      <c r="AC171" s="231" t="str">
        <f>IFERROR(__xludf.DUMMYFUNCTION("""COMPUTED_VALUE"""),"")</f>
        <v/>
      </c>
      <c r="AD171" s="232" t="str">
        <f>IFERROR(__xludf.DUMMYFUNCTION("""COMPUTED_VALUE"""),"")</f>
        <v/>
      </c>
      <c r="AE171" s="233" t="str">
        <f>IFERROR(__xludf.DUMMYFUNCTION("""COMPUTED_VALUE"""),"")</f>
        <v/>
      </c>
      <c r="AF171" s="231" t="str">
        <f>IFERROR(__xludf.DUMMYFUNCTION("""COMPUTED_VALUE"""),"")</f>
        <v/>
      </c>
      <c r="AG171" s="232" t="str">
        <f>IFERROR(__xludf.DUMMYFUNCTION("""COMPUTED_VALUE"""),"")</f>
        <v/>
      </c>
      <c r="AH171" s="233" t="str">
        <f>IFERROR(__xludf.DUMMYFUNCTION("""COMPUTED_VALUE"""),"")</f>
        <v/>
      </c>
      <c r="AI171" s="231" t="str">
        <f>IFERROR(__xludf.DUMMYFUNCTION("""COMPUTED_VALUE"""),"")</f>
        <v/>
      </c>
      <c r="AJ171" s="232" t="str">
        <f>IFERROR(__xludf.DUMMYFUNCTION("""COMPUTED_VALUE"""),"")</f>
        <v/>
      </c>
      <c r="AK171" s="233" t="str">
        <f>IFERROR(__xludf.DUMMYFUNCTION("""COMPUTED_VALUE"""),"")</f>
        <v/>
      </c>
      <c r="AL171" s="231" t="str">
        <f>IFERROR(__xludf.DUMMYFUNCTION("""COMPUTED_VALUE"""),"")</f>
        <v/>
      </c>
      <c r="AM171" s="232" t="str">
        <f>IFERROR(__xludf.DUMMYFUNCTION("""COMPUTED_VALUE"""),"")</f>
        <v/>
      </c>
      <c r="AN171" s="233" t="str">
        <f>IFERROR(__xludf.DUMMYFUNCTION("""COMPUTED_VALUE"""),"")</f>
        <v/>
      </c>
      <c r="AO171" s="231" t="str">
        <f>IFERROR(__xludf.DUMMYFUNCTION("""COMPUTED_VALUE"""),"")</f>
        <v/>
      </c>
      <c r="AP171" s="232" t="str">
        <f>IFERROR(__xludf.DUMMYFUNCTION("""COMPUTED_VALUE"""),"")</f>
        <v/>
      </c>
      <c r="AQ171" s="233" t="str">
        <f>IFERROR(__xludf.DUMMYFUNCTION("""COMPUTED_VALUE"""),"")</f>
        <v/>
      </c>
      <c r="AR171" s="231" t="str">
        <f>IFERROR(__xludf.DUMMYFUNCTION("""COMPUTED_VALUE"""),"")</f>
        <v/>
      </c>
      <c r="AS171" s="232" t="str">
        <f>IFERROR(__xludf.DUMMYFUNCTION("""COMPUTED_VALUE"""),"")</f>
        <v/>
      </c>
      <c r="AT171" s="233" t="str">
        <f>IFERROR(__xludf.DUMMYFUNCTION("""COMPUTED_VALUE"""),"")</f>
        <v/>
      </c>
      <c r="AU171" s="231" t="str">
        <f>IFERROR(__xludf.DUMMYFUNCTION("""COMPUTED_VALUE"""),"")</f>
        <v/>
      </c>
      <c r="AV171" s="232" t="str">
        <f>IFERROR(__xludf.DUMMYFUNCTION("""COMPUTED_VALUE"""),"")</f>
        <v/>
      </c>
      <c r="AW171" s="233" t="str">
        <f>IFERROR(__xludf.DUMMYFUNCTION("""COMPUTED_VALUE"""),"")</f>
        <v/>
      </c>
      <c r="AX171" s="231" t="str">
        <f>IFERROR(__xludf.DUMMYFUNCTION("""COMPUTED_VALUE"""),"")</f>
        <v/>
      </c>
      <c r="AY171" s="232" t="str">
        <f>IFERROR(__xludf.DUMMYFUNCTION("""COMPUTED_VALUE"""),"")</f>
        <v/>
      </c>
      <c r="AZ171" s="233" t="str">
        <f>IFERROR(__xludf.DUMMYFUNCTION("""COMPUTED_VALUE"""),"")</f>
        <v/>
      </c>
      <c r="BA171" s="231" t="str">
        <f>IFERROR(__xludf.DUMMYFUNCTION("""COMPUTED_VALUE"""),"")</f>
        <v/>
      </c>
      <c r="BB171" s="232" t="str">
        <f>IFERROR(__xludf.DUMMYFUNCTION("""COMPUTED_VALUE"""),"")</f>
        <v/>
      </c>
      <c r="BC171" s="233" t="str">
        <f>IFERROR(__xludf.DUMMYFUNCTION("""COMPUTED_VALUE"""),"")</f>
        <v/>
      </c>
      <c r="BD171" s="231" t="str">
        <f>IFERROR(__xludf.DUMMYFUNCTION("""COMPUTED_VALUE"""),"")</f>
        <v/>
      </c>
      <c r="BE171" s="232" t="str">
        <f>IFERROR(__xludf.DUMMYFUNCTION("""COMPUTED_VALUE"""),"")</f>
        <v/>
      </c>
      <c r="BF171" s="233" t="str">
        <f>IFERROR(__xludf.DUMMYFUNCTION("""COMPUTED_VALUE"""),"")</f>
        <v/>
      </c>
      <c r="BG171" s="231" t="str">
        <f>IFERROR(__xludf.DUMMYFUNCTION("""COMPUTED_VALUE"""),"")</f>
        <v/>
      </c>
      <c r="BH171" s="232">
        <f>IFERROR(__xludf.DUMMYFUNCTION("""COMPUTED_VALUE"""),4.19999999)</f>
        <v>4.19999999</v>
      </c>
      <c r="BI171" s="233" t="str">
        <f>IFERROR(__xludf.DUMMYFUNCTION("""COMPUTED_VALUE"""),"")</f>
        <v/>
      </c>
      <c r="BJ171" s="231" t="str">
        <f>IFERROR(__xludf.DUMMYFUNCTION("""COMPUTED_VALUE"""),"")</f>
        <v/>
      </c>
      <c r="BK171" s="232" t="str">
        <f>IFERROR(__xludf.DUMMYFUNCTION("""COMPUTED_VALUE"""),"")</f>
        <v/>
      </c>
      <c r="BL171" s="233" t="str">
        <f>IFERROR(__xludf.DUMMYFUNCTION("""COMPUTED_VALUE"""),"")</f>
        <v/>
      </c>
      <c r="BM171" s="231" t="str">
        <f>IFERROR(__xludf.DUMMYFUNCTION("""COMPUTED_VALUE"""),"")</f>
        <v/>
      </c>
      <c r="BN171" s="232" t="str">
        <f>IFERROR(__xludf.DUMMYFUNCTION("""COMPUTED_VALUE"""),"")</f>
        <v/>
      </c>
      <c r="BO171" s="233" t="str">
        <f>IFERROR(__xludf.DUMMYFUNCTION("""COMPUTED_VALUE"""),"")</f>
        <v/>
      </c>
      <c r="BP171" s="231" t="str">
        <f>IFERROR(__xludf.DUMMYFUNCTION("""COMPUTED_VALUE"""),"")</f>
        <v/>
      </c>
      <c r="BQ171" s="232" t="str">
        <f>IFERROR(__xludf.DUMMYFUNCTION("""COMPUTED_VALUE"""),"")</f>
        <v/>
      </c>
      <c r="BR171" s="233" t="str">
        <f>IFERROR(__xludf.DUMMYFUNCTION("""COMPUTED_VALUE"""),"")</f>
        <v/>
      </c>
      <c r="BS171" s="231" t="str">
        <f>IFERROR(__xludf.DUMMYFUNCTION("""COMPUTED_VALUE"""),"")</f>
        <v/>
      </c>
      <c r="BT171" s="232" t="str">
        <f>IFERROR(__xludf.DUMMYFUNCTION("""COMPUTED_VALUE"""),"")</f>
        <v/>
      </c>
      <c r="BU171" s="233" t="str">
        <f>IFERROR(__xludf.DUMMYFUNCTION("""COMPUTED_VALUE"""),"")</f>
        <v/>
      </c>
      <c r="BV171" s="231">
        <f>IFERROR(__xludf.DUMMYFUNCTION("""COMPUTED_VALUE"""),39.3)</f>
        <v>39.3</v>
      </c>
      <c r="BW171" s="232" t="str">
        <f>IFERROR(__xludf.DUMMYFUNCTION("""COMPUTED_VALUE"""),"")</f>
        <v/>
      </c>
      <c r="BX171" s="233" t="str">
        <f>IFERROR(__xludf.DUMMYFUNCTION("""COMPUTED_VALUE"""),"")</f>
        <v/>
      </c>
      <c r="BY171" s="231" t="str">
        <f>IFERROR(__xludf.DUMMYFUNCTION("""COMPUTED_VALUE"""),"")</f>
        <v/>
      </c>
      <c r="BZ171" s="232" t="str">
        <f>IFERROR(__xludf.DUMMYFUNCTION("""COMPUTED_VALUE"""),"")</f>
        <v/>
      </c>
      <c r="CA171" s="233" t="str">
        <f>IFERROR(__xludf.DUMMYFUNCTION("""COMPUTED_VALUE"""),"")</f>
        <v/>
      </c>
      <c r="CB171" s="231" t="str">
        <f>IFERROR(__xludf.DUMMYFUNCTION("""COMPUTED_VALUE"""),"")</f>
        <v/>
      </c>
      <c r="CC171" s="232" t="str">
        <f>IFERROR(__xludf.DUMMYFUNCTION("""COMPUTED_VALUE"""),"")</f>
        <v/>
      </c>
      <c r="CD171" s="233" t="str">
        <f>IFERROR(__xludf.DUMMYFUNCTION("""COMPUTED_VALUE"""),"")</f>
        <v/>
      </c>
      <c r="CE171" s="234" t="str">
        <f>IFERROR(__xludf.DUMMYFUNCTION("""COMPUTED_VALUE"""),"")</f>
        <v/>
      </c>
      <c r="CF171" s="230" t="str">
        <f>IFERROR(__xludf.DUMMYFUNCTION("""COMPUTED_VALUE"""),"")</f>
        <v/>
      </c>
      <c r="CG171" s="235" t="str">
        <f>IFERROR(__xludf.DUMMYFUNCTION("""COMPUTED_VALUE"""),"")</f>
        <v/>
      </c>
      <c r="CH171" s="234" t="str">
        <f>IFERROR(__xludf.DUMMYFUNCTION("""COMPUTED_VALUE"""),"")</f>
        <v/>
      </c>
      <c r="CI171" s="230" t="str">
        <f>IFERROR(__xludf.DUMMYFUNCTION("""COMPUTED_VALUE"""),"")</f>
        <v/>
      </c>
      <c r="CJ171" s="235" t="str">
        <f>IFERROR(__xludf.DUMMYFUNCTION("""COMPUTED_VALUE"""),"")</f>
        <v/>
      </c>
      <c r="CK171" s="95" t="str">
        <f>IFERROR(__xludf.DUMMYFUNCTION("""COMPUTED_VALUE"""),"")</f>
        <v/>
      </c>
      <c r="CL171" s="96" t="str">
        <f>IFERROR(__xludf.DUMMYFUNCTION("""COMPUTED_VALUE"""),"")</f>
        <v/>
      </c>
      <c r="CM171" s="97" t="str">
        <f>IFERROR(__xludf.DUMMYFUNCTION("""COMPUTED_VALUE"""),"")</f>
        <v/>
      </c>
      <c r="CN171" s="95" t="str">
        <f>IFERROR(__xludf.DUMMYFUNCTION("""COMPUTED_VALUE"""),"")</f>
        <v/>
      </c>
      <c r="CO171" s="96" t="str">
        <f>IFERROR(__xludf.DUMMYFUNCTION("""COMPUTED_VALUE"""),"")</f>
        <v/>
      </c>
      <c r="CP171" s="97" t="str">
        <f>IFERROR(__xludf.DUMMYFUNCTION("""COMPUTED_VALUE"""),"")</f>
        <v/>
      </c>
      <c r="CQ171" s="95">
        <f>IFERROR(__xludf.DUMMYFUNCTION("""COMPUTED_VALUE"""),5.3)</f>
        <v>5.3</v>
      </c>
      <c r="CR171" s="96" t="str">
        <f>IFERROR(__xludf.DUMMYFUNCTION("""COMPUTED_VALUE"""),"")</f>
        <v/>
      </c>
      <c r="CS171" s="97" t="str">
        <f>IFERROR(__xludf.DUMMYFUNCTION("""COMPUTED_VALUE"""),"#REF!")</f>
        <v>#REF!</v>
      </c>
      <c r="CT171" s="95" t="str">
        <f>IFERROR(__xludf.DUMMYFUNCTION("""COMPUTED_VALUE"""),"#REF!")</f>
        <v>#REF!</v>
      </c>
      <c r="CU171" s="96" t="str">
        <f>IFERROR(__xludf.DUMMYFUNCTION("""COMPUTED_VALUE"""),"#REF!")</f>
        <v>#REF!</v>
      </c>
      <c r="CV171" s="97" t="str">
        <f>IFERROR(__xludf.DUMMYFUNCTION("""COMPUTED_VALUE"""),"#REF!")</f>
        <v>#REF!</v>
      </c>
      <c r="CW171" s="95" t="str">
        <f>IFERROR(__xludf.DUMMYFUNCTION("""COMPUTED_VALUE"""),"#REF!")</f>
        <v>#REF!</v>
      </c>
      <c r="CX171" s="96" t="str">
        <f>IFERROR(__xludf.DUMMYFUNCTION("""COMPUTED_VALUE"""),"#REF!")</f>
        <v>#REF!</v>
      </c>
      <c r="CY171" s="97" t="str">
        <f>IFERROR(__xludf.DUMMYFUNCTION("""COMPUTED_VALUE"""),"#REF!")</f>
        <v>#REF!</v>
      </c>
      <c r="CZ171" s="95" t="str">
        <f>IFERROR(__xludf.DUMMYFUNCTION("""COMPUTED_VALUE"""),"#REF!")</f>
        <v>#REF!</v>
      </c>
      <c r="DA171" s="96" t="str">
        <f>IFERROR(__xludf.DUMMYFUNCTION("""COMPUTED_VALUE"""),"#REF!")</f>
        <v>#REF!</v>
      </c>
      <c r="DB171" s="97" t="str">
        <f>IFERROR(__xludf.DUMMYFUNCTION("""COMPUTED_VALUE"""),"#REF!")</f>
        <v>#REF!</v>
      </c>
      <c r="DC171" s="95" t="str">
        <f>IFERROR(__xludf.DUMMYFUNCTION("""COMPUTED_VALUE"""),"#REF!")</f>
        <v>#REF!</v>
      </c>
      <c r="DD171" s="96" t="str">
        <f>IFERROR(__xludf.DUMMYFUNCTION("""COMPUTED_VALUE"""),"#REF!")</f>
        <v>#REF!</v>
      </c>
      <c r="DE171" s="97" t="str">
        <f>IFERROR(__xludf.DUMMYFUNCTION("""COMPUTED_VALUE"""),"#REF!")</f>
        <v>#REF!</v>
      </c>
      <c r="DF171" s="95" t="str">
        <f>IFERROR(__xludf.DUMMYFUNCTION("""COMPUTED_VALUE"""),"#REF!")</f>
        <v>#REF!</v>
      </c>
      <c r="DG171" s="96" t="str">
        <f>IFERROR(__xludf.DUMMYFUNCTION("""COMPUTED_VALUE"""),"#REF!")</f>
        <v>#REF!</v>
      </c>
      <c r="DH171" s="97" t="str">
        <f>IFERROR(__xludf.DUMMYFUNCTION("""COMPUTED_VALUE"""),"#REF!")</f>
        <v>#REF!</v>
      </c>
      <c r="DI171" s="95" t="str">
        <f>IFERROR(__xludf.DUMMYFUNCTION("""COMPUTED_VALUE"""),"#REF!")</f>
        <v>#REF!</v>
      </c>
      <c r="DJ171" s="96" t="str">
        <f>IFERROR(__xludf.DUMMYFUNCTION("""COMPUTED_VALUE"""),"#REF!")</f>
        <v>#REF!</v>
      </c>
      <c r="DK171" s="97" t="str">
        <f>IFERROR(__xludf.DUMMYFUNCTION("""COMPUTED_VALUE"""),"#REF!")</f>
        <v>#REF!</v>
      </c>
      <c r="DL171" s="95" t="str">
        <f>IFERROR(__xludf.DUMMYFUNCTION("""COMPUTED_VALUE"""),"#REF!")</f>
        <v>#REF!</v>
      </c>
      <c r="DM171" s="96" t="str">
        <f>IFERROR(__xludf.DUMMYFUNCTION("""COMPUTED_VALUE"""),"#REF!")</f>
        <v>#REF!</v>
      </c>
      <c r="DN171" s="97" t="str">
        <f>IFERROR(__xludf.DUMMYFUNCTION("""COMPUTED_VALUE"""),"#REF!")</f>
        <v>#REF!</v>
      </c>
      <c r="DO171" s="95" t="str">
        <f>IFERROR(__xludf.DUMMYFUNCTION("""COMPUTED_VALUE"""),"#REF!")</f>
        <v>#REF!</v>
      </c>
      <c r="DP171" s="96" t="str">
        <f>IFERROR(__xludf.DUMMYFUNCTION("""COMPUTED_VALUE"""),"#REF!")</f>
        <v>#REF!</v>
      </c>
      <c r="DQ171" s="97"/>
      <c r="DR171" s="95"/>
    </row>
    <row r="172">
      <c r="A172" s="160" t="str">
        <f>IFERROR(__xludf.DUMMYFUNCTION("""COMPUTED_VALUE"""),"SALEM")</f>
        <v>SALEM</v>
      </c>
      <c r="B172" s="120" t="str">
        <f>IFERROR(__xludf.DUMMYFUNCTION("""COMPUTED_VALUE"""),"SLM1")</f>
        <v>SLM1</v>
      </c>
      <c r="C172" s="82">
        <f>IFERROR(__xludf.DUMMYFUNCTION("""COMPUTED_VALUE"""),165.0)</f>
        <v>165</v>
      </c>
      <c r="D172" s="88" t="str">
        <f>IFERROR(__xludf.DUMMYFUNCTION("""COMPUTED_VALUE"""),"Quiet Forest")</f>
        <v>Quiet Forest</v>
      </c>
      <c r="E172" s="82" t="str">
        <f>IFERROR(__xludf.DUMMYFUNCTION("""COMPUTED_VALUE"""),"静寂な森")</f>
        <v>静寂な森</v>
      </c>
      <c r="F172" s="102">
        <f>IFERROR(__xludf.DUMMYFUNCTION("""COMPUTED_VALUE"""),20.0)</f>
        <v>20</v>
      </c>
      <c r="G172" s="82">
        <f>IFERROR(__xludf.DUMMYFUNCTION("""COMPUTED_VALUE"""),3543.0)</f>
        <v>3543</v>
      </c>
      <c r="H172" s="231" t="str">
        <f>IFERROR(__xludf.DUMMYFUNCTION("""COMPUTED_VALUE"""),"")</f>
        <v/>
      </c>
      <c r="I172" s="232" t="str">
        <f>IFERROR(__xludf.DUMMYFUNCTION("""COMPUTED_VALUE"""),"")</f>
        <v/>
      </c>
      <c r="J172" s="233" t="str">
        <f>IFERROR(__xludf.DUMMYFUNCTION("""COMPUTED_VALUE"""),"")</f>
        <v/>
      </c>
      <c r="K172" s="231" t="str">
        <f>IFERROR(__xludf.DUMMYFUNCTION("""COMPUTED_VALUE"""),"")</f>
        <v/>
      </c>
      <c r="L172" s="232" t="str">
        <f>IFERROR(__xludf.DUMMYFUNCTION("""COMPUTED_VALUE"""),"")</f>
        <v/>
      </c>
      <c r="M172" s="233" t="str">
        <f>IFERROR(__xludf.DUMMYFUNCTION("""COMPUTED_VALUE"""),"")</f>
        <v/>
      </c>
      <c r="N172" s="231" t="str">
        <f>IFERROR(__xludf.DUMMYFUNCTION("""COMPUTED_VALUE"""),"")</f>
        <v/>
      </c>
      <c r="O172" s="232" t="str">
        <f>IFERROR(__xludf.DUMMYFUNCTION("""COMPUTED_VALUE"""),"")</f>
        <v/>
      </c>
      <c r="P172" s="233" t="str">
        <f>IFERROR(__xludf.DUMMYFUNCTION("""COMPUTED_VALUE"""),"")</f>
        <v/>
      </c>
      <c r="Q172" s="231" t="str">
        <f>IFERROR(__xludf.DUMMYFUNCTION("""COMPUTED_VALUE"""),"")</f>
        <v/>
      </c>
      <c r="R172" s="232" t="str">
        <f>IFERROR(__xludf.DUMMYFUNCTION("""COMPUTED_VALUE"""),"")</f>
        <v/>
      </c>
      <c r="S172" s="233" t="str">
        <f>IFERROR(__xludf.DUMMYFUNCTION("""COMPUTED_VALUE"""),"")</f>
        <v/>
      </c>
      <c r="T172" s="231" t="str">
        <f>IFERROR(__xludf.DUMMYFUNCTION("""COMPUTED_VALUE"""),"")</f>
        <v/>
      </c>
      <c r="U172" s="232" t="str">
        <f>IFERROR(__xludf.DUMMYFUNCTION("""COMPUTED_VALUE"""),"")</f>
        <v/>
      </c>
      <c r="V172" s="233" t="str">
        <f>IFERROR(__xludf.DUMMYFUNCTION("""COMPUTED_VALUE"""),"")</f>
        <v/>
      </c>
      <c r="W172" s="231" t="str">
        <f>IFERROR(__xludf.DUMMYFUNCTION("""COMPUTED_VALUE"""),"")</f>
        <v/>
      </c>
      <c r="X172" s="232" t="str">
        <f>IFERROR(__xludf.DUMMYFUNCTION("""COMPUTED_VALUE"""),"")</f>
        <v/>
      </c>
      <c r="Y172" s="233" t="str">
        <f>IFERROR(__xludf.DUMMYFUNCTION("""COMPUTED_VALUE"""),"")</f>
        <v/>
      </c>
      <c r="Z172" s="231">
        <f>IFERROR(__xludf.DUMMYFUNCTION("""COMPUTED_VALUE"""),48.2)</f>
        <v>48.2</v>
      </c>
      <c r="AA172" s="232" t="str">
        <f>IFERROR(__xludf.DUMMYFUNCTION("""COMPUTED_VALUE"""),"")</f>
        <v/>
      </c>
      <c r="AB172" s="233" t="str">
        <f>IFERROR(__xludf.DUMMYFUNCTION("""COMPUTED_VALUE"""),"")</f>
        <v/>
      </c>
      <c r="AC172" s="231" t="str">
        <f>IFERROR(__xludf.DUMMYFUNCTION("""COMPUTED_VALUE"""),"")</f>
        <v/>
      </c>
      <c r="AD172" s="232" t="str">
        <f>IFERROR(__xludf.DUMMYFUNCTION("""COMPUTED_VALUE"""),"")</f>
        <v/>
      </c>
      <c r="AE172" s="233" t="str">
        <f>IFERROR(__xludf.DUMMYFUNCTION("""COMPUTED_VALUE"""),"")</f>
        <v/>
      </c>
      <c r="AF172" s="231" t="str">
        <f>IFERROR(__xludf.DUMMYFUNCTION("""COMPUTED_VALUE"""),"")</f>
        <v/>
      </c>
      <c r="AG172" s="232" t="str">
        <f>IFERROR(__xludf.DUMMYFUNCTION("""COMPUTED_VALUE"""),"")</f>
        <v/>
      </c>
      <c r="AH172" s="233" t="str">
        <f>IFERROR(__xludf.DUMMYFUNCTION("""COMPUTED_VALUE"""),"")</f>
        <v/>
      </c>
      <c r="AI172" s="231" t="str">
        <f>IFERROR(__xludf.DUMMYFUNCTION("""COMPUTED_VALUE"""),"")</f>
        <v/>
      </c>
      <c r="AJ172" s="232" t="str">
        <f>IFERROR(__xludf.DUMMYFUNCTION("""COMPUTED_VALUE"""),"")</f>
        <v/>
      </c>
      <c r="AK172" s="233" t="str">
        <f>IFERROR(__xludf.DUMMYFUNCTION("""COMPUTED_VALUE"""),"")</f>
        <v/>
      </c>
      <c r="AL172" s="231" t="str">
        <f>IFERROR(__xludf.DUMMYFUNCTION("""COMPUTED_VALUE"""),"")</f>
        <v/>
      </c>
      <c r="AM172" s="232" t="str">
        <f>IFERROR(__xludf.DUMMYFUNCTION("""COMPUTED_VALUE"""),"")</f>
        <v/>
      </c>
      <c r="AN172" s="233" t="str">
        <f>IFERROR(__xludf.DUMMYFUNCTION("""COMPUTED_VALUE"""),"")</f>
        <v/>
      </c>
      <c r="AO172" s="231" t="str">
        <f>IFERROR(__xludf.DUMMYFUNCTION("""COMPUTED_VALUE"""),"")</f>
        <v/>
      </c>
      <c r="AP172" s="232" t="str">
        <f>IFERROR(__xludf.DUMMYFUNCTION("""COMPUTED_VALUE"""),"")</f>
        <v/>
      </c>
      <c r="AQ172" s="233" t="str">
        <f>IFERROR(__xludf.DUMMYFUNCTION("""COMPUTED_VALUE"""),"")</f>
        <v/>
      </c>
      <c r="AR172" s="231" t="str">
        <f>IFERROR(__xludf.DUMMYFUNCTION("""COMPUTED_VALUE"""),"")</f>
        <v/>
      </c>
      <c r="AS172" s="232" t="str">
        <f>IFERROR(__xludf.DUMMYFUNCTION("""COMPUTED_VALUE"""),"")</f>
        <v/>
      </c>
      <c r="AT172" s="233" t="str">
        <f>IFERROR(__xludf.DUMMYFUNCTION("""COMPUTED_VALUE"""),"")</f>
        <v/>
      </c>
      <c r="AU172" s="231" t="str">
        <f>IFERROR(__xludf.DUMMYFUNCTION("""COMPUTED_VALUE"""),"")</f>
        <v/>
      </c>
      <c r="AV172" s="232" t="str">
        <f>IFERROR(__xludf.DUMMYFUNCTION("""COMPUTED_VALUE"""),"")</f>
        <v/>
      </c>
      <c r="AW172" s="233" t="str">
        <f>IFERROR(__xludf.DUMMYFUNCTION("""COMPUTED_VALUE"""),"")</f>
        <v/>
      </c>
      <c r="AX172" s="231" t="str">
        <f>IFERROR(__xludf.DUMMYFUNCTION("""COMPUTED_VALUE"""),"")</f>
        <v/>
      </c>
      <c r="AY172" s="232" t="str">
        <f>IFERROR(__xludf.DUMMYFUNCTION("""COMPUTED_VALUE"""),"")</f>
        <v/>
      </c>
      <c r="AZ172" s="233" t="str">
        <f>IFERROR(__xludf.DUMMYFUNCTION("""COMPUTED_VALUE"""),"")</f>
        <v/>
      </c>
      <c r="BA172" s="231" t="str">
        <f>IFERROR(__xludf.DUMMYFUNCTION("""COMPUTED_VALUE"""),"")</f>
        <v/>
      </c>
      <c r="BB172" s="232" t="str">
        <f>IFERROR(__xludf.DUMMYFUNCTION("""COMPUTED_VALUE"""),"")</f>
        <v/>
      </c>
      <c r="BC172" s="233" t="str">
        <f>IFERROR(__xludf.DUMMYFUNCTION("""COMPUTED_VALUE"""),"")</f>
        <v/>
      </c>
      <c r="BD172" s="231" t="str">
        <f>IFERROR(__xludf.DUMMYFUNCTION("""COMPUTED_VALUE"""),"")</f>
        <v/>
      </c>
      <c r="BE172" s="232" t="str">
        <f>IFERROR(__xludf.DUMMYFUNCTION("""COMPUTED_VALUE"""),"")</f>
        <v/>
      </c>
      <c r="BF172" s="233" t="str">
        <f>IFERROR(__xludf.DUMMYFUNCTION("""COMPUTED_VALUE"""),"")</f>
        <v/>
      </c>
      <c r="BG172" s="231" t="str">
        <f>IFERROR(__xludf.DUMMYFUNCTION("""COMPUTED_VALUE"""),"")</f>
        <v/>
      </c>
      <c r="BH172" s="232" t="str">
        <f>IFERROR(__xludf.DUMMYFUNCTION("""COMPUTED_VALUE"""),"")</f>
        <v/>
      </c>
      <c r="BI172" s="233" t="str">
        <f>IFERROR(__xludf.DUMMYFUNCTION("""COMPUTED_VALUE"""),"")</f>
        <v/>
      </c>
      <c r="BJ172" s="231" t="str">
        <f>IFERROR(__xludf.DUMMYFUNCTION("""COMPUTED_VALUE"""),"")</f>
        <v/>
      </c>
      <c r="BK172" s="232" t="str">
        <f>IFERROR(__xludf.DUMMYFUNCTION("""COMPUTED_VALUE"""),"")</f>
        <v/>
      </c>
      <c r="BL172" s="233" t="str">
        <f>IFERROR(__xludf.DUMMYFUNCTION("""COMPUTED_VALUE"""),"")</f>
        <v/>
      </c>
      <c r="BM172" s="231" t="str">
        <f>IFERROR(__xludf.DUMMYFUNCTION("""COMPUTED_VALUE"""),"")</f>
        <v/>
      </c>
      <c r="BN172" s="232" t="str">
        <f>IFERROR(__xludf.DUMMYFUNCTION("""COMPUTED_VALUE"""),"")</f>
        <v/>
      </c>
      <c r="BO172" s="233" t="str">
        <f>IFERROR(__xludf.DUMMYFUNCTION("""COMPUTED_VALUE"""),"")</f>
        <v/>
      </c>
      <c r="BP172" s="231" t="str">
        <f>IFERROR(__xludf.DUMMYFUNCTION("""COMPUTED_VALUE"""),"")</f>
        <v/>
      </c>
      <c r="BQ172" s="232" t="str">
        <f>IFERROR(__xludf.DUMMYFUNCTION("""COMPUTED_VALUE"""),"")</f>
        <v/>
      </c>
      <c r="BR172" s="233" t="str">
        <f>IFERROR(__xludf.DUMMYFUNCTION("""COMPUTED_VALUE"""),"")</f>
        <v/>
      </c>
      <c r="BS172" s="231" t="str">
        <f>IFERROR(__xludf.DUMMYFUNCTION("""COMPUTED_VALUE"""),"")</f>
        <v/>
      </c>
      <c r="BT172" s="232">
        <f>IFERROR(__xludf.DUMMYFUNCTION("""COMPUTED_VALUE"""),45.8)</f>
        <v>45.8</v>
      </c>
      <c r="BU172" s="233" t="str">
        <f>IFERROR(__xludf.DUMMYFUNCTION("""COMPUTED_VALUE"""),"")</f>
        <v/>
      </c>
      <c r="BV172" s="231" t="str">
        <f>IFERROR(__xludf.DUMMYFUNCTION("""COMPUTED_VALUE"""),"")</f>
        <v/>
      </c>
      <c r="BW172" s="232" t="str">
        <f>IFERROR(__xludf.DUMMYFUNCTION("""COMPUTED_VALUE"""),"")</f>
        <v/>
      </c>
      <c r="BX172" s="233" t="str">
        <f>IFERROR(__xludf.DUMMYFUNCTION("""COMPUTED_VALUE"""),"")</f>
        <v/>
      </c>
      <c r="BY172" s="231" t="str">
        <f>IFERROR(__xludf.DUMMYFUNCTION("""COMPUTED_VALUE"""),"")</f>
        <v/>
      </c>
      <c r="BZ172" s="232" t="str">
        <f>IFERROR(__xludf.DUMMYFUNCTION("""COMPUTED_VALUE"""),"")</f>
        <v/>
      </c>
      <c r="CA172" s="233" t="str">
        <f>IFERROR(__xludf.DUMMYFUNCTION("""COMPUTED_VALUE"""),"")</f>
        <v/>
      </c>
      <c r="CB172" s="231" t="str">
        <f>IFERROR(__xludf.DUMMYFUNCTION("""COMPUTED_VALUE"""),"")</f>
        <v/>
      </c>
      <c r="CC172" s="232" t="str">
        <f>IFERROR(__xludf.DUMMYFUNCTION("""COMPUTED_VALUE"""),"")</f>
        <v/>
      </c>
      <c r="CD172" s="233" t="str">
        <f>IFERROR(__xludf.DUMMYFUNCTION("""COMPUTED_VALUE"""),"")</f>
        <v/>
      </c>
      <c r="CE172" s="234" t="str">
        <f>IFERROR(__xludf.DUMMYFUNCTION("""COMPUTED_VALUE"""),"")</f>
        <v/>
      </c>
      <c r="CF172" s="230" t="str">
        <f>IFERROR(__xludf.DUMMYFUNCTION("""COMPUTED_VALUE"""),"")</f>
        <v/>
      </c>
      <c r="CG172" s="235" t="str">
        <f>IFERROR(__xludf.DUMMYFUNCTION("""COMPUTED_VALUE"""),"")</f>
        <v/>
      </c>
      <c r="CH172" s="234" t="str">
        <f>IFERROR(__xludf.DUMMYFUNCTION("""COMPUTED_VALUE"""),"")</f>
        <v/>
      </c>
      <c r="CI172" s="230" t="str">
        <f>IFERROR(__xludf.DUMMYFUNCTION("""COMPUTED_VALUE"""),"")</f>
        <v/>
      </c>
      <c r="CJ172" s="235" t="str">
        <f>IFERROR(__xludf.DUMMYFUNCTION("""COMPUTED_VALUE"""),"")</f>
        <v/>
      </c>
      <c r="CK172" s="95" t="str">
        <f>IFERROR(__xludf.DUMMYFUNCTION("""COMPUTED_VALUE"""),"")</f>
        <v/>
      </c>
      <c r="CL172" s="96" t="str">
        <f>IFERROR(__xludf.DUMMYFUNCTION("""COMPUTED_VALUE"""),"")</f>
        <v/>
      </c>
      <c r="CM172" s="97" t="str">
        <f>IFERROR(__xludf.DUMMYFUNCTION("""COMPUTED_VALUE"""),"")</f>
        <v/>
      </c>
      <c r="CN172" s="95" t="str">
        <f>IFERROR(__xludf.DUMMYFUNCTION("""COMPUTED_VALUE"""),"")</f>
        <v/>
      </c>
      <c r="CO172" s="96" t="str">
        <f>IFERROR(__xludf.DUMMYFUNCTION("""COMPUTED_VALUE"""),"")</f>
        <v/>
      </c>
      <c r="CP172" s="97" t="str">
        <f>IFERROR(__xludf.DUMMYFUNCTION("""COMPUTED_VALUE"""),"")</f>
        <v/>
      </c>
      <c r="CQ172" s="95" t="str">
        <f>IFERROR(__xludf.DUMMYFUNCTION("""COMPUTED_VALUE"""),"")</f>
        <v/>
      </c>
      <c r="CR172" s="96" t="str">
        <f>IFERROR(__xludf.DUMMYFUNCTION("""COMPUTED_VALUE"""),"")</f>
        <v/>
      </c>
      <c r="CS172" s="97" t="str">
        <f>IFERROR(__xludf.DUMMYFUNCTION("""COMPUTED_VALUE"""),"#REF!")</f>
        <v>#REF!</v>
      </c>
      <c r="CT172" s="95" t="str">
        <f>IFERROR(__xludf.DUMMYFUNCTION("""COMPUTED_VALUE"""),"#REF!")</f>
        <v>#REF!</v>
      </c>
      <c r="CU172" s="96" t="str">
        <f>IFERROR(__xludf.DUMMYFUNCTION("""COMPUTED_VALUE"""),"#REF!")</f>
        <v>#REF!</v>
      </c>
      <c r="CV172" s="97" t="str">
        <f>IFERROR(__xludf.DUMMYFUNCTION("""COMPUTED_VALUE"""),"#REF!")</f>
        <v>#REF!</v>
      </c>
      <c r="CW172" s="95" t="str">
        <f>IFERROR(__xludf.DUMMYFUNCTION("""COMPUTED_VALUE"""),"#REF!")</f>
        <v>#REF!</v>
      </c>
      <c r="CX172" s="96" t="str">
        <f>IFERROR(__xludf.DUMMYFUNCTION("""COMPUTED_VALUE"""),"#REF!")</f>
        <v>#REF!</v>
      </c>
      <c r="CY172" s="97" t="str">
        <f>IFERROR(__xludf.DUMMYFUNCTION("""COMPUTED_VALUE"""),"#REF!")</f>
        <v>#REF!</v>
      </c>
      <c r="CZ172" s="95" t="str">
        <f>IFERROR(__xludf.DUMMYFUNCTION("""COMPUTED_VALUE"""),"#REF!")</f>
        <v>#REF!</v>
      </c>
      <c r="DA172" s="96" t="str">
        <f>IFERROR(__xludf.DUMMYFUNCTION("""COMPUTED_VALUE"""),"#REF!")</f>
        <v>#REF!</v>
      </c>
      <c r="DB172" s="97" t="str">
        <f>IFERROR(__xludf.DUMMYFUNCTION("""COMPUTED_VALUE"""),"#REF!")</f>
        <v>#REF!</v>
      </c>
      <c r="DC172" s="95" t="str">
        <f>IFERROR(__xludf.DUMMYFUNCTION("""COMPUTED_VALUE"""),"#REF!")</f>
        <v>#REF!</v>
      </c>
      <c r="DD172" s="96" t="str">
        <f>IFERROR(__xludf.DUMMYFUNCTION("""COMPUTED_VALUE"""),"#REF!")</f>
        <v>#REF!</v>
      </c>
      <c r="DE172" s="97" t="str">
        <f>IFERROR(__xludf.DUMMYFUNCTION("""COMPUTED_VALUE"""),"#REF!")</f>
        <v>#REF!</v>
      </c>
      <c r="DF172" s="95" t="str">
        <f>IFERROR(__xludf.DUMMYFUNCTION("""COMPUTED_VALUE"""),"#REF!")</f>
        <v>#REF!</v>
      </c>
      <c r="DG172" s="96" t="str">
        <f>IFERROR(__xludf.DUMMYFUNCTION("""COMPUTED_VALUE"""),"#REF!")</f>
        <v>#REF!</v>
      </c>
      <c r="DH172" s="97" t="str">
        <f>IFERROR(__xludf.DUMMYFUNCTION("""COMPUTED_VALUE"""),"#REF!")</f>
        <v>#REF!</v>
      </c>
      <c r="DI172" s="95" t="str">
        <f>IFERROR(__xludf.DUMMYFUNCTION("""COMPUTED_VALUE"""),"#REF!")</f>
        <v>#REF!</v>
      </c>
      <c r="DJ172" s="96" t="str">
        <f>IFERROR(__xludf.DUMMYFUNCTION("""COMPUTED_VALUE"""),"#REF!")</f>
        <v>#REF!</v>
      </c>
      <c r="DK172" s="97" t="str">
        <f>IFERROR(__xludf.DUMMYFUNCTION("""COMPUTED_VALUE"""),"#REF!")</f>
        <v>#REF!</v>
      </c>
      <c r="DL172" s="95" t="str">
        <f>IFERROR(__xludf.DUMMYFUNCTION("""COMPUTED_VALUE"""),"#REF!")</f>
        <v>#REF!</v>
      </c>
      <c r="DM172" s="96" t="str">
        <f>IFERROR(__xludf.DUMMYFUNCTION("""COMPUTED_VALUE"""),"#REF!")</f>
        <v>#REF!</v>
      </c>
      <c r="DN172" s="97" t="str">
        <f>IFERROR(__xludf.DUMMYFUNCTION("""COMPUTED_VALUE"""),"#REF!")</f>
        <v>#REF!</v>
      </c>
      <c r="DO172" s="95" t="str">
        <f>IFERROR(__xludf.DUMMYFUNCTION("""COMPUTED_VALUE"""),"#REF!")</f>
        <v>#REF!</v>
      </c>
      <c r="DP172" s="96" t="str">
        <f>IFERROR(__xludf.DUMMYFUNCTION("""COMPUTED_VALUE"""),"#REF!")</f>
        <v>#REF!</v>
      </c>
      <c r="DQ172" s="97"/>
      <c r="DR172" s="95"/>
    </row>
    <row r="173">
      <c r="B173" s="120" t="str">
        <f>IFERROR(__xludf.DUMMYFUNCTION("""COMPUTED_VALUE"""),"SLM2")</f>
        <v>SLM2</v>
      </c>
      <c r="C173" s="82">
        <f>IFERROR(__xludf.DUMMYFUNCTION("""COMPUTED_VALUE"""),166.0)</f>
        <v>166</v>
      </c>
      <c r="D173" s="88" t="str">
        <f>IFERROR(__xludf.DUMMYFUNCTION("""COMPUTED_VALUE"""),"Carter Residence")</f>
        <v>Carter Residence</v>
      </c>
      <c r="E173" s="82" t="str">
        <f>IFERROR(__xludf.DUMMYFUNCTION("""COMPUTED_VALUE"""),"カーター家")</f>
        <v>カーター家</v>
      </c>
      <c r="F173" s="102">
        <f>IFERROR(__xludf.DUMMYFUNCTION("""COMPUTED_VALUE"""),20.0)</f>
        <v>20</v>
      </c>
      <c r="G173" s="82">
        <f>IFERROR(__xludf.DUMMYFUNCTION("""COMPUTED_VALUE"""),120434.0)</f>
        <v>120434</v>
      </c>
      <c r="H173" s="231" t="str">
        <f>IFERROR(__xludf.DUMMYFUNCTION("""COMPUTED_VALUE"""),"")</f>
        <v/>
      </c>
      <c r="I173" s="232">
        <f>IFERROR(__xludf.DUMMYFUNCTION("""COMPUTED_VALUE"""),12.3)</f>
        <v>12.3</v>
      </c>
      <c r="J173" s="233" t="str">
        <f>IFERROR(__xludf.DUMMYFUNCTION("""COMPUTED_VALUE"""),"")</f>
        <v/>
      </c>
      <c r="K173" s="231" t="str">
        <f>IFERROR(__xludf.DUMMYFUNCTION("""COMPUTED_VALUE"""),"")</f>
        <v/>
      </c>
      <c r="L173" s="232" t="str">
        <f>IFERROR(__xludf.DUMMYFUNCTION("""COMPUTED_VALUE"""),"")</f>
        <v/>
      </c>
      <c r="M173" s="233" t="str">
        <f>IFERROR(__xludf.DUMMYFUNCTION("""COMPUTED_VALUE"""),"")</f>
        <v/>
      </c>
      <c r="N173" s="231" t="str">
        <f>IFERROR(__xludf.DUMMYFUNCTION("""COMPUTED_VALUE"""),"")</f>
        <v/>
      </c>
      <c r="O173" s="232" t="str">
        <f>IFERROR(__xludf.DUMMYFUNCTION("""COMPUTED_VALUE"""),"")</f>
        <v/>
      </c>
      <c r="P173" s="233" t="str">
        <f>IFERROR(__xludf.DUMMYFUNCTION("""COMPUTED_VALUE"""),"")</f>
        <v/>
      </c>
      <c r="Q173" s="231" t="str">
        <f>IFERROR(__xludf.DUMMYFUNCTION("""COMPUTED_VALUE"""),"")</f>
        <v/>
      </c>
      <c r="R173" s="232" t="str">
        <f>IFERROR(__xludf.DUMMYFUNCTION("""COMPUTED_VALUE"""),"")</f>
        <v/>
      </c>
      <c r="S173" s="233" t="str">
        <f>IFERROR(__xludf.DUMMYFUNCTION("""COMPUTED_VALUE"""),"")</f>
        <v/>
      </c>
      <c r="T173" s="231" t="str">
        <f>IFERROR(__xludf.DUMMYFUNCTION("""COMPUTED_VALUE"""),"")</f>
        <v/>
      </c>
      <c r="U173" s="232" t="str">
        <f>IFERROR(__xludf.DUMMYFUNCTION("""COMPUTED_VALUE"""),"")</f>
        <v/>
      </c>
      <c r="V173" s="233" t="str">
        <f>IFERROR(__xludf.DUMMYFUNCTION("""COMPUTED_VALUE"""),"")</f>
        <v/>
      </c>
      <c r="W173" s="231" t="str">
        <f>IFERROR(__xludf.DUMMYFUNCTION("""COMPUTED_VALUE"""),"")</f>
        <v/>
      </c>
      <c r="X173" s="232" t="str">
        <f>IFERROR(__xludf.DUMMYFUNCTION("""COMPUTED_VALUE"""),"")</f>
        <v/>
      </c>
      <c r="Y173" s="233" t="str">
        <f>IFERROR(__xludf.DUMMYFUNCTION("""COMPUTED_VALUE"""),"")</f>
        <v/>
      </c>
      <c r="Z173" s="231" t="str">
        <f>IFERROR(__xludf.DUMMYFUNCTION("""COMPUTED_VALUE"""),"")</f>
        <v/>
      </c>
      <c r="AA173" s="232" t="str">
        <f>IFERROR(__xludf.DUMMYFUNCTION("""COMPUTED_VALUE"""),"")</f>
        <v/>
      </c>
      <c r="AB173" s="233" t="str">
        <f>IFERROR(__xludf.DUMMYFUNCTION("""COMPUTED_VALUE"""),"")</f>
        <v/>
      </c>
      <c r="AC173" s="231" t="str">
        <f>IFERROR(__xludf.DUMMYFUNCTION("""COMPUTED_VALUE"""),"")</f>
        <v/>
      </c>
      <c r="AD173" s="232" t="str">
        <f>IFERROR(__xludf.DUMMYFUNCTION("""COMPUTED_VALUE"""),"")</f>
        <v/>
      </c>
      <c r="AE173" s="233" t="str">
        <f>IFERROR(__xludf.DUMMYFUNCTION("""COMPUTED_VALUE"""),"")</f>
        <v/>
      </c>
      <c r="AF173" s="231" t="str">
        <f>IFERROR(__xludf.DUMMYFUNCTION("""COMPUTED_VALUE"""),"")</f>
        <v/>
      </c>
      <c r="AG173" s="232" t="str">
        <f>IFERROR(__xludf.DUMMYFUNCTION("""COMPUTED_VALUE"""),"")</f>
        <v/>
      </c>
      <c r="AH173" s="233" t="str">
        <f>IFERROR(__xludf.DUMMYFUNCTION("""COMPUTED_VALUE"""),"")</f>
        <v/>
      </c>
      <c r="AI173" s="231" t="str">
        <f>IFERROR(__xludf.DUMMYFUNCTION("""COMPUTED_VALUE"""),"")</f>
        <v/>
      </c>
      <c r="AJ173" s="232" t="str">
        <f>IFERROR(__xludf.DUMMYFUNCTION("""COMPUTED_VALUE"""),"")</f>
        <v/>
      </c>
      <c r="AK173" s="233" t="str">
        <f>IFERROR(__xludf.DUMMYFUNCTION("""COMPUTED_VALUE"""),"")</f>
        <v/>
      </c>
      <c r="AL173" s="231" t="str">
        <f>IFERROR(__xludf.DUMMYFUNCTION("""COMPUTED_VALUE"""),"")</f>
        <v/>
      </c>
      <c r="AM173" s="232" t="str">
        <f>IFERROR(__xludf.DUMMYFUNCTION("""COMPUTED_VALUE"""),"")</f>
        <v/>
      </c>
      <c r="AN173" s="233" t="str">
        <f>IFERROR(__xludf.DUMMYFUNCTION("""COMPUTED_VALUE"""),"")</f>
        <v/>
      </c>
      <c r="AO173" s="231" t="str">
        <f>IFERROR(__xludf.DUMMYFUNCTION("""COMPUTED_VALUE"""),"")</f>
        <v/>
      </c>
      <c r="AP173" s="232" t="str">
        <f>IFERROR(__xludf.DUMMYFUNCTION("""COMPUTED_VALUE"""),"")</f>
        <v/>
      </c>
      <c r="AQ173" s="233" t="str">
        <f>IFERROR(__xludf.DUMMYFUNCTION("""COMPUTED_VALUE"""),"")</f>
        <v/>
      </c>
      <c r="AR173" s="231" t="str">
        <f>IFERROR(__xludf.DUMMYFUNCTION("""COMPUTED_VALUE"""),"")</f>
        <v/>
      </c>
      <c r="AS173" s="232" t="str">
        <f>IFERROR(__xludf.DUMMYFUNCTION("""COMPUTED_VALUE"""),"")</f>
        <v/>
      </c>
      <c r="AT173" s="233" t="str">
        <f>IFERROR(__xludf.DUMMYFUNCTION("""COMPUTED_VALUE"""),"")</f>
        <v/>
      </c>
      <c r="AU173" s="231" t="str">
        <f>IFERROR(__xludf.DUMMYFUNCTION("""COMPUTED_VALUE"""),"")</f>
        <v/>
      </c>
      <c r="AV173" s="232" t="str">
        <f>IFERROR(__xludf.DUMMYFUNCTION("""COMPUTED_VALUE"""),"")</f>
        <v/>
      </c>
      <c r="AW173" s="233" t="str">
        <f>IFERROR(__xludf.DUMMYFUNCTION("""COMPUTED_VALUE"""),"")</f>
        <v/>
      </c>
      <c r="AX173" s="231" t="str">
        <f>IFERROR(__xludf.DUMMYFUNCTION("""COMPUTED_VALUE"""),"")</f>
        <v/>
      </c>
      <c r="AY173" s="232" t="str">
        <f>IFERROR(__xludf.DUMMYFUNCTION("""COMPUTED_VALUE"""),"")</f>
        <v/>
      </c>
      <c r="AZ173" s="233" t="str">
        <f>IFERROR(__xludf.DUMMYFUNCTION("""COMPUTED_VALUE"""),"")</f>
        <v/>
      </c>
      <c r="BA173" s="231">
        <f>IFERROR(__xludf.DUMMYFUNCTION("""COMPUTED_VALUE"""),40.0)</f>
        <v>40</v>
      </c>
      <c r="BB173" s="232" t="str">
        <f>IFERROR(__xludf.DUMMYFUNCTION("""COMPUTED_VALUE"""),"")</f>
        <v/>
      </c>
      <c r="BC173" s="233" t="str">
        <f>IFERROR(__xludf.DUMMYFUNCTION("""COMPUTED_VALUE"""),"")</f>
        <v/>
      </c>
      <c r="BD173" s="231" t="str">
        <f>IFERROR(__xludf.DUMMYFUNCTION("""COMPUTED_VALUE"""),"")</f>
        <v/>
      </c>
      <c r="BE173" s="232" t="str">
        <f>IFERROR(__xludf.DUMMYFUNCTION("""COMPUTED_VALUE"""),"")</f>
        <v/>
      </c>
      <c r="BF173" s="233" t="str">
        <f>IFERROR(__xludf.DUMMYFUNCTION("""COMPUTED_VALUE"""),"")</f>
        <v/>
      </c>
      <c r="BG173" s="231">
        <f>IFERROR(__xludf.DUMMYFUNCTION("""COMPUTED_VALUE"""),4.4)</f>
        <v>4.4</v>
      </c>
      <c r="BH173" s="232" t="str">
        <f>IFERROR(__xludf.DUMMYFUNCTION("""COMPUTED_VALUE"""),"")</f>
        <v/>
      </c>
      <c r="BI173" s="233" t="str">
        <f>IFERROR(__xludf.DUMMYFUNCTION("""COMPUTED_VALUE"""),"")</f>
        <v/>
      </c>
      <c r="BJ173" s="231" t="str">
        <f>IFERROR(__xludf.DUMMYFUNCTION("""COMPUTED_VALUE"""),"")</f>
        <v/>
      </c>
      <c r="BK173" s="232" t="str">
        <f>IFERROR(__xludf.DUMMYFUNCTION("""COMPUTED_VALUE"""),"")</f>
        <v/>
      </c>
      <c r="BL173" s="233" t="str">
        <f>IFERROR(__xludf.DUMMYFUNCTION("""COMPUTED_VALUE"""),"")</f>
        <v/>
      </c>
      <c r="BM173" s="231" t="str">
        <f>IFERROR(__xludf.DUMMYFUNCTION("""COMPUTED_VALUE"""),"")</f>
        <v/>
      </c>
      <c r="BN173" s="232" t="str">
        <f>IFERROR(__xludf.DUMMYFUNCTION("""COMPUTED_VALUE"""),"")</f>
        <v/>
      </c>
      <c r="BO173" s="233">
        <f>IFERROR(__xludf.DUMMYFUNCTION("""COMPUTED_VALUE"""),24.9)</f>
        <v>24.9</v>
      </c>
      <c r="BP173" s="231" t="str">
        <f>IFERROR(__xludf.DUMMYFUNCTION("""COMPUTED_VALUE"""),"")</f>
        <v/>
      </c>
      <c r="BQ173" s="232" t="str">
        <f>IFERROR(__xludf.DUMMYFUNCTION("""COMPUTED_VALUE"""),"")</f>
        <v/>
      </c>
      <c r="BR173" s="233" t="str">
        <f>IFERROR(__xludf.DUMMYFUNCTION("""COMPUTED_VALUE"""),"")</f>
        <v/>
      </c>
      <c r="BS173" s="231" t="str">
        <f>IFERROR(__xludf.DUMMYFUNCTION("""COMPUTED_VALUE"""),"")</f>
        <v/>
      </c>
      <c r="BT173" s="232" t="str">
        <f>IFERROR(__xludf.DUMMYFUNCTION("""COMPUTED_VALUE"""),"")</f>
        <v/>
      </c>
      <c r="BU173" s="233" t="str">
        <f>IFERROR(__xludf.DUMMYFUNCTION("""COMPUTED_VALUE"""),"")</f>
        <v/>
      </c>
      <c r="BV173" s="231" t="str">
        <f>IFERROR(__xludf.DUMMYFUNCTION("""COMPUTED_VALUE"""),"")</f>
        <v/>
      </c>
      <c r="BW173" s="232" t="str">
        <f>IFERROR(__xludf.DUMMYFUNCTION("""COMPUTED_VALUE"""),"")</f>
        <v/>
      </c>
      <c r="BX173" s="233" t="str">
        <f>IFERROR(__xludf.DUMMYFUNCTION("""COMPUTED_VALUE"""),"")</f>
        <v/>
      </c>
      <c r="BY173" s="231" t="str">
        <f>IFERROR(__xludf.DUMMYFUNCTION("""COMPUTED_VALUE"""),"")</f>
        <v/>
      </c>
      <c r="BZ173" s="232" t="str">
        <f>IFERROR(__xludf.DUMMYFUNCTION("""COMPUTED_VALUE"""),"")</f>
        <v/>
      </c>
      <c r="CA173" s="233" t="str">
        <f>IFERROR(__xludf.DUMMYFUNCTION("""COMPUTED_VALUE"""),"")</f>
        <v/>
      </c>
      <c r="CB173" s="231" t="str">
        <f>IFERROR(__xludf.DUMMYFUNCTION("""COMPUTED_VALUE"""),"")</f>
        <v/>
      </c>
      <c r="CC173" s="232" t="str">
        <f>IFERROR(__xludf.DUMMYFUNCTION("""COMPUTED_VALUE"""),"")</f>
        <v/>
      </c>
      <c r="CD173" s="233" t="str">
        <f>IFERROR(__xludf.DUMMYFUNCTION("""COMPUTED_VALUE"""),"")</f>
        <v/>
      </c>
      <c r="CE173" s="234" t="str">
        <f>IFERROR(__xludf.DUMMYFUNCTION("""COMPUTED_VALUE"""),"")</f>
        <v/>
      </c>
      <c r="CF173" s="230" t="str">
        <f>IFERROR(__xludf.DUMMYFUNCTION("""COMPUTED_VALUE"""),"")</f>
        <v/>
      </c>
      <c r="CG173" s="235" t="str">
        <f>IFERROR(__xludf.DUMMYFUNCTION("""COMPUTED_VALUE"""),"")</f>
        <v/>
      </c>
      <c r="CH173" s="234" t="str">
        <f>IFERROR(__xludf.DUMMYFUNCTION("""COMPUTED_VALUE"""),"")</f>
        <v/>
      </c>
      <c r="CI173" s="230" t="str">
        <f>IFERROR(__xludf.DUMMYFUNCTION("""COMPUTED_VALUE"""),"")</f>
        <v/>
      </c>
      <c r="CJ173" s="235" t="str">
        <f>IFERROR(__xludf.DUMMYFUNCTION("""COMPUTED_VALUE"""),"")</f>
        <v/>
      </c>
      <c r="CK173" s="95" t="str">
        <f>IFERROR(__xludf.DUMMYFUNCTION("""COMPUTED_VALUE"""),"")</f>
        <v/>
      </c>
      <c r="CL173" s="96" t="str">
        <f>IFERROR(__xludf.DUMMYFUNCTION("""COMPUTED_VALUE"""),"")</f>
        <v/>
      </c>
      <c r="CM173" s="97" t="str">
        <f>IFERROR(__xludf.DUMMYFUNCTION("""COMPUTED_VALUE"""),"")</f>
        <v/>
      </c>
      <c r="CN173" s="95" t="str">
        <f>IFERROR(__xludf.DUMMYFUNCTION("""COMPUTED_VALUE"""),"")</f>
        <v/>
      </c>
      <c r="CO173" s="96" t="str">
        <f>IFERROR(__xludf.DUMMYFUNCTION("""COMPUTED_VALUE"""),"")</f>
        <v/>
      </c>
      <c r="CP173" s="97">
        <f>IFERROR(__xludf.DUMMYFUNCTION("""COMPUTED_VALUE"""),5.0)</f>
        <v>5</v>
      </c>
      <c r="CQ173" s="95">
        <f>IFERROR(__xludf.DUMMYFUNCTION("""COMPUTED_VALUE"""),24.1)</f>
        <v>24.1</v>
      </c>
      <c r="CR173" s="96" t="str">
        <f>IFERROR(__xludf.DUMMYFUNCTION("""COMPUTED_VALUE"""),"")</f>
        <v/>
      </c>
      <c r="CS173" s="97" t="str">
        <f>IFERROR(__xludf.DUMMYFUNCTION("""COMPUTED_VALUE"""),"#REF!")</f>
        <v>#REF!</v>
      </c>
      <c r="CT173" s="95" t="str">
        <f>IFERROR(__xludf.DUMMYFUNCTION("""COMPUTED_VALUE"""),"#REF!")</f>
        <v>#REF!</v>
      </c>
      <c r="CU173" s="96" t="str">
        <f>IFERROR(__xludf.DUMMYFUNCTION("""COMPUTED_VALUE"""),"#REF!")</f>
        <v>#REF!</v>
      </c>
      <c r="CV173" s="97" t="str">
        <f>IFERROR(__xludf.DUMMYFUNCTION("""COMPUTED_VALUE"""),"#REF!")</f>
        <v>#REF!</v>
      </c>
      <c r="CW173" s="95" t="str">
        <f>IFERROR(__xludf.DUMMYFUNCTION("""COMPUTED_VALUE"""),"#REF!")</f>
        <v>#REF!</v>
      </c>
      <c r="CX173" s="96" t="str">
        <f>IFERROR(__xludf.DUMMYFUNCTION("""COMPUTED_VALUE"""),"#REF!")</f>
        <v>#REF!</v>
      </c>
      <c r="CY173" s="97" t="str">
        <f>IFERROR(__xludf.DUMMYFUNCTION("""COMPUTED_VALUE"""),"#REF!")</f>
        <v>#REF!</v>
      </c>
      <c r="CZ173" s="95" t="str">
        <f>IFERROR(__xludf.DUMMYFUNCTION("""COMPUTED_VALUE"""),"#REF!")</f>
        <v>#REF!</v>
      </c>
      <c r="DA173" s="96" t="str">
        <f>IFERROR(__xludf.DUMMYFUNCTION("""COMPUTED_VALUE"""),"#REF!")</f>
        <v>#REF!</v>
      </c>
      <c r="DB173" s="97" t="str">
        <f>IFERROR(__xludf.DUMMYFUNCTION("""COMPUTED_VALUE"""),"#REF!")</f>
        <v>#REF!</v>
      </c>
      <c r="DC173" s="95" t="str">
        <f>IFERROR(__xludf.DUMMYFUNCTION("""COMPUTED_VALUE"""),"#REF!")</f>
        <v>#REF!</v>
      </c>
      <c r="DD173" s="96" t="str">
        <f>IFERROR(__xludf.DUMMYFUNCTION("""COMPUTED_VALUE"""),"#REF!")</f>
        <v>#REF!</v>
      </c>
      <c r="DE173" s="97" t="str">
        <f>IFERROR(__xludf.DUMMYFUNCTION("""COMPUTED_VALUE"""),"#REF!")</f>
        <v>#REF!</v>
      </c>
      <c r="DF173" s="95" t="str">
        <f>IFERROR(__xludf.DUMMYFUNCTION("""COMPUTED_VALUE"""),"#REF!")</f>
        <v>#REF!</v>
      </c>
      <c r="DG173" s="96" t="str">
        <f>IFERROR(__xludf.DUMMYFUNCTION("""COMPUTED_VALUE"""),"#REF!")</f>
        <v>#REF!</v>
      </c>
      <c r="DH173" s="97" t="str">
        <f>IFERROR(__xludf.DUMMYFUNCTION("""COMPUTED_VALUE"""),"#REF!")</f>
        <v>#REF!</v>
      </c>
      <c r="DI173" s="95" t="str">
        <f>IFERROR(__xludf.DUMMYFUNCTION("""COMPUTED_VALUE"""),"#REF!")</f>
        <v>#REF!</v>
      </c>
      <c r="DJ173" s="96" t="str">
        <f>IFERROR(__xludf.DUMMYFUNCTION("""COMPUTED_VALUE"""),"#REF!")</f>
        <v>#REF!</v>
      </c>
      <c r="DK173" s="97" t="str">
        <f>IFERROR(__xludf.DUMMYFUNCTION("""COMPUTED_VALUE"""),"#REF!")</f>
        <v>#REF!</v>
      </c>
      <c r="DL173" s="95" t="str">
        <f>IFERROR(__xludf.DUMMYFUNCTION("""COMPUTED_VALUE"""),"#REF!")</f>
        <v>#REF!</v>
      </c>
      <c r="DM173" s="96" t="str">
        <f>IFERROR(__xludf.DUMMYFUNCTION("""COMPUTED_VALUE"""),"#REF!")</f>
        <v>#REF!</v>
      </c>
      <c r="DN173" s="97" t="str">
        <f>IFERROR(__xludf.DUMMYFUNCTION("""COMPUTED_VALUE"""),"#REF!")</f>
        <v>#REF!</v>
      </c>
      <c r="DO173" s="95" t="str">
        <f>IFERROR(__xludf.DUMMYFUNCTION("""COMPUTED_VALUE"""),"#REF!")</f>
        <v>#REF!</v>
      </c>
      <c r="DP173" s="96" t="str">
        <f>IFERROR(__xludf.DUMMYFUNCTION("""COMPUTED_VALUE"""),"#REF!")</f>
        <v>#REF!</v>
      </c>
      <c r="DQ173" s="97"/>
      <c r="DR173" s="95"/>
    </row>
    <row r="174">
      <c r="B174" s="120" t="str">
        <f>IFERROR(__xludf.DUMMYFUNCTION("""COMPUTED_VALUE"""),"SLM3")</f>
        <v>SLM3</v>
      </c>
      <c r="C174" s="82">
        <f>IFERROR(__xludf.DUMMYFUNCTION("""COMPUTED_VALUE"""),167.0)</f>
        <v>167</v>
      </c>
      <c r="D174" s="88" t="str">
        <f>IFERROR(__xludf.DUMMYFUNCTION("""COMPUTED_VALUE"""),"Town Hall")</f>
        <v>Town Hall</v>
      </c>
      <c r="E174" s="82" t="str">
        <f>IFERROR(__xludf.DUMMYFUNCTION("""COMPUTED_VALUE"""),"公会堂")</f>
        <v>公会堂</v>
      </c>
      <c r="F174" s="102">
        <f>IFERROR(__xludf.DUMMYFUNCTION("""COMPUTED_VALUE"""),21.0)</f>
        <v>21</v>
      </c>
      <c r="G174" s="82">
        <f>IFERROR(__xludf.DUMMYFUNCTION("""COMPUTED_VALUE"""),35726.0)</f>
        <v>35726</v>
      </c>
      <c r="H174" s="231" t="str">
        <f>IFERROR(__xludf.DUMMYFUNCTION("""COMPUTED_VALUE"""),"")</f>
        <v/>
      </c>
      <c r="I174" s="232" t="str">
        <f>IFERROR(__xludf.DUMMYFUNCTION("""COMPUTED_VALUE"""),"")</f>
        <v/>
      </c>
      <c r="J174" s="233" t="str">
        <f>IFERROR(__xludf.DUMMYFUNCTION("""COMPUTED_VALUE"""),"")</f>
        <v/>
      </c>
      <c r="K174" s="231" t="str">
        <f>IFERROR(__xludf.DUMMYFUNCTION("""COMPUTED_VALUE"""),"")</f>
        <v/>
      </c>
      <c r="L174" s="232" t="str">
        <f>IFERROR(__xludf.DUMMYFUNCTION("""COMPUTED_VALUE"""),"")</f>
        <v/>
      </c>
      <c r="M174" s="233" t="str">
        <f>IFERROR(__xludf.DUMMYFUNCTION("""COMPUTED_VALUE"""),"")</f>
        <v/>
      </c>
      <c r="N174" s="231" t="str">
        <f>IFERROR(__xludf.DUMMYFUNCTION("""COMPUTED_VALUE"""),"")</f>
        <v/>
      </c>
      <c r="O174" s="232" t="str">
        <f>IFERROR(__xludf.DUMMYFUNCTION("""COMPUTED_VALUE"""),"")</f>
        <v/>
      </c>
      <c r="P174" s="233" t="str">
        <f>IFERROR(__xludf.DUMMYFUNCTION("""COMPUTED_VALUE"""),"")</f>
        <v/>
      </c>
      <c r="Q174" s="231" t="str">
        <f>IFERROR(__xludf.DUMMYFUNCTION("""COMPUTED_VALUE"""),"")</f>
        <v/>
      </c>
      <c r="R174" s="232" t="str">
        <f>IFERROR(__xludf.DUMMYFUNCTION("""COMPUTED_VALUE"""),"")</f>
        <v/>
      </c>
      <c r="S174" s="233" t="str">
        <f>IFERROR(__xludf.DUMMYFUNCTION("""COMPUTED_VALUE"""),"")</f>
        <v/>
      </c>
      <c r="T174" s="231" t="str">
        <f>IFERROR(__xludf.DUMMYFUNCTION("""COMPUTED_VALUE"""),"")</f>
        <v/>
      </c>
      <c r="U174" s="232" t="str">
        <f>IFERROR(__xludf.DUMMYFUNCTION("""COMPUTED_VALUE"""),"")</f>
        <v/>
      </c>
      <c r="V174" s="233" t="str">
        <f>IFERROR(__xludf.DUMMYFUNCTION("""COMPUTED_VALUE"""),"")</f>
        <v/>
      </c>
      <c r="W174" s="231" t="str">
        <f>IFERROR(__xludf.DUMMYFUNCTION("""COMPUTED_VALUE"""),"")</f>
        <v/>
      </c>
      <c r="X174" s="232" t="str">
        <f>IFERROR(__xludf.DUMMYFUNCTION("""COMPUTED_VALUE"""),"")</f>
        <v/>
      </c>
      <c r="Y174" s="233" t="str">
        <f>IFERROR(__xludf.DUMMYFUNCTION("""COMPUTED_VALUE"""),"")</f>
        <v/>
      </c>
      <c r="Z174" s="231" t="str">
        <f>IFERROR(__xludf.DUMMYFUNCTION("""COMPUTED_VALUE"""),"")</f>
        <v/>
      </c>
      <c r="AA174" s="232" t="str">
        <f>IFERROR(__xludf.DUMMYFUNCTION("""COMPUTED_VALUE"""),"")</f>
        <v/>
      </c>
      <c r="AB174" s="233" t="str">
        <f>IFERROR(__xludf.DUMMYFUNCTION("""COMPUTED_VALUE"""),"")</f>
        <v/>
      </c>
      <c r="AC174" s="231" t="str">
        <f>IFERROR(__xludf.DUMMYFUNCTION("""COMPUTED_VALUE"""),"")</f>
        <v/>
      </c>
      <c r="AD174" s="232">
        <f>IFERROR(__xludf.DUMMYFUNCTION("""COMPUTED_VALUE"""),35.3)</f>
        <v>35.3</v>
      </c>
      <c r="AE174" s="233" t="str">
        <f>IFERROR(__xludf.DUMMYFUNCTION("""COMPUTED_VALUE"""),"")</f>
        <v/>
      </c>
      <c r="AF174" s="231" t="str">
        <f>IFERROR(__xludf.DUMMYFUNCTION("""COMPUTED_VALUE"""),"")</f>
        <v/>
      </c>
      <c r="AG174" s="232" t="str">
        <f>IFERROR(__xludf.DUMMYFUNCTION("""COMPUTED_VALUE"""),"")</f>
        <v/>
      </c>
      <c r="AH174" s="233" t="str">
        <f>IFERROR(__xludf.DUMMYFUNCTION("""COMPUTED_VALUE"""),"")</f>
        <v/>
      </c>
      <c r="AI174" s="231" t="str">
        <f>IFERROR(__xludf.DUMMYFUNCTION("""COMPUTED_VALUE"""),"")</f>
        <v/>
      </c>
      <c r="AJ174" s="232" t="str">
        <f>IFERROR(__xludf.DUMMYFUNCTION("""COMPUTED_VALUE"""),"")</f>
        <v/>
      </c>
      <c r="AK174" s="233" t="str">
        <f>IFERROR(__xludf.DUMMYFUNCTION("""COMPUTED_VALUE"""),"")</f>
        <v/>
      </c>
      <c r="AL174" s="231" t="str">
        <f>IFERROR(__xludf.DUMMYFUNCTION("""COMPUTED_VALUE"""),"")</f>
        <v/>
      </c>
      <c r="AM174" s="232" t="str">
        <f>IFERROR(__xludf.DUMMYFUNCTION("""COMPUTED_VALUE"""),"")</f>
        <v/>
      </c>
      <c r="AN174" s="233" t="str">
        <f>IFERROR(__xludf.DUMMYFUNCTION("""COMPUTED_VALUE"""),"")</f>
        <v/>
      </c>
      <c r="AO174" s="231" t="str">
        <f>IFERROR(__xludf.DUMMYFUNCTION("""COMPUTED_VALUE"""),"")</f>
        <v/>
      </c>
      <c r="AP174" s="232" t="str">
        <f>IFERROR(__xludf.DUMMYFUNCTION("""COMPUTED_VALUE"""),"")</f>
        <v/>
      </c>
      <c r="AQ174" s="233" t="str">
        <f>IFERROR(__xludf.DUMMYFUNCTION("""COMPUTED_VALUE"""),"")</f>
        <v/>
      </c>
      <c r="AR174" s="231" t="str">
        <f>IFERROR(__xludf.DUMMYFUNCTION("""COMPUTED_VALUE"""),"")</f>
        <v/>
      </c>
      <c r="AS174" s="232" t="str">
        <f>IFERROR(__xludf.DUMMYFUNCTION("""COMPUTED_VALUE"""),"")</f>
        <v/>
      </c>
      <c r="AT174" s="233" t="str">
        <f>IFERROR(__xludf.DUMMYFUNCTION("""COMPUTED_VALUE"""),"")</f>
        <v/>
      </c>
      <c r="AU174" s="231" t="str">
        <f>IFERROR(__xludf.DUMMYFUNCTION("""COMPUTED_VALUE"""),"")</f>
        <v/>
      </c>
      <c r="AV174" s="232" t="str">
        <f>IFERROR(__xludf.DUMMYFUNCTION("""COMPUTED_VALUE"""),"")</f>
        <v/>
      </c>
      <c r="AW174" s="233" t="str">
        <f>IFERROR(__xludf.DUMMYFUNCTION("""COMPUTED_VALUE"""),"")</f>
        <v/>
      </c>
      <c r="AX174" s="231" t="str">
        <f>IFERROR(__xludf.DUMMYFUNCTION("""COMPUTED_VALUE"""),"")</f>
        <v/>
      </c>
      <c r="AY174" s="232" t="str">
        <f>IFERROR(__xludf.DUMMYFUNCTION("""COMPUTED_VALUE"""),"")</f>
        <v/>
      </c>
      <c r="AZ174" s="233" t="str">
        <f>IFERROR(__xludf.DUMMYFUNCTION("""COMPUTED_VALUE"""),"")</f>
        <v/>
      </c>
      <c r="BA174" s="231" t="str">
        <f>IFERROR(__xludf.DUMMYFUNCTION("""COMPUTED_VALUE"""),"")</f>
        <v/>
      </c>
      <c r="BB174" s="232" t="str">
        <f>IFERROR(__xludf.DUMMYFUNCTION("""COMPUTED_VALUE"""),"")</f>
        <v/>
      </c>
      <c r="BC174" s="233" t="str">
        <f>IFERROR(__xludf.DUMMYFUNCTION("""COMPUTED_VALUE"""),"")</f>
        <v/>
      </c>
      <c r="BD174" s="231" t="str">
        <f>IFERROR(__xludf.DUMMYFUNCTION("""COMPUTED_VALUE"""),"")</f>
        <v/>
      </c>
      <c r="BE174" s="232" t="str">
        <f>IFERROR(__xludf.DUMMYFUNCTION("""COMPUTED_VALUE"""),"")</f>
        <v/>
      </c>
      <c r="BF174" s="233" t="str">
        <f>IFERROR(__xludf.DUMMYFUNCTION("""COMPUTED_VALUE"""),"")</f>
        <v/>
      </c>
      <c r="BG174" s="231" t="str">
        <f>IFERROR(__xludf.DUMMYFUNCTION("""COMPUTED_VALUE"""),"")</f>
        <v/>
      </c>
      <c r="BH174" s="232" t="str">
        <f>IFERROR(__xludf.DUMMYFUNCTION("""COMPUTED_VALUE"""),"")</f>
        <v/>
      </c>
      <c r="BI174" s="233" t="str">
        <f>IFERROR(__xludf.DUMMYFUNCTION("""COMPUTED_VALUE"""),"")</f>
        <v/>
      </c>
      <c r="BJ174" s="231" t="str">
        <f>IFERROR(__xludf.DUMMYFUNCTION("""COMPUTED_VALUE"""),"")</f>
        <v/>
      </c>
      <c r="BK174" s="232" t="str">
        <f>IFERROR(__xludf.DUMMYFUNCTION("""COMPUTED_VALUE"""),"")</f>
        <v/>
      </c>
      <c r="BL174" s="233" t="str">
        <f>IFERROR(__xludf.DUMMYFUNCTION("""COMPUTED_VALUE"""),"")</f>
        <v/>
      </c>
      <c r="BM174" s="231" t="str">
        <f>IFERROR(__xludf.DUMMYFUNCTION("""COMPUTED_VALUE"""),"")</f>
        <v/>
      </c>
      <c r="BN174" s="232">
        <f>IFERROR(__xludf.DUMMYFUNCTION("""COMPUTED_VALUE"""),35.0)</f>
        <v>35</v>
      </c>
      <c r="BO174" s="233" t="str">
        <f>IFERROR(__xludf.DUMMYFUNCTION("""COMPUTED_VALUE"""),"")</f>
        <v/>
      </c>
      <c r="BP174" s="231" t="str">
        <f>IFERROR(__xludf.DUMMYFUNCTION("""COMPUTED_VALUE"""),"")</f>
        <v/>
      </c>
      <c r="BQ174" s="232" t="str">
        <f>IFERROR(__xludf.DUMMYFUNCTION("""COMPUTED_VALUE"""),"")</f>
        <v/>
      </c>
      <c r="BR174" s="233" t="str">
        <f>IFERROR(__xludf.DUMMYFUNCTION("""COMPUTED_VALUE"""),"")</f>
        <v/>
      </c>
      <c r="BS174" s="231" t="str">
        <f>IFERROR(__xludf.DUMMYFUNCTION("""COMPUTED_VALUE"""),"")</f>
        <v/>
      </c>
      <c r="BT174" s="232" t="str">
        <f>IFERROR(__xludf.DUMMYFUNCTION("""COMPUTED_VALUE"""),"")</f>
        <v/>
      </c>
      <c r="BU174" s="233" t="str">
        <f>IFERROR(__xludf.DUMMYFUNCTION("""COMPUTED_VALUE"""),"")</f>
        <v/>
      </c>
      <c r="BV174" s="231" t="str">
        <f>IFERROR(__xludf.DUMMYFUNCTION("""COMPUTED_VALUE"""),"")</f>
        <v/>
      </c>
      <c r="BW174" s="232" t="str">
        <f>IFERROR(__xludf.DUMMYFUNCTION("""COMPUTED_VALUE"""),"")</f>
        <v/>
      </c>
      <c r="BX174" s="233" t="str">
        <f>IFERROR(__xludf.DUMMYFUNCTION("""COMPUTED_VALUE"""),"")</f>
        <v/>
      </c>
      <c r="BY174" s="231" t="str">
        <f>IFERROR(__xludf.DUMMYFUNCTION("""COMPUTED_VALUE"""),"")</f>
        <v/>
      </c>
      <c r="BZ174" s="232" t="str">
        <f>IFERROR(__xludf.DUMMYFUNCTION("""COMPUTED_VALUE"""),"")</f>
        <v/>
      </c>
      <c r="CA174" s="233" t="str">
        <f>IFERROR(__xludf.DUMMYFUNCTION("""COMPUTED_VALUE"""),"")</f>
        <v/>
      </c>
      <c r="CB174" s="231" t="str">
        <f>IFERROR(__xludf.DUMMYFUNCTION("""COMPUTED_VALUE"""),"")</f>
        <v/>
      </c>
      <c r="CC174" s="232" t="str">
        <f>IFERROR(__xludf.DUMMYFUNCTION("""COMPUTED_VALUE"""),"")</f>
        <v/>
      </c>
      <c r="CD174" s="233" t="str">
        <f>IFERROR(__xludf.DUMMYFUNCTION("""COMPUTED_VALUE"""),"")</f>
        <v/>
      </c>
      <c r="CE174" s="234" t="str">
        <f>IFERROR(__xludf.DUMMYFUNCTION("""COMPUTED_VALUE"""),"")</f>
        <v/>
      </c>
      <c r="CF174" s="230" t="str">
        <f>IFERROR(__xludf.DUMMYFUNCTION("""COMPUTED_VALUE"""),"")</f>
        <v/>
      </c>
      <c r="CG174" s="235" t="str">
        <f>IFERROR(__xludf.DUMMYFUNCTION("""COMPUTED_VALUE"""),"")</f>
        <v/>
      </c>
      <c r="CH174" s="234" t="str">
        <f>IFERROR(__xludf.DUMMYFUNCTION("""COMPUTED_VALUE"""),"")</f>
        <v/>
      </c>
      <c r="CI174" s="230" t="str">
        <f>IFERROR(__xludf.DUMMYFUNCTION("""COMPUTED_VALUE"""),"")</f>
        <v/>
      </c>
      <c r="CJ174" s="235" t="str">
        <f>IFERROR(__xludf.DUMMYFUNCTION("""COMPUTED_VALUE"""),"")</f>
        <v/>
      </c>
      <c r="CK174" s="95" t="str">
        <f>IFERROR(__xludf.DUMMYFUNCTION("""COMPUTED_VALUE"""),"")</f>
        <v/>
      </c>
      <c r="CL174" s="96" t="str">
        <f>IFERROR(__xludf.DUMMYFUNCTION("""COMPUTED_VALUE"""),"")</f>
        <v/>
      </c>
      <c r="CM174" s="97" t="str">
        <f>IFERROR(__xludf.DUMMYFUNCTION("""COMPUTED_VALUE"""),"")</f>
        <v/>
      </c>
      <c r="CN174" s="95" t="str">
        <f>IFERROR(__xludf.DUMMYFUNCTION("""COMPUTED_VALUE"""),"")</f>
        <v/>
      </c>
      <c r="CO174" s="96" t="str">
        <f>IFERROR(__xludf.DUMMYFUNCTION("""COMPUTED_VALUE"""),"")</f>
        <v/>
      </c>
      <c r="CP174" s="97">
        <f>IFERROR(__xludf.DUMMYFUNCTION("""COMPUTED_VALUE"""),35.2)</f>
        <v>35.2</v>
      </c>
      <c r="CQ174" s="95" t="str">
        <f>IFERROR(__xludf.DUMMYFUNCTION("""COMPUTED_VALUE"""),"")</f>
        <v/>
      </c>
      <c r="CR174" s="96" t="str">
        <f>IFERROR(__xludf.DUMMYFUNCTION("""COMPUTED_VALUE"""),"")</f>
        <v/>
      </c>
      <c r="CS174" s="97" t="str">
        <f>IFERROR(__xludf.DUMMYFUNCTION("""COMPUTED_VALUE"""),"#REF!")</f>
        <v>#REF!</v>
      </c>
      <c r="CT174" s="95" t="str">
        <f>IFERROR(__xludf.DUMMYFUNCTION("""COMPUTED_VALUE"""),"#REF!")</f>
        <v>#REF!</v>
      </c>
      <c r="CU174" s="96" t="str">
        <f>IFERROR(__xludf.DUMMYFUNCTION("""COMPUTED_VALUE"""),"#REF!")</f>
        <v>#REF!</v>
      </c>
      <c r="CV174" s="97" t="str">
        <f>IFERROR(__xludf.DUMMYFUNCTION("""COMPUTED_VALUE"""),"#REF!")</f>
        <v>#REF!</v>
      </c>
      <c r="CW174" s="95" t="str">
        <f>IFERROR(__xludf.DUMMYFUNCTION("""COMPUTED_VALUE"""),"#REF!")</f>
        <v>#REF!</v>
      </c>
      <c r="CX174" s="96" t="str">
        <f>IFERROR(__xludf.DUMMYFUNCTION("""COMPUTED_VALUE"""),"#REF!")</f>
        <v>#REF!</v>
      </c>
      <c r="CY174" s="97" t="str">
        <f>IFERROR(__xludf.DUMMYFUNCTION("""COMPUTED_VALUE"""),"#REF!")</f>
        <v>#REF!</v>
      </c>
      <c r="CZ174" s="95" t="str">
        <f>IFERROR(__xludf.DUMMYFUNCTION("""COMPUTED_VALUE"""),"#REF!")</f>
        <v>#REF!</v>
      </c>
      <c r="DA174" s="96" t="str">
        <f>IFERROR(__xludf.DUMMYFUNCTION("""COMPUTED_VALUE"""),"#REF!")</f>
        <v>#REF!</v>
      </c>
      <c r="DB174" s="97" t="str">
        <f>IFERROR(__xludf.DUMMYFUNCTION("""COMPUTED_VALUE"""),"#REF!")</f>
        <v>#REF!</v>
      </c>
      <c r="DC174" s="95" t="str">
        <f>IFERROR(__xludf.DUMMYFUNCTION("""COMPUTED_VALUE"""),"#REF!")</f>
        <v>#REF!</v>
      </c>
      <c r="DD174" s="96" t="str">
        <f>IFERROR(__xludf.DUMMYFUNCTION("""COMPUTED_VALUE"""),"#REF!")</f>
        <v>#REF!</v>
      </c>
      <c r="DE174" s="97" t="str">
        <f>IFERROR(__xludf.DUMMYFUNCTION("""COMPUTED_VALUE"""),"#REF!")</f>
        <v>#REF!</v>
      </c>
      <c r="DF174" s="95" t="str">
        <f>IFERROR(__xludf.DUMMYFUNCTION("""COMPUTED_VALUE"""),"#REF!")</f>
        <v>#REF!</v>
      </c>
      <c r="DG174" s="96" t="str">
        <f>IFERROR(__xludf.DUMMYFUNCTION("""COMPUTED_VALUE"""),"#REF!")</f>
        <v>#REF!</v>
      </c>
      <c r="DH174" s="97" t="str">
        <f>IFERROR(__xludf.DUMMYFUNCTION("""COMPUTED_VALUE"""),"#REF!")</f>
        <v>#REF!</v>
      </c>
      <c r="DI174" s="95" t="str">
        <f>IFERROR(__xludf.DUMMYFUNCTION("""COMPUTED_VALUE"""),"#REF!")</f>
        <v>#REF!</v>
      </c>
      <c r="DJ174" s="96" t="str">
        <f>IFERROR(__xludf.DUMMYFUNCTION("""COMPUTED_VALUE"""),"#REF!")</f>
        <v>#REF!</v>
      </c>
      <c r="DK174" s="97" t="str">
        <f>IFERROR(__xludf.DUMMYFUNCTION("""COMPUTED_VALUE"""),"#REF!")</f>
        <v>#REF!</v>
      </c>
      <c r="DL174" s="95" t="str">
        <f>IFERROR(__xludf.DUMMYFUNCTION("""COMPUTED_VALUE"""),"#REF!")</f>
        <v>#REF!</v>
      </c>
      <c r="DM174" s="96" t="str">
        <f>IFERROR(__xludf.DUMMYFUNCTION("""COMPUTED_VALUE"""),"#REF!")</f>
        <v>#REF!</v>
      </c>
      <c r="DN174" s="97" t="str">
        <f>IFERROR(__xludf.DUMMYFUNCTION("""COMPUTED_VALUE"""),"#REF!")</f>
        <v>#REF!</v>
      </c>
      <c r="DO174" s="95" t="str">
        <f>IFERROR(__xludf.DUMMYFUNCTION("""COMPUTED_VALUE"""),"#REF!")</f>
        <v>#REF!</v>
      </c>
      <c r="DP174" s="96" t="str">
        <f>IFERROR(__xludf.DUMMYFUNCTION("""COMPUTED_VALUE"""),"#REF!")</f>
        <v>#REF!</v>
      </c>
      <c r="DQ174" s="97"/>
      <c r="DR174" s="95"/>
    </row>
    <row r="175">
      <c r="B175" s="120" t="str">
        <f>IFERROR(__xludf.DUMMYFUNCTION("""COMPUTED_VALUE"""),"SLM4")</f>
        <v>SLM4</v>
      </c>
      <c r="C175" s="82">
        <f>IFERROR(__xludf.DUMMYFUNCTION("""COMPUTED_VALUE"""),168.0)</f>
        <v>168</v>
      </c>
      <c r="D175" s="88" t="str">
        <f>IFERROR(__xludf.DUMMYFUNCTION("""COMPUTED_VALUE"""),"Wharf")</f>
        <v>Wharf</v>
      </c>
      <c r="E175" s="82" t="str">
        <f>IFERROR(__xludf.DUMMYFUNCTION("""COMPUTED_VALUE"""),"波止場")</f>
        <v>波止場</v>
      </c>
      <c r="F175" s="102">
        <f>IFERROR(__xludf.DUMMYFUNCTION("""COMPUTED_VALUE"""),21.0)</f>
        <v>21</v>
      </c>
      <c r="G175" s="82">
        <f>IFERROR(__xludf.DUMMYFUNCTION("""COMPUTED_VALUE"""),29538.0)</f>
        <v>29538</v>
      </c>
      <c r="H175" s="231" t="str">
        <f>IFERROR(__xludf.DUMMYFUNCTION("""COMPUTED_VALUE"""),"")</f>
        <v/>
      </c>
      <c r="I175" s="232" t="str">
        <f>IFERROR(__xludf.DUMMYFUNCTION("""COMPUTED_VALUE"""),"")</f>
        <v/>
      </c>
      <c r="J175" s="233" t="str">
        <f>IFERROR(__xludf.DUMMYFUNCTION("""COMPUTED_VALUE"""),"")</f>
        <v/>
      </c>
      <c r="K175" s="231" t="str">
        <f>IFERROR(__xludf.DUMMYFUNCTION("""COMPUTED_VALUE"""),"")</f>
        <v/>
      </c>
      <c r="L175" s="232" t="str">
        <f>IFERROR(__xludf.DUMMYFUNCTION("""COMPUTED_VALUE"""),"")</f>
        <v/>
      </c>
      <c r="M175" s="233" t="str">
        <f>IFERROR(__xludf.DUMMYFUNCTION("""COMPUTED_VALUE"""),"")</f>
        <v/>
      </c>
      <c r="N175" s="231" t="str">
        <f>IFERROR(__xludf.DUMMYFUNCTION("""COMPUTED_VALUE"""),"")</f>
        <v/>
      </c>
      <c r="O175" s="232" t="str">
        <f>IFERROR(__xludf.DUMMYFUNCTION("""COMPUTED_VALUE"""),"")</f>
        <v/>
      </c>
      <c r="P175" s="233" t="str">
        <f>IFERROR(__xludf.DUMMYFUNCTION("""COMPUTED_VALUE"""),"")</f>
        <v/>
      </c>
      <c r="Q175" s="231" t="str">
        <f>IFERROR(__xludf.DUMMYFUNCTION("""COMPUTED_VALUE"""),"")</f>
        <v/>
      </c>
      <c r="R175" s="232" t="str">
        <f>IFERROR(__xludf.DUMMYFUNCTION("""COMPUTED_VALUE"""),"")</f>
        <v/>
      </c>
      <c r="S175" s="233" t="str">
        <f>IFERROR(__xludf.DUMMYFUNCTION("""COMPUTED_VALUE"""),"")</f>
        <v/>
      </c>
      <c r="T175" s="231" t="str">
        <f>IFERROR(__xludf.DUMMYFUNCTION("""COMPUTED_VALUE"""),"")</f>
        <v/>
      </c>
      <c r="U175" s="232" t="str">
        <f>IFERROR(__xludf.DUMMYFUNCTION("""COMPUTED_VALUE"""),"")</f>
        <v/>
      </c>
      <c r="V175" s="233" t="str">
        <f>IFERROR(__xludf.DUMMYFUNCTION("""COMPUTED_VALUE"""),"")</f>
        <v/>
      </c>
      <c r="W175" s="231" t="str">
        <f>IFERROR(__xludf.DUMMYFUNCTION("""COMPUTED_VALUE"""),"")</f>
        <v/>
      </c>
      <c r="X175" s="232" t="str">
        <f>IFERROR(__xludf.DUMMYFUNCTION("""COMPUTED_VALUE"""),"")</f>
        <v/>
      </c>
      <c r="Y175" s="233" t="str">
        <f>IFERROR(__xludf.DUMMYFUNCTION("""COMPUTED_VALUE"""),"")</f>
        <v/>
      </c>
      <c r="Z175" s="231" t="str">
        <f>IFERROR(__xludf.DUMMYFUNCTION("""COMPUTED_VALUE"""),"")</f>
        <v/>
      </c>
      <c r="AA175" s="232" t="str">
        <f>IFERROR(__xludf.DUMMYFUNCTION("""COMPUTED_VALUE"""),"")</f>
        <v/>
      </c>
      <c r="AB175" s="233" t="str">
        <f>IFERROR(__xludf.DUMMYFUNCTION("""COMPUTED_VALUE"""),"")</f>
        <v/>
      </c>
      <c r="AC175" s="231" t="str">
        <f>IFERROR(__xludf.DUMMYFUNCTION("""COMPUTED_VALUE"""),"")</f>
        <v/>
      </c>
      <c r="AD175" s="232">
        <f>IFERROR(__xludf.DUMMYFUNCTION("""COMPUTED_VALUE"""),20.1)</f>
        <v>20.1</v>
      </c>
      <c r="AE175" s="233" t="str">
        <f>IFERROR(__xludf.DUMMYFUNCTION("""COMPUTED_VALUE"""),"")</f>
        <v/>
      </c>
      <c r="AF175" s="231" t="str">
        <f>IFERROR(__xludf.DUMMYFUNCTION("""COMPUTED_VALUE"""),"")</f>
        <v/>
      </c>
      <c r="AG175" s="232" t="str">
        <f>IFERROR(__xludf.DUMMYFUNCTION("""COMPUTED_VALUE"""),"")</f>
        <v/>
      </c>
      <c r="AH175" s="233" t="str">
        <f>IFERROR(__xludf.DUMMYFUNCTION("""COMPUTED_VALUE"""),"")</f>
        <v/>
      </c>
      <c r="AI175" s="231" t="str">
        <f>IFERROR(__xludf.DUMMYFUNCTION("""COMPUTED_VALUE"""),"")</f>
        <v/>
      </c>
      <c r="AJ175" s="232" t="str">
        <f>IFERROR(__xludf.DUMMYFUNCTION("""COMPUTED_VALUE"""),"")</f>
        <v/>
      </c>
      <c r="AK175" s="233" t="str">
        <f>IFERROR(__xludf.DUMMYFUNCTION("""COMPUTED_VALUE"""),"")</f>
        <v/>
      </c>
      <c r="AL175" s="231" t="str">
        <f>IFERROR(__xludf.DUMMYFUNCTION("""COMPUTED_VALUE"""),"")</f>
        <v/>
      </c>
      <c r="AM175" s="232" t="str">
        <f>IFERROR(__xludf.DUMMYFUNCTION("""COMPUTED_VALUE"""),"")</f>
        <v/>
      </c>
      <c r="AN175" s="233" t="str">
        <f>IFERROR(__xludf.DUMMYFUNCTION("""COMPUTED_VALUE"""),"")</f>
        <v/>
      </c>
      <c r="AO175" s="231" t="str">
        <f>IFERROR(__xludf.DUMMYFUNCTION("""COMPUTED_VALUE"""),"")</f>
        <v/>
      </c>
      <c r="AP175" s="232" t="str">
        <f>IFERROR(__xludf.DUMMYFUNCTION("""COMPUTED_VALUE"""),"")</f>
        <v/>
      </c>
      <c r="AQ175" s="233" t="str">
        <f>IFERROR(__xludf.DUMMYFUNCTION("""COMPUTED_VALUE"""),"")</f>
        <v/>
      </c>
      <c r="AR175" s="231" t="str">
        <f>IFERROR(__xludf.DUMMYFUNCTION("""COMPUTED_VALUE"""),"")</f>
        <v/>
      </c>
      <c r="AS175" s="232" t="str">
        <f>IFERROR(__xludf.DUMMYFUNCTION("""COMPUTED_VALUE"""),"")</f>
        <v/>
      </c>
      <c r="AT175" s="233" t="str">
        <f>IFERROR(__xludf.DUMMYFUNCTION("""COMPUTED_VALUE"""),"")</f>
        <v/>
      </c>
      <c r="AU175" s="231" t="str">
        <f>IFERROR(__xludf.DUMMYFUNCTION("""COMPUTED_VALUE"""),"")</f>
        <v/>
      </c>
      <c r="AV175" s="232" t="str">
        <f>IFERROR(__xludf.DUMMYFUNCTION("""COMPUTED_VALUE"""),"")</f>
        <v/>
      </c>
      <c r="AW175" s="233" t="str">
        <f>IFERROR(__xludf.DUMMYFUNCTION("""COMPUTED_VALUE"""),"")</f>
        <v/>
      </c>
      <c r="AX175" s="231">
        <f>IFERROR(__xludf.DUMMYFUNCTION("""COMPUTED_VALUE"""),39.9)</f>
        <v>39.9</v>
      </c>
      <c r="AY175" s="232" t="str">
        <f>IFERROR(__xludf.DUMMYFUNCTION("""COMPUTED_VALUE"""),"")</f>
        <v/>
      </c>
      <c r="AZ175" s="233" t="str">
        <f>IFERROR(__xludf.DUMMYFUNCTION("""COMPUTED_VALUE"""),"")</f>
        <v/>
      </c>
      <c r="BA175" s="231" t="str">
        <f>IFERROR(__xludf.DUMMYFUNCTION("""COMPUTED_VALUE"""),"")</f>
        <v/>
      </c>
      <c r="BB175" s="232" t="str">
        <f>IFERROR(__xludf.DUMMYFUNCTION("""COMPUTED_VALUE"""),"")</f>
        <v/>
      </c>
      <c r="BC175" s="233" t="str">
        <f>IFERROR(__xludf.DUMMYFUNCTION("""COMPUTED_VALUE"""),"")</f>
        <v/>
      </c>
      <c r="BD175" s="231" t="str">
        <f>IFERROR(__xludf.DUMMYFUNCTION("""COMPUTED_VALUE"""),"")</f>
        <v/>
      </c>
      <c r="BE175" s="232" t="str">
        <f>IFERROR(__xludf.DUMMYFUNCTION("""COMPUTED_VALUE"""),"")</f>
        <v/>
      </c>
      <c r="BF175" s="233" t="str">
        <f>IFERROR(__xludf.DUMMYFUNCTION("""COMPUTED_VALUE"""),"")</f>
        <v/>
      </c>
      <c r="BG175" s="231" t="str">
        <f>IFERROR(__xludf.DUMMYFUNCTION("""COMPUTED_VALUE"""),"")</f>
        <v/>
      </c>
      <c r="BH175" s="232" t="str">
        <f>IFERROR(__xludf.DUMMYFUNCTION("""COMPUTED_VALUE"""),"")</f>
        <v/>
      </c>
      <c r="BI175" s="233" t="str">
        <f>IFERROR(__xludf.DUMMYFUNCTION("""COMPUTED_VALUE"""),"")</f>
        <v/>
      </c>
      <c r="BJ175" s="231" t="str">
        <f>IFERROR(__xludf.DUMMYFUNCTION("""COMPUTED_VALUE"""),"")</f>
        <v/>
      </c>
      <c r="BK175" s="232" t="str">
        <f>IFERROR(__xludf.DUMMYFUNCTION("""COMPUTED_VALUE"""),"")</f>
        <v/>
      </c>
      <c r="BL175" s="233" t="str">
        <f>IFERROR(__xludf.DUMMYFUNCTION("""COMPUTED_VALUE"""),"")</f>
        <v/>
      </c>
      <c r="BM175" s="231" t="str">
        <f>IFERROR(__xludf.DUMMYFUNCTION("""COMPUTED_VALUE"""),"")</f>
        <v/>
      </c>
      <c r="BN175" s="232">
        <f>IFERROR(__xludf.DUMMYFUNCTION("""COMPUTED_VALUE"""),20.3)</f>
        <v>20.3</v>
      </c>
      <c r="BO175" s="233" t="str">
        <f>IFERROR(__xludf.DUMMYFUNCTION("""COMPUTED_VALUE"""),"")</f>
        <v/>
      </c>
      <c r="BP175" s="231" t="str">
        <f>IFERROR(__xludf.DUMMYFUNCTION("""COMPUTED_VALUE"""),"")</f>
        <v/>
      </c>
      <c r="BQ175" s="232" t="str">
        <f>IFERROR(__xludf.DUMMYFUNCTION("""COMPUTED_VALUE"""),"")</f>
        <v/>
      </c>
      <c r="BR175" s="233" t="str">
        <f>IFERROR(__xludf.DUMMYFUNCTION("""COMPUTED_VALUE"""),"")</f>
        <v/>
      </c>
      <c r="BS175" s="231" t="str">
        <f>IFERROR(__xludf.DUMMYFUNCTION("""COMPUTED_VALUE"""),"")</f>
        <v/>
      </c>
      <c r="BT175" s="232" t="str">
        <f>IFERROR(__xludf.DUMMYFUNCTION("""COMPUTED_VALUE"""),"")</f>
        <v/>
      </c>
      <c r="BU175" s="233" t="str">
        <f>IFERROR(__xludf.DUMMYFUNCTION("""COMPUTED_VALUE"""),"")</f>
        <v/>
      </c>
      <c r="BV175" s="231">
        <f>IFERROR(__xludf.DUMMYFUNCTION("""COMPUTED_VALUE"""),24.8)</f>
        <v>24.8</v>
      </c>
      <c r="BW175" s="232" t="str">
        <f>IFERROR(__xludf.DUMMYFUNCTION("""COMPUTED_VALUE"""),"")</f>
        <v/>
      </c>
      <c r="BX175" s="233" t="str">
        <f>IFERROR(__xludf.DUMMYFUNCTION("""COMPUTED_VALUE"""),"")</f>
        <v/>
      </c>
      <c r="BY175" s="231" t="str">
        <f>IFERROR(__xludf.DUMMYFUNCTION("""COMPUTED_VALUE"""),"")</f>
        <v/>
      </c>
      <c r="BZ175" s="232" t="str">
        <f>IFERROR(__xludf.DUMMYFUNCTION("""COMPUTED_VALUE"""),"")</f>
        <v/>
      </c>
      <c r="CA175" s="233" t="str">
        <f>IFERROR(__xludf.DUMMYFUNCTION("""COMPUTED_VALUE"""),"")</f>
        <v/>
      </c>
      <c r="CB175" s="231" t="str">
        <f>IFERROR(__xludf.DUMMYFUNCTION("""COMPUTED_VALUE"""),"")</f>
        <v/>
      </c>
      <c r="CC175" s="232" t="str">
        <f>IFERROR(__xludf.DUMMYFUNCTION("""COMPUTED_VALUE"""),"")</f>
        <v/>
      </c>
      <c r="CD175" s="233" t="str">
        <f>IFERROR(__xludf.DUMMYFUNCTION("""COMPUTED_VALUE"""),"")</f>
        <v/>
      </c>
      <c r="CE175" s="234" t="str">
        <f>IFERROR(__xludf.DUMMYFUNCTION("""COMPUTED_VALUE"""),"")</f>
        <v/>
      </c>
      <c r="CF175" s="230" t="str">
        <f>IFERROR(__xludf.DUMMYFUNCTION("""COMPUTED_VALUE"""),"")</f>
        <v/>
      </c>
      <c r="CG175" s="235" t="str">
        <f>IFERROR(__xludf.DUMMYFUNCTION("""COMPUTED_VALUE"""),"")</f>
        <v/>
      </c>
      <c r="CH175" s="234" t="str">
        <f>IFERROR(__xludf.DUMMYFUNCTION("""COMPUTED_VALUE"""),"")</f>
        <v/>
      </c>
      <c r="CI175" s="230" t="str">
        <f>IFERROR(__xludf.DUMMYFUNCTION("""COMPUTED_VALUE"""),"")</f>
        <v/>
      </c>
      <c r="CJ175" s="235" t="str">
        <f>IFERROR(__xludf.DUMMYFUNCTION("""COMPUTED_VALUE"""),"")</f>
        <v/>
      </c>
      <c r="CK175" s="95" t="str">
        <f>IFERROR(__xludf.DUMMYFUNCTION("""COMPUTED_VALUE"""),"")</f>
        <v/>
      </c>
      <c r="CL175" s="96" t="str">
        <f>IFERROR(__xludf.DUMMYFUNCTION("""COMPUTED_VALUE"""),"")</f>
        <v/>
      </c>
      <c r="CM175" s="97" t="str">
        <f>IFERROR(__xludf.DUMMYFUNCTION("""COMPUTED_VALUE"""),"")</f>
        <v/>
      </c>
      <c r="CN175" s="95" t="str">
        <f>IFERROR(__xludf.DUMMYFUNCTION("""COMPUTED_VALUE"""),"")</f>
        <v/>
      </c>
      <c r="CO175" s="96" t="str">
        <f>IFERROR(__xludf.DUMMYFUNCTION("""COMPUTED_VALUE"""),"")</f>
        <v/>
      </c>
      <c r="CP175" s="97">
        <f>IFERROR(__xludf.DUMMYFUNCTION("""COMPUTED_VALUE"""),18.8)</f>
        <v>18.8</v>
      </c>
      <c r="CQ175" s="95" t="str">
        <f>IFERROR(__xludf.DUMMYFUNCTION("""COMPUTED_VALUE"""),"")</f>
        <v/>
      </c>
      <c r="CR175" s="96" t="str">
        <f>IFERROR(__xludf.DUMMYFUNCTION("""COMPUTED_VALUE"""),"")</f>
        <v/>
      </c>
      <c r="CS175" s="97" t="str">
        <f>IFERROR(__xludf.DUMMYFUNCTION("""COMPUTED_VALUE"""),"#REF!")</f>
        <v>#REF!</v>
      </c>
      <c r="CT175" s="95" t="str">
        <f>IFERROR(__xludf.DUMMYFUNCTION("""COMPUTED_VALUE"""),"#REF!")</f>
        <v>#REF!</v>
      </c>
      <c r="CU175" s="96" t="str">
        <f>IFERROR(__xludf.DUMMYFUNCTION("""COMPUTED_VALUE"""),"#REF!")</f>
        <v>#REF!</v>
      </c>
      <c r="CV175" s="97" t="str">
        <f>IFERROR(__xludf.DUMMYFUNCTION("""COMPUTED_VALUE"""),"#REF!")</f>
        <v>#REF!</v>
      </c>
      <c r="CW175" s="95" t="str">
        <f>IFERROR(__xludf.DUMMYFUNCTION("""COMPUTED_VALUE"""),"#REF!")</f>
        <v>#REF!</v>
      </c>
      <c r="CX175" s="96" t="str">
        <f>IFERROR(__xludf.DUMMYFUNCTION("""COMPUTED_VALUE"""),"#REF!")</f>
        <v>#REF!</v>
      </c>
      <c r="CY175" s="97" t="str">
        <f>IFERROR(__xludf.DUMMYFUNCTION("""COMPUTED_VALUE"""),"#REF!")</f>
        <v>#REF!</v>
      </c>
      <c r="CZ175" s="95" t="str">
        <f>IFERROR(__xludf.DUMMYFUNCTION("""COMPUTED_VALUE"""),"#REF!")</f>
        <v>#REF!</v>
      </c>
      <c r="DA175" s="96" t="str">
        <f>IFERROR(__xludf.DUMMYFUNCTION("""COMPUTED_VALUE"""),"#REF!")</f>
        <v>#REF!</v>
      </c>
      <c r="DB175" s="97" t="str">
        <f>IFERROR(__xludf.DUMMYFUNCTION("""COMPUTED_VALUE"""),"#REF!")</f>
        <v>#REF!</v>
      </c>
      <c r="DC175" s="95" t="str">
        <f>IFERROR(__xludf.DUMMYFUNCTION("""COMPUTED_VALUE"""),"#REF!")</f>
        <v>#REF!</v>
      </c>
      <c r="DD175" s="96" t="str">
        <f>IFERROR(__xludf.DUMMYFUNCTION("""COMPUTED_VALUE"""),"#REF!")</f>
        <v>#REF!</v>
      </c>
      <c r="DE175" s="97" t="str">
        <f>IFERROR(__xludf.DUMMYFUNCTION("""COMPUTED_VALUE"""),"#REF!")</f>
        <v>#REF!</v>
      </c>
      <c r="DF175" s="95" t="str">
        <f>IFERROR(__xludf.DUMMYFUNCTION("""COMPUTED_VALUE"""),"#REF!")</f>
        <v>#REF!</v>
      </c>
      <c r="DG175" s="96" t="str">
        <f>IFERROR(__xludf.DUMMYFUNCTION("""COMPUTED_VALUE"""),"#REF!")</f>
        <v>#REF!</v>
      </c>
      <c r="DH175" s="97" t="str">
        <f>IFERROR(__xludf.DUMMYFUNCTION("""COMPUTED_VALUE"""),"#REF!")</f>
        <v>#REF!</v>
      </c>
      <c r="DI175" s="95" t="str">
        <f>IFERROR(__xludf.DUMMYFUNCTION("""COMPUTED_VALUE"""),"#REF!")</f>
        <v>#REF!</v>
      </c>
      <c r="DJ175" s="96" t="str">
        <f>IFERROR(__xludf.DUMMYFUNCTION("""COMPUTED_VALUE"""),"#REF!")</f>
        <v>#REF!</v>
      </c>
      <c r="DK175" s="97" t="str">
        <f>IFERROR(__xludf.DUMMYFUNCTION("""COMPUTED_VALUE"""),"#REF!")</f>
        <v>#REF!</v>
      </c>
      <c r="DL175" s="95" t="str">
        <f>IFERROR(__xludf.DUMMYFUNCTION("""COMPUTED_VALUE"""),"#REF!")</f>
        <v>#REF!</v>
      </c>
      <c r="DM175" s="96" t="str">
        <f>IFERROR(__xludf.DUMMYFUNCTION("""COMPUTED_VALUE"""),"#REF!")</f>
        <v>#REF!</v>
      </c>
      <c r="DN175" s="97" t="str">
        <f>IFERROR(__xludf.DUMMYFUNCTION("""COMPUTED_VALUE"""),"#REF!")</f>
        <v>#REF!</v>
      </c>
      <c r="DO175" s="95" t="str">
        <f>IFERROR(__xludf.DUMMYFUNCTION("""COMPUTED_VALUE"""),"#REF!")</f>
        <v>#REF!</v>
      </c>
      <c r="DP175" s="96" t="str">
        <f>IFERROR(__xludf.DUMMYFUNCTION("""COMPUTED_VALUE"""),"#REF!")</f>
        <v>#REF!</v>
      </c>
      <c r="DQ175" s="97"/>
      <c r="DR175" s="95"/>
    </row>
    <row r="176">
      <c r="B176" s="120" t="str">
        <f>IFERROR(__xludf.DUMMYFUNCTION("""COMPUTED_VALUE"""),"SLM5")</f>
        <v>SLM5</v>
      </c>
      <c r="C176" s="82">
        <f>IFERROR(__xludf.DUMMYFUNCTION("""COMPUTED_VALUE"""),169.0)</f>
        <v>169</v>
      </c>
      <c r="D176" s="88" t="str">
        <f>IFERROR(__xludf.DUMMYFUNCTION("""COMPUTED_VALUE"""),"Whateley Residence")</f>
        <v>Whateley Residence</v>
      </c>
      <c r="E176" s="82" t="str">
        <f>IFERROR(__xludf.DUMMYFUNCTION("""COMPUTED_VALUE"""),"ウェイトリー家")</f>
        <v>ウェイトリー家</v>
      </c>
      <c r="F176" s="102">
        <f>IFERROR(__xludf.DUMMYFUNCTION("""COMPUTED_VALUE"""),21.0)</f>
        <v>21</v>
      </c>
      <c r="G176" s="82">
        <f>IFERROR(__xludf.DUMMYFUNCTION("""COMPUTED_VALUE"""),10612.0)</f>
        <v>10612</v>
      </c>
      <c r="H176" s="231" t="str">
        <f>IFERROR(__xludf.DUMMYFUNCTION("""COMPUTED_VALUE"""),"")</f>
        <v/>
      </c>
      <c r="I176" s="232" t="str">
        <f>IFERROR(__xludf.DUMMYFUNCTION("""COMPUTED_VALUE"""),"")</f>
        <v/>
      </c>
      <c r="J176" s="233" t="str">
        <f>IFERROR(__xludf.DUMMYFUNCTION("""COMPUTED_VALUE"""),"")</f>
        <v/>
      </c>
      <c r="K176" s="231" t="str">
        <f>IFERROR(__xludf.DUMMYFUNCTION("""COMPUTED_VALUE"""),"")</f>
        <v/>
      </c>
      <c r="L176" s="232" t="str">
        <f>IFERROR(__xludf.DUMMYFUNCTION("""COMPUTED_VALUE"""),"")</f>
        <v/>
      </c>
      <c r="M176" s="233" t="str">
        <f>IFERROR(__xludf.DUMMYFUNCTION("""COMPUTED_VALUE"""),"")</f>
        <v/>
      </c>
      <c r="N176" s="231" t="str">
        <f>IFERROR(__xludf.DUMMYFUNCTION("""COMPUTED_VALUE"""),"")</f>
        <v/>
      </c>
      <c r="O176" s="232" t="str">
        <f>IFERROR(__xludf.DUMMYFUNCTION("""COMPUTED_VALUE"""),"")</f>
        <v/>
      </c>
      <c r="P176" s="233" t="str">
        <f>IFERROR(__xludf.DUMMYFUNCTION("""COMPUTED_VALUE"""),"")</f>
        <v/>
      </c>
      <c r="Q176" s="231" t="str">
        <f>IFERROR(__xludf.DUMMYFUNCTION("""COMPUTED_VALUE"""),"")</f>
        <v/>
      </c>
      <c r="R176" s="232" t="str">
        <f>IFERROR(__xludf.DUMMYFUNCTION("""COMPUTED_VALUE"""),"")</f>
        <v/>
      </c>
      <c r="S176" s="233" t="str">
        <f>IFERROR(__xludf.DUMMYFUNCTION("""COMPUTED_VALUE"""),"")</f>
        <v/>
      </c>
      <c r="T176" s="231" t="str">
        <f>IFERROR(__xludf.DUMMYFUNCTION("""COMPUTED_VALUE"""),"")</f>
        <v/>
      </c>
      <c r="U176" s="232" t="str">
        <f>IFERROR(__xludf.DUMMYFUNCTION("""COMPUTED_VALUE"""),"")</f>
        <v/>
      </c>
      <c r="V176" s="233" t="str">
        <f>IFERROR(__xludf.DUMMYFUNCTION("""COMPUTED_VALUE"""),"")</f>
        <v/>
      </c>
      <c r="W176" s="231" t="str">
        <f>IFERROR(__xludf.DUMMYFUNCTION("""COMPUTED_VALUE"""),"")</f>
        <v/>
      </c>
      <c r="X176" s="232" t="str">
        <f>IFERROR(__xludf.DUMMYFUNCTION("""COMPUTED_VALUE"""),"")</f>
        <v/>
      </c>
      <c r="Y176" s="233" t="str">
        <f>IFERROR(__xludf.DUMMYFUNCTION("""COMPUTED_VALUE"""),"")</f>
        <v/>
      </c>
      <c r="Z176" s="231" t="str">
        <f>IFERROR(__xludf.DUMMYFUNCTION("""COMPUTED_VALUE"""),"")</f>
        <v/>
      </c>
      <c r="AA176" s="232" t="str">
        <f>IFERROR(__xludf.DUMMYFUNCTION("""COMPUTED_VALUE"""),"")</f>
        <v/>
      </c>
      <c r="AB176" s="233" t="str">
        <f>IFERROR(__xludf.DUMMYFUNCTION("""COMPUTED_VALUE"""),"")</f>
        <v/>
      </c>
      <c r="AC176" s="231" t="str">
        <f>IFERROR(__xludf.DUMMYFUNCTION("""COMPUTED_VALUE"""),"")</f>
        <v/>
      </c>
      <c r="AD176" s="232" t="str">
        <f>IFERROR(__xludf.DUMMYFUNCTION("""COMPUTED_VALUE"""),"")</f>
        <v/>
      </c>
      <c r="AE176" s="233" t="str">
        <f>IFERROR(__xludf.DUMMYFUNCTION("""COMPUTED_VALUE"""),"")</f>
        <v/>
      </c>
      <c r="AF176" s="231" t="str">
        <f>IFERROR(__xludf.DUMMYFUNCTION("""COMPUTED_VALUE"""),"")</f>
        <v/>
      </c>
      <c r="AG176" s="232">
        <f>IFERROR(__xludf.DUMMYFUNCTION("""COMPUTED_VALUE"""),39.8)</f>
        <v>39.8</v>
      </c>
      <c r="AH176" s="233" t="str">
        <f>IFERROR(__xludf.DUMMYFUNCTION("""COMPUTED_VALUE"""),"")</f>
        <v/>
      </c>
      <c r="AI176" s="231" t="str">
        <f>IFERROR(__xludf.DUMMYFUNCTION("""COMPUTED_VALUE"""),"")</f>
        <v/>
      </c>
      <c r="AJ176" s="232" t="str">
        <f>IFERROR(__xludf.DUMMYFUNCTION("""COMPUTED_VALUE"""),"")</f>
        <v/>
      </c>
      <c r="AK176" s="233" t="str">
        <f>IFERROR(__xludf.DUMMYFUNCTION("""COMPUTED_VALUE"""),"")</f>
        <v/>
      </c>
      <c r="AL176" s="231" t="str">
        <f>IFERROR(__xludf.DUMMYFUNCTION("""COMPUTED_VALUE"""),"")</f>
        <v/>
      </c>
      <c r="AM176" s="232" t="str">
        <f>IFERROR(__xludf.DUMMYFUNCTION("""COMPUTED_VALUE"""),"")</f>
        <v/>
      </c>
      <c r="AN176" s="233" t="str">
        <f>IFERROR(__xludf.DUMMYFUNCTION("""COMPUTED_VALUE"""),"")</f>
        <v/>
      </c>
      <c r="AO176" s="231" t="str">
        <f>IFERROR(__xludf.DUMMYFUNCTION("""COMPUTED_VALUE"""),"")</f>
        <v/>
      </c>
      <c r="AP176" s="232" t="str">
        <f>IFERROR(__xludf.DUMMYFUNCTION("""COMPUTED_VALUE"""),"")</f>
        <v/>
      </c>
      <c r="AQ176" s="233" t="str">
        <f>IFERROR(__xludf.DUMMYFUNCTION("""COMPUTED_VALUE"""),"")</f>
        <v/>
      </c>
      <c r="AR176" s="231" t="str">
        <f>IFERROR(__xludf.DUMMYFUNCTION("""COMPUTED_VALUE"""),"")</f>
        <v/>
      </c>
      <c r="AS176" s="232" t="str">
        <f>IFERROR(__xludf.DUMMYFUNCTION("""COMPUTED_VALUE"""),"")</f>
        <v/>
      </c>
      <c r="AT176" s="233" t="str">
        <f>IFERROR(__xludf.DUMMYFUNCTION("""COMPUTED_VALUE"""),"")</f>
        <v/>
      </c>
      <c r="AU176" s="231" t="str">
        <f>IFERROR(__xludf.DUMMYFUNCTION("""COMPUTED_VALUE"""),"")</f>
        <v/>
      </c>
      <c r="AV176" s="232" t="str">
        <f>IFERROR(__xludf.DUMMYFUNCTION("""COMPUTED_VALUE"""),"")</f>
        <v/>
      </c>
      <c r="AW176" s="233" t="str">
        <f>IFERROR(__xludf.DUMMYFUNCTION("""COMPUTED_VALUE"""),"")</f>
        <v/>
      </c>
      <c r="AX176" s="231" t="str">
        <f>IFERROR(__xludf.DUMMYFUNCTION("""COMPUTED_VALUE"""),"")</f>
        <v/>
      </c>
      <c r="AY176" s="232" t="str">
        <f>IFERROR(__xludf.DUMMYFUNCTION("""COMPUTED_VALUE"""),"")</f>
        <v/>
      </c>
      <c r="AZ176" s="233" t="str">
        <f>IFERROR(__xludf.DUMMYFUNCTION("""COMPUTED_VALUE"""),"")</f>
        <v/>
      </c>
      <c r="BA176" s="231" t="str">
        <f>IFERROR(__xludf.DUMMYFUNCTION("""COMPUTED_VALUE"""),"")</f>
        <v/>
      </c>
      <c r="BB176" s="232" t="str">
        <f>IFERROR(__xludf.DUMMYFUNCTION("""COMPUTED_VALUE"""),"")</f>
        <v/>
      </c>
      <c r="BC176" s="233" t="str">
        <f>IFERROR(__xludf.DUMMYFUNCTION("""COMPUTED_VALUE"""),"")</f>
        <v/>
      </c>
      <c r="BD176" s="231" t="str">
        <f>IFERROR(__xludf.DUMMYFUNCTION("""COMPUTED_VALUE"""),"")</f>
        <v/>
      </c>
      <c r="BE176" s="232" t="str">
        <f>IFERROR(__xludf.DUMMYFUNCTION("""COMPUTED_VALUE"""),"")</f>
        <v/>
      </c>
      <c r="BF176" s="233" t="str">
        <f>IFERROR(__xludf.DUMMYFUNCTION("""COMPUTED_VALUE"""),"")</f>
        <v/>
      </c>
      <c r="BG176" s="231" t="str">
        <f>IFERROR(__xludf.DUMMYFUNCTION("""COMPUTED_VALUE"""),"")</f>
        <v/>
      </c>
      <c r="BH176" s="232" t="str">
        <f>IFERROR(__xludf.DUMMYFUNCTION("""COMPUTED_VALUE"""),"")</f>
        <v/>
      </c>
      <c r="BI176" s="233" t="str">
        <f>IFERROR(__xludf.DUMMYFUNCTION("""COMPUTED_VALUE"""),"")</f>
        <v/>
      </c>
      <c r="BJ176" s="231" t="str">
        <f>IFERROR(__xludf.DUMMYFUNCTION("""COMPUTED_VALUE"""),"")</f>
        <v/>
      </c>
      <c r="BK176" s="232" t="str">
        <f>IFERROR(__xludf.DUMMYFUNCTION("""COMPUTED_VALUE"""),"")</f>
        <v/>
      </c>
      <c r="BL176" s="233">
        <f>IFERROR(__xludf.DUMMYFUNCTION("""COMPUTED_VALUE"""),19.2)</f>
        <v>19.2</v>
      </c>
      <c r="BM176" s="231" t="str">
        <f>IFERROR(__xludf.DUMMYFUNCTION("""COMPUTED_VALUE"""),"")</f>
        <v/>
      </c>
      <c r="BN176" s="232" t="str">
        <f>IFERROR(__xludf.DUMMYFUNCTION("""COMPUTED_VALUE"""),"")</f>
        <v/>
      </c>
      <c r="BO176" s="233" t="str">
        <f>IFERROR(__xludf.DUMMYFUNCTION("""COMPUTED_VALUE"""),"")</f>
        <v/>
      </c>
      <c r="BP176" s="231" t="str">
        <f>IFERROR(__xludf.DUMMYFUNCTION("""COMPUTED_VALUE"""),"")</f>
        <v/>
      </c>
      <c r="BQ176" s="232" t="str">
        <f>IFERROR(__xludf.DUMMYFUNCTION("""COMPUTED_VALUE"""),"")</f>
        <v/>
      </c>
      <c r="BR176" s="233" t="str">
        <f>IFERROR(__xludf.DUMMYFUNCTION("""COMPUTED_VALUE"""),"")</f>
        <v/>
      </c>
      <c r="BS176" s="231">
        <f>IFERROR(__xludf.DUMMYFUNCTION("""COMPUTED_VALUE"""),37.2)</f>
        <v>37.2</v>
      </c>
      <c r="BT176" s="232" t="str">
        <f>IFERROR(__xludf.DUMMYFUNCTION("""COMPUTED_VALUE"""),"")</f>
        <v/>
      </c>
      <c r="BU176" s="233" t="str">
        <f>IFERROR(__xludf.DUMMYFUNCTION("""COMPUTED_VALUE"""),"")</f>
        <v/>
      </c>
      <c r="BV176" s="231" t="str">
        <f>IFERROR(__xludf.DUMMYFUNCTION("""COMPUTED_VALUE"""),"")</f>
        <v/>
      </c>
      <c r="BW176" s="232" t="str">
        <f>IFERROR(__xludf.DUMMYFUNCTION("""COMPUTED_VALUE"""),"")</f>
        <v/>
      </c>
      <c r="BX176" s="233" t="str">
        <f>IFERROR(__xludf.DUMMYFUNCTION("""COMPUTED_VALUE"""),"")</f>
        <v/>
      </c>
      <c r="BY176" s="231" t="str">
        <f>IFERROR(__xludf.DUMMYFUNCTION("""COMPUTED_VALUE"""),"")</f>
        <v/>
      </c>
      <c r="BZ176" s="232" t="str">
        <f>IFERROR(__xludf.DUMMYFUNCTION("""COMPUTED_VALUE"""),"")</f>
        <v/>
      </c>
      <c r="CA176" s="233" t="str">
        <f>IFERROR(__xludf.DUMMYFUNCTION("""COMPUTED_VALUE"""),"")</f>
        <v/>
      </c>
      <c r="CB176" s="231" t="str">
        <f>IFERROR(__xludf.DUMMYFUNCTION("""COMPUTED_VALUE"""),"")</f>
        <v/>
      </c>
      <c r="CC176" s="232" t="str">
        <f>IFERROR(__xludf.DUMMYFUNCTION("""COMPUTED_VALUE"""),"")</f>
        <v/>
      </c>
      <c r="CD176" s="233" t="str">
        <f>IFERROR(__xludf.DUMMYFUNCTION("""COMPUTED_VALUE"""),"")</f>
        <v/>
      </c>
      <c r="CE176" s="234" t="str">
        <f>IFERROR(__xludf.DUMMYFUNCTION("""COMPUTED_VALUE"""),"")</f>
        <v/>
      </c>
      <c r="CF176" s="230" t="str">
        <f>IFERROR(__xludf.DUMMYFUNCTION("""COMPUTED_VALUE"""),"")</f>
        <v/>
      </c>
      <c r="CG176" s="235" t="str">
        <f>IFERROR(__xludf.DUMMYFUNCTION("""COMPUTED_VALUE"""),"")</f>
        <v/>
      </c>
      <c r="CH176" s="234" t="str">
        <f>IFERROR(__xludf.DUMMYFUNCTION("""COMPUTED_VALUE"""),"")</f>
        <v/>
      </c>
      <c r="CI176" s="230" t="str">
        <f>IFERROR(__xludf.DUMMYFUNCTION("""COMPUTED_VALUE"""),"")</f>
        <v/>
      </c>
      <c r="CJ176" s="235" t="str">
        <f>IFERROR(__xludf.DUMMYFUNCTION("""COMPUTED_VALUE"""),"")</f>
        <v/>
      </c>
      <c r="CK176" s="95" t="str">
        <f>IFERROR(__xludf.DUMMYFUNCTION("""COMPUTED_VALUE"""),"")</f>
        <v/>
      </c>
      <c r="CL176" s="96" t="str">
        <f>IFERROR(__xludf.DUMMYFUNCTION("""COMPUTED_VALUE"""),"")</f>
        <v/>
      </c>
      <c r="CM176" s="97" t="str">
        <f>IFERROR(__xludf.DUMMYFUNCTION("""COMPUTED_VALUE"""),"")</f>
        <v/>
      </c>
      <c r="CN176" s="95">
        <f>IFERROR(__xludf.DUMMYFUNCTION("""COMPUTED_VALUE"""),14.5)</f>
        <v>14.5</v>
      </c>
      <c r="CO176" s="96" t="str">
        <f>IFERROR(__xludf.DUMMYFUNCTION("""COMPUTED_VALUE"""),"")</f>
        <v/>
      </c>
      <c r="CP176" s="97" t="str">
        <f>IFERROR(__xludf.DUMMYFUNCTION("""COMPUTED_VALUE"""),"")</f>
        <v/>
      </c>
      <c r="CQ176" s="95" t="str">
        <f>IFERROR(__xludf.DUMMYFUNCTION("""COMPUTED_VALUE"""),"")</f>
        <v/>
      </c>
      <c r="CR176" s="96" t="str">
        <f>IFERROR(__xludf.DUMMYFUNCTION("""COMPUTED_VALUE"""),"")</f>
        <v/>
      </c>
      <c r="CS176" s="97" t="str">
        <f>IFERROR(__xludf.DUMMYFUNCTION("""COMPUTED_VALUE"""),"#REF!")</f>
        <v>#REF!</v>
      </c>
      <c r="CT176" s="95" t="str">
        <f>IFERROR(__xludf.DUMMYFUNCTION("""COMPUTED_VALUE"""),"#REF!")</f>
        <v>#REF!</v>
      </c>
      <c r="CU176" s="96" t="str">
        <f>IFERROR(__xludf.DUMMYFUNCTION("""COMPUTED_VALUE"""),"#REF!")</f>
        <v>#REF!</v>
      </c>
      <c r="CV176" s="97" t="str">
        <f>IFERROR(__xludf.DUMMYFUNCTION("""COMPUTED_VALUE"""),"#REF!")</f>
        <v>#REF!</v>
      </c>
      <c r="CW176" s="95" t="str">
        <f>IFERROR(__xludf.DUMMYFUNCTION("""COMPUTED_VALUE"""),"#REF!")</f>
        <v>#REF!</v>
      </c>
      <c r="CX176" s="96" t="str">
        <f>IFERROR(__xludf.DUMMYFUNCTION("""COMPUTED_VALUE"""),"#REF!")</f>
        <v>#REF!</v>
      </c>
      <c r="CY176" s="97" t="str">
        <f>IFERROR(__xludf.DUMMYFUNCTION("""COMPUTED_VALUE"""),"#REF!")</f>
        <v>#REF!</v>
      </c>
      <c r="CZ176" s="95" t="str">
        <f>IFERROR(__xludf.DUMMYFUNCTION("""COMPUTED_VALUE"""),"#REF!")</f>
        <v>#REF!</v>
      </c>
      <c r="DA176" s="96" t="str">
        <f>IFERROR(__xludf.DUMMYFUNCTION("""COMPUTED_VALUE"""),"#REF!")</f>
        <v>#REF!</v>
      </c>
      <c r="DB176" s="97" t="str">
        <f>IFERROR(__xludf.DUMMYFUNCTION("""COMPUTED_VALUE"""),"#REF!")</f>
        <v>#REF!</v>
      </c>
      <c r="DC176" s="95" t="str">
        <f>IFERROR(__xludf.DUMMYFUNCTION("""COMPUTED_VALUE"""),"#REF!")</f>
        <v>#REF!</v>
      </c>
      <c r="DD176" s="96" t="str">
        <f>IFERROR(__xludf.DUMMYFUNCTION("""COMPUTED_VALUE"""),"#REF!")</f>
        <v>#REF!</v>
      </c>
      <c r="DE176" s="97" t="str">
        <f>IFERROR(__xludf.DUMMYFUNCTION("""COMPUTED_VALUE"""),"#REF!")</f>
        <v>#REF!</v>
      </c>
      <c r="DF176" s="95" t="str">
        <f>IFERROR(__xludf.DUMMYFUNCTION("""COMPUTED_VALUE"""),"#REF!")</f>
        <v>#REF!</v>
      </c>
      <c r="DG176" s="96" t="str">
        <f>IFERROR(__xludf.DUMMYFUNCTION("""COMPUTED_VALUE"""),"#REF!")</f>
        <v>#REF!</v>
      </c>
      <c r="DH176" s="97" t="str">
        <f>IFERROR(__xludf.DUMMYFUNCTION("""COMPUTED_VALUE"""),"#REF!")</f>
        <v>#REF!</v>
      </c>
      <c r="DI176" s="95" t="str">
        <f>IFERROR(__xludf.DUMMYFUNCTION("""COMPUTED_VALUE"""),"#REF!")</f>
        <v>#REF!</v>
      </c>
      <c r="DJ176" s="96" t="str">
        <f>IFERROR(__xludf.DUMMYFUNCTION("""COMPUTED_VALUE"""),"#REF!")</f>
        <v>#REF!</v>
      </c>
      <c r="DK176" s="97" t="str">
        <f>IFERROR(__xludf.DUMMYFUNCTION("""COMPUTED_VALUE"""),"#REF!")</f>
        <v>#REF!</v>
      </c>
      <c r="DL176" s="95" t="str">
        <f>IFERROR(__xludf.DUMMYFUNCTION("""COMPUTED_VALUE"""),"#REF!")</f>
        <v>#REF!</v>
      </c>
      <c r="DM176" s="96" t="str">
        <f>IFERROR(__xludf.DUMMYFUNCTION("""COMPUTED_VALUE"""),"#REF!")</f>
        <v>#REF!</v>
      </c>
      <c r="DN176" s="97" t="str">
        <f>IFERROR(__xludf.DUMMYFUNCTION("""COMPUTED_VALUE"""),"#REF!")</f>
        <v>#REF!</v>
      </c>
      <c r="DO176" s="95" t="str">
        <f>IFERROR(__xludf.DUMMYFUNCTION("""COMPUTED_VALUE"""),"#REF!")</f>
        <v>#REF!</v>
      </c>
      <c r="DP176" s="96" t="str">
        <f>IFERROR(__xludf.DUMMYFUNCTION("""COMPUTED_VALUE"""),"#REF!")</f>
        <v>#REF!</v>
      </c>
      <c r="DQ176" s="97"/>
      <c r="DR176" s="95"/>
    </row>
    <row r="177">
      <c r="B177" s="120" t="str">
        <f>IFERROR(__xludf.DUMMYFUNCTION("""COMPUTED_VALUE"""),"SLM6")</f>
        <v>SLM6</v>
      </c>
      <c r="C177" s="82">
        <f>IFERROR(__xludf.DUMMYFUNCTION("""COMPUTED_VALUE"""),170.0)</f>
        <v>170</v>
      </c>
      <c r="D177" s="88" t="str">
        <f>IFERROR(__xludf.DUMMYFUNCTION("""COMPUTED_VALUE"""),"Isolated Mansion")</f>
        <v>Isolated Mansion</v>
      </c>
      <c r="E177" s="82" t="str">
        <f>IFERROR(__xludf.DUMMYFUNCTION("""COMPUTED_VALUE"""),"郊外の屋敷")</f>
        <v>郊外の屋敷</v>
      </c>
      <c r="F177" s="102">
        <f>IFERROR(__xludf.DUMMYFUNCTION("""COMPUTED_VALUE"""),21.0)</f>
        <v>21</v>
      </c>
      <c r="G177" s="82">
        <f>IFERROR(__xludf.DUMMYFUNCTION("""COMPUTED_VALUE"""),19538.0)</f>
        <v>19538</v>
      </c>
      <c r="H177" s="231" t="str">
        <f>IFERROR(__xludf.DUMMYFUNCTION("""COMPUTED_VALUE"""),"")</f>
        <v/>
      </c>
      <c r="I177" s="232" t="str">
        <f>IFERROR(__xludf.DUMMYFUNCTION("""COMPUTED_VALUE"""),"")</f>
        <v/>
      </c>
      <c r="J177" s="233" t="str">
        <f>IFERROR(__xludf.DUMMYFUNCTION("""COMPUTED_VALUE"""),"")</f>
        <v/>
      </c>
      <c r="K177" s="231" t="str">
        <f>IFERROR(__xludf.DUMMYFUNCTION("""COMPUTED_VALUE"""),"")</f>
        <v/>
      </c>
      <c r="L177" s="232" t="str">
        <f>IFERROR(__xludf.DUMMYFUNCTION("""COMPUTED_VALUE"""),"")</f>
        <v/>
      </c>
      <c r="M177" s="233" t="str">
        <f>IFERROR(__xludf.DUMMYFUNCTION("""COMPUTED_VALUE"""),"")</f>
        <v/>
      </c>
      <c r="N177" s="231" t="str">
        <f>IFERROR(__xludf.DUMMYFUNCTION("""COMPUTED_VALUE"""),"")</f>
        <v/>
      </c>
      <c r="O177" s="232" t="str">
        <f>IFERROR(__xludf.DUMMYFUNCTION("""COMPUTED_VALUE"""),"")</f>
        <v/>
      </c>
      <c r="P177" s="233" t="str">
        <f>IFERROR(__xludf.DUMMYFUNCTION("""COMPUTED_VALUE"""),"")</f>
        <v/>
      </c>
      <c r="Q177" s="231" t="str">
        <f>IFERROR(__xludf.DUMMYFUNCTION("""COMPUTED_VALUE"""),"")</f>
        <v/>
      </c>
      <c r="R177" s="232" t="str">
        <f>IFERROR(__xludf.DUMMYFUNCTION("""COMPUTED_VALUE"""),"")</f>
        <v/>
      </c>
      <c r="S177" s="233" t="str">
        <f>IFERROR(__xludf.DUMMYFUNCTION("""COMPUTED_VALUE"""),"")</f>
        <v/>
      </c>
      <c r="T177" s="231" t="str">
        <f>IFERROR(__xludf.DUMMYFUNCTION("""COMPUTED_VALUE"""),"")</f>
        <v/>
      </c>
      <c r="U177" s="232" t="str">
        <f>IFERROR(__xludf.DUMMYFUNCTION("""COMPUTED_VALUE"""),"")</f>
        <v/>
      </c>
      <c r="V177" s="233" t="str">
        <f>IFERROR(__xludf.DUMMYFUNCTION("""COMPUTED_VALUE"""),"")</f>
        <v/>
      </c>
      <c r="W177" s="231" t="str">
        <f>IFERROR(__xludf.DUMMYFUNCTION("""COMPUTED_VALUE"""),"")</f>
        <v/>
      </c>
      <c r="X177" s="232" t="str">
        <f>IFERROR(__xludf.DUMMYFUNCTION("""COMPUTED_VALUE"""),"")</f>
        <v/>
      </c>
      <c r="Y177" s="233" t="str">
        <f>IFERROR(__xludf.DUMMYFUNCTION("""COMPUTED_VALUE"""),"")</f>
        <v/>
      </c>
      <c r="Z177" s="231" t="str">
        <f>IFERROR(__xludf.DUMMYFUNCTION("""COMPUTED_VALUE"""),"")</f>
        <v/>
      </c>
      <c r="AA177" s="232" t="str">
        <f>IFERROR(__xludf.DUMMYFUNCTION("""COMPUTED_VALUE"""),"")</f>
        <v/>
      </c>
      <c r="AB177" s="233" t="str">
        <f>IFERROR(__xludf.DUMMYFUNCTION("""COMPUTED_VALUE"""),"")</f>
        <v/>
      </c>
      <c r="AC177" s="231" t="str">
        <f>IFERROR(__xludf.DUMMYFUNCTION("""COMPUTED_VALUE"""),"")</f>
        <v/>
      </c>
      <c r="AD177" s="232" t="str">
        <f>IFERROR(__xludf.DUMMYFUNCTION("""COMPUTED_VALUE"""),"")</f>
        <v/>
      </c>
      <c r="AE177" s="233" t="str">
        <f>IFERROR(__xludf.DUMMYFUNCTION("""COMPUTED_VALUE"""),"")</f>
        <v/>
      </c>
      <c r="AF177" s="231" t="str">
        <f>IFERROR(__xludf.DUMMYFUNCTION("""COMPUTED_VALUE"""),"")</f>
        <v/>
      </c>
      <c r="AG177" s="232" t="str">
        <f>IFERROR(__xludf.DUMMYFUNCTION("""COMPUTED_VALUE"""),"")</f>
        <v/>
      </c>
      <c r="AH177" s="233" t="str">
        <f>IFERROR(__xludf.DUMMYFUNCTION("""COMPUTED_VALUE"""),"")</f>
        <v/>
      </c>
      <c r="AI177" s="231" t="str">
        <f>IFERROR(__xludf.DUMMYFUNCTION("""COMPUTED_VALUE"""),"")</f>
        <v/>
      </c>
      <c r="AJ177" s="232" t="str">
        <f>IFERROR(__xludf.DUMMYFUNCTION("""COMPUTED_VALUE"""),"")</f>
        <v/>
      </c>
      <c r="AK177" s="233" t="str">
        <f>IFERROR(__xludf.DUMMYFUNCTION("""COMPUTED_VALUE"""),"")</f>
        <v/>
      </c>
      <c r="AL177" s="231" t="str">
        <f>IFERROR(__xludf.DUMMYFUNCTION("""COMPUTED_VALUE"""),"")</f>
        <v/>
      </c>
      <c r="AM177" s="232" t="str">
        <f>IFERROR(__xludf.DUMMYFUNCTION("""COMPUTED_VALUE"""),"")</f>
        <v/>
      </c>
      <c r="AN177" s="233" t="str">
        <f>IFERROR(__xludf.DUMMYFUNCTION("""COMPUTED_VALUE"""),"")</f>
        <v/>
      </c>
      <c r="AO177" s="231" t="str">
        <f>IFERROR(__xludf.DUMMYFUNCTION("""COMPUTED_VALUE"""),"")</f>
        <v/>
      </c>
      <c r="AP177" s="232" t="str">
        <f>IFERROR(__xludf.DUMMYFUNCTION("""COMPUTED_VALUE"""),"")</f>
        <v/>
      </c>
      <c r="AQ177" s="233" t="str">
        <f>IFERROR(__xludf.DUMMYFUNCTION("""COMPUTED_VALUE"""),"")</f>
        <v/>
      </c>
      <c r="AR177" s="231" t="str">
        <f>IFERROR(__xludf.DUMMYFUNCTION("""COMPUTED_VALUE"""),"")</f>
        <v/>
      </c>
      <c r="AS177" s="232" t="str">
        <f>IFERROR(__xludf.DUMMYFUNCTION("""COMPUTED_VALUE"""),"")</f>
        <v/>
      </c>
      <c r="AT177" s="233" t="str">
        <f>IFERROR(__xludf.DUMMYFUNCTION("""COMPUTED_VALUE"""),"")</f>
        <v/>
      </c>
      <c r="AU177" s="231" t="str">
        <f>IFERROR(__xludf.DUMMYFUNCTION("""COMPUTED_VALUE"""),"")</f>
        <v/>
      </c>
      <c r="AV177" s="232" t="str">
        <f>IFERROR(__xludf.DUMMYFUNCTION("""COMPUTED_VALUE"""),"")</f>
        <v/>
      </c>
      <c r="AW177" s="233" t="str">
        <f>IFERROR(__xludf.DUMMYFUNCTION("""COMPUTED_VALUE"""),"")</f>
        <v/>
      </c>
      <c r="AX177" s="231">
        <f>IFERROR(__xludf.DUMMYFUNCTION("""COMPUTED_VALUE"""),40.8)</f>
        <v>40.8</v>
      </c>
      <c r="AY177" s="232" t="str">
        <f>IFERROR(__xludf.DUMMYFUNCTION("""COMPUTED_VALUE"""),"")</f>
        <v/>
      </c>
      <c r="AZ177" s="233" t="str">
        <f>IFERROR(__xludf.DUMMYFUNCTION("""COMPUTED_VALUE"""),"")</f>
        <v/>
      </c>
      <c r="BA177" s="231">
        <f>IFERROR(__xludf.DUMMYFUNCTION("""COMPUTED_VALUE"""),40.7)</f>
        <v>40.7</v>
      </c>
      <c r="BB177" s="232" t="str">
        <f>IFERROR(__xludf.DUMMYFUNCTION("""COMPUTED_VALUE"""),"")</f>
        <v/>
      </c>
      <c r="BC177" s="233" t="str">
        <f>IFERROR(__xludf.DUMMYFUNCTION("""COMPUTED_VALUE"""),"")</f>
        <v/>
      </c>
      <c r="BD177" s="231" t="str">
        <f>IFERROR(__xludf.DUMMYFUNCTION("""COMPUTED_VALUE"""),"")</f>
        <v/>
      </c>
      <c r="BE177" s="232" t="str">
        <f>IFERROR(__xludf.DUMMYFUNCTION("""COMPUTED_VALUE"""),"")</f>
        <v/>
      </c>
      <c r="BF177" s="233" t="str">
        <f>IFERROR(__xludf.DUMMYFUNCTION("""COMPUTED_VALUE"""),"")</f>
        <v/>
      </c>
      <c r="BG177" s="231" t="str">
        <f>IFERROR(__xludf.DUMMYFUNCTION("""COMPUTED_VALUE"""),"")</f>
        <v/>
      </c>
      <c r="BH177" s="232" t="str">
        <f>IFERROR(__xludf.DUMMYFUNCTION("""COMPUTED_VALUE"""),"")</f>
        <v/>
      </c>
      <c r="BI177" s="233" t="str">
        <f>IFERROR(__xludf.DUMMYFUNCTION("""COMPUTED_VALUE"""),"")</f>
        <v/>
      </c>
      <c r="BJ177" s="231" t="str">
        <f>IFERROR(__xludf.DUMMYFUNCTION("""COMPUTED_VALUE"""),"")</f>
        <v/>
      </c>
      <c r="BK177" s="232" t="str">
        <f>IFERROR(__xludf.DUMMYFUNCTION("""COMPUTED_VALUE"""),"")</f>
        <v/>
      </c>
      <c r="BL177" s="233" t="str">
        <f>IFERROR(__xludf.DUMMYFUNCTION("""COMPUTED_VALUE"""),"")</f>
        <v/>
      </c>
      <c r="BM177" s="231" t="str">
        <f>IFERROR(__xludf.DUMMYFUNCTION("""COMPUTED_VALUE"""),"")</f>
        <v/>
      </c>
      <c r="BN177" s="232" t="str">
        <f>IFERROR(__xludf.DUMMYFUNCTION("""COMPUTED_VALUE"""),"")</f>
        <v/>
      </c>
      <c r="BO177" s="233" t="str">
        <f>IFERROR(__xludf.DUMMYFUNCTION("""COMPUTED_VALUE"""),"")</f>
        <v/>
      </c>
      <c r="BP177" s="231" t="str">
        <f>IFERROR(__xludf.DUMMYFUNCTION("""COMPUTED_VALUE"""),"")</f>
        <v/>
      </c>
      <c r="BQ177" s="232" t="str">
        <f>IFERROR(__xludf.DUMMYFUNCTION("""COMPUTED_VALUE"""),"")</f>
        <v/>
      </c>
      <c r="BR177" s="233" t="str">
        <f>IFERROR(__xludf.DUMMYFUNCTION("""COMPUTED_VALUE"""),"")</f>
        <v/>
      </c>
      <c r="BS177" s="231" t="str">
        <f>IFERROR(__xludf.DUMMYFUNCTION("""COMPUTED_VALUE"""),"")</f>
        <v/>
      </c>
      <c r="BT177" s="232" t="str">
        <f>IFERROR(__xludf.DUMMYFUNCTION("""COMPUTED_VALUE"""),"")</f>
        <v/>
      </c>
      <c r="BU177" s="233" t="str">
        <f>IFERROR(__xludf.DUMMYFUNCTION("""COMPUTED_VALUE"""),"")</f>
        <v/>
      </c>
      <c r="BV177" s="231">
        <f>IFERROR(__xludf.DUMMYFUNCTION("""COMPUTED_VALUE"""),25.1)</f>
        <v>25.1</v>
      </c>
      <c r="BW177" s="232">
        <f>IFERROR(__xludf.DUMMYFUNCTION("""COMPUTED_VALUE"""),22.5)</f>
        <v>22.5</v>
      </c>
      <c r="BX177" s="233" t="str">
        <f>IFERROR(__xludf.DUMMYFUNCTION("""COMPUTED_VALUE"""),"")</f>
        <v/>
      </c>
      <c r="BY177" s="231" t="str">
        <f>IFERROR(__xludf.DUMMYFUNCTION("""COMPUTED_VALUE"""),"")</f>
        <v/>
      </c>
      <c r="BZ177" s="232" t="str">
        <f>IFERROR(__xludf.DUMMYFUNCTION("""COMPUTED_VALUE"""),"")</f>
        <v/>
      </c>
      <c r="CA177" s="233" t="str">
        <f>IFERROR(__xludf.DUMMYFUNCTION("""COMPUTED_VALUE"""),"")</f>
        <v/>
      </c>
      <c r="CB177" s="231" t="str">
        <f>IFERROR(__xludf.DUMMYFUNCTION("""COMPUTED_VALUE"""),"")</f>
        <v/>
      </c>
      <c r="CC177" s="232" t="str">
        <f>IFERROR(__xludf.DUMMYFUNCTION("""COMPUTED_VALUE"""),"")</f>
        <v/>
      </c>
      <c r="CD177" s="233" t="str">
        <f>IFERROR(__xludf.DUMMYFUNCTION("""COMPUTED_VALUE"""),"")</f>
        <v/>
      </c>
      <c r="CE177" s="234" t="str">
        <f>IFERROR(__xludf.DUMMYFUNCTION("""COMPUTED_VALUE"""),"")</f>
        <v/>
      </c>
      <c r="CF177" s="230" t="str">
        <f>IFERROR(__xludf.DUMMYFUNCTION("""COMPUTED_VALUE"""),"")</f>
        <v/>
      </c>
      <c r="CG177" s="235" t="str">
        <f>IFERROR(__xludf.DUMMYFUNCTION("""COMPUTED_VALUE"""),"")</f>
        <v/>
      </c>
      <c r="CH177" s="234" t="str">
        <f>IFERROR(__xludf.DUMMYFUNCTION("""COMPUTED_VALUE"""),"")</f>
        <v/>
      </c>
      <c r="CI177" s="230" t="str">
        <f>IFERROR(__xludf.DUMMYFUNCTION("""COMPUTED_VALUE"""),"")</f>
        <v/>
      </c>
      <c r="CJ177" s="235" t="str">
        <f>IFERROR(__xludf.DUMMYFUNCTION("""COMPUTED_VALUE"""),"")</f>
        <v/>
      </c>
      <c r="CK177" s="95" t="str">
        <f>IFERROR(__xludf.DUMMYFUNCTION("""COMPUTED_VALUE"""),"")</f>
        <v/>
      </c>
      <c r="CL177" s="96" t="str">
        <f>IFERROR(__xludf.DUMMYFUNCTION("""COMPUTED_VALUE"""),"")</f>
        <v/>
      </c>
      <c r="CM177" s="97" t="str">
        <f>IFERROR(__xludf.DUMMYFUNCTION("""COMPUTED_VALUE"""),"")</f>
        <v/>
      </c>
      <c r="CN177" s="95" t="str">
        <f>IFERROR(__xludf.DUMMYFUNCTION("""COMPUTED_VALUE"""),"")</f>
        <v/>
      </c>
      <c r="CO177" s="96" t="str">
        <f>IFERROR(__xludf.DUMMYFUNCTION("""COMPUTED_VALUE"""),"")</f>
        <v/>
      </c>
      <c r="CP177" s="97" t="str">
        <f>IFERROR(__xludf.DUMMYFUNCTION("""COMPUTED_VALUE"""),"")</f>
        <v/>
      </c>
      <c r="CQ177" s="95" t="str">
        <f>IFERROR(__xludf.DUMMYFUNCTION("""COMPUTED_VALUE"""),"")</f>
        <v/>
      </c>
      <c r="CR177" s="96" t="str">
        <f>IFERROR(__xludf.DUMMYFUNCTION("""COMPUTED_VALUE"""),"")</f>
        <v/>
      </c>
      <c r="CS177" s="97" t="str">
        <f>IFERROR(__xludf.DUMMYFUNCTION("""COMPUTED_VALUE"""),"#REF!")</f>
        <v>#REF!</v>
      </c>
      <c r="CT177" s="95" t="str">
        <f>IFERROR(__xludf.DUMMYFUNCTION("""COMPUTED_VALUE"""),"#REF!")</f>
        <v>#REF!</v>
      </c>
      <c r="CU177" s="96" t="str">
        <f>IFERROR(__xludf.DUMMYFUNCTION("""COMPUTED_VALUE"""),"#REF!")</f>
        <v>#REF!</v>
      </c>
      <c r="CV177" s="97" t="str">
        <f>IFERROR(__xludf.DUMMYFUNCTION("""COMPUTED_VALUE"""),"#REF!")</f>
        <v>#REF!</v>
      </c>
      <c r="CW177" s="95" t="str">
        <f>IFERROR(__xludf.DUMMYFUNCTION("""COMPUTED_VALUE"""),"#REF!")</f>
        <v>#REF!</v>
      </c>
      <c r="CX177" s="96" t="str">
        <f>IFERROR(__xludf.DUMMYFUNCTION("""COMPUTED_VALUE"""),"#REF!")</f>
        <v>#REF!</v>
      </c>
      <c r="CY177" s="97" t="str">
        <f>IFERROR(__xludf.DUMMYFUNCTION("""COMPUTED_VALUE"""),"#REF!")</f>
        <v>#REF!</v>
      </c>
      <c r="CZ177" s="95" t="str">
        <f>IFERROR(__xludf.DUMMYFUNCTION("""COMPUTED_VALUE"""),"#REF!")</f>
        <v>#REF!</v>
      </c>
      <c r="DA177" s="96" t="str">
        <f>IFERROR(__xludf.DUMMYFUNCTION("""COMPUTED_VALUE"""),"#REF!")</f>
        <v>#REF!</v>
      </c>
      <c r="DB177" s="97" t="str">
        <f>IFERROR(__xludf.DUMMYFUNCTION("""COMPUTED_VALUE"""),"#REF!")</f>
        <v>#REF!</v>
      </c>
      <c r="DC177" s="95" t="str">
        <f>IFERROR(__xludf.DUMMYFUNCTION("""COMPUTED_VALUE"""),"#REF!")</f>
        <v>#REF!</v>
      </c>
      <c r="DD177" s="96" t="str">
        <f>IFERROR(__xludf.DUMMYFUNCTION("""COMPUTED_VALUE"""),"#REF!")</f>
        <v>#REF!</v>
      </c>
      <c r="DE177" s="97" t="str">
        <f>IFERROR(__xludf.DUMMYFUNCTION("""COMPUTED_VALUE"""),"#REF!")</f>
        <v>#REF!</v>
      </c>
      <c r="DF177" s="95" t="str">
        <f>IFERROR(__xludf.DUMMYFUNCTION("""COMPUTED_VALUE"""),"#REF!")</f>
        <v>#REF!</v>
      </c>
      <c r="DG177" s="96" t="str">
        <f>IFERROR(__xludf.DUMMYFUNCTION("""COMPUTED_VALUE"""),"#REF!")</f>
        <v>#REF!</v>
      </c>
      <c r="DH177" s="97" t="str">
        <f>IFERROR(__xludf.DUMMYFUNCTION("""COMPUTED_VALUE"""),"#REF!")</f>
        <v>#REF!</v>
      </c>
      <c r="DI177" s="95" t="str">
        <f>IFERROR(__xludf.DUMMYFUNCTION("""COMPUTED_VALUE"""),"#REF!")</f>
        <v>#REF!</v>
      </c>
      <c r="DJ177" s="96" t="str">
        <f>IFERROR(__xludf.DUMMYFUNCTION("""COMPUTED_VALUE"""),"#REF!")</f>
        <v>#REF!</v>
      </c>
      <c r="DK177" s="97" t="str">
        <f>IFERROR(__xludf.DUMMYFUNCTION("""COMPUTED_VALUE"""),"#REF!")</f>
        <v>#REF!</v>
      </c>
      <c r="DL177" s="95" t="str">
        <f>IFERROR(__xludf.DUMMYFUNCTION("""COMPUTED_VALUE"""),"#REF!")</f>
        <v>#REF!</v>
      </c>
      <c r="DM177" s="96" t="str">
        <f>IFERROR(__xludf.DUMMYFUNCTION("""COMPUTED_VALUE"""),"#REF!")</f>
        <v>#REF!</v>
      </c>
      <c r="DN177" s="97" t="str">
        <f>IFERROR(__xludf.DUMMYFUNCTION("""COMPUTED_VALUE"""),"#REF!")</f>
        <v>#REF!</v>
      </c>
      <c r="DO177" s="95" t="str">
        <f>IFERROR(__xludf.DUMMYFUNCTION("""COMPUTED_VALUE"""),"#REF!")</f>
        <v>#REF!</v>
      </c>
      <c r="DP177" s="96" t="str">
        <f>IFERROR(__xludf.DUMMYFUNCTION("""COMPUTED_VALUE"""),"#REF!")</f>
        <v>#REF!</v>
      </c>
      <c r="DQ177" s="97"/>
      <c r="DR177" s="95"/>
    </row>
    <row r="178">
      <c r="B178" s="120" t="str">
        <f>IFERROR(__xludf.DUMMYFUNCTION("""COMPUTED_VALUE"""),"SLM7")</f>
        <v>SLM7</v>
      </c>
      <c r="C178" s="82">
        <f>IFERROR(__xludf.DUMMYFUNCTION("""COMPUTED_VALUE"""),171.0)</f>
        <v>171</v>
      </c>
      <c r="D178" s="88" t="str">
        <f>IFERROR(__xludf.DUMMYFUNCTION("""COMPUTED_VALUE"""),"Gallows Hill")</f>
        <v>Gallows Hill</v>
      </c>
      <c r="E178" s="82" t="str">
        <f>IFERROR(__xludf.DUMMYFUNCTION("""COMPUTED_VALUE"""),"ガローの丘")</f>
        <v>ガローの丘</v>
      </c>
      <c r="F178" s="102">
        <f>IFERROR(__xludf.DUMMYFUNCTION("""COMPUTED_VALUE"""),21.0)</f>
        <v>21</v>
      </c>
      <c r="G178" s="82">
        <f>IFERROR(__xludf.DUMMYFUNCTION("""COMPUTED_VALUE"""),29563.0)</f>
        <v>29563</v>
      </c>
      <c r="H178" s="231" t="str">
        <f>IFERROR(__xludf.DUMMYFUNCTION("""COMPUTED_VALUE"""),"")</f>
        <v/>
      </c>
      <c r="I178" s="232" t="str">
        <f>IFERROR(__xludf.DUMMYFUNCTION("""COMPUTED_VALUE"""),"")</f>
        <v/>
      </c>
      <c r="J178" s="233" t="str">
        <f>IFERROR(__xludf.DUMMYFUNCTION("""COMPUTED_VALUE"""),"")</f>
        <v/>
      </c>
      <c r="K178" s="231" t="str">
        <f>IFERROR(__xludf.DUMMYFUNCTION("""COMPUTED_VALUE"""),"")</f>
        <v/>
      </c>
      <c r="L178" s="232" t="str">
        <f>IFERROR(__xludf.DUMMYFUNCTION("""COMPUTED_VALUE"""),"")</f>
        <v/>
      </c>
      <c r="M178" s="233" t="str">
        <f>IFERROR(__xludf.DUMMYFUNCTION("""COMPUTED_VALUE"""),"")</f>
        <v/>
      </c>
      <c r="N178" s="231" t="str">
        <f>IFERROR(__xludf.DUMMYFUNCTION("""COMPUTED_VALUE"""),"")</f>
        <v/>
      </c>
      <c r="O178" s="232" t="str">
        <f>IFERROR(__xludf.DUMMYFUNCTION("""COMPUTED_VALUE"""),"")</f>
        <v/>
      </c>
      <c r="P178" s="233" t="str">
        <f>IFERROR(__xludf.DUMMYFUNCTION("""COMPUTED_VALUE"""),"")</f>
        <v/>
      </c>
      <c r="Q178" s="231" t="str">
        <f>IFERROR(__xludf.DUMMYFUNCTION("""COMPUTED_VALUE"""),"")</f>
        <v/>
      </c>
      <c r="R178" s="232" t="str">
        <f>IFERROR(__xludf.DUMMYFUNCTION("""COMPUTED_VALUE"""),"")</f>
        <v/>
      </c>
      <c r="S178" s="233" t="str">
        <f>IFERROR(__xludf.DUMMYFUNCTION("""COMPUTED_VALUE"""),"")</f>
        <v/>
      </c>
      <c r="T178" s="231" t="str">
        <f>IFERROR(__xludf.DUMMYFUNCTION("""COMPUTED_VALUE"""),"")</f>
        <v/>
      </c>
      <c r="U178" s="232" t="str">
        <f>IFERROR(__xludf.DUMMYFUNCTION("""COMPUTED_VALUE"""),"")</f>
        <v/>
      </c>
      <c r="V178" s="233" t="str">
        <f>IFERROR(__xludf.DUMMYFUNCTION("""COMPUTED_VALUE"""),"")</f>
        <v/>
      </c>
      <c r="W178" s="231" t="str">
        <f>IFERROR(__xludf.DUMMYFUNCTION("""COMPUTED_VALUE"""),"")</f>
        <v/>
      </c>
      <c r="X178" s="232" t="str">
        <f>IFERROR(__xludf.DUMMYFUNCTION("""COMPUTED_VALUE"""),"")</f>
        <v/>
      </c>
      <c r="Y178" s="233" t="str">
        <f>IFERROR(__xludf.DUMMYFUNCTION("""COMPUTED_VALUE"""),"")</f>
        <v/>
      </c>
      <c r="Z178" s="231" t="str">
        <f>IFERROR(__xludf.DUMMYFUNCTION("""COMPUTED_VALUE"""),"")</f>
        <v/>
      </c>
      <c r="AA178" s="232" t="str">
        <f>IFERROR(__xludf.DUMMYFUNCTION("""COMPUTED_VALUE"""),"")</f>
        <v/>
      </c>
      <c r="AB178" s="233" t="str">
        <f>IFERROR(__xludf.DUMMYFUNCTION("""COMPUTED_VALUE"""),"")</f>
        <v/>
      </c>
      <c r="AC178" s="231" t="str">
        <f>IFERROR(__xludf.DUMMYFUNCTION("""COMPUTED_VALUE"""),"")</f>
        <v/>
      </c>
      <c r="AD178" s="232" t="str">
        <f>IFERROR(__xludf.DUMMYFUNCTION("""COMPUTED_VALUE"""),"")</f>
        <v/>
      </c>
      <c r="AE178" s="233" t="str">
        <f>IFERROR(__xludf.DUMMYFUNCTION("""COMPUTED_VALUE"""),"")</f>
        <v/>
      </c>
      <c r="AF178" s="231" t="str">
        <f>IFERROR(__xludf.DUMMYFUNCTION("""COMPUTED_VALUE"""),"")</f>
        <v/>
      </c>
      <c r="AG178" s="232" t="str">
        <f>IFERROR(__xludf.DUMMYFUNCTION("""COMPUTED_VALUE"""),"")</f>
        <v/>
      </c>
      <c r="AH178" s="233" t="str">
        <f>IFERROR(__xludf.DUMMYFUNCTION("""COMPUTED_VALUE"""),"")</f>
        <v/>
      </c>
      <c r="AI178" s="231" t="str">
        <f>IFERROR(__xludf.DUMMYFUNCTION("""COMPUTED_VALUE"""),"")</f>
        <v/>
      </c>
      <c r="AJ178" s="232" t="str">
        <f>IFERROR(__xludf.DUMMYFUNCTION("""COMPUTED_VALUE"""),"")</f>
        <v/>
      </c>
      <c r="AK178" s="233" t="str">
        <f>IFERROR(__xludf.DUMMYFUNCTION("""COMPUTED_VALUE"""),"")</f>
        <v/>
      </c>
      <c r="AL178" s="231" t="str">
        <f>IFERROR(__xludf.DUMMYFUNCTION("""COMPUTED_VALUE"""),"")</f>
        <v/>
      </c>
      <c r="AM178" s="232" t="str">
        <f>IFERROR(__xludf.DUMMYFUNCTION("""COMPUTED_VALUE"""),"")</f>
        <v/>
      </c>
      <c r="AN178" s="233" t="str">
        <f>IFERROR(__xludf.DUMMYFUNCTION("""COMPUTED_VALUE"""),"")</f>
        <v/>
      </c>
      <c r="AO178" s="231" t="str">
        <f>IFERROR(__xludf.DUMMYFUNCTION("""COMPUTED_VALUE"""),"")</f>
        <v/>
      </c>
      <c r="AP178" s="232" t="str">
        <f>IFERROR(__xludf.DUMMYFUNCTION("""COMPUTED_VALUE"""),"")</f>
        <v/>
      </c>
      <c r="AQ178" s="233" t="str">
        <f>IFERROR(__xludf.DUMMYFUNCTION("""COMPUTED_VALUE"""),"")</f>
        <v/>
      </c>
      <c r="AR178" s="231" t="str">
        <f>IFERROR(__xludf.DUMMYFUNCTION("""COMPUTED_VALUE"""),"")</f>
        <v/>
      </c>
      <c r="AS178" s="232" t="str">
        <f>IFERROR(__xludf.DUMMYFUNCTION("""COMPUTED_VALUE"""),"")</f>
        <v/>
      </c>
      <c r="AT178" s="233" t="str">
        <f>IFERROR(__xludf.DUMMYFUNCTION("""COMPUTED_VALUE"""),"")</f>
        <v/>
      </c>
      <c r="AU178" s="231" t="str">
        <f>IFERROR(__xludf.DUMMYFUNCTION("""COMPUTED_VALUE"""),"")</f>
        <v/>
      </c>
      <c r="AV178" s="232" t="str">
        <f>IFERROR(__xludf.DUMMYFUNCTION("""COMPUTED_VALUE"""),"")</f>
        <v/>
      </c>
      <c r="AW178" s="233" t="str">
        <f>IFERROR(__xludf.DUMMYFUNCTION("""COMPUTED_VALUE"""),"")</f>
        <v/>
      </c>
      <c r="AX178" s="231" t="str">
        <f>IFERROR(__xludf.DUMMYFUNCTION("""COMPUTED_VALUE"""),"")</f>
        <v/>
      </c>
      <c r="AY178" s="232" t="str">
        <f>IFERROR(__xludf.DUMMYFUNCTION("""COMPUTED_VALUE"""),"")</f>
        <v/>
      </c>
      <c r="AZ178" s="233" t="str">
        <f>IFERROR(__xludf.DUMMYFUNCTION("""COMPUTED_VALUE"""),"")</f>
        <v/>
      </c>
      <c r="BA178" s="231">
        <f>IFERROR(__xludf.DUMMYFUNCTION("""COMPUTED_VALUE"""),67.4)</f>
        <v>67.4</v>
      </c>
      <c r="BB178" s="232" t="str">
        <f>IFERROR(__xludf.DUMMYFUNCTION("""COMPUTED_VALUE"""),"")</f>
        <v/>
      </c>
      <c r="BC178" s="233" t="str">
        <f>IFERROR(__xludf.DUMMYFUNCTION("""COMPUTED_VALUE"""),"")</f>
        <v/>
      </c>
      <c r="BD178" s="231" t="str">
        <f>IFERROR(__xludf.DUMMYFUNCTION("""COMPUTED_VALUE"""),"")</f>
        <v/>
      </c>
      <c r="BE178" s="232" t="str">
        <f>IFERROR(__xludf.DUMMYFUNCTION("""COMPUTED_VALUE"""),"")</f>
        <v/>
      </c>
      <c r="BF178" s="233" t="str">
        <f>IFERROR(__xludf.DUMMYFUNCTION("""COMPUTED_VALUE"""),"")</f>
        <v/>
      </c>
      <c r="BG178" s="231" t="str">
        <f>IFERROR(__xludf.DUMMYFUNCTION("""COMPUTED_VALUE"""),"")</f>
        <v/>
      </c>
      <c r="BH178" s="232" t="str">
        <f>IFERROR(__xludf.DUMMYFUNCTION("""COMPUTED_VALUE"""),"")</f>
        <v/>
      </c>
      <c r="BI178" s="233" t="str">
        <f>IFERROR(__xludf.DUMMYFUNCTION("""COMPUTED_VALUE"""),"")</f>
        <v/>
      </c>
      <c r="BJ178" s="231" t="str">
        <f>IFERROR(__xludf.DUMMYFUNCTION("""COMPUTED_VALUE"""),"")</f>
        <v/>
      </c>
      <c r="BK178" s="232" t="str">
        <f>IFERROR(__xludf.DUMMYFUNCTION("""COMPUTED_VALUE"""),"")</f>
        <v/>
      </c>
      <c r="BL178" s="233" t="str">
        <f>IFERROR(__xludf.DUMMYFUNCTION("""COMPUTED_VALUE"""),"")</f>
        <v/>
      </c>
      <c r="BM178" s="231" t="str">
        <f>IFERROR(__xludf.DUMMYFUNCTION("""COMPUTED_VALUE"""),"")</f>
        <v/>
      </c>
      <c r="BN178" s="232" t="str">
        <f>IFERROR(__xludf.DUMMYFUNCTION("""COMPUTED_VALUE"""),"")</f>
        <v/>
      </c>
      <c r="BO178" s="233">
        <f>IFERROR(__xludf.DUMMYFUNCTION("""COMPUTED_VALUE"""),15.3)</f>
        <v>15.3</v>
      </c>
      <c r="BP178" s="231" t="str">
        <f>IFERROR(__xludf.DUMMYFUNCTION("""COMPUTED_VALUE"""),"")</f>
        <v/>
      </c>
      <c r="BQ178" s="232" t="str">
        <f>IFERROR(__xludf.DUMMYFUNCTION("""COMPUTED_VALUE"""),"")</f>
        <v/>
      </c>
      <c r="BR178" s="233" t="str">
        <f>IFERROR(__xludf.DUMMYFUNCTION("""COMPUTED_VALUE"""),"")</f>
        <v/>
      </c>
      <c r="BS178" s="231" t="str">
        <f>IFERROR(__xludf.DUMMYFUNCTION("""COMPUTED_VALUE"""),"")</f>
        <v/>
      </c>
      <c r="BT178" s="232" t="str">
        <f>IFERROR(__xludf.DUMMYFUNCTION("""COMPUTED_VALUE"""),"")</f>
        <v/>
      </c>
      <c r="BU178" s="233" t="str">
        <f>IFERROR(__xludf.DUMMYFUNCTION("""COMPUTED_VALUE"""),"")</f>
        <v/>
      </c>
      <c r="BV178" s="231" t="str">
        <f>IFERROR(__xludf.DUMMYFUNCTION("""COMPUTED_VALUE"""),"")</f>
        <v/>
      </c>
      <c r="BW178" s="232">
        <f>IFERROR(__xludf.DUMMYFUNCTION("""COMPUTED_VALUE"""),35.3)</f>
        <v>35.3</v>
      </c>
      <c r="BX178" s="233" t="str">
        <f>IFERROR(__xludf.DUMMYFUNCTION("""COMPUTED_VALUE"""),"")</f>
        <v/>
      </c>
      <c r="BY178" s="231" t="str">
        <f>IFERROR(__xludf.DUMMYFUNCTION("""COMPUTED_VALUE"""),"")</f>
        <v/>
      </c>
      <c r="BZ178" s="232" t="str">
        <f>IFERROR(__xludf.DUMMYFUNCTION("""COMPUTED_VALUE"""),"")</f>
        <v/>
      </c>
      <c r="CA178" s="233" t="str">
        <f>IFERROR(__xludf.DUMMYFUNCTION("""COMPUTED_VALUE"""),"")</f>
        <v/>
      </c>
      <c r="CB178" s="231" t="str">
        <f>IFERROR(__xludf.DUMMYFUNCTION("""COMPUTED_VALUE"""),"")</f>
        <v/>
      </c>
      <c r="CC178" s="232" t="str">
        <f>IFERROR(__xludf.DUMMYFUNCTION("""COMPUTED_VALUE"""),"")</f>
        <v/>
      </c>
      <c r="CD178" s="233" t="str">
        <f>IFERROR(__xludf.DUMMYFUNCTION("""COMPUTED_VALUE"""),"")</f>
        <v/>
      </c>
      <c r="CE178" s="234" t="str">
        <f>IFERROR(__xludf.DUMMYFUNCTION("""COMPUTED_VALUE"""),"")</f>
        <v/>
      </c>
      <c r="CF178" s="230" t="str">
        <f>IFERROR(__xludf.DUMMYFUNCTION("""COMPUTED_VALUE"""),"")</f>
        <v/>
      </c>
      <c r="CG178" s="235" t="str">
        <f>IFERROR(__xludf.DUMMYFUNCTION("""COMPUTED_VALUE"""),"")</f>
        <v/>
      </c>
      <c r="CH178" s="234" t="str">
        <f>IFERROR(__xludf.DUMMYFUNCTION("""COMPUTED_VALUE"""),"")</f>
        <v/>
      </c>
      <c r="CI178" s="230" t="str">
        <f>IFERROR(__xludf.DUMMYFUNCTION("""COMPUTED_VALUE"""),"")</f>
        <v/>
      </c>
      <c r="CJ178" s="235" t="str">
        <f>IFERROR(__xludf.DUMMYFUNCTION("""COMPUTED_VALUE"""),"")</f>
        <v/>
      </c>
      <c r="CK178" s="95" t="str">
        <f>IFERROR(__xludf.DUMMYFUNCTION("""COMPUTED_VALUE"""),"")</f>
        <v/>
      </c>
      <c r="CL178" s="96" t="str">
        <f>IFERROR(__xludf.DUMMYFUNCTION("""COMPUTED_VALUE"""),"")</f>
        <v/>
      </c>
      <c r="CM178" s="97" t="str">
        <f>IFERROR(__xludf.DUMMYFUNCTION("""COMPUTED_VALUE"""),"")</f>
        <v/>
      </c>
      <c r="CN178" s="95" t="str">
        <f>IFERROR(__xludf.DUMMYFUNCTION("""COMPUTED_VALUE"""),"")</f>
        <v/>
      </c>
      <c r="CO178" s="96" t="str">
        <f>IFERROR(__xludf.DUMMYFUNCTION("""COMPUTED_VALUE"""),"")</f>
        <v/>
      </c>
      <c r="CP178" s="97" t="str">
        <f>IFERROR(__xludf.DUMMYFUNCTION("""COMPUTED_VALUE"""),"")</f>
        <v/>
      </c>
      <c r="CQ178" s="95">
        <f>IFERROR(__xludf.DUMMYFUNCTION("""COMPUTED_VALUE"""),14.2)</f>
        <v>14.2</v>
      </c>
      <c r="CR178" s="96" t="str">
        <f>IFERROR(__xludf.DUMMYFUNCTION("""COMPUTED_VALUE"""),"")</f>
        <v/>
      </c>
      <c r="CS178" s="97" t="str">
        <f>IFERROR(__xludf.DUMMYFUNCTION("""COMPUTED_VALUE"""),"#REF!")</f>
        <v>#REF!</v>
      </c>
      <c r="CT178" s="95" t="str">
        <f>IFERROR(__xludf.DUMMYFUNCTION("""COMPUTED_VALUE"""),"#REF!")</f>
        <v>#REF!</v>
      </c>
      <c r="CU178" s="96" t="str">
        <f>IFERROR(__xludf.DUMMYFUNCTION("""COMPUTED_VALUE"""),"#REF!")</f>
        <v>#REF!</v>
      </c>
      <c r="CV178" s="97" t="str">
        <f>IFERROR(__xludf.DUMMYFUNCTION("""COMPUTED_VALUE"""),"#REF!")</f>
        <v>#REF!</v>
      </c>
      <c r="CW178" s="95" t="str">
        <f>IFERROR(__xludf.DUMMYFUNCTION("""COMPUTED_VALUE"""),"#REF!")</f>
        <v>#REF!</v>
      </c>
      <c r="CX178" s="96" t="str">
        <f>IFERROR(__xludf.DUMMYFUNCTION("""COMPUTED_VALUE"""),"#REF!")</f>
        <v>#REF!</v>
      </c>
      <c r="CY178" s="97" t="str">
        <f>IFERROR(__xludf.DUMMYFUNCTION("""COMPUTED_VALUE"""),"#REF!")</f>
        <v>#REF!</v>
      </c>
      <c r="CZ178" s="95" t="str">
        <f>IFERROR(__xludf.DUMMYFUNCTION("""COMPUTED_VALUE"""),"#REF!")</f>
        <v>#REF!</v>
      </c>
      <c r="DA178" s="96" t="str">
        <f>IFERROR(__xludf.DUMMYFUNCTION("""COMPUTED_VALUE"""),"#REF!")</f>
        <v>#REF!</v>
      </c>
      <c r="DB178" s="97" t="str">
        <f>IFERROR(__xludf.DUMMYFUNCTION("""COMPUTED_VALUE"""),"#REF!")</f>
        <v>#REF!</v>
      </c>
      <c r="DC178" s="95" t="str">
        <f>IFERROR(__xludf.DUMMYFUNCTION("""COMPUTED_VALUE"""),"#REF!")</f>
        <v>#REF!</v>
      </c>
      <c r="DD178" s="96" t="str">
        <f>IFERROR(__xludf.DUMMYFUNCTION("""COMPUTED_VALUE"""),"#REF!")</f>
        <v>#REF!</v>
      </c>
      <c r="DE178" s="97" t="str">
        <f>IFERROR(__xludf.DUMMYFUNCTION("""COMPUTED_VALUE"""),"#REF!")</f>
        <v>#REF!</v>
      </c>
      <c r="DF178" s="95" t="str">
        <f>IFERROR(__xludf.DUMMYFUNCTION("""COMPUTED_VALUE"""),"#REF!")</f>
        <v>#REF!</v>
      </c>
      <c r="DG178" s="96" t="str">
        <f>IFERROR(__xludf.DUMMYFUNCTION("""COMPUTED_VALUE"""),"#REF!")</f>
        <v>#REF!</v>
      </c>
      <c r="DH178" s="97" t="str">
        <f>IFERROR(__xludf.DUMMYFUNCTION("""COMPUTED_VALUE"""),"#REF!")</f>
        <v>#REF!</v>
      </c>
      <c r="DI178" s="95" t="str">
        <f>IFERROR(__xludf.DUMMYFUNCTION("""COMPUTED_VALUE"""),"#REF!")</f>
        <v>#REF!</v>
      </c>
      <c r="DJ178" s="96" t="str">
        <f>IFERROR(__xludf.DUMMYFUNCTION("""COMPUTED_VALUE"""),"#REF!")</f>
        <v>#REF!</v>
      </c>
      <c r="DK178" s="97" t="str">
        <f>IFERROR(__xludf.DUMMYFUNCTION("""COMPUTED_VALUE"""),"#REF!")</f>
        <v>#REF!</v>
      </c>
      <c r="DL178" s="95" t="str">
        <f>IFERROR(__xludf.DUMMYFUNCTION("""COMPUTED_VALUE"""),"#REF!")</f>
        <v>#REF!</v>
      </c>
      <c r="DM178" s="96" t="str">
        <f>IFERROR(__xludf.DUMMYFUNCTION("""COMPUTED_VALUE"""),"#REF!")</f>
        <v>#REF!</v>
      </c>
      <c r="DN178" s="97" t="str">
        <f>IFERROR(__xludf.DUMMYFUNCTION("""COMPUTED_VALUE"""),"#REF!")</f>
        <v>#REF!</v>
      </c>
      <c r="DO178" s="95" t="str">
        <f>IFERROR(__xludf.DUMMYFUNCTION("""COMPUTED_VALUE"""),"#REF!")</f>
        <v>#REF!</v>
      </c>
      <c r="DP178" s="96" t="str">
        <f>IFERROR(__xludf.DUMMYFUNCTION("""COMPUTED_VALUE"""),"#REF!")</f>
        <v>#REF!</v>
      </c>
      <c r="DQ178" s="97"/>
      <c r="DR178" s="95"/>
    </row>
    <row r="179">
      <c r="B179" s="120" t="str">
        <f>IFERROR(__xludf.DUMMYFUNCTION("""COMPUTED_VALUE"""),"SLM8")</f>
        <v>SLM8</v>
      </c>
      <c r="C179" s="82">
        <f>IFERROR(__xludf.DUMMYFUNCTION("""COMPUTED_VALUE"""),172.0)</f>
        <v>172</v>
      </c>
      <c r="D179" s="88" t="str">
        <f>IFERROR(__xludf.DUMMYFUNCTION("""COMPUTED_VALUE"""),"Meadow")</f>
        <v>Meadow</v>
      </c>
      <c r="E179" s="82" t="str">
        <f>IFERROR(__xludf.DUMMYFUNCTION("""COMPUTED_VALUE"""),"牧草地")</f>
        <v>牧草地</v>
      </c>
      <c r="F179" s="102">
        <f>IFERROR(__xludf.DUMMYFUNCTION("""COMPUTED_VALUE"""),21.0)</f>
        <v>21</v>
      </c>
      <c r="G179" s="82">
        <f>IFERROR(__xludf.DUMMYFUNCTION("""COMPUTED_VALUE"""),18155.0)</f>
        <v>18155</v>
      </c>
      <c r="H179" s="231" t="str">
        <f>IFERROR(__xludf.DUMMYFUNCTION("""COMPUTED_VALUE"""),"")</f>
        <v/>
      </c>
      <c r="I179" s="232" t="str">
        <f>IFERROR(__xludf.DUMMYFUNCTION("""COMPUTED_VALUE"""),"")</f>
        <v/>
      </c>
      <c r="J179" s="233" t="str">
        <f>IFERROR(__xludf.DUMMYFUNCTION("""COMPUTED_VALUE"""),"")</f>
        <v/>
      </c>
      <c r="K179" s="231" t="str">
        <f>IFERROR(__xludf.DUMMYFUNCTION("""COMPUTED_VALUE"""),"")</f>
        <v/>
      </c>
      <c r="L179" s="232" t="str">
        <f>IFERROR(__xludf.DUMMYFUNCTION("""COMPUTED_VALUE"""),"")</f>
        <v/>
      </c>
      <c r="M179" s="233" t="str">
        <f>IFERROR(__xludf.DUMMYFUNCTION("""COMPUTED_VALUE"""),"")</f>
        <v/>
      </c>
      <c r="N179" s="231" t="str">
        <f>IFERROR(__xludf.DUMMYFUNCTION("""COMPUTED_VALUE"""),"")</f>
        <v/>
      </c>
      <c r="O179" s="232" t="str">
        <f>IFERROR(__xludf.DUMMYFUNCTION("""COMPUTED_VALUE"""),"")</f>
        <v/>
      </c>
      <c r="P179" s="233" t="str">
        <f>IFERROR(__xludf.DUMMYFUNCTION("""COMPUTED_VALUE"""),"")</f>
        <v/>
      </c>
      <c r="Q179" s="231" t="str">
        <f>IFERROR(__xludf.DUMMYFUNCTION("""COMPUTED_VALUE"""),"")</f>
        <v/>
      </c>
      <c r="R179" s="232" t="str">
        <f>IFERROR(__xludf.DUMMYFUNCTION("""COMPUTED_VALUE"""),"")</f>
        <v/>
      </c>
      <c r="S179" s="233" t="str">
        <f>IFERROR(__xludf.DUMMYFUNCTION("""COMPUTED_VALUE"""),"")</f>
        <v/>
      </c>
      <c r="T179" s="231" t="str">
        <f>IFERROR(__xludf.DUMMYFUNCTION("""COMPUTED_VALUE"""),"")</f>
        <v/>
      </c>
      <c r="U179" s="232" t="str">
        <f>IFERROR(__xludf.DUMMYFUNCTION("""COMPUTED_VALUE"""),"")</f>
        <v/>
      </c>
      <c r="V179" s="233" t="str">
        <f>IFERROR(__xludf.DUMMYFUNCTION("""COMPUTED_VALUE"""),"")</f>
        <v/>
      </c>
      <c r="W179" s="231" t="str">
        <f>IFERROR(__xludf.DUMMYFUNCTION("""COMPUTED_VALUE"""),"")</f>
        <v/>
      </c>
      <c r="X179" s="232" t="str">
        <f>IFERROR(__xludf.DUMMYFUNCTION("""COMPUTED_VALUE"""),"")</f>
        <v/>
      </c>
      <c r="Y179" s="233" t="str">
        <f>IFERROR(__xludf.DUMMYFUNCTION("""COMPUTED_VALUE"""),"")</f>
        <v/>
      </c>
      <c r="Z179" s="231">
        <f>IFERROR(__xludf.DUMMYFUNCTION("""COMPUTED_VALUE"""),35.1)</f>
        <v>35.1</v>
      </c>
      <c r="AA179" s="232" t="str">
        <f>IFERROR(__xludf.DUMMYFUNCTION("""COMPUTED_VALUE"""),"")</f>
        <v/>
      </c>
      <c r="AB179" s="233" t="str">
        <f>IFERROR(__xludf.DUMMYFUNCTION("""COMPUTED_VALUE"""),"")</f>
        <v/>
      </c>
      <c r="AC179" s="231" t="str">
        <f>IFERROR(__xludf.DUMMYFUNCTION("""COMPUTED_VALUE"""),"")</f>
        <v/>
      </c>
      <c r="AD179" s="232" t="str">
        <f>IFERROR(__xludf.DUMMYFUNCTION("""COMPUTED_VALUE"""),"")</f>
        <v/>
      </c>
      <c r="AE179" s="233" t="str">
        <f>IFERROR(__xludf.DUMMYFUNCTION("""COMPUTED_VALUE"""),"")</f>
        <v/>
      </c>
      <c r="AF179" s="231" t="str">
        <f>IFERROR(__xludf.DUMMYFUNCTION("""COMPUTED_VALUE"""),"")</f>
        <v/>
      </c>
      <c r="AG179" s="232" t="str">
        <f>IFERROR(__xludf.DUMMYFUNCTION("""COMPUTED_VALUE"""),"")</f>
        <v/>
      </c>
      <c r="AH179" s="233" t="str">
        <f>IFERROR(__xludf.DUMMYFUNCTION("""COMPUTED_VALUE"""),"")</f>
        <v/>
      </c>
      <c r="AI179" s="231" t="str">
        <f>IFERROR(__xludf.DUMMYFUNCTION("""COMPUTED_VALUE"""),"")</f>
        <v/>
      </c>
      <c r="AJ179" s="232" t="str">
        <f>IFERROR(__xludf.DUMMYFUNCTION("""COMPUTED_VALUE"""),"")</f>
        <v/>
      </c>
      <c r="AK179" s="233" t="str">
        <f>IFERROR(__xludf.DUMMYFUNCTION("""COMPUTED_VALUE"""),"")</f>
        <v/>
      </c>
      <c r="AL179" s="231" t="str">
        <f>IFERROR(__xludf.DUMMYFUNCTION("""COMPUTED_VALUE"""),"")</f>
        <v/>
      </c>
      <c r="AM179" s="232" t="str">
        <f>IFERROR(__xludf.DUMMYFUNCTION("""COMPUTED_VALUE"""),"")</f>
        <v/>
      </c>
      <c r="AN179" s="233" t="str">
        <f>IFERROR(__xludf.DUMMYFUNCTION("""COMPUTED_VALUE"""),"")</f>
        <v/>
      </c>
      <c r="AO179" s="231" t="str">
        <f>IFERROR(__xludf.DUMMYFUNCTION("""COMPUTED_VALUE"""),"")</f>
        <v/>
      </c>
      <c r="AP179" s="232" t="str">
        <f>IFERROR(__xludf.DUMMYFUNCTION("""COMPUTED_VALUE"""),"")</f>
        <v/>
      </c>
      <c r="AQ179" s="233" t="str">
        <f>IFERROR(__xludf.DUMMYFUNCTION("""COMPUTED_VALUE"""),"")</f>
        <v/>
      </c>
      <c r="AR179" s="231" t="str">
        <f>IFERROR(__xludf.DUMMYFUNCTION("""COMPUTED_VALUE"""),"")</f>
        <v/>
      </c>
      <c r="AS179" s="232" t="str">
        <f>IFERROR(__xludf.DUMMYFUNCTION("""COMPUTED_VALUE"""),"")</f>
        <v/>
      </c>
      <c r="AT179" s="233" t="str">
        <f>IFERROR(__xludf.DUMMYFUNCTION("""COMPUTED_VALUE"""),"")</f>
        <v/>
      </c>
      <c r="AU179" s="231" t="str">
        <f>IFERROR(__xludf.DUMMYFUNCTION("""COMPUTED_VALUE"""),"")</f>
        <v/>
      </c>
      <c r="AV179" s="232" t="str">
        <f>IFERROR(__xludf.DUMMYFUNCTION("""COMPUTED_VALUE"""),"")</f>
        <v/>
      </c>
      <c r="AW179" s="233" t="str">
        <f>IFERROR(__xludf.DUMMYFUNCTION("""COMPUTED_VALUE"""),"")</f>
        <v/>
      </c>
      <c r="AX179" s="231" t="str">
        <f>IFERROR(__xludf.DUMMYFUNCTION("""COMPUTED_VALUE"""),"")</f>
        <v/>
      </c>
      <c r="AY179" s="232" t="str">
        <f>IFERROR(__xludf.DUMMYFUNCTION("""COMPUTED_VALUE"""),"")</f>
        <v/>
      </c>
      <c r="AZ179" s="233" t="str">
        <f>IFERROR(__xludf.DUMMYFUNCTION("""COMPUTED_VALUE"""),"")</f>
        <v/>
      </c>
      <c r="BA179" s="231">
        <f>IFERROR(__xludf.DUMMYFUNCTION("""COMPUTED_VALUE"""),40.1)</f>
        <v>40.1</v>
      </c>
      <c r="BB179" s="232" t="str">
        <f>IFERROR(__xludf.DUMMYFUNCTION("""COMPUTED_VALUE"""),"")</f>
        <v/>
      </c>
      <c r="BC179" s="233" t="str">
        <f>IFERROR(__xludf.DUMMYFUNCTION("""COMPUTED_VALUE"""),"")</f>
        <v/>
      </c>
      <c r="BD179" s="231" t="str">
        <f>IFERROR(__xludf.DUMMYFUNCTION("""COMPUTED_VALUE"""),"")</f>
        <v/>
      </c>
      <c r="BE179" s="232" t="str">
        <f>IFERROR(__xludf.DUMMYFUNCTION("""COMPUTED_VALUE"""),"")</f>
        <v/>
      </c>
      <c r="BF179" s="233" t="str">
        <f>IFERROR(__xludf.DUMMYFUNCTION("""COMPUTED_VALUE"""),"")</f>
        <v/>
      </c>
      <c r="BG179" s="231" t="str">
        <f>IFERROR(__xludf.DUMMYFUNCTION("""COMPUTED_VALUE"""),"")</f>
        <v/>
      </c>
      <c r="BH179" s="232" t="str">
        <f>IFERROR(__xludf.DUMMYFUNCTION("""COMPUTED_VALUE"""),"")</f>
        <v/>
      </c>
      <c r="BI179" s="233" t="str">
        <f>IFERROR(__xludf.DUMMYFUNCTION("""COMPUTED_VALUE"""),"")</f>
        <v/>
      </c>
      <c r="BJ179" s="231" t="str">
        <f>IFERROR(__xludf.DUMMYFUNCTION("""COMPUTED_VALUE"""),"")</f>
        <v/>
      </c>
      <c r="BK179" s="232" t="str">
        <f>IFERROR(__xludf.DUMMYFUNCTION("""COMPUTED_VALUE"""),"")</f>
        <v/>
      </c>
      <c r="BL179" s="233" t="str">
        <f>IFERROR(__xludf.DUMMYFUNCTION("""COMPUTED_VALUE"""),"")</f>
        <v/>
      </c>
      <c r="BM179" s="231" t="str">
        <f>IFERROR(__xludf.DUMMYFUNCTION("""COMPUTED_VALUE"""),"")</f>
        <v/>
      </c>
      <c r="BN179" s="232" t="str">
        <f>IFERROR(__xludf.DUMMYFUNCTION("""COMPUTED_VALUE"""),"")</f>
        <v/>
      </c>
      <c r="BO179" s="233" t="str">
        <f>IFERROR(__xludf.DUMMYFUNCTION("""COMPUTED_VALUE"""),"")</f>
        <v/>
      </c>
      <c r="BP179" s="231" t="str">
        <f>IFERROR(__xludf.DUMMYFUNCTION("""COMPUTED_VALUE"""),"")</f>
        <v/>
      </c>
      <c r="BQ179" s="232" t="str">
        <f>IFERROR(__xludf.DUMMYFUNCTION("""COMPUTED_VALUE"""),"")</f>
        <v/>
      </c>
      <c r="BR179" s="233" t="str">
        <f>IFERROR(__xludf.DUMMYFUNCTION("""COMPUTED_VALUE"""),"")</f>
        <v/>
      </c>
      <c r="BS179" s="231" t="str">
        <f>IFERROR(__xludf.DUMMYFUNCTION("""COMPUTED_VALUE"""),"")</f>
        <v/>
      </c>
      <c r="BT179" s="232">
        <f>IFERROR(__xludf.DUMMYFUNCTION("""COMPUTED_VALUE"""),24.8)</f>
        <v>24.8</v>
      </c>
      <c r="BU179" s="233" t="str">
        <f>IFERROR(__xludf.DUMMYFUNCTION("""COMPUTED_VALUE"""),"")</f>
        <v/>
      </c>
      <c r="BV179" s="231" t="str">
        <f>IFERROR(__xludf.DUMMYFUNCTION("""COMPUTED_VALUE"""),"")</f>
        <v/>
      </c>
      <c r="BW179" s="232">
        <f>IFERROR(__xludf.DUMMYFUNCTION("""COMPUTED_VALUE"""),23.3)</f>
        <v>23.3</v>
      </c>
      <c r="BX179" s="233" t="str">
        <f>IFERROR(__xludf.DUMMYFUNCTION("""COMPUTED_VALUE"""),"")</f>
        <v/>
      </c>
      <c r="BY179" s="231" t="str">
        <f>IFERROR(__xludf.DUMMYFUNCTION("""COMPUTED_VALUE"""),"")</f>
        <v/>
      </c>
      <c r="BZ179" s="232" t="str">
        <f>IFERROR(__xludf.DUMMYFUNCTION("""COMPUTED_VALUE"""),"")</f>
        <v/>
      </c>
      <c r="CA179" s="233" t="str">
        <f>IFERROR(__xludf.DUMMYFUNCTION("""COMPUTED_VALUE"""),"")</f>
        <v/>
      </c>
      <c r="CB179" s="231" t="str">
        <f>IFERROR(__xludf.DUMMYFUNCTION("""COMPUTED_VALUE"""),"")</f>
        <v/>
      </c>
      <c r="CC179" s="232" t="str">
        <f>IFERROR(__xludf.DUMMYFUNCTION("""COMPUTED_VALUE"""),"")</f>
        <v/>
      </c>
      <c r="CD179" s="233" t="str">
        <f>IFERROR(__xludf.DUMMYFUNCTION("""COMPUTED_VALUE"""),"")</f>
        <v/>
      </c>
      <c r="CE179" s="234" t="str">
        <f>IFERROR(__xludf.DUMMYFUNCTION("""COMPUTED_VALUE"""),"")</f>
        <v/>
      </c>
      <c r="CF179" s="230" t="str">
        <f>IFERROR(__xludf.DUMMYFUNCTION("""COMPUTED_VALUE"""),"")</f>
        <v/>
      </c>
      <c r="CG179" s="235" t="str">
        <f>IFERROR(__xludf.DUMMYFUNCTION("""COMPUTED_VALUE"""),"")</f>
        <v/>
      </c>
      <c r="CH179" s="234" t="str">
        <f>IFERROR(__xludf.DUMMYFUNCTION("""COMPUTED_VALUE"""),"")</f>
        <v/>
      </c>
      <c r="CI179" s="230" t="str">
        <f>IFERROR(__xludf.DUMMYFUNCTION("""COMPUTED_VALUE"""),"")</f>
        <v/>
      </c>
      <c r="CJ179" s="235" t="str">
        <f>IFERROR(__xludf.DUMMYFUNCTION("""COMPUTED_VALUE"""),"")</f>
        <v/>
      </c>
      <c r="CK179" s="95" t="str">
        <f>IFERROR(__xludf.DUMMYFUNCTION("""COMPUTED_VALUE"""),"")</f>
        <v/>
      </c>
      <c r="CL179" s="96" t="str">
        <f>IFERROR(__xludf.DUMMYFUNCTION("""COMPUTED_VALUE"""),"")</f>
        <v/>
      </c>
      <c r="CM179" s="97" t="str">
        <f>IFERROR(__xludf.DUMMYFUNCTION("""COMPUTED_VALUE"""),"")</f>
        <v/>
      </c>
      <c r="CN179" s="95" t="str">
        <f>IFERROR(__xludf.DUMMYFUNCTION("""COMPUTED_VALUE"""),"")</f>
        <v/>
      </c>
      <c r="CO179" s="96" t="str">
        <f>IFERROR(__xludf.DUMMYFUNCTION("""COMPUTED_VALUE"""),"")</f>
        <v/>
      </c>
      <c r="CP179" s="97" t="str">
        <f>IFERROR(__xludf.DUMMYFUNCTION("""COMPUTED_VALUE"""),"")</f>
        <v/>
      </c>
      <c r="CQ179" s="95" t="str">
        <f>IFERROR(__xludf.DUMMYFUNCTION("""COMPUTED_VALUE"""),"")</f>
        <v/>
      </c>
      <c r="CR179" s="96" t="str">
        <f>IFERROR(__xludf.DUMMYFUNCTION("""COMPUTED_VALUE"""),"")</f>
        <v/>
      </c>
      <c r="CS179" s="97" t="str">
        <f>IFERROR(__xludf.DUMMYFUNCTION("""COMPUTED_VALUE"""),"#REF!")</f>
        <v>#REF!</v>
      </c>
      <c r="CT179" s="95" t="str">
        <f>IFERROR(__xludf.DUMMYFUNCTION("""COMPUTED_VALUE"""),"#REF!")</f>
        <v>#REF!</v>
      </c>
      <c r="CU179" s="96" t="str">
        <f>IFERROR(__xludf.DUMMYFUNCTION("""COMPUTED_VALUE"""),"#REF!")</f>
        <v>#REF!</v>
      </c>
      <c r="CV179" s="97" t="str">
        <f>IFERROR(__xludf.DUMMYFUNCTION("""COMPUTED_VALUE"""),"#REF!")</f>
        <v>#REF!</v>
      </c>
      <c r="CW179" s="95" t="str">
        <f>IFERROR(__xludf.DUMMYFUNCTION("""COMPUTED_VALUE"""),"#REF!")</f>
        <v>#REF!</v>
      </c>
      <c r="CX179" s="96" t="str">
        <f>IFERROR(__xludf.DUMMYFUNCTION("""COMPUTED_VALUE"""),"#REF!")</f>
        <v>#REF!</v>
      </c>
      <c r="CY179" s="97" t="str">
        <f>IFERROR(__xludf.DUMMYFUNCTION("""COMPUTED_VALUE"""),"#REF!")</f>
        <v>#REF!</v>
      </c>
      <c r="CZ179" s="95" t="str">
        <f>IFERROR(__xludf.DUMMYFUNCTION("""COMPUTED_VALUE"""),"#REF!")</f>
        <v>#REF!</v>
      </c>
      <c r="DA179" s="96" t="str">
        <f>IFERROR(__xludf.DUMMYFUNCTION("""COMPUTED_VALUE"""),"#REF!")</f>
        <v>#REF!</v>
      </c>
      <c r="DB179" s="97" t="str">
        <f>IFERROR(__xludf.DUMMYFUNCTION("""COMPUTED_VALUE"""),"#REF!")</f>
        <v>#REF!</v>
      </c>
      <c r="DC179" s="95" t="str">
        <f>IFERROR(__xludf.DUMMYFUNCTION("""COMPUTED_VALUE"""),"#REF!")</f>
        <v>#REF!</v>
      </c>
      <c r="DD179" s="96" t="str">
        <f>IFERROR(__xludf.DUMMYFUNCTION("""COMPUTED_VALUE"""),"#REF!")</f>
        <v>#REF!</v>
      </c>
      <c r="DE179" s="97" t="str">
        <f>IFERROR(__xludf.DUMMYFUNCTION("""COMPUTED_VALUE"""),"#REF!")</f>
        <v>#REF!</v>
      </c>
      <c r="DF179" s="95" t="str">
        <f>IFERROR(__xludf.DUMMYFUNCTION("""COMPUTED_VALUE"""),"#REF!")</f>
        <v>#REF!</v>
      </c>
      <c r="DG179" s="96" t="str">
        <f>IFERROR(__xludf.DUMMYFUNCTION("""COMPUTED_VALUE"""),"#REF!")</f>
        <v>#REF!</v>
      </c>
      <c r="DH179" s="97" t="str">
        <f>IFERROR(__xludf.DUMMYFUNCTION("""COMPUTED_VALUE"""),"#REF!")</f>
        <v>#REF!</v>
      </c>
      <c r="DI179" s="95" t="str">
        <f>IFERROR(__xludf.DUMMYFUNCTION("""COMPUTED_VALUE"""),"#REF!")</f>
        <v>#REF!</v>
      </c>
      <c r="DJ179" s="96" t="str">
        <f>IFERROR(__xludf.DUMMYFUNCTION("""COMPUTED_VALUE"""),"#REF!")</f>
        <v>#REF!</v>
      </c>
      <c r="DK179" s="97" t="str">
        <f>IFERROR(__xludf.DUMMYFUNCTION("""COMPUTED_VALUE"""),"#REF!")</f>
        <v>#REF!</v>
      </c>
      <c r="DL179" s="95" t="str">
        <f>IFERROR(__xludf.DUMMYFUNCTION("""COMPUTED_VALUE"""),"#REF!")</f>
        <v>#REF!</v>
      </c>
      <c r="DM179" s="96" t="str">
        <f>IFERROR(__xludf.DUMMYFUNCTION("""COMPUTED_VALUE"""),"#REF!")</f>
        <v>#REF!</v>
      </c>
      <c r="DN179" s="97" t="str">
        <f>IFERROR(__xludf.DUMMYFUNCTION("""COMPUTED_VALUE"""),"#REF!")</f>
        <v>#REF!</v>
      </c>
      <c r="DO179" s="95" t="str">
        <f>IFERROR(__xludf.DUMMYFUNCTION("""COMPUTED_VALUE"""),"#REF!")</f>
        <v>#REF!</v>
      </c>
      <c r="DP179" s="96" t="str">
        <f>IFERROR(__xludf.DUMMYFUNCTION("""COMPUTED_VALUE"""),"#REF!")</f>
        <v>#REF!</v>
      </c>
      <c r="DQ179" s="97"/>
      <c r="DR179" s="95"/>
    </row>
    <row r="180">
      <c r="B180" s="120" t="str">
        <f>IFERROR(__xludf.DUMMYFUNCTION("""COMPUTED_VALUE"""),"SLM9")</f>
        <v>SLM9</v>
      </c>
      <c r="C180" s="82">
        <f>IFERROR(__xludf.DUMMYFUNCTION("""COMPUTED_VALUE"""),173.0)</f>
        <v>173</v>
      </c>
      <c r="D180" s="88" t="str">
        <f>IFERROR(__xludf.DUMMYFUNCTION("""COMPUTED_VALUE"""),"Empty House")</f>
        <v>Empty House</v>
      </c>
      <c r="E180" s="82" t="str">
        <f>IFERROR(__xludf.DUMMYFUNCTION("""COMPUTED_VALUE"""),"空き家")</f>
        <v>空き家</v>
      </c>
      <c r="F180" s="102">
        <f>IFERROR(__xludf.DUMMYFUNCTION("""COMPUTED_VALUE"""),21.0)</f>
        <v>21</v>
      </c>
      <c r="G180" s="82">
        <f>IFERROR(__xludf.DUMMYFUNCTION("""COMPUTED_VALUE"""),15956.0)</f>
        <v>15956</v>
      </c>
      <c r="H180" s="231" t="str">
        <f>IFERROR(__xludf.DUMMYFUNCTION("""COMPUTED_VALUE"""),"")</f>
        <v/>
      </c>
      <c r="I180" s="232" t="str">
        <f>IFERROR(__xludf.DUMMYFUNCTION("""COMPUTED_VALUE"""),"")</f>
        <v/>
      </c>
      <c r="J180" s="233" t="str">
        <f>IFERROR(__xludf.DUMMYFUNCTION("""COMPUTED_VALUE"""),"")</f>
        <v/>
      </c>
      <c r="K180" s="231" t="str">
        <f>IFERROR(__xludf.DUMMYFUNCTION("""COMPUTED_VALUE"""),"")</f>
        <v/>
      </c>
      <c r="L180" s="232" t="str">
        <f>IFERROR(__xludf.DUMMYFUNCTION("""COMPUTED_VALUE"""),"")</f>
        <v/>
      </c>
      <c r="M180" s="233" t="str">
        <f>IFERROR(__xludf.DUMMYFUNCTION("""COMPUTED_VALUE"""),"")</f>
        <v/>
      </c>
      <c r="N180" s="231" t="str">
        <f>IFERROR(__xludf.DUMMYFUNCTION("""COMPUTED_VALUE"""),"")</f>
        <v/>
      </c>
      <c r="O180" s="232" t="str">
        <f>IFERROR(__xludf.DUMMYFUNCTION("""COMPUTED_VALUE"""),"")</f>
        <v/>
      </c>
      <c r="P180" s="233" t="str">
        <f>IFERROR(__xludf.DUMMYFUNCTION("""COMPUTED_VALUE"""),"")</f>
        <v/>
      </c>
      <c r="Q180" s="231" t="str">
        <f>IFERROR(__xludf.DUMMYFUNCTION("""COMPUTED_VALUE"""),"")</f>
        <v/>
      </c>
      <c r="R180" s="232" t="str">
        <f>IFERROR(__xludf.DUMMYFUNCTION("""COMPUTED_VALUE"""),"")</f>
        <v/>
      </c>
      <c r="S180" s="233" t="str">
        <f>IFERROR(__xludf.DUMMYFUNCTION("""COMPUTED_VALUE"""),"")</f>
        <v/>
      </c>
      <c r="T180" s="231" t="str">
        <f>IFERROR(__xludf.DUMMYFUNCTION("""COMPUTED_VALUE"""),"")</f>
        <v/>
      </c>
      <c r="U180" s="232" t="str">
        <f>IFERROR(__xludf.DUMMYFUNCTION("""COMPUTED_VALUE"""),"")</f>
        <v/>
      </c>
      <c r="V180" s="233" t="str">
        <f>IFERROR(__xludf.DUMMYFUNCTION("""COMPUTED_VALUE"""),"")</f>
        <v/>
      </c>
      <c r="W180" s="231" t="str">
        <f>IFERROR(__xludf.DUMMYFUNCTION("""COMPUTED_VALUE"""),"")</f>
        <v/>
      </c>
      <c r="X180" s="232" t="str">
        <f>IFERROR(__xludf.DUMMYFUNCTION("""COMPUTED_VALUE"""),"")</f>
        <v/>
      </c>
      <c r="Y180" s="233" t="str">
        <f>IFERROR(__xludf.DUMMYFUNCTION("""COMPUTED_VALUE"""),"")</f>
        <v/>
      </c>
      <c r="Z180" s="231" t="str">
        <f>IFERROR(__xludf.DUMMYFUNCTION("""COMPUTED_VALUE"""),"")</f>
        <v/>
      </c>
      <c r="AA180" s="232" t="str">
        <f>IFERROR(__xludf.DUMMYFUNCTION("""COMPUTED_VALUE"""),"")</f>
        <v/>
      </c>
      <c r="AB180" s="233" t="str">
        <f>IFERROR(__xludf.DUMMYFUNCTION("""COMPUTED_VALUE"""),"")</f>
        <v/>
      </c>
      <c r="AC180" s="231" t="str">
        <f>IFERROR(__xludf.DUMMYFUNCTION("""COMPUTED_VALUE"""),"")</f>
        <v/>
      </c>
      <c r="AD180" s="232">
        <f>IFERROR(__xludf.DUMMYFUNCTION("""COMPUTED_VALUE"""),20.8)</f>
        <v>20.8</v>
      </c>
      <c r="AE180" s="233" t="str">
        <f>IFERROR(__xludf.DUMMYFUNCTION("""COMPUTED_VALUE"""),"")</f>
        <v/>
      </c>
      <c r="AF180" s="231" t="str">
        <f>IFERROR(__xludf.DUMMYFUNCTION("""COMPUTED_VALUE"""),"")</f>
        <v/>
      </c>
      <c r="AG180" s="232" t="str">
        <f>IFERROR(__xludf.DUMMYFUNCTION("""COMPUTED_VALUE"""),"")</f>
        <v/>
      </c>
      <c r="AH180" s="233" t="str">
        <f>IFERROR(__xludf.DUMMYFUNCTION("""COMPUTED_VALUE"""),"")</f>
        <v/>
      </c>
      <c r="AI180" s="231" t="str">
        <f>IFERROR(__xludf.DUMMYFUNCTION("""COMPUTED_VALUE"""),"")</f>
        <v/>
      </c>
      <c r="AJ180" s="232" t="str">
        <f>IFERROR(__xludf.DUMMYFUNCTION("""COMPUTED_VALUE"""),"")</f>
        <v/>
      </c>
      <c r="AK180" s="233" t="str">
        <f>IFERROR(__xludf.DUMMYFUNCTION("""COMPUTED_VALUE"""),"")</f>
        <v/>
      </c>
      <c r="AL180" s="231" t="str">
        <f>IFERROR(__xludf.DUMMYFUNCTION("""COMPUTED_VALUE"""),"")</f>
        <v/>
      </c>
      <c r="AM180" s="232" t="str">
        <f>IFERROR(__xludf.DUMMYFUNCTION("""COMPUTED_VALUE"""),"")</f>
        <v/>
      </c>
      <c r="AN180" s="233" t="str">
        <f>IFERROR(__xludf.DUMMYFUNCTION("""COMPUTED_VALUE"""),"")</f>
        <v/>
      </c>
      <c r="AO180" s="231" t="str">
        <f>IFERROR(__xludf.DUMMYFUNCTION("""COMPUTED_VALUE"""),"")</f>
        <v/>
      </c>
      <c r="AP180" s="232" t="str">
        <f>IFERROR(__xludf.DUMMYFUNCTION("""COMPUTED_VALUE"""),"")</f>
        <v/>
      </c>
      <c r="AQ180" s="233" t="str">
        <f>IFERROR(__xludf.DUMMYFUNCTION("""COMPUTED_VALUE"""),"")</f>
        <v/>
      </c>
      <c r="AR180" s="231" t="str">
        <f>IFERROR(__xludf.DUMMYFUNCTION("""COMPUTED_VALUE"""),"")</f>
        <v/>
      </c>
      <c r="AS180" s="232" t="str">
        <f>IFERROR(__xludf.DUMMYFUNCTION("""COMPUTED_VALUE"""),"")</f>
        <v/>
      </c>
      <c r="AT180" s="233" t="str">
        <f>IFERROR(__xludf.DUMMYFUNCTION("""COMPUTED_VALUE"""),"")</f>
        <v/>
      </c>
      <c r="AU180" s="231" t="str">
        <f>IFERROR(__xludf.DUMMYFUNCTION("""COMPUTED_VALUE"""),"")</f>
        <v/>
      </c>
      <c r="AV180" s="232" t="str">
        <f>IFERROR(__xludf.DUMMYFUNCTION("""COMPUTED_VALUE"""),"")</f>
        <v/>
      </c>
      <c r="AW180" s="233" t="str">
        <f>IFERROR(__xludf.DUMMYFUNCTION("""COMPUTED_VALUE"""),"")</f>
        <v/>
      </c>
      <c r="AX180" s="231" t="str">
        <f>IFERROR(__xludf.DUMMYFUNCTION("""COMPUTED_VALUE"""),"")</f>
        <v/>
      </c>
      <c r="AY180" s="232" t="str">
        <f>IFERROR(__xludf.DUMMYFUNCTION("""COMPUTED_VALUE"""),"")</f>
        <v/>
      </c>
      <c r="AZ180" s="233" t="str">
        <f>IFERROR(__xludf.DUMMYFUNCTION("""COMPUTED_VALUE"""),"")</f>
        <v/>
      </c>
      <c r="BA180" s="231">
        <f>IFERROR(__xludf.DUMMYFUNCTION("""COMPUTED_VALUE"""),40.5)</f>
        <v>40.5</v>
      </c>
      <c r="BB180" s="232" t="str">
        <f>IFERROR(__xludf.DUMMYFUNCTION("""COMPUTED_VALUE"""),"")</f>
        <v/>
      </c>
      <c r="BC180" s="233" t="str">
        <f>IFERROR(__xludf.DUMMYFUNCTION("""COMPUTED_VALUE"""),"")</f>
        <v/>
      </c>
      <c r="BD180" s="231" t="str">
        <f>IFERROR(__xludf.DUMMYFUNCTION("""COMPUTED_VALUE"""),"")</f>
        <v/>
      </c>
      <c r="BE180" s="232" t="str">
        <f>IFERROR(__xludf.DUMMYFUNCTION("""COMPUTED_VALUE"""),"")</f>
        <v/>
      </c>
      <c r="BF180" s="233" t="str">
        <f>IFERROR(__xludf.DUMMYFUNCTION("""COMPUTED_VALUE"""),"")</f>
        <v/>
      </c>
      <c r="BG180" s="231" t="str">
        <f>IFERROR(__xludf.DUMMYFUNCTION("""COMPUTED_VALUE"""),"")</f>
        <v/>
      </c>
      <c r="BH180" s="232" t="str">
        <f>IFERROR(__xludf.DUMMYFUNCTION("""COMPUTED_VALUE"""),"")</f>
        <v/>
      </c>
      <c r="BI180" s="233" t="str">
        <f>IFERROR(__xludf.DUMMYFUNCTION("""COMPUTED_VALUE"""),"")</f>
        <v/>
      </c>
      <c r="BJ180" s="231" t="str">
        <f>IFERROR(__xludf.DUMMYFUNCTION("""COMPUTED_VALUE"""),"")</f>
        <v/>
      </c>
      <c r="BK180" s="232" t="str">
        <f>IFERROR(__xludf.DUMMYFUNCTION("""COMPUTED_VALUE"""),"")</f>
        <v/>
      </c>
      <c r="BL180" s="233" t="str">
        <f>IFERROR(__xludf.DUMMYFUNCTION("""COMPUTED_VALUE"""),"")</f>
        <v/>
      </c>
      <c r="BM180" s="231" t="str">
        <f>IFERROR(__xludf.DUMMYFUNCTION("""COMPUTED_VALUE"""),"")</f>
        <v/>
      </c>
      <c r="BN180" s="232">
        <f>IFERROR(__xludf.DUMMYFUNCTION("""COMPUTED_VALUE"""),15.1)</f>
        <v>15.1</v>
      </c>
      <c r="BO180" s="233" t="str">
        <f>IFERROR(__xludf.DUMMYFUNCTION("""COMPUTED_VALUE"""),"")</f>
        <v/>
      </c>
      <c r="BP180" s="231" t="str">
        <f>IFERROR(__xludf.DUMMYFUNCTION("""COMPUTED_VALUE"""),"")</f>
        <v/>
      </c>
      <c r="BQ180" s="232" t="str">
        <f>IFERROR(__xludf.DUMMYFUNCTION("""COMPUTED_VALUE"""),"")</f>
        <v/>
      </c>
      <c r="BR180" s="233" t="str">
        <f>IFERROR(__xludf.DUMMYFUNCTION("""COMPUTED_VALUE"""),"")</f>
        <v/>
      </c>
      <c r="BS180" s="231" t="str">
        <f>IFERROR(__xludf.DUMMYFUNCTION("""COMPUTED_VALUE"""),"")</f>
        <v/>
      </c>
      <c r="BT180" s="232" t="str">
        <f>IFERROR(__xludf.DUMMYFUNCTION("""COMPUTED_VALUE"""),"")</f>
        <v/>
      </c>
      <c r="BU180" s="233" t="str">
        <f>IFERROR(__xludf.DUMMYFUNCTION("""COMPUTED_VALUE"""),"")</f>
        <v/>
      </c>
      <c r="BV180" s="231" t="str">
        <f>IFERROR(__xludf.DUMMYFUNCTION("""COMPUTED_VALUE"""),"")</f>
        <v/>
      </c>
      <c r="BW180" s="232">
        <f>IFERROR(__xludf.DUMMYFUNCTION("""COMPUTED_VALUE"""),24.0)</f>
        <v>24</v>
      </c>
      <c r="BX180" s="233" t="str">
        <f>IFERROR(__xludf.DUMMYFUNCTION("""COMPUTED_VALUE"""),"")</f>
        <v/>
      </c>
      <c r="BY180" s="231" t="str">
        <f>IFERROR(__xludf.DUMMYFUNCTION("""COMPUTED_VALUE"""),"")</f>
        <v/>
      </c>
      <c r="BZ180" s="232" t="str">
        <f>IFERROR(__xludf.DUMMYFUNCTION("""COMPUTED_VALUE"""),"")</f>
        <v/>
      </c>
      <c r="CA180" s="233" t="str">
        <f>IFERROR(__xludf.DUMMYFUNCTION("""COMPUTED_VALUE"""),"")</f>
        <v/>
      </c>
      <c r="CB180" s="231" t="str">
        <f>IFERROR(__xludf.DUMMYFUNCTION("""COMPUTED_VALUE"""),"")</f>
        <v/>
      </c>
      <c r="CC180" s="232" t="str">
        <f>IFERROR(__xludf.DUMMYFUNCTION("""COMPUTED_VALUE"""),"")</f>
        <v/>
      </c>
      <c r="CD180" s="233" t="str">
        <f>IFERROR(__xludf.DUMMYFUNCTION("""COMPUTED_VALUE"""),"")</f>
        <v/>
      </c>
      <c r="CE180" s="234" t="str">
        <f>IFERROR(__xludf.DUMMYFUNCTION("""COMPUTED_VALUE"""),"")</f>
        <v/>
      </c>
      <c r="CF180" s="230" t="str">
        <f>IFERROR(__xludf.DUMMYFUNCTION("""COMPUTED_VALUE"""),"")</f>
        <v/>
      </c>
      <c r="CG180" s="235" t="str">
        <f>IFERROR(__xludf.DUMMYFUNCTION("""COMPUTED_VALUE"""),"")</f>
        <v/>
      </c>
      <c r="CH180" s="234" t="str">
        <f>IFERROR(__xludf.DUMMYFUNCTION("""COMPUTED_VALUE"""),"")</f>
        <v/>
      </c>
      <c r="CI180" s="230" t="str">
        <f>IFERROR(__xludf.DUMMYFUNCTION("""COMPUTED_VALUE"""),"")</f>
        <v/>
      </c>
      <c r="CJ180" s="235" t="str">
        <f>IFERROR(__xludf.DUMMYFUNCTION("""COMPUTED_VALUE"""),"")</f>
        <v/>
      </c>
      <c r="CK180" s="95" t="str">
        <f>IFERROR(__xludf.DUMMYFUNCTION("""COMPUTED_VALUE"""),"")</f>
        <v/>
      </c>
      <c r="CL180" s="96" t="str">
        <f>IFERROR(__xludf.DUMMYFUNCTION("""COMPUTED_VALUE"""),"")</f>
        <v/>
      </c>
      <c r="CM180" s="97" t="str">
        <f>IFERROR(__xludf.DUMMYFUNCTION("""COMPUTED_VALUE"""),"")</f>
        <v/>
      </c>
      <c r="CN180" s="95" t="str">
        <f>IFERROR(__xludf.DUMMYFUNCTION("""COMPUTED_VALUE"""),"")</f>
        <v/>
      </c>
      <c r="CO180" s="96" t="str">
        <f>IFERROR(__xludf.DUMMYFUNCTION("""COMPUTED_VALUE"""),"")</f>
        <v/>
      </c>
      <c r="CP180" s="97">
        <f>IFERROR(__xludf.DUMMYFUNCTION("""COMPUTED_VALUE"""),14.3)</f>
        <v>14.3</v>
      </c>
      <c r="CQ180" s="95" t="str">
        <f>IFERROR(__xludf.DUMMYFUNCTION("""COMPUTED_VALUE"""),"")</f>
        <v/>
      </c>
      <c r="CR180" s="96" t="str">
        <f>IFERROR(__xludf.DUMMYFUNCTION("""COMPUTED_VALUE"""),"")</f>
        <v/>
      </c>
      <c r="CS180" s="97" t="str">
        <f>IFERROR(__xludf.DUMMYFUNCTION("""COMPUTED_VALUE"""),"#REF!")</f>
        <v>#REF!</v>
      </c>
      <c r="CT180" s="95" t="str">
        <f>IFERROR(__xludf.DUMMYFUNCTION("""COMPUTED_VALUE"""),"#REF!")</f>
        <v>#REF!</v>
      </c>
      <c r="CU180" s="96" t="str">
        <f>IFERROR(__xludf.DUMMYFUNCTION("""COMPUTED_VALUE"""),"#REF!")</f>
        <v>#REF!</v>
      </c>
      <c r="CV180" s="97" t="str">
        <f>IFERROR(__xludf.DUMMYFUNCTION("""COMPUTED_VALUE"""),"#REF!")</f>
        <v>#REF!</v>
      </c>
      <c r="CW180" s="95" t="str">
        <f>IFERROR(__xludf.DUMMYFUNCTION("""COMPUTED_VALUE"""),"#REF!")</f>
        <v>#REF!</v>
      </c>
      <c r="CX180" s="96" t="str">
        <f>IFERROR(__xludf.DUMMYFUNCTION("""COMPUTED_VALUE"""),"#REF!")</f>
        <v>#REF!</v>
      </c>
      <c r="CY180" s="97" t="str">
        <f>IFERROR(__xludf.DUMMYFUNCTION("""COMPUTED_VALUE"""),"#REF!")</f>
        <v>#REF!</v>
      </c>
      <c r="CZ180" s="95" t="str">
        <f>IFERROR(__xludf.DUMMYFUNCTION("""COMPUTED_VALUE"""),"#REF!")</f>
        <v>#REF!</v>
      </c>
      <c r="DA180" s="96" t="str">
        <f>IFERROR(__xludf.DUMMYFUNCTION("""COMPUTED_VALUE"""),"#REF!")</f>
        <v>#REF!</v>
      </c>
      <c r="DB180" s="97" t="str">
        <f>IFERROR(__xludf.DUMMYFUNCTION("""COMPUTED_VALUE"""),"#REF!")</f>
        <v>#REF!</v>
      </c>
      <c r="DC180" s="95" t="str">
        <f>IFERROR(__xludf.DUMMYFUNCTION("""COMPUTED_VALUE"""),"#REF!")</f>
        <v>#REF!</v>
      </c>
      <c r="DD180" s="96" t="str">
        <f>IFERROR(__xludf.DUMMYFUNCTION("""COMPUTED_VALUE"""),"#REF!")</f>
        <v>#REF!</v>
      </c>
      <c r="DE180" s="97" t="str">
        <f>IFERROR(__xludf.DUMMYFUNCTION("""COMPUTED_VALUE"""),"#REF!")</f>
        <v>#REF!</v>
      </c>
      <c r="DF180" s="95" t="str">
        <f>IFERROR(__xludf.DUMMYFUNCTION("""COMPUTED_VALUE"""),"#REF!")</f>
        <v>#REF!</v>
      </c>
      <c r="DG180" s="96" t="str">
        <f>IFERROR(__xludf.DUMMYFUNCTION("""COMPUTED_VALUE"""),"#REF!")</f>
        <v>#REF!</v>
      </c>
      <c r="DH180" s="97" t="str">
        <f>IFERROR(__xludf.DUMMYFUNCTION("""COMPUTED_VALUE"""),"#REF!")</f>
        <v>#REF!</v>
      </c>
      <c r="DI180" s="95" t="str">
        <f>IFERROR(__xludf.DUMMYFUNCTION("""COMPUTED_VALUE"""),"#REF!")</f>
        <v>#REF!</v>
      </c>
      <c r="DJ180" s="96" t="str">
        <f>IFERROR(__xludf.DUMMYFUNCTION("""COMPUTED_VALUE"""),"#REF!")</f>
        <v>#REF!</v>
      </c>
      <c r="DK180" s="97" t="str">
        <f>IFERROR(__xludf.DUMMYFUNCTION("""COMPUTED_VALUE"""),"#REF!")</f>
        <v>#REF!</v>
      </c>
      <c r="DL180" s="95" t="str">
        <f>IFERROR(__xludf.DUMMYFUNCTION("""COMPUTED_VALUE"""),"#REF!")</f>
        <v>#REF!</v>
      </c>
      <c r="DM180" s="96" t="str">
        <f>IFERROR(__xludf.DUMMYFUNCTION("""COMPUTED_VALUE"""),"#REF!")</f>
        <v>#REF!</v>
      </c>
      <c r="DN180" s="97" t="str">
        <f>IFERROR(__xludf.DUMMYFUNCTION("""COMPUTED_VALUE"""),"#REF!")</f>
        <v>#REF!</v>
      </c>
      <c r="DO180" s="95" t="str">
        <f>IFERROR(__xludf.DUMMYFUNCTION("""COMPUTED_VALUE"""),"#REF!")</f>
        <v>#REF!</v>
      </c>
      <c r="DP180" s="96" t="str">
        <f>IFERROR(__xludf.DUMMYFUNCTION("""COMPUTED_VALUE"""),"#REF!")</f>
        <v>#REF!</v>
      </c>
      <c r="DQ180" s="97"/>
      <c r="DR180" s="95"/>
    </row>
    <row r="181">
      <c r="B181" s="120" t="str">
        <f>IFERROR(__xludf.DUMMYFUNCTION("""COMPUTED_VALUE"""),"SLM10")</f>
        <v>SLM10</v>
      </c>
      <c r="C181" s="82">
        <f>IFERROR(__xludf.DUMMYFUNCTION("""COMPUTED_VALUE"""),174.0)</f>
        <v>174</v>
      </c>
      <c r="D181" s="88" t="str">
        <f>IFERROR(__xludf.DUMMYFUNCTION("""COMPUTED_VALUE"""),"Hideout")</f>
        <v>Hideout</v>
      </c>
      <c r="E181" s="82" t="str">
        <f>IFERROR(__xludf.DUMMYFUNCTION("""COMPUTED_VALUE"""),"隠れ家")</f>
        <v>隠れ家</v>
      </c>
      <c r="F181" s="102">
        <f>IFERROR(__xludf.DUMMYFUNCTION("""COMPUTED_VALUE"""),21.0)</f>
        <v>21</v>
      </c>
      <c r="G181" s="82">
        <f>IFERROR(__xludf.DUMMYFUNCTION("""COMPUTED_VALUE"""),10589.0)</f>
        <v>10589</v>
      </c>
      <c r="H181" s="231" t="str">
        <f>IFERROR(__xludf.DUMMYFUNCTION("""COMPUTED_VALUE"""),"")</f>
        <v/>
      </c>
      <c r="I181" s="232" t="str">
        <f>IFERROR(__xludf.DUMMYFUNCTION("""COMPUTED_VALUE"""),"")</f>
        <v/>
      </c>
      <c r="J181" s="233" t="str">
        <f>IFERROR(__xludf.DUMMYFUNCTION("""COMPUTED_VALUE"""),"")</f>
        <v/>
      </c>
      <c r="K181" s="231" t="str">
        <f>IFERROR(__xludf.DUMMYFUNCTION("""COMPUTED_VALUE"""),"")</f>
        <v/>
      </c>
      <c r="L181" s="232" t="str">
        <f>IFERROR(__xludf.DUMMYFUNCTION("""COMPUTED_VALUE"""),"")</f>
        <v/>
      </c>
      <c r="M181" s="233" t="str">
        <f>IFERROR(__xludf.DUMMYFUNCTION("""COMPUTED_VALUE"""),"")</f>
        <v/>
      </c>
      <c r="N181" s="231" t="str">
        <f>IFERROR(__xludf.DUMMYFUNCTION("""COMPUTED_VALUE"""),"")</f>
        <v/>
      </c>
      <c r="O181" s="232" t="str">
        <f>IFERROR(__xludf.DUMMYFUNCTION("""COMPUTED_VALUE"""),"")</f>
        <v/>
      </c>
      <c r="P181" s="233" t="str">
        <f>IFERROR(__xludf.DUMMYFUNCTION("""COMPUTED_VALUE"""),"")</f>
        <v/>
      </c>
      <c r="Q181" s="231" t="str">
        <f>IFERROR(__xludf.DUMMYFUNCTION("""COMPUTED_VALUE"""),"")</f>
        <v/>
      </c>
      <c r="R181" s="232" t="str">
        <f>IFERROR(__xludf.DUMMYFUNCTION("""COMPUTED_VALUE"""),"")</f>
        <v/>
      </c>
      <c r="S181" s="233" t="str">
        <f>IFERROR(__xludf.DUMMYFUNCTION("""COMPUTED_VALUE"""),"")</f>
        <v/>
      </c>
      <c r="T181" s="231" t="str">
        <f>IFERROR(__xludf.DUMMYFUNCTION("""COMPUTED_VALUE"""),"")</f>
        <v/>
      </c>
      <c r="U181" s="232" t="str">
        <f>IFERROR(__xludf.DUMMYFUNCTION("""COMPUTED_VALUE"""),"")</f>
        <v/>
      </c>
      <c r="V181" s="233" t="str">
        <f>IFERROR(__xludf.DUMMYFUNCTION("""COMPUTED_VALUE"""),"")</f>
        <v/>
      </c>
      <c r="W181" s="231" t="str">
        <f>IFERROR(__xludf.DUMMYFUNCTION("""COMPUTED_VALUE"""),"")</f>
        <v/>
      </c>
      <c r="X181" s="232" t="str">
        <f>IFERROR(__xludf.DUMMYFUNCTION("""COMPUTED_VALUE"""),"")</f>
        <v/>
      </c>
      <c r="Y181" s="233" t="str">
        <f>IFERROR(__xludf.DUMMYFUNCTION("""COMPUTED_VALUE"""),"")</f>
        <v/>
      </c>
      <c r="Z181" s="231">
        <f>IFERROR(__xludf.DUMMYFUNCTION("""COMPUTED_VALUE"""),45.1)</f>
        <v>45.1</v>
      </c>
      <c r="AA181" s="232" t="str">
        <f>IFERROR(__xludf.DUMMYFUNCTION("""COMPUTED_VALUE"""),"")</f>
        <v/>
      </c>
      <c r="AB181" s="233" t="str">
        <f>IFERROR(__xludf.DUMMYFUNCTION("""COMPUTED_VALUE"""),"")</f>
        <v/>
      </c>
      <c r="AC181" s="231" t="str">
        <f>IFERROR(__xludf.DUMMYFUNCTION("""COMPUTED_VALUE"""),"")</f>
        <v/>
      </c>
      <c r="AD181" s="232">
        <f>IFERROR(__xludf.DUMMYFUNCTION("""COMPUTED_VALUE"""),15.0)</f>
        <v>15</v>
      </c>
      <c r="AE181" s="233" t="str">
        <f>IFERROR(__xludf.DUMMYFUNCTION("""COMPUTED_VALUE"""),"")</f>
        <v/>
      </c>
      <c r="AF181" s="231" t="str">
        <f>IFERROR(__xludf.DUMMYFUNCTION("""COMPUTED_VALUE"""),"")</f>
        <v/>
      </c>
      <c r="AG181" s="232" t="str">
        <f>IFERROR(__xludf.DUMMYFUNCTION("""COMPUTED_VALUE"""),"")</f>
        <v/>
      </c>
      <c r="AH181" s="233" t="str">
        <f>IFERROR(__xludf.DUMMYFUNCTION("""COMPUTED_VALUE"""),"")</f>
        <v/>
      </c>
      <c r="AI181" s="231" t="str">
        <f>IFERROR(__xludf.DUMMYFUNCTION("""COMPUTED_VALUE"""),"")</f>
        <v/>
      </c>
      <c r="AJ181" s="232" t="str">
        <f>IFERROR(__xludf.DUMMYFUNCTION("""COMPUTED_VALUE"""),"")</f>
        <v/>
      </c>
      <c r="AK181" s="233" t="str">
        <f>IFERROR(__xludf.DUMMYFUNCTION("""COMPUTED_VALUE"""),"")</f>
        <v/>
      </c>
      <c r="AL181" s="231" t="str">
        <f>IFERROR(__xludf.DUMMYFUNCTION("""COMPUTED_VALUE"""),"")</f>
        <v/>
      </c>
      <c r="AM181" s="232" t="str">
        <f>IFERROR(__xludf.DUMMYFUNCTION("""COMPUTED_VALUE"""),"")</f>
        <v/>
      </c>
      <c r="AN181" s="233" t="str">
        <f>IFERROR(__xludf.DUMMYFUNCTION("""COMPUTED_VALUE"""),"")</f>
        <v/>
      </c>
      <c r="AO181" s="231" t="str">
        <f>IFERROR(__xludf.DUMMYFUNCTION("""COMPUTED_VALUE"""),"")</f>
        <v/>
      </c>
      <c r="AP181" s="232" t="str">
        <f>IFERROR(__xludf.DUMMYFUNCTION("""COMPUTED_VALUE"""),"")</f>
        <v/>
      </c>
      <c r="AQ181" s="233" t="str">
        <f>IFERROR(__xludf.DUMMYFUNCTION("""COMPUTED_VALUE"""),"")</f>
        <v/>
      </c>
      <c r="AR181" s="231" t="str">
        <f>IFERROR(__xludf.DUMMYFUNCTION("""COMPUTED_VALUE"""),"")</f>
        <v/>
      </c>
      <c r="AS181" s="232" t="str">
        <f>IFERROR(__xludf.DUMMYFUNCTION("""COMPUTED_VALUE"""),"")</f>
        <v/>
      </c>
      <c r="AT181" s="233" t="str">
        <f>IFERROR(__xludf.DUMMYFUNCTION("""COMPUTED_VALUE"""),"")</f>
        <v/>
      </c>
      <c r="AU181" s="231" t="str">
        <f>IFERROR(__xludf.DUMMYFUNCTION("""COMPUTED_VALUE"""),"")</f>
        <v/>
      </c>
      <c r="AV181" s="232" t="str">
        <f>IFERROR(__xludf.DUMMYFUNCTION("""COMPUTED_VALUE"""),"")</f>
        <v/>
      </c>
      <c r="AW181" s="233" t="str">
        <f>IFERROR(__xludf.DUMMYFUNCTION("""COMPUTED_VALUE"""),"")</f>
        <v/>
      </c>
      <c r="AX181" s="231" t="str">
        <f>IFERROR(__xludf.DUMMYFUNCTION("""COMPUTED_VALUE"""),"")</f>
        <v/>
      </c>
      <c r="AY181" s="232" t="str">
        <f>IFERROR(__xludf.DUMMYFUNCTION("""COMPUTED_VALUE"""),"")</f>
        <v/>
      </c>
      <c r="AZ181" s="233" t="str">
        <f>IFERROR(__xludf.DUMMYFUNCTION("""COMPUTED_VALUE"""),"")</f>
        <v/>
      </c>
      <c r="BA181" s="231" t="str">
        <f>IFERROR(__xludf.DUMMYFUNCTION("""COMPUTED_VALUE"""),"")</f>
        <v/>
      </c>
      <c r="BB181" s="232" t="str">
        <f>IFERROR(__xludf.DUMMYFUNCTION("""COMPUTED_VALUE"""),"")</f>
        <v/>
      </c>
      <c r="BC181" s="233" t="str">
        <f>IFERROR(__xludf.DUMMYFUNCTION("""COMPUTED_VALUE"""),"")</f>
        <v/>
      </c>
      <c r="BD181" s="231" t="str">
        <f>IFERROR(__xludf.DUMMYFUNCTION("""COMPUTED_VALUE"""),"")</f>
        <v/>
      </c>
      <c r="BE181" s="232" t="str">
        <f>IFERROR(__xludf.DUMMYFUNCTION("""COMPUTED_VALUE"""),"")</f>
        <v/>
      </c>
      <c r="BF181" s="233" t="str">
        <f>IFERROR(__xludf.DUMMYFUNCTION("""COMPUTED_VALUE"""),"")</f>
        <v/>
      </c>
      <c r="BG181" s="231" t="str">
        <f>IFERROR(__xludf.DUMMYFUNCTION("""COMPUTED_VALUE"""),"")</f>
        <v/>
      </c>
      <c r="BH181" s="232" t="str">
        <f>IFERROR(__xludf.DUMMYFUNCTION("""COMPUTED_VALUE"""),"")</f>
        <v/>
      </c>
      <c r="BI181" s="233" t="str">
        <f>IFERROR(__xludf.DUMMYFUNCTION("""COMPUTED_VALUE"""),"")</f>
        <v/>
      </c>
      <c r="BJ181" s="231" t="str">
        <f>IFERROR(__xludf.DUMMYFUNCTION("""COMPUTED_VALUE"""),"")</f>
        <v/>
      </c>
      <c r="BK181" s="232" t="str">
        <f>IFERROR(__xludf.DUMMYFUNCTION("""COMPUTED_VALUE"""),"")</f>
        <v/>
      </c>
      <c r="BL181" s="233" t="str">
        <f>IFERROR(__xludf.DUMMYFUNCTION("""COMPUTED_VALUE"""),"")</f>
        <v/>
      </c>
      <c r="BM181" s="231" t="str">
        <f>IFERROR(__xludf.DUMMYFUNCTION("""COMPUTED_VALUE"""),"")</f>
        <v/>
      </c>
      <c r="BN181" s="232">
        <f>IFERROR(__xludf.DUMMYFUNCTION("""COMPUTED_VALUE"""),15.2)</f>
        <v>15.2</v>
      </c>
      <c r="BO181" s="233" t="str">
        <f>IFERROR(__xludf.DUMMYFUNCTION("""COMPUTED_VALUE"""),"")</f>
        <v/>
      </c>
      <c r="BP181" s="231" t="str">
        <f>IFERROR(__xludf.DUMMYFUNCTION("""COMPUTED_VALUE"""),"")</f>
        <v/>
      </c>
      <c r="BQ181" s="232" t="str">
        <f>IFERROR(__xludf.DUMMYFUNCTION("""COMPUTED_VALUE"""),"")</f>
        <v/>
      </c>
      <c r="BR181" s="233" t="str">
        <f>IFERROR(__xludf.DUMMYFUNCTION("""COMPUTED_VALUE"""),"")</f>
        <v/>
      </c>
      <c r="BS181" s="231" t="str">
        <f>IFERROR(__xludf.DUMMYFUNCTION("""COMPUTED_VALUE"""),"")</f>
        <v/>
      </c>
      <c r="BT181" s="232">
        <f>IFERROR(__xludf.DUMMYFUNCTION("""COMPUTED_VALUE"""),24.7)</f>
        <v>24.7</v>
      </c>
      <c r="BU181" s="233" t="str">
        <f>IFERROR(__xludf.DUMMYFUNCTION("""COMPUTED_VALUE"""),"")</f>
        <v/>
      </c>
      <c r="BV181" s="231" t="str">
        <f>IFERROR(__xludf.DUMMYFUNCTION("""COMPUTED_VALUE"""),"")</f>
        <v/>
      </c>
      <c r="BW181" s="232" t="str">
        <f>IFERROR(__xludf.DUMMYFUNCTION("""COMPUTED_VALUE"""),"")</f>
        <v/>
      </c>
      <c r="BX181" s="233" t="str">
        <f>IFERROR(__xludf.DUMMYFUNCTION("""COMPUTED_VALUE"""),"")</f>
        <v/>
      </c>
      <c r="BY181" s="231" t="str">
        <f>IFERROR(__xludf.DUMMYFUNCTION("""COMPUTED_VALUE"""),"")</f>
        <v/>
      </c>
      <c r="BZ181" s="232" t="str">
        <f>IFERROR(__xludf.DUMMYFUNCTION("""COMPUTED_VALUE"""),"")</f>
        <v/>
      </c>
      <c r="CA181" s="233" t="str">
        <f>IFERROR(__xludf.DUMMYFUNCTION("""COMPUTED_VALUE"""),"")</f>
        <v/>
      </c>
      <c r="CB181" s="231" t="str">
        <f>IFERROR(__xludf.DUMMYFUNCTION("""COMPUTED_VALUE"""),"")</f>
        <v/>
      </c>
      <c r="CC181" s="232" t="str">
        <f>IFERROR(__xludf.DUMMYFUNCTION("""COMPUTED_VALUE"""),"")</f>
        <v/>
      </c>
      <c r="CD181" s="233" t="str">
        <f>IFERROR(__xludf.DUMMYFUNCTION("""COMPUTED_VALUE"""),"")</f>
        <v/>
      </c>
      <c r="CE181" s="234" t="str">
        <f>IFERROR(__xludf.DUMMYFUNCTION("""COMPUTED_VALUE"""),"")</f>
        <v/>
      </c>
      <c r="CF181" s="230" t="str">
        <f>IFERROR(__xludf.DUMMYFUNCTION("""COMPUTED_VALUE"""),"")</f>
        <v/>
      </c>
      <c r="CG181" s="235" t="str">
        <f>IFERROR(__xludf.DUMMYFUNCTION("""COMPUTED_VALUE"""),"")</f>
        <v/>
      </c>
      <c r="CH181" s="234" t="str">
        <f>IFERROR(__xludf.DUMMYFUNCTION("""COMPUTED_VALUE"""),"")</f>
        <v/>
      </c>
      <c r="CI181" s="230" t="str">
        <f>IFERROR(__xludf.DUMMYFUNCTION("""COMPUTED_VALUE"""),"")</f>
        <v/>
      </c>
      <c r="CJ181" s="235" t="str">
        <f>IFERROR(__xludf.DUMMYFUNCTION("""COMPUTED_VALUE"""),"")</f>
        <v/>
      </c>
      <c r="CK181" s="95" t="str">
        <f>IFERROR(__xludf.DUMMYFUNCTION("""COMPUTED_VALUE"""),"")</f>
        <v/>
      </c>
      <c r="CL181" s="96" t="str">
        <f>IFERROR(__xludf.DUMMYFUNCTION("""COMPUTED_VALUE"""),"")</f>
        <v/>
      </c>
      <c r="CM181" s="97" t="str">
        <f>IFERROR(__xludf.DUMMYFUNCTION("""COMPUTED_VALUE"""),"")</f>
        <v/>
      </c>
      <c r="CN181" s="95" t="str">
        <f>IFERROR(__xludf.DUMMYFUNCTION("""COMPUTED_VALUE"""),"")</f>
        <v/>
      </c>
      <c r="CO181" s="96" t="str">
        <f>IFERROR(__xludf.DUMMYFUNCTION("""COMPUTED_VALUE"""),"")</f>
        <v/>
      </c>
      <c r="CP181" s="97">
        <f>IFERROR(__xludf.DUMMYFUNCTION("""COMPUTED_VALUE"""),13.3)</f>
        <v>13.3</v>
      </c>
      <c r="CQ181" s="95" t="str">
        <f>IFERROR(__xludf.DUMMYFUNCTION("""COMPUTED_VALUE"""),"")</f>
        <v/>
      </c>
      <c r="CR181" s="96" t="str">
        <f>IFERROR(__xludf.DUMMYFUNCTION("""COMPUTED_VALUE"""),"")</f>
        <v/>
      </c>
      <c r="CS181" s="97" t="str">
        <f>IFERROR(__xludf.DUMMYFUNCTION("""COMPUTED_VALUE"""),"#REF!")</f>
        <v>#REF!</v>
      </c>
      <c r="CT181" s="95" t="str">
        <f>IFERROR(__xludf.DUMMYFUNCTION("""COMPUTED_VALUE"""),"#REF!")</f>
        <v>#REF!</v>
      </c>
      <c r="CU181" s="96" t="str">
        <f>IFERROR(__xludf.DUMMYFUNCTION("""COMPUTED_VALUE"""),"#REF!")</f>
        <v>#REF!</v>
      </c>
      <c r="CV181" s="97" t="str">
        <f>IFERROR(__xludf.DUMMYFUNCTION("""COMPUTED_VALUE"""),"#REF!")</f>
        <v>#REF!</v>
      </c>
      <c r="CW181" s="95" t="str">
        <f>IFERROR(__xludf.DUMMYFUNCTION("""COMPUTED_VALUE"""),"#REF!")</f>
        <v>#REF!</v>
      </c>
      <c r="CX181" s="96" t="str">
        <f>IFERROR(__xludf.DUMMYFUNCTION("""COMPUTED_VALUE"""),"#REF!")</f>
        <v>#REF!</v>
      </c>
      <c r="CY181" s="97" t="str">
        <f>IFERROR(__xludf.DUMMYFUNCTION("""COMPUTED_VALUE"""),"#REF!")</f>
        <v>#REF!</v>
      </c>
      <c r="CZ181" s="95" t="str">
        <f>IFERROR(__xludf.DUMMYFUNCTION("""COMPUTED_VALUE"""),"#REF!")</f>
        <v>#REF!</v>
      </c>
      <c r="DA181" s="96" t="str">
        <f>IFERROR(__xludf.DUMMYFUNCTION("""COMPUTED_VALUE"""),"#REF!")</f>
        <v>#REF!</v>
      </c>
      <c r="DB181" s="97" t="str">
        <f>IFERROR(__xludf.DUMMYFUNCTION("""COMPUTED_VALUE"""),"#REF!")</f>
        <v>#REF!</v>
      </c>
      <c r="DC181" s="95" t="str">
        <f>IFERROR(__xludf.DUMMYFUNCTION("""COMPUTED_VALUE"""),"#REF!")</f>
        <v>#REF!</v>
      </c>
      <c r="DD181" s="96" t="str">
        <f>IFERROR(__xludf.DUMMYFUNCTION("""COMPUTED_VALUE"""),"#REF!")</f>
        <v>#REF!</v>
      </c>
      <c r="DE181" s="97" t="str">
        <f>IFERROR(__xludf.DUMMYFUNCTION("""COMPUTED_VALUE"""),"#REF!")</f>
        <v>#REF!</v>
      </c>
      <c r="DF181" s="95" t="str">
        <f>IFERROR(__xludf.DUMMYFUNCTION("""COMPUTED_VALUE"""),"#REF!")</f>
        <v>#REF!</v>
      </c>
      <c r="DG181" s="96" t="str">
        <f>IFERROR(__xludf.DUMMYFUNCTION("""COMPUTED_VALUE"""),"#REF!")</f>
        <v>#REF!</v>
      </c>
      <c r="DH181" s="97" t="str">
        <f>IFERROR(__xludf.DUMMYFUNCTION("""COMPUTED_VALUE"""),"#REF!")</f>
        <v>#REF!</v>
      </c>
      <c r="DI181" s="95" t="str">
        <f>IFERROR(__xludf.DUMMYFUNCTION("""COMPUTED_VALUE"""),"#REF!")</f>
        <v>#REF!</v>
      </c>
      <c r="DJ181" s="96" t="str">
        <f>IFERROR(__xludf.DUMMYFUNCTION("""COMPUTED_VALUE"""),"#REF!")</f>
        <v>#REF!</v>
      </c>
      <c r="DK181" s="97" t="str">
        <f>IFERROR(__xludf.DUMMYFUNCTION("""COMPUTED_VALUE"""),"#REF!")</f>
        <v>#REF!</v>
      </c>
      <c r="DL181" s="95" t="str">
        <f>IFERROR(__xludf.DUMMYFUNCTION("""COMPUTED_VALUE"""),"#REF!")</f>
        <v>#REF!</v>
      </c>
      <c r="DM181" s="96" t="str">
        <f>IFERROR(__xludf.DUMMYFUNCTION("""COMPUTED_VALUE"""),"#REF!")</f>
        <v>#REF!</v>
      </c>
      <c r="DN181" s="97" t="str">
        <f>IFERROR(__xludf.DUMMYFUNCTION("""COMPUTED_VALUE"""),"#REF!")</f>
        <v>#REF!</v>
      </c>
      <c r="DO181" s="95" t="str">
        <f>IFERROR(__xludf.DUMMYFUNCTION("""COMPUTED_VALUE"""),"#REF!")</f>
        <v>#REF!</v>
      </c>
      <c r="DP181" s="96" t="str">
        <f>IFERROR(__xludf.DUMMYFUNCTION("""COMPUTED_VALUE"""),"#REF!")</f>
        <v>#REF!</v>
      </c>
      <c r="DQ181" s="97"/>
      <c r="DR181" s="95"/>
    </row>
    <row r="182">
      <c r="B182" s="120" t="str">
        <f>IFERROR(__xludf.DUMMYFUNCTION("""COMPUTED_VALUE"""),"SLM11")</f>
        <v>SLM11</v>
      </c>
      <c r="C182" s="82">
        <f>IFERROR(__xludf.DUMMYFUNCTION("""COMPUTED_VALUE"""),175.0)</f>
        <v>175</v>
      </c>
      <c r="D182" s="88" t="str">
        <f>IFERROR(__xludf.DUMMYFUNCTION("""COMPUTED_VALUE"""),"Jail")</f>
        <v>Jail</v>
      </c>
      <c r="E182" s="82" t="str">
        <f>IFERROR(__xludf.DUMMYFUNCTION("""COMPUTED_VALUE"""),"留置所")</f>
        <v>留置所</v>
      </c>
      <c r="F182" s="102">
        <f>IFERROR(__xludf.DUMMYFUNCTION("""COMPUTED_VALUE"""),21.0)</f>
        <v>21</v>
      </c>
      <c r="G182" s="82">
        <f>IFERROR(__xludf.DUMMYFUNCTION("""COMPUTED_VALUE"""),2710.0)</f>
        <v>2710</v>
      </c>
      <c r="H182" s="231" t="str">
        <f>IFERROR(__xludf.DUMMYFUNCTION("""COMPUTED_VALUE"""),"")</f>
        <v/>
      </c>
      <c r="I182" s="232" t="str">
        <f>IFERROR(__xludf.DUMMYFUNCTION("""COMPUTED_VALUE"""),"")</f>
        <v/>
      </c>
      <c r="J182" s="233" t="str">
        <f>IFERROR(__xludf.DUMMYFUNCTION("""COMPUTED_VALUE"""),"")</f>
        <v/>
      </c>
      <c r="K182" s="231" t="str">
        <f>IFERROR(__xludf.DUMMYFUNCTION("""COMPUTED_VALUE"""),"")</f>
        <v/>
      </c>
      <c r="L182" s="232" t="str">
        <f>IFERROR(__xludf.DUMMYFUNCTION("""COMPUTED_VALUE"""),"")</f>
        <v/>
      </c>
      <c r="M182" s="233" t="str">
        <f>IFERROR(__xludf.DUMMYFUNCTION("""COMPUTED_VALUE"""),"")</f>
        <v/>
      </c>
      <c r="N182" s="231" t="str">
        <f>IFERROR(__xludf.DUMMYFUNCTION("""COMPUTED_VALUE"""),"")</f>
        <v/>
      </c>
      <c r="O182" s="232">
        <f>IFERROR(__xludf.DUMMYFUNCTION("""COMPUTED_VALUE"""),21.0)</f>
        <v>21</v>
      </c>
      <c r="P182" s="233" t="str">
        <f>IFERROR(__xludf.DUMMYFUNCTION("""COMPUTED_VALUE"""),"")</f>
        <v/>
      </c>
      <c r="Q182" s="231" t="str">
        <f>IFERROR(__xludf.DUMMYFUNCTION("""COMPUTED_VALUE"""),"")</f>
        <v/>
      </c>
      <c r="R182" s="232" t="str">
        <f>IFERROR(__xludf.DUMMYFUNCTION("""COMPUTED_VALUE"""),"")</f>
        <v/>
      </c>
      <c r="S182" s="233" t="str">
        <f>IFERROR(__xludf.DUMMYFUNCTION("""COMPUTED_VALUE"""),"")</f>
        <v/>
      </c>
      <c r="T182" s="231" t="str">
        <f>IFERROR(__xludf.DUMMYFUNCTION("""COMPUTED_VALUE"""),"")</f>
        <v/>
      </c>
      <c r="U182" s="232" t="str">
        <f>IFERROR(__xludf.DUMMYFUNCTION("""COMPUTED_VALUE"""),"")</f>
        <v/>
      </c>
      <c r="V182" s="233" t="str">
        <f>IFERROR(__xludf.DUMMYFUNCTION("""COMPUTED_VALUE"""),"")</f>
        <v/>
      </c>
      <c r="W182" s="231" t="str">
        <f>IFERROR(__xludf.DUMMYFUNCTION("""COMPUTED_VALUE"""),"")</f>
        <v/>
      </c>
      <c r="X182" s="232" t="str">
        <f>IFERROR(__xludf.DUMMYFUNCTION("""COMPUTED_VALUE"""),"")</f>
        <v/>
      </c>
      <c r="Y182" s="233" t="str">
        <f>IFERROR(__xludf.DUMMYFUNCTION("""COMPUTED_VALUE"""),"")</f>
        <v/>
      </c>
      <c r="Z182" s="231" t="str">
        <f>IFERROR(__xludf.DUMMYFUNCTION("""COMPUTED_VALUE"""),"")</f>
        <v/>
      </c>
      <c r="AA182" s="232" t="str">
        <f>IFERROR(__xludf.DUMMYFUNCTION("""COMPUTED_VALUE"""),"")</f>
        <v/>
      </c>
      <c r="AB182" s="233" t="str">
        <f>IFERROR(__xludf.DUMMYFUNCTION("""COMPUTED_VALUE"""),"")</f>
        <v/>
      </c>
      <c r="AC182" s="231" t="str">
        <f>IFERROR(__xludf.DUMMYFUNCTION("""COMPUTED_VALUE"""),"")</f>
        <v/>
      </c>
      <c r="AD182" s="232" t="str">
        <f>IFERROR(__xludf.DUMMYFUNCTION("""COMPUTED_VALUE"""),"")</f>
        <v/>
      </c>
      <c r="AE182" s="233" t="str">
        <f>IFERROR(__xludf.DUMMYFUNCTION("""COMPUTED_VALUE"""),"")</f>
        <v/>
      </c>
      <c r="AF182" s="231" t="str">
        <f>IFERROR(__xludf.DUMMYFUNCTION("""COMPUTED_VALUE"""),"")</f>
        <v/>
      </c>
      <c r="AG182" s="232" t="str">
        <f>IFERROR(__xludf.DUMMYFUNCTION("""COMPUTED_VALUE"""),"")</f>
        <v/>
      </c>
      <c r="AH182" s="233" t="str">
        <f>IFERROR(__xludf.DUMMYFUNCTION("""COMPUTED_VALUE"""),"")</f>
        <v/>
      </c>
      <c r="AI182" s="231" t="str">
        <f>IFERROR(__xludf.DUMMYFUNCTION("""COMPUTED_VALUE"""),"")</f>
        <v/>
      </c>
      <c r="AJ182" s="232" t="str">
        <f>IFERROR(__xludf.DUMMYFUNCTION("""COMPUTED_VALUE"""),"")</f>
        <v/>
      </c>
      <c r="AK182" s="233" t="str">
        <f>IFERROR(__xludf.DUMMYFUNCTION("""COMPUTED_VALUE"""),"")</f>
        <v/>
      </c>
      <c r="AL182" s="231" t="str">
        <f>IFERROR(__xludf.DUMMYFUNCTION("""COMPUTED_VALUE"""),"")</f>
        <v/>
      </c>
      <c r="AM182" s="232" t="str">
        <f>IFERROR(__xludf.DUMMYFUNCTION("""COMPUTED_VALUE"""),"")</f>
        <v/>
      </c>
      <c r="AN182" s="233" t="str">
        <f>IFERROR(__xludf.DUMMYFUNCTION("""COMPUTED_VALUE"""),"")</f>
        <v/>
      </c>
      <c r="AO182" s="231" t="str">
        <f>IFERROR(__xludf.DUMMYFUNCTION("""COMPUTED_VALUE"""),"")</f>
        <v/>
      </c>
      <c r="AP182" s="232" t="str">
        <f>IFERROR(__xludf.DUMMYFUNCTION("""COMPUTED_VALUE"""),"")</f>
        <v/>
      </c>
      <c r="AQ182" s="233" t="str">
        <f>IFERROR(__xludf.DUMMYFUNCTION("""COMPUTED_VALUE"""),"")</f>
        <v/>
      </c>
      <c r="AR182" s="231" t="str">
        <f>IFERROR(__xludf.DUMMYFUNCTION("""COMPUTED_VALUE"""),"")</f>
        <v/>
      </c>
      <c r="AS182" s="232" t="str">
        <f>IFERROR(__xludf.DUMMYFUNCTION("""COMPUTED_VALUE"""),"")</f>
        <v/>
      </c>
      <c r="AT182" s="233" t="str">
        <f>IFERROR(__xludf.DUMMYFUNCTION("""COMPUTED_VALUE"""),"")</f>
        <v/>
      </c>
      <c r="AU182" s="231" t="str">
        <f>IFERROR(__xludf.DUMMYFUNCTION("""COMPUTED_VALUE"""),"")</f>
        <v/>
      </c>
      <c r="AV182" s="232">
        <f>IFERROR(__xludf.DUMMYFUNCTION("""COMPUTED_VALUE"""),39.9)</f>
        <v>39.9</v>
      </c>
      <c r="AW182" s="233" t="str">
        <f>IFERROR(__xludf.DUMMYFUNCTION("""COMPUTED_VALUE"""),"")</f>
        <v/>
      </c>
      <c r="AX182" s="231" t="str">
        <f>IFERROR(__xludf.DUMMYFUNCTION("""COMPUTED_VALUE"""),"")</f>
        <v/>
      </c>
      <c r="AY182" s="232" t="str">
        <f>IFERROR(__xludf.DUMMYFUNCTION("""COMPUTED_VALUE"""),"")</f>
        <v/>
      </c>
      <c r="AZ182" s="233" t="str">
        <f>IFERROR(__xludf.DUMMYFUNCTION("""COMPUTED_VALUE"""),"")</f>
        <v/>
      </c>
      <c r="BA182" s="231" t="str">
        <f>IFERROR(__xludf.DUMMYFUNCTION("""COMPUTED_VALUE"""),"")</f>
        <v/>
      </c>
      <c r="BB182" s="232" t="str">
        <f>IFERROR(__xludf.DUMMYFUNCTION("""COMPUTED_VALUE"""),"")</f>
        <v/>
      </c>
      <c r="BC182" s="233" t="str">
        <f>IFERROR(__xludf.DUMMYFUNCTION("""COMPUTED_VALUE"""),"")</f>
        <v/>
      </c>
      <c r="BD182" s="231" t="str">
        <f>IFERROR(__xludf.DUMMYFUNCTION("""COMPUTED_VALUE"""),"")</f>
        <v/>
      </c>
      <c r="BE182" s="232" t="str">
        <f>IFERROR(__xludf.DUMMYFUNCTION("""COMPUTED_VALUE"""),"")</f>
        <v/>
      </c>
      <c r="BF182" s="233" t="str">
        <f>IFERROR(__xludf.DUMMYFUNCTION("""COMPUTED_VALUE"""),"")</f>
        <v/>
      </c>
      <c r="BG182" s="231" t="str">
        <f>IFERROR(__xludf.DUMMYFUNCTION("""COMPUTED_VALUE"""),"")</f>
        <v/>
      </c>
      <c r="BH182" s="232" t="str">
        <f>IFERROR(__xludf.DUMMYFUNCTION("""COMPUTED_VALUE"""),"")</f>
        <v/>
      </c>
      <c r="BI182" s="233" t="str">
        <f>IFERROR(__xludf.DUMMYFUNCTION("""COMPUTED_VALUE"""),"")</f>
        <v/>
      </c>
      <c r="BJ182" s="231" t="str">
        <f>IFERROR(__xludf.DUMMYFUNCTION("""COMPUTED_VALUE"""),"")</f>
        <v/>
      </c>
      <c r="BK182" s="232" t="str">
        <f>IFERROR(__xludf.DUMMYFUNCTION("""COMPUTED_VALUE"""),"")</f>
        <v/>
      </c>
      <c r="BL182" s="233" t="str">
        <f>IFERROR(__xludf.DUMMYFUNCTION("""COMPUTED_VALUE"""),"")</f>
        <v/>
      </c>
      <c r="BM182" s="231" t="str">
        <f>IFERROR(__xludf.DUMMYFUNCTION("""COMPUTED_VALUE"""),"")</f>
        <v/>
      </c>
      <c r="BN182" s="232">
        <f>IFERROR(__xludf.DUMMYFUNCTION("""COMPUTED_VALUE"""),7.6)</f>
        <v>7.6</v>
      </c>
      <c r="BO182" s="233" t="str">
        <f>IFERROR(__xludf.DUMMYFUNCTION("""COMPUTED_VALUE"""),"")</f>
        <v/>
      </c>
      <c r="BP182" s="231" t="str">
        <f>IFERROR(__xludf.DUMMYFUNCTION("""COMPUTED_VALUE"""),"")</f>
        <v/>
      </c>
      <c r="BQ182" s="232">
        <f>IFERROR(__xludf.DUMMYFUNCTION("""COMPUTED_VALUE"""),41.0)</f>
        <v>41</v>
      </c>
      <c r="BR182" s="233" t="str">
        <f>IFERROR(__xludf.DUMMYFUNCTION("""COMPUTED_VALUE"""),"")</f>
        <v/>
      </c>
      <c r="BS182" s="231" t="str">
        <f>IFERROR(__xludf.DUMMYFUNCTION("""COMPUTED_VALUE"""),"")</f>
        <v/>
      </c>
      <c r="BT182" s="232" t="str">
        <f>IFERROR(__xludf.DUMMYFUNCTION("""COMPUTED_VALUE"""),"")</f>
        <v/>
      </c>
      <c r="BU182" s="233" t="str">
        <f>IFERROR(__xludf.DUMMYFUNCTION("""COMPUTED_VALUE"""),"")</f>
        <v/>
      </c>
      <c r="BV182" s="231" t="str">
        <f>IFERROR(__xludf.DUMMYFUNCTION("""COMPUTED_VALUE"""),"")</f>
        <v/>
      </c>
      <c r="BW182" s="232" t="str">
        <f>IFERROR(__xludf.DUMMYFUNCTION("""COMPUTED_VALUE"""),"")</f>
        <v/>
      </c>
      <c r="BX182" s="233" t="str">
        <f>IFERROR(__xludf.DUMMYFUNCTION("""COMPUTED_VALUE"""),"")</f>
        <v/>
      </c>
      <c r="BY182" s="231" t="str">
        <f>IFERROR(__xludf.DUMMYFUNCTION("""COMPUTED_VALUE"""),"")</f>
        <v/>
      </c>
      <c r="BZ182" s="232" t="str">
        <f>IFERROR(__xludf.DUMMYFUNCTION("""COMPUTED_VALUE"""),"")</f>
        <v/>
      </c>
      <c r="CA182" s="233" t="str">
        <f>IFERROR(__xludf.DUMMYFUNCTION("""COMPUTED_VALUE"""),"")</f>
        <v/>
      </c>
      <c r="CB182" s="231" t="str">
        <f>IFERROR(__xludf.DUMMYFUNCTION("""COMPUTED_VALUE"""),"")</f>
        <v/>
      </c>
      <c r="CC182" s="232" t="str">
        <f>IFERROR(__xludf.DUMMYFUNCTION("""COMPUTED_VALUE"""),"")</f>
        <v/>
      </c>
      <c r="CD182" s="233" t="str">
        <f>IFERROR(__xludf.DUMMYFUNCTION("""COMPUTED_VALUE"""),"")</f>
        <v/>
      </c>
      <c r="CE182" s="234" t="str">
        <f>IFERROR(__xludf.DUMMYFUNCTION("""COMPUTED_VALUE"""),"")</f>
        <v/>
      </c>
      <c r="CF182" s="230" t="str">
        <f>IFERROR(__xludf.DUMMYFUNCTION("""COMPUTED_VALUE"""),"")</f>
        <v/>
      </c>
      <c r="CG182" s="235" t="str">
        <f>IFERROR(__xludf.DUMMYFUNCTION("""COMPUTED_VALUE"""),"")</f>
        <v/>
      </c>
      <c r="CH182" s="234" t="str">
        <f>IFERROR(__xludf.DUMMYFUNCTION("""COMPUTED_VALUE"""),"")</f>
        <v/>
      </c>
      <c r="CI182" s="230" t="str">
        <f>IFERROR(__xludf.DUMMYFUNCTION("""COMPUTED_VALUE"""),"")</f>
        <v/>
      </c>
      <c r="CJ182" s="235" t="str">
        <f>IFERROR(__xludf.DUMMYFUNCTION("""COMPUTED_VALUE"""),"")</f>
        <v/>
      </c>
      <c r="CK182" s="95" t="str">
        <f>IFERROR(__xludf.DUMMYFUNCTION("""COMPUTED_VALUE"""),"")</f>
        <v/>
      </c>
      <c r="CL182" s="96" t="str">
        <f>IFERROR(__xludf.DUMMYFUNCTION("""COMPUTED_VALUE"""),"")</f>
        <v/>
      </c>
      <c r="CM182" s="97" t="str">
        <f>IFERROR(__xludf.DUMMYFUNCTION("""COMPUTED_VALUE"""),"")</f>
        <v/>
      </c>
      <c r="CN182" s="95" t="str">
        <f>IFERROR(__xludf.DUMMYFUNCTION("""COMPUTED_VALUE"""),"")</f>
        <v/>
      </c>
      <c r="CO182" s="96" t="str">
        <f>IFERROR(__xludf.DUMMYFUNCTION("""COMPUTED_VALUE"""),"")</f>
        <v/>
      </c>
      <c r="CP182" s="97">
        <f>IFERROR(__xludf.DUMMYFUNCTION("""COMPUTED_VALUE"""),3.6)</f>
        <v>3.6</v>
      </c>
      <c r="CQ182" s="95" t="str">
        <f>IFERROR(__xludf.DUMMYFUNCTION("""COMPUTED_VALUE"""),"")</f>
        <v/>
      </c>
      <c r="CR182" s="96" t="str">
        <f>IFERROR(__xludf.DUMMYFUNCTION("""COMPUTED_VALUE"""),"")</f>
        <v/>
      </c>
      <c r="CS182" s="97" t="str">
        <f>IFERROR(__xludf.DUMMYFUNCTION("""COMPUTED_VALUE"""),"#REF!")</f>
        <v>#REF!</v>
      </c>
      <c r="CT182" s="95" t="str">
        <f>IFERROR(__xludf.DUMMYFUNCTION("""COMPUTED_VALUE"""),"#REF!")</f>
        <v>#REF!</v>
      </c>
      <c r="CU182" s="96" t="str">
        <f>IFERROR(__xludf.DUMMYFUNCTION("""COMPUTED_VALUE"""),"#REF!")</f>
        <v>#REF!</v>
      </c>
      <c r="CV182" s="97" t="str">
        <f>IFERROR(__xludf.DUMMYFUNCTION("""COMPUTED_VALUE"""),"#REF!")</f>
        <v>#REF!</v>
      </c>
      <c r="CW182" s="95" t="str">
        <f>IFERROR(__xludf.DUMMYFUNCTION("""COMPUTED_VALUE"""),"#REF!")</f>
        <v>#REF!</v>
      </c>
      <c r="CX182" s="96" t="str">
        <f>IFERROR(__xludf.DUMMYFUNCTION("""COMPUTED_VALUE"""),"#REF!")</f>
        <v>#REF!</v>
      </c>
      <c r="CY182" s="97" t="str">
        <f>IFERROR(__xludf.DUMMYFUNCTION("""COMPUTED_VALUE"""),"#REF!")</f>
        <v>#REF!</v>
      </c>
      <c r="CZ182" s="95" t="str">
        <f>IFERROR(__xludf.DUMMYFUNCTION("""COMPUTED_VALUE"""),"#REF!")</f>
        <v>#REF!</v>
      </c>
      <c r="DA182" s="96" t="str">
        <f>IFERROR(__xludf.DUMMYFUNCTION("""COMPUTED_VALUE"""),"#REF!")</f>
        <v>#REF!</v>
      </c>
      <c r="DB182" s="97" t="str">
        <f>IFERROR(__xludf.DUMMYFUNCTION("""COMPUTED_VALUE"""),"#REF!")</f>
        <v>#REF!</v>
      </c>
      <c r="DC182" s="95" t="str">
        <f>IFERROR(__xludf.DUMMYFUNCTION("""COMPUTED_VALUE"""),"#REF!")</f>
        <v>#REF!</v>
      </c>
      <c r="DD182" s="96" t="str">
        <f>IFERROR(__xludf.DUMMYFUNCTION("""COMPUTED_VALUE"""),"#REF!")</f>
        <v>#REF!</v>
      </c>
      <c r="DE182" s="97" t="str">
        <f>IFERROR(__xludf.DUMMYFUNCTION("""COMPUTED_VALUE"""),"#REF!")</f>
        <v>#REF!</v>
      </c>
      <c r="DF182" s="95" t="str">
        <f>IFERROR(__xludf.DUMMYFUNCTION("""COMPUTED_VALUE"""),"#REF!")</f>
        <v>#REF!</v>
      </c>
      <c r="DG182" s="96" t="str">
        <f>IFERROR(__xludf.DUMMYFUNCTION("""COMPUTED_VALUE"""),"#REF!")</f>
        <v>#REF!</v>
      </c>
      <c r="DH182" s="97" t="str">
        <f>IFERROR(__xludf.DUMMYFUNCTION("""COMPUTED_VALUE"""),"#REF!")</f>
        <v>#REF!</v>
      </c>
      <c r="DI182" s="95" t="str">
        <f>IFERROR(__xludf.DUMMYFUNCTION("""COMPUTED_VALUE"""),"#REF!")</f>
        <v>#REF!</v>
      </c>
      <c r="DJ182" s="96" t="str">
        <f>IFERROR(__xludf.DUMMYFUNCTION("""COMPUTED_VALUE"""),"#REF!")</f>
        <v>#REF!</v>
      </c>
      <c r="DK182" s="97" t="str">
        <f>IFERROR(__xludf.DUMMYFUNCTION("""COMPUTED_VALUE"""),"#REF!")</f>
        <v>#REF!</v>
      </c>
      <c r="DL182" s="95" t="str">
        <f>IFERROR(__xludf.DUMMYFUNCTION("""COMPUTED_VALUE"""),"#REF!")</f>
        <v>#REF!</v>
      </c>
      <c r="DM182" s="96" t="str">
        <f>IFERROR(__xludf.DUMMYFUNCTION("""COMPUTED_VALUE"""),"#REF!")</f>
        <v>#REF!</v>
      </c>
      <c r="DN182" s="97" t="str">
        <f>IFERROR(__xludf.DUMMYFUNCTION("""COMPUTED_VALUE"""),"#REF!")</f>
        <v>#REF!</v>
      </c>
      <c r="DO182" s="95" t="str">
        <f>IFERROR(__xludf.DUMMYFUNCTION("""COMPUTED_VALUE"""),"#REF!")</f>
        <v>#REF!</v>
      </c>
      <c r="DP182" s="96" t="str">
        <f>IFERROR(__xludf.DUMMYFUNCTION("""COMPUTED_VALUE"""),"#REF!")</f>
        <v>#REF!</v>
      </c>
      <c r="DQ182" s="97"/>
      <c r="DR182" s="95"/>
    </row>
    <row r="183">
      <c r="A183" s="165" t="str">
        <f>IFERROR(__xludf.DUMMYFUNCTION("""COMPUTED_VALUE"""),"ANASTASIA")</f>
        <v>ANASTASIA</v>
      </c>
      <c r="B183" s="120" t="str">
        <f>IFERROR(__xludf.DUMMYFUNCTION("""COMPUTED_VALUE"""),"ANA1")</f>
        <v>ANA1</v>
      </c>
      <c r="C183" s="82">
        <f>IFERROR(__xludf.DUMMYFUNCTION("""COMPUTED_VALUE"""),178.0)</f>
        <v>178</v>
      </c>
      <c r="D183" s="88" t="str">
        <f>IFERROR(__xludf.DUMMYFUNCTION("""COMPUTED_VALUE"""),"Anchor Point")</f>
        <v>Anchor Point</v>
      </c>
      <c r="E183" s="82" t="str">
        <f>IFERROR(__xludf.DUMMYFUNCTION("""COMPUTED_VALUE"""),"アンカーポイント")</f>
        <v>アンカーポイント</v>
      </c>
      <c r="F183" s="102">
        <f>IFERROR(__xludf.DUMMYFUNCTION("""COMPUTED_VALUE"""),20.0)</f>
        <v>20</v>
      </c>
      <c r="G183" s="82">
        <f>IFERROR(__xludf.DUMMYFUNCTION("""COMPUTED_VALUE"""),2652.0)</f>
        <v>2652</v>
      </c>
      <c r="H183" s="231" t="str">
        <f>IFERROR(__xludf.DUMMYFUNCTION("""COMPUTED_VALUE"""),"")</f>
        <v/>
      </c>
      <c r="I183" s="232" t="str">
        <f>IFERROR(__xludf.DUMMYFUNCTION("""COMPUTED_VALUE"""),"")</f>
        <v/>
      </c>
      <c r="J183" s="233" t="str">
        <f>IFERROR(__xludf.DUMMYFUNCTION("""COMPUTED_VALUE"""),"")</f>
        <v/>
      </c>
      <c r="K183" s="231" t="str">
        <f>IFERROR(__xludf.DUMMYFUNCTION("""COMPUTED_VALUE"""),"")</f>
        <v/>
      </c>
      <c r="L183" s="232">
        <f>IFERROR(__xludf.DUMMYFUNCTION("""COMPUTED_VALUE"""),20.4)</f>
        <v>20.4</v>
      </c>
      <c r="M183" s="233" t="str">
        <f>IFERROR(__xludf.DUMMYFUNCTION("""COMPUTED_VALUE"""),"")</f>
        <v/>
      </c>
      <c r="N183" s="231" t="str">
        <f>IFERROR(__xludf.DUMMYFUNCTION("""COMPUTED_VALUE"""),"")</f>
        <v/>
      </c>
      <c r="O183" s="232" t="str">
        <f>IFERROR(__xludf.DUMMYFUNCTION("""COMPUTED_VALUE"""),"")</f>
        <v/>
      </c>
      <c r="P183" s="233" t="str">
        <f>IFERROR(__xludf.DUMMYFUNCTION("""COMPUTED_VALUE"""),"")</f>
        <v/>
      </c>
      <c r="Q183" s="231" t="str">
        <f>IFERROR(__xludf.DUMMYFUNCTION("""COMPUTED_VALUE"""),"")</f>
        <v/>
      </c>
      <c r="R183" s="232" t="str">
        <f>IFERROR(__xludf.DUMMYFUNCTION("""COMPUTED_VALUE"""),"")</f>
        <v/>
      </c>
      <c r="S183" s="233" t="str">
        <f>IFERROR(__xludf.DUMMYFUNCTION("""COMPUTED_VALUE"""),"")</f>
        <v/>
      </c>
      <c r="T183" s="231" t="str">
        <f>IFERROR(__xludf.DUMMYFUNCTION("""COMPUTED_VALUE"""),"")</f>
        <v/>
      </c>
      <c r="U183" s="232" t="str">
        <f>IFERROR(__xludf.DUMMYFUNCTION("""COMPUTED_VALUE"""),"")</f>
        <v/>
      </c>
      <c r="V183" s="233" t="str">
        <f>IFERROR(__xludf.DUMMYFUNCTION("""COMPUTED_VALUE"""),"")</f>
        <v/>
      </c>
      <c r="W183" s="231" t="str">
        <f>IFERROR(__xludf.DUMMYFUNCTION("""COMPUTED_VALUE"""),"")</f>
        <v/>
      </c>
      <c r="X183" s="232" t="str">
        <f>IFERROR(__xludf.DUMMYFUNCTION("""COMPUTED_VALUE"""),"")</f>
        <v/>
      </c>
      <c r="Y183" s="233" t="str">
        <f>IFERROR(__xludf.DUMMYFUNCTION("""COMPUTED_VALUE"""),"")</f>
        <v/>
      </c>
      <c r="Z183" s="231" t="str">
        <f>IFERROR(__xludf.DUMMYFUNCTION("""COMPUTED_VALUE"""),"")</f>
        <v/>
      </c>
      <c r="AA183" s="232" t="str">
        <f>IFERROR(__xludf.DUMMYFUNCTION("""COMPUTED_VALUE"""),"")</f>
        <v/>
      </c>
      <c r="AB183" s="233" t="str">
        <f>IFERROR(__xludf.DUMMYFUNCTION("""COMPUTED_VALUE"""),"")</f>
        <v/>
      </c>
      <c r="AC183" s="231" t="str">
        <f>IFERROR(__xludf.DUMMYFUNCTION("""COMPUTED_VALUE"""),"")</f>
        <v/>
      </c>
      <c r="AD183" s="232" t="str">
        <f>IFERROR(__xludf.DUMMYFUNCTION("""COMPUTED_VALUE"""),"")</f>
        <v/>
      </c>
      <c r="AE183" s="233" t="str">
        <f>IFERROR(__xludf.DUMMYFUNCTION("""COMPUTED_VALUE"""),"")</f>
        <v/>
      </c>
      <c r="AF183" s="231" t="str">
        <f>IFERROR(__xludf.DUMMYFUNCTION("""COMPUTED_VALUE"""),"")</f>
        <v/>
      </c>
      <c r="AG183" s="232" t="str">
        <f>IFERROR(__xludf.DUMMYFUNCTION("""COMPUTED_VALUE"""),"")</f>
        <v/>
      </c>
      <c r="AH183" s="233" t="str">
        <f>IFERROR(__xludf.DUMMYFUNCTION("""COMPUTED_VALUE"""),"")</f>
        <v/>
      </c>
      <c r="AI183" s="231" t="str">
        <f>IFERROR(__xludf.DUMMYFUNCTION("""COMPUTED_VALUE"""),"")</f>
        <v/>
      </c>
      <c r="AJ183" s="232" t="str">
        <f>IFERROR(__xludf.DUMMYFUNCTION("""COMPUTED_VALUE"""),"")</f>
        <v/>
      </c>
      <c r="AK183" s="233" t="str">
        <f>IFERROR(__xludf.DUMMYFUNCTION("""COMPUTED_VALUE"""),"")</f>
        <v/>
      </c>
      <c r="AL183" s="231" t="str">
        <f>IFERROR(__xludf.DUMMYFUNCTION("""COMPUTED_VALUE"""),"")</f>
        <v/>
      </c>
      <c r="AM183" s="232" t="str">
        <f>IFERROR(__xludf.DUMMYFUNCTION("""COMPUTED_VALUE"""),"")</f>
        <v/>
      </c>
      <c r="AN183" s="233" t="str">
        <f>IFERROR(__xludf.DUMMYFUNCTION("""COMPUTED_VALUE"""),"")</f>
        <v/>
      </c>
      <c r="AO183" s="231" t="str">
        <f>IFERROR(__xludf.DUMMYFUNCTION("""COMPUTED_VALUE"""),"")</f>
        <v/>
      </c>
      <c r="AP183" s="232" t="str">
        <f>IFERROR(__xludf.DUMMYFUNCTION("""COMPUTED_VALUE"""),"")</f>
        <v/>
      </c>
      <c r="AQ183" s="233" t="str">
        <f>IFERROR(__xludf.DUMMYFUNCTION("""COMPUTED_VALUE"""),"")</f>
        <v/>
      </c>
      <c r="AR183" s="231" t="str">
        <f>IFERROR(__xludf.DUMMYFUNCTION("""COMPUTED_VALUE"""),"")</f>
        <v/>
      </c>
      <c r="AS183" s="232" t="str">
        <f>IFERROR(__xludf.DUMMYFUNCTION("""COMPUTED_VALUE"""),"")</f>
        <v/>
      </c>
      <c r="AT183" s="233" t="str">
        <f>IFERROR(__xludf.DUMMYFUNCTION("""COMPUTED_VALUE"""),"")</f>
        <v/>
      </c>
      <c r="AU183" s="231" t="str">
        <f>IFERROR(__xludf.DUMMYFUNCTION("""COMPUTED_VALUE"""),"")</f>
        <v/>
      </c>
      <c r="AV183" s="232" t="str">
        <f>IFERROR(__xludf.DUMMYFUNCTION("""COMPUTED_VALUE"""),"")</f>
        <v/>
      </c>
      <c r="AW183" s="233" t="str">
        <f>IFERROR(__xludf.DUMMYFUNCTION("""COMPUTED_VALUE"""),"")</f>
        <v/>
      </c>
      <c r="AX183" s="231" t="str">
        <f>IFERROR(__xludf.DUMMYFUNCTION("""COMPUTED_VALUE"""),"")</f>
        <v/>
      </c>
      <c r="AY183" s="232">
        <f>IFERROR(__xludf.DUMMYFUNCTION("""COMPUTED_VALUE"""),41.2)</f>
        <v>41.2</v>
      </c>
      <c r="AZ183" s="233" t="str">
        <f>IFERROR(__xludf.DUMMYFUNCTION("""COMPUTED_VALUE"""),"")</f>
        <v/>
      </c>
      <c r="BA183" s="231" t="str">
        <f>IFERROR(__xludf.DUMMYFUNCTION("""COMPUTED_VALUE"""),"")</f>
        <v/>
      </c>
      <c r="BB183" s="232" t="str">
        <f>IFERROR(__xludf.DUMMYFUNCTION("""COMPUTED_VALUE"""),"")</f>
        <v/>
      </c>
      <c r="BC183" s="233" t="str">
        <f>IFERROR(__xludf.DUMMYFUNCTION("""COMPUTED_VALUE"""),"")</f>
        <v/>
      </c>
      <c r="BD183" s="231" t="str">
        <f>IFERROR(__xludf.DUMMYFUNCTION("""COMPUTED_VALUE"""),"")</f>
        <v/>
      </c>
      <c r="BE183" s="232" t="str">
        <f>IFERROR(__xludf.DUMMYFUNCTION("""COMPUTED_VALUE"""),"")</f>
        <v/>
      </c>
      <c r="BF183" s="233" t="str">
        <f>IFERROR(__xludf.DUMMYFUNCTION("""COMPUTED_VALUE"""),"")</f>
        <v/>
      </c>
      <c r="BG183" s="231" t="str">
        <f>IFERROR(__xludf.DUMMYFUNCTION("""COMPUTED_VALUE"""),"")</f>
        <v/>
      </c>
      <c r="BH183" s="232" t="str">
        <f>IFERROR(__xludf.DUMMYFUNCTION("""COMPUTED_VALUE"""),"")</f>
        <v/>
      </c>
      <c r="BI183" s="233" t="str">
        <f>IFERROR(__xludf.DUMMYFUNCTION("""COMPUTED_VALUE"""),"")</f>
        <v/>
      </c>
      <c r="BJ183" s="231" t="str">
        <f>IFERROR(__xludf.DUMMYFUNCTION("""COMPUTED_VALUE"""),"")</f>
        <v/>
      </c>
      <c r="BK183" s="232" t="str">
        <f>IFERROR(__xludf.DUMMYFUNCTION("""COMPUTED_VALUE"""),"")</f>
        <v/>
      </c>
      <c r="BL183" s="233">
        <f>IFERROR(__xludf.DUMMYFUNCTION("""COMPUTED_VALUE"""),7.3)</f>
        <v>7.3</v>
      </c>
      <c r="BM183" s="231" t="str">
        <f>IFERROR(__xludf.DUMMYFUNCTION("""COMPUTED_VALUE"""),"")</f>
        <v/>
      </c>
      <c r="BN183" s="232" t="str">
        <f>IFERROR(__xludf.DUMMYFUNCTION("""COMPUTED_VALUE"""),"")</f>
        <v/>
      </c>
      <c r="BO183" s="233" t="str">
        <f>IFERROR(__xludf.DUMMYFUNCTION("""COMPUTED_VALUE"""),"")</f>
        <v/>
      </c>
      <c r="BP183" s="231" t="str">
        <f>IFERROR(__xludf.DUMMYFUNCTION("""COMPUTED_VALUE"""),"")</f>
        <v/>
      </c>
      <c r="BQ183" s="232" t="str">
        <f>IFERROR(__xludf.DUMMYFUNCTION("""COMPUTED_VALUE"""),"")</f>
        <v/>
      </c>
      <c r="BR183" s="233" t="str">
        <f>IFERROR(__xludf.DUMMYFUNCTION("""COMPUTED_VALUE"""),"")</f>
        <v/>
      </c>
      <c r="BS183" s="231">
        <f>IFERROR(__xludf.DUMMYFUNCTION("""COMPUTED_VALUE"""),36.8)</f>
        <v>36.8</v>
      </c>
      <c r="BT183" s="232" t="str">
        <f>IFERROR(__xludf.DUMMYFUNCTION("""COMPUTED_VALUE"""),"")</f>
        <v/>
      </c>
      <c r="BU183" s="233" t="str">
        <f>IFERROR(__xludf.DUMMYFUNCTION("""COMPUTED_VALUE"""),"")</f>
        <v/>
      </c>
      <c r="BV183" s="231" t="str">
        <f>IFERROR(__xludf.DUMMYFUNCTION("""COMPUTED_VALUE"""),"")</f>
        <v/>
      </c>
      <c r="BW183" s="232" t="str">
        <f>IFERROR(__xludf.DUMMYFUNCTION("""COMPUTED_VALUE"""),"")</f>
        <v/>
      </c>
      <c r="BX183" s="233" t="str">
        <f>IFERROR(__xludf.DUMMYFUNCTION("""COMPUTED_VALUE"""),"")</f>
        <v/>
      </c>
      <c r="BY183" s="231" t="str">
        <f>IFERROR(__xludf.DUMMYFUNCTION("""COMPUTED_VALUE"""),"")</f>
        <v/>
      </c>
      <c r="BZ183" s="232" t="str">
        <f>IFERROR(__xludf.DUMMYFUNCTION("""COMPUTED_VALUE"""),"")</f>
        <v/>
      </c>
      <c r="CA183" s="233" t="str">
        <f>IFERROR(__xludf.DUMMYFUNCTION("""COMPUTED_VALUE"""),"")</f>
        <v/>
      </c>
      <c r="CB183" s="231" t="str">
        <f>IFERROR(__xludf.DUMMYFUNCTION("""COMPUTED_VALUE"""),"")</f>
        <v/>
      </c>
      <c r="CC183" s="232" t="str">
        <f>IFERROR(__xludf.DUMMYFUNCTION("""COMPUTED_VALUE"""),"")</f>
        <v/>
      </c>
      <c r="CD183" s="233" t="str">
        <f>IFERROR(__xludf.DUMMYFUNCTION("""COMPUTED_VALUE"""),"")</f>
        <v/>
      </c>
      <c r="CE183" s="234" t="str">
        <f>IFERROR(__xludf.DUMMYFUNCTION("""COMPUTED_VALUE"""),"")</f>
        <v/>
      </c>
      <c r="CF183" s="230" t="str">
        <f>IFERROR(__xludf.DUMMYFUNCTION("""COMPUTED_VALUE"""),"")</f>
        <v/>
      </c>
      <c r="CG183" s="235" t="str">
        <f>IFERROR(__xludf.DUMMYFUNCTION("""COMPUTED_VALUE"""),"")</f>
        <v/>
      </c>
      <c r="CH183" s="234" t="str">
        <f>IFERROR(__xludf.DUMMYFUNCTION("""COMPUTED_VALUE"""),"")</f>
        <v/>
      </c>
      <c r="CI183" s="230" t="str">
        <f>IFERROR(__xludf.DUMMYFUNCTION("""COMPUTED_VALUE"""),"")</f>
        <v/>
      </c>
      <c r="CJ183" s="235" t="str">
        <f>IFERROR(__xludf.DUMMYFUNCTION("""COMPUTED_VALUE"""),"")</f>
        <v/>
      </c>
      <c r="CK183" s="95" t="str">
        <f>IFERROR(__xludf.DUMMYFUNCTION("""COMPUTED_VALUE"""),"")</f>
        <v/>
      </c>
      <c r="CL183" s="96" t="str">
        <f>IFERROR(__xludf.DUMMYFUNCTION("""COMPUTED_VALUE"""),"")</f>
        <v/>
      </c>
      <c r="CM183" s="97" t="str">
        <f>IFERROR(__xludf.DUMMYFUNCTION("""COMPUTED_VALUE"""),"")</f>
        <v/>
      </c>
      <c r="CN183" s="95">
        <f>IFERROR(__xludf.DUMMYFUNCTION("""COMPUTED_VALUE"""),5.7)</f>
        <v>5.7</v>
      </c>
      <c r="CO183" s="96" t="str">
        <f>IFERROR(__xludf.DUMMYFUNCTION("""COMPUTED_VALUE"""),"")</f>
        <v/>
      </c>
      <c r="CP183" s="97" t="str">
        <f>IFERROR(__xludf.DUMMYFUNCTION("""COMPUTED_VALUE"""),"")</f>
        <v/>
      </c>
      <c r="CQ183" s="95" t="str">
        <f>IFERROR(__xludf.DUMMYFUNCTION("""COMPUTED_VALUE"""),"")</f>
        <v/>
      </c>
      <c r="CR183" s="96" t="str">
        <f>IFERROR(__xludf.DUMMYFUNCTION("""COMPUTED_VALUE"""),"")</f>
        <v/>
      </c>
      <c r="CS183" s="97" t="str">
        <f>IFERROR(__xludf.DUMMYFUNCTION("""COMPUTED_VALUE"""),"#REF!")</f>
        <v>#REF!</v>
      </c>
      <c r="CT183" s="95" t="str">
        <f>IFERROR(__xludf.DUMMYFUNCTION("""COMPUTED_VALUE"""),"#REF!")</f>
        <v>#REF!</v>
      </c>
      <c r="CU183" s="96" t="str">
        <f>IFERROR(__xludf.DUMMYFUNCTION("""COMPUTED_VALUE"""),"#REF!")</f>
        <v>#REF!</v>
      </c>
      <c r="CV183" s="97" t="str">
        <f>IFERROR(__xludf.DUMMYFUNCTION("""COMPUTED_VALUE"""),"#REF!")</f>
        <v>#REF!</v>
      </c>
      <c r="CW183" s="95" t="str">
        <f>IFERROR(__xludf.DUMMYFUNCTION("""COMPUTED_VALUE"""),"#REF!")</f>
        <v>#REF!</v>
      </c>
      <c r="CX183" s="96" t="str">
        <f>IFERROR(__xludf.DUMMYFUNCTION("""COMPUTED_VALUE"""),"#REF!")</f>
        <v>#REF!</v>
      </c>
      <c r="CY183" s="97" t="str">
        <f>IFERROR(__xludf.DUMMYFUNCTION("""COMPUTED_VALUE"""),"#REF!")</f>
        <v>#REF!</v>
      </c>
      <c r="CZ183" s="95" t="str">
        <f>IFERROR(__xludf.DUMMYFUNCTION("""COMPUTED_VALUE"""),"#REF!")</f>
        <v>#REF!</v>
      </c>
      <c r="DA183" s="96" t="str">
        <f>IFERROR(__xludf.DUMMYFUNCTION("""COMPUTED_VALUE"""),"#REF!")</f>
        <v>#REF!</v>
      </c>
      <c r="DB183" s="97" t="str">
        <f>IFERROR(__xludf.DUMMYFUNCTION("""COMPUTED_VALUE"""),"#REF!")</f>
        <v>#REF!</v>
      </c>
      <c r="DC183" s="95" t="str">
        <f>IFERROR(__xludf.DUMMYFUNCTION("""COMPUTED_VALUE"""),"#REF!")</f>
        <v>#REF!</v>
      </c>
      <c r="DD183" s="96" t="str">
        <f>IFERROR(__xludf.DUMMYFUNCTION("""COMPUTED_VALUE"""),"#REF!")</f>
        <v>#REF!</v>
      </c>
      <c r="DE183" s="97" t="str">
        <f>IFERROR(__xludf.DUMMYFUNCTION("""COMPUTED_VALUE"""),"#REF!")</f>
        <v>#REF!</v>
      </c>
      <c r="DF183" s="95" t="str">
        <f>IFERROR(__xludf.DUMMYFUNCTION("""COMPUTED_VALUE"""),"#REF!")</f>
        <v>#REF!</v>
      </c>
      <c r="DG183" s="96" t="str">
        <f>IFERROR(__xludf.DUMMYFUNCTION("""COMPUTED_VALUE"""),"#REF!")</f>
        <v>#REF!</v>
      </c>
      <c r="DH183" s="97" t="str">
        <f>IFERROR(__xludf.DUMMYFUNCTION("""COMPUTED_VALUE"""),"#REF!")</f>
        <v>#REF!</v>
      </c>
      <c r="DI183" s="95" t="str">
        <f>IFERROR(__xludf.DUMMYFUNCTION("""COMPUTED_VALUE"""),"#REF!")</f>
        <v>#REF!</v>
      </c>
      <c r="DJ183" s="96" t="str">
        <f>IFERROR(__xludf.DUMMYFUNCTION("""COMPUTED_VALUE"""),"#REF!")</f>
        <v>#REF!</v>
      </c>
      <c r="DK183" s="97" t="str">
        <f>IFERROR(__xludf.DUMMYFUNCTION("""COMPUTED_VALUE"""),"#REF!")</f>
        <v>#REF!</v>
      </c>
      <c r="DL183" s="95" t="str">
        <f>IFERROR(__xludf.DUMMYFUNCTION("""COMPUTED_VALUE"""),"#REF!")</f>
        <v>#REF!</v>
      </c>
      <c r="DM183" s="96" t="str">
        <f>IFERROR(__xludf.DUMMYFUNCTION("""COMPUTED_VALUE"""),"#REF!")</f>
        <v>#REF!</v>
      </c>
      <c r="DN183" s="97" t="str">
        <f>IFERROR(__xludf.DUMMYFUNCTION("""COMPUTED_VALUE"""),"#REF!")</f>
        <v>#REF!</v>
      </c>
      <c r="DO183" s="95" t="str">
        <f>IFERROR(__xludf.DUMMYFUNCTION("""COMPUTED_VALUE"""),"#REF!")</f>
        <v>#REF!</v>
      </c>
      <c r="DP183" s="96" t="str">
        <f>IFERROR(__xludf.DUMMYFUNCTION("""COMPUTED_VALUE"""),"#REF!")</f>
        <v>#REF!</v>
      </c>
      <c r="DQ183" s="97"/>
      <c r="DR183" s="95"/>
    </row>
    <row r="184">
      <c r="B184" s="120" t="str">
        <f>IFERROR(__xludf.DUMMYFUNCTION("""COMPUTED_VALUE"""),"ANA2")</f>
        <v>ANA2</v>
      </c>
      <c r="C184" s="82">
        <f>IFERROR(__xludf.DUMMYFUNCTION("""COMPUTED_VALUE"""),179.0)</f>
        <v>179</v>
      </c>
      <c r="D184" s="88" t="str">
        <f>IFERROR(__xludf.DUMMYFUNCTION("""COMPUTED_VALUE"""),"Yaga Smolensk")</f>
        <v>Yaga Smolensk</v>
      </c>
      <c r="E184" s="82" t="str">
        <f>IFERROR(__xludf.DUMMYFUNCTION("""COMPUTED_VALUE"""),"ヤガ・スモレンスク")</f>
        <v>ヤガ・スモレンスク</v>
      </c>
      <c r="F184" s="102">
        <f>IFERROR(__xludf.DUMMYFUNCTION("""COMPUTED_VALUE"""),20.0)</f>
        <v>20</v>
      </c>
      <c r="G184" s="82">
        <f>IFERROR(__xludf.DUMMYFUNCTION("""COMPUTED_VALUE"""),38160.0)</f>
        <v>38160</v>
      </c>
      <c r="H184" s="231" t="str">
        <f>IFERROR(__xludf.DUMMYFUNCTION("""COMPUTED_VALUE"""),"")</f>
        <v/>
      </c>
      <c r="I184" s="232" t="str">
        <f>IFERROR(__xludf.DUMMYFUNCTION("""COMPUTED_VALUE"""),"")</f>
        <v/>
      </c>
      <c r="J184" s="233" t="str">
        <f>IFERROR(__xludf.DUMMYFUNCTION("""COMPUTED_VALUE"""),"")</f>
        <v/>
      </c>
      <c r="K184" s="231" t="str">
        <f>IFERROR(__xludf.DUMMYFUNCTION("""COMPUTED_VALUE"""),"")</f>
        <v/>
      </c>
      <c r="L184" s="232" t="str">
        <f>IFERROR(__xludf.DUMMYFUNCTION("""COMPUTED_VALUE"""),"")</f>
        <v/>
      </c>
      <c r="M184" s="233" t="str">
        <f>IFERROR(__xludf.DUMMYFUNCTION("""COMPUTED_VALUE"""),"")</f>
        <v/>
      </c>
      <c r="N184" s="231" t="str">
        <f>IFERROR(__xludf.DUMMYFUNCTION("""COMPUTED_VALUE"""),"")</f>
        <v/>
      </c>
      <c r="O184" s="232" t="str">
        <f>IFERROR(__xludf.DUMMYFUNCTION("""COMPUTED_VALUE"""),"")</f>
        <v/>
      </c>
      <c r="P184" s="233" t="str">
        <f>IFERROR(__xludf.DUMMYFUNCTION("""COMPUTED_VALUE"""),"")</f>
        <v/>
      </c>
      <c r="Q184" s="231" t="str">
        <f>IFERROR(__xludf.DUMMYFUNCTION("""COMPUTED_VALUE"""),"")</f>
        <v/>
      </c>
      <c r="R184" s="232" t="str">
        <f>IFERROR(__xludf.DUMMYFUNCTION("""COMPUTED_VALUE"""),"")</f>
        <v/>
      </c>
      <c r="S184" s="233" t="str">
        <f>IFERROR(__xludf.DUMMYFUNCTION("""COMPUTED_VALUE"""),"")</f>
        <v/>
      </c>
      <c r="T184" s="231" t="str">
        <f>IFERROR(__xludf.DUMMYFUNCTION("""COMPUTED_VALUE"""),"")</f>
        <v/>
      </c>
      <c r="U184" s="232" t="str">
        <f>IFERROR(__xludf.DUMMYFUNCTION("""COMPUTED_VALUE"""),"")</f>
        <v/>
      </c>
      <c r="V184" s="233" t="str">
        <f>IFERROR(__xludf.DUMMYFUNCTION("""COMPUTED_VALUE"""),"")</f>
        <v/>
      </c>
      <c r="W184" s="231" t="str">
        <f>IFERROR(__xludf.DUMMYFUNCTION("""COMPUTED_VALUE"""),"")</f>
        <v/>
      </c>
      <c r="X184" s="232" t="str">
        <f>IFERROR(__xludf.DUMMYFUNCTION("""COMPUTED_VALUE"""),"")</f>
        <v/>
      </c>
      <c r="Y184" s="233" t="str">
        <f>IFERROR(__xludf.DUMMYFUNCTION("""COMPUTED_VALUE"""),"")</f>
        <v/>
      </c>
      <c r="Z184" s="231" t="str">
        <f>IFERROR(__xludf.DUMMYFUNCTION("""COMPUTED_VALUE"""),"")</f>
        <v/>
      </c>
      <c r="AA184" s="232" t="str">
        <f>IFERROR(__xludf.DUMMYFUNCTION("""COMPUTED_VALUE"""),"")</f>
        <v/>
      </c>
      <c r="AB184" s="233" t="str">
        <f>IFERROR(__xludf.DUMMYFUNCTION("""COMPUTED_VALUE"""),"")</f>
        <v/>
      </c>
      <c r="AC184" s="231" t="str">
        <f>IFERROR(__xludf.DUMMYFUNCTION("""COMPUTED_VALUE"""),"")</f>
        <v/>
      </c>
      <c r="AD184" s="232" t="str">
        <f>IFERROR(__xludf.DUMMYFUNCTION("""COMPUTED_VALUE"""),"")</f>
        <v/>
      </c>
      <c r="AE184" s="233" t="str">
        <f>IFERROR(__xludf.DUMMYFUNCTION("""COMPUTED_VALUE"""),"")</f>
        <v/>
      </c>
      <c r="AF184" s="231" t="str">
        <f>IFERROR(__xludf.DUMMYFUNCTION("""COMPUTED_VALUE"""),"")</f>
        <v/>
      </c>
      <c r="AG184" s="232" t="str">
        <f>IFERROR(__xludf.DUMMYFUNCTION("""COMPUTED_VALUE"""),"")</f>
        <v/>
      </c>
      <c r="AH184" s="233" t="str">
        <f>IFERROR(__xludf.DUMMYFUNCTION("""COMPUTED_VALUE"""),"")</f>
        <v/>
      </c>
      <c r="AI184" s="231" t="str">
        <f>IFERROR(__xludf.DUMMYFUNCTION("""COMPUTED_VALUE"""),"")</f>
        <v/>
      </c>
      <c r="AJ184" s="232" t="str">
        <f>IFERROR(__xludf.DUMMYFUNCTION("""COMPUTED_VALUE"""),"")</f>
        <v/>
      </c>
      <c r="AK184" s="233" t="str">
        <f>IFERROR(__xludf.DUMMYFUNCTION("""COMPUTED_VALUE"""),"")</f>
        <v/>
      </c>
      <c r="AL184" s="231" t="str">
        <f>IFERROR(__xludf.DUMMYFUNCTION("""COMPUTED_VALUE"""),"")</f>
        <v/>
      </c>
      <c r="AM184" s="232" t="str">
        <f>IFERROR(__xludf.DUMMYFUNCTION("""COMPUTED_VALUE"""),"")</f>
        <v/>
      </c>
      <c r="AN184" s="233" t="str">
        <f>IFERROR(__xludf.DUMMYFUNCTION("""COMPUTED_VALUE"""),"")</f>
        <v/>
      </c>
      <c r="AO184" s="231" t="str">
        <f>IFERROR(__xludf.DUMMYFUNCTION("""COMPUTED_VALUE"""),"")</f>
        <v/>
      </c>
      <c r="AP184" s="232" t="str">
        <f>IFERROR(__xludf.DUMMYFUNCTION("""COMPUTED_VALUE"""),"")</f>
        <v/>
      </c>
      <c r="AQ184" s="233" t="str">
        <f>IFERROR(__xludf.DUMMYFUNCTION("""COMPUTED_VALUE"""),"")</f>
        <v/>
      </c>
      <c r="AR184" s="231" t="str">
        <f>IFERROR(__xludf.DUMMYFUNCTION("""COMPUTED_VALUE"""),"")</f>
        <v/>
      </c>
      <c r="AS184" s="232" t="str">
        <f>IFERROR(__xludf.DUMMYFUNCTION("""COMPUTED_VALUE"""),"")</f>
        <v/>
      </c>
      <c r="AT184" s="233" t="str">
        <f>IFERROR(__xludf.DUMMYFUNCTION("""COMPUTED_VALUE"""),"")</f>
        <v/>
      </c>
      <c r="AU184" s="231" t="str">
        <f>IFERROR(__xludf.DUMMYFUNCTION("""COMPUTED_VALUE"""),"")</f>
        <v/>
      </c>
      <c r="AV184" s="232" t="str">
        <f>IFERROR(__xludf.DUMMYFUNCTION("""COMPUTED_VALUE"""),"")</f>
        <v/>
      </c>
      <c r="AW184" s="233" t="str">
        <f>IFERROR(__xludf.DUMMYFUNCTION("""COMPUTED_VALUE"""),"")</f>
        <v/>
      </c>
      <c r="AX184" s="231" t="str">
        <f>IFERROR(__xludf.DUMMYFUNCTION("""COMPUTED_VALUE"""),"")</f>
        <v/>
      </c>
      <c r="AY184" s="232" t="str">
        <f>IFERROR(__xludf.DUMMYFUNCTION("""COMPUTED_VALUE"""),"")</f>
        <v/>
      </c>
      <c r="AZ184" s="233" t="str">
        <f>IFERROR(__xludf.DUMMYFUNCTION("""COMPUTED_VALUE"""),"")</f>
        <v/>
      </c>
      <c r="BA184" s="231" t="str">
        <f>IFERROR(__xludf.DUMMYFUNCTION("""COMPUTED_VALUE"""),"")</f>
        <v/>
      </c>
      <c r="BB184" s="232">
        <f>IFERROR(__xludf.DUMMYFUNCTION("""COMPUTED_VALUE"""),65.7)</f>
        <v>65.7</v>
      </c>
      <c r="BC184" s="233" t="str">
        <f>IFERROR(__xludf.DUMMYFUNCTION("""COMPUTED_VALUE"""),"")</f>
        <v/>
      </c>
      <c r="BD184" s="231" t="str">
        <f>IFERROR(__xludf.DUMMYFUNCTION("""COMPUTED_VALUE"""),"")</f>
        <v/>
      </c>
      <c r="BE184" s="232" t="str">
        <f>IFERROR(__xludf.DUMMYFUNCTION("""COMPUTED_VALUE"""),"")</f>
        <v/>
      </c>
      <c r="BF184" s="233" t="str">
        <f>IFERROR(__xludf.DUMMYFUNCTION("""COMPUTED_VALUE"""),"")</f>
        <v/>
      </c>
      <c r="BG184" s="231" t="str">
        <f>IFERROR(__xludf.DUMMYFUNCTION("""COMPUTED_VALUE"""),"")</f>
        <v/>
      </c>
      <c r="BH184" s="232" t="str">
        <f>IFERROR(__xludf.DUMMYFUNCTION("""COMPUTED_VALUE"""),"")</f>
        <v/>
      </c>
      <c r="BI184" s="233" t="str">
        <f>IFERROR(__xludf.DUMMYFUNCTION("""COMPUTED_VALUE"""),"")</f>
        <v/>
      </c>
      <c r="BJ184" s="231" t="str">
        <f>IFERROR(__xludf.DUMMYFUNCTION("""COMPUTED_VALUE"""),"")</f>
        <v/>
      </c>
      <c r="BK184" s="232" t="str">
        <f>IFERROR(__xludf.DUMMYFUNCTION("""COMPUTED_VALUE"""),"")</f>
        <v/>
      </c>
      <c r="BL184" s="233" t="str">
        <f>IFERROR(__xludf.DUMMYFUNCTION("""COMPUTED_VALUE"""),"")</f>
        <v/>
      </c>
      <c r="BM184" s="231" t="str">
        <f>IFERROR(__xludf.DUMMYFUNCTION("""COMPUTED_VALUE"""),"")</f>
        <v/>
      </c>
      <c r="BN184" s="232" t="str">
        <f>IFERROR(__xludf.DUMMYFUNCTION("""COMPUTED_VALUE"""),"")</f>
        <v/>
      </c>
      <c r="BO184" s="233" t="str">
        <f>IFERROR(__xludf.DUMMYFUNCTION("""COMPUTED_VALUE"""),"")</f>
        <v/>
      </c>
      <c r="BP184" s="231" t="str">
        <f>IFERROR(__xludf.DUMMYFUNCTION("""COMPUTED_VALUE"""),"")</f>
        <v/>
      </c>
      <c r="BQ184" s="232">
        <f>IFERROR(__xludf.DUMMYFUNCTION("""COMPUTED_VALUE"""),24.2)</f>
        <v>24.2</v>
      </c>
      <c r="BR184" s="233" t="str">
        <f>IFERROR(__xludf.DUMMYFUNCTION("""COMPUTED_VALUE"""),"")</f>
        <v/>
      </c>
      <c r="BS184" s="231" t="str">
        <f>IFERROR(__xludf.DUMMYFUNCTION("""COMPUTED_VALUE"""),"")</f>
        <v/>
      </c>
      <c r="BT184" s="232" t="str">
        <f>IFERROR(__xludf.DUMMYFUNCTION("""COMPUTED_VALUE"""),"")</f>
        <v/>
      </c>
      <c r="BU184" s="233" t="str">
        <f>IFERROR(__xludf.DUMMYFUNCTION("""COMPUTED_VALUE"""),"")</f>
        <v/>
      </c>
      <c r="BV184" s="231">
        <f>IFERROR(__xludf.DUMMYFUNCTION("""COMPUTED_VALUE"""),20.2)</f>
        <v>20.2</v>
      </c>
      <c r="BW184" s="232" t="str">
        <f>IFERROR(__xludf.DUMMYFUNCTION("""COMPUTED_VALUE"""),"")</f>
        <v/>
      </c>
      <c r="BX184" s="233" t="str">
        <f>IFERROR(__xludf.DUMMYFUNCTION("""COMPUTED_VALUE"""),"")</f>
        <v/>
      </c>
      <c r="BY184" s="231" t="str">
        <f>IFERROR(__xludf.DUMMYFUNCTION("""COMPUTED_VALUE"""),"")</f>
        <v/>
      </c>
      <c r="BZ184" s="232" t="str">
        <f>IFERROR(__xludf.DUMMYFUNCTION("""COMPUTED_VALUE"""),"")</f>
        <v/>
      </c>
      <c r="CA184" s="233" t="str">
        <f>IFERROR(__xludf.DUMMYFUNCTION("""COMPUTED_VALUE"""),"")</f>
        <v/>
      </c>
      <c r="CB184" s="231" t="str">
        <f>IFERROR(__xludf.DUMMYFUNCTION("""COMPUTED_VALUE"""),"")</f>
        <v/>
      </c>
      <c r="CC184" s="232" t="str">
        <f>IFERROR(__xludf.DUMMYFUNCTION("""COMPUTED_VALUE"""),"")</f>
        <v/>
      </c>
      <c r="CD184" s="233" t="str">
        <f>IFERROR(__xludf.DUMMYFUNCTION("""COMPUTED_VALUE"""),"")</f>
        <v/>
      </c>
      <c r="CE184" s="234" t="str">
        <f>IFERROR(__xludf.DUMMYFUNCTION("""COMPUTED_VALUE"""),"")</f>
        <v/>
      </c>
      <c r="CF184" s="230" t="str">
        <f>IFERROR(__xludf.DUMMYFUNCTION("""COMPUTED_VALUE"""),"")</f>
        <v/>
      </c>
      <c r="CG184" s="235" t="str">
        <f>IFERROR(__xludf.DUMMYFUNCTION("""COMPUTED_VALUE"""),"")</f>
        <v/>
      </c>
      <c r="CH184" s="234" t="str">
        <f>IFERROR(__xludf.DUMMYFUNCTION("""COMPUTED_VALUE"""),"")</f>
        <v/>
      </c>
      <c r="CI184" s="230" t="str">
        <f>IFERROR(__xludf.DUMMYFUNCTION("""COMPUTED_VALUE"""),"")</f>
        <v/>
      </c>
      <c r="CJ184" s="235" t="str">
        <f>IFERROR(__xludf.DUMMYFUNCTION("""COMPUTED_VALUE"""),"")</f>
        <v/>
      </c>
      <c r="CK184" s="95" t="str">
        <f>IFERROR(__xludf.DUMMYFUNCTION("""COMPUTED_VALUE"""),"")</f>
        <v/>
      </c>
      <c r="CL184" s="96" t="str">
        <f>IFERROR(__xludf.DUMMYFUNCTION("""COMPUTED_VALUE"""),"")</f>
        <v/>
      </c>
      <c r="CM184" s="97" t="str">
        <f>IFERROR(__xludf.DUMMYFUNCTION("""COMPUTED_VALUE"""),"")</f>
        <v/>
      </c>
      <c r="CN184" s="95" t="str">
        <f>IFERROR(__xludf.DUMMYFUNCTION("""COMPUTED_VALUE"""),"")</f>
        <v/>
      </c>
      <c r="CO184" s="96" t="str">
        <f>IFERROR(__xludf.DUMMYFUNCTION("""COMPUTED_VALUE"""),"")</f>
        <v/>
      </c>
      <c r="CP184" s="97" t="str">
        <f>IFERROR(__xludf.DUMMYFUNCTION("""COMPUTED_VALUE"""),"")</f>
        <v/>
      </c>
      <c r="CQ184" s="95" t="str">
        <f>IFERROR(__xludf.DUMMYFUNCTION("""COMPUTED_VALUE"""),"")</f>
        <v/>
      </c>
      <c r="CR184" s="96" t="str">
        <f>IFERROR(__xludf.DUMMYFUNCTION("""COMPUTED_VALUE"""),"")</f>
        <v/>
      </c>
      <c r="CS184" s="97" t="str">
        <f>IFERROR(__xludf.DUMMYFUNCTION("""COMPUTED_VALUE"""),"#REF!")</f>
        <v>#REF!</v>
      </c>
      <c r="CT184" s="95" t="str">
        <f>IFERROR(__xludf.DUMMYFUNCTION("""COMPUTED_VALUE"""),"#REF!")</f>
        <v>#REF!</v>
      </c>
      <c r="CU184" s="96" t="str">
        <f>IFERROR(__xludf.DUMMYFUNCTION("""COMPUTED_VALUE"""),"#REF!")</f>
        <v>#REF!</v>
      </c>
      <c r="CV184" s="97" t="str">
        <f>IFERROR(__xludf.DUMMYFUNCTION("""COMPUTED_VALUE"""),"#REF!")</f>
        <v>#REF!</v>
      </c>
      <c r="CW184" s="95" t="str">
        <f>IFERROR(__xludf.DUMMYFUNCTION("""COMPUTED_VALUE"""),"#REF!")</f>
        <v>#REF!</v>
      </c>
      <c r="CX184" s="96" t="str">
        <f>IFERROR(__xludf.DUMMYFUNCTION("""COMPUTED_VALUE"""),"#REF!")</f>
        <v>#REF!</v>
      </c>
      <c r="CY184" s="97" t="str">
        <f>IFERROR(__xludf.DUMMYFUNCTION("""COMPUTED_VALUE"""),"#REF!")</f>
        <v>#REF!</v>
      </c>
      <c r="CZ184" s="95" t="str">
        <f>IFERROR(__xludf.DUMMYFUNCTION("""COMPUTED_VALUE"""),"#REF!")</f>
        <v>#REF!</v>
      </c>
      <c r="DA184" s="96" t="str">
        <f>IFERROR(__xludf.DUMMYFUNCTION("""COMPUTED_VALUE"""),"#REF!")</f>
        <v>#REF!</v>
      </c>
      <c r="DB184" s="97" t="str">
        <f>IFERROR(__xludf.DUMMYFUNCTION("""COMPUTED_VALUE"""),"#REF!")</f>
        <v>#REF!</v>
      </c>
      <c r="DC184" s="95" t="str">
        <f>IFERROR(__xludf.DUMMYFUNCTION("""COMPUTED_VALUE"""),"#REF!")</f>
        <v>#REF!</v>
      </c>
      <c r="DD184" s="96" t="str">
        <f>IFERROR(__xludf.DUMMYFUNCTION("""COMPUTED_VALUE"""),"#REF!")</f>
        <v>#REF!</v>
      </c>
      <c r="DE184" s="97" t="str">
        <f>IFERROR(__xludf.DUMMYFUNCTION("""COMPUTED_VALUE"""),"#REF!")</f>
        <v>#REF!</v>
      </c>
      <c r="DF184" s="95" t="str">
        <f>IFERROR(__xludf.DUMMYFUNCTION("""COMPUTED_VALUE"""),"#REF!")</f>
        <v>#REF!</v>
      </c>
      <c r="DG184" s="96" t="str">
        <f>IFERROR(__xludf.DUMMYFUNCTION("""COMPUTED_VALUE"""),"#REF!")</f>
        <v>#REF!</v>
      </c>
      <c r="DH184" s="97" t="str">
        <f>IFERROR(__xludf.DUMMYFUNCTION("""COMPUTED_VALUE"""),"#REF!")</f>
        <v>#REF!</v>
      </c>
      <c r="DI184" s="95" t="str">
        <f>IFERROR(__xludf.DUMMYFUNCTION("""COMPUTED_VALUE"""),"#REF!")</f>
        <v>#REF!</v>
      </c>
      <c r="DJ184" s="96" t="str">
        <f>IFERROR(__xludf.DUMMYFUNCTION("""COMPUTED_VALUE"""),"#REF!")</f>
        <v>#REF!</v>
      </c>
      <c r="DK184" s="97" t="str">
        <f>IFERROR(__xludf.DUMMYFUNCTION("""COMPUTED_VALUE"""),"#REF!")</f>
        <v>#REF!</v>
      </c>
      <c r="DL184" s="95" t="str">
        <f>IFERROR(__xludf.DUMMYFUNCTION("""COMPUTED_VALUE"""),"#REF!")</f>
        <v>#REF!</v>
      </c>
      <c r="DM184" s="96" t="str">
        <f>IFERROR(__xludf.DUMMYFUNCTION("""COMPUTED_VALUE"""),"#REF!")</f>
        <v>#REF!</v>
      </c>
      <c r="DN184" s="97" t="str">
        <f>IFERROR(__xludf.DUMMYFUNCTION("""COMPUTED_VALUE"""),"#REF!")</f>
        <v>#REF!</v>
      </c>
      <c r="DO184" s="95" t="str">
        <f>IFERROR(__xludf.DUMMYFUNCTION("""COMPUTED_VALUE"""),"#REF!")</f>
        <v>#REF!</v>
      </c>
      <c r="DP184" s="96" t="str">
        <f>IFERROR(__xludf.DUMMYFUNCTION("""COMPUTED_VALUE"""),"#REF!")</f>
        <v>#REF!</v>
      </c>
      <c r="DQ184" s="97"/>
      <c r="DR184" s="95"/>
    </row>
    <row r="185">
      <c r="B185" s="120" t="str">
        <f>IFERROR(__xludf.DUMMYFUNCTION("""COMPUTED_VALUE"""),"ANA3")</f>
        <v>ANA3</v>
      </c>
      <c r="C185" s="82">
        <f>IFERROR(__xludf.DUMMYFUNCTION("""COMPUTED_VALUE"""),180.0)</f>
        <v>180</v>
      </c>
      <c r="D185" s="88" t="str">
        <f>IFERROR(__xludf.DUMMYFUNCTION("""COMPUTED_VALUE"""),"Icy Cavern")</f>
        <v>Icy Cavern</v>
      </c>
      <c r="E185" s="82" t="str">
        <f>IFERROR(__xludf.DUMMYFUNCTION("""COMPUTED_VALUE"""),"風穴氷窟")</f>
        <v>風穴氷窟</v>
      </c>
      <c r="F185" s="102">
        <f>IFERROR(__xludf.DUMMYFUNCTION("""COMPUTED_VALUE"""),20.0)</f>
        <v>20</v>
      </c>
      <c r="G185" s="82">
        <f>IFERROR(__xludf.DUMMYFUNCTION("""COMPUTED_VALUE"""),59379.0)</f>
        <v>59379</v>
      </c>
      <c r="H185" s="231" t="str">
        <f>IFERROR(__xludf.DUMMYFUNCTION("""COMPUTED_VALUE"""),"")</f>
        <v/>
      </c>
      <c r="I185" s="232" t="str">
        <f>IFERROR(__xludf.DUMMYFUNCTION("""COMPUTED_VALUE"""),"")</f>
        <v/>
      </c>
      <c r="J185" s="233" t="str">
        <f>IFERROR(__xludf.DUMMYFUNCTION("""COMPUTED_VALUE"""),"")</f>
        <v/>
      </c>
      <c r="K185" s="231" t="str">
        <f>IFERROR(__xludf.DUMMYFUNCTION("""COMPUTED_VALUE"""),"")</f>
        <v/>
      </c>
      <c r="L185" s="232" t="str">
        <f>IFERROR(__xludf.DUMMYFUNCTION("""COMPUTED_VALUE"""),"")</f>
        <v/>
      </c>
      <c r="M185" s="233" t="str">
        <f>IFERROR(__xludf.DUMMYFUNCTION("""COMPUTED_VALUE"""),"")</f>
        <v/>
      </c>
      <c r="N185" s="231" t="str">
        <f>IFERROR(__xludf.DUMMYFUNCTION("""COMPUTED_VALUE"""),"")</f>
        <v/>
      </c>
      <c r="O185" s="232" t="str">
        <f>IFERROR(__xludf.DUMMYFUNCTION("""COMPUTED_VALUE"""),"")</f>
        <v/>
      </c>
      <c r="P185" s="233" t="str">
        <f>IFERROR(__xludf.DUMMYFUNCTION("""COMPUTED_VALUE"""),"")</f>
        <v/>
      </c>
      <c r="Q185" s="231" t="str">
        <f>IFERROR(__xludf.DUMMYFUNCTION("""COMPUTED_VALUE"""),"")</f>
        <v/>
      </c>
      <c r="R185" s="232" t="str">
        <f>IFERROR(__xludf.DUMMYFUNCTION("""COMPUTED_VALUE"""),"")</f>
        <v/>
      </c>
      <c r="S185" s="233" t="str">
        <f>IFERROR(__xludf.DUMMYFUNCTION("""COMPUTED_VALUE"""),"")</f>
        <v/>
      </c>
      <c r="T185" s="231" t="str">
        <f>IFERROR(__xludf.DUMMYFUNCTION("""COMPUTED_VALUE"""),"")</f>
        <v/>
      </c>
      <c r="U185" s="232" t="str">
        <f>IFERROR(__xludf.DUMMYFUNCTION("""COMPUTED_VALUE"""),"")</f>
        <v/>
      </c>
      <c r="V185" s="233" t="str">
        <f>IFERROR(__xludf.DUMMYFUNCTION("""COMPUTED_VALUE"""),"")</f>
        <v/>
      </c>
      <c r="W185" s="231" t="str">
        <f>IFERROR(__xludf.DUMMYFUNCTION("""COMPUTED_VALUE"""),"")</f>
        <v/>
      </c>
      <c r="X185" s="232" t="str">
        <f>IFERROR(__xludf.DUMMYFUNCTION("""COMPUTED_VALUE"""),"")</f>
        <v/>
      </c>
      <c r="Y185" s="233" t="str">
        <f>IFERROR(__xludf.DUMMYFUNCTION("""COMPUTED_VALUE"""),"")</f>
        <v/>
      </c>
      <c r="Z185" s="231" t="str">
        <f>IFERROR(__xludf.DUMMYFUNCTION("""COMPUTED_VALUE"""),"")</f>
        <v/>
      </c>
      <c r="AA185" s="232" t="str">
        <f>IFERROR(__xludf.DUMMYFUNCTION("""COMPUTED_VALUE"""),"")</f>
        <v/>
      </c>
      <c r="AB185" s="233" t="str">
        <f>IFERROR(__xludf.DUMMYFUNCTION("""COMPUTED_VALUE"""),"")</f>
        <v/>
      </c>
      <c r="AC185" s="231" t="str">
        <f>IFERROR(__xludf.DUMMYFUNCTION("""COMPUTED_VALUE"""),"")</f>
        <v/>
      </c>
      <c r="AD185" s="232" t="str">
        <f>IFERROR(__xludf.DUMMYFUNCTION("""COMPUTED_VALUE"""),"")</f>
        <v/>
      </c>
      <c r="AE185" s="233" t="str">
        <f>IFERROR(__xludf.DUMMYFUNCTION("""COMPUTED_VALUE"""),"")</f>
        <v/>
      </c>
      <c r="AF185" s="231" t="str">
        <f>IFERROR(__xludf.DUMMYFUNCTION("""COMPUTED_VALUE"""),"")</f>
        <v/>
      </c>
      <c r="AG185" s="232" t="str">
        <f>IFERROR(__xludf.DUMMYFUNCTION("""COMPUTED_VALUE"""),"")</f>
        <v/>
      </c>
      <c r="AH185" s="233" t="str">
        <f>IFERROR(__xludf.DUMMYFUNCTION("""COMPUTED_VALUE"""),"")</f>
        <v/>
      </c>
      <c r="AI185" s="231" t="str">
        <f>IFERROR(__xludf.DUMMYFUNCTION("""COMPUTED_VALUE"""),"")</f>
        <v/>
      </c>
      <c r="AJ185" s="232">
        <f>IFERROR(__xludf.DUMMYFUNCTION("""COMPUTED_VALUE"""),25.2)</f>
        <v>25.2</v>
      </c>
      <c r="AK185" s="233" t="str">
        <f>IFERROR(__xludf.DUMMYFUNCTION("""COMPUTED_VALUE"""),"")</f>
        <v/>
      </c>
      <c r="AL185" s="231" t="str">
        <f>IFERROR(__xludf.DUMMYFUNCTION("""COMPUTED_VALUE"""),"")</f>
        <v/>
      </c>
      <c r="AM185" s="232" t="str">
        <f>IFERROR(__xludf.DUMMYFUNCTION("""COMPUTED_VALUE"""),"")</f>
        <v/>
      </c>
      <c r="AN185" s="233" t="str">
        <f>IFERROR(__xludf.DUMMYFUNCTION("""COMPUTED_VALUE"""),"")</f>
        <v/>
      </c>
      <c r="AO185" s="231" t="str">
        <f>IFERROR(__xludf.DUMMYFUNCTION("""COMPUTED_VALUE"""),"")</f>
        <v/>
      </c>
      <c r="AP185" s="232" t="str">
        <f>IFERROR(__xludf.DUMMYFUNCTION("""COMPUTED_VALUE"""),"")</f>
        <v/>
      </c>
      <c r="AQ185" s="233" t="str">
        <f>IFERROR(__xludf.DUMMYFUNCTION("""COMPUTED_VALUE"""),"")</f>
        <v/>
      </c>
      <c r="AR185" s="231" t="str">
        <f>IFERROR(__xludf.DUMMYFUNCTION("""COMPUTED_VALUE"""),"")</f>
        <v/>
      </c>
      <c r="AS185" s="232" t="str">
        <f>IFERROR(__xludf.DUMMYFUNCTION("""COMPUTED_VALUE"""),"")</f>
        <v/>
      </c>
      <c r="AT185" s="233" t="str">
        <f>IFERROR(__xludf.DUMMYFUNCTION("""COMPUTED_VALUE"""),"")</f>
        <v/>
      </c>
      <c r="AU185" s="231" t="str">
        <f>IFERROR(__xludf.DUMMYFUNCTION("""COMPUTED_VALUE"""),"")</f>
        <v/>
      </c>
      <c r="AV185" s="232" t="str">
        <f>IFERROR(__xludf.DUMMYFUNCTION("""COMPUTED_VALUE"""),"")</f>
        <v/>
      </c>
      <c r="AW185" s="233" t="str">
        <f>IFERROR(__xludf.DUMMYFUNCTION("""COMPUTED_VALUE"""),"")</f>
        <v/>
      </c>
      <c r="AX185" s="231" t="str">
        <f>IFERROR(__xludf.DUMMYFUNCTION("""COMPUTED_VALUE"""),"")</f>
        <v/>
      </c>
      <c r="AY185" s="232">
        <f>IFERROR(__xludf.DUMMYFUNCTION("""COMPUTED_VALUE"""),40.399999)</f>
        <v>40.399999</v>
      </c>
      <c r="AZ185" s="233" t="str">
        <f>IFERROR(__xludf.DUMMYFUNCTION("""COMPUTED_VALUE"""),"")</f>
        <v/>
      </c>
      <c r="BA185" s="231" t="str">
        <f>IFERROR(__xludf.DUMMYFUNCTION("""COMPUTED_VALUE"""),"")</f>
        <v/>
      </c>
      <c r="BB185" s="232" t="str">
        <f>IFERROR(__xludf.DUMMYFUNCTION("""COMPUTED_VALUE"""),"")</f>
        <v/>
      </c>
      <c r="BC185" s="233" t="str">
        <f>IFERROR(__xludf.DUMMYFUNCTION("""COMPUTED_VALUE"""),"")</f>
        <v/>
      </c>
      <c r="BD185" s="231" t="str">
        <f>IFERROR(__xludf.DUMMYFUNCTION("""COMPUTED_VALUE"""),"")</f>
        <v/>
      </c>
      <c r="BE185" s="232" t="str">
        <f>IFERROR(__xludf.DUMMYFUNCTION("""COMPUTED_VALUE"""),"")</f>
        <v/>
      </c>
      <c r="BF185" s="233" t="str">
        <f>IFERROR(__xludf.DUMMYFUNCTION("""COMPUTED_VALUE"""),"")</f>
        <v/>
      </c>
      <c r="BG185" s="231" t="str">
        <f>IFERROR(__xludf.DUMMYFUNCTION("""COMPUTED_VALUE"""),"")</f>
        <v/>
      </c>
      <c r="BH185" s="232" t="str">
        <f>IFERROR(__xludf.DUMMYFUNCTION("""COMPUTED_VALUE"""),"")</f>
        <v/>
      </c>
      <c r="BI185" s="233" t="str">
        <f>IFERROR(__xludf.DUMMYFUNCTION("""COMPUTED_VALUE"""),"")</f>
        <v/>
      </c>
      <c r="BJ185" s="231" t="str">
        <f>IFERROR(__xludf.DUMMYFUNCTION("""COMPUTED_VALUE"""),"")</f>
        <v/>
      </c>
      <c r="BK185" s="232" t="str">
        <f>IFERROR(__xludf.DUMMYFUNCTION("""COMPUTED_VALUE"""),"")</f>
        <v/>
      </c>
      <c r="BL185" s="233" t="str">
        <f>IFERROR(__xludf.DUMMYFUNCTION("""COMPUTED_VALUE"""),"")</f>
        <v/>
      </c>
      <c r="BM185" s="231" t="str">
        <f>IFERROR(__xludf.DUMMYFUNCTION("""COMPUTED_VALUE"""),"")</f>
        <v/>
      </c>
      <c r="BN185" s="232" t="str">
        <f>IFERROR(__xludf.DUMMYFUNCTION("""COMPUTED_VALUE"""),"")</f>
        <v/>
      </c>
      <c r="BO185" s="233" t="str">
        <f>IFERROR(__xludf.DUMMYFUNCTION("""COMPUTED_VALUE"""),"")</f>
        <v/>
      </c>
      <c r="BP185" s="231" t="str">
        <f>IFERROR(__xludf.DUMMYFUNCTION("""COMPUTED_VALUE"""),"")</f>
        <v/>
      </c>
      <c r="BQ185" s="232" t="str">
        <f>IFERROR(__xludf.DUMMYFUNCTION("""COMPUTED_VALUE"""),"")</f>
        <v/>
      </c>
      <c r="BR185" s="233" t="str">
        <f>IFERROR(__xludf.DUMMYFUNCTION("""COMPUTED_VALUE"""),"")</f>
        <v/>
      </c>
      <c r="BS185" s="231">
        <f>IFERROR(__xludf.DUMMYFUNCTION("""COMPUTED_VALUE"""),25.0)</f>
        <v>25</v>
      </c>
      <c r="BT185" s="232" t="str">
        <f>IFERROR(__xludf.DUMMYFUNCTION("""COMPUTED_VALUE"""),"")</f>
        <v/>
      </c>
      <c r="BU185" s="233" t="str">
        <f>IFERROR(__xludf.DUMMYFUNCTION("""COMPUTED_VALUE"""),"")</f>
        <v/>
      </c>
      <c r="BV185" s="231" t="str">
        <f>IFERROR(__xludf.DUMMYFUNCTION("""COMPUTED_VALUE"""),"")</f>
        <v/>
      </c>
      <c r="BW185" s="232">
        <f>IFERROR(__xludf.DUMMYFUNCTION("""COMPUTED_VALUE"""),20.1)</f>
        <v>20.1</v>
      </c>
      <c r="BX185" s="233" t="str">
        <f>IFERROR(__xludf.DUMMYFUNCTION("""COMPUTED_VALUE"""),"")</f>
        <v/>
      </c>
      <c r="BY185" s="231" t="str">
        <f>IFERROR(__xludf.DUMMYFUNCTION("""COMPUTED_VALUE"""),"")</f>
        <v/>
      </c>
      <c r="BZ185" s="232" t="str">
        <f>IFERROR(__xludf.DUMMYFUNCTION("""COMPUTED_VALUE"""),"")</f>
        <v/>
      </c>
      <c r="CA185" s="233" t="str">
        <f>IFERROR(__xludf.DUMMYFUNCTION("""COMPUTED_VALUE"""),"")</f>
        <v/>
      </c>
      <c r="CB185" s="231" t="str">
        <f>IFERROR(__xludf.DUMMYFUNCTION("""COMPUTED_VALUE"""),"")</f>
        <v/>
      </c>
      <c r="CC185" s="232" t="str">
        <f>IFERROR(__xludf.DUMMYFUNCTION("""COMPUTED_VALUE"""),"")</f>
        <v/>
      </c>
      <c r="CD185" s="233" t="str">
        <f>IFERROR(__xludf.DUMMYFUNCTION("""COMPUTED_VALUE"""),"")</f>
        <v/>
      </c>
      <c r="CE185" s="234" t="str">
        <f>IFERROR(__xludf.DUMMYFUNCTION("""COMPUTED_VALUE"""),"")</f>
        <v/>
      </c>
      <c r="CF185" s="230" t="str">
        <f>IFERROR(__xludf.DUMMYFUNCTION("""COMPUTED_VALUE"""),"")</f>
        <v/>
      </c>
      <c r="CG185" s="235" t="str">
        <f>IFERROR(__xludf.DUMMYFUNCTION("""COMPUTED_VALUE"""),"")</f>
        <v/>
      </c>
      <c r="CH185" s="234" t="str">
        <f>IFERROR(__xludf.DUMMYFUNCTION("""COMPUTED_VALUE"""),"")</f>
        <v/>
      </c>
      <c r="CI185" s="230" t="str">
        <f>IFERROR(__xludf.DUMMYFUNCTION("""COMPUTED_VALUE"""),"")</f>
        <v/>
      </c>
      <c r="CJ185" s="235" t="str">
        <f>IFERROR(__xludf.DUMMYFUNCTION("""COMPUTED_VALUE"""),"")</f>
        <v/>
      </c>
      <c r="CK185" s="95" t="str">
        <f>IFERROR(__xludf.DUMMYFUNCTION("""COMPUTED_VALUE"""),"")</f>
        <v/>
      </c>
      <c r="CL185" s="96" t="str">
        <f>IFERROR(__xludf.DUMMYFUNCTION("""COMPUTED_VALUE"""),"")</f>
        <v/>
      </c>
      <c r="CM185" s="97" t="str">
        <f>IFERROR(__xludf.DUMMYFUNCTION("""COMPUTED_VALUE"""),"")</f>
        <v/>
      </c>
      <c r="CN185" s="95" t="str">
        <f>IFERROR(__xludf.DUMMYFUNCTION("""COMPUTED_VALUE"""),"")</f>
        <v/>
      </c>
      <c r="CO185" s="96" t="str">
        <f>IFERROR(__xludf.DUMMYFUNCTION("""COMPUTED_VALUE"""),"")</f>
        <v/>
      </c>
      <c r="CP185" s="97" t="str">
        <f>IFERROR(__xludf.DUMMYFUNCTION("""COMPUTED_VALUE"""),"")</f>
        <v/>
      </c>
      <c r="CQ185" s="95" t="str">
        <f>IFERROR(__xludf.DUMMYFUNCTION("""COMPUTED_VALUE"""),"")</f>
        <v/>
      </c>
      <c r="CR185" s="96" t="str">
        <f>IFERROR(__xludf.DUMMYFUNCTION("""COMPUTED_VALUE"""),"")</f>
        <v/>
      </c>
      <c r="CS185" s="97" t="str">
        <f>IFERROR(__xludf.DUMMYFUNCTION("""COMPUTED_VALUE"""),"#REF!")</f>
        <v>#REF!</v>
      </c>
      <c r="CT185" s="95" t="str">
        <f>IFERROR(__xludf.DUMMYFUNCTION("""COMPUTED_VALUE"""),"#REF!")</f>
        <v>#REF!</v>
      </c>
      <c r="CU185" s="96" t="str">
        <f>IFERROR(__xludf.DUMMYFUNCTION("""COMPUTED_VALUE"""),"#REF!")</f>
        <v>#REF!</v>
      </c>
      <c r="CV185" s="97" t="str">
        <f>IFERROR(__xludf.DUMMYFUNCTION("""COMPUTED_VALUE"""),"#REF!")</f>
        <v>#REF!</v>
      </c>
      <c r="CW185" s="95" t="str">
        <f>IFERROR(__xludf.DUMMYFUNCTION("""COMPUTED_VALUE"""),"#REF!")</f>
        <v>#REF!</v>
      </c>
      <c r="CX185" s="96" t="str">
        <f>IFERROR(__xludf.DUMMYFUNCTION("""COMPUTED_VALUE"""),"#REF!")</f>
        <v>#REF!</v>
      </c>
      <c r="CY185" s="97" t="str">
        <f>IFERROR(__xludf.DUMMYFUNCTION("""COMPUTED_VALUE"""),"#REF!")</f>
        <v>#REF!</v>
      </c>
      <c r="CZ185" s="95" t="str">
        <f>IFERROR(__xludf.DUMMYFUNCTION("""COMPUTED_VALUE"""),"#REF!")</f>
        <v>#REF!</v>
      </c>
      <c r="DA185" s="96" t="str">
        <f>IFERROR(__xludf.DUMMYFUNCTION("""COMPUTED_VALUE"""),"#REF!")</f>
        <v>#REF!</v>
      </c>
      <c r="DB185" s="97" t="str">
        <f>IFERROR(__xludf.DUMMYFUNCTION("""COMPUTED_VALUE"""),"#REF!")</f>
        <v>#REF!</v>
      </c>
      <c r="DC185" s="95" t="str">
        <f>IFERROR(__xludf.DUMMYFUNCTION("""COMPUTED_VALUE"""),"#REF!")</f>
        <v>#REF!</v>
      </c>
      <c r="DD185" s="96" t="str">
        <f>IFERROR(__xludf.DUMMYFUNCTION("""COMPUTED_VALUE"""),"#REF!")</f>
        <v>#REF!</v>
      </c>
      <c r="DE185" s="97" t="str">
        <f>IFERROR(__xludf.DUMMYFUNCTION("""COMPUTED_VALUE"""),"#REF!")</f>
        <v>#REF!</v>
      </c>
      <c r="DF185" s="95" t="str">
        <f>IFERROR(__xludf.DUMMYFUNCTION("""COMPUTED_VALUE"""),"#REF!")</f>
        <v>#REF!</v>
      </c>
      <c r="DG185" s="96" t="str">
        <f>IFERROR(__xludf.DUMMYFUNCTION("""COMPUTED_VALUE"""),"#REF!")</f>
        <v>#REF!</v>
      </c>
      <c r="DH185" s="97" t="str">
        <f>IFERROR(__xludf.DUMMYFUNCTION("""COMPUTED_VALUE"""),"#REF!")</f>
        <v>#REF!</v>
      </c>
      <c r="DI185" s="95" t="str">
        <f>IFERROR(__xludf.DUMMYFUNCTION("""COMPUTED_VALUE"""),"#REF!")</f>
        <v>#REF!</v>
      </c>
      <c r="DJ185" s="96" t="str">
        <f>IFERROR(__xludf.DUMMYFUNCTION("""COMPUTED_VALUE"""),"#REF!")</f>
        <v>#REF!</v>
      </c>
      <c r="DK185" s="97" t="str">
        <f>IFERROR(__xludf.DUMMYFUNCTION("""COMPUTED_VALUE"""),"#REF!")</f>
        <v>#REF!</v>
      </c>
      <c r="DL185" s="95" t="str">
        <f>IFERROR(__xludf.DUMMYFUNCTION("""COMPUTED_VALUE"""),"#REF!")</f>
        <v>#REF!</v>
      </c>
      <c r="DM185" s="96" t="str">
        <f>IFERROR(__xludf.DUMMYFUNCTION("""COMPUTED_VALUE"""),"#REF!")</f>
        <v>#REF!</v>
      </c>
      <c r="DN185" s="97" t="str">
        <f>IFERROR(__xludf.DUMMYFUNCTION("""COMPUTED_VALUE"""),"#REF!")</f>
        <v>#REF!</v>
      </c>
      <c r="DO185" s="95" t="str">
        <f>IFERROR(__xludf.DUMMYFUNCTION("""COMPUTED_VALUE"""),"#REF!")</f>
        <v>#REF!</v>
      </c>
      <c r="DP185" s="96" t="str">
        <f>IFERROR(__xludf.DUMMYFUNCTION("""COMPUTED_VALUE"""),"#REF!")</f>
        <v>#REF!</v>
      </c>
      <c r="DQ185" s="97"/>
      <c r="DR185" s="95"/>
    </row>
    <row r="186">
      <c r="B186" s="120" t="str">
        <f>IFERROR(__xludf.DUMMYFUNCTION("""COMPUTED_VALUE"""),"ANA4")</f>
        <v>ANA4</v>
      </c>
      <c r="C186" s="82">
        <f>IFERROR(__xludf.DUMMYFUNCTION("""COMPUTED_VALUE"""),181.0)</f>
        <v>181</v>
      </c>
      <c r="D186" s="88" t="str">
        <f>IFERROR(__xludf.DUMMYFUNCTION("""COMPUTED_VALUE"""),"Rebel Stronghold")</f>
        <v>Rebel Stronghold</v>
      </c>
      <c r="E186" s="82" t="str">
        <f>IFERROR(__xludf.DUMMYFUNCTION("""COMPUTED_VALUE"""),"叛逆軍の砦")</f>
        <v>叛逆軍の砦</v>
      </c>
      <c r="F186" s="102">
        <f>IFERROR(__xludf.DUMMYFUNCTION("""COMPUTED_VALUE"""),21.0)</f>
        <v>21</v>
      </c>
      <c r="G186" s="82">
        <f>IFERROR(__xludf.DUMMYFUNCTION("""COMPUTED_VALUE"""),3070.0)</f>
        <v>3070</v>
      </c>
      <c r="H186" s="231" t="str">
        <f>IFERROR(__xludf.DUMMYFUNCTION("""COMPUTED_VALUE"""),"")</f>
        <v/>
      </c>
      <c r="I186" s="232" t="str">
        <f>IFERROR(__xludf.DUMMYFUNCTION("""COMPUTED_VALUE"""),"")</f>
        <v/>
      </c>
      <c r="J186" s="233" t="str">
        <f>IFERROR(__xludf.DUMMYFUNCTION("""COMPUTED_VALUE"""),"")</f>
        <v/>
      </c>
      <c r="K186" s="231" t="str">
        <f>IFERROR(__xludf.DUMMYFUNCTION("""COMPUTED_VALUE"""),"")</f>
        <v/>
      </c>
      <c r="L186" s="232">
        <f>IFERROR(__xludf.DUMMYFUNCTION("""COMPUTED_VALUE"""),21.9)</f>
        <v>21.9</v>
      </c>
      <c r="M186" s="233" t="str">
        <f>IFERROR(__xludf.DUMMYFUNCTION("""COMPUTED_VALUE"""),"")</f>
        <v/>
      </c>
      <c r="N186" s="231" t="str">
        <f>IFERROR(__xludf.DUMMYFUNCTION("""COMPUTED_VALUE"""),"")</f>
        <v/>
      </c>
      <c r="O186" s="232" t="str">
        <f>IFERROR(__xludf.DUMMYFUNCTION("""COMPUTED_VALUE"""),"")</f>
        <v/>
      </c>
      <c r="P186" s="233" t="str">
        <f>IFERROR(__xludf.DUMMYFUNCTION("""COMPUTED_VALUE"""),"")</f>
        <v/>
      </c>
      <c r="Q186" s="231" t="str">
        <f>IFERROR(__xludf.DUMMYFUNCTION("""COMPUTED_VALUE"""),"")</f>
        <v/>
      </c>
      <c r="R186" s="232" t="str">
        <f>IFERROR(__xludf.DUMMYFUNCTION("""COMPUTED_VALUE"""),"")</f>
        <v/>
      </c>
      <c r="S186" s="233" t="str">
        <f>IFERROR(__xludf.DUMMYFUNCTION("""COMPUTED_VALUE"""),"")</f>
        <v/>
      </c>
      <c r="T186" s="231" t="str">
        <f>IFERROR(__xludf.DUMMYFUNCTION("""COMPUTED_VALUE"""),"")</f>
        <v/>
      </c>
      <c r="U186" s="232" t="str">
        <f>IFERROR(__xludf.DUMMYFUNCTION("""COMPUTED_VALUE"""),"")</f>
        <v/>
      </c>
      <c r="V186" s="233" t="str">
        <f>IFERROR(__xludf.DUMMYFUNCTION("""COMPUTED_VALUE"""),"")</f>
        <v/>
      </c>
      <c r="W186" s="231" t="str">
        <f>IFERROR(__xludf.DUMMYFUNCTION("""COMPUTED_VALUE"""),"")</f>
        <v/>
      </c>
      <c r="X186" s="232" t="str">
        <f>IFERROR(__xludf.DUMMYFUNCTION("""COMPUTED_VALUE"""),"")</f>
        <v/>
      </c>
      <c r="Y186" s="233" t="str">
        <f>IFERROR(__xludf.DUMMYFUNCTION("""COMPUTED_VALUE"""),"")</f>
        <v/>
      </c>
      <c r="Z186" s="231" t="str">
        <f>IFERROR(__xludf.DUMMYFUNCTION("""COMPUTED_VALUE"""),"")</f>
        <v/>
      </c>
      <c r="AA186" s="232" t="str">
        <f>IFERROR(__xludf.DUMMYFUNCTION("""COMPUTED_VALUE"""),"")</f>
        <v/>
      </c>
      <c r="AB186" s="233" t="str">
        <f>IFERROR(__xludf.DUMMYFUNCTION("""COMPUTED_VALUE"""),"")</f>
        <v/>
      </c>
      <c r="AC186" s="231" t="str">
        <f>IFERROR(__xludf.DUMMYFUNCTION("""COMPUTED_VALUE"""),"")</f>
        <v/>
      </c>
      <c r="AD186" s="232" t="str">
        <f>IFERROR(__xludf.DUMMYFUNCTION("""COMPUTED_VALUE"""),"")</f>
        <v/>
      </c>
      <c r="AE186" s="233" t="str">
        <f>IFERROR(__xludf.DUMMYFUNCTION("""COMPUTED_VALUE"""),"")</f>
        <v/>
      </c>
      <c r="AF186" s="231" t="str">
        <f>IFERROR(__xludf.DUMMYFUNCTION("""COMPUTED_VALUE"""),"")</f>
        <v/>
      </c>
      <c r="AG186" s="232" t="str">
        <f>IFERROR(__xludf.DUMMYFUNCTION("""COMPUTED_VALUE"""),"")</f>
        <v/>
      </c>
      <c r="AH186" s="233" t="str">
        <f>IFERROR(__xludf.DUMMYFUNCTION("""COMPUTED_VALUE"""),"")</f>
        <v/>
      </c>
      <c r="AI186" s="231" t="str">
        <f>IFERROR(__xludf.DUMMYFUNCTION("""COMPUTED_VALUE"""),"")</f>
        <v/>
      </c>
      <c r="AJ186" s="232" t="str">
        <f>IFERROR(__xludf.DUMMYFUNCTION("""COMPUTED_VALUE"""),"")</f>
        <v/>
      </c>
      <c r="AK186" s="233" t="str">
        <f>IFERROR(__xludf.DUMMYFUNCTION("""COMPUTED_VALUE"""),"")</f>
        <v/>
      </c>
      <c r="AL186" s="231" t="str">
        <f>IFERROR(__xludf.DUMMYFUNCTION("""COMPUTED_VALUE"""),"")</f>
        <v/>
      </c>
      <c r="AM186" s="232" t="str">
        <f>IFERROR(__xludf.DUMMYFUNCTION("""COMPUTED_VALUE"""),"")</f>
        <v/>
      </c>
      <c r="AN186" s="233" t="str">
        <f>IFERROR(__xludf.DUMMYFUNCTION("""COMPUTED_VALUE"""),"")</f>
        <v/>
      </c>
      <c r="AO186" s="231" t="str">
        <f>IFERROR(__xludf.DUMMYFUNCTION("""COMPUTED_VALUE"""),"")</f>
        <v/>
      </c>
      <c r="AP186" s="232" t="str">
        <f>IFERROR(__xludf.DUMMYFUNCTION("""COMPUTED_VALUE"""),"")</f>
        <v/>
      </c>
      <c r="AQ186" s="233" t="str">
        <f>IFERROR(__xludf.DUMMYFUNCTION("""COMPUTED_VALUE"""),"")</f>
        <v/>
      </c>
      <c r="AR186" s="231" t="str">
        <f>IFERROR(__xludf.DUMMYFUNCTION("""COMPUTED_VALUE"""),"")</f>
        <v/>
      </c>
      <c r="AS186" s="232" t="str">
        <f>IFERROR(__xludf.DUMMYFUNCTION("""COMPUTED_VALUE"""),"")</f>
        <v/>
      </c>
      <c r="AT186" s="233" t="str">
        <f>IFERROR(__xludf.DUMMYFUNCTION("""COMPUTED_VALUE"""),"")</f>
        <v/>
      </c>
      <c r="AU186" s="231" t="str">
        <f>IFERROR(__xludf.DUMMYFUNCTION("""COMPUTED_VALUE"""),"")</f>
        <v/>
      </c>
      <c r="AV186" s="232" t="str">
        <f>IFERROR(__xludf.DUMMYFUNCTION("""COMPUTED_VALUE"""),"")</f>
        <v/>
      </c>
      <c r="AW186" s="233" t="str">
        <f>IFERROR(__xludf.DUMMYFUNCTION("""COMPUTED_VALUE"""),"")</f>
        <v/>
      </c>
      <c r="AX186" s="231" t="str">
        <f>IFERROR(__xludf.DUMMYFUNCTION("""COMPUTED_VALUE"""),"")</f>
        <v/>
      </c>
      <c r="AY186" s="232" t="str">
        <f>IFERROR(__xludf.DUMMYFUNCTION("""COMPUTED_VALUE"""),"")</f>
        <v/>
      </c>
      <c r="AZ186" s="233" t="str">
        <f>IFERROR(__xludf.DUMMYFUNCTION("""COMPUTED_VALUE"""),"")</f>
        <v/>
      </c>
      <c r="BA186" s="231" t="str">
        <f>IFERROR(__xludf.DUMMYFUNCTION("""COMPUTED_VALUE"""),"")</f>
        <v/>
      </c>
      <c r="BB186" s="232">
        <f>IFERROR(__xludf.DUMMYFUNCTION("""COMPUTED_VALUE"""),41.4)</f>
        <v>41.4</v>
      </c>
      <c r="BC186" s="233" t="str">
        <f>IFERROR(__xludf.DUMMYFUNCTION("""COMPUTED_VALUE"""),"")</f>
        <v/>
      </c>
      <c r="BD186" s="231" t="str">
        <f>IFERROR(__xludf.DUMMYFUNCTION("""COMPUTED_VALUE"""),"")</f>
        <v/>
      </c>
      <c r="BE186" s="232" t="str">
        <f>IFERROR(__xludf.DUMMYFUNCTION("""COMPUTED_VALUE"""),"")</f>
        <v/>
      </c>
      <c r="BF186" s="233" t="str">
        <f>IFERROR(__xludf.DUMMYFUNCTION("""COMPUTED_VALUE"""),"")</f>
        <v/>
      </c>
      <c r="BG186" s="231" t="str">
        <f>IFERROR(__xludf.DUMMYFUNCTION("""COMPUTED_VALUE"""),"")</f>
        <v/>
      </c>
      <c r="BH186" s="232" t="str">
        <f>IFERROR(__xludf.DUMMYFUNCTION("""COMPUTED_VALUE"""),"")</f>
        <v/>
      </c>
      <c r="BI186" s="233" t="str">
        <f>IFERROR(__xludf.DUMMYFUNCTION("""COMPUTED_VALUE"""),"")</f>
        <v/>
      </c>
      <c r="BJ186" s="231" t="str">
        <f>IFERROR(__xludf.DUMMYFUNCTION("""COMPUTED_VALUE"""),"")</f>
        <v/>
      </c>
      <c r="BK186" s="232" t="str">
        <f>IFERROR(__xludf.DUMMYFUNCTION("""COMPUTED_VALUE"""),"")</f>
        <v/>
      </c>
      <c r="BL186" s="233">
        <f>IFERROR(__xludf.DUMMYFUNCTION("""COMPUTED_VALUE"""),8.2)</f>
        <v>8.2</v>
      </c>
      <c r="BM186" s="231" t="str">
        <f>IFERROR(__xludf.DUMMYFUNCTION("""COMPUTED_VALUE"""),"")</f>
        <v/>
      </c>
      <c r="BN186" s="232" t="str">
        <f>IFERROR(__xludf.DUMMYFUNCTION("""COMPUTED_VALUE"""),"")</f>
        <v/>
      </c>
      <c r="BO186" s="233" t="str">
        <f>IFERROR(__xludf.DUMMYFUNCTION("""COMPUTED_VALUE"""),"")</f>
        <v/>
      </c>
      <c r="BP186" s="231" t="str">
        <f>IFERROR(__xludf.DUMMYFUNCTION("""COMPUTED_VALUE"""),"")</f>
        <v/>
      </c>
      <c r="BQ186" s="232">
        <f>IFERROR(__xludf.DUMMYFUNCTION("""COMPUTED_VALUE"""),37.0)</f>
        <v>37</v>
      </c>
      <c r="BR186" s="233" t="str">
        <f>IFERROR(__xludf.DUMMYFUNCTION("""COMPUTED_VALUE"""),"")</f>
        <v/>
      </c>
      <c r="BS186" s="231" t="str">
        <f>IFERROR(__xludf.DUMMYFUNCTION("""COMPUTED_VALUE"""),"")</f>
        <v/>
      </c>
      <c r="BT186" s="232" t="str">
        <f>IFERROR(__xludf.DUMMYFUNCTION("""COMPUTED_VALUE"""),"")</f>
        <v/>
      </c>
      <c r="BU186" s="233" t="str">
        <f>IFERROR(__xludf.DUMMYFUNCTION("""COMPUTED_VALUE"""),"")</f>
        <v/>
      </c>
      <c r="BV186" s="231" t="str">
        <f>IFERROR(__xludf.DUMMYFUNCTION("""COMPUTED_VALUE"""),"")</f>
        <v/>
      </c>
      <c r="BW186" s="232" t="str">
        <f>IFERROR(__xludf.DUMMYFUNCTION("""COMPUTED_VALUE"""),"")</f>
        <v/>
      </c>
      <c r="BX186" s="233" t="str">
        <f>IFERROR(__xludf.DUMMYFUNCTION("""COMPUTED_VALUE"""),"")</f>
        <v/>
      </c>
      <c r="BY186" s="231" t="str">
        <f>IFERROR(__xludf.DUMMYFUNCTION("""COMPUTED_VALUE"""),"")</f>
        <v/>
      </c>
      <c r="BZ186" s="232" t="str">
        <f>IFERROR(__xludf.DUMMYFUNCTION("""COMPUTED_VALUE"""),"")</f>
        <v/>
      </c>
      <c r="CA186" s="233" t="str">
        <f>IFERROR(__xludf.DUMMYFUNCTION("""COMPUTED_VALUE"""),"")</f>
        <v/>
      </c>
      <c r="CB186" s="231" t="str">
        <f>IFERROR(__xludf.DUMMYFUNCTION("""COMPUTED_VALUE"""),"")</f>
        <v/>
      </c>
      <c r="CC186" s="232" t="str">
        <f>IFERROR(__xludf.DUMMYFUNCTION("""COMPUTED_VALUE"""),"")</f>
        <v/>
      </c>
      <c r="CD186" s="233" t="str">
        <f>IFERROR(__xludf.DUMMYFUNCTION("""COMPUTED_VALUE"""),"")</f>
        <v/>
      </c>
      <c r="CE186" s="234" t="str">
        <f>IFERROR(__xludf.DUMMYFUNCTION("""COMPUTED_VALUE"""),"")</f>
        <v/>
      </c>
      <c r="CF186" s="230" t="str">
        <f>IFERROR(__xludf.DUMMYFUNCTION("""COMPUTED_VALUE"""),"")</f>
        <v/>
      </c>
      <c r="CG186" s="235" t="str">
        <f>IFERROR(__xludf.DUMMYFUNCTION("""COMPUTED_VALUE"""),"")</f>
        <v/>
      </c>
      <c r="CH186" s="234" t="str">
        <f>IFERROR(__xludf.DUMMYFUNCTION("""COMPUTED_VALUE"""),"")</f>
        <v/>
      </c>
      <c r="CI186" s="230" t="str">
        <f>IFERROR(__xludf.DUMMYFUNCTION("""COMPUTED_VALUE"""),"")</f>
        <v/>
      </c>
      <c r="CJ186" s="235" t="str">
        <f>IFERROR(__xludf.DUMMYFUNCTION("""COMPUTED_VALUE"""),"")</f>
        <v/>
      </c>
      <c r="CK186" s="95" t="str">
        <f>IFERROR(__xludf.DUMMYFUNCTION("""COMPUTED_VALUE"""),"")</f>
        <v/>
      </c>
      <c r="CL186" s="96" t="str">
        <f>IFERROR(__xludf.DUMMYFUNCTION("""COMPUTED_VALUE"""),"")</f>
        <v/>
      </c>
      <c r="CM186" s="97" t="str">
        <f>IFERROR(__xludf.DUMMYFUNCTION("""COMPUTED_VALUE"""),"")</f>
        <v/>
      </c>
      <c r="CN186" s="95">
        <f>IFERROR(__xludf.DUMMYFUNCTION("""COMPUTED_VALUE"""),4.0)</f>
        <v>4</v>
      </c>
      <c r="CO186" s="96" t="str">
        <f>IFERROR(__xludf.DUMMYFUNCTION("""COMPUTED_VALUE"""),"")</f>
        <v/>
      </c>
      <c r="CP186" s="97" t="str">
        <f>IFERROR(__xludf.DUMMYFUNCTION("""COMPUTED_VALUE"""),"")</f>
        <v/>
      </c>
      <c r="CQ186" s="95" t="str">
        <f>IFERROR(__xludf.DUMMYFUNCTION("""COMPUTED_VALUE"""),"")</f>
        <v/>
      </c>
      <c r="CR186" s="96" t="str">
        <f>IFERROR(__xludf.DUMMYFUNCTION("""COMPUTED_VALUE"""),"")</f>
        <v/>
      </c>
      <c r="CS186" s="97" t="str">
        <f>IFERROR(__xludf.DUMMYFUNCTION("""COMPUTED_VALUE"""),"#REF!")</f>
        <v>#REF!</v>
      </c>
      <c r="CT186" s="95" t="str">
        <f>IFERROR(__xludf.DUMMYFUNCTION("""COMPUTED_VALUE"""),"#REF!")</f>
        <v>#REF!</v>
      </c>
      <c r="CU186" s="96" t="str">
        <f>IFERROR(__xludf.DUMMYFUNCTION("""COMPUTED_VALUE"""),"#REF!")</f>
        <v>#REF!</v>
      </c>
      <c r="CV186" s="97" t="str">
        <f>IFERROR(__xludf.DUMMYFUNCTION("""COMPUTED_VALUE"""),"#REF!")</f>
        <v>#REF!</v>
      </c>
      <c r="CW186" s="95" t="str">
        <f>IFERROR(__xludf.DUMMYFUNCTION("""COMPUTED_VALUE"""),"#REF!")</f>
        <v>#REF!</v>
      </c>
      <c r="CX186" s="96" t="str">
        <f>IFERROR(__xludf.DUMMYFUNCTION("""COMPUTED_VALUE"""),"#REF!")</f>
        <v>#REF!</v>
      </c>
      <c r="CY186" s="97" t="str">
        <f>IFERROR(__xludf.DUMMYFUNCTION("""COMPUTED_VALUE"""),"#REF!")</f>
        <v>#REF!</v>
      </c>
      <c r="CZ186" s="95" t="str">
        <f>IFERROR(__xludf.DUMMYFUNCTION("""COMPUTED_VALUE"""),"#REF!")</f>
        <v>#REF!</v>
      </c>
      <c r="DA186" s="96" t="str">
        <f>IFERROR(__xludf.DUMMYFUNCTION("""COMPUTED_VALUE"""),"#REF!")</f>
        <v>#REF!</v>
      </c>
      <c r="DB186" s="97" t="str">
        <f>IFERROR(__xludf.DUMMYFUNCTION("""COMPUTED_VALUE"""),"#REF!")</f>
        <v>#REF!</v>
      </c>
      <c r="DC186" s="95" t="str">
        <f>IFERROR(__xludf.DUMMYFUNCTION("""COMPUTED_VALUE"""),"#REF!")</f>
        <v>#REF!</v>
      </c>
      <c r="DD186" s="96" t="str">
        <f>IFERROR(__xludf.DUMMYFUNCTION("""COMPUTED_VALUE"""),"#REF!")</f>
        <v>#REF!</v>
      </c>
      <c r="DE186" s="97" t="str">
        <f>IFERROR(__xludf.DUMMYFUNCTION("""COMPUTED_VALUE"""),"#REF!")</f>
        <v>#REF!</v>
      </c>
      <c r="DF186" s="95" t="str">
        <f>IFERROR(__xludf.DUMMYFUNCTION("""COMPUTED_VALUE"""),"#REF!")</f>
        <v>#REF!</v>
      </c>
      <c r="DG186" s="96" t="str">
        <f>IFERROR(__xludf.DUMMYFUNCTION("""COMPUTED_VALUE"""),"#REF!")</f>
        <v>#REF!</v>
      </c>
      <c r="DH186" s="97" t="str">
        <f>IFERROR(__xludf.DUMMYFUNCTION("""COMPUTED_VALUE"""),"#REF!")</f>
        <v>#REF!</v>
      </c>
      <c r="DI186" s="95" t="str">
        <f>IFERROR(__xludf.DUMMYFUNCTION("""COMPUTED_VALUE"""),"#REF!")</f>
        <v>#REF!</v>
      </c>
      <c r="DJ186" s="96" t="str">
        <f>IFERROR(__xludf.DUMMYFUNCTION("""COMPUTED_VALUE"""),"#REF!")</f>
        <v>#REF!</v>
      </c>
      <c r="DK186" s="97" t="str">
        <f>IFERROR(__xludf.DUMMYFUNCTION("""COMPUTED_VALUE"""),"#REF!")</f>
        <v>#REF!</v>
      </c>
      <c r="DL186" s="95" t="str">
        <f>IFERROR(__xludf.DUMMYFUNCTION("""COMPUTED_VALUE"""),"#REF!")</f>
        <v>#REF!</v>
      </c>
      <c r="DM186" s="96" t="str">
        <f>IFERROR(__xludf.DUMMYFUNCTION("""COMPUTED_VALUE"""),"#REF!")</f>
        <v>#REF!</v>
      </c>
      <c r="DN186" s="97" t="str">
        <f>IFERROR(__xludf.DUMMYFUNCTION("""COMPUTED_VALUE"""),"#REF!")</f>
        <v>#REF!</v>
      </c>
      <c r="DO186" s="95" t="str">
        <f>IFERROR(__xludf.DUMMYFUNCTION("""COMPUTED_VALUE"""),"#REF!")</f>
        <v>#REF!</v>
      </c>
      <c r="DP186" s="96" t="str">
        <f>IFERROR(__xludf.DUMMYFUNCTION("""COMPUTED_VALUE"""),"#REF!")</f>
        <v>#REF!</v>
      </c>
      <c r="DQ186" s="97"/>
      <c r="DR186" s="95"/>
    </row>
    <row r="187">
      <c r="B187" s="120" t="str">
        <f>IFERROR(__xludf.DUMMYFUNCTION("""COMPUTED_VALUE"""),"ANA5")</f>
        <v>ANA5</v>
      </c>
      <c r="C187" s="82">
        <f>IFERROR(__xludf.DUMMYFUNCTION("""COMPUTED_VALUE"""),182.0)</f>
        <v>182</v>
      </c>
      <c r="D187" s="88" t="str">
        <f>IFERROR(__xludf.DUMMYFUNCTION("""COMPUTED_VALUE"""),"Yaga Sychyovka")</f>
        <v>Yaga Sychyovka</v>
      </c>
      <c r="E187" s="82" t="str">
        <f>IFERROR(__xludf.DUMMYFUNCTION("""COMPUTED_VALUE"""),"ヤガ・スィチョーフカ")</f>
        <v>ヤガ・スィチョーフカ</v>
      </c>
      <c r="F187" s="102">
        <f>IFERROR(__xludf.DUMMYFUNCTION("""COMPUTED_VALUE"""),21.0)</f>
        <v>21</v>
      </c>
      <c r="G187" s="82">
        <f>IFERROR(__xludf.DUMMYFUNCTION("""COMPUTED_VALUE"""),15732.0)</f>
        <v>15732</v>
      </c>
      <c r="H187" s="231" t="str">
        <f>IFERROR(__xludf.DUMMYFUNCTION("""COMPUTED_VALUE"""),"")</f>
        <v/>
      </c>
      <c r="I187" s="232" t="str">
        <f>IFERROR(__xludf.DUMMYFUNCTION("""COMPUTED_VALUE"""),"")</f>
        <v/>
      </c>
      <c r="J187" s="233" t="str">
        <f>IFERROR(__xludf.DUMMYFUNCTION("""COMPUTED_VALUE"""),"")</f>
        <v/>
      </c>
      <c r="K187" s="231" t="str">
        <f>IFERROR(__xludf.DUMMYFUNCTION("""COMPUTED_VALUE"""),"")</f>
        <v/>
      </c>
      <c r="L187" s="232" t="str">
        <f>IFERROR(__xludf.DUMMYFUNCTION("""COMPUTED_VALUE"""),"")</f>
        <v/>
      </c>
      <c r="M187" s="233" t="str">
        <f>IFERROR(__xludf.DUMMYFUNCTION("""COMPUTED_VALUE"""),"")</f>
        <v/>
      </c>
      <c r="N187" s="231" t="str">
        <f>IFERROR(__xludf.DUMMYFUNCTION("""COMPUTED_VALUE"""),"")</f>
        <v/>
      </c>
      <c r="O187" s="232" t="str">
        <f>IFERROR(__xludf.DUMMYFUNCTION("""COMPUTED_VALUE"""),"")</f>
        <v/>
      </c>
      <c r="P187" s="233" t="str">
        <f>IFERROR(__xludf.DUMMYFUNCTION("""COMPUTED_VALUE"""),"")</f>
        <v/>
      </c>
      <c r="Q187" s="231" t="str">
        <f>IFERROR(__xludf.DUMMYFUNCTION("""COMPUTED_VALUE"""),"")</f>
        <v/>
      </c>
      <c r="R187" s="232" t="str">
        <f>IFERROR(__xludf.DUMMYFUNCTION("""COMPUTED_VALUE"""),"")</f>
        <v/>
      </c>
      <c r="S187" s="233" t="str">
        <f>IFERROR(__xludf.DUMMYFUNCTION("""COMPUTED_VALUE"""),"")</f>
        <v/>
      </c>
      <c r="T187" s="231" t="str">
        <f>IFERROR(__xludf.DUMMYFUNCTION("""COMPUTED_VALUE"""),"")</f>
        <v/>
      </c>
      <c r="U187" s="232" t="str">
        <f>IFERROR(__xludf.DUMMYFUNCTION("""COMPUTED_VALUE"""),"")</f>
        <v/>
      </c>
      <c r="V187" s="233" t="str">
        <f>IFERROR(__xludf.DUMMYFUNCTION("""COMPUTED_VALUE"""),"")</f>
        <v/>
      </c>
      <c r="W187" s="231" t="str">
        <f>IFERROR(__xludf.DUMMYFUNCTION("""COMPUTED_VALUE"""),"")</f>
        <v/>
      </c>
      <c r="X187" s="232" t="str">
        <f>IFERROR(__xludf.DUMMYFUNCTION("""COMPUTED_VALUE"""),"")</f>
        <v/>
      </c>
      <c r="Y187" s="233" t="str">
        <f>IFERROR(__xludf.DUMMYFUNCTION("""COMPUTED_VALUE"""),"")</f>
        <v/>
      </c>
      <c r="Z187" s="231">
        <f>IFERROR(__xludf.DUMMYFUNCTION("""COMPUTED_VALUE"""),24.8)</f>
        <v>24.8</v>
      </c>
      <c r="AA187" s="232" t="str">
        <f>IFERROR(__xludf.DUMMYFUNCTION("""COMPUTED_VALUE"""),"")</f>
        <v/>
      </c>
      <c r="AB187" s="233" t="str">
        <f>IFERROR(__xludf.DUMMYFUNCTION("""COMPUTED_VALUE"""),"")</f>
        <v/>
      </c>
      <c r="AC187" s="231" t="str">
        <f>IFERROR(__xludf.DUMMYFUNCTION("""COMPUTED_VALUE"""),"")</f>
        <v/>
      </c>
      <c r="AD187" s="232" t="str">
        <f>IFERROR(__xludf.DUMMYFUNCTION("""COMPUTED_VALUE"""),"")</f>
        <v/>
      </c>
      <c r="AE187" s="233" t="str">
        <f>IFERROR(__xludf.DUMMYFUNCTION("""COMPUTED_VALUE"""),"")</f>
        <v/>
      </c>
      <c r="AF187" s="231" t="str">
        <f>IFERROR(__xludf.DUMMYFUNCTION("""COMPUTED_VALUE"""),"")</f>
        <v/>
      </c>
      <c r="AG187" s="232" t="str">
        <f>IFERROR(__xludf.DUMMYFUNCTION("""COMPUTED_VALUE"""),"")</f>
        <v/>
      </c>
      <c r="AH187" s="233" t="str">
        <f>IFERROR(__xludf.DUMMYFUNCTION("""COMPUTED_VALUE"""),"")</f>
        <v/>
      </c>
      <c r="AI187" s="231" t="str">
        <f>IFERROR(__xludf.DUMMYFUNCTION("""COMPUTED_VALUE"""),"")</f>
        <v/>
      </c>
      <c r="AJ187" s="232" t="str">
        <f>IFERROR(__xludf.DUMMYFUNCTION("""COMPUTED_VALUE"""),"")</f>
        <v/>
      </c>
      <c r="AK187" s="233" t="str">
        <f>IFERROR(__xludf.DUMMYFUNCTION("""COMPUTED_VALUE"""),"")</f>
        <v/>
      </c>
      <c r="AL187" s="231" t="str">
        <f>IFERROR(__xludf.DUMMYFUNCTION("""COMPUTED_VALUE"""),"")</f>
        <v/>
      </c>
      <c r="AM187" s="232" t="str">
        <f>IFERROR(__xludf.DUMMYFUNCTION("""COMPUTED_VALUE"""),"")</f>
        <v/>
      </c>
      <c r="AN187" s="233" t="str">
        <f>IFERROR(__xludf.DUMMYFUNCTION("""COMPUTED_VALUE"""),"")</f>
        <v/>
      </c>
      <c r="AO187" s="231" t="str">
        <f>IFERROR(__xludf.DUMMYFUNCTION("""COMPUTED_VALUE"""),"")</f>
        <v/>
      </c>
      <c r="AP187" s="232" t="str">
        <f>IFERROR(__xludf.DUMMYFUNCTION("""COMPUTED_VALUE"""),"")</f>
        <v/>
      </c>
      <c r="AQ187" s="233" t="str">
        <f>IFERROR(__xludf.DUMMYFUNCTION("""COMPUTED_VALUE"""),"")</f>
        <v/>
      </c>
      <c r="AR187" s="231" t="str">
        <f>IFERROR(__xludf.DUMMYFUNCTION("""COMPUTED_VALUE"""),"")</f>
        <v/>
      </c>
      <c r="AS187" s="232" t="str">
        <f>IFERROR(__xludf.DUMMYFUNCTION("""COMPUTED_VALUE"""),"")</f>
        <v/>
      </c>
      <c r="AT187" s="233" t="str">
        <f>IFERROR(__xludf.DUMMYFUNCTION("""COMPUTED_VALUE"""),"")</f>
        <v/>
      </c>
      <c r="AU187" s="231" t="str">
        <f>IFERROR(__xludf.DUMMYFUNCTION("""COMPUTED_VALUE"""),"")</f>
        <v/>
      </c>
      <c r="AV187" s="232" t="str">
        <f>IFERROR(__xludf.DUMMYFUNCTION("""COMPUTED_VALUE"""),"")</f>
        <v/>
      </c>
      <c r="AW187" s="233" t="str">
        <f>IFERROR(__xludf.DUMMYFUNCTION("""COMPUTED_VALUE"""),"")</f>
        <v/>
      </c>
      <c r="AX187" s="231" t="str">
        <f>IFERROR(__xludf.DUMMYFUNCTION("""COMPUTED_VALUE"""),"")</f>
        <v/>
      </c>
      <c r="AY187" s="232" t="str">
        <f>IFERROR(__xludf.DUMMYFUNCTION("""COMPUTED_VALUE"""),"")</f>
        <v/>
      </c>
      <c r="AZ187" s="233" t="str">
        <f>IFERROR(__xludf.DUMMYFUNCTION("""COMPUTED_VALUE"""),"")</f>
        <v/>
      </c>
      <c r="BA187" s="231" t="str">
        <f>IFERROR(__xludf.DUMMYFUNCTION("""COMPUTED_VALUE"""),"")</f>
        <v/>
      </c>
      <c r="BB187" s="232">
        <f>IFERROR(__xludf.DUMMYFUNCTION("""COMPUTED_VALUE"""),41.4)</f>
        <v>41.4</v>
      </c>
      <c r="BC187" s="233" t="str">
        <f>IFERROR(__xludf.DUMMYFUNCTION("""COMPUTED_VALUE"""),"")</f>
        <v/>
      </c>
      <c r="BD187" s="231" t="str">
        <f>IFERROR(__xludf.DUMMYFUNCTION("""COMPUTED_VALUE"""),"")</f>
        <v/>
      </c>
      <c r="BE187" s="232" t="str">
        <f>IFERROR(__xludf.DUMMYFUNCTION("""COMPUTED_VALUE"""),"")</f>
        <v/>
      </c>
      <c r="BF187" s="233" t="str">
        <f>IFERROR(__xludf.DUMMYFUNCTION("""COMPUTED_VALUE"""),"")</f>
        <v/>
      </c>
      <c r="BG187" s="231" t="str">
        <f>IFERROR(__xludf.DUMMYFUNCTION("""COMPUTED_VALUE"""),"")</f>
        <v/>
      </c>
      <c r="BH187" s="232" t="str">
        <f>IFERROR(__xludf.DUMMYFUNCTION("""COMPUTED_VALUE"""),"")</f>
        <v/>
      </c>
      <c r="BI187" s="233" t="str">
        <f>IFERROR(__xludf.DUMMYFUNCTION("""COMPUTED_VALUE"""),"")</f>
        <v/>
      </c>
      <c r="BJ187" s="231" t="str">
        <f>IFERROR(__xludf.DUMMYFUNCTION("""COMPUTED_VALUE"""),"")</f>
        <v/>
      </c>
      <c r="BK187" s="232" t="str">
        <f>IFERROR(__xludf.DUMMYFUNCTION("""COMPUTED_VALUE"""),"")</f>
        <v/>
      </c>
      <c r="BL187" s="233" t="str">
        <f>IFERROR(__xludf.DUMMYFUNCTION("""COMPUTED_VALUE"""),"")</f>
        <v/>
      </c>
      <c r="BM187" s="231" t="str">
        <f>IFERROR(__xludf.DUMMYFUNCTION("""COMPUTED_VALUE"""),"")</f>
        <v/>
      </c>
      <c r="BN187" s="232" t="str">
        <f>IFERROR(__xludf.DUMMYFUNCTION("""COMPUTED_VALUE"""),"")</f>
        <v/>
      </c>
      <c r="BO187" s="233" t="str">
        <f>IFERROR(__xludf.DUMMYFUNCTION("""COMPUTED_VALUE"""),"")</f>
        <v/>
      </c>
      <c r="BP187" s="231">
        <f>IFERROR(__xludf.DUMMYFUNCTION("""COMPUTED_VALUE"""),20.4)</f>
        <v>20.4</v>
      </c>
      <c r="BQ187" s="232" t="str">
        <f>IFERROR(__xludf.DUMMYFUNCTION("""COMPUTED_VALUE"""),"")</f>
        <v/>
      </c>
      <c r="BR187" s="233">
        <f>IFERROR(__xludf.DUMMYFUNCTION("""COMPUTED_VALUE"""),25.0)</f>
        <v>25</v>
      </c>
      <c r="BS187" s="231" t="str">
        <f>IFERROR(__xludf.DUMMYFUNCTION("""COMPUTED_VALUE"""),"")</f>
        <v/>
      </c>
      <c r="BT187" s="232" t="str">
        <f>IFERROR(__xludf.DUMMYFUNCTION("""COMPUTED_VALUE"""),"")</f>
        <v/>
      </c>
      <c r="BU187" s="233" t="str">
        <f>IFERROR(__xludf.DUMMYFUNCTION("""COMPUTED_VALUE"""),"")</f>
        <v/>
      </c>
      <c r="BV187" s="231" t="str">
        <f>IFERROR(__xludf.DUMMYFUNCTION("""COMPUTED_VALUE"""),"")</f>
        <v/>
      </c>
      <c r="BW187" s="232" t="str">
        <f>IFERROR(__xludf.DUMMYFUNCTION("""COMPUTED_VALUE"""),"")</f>
        <v/>
      </c>
      <c r="BX187" s="233" t="str">
        <f>IFERROR(__xludf.DUMMYFUNCTION("""COMPUTED_VALUE"""),"")</f>
        <v/>
      </c>
      <c r="BY187" s="231" t="str">
        <f>IFERROR(__xludf.DUMMYFUNCTION("""COMPUTED_VALUE"""),"")</f>
        <v/>
      </c>
      <c r="BZ187" s="232" t="str">
        <f>IFERROR(__xludf.DUMMYFUNCTION("""COMPUTED_VALUE"""),"")</f>
        <v/>
      </c>
      <c r="CA187" s="233" t="str">
        <f>IFERROR(__xludf.DUMMYFUNCTION("""COMPUTED_VALUE"""),"")</f>
        <v/>
      </c>
      <c r="CB187" s="231" t="str">
        <f>IFERROR(__xludf.DUMMYFUNCTION("""COMPUTED_VALUE"""),"")</f>
        <v/>
      </c>
      <c r="CC187" s="232" t="str">
        <f>IFERROR(__xludf.DUMMYFUNCTION("""COMPUTED_VALUE"""),"")</f>
        <v/>
      </c>
      <c r="CD187" s="233" t="str">
        <f>IFERROR(__xludf.DUMMYFUNCTION("""COMPUTED_VALUE"""),"")</f>
        <v/>
      </c>
      <c r="CE187" s="234" t="str">
        <f>IFERROR(__xludf.DUMMYFUNCTION("""COMPUTED_VALUE"""),"")</f>
        <v/>
      </c>
      <c r="CF187" s="230" t="str">
        <f>IFERROR(__xludf.DUMMYFUNCTION("""COMPUTED_VALUE"""),"")</f>
        <v/>
      </c>
      <c r="CG187" s="235" t="str">
        <f>IFERROR(__xludf.DUMMYFUNCTION("""COMPUTED_VALUE"""),"")</f>
        <v/>
      </c>
      <c r="CH187" s="234" t="str">
        <f>IFERROR(__xludf.DUMMYFUNCTION("""COMPUTED_VALUE"""),"")</f>
        <v/>
      </c>
      <c r="CI187" s="230" t="str">
        <f>IFERROR(__xludf.DUMMYFUNCTION("""COMPUTED_VALUE"""),"")</f>
        <v/>
      </c>
      <c r="CJ187" s="235" t="str">
        <f>IFERROR(__xludf.DUMMYFUNCTION("""COMPUTED_VALUE"""),"")</f>
        <v/>
      </c>
      <c r="CK187" s="95" t="str">
        <f>IFERROR(__xludf.DUMMYFUNCTION("""COMPUTED_VALUE"""),"")</f>
        <v/>
      </c>
      <c r="CL187" s="96" t="str">
        <f>IFERROR(__xludf.DUMMYFUNCTION("""COMPUTED_VALUE"""),"")</f>
        <v/>
      </c>
      <c r="CM187" s="97" t="str">
        <f>IFERROR(__xludf.DUMMYFUNCTION("""COMPUTED_VALUE"""),"")</f>
        <v/>
      </c>
      <c r="CN187" s="95" t="str">
        <f>IFERROR(__xludf.DUMMYFUNCTION("""COMPUTED_VALUE"""),"")</f>
        <v/>
      </c>
      <c r="CO187" s="96" t="str">
        <f>IFERROR(__xludf.DUMMYFUNCTION("""COMPUTED_VALUE"""),"")</f>
        <v/>
      </c>
      <c r="CP187" s="97" t="str">
        <f>IFERROR(__xludf.DUMMYFUNCTION("""COMPUTED_VALUE"""),"")</f>
        <v/>
      </c>
      <c r="CQ187" s="95" t="str">
        <f>IFERROR(__xludf.DUMMYFUNCTION("""COMPUTED_VALUE"""),"")</f>
        <v/>
      </c>
      <c r="CR187" s="96" t="str">
        <f>IFERROR(__xludf.DUMMYFUNCTION("""COMPUTED_VALUE"""),"")</f>
        <v/>
      </c>
      <c r="CS187" s="97" t="str">
        <f>IFERROR(__xludf.DUMMYFUNCTION("""COMPUTED_VALUE"""),"#REF!")</f>
        <v>#REF!</v>
      </c>
      <c r="CT187" s="95" t="str">
        <f>IFERROR(__xludf.DUMMYFUNCTION("""COMPUTED_VALUE"""),"#REF!")</f>
        <v>#REF!</v>
      </c>
      <c r="CU187" s="96" t="str">
        <f>IFERROR(__xludf.DUMMYFUNCTION("""COMPUTED_VALUE"""),"#REF!")</f>
        <v>#REF!</v>
      </c>
      <c r="CV187" s="97" t="str">
        <f>IFERROR(__xludf.DUMMYFUNCTION("""COMPUTED_VALUE"""),"#REF!")</f>
        <v>#REF!</v>
      </c>
      <c r="CW187" s="95" t="str">
        <f>IFERROR(__xludf.DUMMYFUNCTION("""COMPUTED_VALUE"""),"#REF!")</f>
        <v>#REF!</v>
      </c>
      <c r="CX187" s="96" t="str">
        <f>IFERROR(__xludf.DUMMYFUNCTION("""COMPUTED_VALUE"""),"#REF!")</f>
        <v>#REF!</v>
      </c>
      <c r="CY187" s="97" t="str">
        <f>IFERROR(__xludf.DUMMYFUNCTION("""COMPUTED_VALUE"""),"#REF!")</f>
        <v>#REF!</v>
      </c>
      <c r="CZ187" s="95" t="str">
        <f>IFERROR(__xludf.DUMMYFUNCTION("""COMPUTED_VALUE"""),"#REF!")</f>
        <v>#REF!</v>
      </c>
      <c r="DA187" s="96" t="str">
        <f>IFERROR(__xludf.DUMMYFUNCTION("""COMPUTED_VALUE"""),"#REF!")</f>
        <v>#REF!</v>
      </c>
      <c r="DB187" s="97" t="str">
        <f>IFERROR(__xludf.DUMMYFUNCTION("""COMPUTED_VALUE"""),"#REF!")</f>
        <v>#REF!</v>
      </c>
      <c r="DC187" s="95" t="str">
        <f>IFERROR(__xludf.DUMMYFUNCTION("""COMPUTED_VALUE"""),"#REF!")</f>
        <v>#REF!</v>
      </c>
      <c r="DD187" s="96" t="str">
        <f>IFERROR(__xludf.DUMMYFUNCTION("""COMPUTED_VALUE"""),"#REF!")</f>
        <v>#REF!</v>
      </c>
      <c r="DE187" s="97" t="str">
        <f>IFERROR(__xludf.DUMMYFUNCTION("""COMPUTED_VALUE"""),"#REF!")</f>
        <v>#REF!</v>
      </c>
      <c r="DF187" s="95" t="str">
        <f>IFERROR(__xludf.DUMMYFUNCTION("""COMPUTED_VALUE"""),"#REF!")</f>
        <v>#REF!</v>
      </c>
      <c r="DG187" s="96" t="str">
        <f>IFERROR(__xludf.DUMMYFUNCTION("""COMPUTED_VALUE"""),"#REF!")</f>
        <v>#REF!</v>
      </c>
      <c r="DH187" s="97" t="str">
        <f>IFERROR(__xludf.DUMMYFUNCTION("""COMPUTED_VALUE"""),"#REF!")</f>
        <v>#REF!</v>
      </c>
      <c r="DI187" s="95" t="str">
        <f>IFERROR(__xludf.DUMMYFUNCTION("""COMPUTED_VALUE"""),"#REF!")</f>
        <v>#REF!</v>
      </c>
      <c r="DJ187" s="96" t="str">
        <f>IFERROR(__xludf.DUMMYFUNCTION("""COMPUTED_VALUE"""),"#REF!")</f>
        <v>#REF!</v>
      </c>
      <c r="DK187" s="97" t="str">
        <f>IFERROR(__xludf.DUMMYFUNCTION("""COMPUTED_VALUE"""),"#REF!")</f>
        <v>#REF!</v>
      </c>
      <c r="DL187" s="95" t="str">
        <f>IFERROR(__xludf.DUMMYFUNCTION("""COMPUTED_VALUE"""),"#REF!")</f>
        <v>#REF!</v>
      </c>
      <c r="DM187" s="96" t="str">
        <f>IFERROR(__xludf.DUMMYFUNCTION("""COMPUTED_VALUE"""),"#REF!")</f>
        <v>#REF!</v>
      </c>
      <c r="DN187" s="97" t="str">
        <f>IFERROR(__xludf.DUMMYFUNCTION("""COMPUTED_VALUE"""),"#REF!")</f>
        <v>#REF!</v>
      </c>
      <c r="DO187" s="95" t="str">
        <f>IFERROR(__xludf.DUMMYFUNCTION("""COMPUTED_VALUE"""),"#REF!")</f>
        <v>#REF!</v>
      </c>
      <c r="DP187" s="96" t="str">
        <f>IFERROR(__xludf.DUMMYFUNCTION("""COMPUTED_VALUE"""),"#REF!")</f>
        <v>#REF!</v>
      </c>
      <c r="DQ187" s="97"/>
      <c r="DR187" s="95"/>
    </row>
    <row r="188">
      <c r="B188" s="120" t="str">
        <f>IFERROR(__xludf.DUMMYFUNCTION("""COMPUTED_VALUE"""),"ANA6")</f>
        <v>ANA6</v>
      </c>
      <c r="C188" s="82">
        <f>IFERROR(__xludf.DUMMYFUNCTION("""COMPUTED_VALUE"""),183.0)</f>
        <v>183</v>
      </c>
      <c r="D188" s="88" t="str">
        <f>IFERROR(__xludf.DUMMYFUNCTION("""COMPUTED_VALUE"""),"Burned Village")</f>
        <v>Burned Village</v>
      </c>
      <c r="E188" s="82" t="str">
        <f>IFERROR(__xludf.DUMMYFUNCTION("""COMPUTED_VALUE"""),"焼き払われた村")</f>
        <v>焼き払われた村</v>
      </c>
      <c r="F188" s="102">
        <f>IFERROR(__xludf.DUMMYFUNCTION("""COMPUTED_VALUE"""),21.0)</f>
        <v>21</v>
      </c>
      <c r="G188" s="82">
        <f>IFERROR(__xludf.DUMMYFUNCTION("""COMPUTED_VALUE"""),89379.0)</f>
        <v>89379</v>
      </c>
      <c r="H188" s="231" t="str">
        <f>IFERROR(__xludf.DUMMYFUNCTION("""COMPUTED_VALUE"""),"")</f>
        <v/>
      </c>
      <c r="I188" s="232" t="str">
        <f>IFERROR(__xludf.DUMMYFUNCTION("""COMPUTED_VALUE"""),"")</f>
        <v/>
      </c>
      <c r="J188" s="233" t="str">
        <f>IFERROR(__xludf.DUMMYFUNCTION("""COMPUTED_VALUE"""),"")</f>
        <v/>
      </c>
      <c r="K188" s="231" t="str">
        <f>IFERROR(__xludf.DUMMYFUNCTION("""COMPUTED_VALUE"""),"")</f>
        <v/>
      </c>
      <c r="L188" s="232" t="str">
        <f>IFERROR(__xludf.DUMMYFUNCTION("""COMPUTED_VALUE"""),"")</f>
        <v/>
      </c>
      <c r="M188" s="233" t="str">
        <f>IFERROR(__xludf.DUMMYFUNCTION("""COMPUTED_VALUE"""),"")</f>
        <v/>
      </c>
      <c r="N188" s="231" t="str">
        <f>IFERROR(__xludf.DUMMYFUNCTION("""COMPUTED_VALUE"""),"")</f>
        <v/>
      </c>
      <c r="O188" s="232" t="str">
        <f>IFERROR(__xludf.DUMMYFUNCTION("""COMPUTED_VALUE"""),"")</f>
        <v/>
      </c>
      <c r="P188" s="233" t="str">
        <f>IFERROR(__xludf.DUMMYFUNCTION("""COMPUTED_VALUE"""),"")</f>
        <v/>
      </c>
      <c r="Q188" s="231" t="str">
        <f>IFERROR(__xludf.DUMMYFUNCTION("""COMPUTED_VALUE"""),"")</f>
        <v/>
      </c>
      <c r="R188" s="232" t="str">
        <f>IFERROR(__xludf.DUMMYFUNCTION("""COMPUTED_VALUE"""),"")</f>
        <v/>
      </c>
      <c r="S188" s="233" t="str">
        <f>IFERROR(__xludf.DUMMYFUNCTION("""COMPUTED_VALUE"""),"")</f>
        <v/>
      </c>
      <c r="T188" s="231" t="str">
        <f>IFERROR(__xludf.DUMMYFUNCTION("""COMPUTED_VALUE"""),"")</f>
        <v/>
      </c>
      <c r="U188" s="232" t="str">
        <f>IFERROR(__xludf.DUMMYFUNCTION("""COMPUTED_VALUE"""),"")</f>
        <v/>
      </c>
      <c r="V188" s="233" t="str">
        <f>IFERROR(__xludf.DUMMYFUNCTION("""COMPUTED_VALUE"""),"")</f>
        <v/>
      </c>
      <c r="W188" s="231" t="str">
        <f>IFERROR(__xludf.DUMMYFUNCTION("""COMPUTED_VALUE"""),"")</f>
        <v/>
      </c>
      <c r="X188" s="232" t="str">
        <f>IFERROR(__xludf.DUMMYFUNCTION("""COMPUTED_VALUE"""),"")</f>
        <v/>
      </c>
      <c r="Y188" s="233" t="str">
        <f>IFERROR(__xludf.DUMMYFUNCTION("""COMPUTED_VALUE"""),"")</f>
        <v/>
      </c>
      <c r="Z188" s="231" t="str">
        <f>IFERROR(__xludf.DUMMYFUNCTION("""COMPUTED_VALUE"""),"")</f>
        <v/>
      </c>
      <c r="AA188" s="232" t="str">
        <f>IFERROR(__xludf.DUMMYFUNCTION("""COMPUTED_VALUE"""),"")</f>
        <v/>
      </c>
      <c r="AB188" s="233" t="str">
        <f>IFERROR(__xludf.DUMMYFUNCTION("""COMPUTED_VALUE"""),"")</f>
        <v/>
      </c>
      <c r="AC188" s="231" t="str">
        <f>IFERROR(__xludf.DUMMYFUNCTION("""COMPUTED_VALUE"""),"")</f>
        <v/>
      </c>
      <c r="AD188" s="232" t="str">
        <f>IFERROR(__xludf.DUMMYFUNCTION("""COMPUTED_VALUE"""),"")</f>
        <v/>
      </c>
      <c r="AE188" s="233" t="str">
        <f>IFERROR(__xludf.DUMMYFUNCTION("""COMPUTED_VALUE"""),"")</f>
        <v/>
      </c>
      <c r="AF188" s="231" t="str">
        <f>IFERROR(__xludf.DUMMYFUNCTION("""COMPUTED_VALUE"""),"")</f>
        <v/>
      </c>
      <c r="AG188" s="232" t="str">
        <f>IFERROR(__xludf.DUMMYFUNCTION("""COMPUTED_VALUE"""),"")</f>
        <v/>
      </c>
      <c r="AH188" s="233" t="str">
        <f>IFERROR(__xludf.DUMMYFUNCTION("""COMPUTED_VALUE"""),"")</f>
        <v/>
      </c>
      <c r="AI188" s="231" t="str">
        <f>IFERROR(__xludf.DUMMYFUNCTION("""COMPUTED_VALUE"""),"")</f>
        <v/>
      </c>
      <c r="AJ188" s="232">
        <f>IFERROR(__xludf.DUMMYFUNCTION("""COMPUTED_VALUE"""),24.9)</f>
        <v>24.9</v>
      </c>
      <c r="AK188" s="233" t="str">
        <f>IFERROR(__xludf.DUMMYFUNCTION("""COMPUTED_VALUE"""),"")</f>
        <v/>
      </c>
      <c r="AL188" s="231" t="str">
        <f>IFERROR(__xludf.DUMMYFUNCTION("""COMPUTED_VALUE"""),"")</f>
        <v/>
      </c>
      <c r="AM188" s="232" t="str">
        <f>IFERROR(__xludf.DUMMYFUNCTION("""COMPUTED_VALUE"""),"")</f>
        <v/>
      </c>
      <c r="AN188" s="233" t="str">
        <f>IFERROR(__xludf.DUMMYFUNCTION("""COMPUTED_VALUE"""),"")</f>
        <v/>
      </c>
      <c r="AO188" s="231" t="str">
        <f>IFERROR(__xludf.DUMMYFUNCTION("""COMPUTED_VALUE"""),"")</f>
        <v/>
      </c>
      <c r="AP188" s="232" t="str">
        <f>IFERROR(__xludf.DUMMYFUNCTION("""COMPUTED_VALUE"""),"")</f>
        <v/>
      </c>
      <c r="AQ188" s="233" t="str">
        <f>IFERROR(__xludf.DUMMYFUNCTION("""COMPUTED_VALUE"""),"")</f>
        <v/>
      </c>
      <c r="AR188" s="231" t="str">
        <f>IFERROR(__xludf.DUMMYFUNCTION("""COMPUTED_VALUE"""),"")</f>
        <v/>
      </c>
      <c r="AS188" s="232" t="str">
        <f>IFERROR(__xludf.DUMMYFUNCTION("""COMPUTED_VALUE"""),"")</f>
        <v/>
      </c>
      <c r="AT188" s="233" t="str">
        <f>IFERROR(__xludf.DUMMYFUNCTION("""COMPUTED_VALUE"""),"")</f>
        <v/>
      </c>
      <c r="AU188" s="231" t="str">
        <f>IFERROR(__xludf.DUMMYFUNCTION("""COMPUTED_VALUE"""),"")</f>
        <v/>
      </c>
      <c r="AV188" s="232" t="str">
        <f>IFERROR(__xludf.DUMMYFUNCTION("""COMPUTED_VALUE"""),"")</f>
        <v/>
      </c>
      <c r="AW188" s="233" t="str">
        <f>IFERROR(__xludf.DUMMYFUNCTION("""COMPUTED_VALUE"""),"")</f>
        <v/>
      </c>
      <c r="AX188" s="231" t="str">
        <f>IFERROR(__xludf.DUMMYFUNCTION("""COMPUTED_VALUE"""),"")</f>
        <v/>
      </c>
      <c r="AY188" s="232" t="str">
        <f>IFERROR(__xludf.DUMMYFUNCTION("""COMPUTED_VALUE"""),"")</f>
        <v/>
      </c>
      <c r="AZ188" s="233" t="str">
        <f>IFERROR(__xludf.DUMMYFUNCTION("""COMPUTED_VALUE"""),"")</f>
        <v/>
      </c>
      <c r="BA188" s="231" t="str">
        <f>IFERROR(__xludf.DUMMYFUNCTION("""COMPUTED_VALUE"""),"")</f>
        <v/>
      </c>
      <c r="BB188" s="232">
        <f>IFERROR(__xludf.DUMMYFUNCTION("""COMPUTED_VALUE"""),40.4)</f>
        <v>40.4</v>
      </c>
      <c r="BC188" s="233" t="str">
        <f>IFERROR(__xludf.DUMMYFUNCTION("""COMPUTED_VALUE"""),"")</f>
        <v/>
      </c>
      <c r="BD188" s="231" t="str">
        <f>IFERROR(__xludf.DUMMYFUNCTION("""COMPUTED_VALUE"""),"")</f>
        <v/>
      </c>
      <c r="BE188" s="232" t="str">
        <f>IFERROR(__xludf.DUMMYFUNCTION("""COMPUTED_VALUE"""),"")</f>
        <v/>
      </c>
      <c r="BF188" s="233" t="str">
        <f>IFERROR(__xludf.DUMMYFUNCTION("""COMPUTED_VALUE"""),"")</f>
        <v/>
      </c>
      <c r="BG188" s="231" t="str">
        <f>IFERROR(__xludf.DUMMYFUNCTION("""COMPUTED_VALUE"""),"")</f>
        <v/>
      </c>
      <c r="BH188" s="232" t="str">
        <f>IFERROR(__xludf.DUMMYFUNCTION("""COMPUTED_VALUE"""),"")</f>
        <v/>
      </c>
      <c r="BI188" s="233" t="str">
        <f>IFERROR(__xludf.DUMMYFUNCTION("""COMPUTED_VALUE"""),"")</f>
        <v/>
      </c>
      <c r="BJ188" s="231" t="str">
        <f>IFERROR(__xludf.DUMMYFUNCTION("""COMPUTED_VALUE"""),"")</f>
        <v/>
      </c>
      <c r="BK188" s="232" t="str">
        <f>IFERROR(__xludf.DUMMYFUNCTION("""COMPUTED_VALUE"""),"")</f>
        <v/>
      </c>
      <c r="BL188" s="233" t="str">
        <f>IFERROR(__xludf.DUMMYFUNCTION("""COMPUTED_VALUE"""),"")</f>
        <v/>
      </c>
      <c r="BM188" s="231" t="str">
        <f>IFERROR(__xludf.DUMMYFUNCTION("""COMPUTED_VALUE"""),"")</f>
        <v/>
      </c>
      <c r="BN188" s="232" t="str">
        <f>IFERROR(__xludf.DUMMYFUNCTION("""COMPUTED_VALUE"""),"")</f>
        <v/>
      </c>
      <c r="BO188" s="233" t="str">
        <f>IFERROR(__xludf.DUMMYFUNCTION("""COMPUTED_VALUE"""),"")</f>
        <v/>
      </c>
      <c r="BP188" s="231" t="str">
        <f>IFERROR(__xludf.DUMMYFUNCTION("""COMPUTED_VALUE"""),"")</f>
        <v/>
      </c>
      <c r="BQ188" s="232">
        <f>IFERROR(__xludf.DUMMYFUNCTION("""COMPUTED_VALUE"""),24.9)</f>
        <v>24.9</v>
      </c>
      <c r="BR188" s="233" t="str">
        <f>IFERROR(__xludf.DUMMYFUNCTION("""COMPUTED_VALUE"""),"")</f>
        <v/>
      </c>
      <c r="BS188" s="231" t="str">
        <f>IFERROR(__xludf.DUMMYFUNCTION("""COMPUTED_VALUE"""),"")</f>
        <v/>
      </c>
      <c r="BT188" s="232" t="str">
        <f>IFERROR(__xludf.DUMMYFUNCTION("""COMPUTED_VALUE"""),"")</f>
        <v/>
      </c>
      <c r="BU188" s="233" t="str">
        <f>IFERROR(__xludf.DUMMYFUNCTION("""COMPUTED_VALUE"""),"")</f>
        <v/>
      </c>
      <c r="BV188" s="231" t="str">
        <f>IFERROR(__xludf.DUMMYFUNCTION("""COMPUTED_VALUE"""),"")</f>
        <v/>
      </c>
      <c r="BW188" s="232">
        <f>IFERROR(__xludf.DUMMYFUNCTION("""COMPUTED_VALUE"""),20.1)</f>
        <v>20.1</v>
      </c>
      <c r="BX188" s="233" t="str">
        <f>IFERROR(__xludf.DUMMYFUNCTION("""COMPUTED_VALUE"""),"")</f>
        <v/>
      </c>
      <c r="BY188" s="231" t="str">
        <f>IFERROR(__xludf.DUMMYFUNCTION("""COMPUTED_VALUE"""),"")</f>
        <v/>
      </c>
      <c r="BZ188" s="232" t="str">
        <f>IFERROR(__xludf.DUMMYFUNCTION("""COMPUTED_VALUE"""),"")</f>
        <v/>
      </c>
      <c r="CA188" s="233" t="str">
        <f>IFERROR(__xludf.DUMMYFUNCTION("""COMPUTED_VALUE"""),"")</f>
        <v/>
      </c>
      <c r="CB188" s="231" t="str">
        <f>IFERROR(__xludf.DUMMYFUNCTION("""COMPUTED_VALUE"""),"")</f>
        <v/>
      </c>
      <c r="CC188" s="232" t="str">
        <f>IFERROR(__xludf.DUMMYFUNCTION("""COMPUTED_VALUE"""),"")</f>
        <v/>
      </c>
      <c r="CD188" s="233" t="str">
        <f>IFERROR(__xludf.DUMMYFUNCTION("""COMPUTED_VALUE"""),"")</f>
        <v/>
      </c>
      <c r="CE188" s="234" t="str">
        <f>IFERROR(__xludf.DUMMYFUNCTION("""COMPUTED_VALUE"""),"")</f>
        <v/>
      </c>
      <c r="CF188" s="230" t="str">
        <f>IFERROR(__xludf.DUMMYFUNCTION("""COMPUTED_VALUE"""),"")</f>
        <v/>
      </c>
      <c r="CG188" s="235" t="str">
        <f>IFERROR(__xludf.DUMMYFUNCTION("""COMPUTED_VALUE"""),"")</f>
        <v/>
      </c>
      <c r="CH188" s="234" t="str">
        <f>IFERROR(__xludf.DUMMYFUNCTION("""COMPUTED_VALUE"""),"")</f>
        <v/>
      </c>
      <c r="CI188" s="230" t="str">
        <f>IFERROR(__xludf.DUMMYFUNCTION("""COMPUTED_VALUE"""),"")</f>
        <v/>
      </c>
      <c r="CJ188" s="235" t="str">
        <f>IFERROR(__xludf.DUMMYFUNCTION("""COMPUTED_VALUE"""),"")</f>
        <v/>
      </c>
      <c r="CK188" s="95" t="str">
        <f>IFERROR(__xludf.DUMMYFUNCTION("""COMPUTED_VALUE"""),"")</f>
        <v/>
      </c>
      <c r="CL188" s="96" t="str">
        <f>IFERROR(__xludf.DUMMYFUNCTION("""COMPUTED_VALUE"""),"")</f>
        <v/>
      </c>
      <c r="CM188" s="97" t="str">
        <f>IFERROR(__xludf.DUMMYFUNCTION("""COMPUTED_VALUE"""),"")</f>
        <v/>
      </c>
      <c r="CN188" s="95" t="str">
        <f>IFERROR(__xludf.DUMMYFUNCTION("""COMPUTED_VALUE"""),"")</f>
        <v/>
      </c>
      <c r="CO188" s="96" t="str">
        <f>IFERROR(__xludf.DUMMYFUNCTION("""COMPUTED_VALUE"""),"")</f>
        <v/>
      </c>
      <c r="CP188" s="97" t="str">
        <f>IFERROR(__xludf.DUMMYFUNCTION("""COMPUTED_VALUE"""),"")</f>
        <v/>
      </c>
      <c r="CQ188" s="95" t="str">
        <f>IFERROR(__xludf.DUMMYFUNCTION("""COMPUTED_VALUE"""),"")</f>
        <v/>
      </c>
      <c r="CR188" s="96" t="str">
        <f>IFERROR(__xludf.DUMMYFUNCTION("""COMPUTED_VALUE"""),"")</f>
        <v/>
      </c>
      <c r="CS188" s="97" t="str">
        <f>IFERROR(__xludf.DUMMYFUNCTION("""COMPUTED_VALUE"""),"#REF!")</f>
        <v>#REF!</v>
      </c>
      <c r="CT188" s="95" t="str">
        <f>IFERROR(__xludf.DUMMYFUNCTION("""COMPUTED_VALUE"""),"#REF!")</f>
        <v>#REF!</v>
      </c>
      <c r="CU188" s="96" t="str">
        <f>IFERROR(__xludf.DUMMYFUNCTION("""COMPUTED_VALUE"""),"#REF!")</f>
        <v>#REF!</v>
      </c>
      <c r="CV188" s="97" t="str">
        <f>IFERROR(__xludf.DUMMYFUNCTION("""COMPUTED_VALUE"""),"#REF!")</f>
        <v>#REF!</v>
      </c>
      <c r="CW188" s="95" t="str">
        <f>IFERROR(__xludf.DUMMYFUNCTION("""COMPUTED_VALUE"""),"#REF!")</f>
        <v>#REF!</v>
      </c>
      <c r="CX188" s="96" t="str">
        <f>IFERROR(__xludf.DUMMYFUNCTION("""COMPUTED_VALUE"""),"#REF!")</f>
        <v>#REF!</v>
      </c>
      <c r="CY188" s="97" t="str">
        <f>IFERROR(__xludf.DUMMYFUNCTION("""COMPUTED_VALUE"""),"#REF!")</f>
        <v>#REF!</v>
      </c>
      <c r="CZ188" s="95" t="str">
        <f>IFERROR(__xludf.DUMMYFUNCTION("""COMPUTED_VALUE"""),"#REF!")</f>
        <v>#REF!</v>
      </c>
      <c r="DA188" s="96" t="str">
        <f>IFERROR(__xludf.DUMMYFUNCTION("""COMPUTED_VALUE"""),"#REF!")</f>
        <v>#REF!</v>
      </c>
      <c r="DB188" s="97" t="str">
        <f>IFERROR(__xludf.DUMMYFUNCTION("""COMPUTED_VALUE"""),"#REF!")</f>
        <v>#REF!</v>
      </c>
      <c r="DC188" s="95" t="str">
        <f>IFERROR(__xludf.DUMMYFUNCTION("""COMPUTED_VALUE"""),"#REF!")</f>
        <v>#REF!</v>
      </c>
      <c r="DD188" s="96" t="str">
        <f>IFERROR(__xludf.DUMMYFUNCTION("""COMPUTED_VALUE"""),"#REF!")</f>
        <v>#REF!</v>
      </c>
      <c r="DE188" s="97" t="str">
        <f>IFERROR(__xludf.DUMMYFUNCTION("""COMPUTED_VALUE"""),"#REF!")</f>
        <v>#REF!</v>
      </c>
      <c r="DF188" s="95" t="str">
        <f>IFERROR(__xludf.DUMMYFUNCTION("""COMPUTED_VALUE"""),"#REF!")</f>
        <v>#REF!</v>
      </c>
      <c r="DG188" s="96" t="str">
        <f>IFERROR(__xludf.DUMMYFUNCTION("""COMPUTED_VALUE"""),"#REF!")</f>
        <v>#REF!</v>
      </c>
      <c r="DH188" s="97" t="str">
        <f>IFERROR(__xludf.DUMMYFUNCTION("""COMPUTED_VALUE"""),"#REF!")</f>
        <v>#REF!</v>
      </c>
      <c r="DI188" s="95" t="str">
        <f>IFERROR(__xludf.DUMMYFUNCTION("""COMPUTED_VALUE"""),"#REF!")</f>
        <v>#REF!</v>
      </c>
      <c r="DJ188" s="96" t="str">
        <f>IFERROR(__xludf.DUMMYFUNCTION("""COMPUTED_VALUE"""),"#REF!")</f>
        <v>#REF!</v>
      </c>
      <c r="DK188" s="97" t="str">
        <f>IFERROR(__xludf.DUMMYFUNCTION("""COMPUTED_VALUE"""),"#REF!")</f>
        <v>#REF!</v>
      </c>
      <c r="DL188" s="95" t="str">
        <f>IFERROR(__xludf.DUMMYFUNCTION("""COMPUTED_VALUE"""),"#REF!")</f>
        <v>#REF!</v>
      </c>
      <c r="DM188" s="96" t="str">
        <f>IFERROR(__xludf.DUMMYFUNCTION("""COMPUTED_VALUE"""),"#REF!")</f>
        <v>#REF!</v>
      </c>
      <c r="DN188" s="97" t="str">
        <f>IFERROR(__xludf.DUMMYFUNCTION("""COMPUTED_VALUE"""),"#REF!")</f>
        <v>#REF!</v>
      </c>
      <c r="DO188" s="95" t="str">
        <f>IFERROR(__xludf.DUMMYFUNCTION("""COMPUTED_VALUE"""),"#REF!")</f>
        <v>#REF!</v>
      </c>
      <c r="DP188" s="96" t="str">
        <f>IFERROR(__xludf.DUMMYFUNCTION("""COMPUTED_VALUE"""),"#REF!")</f>
        <v>#REF!</v>
      </c>
      <c r="DQ188" s="97"/>
      <c r="DR188" s="95"/>
    </row>
    <row r="189">
      <c r="B189" s="120" t="str">
        <f>IFERROR(__xludf.DUMMYFUNCTION("""COMPUTED_VALUE"""),"ANA7")</f>
        <v>ANA7</v>
      </c>
      <c r="C189" s="82">
        <f>IFERROR(__xludf.DUMMYFUNCTION("""COMPUTED_VALUE"""),184.0)</f>
        <v>184</v>
      </c>
      <c r="D189" s="88" t="str">
        <f>IFERROR(__xludf.DUMMYFUNCTION("""COMPUTED_VALUE"""),"Yaga Vyazma")</f>
        <v>Yaga Vyazma</v>
      </c>
      <c r="E189" s="82" t="str">
        <f>IFERROR(__xludf.DUMMYFUNCTION("""COMPUTED_VALUE"""),"ヤガ・ヴャジマ")</f>
        <v>ヤガ・ヴャジマ</v>
      </c>
      <c r="F189" s="102">
        <f>IFERROR(__xludf.DUMMYFUNCTION("""COMPUTED_VALUE"""),21.0)</f>
        <v>21</v>
      </c>
      <c r="G189" s="82">
        <f>IFERROR(__xludf.DUMMYFUNCTION("""COMPUTED_VALUE"""),52413.0)</f>
        <v>52413</v>
      </c>
      <c r="H189" s="231" t="str">
        <f>IFERROR(__xludf.DUMMYFUNCTION("""COMPUTED_VALUE"""),"")</f>
        <v/>
      </c>
      <c r="I189" s="232" t="str">
        <f>IFERROR(__xludf.DUMMYFUNCTION("""COMPUTED_VALUE"""),"")</f>
        <v/>
      </c>
      <c r="J189" s="233" t="str">
        <f>IFERROR(__xludf.DUMMYFUNCTION("""COMPUTED_VALUE"""),"")</f>
        <v/>
      </c>
      <c r="K189" s="231" t="str">
        <f>IFERROR(__xludf.DUMMYFUNCTION("""COMPUTED_VALUE"""),"")</f>
        <v/>
      </c>
      <c r="L189" s="232" t="str">
        <f>IFERROR(__xludf.DUMMYFUNCTION("""COMPUTED_VALUE"""),"")</f>
        <v/>
      </c>
      <c r="M189" s="233" t="str">
        <f>IFERROR(__xludf.DUMMYFUNCTION("""COMPUTED_VALUE"""),"")</f>
        <v/>
      </c>
      <c r="N189" s="231" t="str">
        <f>IFERROR(__xludf.DUMMYFUNCTION("""COMPUTED_VALUE"""),"")</f>
        <v/>
      </c>
      <c r="O189" s="232" t="str">
        <f>IFERROR(__xludf.DUMMYFUNCTION("""COMPUTED_VALUE"""),"")</f>
        <v/>
      </c>
      <c r="P189" s="233" t="str">
        <f>IFERROR(__xludf.DUMMYFUNCTION("""COMPUTED_VALUE"""),"")</f>
        <v/>
      </c>
      <c r="Q189" s="231" t="str">
        <f>IFERROR(__xludf.DUMMYFUNCTION("""COMPUTED_VALUE"""),"")</f>
        <v/>
      </c>
      <c r="R189" s="232" t="str">
        <f>IFERROR(__xludf.DUMMYFUNCTION("""COMPUTED_VALUE"""),"")</f>
        <v/>
      </c>
      <c r="S189" s="233" t="str">
        <f>IFERROR(__xludf.DUMMYFUNCTION("""COMPUTED_VALUE"""),"")</f>
        <v/>
      </c>
      <c r="T189" s="231" t="str">
        <f>IFERROR(__xludf.DUMMYFUNCTION("""COMPUTED_VALUE"""),"")</f>
        <v/>
      </c>
      <c r="U189" s="232" t="str">
        <f>IFERROR(__xludf.DUMMYFUNCTION("""COMPUTED_VALUE"""),"")</f>
        <v/>
      </c>
      <c r="V189" s="233" t="str">
        <f>IFERROR(__xludf.DUMMYFUNCTION("""COMPUTED_VALUE"""),"")</f>
        <v/>
      </c>
      <c r="W189" s="231" t="str">
        <f>IFERROR(__xludf.DUMMYFUNCTION("""COMPUTED_VALUE"""),"")</f>
        <v/>
      </c>
      <c r="X189" s="232" t="str">
        <f>IFERROR(__xludf.DUMMYFUNCTION("""COMPUTED_VALUE"""),"")</f>
        <v/>
      </c>
      <c r="Y189" s="233" t="str">
        <f>IFERROR(__xludf.DUMMYFUNCTION("""COMPUTED_VALUE"""),"")</f>
        <v/>
      </c>
      <c r="Z189" s="231" t="str">
        <f>IFERROR(__xludf.DUMMYFUNCTION("""COMPUTED_VALUE"""),"")</f>
        <v/>
      </c>
      <c r="AA189" s="232" t="str">
        <f>IFERROR(__xludf.DUMMYFUNCTION("""COMPUTED_VALUE"""),"")</f>
        <v/>
      </c>
      <c r="AB189" s="233" t="str">
        <f>IFERROR(__xludf.DUMMYFUNCTION("""COMPUTED_VALUE"""),"")</f>
        <v/>
      </c>
      <c r="AC189" s="231" t="str">
        <f>IFERROR(__xludf.DUMMYFUNCTION("""COMPUTED_VALUE"""),"")</f>
        <v/>
      </c>
      <c r="AD189" s="232" t="str">
        <f>IFERROR(__xludf.DUMMYFUNCTION("""COMPUTED_VALUE"""),"")</f>
        <v/>
      </c>
      <c r="AE189" s="233" t="str">
        <f>IFERROR(__xludf.DUMMYFUNCTION("""COMPUTED_VALUE"""),"")</f>
        <v/>
      </c>
      <c r="AF189" s="231" t="str">
        <f>IFERROR(__xludf.DUMMYFUNCTION("""COMPUTED_VALUE"""),"")</f>
        <v/>
      </c>
      <c r="AG189" s="232" t="str">
        <f>IFERROR(__xludf.DUMMYFUNCTION("""COMPUTED_VALUE"""),"")</f>
        <v/>
      </c>
      <c r="AH189" s="233" t="str">
        <f>IFERROR(__xludf.DUMMYFUNCTION("""COMPUTED_VALUE"""),"")</f>
        <v/>
      </c>
      <c r="AI189" s="231" t="str">
        <f>IFERROR(__xludf.DUMMYFUNCTION("""COMPUTED_VALUE"""),"")</f>
        <v/>
      </c>
      <c r="AJ189" s="232" t="str">
        <f>IFERROR(__xludf.DUMMYFUNCTION("""COMPUTED_VALUE"""),"")</f>
        <v/>
      </c>
      <c r="AK189" s="233" t="str">
        <f>IFERROR(__xludf.DUMMYFUNCTION("""COMPUTED_VALUE"""),"")</f>
        <v/>
      </c>
      <c r="AL189" s="231" t="str">
        <f>IFERROR(__xludf.DUMMYFUNCTION("""COMPUTED_VALUE"""),"")</f>
        <v/>
      </c>
      <c r="AM189" s="232" t="str">
        <f>IFERROR(__xludf.DUMMYFUNCTION("""COMPUTED_VALUE"""),"")</f>
        <v/>
      </c>
      <c r="AN189" s="233" t="str">
        <f>IFERROR(__xludf.DUMMYFUNCTION("""COMPUTED_VALUE"""),"")</f>
        <v/>
      </c>
      <c r="AO189" s="231" t="str">
        <f>IFERROR(__xludf.DUMMYFUNCTION("""COMPUTED_VALUE"""),"")</f>
        <v/>
      </c>
      <c r="AP189" s="232" t="str">
        <f>IFERROR(__xludf.DUMMYFUNCTION("""COMPUTED_VALUE"""),"")</f>
        <v/>
      </c>
      <c r="AQ189" s="233" t="str">
        <f>IFERROR(__xludf.DUMMYFUNCTION("""COMPUTED_VALUE"""),"")</f>
        <v/>
      </c>
      <c r="AR189" s="231" t="str">
        <f>IFERROR(__xludf.DUMMYFUNCTION("""COMPUTED_VALUE"""),"")</f>
        <v/>
      </c>
      <c r="AS189" s="232" t="str">
        <f>IFERROR(__xludf.DUMMYFUNCTION("""COMPUTED_VALUE"""),"")</f>
        <v/>
      </c>
      <c r="AT189" s="233" t="str">
        <f>IFERROR(__xludf.DUMMYFUNCTION("""COMPUTED_VALUE"""),"")</f>
        <v/>
      </c>
      <c r="AU189" s="231" t="str">
        <f>IFERROR(__xludf.DUMMYFUNCTION("""COMPUTED_VALUE"""),"")</f>
        <v/>
      </c>
      <c r="AV189" s="232" t="str">
        <f>IFERROR(__xludf.DUMMYFUNCTION("""COMPUTED_VALUE"""),"")</f>
        <v/>
      </c>
      <c r="AW189" s="233" t="str">
        <f>IFERROR(__xludf.DUMMYFUNCTION("""COMPUTED_VALUE"""),"")</f>
        <v/>
      </c>
      <c r="AX189" s="231" t="str">
        <f>IFERROR(__xludf.DUMMYFUNCTION("""COMPUTED_VALUE"""),"")</f>
        <v/>
      </c>
      <c r="AY189" s="232">
        <f>IFERROR(__xludf.DUMMYFUNCTION("""COMPUTED_VALUE"""),40.5)</f>
        <v>40.5</v>
      </c>
      <c r="AZ189" s="233" t="str">
        <f>IFERROR(__xludf.DUMMYFUNCTION("""COMPUTED_VALUE"""),"")</f>
        <v/>
      </c>
      <c r="BA189" s="231" t="str">
        <f>IFERROR(__xludf.DUMMYFUNCTION("""COMPUTED_VALUE"""),"")</f>
        <v/>
      </c>
      <c r="BB189" s="232">
        <f>IFERROR(__xludf.DUMMYFUNCTION("""COMPUTED_VALUE"""),39.9)</f>
        <v>39.9</v>
      </c>
      <c r="BC189" s="233" t="str">
        <f>IFERROR(__xludf.DUMMYFUNCTION("""COMPUTED_VALUE"""),"")</f>
        <v/>
      </c>
      <c r="BD189" s="231" t="str">
        <f>IFERROR(__xludf.DUMMYFUNCTION("""COMPUTED_VALUE"""),"")</f>
        <v/>
      </c>
      <c r="BE189" s="232" t="str">
        <f>IFERROR(__xludf.DUMMYFUNCTION("""COMPUTED_VALUE"""),"")</f>
        <v/>
      </c>
      <c r="BF189" s="233" t="str">
        <f>IFERROR(__xludf.DUMMYFUNCTION("""COMPUTED_VALUE"""),"")</f>
        <v/>
      </c>
      <c r="BG189" s="231" t="str">
        <f>IFERROR(__xludf.DUMMYFUNCTION("""COMPUTED_VALUE"""),"")</f>
        <v/>
      </c>
      <c r="BH189" s="232" t="str">
        <f>IFERROR(__xludf.DUMMYFUNCTION("""COMPUTED_VALUE"""),"")</f>
        <v/>
      </c>
      <c r="BI189" s="233" t="str">
        <f>IFERROR(__xludf.DUMMYFUNCTION("""COMPUTED_VALUE"""),"")</f>
        <v/>
      </c>
      <c r="BJ189" s="231" t="str">
        <f>IFERROR(__xludf.DUMMYFUNCTION("""COMPUTED_VALUE"""),"")</f>
        <v/>
      </c>
      <c r="BK189" s="232" t="str">
        <f>IFERROR(__xludf.DUMMYFUNCTION("""COMPUTED_VALUE"""),"")</f>
        <v/>
      </c>
      <c r="BL189" s="233" t="str">
        <f>IFERROR(__xludf.DUMMYFUNCTION("""COMPUTED_VALUE"""),"")</f>
        <v/>
      </c>
      <c r="BM189" s="231" t="str">
        <f>IFERROR(__xludf.DUMMYFUNCTION("""COMPUTED_VALUE"""),"")</f>
        <v/>
      </c>
      <c r="BN189" s="232" t="str">
        <f>IFERROR(__xludf.DUMMYFUNCTION("""COMPUTED_VALUE"""),"")</f>
        <v/>
      </c>
      <c r="BO189" s="233" t="str">
        <f>IFERROR(__xludf.DUMMYFUNCTION("""COMPUTED_VALUE"""),"")</f>
        <v/>
      </c>
      <c r="BP189" s="231" t="str">
        <f>IFERROR(__xludf.DUMMYFUNCTION("""COMPUTED_VALUE"""),"")</f>
        <v/>
      </c>
      <c r="BQ189" s="232" t="str">
        <f>IFERROR(__xludf.DUMMYFUNCTION("""COMPUTED_VALUE"""),"")</f>
        <v/>
      </c>
      <c r="BR189" s="233" t="str">
        <f>IFERROR(__xludf.DUMMYFUNCTION("""COMPUTED_VALUE"""),"")</f>
        <v/>
      </c>
      <c r="BS189" s="231">
        <f>IFERROR(__xludf.DUMMYFUNCTION("""COMPUTED_VALUE"""),19.0)</f>
        <v>19</v>
      </c>
      <c r="BT189" s="232" t="str">
        <f>IFERROR(__xludf.DUMMYFUNCTION("""COMPUTED_VALUE"""),"")</f>
        <v/>
      </c>
      <c r="BU189" s="233" t="str">
        <f>IFERROR(__xludf.DUMMYFUNCTION("""COMPUTED_VALUE"""),"")</f>
        <v/>
      </c>
      <c r="BV189" s="231">
        <f>IFERROR(__xludf.DUMMYFUNCTION("""COMPUTED_VALUE"""),23.8)</f>
        <v>23.8</v>
      </c>
      <c r="BW189" s="232" t="str">
        <f>IFERROR(__xludf.DUMMYFUNCTION("""COMPUTED_VALUE"""),"")</f>
        <v/>
      </c>
      <c r="BX189" s="233" t="str">
        <f>IFERROR(__xludf.DUMMYFUNCTION("""COMPUTED_VALUE"""),"")</f>
        <v/>
      </c>
      <c r="BY189" s="231" t="str">
        <f>IFERROR(__xludf.DUMMYFUNCTION("""COMPUTED_VALUE"""),"")</f>
        <v/>
      </c>
      <c r="BZ189" s="232" t="str">
        <f>IFERROR(__xludf.DUMMYFUNCTION("""COMPUTED_VALUE"""),"")</f>
        <v/>
      </c>
      <c r="CA189" s="233" t="str">
        <f>IFERROR(__xludf.DUMMYFUNCTION("""COMPUTED_VALUE"""),"")</f>
        <v/>
      </c>
      <c r="CB189" s="231" t="str">
        <f>IFERROR(__xludf.DUMMYFUNCTION("""COMPUTED_VALUE"""),"")</f>
        <v/>
      </c>
      <c r="CC189" s="232" t="str">
        <f>IFERROR(__xludf.DUMMYFUNCTION("""COMPUTED_VALUE"""),"")</f>
        <v/>
      </c>
      <c r="CD189" s="233" t="str">
        <f>IFERROR(__xludf.DUMMYFUNCTION("""COMPUTED_VALUE"""),"")</f>
        <v/>
      </c>
      <c r="CE189" s="234" t="str">
        <f>IFERROR(__xludf.DUMMYFUNCTION("""COMPUTED_VALUE"""),"")</f>
        <v/>
      </c>
      <c r="CF189" s="230" t="str">
        <f>IFERROR(__xludf.DUMMYFUNCTION("""COMPUTED_VALUE"""),"")</f>
        <v/>
      </c>
      <c r="CG189" s="235" t="str">
        <f>IFERROR(__xludf.DUMMYFUNCTION("""COMPUTED_VALUE"""),"")</f>
        <v/>
      </c>
      <c r="CH189" s="234" t="str">
        <f>IFERROR(__xludf.DUMMYFUNCTION("""COMPUTED_VALUE"""),"")</f>
        <v/>
      </c>
      <c r="CI189" s="230" t="str">
        <f>IFERROR(__xludf.DUMMYFUNCTION("""COMPUTED_VALUE"""),"")</f>
        <v/>
      </c>
      <c r="CJ189" s="235" t="str">
        <f>IFERROR(__xludf.DUMMYFUNCTION("""COMPUTED_VALUE"""),"")</f>
        <v/>
      </c>
      <c r="CK189" s="95" t="str">
        <f>IFERROR(__xludf.DUMMYFUNCTION("""COMPUTED_VALUE"""),"")</f>
        <v/>
      </c>
      <c r="CL189" s="96" t="str">
        <f>IFERROR(__xludf.DUMMYFUNCTION("""COMPUTED_VALUE"""),"")</f>
        <v/>
      </c>
      <c r="CM189" s="97" t="str">
        <f>IFERROR(__xludf.DUMMYFUNCTION("""COMPUTED_VALUE"""),"")</f>
        <v/>
      </c>
      <c r="CN189" s="95" t="str">
        <f>IFERROR(__xludf.DUMMYFUNCTION("""COMPUTED_VALUE"""),"")</f>
        <v/>
      </c>
      <c r="CO189" s="96" t="str">
        <f>IFERROR(__xludf.DUMMYFUNCTION("""COMPUTED_VALUE"""),"")</f>
        <v/>
      </c>
      <c r="CP189" s="97" t="str">
        <f>IFERROR(__xludf.DUMMYFUNCTION("""COMPUTED_VALUE"""),"")</f>
        <v/>
      </c>
      <c r="CQ189" s="95" t="str">
        <f>IFERROR(__xludf.DUMMYFUNCTION("""COMPUTED_VALUE"""),"")</f>
        <v/>
      </c>
      <c r="CR189" s="96" t="str">
        <f>IFERROR(__xludf.DUMMYFUNCTION("""COMPUTED_VALUE"""),"")</f>
        <v/>
      </c>
      <c r="CS189" s="97" t="str">
        <f>IFERROR(__xludf.DUMMYFUNCTION("""COMPUTED_VALUE"""),"#REF!")</f>
        <v>#REF!</v>
      </c>
      <c r="CT189" s="95" t="str">
        <f>IFERROR(__xludf.DUMMYFUNCTION("""COMPUTED_VALUE"""),"#REF!")</f>
        <v>#REF!</v>
      </c>
      <c r="CU189" s="96" t="str">
        <f>IFERROR(__xludf.DUMMYFUNCTION("""COMPUTED_VALUE"""),"#REF!")</f>
        <v>#REF!</v>
      </c>
      <c r="CV189" s="97" t="str">
        <f>IFERROR(__xludf.DUMMYFUNCTION("""COMPUTED_VALUE"""),"#REF!")</f>
        <v>#REF!</v>
      </c>
      <c r="CW189" s="95" t="str">
        <f>IFERROR(__xludf.DUMMYFUNCTION("""COMPUTED_VALUE"""),"#REF!")</f>
        <v>#REF!</v>
      </c>
      <c r="CX189" s="96" t="str">
        <f>IFERROR(__xludf.DUMMYFUNCTION("""COMPUTED_VALUE"""),"#REF!")</f>
        <v>#REF!</v>
      </c>
      <c r="CY189" s="97" t="str">
        <f>IFERROR(__xludf.DUMMYFUNCTION("""COMPUTED_VALUE"""),"#REF!")</f>
        <v>#REF!</v>
      </c>
      <c r="CZ189" s="95" t="str">
        <f>IFERROR(__xludf.DUMMYFUNCTION("""COMPUTED_VALUE"""),"#REF!")</f>
        <v>#REF!</v>
      </c>
      <c r="DA189" s="96" t="str">
        <f>IFERROR(__xludf.DUMMYFUNCTION("""COMPUTED_VALUE"""),"#REF!")</f>
        <v>#REF!</v>
      </c>
      <c r="DB189" s="97" t="str">
        <f>IFERROR(__xludf.DUMMYFUNCTION("""COMPUTED_VALUE"""),"#REF!")</f>
        <v>#REF!</v>
      </c>
      <c r="DC189" s="95" t="str">
        <f>IFERROR(__xludf.DUMMYFUNCTION("""COMPUTED_VALUE"""),"#REF!")</f>
        <v>#REF!</v>
      </c>
      <c r="DD189" s="96" t="str">
        <f>IFERROR(__xludf.DUMMYFUNCTION("""COMPUTED_VALUE"""),"#REF!")</f>
        <v>#REF!</v>
      </c>
      <c r="DE189" s="97" t="str">
        <f>IFERROR(__xludf.DUMMYFUNCTION("""COMPUTED_VALUE"""),"#REF!")</f>
        <v>#REF!</v>
      </c>
      <c r="DF189" s="95" t="str">
        <f>IFERROR(__xludf.DUMMYFUNCTION("""COMPUTED_VALUE"""),"#REF!")</f>
        <v>#REF!</v>
      </c>
      <c r="DG189" s="96" t="str">
        <f>IFERROR(__xludf.DUMMYFUNCTION("""COMPUTED_VALUE"""),"#REF!")</f>
        <v>#REF!</v>
      </c>
      <c r="DH189" s="97" t="str">
        <f>IFERROR(__xludf.DUMMYFUNCTION("""COMPUTED_VALUE"""),"#REF!")</f>
        <v>#REF!</v>
      </c>
      <c r="DI189" s="95" t="str">
        <f>IFERROR(__xludf.DUMMYFUNCTION("""COMPUTED_VALUE"""),"#REF!")</f>
        <v>#REF!</v>
      </c>
      <c r="DJ189" s="96" t="str">
        <f>IFERROR(__xludf.DUMMYFUNCTION("""COMPUTED_VALUE"""),"#REF!")</f>
        <v>#REF!</v>
      </c>
      <c r="DK189" s="97" t="str">
        <f>IFERROR(__xludf.DUMMYFUNCTION("""COMPUTED_VALUE"""),"#REF!")</f>
        <v>#REF!</v>
      </c>
      <c r="DL189" s="95" t="str">
        <f>IFERROR(__xludf.DUMMYFUNCTION("""COMPUTED_VALUE"""),"#REF!")</f>
        <v>#REF!</v>
      </c>
      <c r="DM189" s="96" t="str">
        <f>IFERROR(__xludf.DUMMYFUNCTION("""COMPUTED_VALUE"""),"#REF!")</f>
        <v>#REF!</v>
      </c>
      <c r="DN189" s="97" t="str">
        <f>IFERROR(__xludf.DUMMYFUNCTION("""COMPUTED_VALUE"""),"#REF!")</f>
        <v>#REF!</v>
      </c>
      <c r="DO189" s="95" t="str">
        <f>IFERROR(__xludf.DUMMYFUNCTION("""COMPUTED_VALUE"""),"#REF!")</f>
        <v>#REF!</v>
      </c>
      <c r="DP189" s="96" t="str">
        <f>IFERROR(__xludf.DUMMYFUNCTION("""COMPUTED_VALUE"""),"#REF!")</f>
        <v>#REF!</v>
      </c>
      <c r="DQ189" s="97"/>
      <c r="DR189" s="95"/>
    </row>
    <row r="190">
      <c r="B190" s="120" t="str">
        <f>IFERROR(__xludf.DUMMYFUNCTION("""COMPUTED_VALUE"""),"ANA8")</f>
        <v>ANA8</v>
      </c>
      <c r="C190" s="82">
        <f>IFERROR(__xludf.DUMMYFUNCTION("""COMPUTED_VALUE"""),185.0)</f>
        <v>185</v>
      </c>
      <c r="D190" s="88" t="str">
        <f>IFERROR(__xludf.DUMMYFUNCTION("""COMPUTED_VALUE"""),"Yaga Demensk")</f>
        <v>Yaga Demensk</v>
      </c>
      <c r="E190" s="82" t="str">
        <f>IFERROR(__xludf.DUMMYFUNCTION("""COMPUTED_VALUE"""),"ヤガ・ジェメンスク")</f>
        <v>ヤガ・ジェメンスク</v>
      </c>
      <c r="F190" s="102">
        <f>IFERROR(__xludf.DUMMYFUNCTION("""COMPUTED_VALUE"""),21.0)</f>
        <v>21</v>
      </c>
      <c r="G190" s="82">
        <f>IFERROR(__xludf.DUMMYFUNCTION("""COMPUTED_VALUE"""),5518.0)</f>
        <v>5518</v>
      </c>
      <c r="H190" s="231" t="str">
        <f>IFERROR(__xludf.DUMMYFUNCTION("""COMPUTED_VALUE"""),"")</f>
        <v/>
      </c>
      <c r="I190" s="232" t="str">
        <f>IFERROR(__xludf.DUMMYFUNCTION("""COMPUTED_VALUE"""),"")</f>
        <v/>
      </c>
      <c r="J190" s="233" t="str">
        <f>IFERROR(__xludf.DUMMYFUNCTION("""COMPUTED_VALUE"""),"")</f>
        <v/>
      </c>
      <c r="K190" s="231" t="str">
        <f>IFERROR(__xludf.DUMMYFUNCTION("""COMPUTED_VALUE"""),"")</f>
        <v/>
      </c>
      <c r="L190" s="232">
        <f>IFERROR(__xludf.DUMMYFUNCTION("""COMPUTED_VALUE"""),21.0)</f>
        <v>21</v>
      </c>
      <c r="M190" s="233" t="str">
        <f>IFERROR(__xludf.DUMMYFUNCTION("""COMPUTED_VALUE"""),"")</f>
        <v/>
      </c>
      <c r="N190" s="231" t="str">
        <f>IFERROR(__xludf.DUMMYFUNCTION("""COMPUTED_VALUE"""),"")</f>
        <v/>
      </c>
      <c r="O190" s="232" t="str">
        <f>IFERROR(__xludf.DUMMYFUNCTION("""COMPUTED_VALUE"""),"")</f>
        <v/>
      </c>
      <c r="P190" s="233" t="str">
        <f>IFERROR(__xludf.DUMMYFUNCTION("""COMPUTED_VALUE"""),"")</f>
        <v/>
      </c>
      <c r="Q190" s="231" t="str">
        <f>IFERROR(__xludf.DUMMYFUNCTION("""COMPUTED_VALUE"""),"")</f>
        <v/>
      </c>
      <c r="R190" s="232" t="str">
        <f>IFERROR(__xludf.DUMMYFUNCTION("""COMPUTED_VALUE"""),"")</f>
        <v/>
      </c>
      <c r="S190" s="233" t="str">
        <f>IFERROR(__xludf.DUMMYFUNCTION("""COMPUTED_VALUE"""),"")</f>
        <v/>
      </c>
      <c r="T190" s="231" t="str">
        <f>IFERROR(__xludf.DUMMYFUNCTION("""COMPUTED_VALUE"""),"")</f>
        <v/>
      </c>
      <c r="U190" s="232" t="str">
        <f>IFERROR(__xludf.DUMMYFUNCTION("""COMPUTED_VALUE"""),"")</f>
        <v/>
      </c>
      <c r="V190" s="233" t="str">
        <f>IFERROR(__xludf.DUMMYFUNCTION("""COMPUTED_VALUE"""),"")</f>
        <v/>
      </c>
      <c r="W190" s="231" t="str">
        <f>IFERROR(__xludf.DUMMYFUNCTION("""COMPUTED_VALUE"""),"")</f>
        <v/>
      </c>
      <c r="X190" s="232" t="str">
        <f>IFERROR(__xludf.DUMMYFUNCTION("""COMPUTED_VALUE"""),"")</f>
        <v/>
      </c>
      <c r="Y190" s="233" t="str">
        <f>IFERROR(__xludf.DUMMYFUNCTION("""COMPUTED_VALUE"""),"")</f>
        <v/>
      </c>
      <c r="Z190" s="231" t="str">
        <f>IFERROR(__xludf.DUMMYFUNCTION("""COMPUTED_VALUE"""),"")</f>
        <v/>
      </c>
      <c r="AA190" s="232" t="str">
        <f>IFERROR(__xludf.DUMMYFUNCTION("""COMPUTED_VALUE"""),"")</f>
        <v/>
      </c>
      <c r="AB190" s="233" t="str">
        <f>IFERROR(__xludf.DUMMYFUNCTION("""COMPUTED_VALUE"""),"")</f>
        <v/>
      </c>
      <c r="AC190" s="231" t="str">
        <f>IFERROR(__xludf.DUMMYFUNCTION("""COMPUTED_VALUE"""),"")</f>
        <v/>
      </c>
      <c r="AD190" s="232" t="str">
        <f>IFERROR(__xludf.DUMMYFUNCTION("""COMPUTED_VALUE"""),"")</f>
        <v/>
      </c>
      <c r="AE190" s="233" t="str">
        <f>IFERROR(__xludf.DUMMYFUNCTION("""COMPUTED_VALUE"""),"")</f>
        <v/>
      </c>
      <c r="AF190" s="231" t="str">
        <f>IFERROR(__xludf.DUMMYFUNCTION("""COMPUTED_VALUE"""),"")</f>
        <v/>
      </c>
      <c r="AG190" s="232" t="str">
        <f>IFERROR(__xludf.DUMMYFUNCTION("""COMPUTED_VALUE"""),"")</f>
        <v/>
      </c>
      <c r="AH190" s="233" t="str">
        <f>IFERROR(__xludf.DUMMYFUNCTION("""COMPUTED_VALUE"""),"")</f>
        <v/>
      </c>
      <c r="AI190" s="231" t="str">
        <f>IFERROR(__xludf.DUMMYFUNCTION("""COMPUTED_VALUE"""),"")</f>
        <v/>
      </c>
      <c r="AJ190" s="232" t="str">
        <f>IFERROR(__xludf.DUMMYFUNCTION("""COMPUTED_VALUE"""),"")</f>
        <v/>
      </c>
      <c r="AK190" s="233" t="str">
        <f>IFERROR(__xludf.DUMMYFUNCTION("""COMPUTED_VALUE"""),"")</f>
        <v/>
      </c>
      <c r="AL190" s="231">
        <f>IFERROR(__xludf.DUMMYFUNCTION("""COMPUTED_VALUE"""),25.9)</f>
        <v>25.9</v>
      </c>
      <c r="AM190" s="232" t="str">
        <f>IFERROR(__xludf.DUMMYFUNCTION("""COMPUTED_VALUE"""),"")</f>
        <v/>
      </c>
      <c r="AN190" s="233" t="str">
        <f>IFERROR(__xludf.DUMMYFUNCTION("""COMPUTED_VALUE"""),"")</f>
        <v/>
      </c>
      <c r="AO190" s="231" t="str">
        <f>IFERROR(__xludf.DUMMYFUNCTION("""COMPUTED_VALUE"""),"")</f>
        <v/>
      </c>
      <c r="AP190" s="232" t="str">
        <f>IFERROR(__xludf.DUMMYFUNCTION("""COMPUTED_VALUE"""),"")</f>
        <v/>
      </c>
      <c r="AQ190" s="233" t="str">
        <f>IFERROR(__xludf.DUMMYFUNCTION("""COMPUTED_VALUE"""),"")</f>
        <v/>
      </c>
      <c r="AR190" s="231" t="str">
        <f>IFERROR(__xludf.DUMMYFUNCTION("""COMPUTED_VALUE"""),"")</f>
        <v/>
      </c>
      <c r="AS190" s="232" t="str">
        <f>IFERROR(__xludf.DUMMYFUNCTION("""COMPUTED_VALUE"""),"")</f>
        <v/>
      </c>
      <c r="AT190" s="233" t="str">
        <f>IFERROR(__xludf.DUMMYFUNCTION("""COMPUTED_VALUE"""),"")</f>
        <v/>
      </c>
      <c r="AU190" s="231" t="str">
        <f>IFERROR(__xludf.DUMMYFUNCTION("""COMPUTED_VALUE"""),"")</f>
        <v/>
      </c>
      <c r="AV190" s="232" t="str">
        <f>IFERROR(__xludf.DUMMYFUNCTION("""COMPUTED_VALUE"""),"")</f>
        <v/>
      </c>
      <c r="AW190" s="233" t="str">
        <f>IFERROR(__xludf.DUMMYFUNCTION("""COMPUTED_VALUE"""),"")</f>
        <v/>
      </c>
      <c r="AX190" s="231" t="str">
        <f>IFERROR(__xludf.DUMMYFUNCTION("""COMPUTED_VALUE"""),"")</f>
        <v/>
      </c>
      <c r="AY190" s="232" t="str">
        <f>IFERROR(__xludf.DUMMYFUNCTION("""COMPUTED_VALUE"""),"")</f>
        <v/>
      </c>
      <c r="AZ190" s="233" t="str">
        <f>IFERROR(__xludf.DUMMYFUNCTION("""COMPUTED_VALUE"""),"")</f>
        <v/>
      </c>
      <c r="BA190" s="231" t="str">
        <f>IFERROR(__xludf.DUMMYFUNCTION("""COMPUTED_VALUE"""),"")</f>
        <v/>
      </c>
      <c r="BB190" s="232" t="str">
        <f>IFERROR(__xludf.DUMMYFUNCTION("""COMPUTED_VALUE"""),"")</f>
        <v/>
      </c>
      <c r="BC190" s="233" t="str">
        <f>IFERROR(__xludf.DUMMYFUNCTION("""COMPUTED_VALUE"""),"")</f>
        <v/>
      </c>
      <c r="BD190" s="231" t="str">
        <f>IFERROR(__xludf.DUMMYFUNCTION("""COMPUTED_VALUE"""),"")</f>
        <v/>
      </c>
      <c r="BE190" s="232" t="str">
        <f>IFERROR(__xludf.DUMMYFUNCTION("""COMPUTED_VALUE"""),"")</f>
        <v/>
      </c>
      <c r="BF190" s="233" t="str">
        <f>IFERROR(__xludf.DUMMYFUNCTION("""COMPUTED_VALUE"""),"")</f>
        <v/>
      </c>
      <c r="BG190" s="231" t="str">
        <f>IFERROR(__xludf.DUMMYFUNCTION("""COMPUTED_VALUE"""),"")</f>
        <v/>
      </c>
      <c r="BH190" s="232" t="str">
        <f>IFERROR(__xludf.DUMMYFUNCTION("""COMPUTED_VALUE"""),"")</f>
        <v/>
      </c>
      <c r="BI190" s="233" t="str">
        <f>IFERROR(__xludf.DUMMYFUNCTION("""COMPUTED_VALUE"""),"")</f>
        <v/>
      </c>
      <c r="BJ190" s="231" t="str">
        <f>IFERROR(__xludf.DUMMYFUNCTION("""COMPUTED_VALUE"""),"")</f>
        <v/>
      </c>
      <c r="BK190" s="232" t="str">
        <f>IFERROR(__xludf.DUMMYFUNCTION("""COMPUTED_VALUE"""),"")</f>
        <v/>
      </c>
      <c r="BL190" s="233">
        <f>IFERROR(__xludf.DUMMYFUNCTION("""COMPUTED_VALUE"""),8.2)</f>
        <v>8.2</v>
      </c>
      <c r="BM190" s="231" t="str">
        <f>IFERROR(__xludf.DUMMYFUNCTION("""COMPUTED_VALUE"""),"")</f>
        <v/>
      </c>
      <c r="BN190" s="232" t="str">
        <f>IFERROR(__xludf.DUMMYFUNCTION("""COMPUTED_VALUE"""),"")</f>
        <v/>
      </c>
      <c r="BO190" s="233">
        <f>IFERROR(__xludf.DUMMYFUNCTION("""COMPUTED_VALUE"""),40.0)</f>
        <v>40</v>
      </c>
      <c r="BP190" s="231" t="str">
        <f>IFERROR(__xludf.DUMMYFUNCTION("""COMPUTED_VALUE"""),"")</f>
        <v/>
      </c>
      <c r="BQ190" s="232" t="str">
        <f>IFERROR(__xludf.DUMMYFUNCTION("""COMPUTED_VALUE"""),"")</f>
        <v/>
      </c>
      <c r="BR190" s="233" t="str">
        <f>IFERROR(__xludf.DUMMYFUNCTION("""COMPUTED_VALUE"""),"")</f>
        <v/>
      </c>
      <c r="BS190" s="231" t="str">
        <f>IFERROR(__xludf.DUMMYFUNCTION("""COMPUTED_VALUE"""),"")</f>
        <v/>
      </c>
      <c r="BT190" s="232" t="str">
        <f>IFERROR(__xludf.DUMMYFUNCTION("""COMPUTED_VALUE"""),"")</f>
        <v/>
      </c>
      <c r="BU190" s="233" t="str">
        <f>IFERROR(__xludf.DUMMYFUNCTION("""COMPUTED_VALUE"""),"")</f>
        <v/>
      </c>
      <c r="BV190" s="231" t="str">
        <f>IFERROR(__xludf.DUMMYFUNCTION("""COMPUTED_VALUE"""),"")</f>
        <v/>
      </c>
      <c r="BW190" s="232" t="str">
        <f>IFERROR(__xludf.DUMMYFUNCTION("""COMPUTED_VALUE"""),"")</f>
        <v/>
      </c>
      <c r="BX190" s="233" t="str">
        <f>IFERROR(__xludf.DUMMYFUNCTION("""COMPUTED_VALUE"""),"")</f>
        <v/>
      </c>
      <c r="BY190" s="231" t="str">
        <f>IFERROR(__xludf.DUMMYFUNCTION("""COMPUTED_VALUE"""),"")</f>
        <v/>
      </c>
      <c r="BZ190" s="232" t="str">
        <f>IFERROR(__xludf.DUMMYFUNCTION("""COMPUTED_VALUE"""),"")</f>
        <v/>
      </c>
      <c r="CA190" s="233" t="str">
        <f>IFERROR(__xludf.DUMMYFUNCTION("""COMPUTED_VALUE"""),"")</f>
        <v/>
      </c>
      <c r="CB190" s="231" t="str">
        <f>IFERROR(__xludf.DUMMYFUNCTION("""COMPUTED_VALUE"""),"")</f>
        <v/>
      </c>
      <c r="CC190" s="232" t="str">
        <f>IFERROR(__xludf.DUMMYFUNCTION("""COMPUTED_VALUE"""),"")</f>
        <v/>
      </c>
      <c r="CD190" s="233" t="str">
        <f>IFERROR(__xludf.DUMMYFUNCTION("""COMPUTED_VALUE"""),"")</f>
        <v/>
      </c>
      <c r="CE190" s="234" t="str">
        <f>IFERROR(__xludf.DUMMYFUNCTION("""COMPUTED_VALUE"""),"")</f>
        <v/>
      </c>
      <c r="CF190" s="230" t="str">
        <f>IFERROR(__xludf.DUMMYFUNCTION("""COMPUTED_VALUE"""),"")</f>
        <v/>
      </c>
      <c r="CG190" s="235" t="str">
        <f>IFERROR(__xludf.DUMMYFUNCTION("""COMPUTED_VALUE"""),"")</f>
        <v/>
      </c>
      <c r="CH190" s="234" t="str">
        <f>IFERROR(__xludf.DUMMYFUNCTION("""COMPUTED_VALUE"""),"")</f>
        <v/>
      </c>
      <c r="CI190" s="230" t="str">
        <f>IFERROR(__xludf.DUMMYFUNCTION("""COMPUTED_VALUE"""),"")</f>
        <v/>
      </c>
      <c r="CJ190" s="235" t="str">
        <f>IFERROR(__xludf.DUMMYFUNCTION("""COMPUTED_VALUE"""),"")</f>
        <v/>
      </c>
      <c r="CK190" s="95" t="str">
        <f>IFERROR(__xludf.DUMMYFUNCTION("""COMPUTED_VALUE"""),"")</f>
        <v/>
      </c>
      <c r="CL190" s="96" t="str">
        <f>IFERROR(__xludf.DUMMYFUNCTION("""COMPUTED_VALUE"""),"")</f>
        <v/>
      </c>
      <c r="CM190" s="97" t="str">
        <f>IFERROR(__xludf.DUMMYFUNCTION("""COMPUTED_VALUE"""),"")</f>
        <v/>
      </c>
      <c r="CN190" s="95">
        <f>IFERROR(__xludf.DUMMYFUNCTION("""COMPUTED_VALUE"""),3.2)</f>
        <v>3.2</v>
      </c>
      <c r="CO190" s="96" t="str">
        <f>IFERROR(__xludf.DUMMYFUNCTION("""COMPUTED_VALUE"""),"")</f>
        <v/>
      </c>
      <c r="CP190" s="97" t="str">
        <f>IFERROR(__xludf.DUMMYFUNCTION("""COMPUTED_VALUE"""),"")</f>
        <v/>
      </c>
      <c r="CQ190" s="95" t="str">
        <f>IFERROR(__xludf.DUMMYFUNCTION("""COMPUTED_VALUE"""),"")</f>
        <v/>
      </c>
      <c r="CR190" s="96" t="str">
        <f>IFERROR(__xludf.DUMMYFUNCTION("""COMPUTED_VALUE"""),"")</f>
        <v/>
      </c>
      <c r="CS190" s="97" t="str">
        <f>IFERROR(__xludf.DUMMYFUNCTION("""COMPUTED_VALUE"""),"#REF!")</f>
        <v>#REF!</v>
      </c>
      <c r="CT190" s="95" t="str">
        <f>IFERROR(__xludf.DUMMYFUNCTION("""COMPUTED_VALUE"""),"#REF!")</f>
        <v>#REF!</v>
      </c>
      <c r="CU190" s="96" t="str">
        <f>IFERROR(__xludf.DUMMYFUNCTION("""COMPUTED_VALUE"""),"#REF!")</f>
        <v>#REF!</v>
      </c>
      <c r="CV190" s="97" t="str">
        <f>IFERROR(__xludf.DUMMYFUNCTION("""COMPUTED_VALUE"""),"#REF!")</f>
        <v>#REF!</v>
      </c>
      <c r="CW190" s="95" t="str">
        <f>IFERROR(__xludf.DUMMYFUNCTION("""COMPUTED_VALUE"""),"#REF!")</f>
        <v>#REF!</v>
      </c>
      <c r="CX190" s="96" t="str">
        <f>IFERROR(__xludf.DUMMYFUNCTION("""COMPUTED_VALUE"""),"#REF!")</f>
        <v>#REF!</v>
      </c>
      <c r="CY190" s="97" t="str">
        <f>IFERROR(__xludf.DUMMYFUNCTION("""COMPUTED_VALUE"""),"#REF!")</f>
        <v>#REF!</v>
      </c>
      <c r="CZ190" s="95" t="str">
        <f>IFERROR(__xludf.DUMMYFUNCTION("""COMPUTED_VALUE"""),"#REF!")</f>
        <v>#REF!</v>
      </c>
      <c r="DA190" s="96" t="str">
        <f>IFERROR(__xludf.DUMMYFUNCTION("""COMPUTED_VALUE"""),"#REF!")</f>
        <v>#REF!</v>
      </c>
      <c r="DB190" s="97" t="str">
        <f>IFERROR(__xludf.DUMMYFUNCTION("""COMPUTED_VALUE"""),"#REF!")</f>
        <v>#REF!</v>
      </c>
      <c r="DC190" s="95" t="str">
        <f>IFERROR(__xludf.DUMMYFUNCTION("""COMPUTED_VALUE"""),"#REF!")</f>
        <v>#REF!</v>
      </c>
      <c r="DD190" s="96" t="str">
        <f>IFERROR(__xludf.DUMMYFUNCTION("""COMPUTED_VALUE"""),"#REF!")</f>
        <v>#REF!</v>
      </c>
      <c r="DE190" s="97" t="str">
        <f>IFERROR(__xludf.DUMMYFUNCTION("""COMPUTED_VALUE"""),"#REF!")</f>
        <v>#REF!</v>
      </c>
      <c r="DF190" s="95" t="str">
        <f>IFERROR(__xludf.DUMMYFUNCTION("""COMPUTED_VALUE"""),"#REF!")</f>
        <v>#REF!</v>
      </c>
      <c r="DG190" s="96" t="str">
        <f>IFERROR(__xludf.DUMMYFUNCTION("""COMPUTED_VALUE"""),"#REF!")</f>
        <v>#REF!</v>
      </c>
      <c r="DH190" s="97" t="str">
        <f>IFERROR(__xludf.DUMMYFUNCTION("""COMPUTED_VALUE"""),"#REF!")</f>
        <v>#REF!</v>
      </c>
      <c r="DI190" s="95" t="str">
        <f>IFERROR(__xludf.DUMMYFUNCTION("""COMPUTED_VALUE"""),"#REF!")</f>
        <v>#REF!</v>
      </c>
      <c r="DJ190" s="96" t="str">
        <f>IFERROR(__xludf.DUMMYFUNCTION("""COMPUTED_VALUE"""),"#REF!")</f>
        <v>#REF!</v>
      </c>
      <c r="DK190" s="97" t="str">
        <f>IFERROR(__xludf.DUMMYFUNCTION("""COMPUTED_VALUE"""),"#REF!")</f>
        <v>#REF!</v>
      </c>
      <c r="DL190" s="95" t="str">
        <f>IFERROR(__xludf.DUMMYFUNCTION("""COMPUTED_VALUE"""),"#REF!")</f>
        <v>#REF!</v>
      </c>
      <c r="DM190" s="96" t="str">
        <f>IFERROR(__xludf.DUMMYFUNCTION("""COMPUTED_VALUE"""),"#REF!")</f>
        <v>#REF!</v>
      </c>
      <c r="DN190" s="97" t="str">
        <f>IFERROR(__xludf.DUMMYFUNCTION("""COMPUTED_VALUE"""),"#REF!")</f>
        <v>#REF!</v>
      </c>
      <c r="DO190" s="95" t="str">
        <f>IFERROR(__xludf.DUMMYFUNCTION("""COMPUTED_VALUE"""),"#REF!")</f>
        <v>#REF!</v>
      </c>
      <c r="DP190" s="96" t="str">
        <f>IFERROR(__xludf.DUMMYFUNCTION("""COMPUTED_VALUE"""),"#REF!")</f>
        <v>#REF!</v>
      </c>
      <c r="DQ190" s="97"/>
      <c r="DR190" s="95"/>
    </row>
    <row r="191">
      <c r="B191" s="120" t="str">
        <f>IFERROR(__xludf.DUMMYFUNCTION("""COMPUTED_VALUE"""),"ANA9")</f>
        <v>ANA9</v>
      </c>
      <c r="C191" s="82">
        <f>IFERROR(__xludf.DUMMYFUNCTION("""COMPUTED_VALUE"""),186.0)</f>
        <v>186</v>
      </c>
      <c r="D191" s="88" t="str">
        <f>IFERROR(__xludf.DUMMYFUNCTION("""COMPUTED_VALUE"""),"Yaga Tula")</f>
        <v>Yaga Tula</v>
      </c>
      <c r="E191" s="82" t="str">
        <f>IFERROR(__xludf.DUMMYFUNCTION("""COMPUTED_VALUE"""),"ヤガ・トゥーラ")</f>
        <v>ヤガ・トゥーラ</v>
      </c>
      <c r="F191" s="102">
        <f>IFERROR(__xludf.DUMMYFUNCTION("""COMPUTED_VALUE"""),21.0)</f>
        <v>21</v>
      </c>
      <c r="G191" s="82">
        <f>IFERROR(__xludf.DUMMYFUNCTION("""COMPUTED_VALUE"""),32304.0)</f>
        <v>32304</v>
      </c>
      <c r="H191" s="231" t="str">
        <f>IFERROR(__xludf.DUMMYFUNCTION("""COMPUTED_VALUE"""),"")</f>
        <v/>
      </c>
      <c r="I191" s="232" t="str">
        <f>IFERROR(__xludf.DUMMYFUNCTION("""COMPUTED_VALUE"""),"")</f>
        <v/>
      </c>
      <c r="J191" s="233" t="str">
        <f>IFERROR(__xludf.DUMMYFUNCTION("""COMPUTED_VALUE"""),"")</f>
        <v/>
      </c>
      <c r="K191" s="231" t="str">
        <f>IFERROR(__xludf.DUMMYFUNCTION("""COMPUTED_VALUE"""),"")</f>
        <v/>
      </c>
      <c r="L191" s="232" t="str">
        <f>IFERROR(__xludf.DUMMYFUNCTION("""COMPUTED_VALUE"""),"")</f>
        <v/>
      </c>
      <c r="M191" s="233" t="str">
        <f>IFERROR(__xludf.DUMMYFUNCTION("""COMPUTED_VALUE"""),"")</f>
        <v/>
      </c>
      <c r="N191" s="231" t="str">
        <f>IFERROR(__xludf.DUMMYFUNCTION("""COMPUTED_VALUE"""),"")</f>
        <v/>
      </c>
      <c r="O191" s="232" t="str">
        <f>IFERROR(__xludf.DUMMYFUNCTION("""COMPUTED_VALUE"""),"")</f>
        <v/>
      </c>
      <c r="P191" s="233" t="str">
        <f>IFERROR(__xludf.DUMMYFUNCTION("""COMPUTED_VALUE"""),"")</f>
        <v/>
      </c>
      <c r="Q191" s="231" t="str">
        <f>IFERROR(__xludf.DUMMYFUNCTION("""COMPUTED_VALUE"""),"")</f>
        <v/>
      </c>
      <c r="R191" s="232" t="str">
        <f>IFERROR(__xludf.DUMMYFUNCTION("""COMPUTED_VALUE"""),"")</f>
        <v/>
      </c>
      <c r="S191" s="233" t="str">
        <f>IFERROR(__xludf.DUMMYFUNCTION("""COMPUTED_VALUE"""),"")</f>
        <v/>
      </c>
      <c r="T191" s="231" t="str">
        <f>IFERROR(__xludf.DUMMYFUNCTION("""COMPUTED_VALUE"""),"")</f>
        <v/>
      </c>
      <c r="U191" s="232" t="str">
        <f>IFERROR(__xludf.DUMMYFUNCTION("""COMPUTED_VALUE"""),"")</f>
        <v/>
      </c>
      <c r="V191" s="233" t="str">
        <f>IFERROR(__xludf.DUMMYFUNCTION("""COMPUTED_VALUE"""),"")</f>
        <v/>
      </c>
      <c r="W191" s="231" t="str">
        <f>IFERROR(__xludf.DUMMYFUNCTION("""COMPUTED_VALUE"""),"")</f>
        <v/>
      </c>
      <c r="X191" s="232" t="str">
        <f>IFERROR(__xludf.DUMMYFUNCTION("""COMPUTED_VALUE"""),"")</f>
        <v/>
      </c>
      <c r="Y191" s="233" t="str">
        <f>IFERROR(__xludf.DUMMYFUNCTION("""COMPUTED_VALUE"""),"")</f>
        <v/>
      </c>
      <c r="Z191" s="231" t="str">
        <f>IFERROR(__xludf.DUMMYFUNCTION("""COMPUTED_VALUE"""),"")</f>
        <v/>
      </c>
      <c r="AA191" s="232" t="str">
        <f>IFERROR(__xludf.DUMMYFUNCTION("""COMPUTED_VALUE"""),"")</f>
        <v/>
      </c>
      <c r="AB191" s="233" t="str">
        <f>IFERROR(__xludf.DUMMYFUNCTION("""COMPUTED_VALUE"""),"")</f>
        <v/>
      </c>
      <c r="AC191" s="231" t="str">
        <f>IFERROR(__xludf.DUMMYFUNCTION("""COMPUTED_VALUE"""),"")</f>
        <v/>
      </c>
      <c r="AD191" s="232" t="str">
        <f>IFERROR(__xludf.DUMMYFUNCTION("""COMPUTED_VALUE"""),"")</f>
        <v/>
      </c>
      <c r="AE191" s="233" t="str">
        <f>IFERROR(__xludf.DUMMYFUNCTION("""COMPUTED_VALUE"""),"")</f>
        <v/>
      </c>
      <c r="AF191" s="231" t="str">
        <f>IFERROR(__xludf.DUMMYFUNCTION("""COMPUTED_VALUE"""),"")</f>
        <v/>
      </c>
      <c r="AG191" s="232" t="str">
        <f>IFERROR(__xludf.DUMMYFUNCTION("""COMPUTED_VALUE"""),"")</f>
        <v/>
      </c>
      <c r="AH191" s="233" t="str">
        <f>IFERROR(__xludf.DUMMYFUNCTION("""COMPUTED_VALUE"""),"")</f>
        <v/>
      </c>
      <c r="AI191" s="231" t="str">
        <f>IFERROR(__xludf.DUMMYFUNCTION("""COMPUTED_VALUE"""),"")</f>
        <v/>
      </c>
      <c r="AJ191" s="232" t="str">
        <f>IFERROR(__xludf.DUMMYFUNCTION("""COMPUTED_VALUE"""),"")</f>
        <v/>
      </c>
      <c r="AK191" s="233" t="str">
        <f>IFERROR(__xludf.DUMMYFUNCTION("""COMPUTED_VALUE"""),"")</f>
        <v/>
      </c>
      <c r="AL191" s="231">
        <f>IFERROR(__xludf.DUMMYFUNCTION("""COMPUTED_VALUE"""),20.2)</f>
        <v>20.2</v>
      </c>
      <c r="AM191" s="232" t="str">
        <f>IFERROR(__xludf.DUMMYFUNCTION("""COMPUTED_VALUE"""),"")</f>
        <v/>
      </c>
      <c r="AN191" s="233" t="str">
        <f>IFERROR(__xludf.DUMMYFUNCTION("""COMPUTED_VALUE"""),"")</f>
        <v/>
      </c>
      <c r="AO191" s="231" t="str">
        <f>IFERROR(__xludf.DUMMYFUNCTION("""COMPUTED_VALUE"""),"")</f>
        <v/>
      </c>
      <c r="AP191" s="232" t="str">
        <f>IFERROR(__xludf.DUMMYFUNCTION("""COMPUTED_VALUE"""),"")</f>
        <v/>
      </c>
      <c r="AQ191" s="233" t="str">
        <f>IFERROR(__xludf.DUMMYFUNCTION("""COMPUTED_VALUE"""),"")</f>
        <v/>
      </c>
      <c r="AR191" s="231" t="str">
        <f>IFERROR(__xludf.DUMMYFUNCTION("""COMPUTED_VALUE"""),"")</f>
        <v/>
      </c>
      <c r="AS191" s="232" t="str">
        <f>IFERROR(__xludf.DUMMYFUNCTION("""COMPUTED_VALUE"""),"")</f>
        <v/>
      </c>
      <c r="AT191" s="233" t="str">
        <f>IFERROR(__xludf.DUMMYFUNCTION("""COMPUTED_VALUE"""),"")</f>
        <v/>
      </c>
      <c r="AU191" s="231" t="str">
        <f>IFERROR(__xludf.DUMMYFUNCTION("""COMPUTED_VALUE"""),"")</f>
        <v/>
      </c>
      <c r="AV191" s="232" t="str">
        <f>IFERROR(__xludf.DUMMYFUNCTION("""COMPUTED_VALUE"""),"")</f>
        <v/>
      </c>
      <c r="AW191" s="233">
        <f>IFERROR(__xludf.DUMMYFUNCTION("""COMPUTED_VALUE"""),29.6)</f>
        <v>29.6</v>
      </c>
      <c r="AX191" s="231" t="str">
        <f>IFERROR(__xludf.DUMMYFUNCTION("""COMPUTED_VALUE"""),"")</f>
        <v/>
      </c>
      <c r="AY191" s="232" t="str">
        <f>IFERROR(__xludf.DUMMYFUNCTION("""COMPUTED_VALUE"""),"")</f>
        <v/>
      </c>
      <c r="AZ191" s="233" t="str">
        <f>IFERROR(__xludf.DUMMYFUNCTION("""COMPUTED_VALUE"""),"")</f>
        <v/>
      </c>
      <c r="BA191" s="231" t="str">
        <f>IFERROR(__xludf.DUMMYFUNCTION("""COMPUTED_VALUE"""),"")</f>
        <v/>
      </c>
      <c r="BB191" s="232">
        <f>IFERROR(__xludf.DUMMYFUNCTION("""COMPUTED_VALUE"""),30.2)</f>
        <v>30.2</v>
      </c>
      <c r="BC191" s="233" t="str">
        <f>IFERROR(__xludf.DUMMYFUNCTION("""COMPUTED_VALUE"""),"")</f>
        <v/>
      </c>
      <c r="BD191" s="231" t="str">
        <f>IFERROR(__xludf.DUMMYFUNCTION("""COMPUTED_VALUE"""),"")</f>
        <v/>
      </c>
      <c r="BE191" s="232" t="str">
        <f>IFERROR(__xludf.DUMMYFUNCTION("""COMPUTED_VALUE"""),"")</f>
        <v/>
      </c>
      <c r="BF191" s="233" t="str">
        <f>IFERROR(__xludf.DUMMYFUNCTION("""COMPUTED_VALUE"""),"")</f>
        <v/>
      </c>
      <c r="BG191" s="231" t="str">
        <f>IFERROR(__xludf.DUMMYFUNCTION("""COMPUTED_VALUE"""),"")</f>
        <v/>
      </c>
      <c r="BH191" s="232" t="str">
        <f>IFERROR(__xludf.DUMMYFUNCTION("""COMPUTED_VALUE"""),"")</f>
        <v/>
      </c>
      <c r="BI191" s="233" t="str">
        <f>IFERROR(__xludf.DUMMYFUNCTION("""COMPUTED_VALUE"""),"")</f>
        <v/>
      </c>
      <c r="BJ191" s="231" t="str">
        <f>IFERROR(__xludf.DUMMYFUNCTION("""COMPUTED_VALUE"""),"")</f>
        <v/>
      </c>
      <c r="BK191" s="232" t="str">
        <f>IFERROR(__xludf.DUMMYFUNCTION("""COMPUTED_VALUE"""),"")</f>
        <v/>
      </c>
      <c r="BL191" s="233" t="str">
        <f>IFERROR(__xludf.DUMMYFUNCTION("""COMPUTED_VALUE"""),"")</f>
        <v/>
      </c>
      <c r="BM191" s="231" t="str">
        <f>IFERROR(__xludf.DUMMYFUNCTION("""COMPUTED_VALUE"""),"")</f>
        <v/>
      </c>
      <c r="BN191" s="232" t="str">
        <f>IFERROR(__xludf.DUMMYFUNCTION("""COMPUTED_VALUE"""),"")</f>
        <v/>
      </c>
      <c r="BO191" s="233">
        <f>IFERROR(__xludf.DUMMYFUNCTION("""COMPUTED_VALUE"""),24.9)</f>
        <v>24.9</v>
      </c>
      <c r="BP191" s="231" t="str">
        <f>IFERROR(__xludf.DUMMYFUNCTION("""COMPUTED_VALUE"""),"")</f>
        <v/>
      </c>
      <c r="BQ191" s="232" t="str">
        <f>IFERROR(__xludf.DUMMYFUNCTION("""COMPUTED_VALUE"""),"")</f>
        <v/>
      </c>
      <c r="BR191" s="233">
        <f>IFERROR(__xludf.DUMMYFUNCTION("""COMPUTED_VALUE"""),15.1)</f>
        <v>15.1</v>
      </c>
      <c r="BS191" s="231" t="str">
        <f>IFERROR(__xludf.DUMMYFUNCTION("""COMPUTED_VALUE"""),"")</f>
        <v/>
      </c>
      <c r="BT191" s="232" t="str">
        <f>IFERROR(__xludf.DUMMYFUNCTION("""COMPUTED_VALUE"""),"")</f>
        <v/>
      </c>
      <c r="BU191" s="233" t="str">
        <f>IFERROR(__xludf.DUMMYFUNCTION("""COMPUTED_VALUE"""),"")</f>
        <v/>
      </c>
      <c r="BV191" s="231" t="str">
        <f>IFERROR(__xludf.DUMMYFUNCTION("""COMPUTED_VALUE"""),"")</f>
        <v/>
      </c>
      <c r="BW191" s="232" t="str">
        <f>IFERROR(__xludf.DUMMYFUNCTION("""COMPUTED_VALUE"""),"")</f>
        <v/>
      </c>
      <c r="BX191" s="233" t="str">
        <f>IFERROR(__xludf.DUMMYFUNCTION("""COMPUTED_VALUE"""),"")</f>
        <v/>
      </c>
      <c r="BY191" s="231" t="str">
        <f>IFERROR(__xludf.DUMMYFUNCTION("""COMPUTED_VALUE"""),"")</f>
        <v/>
      </c>
      <c r="BZ191" s="232" t="str">
        <f>IFERROR(__xludf.DUMMYFUNCTION("""COMPUTED_VALUE"""),"")</f>
        <v/>
      </c>
      <c r="CA191" s="233" t="str">
        <f>IFERROR(__xludf.DUMMYFUNCTION("""COMPUTED_VALUE"""),"")</f>
        <v/>
      </c>
      <c r="CB191" s="231" t="str">
        <f>IFERROR(__xludf.DUMMYFUNCTION("""COMPUTED_VALUE"""),"")</f>
        <v/>
      </c>
      <c r="CC191" s="232" t="str">
        <f>IFERROR(__xludf.DUMMYFUNCTION("""COMPUTED_VALUE"""),"")</f>
        <v/>
      </c>
      <c r="CD191" s="233" t="str">
        <f>IFERROR(__xludf.DUMMYFUNCTION("""COMPUTED_VALUE"""),"")</f>
        <v/>
      </c>
      <c r="CE191" s="234" t="str">
        <f>IFERROR(__xludf.DUMMYFUNCTION("""COMPUTED_VALUE"""),"")</f>
        <v/>
      </c>
      <c r="CF191" s="230" t="str">
        <f>IFERROR(__xludf.DUMMYFUNCTION("""COMPUTED_VALUE"""),"")</f>
        <v/>
      </c>
      <c r="CG191" s="235" t="str">
        <f>IFERROR(__xludf.DUMMYFUNCTION("""COMPUTED_VALUE"""),"")</f>
        <v/>
      </c>
      <c r="CH191" s="234" t="str">
        <f>IFERROR(__xludf.DUMMYFUNCTION("""COMPUTED_VALUE"""),"")</f>
        <v/>
      </c>
      <c r="CI191" s="230" t="str">
        <f>IFERROR(__xludf.DUMMYFUNCTION("""COMPUTED_VALUE"""),"")</f>
        <v/>
      </c>
      <c r="CJ191" s="235" t="str">
        <f>IFERROR(__xludf.DUMMYFUNCTION("""COMPUTED_VALUE"""),"")</f>
        <v/>
      </c>
      <c r="CK191" s="95" t="str">
        <f>IFERROR(__xludf.DUMMYFUNCTION("""COMPUTED_VALUE"""),"")</f>
        <v/>
      </c>
      <c r="CL191" s="96" t="str">
        <f>IFERROR(__xludf.DUMMYFUNCTION("""COMPUTED_VALUE"""),"")</f>
        <v/>
      </c>
      <c r="CM191" s="97" t="str">
        <f>IFERROR(__xludf.DUMMYFUNCTION("""COMPUTED_VALUE"""),"")</f>
        <v/>
      </c>
      <c r="CN191" s="95" t="str">
        <f>IFERROR(__xludf.DUMMYFUNCTION("""COMPUTED_VALUE"""),"")</f>
        <v/>
      </c>
      <c r="CO191" s="96" t="str">
        <f>IFERROR(__xludf.DUMMYFUNCTION("""COMPUTED_VALUE"""),"")</f>
        <v/>
      </c>
      <c r="CP191" s="97" t="str">
        <f>IFERROR(__xludf.DUMMYFUNCTION("""COMPUTED_VALUE"""),"")</f>
        <v/>
      </c>
      <c r="CQ191" s="95" t="str">
        <f>IFERROR(__xludf.DUMMYFUNCTION("""COMPUTED_VALUE"""),"")</f>
        <v/>
      </c>
      <c r="CR191" s="96" t="str">
        <f>IFERROR(__xludf.DUMMYFUNCTION("""COMPUTED_VALUE"""),"")</f>
        <v/>
      </c>
      <c r="CS191" s="97" t="str">
        <f>IFERROR(__xludf.DUMMYFUNCTION("""COMPUTED_VALUE"""),"#REF!")</f>
        <v>#REF!</v>
      </c>
      <c r="CT191" s="95" t="str">
        <f>IFERROR(__xludf.DUMMYFUNCTION("""COMPUTED_VALUE"""),"#REF!")</f>
        <v>#REF!</v>
      </c>
      <c r="CU191" s="96" t="str">
        <f>IFERROR(__xludf.DUMMYFUNCTION("""COMPUTED_VALUE"""),"#REF!")</f>
        <v>#REF!</v>
      </c>
      <c r="CV191" s="97" t="str">
        <f>IFERROR(__xludf.DUMMYFUNCTION("""COMPUTED_VALUE"""),"#REF!")</f>
        <v>#REF!</v>
      </c>
      <c r="CW191" s="95" t="str">
        <f>IFERROR(__xludf.DUMMYFUNCTION("""COMPUTED_VALUE"""),"#REF!")</f>
        <v>#REF!</v>
      </c>
      <c r="CX191" s="96" t="str">
        <f>IFERROR(__xludf.DUMMYFUNCTION("""COMPUTED_VALUE"""),"#REF!")</f>
        <v>#REF!</v>
      </c>
      <c r="CY191" s="97" t="str">
        <f>IFERROR(__xludf.DUMMYFUNCTION("""COMPUTED_VALUE"""),"#REF!")</f>
        <v>#REF!</v>
      </c>
      <c r="CZ191" s="95" t="str">
        <f>IFERROR(__xludf.DUMMYFUNCTION("""COMPUTED_VALUE"""),"#REF!")</f>
        <v>#REF!</v>
      </c>
      <c r="DA191" s="96" t="str">
        <f>IFERROR(__xludf.DUMMYFUNCTION("""COMPUTED_VALUE"""),"#REF!")</f>
        <v>#REF!</v>
      </c>
      <c r="DB191" s="97" t="str">
        <f>IFERROR(__xludf.DUMMYFUNCTION("""COMPUTED_VALUE"""),"#REF!")</f>
        <v>#REF!</v>
      </c>
      <c r="DC191" s="95" t="str">
        <f>IFERROR(__xludf.DUMMYFUNCTION("""COMPUTED_VALUE"""),"#REF!")</f>
        <v>#REF!</v>
      </c>
      <c r="DD191" s="96" t="str">
        <f>IFERROR(__xludf.DUMMYFUNCTION("""COMPUTED_VALUE"""),"#REF!")</f>
        <v>#REF!</v>
      </c>
      <c r="DE191" s="97" t="str">
        <f>IFERROR(__xludf.DUMMYFUNCTION("""COMPUTED_VALUE"""),"#REF!")</f>
        <v>#REF!</v>
      </c>
      <c r="DF191" s="95" t="str">
        <f>IFERROR(__xludf.DUMMYFUNCTION("""COMPUTED_VALUE"""),"#REF!")</f>
        <v>#REF!</v>
      </c>
      <c r="DG191" s="96" t="str">
        <f>IFERROR(__xludf.DUMMYFUNCTION("""COMPUTED_VALUE"""),"#REF!")</f>
        <v>#REF!</v>
      </c>
      <c r="DH191" s="97" t="str">
        <f>IFERROR(__xludf.DUMMYFUNCTION("""COMPUTED_VALUE"""),"#REF!")</f>
        <v>#REF!</v>
      </c>
      <c r="DI191" s="95" t="str">
        <f>IFERROR(__xludf.DUMMYFUNCTION("""COMPUTED_VALUE"""),"#REF!")</f>
        <v>#REF!</v>
      </c>
      <c r="DJ191" s="96" t="str">
        <f>IFERROR(__xludf.DUMMYFUNCTION("""COMPUTED_VALUE"""),"#REF!")</f>
        <v>#REF!</v>
      </c>
      <c r="DK191" s="97" t="str">
        <f>IFERROR(__xludf.DUMMYFUNCTION("""COMPUTED_VALUE"""),"#REF!")</f>
        <v>#REF!</v>
      </c>
      <c r="DL191" s="95" t="str">
        <f>IFERROR(__xludf.DUMMYFUNCTION("""COMPUTED_VALUE"""),"#REF!")</f>
        <v>#REF!</v>
      </c>
      <c r="DM191" s="96" t="str">
        <f>IFERROR(__xludf.DUMMYFUNCTION("""COMPUTED_VALUE"""),"#REF!")</f>
        <v>#REF!</v>
      </c>
      <c r="DN191" s="97" t="str">
        <f>IFERROR(__xludf.DUMMYFUNCTION("""COMPUTED_VALUE"""),"#REF!")</f>
        <v>#REF!</v>
      </c>
      <c r="DO191" s="95" t="str">
        <f>IFERROR(__xludf.DUMMYFUNCTION("""COMPUTED_VALUE"""),"#REF!")</f>
        <v>#REF!</v>
      </c>
      <c r="DP191" s="96" t="str">
        <f>IFERROR(__xludf.DUMMYFUNCTION("""COMPUTED_VALUE"""),"#REF!")</f>
        <v>#REF!</v>
      </c>
      <c r="DQ191" s="97"/>
      <c r="DR191" s="95"/>
    </row>
    <row r="192">
      <c r="B192" s="120" t="str">
        <f>IFERROR(__xludf.DUMMYFUNCTION("""COMPUTED_VALUE"""),"ANA10")</f>
        <v>ANA10</v>
      </c>
      <c r="C192" s="82">
        <f>IFERROR(__xludf.DUMMYFUNCTION("""COMPUTED_VALUE"""),187.0)</f>
        <v>187</v>
      </c>
      <c r="D192" s="88" t="str">
        <f>IFERROR(__xludf.DUMMYFUNCTION("""COMPUTED_VALUE"""),"Crushed Village")</f>
        <v>Crushed Village</v>
      </c>
      <c r="E192" s="82" t="str">
        <f>IFERROR(__xludf.DUMMYFUNCTION("""COMPUTED_VALUE"""),"潰れた村")</f>
        <v>潰れた村</v>
      </c>
      <c r="F192" s="102">
        <f>IFERROR(__xludf.DUMMYFUNCTION("""COMPUTED_VALUE"""),21.0)</f>
        <v>21</v>
      </c>
      <c r="G192" s="82">
        <f>IFERROR(__xludf.DUMMYFUNCTION("""COMPUTED_VALUE"""),17891.0)</f>
        <v>17891</v>
      </c>
      <c r="H192" s="231" t="str">
        <f>IFERROR(__xludf.DUMMYFUNCTION("""COMPUTED_VALUE"""),"")</f>
        <v/>
      </c>
      <c r="I192" s="232" t="str">
        <f>IFERROR(__xludf.DUMMYFUNCTION("""COMPUTED_VALUE"""),"")</f>
        <v/>
      </c>
      <c r="J192" s="233" t="str">
        <f>IFERROR(__xludf.DUMMYFUNCTION("""COMPUTED_VALUE"""),"")</f>
        <v/>
      </c>
      <c r="K192" s="231" t="str">
        <f>IFERROR(__xludf.DUMMYFUNCTION("""COMPUTED_VALUE"""),"")</f>
        <v/>
      </c>
      <c r="L192" s="232" t="str">
        <f>IFERROR(__xludf.DUMMYFUNCTION("""COMPUTED_VALUE"""),"")</f>
        <v/>
      </c>
      <c r="M192" s="233" t="str">
        <f>IFERROR(__xludf.DUMMYFUNCTION("""COMPUTED_VALUE"""),"")</f>
        <v/>
      </c>
      <c r="N192" s="231" t="str">
        <f>IFERROR(__xludf.DUMMYFUNCTION("""COMPUTED_VALUE"""),"")</f>
        <v/>
      </c>
      <c r="O192" s="232" t="str">
        <f>IFERROR(__xludf.DUMMYFUNCTION("""COMPUTED_VALUE"""),"")</f>
        <v/>
      </c>
      <c r="P192" s="233" t="str">
        <f>IFERROR(__xludf.DUMMYFUNCTION("""COMPUTED_VALUE"""),"")</f>
        <v/>
      </c>
      <c r="Q192" s="231" t="str">
        <f>IFERROR(__xludf.DUMMYFUNCTION("""COMPUTED_VALUE"""),"")</f>
        <v/>
      </c>
      <c r="R192" s="232" t="str">
        <f>IFERROR(__xludf.DUMMYFUNCTION("""COMPUTED_VALUE"""),"")</f>
        <v/>
      </c>
      <c r="S192" s="233" t="str">
        <f>IFERROR(__xludf.DUMMYFUNCTION("""COMPUTED_VALUE"""),"")</f>
        <v/>
      </c>
      <c r="T192" s="231" t="str">
        <f>IFERROR(__xludf.DUMMYFUNCTION("""COMPUTED_VALUE"""),"")</f>
        <v/>
      </c>
      <c r="U192" s="232" t="str">
        <f>IFERROR(__xludf.DUMMYFUNCTION("""COMPUTED_VALUE"""),"")</f>
        <v/>
      </c>
      <c r="V192" s="233" t="str">
        <f>IFERROR(__xludf.DUMMYFUNCTION("""COMPUTED_VALUE"""),"")</f>
        <v/>
      </c>
      <c r="W192" s="231" t="str">
        <f>IFERROR(__xludf.DUMMYFUNCTION("""COMPUTED_VALUE"""),"")</f>
        <v/>
      </c>
      <c r="X192" s="232" t="str">
        <f>IFERROR(__xludf.DUMMYFUNCTION("""COMPUTED_VALUE"""),"")</f>
        <v/>
      </c>
      <c r="Y192" s="233" t="str">
        <f>IFERROR(__xludf.DUMMYFUNCTION("""COMPUTED_VALUE"""),"")</f>
        <v/>
      </c>
      <c r="Z192" s="231" t="str">
        <f>IFERROR(__xludf.DUMMYFUNCTION("""COMPUTED_VALUE"""),"")</f>
        <v/>
      </c>
      <c r="AA192" s="232" t="str">
        <f>IFERROR(__xludf.DUMMYFUNCTION("""COMPUTED_VALUE"""),"")</f>
        <v/>
      </c>
      <c r="AB192" s="233" t="str">
        <f>IFERROR(__xludf.DUMMYFUNCTION("""COMPUTED_VALUE"""),"")</f>
        <v/>
      </c>
      <c r="AC192" s="231" t="str">
        <f>IFERROR(__xludf.DUMMYFUNCTION("""COMPUTED_VALUE"""),"")</f>
        <v/>
      </c>
      <c r="AD192" s="232" t="str">
        <f>IFERROR(__xludf.DUMMYFUNCTION("""COMPUTED_VALUE"""),"")</f>
        <v/>
      </c>
      <c r="AE192" s="233" t="str">
        <f>IFERROR(__xludf.DUMMYFUNCTION("""COMPUTED_VALUE"""),"")</f>
        <v/>
      </c>
      <c r="AF192" s="231" t="str">
        <f>IFERROR(__xludf.DUMMYFUNCTION("""COMPUTED_VALUE"""),"")</f>
        <v/>
      </c>
      <c r="AG192" s="232" t="str">
        <f>IFERROR(__xludf.DUMMYFUNCTION("""COMPUTED_VALUE"""),"")</f>
        <v/>
      </c>
      <c r="AH192" s="233" t="str">
        <f>IFERROR(__xludf.DUMMYFUNCTION("""COMPUTED_VALUE"""),"")</f>
        <v/>
      </c>
      <c r="AI192" s="231" t="str">
        <f>IFERROR(__xludf.DUMMYFUNCTION("""COMPUTED_VALUE"""),"")</f>
        <v/>
      </c>
      <c r="AJ192" s="232">
        <f>IFERROR(__xludf.DUMMYFUNCTION("""COMPUTED_VALUE"""),24.5)</f>
        <v>24.5</v>
      </c>
      <c r="AK192" s="233" t="str">
        <f>IFERROR(__xludf.DUMMYFUNCTION("""COMPUTED_VALUE"""),"")</f>
        <v/>
      </c>
      <c r="AL192" s="231">
        <f>IFERROR(__xludf.DUMMYFUNCTION("""COMPUTED_VALUE"""),25.3)</f>
        <v>25.3</v>
      </c>
      <c r="AM192" s="232" t="str">
        <f>IFERROR(__xludf.DUMMYFUNCTION("""COMPUTED_VALUE"""),"")</f>
        <v/>
      </c>
      <c r="AN192" s="233" t="str">
        <f>IFERROR(__xludf.DUMMYFUNCTION("""COMPUTED_VALUE"""),"")</f>
        <v/>
      </c>
      <c r="AO192" s="231" t="str">
        <f>IFERROR(__xludf.DUMMYFUNCTION("""COMPUTED_VALUE"""),"")</f>
        <v/>
      </c>
      <c r="AP192" s="232" t="str">
        <f>IFERROR(__xludf.DUMMYFUNCTION("""COMPUTED_VALUE"""),"")</f>
        <v/>
      </c>
      <c r="AQ192" s="233" t="str">
        <f>IFERROR(__xludf.DUMMYFUNCTION("""COMPUTED_VALUE"""),"")</f>
        <v/>
      </c>
      <c r="AR192" s="231" t="str">
        <f>IFERROR(__xludf.DUMMYFUNCTION("""COMPUTED_VALUE"""),"")</f>
        <v/>
      </c>
      <c r="AS192" s="232" t="str">
        <f>IFERROR(__xludf.DUMMYFUNCTION("""COMPUTED_VALUE"""),"")</f>
        <v/>
      </c>
      <c r="AT192" s="233" t="str">
        <f>IFERROR(__xludf.DUMMYFUNCTION("""COMPUTED_VALUE"""),"")</f>
        <v/>
      </c>
      <c r="AU192" s="231" t="str">
        <f>IFERROR(__xludf.DUMMYFUNCTION("""COMPUTED_VALUE"""),"")</f>
        <v/>
      </c>
      <c r="AV192" s="232" t="str">
        <f>IFERROR(__xludf.DUMMYFUNCTION("""COMPUTED_VALUE"""),"")</f>
        <v/>
      </c>
      <c r="AW192" s="233" t="str">
        <f>IFERROR(__xludf.DUMMYFUNCTION("""COMPUTED_VALUE"""),"")</f>
        <v/>
      </c>
      <c r="AX192" s="231" t="str">
        <f>IFERROR(__xludf.DUMMYFUNCTION("""COMPUTED_VALUE"""),"")</f>
        <v/>
      </c>
      <c r="AY192" s="232" t="str">
        <f>IFERROR(__xludf.DUMMYFUNCTION("""COMPUTED_VALUE"""),"")</f>
        <v/>
      </c>
      <c r="AZ192" s="233" t="str">
        <f>IFERROR(__xludf.DUMMYFUNCTION("""COMPUTED_VALUE"""),"")</f>
        <v/>
      </c>
      <c r="BA192" s="231" t="str">
        <f>IFERROR(__xludf.DUMMYFUNCTION("""COMPUTED_VALUE"""),"")</f>
        <v/>
      </c>
      <c r="BB192" s="232" t="str">
        <f>IFERROR(__xludf.DUMMYFUNCTION("""COMPUTED_VALUE"""),"")</f>
        <v/>
      </c>
      <c r="BC192" s="233" t="str">
        <f>IFERROR(__xludf.DUMMYFUNCTION("""COMPUTED_VALUE"""),"")</f>
        <v/>
      </c>
      <c r="BD192" s="231" t="str">
        <f>IFERROR(__xludf.DUMMYFUNCTION("""COMPUTED_VALUE"""),"")</f>
        <v/>
      </c>
      <c r="BE192" s="232" t="str">
        <f>IFERROR(__xludf.DUMMYFUNCTION("""COMPUTED_VALUE"""),"")</f>
        <v/>
      </c>
      <c r="BF192" s="233" t="str">
        <f>IFERROR(__xludf.DUMMYFUNCTION("""COMPUTED_VALUE"""),"")</f>
        <v/>
      </c>
      <c r="BG192" s="231" t="str">
        <f>IFERROR(__xludf.DUMMYFUNCTION("""COMPUTED_VALUE"""),"")</f>
        <v/>
      </c>
      <c r="BH192" s="232" t="str">
        <f>IFERROR(__xludf.DUMMYFUNCTION("""COMPUTED_VALUE"""),"")</f>
        <v/>
      </c>
      <c r="BI192" s="233" t="str">
        <f>IFERROR(__xludf.DUMMYFUNCTION("""COMPUTED_VALUE"""),"")</f>
        <v/>
      </c>
      <c r="BJ192" s="231" t="str">
        <f>IFERROR(__xludf.DUMMYFUNCTION("""COMPUTED_VALUE"""),"")</f>
        <v/>
      </c>
      <c r="BK192" s="232" t="str">
        <f>IFERROR(__xludf.DUMMYFUNCTION("""COMPUTED_VALUE"""),"")</f>
        <v/>
      </c>
      <c r="BL192" s="233" t="str">
        <f>IFERROR(__xludf.DUMMYFUNCTION("""COMPUTED_VALUE"""),"")</f>
        <v/>
      </c>
      <c r="BM192" s="231" t="str">
        <f>IFERROR(__xludf.DUMMYFUNCTION("""COMPUTED_VALUE"""),"")</f>
        <v/>
      </c>
      <c r="BN192" s="232" t="str">
        <f>IFERROR(__xludf.DUMMYFUNCTION("""COMPUTED_VALUE"""),"")</f>
        <v/>
      </c>
      <c r="BO192" s="233">
        <f>IFERROR(__xludf.DUMMYFUNCTION("""COMPUTED_VALUE"""),24.6)</f>
        <v>24.6</v>
      </c>
      <c r="BP192" s="231" t="str">
        <f>IFERROR(__xludf.DUMMYFUNCTION("""COMPUTED_VALUE"""),"")</f>
        <v/>
      </c>
      <c r="BQ192" s="232" t="str">
        <f>IFERROR(__xludf.DUMMYFUNCTION("""COMPUTED_VALUE"""),"")</f>
        <v/>
      </c>
      <c r="BR192" s="233" t="str">
        <f>IFERROR(__xludf.DUMMYFUNCTION("""COMPUTED_VALUE"""),"")</f>
        <v/>
      </c>
      <c r="BS192" s="231" t="str">
        <f>IFERROR(__xludf.DUMMYFUNCTION("""COMPUTED_VALUE"""),"")</f>
        <v/>
      </c>
      <c r="BT192" s="232" t="str">
        <f>IFERROR(__xludf.DUMMYFUNCTION("""COMPUTED_VALUE"""),"")</f>
        <v/>
      </c>
      <c r="BU192" s="233" t="str">
        <f>IFERROR(__xludf.DUMMYFUNCTION("""COMPUTED_VALUE"""),"")</f>
        <v/>
      </c>
      <c r="BV192" s="231" t="str">
        <f>IFERROR(__xludf.DUMMYFUNCTION("""COMPUTED_VALUE"""),"")</f>
        <v/>
      </c>
      <c r="BW192" s="232">
        <f>IFERROR(__xludf.DUMMYFUNCTION("""COMPUTED_VALUE"""),20.2)</f>
        <v>20.2</v>
      </c>
      <c r="BX192" s="233" t="str">
        <f>IFERROR(__xludf.DUMMYFUNCTION("""COMPUTED_VALUE"""),"")</f>
        <v/>
      </c>
      <c r="BY192" s="231" t="str">
        <f>IFERROR(__xludf.DUMMYFUNCTION("""COMPUTED_VALUE"""),"")</f>
        <v/>
      </c>
      <c r="BZ192" s="232" t="str">
        <f>IFERROR(__xludf.DUMMYFUNCTION("""COMPUTED_VALUE"""),"")</f>
        <v/>
      </c>
      <c r="CA192" s="233" t="str">
        <f>IFERROR(__xludf.DUMMYFUNCTION("""COMPUTED_VALUE"""),"")</f>
        <v/>
      </c>
      <c r="CB192" s="231" t="str">
        <f>IFERROR(__xludf.DUMMYFUNCTION("""COMPUTED_VALUE"""),"")</f>
        <v/>
      </c>
      <c r="CC192" s="232" t="str">
        <f>IFERROR(__xludf.DUMMYFUNCTION("""COMPUTED_VALUE"""),"")</f>
        <v/>
      </c>
      <c r="CD192" s="233" t="str">
        <f>IFERROR(__xludf.DUMMYFUNCTION("""COMPUTED_VALUE"""),"")</f>
        <v/>
      </c>
      <c r="CE192" s="234" t="str">
        <f>IFERROR(__xludf.DUMMYFUNCTION("""COMPUTED_VALUE"""),"")</f>
        <v/>
      </c>
      <c r="CF192" s="230" t="str">
        <f>IFERROR(__xludf.DUMMYFUNCTION("""COMPUTED_VALUE"""),"")</f>
        <v/>
      </c>
      <c r="CG192" s="235" t="str">
        <f>IFERROR(__xludf.DUMMYFUNCTION("""COMPUTED_VALUE"""),"")</f>
        <v/>
      </c>
      <c r="CH192" s="234" t="str">
        <f>IFERROR(__xludf.DUMMYFUNCTION("""COMPUTED_VALUE"""),"")</f>
        <v/>
      </c>
      <c r="CI192" s="230" t="str">
        <f>IFERROR(__xludf.DUMMYFUNCTION("""COMPUTED_VALUE"""),"")</f>
        <v/>
      </c>
      <c r="CJ192" s="235" t="str">
        <f>IFERROR(__xludf.DUMMYFUNCTION("""COMPUTED_VALUE"""),"")</f>
        <v/>
      </c>
      <c r="CK192" s="95" t="str">
        <f>IFERROR(__xludf.DUMMYFUNCTION("""COMPUTED_VALUE"""),"")</f>
        <v/>
      </c>
      <c r="CL192" s="96" t="str">
        <f>IFERROR(__xludf.DUMMYFUNCTION("""COMPUTED_VALUE"""),"")</f>
        <v/>
      </c>
      <c r="CM192" s="97" t="str">
        <f>IFERROR(__xludf.DUMMYFUNCTION("""COMPUTED_VALUE"""),"")</f>
        <v/>
      </c>
      <c r="CN192" s="95" t="str">
        <f>IFERROR(__xludf.DUMMYFUNCTION("""COMPUTED_VALUE"""),"")</f>
        <v/>
      </c>
      <c r="CO192" s="96" t="str">
        <f>IFERROR(__xludf.DUMMYFUNCTION("""COMPUTED_VALUE"""),"")</f>
        <v/>
      </c>
      <c r="CP192" s="97" t="str">
        <f>IFERROR(__xludf.DUMMYFUNCTION("""COMPUTED_VALUE"""),"")</f>
        <v/>
      </c>
      <c r="CQ192" s="95" t="str">
        <f>IFERROR(__xludf.DUMMYFUNCTION("""COMPUTED_VALUE"""),"")</f>
        <v/>
      </c>
      <c r="CR192" s="96" t="str">
        <f>IFERROR(__xludf.DUMMYFUNCTION("""COMPUTED_VALUE"""),"")</f>
        <v/>
      </c>
      <c r="CS192" s="97" t="str">
        <f>IFERROR(__xludf.DUMMYFUNCTION("""COMPUTED_VALUE"""),"#REF!")</f>
        <v>#REF!</v>
      </c>
      <c r="CT192" s="95" t="str">
        <f>IFERROR(__xludf.DUMMYFUNCTION("""COMPUTED_VALUE"""),"#REF!")</f>
        <v>#REF!</v>
      </c>
      <c r="CU192" s="96" t="str">
        <f>IFERROR(__xludf.DUMMYFUNCTION("""COMPUTED_VALUE"""),"#REF!")</f>
        <v>#REF!</v>
      </c>
      <c r="CV192" s="97" t="str">
        <f>IFERROR(__xludf.DUMMYFUNCTION("""COMPUTED_VALUE"""),"#REF!")</f>
        <v>#REF!</v>
      </c>
      <c r="CW192" s="95" t="str">
        <f>IFERROR(__xludf.DUMMYFUNCTION("""COMPUTED_VALUE"""),"#REF!")</f>
        <v>#REF!</v>
      </c>
      <c r="CX192" s="96" t="str">
        <f>IFERROR(__xludf.DUMMYFUNCTION("""COMPUTED_VALUE"""),"#REF!")</f>
        <v>#REF!</v>
      </c>
      <c r="CY192" s="97" t="str">
        <f>IFERROR(__xludf.DUMMYFUNCTION("""COMPUTED_VALUE"""),"#REF!")</f>
        <v>#REF!</v>
      </c>
      <c r="CZ192" s="95" t="str">
        <f>IFERROR(__xludf.DUMMYFUNCTION("""COMPUTED_VALUE"""),"#REF!")</f>
        <v>#REF!</v>
      </c>
      <c r="DA192" s="96" t="str">
        <f>IFERROR(__xludf.DUMMYFUNCTION("""COMPUTED_VALUE"""),"#REF!")</f>
        <v>#REF!</v>
      </c>
      <c r="DB192" s="97" t="str">
        <f>IFERROR(__xludf.DUMMYFUNCTION("""COMPUTED_VALUE"""),"#REF!")</f>
        <v>#REF!</v>
      </c>
      <c r="DC192" s="95" t="str">
        <f>IFERROR(__xludf.DUMMYFUNCTION("""COMPUTED_VALUE"""),"#REF!")</f>
        <v>#REF!</v>
      </c>
      <c r="DD192" s="96" t="str">
        <f>IFERROR(__xludf.DUMMYFUNCTION("""COMPUTED_VALUE"""),"#REF!")</f>
        <v>#REF!</v>
      </c>
      <c r="DE192" s="97" t="str">
        <f>IFERROR(__xludf.DUMMYFUNCTION("""COMPUTED_VALUE"""),"#REF!")</f>
        <v>#REF!</v>
      </c>
      <c r="DF192" s="95" t="str">
        <f>IFERROR(__xludf.DUMMYFUNCTION("""COMPUTED_VALUE"""),"#REF!")</f>
        <v>#REF!</v>
      </c>
      <c r="DG192" s="96" t="str">
        <f>IFERROR(__xludf.DUMMYFUNCTION("""COMPUTED_VALUE"""),"#REF!")</f>
        <v>#REF!</v>
      </c>
      <c r="DH192" s="97" t="str">
        <f>IFERROR(__xludf.DUMMYFUNCTION("""COMPUTED_VALUE"""),"#REF!")</f>
        <v>#REF!</v>
      </c>
      <c r="DI192" s="95" t="str">
        <f>IFERROR(__xludf.DUMMYFUNCTION("""COMPUTED_VALUE"""),"#REF!")</f>
        <v>#REF!</v>
      </c>
      <c r="DJ192" s="96" t="str">
        <f>IFERROR(__xludf.DUMMYFUNCTION("""COMPUTED_VALUE"""),"#REF!")</f>
        <v>#REF!</v>
      </c>
      <c r="DK192" s="97" t="str">
        <f>IFERROR(__xludf.DUMMYFUNCTION("""COMPUTED_VALUE"""),"#REF!")</f>
        <v>#REF!</v>
      </c>
      <c r="DL192" s="95" t="str">
        <f>IFERROR(__xludf.DUMMYFUNCTION("""COMPUTED_VALUE"""),"#REF!")</f>
        <v>#REF!</v>
      </c>
      <c r="DM192" s="96" t="str">
        <f>IFERROR(__xludf.DUMMYFUNCTION("""COMPUTED_VALUE"""),"#REF!")</f>
        <v>#REF!</v>
      </c>
      <c r="DN192" s="97" t="str">
        <f>IFERROR(__xludf.DUMMYFUNCTION("""COMPUTED_VALUE"""),"#REF!")</f>
        <v>#REF!</v>
      </c>
      <c r="DO192" s="95" t="str">
        <f>IFERROR(__xludf.DUMMYFUNCTION("""COMPUTED_VALUE"""),"#REF!")</f>
        <v>#REF!</v>
      </c>
      <c r="DP192" s="96" t="str">
        <f>IFERROR(__xludf.DUMMYFUNCTION("""COMPUTED_VALUE"""),"#REF!")</f>
        <v>#REF!</v>
      </c>
      <c r="DQ192" s="97"/>
      <c r="DR192" s="95"/>
    </row>
    <row r="193">
      <c r="B193" s="120" t="str">
        <f>IFERROR(__xludf.DUMMYFUNCTION("""COMPUTED_VALUE"""),"ANA11")</f>
        <v>ANA11</v>
      </c>
      <c r="C193" s="82">
        <f>IFERROR(__xludf.DUMMYFUNCTION("""COMPUTED_VALUE"""),188.0)</f>
        <v>188</v>
      </c>
      <c r="D193" s="88" t="str">
        <f>IFERROR(__xludf.DUMMYFUNCTION("""COMPUTED_VALUE"""),"Yaga Moscow")</f>
        <v>Yaga Moscow</v>
      </c>
      <c r="E193" s="82" t="str">
        <f>IFERROR(__xludf.DUMMYFUNCTION("""COMPUTED_VALUE"""),"ヤガ・モスクワ")</f>
        <v>ヤガ・モスクワ</v>
      </c>
      <c r="F193" s="102">
        <f>IFERROR(__xludf.DUMMYFUNCTION("""COMPUTED_VALUE"""),21.0)</f>
        <v>21</v>
      </c>
      <c r="G193" s="82">
        <f>IFERROR(__xludf.DUMMYFUNCTION("""COMPUTED_VALUE"""),11192.0)</f>
        <v>11192</v>
      </c>
      <c r="H193" s="231" t="str">
        <f>IFERROR(__xludf.DUMMYFUNCTION("""COMPUTED_VALUE"""),"")</f>
        <v/>
      </c>
      <c r="I193" s="232" t="str">
        <f>IFERROR(__xludf.DUMMYFUNCTION("""COMPUTED_VALUE"""),"")</f>
        <v/>
      </c>
      <c r="J193" s="233" t="str">
        <f>IFERROR(__xludf.DUMMYFUNCTION("""COMPUTED_VALUE"""),"")</f>
        <v/>
      </c>
      <c r="K193" s="231" t="str">
        <f>IFERROR(__xludf.DUMMYFUNCTION("""COMPUTED_VALUE"""),"")</f>
        <v/>
      </c>
      <c r="L193" s="232" t="str">
        <f>IFERROR(__xludf.DUMMYFUNCTION("""COMPUTED_VALUE"""),"")</f>
        <v/>
      </c>
      <c r="M193" s="233" t="str">
        <f>IFERROR(__xludf.DUMMYFUNCTION("""COMPUTED_VALUE"""),"")</f>
        <v/>
      </c>
      <c r="N193" s="231" t="str">
        <f>IFERROR(__xludf.DUMMYFUNCTION("""COMPUTED_VALUE"""),"")</f>
        <v/>
      </c>
      <c r="O193" s="232" t="str">
        <f>IFERROR(__xludf.DUMMYFUNCTION("""COMPUTED_VALUE"""),"")</f>
        <v/>
      </c>
      <c r="P193" s="233" t="str">
        <f>IFERROR(__xludf.DUMMYFUNCTION("""COMPUTED_VALUE"""),"")</f>
        <v/>
      </c>
      <c r="Q193" s="231" t="str">
        <f>IFERROR(__xludf.DUMMYFUNCTION("""COMPUTED_VALUE"""),"")</f>
        <v/>
      </c>
      <c r="R193" s="232" t="str">
        <f>IFERROR(__xludf.DUMMYFUNCTION("""COMPUTED_VALUE"""),"")</f>
        <v/>
      </c>
      <c r="S193" s="233" t="str">
        <f>IFERROR(__xludf.DUMMYFUNCTION("""COMPUTED_VALUE"""),"")</f>
        <v/>
      </c>
      <c r="T193" s="231" t="str">
        <f>IFERROR(__xludf.DUMMYFUNCTION("""COMPUTED_VALUE"""),"")</f>
        <v/>
      </c>
      <c r="U193" s="232" t="str">
        <f>IFERROR(__xludf.DUMMYFUNCTION("""COMPUTED_VALUE"""),"")</f>
        <v/>
      </c>
      <c r="V193" s="233" t="str">
        <f>IFERROR(__xludf.DUMMYFUNCTION("""COMPUTED_VALUE"""),"")</f>
        <v/>
      </c>
      <c r="W193" s="231" t="str">
        <f>IFERROR(__xludf.DUMMYFUNCTION("""COMPUTED_VALUE"""),"")</f>
        <v/>
      </c>
      <c r="X193" s="232" t="str">
        <f>IFERROR(__xludf.DUMMYFUNCTION("""COMPUTED_VALUE"""),"")</f>
        <v/>
      </c>
      <c r="Y193" s="233" t="str">
        <f>IFERROR(__xludf.DUMMYFUNCTION("""COMPUTED_VALUE"""),"")</f>
        <v/>
      </c>
      <c r="Z193" s="231" t="str">
        <f>IFERROR(__xludf.DUMMYFUNCTION("""COMPUTED_VALUE"""),"")</f>
        <v/>
      </c>
      <c r="AA193" s="232" t="str">
        <f>IFERROR(__xludf.DUMMYFUNCTION("""COMPUTED_VALUE"""),"")</f>
        <v/>
      </c>
      <c r="AB193" s="233" t="str">
        <f>IFERROR(__xludf.DUMMYFUNCTION("""COMPUTED_VALUE"""),"")</f>
        <v/>
      </c>
      <c r="AC193" s="231" t="str">
        <f>IFERROR(__xludf.DUMMYFUNCTION("""COMPUTED_VALUE"""),"")</f>
        <v/>
      </c>
      <c r="AD193" s="232" t="str">
        <f>IFERROR(__xludf.DUMMYFUNCTION("""COMPUTED_VALUE"""),"")</f>
        <v/>
      </c>
      <c r="AE193" s="233" t="str">
        <f>IFERROR(__xludf.DUMMYFUNCTION("""COMPUTED_VALUE"""),"")</f>
        <v/>
      </c>
      <c r="AF193" s="231" t="str">
        <f>IFERROR(__xludf.DUMMYFUNCTION("""COMPUTED_VALUE"""),"")</f>
        <v/>
      </c>
      <c r="AG193" s="232" t="str">
        <f>IFERROR(__xludf.DUMMYFUNCTION("""COMPUTED_VALUE"""),"")</f>
        <v/>
      </c>
      <c r="AH193" s="233" t="str">
        <f>IFERROR(__xludf.DUMMYFUNCTION("""COMPUTED_VALUE"""),"")</f>
        <v/>
      </c>
      <c r="AI193" s="231" t="str">
        <f>IFERROR(__xludf.DUMMYFUNCTION("""COMPUTED_VALUE"""),"")</f>
        <v/>
      </c>
      <c r="AJ193" s="232" t="str">
        <f>IFERROR(__xludf.DUMMYFUNCTION("""COMPUTED_VALUE"""),"")</f>
        <v/>
      </c>
      <c r="AK193" s="233" t="str">
        <f>IFERROR(__xludf.DUMMYFUNCTION("""COMPUTED_VALUE"""),"")</f>
        <v/>
      </c>
      <c r="AL193" s="231">
        <f>IFERROR(__xludf.DUMMYFUNCTION("""COMPUTED_VALUE"""),45.5)</f>
        <v>45.5</v>
      </c>
      <c r="AM193" s="232" t="str">
        <f>IFERROR(__xludf.DUMMYFUNCTION("""COMPUTED_VALUE"""),"")</f>
        <v/>
      </c>
      <c r="AN193" s="233" t="str">
        <f>IFERROR(__xludf.DUMMYFUNCTION("""COMPUTED_VALUE"""),"")</f>
        <v/>
      </c>
      <c r="AO193" s="231" t="str">
        <f>IFERROR(__xludf.DUMMYFUNCTION("""COMPUTED_VALUE"""),"")</f>
        <v/>
      </c>
      <c r="AP193" s="232" t="str">
        <f>IFERROR(__xludf.DUMMYFUNCTION("""COMPUTED_VALUE"""),"")</f>
        <v/>
      </c>
      <c r="AQ193" s="233" t="str">
        <f>IFERROR(__xludf.DUMMYFUNCTION("""COMPUTED_VALUE"""),"")</f>
        <v/>
      </c>
      <c r="AR193" s="231" t="str">
        <f>IFERROR(__xludf.DUMMYFUNCTION("""COMPUTED_VALUE"""),"")</f>
        <v/>
      </c>
      <c r="AS193" s="232" t="str">
        <f>IFERROR(__xludf.DUMMYFUNCTION("""COMPUTED_VALUE"""),"")</f>
        <v/>
      </c>
      <c r="AT193" s="233" t="str">
        <f>IFERROR(__xludf.DUMMYFUNCTION("""COMPUTED_VALUE"""),"")</f>
        <v/>
      </c>
      <c r="AU193" s="231" t="str">
        <f>IFERROR(__xludf.DUMMYFUNCTION("""COMPUTED_VALUE"""),"")</f>
        <v/>
      </c>
      <c r="AV193" s="232" t="str">
        <f>IFERROR(__xludf.DUMMYFUNCTION("""COMPUTED_VALUE"""),"")</f>
        <v/>
      </c>
      <c r="AW193" s="233" t="str">
        <f>IFERROR(__xludf.DUMMYFUNCTION("""COMPUTED_VALUE"""),"")</f>
        <v/>
      </c>
      <c r="AX193" s="231" t="str">
        <f>IFERROR(__xludf.DUMMYFUNCTION("""COMPUTED_VALUE"""),"")</f>
        <v/>
      </c>
      <c r="AY193" s="232" t="str">
        <f>IFERROR(__xludf.DUMMYFUNCTION("""COMPUTED_VALUE"""),"")</f>
        <v/>
      </c>
      <c r="AZ193" s="233" t="str">
        <f>IFERROR(__xludf.DUMMYFUNCTION("""COMPUTED_VALUE"""),"")</f>
        <v/>
      </c>
      <c r="BA193" s="231" t="str">
        <f>IFERROR(__xludf.DUMMYFUNCTION("""COMPUTED_VALUE"""),"")</f>
        <v/>
      </c>
      <c r="BB193" s="232" t="str">
        <f>IFERROR(__xludf.DUMMYFUNCTION("""COMPUTED_VALUE"""),"")</f>
        <v/>
      </c>
      <c r="BC193" s="233" t="str">
        <f>IFERROR(__xludf.DUMMYFUNCTION("""COMPUTED_VALUE"""),"")</f>
        <v/>
      </c>
      <c r="BD193" s="231" t="str">
        <f>IFERROR(__xludf.DUMMYFUNCTION("""COMPUTED_VALUE"""),"")</f>
        <v/>
      </c>
      <c r="BE193" s="232" t="str">
        <f>IFERROR(__xludf.DUMMYFUNCTION("""COMPUTED_VALUE"""),"")</f>
        <v/>
      </c>
      <c r="BF193" s="233" t="str">
        <f>IFERROR(__xludf.DUMMYFUNCTION("""COMPUTED_VALUE"""),"")</f>
        <v/>
      </c>
      <c r="BG193" s="231" t="str">
        <f>IFERROR(__xludf.DUMMYFUNCTION("""COMPUTED_VALUE"""),"")</f>
        <v/>
      </c>
      <c r="BH193" s="232" t="str">
        <f>IFERROR(__xludf.DUMMYFUNCTION("""COMPUTED_VALUE"""),"")</f>
        <v/>
      </c>
      <c r="BI193" s="233" t="str">
        <f>IFERROR(__xludf.DUMMYFUNCTION("""COMPUTED_VALUE"""),"")</f>
        <v/>
      </c>
      <c r="BJ193" s="231" t="str">
        <f>IFERROR(__xludf.DUMMYFUNCTION("""COMPUTED_VALUE"""),"")</f>
        <v/>
      </c>
      <c r="BK193" s="232" t="str">
        <f>IFERROR(__xludf.DUMMYFUNCTION("""COMPUTED_VALUE"""),"")</f>
        <v/>
      </c>
      <c r="BL193" s="233" t="str">
        <f>IFERROR(__xludf.DUMMYFUNCTION("""COMPUTED_VALUE"""),"")</f>
        <v/>
      </c>
      <c r="BM193" s="231" t="str">
        <f>IFERROR(__xludf.DUMMYFUNCTION("""COMPUTED_VALUE"""),"")</f>
        <v/>
      </c>
      <c r="BN193" s="232" t="str">
        <f>IFERROR(__xludf.DUMMYFUNCTION("""COMPUTED_VALUE"""),"")</f>
        <v/>
      </c>
      <c r="BO193" s="233">
        <f>IFERROR(__xludf.DUMMYFUNCTION("""COMPUTED_VALUE"""),46.0)</f>
        <v>46</v>
      </c>
      <c r="BP193" s="231" t="str">
        <f>IFERROR(__xludf.DUMMYFUNCTION("""COMPUTED_VALUE"""),"")</f>
        <v/>
      </c>
      <c r="BQ193" s="232" t="str">
        <f>IFERROR(__xludf.DUMMYFUNCTION("""COMPUTED_VALUE"""),"")</f>
        <v/>
      </c>
      <c r="BR193" s="233" t="str">
        <f>IFERROR(__xludf.DUMMYFUNCTION("""COMPUTED_VALUE"""),"")</f>
        <v/>
      </c>
      <c r="BS193" s="231" t="str">
        <f>IFERROR(__xludf.DUMMYFUNCTION("""COMPUTED_VALUE"""),"")</f>
        <v/>
      </c>
      <c r="BT193" s="232" t="str">
        <f>IFERROR(__xludf.DUMMYFUNCTION("""COMPUTED_VALUE"""),"")</f>
        <v/>
      </c>
      <c r="BU193" s="233" t="str">
        <f>IFERROR(__xludf.DUMMYFUNCTION("""COMPUTED_VALUE"""),"")</f>
        <v/>
      </c>
      <c r="BV193" s="231" t="str">
        <f>IFERROR(__xludf.DUMMYFUNCTION("""COMPUTED_VALUE"""),"")</f>
        <v/>
      </c>
      <c r="BW193" s="232" t="str">
        <f>IFERROR(__xludf.DUMMYFUNCTION("""COMPUTED_VALUE"""),"")</f>
        <v/>
      </c>
      <c r="BX193" s="233" t="str">
        <f>IFERROR(__xludf.DUMMYFUNCTION("""COMPUTED_VALUE"""),"")</f>
        <v/>
      </c>
      <c r="BY193" s="231" t="str">
        <f>IFERROR(__xludf.DUMMYFUNCTION("""COMPUTED_VALUE"""),"")</f>
        <v/>
      </c>
      <c r="BZ193" s="232" t="str">
        <f>IFERROR(__xludf.DUMMYFUNCTION("""COMPUTED_VALUE"""),"")</f>
        <v/>
      </c>
      <c r="CA193" s="233" t="str">
        <f>IFERROR(__xludf.DUMMYFUNCTION("""COMPUTED_VALUE"""),"")</f>
        <v/>
      </c>
      <c r="CB193" s="231" t="str">
        <f>IFERROR(__xludf.DUMMYFUNCTION("""COMPUTED_VALUE"""),"")</f>
        <v/>
      </c>
      <c r="CC193" s="232" t="str">
        <f>IFERROR(__xludf.DUMMYFUNCTION("""COMPUTED_VALUE"""),"")</f>
        <v/>
      </c>
      <c r="CD193" s="233" t="str">
        <f>IFERROR(__xludf.DUMMYFUNCTION("""COMPUTED_VALUE"""),"")</f>
        <v/>
      </c>
      <c r="CE193" s="234" t="str">
        <f>IFERROR(__xludf.DUMMYFUNCTION("""COMPUTED_VALUE"""),"")</f>
        <v/>
      </c>
      <c r="CF193" s="230" t="str">
        <f>IFERROR(__xludf.DUMMYFUNCTION("""COMPUTED_VALUE"""),"")</f>
        <v/>
      </c>
      <c r="CG193" s="235" t="str">
        <f>IFERROR(__xludf.DUMMYFUNCTION("""COMPUTED_VALUE"""),"")</f>
        <v/>
      </c>
      <c r="CH193" s="234" t="str">
        <f>IFERROR(__xludf.DUMMYFUNCTION("""COMPUTED_VALUE"""),"")</f>
        <v/>
      </c>
      <c r="CI193" s="230" t="str">
        <f>IFERROR(__xludf.DUMMYFUNCTION("""COMPUTED_VALUE"""),"")</f>
        <v/>
      </c>
      <c r="CJ193" s="235" t="str">
        <f>IFERROR(__xludf.DUMMYFUNCTION("""COMPUTED_VALUE"""),"")</f>
        <v/>
      </c>
      <c r="CK193" s="95" t="str">
        <f>IFERROR(__xludf.DUMMYFUNCTION("""COMPUTED_VALUE"""),"")</f>
        <v/>
      </c>
      <c r="CL193" s="96" t="str">
        <f>IFERROR(__xludf.DUMMYFUNCTION("""COMPUTED_VALUE"""),"")</f>
        <v/>
      </c>
      <c r="CM193" s="97" t="str">
        <f>IFERROR(__xludf.DUMMYFUNCTION("""COMPUTED_VALUE"""),"")</f>
        <v/>
      </c>
      <c r="CN193" s="95" t="str">
        <f>IFERROR(__xludf.DUMMYFUNCTION("""COMPUTED_VALUE"""),"")</f>
        <v/>
      </c>
      <c r="CO193" s="96" t="str">
        <f>IFERROR(__xludf.DUMMYFUNCTION("""COMPUTED_VALUE"""),"")</f>
        <v/>
      </c>
      <c r="CP193" s="97" t="str">
        <f>IFERROR(__xludf.DUMMYFUNCTION("""COMPUTED_VALUE"""),"")</f>
        <v/>
      </c>
      <c r="CQ193" s="95" t="str">
        <f>IFERROR(__xludf.DUMMYFUNCTION("""COMPUTED_VALUE"""),"")</f>
        <v/>
      </c>
      <c r="CR193" s="96" t="str">
        <f>IFERROR(__xludf.DUMMYFUNCTION("""COMPUTED_VALUE"""),"")</f>
        <v/>
      </c>
      <c r="CS193" s="97" t="str">
        <f>IFERROR(__xludf.DUMMYFUNCTION("""COMPUTED_VALUE"""),"#REF!")</f>
        <v>#REF!</v>
      </c>
      <c r="CT193" s="95" t="str">
        <f>IFERROR(__xludf.DUMMYFUNCTION("""COMPUTED_VALUE"""),"#REF!")</f>
        <v>#REF!</v>
      </c>
      <c r="CU193" s="96" t="str">
        <f>IFERROR(__xludf.DUMMYFUNCTION("""COMPUTED_VALUE"""),"#REF!")</f>
        <v>#REF!</v>
      </c>
      <c r="CV193" s="97" t="str">
        <f>IFERROR(__xludf.DUMMYFUNCTION("""COMPUTED_VALUE"""),"#REF!")</f>
        <v>#REF!</v>
      </c>
      <c r="CW193" s="95" t="str">
        <f>IFERROR(__xludf.DUMMYFUNCTION("""COMPUTED_VALUE"""),"#REF!")</f>
        <v>#REF!</v>
      </c>
      <c r="CX193" s="96" t="str">
        <f>IFERROR(__xludf.DUMMYFUNCTION("""COMPUTED_VALUE"""),"#REF!")</f>
        <v>#REF!</v>
      </c>
      <c r="CY193" s="97" t="str">
        <f>IFERROR(__xludf.DUMMYFUNCTION("""COMPUTED_VALUE"""),"#REF!")</f>
        <v>#REF!</v>
      </c>
      <c r="CZ193" s="95" t="str">
        <f>IFERROR(__xludf.DUMMYFUNCTION("""COMPUTED_VALUE"""),"#REF!")</f>
        <v>#REF!</v>
      </c>
      <c r="DA193" s="96" t="str">
        <f>IFERROR(__xludf.DUMMYFUNCTION("""COMPUTED_VALUE"""),"#REF!")</f>
        <v>#REF!</v>
      </c>
      <c r="DB193" s="97" t="str">
        <f>IFERROR(__xludf.DUMMYFUNCTION("""COMPUTED_VALUE"""),"#REF!")</f>
        <v>#REF!</v>
      </c>
      <c r="DC193" s="95" t="str">
        <f>IFERROR(__xludf.DUMMYFUNCTION("""COMPUTED_VALUE"""),"#REF!")</f>
        <v>#REF!</v>
      </c>
      <c r="DD193" s="96" t="str">
        <f>IFERROR(__xludf.DUMMYFUNCTION("""COMPUTED_VALUE"""),"#REF!")</f>
        <v>#REF!</v>
      </c>
      <c r="DE193" s="97" t="str">
        <f>IFERROR(__xludf.DUMMYFUNCTION("""COMPUTED_VALUE"""),"#REF!")</f>
        <v>#REF!</v>
      </c>
      <c r="DF193" s="95" t="str">
        <f>IFERROR(__xludf.DUMMYFUNCTION("""COMPUTED_VALUE"""),"#REF!")</f>
        <v>#REF!</v>
      </c>
      <c r="DG193" s="96" t="str">
        <f>IFERROR(__xludf.DUMMYFUNCTION("""COMPUTED_VALUE"""),"#REF!")</f>
        <v>#REF!</v>
      </c>
      <c r="DH193" s="97" t="str">
        <f>IFERROR(__xludf.DUMMYFUNCTION("""COMPUTED_VALUE"""),"#REF!")</f>
        <v>#REF!</v>
      </c>
      <c r="DI193" s="95" t="str">
        <f>IFERROR(__xludf.DUMMYFUNCTION("""COMPUTED_VALUE"""),"#REF!")</f>
        <v>#REF!</v>
      </c>
      <c r="DJ193" s="96" t="str">
        <f>IFERROR(__xludf.DUMMYFUNCTION("""COMPUTED_VALUE"""),"#REF!")</f>
        <v>#REF!</v>
      </c>
      <c r="DK193" s="97" t="str">
        <f>IFERROR(__xludf.DUMMYFUNCTION("""COMPUTED_VALUE"""),"#REF!")</f>
        <v>#REF!</v>
      </c>
      <c r="DL193" s="95" t="str">
        <f>IFERROR(__xludf.DUMMYFUNCTION("""COMPUTED_VALUE"""),"#REF!")</f>
        <v>#REF!</v>
      </c>
      <c r="DM193" s="96" t="str">
        <f>IFERROR(__xludf.DUMMYFUNCTION("""COMPUTED_VALUE"""),"#REF!")</f>
        <v>#REF!</v>
      </c>
      <c r="DN193" s="97" t="str">
        <f>IFERROR(__xludf.DUMMYFUNCTION("""COMPUTED_VALUE"""),"#REF!")</f>
        <v>#REF!</v>
      </c>
      <c r="DO193" s="95" t="str">
        <f>IFERROR(__xludf.DUMMYFUNCTION("""COMPUTED_VALUE"""),"#REF!")</f>
        <v>#REF!</v>
      </c>
      <c r="DP193" s="96" t="str">
        <f>IFERROR(__xludf.DUMMYFUNCTION("""COMPUTED_VALUE"""),"#REF!")</f>
        <v>#REF!</v>
      </c>
      <c r="DQ193" s="97"/>
      <c r="DR193" s="95"/>
    </row>
    <row r="194">
      <c r="B194" s="120" t="str">
        <f>IFERROR(__xludf.DUMMYFUNCTION("""COMPUTED_VALUE"""),"ANA12")</f>
        <v>ANA12</v>
      </c>
      <c r="C194" s="82">
        <f>IFERROR(__xludf.DUMMYFUNCTION("""COMPUTED_VALUE"""),189.0)</f>
        <v>189</v>
      </c>
      <c r="D194" s="88" t="str">
        <f>IFERROR(__xludf.DUMMYFUNCTION("""COMPUTED_VALUE"""),"Strath Stronghold")</f>
        <v>Strath Stronghold</v>
      </c>
      <c r="E194" s="82" t="str">
        <f>IFERROR(__xludf.DUMMYFUNCTION("""COMPUTED_VALUE"""),"大渓谷の砦")</f>
        <v>大渓谷の砦</v>
      </c>
      <c r="F194" s="102">
        <f>IFERROR(__xludf.DUMMYFUNCTION("""COMPUTED_VALUE"""),21.0)</f>
        <v>21</v>
      </c>
      <c r="G194" s="82">
        <f>IFERROR(__xludf.DUMMYFUNCTION("""COMPUTED_VALUE"""),14193.0)</f>
        <v>14193</v>
      </c>
      <c r="H194" s="231" t="str">
        <f>IFERROR(__xludf.DUMMYFUNCTION("""COMPUTED_VALUE"""),"")</f>
        <v/>
      </c>
      <c r="I194" s="232" t="str">
        <f>IFERROR(__xludf.DUMMYFUNCTION("""COMPUTED_VALUE"""),"")</f>
        <v/>
      </c>
      <c r="J194" s="233" t="str">
        <f>IFERROR(__xludf.DUMMYFUNCTION("""COMPUTED_VALUE"""),"")</f>
        <v/>
      </c>
      <c r="K194" s="231" t="str">
        <f>IFERROR(__xludf.DUMMYFUNCTION("""COMPUTED_VALUE"""),"")</f>
        <v/>
      </c>
      <c r="L194" s="232" t="str">
        <f>IFERROR(__xludf.DUMMYFUNCTION("""COMPUTED_VALUE"""),"")</f>
        <v/>
      </c>
      <c r="M194" s="233" t="str">
        <f>IFERROR(__xludf.DUMMYFUNCTION("""COMPUTED_VALUE"""),"")</f>
        <v/>
      </c>
      <c r="N194" s="231" t="str">
        <f>IFERROR(__xludf.DUMMYFUNCTION("""COMPUTED_VALUE"""),"")</f>
        <v/>
      </c>
      <c r="O194" s="232" t="str">
        <f>IFERROR(__xludf.DUMMYFUNCTION("""COMPUTED_VALUE"""),"")</f>
        <v/>
      </c>
      <c r="P194" s="233" t="str">
        <f>IFERROR(__xludf.DUMMYFUNCTION("""COMPUTED_VALUE"""),"")</f>
        <v/>
      </c>
      <c r="Q194" s="231" t="str">
        <f>IFERROR(__xludf.DUMMYFUNCTION("""COMPUTED_VALUE"""),"")</f>
        <v/>
      </c>
      <c r="R194" s="232" t="str">
        <f>IFERROR(__xludf.DUMMYFUNCTION("""COMPUTED_VALUE"""),"")</f>
        <v/>
      </c>
      <c r="S194" s="233">
        <f>IFERROR(__xludf.DUMMYFUNCTION("""COMPUTED_VALUE"""),10.1)</f>
        <v>10.1</v>
      </c>
      <c r="T194" s="231" t="str">
        <f>IFERROR(__xludf.DUMMYFUNCTION("""COMPUTED_VALUE"""),"")</f>
        <v/>
      </c>
      <c r="U194" s="232" t="str">
        <f>IFERROR(__xludf.DUMMYFUNCTION("""COMPUTED_VALUE"""),"")</f>
        <v/>
      </c>
      <c r="V194" s="233" t="str">
        <f>IFERROR(__xludf.DUMMYFUNCTION("""COMPUTED_VALUE"""),"")</f>
        <v/>
      </c>
      <c r="W194" s="231" t="str">
        <f>IFERROR(__xludf.DUMMYFUNCTION("""COMPUTED_VALUE"""),"")</f>
        <v/>
      </c>
      <c r="X194" s="232" t="str">
        <f>IFERROR(__xludf.DUMMYFUNCTION("""COMPUTED_VALUE"""),"")</f>
        <v/>
      </c>
      <c r="Y194" s="233" t="str">
        <f>IFERROR(__xludf.DUMMYFUNCTION("""COMPUTED_VALUE"""),"")</f>
        <v/>
      </c>
      <c r="Z194" s="231" t="str">
        <f>IFERROR(__xludf.DUMMYFUNCTION("""COMPUTED_VALUE"""),"")</f>
        <v/>
      </c>
      <c r="AA194" s="232" t="str">
        <f>IFERROR(__xludf.DUMMYFUNCTION("""COMPUTED_VALUE"""),"")</f>
        <v/>
      </c>
      <c r="AB194" s="233" t="str">
        <f>IFERROR(__xludf.DUMMYFUNCTION("""COMPUTED_VALUE"""),"")</f>
        <v/>
      </c>
      <c r="AC194" s="231" t="str">
        <f>IFERROR(__xludf.DUMMYFUNCTION("""COMPUTED_VALUE"""),"")</f>
        <v/>
      </c>
      <c r="AD194" s="232" t="str">
        <f>IFERROR(__xludf.DUMMYFUNCTION("""COMPUTED_VALUE"""),"")</f>
        <v/>
      </c>
      <c r="AE194" s="233" t="str">
        <f>IFERROR(__xludf.DUMMYFUNCTION("""COMPUTED_VALUE"""),"")</f>
        <v/>
      </c>
      <c r="AF194" s="231" t="str">
        <f>IFERROR(__xludf.DUMMYFUNCTION("""COMPUTED_VALUE"""),"")</f>
        <v/>
      </c>
      <c r="AG194" s="232" t="str">
        <f>IFERROR(__xludf.DUMMYFUNCTION("""COMPUTED_VALUE"""),"")</f>
        <v/>
      </c>
      <c r="AH194" s="233" t="str">
        <f>IFERROR(__xludf.DUMMYFUNCTION("""COMPUTED_VALUE"""),"")</f>
        <v/>
      </c>
      <c r="AI194" s="231" t="str">
        <f>IFERROR(__xludf.DUMMYFUNCTION("""COMPUTED_VALUE"""),"")</f>
        <v/>
      </c>
      <c r="AJ194" s="232" t="str">
        <f>IFERROR(__xludf.DUMMYFUNCTION("""COMPUTED_VALUE"""),"")</f>
        <v/>
      </c>
      <c r="AK194" s="233" t="str">
        <f>IFERROR(__xludf.DUMMYFUNCTION("""COMPUTED_VALUE"""),"")</f>
        <v/>
      </c>
      <c r="AL194" s="231" t="str">
        <f>IFERROR(__xludf.DUMMYFUNCTION("""COMPUTED_VALUE"""),"")</f>
        <v/>
      </c>
      <c r="AM194" s="232" t="str">
        <f>IFERROR(__xludf.DUMMYFUNCTION("""COMPUTED_VALUE"""),"")</f>
        <v/>
      </c>
      <c r="AN194" s="233" t="str">
        <f>IFERROR(__xludf.DUMMYFUNCTION("""COMPUTED_VALUE"""),"")</f>
        <v/>
      </c>
      <c r="AO194" s="231" t="str">
        <f>IFERROR(__xludf.DUMMYFUNCTION("""COMPUTED_VALUE"""),"")</f>
        <v/>
      </c>
      <c r="AP194" s="232" t="str">
        <f>IFERROR(__xludf.DUMMYFUNCTION("""COMPUTED_VALUE"""),"")</f>
        <v/>
      </c>
      <c r="AQ194" s="233" t="str">
        <f>IFERROR(__xludf.DUMMYFUNCTION("""COMPUTED_VALUE"""),"")</f>
        <v/>
      </c>
      <c r="AR194" s="231" t="str">
        <f>IFERROR(__xludf.DUMMYFUNCTION("""COMPUTED_VALUE"""),"")</f>
        <v/>
      </c>
      <c r="AS194" s="232" t="str">
        <f>IFERROR(__xludf.DUMMYFUNCTION("""COMPUTED_VALUE"""),"")</f>
        <v/>
      </c>
      <c r="AT194" s="233" t="str">
        <f>IFERROR(__xludf.DUMMYFUNCTION("""COMPUTED_VALUE"""),"")</f>
        <v/>
      </c>
      <c r="AU194" s="231" t="str">
        <f>IFERROR(__xludf.DUMMYFUNCTION("""COMPUTED_VALUE"""),"")</f>
        <v/>
      </c>
      <c r="AV194" s="232" t="str">
        <f>IFERROR(__xludf.DUMMYFUNCTION("""COMPUTED_VALUE"""),"")</f>
        <v/>
      </c>
      <c r="AW194" s="233">
        <f>IFERROR(__xludf.DUMMYFUNCTION("""COMPUTED_VALUE"""),29.5)</f>
        <v>29.5</v>
      </c>
      <c r="AX194" s="231" t="str">
        <f>IFERROR(__xludf.DUMMYFUNCTION("""COMPUTED_VALUE"""),"")</f>
        <v/>
      </c>
      <c r="AY194" s="232" t="str">
        <f>IFERROR(__xludf.DUMMYFUNCTION("""COMPUTED_VALUE"""),"")</f>
        <v/>
      </c>
      <c r="AZ194" s="233" t="str">
        <f>IFERROR(__xludf.DUMMYFUNCTION("""COMPUTED_VALUE"""),"")</f>
        <v/>
      </c>
      <c r="BA194" s="231" t="str">
        <f>IFERROR(__xludf.DUMMYFUNCTION("""COMPUTED_VALUE"""),"")</f>
        <v/>
      </c>
      <c r="BB194" s="232">
        <f>IFERROR(__xludf.DUMMYFUNCTION("""COMPUTED_VALUE"""),28.5)</f>
        <v>28.5</v>
      </c>
      <c r="BC194" s="233" t="str">
        <f>IFERROR(__xludf.DUMMYFUNCTION("""COMPUTED_VALUE"""),"")</f>
        <v/>
      </c>
      <c r="BD194" s="231" t="str">
        <f>IFERROR(__xludf.DUMMYFUNCTION("""COMPUTED_VALUE"""),"")</f>
        <v/>
      </c>
      <c r="BE194" s="232" t="str">
        <f>IFERROR(__xludf.DUMMYFUNCTION("""COMPUTED_VALUE"""),"")</f>
        <v/>
      </c>
      <c r="BF194" s="233" t="str">
        <f>IFERROR(__xludf.DUMMYFUNCTION("""COMPUTED_VALUE"""),"")</f>
        <v/>
      </c>
      <c r="BG194" s="231" t="str">
        <f>IFERROR(__xludf.DUMMYFUNCTION("""COMPUTED_VALUE"""),"")</f>
        <v/>
      </c>
      <c r="BH194" s="232">
        <f>IFERROR(__xludf.DUMMYFUNCTION("""COMPUTED_VALUE"""),4.1)</f>
        <v>4.1</v>
      </c>
      <c r="BI194" s="233" t="str">
        <f>IFERROR(__xludf.DUMMYFUNCTION("""COMPUTED_VALUE"""),"")</f>
        <v/>
      </c>
      <c r="BJ194" s="231" t="str">
        <f>IFERROR(__xludf.DUMMYFUNCTION("""COMPUTED_VALUE"""),"")</f>
        <v/>
      </c>
      <c r="BK194" s="232" t="str">
        <f>IFERROR(__xludf.DUMMYFUNCTION("""COMPUTED_VALUE"""),"")</f>
        <v/>
      </c>
      <c r="BL194" s="233" t="str">
        <f>IFERROR(__xludf.DUMMYFUNCTION("""COMPUTED_VALUE"""),"")</f>
        <v/>
      </c>
      <c r="BM194" s="231" t="str">
        <f>IFERROR(__xludf.DUMMYFUNCTION("""COMPUTED_VALUE"""),"")</f>
        <v/>
      </c>
      <c r="BN194" s="232" t="str">
        <f>IFERROR(__xludf.DUMMYFUNCTION("""COMPUTED_VALUE"""),"")</f>
        <v/>
      </c>
      <c r="BO194" s="233" t="str">
        <f>IFERROR(__xludf.DUMMYFUNCTION("""COMPUTED_VALUE"""),"")</f>
        <v/>
      </c>
      <c r="BP194" s="231" t="str">
        <f>IFERROR(__xludf.DUMMYFUNCTION("""COMPUTED_VALUE"""),"")</f>
        <v/>
      </c>
      <c r="BQ194" s="232" t="str">
        <f>IFERROR(__xludf.DUMMYFUNCTION("""COMPUTED_VALUE"""),"")</f>
        <v/>
      </c>
      <c r="BR194" s="233" t="str">
        <f>IFERROR(__xludf.DUMMYFUNCTION("""COMPUTED_VALUE"""),"")</f>
        <v/>
      </c>
      <c r="BS194" s="231" t="str">
        <f>IFERROR(__xludf.DUMMYFUNCTION("""COMPUTED_VALUE"""),"")</f>
        <v/>
      </c>
      <c r="BT194" s="232" t="str">
        <f>IFERROR(__xludf.DUMMYFUNCTION("""COMPUTED_VALUE"""),"")</f>
        <v/>
      </c>
      <c r="BU194" s="233" t="str">
        <f>IFERROR(__xludf.DUMMYFUNCTION("""COMPUTED_VALUE"""),"")</f>
        <v/>
      </c>
      <c r="BV194" s="231">
        <f>IFERROR(__xludf.DUMMYFUNCTION("""COMPUTED_VALUE"""),29.4)</f>
        <v>29.4</v>
      </c>
      <c r="BW194" s="232" t="str">
        <f>IFERROR(__xludf.DUMMYFUNCTION("""COMPUTED_VALUE"""),"")</f>
        <v/>
      </c>
      <c r="BX194" s="233" t="str">
        <f>IFERROR(__xludf.DUMMYFUNCTION("""COMPUTED_VALUE"""),"")</f>
        <v/>
      </c>
      <c r="BY194" s="231" t="str">
        <f>IFERROR(__xludf.DUMMYFUNCTION("""COMPUTED_VALUE"""),"")</f>
        <v/>
      </c>
      <c r="BZ194" s="232" t="str">
        <f>IFERROR(__xludf.DUMMYFUNCTION("""COMPUTED_VALUE"""),"")</f>
        <v/>
      </c>
      <c r="CA194" s="233" t="str">
        <f>IFERROR(__xludf.DUMMYFUNCTION("""COMPUTED_VALUE"""),"")</f>
        <v/>
      </c>
      <c r="CB194" s="231" t="str">
        <f>IFERROR(__xludf.DUMMYFUNCTION("""COMPUTED_VALUE"""),"")</f>
        <v/>
      </c>
      <c r="CC194" s="232" t="str">
        <f>IFERROR(__xludf.DUMMYFUNCTION("""COMPUTED_VALUE"""),"")</f>
        <v/>
      </c>
      <c r="CD194" s="233" t="str">
        <f>IFERROR(__xludf.DUMMYFUNCTION("""COMPUTED_VALUE"""),"")</f>
        <v/>
      </c>
      <c r="CE194" s="234" t="str">
        <f>IFERROR(__xludf.DUMMYFUNCTION("""COMPUTED_VALUE"""),"")</f>
        <v/>
      </c>
      <c r="CF194" s="230" t="str">
        <f>IFERROR(__xludf.DUMMYFUNCTION("""COMPUTED_VALUE"""),"")</f>
        <v/>
      </c>
      <c r="CG194" s="235" t="str">
        <f>IFERROR(__xludf.DUMMYFUNCTION("""COMPUTED_VALUE"""),"")</f>
        <v/>
      </c>
      <c r="CH194" s="234" t="str">
        <f>IFERROR(__xludf.DUMMYFUNCTION("""COMPUTED_VALUE"""),"")</f>
        <v/>
      </c>
      <c r="CI194" s="230" t="str">
        <f>IFERROR(__xludf.DUMMYFUNCTION("""COMPUTED_VALUE"""),"")</f>
        <v/>
      </c>
      <c r="CJ194" s="235" t="str">
        <f>IFERROR(__xludf.DUMMYFUNCTION("""COMPUTED_VALUE"""),"")</f>
        <v/>
      </c>
      <c r="CK194" s="95" t="str">
        <f>IFERROR(__xludf.DUMMYFUNCTION("""COMPUTED_VALUE"""),"")</f>
        <v/>
      </c>
      <c r="CL194" s="96" t="str">
        <f>IFERROR(__xludf.DUMMYFUNCTION("""COMPUTED_VALUE"""),"")</f>
        <v/>
      </c>
      <c r="CM194" s="97" t="str">
        <f>IFERROR(__xludf.DUMMYFUNCTION("""COMPUTED_VALUE"""),"")</f>
        <v/>
      </c>
      <c r="CN194" s="95" t="str">
        <f>IFERROR(__xludf.DUMMYFUNCTION("""COMPUTED_VALUE"""),"")</f>
        <v/>
      </c>
      <c r="CO194" s="96" t="str">
        <f>IFERROR(__xludf.DUMMYFUNCTION("""COMPUTED_VALUE"""),"")</f>
        <v/>
      </c>
      <c r="CP194" s="97" t="str">
        <f>IFERROR(__xludf.DUMMYFUNCTION("""COMPUTED_VALUE"""),"")</f>
        <v/>
      </c>
      <c r="CQ194" s="95">
        <f>IFERROR(__xludf.DUMMYFUNCTION("""COMPUTED_VALUE"""),5.0)</f>
        <v>5</v>
      </c>
      <c r="CR194" s="96" t="str">
        <f>IFERROR(__xludf.DUMMYFUNCTION("""COMPUTED_VALUE"""),"")</f>
        <v/>
      </c>
      <c r="CS194" s="97" t="str">
        <f>IFERROR(__xludf.DUMMYFUNCTION("""COMPUTED_VALUE"""),"#REF!")</f>
        <v>#REF!</v>
      </c>
      <c r="CT194" s="95" t="str">
        <f>IFERROR(__xludf.DUMMYFUNCTION("""COMPUTED_VALUE"""),"#REF!")</f>
        <v>#REF!</v>
      </c>
      <c r="CU194" s="96" t="str">
        <f>IFERROR(__xludf.DUMMYFUNCTION("""COMPUTED_VALUE"""),"#REF!")</f>
        <v>#REF!</v>
      </c>
      <c r="CV194" s="97" t="str">
        <f>IFERROR(__xludf.DUMMYFUNCTION("""COMPUTED_VALUE"""),"#REF!")</f>
        <v>#REF!</v>
      </c>
      <c r="CW194" s="95" t="str">
        <f>IFERROR(__xludf.DUMMYFUNCTION("""COMPUTED_VALUE"""),"#REF!")</f>
        <v>#REF!</v>
      </c>
      <c r="CX194" s="96" t="str">
        <f>IFERROR(__xludf.DUMMYFUNCTION("""COMPUTED_VALUE"""),"#REF!")</f>
        <v>#REF!</v>
      </c>
      <c r="CY194" s="97" t="str">
        <f>IFERROR(__xludf.DUMMYFUNCTION("""COMPUTED_VALUE"""),"#REF!")</f>
        <v>#REF!</v>
      </c>
      <c r="CZ194" s="95" t="str">
        <f>IFERROR(__xludf.DUMMYFUNCTION("""COMPUTED_VALUE"""),"#REF!")</f>
        <v>#REF!</v>
      </c>
      <c r="DA194" s="96" t="str">
        <f>IFERROR(__xludf.DUMMYFUNCTION("""COMPUTED_VALUE"""),"#REF!")</f>
        <v>#REF!</v>
      </c>
      <c r="DB194" s="97" t="str">
        <f>IFERROR(__xludf.DUMMYFUNCTION("""COMPUTED_VALUE"""),"#REF!")</f>
        <v>#REF!</v>
      </c>
      <c r="DC194" s="95" t="str">
        <f>IFERROR(__xludf.DUMMYFUNCTION("""COMPUTED_VALUE"""),"#REF!")</f>
        <v>#REF!</v>
      </c>
      <c r="DD194" s="96" t="str">
        <f>IFERROR(__xludf.DUMMYFUNCTION("""COMPUTED_VALUE"""),"#REF!")</f>
        <v>#REF!</v>
      </c>
      <c r="DE194" s="97" t="str">
        <f>IFERROR(__xludf.DUMMYFUNCTION("""COMPUTED_VALUE"""),"#REF!")</f>
        <v>#REF!</v>
      </c>
      <c r="DF194" s="95" t="str">
        <f>IFERROR(__xludf.DUMMYFUNCTION("""COMPUTED_VALUE"""),"#REF!")</f>
        <v>#REF!</v>
      </c>
      <c r="DG194" s="96" t="str">
        <f>IFERROR(__xludf.DUMMYFUNCTION("""COMPUTED_VALUE"""),"#REF!")</f>
        <v>#REF!</v>
      </c>
      <c r="DH194" s="97" t="str">
        <f>IFERROR(__xludf.DUMMYFUNCTION("""COMPUTED_VALUE"""),"#REF!")</f>
        <v>#REF!</v>
      </c>
      <c r="DI194" s="95" t="str">
        <f>IFERROR(__xludf.DUMMYFUNCTION("""COMPUTED_VALUE"""),"#REF!")</f>
        <v>#REF!</v>
      </c>
      <c r="DJ194" s="96" t="str">
        <f>IFERROR(__xludf.DUMMYFUNCTION("""COMPUTED_VALUE"""),"#REF!")</f>
        <v>#REF!</v>
      </c>
      <c r="DK194" s="97" t="str">
        <f>IFERROR(__xludf.DUMMYFUNCTION("""COMPUTED_VALUE"""),"#REF!")</f>
        <v>#REF!</v>
      </c>
      <c r="DL194" s="95" t="str">
        <f>IFERROR(__xludf.DUMMYFUNCTION("""COMPUTED_VALUE"""),"#REF!")</f>
        <v>#REF!</v>
      </c>
      <c r="DM194" s="96" t="str">
        <f>IFERROR(__xludf.DUMMYFUNCTION("""COMPUTED_VALUE"""),"#REF!")</f>
        <v>#REF!</v>
      </c>
      <c r="DN194" s="97" t="str">
        <f>IFERROR(__xludf.DUMMYFUNCTION("""COMPUTED_VALUE"""),"#REF!")</f>
        <v>#REF!</v>
      </c>
      <c r="DO194" s="95" t="str">
        <f>IFERROR(__xludf.DUMMYFUNCTION("""COMPUTED_VALUE"""),"#REF!")</f>
        <v>#REF!</v>
      </c>
      <c r="DP194" s="96" t="str">
        <f>IFERROR(__xludf.DUMMYFUNCTION("""COMPUTED_VALUE"""),"#REF!")</f>
        <v>#REF!</v>
      </c>
      <c r="DQ194" s="97"/>
      <c r="DR194" s="95"/>
    </row>
    <row r="195">
      <c r="B195" s="120" t="str">
        <f>IFERROR(__xludf.DUMMYFUNCTION("""COMPUTED_VALUE"""),"ANA13")</f>
        <v>ANA13</v>
      </c>
      <c r="C195" s="82">
        <f>IFERROR(__xludf.DUMMYFUNCTION("""COMPUTED_VALUE"""),190.0)</f>
        <v>190</v>
      </c>
      <c r="D195" s="88" t="str">
        <f>IFERROR(__xludf.DUMMYFUNCTION("""COMPUTED_VALUE"""),"Base of the Great Tree")</f>
        <v>Base of the Great Tree</v>
      </c>
      <c r="E195" s="82" t="str">
        <f>IFERROR(__xludf.DUMMYFUNCTION("""COMPUTED_VALUE"""),"大樹の根元")</f>
        <v>大樹の根元</v>
      </c>
      <c r="F195" s="102">
        <f>IFERROR(__xludf.DUMMYFUNCTION("""COMPUTED_VALUE"""),21.0)</f>
        <v>21</v>
      </c>
      <c r="G195" s="82">
        <f>IFERROR(__xludf.DUMMYFUNCTION("""COMPUTED_VALUE"""),13743.0)</f>
        <v>13743</v>
      </c>
      <c r="H195" s="231" t="str">
        <f>IFERROR(__xludf.DUMMYFUNCTION("""COMPUTED_VALUE"""),"")</f>
        <v/>
      </c>
      <c r="I195" s="232" t="str">
        <f>IFERROR(__xludf.DUMMYFUNCTION("""COMPUTED_VALUE"""),"")</f>
        <v/>
      </c>
      <c r="J195" s="233" t="str">
        <f>IFERROR(__xludf.DUMMYFUNCTION("""COMPUTED_VALUE"""),"")</f>
        <v/>
      </c>
      <c r="K195" s="231" t="str">
        <f>IFERROR(__xludf.DUMMYFUNCTION("""COMPUTED_VALUE"""),"")</f>
        <v/>
      </c>
      <c r="L195" s="232" t="str">
        <f>IFERROR(__xludf.DUMMYFUNCTION("""COMPUTED_VALUE"""),"")</f>
        <v/>
      </c>
      <c r="M195" s="233" t="str">
        <f>IFERROR(__xludf.DUMMYFUNCTION("""COMPUTED_VALUE"""),"")</f>
        <v/>
      </c>
      <c r="N195" s="231" t="str">
        <f>IFERROR(__xludf.DUMMYFUNCTION("""COMPUTED_VALUE"""),"")</f>
        <v/>
      </c>
      <c r="O195" s="232" t="str">
        <f>IFERROR(__xludf.DUMMYFUNCTION("""COMPUTED_VALUE"""),"")</f>
        <v/>
      </c>
      <c r="P195" s="233" t="str">
        <f>IFERROR(__xludf.DUMMYFUNCTION("""COMPUTED_VALUE"""),"")</f>
        <v/>
      </c>
      <c r="Q195" s="231" t="str">
        <f>IFERROR(__xludf.DUMMYFUNCTION("""COMPUTED_VALUE"""),"")</f>
        <v/>
      </c>
      <c r="R195" s="232" t="str">
        <f>IFERROR(__xludf.DUMMYFUNCTION("""COMPUTED_VALUE"""),"")</f>
        <v/>
      </c>
      <c r="S195" s="233" t="str">
        <f>IFERROR(__xludf.DUMMYFUNCTION("""COMPUTED_VALUE"""),"")</f>
        <v/>
      </c>
      <c r="T195" s="231" t="str">
        <f>IFERROR(__xludf.DUMMYFUNCTION("""COMPUTED_VALUE"""),"")</f>
        <v/>
      </c>
      <c r="U195" s="232" t="str">
        <f>IFERROR(__xludf.DUMMYFUNCTION("""COMPUTED_VALUE"""),"")</f>
        <v/>
      </c>
      <c r="V195" s="233" t="str">
        <f>IFERROR(__xludf.DUMMYFUNCTION("""COMPUTED_VALUE"""),"")</f>
        <v/>
      </c>
      <c r="W195" s="231" t="str">
        <f>IFERROR(__xludf.DUMMYFUNCTION("""COMPUTED_VALUE"""),"")</f>
        <v/>
      </c>
      <c r="X195" s="232" t="str">
        <f>IFERROR(__xludf.DUMMYFUNCTION("""COMPUTED_VALUE"""),"")</f>
        <v/>
      </c>
      <c r="Y195" s="233" t="str">
        <f>IFERROR(__xludf.DUMMYFUNCTION("""COMPUTED_VALUE"""),"")</f>
        <v/>
      </c>
      <c r="Z195" s="231" t="str">
        <f>IFERROR(__xludf.DUMMYFUNCTION("""COMPUTED_VALUE"""),"")</f>
        <v/>
      </c>
      <c r="AA195" s="232" t="str">
        <f>IFERROR(__xludf.DUMMYFUNCTION("""COMPUTED_VALUE"""),"")</f>
        <v/>
      </c>
      <c r="AB195" s="233" t="str">
        <f>IFERROR(__xludf.DUMMYFUNCTION("""COMPUTED_VALUE"""),"")</f>
        <v/>
      </c>
      <c r="AC195" s="231" t="str">
        <f>IFERROR(__xludf.DUMMYFUNCTION("""COMPUTED_VALUE"""),"")</f>
        <v/>
      </c>
      <c r="AD195" s="232" t="str">
        <f>IFERROR(__xludf.DUMMYFUNCTION("""COMPUTED_VALUE"""),"")</f>
        <v/>
      </c>
      <c r="AE195" s="233" t="str">
        <f>IFERROR(__xludf.DUMMYFUNCTION("""COMPUTED_VALUE"""),"")</f>
        <v/>
      </c>
      <c r="AF195" s="231" t="str">
        <f>IFERROR(__xludf.DUMMYFUNCTION("""COMPUTED_VALUE"""),"")</f>
        <v/>
      </c>
      <c r="AG195" s="232" t="str">
        <f>IFERROR(__xludf.DUMMYFUNCTION("""COMPUTED_VALUE"""),"")</f>
        <v/>
      </c>
      <c r="AH195" s="233" t="str">
        <f>IFERROR(__xludf.DUMMYFUNCTION("""COMPUTED_VALUE"""),"")</f>
        <v/>
      </c>
      <c r="AI195" s="231" t="str">
        <f>IFERROR(__xludf.DUMMYFUNCTION("""COMPUTED_VALUE"""),"")</f>
        <v/>
      </c>
      <c r="AJ195" s="232" t="str">
        <f>IFERROR(__xludf.DUMMYFUNCTION("""COMPUTED_VALUE"""),"")</f>
        <v/>
      </c>
      <c r="AK195" s="233" t="str">
        <f>IFERROR(__xludf.DUMMYFUNCTION("""COMPUTED_VALUE"""),"")</f>
        <v/>
      </c>
      <c r="AL195" s="231">
        <f>IFERROR(__xludf.DUMMYFUNCTION("""COMPUTED_VALUE"""),20.0)</f>
        <v>20</v>
      </c>
      <c r="AM195" s="232" t="str">
        <f>IFERROR(__xludf.DUMMYFUNCTION("""COMPUTED_VALUE"""),"")</f>
        <v/>
      </c>
      <c r="AN195" s="233" t="str">
        <f>IFERROR(__xludf.DUMMYFUNCTION("""COMPUTED_VALUE"""),"")</f>
        <v/>
      </c>
      <c r="AO195" s="231" t="str">
        <f>IFERROR(__xludf.DUMMYFUNCTION("""COMPUTED_VALUE"""),"")</f>
        <v/>
      </c>
      <c r="AP195" s="232" t="str">
        <f>IFERROR(__xludf.DUMMYFUNCTION("""COMPUTED_VALUE"""),"")</f>
        <v/>
      </c>
      <c r="AQ195" s="233" t="str">
        <f>IFERROR(__xludf.DUMMYFUNCTION("""COMPUTED_VALUE"""),"")</f>
        <v/>
      </c>
      <c r="AR195" s="231" t="str">
        <f>IFERROR(__xludf.DUMMYFUNCTION("""COMPUTED_VALUE"""),"")</f>
        <v/>
      </c>
      <c r="AS195" s="232" t="str">
        <f>IFERROR(__xludf.DUMMYFUNCTION("""COMPUTED_VALUE"""),"")</f>
        <v/>
      </c>
      <c r="AT195" s="233" t="str">
        <f>IFERROR(__xludf.DUMMYFUNCTION("""COMPUTED_VALUE"""),"")</f>
        <v/>
      </c>
      <c r="AU195" s="231" t="str">
        <f>IFERROR(__xludf.DUMMYFUNCTION("""COMPUTED_VALUE"""),"")</f>
        <v/>
      </c>
      <c r="AV195" s="232" t="str">
        <f>IFERROR(__xludf.DUMMYFUNCTION("""COMPUTED_VALUE"""),"")</f>
        <v/>
      </c>
      <c r="AW195" s="233">
        <f>IFERROR(__xludf.DUMMYFUNCTION("""COMPUTED_VALUE"""),30.0)</f>
        <v>30</v>
      </c>
      <c r="AX195" s="231" t="str">
        <f>IFERROR(__xludf.DUMMYFUNCTION("""COMPUTED_VALUE"""),"")</f>
        <v/>
      </c>
      <c r="AY195" s="232">
        <f>IFERROR(__xludf.DUMMYFUNCTION("""COMPUTED_VALUE"""),29.4)</f>
        <v>29.4</v>
      </c>
      <c r="AZ195" s="233" t="str">
        <f>IFERROR(__xludf.DUMMYFUNCTION("""COMPUTED_VALUE"""),"")</f>
        <v/>
      </c>
      <c r="BA195" s="231" t="str">
        <f>IFERROR(__xludf.DUMMYFUNCTION("""COMPUTED_VALUE"""),"")</f>
        <v/>
      </c>
      <c r="BB195" s="232" t="str">
        <f>IFERROR(__xludf.DUMMYFUNCTION("""COMPUTED_VALUE"""),"")</f>
        <v/>
      </c>
      <c r="BC195" s="233" t="str">
        <f>IFERROR(__xludf.DUMMYFUNCTION("""COMPUTED_VALUE"""),"")</f>
        <v/>
      </c>
      <c r="BD195" s="231" t="str">
        <f>IFERROR(__xludf.DUMMYFUNCTION("""COMPUTED_VALUE"""),"")</f>
        <v/>
      </c>
      <c r="BE195" s="232" t="str">
        <f>IFERROR(__xludf.DUMMYFUNCTION("""COMPUTED_VALUE"""),"")</f>
        <v/>
      </c>
      <c r="BF195" s="233" t="str">
        <f>IFERROR(__xludf.DUMMYFUNCTION("""COMPUTED_VALUE"""),"")</f>
        <v/>
      </c>
      <c r="BG195" s="231" t="str">
        <f>IFERROR(__xludf.DUMMYFUNCTION("""COMPUTED_VALUE"""),"")</f>
        <v/>
      </c>
      <c r="BH195" s="232" t="str">
        <f>IFERROR(__xludf.DUMMYFUNCTION("""COMPUTED_VALUE"""),"")</f>
        <v/>
      </c>
      <c r="BI195" s="233" t="str">
        <f>IFERROR(__xludf.DUMMYFUNCTION("""COMPUTED_VALUE"""),"")</f>
        <v/>
      </c>
      <c r="BJ195" s="231" t="str">
        <f>IFERROR(__xludf.DUMMYFUNCTION("""COMPUTED_VALUE"""),"")</f>
        <v/>
      </c>
      <c r="BK195" s="232" t="str">
        <f>IFERROR(__xludf.DUMMYFUNCTION("""COMPUTED_VALUE"""),"")</f>
        <v/>
      </c>
      <c r="BL195" s="233" t="str">
        <f>IFERROR(__xludf.DUMMYFUNCTION("""COMPUTED_VALUE"""),"")</f>
        <v/>
      </c>
      <c r="BM195" s="231" t="str">
        <f>IFERROR(__xludf.DUMMYFUNCTION("""COMPUTED_VALUE"""),"")</f>
        <v/>
      </c>
      <c r="BN195" s="232" t="str">
        <f>IFERROR(__xludf.DUMMYFUNCTION("""COMPUTED_VALUE"""),"")</f>
        <v/>
      </c>
      <c r="BO195" s="233">
        <f>IFERROR(__xludf.DUMMYFUNCTION("""COMPUTED_VALUE"""),19.5)</f>
        <v>19.5</v>
      </c>
      <c r="BP195" s="231" t="str">
        <f>IFERROR(__xludf.DUMMYFUNCTION("""COMPUTED_VALUE"""),"")</f>
        <v/>
      </c>
      <c r="BQ195" s="232" t="str">
        <f>IFERROR(__xludf.DUMMYFUNCTION("""COMPUTED_VALUE"""),"")</f>
        <v/>
      </c>
      <c r="BR195" s="233" t="str">
        <f>IFERROR(__xludf.DUMMYFUNCTION("""COMPUTED_VALUE"""),"")</f>
        <v/>
      </c>
      <c r="BS195" s="231">
        <f>IFERROR(__xludf.DUMMYFUNCTION("""COMPUTED_VALUE"""),21.1)</f>
        <v>21.1</v>
      </c>
      <c r="BT195" s="232" t="str">
        <f>IFERROR(__xludf.DUMMYFUNCTION("""COMPUTED_VALUE"""),"")</f>
        <v/>
      </c>
      <c r="BU195" s="233" t="str">
        <f>IFERROR(__xludf.DUMMYFUNCTION("""COMPUTED_VALUE"""),"")</f>
        <v/>
      </c>
      <c r="BV195" s="231" t="str">
        <f>IFERROR(__xludf.DUMMYFUNCTION("""COMPUTED_VALUE"""),"")</f>
        <v/>
      </c>
      <c r="BW195" s="232" t="str">
        <f>IFERROR(__xludf.DUMMYFUNCTION("""COMPUTED_VALUE"""),"")</f>
        <v/>
      </c>
      <c r="BX195" s="233" t="str">
        <f>IFERROR(__xludf.DUMMYFUNCTION("""COMPUTED_VALUE"""),"")</f>
        <v/>
      </c>
      <c r="BY195" s="231" t="str">
        <f>IFERROR(__xludf.DUMMYFUNCTION("""COMPUTED_VALUE"""),"")</f>
        <v/>
      </c>
      <c r="BZ195" s="232" t="str">
        <f>IFERROR(__xludf.DUMMYFUNCTION("""COMPUTED_VALUE"""),"")</f>
        <v/>
      </c>
      <c r="CA195" s="233" t="str">
        <f>IFERROR(__xludf.DUMMYFUNCTION("""COMPUTED_VALUE"""),"")</f>
        <v/>
      </c>
      <c r="CB195" s="231" t="str">
        <f>IFERROR(__xludf.DUMMYFUNCTION("""COMPUTED_VALUE"""),"")</f>
        <v/>
      </c>
      <c r="CC195" s="232" t="str">
        <f>IFERROR(__xludf.DUMMYFUNCTION("""COMPUTED_VALUE"""),"")</f>
        <v/>
      </c>
      <c r="CD195" s="233" t="str">
        <f>IFERROR(__xludf.DUMMYFUNCTION("""COMPUTED_VALUE"""),"")</f>
        <v/>
      </c>
      <c r="CE195" s="234" t="str">
        <f>IFERROR(__xludf.DUMMYFUNCTION("""COMPUTED_VALUE"""),"")</f>
        <v/>
      </c>
      <c r="CF195" s="230" t="str">
        <f>IFERROR(__xludf.DUMMYFUNCTION("""COMPUTED_VALUE"""),"")</f>
        <v/>
      </c>
      <c r="CG195" s="235" t="str">
        <f>IFERROR(__xludf.DUMMYFUNCTION("""COMPUTED_VALUE"""),"")</f>
        <v/>
      </c>
      <c r="CH195" s="234" t="str">
        <f>IFERROR(__xludf.DUMMYFUNCTION("""COMPUTED_VALUE"""),"")</f>
        <v/>
      </c>
      <c r="CI195" s="230" t="str">
        <f>IFERROR(__xludf.DUMMYFUNCTION("""COMPUTED_VALUE"""),"")</f>
        <v/>
      </c>
      <c r="CJ195" s="235" t="str">
        <f>IFERROR(__xludf.DUMMYFUNCTION("""COMPUTED_VALUE"""),"")</f>
        <v/>
      </c>
      <c r="CK195" s="95" t="str">
        <f>IFERROR(__xludf.DUMMYFUNCTION("""COMPUTED_VALUE"""),"")</f>
        <v/>
      </c>
      <c r="CL195" s="96" t="str">
        <f>IFERROR(__xludf.DUMMYFUNCTION("""COMPUTED_VALUE"""),"")</f>
        <v/>
      </c>
      <c r="CM195" s="97" t="str">
        <f>IFERROR(__xludf.DUMMYFUNCTION("""COMPUTED_VALUE"""),"")</f>
        <v/>
      </c>
      <c r="CN195" s="95" t="str">
        <f>IFERROR(__xludf.DUMMYFUNCTION("""COMPUTED_VALUE"""),"")</f>
        <v/>
      </c>
      <c r="CO195" s="96" t="str">
        <f>IFERROR(__xludf.DUMMYFUNCTION("""COMPUTED_VALUE"""),"")</f>
        <v/>
      </c>
      <c r="CP195" s="97" t="str">
        <f>IFERROR(__xludf.DUMMYFUNCTION("""COMPUTED_VALUE"""),"")</f>
        <v/>
      </c>
      <c r="CQ195" s="95" t="str">
        <f>IFERROR(__xludf.DUMMYFUNCTION("""COMPUTED_VALUE"""),"")</f>
        <v/>
      </c>
      <c r="CR195" s="96" t="str">
        <f>IFERROR(__xludf.DUMMYFUNCTION("""COMPUTED_VALUE"""),"")</f>
        <v/>
      </c>
      <c r="CS195" s="97" t="str">
        <f>IFERROR(__xludf.DUMMYFUNCTION("""COMPUTED_VALUE"""),"#REF!")</f>
        <v>#REF!</v>
      </c>
      <c r="CT195" s="95" t="str">
        <f>IFERROR(__xludf.DUMMYFUNCTION("""COMPUTED_VALUE"""),"#REF!")</f>
        <v>#REF!</v>
      </c>
      <c r="CU195" s="96" t="str">
        <f>IFERROR(__xludf.DUMMYFUNCTION("""COMPUTED_VALUE"""),"#REF!")</f>
        <v>#REF!</v>
      </c>
      <c r="CV195" s="97" t="str">
        <f>IFERROR(__xludf.DUMMYFUNCTION("""COMPUTED_VALUE"""),"#REF!")</f>
        <v>#REF!</v>
      </c>
      <c r="CW195" s="95" t="str">
        <f>IFERROR(__xludf.DUMMYFUNCTION("""COMPUTED_VALUE"""),"#REF!")</f>
        <v>#REF!</v>
      </c>
      <c r="CX195" s="96" t="str">
        <f>IFERROR(__xludf.DUMMYFUNCTION("""COMPUTED_VALUE"""),"#REF!")</f>
        <v>#REF!</v>
      </c>
      <c r="CY195" s="97" t="str">
        <f>IFERROR(__xludf.DUMMYFUNCTION("""COMPUTED_VALUE"""),"#REF!")</f>
        <v>#REF!</v>
      </c>
      <c r="CZ195" s="95" t="str">
        <f>IFERROR(__xludf.DUMMYFUNCTION("""COMPUTED_VALUE"""),"#REF!")</f>
        <v>#REF!</v>
      </c>
      <c r="DA195" s="96" t="str">
        <f>IFERROR(__xludf.DUMMYFUNCTION("""COMPUTED_VALUE"""),"#REF!")</f>
        <v>#REF!</v>
      </c>
      <c r="DB195" s="97" t="str">
        <f>IFERROR(__xludf.DUMMYFUNCTION("""COMPUTED_VALUE"""),"#REF!")</f>
        <v>#REF!</v>
      </c>
      <c r="DC195" s="95" t="str">
        <f>IFERROR(__xludf.DUMMYFUNCTION("""COMPUTED_VALUE"""),"#REF!")</f>
        <v>#REF!</v>
      </c>
      <c r="DD195" s="96" t="str">
        <f>IFERROR(__xludf.DUMMYFUNCTION("""COMPUTED_VALUE"""),"#REF!")</f>
        <v>#REF!</v>
      </c>
      <c r="DE195" s="97" t="str">
        <f>IFERROR(__xludf.DUMMYFUNCTION("""COMPUTED_VALUE"""),"#REF!")</f>
        <v>#REF!</v>
      </c>
      <c r="DF195" s="95" t="str">
        <f>IFERROR(__xludf.DUMMYFUNCTION("""COMPUTED_VALUE"""),"#REF!")</f>
        <v>#REF!</v>
      </c>
      <c r="DG195" s="96" t="str">
        <f>IFERROR(__xludf.DUMMYFUNCTION("""COMPUTED_VALUE"""),"#REF!")</f>
        <v>#REF!</v>
      </c>
      <c r="DH195" s="97" t="str">
        <f>IFERROR(__xludf.DUMMYFUNCTION("""COMPUTED_VALUE"""),"#REF!")</f>
        <v>#REF!</v>
      </c>
      <c r="DI195" s="95" t="str">
        <f>IFERROR(__xludf.DUMMYFUNCTION("""COMPUTED_VALUE"""),"#REF!")</f>
        <v>#REF!</v>
      </c>
      <c r="DJ195" s="96" t="str">
        <f>IFERROR(__xludf.DUMMYFUNCTION("""COMPUTED_VALUE"""),"#REF!")</f>
        <v>#REF!</v>
      </c>
      <c r="DK195" s="97" t="str">
        <f>IFERROR(__xludf.DUMMYFUNCTION("""COMPUTED_VALUE"""),"#REF!")</f>
        <v>#REF!</v>
      </c>
      <c r="DL195" s="95" t="str">
        <f>IFERROR(__xludf.DUMMYFUNCTION("""COMPUTED_VALUE"""),"#REF!")</f>
        <v>#REF!</v>
      </c>
      <c r="DM195" s="96" t="str">
        <f>IFERROR(__xludf.DUMMYFUNCTION("""COMPUTED_VALUE"""),"#REF!")</f>
        <v>#REF!</v>
      </c>
      <c r="DN195" s="97" t="str">
        <f>IFERROR(__xludf.DUMMYFUNCTION("""COMPUTED_VALUE"""),"#REF!")</f>
        <v>#REF!</v>
      </c>
      <c r="DO195" s="95" t="str">
        <f>IFERROR(__xludf.DUMMYFUNCTION("""COMPUTED_VALUE"""),"#REF!")</f>
        <v>#REF!</v>
      </c>
      <c r="DP195" s="96" t="str">
        <f>IFERROR(__xludf.DUMMYFUNCTION("""COMPUTED_VALUE"""),"#REF!")</f>
        <v>#REF!</v>
      </c>
      <c r="DQ195" s="97"/>
      <c r="DR195" s="95"/>
    </row>
    <row r="196">
      <c r="B196" s="120" t="str">
        <f>IFERROR(__xludf.DUMMYFUNCTION("""COMPUTED_VALUE"""),"ANA14")</f>
        <v>ANA14</v>
      </c>
      <c r="C196" s="82">
        <f>IFERROR(__xludf.DUMMYFUNCTION("""COMPUTED_VALUE"""),191.0)</f>
        <v>191</v>
      </c>
      <c r="D196" s="88" t="str">
        <f>IFERROR(__xludf.DUMMYFUNCTION("""COMPUTED_VALUE"""),"Yaga Ryazan")</f>
        <v>Yaga Ryazan</v>
      </c>
      <c r="E196" s="82" t="str">
        <f>IFERROR(__xludf.DUMMYFUNCTION("""COMPUTED_VALUE"""),"ヤガ・リャザン")</f>
        <v>ヤガ・リャザン</v>
      </c>
      <c r="F196" s="102">
        <f>IFERROR(__xludf.DUMMYFUNCTION("""COMPUTED_VALUE"""),21.0)</f>
        <v>21</v>
      </c>
      <c r="G196" s="82">
        <f>IFERROR(__xludf.DUMMYFUNCTION("""COMPUTED_VALUE"""),23979.0)</f>
        <v>23979</v>
      </c>
      <c r="H196" s="231">
        <f>IFERROR(__xludf.DUMMYFUNCTION("""COMPUTED_VALUE"""),20.6)</f>
        <v>20.6</v>
      </c>
      <c r="I196" s="232" t="str">
        <f>IFERROR(__xludf.DUMMYFUNCTION("""COMPUTED_VALUE"""),"")</f>
        <v/>
      </c>
      <c r="J196" s="233" t="str">
        <f>IFERROR(__xludf.DUMMYFUNCTION("""COMPUTED_VALUE"""),"")</f>
        <v/>
      </c>
      <c r="K196" s="231" t="str">
        <f>IFERROR(__xludf.DUMMYFUNCTION("""COMPUTED_VALUE"""),"")</f>
        <v/>
      </c>
      <c r="L196" s="232" t="str">
        <f>IFERROR(__xludf.DUMMYFUNCTION("""COMPUTED_VALUE"""),"")</f>
        <v/>
      </c>
      <c r="M196" s="233" t="str">
        <f>IFERROR(__xludf.DUMMYFUNCTION("""COMPUTED_VALUE"""),"")</f>
        <v/>
      </c>
      <c r="N196" s="231" t="str">
        <f>IFERROR(__xludf.DUMMYFUNCTION("""COMPUTED_VALUE"""),"")</f>
        <v/>
      </c>
      <c r="O196" s="232" t="str">
        <f>IFERROR(__xludf.DUMMYFUNCTION("""COMPUTED_VALUE"""),"")</f>
        <v/>
      </c>
      <c r="P196" s="233" t="str">
        <f>IFERROR(__xludf.DUMMYFUNCTION("""COMPUTED_VALUE"""),"")</f>
        <v/>
      </c>
      <c r="Q196" s="231" t="str">
        <f>IFERROR(__xludf.DUMMYFUNCTION("""COMPUTED_VALUE"""),"")</f>
        <v/>
      </c>
      <c r="R196" s="232" t="str">
        <f>IFERROR(__xludf.DUMMYFUNCTION("""COMPUTED_VALUE"""),"")</f>
        <v/>
      </c>
      <c r="S196" s="233" t="str">
        <f>IFERROR(__xludf.DUMMYFUNCTION("""COMPUTED_VALUE"""),"")</f>
        <v/>
      </c>
      <c r="T196" s="231" t="str">
        <f>IFERROR(__xludf.DUMMYFUNCTION("""COMPUTED_VALUE"""),"")</f>
        <v/>
      </c>
      <c r="U196" s="232" t="str">
        <f>IFERROR(__xludf.DUMMYFUNCTION("""COMPUTED_VALUE"""),"")</f>
        <v/>
      </c>
      <c r="V196" s="233" t="str">
        <f>IFERROR(__xludf.DUMMYFUNCTION("""COMPUTED_VALUE"""),"")</f>
        <v/>
      </c>
      <c r="W196" s="231" t="str">
        <f>IFERROR(__xludf.DUMMYFUNCTION("""COMPUTED_VALUE"""),"")</f>
        <v/>
      </c>
      <c r="X196" s="232" t="str">
        <f>IFERROR(__xludf.DUMMYFUNCTION("""COMPUTED_VALUE"""),"")</f>
        <v/>
      </c>
      <c r="Y196" s="233" t="str">
        <f>IFERROR(__xludf.DUMMYFUNCTION("""COMPUTED_VALUE"""),"")</f>
        <v/>
      </c>
      <c r="Z196" s="231" t="str">
        <f>IFERROR(__xludf.DUMMYFUNCTION("""COMPUTED_VALUE"""),"")</f>
        <v/>
      </c>
      <c r="AA196" s="232" t="str">
        <f>IFERROR(__xludf.DUMMYFUNCTION("""COMPUTED_VALUE"""),"")</f>
        <v/>
      </c>
      <c r="AB196" s="233" t="str">
        <f>IFERROR(__xludf.DUMMYFUNCTION("""COMPUTED_VALUE"""),"")</f>
        <v/>
      </c>
      <c r="AC196" s="231" t="str">
        <f>IFERROR(__xludf.DUMMYFUNCTION("""COMPUTED_VALUE"""),"")</f>
        <v/>
      </c>
      <c r="AD196" s="232" t="str">
        <f>IFERROR(__xludf.DUMMYFUNCTION("""COMPUTED_VALUE"""),"")</f>
        <v/>
      </c>
      <c r="AE196" s="233" t="str">
        <f>IFERROR(__xludf.DUMMYFUNCTION("""COMPUTED_VALUE"""),"")</f>
        <v/>
      </c>
      <c r="AF196" s="231" t="str">
        <f>IFERROR(__xludf.DUMMYFUNCTION("""COMPUTED_VALUE"""),"")</f>
        <v/>
      </c>
      <c r="AG196" s="232" t="str">
        <f>IFERROR(__xludf.DUMMYFUNCTION("""COMPUTED_VALUE"""),"")</f>
        <v/>
      </c>
      <c r="AH196" s="233" t="str">
        <f>IFERROR(__xludf.DUMMYFUNCTION("""COMPUTED_VALUE"""),"")</f>
        <v/>
      </c>
      <c r="AI196" s="231" t="str">
        <f>IFERROR(__xludf.DUMMYFUNCTION("""COMPUTED_VALUE"""),"")</f>
        <v/>
      </c>
      <c r="AJ196" s="232" t="str">
        <f>IFERROR(__xludf.DUMMYFUNCTION("""COMPUTED_VALUE"""),"")</f>
        <v/>
      </c>
      <c r="AK196" s="233" t="str">
        <f>IFERROR(__xludf.DUMMYFUNCTION("""COMPUTED_VALUE"""),"")</f>
        <v/>
      </c>
      <c r="AL196" s="231">
        <f>IFERROR(__xludf.DUMMYFUNCTION("""COMPUTED_VALUE"""),25.0)</f>
        <v>25</v>
      </c>
      <c r="AM196" s="232" t="str">
        <f>IFERROR(__xludf.DUMMYFUNCTION("""COMPUTED_VALUE"""),"")</f>
        <v/>
      </c>
      <c r="AN196" s="233" t="str">
        <f>IFERROR(__xludf.DUMMYFUNCTION("""COMPUTED_VALUE"""),"")</f>
        <v/>
      </c>
      <c r="AO196" s="231" t="str">
        <f>IFERROR(__xludf.DUMMYFUNCTION("""COMPUTED_VALUE"""),"")</f>
        <v/>
      </c>
      <c r="AP196" s="232" t="str">
        <f>IFERROR(__xludf.DUMMYFUNCTION("""COMPUTED_VALUE"""),"")</f>
        <v/>
      </c>
      <c r="AQ196" s="233" t="str">
        <f>IFERROR(__xludf.DUMMYFUNCTION("""COMPUTED_VALUE"""),"")</f>
        <v/>
      </c>
      <c r="AR196" s="231" t="str">
        <f>IFERROR(__xludf.DUMMYFUNCTION("""COMPUTED_VALUE"""),"")</f>
        <v/>
      </c>
      <c r="AS196" s="232" t="str">
        <f>IFERROR(__xludf.DUMMYFUNCTION("""COMPUTED_VALUE"""),"")</f>
        <v/>
      </c>
      <c r="AT196" s="233" t="str">
        <f>IFERROR(__xludf.DUMMYFUNCTION("""COMPUTED_VALUE"""),"")</f>
        <v/>
      </c>
      <c r="AU196" s="231" t="str">
        <f>IFERROR(__xludf.DUMMYFUNCTION("""COMPUTED_VALUE"""),"")</f>
        <v/>
      </c>
      <c r="AV196" s="232" t="str">
        <f>IFERROR(__xludf.DUMMYFUNCTION("""COMPUTED_VALUE"""),"")</f>
        <v/>
      </c>
      <c r="AW196" s="233" t="str">
        <f>IFERROR(__xludf.DUMMYFUNCTION("""COMPUTED_VALUE"""),"")</f>
        <v/>
      </c>
      <c r="AX196" s="231" t="str">
        <f>IFERROR(__xludf.DUMMYFUNCTION("""COMPUTED_VALUE"""),"")</f>
        <v/>
      </c>
      <c r="AY196" s="232" t="str">
        <f>IFERROR(__xludf.DUMMYFUNCTION("""COMPUTED_VALUE"""),"")</f>
        <v/>
      </c>
      <c r="AZ196" s="233" t="str">
        <f>IFERROR(__xludf.DUMMYFUNCTION("""COMPUTED_VALUE"""),"")</f>
        <v/>
      </c>
      <c r="BA196" s="231" t="str">
        <f>IFERROR(__xludf.DUMMYFUNCTION("""COMPUTED_VALUE"""),"")</f>
        <v/>
      </c>
      <c r="BB196" s="232" t="str">
        <f>IFERROR(__xludf.DUMMYFUNCTION("""COMPUTED_VALUE"""),"")</f>
        <v/>
      </c>
      <c r="BC196" s="233" t="str">
        <f>IFERROR(__xludf.DUMMYFUNCTION("""COMPUTED_VALUE"""),"")</f>
        <v/>
      </c>
      <c r="BD196" s="231" t="str">
        <f>IFERROR(__xludf.DUMMYFUNCTION("""COMPUTED_VALUE"""),"")</f>
        <v/>
      </c>
      <c r="BE196" s="232" t="str">
        <f>IFERROR(__xludf.DUMMYFUNCTION("""COMPUTED_VALUE"""),"")</f>
        <v/>
      </c>
      <c r="BF196" s="233" t="str">
        <f>IFERROR(__xludf.DUMMYFUNCTION("""COMPUTED_VALUE"""),"")</f>
        <v/>
      </c>
      <c r="BG196" s="231" t="str">
        <f>IFERROR(__xludf.DUMMYFUNCTION("""COMPUTED_VALUE"""),"")</f>
        <v/>
      </c>
      <c r="BH196" s="232" t="str">
        <f>IFERROR(__xludf.DUMMYFUNCTION("""COMPUTED_VALUE"""),"")</f>
        <v/>
      </c>
      <c r="BI196" s="233">
        <f>IFERROR(__xludf.DUMMYFUNCTION("""COMPUTED_VALUE"""),3.2)</f>
        <v>3.2</v>
      </c>
      <c r="BJ196" s="231" t="str">
        <f>IFERROR(__xludf.DUMMYFUNCTION("""COMPUTED_VALUE"""),"")</f>
        <v/>
      </c>
      <c r="BK196" s="232" t="str">
        <f>IFERROR(__xludf.DUMMYFUNCTION("""COMPUTED_VALUE"""),"")</f>
        <v/>
      </c>
      <c r="BL196" s="233" t="str">
        <f>IFERROR(__xludf.DUMMYFUNCTION("""COMPUTED_VALUE"""),"")</f>
        <v/>
      </c>
      <c r="BM196" s="231" t="str">
        <f>IFERROR(__xludf.DUMMYFUNCTION("""COMPUTED_VALUE"""),"")</f>
        <v/>
      </c>
      <c r="BN196" s="232" t="str">
        <f>IFERROR(__xludf.DUMMYFUNCTION("""COMPUTED_VALUE"""),"")</f>
        <v/>
      </c>
      <c r="BO196" s="233">
        <f>IFERROR(__xludf.DUMMYFUNCTION("""COMPUTED_VALUE"""),35.2)</f>
        <v>35.2</v>
      </c>
      <c r="BP196" s="231" t="str">
        <f>IFERROR(__xludf.DUMMYFUNCTION("""COMPUTED_VALUE"""),"")</f>
        <v/>
      </c>
      <c r="BQ196" s="232" t="str">
        <f>IFERROR(__xludf.DUMMYFUNCTION("""COMPUTED_VALUE"""),"")</f>
        <v/>
      </c>
      <c r="BR196" s="233" t="str">
        <f>IFERROR(__xludf.DUMMYFUNCTION("""COMPUTED_VALUE"""),"")</f>
        <v/>
      </c>
      <c r="BS196" s="231" t="str">
        <f>IFERROR(__xludf.DUMMYFUNCTION("""COMPUTED_VALUE"""),"")</f>
        <v/>
      </c>
      <c r="BT196" s="232" t="str">
        <f>IFERROR(__xludf.DUMMYFUNCTION("""COMPUTED_VALUE"""),"")</f>
        <v/>
      </c>
      <c r="BU196" s="233" t="str">
        <f>IFERROR(__xludf.DUMMYFUNCTION("""COMPUTED_VALUE"""),"")</f>
        <v/>
      </c>
      <c r="BV196" s="231" t="str">
        <f>IFERROR(__xludf.DUMMYFUNCTION("""COMPUTED_VALUE"""),"")</f>
        <v/>
      </c>
      <c r="BW196" s="232" t="str">
        <f>IFERROR(__xludf.DUMMYFUNCTION("""COMPUTED_VALUE"""),"")</f>
        <v/>
      </c>
      <c r="BX196" s="233" t="str">
        <f>IFERROR(__xludf.DUMMYFUNCTION("""COMPUTED_VALUE"""),"")</f>
        <v/>
      </c>
      <c r="BY196" s="231" t="str">
        <f>IFERROR(__xludf.DUMMYFUNCTION("""COMPUTED_VALUE"""),"")</f>
        <v/>
      </c>
      <c r="BZ196" s="232" t="str">
        <f>IFERROR(__xludf.DUMMYFUNCTION("""COMPUTED_VALUE"""),"")</f>
        <v/>
      </c>
      <c r="CA196" s="233" t="str">
        <f>IFERROR(__xludf.DUMMYFUNCTION("""COMPUTED_VALUE"""),"")</f>
        <v/>
      </c>
      <c r="CB196" s="231" t="str">
        <f>IFERROR(__xludf.DUMMYFUNCTION("""COMPUTED_VALUE"""),"")</f>
        <v/>
      </c>
      <c r="CC196" s="232" t="str">
        <f>IFERROR(__xludf.DUMMYFUNCTION("""COMPUTED_VALUE"""),"")</f>
        <v/>
      </c>
      <c r="CD196" s="233" t="str">
        <f>IFERROR(__xludf.DUMMYFUNCTION("""COMPUTED_VALUE"""),"")</f>
        <v/>
      </c>
      <c r="CE196" s="234" t="str">
        <f>IFERROR(__xludf.DUMMYFUNCTION("""COMPUTED_VALUE"""),"")</f>
        <v/>
      </c>
      <c r="CF196" s="230" t="str">
        <f>IFERROR(__xludf.DUMMYFUNCTION("""COMPUTED_VALUE"""),"")</f>
        <v/>
      </c>
      <c r="CG196" s="235" t="str">
        <f>IFERROR(__xludf.DUMMYFUNCTION("""COMPUTED_VALUE"""),"")</f>
        <v/>
      </c>
      <c r="CH196" s="234" t="str">
        <f>IFERROR(__xludf.DUMMYFUNCTION("""COMPUTED_VALUE"""),"")</f>
        <v/>
      </c>
      <c r="CI196" s="230" t="str">
        <f>IFERROR(__xludf.DUMMYFUNCTION("""COMPUTED_VALUE"""),"")</f>
        <v/>
      </c>
      <c r="CJ196" s="235" t="str">
        <f>IFERROR(__xludf.DUMMYFUNCTION("""COMPUTED_VALUE"""),"")</f>
        <v/>
      </c>
      <c r="CK196" s="95" t="str">
        <f>IFERROR(__xludf.DUMMYFUNCTION("""COMPUTED_VALUE"""),"")</f>
        <v/>
      </c>
      <c r="CL196" s="96" t="str">
        <f>IFERROR(__xludf.DUMMYFUNCTION("""COMPUTED_VALUE"""),"")</f>
        <v/>
      </c>
      <c r="CM196" s="97" t="str">
        <f>IFERROR(__xludf.DUMMYFUNCTION("""COMPUTED_VALUE"""),"")</f>
        <v/>
      </c>
      <c r="CN196" s="95" t="str">
        <f>IFERROR(__xludf.DUMMYFUNCTION("""COMPUTED_VALUE"""),"")</f>
        <v/>
      </c>
      <c r="CO196" s="96" t="str">
        <f>IFERROR(__xludf.DUMMYFUNCTION("""COMPUTED_VALUE"""),"")</f>
        <v/>
      </c>
      <c r="CP196" s="97" t="str">
        <f>IFERROR(__xludf.DUMMYFUNCTION("""COMPUTED_VALUE"""),"")</f>
        <v/>
      </c>
      <c r="CQ196" s="95" t="str">
        <f>IFERROR(__xludf.DUMMYFUNCTION("""COMPUTED_VALUE"""),"")</f>
        <v/>
      </c>
      <c r="CR196" s="96">
        <f>IFERROR(__xludf.DUMMYFUNCTION("""COMPUTED_VALUE"""),4.8)</f>
        <v>4.8</v>
      </c>
      <c r="CS196" s="97" t="str">
        <f>IFERROR(__xludf.DUMMYFUNCTION("""COMPUTED_VALUE"""),"#REF!")</f>
        <v>#REF!</v>
      </c>
      <c r="CT196" s="95" t="str">
        <f>IFERROR(__xludf.DUMMYFUNCTION("""COMPUTED_VALUE"""),"#REF!")</f>
        <v>#REF!</v>
      </c>
      <c r="CU196" s="96" t="str">
        <f>IFERROR(__xludf.DUMMYFUNCTION("""COMPUTED_VALUE"""),"#REF!")</f>
        <v>#REF!</v>
      </c>
      <c r="CV196" s="97" t="str">
        <f>IFERROR(__xludf.DUMMYFUNCTION("""COMPUTED_VALUE"""),"#REF!")</f>
        <v>#REF!</v>
      </c>
      <c r="CW196" s="95" t="str">
        <f>IFERROR(__xludf.DUMMYFUNCTION("""COMPUTED_VALUE"""),"#REF!")</f>
        <v>#REF!</v>
      </c>
      <c r="CX196" s="96" t="str">
        <f>IFERROR(__xludf.DUMMYFUNCTION("""COMPUTED_VALUE"""),"#REF!")</f>
        <v>#REF!</v>
      </c>
      <c r="CY196" s="97" t="str">
        <f>IFERROR(__xludf.DUMMYFUNCTION("""COMPUTED_VALUE"""),"#REF!")</f>
        <v>#REF!</v>
      </c>
      <c r="CZ196" s="95" t="str">
        <f>IFERROR(__xludf.DUMMYFUNCTION("""COMPUTED_VALUE"""),"#REF!")</f>
        <v>#REF!</v>
      </c>
      <c r="DA196" s="96" t="str">
        <f>IFERROR(__xludf.DUMMYFUNCTION("""COMPUTED_VALUE"""),"#REF!")</f>
        <v>#REF!</v>
      </c>
      <c r="DB196" s="97" t="str">
        <f>IFERROR(__xludf.DUMMYFUNCTION("""COMPUTED_VALUE"""),"#REF!")</f>
        <v>#REF!</v>
      </c>
      <c r="DC196" s="95" t="str">
        <f>IFERROR(__xludf.DUMMYFUNCTION("""COMPUTED_VALUE"""),"#REF!")</f>
        <v>#REF!</v>
      </c>
      <c r="DD196" s="96" t="str">
        <f>IFERROR(__xludf.DUMMYFUNCTION("""COMPUTED_VALUE"""),"#REF!")</f>
        <v>#REF!</v>
      </c>
      <c r="DE196" s="97" t="str">
        <f>IFERROR(__xludf.DUMMYFUNCTION("""COMPUTED_VALUE"""),"#REF!")</f>
        <v>#REF!</v>
      </c>
      <c r="DF196" s="95" t="str">
        <f>IFERROR(__xludf.DUMMYFUNCTION("""COMPUTED_VALUE"""),"#REF!")</f>
        <v>#REF!</v>
      </c>
      <c r="DG196" s="96" t="str">
        <f>IFERROR(__xludf.DUMMYFUNCTION("""COMPUTED_VALUE"""),"#REF!")</f>
        <v>#REF!</v>
      </c>
      <c r="DH196" s="97" t="str">
        <f>IFERROR(__xludf.DUMMYFUNCTION("""COMPUTED_VALUE"""),"#REF!")</f>
        <v>#REF!</v>
      </c>
      <c r="DI196" s="95" t="str">
        <f>IFERROR(__xludf.DUMMYFUNCTION("""COMPUTED_VALUE"""),"#REF!")</f>
        <v>#REF!</v>
      </c>
      <c r="DJ196" s="96" t="str">
        <f>IFERROR(__xludf.DUMMYFUNCTION("""COMPUTED_VALUE"""),"#REF!")</f>
        <v>#REF!</v>
      </c>
      <c r="DK196" s="97" t="str">
        <f>IFERROR(__xludf.DUMMYFUNCTION("""COMPUTED_VALUE"""),"#REF!")</f>
        <v>#REF!</v>
      </c>
      <c r="DL196" s="95" t="str">
        <f>IFERROR(__xludf.DUMMYFUNCTION("""COMPUTED_VALUE"""),"#REF!")</f>
        <v>#REF!</v>
      </c>
      <c r="DM196" s="96" t="str">
        <f>IFERROR(__xludf.DUMMYFUNCTION("""COMPUTED_VALUE"""),"#REF!")</f>
        <v>#REF!</v>
      </c>
      <c r="DN196" s="97" t="str">
        <f>IFERROR(__xludf.DUMMYFUNCTION("""COMPUTED_VALUE"""),"#REF!")</f>
        <v>#REF!</v>
      </c>
      <c r="DO196" s="95" t="str">
        <f>IFERROR(__xludf.DUMMYFUNCTION("""COMPUTED_VALUE"""),"#REF!")</f>
        <v>#REF!</v>
      </c>
      <c r="DP196" s="96" t="str">
        <f>IFERROR(__xludf.DUMMYFUNCTION("""COMPUTED_VALUE"""),"#REF!")</f>
        <v>#REF!</v>
      </c>
      <c r="DQ196" s="97"/>
      <c r="DR196" s="95"/>
    </row>
    <row r="197" ht="16.5" customHeight="1">
      <c r="A197" s="173" t="str">
        <f>IFERROR(__xludf.DUMMYFUNCTION("""COMPUTED_VALUE"""),"GÖTTERDÄMMERUNG")</f>
        <v>GÖTTERDÄMMERUNG</v>
      </c>
      <c r="B197" s="120" t="str">
        <f>IFERROR(__xludf.DUMMYFUNCTION("""COMPUTED_VALUE"""),"GTT1")</f>
        <v>GTT1</v>
      </c>
      <c r="C197" s="82">
        <f>IFERROR(__xludf.DUMMYFUNCTION("""COMPUTED_VALUE"""),192.0)</f>
        <v>192</v>
      </c>
      <c r="D197" s="88" t="str">
        <f>IFERROR(__xludf.DUMMYFUNCTION("""COMPUTED_VALUE"""),"Landing Point")</f>
        <v>Landing Point</v>
      </c>
      <c r="E197" s="82" t="str">
        <f>IFERROR(__xludf.DUMMYFUNCTION("""COMPUTED_VALUE"""),"ランディングポイント")</f>
        <v>ランディングポイント</v>
      </c>
      <c r="F197" s="102">
        <f>IFERROR(__xludf.DUMMYFUNCTION("""COMPUTED_VALUE"""),20.0)</f>
        <v>20</v>
      </c>
      <c r="G197" s="82">
        <f>IFERROR(__xludf.DUMMYFUNCTION("""COMPUTED_VALUE"""),7996.0)</f>
        <v>7996</v>
      </c>
      <c r="H197" s="231" t="str">
        <f>IFERROR(__xludf.DUMMYFUNCTION("""COMPUTED_VALUE"""),"")</f>
        <v/>
      </c>
      <c r="I197" s="232" t="str">
        <f>IFERROR(__xludf.DUMMYFUNCTION("""COMPUTED_VALUE"""),"")</f>
        <v/>
      </c>
      <c r="J197" s="233" t="str">
        <f>IFERROR(__xludf.DUMMYFUNCTION("""COMPUTED_VALUE"""),"")</f>
        <v/>
      </c>
      <c r="K197" s="231" t="str">
        <f>IFERROR(__xludf.DUMMYFUNCTION("""COMPUTED_VALUE"""),"")</f>
        <v/>
      </c>
      <c r="L197" s="232" t="str">
        <f>IFERROR(__xludf.DUMMYFUNCTION("""COMPUTED_VALUE"""),"")</f>
        <v/>
      </c>
      <c r="M197" s="233" t="str">
        <f>IFERROR(__xludf.DUMMYFUNCTION("""COMPUTED_VALUE"""),"")</f>
        <v/>
      </c>
      <c r="N197" s="231" t="str">
        <f>IFERROR(__xludf.DUMMYFUNCTION("""COMPUTED_VALUE"""),"")</f>
        <v/>
      </c>
      <c r="O197" s="232" t="str">
        <f>IFERROR(__xludf.DUMMYFUNCTION("""COMPUTED_VALUE"""),"")</f>
        <v/>
      </c>
      <c r="P197" s="233" t="str">
        <f>IFERROR(__xludf.DUMMYFUNCTION("""COMPUTED_VALUE"""),"")</f>
        <v/>
      </c>
      <c r="Q197" s="231">
        <f>IFERROR(__xludf.DUMMYFUNCTION("""COMPUTED_VALUE"""),12.1)</f>
        <v>12.1</v>
      </c>
      <c r="R197" s="232" t="str">
        <f>IFERROR(__xludf.DUMMYFUNCTION("""COMPUTED_VALUE"""),"")</f>
        <v/>
      </c>
      <c r="S197" s="233" t="str">
        <f>IFERROR(__xludf.DUMMYFUNCTION("""COMPUTED_VALUE"""),"")</f>
        <v/>
      </c>
      <c r="T197" s="231" t="str">
        <f>IFERROR(__xludf.DUMMYFUNCTION("""COMPUTED_VALUE"""),"")</f>
        <v/>
      </c>
      <c r="U197" s="232" t="str">
        <f>IFERROR(__xludf.DUMMYFUNCTION("""COMPUTED_VALUE"""),"")</f>
        <v/>
      </c>
      <c r="V197" s="233" t="str">
        <f>IFERROR(__xludf.DUMMYFUNCTION("""COMPUTED_VALUE"""),"")</f>
        <v/>
      </c>
      <c r="W197" s="231" t="str">
        <f>IFERROR(__xludf.DUMMYFUNCTION("""COMPUTED_VALUE"""),"")</f>
        <v/>
      </c>
      <c r="X197" s="232" t="str">
        <f>IFERROR(__xludf.DUMMYFUNCTION("""COMPUTED_VALUE"""),"")</f>
        <v/>
      </c>
      <c r="Y197" s="233" t="str">
        <f>IFERROR(__xludf.DUMMYFUNCTION("""COMPUTED_VALUE"""),"")</f>
        <v/>
      </c>
      <c r="Z197" s="231">
        <f>IFERROR(__xludf.DUMMYFUNCTION("""COMPUTED_VALUE"""),25.9)</f>
        <v>25.9</v>
      </c>
      <c r="AA197" s="232" t="str">
        <f>IFERROR(__xludf.DUMMYFUNCTION("""COMPUTED_VALUE"""),"")</f>
        <v/>
      </c>
      <c r="AB197" s="233" t="str">
        <f>IFERROR(__xludf.DUMMYFUNCTION("""COMPUTED_VALUE"""),"")</f>
        <v/>
      </c>
      <c r="AC197" s="231" t="str">
        <f>IFERROR(__xludf.DUMMYFUNCTION("""COMPUTED_VALUE"""),"")</f>
        <v/>
      </c>
      <c r="AD197" s="232" t="str">
        <f>IFERROR(__xludf.DUMMYFUNCTION("""COMPUTED_VALUE"""),"")</f>
        <v/>
      </c>
      <c r="AE197" s="233" t="str">
        <f>IFERROR(__xludf.DUMMYFUNCTION("""COMPUTED_VALUE"""),"")</f>
        <v/>
      </c>
      <c r="AF197" s="231" t="str">
        <f>IFERROR(__xludf.DUMMYFUNCTION("""COMPUTED_VALUE"""),"")</f>
        <v/>
      </c>
      <c r="AG197" s="232" t="str">
        <f>IFERROR(__xludf.DUMMYFUNCTION("""COMPUTED_VALUE"""),"")</f>
        <v/>
      </c>
      <c r="AH197" s="233" t="str">
        <f>IFERROR(__xludf.DUMMYFUNCTION("""COMPUTED_VALUE"""),"")</f>
        <v/>
      </c>
      <c r="AI197" s="231" t="str">
        <f>IFERROR(__xludf.DUMMYFUNCTION("""COMPUTED_VALUE"""),"")</f>
        <v/>
      </c>
      <c r="AJ197" s="232" t="str">
        <f>IFERROR(__xludf.DUMMYFUNCTION("""COMPUTED_VALUE"""),"")</f>
        <v/>
      </c>
      <c r="AK197" s="233" t="str">
        <f>IFERROR(__xludf.DUMMYFUNCTION("""COMPUTED_VALUE"""),"")</f>
        <v/>
      </c>
      <c r="AL197" s="231" t="str">
        <f>IFERROR(__xludf.DUMMYFUNCTION("""COMPUTED_VALUE"""),"")</f>
        <v/>
      </c>
      <c r="AM197" s="232" t="str">
        <f>IFERROR(__xludf.DUMMYFUNCTION("""COMPUTED_VALUE"""),"")</f>
        <v/>
      </c>
      <c r="AN197" s="233" t="str">
        <f>IFERROR(__xludf.DUMMYFUNCTION("""COMPUTED_VALUE"""),"")</f>
        <v/>
      </c>
      <c r="AO197" s="231" t="str">
        <f>IFERROR(__xludf.DUMMYFUNCTION("""COMPUTED_VALUE"""),"")</f>
        <v/>
      </c>
      <c r="AP197" s="232" t="str">
        <f>IFERROR(__xludf.DUMMYFUNCTION("""COMPUTED_VALUE"""),"")</f>
        <v/>
      </c>
      <c r="AQ197" s="233" t="str">
        <f>IFERROR(__xludf.DUMMYFUNCTION("""COMPUTED_VALUE"""),"")</f>
        <v/>
      </c>
      <c r="AR197" s="231" t="str">
        <f>IFERROR(__xludf.DUMMYFUNCTION("""COMPUTED_VALUE"""),"")</f>
        <v/>
      </c>
      <c r="AS197" s="232" t="str">
        <f>IFERROR(__xludf.DUMMYFUNCTION("""COMPUTED_VALUE"""),"")</f>
        <v/>
      </c>
      <c r="AT197" s="233" t="str">
        <f>IFERROR(__xludf.DUMMYFUNCTION("""COMPUTED_VALUE"""),"")</f>
        <v/>
      </c>
      <c r="AU197" s="231" t="str">
        <f>IFERROR(__xludf.DUMMYFUNCTION("""COMPUTED_VALUE"""),"")</f>
        <v/>
      </c>
      <c r="AV197" s="232" t="str">
        <f>IFERROR(__xludf.DUMMYFUNCTION("""COMPUTED_VALUE"""),"")</f>
        <v/>
      </c>
      <c r="AW197" s="233">
        <f>IFERROR(__xludf.DUMMYFUNCTION("""COMPUTED_VALUE"""),30.8)</f>
        <v>30.8</v>
      </c>
      <c r="AX197" s="231" t="str">
        <f>IFERROR(__xludf.DUMMYFUNCTION("""COMPUTED_VALUE"""),"")</f>
        <v/>
      </c>
      <c r="AY197" s="232" t="str">
        <f>IFERROR(__xludf.DUMMYFUNCTION("""COMPUTED_VALUE"""),"")</f>
        <v/>
      </c>
      <c r="AZ197" s="233" t="str">
        <f>IFERROR(__xludf.DUMMYFUNCTION("""COMPUTED_VALUE"""),"")</f>
        <v/>
      </c>
      <c r="BA197" s="231" t="str">
        <f>IFERROR(__xludf.DUMMYFUNCTION("""COMPUTED_VALUE"""),"")</f>
        <v/>
      </c>
      <c r="BB197" s="232" t="str">
        <f>IFERROR(__xludf.DUMMYFUNCTION("""COMPUTED_VALUE"""),"")</f>
        <v/>
      </c>
      <c r="BC197" s="233" t="str">
        <f>IFERROR(__xludf.DUMMYFUNCTION("""COMPUTED_VALUE"""),"")</f>
        <v/>
      </c>
      <c r="BD197" s="231" t="str">
        <f>IFERROR(__xludf.DUMMYFUNCTION("""COMPUTED_VALUE"""),"")</f>
        <v/>
      </c>
      <c r="BE197" s="232" t="str">
        <f>IFERROR(__xludf.DUMMYFUNCTION("""COMPUTED_VALUE"""),"")</f>
        <v/>
      </c>
      <c r="BF197" s="233" t="str">
        <f>IFERROR(__xludf.DUMMYFUNCTION("""COMPUTED_VALUE"""),"")</f>
        <v/>
      </c>
      <c r="BG197" s="231" t="str">
        <f>IFERROR(__xludf.DUMMYFUNCTION("""COMPUTED_VALUE"""),"")</f>
        <v/>
      </c>
      <c r="BH197" s="232" t="str">
        <f>IFERROR(__xludf.DUMMYFUNCTION("""COMPUTED_VALUE"""),"")</f>
        <v/>
      </c>
      <c r="BI197" s="233" t="str">
        <f>IFERROR(__xludf.DUMMYFUNCTION("""COMPUTED_VALUE"""),"")</f>
        <v/>
      </c>
      <c r="BJ197" s="231" t="str">
        <f>IFERROR(__xludf.DUMMYFUNCTION("""COMPUTED_VALUE"""),"")</f>
        <v/>
      </c>
      <c r="BK197" s="232" t="str">
        <f>IFERROR(__xludf.DUMMYFUNCTION("""COMPUTED_VALUE"""),"")</f>
        <v/>
      </c>
      <c r="BL197" s="233" t="str">
        <f>IFERROR(__xludf.DUMMYFUNCTION("""COMPUTED_VALUE"""),"")</f>
        <v/>
      </c>
      <c r="BM197" s="231" t="str">
        <f>IFERROR(__xludf.DUMMYFUNCTION("""COMPUTED_VALUE"""),"")</f>
        <v/>
      </c>
      <c r="BN197" s="232" t="str">
        <f>IFERROR(__xludf.DUMMYFUNCTION("""COMPUTED_VALUE"""),"")</f>
        <v/>
      </c>
      <c r="BO197" s="233">
        <f>IFERROR(__xludf.DUMMYFUNCTION("""COMPUTED_VALUE"""),8.2)</f>
        <v>8.2</v>
      </c>
      <c r="BP197" s="231" t="str">
        <f>IFERROR(__xludf.DUMMYFUNCTION("""COMPUTED_VALUE"""),"")</f>
        <v/>
      </c>
      <c r="BQ197" s="232" t="str">
        <f>IFERROR(__xludf.DUMMYFUNCTION("""COMPUTED_VALUE"""),"")</f>
        <v/>
      </c>
      <c r="BR197" s="233" t="str">
        <f>IFERROR(__xludf.DUMMYFUNCTION("""COMPUTED_VALUE"""),"")</f>
        <v/>
      </c>
      <c r="BS197" s="231" t="str">
        <f>IFERROR(__xludf.DUMMYFUNCTION("""COMPUTED_VALUE"""),"")</f>
        <v/>
      </c>
      <c r="BT197" s="232" t="str">
        <f>IFERROR(__xludf.DUMMYFUNCTION("""COMPUTED_VALUE"""),"")</f>
        <v/>
      </c>
      <c r="BU197" s="233" t="str">
        <f>IFERROR(__xludf.DUMMYFUNCTION("""COMPUTED_VALUE"""),"")</f>
        <v/>
      </c>
      <c r="BV197" s="231">
        <f>IFERROR(__xludf.DUMMYFUNCTION("""COMPUTED_VALUE"""),47.8)</f>
        <v>47.8</v>
      </c>
      <c r="BW197" s="232" t="str">
        <f>IFERROR(__xludf.DUMMYFUNCTION("""COMPUTED_VALUE"""),"")</f>
        <v/>
      </c>
      <c r="BX197" s="233" t="str">
        <f>IFERROR(__xludf.DUMMYFUNCTION("""COMPUTED_VALUE"""),"")</f>
        <v/>
      </c>
      <c r="BY197" s="231" t="str">
        <f>IFERROR(__xludf.DUMMYFUNCTION("""COMPUTED_VALUE"""),"")</f>
        <v/>
      </c>
      <c r="BZ197" s="232" t="str">
        <f>IFERROR(__xludf.DUMMYFUNCTION("""COMPUTED_VALUE"""),"")</f>
        <v/>
      </c>
      <c r="CA197" s="233" t="str">
        <f>IFERROR(__xludf.DUMMYFUNCTION("""COMPUTED_VALUE"""),"")</f>
        <v/>
      </c>
      <c r="CB197" s="231" t="str">
        <f>IFERROR(__xludf.DUMMYFUNCTION("""COMPUTED_VALUE"""),"")</f>
        <v/>
      </c>
      <c r="CC197" s="232" t="str">
        <f>IFERROR(__xludf.DUMMYFUNCTION("""COMPUTED_VALUE"""),"")</f>
        <v/>
      </c>
      <c r="CD197" s="233" t="str">
        <f>IFERROR(__xludf.DUMMYFUNCTION("""COMPUTED_VALUE"""),"")</f>
        <v/>
      </c>
      <c r="CE197" s="234" t="str">
        <f>IFERROR(__xludf.DUMMYFUNCTION("""COMPUTED_VALUE"""),"")</f>
        <v/>
      </c>
      <c r="CF197" s="230" t="str">
        <f>IFERROR(__xludf.DUMMYFUNCTION("""COMPUTED_VALUE"""),"")</f>
        <v/>
      </c>
      <c r="CG197" s="235" t="str">
        <f>IFERROR(__xludf.DUMMYFUNCTION("""COMPUTED_VALUE"""),"")</f>
        <v/>
      </c>
      <c r="CH197" s="234" t="str">
        <f>IFERROR(__xludf.DUMMYFUNCTION("""COMPUTED_VALUE"""),"")</f>
        <v/>
      </c>
      <c r="CI197" s="230" t="str">
        <f>IFERROR(__xludf.DUMMYFUNCTION("""COMPUTED_VALUE"""),"")</f>
        <v/>
      </c>
      <c r="CJ197" s="235" t="str">
        <f>IFERROR(__xludf.DUMMYFUNCTION("""COMPUTED_VALUE"""),"")</f>
        <v/>
      </c>
      <c r="CK197" s="95" t="str">
        <f>IFERROR(__xludf.DUMMYFUNCTION("""COMPUTED_VALUE"""),"")</f>
        <v/>
      </c>
      <c r="CL197" s="96" t="str">
        <f>IFERROR(__xludf.DUMMYFUNCTION("""COMPUTED_VALUE"""),"")</f>
        <v/>
      </c>
      <c r="CM197" s="97" t="str">
        <f>IFERROR(__xludf.DUMMYFUNCTION("""COMPUTED_VALUE"""),"")</f>
        <v/>
      </c>
      <c r="CN197" s="95" t="str">
        <f>IFERROR(__xludf.DUMMYFUNCTION("""COMPUTED_VALUE"""),"")</f>
        <v/>
      </c>
      <c r="CO197" s="96" t="str">
        <f>IFERROR(__xludf.DUMMYFUNCTION("""COMPUTED_VALUE"""),"")</f>
        <v/>
      </c>
      <c r="CP197" s="97" t="str">
        <f>IFERROR(__xludf.DUMMYFUNCTION("""COMPUTED_VALUE"""),"")</f>
        <v/>
      </c>
      <c r="CQ197" s="95">
        <f>IFERROR(__xludf.DUMMYFUNCTION("""COMPUTED_VALUE"""),5.3)</f>
        <v>5.3</v>
      </c>
      <c r="CR197" s="96" t="str">
        <f>IFERROR(__xludf.DUMMYFUNCTION("""COMPUTED_VALUE"""),"")</f>
        <v/>
      </c>
      <c r="CS197" s="97" t="str">
        <f>IFERROR(__xludf.DUMMYFUNCTION("""COMPUTED_VALUE"""),"#REF!")</f>
        <v>#REF!</v>
      </c>
      <c r="CT197" s="95" t="str">
        <f>IFERROR(__xludf.DUMMYFUNCTION("""COMPUTED_VALUE"""),"#REF!")</f>
        <v>#REF!</v>
      </c>
      <c r="CU197" s="96" t="str">
        <f>IFERROR(__xludf.DUMMYFUNCTION("""COMPUTED_VALUE"""),"#REF!")</f>
        <v>#REF!</v>
      </c>
      <c r="CV197" s="97" t="str">
        <f>IFERROR(__xludf.DUMMYFUNCTION("""COMPUTED_VALUE"""),"#REF!")</f>
        <v>#REF!</v>
      </c>
      <c r="CW197" s="95" t="str">
        <f>IFERROR(__xludf.DUMMYFUNCTION("""COMPUTED_VALUE"""),"#REF!")</f>
        <v>#REF!</v>
      </c>
      <c r="CX197" s="96" t="str">
        <f>IFERROR(__xludf.DUMMYFUNCTION("""COMPUTED_VALUE"""),"#REF!")</f>
        <v>#REF!</v>
      </c>
      <c r="CY197" s="97" t="str">
        <f>IFERROR(__xludf.DUMMYFUNCTION("""COMPUTED_VALUE"""),"#REF!")</f>
        <v>#REF!</v>
      </c>
      <c r="CZ197" s="95" t="str">
        <f>IFERROR(__xludf.DUMMYFUNCTION("""COMPUTED_VALUE"""),"#REF!")</f>
        <v>#REF!</v>
      </c>
      <c r="DA197" s="96" t="str">
        <f>IFERROR(__xludf.DUMMYFUNCTION("""COMPUTED_VALUE"""),"#REF!")</f>
        <v>#REF!</v>
      </c>
      <c r="DB197" s="97" t="str">
        <f>IFERROR(__xludf.DUMMYFUNCTION("""COMPUTED_VALUE"""),"#REF!")</f>
        <v>#REF!</v>
      </c>
      <c r="DC197" s="95" t="str">
        <f>IFERROR(__xludf.DUMMYFUNCTION("""COMPUTED_VALUE"""),"#REF!")</f>
        <v>#REF!</v>
      </c>
      <c r="DD197" s="96" t="str">
        <f>IFERROR(__xludf.DUMMYFUNCTION("""COMPUTED_VALUE"""),"#REF!")</f>
        <v>#REF!</v>
      </c>
      <c r="DE197" s="97" t="str">
        <f>IFERROR(__xludf.DUMMYFUNCTION("""COMPUTED_VALUE"""),"#REF!")</f>
        <v>#REF!</v>
      </c>
      <c r="DF197" s="95" t="str">
        <f>IFERROR(__xludf.DUMMYFUNCTION("""COMPUTED_VALUE"""),"#REF!")</f>
        <v>#REF!</v>
      </c>
      <c r="DG197" s="96" t="str">
        <f>IFERROR(__xludf.DUMMYFUNCTION("""COMPUTED_VALUE"""),"#REF!")</f>
        <v>#REF!</v>
      </c>
      <c r="DH197" s="97" t="str">
        <f>IFERROR(__xludf.DUMMYFUNCTION("""COMPUTED_VALUE"""),"#REF!")</f>
        <v>#REF!</v>
      </c>
      <c r="DI197" s="95" t="str">
        <f>IFERROR(__xludf.DUMMYFUNCTION("""COMPUTED_VALUE"""),"#REF!")</f>
        <v>#REF!</v>
      </c>
      <c r="DJ197" s="96" t="str">
        <f>IFERROR(__xludf.DUMMYFUNCTION("""COMPUTED_VALUE"""),"#REF!")</f>
        <v>#REF!</v>
      </c>
      <c r="DK197" s="97" t="str">
        <f>IFERROR(__xludf.DUMMYFUNCTION("""COMPUTED_VALUE"""),"#REF!")</f>
        <v>#REF!</v>
      </c>
      <c r="DL197" s="95" t="str">
        <f>IFERROR(__xludf.DUMMYFUNCTION("""COMPUTED_VALUE"""),"#REF!")</f>
        <v>#REF!</v>
      </c>
      <c r="DM197" s="96" t="str">
        <f>IFERROR(__xludf.DUMMYFUNCTION("""COMPUTED_VALUE"""),"#REF!")</f>
        <v>#REF!</v>
      </c>
      <c r="DN197" s="97" t="str">
        <f>IFERROR(__xludf.DUMMYFUNCTION("""COMPUTED_VALUE"""),"#REF!")</f>
        <v>#REF!</v>
      </c>
      <c r="DO197" s="95" t="str">
        <f>IFERROR(__xludf.DUMMYFUNCTION("""COMPUTED_VALUE"""),"#REF!")</f>
        <v>#REF!</v>
      </c>
      <c r="DP197" s="96" t="str">
        <f>IFERROR(__xludf.DUMMYFUNCTION("""COMPUTED_VALUE"""),"#REF!")</f>
        <v>#REF!</v>
      </c>
      <c r="DQ197" s="97"/>
      <c r="DR197" s="95"/>
    </row>
    <row r="198" ht="16.5" customHeight="1">
      <c r="B198" s="120" t="str">
        <f>IFERROR(__xludf.DUMMYFUNCTION("""COMPUTED_VALUE"""),"GTT2")</f>
        <v>GTT2</v>
      </c>
      <c r="C198" s="82">
        <f>IFERROR(__xludf.DUMMYFUNCTION("""COMPUTED_VALUE"""),193.0)</f>
        <v>193</v>
      </c>
      <c r="D198" s="88" t="str">
        <f>IFERROR(__xludf.DUMMYFUNCTION("""COMPUTED_VALUE"""),"Thin Ice Hill")</f>
        <v>Thin Ice Hill</v>
      </c>
      <c r="E198" s="82" t="str">
        <f>IFERROR(__xludf.DUMMYFUNCTION("""COMPUTED_VALUE"""),"薄氷の丘")</f>
        <v>薄氷の丘</v>
      </c>
      <c r="F198" s="102">
        <f>IFERROR(__xludf.DUMMYFUNCTION("""COMPUTED_VALUE"""),20.0)</f>
        <v>20</v>
      </c>
      <c r="G198" s="82">
        <f>IFERROR(__xludf.DUMMYFUNCTION("""COMPUTED_VALUE"""),4180.0)</f>
        <v>4180</v>
      </c>
      <c r="H198" s="231" t="str">
        <f>IFERROR(__xludf.DUMMYFUNCTION("""COMPUTED_VALUE"""),"")</f>
        <v/>
      </c>
      <c r="I198" s="232" t="str">
        <f>IFERROR(__xludf.DUMMYFUNCTION("""COMPUTED_VALUE"""),"")</f>
        <v/>
      </c>
      <c r="J198" s="233" t="str">
        <f>IFERROR(__xludf.DUMMYFUNCTION("""COMPUTED_VALUE"""),"")</f>
        <v/>
      </c>
      <c r="K198" s="231" t="str">
        <f>IFERROR(__xludf.DUMMYFUNCTION("""COMPUTED_VALUE"""),"")</f>
        <v/>
      </c>
      <c r="L198" s="232" t="str">
        <f>IFERROR(__xludf.DUMMYFUNCTION("""COMPUTED_VALUE"""),"")</f>
        <v/>
      </c>
      <c r="M198" s="233" t="str">
        <f>IFERROR(__xludf.DUMMYFUNCTION("""COMPUTED_VALUE"""),"")</f>
        <v/>
      </c>
      <c r="N198" s="231" t="str">
        <f>IFERROR(__xludf.DUMMYFUNCTION("""COMPUTED_VALUE"""),"")</f>
        <v/>
      </c>
      <c r="O198" s="232" t="str">
        <f>IFERROR(__xludf.DUMMYFUNCTION("""COMPUTED_VALUE"""),"")</f>
        <v/>
      </c>
      <c r="P198" s="233" t="str">
        <f>IFERROR(__xludf.DUMMYFUNCTION("""COMPUTED_VALUE"""),"")</f>
        <v/>
      </c>
      <c r="Q198" s="231" t="str">
        <f>IFERROR(__xludf.DUMMYFUNCTION("""COMPUTED_VALUE"""),"")</f>
        <v/>
      </c>
      <c r="R198" s="232" t="str">
        <f>IFERROR(__xludf.DUMMYFUNCTION("""COMPUTED_VALUE"""),"")</f>
        <v/>
      </c>
      <c r="S198" s="233" t="str">
        <f>IFERROR(__xludf.DUMMYFUNCTION("""COMPUTED_VALUE"""),"")</f>
        <v/>
      </c>
      <c r="T198" s="231" t="str">
        <f>IFERROR(__xludf.DUMMYFUNCTION("""COMPUTED_VALUE"""),"")</f>
        <v/>
      </c>
      <c r="U198" s="232" t="str">
        <f>IFERROR(__xludf.DUMMYFUNCTION("""COMPUTED_VALUE"""),"")</f>
        <v/>
      </c>
      <c r="V198" s="233" t="str">
        <f>IFERROR(__xludf.DUMMYFUNCTION("""COMPUTED_VALUE"""),"")</f>
        <v/>
      </c>
      <c r="W198" s="231" t="str">
        <f>IFERROR(__xludf.DUMMYFUNCTION("""COMPUTED_VALUE"""),"")</f>
        <v/>
      </c>
      <c r="X198" s="232" t="str">
        <f>IFERROR(__xludf.DUMMYFUNCTION("""COMPUTED_VALUE"""),"")</f>
        <v/>
      </c>
      <c r="Y198" s="233" t="str">
        <f>IFERROR(__xludf.DUMMYFUNCTION("""COMPUTED_VALUE"""),"")</f>
        <v/>
      </c>
      <c r="Z198" s="231">
        <f>IFERROR(__xludf.DUMMYFUNCTION("""COMPUTED_VALUE"""),25.5)</f>
        <v>25.5</v>
      </c>
      <c r="AA198" s="232" t="str">
        <f>IFERROR(__xludf.DUMMYFUNCTION("""COMPUTED_VALUE"""),"")</f>
        <v/>
      </c>
      <c r="AB198" s="233" t="str">
        <f>IFERROR(__xludf.DUMMYFUNCTION("""COMPUTED_VALUE"""),"")</f>
        <v/>
      </c>
      <c r="AC198" s="231" t="str">
        <f>IFERROR(__xludf.DUMMYFUNCTION("""COMPUTED_VALUE"""),"")</f>
        <v/>
      </c>
      <c r="AD198" s="232" t="str">
        <f>IFERROR(__xludf.DUMMYFUNCTION("""COMPUTED_VALUE"""),"")</f>
        <v/>
      </c>
      <c r="AE198" s="233" t="str">
        <f>IFERROR(__xludf.DUMMYFUNCTION("""COMPUTED_VALUE"""),"")</f>
        <v/>
      </c>
      <c r="AF198" s="231" t="str">
        <f>IFERROR(__xludf.DUMMYFUNCTION("""COMPUTED_VALUE"""),"")</f>
        <v/>
      </c>
      <c r="AG198" s="232" t="str">
        <f>IFERROR(__xludf.DUMMYFUNCTION("""COMPUTED_VALUE"""),"")</f>
        <v/>
      </c>
      <c r="AH198" s="233" t="str">
        <f>IFERROR(__xludf.DUMMYFUNCTION("""COMPUTED_VALUE"""),"")</f>
        <v/>
      </c>
      <c r="AI198" s="231" t="str">
        <f>IFERROR(__xludf.DUMMYFUNCTION("""COMPUTED_VALUE"""),"")</f>
        <v/>
      </c>
      <c r="AJ198" s="232" t="str">
        <f>IFERROR(__xludf.DUMMYFUNCTION("""COMPUTED_VALUE"""),"")</f>
        <v/>
      </c>
      <c r="AK198" s="233" t="str">
        <f>IFERROR(__xludf.DUMMYFUNCTION("""COMPUTED_VALUE"""),"")</f>
        <v/>
      </c>
      <c r="AL198" s="231" t="str">
        <f>IFERROR(__xludf.DUMMYFUNCTION("""COMPUTED_VALUE"""),"")</f>
        <v/>
      </c>
      <c r="AM198" s="232">
        <f>IFERROR(__xludf.DUMMYFUNCTION("""COMPUTED_VALUE"""),25.1)</f>
        <v>25.1</v>
      </c>
      <c r="AN198" s="233" t="str">
        <f>IFERROR(__xludf.DUMMYFUNCTION("""COMPUTED_VALUE"""),"")</f>
        <v/>
      </c>
      <c r="AO198" s="231" t="str">
        <f>IFERROR(__xludf.DUMMYFUNCTION("""COMPUTED_VALUE"""),"")</f>
        <v/>
      </c>
      <c r="AP198" s="232" t="str">
        <f>IFERROR(__xludf.DUMMYFUNCTION("""COMPUTED_VALUE"""),"")</f>
        <v/>
      </c>
      <c r="AQ198" s="233" t="str">
        <f>IFERROR(__xludf.DUMMYFUNCTION("""COMPUTED_VALUE"""),"")</f>
        <v/>
      </c>
      <c r="AR198" s="231" t="str">
        <f>IFERROR(__xludf.DUMMYFUNCTION("""COMPUTED_VALUE"""),"")</f>
        <v/>
      </c>
      <c r="AS198" s="232" t="str">
        <f>IFERROR(__xludf.DUMMYFUNCTION("""COMPUTED_VALUE"""),"")</f>
        <v/>
      </c>
      <c r="AT198" s="233" t="str">
        <f>IFERROR(__xludf.DUMMYFUNCTION("""COMPUTED_VALUE"""),"")</f>
        <v/>
      </c>
      <c r="AU198" s="231" t="str">
        <f>IFERROR(__xludf.DUMMYFUNCTION("""COMPUTED_VALUE"""),"")</f>
        <v/>
      </c>
      <c r="AV198" s="232" t="str">
        <f>IFERROR(__xludf.DUMMYFUNCTION("""COMPUTED_VALUE"""),"")</f>
        <v/>
      </c>
      <c r="AW198" s="233" t="str">
        <f>IFERROR(__xludf.DUMMYFUNCTION("""COMPUTED_VALUE"""),"")</f>
        <v/>
      </c>
      <c r="AX198" s="231" t="str">
        <f>IFERROR(__xludf.DUMMYFUNCTION("""COMPUTED_VALUE"""),"")</f>
        <v/>
      </c>
      <c r="AY198" s="232" t="str">
        <f>IFERROR(__xludf.DUMMYFUNCTION("""COMPUTED_VALUE"""),"")</f>
        <v/>
      </c>
      <c r="AZ198" s="233" t="str">
        <f>IFERROR(__xludf.DUMMYFUNCTION("""COMPUTED_VALUE"""),"")</f>
        <v/>
      </c>
      <c r="BA198" s="231" t="str">
        <f>IFERROR(__xludf.DUMMYFUNCTION("""COMPUTED_VALUE"""),"")</f>
        <v/>
      </c>
      <c r="BB198" s="232" t="str">
        <f>IFERROR(__xludf.DUMMYFUNCTION("""COMPUTED_VALUE"""),"")</f>
        <v/>
      </c>
      <c r="BC198" s="233" t="str">
        <f>IFERROR(__xludf.DUMMYFUNCTION("""COMPUTED_VALUE"""),"")</f>
        <v/>
      </c>
      <c r="BD198" s="231" t="str">
        <f>IFERROR(__xludf.DUMMYFUNCTION("""COMPUTED_VALUE"""),"")</f>
        <v/>
      </c>
      <c r="BE198" s="232" t="str">
        <f>IFERROR(__xludf.DUMMYFUNCTION("""COMPUTED_VALUE"""),"")</f>
        <v/>
      </c>
      <c r="BF198" s="233" t="str">
        <f>IFERROR(__xludf.DUMMYFUNCTION("""COMPUTED_VALUE"""),"")</f>
        <v/>
      </c>
      <c r="BG198" s="231" t="str">
        <f>IFERROR(__xludf.DUMMYFUNCTION("""COMPUTED_VALUE"""),"")</f>
        <v/>
      </c>
      <c r="BH198" s="232" t="str">
        <f>IFERROR(__xludf.DUMMYFUNCTION("""COMPUTED_VALUE"""),"")</f>
        <v/>
      </c>
      <c r="BI198" s="233" t="str">
        <f>IFERROR(__xludf.DUMMYFUNCTION("""COMPUTED_VALUE"""),"")</f>
        <v/>
      </c>
      <c r="BJ198" s="231" t="str">
        <f>IFERROR(__xludf.DUMMYFUNCTION("""COMPUTED_VALUE"""),"")</f>
        <v/>
      </c>
      <c r="BK198" s="232" t="str">
        <f>IFERROR(__xludf.DUMMYFUNCTION("""COMPUTED_VALUE"""),"")</f>
        <v/>
      </c>
      <c r="BL198" s="233" t="str">
        <f>IFERROR(__xludf.DUMMYFUNCTION("""COMPUTED_VALUE"""),"")</f>
        <v/>
      </c>
      <c r="BM198" s="231" t="str">
        <f>IFERROR(__xludf.DUMMYFUNCTION("""COMPUTED_VALUE"""),"")</f>
        <v/>
      </c>
      <c r="BN198" s="232" t="str">
        <f>IFERROR(__xludf.DUMMYFUNCTION("""COMPUTED_VALUE"""),"")</f>
        <v/>
      </c>
      <c r="BO198" s="233" t="str">
        <f>IFERROR(__xludf.DUMMYFUNCTION("""COMPUTED_VALUE"""),"")</f>
        <v/>
      </c>
      <c r="BP198" s="231">
        <f>IFERROR(__xludf.DUMMYFUNCTION("""COMPUTED_VALUE"""),24.5)</f>
        <v>24.5</v>
      </c>
      <c r="BQ198" s="232" t="str">
        <f>IFERROR(__xludf.DUMMYFUNCTION("""COMPUTED_VALUE"""),"")</f>
        <v/>
      </c>
      <c r="BR198" s="233" t="str">
        <f>IFERROR(__xludf.DUMMYFUNCTION("""COMPUTED_VALUE"""),"")</f>
        <v/>
      </c>
      <c r="BS198" s="231" t="str">
        <f>IFERROR(__xludf.DUMMYFUNCTION("""COMPUTED_VALUE"""),"")</f>
        <v/>
      </c>
      <c r="BT198" s="232" t="str">
        <f>IFERROR(__xludf.DUMMYFUNCTION("""COMPUTED_VALUE"""),"")</f>
        <v/>
      </c>
      <c r="BU198" s="233" t="str">
        <f>IFERROR(__xludf.DUMMYFUNCTION("""COMPUTED_VALUE"""),"")</f>
        <v/>
      </c>
      <c r="BV198" s="231">
        <f>IFERROR(__xludf.DUMMYFUNCTION("""COMPUTED_VALUE"""),31.1)</f>
        <v>31.1</v>
      </c>
      <c r="BW198" s="232" t="str">
        <f>IFERROR(__xludf.DUMMYFUNCTION("""COMPUTED_VALUE"""),"")</f>
        <v/>
      </c>
      <c r="BX198" s="233" t="str">
        <f>IFERROR(__xludf.DUMMYFUNCTION("""COMPUTED_VALUE"""),"")</f>
        <v/>
      </c>
      <c r="BY198" s="231" t="str">
        <f>IFERROR(__xludf.DUMMYFUNCTION("""COMPUTED_VALUE"""),"")</f>
        <v/>
      </c>
      <c r="BZ198" s="232" t="str">
        <f>IFERROR(__xludf.DUMMYFUNCTION("""COMPUTED_VALUE"""),"")</f>
        <v/>
      </c>
      <c r="CA198" s="233" t="str">
        <f>IFERROR(__xludf.DUMMYFUNCTION("""COMPUTED_VALUE"""),"")</f>
        <v/>
      </c>
      <c r="CB198" s="231" t="str">
        <f>IFERROR(__xludf.DUMMYFUNCTION("""COMPUTED_VALUE"""),"")</f>
        <v/>
      </c>
      <c r="CC198" s="232" t="str">
        <f>IFERROR(__xludf.DUMMYFUNCTION("""COMPUTED_VALUE"""),"")</f>
        <v/>
      </c>
      <c r="CD198" s="233" t="str">
        <f>IFERROR(__xludf.DUMMYFUNCTION("""COMPUTED_VALUE"""),"")</f>
        <v/>
      </c>
      <c r="CE198" s="234" t="str">
        <f>IFERROR(__xludf.DUMMYFUNCTION("""COMPUTED_VALUE"""),"")</f>
        <v/>
      </c>
      <c r="CF198" s="230" t="str">
        <f>IFERROR(__xludf.DUMMYFUNCTION("""COMPUTED_VALUE"""),"")</f>
        <v/>
      </c>
      <c r="CG198" s="235" t="str">
        <f>IFERROR(__xludf.DUMMYFUNCTION("""COMPUTED_VALUE"""),"")</f>
        <v/>
      </c>
      <c r="CH198" s="234" t="str">
        <f>IFERROR(__xludf.DUMMYFUNCTION("""COMPUTED_VALUE"""),"")</f>
        <v/>
      </c>
      <c r="CI198" s="230" t="str">
        <f>IFERROR(__xludf.DUMMYFUNCTION("""COMPUTED_VALUE"""),"")</f>
        <v/>
      </c>
      <c r="CJ198" s="235" t="str">
        <f>IFERROR(__xludf.DUMMYFUNCTION("""COMPUTED_VALUE"""),"")</f>
        <v/>
      </c>
      <c r="CK198" s="95" t="str">
        <f>IFERROR(__xludf.DUMMYFUNCTION("""COMPUTED_VALUE"""),"")</f>
        <v/>
      </c>
      <c r="CL198" s="96" t="str">
        <f>IFERROR(__xludf.DUMMYFUNCTION("""COMPUTED_VALUE"""),"")</f>
        <v/>
      </c>
      <c r="CM198" s="97" t="str">
        <f>IFERROR(__xludf.DUMMYFUNCTION("""COMPUTED_VALUE"""),"")</f>
        <v/>
      </c>
      <c r="CN198" s="95" t="str">
        <f>IFERROR(__xludf.DUMMYFUNCTION("""COMPUTED_VALUE"""),"")</f>
        <v/>
      </c>
      <c r="CO198" s="96" t="str">
        <f>IFERROR(__xludf.DUMMYFUNCTION("""COMPUTED_VALUE"""),"")</f>
        <v/>
      </c>
      <c r="CP198" s="97" t="str">
        <f>IFERROR(__xludf.DUMMYFUNCTION("""COMPUTED_VALUE"""),"")</f>
        <v/>
      </c>
      <c r="CQ198" s="95" t="str">
        <f>IFERROR(__xludf.DUMMYFUNCTION("""COMPUTED_VALUE"""),"")</f>
        <v/>
      </c>
      <c r="CR198" s="96" t="str">
        <f>IFERROR(__xludf.DUMMYFUNCTION("""COMPUTED_VALUE"""),"")</f>
        <v/>
      </c>
      <c r="CS198" s="97" t="str">
        <f>IFERROR(__xludf.DUMMYFUNCTION("""COMPUTED_VALUE"""),"#REF!")</f>
        <v>#REF!</v>
      </c>
      <c r="CT198" s="95" t="str">
        <f>IFERROR(__xludf.DUMMYFUNCTION("""COMPUTED_VALUE"""),"#REF!")</f>
        <v>#REF!</v>
      </c>
      <c r="CU198" s="96" t="str">
        <f>IFERROR(__xludf.DUMMYFUNCTION("""COMPUTED_VALUE"""),"#REF!")</f>
        <v>#REF!</v>
      </c>
      <c r="CV198" s="97" t="str">
        <f>IFERROR(__xludf.DUMMYFUNCTION("""COMPUTED_VALUE"""),"#REF!")</f>
        <v>#REF!</v>
      </c>
      <c r="CW198" s="95" t="str">
        <f>IFERROR(__xludf.DUMMYFUNCTION("""COMPUTED_VALUE"""),"#REF!")</f>
        <v>#REF!</v>
      </c>
      <c r="CX198" s="96" t="str">
        <f>IFERROR(__xludf.DUMMYFUNCTION("""COMPUTED_VALUE"""),"#REF!")</f>
        <v>#REF!</v>
      </c>
      <c r="CY198" s="97" t="str">
        <f>IFERROR(__xludf.DUMMYFUNCTION("""COMPUTED_VALUE"""),"#REF!")</f>
        <v>#REF!</v>
      </c>
      <c r="CZ198" s="95" t="str">
        <f>IFERROR(__xludf.DUMMYFUNCTION("""COMPUTED_VALUE"""),"#REF!")</f>
        <v>#REF!</v>
      </c>
      <c r="DA198" s="96" t="str">
        <f>IFERROR(__xludf.DUMMYFUNCTION("""COMPUTED_VALUE"""),"#REF!")</f>
        <v>#REF!</v>
      </c>
      <c r="DB198" s="97" t="str">
        <f>IFERROR(__xludf.DUMMYFUNCTION("""COMPUTED_VALUE"""),"#REF!")</f>
        <v>#REF!</v>
      </c>
      <c r="DC198" s="95" t="str">
        <f>IFERROR(__xludf.DUMMYFUNCTION("""COMPUTED_VALUE"""),"#REF!")</f>
        <v>#REF!</v>
      </c>
      <c r="DD198" s="96" t="str">
        <f>IFERROR(__xludf.DUMMYFUNCTION("""COMPUTED_VALUE"""),"#REF!")</f>
        <v>#REF!</v>
      </c>
      <c r="DE198" s="97" t="str">
        <f>IFERROR(__xludf.DUMMYFUNCTION("""COMPUTED_VALUE"""),"#REF!")</f>
        <v>#REF!</v>
      </c>
      <c r="DF198" s="95" t="str">
        <f>IFERROR(__xludf.DUMMYFUNCTION("""COMPUTED_VALUE"""),"#REF!")</f>
        <v>#REF!</v>
      </c>
      <c r="DG198" s="96" t="str">
        <f>IFERROR(__xludf.DUMMYFUNCTION("""COMPUTED_VALUE"""),"#REF!")</f>
        <v>#REF!</v>
      </c>
      <c r="DH198" s="97" t="str">
        <f>IFERROR(__xludf.DUMMYFUNCTION("""COMPUTED_VALUE"""),"#REF!")</f>
        <v>#REF!</v>
      </c>
      <c r="DI198" s="95" t="str">
        <f>IFERROR(__xludf.DUMMYFUNCTION("""COMPUTED_VALUE"""),"#REF!")</f>
        <v>#REF!</v>
      </c>
      <c r="DJ198" s="96" t="str">
        <f>IFERROR(__xludf.DUMMYFUNCTION("""COMPUTED_VALUE"""),"#REF!")</f>
        <v>#REF!</v>
      </c>
      <c r="DK198" s="97" t="str">
        <f>IFERROR(__xludf.DUMMYFUNCTION("""COMPUTED_VALUE"""),"#REF!")</f>
        <v>#REF!</v>
      </c>
      <c r="DL198" s="95" t="str">
        <f>IFERROR(__xludf.DUMMYFUNCTION("""COMPUTED_VALUE"""),"#REF!")</f>
        <v>#REF!</v>
      </c>
      <c r="DM198" s="96" t="str">
        <f>IFERROR(__xludf.DUMMYFUNCTION("""COMPUTED_VALUE"""),"#REF!")</f>
        <v>#REF!</v>
      </c>
      <c r="DN198" s="97" t="str">
        <f>IFERROR(__xludf.DUMMYFUNCTION("""COMPUTED_VALUE"""),"#REF!")</f>
        <v>#REF!</v>
      </c>
      <c r="DO198" s="95" t="str">
        <f>IFERROR(__xludf.DUMMYFUNCTION("""COMPUTED_VALUE"""),"#REF!")</f>
        <v>#REF!</v>
      </c>
      <c r="DP198" s="96" t="str">
        <f>IFERROR(__xludf.DUMMYFUNCTION("""COMPUTED_VALUE"""),"#REF!")</f>
        <v>#REF!</v>
      </c>
      <c r="DQ198" s="97"/>
      <c r="DR198" s="95"/>
    </row>
    <row r="199" ht="16.5" customHeight="1">
      <c r="B199" s="120" t="str">
        <f>IFERROR(__xludf.DUMMYFUNCTION("""COMPUTED_VALUE"""),"GTT3")</f>
        <v>GTT3</v>
      </c>
      <c r="C199" s="82">
        <f>IFERROR(__xludf.DUMMYFUNCTION("""COMPUTED_VALUE"""),194.0)</f>
        <v>194</v>
      </c>
      <c r="D199" s="88" t="str">
        <f>IFERROR(__xludf.DUMMYFUNCTION("""COMPUTED_VALUE"""),"Giant's Flower Garden")</f>
        <v>Giant's Flower Garden</v>
      </c>
      <c r="E199" s="82" t="str">
        <f>IFERROR(__xludf.DUMMYFUNCTION("""COMPUTED_VALUE"""),"巨人の花園")</f>
        <v>巨人の花園</v>
      </c>
      <c r="F199" s="102">
        <f>IFERROR(__xludf.DUMMYFUNCTION("""COMPUTED_VALUE"""),20.0)</f>
        <v>20</v>
      </c>
      <c r="G199" s="82">
        <f>IFERROR(__xludf.DUMMYFUNCTION("""COMPUTED_VALUE"""),13798.0)</f>
        <v>13798</v>
      </c>
      <c r="H199" s="231" t="str">
        <f>IFERROR(__xludf.DUMMYFUNCTION("""COMPUTED_VALUE"""),"")</f>
        <v/>
      </c>
      <c r="I199" s="232" t="str">
        <f>IFERROR(__xludf.DUMMYFUNCTION("""COMPUTED_VALUE"""),"")</f>
        <v/>
      </c>
      <c r="J199" s="233" t="str">
        <f>IFERROR(__xludf.DUMMYFUNCTION("""COMPUTED_VALUE"""),"")</f>
        <v/>
      </c>
      <c r="K199" s="231" t="str">
        <f>IFERROR(__xludf.DUMMYFUNCTION("""COMPUTED_VALUE"""),"")</f>
        <v/>
      </c>
      <c r="L199" s="232" t="str">
        <f>IFERROR(__xludf.DUMMYFUNCTION("""COMPUTED_VALUE"""),"")</f>
        <v/>
      </c>
      <c r="M199" s="233" t="str">
        <f>IFERROR(__xludf.DUMMYFUNCTION("""COMPUTED_VALUE"""),"")</f>
        <v/>
      </c>
      <c r="N199" s="231" t="str">
        <f>IFERROR(__xludf.DUMMYFUNCTION("""COMPUTED_VALUE"""),"")</f>
        <v/>
      </c>
      <c r="O199" s="232" t="str">
        <f>IFERROR(__xludf.DUMMYFUNCTION("""COMPUTED_VALUE"""),"")</f>
        <v/>
      </c>
      <c r="P199" s="233" t="str">
        <f>IFERROR(__xludf.DUMMYFUNCTION("""COMPUTED_VALUE"""),"")</f>
        <v/>
      </c>
      <c r="Q199" s="231" t="str">
        <f>IFERROR(__xludf.DUMMYFUNCTION("""COMPUTED_VALUE"""),"")</f>
        <v/>
      </c>
      <c r="R199" s="232" t="str">
        <f>IFERROR(__xludf.DUMMYFUNCTION("""COMPUTED_VALUE"""),"")</f>
        <v/>
      </c>
      <c r="S199" s="233" t="str">
        <f>IFERROR(__xludf.DUMMYFUNCTION("""COMPUTED_VALUE"""),"")</f>
        <v/>
      </c>
      <c r="T199" s="231" t="str">
        <f>IFERROR(__xludf.DUMMYFUNCTION("""COMPUTED_VALUE"""),"")</f>
        <v/>
      </c>
      <c r="U199" s="232" t="str">
        <f>IFERROR(__xludf.DUMMYFUNCTION("""COMPUTED_VALUE"""),"")</f>
        <v/>
      </c>
      <c r="V199" s="233" t="str">
        <f>IFERROR(__xludf.DUMMYFUNCTION("""COMPUTED_VALUE"""),"")</f>
        <v/>
      </c>
      <c r="W199" s="231" t="str">
        <f>IFERROR(__xludf.DUMMYFUNCTION("""COMPUTED_VALUE"""),"")</f>
        <v/>
      </c>
      <c r="X199" s="232" t="str">
        <f>IFERROR(__xludf.DUMMYFUNCTION("""COMPUTED_VALUE"""),"")</f>
        <v/>
      </c>
      <c r="Y199" s="233" t="str">
        <f>IFERROR(__xludf.DUMMYFUNCTION("""COMPUTED_VALUE"""),"")</f>
        <v/>
      </c>
      <c r="Z199" s="231" t="str">
        <f>IFERROR(__xludf.DUMMYFUNCTION("""COMPUTED_VALUE"""),"")</f>
        <v/>
      </c>
      <c r="AA199" s="232" t="str">
        <f>IFERROR(__xludf.DUMMYFUNCTION("""COMPUTED_VALUE"""),"")</f>
        <v/>
      </c>
      <c r="AB199" s="233" t="str">
        <f>IFERROR(__xludf.DUMMYFUNCTION("""COMPUTED_VALUE"""),"")</f>
        <v/>
      </c>
      <c r="AC199" s="231" t="str">
        <f>IFERROR(__xludf.DUMMYFUNCTION("""COMPUTED_VALUE"""),"")</f>
        <v/>
      </c>
      <c r="AD199" s="232" t="str">
        <f>IFERROR(__xludf.DUMMYFUNCTION("""COMPUTED_VALUE"""),"")</f>
        <v/>
      </c>
      <c r="AE199" s="233" t="str">
        <f>IFERROR(__xludf.DUMMYFUNCTION("""COMPUTED_VALUE"""),"")</f>
        <v/>
      </c>
      <c r="AF199" s="231" t="str">
        <f>IFERROR(__xludf.DUMMYFUNCTION("""COMPUTED_VALUE"""),"")</f>
        <v/>
      </c>
      <c r="AG199" s="232" t="str">
        <f>IFERROR(__xludf.DUMMYFUNCTION("""COMPUTED_VALUE"""),"")</f>
        <v/>
      </c>
      <c r="AH199" s="233" t="str">
        <f>IFERROR(__xludf.DUMMYFUNCTION("""COMPUTED_VALUE"""),"")</f>
        <v/>
      </c>
      <c r="AI199" s="231" t="str">
        <f>IFERROR(__xludf.DUMMYFUNCTION("""COMPUTED_VALUE"""),"")</f>
        <v/>
      </c>
      <c r="AJ199" s="232" t="str">
        <f>IFERROR(__xludf.DUMMYFUNCTION("""COMPUTED_VALUE"""),"")</f>
        <v/>
      </c>
      <c r="AK199" s="233" t="str">
        <f>IFERROR(__xludf.DUMMYFUNCTION("""COMPUTED_VALUE"""),"")</f>
        <v/>
      </c>
      <c r="AL199" s="231" t="str">
        <f>IFERROR(__xludf.DUMMYFUNCTION("""COMPUTED_VALUE"""),"")</f>
        <v/>
      </c>
      <c r="AM199" s="232">
        <f>IFERROR(__xludf.DUMMYFUNCTION("""COMPUTED_VALUE"""),40.7)</f>
        <v>40.7</v>
      </c>
      <c r="AN199" s="233" t="str">
        <f>IFERROR(__xludf.DUMMYFUNCTION("""COMPUTED_VALUE"""),"")</f>
        <v/>
      </c>
      <c r="AO199" s="231" t="str">
        <f>IFERROR(__xludf.DUMMYFUNCTION("""COMPUTED_VALUE"""),"")</f>
        <v/>
      </c>
      <c r="AP199" s="232" t="str">
        <f>IFERROR(__xludf.DUMMYFUNCTION("""COMPUTED_VALUE"""),"")</f>
        <v/>
      </c>
      <c r="AQ199" s="233" t="str">
        <f>IFERROR(__xludf.DUMMYFUNCTION("""COMPUTED_VALUE"""),"")</f>
        <v/>
      </c>
      <c r="AR199" s="231" t="str">
        <f>IFERROR(__xludf.DUMMYFUNCTION("""COMPUTED_VALUE"""),"")</f>
        <v/>
      </c>
      <c r="AS199" s="232" t="str">
        <f>IFERROR(__xludf.DUMMYFUNCTION("""COMPUTED_VALUE"""),"")</f>
        <v/>
      </c>
      <c r="AT199" s="233" t="str">
        <f>IFERROR(__xludf.DUMMYFUNCTION("""COMPUTED_VALUE"""),"")</f>
        <v/>
      </c>
      <c r="AU199" s="231" t="str">
        <f>IFERROR(__xludf.DUMMYFUNCTION("""COMPUTED_VALUE"""),"")</f>
        <v/>
      </c>
      <c r="AV199" s="232" t="str">
        <f>IFERROR(__xludf.DUMMYFUNCTION("""COMPUTED_VALUE"""),"")</f>
        <v/>
      </c>
      <c r="AW199" s="233" t="str">
        <f>IFERROR(__xludf.DUMMYFUNCTION("""COMPUTED_VALUE"""),"")</f>
        <v/>
      </c>
      <c r="AX199" s="231" t="str">
        <f>IFERROR(__xludf.DUMMYFUNCTION("""COMPUTED_VALUE"""),"")</f>
        <v/>
      </c>
      <c r="AY199" s="232" t="str">
        <f>IFERROR(__xludf.DUMMYFUNCTION("""COMPUTED_VALUE"""),"")</f>
        <v/>
      </c>
      <c r="AZ199" s="233" t="str">
        <f>IFERROR(__xludf.DUMMYFUNCTION("""COMPUTED_VALUE"""),"")</f>
        <v/>
      </c>
      <c r="BA199" s="231" t="str">
        <f>IFERROR(__xludf.DUMMYFUNCTION("""COMPUTED_VALUE"""),"")</f>
        <v/>
      </c>
      <c r="BB199" s="232" t="str">
        <f>IFERROR(__xludf.DUMMYFUNCTION("""COMPUTED_VALUE"""),"")</f>
        <v/>
      </c>
      <c r="BC199" s="233" t="str">
        <f>IFERROR(__xludf.DUMMYFUNCTION("""COMPUTED_VALUE"""),"")</f>
        <v/>
      </c>
      <c r="BD199" s="231" t="str">
        <f>IFERROR(__xludf.DUMMYFUNCTION("""COMPUTED_VALUE"""),"")</f>
        <v/>
      </c>
      <c r="BE199" s="232" t="str">
        <f>IFERROR(__xludf.DUMMYFUNCTION("""COMPUTED_VALUE"""),"")</f>
        <v/>
      </c>
      <c r="BF199" s="233" t="str">
        <f>IFERROR(__xludf.DUMMYFUNCTION("""COMPUTED_VALUE"""),"")</f>
        <v/>
      </c>
      <c r="BG199" s="231" t="str">
        <f>IFERROR(__xludf.DUMMYFUNCTION("""COMPUTED_VALUE"""),"")</f>
        <v/>
      </c>
      <c r="BH199" s="232" t="str">
        <f>IFERROR(__xludf.DUMMYFUNCTION("""COMPUTED_VALUE"""),"")</f>
        <v/>
      </c>
      <c r="BI199" s="233" t="str">
        <f>IFERROR(__xludf.DUMMYFUNCTION("""COMPUTED_VALUE"""),"")</f>
        <v/>
      </c>
      <c r="BJ199" s="231" t="str">
        <f>IFERROR(__xludf.DUMMYFUNCTION("""COMPUTED_VALUE"""),"")</f>
        <v/>
      </c>
      <c r="BK199" s="232" t="str">
        <f>IFERROR(__xludf.DUMMYFUNCTION("""COMPUTED_VALUE"""),"")</f>
        <v/>
      </c>
      <c r="BL199" s="233" t="str">
        <f>IFERROR(__xludf.DUMMYFUNCTION("""COMPUTED_VALUE"""),"")</f>
        <v/>
      </c>
      <c r="BM199" s="231" t="str">
        <f>IFERROR(__xludf.DUMMYFUNCTION("""COMPUTED_VALUE"""),"")</f>
        <v/>
      </c>
      <c r="BN199" s="232" t="str">
        <f>IFERROR(__xludf.DUMMYFUNCTION("""COMPUTED_VALUE"""),"")</f>
        <v/>
      </c>
      <c r="BO199" s="233" t="str">
        <f>IFERROR(__xludf.DUMMYFUNCTION("""COMPUTED_VALUE"""),"")</f>
        <v/>
      </c>
      <c r="BP199" s="231">
        <f>IFERROR(__xludf.DUMMYFUNCTION("""COMPUTED_VALUE"""),44.0)</f>
        <v>44</v>
      </c>
      <c r="BQ199" s="232" t="str">
        <f>IFERROR(__xludf.DUMMYFUNCTION("""COMPUTED_VALUE"""),"")</f>
        <v/>
      </c>
      <c r="BR199" s="233" t="str">
        <f>IFERROR(__xludf.DUMMYFUNCTION("""COMPUTED_VALUE"""),"")</f>
        <v/>
      </c>
      <c r="BS199" s="231" t="str">
        <f>IFERROR(__xludf.DUMMYFUNCTION("""COMPUTED_VALUE"""),"")</f>
        <v/>
      </c>
      <c r="BT199" s="232" t="str">
        <f>IFERROR(__xludf.DUMMYFUNCTION("""COMPUTED_VALUE"""),"")</f>
        <v/>
      </c>
      <c r="BU199" s="233" t="str">
        <f>IFERROR(__xludf.DUMMYFUNCTION("""COMPUTED_VALUE"""),"")</f>
        <v/>
      </c>
      <c r="BV199" s="231" t="str">
        <f>IFERROR(__xludf.DUMMYFUNCTION("""COMPUTED_VALUE"""),"")</f>
        <v/>
      </c>
      <c r="BW199" s="232" t="str">
        <f>IFERROR(__xludf.DUMMYFUNCTION("""COMPUTED_VALUE"""),"")</f>
        <v/>
      </c>
      <c r="BX199" s="233" t="str">
        <f>IFERROR(__xludf.DUMMYFUNCTION("""COMPUTED_VALUE"""),"")</f>
        <v/>
      </c>
      <c r="BY199" s="231" t="str">
        <f>IFERROR(__xludf.DUMMYFUNCTION("""COMPUTED_VALUE"""),"")</f>
        <v/>
      </c>
      <c r="BZ199" s="232" t="str">
        <f>IFERROR(__xludf.DUMMYFUNCTION("""COMPUTED_VALUE"""),"")</f>
        <v/>
      </c>
      <c r="CA199" s="233" t="str">
        <f>IFERROR(__xludf.DUMMYFUNCTION("""COMPUTED_VALUE"""),"")</f>
        <v/>
      </c>
      <c r="CB199" s="231" t="str">
        <f>IFERROR(__xludf.DUMMYFUNCTION("""COMPUTED_VALUE"""),"")</f>
        <v/>
      </c>
      <c r="CC199" s="232" t="str">
        <f>IFERROR(__xludf.DUMMYFUNCTION("""COMPUTED_VALUE"""),"")</f>
        <v/>
      </c>
      <c r="CD199" s="233" t="str">
        <f>IFERROR(__xludf.DUMMYFUNCTION("""COMPUTED_VALUE"""),"")</f>
        <v/>
      </c>
      <c r="CE199" s="234" t="str">
        <f>IFERROR(__xludf.DUMMYFUNCTION("""COMPUTED_VALUE"""),"")</f>
        <v/>
      </c>
      <c r="CF199" s="230" t="str">
        <f>IFERROR(__xludf.DUMMYFUNCTION("""COMPUTED_VALUE"""),"")</f>
        <v/>
      </c>
      <c r="CG199" s="235" t="str">
        <f>IFERROR(__xludf.DUMMYFUNCTION("""COMPUTED_VALUE"""),"")</f>
        <v/>
      </c>
      <c r="CH199" s="234" t="str">
        <f>IFERROR(__xludf.DUMMYFUNCTION("""COMPUTED_VALUE"""),"")</f>
        <v/>
      </c>
      <c r="CI199" s="230" t="str">
        <f>IFERROR(__xludf.DUMMYFUNCTION("""COMPUTED_VALUE"""),"")</f>
        <v/>
      </c>
      <c r="CJ199" s="235" t="str">
        <f>IFERROR(__xludf.DUMMYFUNCTION("""COMPUTED_VALUE"""),"")</f>
        <v/>
      </c>
      <c r="CK199" s="95" t="str">
        <f>IFERROR(__xludf.DUMMYFUNCTION("""COMPUTED_VALUE"""),"")</f>
        <v/>
      </c>
      <c r="CL199" s="96" t="str">
        <f>IFERROR(__xludf.DUMMYFUNCTION("""COMPUTED_VALUE"""),"")</f>
        <v/>
      </c>
      <c r="CM199" s="97" t="str">
        <f>IFERROR(__xludf.DUMMYFUNCTION("""COMPUTED_VALUE"""),"")</f>
        <v/>
      </c>
      <c r="CN199" s="95" t="str">
        <f>IFERROR(__xludf.DUMMYFUNCTION("""COMPUTED_VALUE"""),"")</f>
        <v/>
      </c>
      <c r="CO199" s="96" t="str">
        <f>IFERROR(__xludf.DUMMYFUNCTION("""COMPUTED_VALUE"""),"")</f>
        <v/>
      </c>
      <c r="CP199" s="97" t="str">
        <f>IFERROR(__xludf.DUMMYFUNCTION("""COMPUTED_VALUE"""),"")</f>
        <v/>
      </c>
      <c r="CQ199" s="95" t="str">
        <f>IFERROR(__xludf.DUMMYFUNCTION("""COMPUTED_VALUE"""),"")</f>
        <v/>
      </c>
      <c r="CR199" s="96" t="str">
        <f>IFERROR(__xludf.DUMMYFUNCTION("""COMPUTED_VALUE"""),"")</f>
        <v/>
      </c>
      <c r="CS199" s="97" t="str">
        <f>IFERROR(__xludf.DUMMYFUNCTION("""COMPUTED_VALUE"""),"#REF!")</f>
        <v>#REF!</v>
      </c>
      <c r="CT199" s="95" t="str">
        <f>IFERROR(__xludf.DUMMYFUNCTION("""COMPUTED_VALUE"""),"#REF!")</f>
        <v>#REF!</v>
      </c>
      <c r="CU199" s="96" t="str">
        <f>IFERROR(__xludf.DUMMYFUNCTION("""COMPUTED_VALUE"""),"#REF!")</f>
        <v>#REF!</v>
      </c>
      <c r="CV199" s="97" t="str">
        <f>IFERROR(__xludf.DUMMYFUNCTION("""COMPUTED_VALUE"""),"#REF!")</f>
        <v>#REF!</v>
      </c>
      <c r="CW199" s="95" t="str">
        <f>IFERROR(__xludf.DUMMYFUNCTION("""COMPUTED_VALUE"""),"#REF!")</f>
        <v>#REF!</v>
      </c>
      <c r="CX199" s="96" t="str">
        <f>IFERROR(__xludf.DUMMYFUNCTION("""COMPUTED_VALUE"""),"#REF!")</f>
        <v>#REF!</v>
      </c>
      <c r="CY199" s="97" t="str">
        <f>IFERROR(__xludf.DUMMYFUNCTION("""COMPUTED_VALUE"""),"#REF!")</f>
        <v>#REF!</v>
      </c>
      <c r="CZ199" s="95" t="str">
        <f>IFERROR(__xludf.DUMMYFUNCTION("""COMPUTED_VALUE"""),"#REF!")</f>
        <v>#REF!</v>
      </c>
      <c r="DA199" s="96" t="str">
        <f>IFERROR(__xludf.DUMMYFUNCTION("""COMPUTED_VALUE"""),"#REF!")</f>
        <v>#REF!</v>
      </c>
      <c r="DB199" s="97" t="str">
        <f>IFERROR(__xludf.DUMMYFUNCTION("""COMPUTED_VALUE"""),"#REF!")</f>
        <v>#REF!</v>
      </c>
      <c r="DC199" s="95" t="str">
        <f>IFERROR(__xludf.DUMMYFUNCTION("""COMPUTED_VALUE"""),"#REF!")</f>
        <v>#REF!</v>
      </c>
      <c r="DD199" s="96" t="str">
        <f>IFERROR(__xludf.DUMMYFUNCTION("""COMPUTED_VALUE"""),"#REF!")</f>
        <v>#REF!</v>
      </c>
      <c r="DE199" s="97" t="str">
        <f>IFERROR(__xludf.DUMMYFUNCTION("""COMPUTED_VALUE"""),"#REF!")</f>
        <v>#REF!</v>
      </c>
      <c r="DF199" s="95" t="str">
        <f>IFERROR(__xludf.DUMMYFUNCTION("""COMPUTED_VALUE"""),"#REF!")</f>
        <v>#REF!</v>
      </c>
      <c r="DG199" s="96" t="str">
        <f>IFERROR(__xludf.DUMMYFUNCTION("""COMPUTED_VALUE"""),"#REF!")</f>
        <v>#REF!</v>
      </c>
      <c r="DH199" s="97" t="str">
        <f>IFERROR(__xludf.DUMMYFUNCTION("""COMPUTED_VALUE"""),"#REF!")</f>
        <v>#REF!</v>
      </c>
      <c r="DI199" s="95" t="str">
        <f>IFERROR(__xludf.DUMMYFUNCTION("""COMPUTED_VALUE"""),"#REF!")</f>
        <v>#REF!</v>
      </c>
      <c r="DJ199" s="96" t="str">
        <f>IFERROR(__xludf.DUMMYFUNCTION("""COMPUTED_VALUE"""),"#REF!")</f>
        <v>#REF!</v>
      </c>
      <c r="DK199" s="97" t="str">
        <f>IFERROR(__xludf.DUMMYFUNCTION("""COMPUTED_VALUE"""),"#REF!")</f>
        <v>#REF!</v>
      </c>
      <c r="DL199" s="95" t="str">
        <f>IFERROR(__xludf.DUMMYFUNCTION("""COMPUTED_VALUE"""),"#REF!")</f>
        <v>#REF!</v>
      </c>
      <c r="DM199" s="96" t="str">
        <f>IFERROR(__xludf.DUMMYFUNCTION("""COMPUTED_VALUE"""),"#REF!")</f>
        <v>#REF!</v>
      </c>
      <c r="DN199" s="97" t="str">
        <f>IFERROR(__xludf.DUMMYFUNCTION("""COMPUTED_VALUE"""),"#REF!")</f>
        <v>#REF!</v>
      </c>
      <c r="DO199" s="95" t="str">
        <f>IFERROR(__xludf.DUMMYFUNCTION("""COMPUTED_VALUE"""),"#REF!")</f>
        <v>#REF!</v>
      </c>
      <c r="DP199" s="96" t="str">
        <f>IFERROR(__xludf.DUMMYFUNCTION("""COMPUTED_VALUE"""),"#REF!")</f>
        <v>#REF!</v>
      </c>
      <c r="DQ199" s="97"/>
      <c r="DR199" s="95"/>
    </row>
    <row r="200" ht="16.5" customHeight="1">
      <c r="B200" s="120" t="str">
        <f>IFERROR(__xludf.DUMMYFUNCTION("""COMPUTED_VALUE"""),"GTT4")</f>
        <v>GTT4</v>
      </c>
      <c r="C200" s="82">
        <f>IFERROR(__xludf.DUMMYFUNCTION("""COMPUTED_VALUE"""),195.0)</f>
        <v>195</v>
      </c>
      <c r="D200" s="88" t="str">
        <f>IFERROR(__xludf.DUMMYFUNCTION("""COMPUTED_VALUE"""),"Village 23")</f>
        <v>Village 23</v>
      </c>
      <c r="E200" s="82" t="str">
        <f>IFERROR(__xludf.DUMMYFUNCTION("""COMPUTED_VALUE"""),"第23集落")</f>
        <v>第23集落</v>
      </c>
      <c r="F200" s="102">
        <f>IFERROR(__xludf.DUMMYFUNCTION("""COMPUTED_VALUE"""),21.0)</f>
        <v>21</v>
      </c>
      <c r="G200" s="82">
        <f>IFERROR(__xludf.DUMMYFUNCTION("""COMPUTED_VALUE"""),1100.0)</f>
        <v>1100</v>
      </c>
      <c r="H200" s="231" t="str">
        <f>IFERROR(__xludf.DUMMYFUNCTION("""COMPUTED_VALUE"""),"")</f>
        <v/>
      </c>
      <c r="I200" s="232" t="str">
        <f>IFERROR(__xludf.DUMMYFUNCTION("""COMPUTED_VALUE"""),"")</f>
        <v/>
      </c>
      <c r="J200" s="233" t="str">
        <f>IFERROR(__xludf.DUMMYFUNCTION("""COMPUTED_VALUE"""),"")</f>
        <v/>
      </c>
      <c r="K200" s="231" t="str">
        <f>IFERROR(__xludf.DUMMYFUNCTION("""COMPUTED_VALUE"""),"")</f>
        <v/>
      </c>
      <c r="L200" s="232" t="str">
        <f>IFERROR(__xludf.DUMMYFUNCTION("""COMPUTED_VALUE"""),"")</f>
        <v/>
      </c>
      <c r="M200" s="233" t="str">
        <f>IFERROR(__xludf.DUMMYFUNCTION("""COMPUTED_VALUE"""),"")</f>
        <v/>
      </c>
      <c r="N200" s="231" t="str">
        <f>IFERROR(__xludf.DUMMYFUNCTION("""COMPUTED_VALUE"""),"")</f>
        <v/>
      </c>
      <c r="O200" s="232" t="str">
        <f>IFERROR(__xludf.DUMMYFUNCTION("""COMPUTED_VALUE"""),"")</f>
        <v/>
      </c>
      <c r="P200" s="233" t="str">
        <f>IFERROR(__xludf.DUMMYFUNCTION("""COMPUTED_VALUE"""),"")</f>
        <v/>
      </c>
      <c r="Q200" s="231" t="str">
        <f>IFERROR(__xludf.DUMMYFUNCTION("""COMPUTED_VALUE"""),"")</f>
        <v/>
      </c>
      <c r="R200" s="232" t="str">
        <f>IFERROR(__xludf.DUMMYFUNCTION("""COMPUTED_VALUE"""),"")</f>
        <v/>
      </c>
      <c r="S200" s="233" t="str">
        <f>IFERROR(__xludf.DUMMYFUNCTION("""COMPUTED_VALUE"""),"")</f>
        <v/>
      </c>
      <c r="T200" s="231" t="str">
        <f>IFERROR(__xludf.DUMMYFUNCTION("""COMPUTED_VALUE"""),"")</f>
        <v/>
      </c>
      <c r="U200" s="232" t="str">
        <f>IFERROR(__xludf.DUMMYFUNCTION("""COMPUTED_VALUE"""),"")</f>
        <v/>
      </c>
      <c r="V200" s="233" t="str">
        <f>IFERROR(__xludf.DUMMYFUNCTION("""COMPUTED_VALUE"""),"")</f>
        <v/>
      </c>
      <c r="W200" s="231" t="str">
        <f>IFERROR(__xludf.DUMMYFUNCTION("""COMPUTED_VALUE"""),"")</f>
        <v/>
      </c>
      <c r="X200" s="232" t="str">
        <f>IFERROR(__xludf.DUMMYFUNCTION("""COMPUTED_VALUE"""),"")</f>
        <v/>
      </c>
      <c r="Y200" s="233" t="str">
        <f>IFERROR(__xludf.DUMMYFUNCTION("""COMPUTED_VALUE"""),"")</f>
        <v/>
      </c>
      <c r="Z200" s="231">
        <f>IFERROR(__xludf.DUMMYFUNCTION("""COMPUTED_VALUE"""),25.2)</f>
        <v>25.2</v>
      </c>
      <c r="AA200" s="232" t="str">
        <f>IFERROR(__xludf.DUMMYFUNCTION("""COMPUTED_VALUE"""),"")</f>
        <v/>
      </c>
      <c r="AB200" s="233" t="str">
        <f>IFERROR(__xludf.DUMMYFUNCTION("""COMPUTED_VALUE"""),"")</f>
        <v/>
      </c>
      <c r="AC200" s="231" t="str">
        <f>IFERROR(__xludf.DUMMYFUNCTION("""COMPUTED_VALUE"""),"")</f>
        <v/>
      </c>
      <c r="AD200" s="232" t="str">
        <f>IFERROR(__xludf.DUMMYFUNCTION("""COMPUTED_VALUE"""),"")</f>
        <v/>
      </c>
      <c r="AE200" s="233" t="str">
        <f>IFERROR(__xludf.DUMMYFUNCTION("""COMPUTED_VALUE"""),"")</f>
        <v/>
      </c>
      <c r="AF200" s="231" t="str">
        <f>IFERROR(__xludf.DUMMYFUNCTION("""COMPUTED_VALUE"""),"")</f>
        <v/>
      </c>
      <c r="AG200" s="232" t="str">
        <f>IFERROR(__xludf.DUMMYFUNCTION("""COMPUTED_VALUE"""),"")</f>
        <v/>
      </c>
      <c r="AH200" s="233" t="str">
        <f>IFERROR(__xludf.DUMMYFUNCTION("""COMPUTED_VALUE"""),"")</f>
        <v/>
      </c>
      <c r="AI200" s="231" t="str">
        <f>IFERROR(__xludf.DUMMYFUNCTION("""COMPUTED_VALUE"""),"")</f>
        <v/>
      </c>
      <c r="AJ200" s="232" t="str">
        <f>IFERROR(__xludf.DUMMYFUNCTION("""COMPUTED_VALUE"""),"")</f>
        <v/>
      </c>
      <c r="AK200" s="233" t="str">
        <f>IFERROR(__xludf.DUMMYFUNCTION("""COMPUTED_VALUE"""),"")</f>
        <v/>
      </c>
      <c r="AL200" s="231" t="str">
        <f>IFERROR(__xludf.DUMMYFUNCTION("""COMPUTED_VALUE"""),"")</f>
        <v/>
      </c>
      <c r="AM200" s="232" t="str">
        <f>IFERROR(__xludf.DUMMYFUNCTION("""COMPUTED_VALUE"""),"")</f>
        <v/>
      </c>
      <c r="AN200" s="233">
        <f>IFERROR(__xludf.DUMMYFUNCTION("""COMPUTED_VALUE"""),24.8)</f>
        <v>24.8</v>
      </c>
      <c r="AO200" s="231" t="str">
        <f>IFERROR(__xludf.DUMMYFUNCTION("""COMPUTED_VALUE"""),"")</f>
        <v/>
      </c>
      <c r="AP200" s="232" t="str">
        <f>IFERROR(__xludf.DUMMYFUNCTION("""COMPUTED_VALUE"""),"")</f>
        <v/>
      </c>
      <c r="AQ200" s="233" t="str">
        <f>IFERROR(__xludf.DUMMYFUNCTION("""COMPUTED_VALUE"""),"")</f>
        <v/>
      </c>
      <c r="AR200" s="231" t="str">
        <f>IFERROR(__xludf.DUMMYFUNCTION("""COMPUTED_VALUE"""),"")</f>
        <v/>
      </c>
      <c r="AS200" s="232" t="str">
        <f>IFERROR(__xludf.DUMMYFUNCTION("""COMPUTED_VALUE"""),"")</f>
        <v/>
      </c>
      <c r="AT200" s="233" t="str">
        <f>IFERROR(__xludf.DUMMYFUNCTION("""COMPUTED_VALUE"""),"")</f>
        <v/>
      </c>
      <c r="AU200" s="231" t="str">
        <f>IFERROR(__xludf.DUMMYFUNCTION("""COMPUTED_VALUE"""),"")</f>
        <v/>
      </c>
      <c r="AV200" s="232" t="str">
        <f>IFERROR(__xludf.DUMMYFUNCTION("""COMPUTED_VALUE"""),"")</f>
        <v/>
      </c>
      <c r="AW200" s="233" t="str">
        <f>IFERROR(__xludf.DUMMYFUNCTION("""COMPUTED_VALUE"""),"")</f>
        <v/>
      </c>
      <c r="AX200" s="231" t="str">
        <f>IFERROR(__xludf.DUMMYFUNCTION("""COMPUTED_VALUE"""),"")</f>
        <v/>
      </c>
      <c r="AY200" s="232" t="str">
        <f>IFERROR(__xludf.DUMMYFUNCTION("""COMPUTED_VALUE"""),"")</f>
        <v/>
      </c>
      <c r="AZ200" s="233" t="str">
        <f>IFERROR(__xludf.DUMMYFUNCTION("""COMPUTED_VALUE"""),"")</f>
        <v/>
      </c>
      <c r="BA200" s="231" t="str">
        <f>IFERROR(__xludf.DUMMYFUNCTION("""COMPUTED_VALUE"""),"")</f>
        <v/>
      </c>
      <c r="BB200" s="232" t="str">
        <f>IFERROR(__xludf.DUMMYFUNCTION("""COMPUTED_VALUE"""),"")</f>
        <v/>
      </c>
      <c r="BC200" s="233" t="str">
        <f>IFERROR(__xludf.DUMMYFUNCTION("""COMPUTED_VALUE"""),"")</f>
        <v/>
      </c>
      <c r="BD200" s="231" t="str">
        <f>IFERROR(__xludf.DUMMYFUNCTION("""COMPUTED_VALUE"""),"")</f>
        <v/>
      </c>
      <c r="BE200" s="232" t="str">
        <f>IFERROR(__xludf.DUMMYFUNCTION("""COMPUTED_VALUE"""),"")</f>
        <v/>
      </c>
      <c r="BF200" s="233" t="str">
        <f>IFERROR(__xludf.DUMMYFUNCTION("""COMPUTED_VALUE"""),"")</f>
        <v/>
      </c>
      <c r="BG200" s="231" t="str">
        <f>IFERROR(__xludf.DUMMYFUNCTION("""COMPUTED_VALUE"""),"")</f>
        <v/>
      </c>
      <c r="BH200" s="232" t="str">
        <f>IFERROR(__xludf.DUMMYFUNCTION("""COMPUTED_VALUE"""),"")</f>
        <v/>
      </c>
      <c r="BI200" s="233" t="str">
        <f>IFERROR(__xludf.DUMMYFUNCTION("""COMPUTED_VALUE"""),"")</f>
        <v/>
      </c>
      <c r="BJ200" s="231" t="str">
        <f>IFERROR(__xludf.DUMMYFUNCTION("""COMPUTED_VALUE"""),"")</f>
        <v/>
      </c>
      <c r="BK200" s="232" t="str">
        <f>IFERROR(__xludf.DUMMYFUNCTION("""COMPUTED_VALUE"""),"")</f>
        <v/>
      </c>
      <c r="BL200" s="233" t="str">
        <f>IFERROR(__xludf.DUMMYFUNCTION("""COMPUTED_VALUE"""),"")</f>
        <v/>
      </c>
      <c r="BM200" s="231">
        <f>IFERROR(__xludf.DUMMYFUNCTION("""COMPUTED_VALUE"""),24.5)</f>
        <v>24.5</v>
      </c>
      <c r="BN200" s="232" t="str">
        <f>IFERROR(__xludf.DUMMYFUNCTION("""COMPUTED_VALUE"""),"")</f>
        <v/>
      </c>
      <c r="BO200" s="233" t="str">
        <f>IFERROR(__xludf.DUMMYFUNCTION("""COMPUTED_VALUE"""),"")</f>
        <v/>
      </c>
      <c r="BP200" s="231" t="str">
        <f>IFERROR(__xludf.DUMMYFUNCTION("""COMPUTED_VALUE"""),"")</f>
        <v/>
      </c>
      <c r="BQ200" s="232" t="str">
        <f>IFERROR(__xludf.DUMMYFUNCTION("""COMPUTED_VALUE"""),"")</f>
        <v/>
      </c>
      <c r="BR200" s="233" t="str">
        <f>IFERROR(__xludf.DUMMYFUNCTION("""COMPUTED_VALUE"""),"")</f>
        <v/>
      </c>
      <c r="BS200" s="231" t="str">
        <f>IFERROR(__xludf.DUMMYFUNCTION("""COMPUTED_VALUE"""),"")</f>
        <v/>
      </c>
      <c r="BT200" s="232" t="str">
        <f>IFERROR(__xludf.DUMMYFUNCTION("""COMPUTED_VALUE"""),"")</f>
        <v/>
      </c>
      <c r="BU200" s="233" t="str">
        <f>IFERROR(__xludf.DUMMYFUNCTION("""COMPUTED_VALUE"""),"")</f>
        <v/>
      </c>
      <c r="BV200" s="231">
        <f>IFERROR(__xludf.DUMMYFUNCTION("""COMPUTED_VALUE"""),29.8)</f>
        <v>29.8</v>
      </c>
      <c r="BW200" s="232" t="str">
        <f>IFERROR(__xludf.DUMMYFUNCTION("""COMPUTED_VALUE"""),"")</f>
        <v/>
      </c>
      <c r="BX200" s="233" t="str">
        <f>IFERROR(__xludf.DUMMYFUNCTION("""COMPUTED_VALUE"""),"")</f>
        <v/>
      </c>
      <c r="BY200" s="231" t="str">
        <f>IFERROR(__xludf.DUMMYFUNCTION("""COMPUTED_VALUE"""),"")</f>
        <v/>
      </c>
      <c r="BZ200" s="232" t="str">
        <f>IFERROR(__xludf.DUMMYFUNCTION("""COMPUTED_VALUE"""),"")</f>
        <v/>
      </c>
      <c r="CA200" s="233" t="str">
        <f>IFERROR(__xludf.DUMMYFUNCTION("""COMPUTED_VALUE"""),"")</f>
        <v/>
      </c>
      <c r="CB200" s="231" t="str">
        <f>IFERROR(__xludf.DUMMYFUNCTION("""COMPUTED_VALUE"""),"")</f>
        <v/>
      </c>
      <c r="CC200" s="232" t="str">
        <f>IFERROR(__xludf.DUMMYFUNCTION("""COMPUTED_VALUE"""),"")</f>
        <v/>
      </c>
      <c r="CD200" s="233" t="str">
        <f>IFERROR(__xludf.DUMMYFUNCTION("""COMPUTED_VALUE"""),"")</f>
        <v/>
      </c>
      <c r="CE200" s="234" t="str">
        <f>IFERROR(__xludf.DUMMYFUNCTION("""COMPUTED_VALUE"""),"")</f>
        <v/>
      </c>
      <c r="CF200" s="230" t="str">
        <f>IFERROR(__xludf.DUMMYFUNCTION("""COMPUTED_VALUE"""),"")</f>
        <v/>
      </c>
      <c r="CG200" s="235" t="str">
        <f>IFERROR(__xludf.DUMMYFUNCTION("""COMPUTED_VALUE"""),"")</f>
        <v/>
      </c>
      <c r="CH200" s="234" t="str">
        <f>IFERROR(__xludf.DUMMYFUNCTION("""COMPUTED_VALUE"""),"")</f>
        <v/>
      </c>
      <c r="CI200" s="230" t="str">
        <f>IFERROR(__xludf.DUMMYFUNCTION("""COMPUTED_VALUE"""),"")</f>
        <v/>
      </c>
      <c r="CJ200" s="235" t="str">
        <f>IFERROR(__xludf.DUMMYFUNCTION("""COMPUTED_VALUE"""),"")</f>
        <v/>
      </c>
      <c r="CK200" s="95" t="str">
        <f>IFERROR(__xludf.DUMMYFUNCTION("""COMPUTED_VALUE"""),"")</f>
        <v/>
      </c>
      <c r="CL200" s="96" t="str">
        <f>IFERROR(__xludf.DUMMYFUNCTION("""COMPUTED_VALUE"""),"")</f>
        <v/>
      </c>
      <c r="CM200" s="97" t="str">
        <f>IFERROR(__xludf.DUMMYFUNCTION("""COMPUTED_VALUE"""),"")</f>
        <v/>
      </c>
      <c r="CN200" s="95" t="str">
        <f>IFERROR(__xludf.DUMMYFUNCTION("""COMPUTED_VALUE"""),"")</f>
        <v/>
      </c>
      <c r="CO200" s="96" t="str">
        <f>IFERROR(__xludf.DUMMYFUNCTION("""COMPUTED_VALUE"""),"")</f>
        <v/>
      </c>
      <c r="CP200" s="97" t="str">
        <f>IFERROR(__xludf.DUMMYFUNCTION("""COMPUTED_VALUE"""),"")</f>
        <v/>
      </c>
      <c r="CQ200" s="95" t="str">
        <f>IFERROR(__xludf.DUMMYFUNCTION("""COMPUTED_VALUE"""),"")</f>
        <v/>
      </c>
      <c r="CR200" s="96" t="str">
        <f>IFERROR(__xludf.DUMMYFUNCTION("""COMPUTED_VALUE"""),"")</f>
        <v/>
      </c>
      <c r="CS200" s="97" t="str">
        <f>IFERROR(__xludf.DUMMYFUNCTION("""COMPUTED_VALUE"""),"#REF!")</f>
        <v>#REF!</v>
      </c>
      <c r="CT200" s="95" t="str">
        <f>IFERROR(__xludf.DUMMYFUNCTION("""COMPUTED_VALUE"""),"#REF!")</f>
        <v>#REF!</v>
      </c>
      <c r="CU200" s="96" t="str">
        <f>IFERROR(__xludf.DUMMYFUNCTION("""COMPUTED_VALUE"""),"#REF!")</f>
        <v>#REF!</v>
      </c>
      <c r="CV200" s="97" t="str">
        <f>IFERROR(__xludf.DUMMYFUNCTION("""COMPUTED_VALUE"""),"#REF!")</f>
        <v>#REF!</v>
      </c>
      <c r="CW200" s="95" t="str">
        <f>IFERROR(__xludf.DUMMYFUNCTION("""COMPUTED_VALUE"""),"#REF!")</f>
        <v>#REF!</v>
      </c>
      <c r="CX200" s="96" t="str">
        <f>IFERROR(__xludf.DUMMYFUNCTION("""COMPUTED_VALUE"""),"#REF!")</f>
        <v>#REF!</v>
      </c>
      <c r="CY200" s="97" t="str">
        <f>IFERROR(__xludf.DUMMYFUNCTION("""COMPUTED_VALUE"""),"#REF!")</f>
        <v>#REF!</v>
      </c>
      <c r="CZ200" s="95" t="str">
        <f>IFERROR(__xludf.DUMMYFUNCTION("""COMPUTED_VALUE"""),"#REF!")</f>
        <v>#REF!</v>
      </c>
      <c r="DA200" s="96" t="str">
        <f>IFERROR(__xludf.DUMMYFUNCTION("""COMPUTED_VALUE"""),"#REF!")</f>
        <v>#REF!</v>
      </c>
      <c r="DB200" s="97" t="str">
        <f>IFERROR(__xludf.DUMMYFUNCTION("""COMPUTED_VALUE"""),"#REF!")</f>
        <v>#REF!</v>
      </c>
      <c r="DC200" s="95" t="str">
        <f>IFERROR(__xludf.DUMMYFUNCTION("""COMPUTED_VALUE"""),"#REF!")</f>
        <v>#REF!</v>
      </c>
      <c r="DD200" s="96" t="str">
        <f>IFERROR(__xludf.DUMMYFUNCTION("""COMPUTED_VALUE"""),"#REF!")</f>
        <v>#REF!</v>
      </c>
      <c r="DE200" s="97" t="str">
        <f>IFERROR(__xludf.DUMMYFUNCTION("""COMPUTED_VALUE"""),"#REF!")</f>
        <v>#REF!</v>
      </c>
      <c r="DF200" s="95" t="str">
        <f>IFERROR(__xludf.DUMMYFUNCTION("""COMPUTED_VALUE"""),"#REF!")</f>
        <v>#REF!</v>
      </c>
      <c r="DG200" s="96" t="str">
        <f>IFERROR(__xludf.DUMMYFUNCTION("""COMPUTED_VALUE"""),"#REF!")</f>
        <v>#REF!</v>
      </c>
      <c r="DH200" s="97" t="str">
        <f>IFERROR(__xludf.DUMMYFUNCTION("""COMPUTED_VALUE"""),"#REF!")</f>
        <v>#REF!</v>
      </c>
      <c r="DI200" s="95" t="str">
        <f>IFERROR(__xludf.DUMMYFUNCTION("""COMPUTED_VALUE"""),"#REF!")</f>
        <v>#REF!</v>
      </c>
      <c r="DJ200" s="96" t="str">
        <f>IFERROR(__xludf.DUMMYFUNCTION("""COMPUTED_VALUE"""),"#REF!")</f>
        <v>#REF!</v>
      </c>
      <c r="DK200" s="97" t="str">
        <f>IFERROR(__xludf.DUMMYFUNCTION("""COMPUTED_VALUE"""),"#REF!")</f>
        <v>#REF!</v>
      </c>
      <c r="DL200" s="95" t="str">
        <f>IFERROR(__xludf.DUMMYFUNCTION("""COMPUTED_VALUE"""),"#REF!")</f>
        <v>#REF!</v>
      </c>
      <c r="DM200" s="96" t="str">
        <f>IFERROR(__xludf.DUMMYFUNCTION("""COMPUTED_VALUE"""),"#REF!")</f>
        <v>#REF!</v>
      </c>
      <c r="DN200" s="97" t="str">
        <f>IFERROR(__xludf.DUMMYFUNCTION("""COMPUTED_VALUE"""),"#REF!")</f>
        <v>#REF!</v>
      </c>
      <c r="DO200" s="95" t="str">
        <f>IFERROR(__xludf.DUMMYFUNCTION("""COMPUTED_VALUE"""),"#REF!")</f>
        <v>#REF!</v>
      </c>
      <c r="DP200" s="96" t="str">
        <f>IFERROR(__xludf.DUMMYFUNCTION("""COMPUTED_VALUE"""),"#REF!")</f>
        <v>#REF!</v>
      </c>
      <c r="DQ200" s="97"/>
      <c r="DR200" s="95"/>
    </row>
    <row r="201" ht="16.5" customHeight="1">
      <c r="B201" s="120" t="str">
        <f>IFERROR(__xludf.DUMMYFUNCTION("""COMPUTED_VALUE"""),"GTT5")</f>
        <v>GTT5</v>
      </c>
      <c r="C201" s="82">
        <f>IFERROR(__xludf.DUMMYFUNCTION("""COMPUTED_VALUE"""),196.0)</f>
        <v>196</v>
      </c>
      <c r="D201" s="88" t="str">
        <f>IFERROR(__xludf.DUMMYFUNCTION("""COMPUTED_VALUE"""),"Hero's Lair")</f>
        <v>Hero's Lair</v>
      </c>
      <c r="E201" s="82" t="str">
        <f>IFERROR(__xludf.DUMMYFUNCTION("""COMPUTED_VALUE"""),"英雄の穴倉")</f>
        <v>英雄の穴倉</v>
      </c>
      <c r="F201" s="102">
        <f>IFERROR(__xludf.DUMMYFUNCTION("""COMPUTED_VALUE"""),21.0)</f>
        <v>21</v>
      </c>
      <c r="G201" s="82">
        <f>IFERROR(__xludf.DUMMYFUNCTION("""COMPUTED_VALUE"""),8524.0)</f>
        <v>8524</v>
      </c>
      <c r="H201" s="231" t="str">
        <f>IFERROR(__xludf.DUMMYFUNCTION("""COMPUTED_VALUE"""),"")</f>
        <v/>
      </c>
      <c r="I201" s="232" t="str">
        <f>IFERROR(__xludf.DUMMYFUNCTION("""COMPUTED_VALUE"""),"")</f>
        <v/>
      </c>
      <c r="J201" s="233" t="str">
        <f>IFERROR(__xludf.DUMMYFUNCTION("""COMPUTED_VALUE"""),"")</f>
        <v/>
      </c>
      <c r="K201" s="231" t="str">
        <f>IFERROR(__xludf.DUMMYFUNCTION("""COMPUTED_VALUE"""),"")</f>
        <v/>
      </c>
      <c r="L201" s="232" t="str">
        <f>IFERROR(__xludf.DUMMYFUNCTION("""COMPUTED_VALUE"""),"")</f>
        <v/>
      </c>
      <c r="M201" s="233" t="str">
        <f>IFERROR(__xludf.DUMMYFUNCTION("""COMPUTED_VALUE"""),"")</f>
        <v/>
      </c>
      <c r="N201" s="231" t="str">
        <f>IFERROR(__xludf.DUMMYFUNCTION("""COMPUTED_VALUE"""),"")</f>
        <v/>
      </c>
      <c r="O201" s="232" t="str">
        <f>IFERROR(__xludf.DUMMYFUNCTION("""COMPUTED_VALUE"""),"")</f>
        <v/>
      </c>
      <c r="P201" s="233" t="str">
        <f>IFERROR(__xludf.DUMMYFUNCTION("""COMPUTED_VALUE"""),"")</f>
        <v/>
      </c>
      <c r="Q201" s="231" t="str">
        <f>IFERROR(__xludf.DUMMYFUNCTION("""COMPUTED_VALUE"""),"")</f>
        <v/>
      </c>
      <c r="R201" s="232" t="str">
        <f>IFERROR(__xludf.DUMMYFUNCTION("""COMPUTED_VALUE"""),"")</f>
        <v/>
      </c>
      <c r="S201" s="233" t="str">
        <f>IFERROR(__xludf.DUMMYFUNCTION("""COMPUTED_VALUE"""),"")</f>
        <v/>
      </c>
      <c r="T201" s="231" t="str">
        <f>IFERROR(__xludf.DUMMYFUNCTION("""COMPUTED_VALUE"""),"")</f>
        <v/>
      </c>
      <c r="U201" s="232" t="str">
        <f>IFERROR(__xludf.DUMMYFUNCTION("""COMPUTED_VALUE"""),"")</f>
        <v/>
      </c>
      <c r="V201" s="233" t="str">
        <f>IFERROR(__xludf.DUMMYFUNCTION("""COMPUTED_VALUE"""),"")</f>
        <v/>
      </c>
      <c r="W201" s="231" t="str">
        <f>IFERROR(__xludf.DUMMYFUNCTION("""COMPUTED_VALUE"""),"")</f>
        <v/>
      </c>
      <c r="X201" s="232" t="str">
        <f>IFERROR(__xludf.DUMMYFUNCTION("""COMPUTED_VALUE"""),"")</f>
        <v/>
      </c>
      <c r="Y201" s="233" t="str">
        <f>IFERROR(__xludf.DUMMYFUNCTION("""COMPUTED_VALUE"""),"")</f>
        <v/>
      </c>
      <c r="Z201" s="231" t="str">
        <f>IFERROR(__xludf.DUMMYFUNCTION("""COMPUTED_VALUE"""),"")</f>
        <v/>
      </c>
      <c r="AA201" s="232" t="str">
        <f>IFERROR(__xludf.DUMMYFUNCTION("""COMPUTED_VALUE"""),"")</f>
        <v/>
      </c>
      <c r="AB201" s="233">
        <f>IFERROR(__xludf.DUMMYFUNCTION("""COMPUTED_VALUE"""),24.8)</f>
        <v>24.8</v>
      </c>
      <c r="AC201" s="231" t="str">
        <f>IFERROR(__xludf.DUMMYFUNCTION("""COMPUTED_VALUE"""),"")</f>
        <v/>
      </c>
      <c r="AD201" s="232" t="str">
        <f>IFERROR(__xludf.DUMMYFUNCTION("""COMPUTED_VALUE"""),"")</f>
        <v/>
      </c>
      <c r="AE201" s="233" t="str">
        <f>IFERROR(__xludf.DUMMYFUNCTION("""COMPUTED_VALUE"""),"")</f>
        <v/>
      </c>
      <c r="AF201" s="231" t="str">
        <f>IFERROR(__xludf.DUMMYFUNCTION("""COMPUTED_VALUE"""),"")</f>
        <v/>
      </c>
      <c r="AG201" s="232" t="str">
        <f>IFERROR(__xludf.DUMMYFUNCTION("""COMPUTED_VALUE"""),"")</f>
        <v/>
      </c>
      <c r="AH201" s="233" t="str">
        <f>IFERROR(__xludf.DUMMYFUNCTION("""COMPUTED_VALUE"""),"")</f>
        <v/>
      </c>
      <c r="AI201" s="231" t="str">
        <f>IFERROR(__xludf.DUMMYFUNCTION("""COMPUTED_VALUE"""),"")</f>
        <v/>
      </c>
      <c r="AJ201" s="232" t="str">
        <f>IFERROR(__xludf.DUMMYFUNCTION("""COMPUTED_VALUE"""),"")</f>
        <v/>
      </c>
      <c r="AK201" s="233" t="str">
        <f>IFERROR(__xludf.DUMMYFUNCTION("""COMPUTED_VALUE"""),"")</f>
        <v/>
      </c>
      <c r="AL201" s="231" t="str">
        <f>IFERROR(__xludf.DUMMYFUNCTION("""COMPUTED_VALUE"""),"")</f>
        <v/>
      </c>
      <c r="AM201" s="232">
        <f>IFERROR(__xludf.DUMMYFUNCTION("""COMPUTED_VALUE"""),25.6)</f>
        <v>25.6</v>
      </c>
      <c r="AN201" s="233" t="str">
        <f>IFERROR(__xludf.DUMMYFUNCTION("""COMPUTED_VALUE"""),"")</f>
        <v/>
      </c>
      <c r="AO201" s="231" t="str">
        <f>IFERROR(__xludf.DUMMYFUNCTION("""COMPUTED_VALUE"""),"")</f>
        <v/>
      </c>
      <c r="AP201" s="232" t="str">
        <f>IFERROR(__xludf.DUMMYFUNCTION("""COMPUTED_VALUE"""),"")</f>
        <v/>
      </c>
      <c r="AQ201" s="233" t="str">
        <f>IFERROR(__xludf.DUMMYFUNCTION("""COMPUTED_VALUE"""),"")</f>
        <v/>
      </c>
      <c r="AR201" s="231" t="str">
        <f>IFERROR(__xludf.DUMMYFUNCTION("""COMPUTED_VALUE"""),"")</f>
        <v/>
      </c>
      <c r="AS201" s="232" t="str">
        <f>IFERROR(__xludf.DUMMYFUNCTION("""COMPUTED_VALUE"""),"")</f>
        <v/>
      </c>
      <c r="AT201" s="233" t="str">
        <f>IFERROR(__xludf.DUMMYFUNCTION("""COMPUTED_VALUE"""),"")</f>
        <v/>
      </c>
      <c r="AU201" s="231" t="str">
        <f>IFERROR(__xludf.DUMMYFUNCTION("""COMPUTED_VALUE"""),"")</f>
        <v/>
      </c>
      <c r="AV201" s="232" t="str">
        <f>IFERROR(__xludf.DUMMYFUNCTION("""COMPUTED_VALUE"""),"")</f>
        <v/>
      </c>
      <c r="AW201" s="233" t="str">
        <f>IFERROR(__xludf.DUMMYFUNCTION("""COMPUTED_VALUE"""),"")</f>
        <v/>
      </c>
      <c r="AX201" s="231" t="str">
        <f>IFERROR(__xludf.DUMMYFUNCTION("""COMPUTED_VALUE"""),"")</f>
        <v/>
      </c>
      <c r="AY201" s="232" t="str">
        <f>IFERROR(__xludf.DUMMYFUNCTION("""COMPUTED_VALUE"""),"")</f>
        <v/>
      </c>
      <c r="AZ201" s="233" t="str">
        <f>IFERROR(__xludf.DUMMYFUNCTION("""COMPUTED_VALUE"""),"")</f>
        <v/>
      </c>
      <c r="BA201" s="231" t="str">
        <f>IFERROR(__xludf.DUMMYFUNCTION("""COMPUTED_VALUE"""),"")</f>
        <v/>
      </c>
      <c r="BB201" s="232" t="str">
        <f>IFERROR(__xludf.DUMMYFUNCTION("""COMPUTED_VALUE"""),"")</f>
        <v/>
      </c>
      <c r="BC201" s="233" t="str">
        <f>IFERROR(__xludf.DUMMYFUNCTION("""COMPUTED_VALUE"""),"")</f>
        <v/>
      </c>
      <c r="BD201" s="231" t="str">
        <f>IFERROR(__xludf.DUMMYFUNCTION("""COMPUTED_VALUE"""),"")</f>
        <v/>
      </c>
      <c r="BE201" s="232" t="str">
        <f>IFERROR(__xludf.DUMMYFUNCTION("""COMPUTED_VALUE"""),"")</f>
        <v/>
      </c>
      <c r="BF201" s="233" t="str">
        <f>IFERROR(__xludf.DUMMYFUNCTION("""COMPUTED_VALUE"""),"")</f>
        <v/>
      </c>
      <c r="BG201" s="231" t="str">
        <f>IFERROR(__xludf.DUMMYFUNCTION("""COMPUTED_VALUE"""),"")</f>
        <v/>
      </c>
      <c r="BH201" s="232" t="str">
        <f>IFERROR(__xludf.DUMMYFUNCTION("""COMPUTED_VALUE"""),"")</f>
        <v/>
      </c>
      <c r="BI201" s="233">
        <f>IFERROR(__xludf.DUMMYFUNCTION("""COMPUTED_VALUE"""),4.9)</f>
        <v>4.9</v>
      </c>
      <c r="BJ201" s="231" t="str">
        <f>IFERROR(__xludf.DUMMYFUNCTION("""COMPUTED_VALUE"""),"")</f>
        <v/>
      </c>
      <c r="BK201" s="232" t="str">
        <f>IFERROR(__xludf.DUMMYFUNCTION("""COMPUTED_VALUE"""),"")</f>
        <v/>
      </c>
      <c r="BL201" s="233" t="str">
        <f>IFERROR(__xludf.DUMMYFUNCTION("""COMPUTED_VALUE"""),"")</f>
        <v/>
      </c>
      <c r="BM201" s="231" t="str">
        <f>IFERROR(__xludf.DUMMYFUNCTION("""COMPUTED_VALUE"""),"")</f>
        <v/>
      </c>
      <c r="BN201" s="232" t="str">
        <f>IFERROR(__xludf.DUMMYFUNCTION("""COMPUTED_VALUE"""),"")</f>
        <v/>
      </c>
      <c r="BO201" s="233" t="str">
        <f>IFERROR(__xludf.DUMMYFUNCTION("""COMPUTED_VALUE"""),"")</f>
        <v/>
      </c>
      <c r="BP201" s="231">
        <f>IFERROR(__xludf.DUMMYFUNCTION("""COMPUTED_VALUE"""),31.2)</f>
        <v>31.2</v>
      </c>
      <c r="BQ201" s="232" t="str">
        <f>IFERROR(__xludf.DUMMYFUNCTION("""COMPUTED_VALUE"""),"")</f>
        <v/>
      </c>
      <c r="BR201" s="233" t="str">
        <f>IFERROR(__xludf.DUMMYFUNCTION("""COMPUTED_VALUE"""),"")</f>
        <v/>
      </c>
      <c r="BS201" s="231" t="str">
        <f>IFERROR(__xludf.DUMMYFUNCTION("""COMPUTED_VALUE"""),"")</f>
        <v/>
      </c>
      <c r="BT201" s="232" t="str">
        <f>IFERROR(__xludf.DUMMYFUNCTION("""COMPUTED_VALUE"""),"")</f>
        <v/>
      </c>
      <c r="BU201" s="233" t="str">
        <f>IFERROR(__xludf.DUMMYFUNCTION("""COMPUTED_VALUE"""),"")</f>
        <v/>
      </c>
      <c r="BV201" s="231" t="str">
        <f>IFERROR(__xludf.DUMMYFUNCTION("""COMPUTED_VALUE"""),"")</f>
        <v/>
      </c>
      <c r="BW201" s="232" t="str">
        <f>IFERROR(__xludf.DUMMYFUNCTION("""COMPUTED_VALUE"""),"")</f>
        <v/>
      </c>
      <c r="BX201" s="233" t="str">
        <f>IFERROR(__xludf.DUMMYFUNCTION("""COMPUTED_VALUE"""),"")</f>
        <v/>
      </c>
      <c r="BY201" s="231" t="str">
        <f>IFERROR(__xludf.DUMMYFUNCTION("""COMPUTED_VALUE"""),"")</f>
        <v/>
      </c>
      <c r="BZ201" s="232" t="str">
        <f>IFERROR(__xludf.DUMMYFUNCTION("""COMPUTED_VALUE"""),"")</f>
        <v/>
      </c>
      <c r="CA201" s="233" t="str">
        <f>IFERROR(__xludf.DUMMYFUNCTION("""COMPUTED_VALUE"""),"")</f>
        <v/>
      </c>
      <c r="CB201" s="231" t="str">
        <f>IFERROR(__xludf.DUMMYFUNCTION("""COMPUTED_VALUE"""),"")</f>
        <v/>
      </c>
      <c r="CC201" s="232" t="str">
        <f>IFERROR(__xludf.DUMMYFUNCTION("""COMPUTED_VALUE"""),"")</f>
        <v/>
      </c>
      <c r="CD201" s="233" t="str">
        <f>IFERROR(__xludf.DUMMYFUNCTION("""COMPUTED_VALUE"""),"")</f>
        <v/>
      </c>
      <c r="CE201" s="234" t="str">
        <f>IFERROR(__xludf.DUMMYFUNCTION("""COMPUTED_VALUE"""),"")</f>
        <v/>
      </c>
      <c r="CF201" s="230" t="str">
        <f>IFERROR(__xludf.DUMMYFUNCTION("""COMPUTED_VALUE"""),"")</f>
        <v/>
      </c>
      <c r="CG201" s="235" t="str">
        <f>IFERROR(__xludf.DUMMYFUNCTION("""COMPUTED_VALUE"""),"")</f>
        <v/>
      </c>
      <c r="CH201" s="234" t="str">
        <f>IFERROR(__xludf.DUMMYFUNCTION("""COMPUTED_VALUE"""),"")</f>
        <v/>
      </c>
      <c r="CI201" s="230" t="str">
        <f>IFERROR(__xludf.DUMMYFUNCTION("""COMPUTED_VALUE"""),"")</f>
        <v/>
      </c>
      <c r="CJ201" s="235" t="str">
        <f>IFERROR(__xludf.DUMMYFUNCTION("""COMPUTED_VALUE"""),"")</f>
        <v/>
      </c>
      <c r="CK201" s="95" t="str">
        <f>IFERROR(__xludf.DUMMYFUNCTION("""COMPUTED_VALUE"""),"")</f>
        <v/>
      </c>
      <c r="CL201" s="96" t="str">
        <f>IFERROR(__xludf.DUMMYFUNCTION("""COMPUTED_VALUE"""),"")</f>
        <v/>
      </c>
      <c r="CM201" s="97" t="str">
        <f>IFERROR(__xludf.DUMMYFUNCTION("""COMPUTED_VALUE"""),"")</f>
        <v/>
      </c>
      <c r="CN201" s="95" t="str">
        <f>IFERROR(__xludf.DUMMYFUNCTION("""COMPUTED_VALUE"""),"")</f>
        <v/>
      </c>
      <c r="CO201" s="96" t="str">
        <f>IFERROR(__xludf.DUMMYFUNCTION("""COMPUTED_VALUE"""),"")</f>
        <v/>
      </c>
      <c r="CP201" s="97" t="str">
        <f>IFERROR(__xludf.DUMMYFUNCTION("""COMPUTED_VALUE"""),"")</f>
        <v/>
      </c>
      <c r="CQ201" s="95" t="str">
        <f>IFERROR(__xludf.DUMMYFUNCTION("""COMPUTED_VALUE"""),"")</f>
        <v/>
      </c>
      <c r="CR201" s="96" t="str">
        <f>IFERROR(__xludf.DUMMYFUNCTION("""COMPUTED_VALUE"""),"")</f>
        <v/>
      </c>
      <c r="CS201" s="97" t="str">
        <f>IFERROR(__xludf.DUMMYFUNCTION("""COMPUTED_VALUE"""),"#REF!")</f>
        <v>#REF!</v>
      </c>
      <c r="CT201" s="95" t="str">
        <f>IFERROR(__xludf.DUMMYFUNCTION("""COMPUTED_VALUE"""),"#REF!")</f>
        <v>#REF!</v>
      </c>
      <c r="CU201" s="96" t="str">
        <f>IFERROR(__xludf.DUMMYFUNCTION("""COMPUTED_VALUE"""),"#REF!")</f>
        <v>#REF!</v>
      </c>
      <c r="CV201" s="97" t="str">
        <f>IFERROR(__xludf.DUMMYFUNCTION("""COMPUTED_VALUE"""),"#REF!")</f>
        <v>#REF!</v>
      </c>
      <c r="CW201" s="95" t="str">
        <f>IFERROR(__xludf.DUMMYFUNCTION("""COMPUTED_VALUE"""),"#REF!")</f>
        <v>#REF!</v>
      </c>
      <c r="CX201" s="96" t="str">
        <f>IFERROR(__xludf.DUMMYFUNCTION("""COMPUTED_VALUE"""),"#REF!")</f>
        <v>#REF!</v>
      </c>
      <c r="CY201" s="97" t="str">
        <f>IFERROR(__xludf.DUMMYFUNCTION("""COMPUTED_VALUE"""),"#REF!")</f>
        <v>#REF!</v>
      </c>
      <c r="CZ201" s="95" t="str">
        <f>IFERROR(__xludf.DUMMYFUNCTION("""COMPUTED_VALUE"""),"#REF!")</f>
        <v>#REF!</v>
      </c>
      <c r="DA201" s="96" t="str">
        <f>IFERROR(__xludf.DUMMYFUNCTION("""COMPUTED_VALUE"""),"#REF!")</f>
        <v>#REF!</v>
      </c>
      <c r="DB201" s="97" t="str">
        <f>IFERROR(__xludf.DUMMYFUNCTION("""COMPUTED_VALUE"""),"#REF!")</f>
        <v>#REF!</v>
      </c>
      <c r="DC201" s="95" t="str">
        <f>IFERROR(__xludf.DUMMYFUNCTION("""COMPUTED_VALUE"""),"#REF!")</f>
        <v>#REF!</v>
      </c>
      <c r="DD201" s="96" t="str">
        <f>IFERROR(__xludf.DUMMYFUNCTION("""COMPUTED_VALUE"""),"#REF!")</f>
        <v>#REF!</v>
      </c>
      <c r="DE201" s="97" t="str">
        <f>IFERROR(__xludf.DUMMYFUNCTION("""COMPUTED_VALUE"""),"#REF!")</f>
        <v>#REF!</v>
      </c>
      <c r="DF201" s="95" t="str">
        <f>IFERROR(__xludf.DUMMYFUNCTION("""COMPUTED_VALUE"""),"#REF!")</f>
        <v>#REF!</v>
      </c>
      <c r="DG201" s="96" t="str">
        <f>IFERROR(__xludf.DUMMYFUNCTION("""COMPUTED_VALUE"""),"#REF!")</f>
        <v>#REF!</v>
      </c>
      <c r="DH201" s="97" t="str">
        <f>IFERROR(__xludf.DUMMYFUNCTION("""COMPUTED_VALUE"""),"#REF!")</f>
        <v>#REF!</v>
      </c>
      <c r="DI201" s="95" t="str">
        <f>IFERROR(__xludf.DUMMYFUNCTION("""COMPUTED_VALUE"""),"#REF!")</f>
        <v>#REF!</v>
      </c>
      <c r="DJ201" s="96" t="str">
        <f>IFERROR(__xludf.DUMMYFUNCTION("""COMPUTED_VALUE"""),"#REF!")</f>
        <v>#REF!</v>
      </c>
      <c r="DK201" s="97" t="str">
        <f>IFERROR(__xludf.DUMMYFUNCTION("""COMPUTED_VALUE"""),"#REF!")</f>
        <v>#REF!</v>
      </c>
      <c r="DL201" s="95" t="str">
        <f>IFERROR(__xludf.DUMMYFUNCTION("""COMPUTED_VALUE"""),"#REF!")</f>
        <v>#REF!</v>
      </c>
      <c r="DM201" s="96" t="str">
        <f>IFERROR(__xludf.DUMMYFUNCTION("""COMPUTED_VALUE"""),"#REF!")</f>
        <v>#REF!</v>
      </c>
      <c r="DN201" s="97" t="str">
        <f>IFERROR(__xludf.DUMMYFUNCTION("""COMPUTED_VALUE"""),"#REF!")</f>
        <v>#REF!</v>
      </c>
      <c r="DO201" s="95" t="str">
        <f>IFERROR(__xludf.DUMMYFUNCTION("""COMPUTED_VALUE"""),"#REF!")</f>
        <v>#REF!</v>
      </c>
      <c r="DP201" s="96" t="str">
        <f>IFERROR(__xludf.DUMMYFUNCTION("""COMPUTED_VALUE"""),"#REF!")</f>
        <v>#REF!</v>
      </c>
      <c r="DQ201" s="97"/>
      <c r="DR201" s="95"/>
    </row>
    <row r="202" ht="16.5" customHeight="1">
      <c r="B202" s="120" t="str">
        <f>IFERROR(__xludf.DUMMYFUNCTION("""COMPUTED_VALUE"""),"GTT6")</f>
        <v>GTT6</v>
      </c>
      <c r="C202" s="82">
        <f>IFERROR(__xludf.DUMMYFUNCTION("""COMPUTED_VALUE"""),197.0)</f>
        <v>197</v>
      </c>
      <c r="D202" s="88" t="str">
        <f>IFERROR(__xludf.DUMMYFUNCTION("""COMPUTED_VALUE"""),"Castle of Snow and Ice")</f>
        <v>Castle of Snow and Ice</v>
      </c>
      <c r="E202" s="82" t="str">
        <f>IFERROR(__xludf.DUMMYFUNCTION("""COMPUTED_VALUE"""),"雪と氷の城")</f>
        <v>雪と氷の城</v>
      </c>
      <c r="F202" s="102">
        <f>IFERROR(__xludf.DUMMYFUNCTION("""COMPUTED_VALUE"""),21.0)</f>
        <v>21</v>
      </c>
      <c r="G202" s="82">
        <f>IFERROR(__xludf.DUMMYFUNCTION("""COMPUTED_VALUE"""),11330.0)</f>
        <v>11330</v>
      </c>
      <c r="H202" s="231" t="str">
        <f>IFERROR(__xludf.DUMMYFUNCTION("""COMPUTED_VALUE"""),"")</f>
        <v/>
      </c>
      <c r="I202" s="232" t="str">
        <f>IFERROR(__xludf.DUMMYFUNCTION("""COMPUTED_VALUE"""),"")</f>
        <v/>
      </c>
      <c r="J202" s="233" t="str">
        <f>IFERROR(__xludf.DUMMYFUNCTION("""COMPUTED_VALUE"""),"")</f>
        <v/>
      </c>
      <c r="K202" s="231" t="str">
        <f>IFERROR(__xludf.DUMMYFUNCTION("""COMPUTED_VALUE"""),"")</f>
        <v/>
      </c>
      <c r="L202" s="232" t="str">
        <f>IFERROR(__xludf.DUMMYFUNCTION("""COMPUTED_VALUE"""),"")</f>
        <v/>
      </c>
      <c r="M202" s="233" t="str">
        <f>IFERROR(__xludf.DUMMYFUNCTION("""COMPUTED_VALUE"""),"")</f>
        <v/>
      </c>
      <c r="N202" s="231" t="str">
        <f>IFERROR(__xludf.DUMMYFUNCTION("""COMPUTED_VALUE"""),"")</f>
        <v/>
      </c>
      <c r="O202" s="232" t="str">
        <f>IFERROR(__xludf.DUMMYFUNCTION("""COMPUTED_VALUE"""),"")</f>
        <v/>
      </c>
      <c r="P202" s="233" t="str">
        <f>IFERROR(__xludf.DUMMYFUNCTION("""COMPUTED_VALUE"""),"")</f>
        <v/>
      </c>
      <c r="Q202" s="231" t="str">
        <f>IFERROR(__xludf.DUMMYFUNCTION("""COMPUTED_VALUE"""),"")</f>
        <v/>
      </c>
      <c r="R202" s="232" t="str">
        <f>IFERROR(__xludf.DUMMYFUNCTION("""COMPUTED_VALUE"""),"")</f>
        <v/>
      </c>
      <c r="S202" s="233" t="str">
        <f>IFERROR(__xludf.DUMMYFUNCTION("""COMPUTED_VALUE"""),"")</f>
        <v/>
      </c>
      <c r="T202" s="231" t="str">
        <f>IFERROR(__xludf.DUMMYFUNCTION("""COMPUTED_VALUE"""),"")</f>
        <v/>
      </c>
      <c r="U202" s="232" t="str">
        <f>IFERROR(__xludf.DUMMYFUNCTION("""COMPUTED_VALUE"""),"")</f>
        <v/>
      </c>
      <c r="V202" s="233" t="str">
        <f>IFERROR(__xludf.DUMMYFUNCTION("""COMPUTED_VALUE"""),"")</f>
        <v/>
      </c>
      <c r="W202" s="231" t="str">
        <f>IFERROR(__xludf.DUMMYFUNCTION("""COMPUTED_VALUE"""),"")</f>
        <v/>
      </c>
      <c r="X202" s="232" t="str">
        <f>IFERROR(__xludf.DUMMYFUNCTION("""COMPUTED_VALUE"""),"")</f>
        <v/>
      </c>
      <c r="Y202" s="233" t="str">
        <f>IFERROR(__xludf.DUMMYFUNCTION("""COMPUTED_VALUE"""),"")</f>
        <v/>
      </c>
      <c r="Z202" s="231" t="str">
        <f>IFERROR(__xludf.DUMMYFUNCTION("""COMPUTED_VALUE"""),"")</f>
        <v/>
      </c>
      <c r="AA202" s="232" t="str">
        <f>IFERROR(__xludf.DUMMYFUNCTION("""COMPUTED_VALUE"""),"")</f>
        <v/>
      </c>
      <c r="AB202" s="233" t="str">
        <f>IFERROR(__xludf.DUMMYFUNCTION("""COMPUTED_VALUE"""),"")</f>
        <v/>
      </c>
      <c r="AC202" s="231" t="str">
        <f>IFERROR(__xludf.DUMMYFUNCTION("""COMPUTED_VALUE"""),"")</f>
        <v/>
      </c>
      <c r="AD202" s="232" t="str">
        <f>IFERROR(__xludf.DUMMYFUNCTION("""COMPUTED_VALUE"""),"")</f>
        <v/>
      </c>
      <c r="AE202" s="233" t="str">
        <f>IFERROR(__xludf.DUMMYFUNCTION("""COMPUTED_VALUE"""),"")</f>
        <v/>
      </c>
      <c r="AF202" s="231" t="str">
        <f>IFERROR(__xludf.DUMMYFUNCTION("""COMPUTED_VALUE"""),"")</f>
        <v/>
      </c>
      <c r="AG202" s="232" t="str">
        <f>IFERROR(__xludf.DUMMYFUNCTION("""COMPUTED_VALUE"""),"")</f>
        <v/>
      </c>
      <c r="AH202" s="233" t="str">
        <f>IFERROR(__xludf.DUMMYFUNCTION("""COMPUTED_VALUE"""),"")</f>
        <v/>
      </c>
      <c r="AI202" s="231" t="str">
        <f>IFERROR(__xludf.DUMMYFUNCTION("""COMPUTED_VALUE"""),"")</f>
        <v/>
      </c>
      <c r="AJ202" s="232" t="str">
        <f>IFERROR(__xludf.DUMMYFUNCTION("""COMPUTED_VALUE"""),"")</f>
        <v/>
      </c>
      <c r="AK202" s="233" t="str">
        <f>IFERROR(__xludf.DUMMYFUNCTION("""COMPUTED_VALUE"""),"")</f>
        <v/>
      </c>
      <c r="AL202" s="231" t="str">
        <f>IFERROR(__xludf.DUMMYFUNCTION("""COMPUTED_VALUE"""),"")</f>
        <v/>
      </c>
      <c r="AM202" s="232" t="str">
        <f>IFERROR(__xludf.DUMMYFUNCTION("""COMPUTED_VALUE"""),"")</f>
        <v/>
      </c>
      <c r="AN202" s="233">
        <f>IFERROR(__xludf.DUMMYFUNCTION("""COMPUTED_VALUE"""),39.1)</f>
        <v>39.1</v>
      </c>
      <c r="AO202" s="231" t="str">
        <f>IFERROR(__xludf.DUMMYFUNCTION("""COMPUTED_VALUE"""),"")</f>
        <v/>
      </c>
      <c r="AP202" s="232" t="str">
        <f>IFERROR(__xludf.DUMMYFUNCTION("""COMPUTED_VALUE"""),"")</f>
        <v/>
      </c>
      <c r="AQ202" s="233" t="str">
        <f>IFERROR(__xludf.DUMMYFUNCTION("""COMPUTED_VALUE"""),"")</f>
        <v/>
      </c>
      <c r="AR202" s="231" t="str">
        <f>IFERROR(__xludf.DUMMYFUNCTION("""COMPUTED_VALUE"""),"")</f>
        <v/>
      </c>
      <c r="AS202" s="232" t="str">
        <f>IFERROR(__xludf.DUMMYFUNCTION("""COMPUTED_VALUE"""),"")</f>
        <v/>
      </c>
      <c r="AT202" s="233" t="str">
        <f>IFERROR(__xludf.DUMMYFUNCTION("""COMPUTED_VALUE"""),"")</f>
        <v/>
      </c>
      <c r="AU202" s="231" t="str">
        <f>IFERROR(__xludf.DUMMYFUNCTION("""COMPUTED_VALUE"""),"")</f>
        <v/>
      </c>
      <c r="AV202" s="232" t="str">
        <f>IFERROR(__xludf.DUMMYFUNCTION("""COMPUTED_VALUE"""),"")</f>
        <v/>
      </c>
      <c r="AW202" s="233" t="str">
        <f>IFERROR(__xludf.DUMMYFUNCTION("""COMPUTED_VALUE"""),"")</f>
        <v/>
      </c>
      <c r="AX202" s="231" t="str">
        <f>IFERROR(__xludf.DUMMYFUNCTION("""COMPUTED_VALUE"""),"")</f>
        <v/>
      </c>
      <c r="AY202" s="232" t="str">
        <f>IFERROR(__xludf.DUMMYFUNCTION("""COMPUTED_VALUE"""),"")</f>
        <v/>
      </c>
      <c r="AZ202" s="233" t="str">
        <f>IFERROR(__xludf.DUMMYFUNCTION("""COMPUTED_VALUE"""),"")</f>
        <v/>
      </c>
      <c r="BA202" s="231" t="str">
        <f>IFERROR(__xludf.DUMMYFUNCTION("""COMPUTED_VALUE"""),"")</f>
        <v/>
      </c>
      <c r="BB202" s="232" t="str">
        <f>IFERROR(__xludf.DUMMYFUNCTION("""COMPUTED_VALUE"""),"")</f>
        <v/>
      </c>
      <c r="BC202" s="233" t="str">
        <f>IFERROR(__xludf.DUMMYFUNCTION("""COMPUTED_VALUE"""),"")</f>
        <v/>
      </c>
      <c r="BD202" s="231" t="str">
        <f>IFERROR(__xludf.DUMMYFUNCTION("""COMPUTED_VALUE"""),"")</f>
        <v/>
      </c>
      <c r="BE202" s="232" t="str">
        <f>IFERROR(__xludf.DUMMYFUNCTION("""COMPUTED_VALUE"""),"")</f>
        <v/>
      </c>
      <c r="BF202" s="233" t="str">
        <f>IFERROR(__xludf.DUMMYFUNCTION("""COMPUTED_VALUE"""),"")</f>
        <v/>
      </c>
      <c r="BG202" s="231" t="str">
        <f>IFERROR(__xludf.DUMMYFUNCTION("""COMPUTED_VALUE"""),"")</f>
        <v/>
      </c>
      <c r="BH202" s="232" t="str">
        <f>IFERROR(__xludf.DUMMYFUNCTION("""COMPUTED_VALUE"""),"")</f>
        <v/>
      </c>
      <c r="BI202" s="233" t="str">
        <f>IFERROR(__xludf.DUMMYFUNCTION("""COMPUTED_VALUE"""),"")</f>
        <v/>
      </c>
      <c r="BJ202" s="231" t="str">
        <f>IFERROR(__xludf.DUMMYFUNCTION("""COMPUTED_VALUE"""),"")</f>
        <v/>
      </c>
      <c r="BK202" s="232" t="str">
        <f>IFERROR(__xludf.DUMMYFUNCTION("""COMPUTED_VALUE"""),"")</f>
        <v/>
      </c>
      <c r="BL202" s="233" t="str">
        <f>IFERROR(__xludf.DUMMYFUNCTION("""COMPUTED_VALUE"""),"")</f>
        <v/>
      </c>
      <c r="BM202" s="231">
        <f>IFERROR(__xludf.DUMMYFUNCTION("""COMPUTED_VALUE"""),46.2)</f>
        <v>46.2</v>
      </c>
      <c r="BN202" s="232" t="str">
        <f>IFERROR(__xludf.DUMMYFUNCTION("""COMPUTED_VALUE"""),"")</f>
        <v/>
      </c>
      <c r="BO202" s="233" t="str">
        <f>IFERROR(__xludf.DUMMYFUNCTION("""COMPUTED_VALUE"""),"")</f>
        <v/>
      </c>
      <c r="BP202" s="231" t="str">
        <f>IFERROR(__xludf.DUMMYFUNCTION("""COMPUTED_VALUE"""),"")</f>
        <v/>
      </c>
      <c r="BQ202" s="232" t="str">
        <f>IFERROR(__xludf.DUMMYFUNCTION("""COMPUTED_VALUE"""),"")</f>
        <v/>
      </c>
      <c r="BR202" s="233" t="str">
        <f>IFERROR(__xludf.DUMMYFUNCTION("""COMPUTED_VALUE"""),"")</f>
        <v/>
      </c>
      <c r="BS202" s="231" t="str">
        <f>IFERROR(__xludf.DUMMYFUNCTION("""COMPUTED_VALUE"""),"")</f>
        <v/>
      </c>
      <c r="BT202" s="232" t="str">
        <f>IFERROR(__xludf.DUMMYFUNCTION("""COMPUTED_VALUE"""),"")</f>
        <v/>
      </c>
      <c r="BU202" s="233" t="str">
        <f>IFERROR(__xludf.DUMMYFUNCTION("""COMPUTED_VALUE"""),"")</f>
        <v/>
      </c>
      <c r="BV202" s="231" t="str">
        <f>IFERROR(__xludf.DUMMYFUNCTION("""COMPUTED_VALUE"""),"")</f>
        <v/>
      </c>
      <c r="BW202" s="232" t="str">
        <f>IFERROR(__xludf.DUMMYFUNCTION("""COMPUTED_VALUE"""),"")</f>
        <v/>
      </c>
      <c r="BX202" s="233" t="str">
        <f>IFERROR(__xludf.DUMMYFUNCTION("""COMPUTED_VALUE"""),"")</f>
        <v/>
      </c>
      <c r="BY202" s="231" t="str">
        <f>IFERROR(__xludf.DUMMYFUNCTION("""COMPUTED_VALUE"""),"")</f>
        <v/>
      </c>
      <c r="BZ202" s="232" t="str">
        <f>IFERROR(__xludf.DUMMYFUNCTION("""COMPUTED_VALUE"""),"")</f>
        <v/>
      </c>
      <c r="CA202" s="233" t="str">
        <f>IFERROR(__xludf.DUMMYFUNCTION("""COMPUTED_VALUE"""),"")</f>
        <v/>
      </c>
      <c r="CB202" s="231" t="str">
        <f>IFERROR(__xludf.DUMMYFUNCTION("""COMPUTED_VALUE"""),"")</f>
        <v/>
      </c>
      <c r="CC202" s="232" t="str">
        <f>IFERROR(__xludf.DUMMYFUNCTION("""COMPUTED_VALUE"""),"")</f>
        <v/>
      </c>
      <c r="CD202" s="233" t="str">
        <f>IFERROR(__xludf.DUMMYFUNCTION("""COMPUTED_VALUE"""),"")</f>
        <v/>
      </c>
      <c r="CE202" s="234" t="str">
        <f>IFERROR(__xludf.DUMMYFUNCTION("""COMPUTED_VALUE"""),"")</f>
        <v/>
      </c>
      <c r="CF202" s="230" t="str">
        <f>IFERROR(__xludf.DUMMYFUNCTION("""COMPUTED_VALUE"""),"")</f>
        <v/>
      </c>
      <c r="CG202" s="235" t="str">
        <f>IFERROR(__xludf.DUMMYFUNCTION("""COMPUTED_VALUE"""),"")</f>
        <v/>
      </c>
      <c r="CH202" s="234" t="str">
        <f>IFERROR(__xludf.DUMMYFUNCTION("""COMPUTED_VALUE"""),"")</f>
        <v/>
      </c>
      <c r="CI202" s="230" t="str">
        <f>IFERROR(__xludf.DUMMYFUNCTION("""COMPUTED_VALUE"""),"")</f>
        <v/>
      </c>
      <c r="CJ202" s="235" t="str">
        <f>IFERROR(__xludf.DUMMYFUNCTION("""COMPUTED_VALUE"""),"")</f>
        <v/>
      </c>
      <c r="CK202" s="95" t="str">
        <f>IFERROR(__xludf.DUMMYFUNCTION("""COMPUTED_VALUE"""),"")</f>
        <v/>
      </c>
      <c r="CL202" s="96" t="str">
        <f>IFERROR(__xludf.DUMMYFUNCTION("""COMPUTED_VALUE"""),"")</f>
        <v/>
      </c>
      <c r="CM202" s="97" t="str">
        <f>IFERROR(__xludf.DUMMYFUNCTION("""COMPUTED_VALUE"""),"")</f>
        <v/>
      </c>
      <c r="CN202" s="95" t="str">
        <f>IFERROR(__xludf.DUMMYFUNCTION("""COMPUTED_VALUE"""),"")</f>
        <v/>
      </c>
      <c r="CO202" s="96" t="str">
        <f>IFERROR(__xludf.DUMMYFUNCTION("""COMPUTED_VALUE"""),"")</f>
        <v/>
      </c>
      <c r="CP202" s="97" t="str">
        <f>IFERROR(__xludf.DUMMYFUNCTION("""COMPUTED_VALUE"""),"")</f>
        <v/>
      </c>
      <c r="CQ202" s="95" t="str">
        <f>IFERROR(__xludf.DUMMYFUNCTION("""COMPUTED_VALUE"""),"")</f>
        <v/>
      </c>
      <c r="CR202" s="96" t="str">
        <f>IFERROR(__xludf.DUMMYFUNCTION("""COMPUTED_VALUE"""),"")</f>
        <v/>
      </c>
      <c r="CS202" s="97" t="str">
        <f>IFERROR(__xludf.DUMMYFUNCTION("""COMPUTED_VALUE"""),"#REF!")</f>
        <v>#REF!</v>
      </c>
      <c r="CT202" s="95" t="str">
        <f>IFERROR(__xludf.DUMMYFUNCTION("""COMPUTED_VALUE"""),"#REF!")</f>
        <v>#REF!</v>
      </c>
      <c r="CU202" s="96" t="str">
        <f>IFERROR(__xludf.DUMMYFUNCTION("""COMPUTED_VALUE"""),"#REF!")</f>
        <v>#REF!</v>
      </c>
      <c r="CV202" s="97" t="str">
        <f>IFERROR(__xludf.DUMMYFUNCTION("""COMPUTED_VALUE"""),"#REF!")</f>
        <v>#REF!</v>
      </c>
      <c r="CW202" s="95" t="str">
        <f>IFERROR(__xludf.DUMMYFUNCTION("""COMPUTED_VALUE"""),"#REF!")</f>
        <v>#REF!</v>
      </c>
      <c r="CX202" s="96" t="str">
        <f>IFERROR(__xludf.DUMMYFUNCTION("""COMPUTED_VALUE"""),"#REF!")</f>
        <v>#REF!</v>
      </c>
      <c r="CY202" s="97" t="str">
        <f>IFERROR(__xludf.DUMMYFUNCTION("""COMPUTED_VALUE"""),"#REF!")</f>
        <v>#REF!</v>
      </c>
      <c r="CZ202" s="95" t="str">
        <f>IFERROR(__xludf.DUMMYFUNCTION("""COMPUTED_VALUE"""),"#REF!")</f>
        <v>#REF!</v>
      </c>
      <c r="DA202" s="96" t="str">
        <f>IFERROR(__xludf.DUMMYFUNCTION("""COMPUTED_VALUE"""),"#REF!")</f>
        <v>#REF!</v>
      </c>
      <c r="DB202" s="97" t="str">
        <f>IFERROR(__xludf.DUMMYFUNCTION("""COMPUTED_VALUE"""),"#REF!")</f>
        <v>#REF!</v>
      </c>
      <c r="DC202" s="95" t="str">
        <f>IFERROR(__xludf.DUMMYFUNCTION("""COMPUTED_VALUE"""),"#REF!")</f>
        <v>#REF!</v>
      </c>
      <c r="DD202" s="96" t="str">
        <f>IFERROR(__xludf.DUMMYFUNCTION("""COMPUTED_VALUE"""),"#REF!")</f>
        <v>#REF!</v>
      </c>
      <c r="DE202" s="97" t="str">
        <f>IFERROR(__xludf.DUMMYFUNCTION("""COMPUTED_VALUE"""),"#REF!")</f>
        <v>#REF!</v>
      </c>
      <c r="DF202" s="95" t="str">
        <f>IFERROR(__xludf.DUMMYFUNCTION("""COMPUTED_VALUE"""),"#REF!")</f>
        <v>#REF!</v>
      </c>
      <c r="DG202" s="96" t="str">
        <f>IFERROR(__xludf.DUMMYFUNCTION("""COMPUTED_VALUE"""),"#REF!")</f>
        <v>#REF!</v>
      </c>
      <c r="DH202" s="97" t="str">
        <f>IFERROR(__xludf.DUMMYFUNCTION("""COMPUTED_VALUE"""),"#REF!")</f>
        <v>#REF!</v>
      </c>
      <c r="DI202" s="95" t="str">
        <f>IFERROR(__xludf.DUMMYFUNCTION("""COMPUTED_VALUE"""),"#REF!")</f>
        <v>#REF!</v>
      </c>
      <c r="DJ202" s="96" t="str">
        <f>IFERROR(__xludf.DUMMYFUNCTION("""COMPUTED_VALUE"""),"#REF!")</f>
        <v>#REF!</v>
      </c>
      <c r="DK202" s="97" t="str">
        <f>IFERROR(__xludf.DUMMYFUNCTION("""COMPUTED_VALUE"""),"#REF!")</f>
        <v>#REF!</v>
      </c>
      <c r="DL202" s="95" t="str">
        <f>IFERROR(__xludf.DUMMYFUNCTION("""COMPUTED_VALUE"""),"#REF!")</f>
        <v>#REF!</v>
      </c>
      <c r="DM202" s="96" t="str">
        <f>IFERROR(__xludf.DUMMYFUNCTION("""COMPUTED_VALUE"""),"#REF!")</f>
        <v>#REF!</v>
      </c>
      <c r="DN202" s="97" t="str">
        <f>IFERROR(__xludf.DUMMYFUNCTION("""COMPUTED_VALUE"""),"#REF!")</f>
        <v>#REF!</v>
      </c>
      <c r="DO202" s="95" t="str">
        <f>IFERROR(__xludf.DUMMYFUNCTION("""COMPUTED_VALUE"""),"#REF!")</f>
        <v>#REF!</v>
      </c>
      <c r="DP202" s="96" t="str">
        <f>IFERROR(__xludf.DUMMYFUNCTION("""COMPUTED_VALUE"""),"#REF!")</f>
        <v>#REF!</v>
      </c>
      <c r="DQ202" s="97"/>
      <c r="DR202" s="95"/>
    </row>
    <row r="203" ht="16.5" customHeight="1">
      <c r="B203" s="120" t="str">
        <f>IFERROR(__xludf.DUMMYFUNCTION("""COMPUTED_VALUE"""),"GTT7")</f>
        <v>GTT7</v>
      </c>
      <c r="C203" s="82">
        <f>IFERROR(__xludf.DUMMYFUNCTION("""COMPUTED_VALUE"""),198.0)</f>
        <v>198</v>
      </c>
      <c r="D203" s="88" t="str">
        <f>IFERROR(__xludf.DUMMYFUNCTION("""COMPUTED_VALUE"""),"Road to the End")</f>
        <v>Road to the End</v>
      </c>
      <c r="E203" s="82" t="str">
        <f>IFERROR(__xludf.DUMMYFUNCTION("""COMPUTED_VALUE"""),"果てへと至る道")</f>
        <v>果てへと至る道</v>
      </c>
      <c r="F203" s="102">
        <f>IFERROR(__xludf.DUMMYFUNCTION("""COMPUTED_VALUE"""),21.0)</f>
        <v>21</v>
      </c>
      <c r="G203" s="82">
        <f>IFERROR(__xludf.DUMMYFUNCTION("""COMPUTED_VALUE"""),16351.0)</f>
        <v>16351</v>
      </c>
      <c r="H203" s="231" t="str">
        <f>IFERROR(__xludf.DUMMYFUNCTION("""COMPUTED_VALUE"""),"")</f>
        <v/>
      </c>
      <c r="I203" s="232" t="str">
        <f>IFERROR(__xludf.DUMMYFUNCTION("""COMPUTED_VALUE"""),"")</f>
        <v/>
      </c>
      <c r="J203" s="233" t="str">
        <f>IFERROR(__xludf.DUMMYFUNCTION("""COMPUTED_VALUE"""),"")</f>
        <v/>
      </c>
      <c r="K203" s="231" t="str">
        <f>IFERROR(__xludf.DUMMYFUNCTION("""COMPUTED_VALUE"""),"")</f>
        <v/>
      </c>
      <c r="L203" s="232" t="str">
        <f>IFERROR(__xludf.DUMMYFUNCTION("""COMPUTED_VALUE"""),"")</f>
        <v/>
      </c>
      <c r="M203" s="233" t="str">
        <f>IFERROR(__xludf.DUMMYFUNCTION("""COMPUTED_VALUE"""),"")</f>
        <v/>
      </c>
      <c r="N203" s="231" t="str">
        <f>IFERROR(__xludf.DUMMYFUNCTION("""COMPUTED_VALUE"""),"")</f>
        <v/>
      </c>
      <c r="O203" s="232" t="str">
        <f>IFERROR(__xludf.DUMMYFUNCTION("""COMPUTED_VALUE"""),"")</f>
        <v/>
      </c>
      <c r="P203" s="233" t="str">
        <f>IFERROR(__xludf.DUMMYFUNCTION("""COMPUTED_VALUE"""),"")</f>
        <v/>
      </c>
      <c r="Q203" s="231">
        <f>IFERROR(__xludf.DUMMYFUNCTION("""COMPUTED_VALUE"""),17.699999899999998)</f>
        <v>17.6999999</v>
      </c>
      <c r="R203" s="232" t="str">
        <f>IFERROR(__xludf.DUMMYFUNCTION("""COMPUTED_VALUE"""),"")</f>
        <v/>
      </c>
      <c r="S203" s="233" t="str">
        <f>IFERROR(__xludf.DUMMYFUNCTION("""COMPUTED_VALUE"""),"")</f>
        <v/>
      </c>
      <c r="T203" s="231" t="str">
        <f>IFERROR(__xludf.DUMMYFUNCTION("""COMPUTED_VALUE"""),"")</f>
        <v/>
      </c>
      <c r="U203" s="232" t="str">
        <f>IFERROR(__xludf.DUMMYFUNCTION("""COMPUTED_VALUE"""),"")</f>
        <v/>
      </c>
      <c r="V203" s="233" t="str">
        <f>IFERROR(__xludf.DUMMYFUNCTION("""COMPUTED_VALUE"""),"")</f>
        <v/>
      </c>
      <c r="W203" s="231" t="str">
        <f>IFERROR(__xludf.DUMMYFUNCTION("""COMPUTED_VALUE"""),"")</f>
        <v/>
      </c>
      <c r="X203" s="232" t="str">
        <f>IFERROR(__xludf.DUMMYFUNCTION("""COMPUTED_VALUE"""),"")</f>
        <v/>
      </c>
      <c r="Y203" s="233" t="str">
        <f>IFERROR(__xludf.DUMMYFUNCTION("""COMPUTED_VALUE"""),"")</f>
        <v/>
      </c>
      <c r="Z203" s="231" t="str">
        <f>IFERROR(__xludf.DUMMYFUNCTION("""COMPUTED_VALUE"""),"")</f>
        <v/>
      </c>
      <c r="AA203" s="232" t="str">
        <f>IFERROR(__xludf.DUMMYFUNCTION("""COMPUTED_VALUE"""),"")</f>
        <v/>
      </c>
      <c r="AB203" s="233" t="str">
        <f>IFERROR(__xludf.DUMMYFUNCTION("""COMPUTED_VALUE"""),"")</f>
        <v/>
      </c>
      <c r="AC203" s="231" t="str">
        <f>IFERROR(__xludf.DUMMYFUNCTION("""COMPUTED_VALUE"""),"")</f>
        <v/>
      </c>
      <c r="AD203" s="232" t="str">
        <f>IFERROR(__xludf.DUMMYFUNCTION("""COMPUTED_VALUE"""),"")</f>
        <v/>
      </c>
      <c r="AE203" s="233" t="str">
        <f>IFERROR(__xludf.DUMMYFUNCTION("""COMPUTED_VALUE"""),"")</f>
        <v/>
      </c>
      <c r="AF203" s="231" t="str">
        <f>IFERROR(__xludf.DUMMYFUNCTION("""COMPUTED_VALUE"""),"")</f>
        <v/>
      </c>
      <c r="AG203" s="232" t="str">
        <f>IFERROR(__xludf.DUMMYFUNCTION("""COMPUTED_VALUE"""),"")</f>
        <v/>
      </c>
      <c r="AH203" s="233" t="str">
        <f>IFERROR(__xludf.DUMMYFUNCTION("""COMPUTED_VALUE"""),"")</f>
        <v/>
      </c>
      <c r="AI203" s="231" t="str">
        <f>IFERROR(__xludf.DUMMYFUNCTION("""COMPUTED_VALUE"""),"")</f>
        <v/>
      </c>
      <c r="AJ203" s="232" t="str">
        <f>IFERROR(__xludf.DUMMYFUNCTION("""COMPUTED_VALUE"""),"")</f>
        <v/>
      </c>
      <c r="AK203" s="233" t="str">
        <f>IFERROR(__xludf.DUMMYFUNCTION("""COMPUTED_VALUE"""),"")</f>
        <v/>
      </c>
      <c r="AL203" s="231" t="str">
        <f>IFERROR(__xludf.DUMMYFUNCTION("""COMPUTED_VALUE"""),"")</f>
        <v/>
      </c>
      <c r="AM203" s="232">
        <f>IFERROR(__xludf.DUMMYFUNCTION("""COMPUTED_VALUE"""),24.8)</f>
        <v>24.8</v>
      </c>
      <c r="AN203" s="233" t="str">
        <f>IFERROR(__xludf.DUMMYFUNCTION("""COMPUTED_VALUE"""),"")</f>
        <v/>
      </c>
      <c r="AO203" s="231" t="str">
        <f>IFERROR(__xludf.DUMMYFUNCTION("""COMPUTED_VALUE"""),"")</f>
        <v/>
      </c>
      <c r="AP203" s="232" t="str">
        <f>IFERROR(__xludf.DUMMYFUNCTION("""COMPUTED_VALUE"""),"")</f>
        <v/>
      </c>
      <c r="AQ203" s="233" t="str">
        <f>IFERROR(__xludf.DUMMYFUNCTION("""COMPUTED_VALUE"""),"")</f>
        <v/>
      </c>
      <c r="AR203" s="231" t="str">
        <f>IFERROR(__xludf.DUMMYFUNCTION("""COMPUTED_VALUE"""),"")</f>
        <v/>
      </c>
      <c r="AS203" s="232" t="str">
        <f>IFERROR(__xludf.DUMMYFUNCTION("""COMPUTED_VALUE"""),"")</f>
        <v/>
      </c>
      <c r="AT203" s="233" t="str">
        <f>IFERROR(__xludf.DUMMYFUNCTION("""COMPUTED_VALUE"""),"")</f>
        <v/>
      </c>
      <c r="AU203" s="231" t="str">
        <f>IFERROR(__xludf.DUMMYFUNCTION("""COMPUTED_VALUE"""),"")</f>
        <v/>
      </c>
      <c r="AV203" s="232" t="str">
        <f>IFERROR(__xludf.DUMMYFUNCTION("""COMPUTED_VALUE"""),"")</f>
        <v/>
      </c>
      <c r="AW203" s="233" t="str">
        <f>IFERROR(__xludf.DUMMYFUNCTION("""COMPUTED_VALUE"""),"")</f>
        <v/>
      </c>
      <c r="AX203" s="231" t="str">
        <f>IFERROR(__xludf.DUMMYFUNCTION("""COMPUTED_VALUE"""),"")</f>
        <v/>
      </c>
      <c r="AY203" s="232" t="str">
        <f>IFERROR(__xludf.DUMMYFUNCTION("""COMPUTED_VALUE"""),"")</f>
        <v/>
      </c>
      <c r="AZ203" s="233" t="str">
        <f>IFERROR(__xludf.DUMMYFUNCTION("""COMPUTED_VALUE"""),"")</f>
        <v/>
      </c>
      <c r="BA203" s="231" t="str">
        <f>IFERROR(__xludf.DUMMYFUNCTION("""COMPUTED_VALUE"""),"")</f>
        <v/>
      </c>
      <c r="BB203" s="232" t="str">
        <f>IFERROR(__xludf.DUMMYFUNCTION("""COMPUTED_VALUE"""),"")</f>
        <v/>
      </c>
      <c r="BC203" s="233" t="str">
        <f>IFERROR(__xludf.DUMMYFUNCTION("""COMPUTED_VALUE"""),"")</f>
        <v/>
      </c>
      <c r="BD203" s="231" t="str">
        <f>IFERROR(__xludf.DUMMYFUNCTION("""COMPUTED_VALUE"""),"")</f>
        <v/>
      </c>
      <c r="BE203" s="232" t="str">
        <f>IFERROR(__xludf.DUMMYFUNCTION("""COMPUTED_VALUE"""),"")</f>
        <v/>
      </c>
      <c r="BF203" s="233" t="str">
        <f>IFERROR(__xludf.DUMMYFUNCTION("""COMPUTED_VALUE"""),"")</f>
        <v/>
      </c>
      <c r="BG203" s="231" t="str">
        <f>IFERROR(__xludf.DUMMYFUNCTION("""COMPUTED_VALUE"""),"")</f>
        <v/>
      </c>
      <c r="BH203" s="232" t="str">
        <f>IFERROR(__xludf.DUMMYFUNCTION("""COMPUTED_VALUE"""),"")</f>
        <v/>
      </c>
      <c r="BI203" s="233" t="str">
        <f>IFERROR(__xludf.DUMMYFUNCTION("""COMPUTED_VALUE"""),"")</f>
        <v/>
      </c>
      <c r="BJ203" s="231" t="str">
        <f>IFERROR(__xludf.DUMMYFUNCTION("""COMPUTED_VALUE"""),"")</f>
        <v/>
      </c>
      <c r="BK203" s="232" t="str">
        <f>IFERROR(__xludf.DUMMYFUNCTION("""COMPUTED_VALUE"""),"")</f>
        <v/>
      </c>
      <c r="BL203" s="233" t="str">
        <f>IFERROR(__xludf.DUMMYFUNCTION("""COMPUTED_VALUE"""),"")</f>
        <v/>
      </c>
      <c r="BM203" s="231" t="str">
        <f>IFERROR(__xludf.DUMMYFUNCTION("""COMPUTED_VALUE"""),"")</f>
        <v/>
      </c>
      <c r="BN203" s="232" t="str">
        <f>IFERROR(__xludf.DUMMYFUNCTION("""COMPUTED_VALUE"""),"")</f>
        <v/>
      </c>
      <c r="BO203" s="233">
        <f>IFERROR(__xludf.DUMMYFUNCTION("""COMPUTED_VALUE"""),8.4)</f>
        <v>8.4</v>
      </c>
      <c r="BP203" s="231">
        <f>IFERROR(__xludf.DUMMYFUNCTION("""COMPUTED_VALUE"""),40.4)</f>
        <v>40.4</v>
      </c>
      <c r="BQ203" s="232" t="str">
        <f>IFERROR(__xludf.DUMMYFUNCTION("""COMPUTED_VALUE"""),"")</f>
        <v/>
      </c>
      <c r="BR203" s="233" t="str">
        <f>IFERROR(__xludf.DUMMYFUNCTION("""COMPUTED_VALUE"""),"")</f>
        <v/>
      </c>
      <c r="BS203" s="231" t="str">
        <f>IFERROR(__xludf.DUMMYFUNCTION("""COMPUTED_VALUE"""),"")</f>
        <v/>
      </c>
      <c r="BT203" s="232" t="str">
        <f>IFERROR(__xludf.DUMMYFUNCTION("""COMPUTED_VALUE"""),"")</f>
        <v/>
      </c>
      <c r="BU203" s="233" t="str">
        <f>IFERROR(__xludf.DUMMYFUNCTION("""COMPUTED_VALUE"""),"")</f>
        <v/>
      </c>
      <c r="BV203" s="231" t="str">
        <f>IFERROR(__xludf.DUMMYFUNCTION("""COMPUTED_VALUE"""),"")</f>
        <v/>
      </c>
      <c r="BW203" s="232" t="str">
        <f>IFERROR(__xludf.DUMMYFUNCTION("""COMPUTED_VALUE"""),"")</f>
        <v/>
      </c>
      <c r="BX203" s="233" t="str">
        <f>IFERROR(__xludf.DUMMYFUNCTION("""COMPUTED_VALUE"""),"")</f>
        <v/>
      </c>
      <c r="BY203" s="231" t="str">
        <f>IFERROR(__xludf.DUMMYFUNCTION("""COMPUTED_VALUE"""),"")</f>
        <v/>
      </c>
      <c r="BZ203" s="232" t="str">
        <f>IFERROR(__xludf.DUMMYFUNCTION("""COMPUTED_VALUE"""),"")</f>
        <v/>
      </c>
      <c r="CA203" s="233" t="str">
        <f>IFERROR(__xludf.DUMMYFUNCTION("""COMPUTED_VALUE"""),"")</f>
        <v/>
      </c>
      <c r="CB203" s="231" t="str">
        <f>IFERROR(__xludf.DUMMYFUNCTION("""COMPUTED_VALUE"""),"")</f>
        <v/>
      </c>
      <c r="CC203" s="232" t="str">
        <f>IFERROR(__xludf.DUMMYFUNCTION("""COMPUTED_VALUE"""),"")</f>
        <v/>
      </c>
      <c r="CD203" s="233" t="str">
        <f>IFERROR(__xludf.DUMMYFUNCTION("""COMPUTED_VALUE"""),"")</f>
        <v/>
      </c>
      <c r="CE203" s="234" t="str">
        <f>IFERROR(__xludf.DUMMYFUNCTION("""COMPUTED_VALUE"""),"")</f>
        <v/>
      </c>
      <c r="CF203" s="230" t="str">
        <f>IFERROR(__xludf.DUMMYFUNCTION("""COMPUTED_VALUE"""),"")</f>
        <v/>
      </c>
      <c r="CG203" s="235" t="str">
        <f>IFERROR(__xludf.DUMMYFUNCTION("""COMPUTED_VALUE"""),"")</f>
        <v/>
      </c>
      <c r="CH203" s="234" t="str">
        <f>IFERROR(__xludf.DUMMYFUNCTION("""COMPUTED_VALUE"""),"")</f>
        <v/>
      </c>
      <c r="CI203" s="230" t="str">
        <f>IFERROR(__xludf.DUMMYFUNCTION("""COMPUTED_VALUE"""),"")</f>
        <v/>
      </c>
      <c r="CJ203" s="235" t="str">
        <f>IFERROR(__xludf.DUMMYFUNCTION("""COMPUTED_VALUE"""),"")</f>
        <v/>
      </c>
      <c r="CK203" s="95" t="str">
        <f>IFERROR(__xludf.DUMMYFUNCTION("""COMPUTED_VALUE"""),"")</f>
        <v/>
      </c>
      <c r="CL203" s="96" t="str">
        <f>IFERROR(__xludf.DUMMYFUNCTION("""COMPUTED_VALUE"""),"")</f>
        <v/>
      </c>
      <c r="CM203" s="97" t="str">
        <f>IFERROR(__xludf.DUMMYFUNCTION("""COMPUTED_VALUE"""),"")</f>
        <v/>
      </c>
      <c r="CN203" s="95" t="str">
        <f>IFERROR(__xludf.DUMMYFUNCTION("""COMPUTED_VALUE"""),"")</f>
        <v/>
      </c>
      <c r="CO203" s="96" t="str">
        <f>IFERROR(__xludf.DUMMYFUNCTION("""COMPUTED_VALUE"""),"")</f>
        <v/>
      </c>
      <c r="CP203" s="97" t="str">
        <f>IFERROR(__xludf.DUMMYFUNCTION("""COMPUTED_VALUE"""),"")</f>
        <v/>
      </c>
      <c r="CQ203" s="95">
        <f>IFERROR(__xludf.DUMMYFUNCTION("""COMPUTED_VALUE"""),4.8)</f>
        <v>4.8</v>
      </c>
      <c r="CR203" s="96" t="str">
        <f>IFERROR(__xludf.DUMMYFUNCTION("""COMPUTED_VALUE"""),"")</f>
        <v/>
      </c>
      <c r="CS203" s="97" t="str">
        <f>IFERROR(__xludf.DUMMYFUNCTION("""COMPUTED_VALUE"""),"#REF!")</f>
        <v>#REF!</v>
      </c>
      <c r="CT203" s="95" t="str">
        <f>IFERROR(__xludf.DUMMYFUNCTION("""COMPUTED_VALUE"""),"#REF!")</f>
        <v>#REF!</v>
      </c>
      <c r="CU203" s="96" t="str">
        <f>IFERROR(__xludf.DUMMYFUNCTION("""COMPUTED_VALUE"""),"#REF!")</f>
        <v>#REF!</v>
      </c>
      <c r="CV203" s="97" t="str">
        <f>IFERROR(__xludf.DUMMYFUNCTION("""COMPUTED_VALUE"""),"#REF!")</f>
        <v>#REF!</v>
      </c>
      <c r="CW203" s="95" t="str">
        <f>IFERROR(__xludf.DUMMYFUNCTION("""COMPUTED_VALUE"""),"#REF!")</f>
        <v>#REF!</v>
      </c>
      <c r="CX203" s="96" t="str">
        <f>IFERROR(__xludf.DUMMYFUNCTION("""COMPUTED_VALUE"""),"#REF!")</f>
        <v>#REF!</v>
      </c>
      <c r="CY203" s="97" t="str">
        <f>IFERROR(__xludf.DUMMYFUNCTION("""COMPUTED_VALUE"""),"#REF!")</f>
        <v>#REF!</v>
      </c>
      <c r="CZ203" s="95" t="str">
        <f>IFERROR(__xludf.DUMMYFUNCTION("""COMPUTED_VALUE"""),"#REF!")</f>
        <v>#REF!</v>
      </c>
      <c r="DA203" s="96" t="str">
        <f>IFERROR(__xludf.DUMMYFUNCTION("""COMPUTED_VALUE"""),"#REF!")</f>
        <v>#REF!</v>
      </c>
      <c r="DB203" s="97" t="str">
        <f>IFERROR(__xludf.DUMMYFUNCTION("""COMPUTED_VALUE"""),"#REF!")</f>
        <v>#REF!</v>
      </c>
      <c r="DC203" s="95" t="str">
        <f>IFERROR(__xludf.DUMMYFUNCTION("""COMPUTED_VALUE"""),"#REF!")</f>
        <v>#REF!</v>
      </c>
      <c r="DD203" s="96" t="str">
        <f>IFERROR(__xludf.DUMMYFUNCTION("""COMPUTED_VALUE"""),"#REF!")</f>
        <v>#REF!</v>
      </c>
      <c r="DE203" s="97" t="str">
        <f>IFERROR(__xludf.DUMMYFUNCTION("""COMPUTED_VALUE"""),"#REF!")</f>
        <v>#REF!</v>
      </c>
      <c r="DF203" s="95" t="str">
        <f>IFERROR(__xludf.DUMMYFUNCTION("""COMPUTED_VALUE"""),"#REF!")</f>
        <v>#REF!</v>
      </c>
      <c r="DG203" s="96" t="str">
        <f>IFERROR(__xludf.DUMMYFUNCTION("""COMPUTED_VALUE"""),"#REF!")</f>
        <v>#REF!</v>
      </c>
      <c r="DH203" s="97" t="str">
        <f>IFERROR(__xludf.DUMMYFUNCTION("""COMPUTED_VALUE"""),"#REF!")</f>
        <v>#REF!</v>
      </c>
      <c r="DI203" s="95" t="str">
        <f>IFERROR(__xludf.DUMMYFUNCTION("""COMPUTED_VALUE"""),"#REF!")</f>
        <v>#REF!</v>
      </c>
      <c r="DJ203" s="96" t="str">
        <f>IFERROR(__xludf.DUMMYFUNCTION("""COMPUTED_VALUE"""),"#REF!")</f>
        <v>#REF!</v>
      </c>
      <c r="DK203" s="97" t="str">
        <f>IFERROR(__xludf.DUMMYFUNCTION("""COMPUTED_VALUE"""),"#REF!")</f>
        <v>#REF!</v>
      </c>
      <c r="DL203" s="95" t="str">
        <f>IFERROR(__xludf.DUMMYFUNCTION("""COMPUTED_VALUE"""),"#REF!")</f>
        <v>#REF!</v>
      </c>
      <c r="DM203" s="96" t="str">
        <f>IFERROR(__xludf.DUMMYFUNCTION("""COMPUTED_VALUE"""),"#REF!")</f>
        <v>#REF!</v>
      </c>
      <c r="DN203" s="97" t="str">
        <f>IFERROR(__xludf.DUMMYFUNCTION("""COMPUTED_VALUE"""),"#REF!")</f>
        <v>#REF!</v>
      </c>
      <c r="DO203" s="95" t="str">
        <f>IFERROR(__xludf.DUMMYFUNCTION("""COMPUTED_VALUE"""),"#REF!")</f>
        <v>#REF!</v>
      </c>
      <c r="DP203" s="96" t="str">
        <f>IFERROR(__xludf.DUMMYFUNCTION("""COMPUTED_VALUE"""),"#REF!")</f>
        <v>#REF!</v>
      </c>
      <c r="DQ203" s="97"/>
      <c r="DR203" s="95"/>
    </row>
    <row r="204" ht="16.5" customHeight="1">
      <c r="B204" s="120" t="str">
        <f>IFERROR(__xludf.DUMMYFUNCTION("""COMPUTED_VALUE"""),"GTT8")</f>
        <v>GTT8</v>
      </c>
      <c r="C204" s="82">
        <f>IFERROR(__xludf.DUMMYFUNCTION("""COMPUTED_VALUE"""),199.0)</f>
        <v>199</v>
      </c>
      <c r="D204" s="88" t="str">
        <f>IFERROR(__xludf.DUMMYFUNCTION("""COMPUTED_VALUE"""),"Flaming Mansion")</f>
        <v>Flaming Mansion</v>
      </c>
      <c r="E204" s="82" t="str">
        <f>IFERROR(__xludf.DUMMYFUNCTION("""COMPUTED_VALUE"""),"炎の館")</f>
        <v>炎の館</v>
      </c>
      <c r="F204" s="102">
        <f>IFERROR(__xludf.DUMMYFUNCTION("""COMPUTED_VALUE"""),21.0)</f>
        <v>21</v>
      </c>
      <c r="G204" s="82">
        <f>IFERROR(__xludf.DUMMYFUNCTION("""COMPUTED_VALUE"""),16339.0)</f>
        <v>16339</v>
      </c>
      <c r="H204" s="231" t="str">
        <f>IFERROR(__xludf.DUMMYFUNCTION("""COMPUTED_VALUE"""),"")</f>
        <v/>
      </c>
      <c r="I204" s="232" t="str">
        <f>IFERROR(__xludf.DUMMYFUNCTION("""COMPUTED_VALUE"""),"")</f>
        <v/>
      </c>
      <c r="J204" s="233" t="str">
        <f>IFERROR(__xludf.DUMMYFUNCTION("""COMPUTED_VALUE"""),"")</f>
        <v/>
      </c>
      <c r="K204" s="231" t="str">
        <f>IFERROR(__xludf.DUMMYFUNCTION("""COMPUTED_VALUE"""),"")</f>
        <v/>
      </c>
      <c r="L204" s="232" t="str">
        <f>IFERROR(__xludf.DUMMYFUNCTION("""COMPUTED_VALUE"""),"")</f>
        <v/>
      </c>
      <c r="M204" s="233" t="str">
        <f>IFERROR(__xludf.DUMMYFUNCTION("""COMPUTED_VALUE"""),"")</f>
        <v/>
      </c>
      <c r="N204" s="231" t="str">
        <f>IFERROR(__xludf.DUMMYFUNCTION("""COMPUTED_VALUE"""),"")</f>
        <v/>
      </c>
      <c r="O204" s="232" t="str">
        <f>IFERROR(__xludf.DUMMYFUNCTION("""COMPUTED_VALUE"""),"")</f>
        <v/>
      </c>
      <c r="P204" s="233" t="str">
        <f>IFERROR(__xludf.DUMMYFUNCTION("""COMPUTED_VALUE"""),"")</f>
        <v/>
      </c>
      <c r="Q204" s="231" t="str">
        <f>IFERROR(__xludf.DUMMYFUNCTION("""COMPUTED_VALUE"""),"")</f>
        <v/>
      </c>
      <c r="R204" s="232" t="str">
        <f>IFERROR(__xludf.DUMMYFUNCTION("""COMPUTED_VALUE"""),"")</f>
        <v/>
      </c>
      <c r="S204" s="233" t="str">
        <f>IFERROR(__xludf.DUMMYFUNCTION("""COMPUTED_VALUE"""),"")</f>
        <v/>
      </c>
      <c r="T204" s="231" t="str">
        <f>IFERROR(__xludf.DUMMYFUNCTION("""COMPUTED_VALUE"""),"")</f>
        <v/>
      </c>
      <c r="U204" s="232" t="str">
        <f>IFERROR(__xludf.DUMMYFUNCTION("""COMPUTED_VALUE"""),"")</f>
        <v/>
      </c>
      <c r="V204" s="233" t="str">
        <f>IFERROR(__xludf.DUMMYFUNCTION("""COMPUTED_VALUE"""),"")</f>
        <v/>
      </c>
      <c r="W204" s="231" t="str">
        <f>IFERROR(__xludf.DUMMYFUNCTION("""COMPUTED_VALUE"""),"")</f>
        <v/>
      </c>
      <c r="X204" s="232" t="str">
        <f>IFERROR(__xludf.DUMMYFUNCTION("""COMPUTED_VALUE"""),"")</f>
        <v/>
      </c>
      <c r="Y204" s="233" t="str">
        <f>IFERROR(__xludf.DUMMYFUNCTION("""COMPUTED_VALUE"""),"")</f>
        <v/>
      </c>
      <c r="Z204" s="231" t="str">
        <f>IFERROR(__xludf.DUMMYFUNCTION("""COMPUTED_VALUE"""),"")</f>
        <v/>
      </c>
      <c r="AA204" s="232" t="str">
        <f>IFERROR(__xludf.DUMMYFUNCTION("""COMPUTED_VALUE"""),"")</f>
        <v/>
      </c>
      <c r="AB204" s="233" t="str">
        <f>IFERROR(__xludf.DUMMYFUNCTION("""COMPUTED_VALUE"""),"")</f>
        <v/>
      </c>
      <c r="AC204" s="231" t="str">
        <f>IFERROR(__xludf.DUMMYFUNCTION("""COMPUTED_VALUE"""),"")</f>
        <v/>
      </c>
      <c r="AD204" s="232" t="str">
        <f>IFERROR(__xludf.DUMMYFUNCTION("""COMPUTED_VALUE"""),"")</f>
        <v/>
      </c>
      <c r="AE204" s="233" t="str">
        <f>IFERROR(__xludf.DUMMYFUNCTION("""COMPUTED_VALUE"""),"")</f>
        <v/>
      </c>
      <c r="AF204" s="231" t="str">
        <f>IFERROR(__xludf.DUMMYFUNCTION("""COMPUTED_VALUE"""),"")</f>
        <v/>
      </c>
      <c r="AG204" s="232" t="str">
        <f>IFERROR(__xludf.DUMMYFUNCTION("""COMPUTED_VALUE"""),"")</f>
        <v/>
      </c>
      <c r="AH204" s="233" t="str">
        <f>IFERROR(__xludf.DUMMYFUNCTION("""COMPUTED_VALUE"""),"")</f>
        <v/>
      </c>
      <c r="AI204" s="231" t="str">
        <f>IFERROR(__xludf.DUMMYFUNCTION("""COMPUTED_VALUE"""),"")</f>
        <v/>
      </c>
      <c r="AJ204" s="232" t="str">
        <f>IFERROR(__xludf.DUMMYFUNCTION("""COMPUTED_VALUE"""),"")</f>
        <v/>
      </c>
      <c r="AK204" s="233" t="str">
        <f>IFERROR(__xludf.DUMMYFUNCTION("""COMPUTED_VALUE"""),"")</f>
        <v/>
      </c>
      <c r="AL204" s="231" t="str">
        <f>IFERROR(__xludf.DUMMYFUNCTION("""COMPUTED_VALUE"""),"")</f>
        <v/>
      </c>
      <c r="AM204" s="232">
        <f>IFERROR(__xludf.DUMMYFUNCTION("""COMPUTED_VALUE"""),25.9)</f>
        <v>25.9</v>
      </c>
      <c r="AN204" s="233">
        <f>IFERROR(__xludf.DUMMYFUNCTION("""COMPUTED_VALUE"""),24.8)</f>
        <v>24.8</v>
      </c>
      <c r="AO204" s="231" t="str">
        <f>IFERROR(__xludf.DUMMYFUNCTION("""COMPUTED_VALUE"""),"")</f>
        <v/>
      </c>
      <c r="AP204" s="232" t="str">
        <f>IFERROR(__xludf.DUMMYFUNCTION("""COMPUTED_VALUE"""),"")</f>
        <v/>
      </c>
      <c r="AQ204" s="233" t="str">
        <f>IFERROR(__xludf.DUMMYFUNCTION("""COMPUTED_VALUE"""),"")</f>
        <v/>
      </c>
      <c r="AR204" s="231" t="str">
        <f>IFERROR(__xludf.DUMMYFUNCTION("""COMPUTED_VALUE"""),"")</f>
        <v/>
      </c>
      <c r="AS204" s="232" t="str">
        <f>IFERROR(__xludf.DUMMYFUNCTION("""COMPUTED_VALUE"""),"")</f>
        <v/>
      </c>
      <c r="AT204" s="233" t="str">
        <f>IFERROR(__xludf.DUMMYFUNCTION("""COMPUTED_VALUE"""),"")</f>
        <v/>
      </c>
      <c r="AU204" s="231" t="str">
        <f>IFERROR(__xludf.DUMMYFUNCTION("""COMPUTED_VALUE"""),"")</f>
        <v/>
      </c>
      <c r="AV204" s="232" t="str">
        <f>IFERROR(__xludf.DUMMYFUNCTION("""COMPUTED_VALUE"""),"")</f>
        <v/>
      </c>
      <c r="AW204" s="233" t="str">
        <f>IFERROR(__xludf.DUMMYFUNCTION("""COMPUTED_VALUE"""),"")</f>
        <v/>
      </c>
      <c r="AX204" s="231" t="str">
        <f>IFERROR(__xludf.DUMMYFUNCTION("""COMPUTED_VALUE"""),"")</f>
        <v/>
      </c>
      <c r="AY204" s="232" t="str">
        <f>IFERROR(__xludf.DUMMYFUNCTION("""COMPUTED_VALUE"""),"")</f>
        <v/>
      </c>
      <c r="AZ204" s="233" t="str">
        <f>IFERROR(__xludf.DUMMYFUNCTION("""COMPUTED_VALUE"""),"")</f>
        <v/>
      </c>
      <c r="BA204" s="231" t="str">
        <f>IFERROR(__xludf.DUMMYFUNCTION("""COMPUTED_VALUE"""),"")</f>
        <v/>
      </c>
      <c r="BB204" s="232" t="str">
        <f>IFERROR(__xludf.DUMMYFUNCTION("""COMPUTED_VALUE"""),"")</f>
        <v/>
      </c>
      <c r="BC204" s="233" t="str">
        <f>IFERROR(__xludf.DUMMYFUNCTION("""COMPUTED_VALUE"""),"")</f>
        <v/>
      </c>
      <c r="BD204" s="231" t="str">
        <f>IFERROR(__xludf.DUMMYFUNCTION("""COMPUTED_VALUE"""),"")</f>
        <v/>
      </c>
      <c r="BE204" s="232" t="str">
        <f>IFERROR(__xludf.DUMMYFUNCTION("""COMPUTED_VALUE"""),"")</f>
        <v/>
      </c>
      <c r="BF204" s="233" t="str">
        <f>IFERROR(__xludf.DUMMYFUNCTION("""COMPUTED_VALUE"""),"")</f>
        <v/>
      </c>
      <c r="BG204" s="231" t="str">
        <f>IFERROR(__xludf.DUMMYFUNCTION("""COMPUTED_VALUE"""),"")</f>
        <v/>
      </c>
      <c r="BH204" s="232" t="str">
        <f>IFERROR(__xludf.DUMMYFUNCTION("""COMPUTED_VALUE"""),"")</f>
        <v/>
      </c>
      <c r="BI204" s="233" t="str">
        <f>IFERROR(__xludf.DUMMYFUNCTION("""COMPUTED_VALUE"""),"")</f>
        <v/>
      </c>
      <c r="BJ204" s="231" t="str">
        <f>IFERROR(__xludf.DUMMYFUNCTION("""COMPUTED_VALUE"""),"")</f>
        <v/>
      </c>
      <c r="BK204" s="232" t="str">
        <f>IFERROR(__xludf.DUMMYFUNCTION("""COMPUTED_VALUE"""),"")</f>
        <v/>
      </c>
      <c r="BL204" s="233" t="str">
        <f>IFERROR(__xludf.DUMMYFUNCTION("""COMPUTED_VALUE"""),"")</f>
        <v/>
      </c>
      <c r="BM204" s="231">
        <f>IFERROR(__xludf.DUMMYFUNCTION("""COMPUTED_VALUE"""),24.7)</f>
        <v>24.7</v>
      </c>
      <c r="BN204" s="232" t="str">
        <f>IFERROR(__xludf.DUMMYFUNCTION("""COMPUTED_VALUE"""),"")</f>
        <v/>
      </c>
      <c r="BO204" s="233" t="str">
        <f>IFERROR(__xludf.DUMMYFUNCTION("""COMPUTED_VALUE"""),"")</f>
        <v/>
      </c>
      <c r="BP204" s="231">
        <f>IFERROR(__xludf.DUMMYFUNCTION("""COMPUTED_VALUE"""),19.9)</f>
        <v>19.9</v>
      </c>
      <c r="BQ204" s="232" t="str">
        <f>IFERROR(__xludf.DUMMYFUNCTION("""COMPUTED_VALUE"""),"")</f>
        <v/>
      </c>
      <c r="BR204" s="233" t="str">
        <f>IFERROR(__xludf.DUMMYFUNCTION("""COMPUTED_VALUE"""),"")</f>
        <v/>
      </c>
      <c r="BS204" s="231" t="str">
        <f>IFERROR(__xludf.DUMMYFUNCTION("""COMPUTED_VALUE"""),"")</f>
        <v/>
      </c>
      <c r="BT204" s="232" t="str">
        <f>IFERROR(__xludf.DUMMYFUNCTION("""COMPUTED_VALUE"""),"")</f>
        <v/>
      </c>
      <c r="BU204" s="233" t="str">
        <f>IFERROR(__xludf.DUMMYFUNCTION("""COMPUTED_VALUE"""),"")</f>
        <v/>
      </c>
      <c r="BV204" s="231" t="str">
        <f>IFERROR(__xludf.DUMMYFUNCTION("""COMPUTED_VALUE"""),"")</f>
        <v/>
      </c>
      <c r="BW204" s="232" t="str">
        <f>IFERROR(__xludf.DUMMYFUNCTION("""COMPUTED_VALUE"""),"")</f>
        <v/>
      </c>
      <c r="BX204" s="233" t="str">
        <f>IFERROR(__xludf.DUMMYFUNCTION("""COMPUTED_VALUE"""),"")</f>
        <v/>
      </c>
      <c r="BY204" s="231" t="str">
        <f>IFERROR(__xludf.DUMMYFUNCTION("""COMPUTED_VALUE"""),"")</f>
        <v/>
      </c>
      <c r="BZ204" s="232" t="str">
        <f>IFERROR(__xludf.DUMMYFUNCTION("""COMPUTED_VALUE"""),"")</f>
        <v/>
      </c>
      <c r="CA204" s="233" t="str">
        <f>IFERROR(__xludf.DUMMYFUNCTION("""COMPUTED_VALUE"""),"")</f>
        <v/>
      </c>
      <c r="CB204" s="231" t="str">
        <f>IFERROR(__xludf.DUMMYFUNCTION("""COMPUTED_VALUE"""),"")</f>
        <v/>
      </c>
      <c r="CC204" s="232" t="str">
        <f>IFERROR(__xludf.DUMMYFUNCTION("""COMPUTED_VALUE"""),"")</f>
        <v/>
      </c>
      <c r="CD204" s="233" t="str">
        <f>IFERROR(__xludf.DUMMYFUNCTION("""COMPUTED_VALUE"""),"")</f>
        <v/>
      </c>
      <c r="CE204" s="234" t="str">
        <f>IFERROR(__xludf.DUMMYFUNCTION("""COMPUTED_VALUE"""),"")</f>
        <v/>
      </c>
      <c r="CF204" s="230" t="str">
        <f>IFERROR(__xludf.DUMMYFUNCTION("""COMPUTED_VALUE"""),"")</f>
        <v/>
      </c>
      <c r="CG204" s="235" t="str">
        <f>IFERROR(__xludf.DUMMYFUNCTION("""COMPUTED_VALUE"""),"")</f>
        <v/>
      </c>
      <c r="CH204" s="234" t="str">
        <f>IFERROR(__xludf.DUMMYFUNCTION("""COMPUTED_VALUE"""),"")</f>
        <v/>
      </c>
      <c r="CI204" s="230" t="str">
        <f>IFERROR(__xludf.DUMMYFUNCTION("""COMPUTED_VALUE"""),"")</f>
        <v/>
      </c>
      <c r="CJ204" s="235" t="str">
        <f>IFERROR(__xludf.DUMMYFUNCTION("""COMPUTED_VALUE"""),"")</f>
        <v/>
      </c>
      <c r="CK204" s="95" t="str">
        <f>IFERROR(__xludf.DUMMYFUNCTION("""COMPUTED_VALUE"""),"")</f>
        <v/>
      </c>
      <c r="CL204" s="96" t="str">
        <f>IFERROR(__xludf.DUMMYFUNCTION("""COMPUTED_VALUE"""),"")</f>
        <v/>
      </c>
      <c r="CM204" s="97" t="str">
        <f>IFERROR(__xludf.DUMMYFUNCTION("""COMPUTED_VALUE"""),"")</f>
        <v/>
      </c>
      <c r="CN204" s="95" t="str">
        <f>IFERROR(__xludf.DUMMYFUNCTION("""COMPUTED_VALUE"""),"")</f>
        <v/>
      </c>
      <c r="CO204" s="96" t="str">
        <f>IFERROR(__xludf.DUMMYFUNCTION("""COMPUTED_VALUE"""),"")</f>
        <v/>
      </c>
      <c r="CP204" s="97" t="str">
        <f>IFERROR(__xludf.DUMMYFUNCTION("""COMPUTED_VALUE"""),"")</f>
        <v/>
      </c>
      <c r="CQ204" s="95" t="str">
        <f>IFERROR(__xludf.DUMMYFUNCTION("""COMPUTED_VALUE"""),"")</f>
        <v/>
      </c>
      <c r="CR204" s="96">
        <f>IFERROR(__xludf.DUMMYFUNCTION("""COMPUTED_VALUE"""),19.4)</f>
        <v>19.4</v>
      </c>
      <c r="CS204" s="97" t="str">
        <f>IFERROR(__xludf.DUMMYFUNCTION("""COMPUTED_VALUE"""),"#REF!")</f>
        <v>#REF!</v>
      </c>
      <c r="CT204" s="95" t="str">
        <f>IFERROR(__xludf.DUMMYFUNCTION("""COMPUTED_VALUE"""),"#REF!")</f>
        <v>#REF!</v>
      </c>
      <c r="CU204" s="96" t="str">
        <f>IFERROR(__xludf.DUMMYFUNCTION("""COMPUTED_VALUE"""),"#REF!")</f>
        <v>#REF!</v>
      </c>
      <c r="CV204" s="97" t="str">
        <f>IFERROR(__xludf.DUMMYFUNCTION("""COMPUTED_VALUE"""),"#REF!")</f>
        <v>#REF!</v>
      </c>
      <c r="CW204" s="95" t="str">
        <f>IFERROR(__xludf.DUMMYFUNCTION("""COMPUTED_VALUE"""),"#REF!")</f>
        <v>#REF!</v>
      </c>
      <c r="CX204" s="96" t="str">
        <f>IFERROR(__xludf.DUMMYFUNCTION("""COMPUTED_VALUE"""),"#REF!")</f>
        <v>#REF!</v>
      </c>
      <c r="CY204" s="97" t="str">
        <f>IFERROR(__xludf.DUMMYFUNCTION("""COMPUTED_VALUE"""),"#REF!")</f>
        <v>#REF!</v>
      </c>
      <c r="CZ204" s="95" t="str">
        <f>IFERROR(__xludf.DUMMYFUNCTION("""COMPUTED_VALUE"""),"#REF!")</f>
        <v>#REF!</v>
      </c>
      <c r="DA204" s="96" t="str">
        <f>IFERROR(__xludf.DUMMYFUNCTION("""COMPUTED_VALUE"""),"#REF!")</f>
        <v>#REF!</v>
      </c>
      <c r="DB204" s="97" t="str">
        <f>IFERROR(__xludf.DUMMYFUNCTION("""COMPUTED_VALUE"""),"#REF!")</f>
        <v>#REF!</v>
      </c>
      <c r="DC204" s="95" t="str">
        <f>IFERROR(__xludf.DUMMYFUNCTION("""COMPUTED_VALUE"""),"#REF!")</f>
        <v>#REF!</v>
      </c>
      <c r="DD204" s="96" t="str">
        <f>IFERROR(__xludf.DUMMYFUNCTION("""COMPUTED_VALUE"""),"#REF!")</f>
        <v>#REF!</v>
      </c>
      <c r="DE204" s="97" t="str">
        <f>IFERROR(__xludf.DUMMYFUNCTION("""COMPUTED_VALUE"""),"#REF!")</f>
        <v>#REF!</v>
      </c>
      <c r="DF204" s="95" t="str">
        <f>IFERROR(__xludf.DUMMYFUNCTION("""COMPUTED_VALUE"""),"#REF!")</f>
        <v>#REF!</v>
      </c>
      <c r="DG204" s="96" t="str">
        <f>IFERROR(__xludf.DUMMYFUNCTION("""COMPUTED_VALUE"""),"#REF!")</f>
        <v>#REF!</v>
      </c>
      <c r="DH204" s="97" t="str">
        <f>IFERROR(__xludf.DUMMYFUNCTION("""COMPUTED_VALUE"""),"#REF!")</f>
        <v>#REF!</v>
      </c>
      <c r="DI204" s="95" t="str">
        <f>IFERROR(__xludf.DUMMYFUNCTION("""COMPUTED_VALUE"""),"#REF!")</f>
        <v>#REF!</v>
      </c>
      <c r="DJ204" s="96" t="str">
        <f>IFERROR(__xludf.DUMMYFUNCTION("""COMPUTED_VALUE"""),"#REF!")</f>
        <v>#REF!</v>
      </c>
      <c r="DK204" s="97" t="str">
        <f>IFERROR(__xludf.DUMMYFUNCTION("""COMPUTED_VALUE"""),"#REF!")</f>
        <v>#REF!</v>
      </c>
      <c r="DL204" s="95" t="str">
        <f>IFERROR(__xludf.DUMMYFUNCTION("""COMPUTED_VALUE"""),"#REF!")</f>
        <v>#REF!</v>
      </c>
      <c r="DM204" s="96" t="str">
        <f>IFERROR(__xludf.DUMMYFUNCTION("""COMPUTED_VALUE"""),"#REF!")</f>
        <v>#REF!</v>
      </c>
      <c r="DN204" s="97" t="str">
        <f>IFERROR(__xludf.DUMMYFUNCTION("""COMPUTED_VALUE"""),"#REF!")</f>
        <v>#REF!</v>
      </c>
      <c r="DO204" s="95" t="str">
        <f>IFERROR(__xludf.DUMMYFUNCTION("""COMPUTED_VALUE"""),"#REF!")</f>
        <v>#REF!</v>
      </c>
      <c r="DP204" s="96" t="str">
        <f>IFERROR(__xludf.DUMMYFUNCTION("""COMPUTED_VALUE"""),"#REF!")</f>
        <v>#REF!</v>
      </c>
      <c r="DQ204" s="97"/>
      <c r="DR204" s="95"/>
    </row>
    <row r="205" ht="16.5" customHeight="1">
      <c r="B205" s="120" t="str">
        <f>IFERROR(__xludf.DUMMYFUNCTION("""COMPUTED_VALUE"""),"GTT9")</f>
        <v>GTT9</v>
      </c>
      <c r="C205" s="82">
        <f>IFERROR(__xludf.DUMMYFUNCTION("""COMPUTED_VALUE"""),200.0)</f>
        <v>200</v>
      </c>
      <c r="D205" s="88" t="str">
        <f>IFERROR(__xludf.DUMMYFUNCTION("""COMPUTED_VALUE"""),"Village 67")</f>
        <v>Village 67</v>
      </c>
      <c r="E205" s="82" t="str">
        <f>IFERROR(__xludf.DUMMYFUNCTION("""COMPUTED_VALUE"""),"第67集落")</f>
        <v>第67集落</v>
      </c>
      <c r="F205" s="102">
        <f>IFERROR(__xludf.DUMMYFUNCTION("""COMPUTED_VALUE"""),21.0)</f>
        <v>21</v>
      </c>
      <c r="G205" s="82">
        <f>IFERROR(__xludf.DUMMYFUNCTION("""COMPUTED_VALUE"""),1113.0)</f>
        <v>1113</v>
      </c>
      <c r="H205" s="231" t="str">
        <f>IFERROR(__xludf.DUMMYFUNCTION("""COMPUTED_VALUE"""),"")</f>
        <v/>
      </c>
      <c r="I205" s="232" t="str">
        <f>IFERROR(__xludf.DUMMYFUNCTION("""COMPUTED_VALUE"""),"")</f>
        <v/>
      </c>
      <c r="J205" s="233" t="str">
        <f>IFERROR(__xludf.DUMMYFUNCTION("""COMPUTED_VALUE"""),"")</f>
        <v/>
      </c>
      <c r="K205" s="231" t="str">
        <f>IFERROR(__xludf.DUMMYFUNCTION("""COMPUTED_VALUE"""),"")</f>
        <v/>
      </c>
      <c r="L205" s="232" t="str">
        <f>IFERROR(__xludf.DUMMYFUNCTION("""COMPUTED_VALUE"""),"")</f>
        <v/>
      </c>
      <c r="M205" s="233" t="str">
        <f>IFERROR(__xludf.DUMMYFUNCTION("""COMPUTED_VALUE"""),"")</f>
        <v/>
      </c>
      <c r="N205" s="231" t="str">
        <f>IFERROR(__xludf.DUMMYFUNCTION("""COMPUTED_VALUE"""),"")</f>
        <v/>
      </c>
      <c r="O205" s="232" t="str">
        <f>IFERROR(__xludf.DUMMYFUNCTION("""COMPUTED_VALUE"""),"")</f>
        <v/>
      </c>
      <c r="P205" s="233" t="str">
        <f>IFERROR(__xludf.DUMMYFUNCTION("""COMPUTED_VALUE"""),"")</f>
        <v/>
      </c>
      <c r="Q205" s="231">
        <f>IFERROR(__xludf.DUMMYFUNCTION("""COMPUTED_VALUE"""),17.9)</f>
        <v>17.9</v>
      </c>
      <c r="R205" s="232" t="str">
        <f>IFERROR(__xludf.DUMMYFUNCTION("""COMPUTED_VALUE"""),"")</f>
        <v/>
      </c>
      <c r="S205" s="233" t="str">
        <f>IFERROR(__xludf.DUMMYFUNCTION("""COMPUTED_VALUE"""),"")</f>
        <v/>
      </c>
      <c r="T205" s="231" t="str">
        <f>IFERROR(__xludf.DUMMYFUNCTION("""COMPUTED_VALUE"""),"")</f>
        <v/>
      </c>
      <c r="U205" s="232" t="str">
        <f>IFERROR(__xludf.DUMMYFUNCTION("""COMPUTED_VALUE"""),"")</f>
        <v/>
      </c>
      <c r="V205" s="233" t="str">
        <f>IFERROR(__xludf.DUMMYFUNCTION("""COMPUTED_VALUE"""),"")</f>
        <v/>
      </c>
      <c r="W205" s="231" t="str">
        <f>IFERROR(__xludf.DUMMYFUNCTION("""COMPUTED_VALUE"""),"")</f>
        <v/>
      </c>
      <c r="X205" s="232" t="str">
        <f>IFERROR(__xludf.DUMMYFUNCTION("""COMPUTED_VALUE"""),"")</f>
        <v/>
      </c>
      <c r="Y205" s="233" t="str">
        <f>IFERROR(__xludf.DUMMYFUNCTION("""COMPUTED_VALUE"""),"")</f>
        <v/>
      </c>
      <c r="Z205" s="231" t="str">
        <f>IFERROR(__xludf.DUMMYFUNCTION("""COMPUTED_VALUE"""),"")</f>
        <v/>
      </c>
      <c r="AA205" s="232" t="str">
        <f>IFERROR(__xludf.DUMMYFUNCTION("""COMPUTED_VALUE"""),"")</f>
        <v/>
      </c>
      <c r="AB205" s="233" t="str">
        <f>IFERROR(__xludf.DUMMYFUNCTION("""COMPUTED_VALUE"""),"")</f>
        <v/>
      </c>
      <c r="AC205" s="231" t="str">
        <f>IFERROR(__xludf.DUMMYFUNCTION("""COMPUTED_VALUE"""),"")</f>
        <v/>
      </c>
      <c r="AD205" s="232" t="str">
        <f>IFERROR(__xludf.DUMMYFUNCTION("""COMPUTED_VALUE"""),"")</f>
        <v/>
      </c>
      <c r="AE205" s="233" t="str">
        <f>IFERROR(__xludf.DUMMYFUNCTION("""COMPUTED_VALUE"""),"")</f>
        <v/>
      </c>
      <c r="AF205" s="231" t="str">
        <f>IFERROR(__xludf.DUMMYFUNCTION("""COMPUTED_VALUE"""),"")</f>
        <v/>
      </c>
      <c r="AG205" s="232" t="str">
        <f>IFERROR(__xludf.DUMMYFUNCTION("""COMPUTED_VALUE"""),"")</f>
        <v/>
      </c>
      <c r="AH205" s="233" t="str">
        <f>IFERROR(__xludf.DUMMYFUNCTION("""COMPUTED_VALUE"""),"")</f>
        <v/>
      </c>
      <c r="AI205" s="231" t="str">
        <f>IFERROR(__xludf.DUMMYFUNCTION("""COMPUTED_VALUE"""),"")</f>
        <v/>
      </c>
      <c r="AJ205" s="232" t="str">
        <f>IFERROR(__xludf.DUMMYFUNCTION("""COMPUTED_VALUE"""),"")</f>
        <v/>
      </c>
      <c r="AK205" s="233" t="str">
        <f>IFERROR(__xludf.DUMMYFUNCTION("""COMPUTED_VALUE"""),"")</f>
        <v/>
      </c>
      <c r="AL205" s="231" t="str">
        <f>IFERROR(__xludf.DUMMYFUNCTION("""COMPUTED_VALUE"""),"")</f>
        <v/>
      </c>
      <c r="AM205" s="232" t="str">
        <f>IFERROR(__xludf.DUMMYFUNCTION("""COMPUTED_VALUE"""),"")</f>
        <v/>
      </c>
      <c r="AN205" s="233">
        <f>IFERROR(__xludf.DUMMYFUNCTION("""COMPUTED_VALUE"""),25.5)</f>
        <v>25.5</v>
      </c>
      <c r="AO205" s="231" t="str">
        <f>IFERROR(__xludf.DUMMYFUNCTION("""COMPUTED_VALUE"""),"")</f>
        <v/>
      </c>
      <c r="AP205" s="232" t="str">
        <f>IFERROR(__xludf.DUMMYFUNCTION("""COMPUTED_VALUE"""),"")</f>
        <v/>
      </c>
      <c r="AQ205" s="233" t="str">
        <f>IFERROR(__xludf.DUMMYFUNCTION("""COMPUTED_VALUE"""),"")</f>
        <v/>
      </c>
      <c r="AR205" s="231" t="str">
        <f>IFERROR(__xludf.DUMMYFUNCTION("""COMPUTED_VALUE"""),"")</f>
        <v/>
      </c>
      <c r="AS205" s="232" t="str">
        <f>IFERROR(__xludf.DUMMYFUNCTION("""COMPUTED_VALUE"""),"")</f>
        <v/>
      </c>
      <c r="AT205" s="233" t="str">
        <f>IFERROR(__xludf.DUMMYFUNCTION("""COMPUTED_VALUE"""),"")</f>
        <v/>
      </c>
      <c r="AU205" s="231" t="str">
        <f>IFERROR(__xludf.DUMMYFUNCTION("""COMPUTED_VALUE"""),"")</f>
        <v/>
      </c>
      <c r="AV205" s="232" t="str">
        <f>IFERROR(__xludf.DUMMYFUNCTION("""COMPUTED_VALUE"""),"")</f>
        <v/>
      </c>
      <c r="AW205" s="233" t="str">
        <f>IFERROR(__xludf.DUMMYFUNCTION("""COMPUTED_VALUE"""),"")</f>
        <v/>
      </c>
      <c r="AX205" s="231" t="str">
        <f>IFERROR(__xludf.DUMMYFUNCTION("""COMPUTED_VALUE"""),"")</f>
        <v/>
      </c>
      <c r="AY205" s="232" t="str">
        <f>IFERROR(__xludf.DUMMYFUNCTION("""COMPUTED_VALUE"""),"")</f>
        <v/>
      </c>
      <c r="AZ205" s="233" t="str">
        <f>IFERROR(__xludf.DUMMYFUNCTION("""COMPUTED_VALUE"""),"")</f>
        <v/>
      </c>
      <c r="BA205" s="231" t="str">
        <f>IFERROR(__xludf.DUMMYFUNCTION("""COMPUTED_VALUE"""),"")</f>
        <v/>
      </c>
      <c r="BB205" s="232" t="str">
        <f>IFERROR(__xludf.DUMMYFUNCTION("""COMPUTED_VALUE"""),"")</f>
        <v/>
      </c>
      <c r="BC205" s="233" t="str">
        <f>IFERROR(__xludf.DUMMYFUNCTION("""COMPUTED_VALUE"""),"")</f>
        <v/>
      </c>
      <c r="BD205" s="231" t="str">
        <f>IFERROR(__xludf.DUMMYFUNCTION("""COMPUTED_VALUE"""),"")</f>
        <v/>
      </c>
      <c r="BE205" s="232" t="str">
        <f>IFERROR(__xludf.DUMMYFUNCTION("""COMPUTED_VALUE"""),"")</f>
        <v/>
      </c>
      <c r="BF205" s="233" t="str">
        <f>IFERROR(__xludf.DUMMYFUNCTION("""COMPUTED_VALUE"""),"")</f>
        <v/>
      </c>
      <c r="BG205" s="231" t="str">
        <f>IFERROR(__xludf.DUMMYFUNCTION("""COMPUTED_VALUE"""),"")</f>
        <v/>
      </c>
      <c r="BH205" s="232" t="str">
        <f>IFERROR(__xludf.DUMMYFUNCTION("""COMPUTED_VALUE"""),"")</f>
        <v/>
      </c>
      <c r="BI205" s="233" t="str">
        <f>IFERROR(__xludf.DUMMYFUNCTION("""COMPUTED_VALUE"""),"")</f>
        <v/>
      </c>
      <c r="BJ205" s="231" t="str">
        <f>IFERROR(__xludf.DUMMYFUNCTION("""COMPUTED_VALUE"""),"")</f>
        <v/>
      </c>
      <c r="BK205" s="232" t="str">
        <f>IFERROR(__xludf.DUMMYFUNCTION("""COMPUTED_VALUE"""),"")</f>
        <v/>
      </c>
      <c r="BL205" s="233" t="str">
        <f>IFERROR(__xludf.DUMMYFUNCTION("""COMPUTED_VALUE"""),"")</f>
        <v/>
      </c>
      <c r="BM205" s="231">
        <f>IFERROR(__xludf.DUMMYFUNCTION("""COMPUTED_VALUE"""),33.1)</f>
        <v>33.1</v>
      </c>
      <c r="BN205" s="232" t="str">
        <f>IFERROR(__xludf.DUMMYFUNCTION("""COMPUTED_VALUE"""),"")</f>
        <v/>
      </c>
      <c r="BO205" s="233">
        <f>IFERROR(__xludf.DUMMYFUNCTION("""COMPUTED_VALUE"""),7.3)</f>
        <v>7.3</v>
      </c>
      <c r="BP205" s="231" t="str">
        <f>IFERROR(__xludf.DUMMYFUNCTION("""COMPUTED_VALUE"""),"")</f>
        <v/>
      </c>
      <c r="BQ205" s="232" t="str">
        <f>IFERROR(__xludf.DUMMYFUNCTION("""COMPUTED_VALUE"""),"")</f>
        <v/>
      </c>
      <c r="BR205" s="233" t="str">
        <f>IFERROR(__xludf.DUMMYFUNCTION("""COMPUTED_VALUE"""),"")</f>
        <v/>
      </c>
      <c r="BS205" s="231" t="str">
        <f>IFERROR(__xludf.DUMMYFUNCTION("""COMPUTED_VALUE"""),"")</f>
        <v/>
      </c>
      <c r="BT205" s="232" t="str">
        <f>IFERROR(__xludf.DUMMYFUNCTION("""COMPUTED_VALUE"""),"")</f>
        <v/>
      </c>
      <c r="BU205" s="233" t="str">
        <f>IFERROR(__xludf.DUMMYFUNCTION("""COMPUTED_VALUE"""),"")</f>
        <v/>
      </c>
      <c r="BV205" s="231" t="str">
        <f>IFERROR(__xludf.DUMMYFUNCTION("""COMPUTED_VALUE"""),"")</f>
        <v/>
      </c>
      <c r="BW205" s="232" t="str">
        <f>IFERROR(__xludf.DUMMYFUNCTION("""COMPUTED_VALUE"""),"")</f>
        <v/>
      </c>
      <c r="BX205" s="233" t="str">
        <f>IFERROR(__xludf.DUMMYFUNCTION("""COMPUTED_VALUE"""),"")</f>
        <v/>
      </c>
      <c r="BY205" s="231" t="str">
        <f>IFERROR(__xludf.DUMMYFUNCTION("""COMPUTED_VALUE"""),"")</f>
        <v/>
      </c>
      <c r="BZ205" s="232" t="str">
        <f>IFERROR(__xludf.DUMMYFUNCTION("""COMPUTED_VALUE"""),"")</f>
        <v/>
      </c>
      <c r="CA205" s="233" t="str">
        <f>IFERROR(__xludf.DUMMYFUNCTION("""COMPUTED_VALUE"""),"")</f>
        <v/>
      </c>
      <c r="CB205" s="231" t="str">
        <f>IFERROR(__xludf.DUMMYFUNCTION("""COMPUTED_VALUE"""),"")</f>
        <v/>
      </c>
      <c r="CC205" s="232" t="str">
        <f>IFERROR(__xludf.DUMMYFUNCTION("""COMPUTED_VALUE"""),"")</f>
        <v/>
      </c>
      <c r="CD205" s="233" t="str">
        <f>IFERROR(__xludf.DUMMYFUNCTION("""COMPUTED_VALUE"""),"")</f>
        <v/>
      </c>
      <c r="CE205" s="234" t="str">
        <f>IFERROR(__xludf.DUMMYFUNCTION("""COMPUTED_VALUE"""),"")</f>
        <v/>
      </c>
      <c r="CF205" s="230" t="str">
        <f>IFERROR(__xludf.DUMMYFUNCTION("""COMPUTED_VALUE"""),"")</f>
        <v/>
      </c>
      <c r="CG205" s="235" t="str">
        <f>IFERROR(__xludf.DUMMYFUNCTION("""COMPUTED_VALUE"""),"")</f>
        <v/>
      </c>
      <c r="CH205" s="234" t="str">
        <f>IFERROR(__xludf.DUMMYFUNCTION("""COMPUTED_VALUE"""),"")</f>
        <v/>
      </c>
      <c r="CI205" s="230" t="str">
        <f>IFERROR(__xludf.DUMMYFUNCTION("""COMPUTED_VALUE"""),"")</f>
        <v/>
      </c>
      <c r="CJ205" s="235" t="str">
        <f>IFERROR(__xludf.DUMMYFUNCTION("""COMPUTED_VALUE"""),"")</f>
        <v/>
      </c>
      <c r="CK205" s="95" t="str">
        <f>IFERROR(__xludf.DUMMYFUNCTION("""COMPUTED_VALUE"""),"")</f>
        <v/>
      </c>
      <c r="CL205" s="96" t="str">
        <f>IFERROR(__xludf.DUMMYFUNCTION("""COMPUTED_VALUE"""),"")</f>
        <v/>
      </c>
      <c r="CM205" s="97" t="str">
        <f>IFERROR(__xludf.DUMMYFUNCTION("""COMPUTED_VALUE"""),"")</f>
        <v/>
      </c>
      <c r="CN205" s="95" t="str">
        <f>IFERROR(__xludf.DUMMYFUNCTION("""COMPUTED_VALUE"""),"")</f>
        <v/>
      </c>
      <c r="CO205" s="96" t="str">
        <f>IFERROR(__xludf.DUMMYFUNCTION("""COMPUTED_VALUE"""),"")</f>
        <v/>
      </c>
      <c r="CP205" s="97" t="str">
        <f>IFERROR(__xludf.DUMMYFUNCTION("""COMPUTED_VALUE"""),"")</f>
        <v/>
      </c>
      <c r="CQ205" s="95">
        <f>IFERROR(__xludf.DUMMYFUNCTION("""COMPUTED_VALUE"""),6.6)</f>
        <v>6.6</v>
      </c>
      <c r="CR205" s="96" t="str">
        <f>IFERROR(__xludf.DUMMYFUNCTION("""COMPUTED_VALUE"""),"")</f>
        <v/>
      </c>
      <c r="CS205" s="97" t="str">
        <f>IFERROR(__xludf.DUMMYFUNCTION("""COMPUTED_VALUE"""),"#REF!")</f>
        <v>#REF!</v>
      </c>
      <c r="CT205" s="95" t="str">
        <f>IFERROR(__xludf.DUMMYFUNCTION("""COMPUTED_VALUE"""),"#REF!")</f>
        <v>#REF!</v>
      </c>
      <c r="CU205" s="96" t="str">
        <f>IFERROR(__xludf.DUMMYFUNCTION("""COMPUTED_VALUE"""),"#REF!")</f>
        <v>#REF!</v>
      </c>
      <c r="CV205" s="97" t="str">
        <f>IFERROR(__xludf.DUMMYFUNCTION("""COMPUTED_VALUE"""),"#REF!")</f>
        <v>#REF!</v>
      </c>
      <c r="CW205" s="95" t="str">
        <f>IFERROR(__xludf.DUMMYFUNCTION("""COMPUTED_VALUE"""),"#REF!")</f>
        <v>#REF!</v>
      </c>
      <c r="CX205" s="96" t="str">
        <f>IFERROR(__xludf.DUMMYFUNCTION("""COMPUTED_VALUE"""),"#REF!")</f>
        <v>#REF!</v>
      </c>
      <c r="CY205" s="97" t="str">
        <f>IFERROR(__xludf.DUMMYFUNCTION("""COMPUTED_VALUE"""),"#REF!")</f>
        <v>#REF!</v>
      </c>
      <c r="CZ205" s="95" t="str">
        <f>IFERROR(__xludf.DUMMYFUNCTION("""COMPUTED_VALUE"""),"#REF!")</f>
        <v>#REF!</v>
      </c>
      <c r="DA205" s="96" t="str">
        <f>IFERROR(__xludf.DUMMYFUNCTION("""COMPUTED_VALUE"""),"#REF!")</f>
        <v>#REF!</v>
      </c>
      <c r="DB205" s="97" t="str">
        <f>IFERROR(__xludf.DUMMYFUNCTION("""COMPUTED_VALUE"""),"#REF!")</f>
        <v>#REF!</v>
      </c>
      <c r="DC205" s="95" t="str">
        <f>IFERROR(__xludf.DUMMYFUNCTION("""COMPUTED_VALUE"""),"#REF!")</f>
        <v>#REF!</v>
      </c>
      <c r="DD205" s="96" t="str">
        <f>IFERROR(__xludf.DUMMYFUNCTION("""COMPUTED_VALUE"""),"#REF!")</f>
        <v>#REF!</v>
      </c>
      <c r="DE205" s="97" t="str">
        <f>IFERROR(__xludf.DUMMYFUNCTION("""COMPUTED_VALUE"""),"#REF!")</f>
        <v>#REF!</v>
      </c>
      <c r="DF205" s="95" t="str">
        <f>IFERROR(__xludf.DUMMYFUNCTION("""COMPUTED_VALUE"""),"#REF!")</f>
        <v>#REF!</v>
      </c>
      <c r="DG205" s="96" t="str">
        <f>IFERROR(__xludf.DUMMYFUNCTION("""COMPUTED_VALUE"""),"#REF!")</f>
        <v>#REF!</v>
      </c>
      <c r="DH205" s="97" t="str">
        <f>IFERROR(__xludf.DUMMYFUNCTION("""COMPUTED_VALUE"""),"#REF!")</f>
        <v>#REF!</v>
      </c>
      <c r="DI205" s="95" t="str">
        <f>IFERROR(__xludf.DUMMYFUNCTION("""COMPUTED_VALUE"""),"#REF!")</f>
        <v>#REF!</v>
      </c>
      <c r="DJ205" s="96" t="str">
        <f>IFERROR(__xludf.DUMMYFUNCTION("""COMPUTED_VALUE"""),"#REF!")</f>
        <v>#REF!</v>
      </c>
      <c r="DK205" s="97" t="str">
        <f>IFERROR(__xludf.DUMMYFUNCTION("""COMPUTED_VALUE"""),"#REF!")</f>
        <v>#REF!</v>
      </c>
      <c r="DL205" s="95" t="str">
        <f>IFERROR(__xludf.DUMMYFUNCTION("""COMPUTED_VALUE"""),"#REF!")</f>
        <v>#REF!</v>
      </c>
      <c r="DM205" s="96" t="str">
        <f>IFERROR(__xludf.DUMMYFUNCTION("""COMPUTED_VALUE"""),"#REF!")</f>
        <v>#REF!</v>
      </c>
      <c r="DN205" s="97" t="str">
        <f>IFERROR(__xludf.DUMMYFUNCTION("""COMPUTED_VALUE"""),"#REF!")</f>
        <v>#REF!</v>
      </c>
      <c r="DO205" s="95" t="str">
        <f>IFERROR(__xludf.DUMMYFUNCTION("""COMPUTED_VALUE"""),"#REF!")</f>
        <v>#REF!</v>
      </c>
      <c r="DP205" s="96" t="str">
        <f>IFERROR(__xludf.DUMMYFUNCTION("""COMPUTED_VALUE"""),"#REF!")</f>
        <v>#REF!</v>
      </c>
      <c r="DQ205" s="97"/>
      <c r="DR205" s="95"/>
    </row>
    <row r="206" ht="16.5" customHeight="1">
      <c r="B206" s="120" t="str">
        <f>IFERROR(__xludf.DUMMYFUNCTION("""COMPUTED_VALUE"""),"GTT10")</f>
        <v>GTT10</v>
      </c>
      <c r="C206" s="82">
        <f>IFERROR(__xludf.DUMMYFUNCTION("""COMPUTED_VALUE"""),201.0)</f>
        <v>201</v>
      </c>
      <c r="D206" s="88" t="str">
        <f>IFERROR(__xludf.DUMMYFUNCTION("""COMPUTED_VALUE"""),"North Boundary")</f>
        <v>North Boundary</v>
      </c>
      <c r="E206" s="82" t="str">
        <f>IFERROR(__xludf.DUMMYFUNCTION("""COMPUTED_VALUE"""),"北の境界")</f>
        <v>北の境界</v>
      </c>
      <c r="F206" s="102">
        <f>IFERROR(__xludf.DUMMYFUNCTION("""COMPUTED_VALUE"""),21.0)</f>
        <v>21</v>
      </c>
      <c r="G206" s="82">
        <f>IFERROR(__xludf.DUMMYFUNCTION("""COMPUTED_VALUE"""),6255.0)</f>
        <v>6255</v>
      </c>
      <c r="H206" s="231" t="str">
        <f>IFERROR(__xludf.DUMMYFUNCTION("""COMPUTED_VALUE"""),"")</f>
        <v/>
      </c>
      <c r="I206" s="232" t="str">
        <f>IFERROR(__xludf.DUMMYFUNCTION("""COMPUTED_VALUE"""),"")</f>
        <v/>
      </c>
      <c r="J206" s="233" t="str">
        <f>IFERROR(__xludf.DUMMYFUNCTION("""COMPUTED_VALUE"""),"")</f>
        <v/>
      </c>
      <c r="K206" s="231" t="str">
        <f>IFERROR(__xludf.DUMMYFUNCTION("""COMPUTED_VALUE"""),"")</f>
        <v/>
      </c>
      <c r="L206" s="232" t="str">
        <f>IFERROR(__xludf.DUMMYFUNCTION("""COMPUTED_VALUE"""),"")</f>
        <v/>
      </c>
      <c r="M206" s="233" t="str">
        <f>IFERROR(__xludf.DUMMYFUNCTION("""COMPUTED_VALUE"""),"")</f>
        <v/>
      </c>
      <c r="N206" s="231" t="str">
        <f>IFERROR(__xludf.DUMMYFUNCTION("""COMPUTED_VALUE"""),"")</f>
        <v/>
      </c>
      <c r="O206" s="232" t="str">
        <f>IFERROR(__xludf.DUMMYFUNCTION("""COMPUTED_VALUE"""),"")</f>
        <v/>
      </c>
      <c r="P206" s="233" t="str">
        <f>IFERROR(__xludf.DUMMYFUNCTION("""COMPUTED_VALUE"""),"")</f>
        <v/>
      </c>
      <c r="Q206" s="231" t="str">
        <f>IFERROR(__xludf.DUMMYFUNCTION("""COMPUTED_VALUE"""),"")</f>
        <v/>
      </c>
      <c r="R206" s="232" t="str">
        <f>IFERROR(__xludf.DUMMYFUNCTION("""COMPUTED_VALUE"""),"")</f>
        <v/>
      </c>
      <c r="S206" s="233" t="str">
        <f>IFERROR(__xludf.DUMMYFUNCTION("""COMPUTED_VALUE"""),"")</f>
        <v/>
      </c>
      <c r="T206" s="231" t="str">
        <f>IFERROR(__xludf.DUMMYFUNCTION("""COMPUTED_VALUE"""),"")</f>
        <v/>
      </c>
      <c r="U206" s="232" t="str">
        <f>IFERROR(__xludf.DUMMYFUNCTION("""COMPUTED_VALUE"""),"")</f>
        <v/>
      </c>
      <c r="V206" s="233" t="str">
        <f>IFERROR(__xludf.DUMMYFUNCTION("""COMPUTED_VALUE"""),"")</f>
        <v/>
      </c>
      <c r="W206" s="231" t="str">
        <f>IFERROR(__xludf.DUMMYFUNCTION("""COMPUTED_VALUE"""),"")</f>
        <v/>
      </c>
      <c r="X206" s="232" t="str">
        <f>IFERROR(__xludf.DUMMYFUNCTION("""COMPUTED_VALUE"""),"")</f>
        <v/>
      </c>
      <c r="Y206" s="233" t="str">
        <f>IFERROR(__xludf.DUMMYFUNCTION("""COMPUTED_VALUE"""),"")</f>
        <v/>
      </c>
      <c r="Z206" s="231" t="str">
        <f>IFERROR(__xludf.DUMMYFUNCTION("""COMPUTED_VALUE"""),"")</f>
        <v/>
      </c>
      <c r="AA206" s="232" t="str">
        <f>IFERROR(__xludf.DUMMYFUNCTION("""COMPUTED_VALUE"""),"")</f>
        <v/>
      </c>
      <c r="AB206" s="233" t="str">
        <f>IFERROR(__xludf.DUMMYFUNCTION("""COMPUTED_VALUE"""),"")</f>
        <v/>
      </c>
      <c r="AC206" s="231" t="str">
        <f>IFERROR(__xludf.DUMMYFUNCTION("""COMPUTED_VALUE"""),"")</f>
        <v/>
      </c>
      <c r="AD206" s="232" t="str">
        <f>IFERROR(__xludf.DUMMYFUNCTION("""COMPUTED_VALUE"""),"")</f>
        <v/>
      </c>
      <c r="AE206" s="233" t="str">
        <f>IFERROR(__xludf.DUMMYFUNCTION("""COMPUTED_VALUE"""),"")</f>
        <v/>
      </c>
      <c r="AF206" s="231" t="str">
        <f>IFERROR(__xludf.DUMMYFUNCTION("""COMPUTED_VALUE"""),"")</f>
        <v/>
      </c>
      <c r="AG206" s="232" t="str">
        <f>IFERROR(__xludf.DUMMYFUNCTION("""COMPUTED_VALUE"""),"")</f>
        <v/>
      </c>
      <c r="AH206" s="233" t="str">
        <f>IFERROR(__xludf.DUMMYFUNCTION("""COMPUTED_VALUE"""),"")</f>
        <v/>
      </c>
      <c r="AI206" s="231" t="str">
        <f>IFERROR(__xludf.DUMMYFUNCTION("""COMPUTED_VALUE"""),"")</f>
        <v/>
      </c>
      <c r="AJ206" s="232" t="str">
        <f>IFERROR(__xludf.DUMMYFUNCTION("""COMPUTED_VALUE"""),"")</f>
        <v/>
      </c>
      <c r="AK206" s="233" t="str">
        <f>IFERROR(__xludf.DUMMYFUNCTION("""COMPUTED_VALUE"""),"")</f>
        <v/>
      </c>
      <c r="AL206" s="231" t="str">
        <f>IFERROR(__xludf.DUMMYFUNCTION("""COMPUTED_VALUE"""),"")</f>
        <v/>
      </c>
      <c r="AM206" s="232">
        <f>IFERROR(__xludf.DUMMYFUNCTION("""COMPUTED_VALUE"""),25.0)</f>
        <v>25</v>
      </c>
      <c r="AN206" s="233" t="str">
        <f>IFERROR(__xludf.DUMMYFUNCTION("""COMPUTED_VALUE"""),"")</f>
        <v/>
      </c>
      <c r="AO206" s="231" t="str">
        <f>IFERROR(__xludf.DUMMYFUNCTION("""COMPUTED_VALUE"""),"")</f>
        <v/>
      </c>
      <c r="AP206" s="232" t="str">
        <f>IFERROR(__xludf.DUMMYFUNCTION("""COMPUTED_VALUE"""),"")</f>
        <v/>
      </c>
      <c r="AQ206" s="233" t="str">
        <f>IFERROR(__xludf.DUMMYFUNCTION("""COMPUTED_VALUE"""),"")</f>
        <v/>
      </c>
      <c r="AR206" s="231" t="str">
        <f>IFERROR(__xludf.DUMMYFUNCTION("""COMPUTED_VALUE"""),"")</f>
        <v/>
      </c>
      <c r="AS206" s="232" t="str">
        <f>IFERROR(__xludf.DUMMYFUNCTION("""COMPUTED_VALUE"""),"")</f>
        <v/>
      </c>
      <c r="AT206" s="233" t="str">
        <f>IFERROR(__xludf.DUMMYFUNCTION("""COMPUTED_VALUE"""),"")</f>
        <v/>
      </c>
      <c r="AU206" s="231" t="str">
        <f>IFERROR(__xludf.DUMMYFUNCTION("""COMPUTED_VALUE"""),"")</f>
        <v/>
      </c>
      <c r="AV206" s="232" t="str">
        <f>IFERROR(__xludf.DUMMYFUNCTION("""COMPUTED_VALUE"""),"")</f>
        <v/>
      </c>
      <c r="AW206" s="233">
        <f>IFERROR(__xludf.DUMMYFUNCTION("""COMPUTED_VALUE"""),30.3)</f>
        <v>30.3</v>
      </c>
      <c r="AX206" s="231" t="str">
        <f>IFERROR(__xludf.DUMMYFUNCTION("""COMPUTED_VALUE"""),"")</f>
        <v/>
      </c>
      <c r="AY206" s="232" t="str">
        <f>IFERROR(__xludf.DUMMYFUNCTION("""COMPUTED_VALUE"""),"")</f>
        <v/>
      </c>
      <c r="AZ206" s="233" t="str">
        <f>IFERROR(__xludf.DUMMYFUNCTION("""COMPUTED_VALUE"""),"")</f>
        <v/>
      </c>
      <c r="BA206" s="231" t="str">
        <f>IFERROR(__xludf.DUMMYFUNCTION("""COMPUTED_VALUE"""),"")</f>
        <v/>
      </c>
      <c r="BB206" s="232" t="str">
        <f>IFERROR(__xludf.DUMMYFUNCTION("""COMPUTED_VALUE"""),"")</f>
        <v/>
      </c>
      <c r="BC206" s="233" t="str">
        <f>IFERROR(__xludf.DUMMYFUNCTION("""COMPUTED_VALUE"""),"")</f>
        <v/>
      </c>
      <c r="BD206" s="231" t="str">
        <f>IFERROR(__xludf.DUMMYFUNCTION("""COMPUTED_VALUE"""),"")</f>
        <v/>
      </c>
      <c r="BE206" s="232" t="str">
        <f>IFERROR(__xludf.DUMMYFUNCTION("""COMPUTED_VALUE"""),"")</f>
        <v/>
      </c>
      <c r="BF206" s="233" t="str">
        <f>IFERROR(__xludf.DUMMYFUNCTION("""COMPUTED_VALUE"""),"")</f>
        <v/>
      </c>
      <c r="BG206" s="231" t="str">
        <f>IFERROR(__xludf.DUMMYFUNCTION("""COMPUTED_VALUE"""),"")</f>
        <v/>
      </c>
      <c r="BH206" s="232" t="str">
        <f>IFERROR(__xludf.DUMMYFUNCTION("""COMPUTED_VALUE"""),"")</f>
        <v/>
      </c>
      <c r="BI206" s="233" t="str">
        <f>IFERROR(__xludf.DUMMYFUNCTION("""COMPUTED_VALUE"""),"")</f>
        <v/>
      </c>
      <c r="BJ206" s="231" t="str">
        <f>IFERROR(__xludf.DUMMYFUNCTION("""COMPUTED_VALUE"""),"")</f>
        <v/>
      </c>
      <c r="BK206" s="232" t="str">
        <f>IFERROR(__xludf.DUMMYFUNCTION("""COMPUTED_VALUE"""),"")</f>
        <v/>
      </c>
      <c r="BL206" s="233" t="str">
        <f>IFERROR(__xludf.DUMMYFUNCTION("""COMPUTED_VALUE"""),"")</f>
        <v/>
      </c>
      <c r="BM206" s="231" t="str">
        <f>IFERROR(__xludf.DUMMYFUNCTION("""COMPUTED_VALUE"""),"")</f>
        <v/>
      </c>
      <c r="BN206" s="232" t="str">
        <f>IFERROR(__xludf.DUMMYFUNCTION("""COMPUTED_VALUE"""),"")</f>
        <v/>
      </c>
      <c r="BO206" s="233" t="str">
        <f>IFERROR(__xludf.DUMMYFUNCTION("""COMPUTED_VALUE"""),"")</f>
        <v/>
      </c>
      <c r="BP206" s="231">
        <f>IFERROR(__xludf.DUMMYFUNCTION("""COMPUTED_VALUE"""),41.0)</f>
        <v>41</v>
      </c>
      <c r="BQ206" s="232" t="str">
        <f>IFERROR(__xludf.DUMMYFUNCTION("""COMPUTED_VALUE"""),"")</f>
        <v/>
      </c>
      <c r="BR206" s="233" t="str">
        <f>IFERROR(__xludf.DUMMYFUNCTION("""COMPUTED_VALUE"""),"")</f>
        <v/>
      </c>
      <c r="BS206" s="231" t="str">
        <f>IFERROR(__xludf.DUMMYFUNCTION("""COMPUTED_VALUE"""),"")</f>
        <v/>
      </c>
      <c r="BT206" s="232" t="str">
        <f>IFERROR(__xludf.DUMMYFUNCTION("""COMPUTED_VALUE"""),"")</f>
        <v/>
      </c>
      <c r="BU206" s="233" t="str">
        <f>IFERROR(__xludf.DUMMYFUNCTION("""COMPUTED_VALUE"""),"")</f>
        <v/>
      </c>
      <c r="BV206" s="231" t="str">
        <f>IFERROR(__xludf.DUMMYFUNCTION("""COMPUTED_VALUE"""),"")</f>
        <v/>
      </c>
      <c r="BW206" s="232" t="str">
        <f>IFERROR(__xludf.DUMMYFUNCTION("""COMPUTED_VALUE"""),"")</f>
        <v/>
      </c>
      <c r="BX206" s="233" t="str">
        <f>IFERROR(__xludf.DUMMYFUNCTION("""COMPUTED_VALUE"""),"")</f>
        <v/>
      </c>
      <c r="BY206" s="231" t="str">
        <f>IFERROR(__xludf.DUMMYFUNCTION("""COMPUTED_VALUE"""),"")</f>
        <v/>
      </c>
      <c r="BZ206" s="232" t="str">
        <f>IFERROR(__xludf.DUMMYFUNCTION("""COMPUTED_VALUE"""),"")</f>
        <v/>
      </c>
      <c r="CA206" s="233" t="str">
        <f>IFERROR(__xludf.DUMMYFUNCTION("""COMPUTED_VALUE"""),"")</f>
        <v/>
      </c>
      <c r="CB206" s="231" t="str">
        <f>IFERROR(__xludf.DUMMYFUNCTION("""COMPUTED_VALUE"""),"")</f>
        <v/>
      </c>
      <c r="CC206" s="232" t="str">
        <f>IFERROR(__xludf.DUMMYFUNCTION("""COMPUTED_VALUE"""),"")</f>
        <v/>
      </c>
      <c r="CD206" s="233" t="str">
        <f>IFERROR(__xludf.DUMMYFUNCTION("""COMPUTED_VALUE"""),"")</f>
        <v/>
      </c>
      <c r="CE206" s="234" t="str">
        <f>IFERROR(__xludf.DUMMYFUNCTION("""COMPUTED_VALUE"""),"")</f>
        <v/>
      </c>
      <c r="CF206" s="230" t="str">
        <f>IFERROR(__xludf.DUMMYFUNCTION("""COMPUTED_VALUE"""),"")</f>
        <v/>
      </c>
      <c r="CG206" s="235" t="str">
        <f>IFERROR(__xludf.DUMMYFUNCTION("""COMPUTED_VALUE"""),"")</f>
        <v/>
      </c>
      <c r="CH206" s="234" t="str">
        <f>IFERROR(__xludf.DUMMYFUNCTION("""COMPUTED_VALUE"""),"")</f>
        <v/>
      </c>
      <c r="CI206" s="230" t="str">
        <f>IFERROR(__xludf.DUMMYFUNCTION("""COMPUTED_VALUE"""),"")</f>
        <v/>
      </c>
      <c r="CJ206" s="235" t="str">
        <f>IFERROR(__xludf.DUMMYFUNCTION("""COMPUTED_VALUE"""),"")</f>
        <v/>
      </c>
      <c r="CK206" s="95" t="str">
        <f>IFERROR(__xludf.DUMMYFUNCTION("""COMPUTED_VALUE"""),"")</f>
        <v/>
      </c>
      <c r="CL206" s="96" t="str">
        <f>IFERROR(__xludf.DUMMYFUNCTION("""COMPUTED_VALUE"""),"")</f>
        <v/>
      </c>
      <c r="CM206" s="97" t="str">
        <f>IFERROR(__xludf.DUMMYFUNCTION("""COMPUTED_VALUE"""),"")</f>
        <v/>
      </c>
      <c r="CN206" s="95" t="str">
        <f>IFERROR(__xludf.DUMMYFUNCTION("""COMPUTED_VALUE"""),"")</f>
        <v/>
      </c>
      <c r="CO206" s="96" t="str">
        <f>IFERROR(__xludf.DUMMYFUNCTION("""COMPUTED_VALUE"""),"")</f>
        <v/>
      </c>
      <c r="CP206" s="97" t="str">
        <f>IFERROR(__xludf.DUMMYFUNCTION("""COMPUTED_VALUE"""),"")</f>
        <v/>
      </c>
      <c r="CQ206" s="95" t="str">
        <f>IFERROR(__xludf.DUMMYFUNCTION("""COMPUTED_VALUE"""),"")</f>
        <v/>
      </c>
      <c r="CR206" s="96">
        <f>IFERROR(__xludf.DUMMYFUNCTION("""COMPUTED_VALUE"""),13.1)</f>
        <v>13.1</v>
      </c>
      <c r="CS206" s="97" t="str">
        <f>IFERROR(__xludf.DUMMYFUNCTION("""COMPUTED_VALUE"""),"#REF!")</f>
        <v>#REF!</v>
      </c>
      <c r="CT206" s="95" t="str">
        <f>IFERROR(__xludf.DUMMYFUNCTION("""COMPUTED_VALUE"""),"#REF!")</f>
        <v>#REF!</v>
      </c>
      <c r="CU206" s="96" t="str">
        <f>IFERROR(__xludf.DUMMYFUNCTION("""COMPUTED_VALUE"""),"#REF!")</f>
        <v>#REF!</v>
      </c>
      <c r="CV206" s="97" t="str">
        <f>IFERROR(__xludf.DUMMYFUNCTION("""COMPUTED_VALUE"""),"#REF!")</f>
        <v>#REF!</v>
      </c>
      <c r="CW206" s="95" t="str">
        <f>IFERROR(__xludf.DUMMYFUNCTION("""COMPUTED_VALUE"""),"#REF!")</f>
        <v>#REF!</v>
      </c>
      <c r="CX206" s="96" t="str">
        <f>IFERROR(__xludf.DUMMYFUNCTION("""COMPUTED_VALUE"""),"#REF!")</f>
        <v>#REF!</v>
      </c>
      <c r="CY206" s="97" t="str">
        <f>IFERROR(__xludf.DUMMYFUNCTION("""COMPUTED_VALUE"""),"#REF!")</f>
        <v>#REF!</v>
      </c>
      <c r="CZ206" s="95" t="str">
        <f>IFERROR(__xludf.DUMMYFUNCTION("""COMPUTED_VALUE"""),"#REF!")</f>
        <v>#REF!</v>
      </c>
      <c r="DA206" s="96" t="str">
        <f>IFERROR(__xludf.DUMMYFUNCTION("""COMPUTED_VALUE"""),"#REF!")</f>
        <v>#REF!</v>
      </c>
      <c r="DB206" s="97" t="str">
        <f>IFERROR(__xludf.DUMMYFUNCTION("""COMPUTED_VALUE"""),"#REF!")</f>
        <v>#REF!</v>
      </c>
      <c r="DC206" s="95" t="str">
        <f>IFERROR(__xludf.DUMMYFUNCTION("""COMPUTED_VALUE"""),"#REF!")</f>
        <v>#REF!</v>
      </c>
      <c r="DD206" s="96" t="str">
        <f>IFERROR(__xludf.DUMMYFUNCTION("""COMPUTED_VALUE"""),"#REF!")</f>
        <v>#REF!</v>
      </c>
      <c r="DE206" s="97" t="str">
        <f>IFERROR(__xludf.DUMMYFUNCTION("""COMPUTED_VALUE"""),"#REF!")</f>
        <v>#REF!</v>
      </c>
      <c r="DF206" s="95" t="str">
        <f>IFERROR(__xludf.DUMMYFUNCTION("""COMPUTED_VALUE"""),"#REF!")</f>
        <v>#REF!</v>
      </c>
      <c r="DG206" s="96" t="str">
        <f>IFERROR(__xludf.DUMMYFUNCTION("""COMPUTED_VALUE"""),"#REF!")</f>
        <v>#REF!</v>
      </c>
      <c r="DH206" s="97" t="str">
        <f>IFERROR(__xludf.DUMMYFUNCTION("""COMPUTED_VALUE"""),"#REF!")</f>
        <v>#REF!</v>
      </c>
      <c r="DI206" s="95" t="str">
        <f>IFERROR(__xludf.DUMMYFUNCTION("""COMPUTED_VALUE"""),"#REF!")</f>
        <v>#REF!</v>
      </c>
      <c r="DJ206" s="96" t="str">
        <f>IFERROR(__xludf.DUMMYFUNCTION("""COMPUTED_VALUE"""),"#REF!")</f>
        <v>#REF!</v>
      </c>
      <c r="DK206" s="97" t="str">
        <f>IFERROR(__xludf.DUMMYFUNCTION("""COMPUTED_VALUE"""),"#REF!")</f>
        <v>#REF!</v>
      </c>
      <c r="DL206" s="95" t="str">
        <f>IFERROR(__xludf.DUMMYFUNCTION("""COMPUTED_VALUE"""),"#REF!")</f>
        <v>#REF!</v>
      </c>
      <c r="DM206" s="96" t="str">
        <f>IFERROR(__xludf.DUMMYFUNCTION("""COMPUTED_VALUE"""),"#REF!")</f>
        <v>#REF!</v>
      </c>
      <c r="DN206" s="97" t="str">
        <f>IFERROR(__xludf.DUMMYFUNCTION("""COMPUTED_VALUE"""),"#REF!")</f>
        <v>#REF!</v>
      </c>
      <c r="DO206" s="95" t="str">
        <f>IFERROR(__xludf.DUMMYFUNCTION("""COMPUTED_VALUE"""),"#REF!")</f>
        <v>#REF!</v>
      </c>
      <c r="DP206" s="96" t="str">
        <f>IFERROR(__xludf.DUMMYFUNCTION("""COMPUTED_VALUE"""),"#REF!")</f>
        <v>#REF!</v>
      </c>
      <c r="DQ206" s="97"/>
      <c r="DR206" s="95"/>
    </row>
    <row r="207" ht="16.5" customHeight="1">
      <c r="B207" s="120" t="str">
        <f>IFERROR(__xludf.DUMMYFUNCTION("""COMPUTED_VALUE"""),"GTT11")</f>
        <v>GTT11</v>
      </c>
      <c r="C207" s="82">
        <f>IFERROR(__xludf.DUMMYFUNCTION("""COMPUTED_VALUE"""),202.0)</f>
        <v>202</v>
      </c>
      <c r="D207" s="88" t="str">
        <f>IFERROR(__xludf.DUMMYFUNCTION("""COMPUTED_VALUE"""),"Forgotten Shrine")</f>
        <v>Forgotten Shrine</v>
      </c>
      <c r="E207" s="82" t="str">
        <f>IFERROR(__xludf.DUMMYFUNCTION("""COMPUTED_VALUE"""),"忘れられた神殿")</f>
        <v>忘れられた神殿</v>
      </c>
      <c r="F207" s="102">
        <f>IFERROR(__xludf.DUMMYFUNCTION("""COMPUTED_VALUE"""),21.0)</f>
        <v>21</v>
      </c>
      <c r="G207" s="82">
        <f>IFERROR(__xludf.DUMMYFUNCTION("""COMPUTED_VALUE"""),4261.0)</f>
        <v>4261</v>
      </c>
      <c r="H207" s="231" t="str">
        <f>IFERROR(__xludf.DUMMYFUNCTION("""COMPUTED_VALUE"""),"")</f>
        <v/>
      </c>
      <c r="I207" s="232" t="str">
        <f>IFERROR(__xludf.DUMMYFUNCTION("""COMPUTED_VALUE"""),"")</f>
        <v/>
      </c>
      <c r="J207" s="233" t="str">
        <f>IFERROR(__xludf.DUMMYFUNCTION("""COMPUTED_VALUE"""),"")</f>
        <v/>
      </c>
      <c r="K207" s="231">
        <f>IFERROR(__xludf.DUMMYFUNCTION("""COMPUTED_VALUE"""),11.4)</f>
        <v>11.4</v>
      </c>
      <c r="L207" s="232" t="str">
        <f>IFERROR(__xludf.DUMMYFUNCTION("""COMPUTED_VALUE"""),"")</f>
        <v/>
      </c>
      <c r="M207" s="233" t="str">
        <f>IFERROR(__xludf.DUMMYFUNCTION("""COMPUTED_VALUE"""),"")</f>
        <v/>
      </c>
      <c r="N207" s="231" t="str">
        <f>IFERROR(__xludf.DUMMYFUNCTION("""COMPUTED_VALUE"""),"")</f>
        <v/>
      </c>
      <c r="O207" s="232" t="str">
        <f>IFERROR(__xludf.DUMMYFUNCTION("""COMPUTED_VALUE"""),"")</f>
        <v/>
      </c>
      <c r="P207" s="233" t="str">
        <f>IFERROR(__xludf.DUMMYFUNCTION("""COMPUTED_VALUE"""),"")</f>
        <v/>
      </c>
      <c r="Q207" s="231" t="str">
        <f>IFERROR(__xludf.DUMMYFUNCTION("""COMPUTED_VALUE"""),"")</f>
        <v/>
      </c>
      <c r="R207" s="232" t="str">
        <f>IFERROR(__xludf.DUMMYFUNCTION("""COMPUTED_VALUE"""),"")</f>
        <v/>
      </c>
      <c r="S207" s="233" t="str">
        <f>IFERROR(__xludf.DUMMYFUNCTION("""COMPUTED_VALUE"""),"")</f>
        <v/>
      </c>
      <c r="T207" s="231" t="str">
        <f>IFERROR(__xludf.DUMMYFUNCTION("""COMPUTED_VALUE"""),"")</f>
        <v/>
      </c>
      <c r="U207" s="232" t="str">
        <f>IFERROR(__xludf.DUMMYFUNCTION("""COMPUTED_VALUE"""),"")</f>
        <v/>
      </c>
      <c r="V207" s="233" t="str">
        <f>IFERROR(__xludf.DUMMYFUNCTION("""COMPUTED_VALUE"""),"")</f>
        <v/>
      </c>
      <c r="W207" s="231" t="str">
        <f>IFERROR(__xludf.DUMMYFUNCTION("""COMPUTED_VALUE"""),"")</f>
        <v/>
      </c>
      <c r="X207" s="232" t="str">
        <f>IFERROR(__xludf.DUMMYFUNCTION("""COMPUTED_VALUE"""),"")</f>
        <v/>
      </c>
      <c r="Y207" s="233" t="str">
        <f>IFERROR(__xludf.DUMMYFUNCTION("""COMPUTED_VALUE"""),"")</f>
        <v/>
      </c>
      <c r="Z207" s="231" t="str">
        <f>IFERROR(__xludf.DUMMYFUNCTION("""COMPUTED_VALUE"""),"")</f>
        <v/>
      </c>
      <c r="AA207" s="232" t="str">
        <f>IFERROR(__xludf.DUMMYFUNCTION("""COMPUTED_VALUE"""),"")</f>
        <v/>
      </c>
      <c r="AB207" s="233" t="str">
        <f>IFERROR(__xludf.DUMMYFUNCTION("""COMPUTED_VALUE"""),"")</f>
        <v/>
      </c>
      <c r="AC207" s="231" t="str">
        <f>IFERROR(__xludf.DUMMYFUNCTION("""COMPUTED_VALUE"""),"")</f>
        <v/>
      </c>
      <c r="AD207" s="232" t="str">
        <f>IFERROR(__xludf.DUMMYFUNCTION("""COMPUTED_VALUE"""),"")</f>
        <v/>
      </c>
      <c r="AE207" s="233" t="str">
        <f>IFERROR(__xludf.DUMMYFUNCTION("""COMPUTED_VALUE"""),"")</f>
        <v/>
      </c>
      <c r="AF207" s="231" t="str">
        <f>IFERROR(__xludf.DUMMYFUNCTION("""COMPUTED_VALUE"""),"")</f>
        <v/>
      </c>
      <c r="AG207" s="232" t="str">
        <f>IFERROR(__xludf.DUMMYFUNCTION("""COMPUTED_VALUE"""),"")</f>
        <v/>
      </c>
      <c r="AH207" s="233" t="str">
        <f>IFERROR(__xludf.DUMMYFUNCTION("""COMPUTED_VALUE"""),"")</f>
        <v/>
      </c>
      <c r="AI207" s="231" t="str">
        <f>IFERROR(__xludf.DUMMYFUNCTION("""COMPUTED_VALUE"""),"")</f>
        <v/>
      </c>
      <c r="AJ207" s="232" t="str">
        <f>IFERROR(__xludf.DUMMYFUNCTION("""COMPUTED_VALUE"""),"")</f>
        <v/>
      </c>
      <c r="AK207" s="233" t="str">
        <f>IFERROR(__xludf.DUMMYFUNCTION("""COMPUTED_VALUE"""),"")</f>
        <v/>
      </c>
      <c r="AL207" s="231" t="str">
        <f>IFERROR(__xludf.DUMMYFUNCTION("""COMPUTED_VALUE"""),"")</f>
        <v/>
      </c>
      <c r="AM207" s="232" t="str">
        <f>IFERROR(__xludf.DUMMYFUNCTION("""COMPUTED_VALUE"""),"")</f>
        <v/>
      </c>
      <c r="AN207" s="233">
        <f>IFERROR(__xludf.DUMMYFUNCTION("""COMPUTED_VALUE"""),24.1)</f>
        <v>24.1</v>
      </c>
      <c r="AO207" s="231" t="str">
        <f>IFERROR(__xludf.DUMMYFUNCTION("""COMPUTED_VALUE"""),"")</f>
        <v/>
      </c>
      <c r="AP207" s="232" t="str">
        <f>IFERROR(__xludf.DUMMYFUNCTION("""COMPUTED_VALUE"""),"")</f>
        <v/>
      </c>
      <c r="AQ207" s="233" t="str">
        <f>IFERROR(__xludf.DUMMYFUNCTION("""COMPUTED_VALUE"""),"")</f>
        <v/>
      </c>
      <c r="AR207" s="231" t="str">
        <f>IFERROR(__xludf.DUMMYFUNCTION("""COMPUTED_VALUE"""),"")</f>
        <v/>
      </c>
      <c r="AS207" s="232" t="str">
        <f>IFERROR(__xludf.DUMMYFUNCTION("""COMPUTED_VALUE"""),"")</f>
        <v/>
      </c>
      <c r="AT207" s="233" t="str">
        <f>IFERROR(__xludf.DUMMYFUNCTION("""COMPUTED_VALUE"""),"")</f>
        <v/>
      </c>
      <c r="AU207" s="231" t="str">
        <f>IFERROR(__xludf.DUMMYFUNCTION("""COMPUTED_VALUE"""),"")</f>
        <v/>
      </c>
      <c r="AV207" s="232" t="str">
        <f>IFERROR(__xludf.DUMMYFUNCTION("""COMPUTED_VALUE"""),"")</f>
        <v/>
      </c>
      <c r="AW207" s="233" t="str">
        <f>IFERROR(__xludf.DUMMYFUNCTION("""COMPUTED_VALUE"""),"")</f>
        <v/>
      </c>
      <c r="AX207" s="231" t="str">
        <f>IFERROR(__xludf.DUMMYFUNCTION("""COMPUTED_VALUE"""),"")</f>
        <v/>
      </c>
      <c r="AY207" s="232" t="str">
        <f>IFERROR(__xludf.DUMMYFUNCTION("""COMPUTED_VALUE"""),"")</f>
        <v/>
      </c>
      <c r="AZ207" s="233" t="str">
        <f>IFERROR(__xludf.DUMMYFUNCTION("""COMPUTED_VALUE"""),"")</f>
        <v/>
      </c>
      <c r="BA207" s="231" t="str">
        <f>IFERROR(__xludf.DUMMYFUNCTION("""COMPUTED_VALUE"""),"")</f>
        <v/>
      </c>
      <c r="BB207" s="232" t="str">
        <f>IFERROR(__xludf.DUMMYFUNCTION("""COMPUTED_VALUE"""),"")</f>
        <v/>
      </c>
      <c r="BC207" s="233">
        <f>IFERROR(__xludf.DUMMYFUNCTION("""COMPUTED_VALUE"""),4.0)</f>
        <v>4</v>
      </c>
      <c r="BD207" s="231" t="str">
        <f>IFERROR(__xludf.DUMMYFUNCTION("""COMPUTED_VALUE"""),"")</f>
        <v/>
      </c>
      <c r="BE207" s="232" t="str">
        <f>IFERROR(__xludf.DUMMYFUNCTION("""COMPUTED_VALUE"""),"")</f>
        <v/>
      </c>
      <c r="BF207" s="233" t="str">
        <f>IFERROR(__xludf.DUMMYFUNCTION("""COMPUTED_VALUE"""),"")</f>
        <v/>
      </c>
      <c r="BG207" s="231" t="str">
        <f>IFERROR(__xludf.DUMMYFUNCTION("""COMPUTED_VALUE"""),"")</f>
        <v/>
      </c>
      <c r="BH207" s="232" t="str">
        <f>IFERROR(__xludf.DUMMYFUNCTION("""COMPUTED_VALUE"""),"")</f>
        <v/>
      </c>
      <c r="BI207" s="233" t="str">
        <f>IFERROR(__xludf.DUMMYFUNCTION("""COMPUTED_VALUE"""),"")</f>
        <v/>
      </c>
      <c r="BJ207" s="231" t="str">
        <f>IFERROR(__xludf.DUMMYFUNCTION("""COMPUTED_VALUE"""),"")</f>
        <v/>
      </c>
      <c r="BK207" s="232" t="str">
        <f>IFERROR(__xludf.DUMMYFUNCTION("""COMPUTED_VALUE"""),"")</f>
        <v/>
      </c>
      <c r="BL207" s="233" t="str">
        <f>IFERROR(__xludf.DUMMYFUNCTION("""COMPUTED_VALUE"""),"")</f>
        <v/>
      </c>
      <c r="BM207" s="231">
        <f>IFERROR(__xludf.DUMMYFUNCTION("""COMPUTED_VALUE"""),40.2)</f>
        <v>40.2</v>
      </c>
      <c r="BN207" s="232" t="str">
        <f>IFERROR(__xludf.DUMMYFUNCTION("""COMPUTED_VALUE"""),"")</f>
        <v/>
      </c>
      <c r="BO207" s="233" t="str">
        <f>IFERROR(__xludf.DUMMYFUNCTION("""COMPUTED_VALUE"""),"")</f>
        <v/>
      </c>
      <c r="BP207" s="231" t="str">
        <f>IFERROR(__xludf.DUMMYFUNCTION("""COMPUTED_VALUE"""),"")</f>
        <v/>
      </c>
      <c r="BQ207" s="232" t="str">
        <f>IFERROR(__xludf.DUMMYFUNCTION("""COMPUTED_VALUE"""),"")</f>
        <v/>
      </c>
      <c r="BR207" s="233" t="str">
        <f>IFERROR(__xludf.DUMMYFUNCTION("""COMPUTED_VALUE"""),"")</f>
        <v/>
      </c>
      <c r="BS207" s="231" t="str">
        <f>IFERROR(__xludf.DUMMYFUNCTION("""COMPUTED_VALUE"""),"")</f>
        <v/>
      </c>
      <c r="BT207" s="232" t="str">
        <f>IFERROR(__xludf.DUMMYFUNCTION("""COMPUTED_VALUE"""),"")</f>
        <v/>
      </c>
      <c r="BU207" s="233" t="str">
        <f>IFERROR(__xludf.DUMMYFUNCTION("""COMPUTED_VALUE"""),"")</f>
        <v/>
      </c>
      <c r="BV207" s="231" t="str">
        <f>IFERROR(__xludf.DUMMYFUNCTION("""COMPUTED_VALUE"""),"")</f>
        <v/>
      </c>
      <c r="BW207" s="232" t="str">
        <f>IFERROR(__xludf.DUMMYFUNCTION("""COMPUTED_VALUE"""),"")</f>
        <v/>
      </c>
      <c r="BX207" s="233" t="str">
        <f>IFERROR(__xludf.DUMMYFUNCTION("""COMPUTED_VALUE"""),"")</f>
        <v/>
      </c>
      <c r="BY207" s="231" t="str">
        <f>IFERROR(__xludf.DUMMYFUNCTION("""COMPUTED_VALUE"""),"")</f>
        <v/>
      </c>
      <c r="BZ207" s="232" t="str">
        <f>IFERROR(__xludf.DUMMYFUNCTION("""COMPUTED_VALUE"""),"")</f>
        <v/>
      </c>
      <c r="CA207" s="233" t="str">
        <f>IFERROR(__xludf.DUMMYFUNCTION("""COMPUTED_VALUE"""),"")</f>
        <v/>
      </c>
      <c r="CB207" s="231" t="str">
        <f>IFERROR(__xludf.DUMMYFUNCTION("""COMPUTED_VALUE"""),"")</f>
        <v/>
      </c>
      <c r="CC207" s="232" t="str">
        <f>IFERROR(__xludf.DUMMYFUNCTION("""COMPUTED_VALUE"""),"")</f>
        <v/>
      </c>
      <c r="CD207" s="233" t="str">
        <f>IFERROR(__xludf.DUMMYFUNCTION("""COMPUTED_VALUE"""),"")</f>
        <v/>
      </c>
      <c r="CE207" s="234" t="str">
        <f>IFERROR(__xludf.DUMMYFUNCTION("""COMPUTED_VALUE"""),"")</f>
        <v/>
      </c>
      <c r="CF207" s="230" t="str">
        <f>IFERROR(__xludf.DUMMYFUNCTION("""COMPUTED_VALUE"""),"")</f>
        <v/>
      </c>
      <c r="CG207" s="235" t="str">
        <f>IFERROR(__xludf.DUMMYFUNCTION("""COMPUTED_VALUE"""),"")</f>
        <v/>
      </c>
      <c r="CH207" s="234" t="str">
        <f>IFERROR(__xludf.DUMMYFUNCTION("""COMPUTED_VALUE"""),"")</f>
        <v/>
      </c>
      <c r="CI207" s="230" t="str">
        <f>IFERROR(__xludf.DUMMYFUNCTION("""COMPUTED_VALUE"""),"")</f>
        <v/>
      </c>
      <c r="CJ207" s="235" t="str">
        <f>IFERROR(__xludf.DUMMYFUNCTION("""COMPUTED_VALUE"""),"")</f>
        <v/>
      </c>
      <c r="CK207" s="95" t="str">
        <f>IFERROR(__xludf.DUMMYFUNCTION("""COMPUTED_VALUE"""),"")</f>
        <v/>
      </c>
      <c r="CL207" s="96">
        <f>IFERROR(__xludf.DUMMYFUNCTION("""COMPUTED_VALUE"""),4.5)</f>
        <v>4.5</v>
      </c>
      <c r="CM207" s="97" t="str">
        <f>IFERROR(__xludf.DUMMYFUNCTION("""COMPUTED_VALUE"""),"")</f>
        <v/>
      </c>
      <c r="CN207" s="95" t="str">
        <f>IFERROR(__xludf.DUMMYFUNCTION("""COMPUTED_VALUE"""),"")</f>
        <v/>
      </c>
      <c r="CO207" s="96" t="str">
        <f>IFERROR(__xludf.DUMMYFUNCTION("""COMPUTED_VALUE"""),"")</f>
        <v/>
      </c>
      <c r="CP207" s="97" t="str">
        <f>IFERROR(__xludf.DUMMYFUNCTION("""COMPUTED_VALUE"""),"")</f>
        <v/>
      </c>
      <c r="CQ207" s="95" t="str">
        <f>IFERROR(__xludf.DUMMYFUNCTION("""COMPUTED_VALUE"""),"")</f>
        <v/>
      </c>
      <c r="CR207" s="96" t="str">
        <f>IFERROR(__xludf.DUMMYFUNCTION("""COMPUTED_VALUE"""),"")</f>
        <v/>
      </c>
      <c r="CS207" s="97" t="str">
        <f>IFERROR(__xludf.DUMMYFUNCTION("""COMPUTED_VALUE"""),"#REF!")</f>
        <v>#REF!</v>
      </c>
      <c r="CT207" s="95" t="str">
        <f>IFERROR(__xludf.DUMMYFUNCTION("""COMPUTED_VALUE"""),"#REF!")</f>
        <v>#REF!</v>
      </c>
      <c r="CU207" s="96" t="str">
        <f>IFERROR(__xludf.DUMMYFUNCTION("""COMPUTED_VALUE"""),"#REF!")</f>
        <v>#REF!</v>
      </c>
      <c r="CV207" s="97" t="str">
        <f>IFERROR(__xludf.DUMMYFUNCTION("""COMPUTED_VALUE"""),"#REF!")</f>
        <v>#REF!</v>
      </c>
      <c r="CW207" s="95" t="str">
        <f>IFERROR(__xludf.DUMMYFUNCTION("""COMPUTED_VALUE"""),"#REF!")</f>
        <v>#REF!</v>
      </c>
      <c r="CX207" s="96" t="str">
        <f>IFERROR(__xludf.DUMMYFUNCTION("""COMPUTED_VALUE"""),"#REF!")</f>
        <v>#REF!</v>
      </c>
      <c r="CY207" s="97" t="str">
        <f>IFERROR(__xludf.DUMMYFUNCTION("""COMPUTED_VALUE"""),"#REF!")</f>
        <v>#REF!</v>
      </c>
      <c r="CZ207" s="95" t="str">
        <f>IFERROR(__xludf.DUMMYFUNCTION("""COMPUTED_VALUE"""),"#REF!")</f>
        <v>#REF!</v>
      </c>
      <c r="DA207" s="96" t="str">
        <f>IFERROR(__xludf.DUMMYFUNCTION("""COMPUTED_VALUE"""),"#REF!")</f>
        <v>#REF!</v>
      </c>
      <c r="DB207" s="97" t="str">
        <f>IFERROR(__xludf.DUMMYFUNCTION("""COMPUTED_VALUE"""),"#REF!")</f>
        <v>#REF!</v>
      </c>
      <c r="DC207" s="95" t="str">
        <f>IFERROR(__xludf.DUMMYFUNCTION("""COMPUTED_VALUE"""),"#REF!")</f>
        <v>#REF!</v>
      </c>
      <c r="DD207" s="96" t="str">
        <f>IFERROR(__xludf.DUMMYFUNCTION("""COMPUTED_VALUE"""),"#REF!")</f>
        <v>#REF!</v>
      </c>
      <c r="DE207" s="97" t="str">
        <f>IFERROR(__xludf.DUMMYFUNCTION("""COMPUTED_VALUE"""),"#REF!")</f>
        <v>#REF!</v>
      </c>
      <c r="DF207" s="95" t="str">
        <f>IFERROR(__xludf.DUMMYFUNCTION("""COMPUTED_VALUE"""),"#REF!")</f>
        <v>#REF!</v>
      </c>
      <c r="DG207" s="96" t="str">
        <f>IFERROR(__xludf.DUMMYFUNCTION("""COMPUTED_VALUE"""),"#REF!")</f>
        <v>#REF!</v>
      </c>
      <c r="DH207" s="97" t="str">
        <f>IFERROR(__xludf.DUMMYFUNCTION("""COMPUTED_VALUE"""),"#REF!")</f>
        <v>#REF!</v>
      </c>
      <c r="DI207" s="95" t="str">
        <f>IFERROR(__xludf.DUMMYFUNCTION("""COMPUTED_VALUE"""),"#REF!")</f>
        <v>#REF!</v>
      </c>
      <c r="DJ207" s="96" t="str">
        <f>IFERROR(__xludf.DUMMYFUNCTION("""COMPUTED_VALUE"""),"#REF!")</f>
        <v>#REF!</v>
      </c>
      <c r="DK207" s="97" t="str">
        <f>IFERROR(__xludf.DUMMYFUNCTION("""COMPUTED_VALUE"""),"#REF!")</f>
        <v>#REF!</v>
      </c>
      <c r="DL207" s="95" t="str">
        <f>IFERROR(__xludf.DUMMYFUNCTION("""COMPUTED_VALUE"""),"#REF!")</f>
        <v>#REF!</v>
      </c>
      <c r="DM207" s="96" t="str">
        <f>IFERROR(__xludf.DUMMYFUNCTION("""COMPUTED_VALUE"""),"#REF!")</f>
        <v>#REF!</v>
      </c>
      <c r="DN207" s="97" t="str">
        <f>IFERROR(__xludf.DUMMYFUNCTION("""COMPUTED_VALUE"""),"#REF!")</f>
        <v>#REF!</v>
      </c>
      <c r="DO207" s="95" t="str">
        <f>IFERROR(__xludf.DUMMYFUNCTION("""COMPUTED_VALUE"""),"#REF!")</f>
        <v>#REF!</v>
      </c>
      <c r="DP207" s="96" t="str">
        <f>IFERROR(__xludf.DUMMYFUNCTION("""COMPUTED_VALUE"""),"#REF!")</f>
        <v>#REF!</v>
      </c>
      <c r="DQ207" s="97"/>
      <c r="DR207" s="95"/>
    </row>
    <row r="208">
      <c r="A208" s="236" t="str">
        <f>IFERROR(__xludf.DUMMYFUNCTION("""COMPUTED_VALUE"""),"SIN")</f>
        <v>SIN</v>
      </c>
      <c r="B208" s="237" t="str">
        <f>IFERROR(__xludf.DUMMYFUNCTION("""COMPUTED_VALUE"""),"SIN1")</f>
        <v>SIN1</v>
      </c>
      <c r="C208" s="238">
        <f>IFERROR(__xludf.DUMMYFUNCTION("""COMPUTED_VALUE"""),205.0)</f>
        <v>205</v>
      </c>
      <c r="D208" s="88" t="str">
        <f>IFERROR(__xludf.DUMMYFUNCTION("""COMPUTED_VALUE"""),"Seeding Point")</f>
        <v>Seeding Point</v>
      </c>
      <c r="E208" s="82" t="str">
        <f>IFERROR(__xludf.DUMMYFUNCTION("""COMPUTED_VALUE"""),"シーディングポイント")</f>
        <v>シーディングポイント</v>
      </c>
      <c r="F208" s="102">
        <f>IFERROR(__xludf.DUMMYFUNCTION("""COMPUTED_VALUE"""),20.0)</f>
        <v>20</v>
      </c>
      <c r="G208" s="82">
        <f>IFERROR(__xludf.DUMMYFUNCTION("""COMPUTED_VALUE"""),13260.0)</f>
        <v>13260</v>
      </c>
      <c r="H208" s="231" t="str">
        <f>IFERROR(__xludf.DUMMYFUNCTION("""COMPUTED_VALUE"""),"")</f>
        <v/>
      </c>
      <c r="I208" s="232" t="str">
        <f>IFERROR(__xludf.DUMMYFUNCTION("""COMPUTED_VALUE"""),"")</f>
        <v/>
      </c>
      <c r="J208" s="233" t="str">
        <f>IFERROR(__xludf.DUMMYFUNCTION("""COMPUTED_VALUE"""),"")</f>
        <v/>
      </c>
      <c r="K208" s="231" t="str">
        <f>IFERROR(__xludf.DUMMYFUNCTION("""COMPUTED_VALUE"""),"")</f>
        <v/>
      </c>
      <c r="L208" s="232" t="str">
        <f>IFERROR(__xludf.DUMMYFUNCTION("""COMPUTED_VALUE"""),"")</f>
        <v/>
      </c>
      <c r="M208" s="233" t="str">
        <f>IFERROR(__xludf.DUMMYFUNCTION("""COMPUTED_VALUE"""),"")</f>
        <v/>
      </c>
      <c r="N208" s="231" t="str">
        <f>IFERROR(__xludf.DUMMYFUNCTION("""COMPUTED_VALUE"""),"")</f>
        <v/>
      </c>
      <c r="O208" s="232" t="str">
        <f>IFERROR(__xludf.DUMMYFUNCTION("""COMPUTED_VALUE"""),"")</f>
        <v/>
      </c>
      <c r="P208" s="233" t="str">
        <f>IFERROR(__xludf.DUMMYFUNCTION("""COMPUTED_VALUE"""),"")</f>
        <v/>
      </c>
      <c r="Q208" s="231" t="str">
        <f>IFERROR(__xludf.DUMMYFUNCTION("""COMPUTED_VALUE"""),"")</f>
        <v/>
      </c>
      <c r="R208" s="232" t="str">
        <f>IFERROR(__xludf.DUMMYFUNCTION("""COMPUTED_VALUE"""),"")</f>
        <v/>
      </c>
      <c r="S208" s="233" t="str">
        <f>IFERROR(__xludf.DUMMYFUNCTION("""COMPUTED_VALUE"""),"")</f>
        <v/>
      </c>
      <c r="T208" s="231" t="str">
        <f>IFERROR(__xludf.DUMMYFUNCTION("""COMPUTED_VALUE"""),"")</f>
        <v/>
      </c>
      <c r="U208" s="232" t="str">
        <f>IFERROR(__xludf.DUMMYFUNCTION("""COMPUTED_VALUE"""),"")</f>
        <v/>
      </c>
      <c r="V208" s="233" t="str">
        <f>IFERROR(__xludf.DUMMYFUNCTION("""COMPUTED_VALUE"""),"")</f>
        <v/>
      </c>
      <c r="W208" s="231" t="str">
        <f>IFERROR(__xludf.DUMMYFUNCTION("""COMPUTED_VALUE"""),"")</f>
        <v/>
      </c>
      <c r="X208" s="232" t="str">
        <f>IFERROR(__xludf.DUMMYFUNCTION("""COMPUTED_VALUE"""),"")</f>
        <v/>
      </c>
      <c r="Y208" s="233" t="str">
        <f>IFERROR(__xludf.DUMMYFUNCTION("""COMPUTED_VALUE"""),"")</f>
        <v/>
      </c>
      <c r="Z208" s="231" t="str">
        <f>IFERROR(__xludf.DUMMYFUNCTION("""COMPUTED_VALUE"""),"")</f>
        <v/>
      </c>
      <c r="AA208" s="232" t="str">
        <f>IFERROR(__xludf.DUMMYFUNCTION("""COMPUTED_VALUE"""),"")</f>
        <v/>
      </c>
      <c r="AB208" s="233" t="str">
        <f>IFERROR(__xludf.DUMMYFUNCTION("""COMPUTED_VALUE"""),"")</f>
        <v/>
      </c>
      <c r="AC208" s="231" t="str">
        <f>IFERROR(__xludf.DUMMYFUNCTION("""COMPUTED_VALUE"""),"")</f>
        <v/>
      </c>
      <c r="AD208" s="232" t="str">
        <f>IFERROR(__xludf.DUMMYFUNCTION("""COMPUTED_VALUE"""),"")</f>
        <v/>
      </c>
      <c r="AE208" s="233">
        <f>IFERROR(__xludf.DUMMYFUNCTION("""COMPUTED_VALUE"""),30.1)</f>
        <v>30.1</v>
      </c>
      <c r="AF208" s="231" t="str">
        <f>IFERROR(__xludf.DUMMYFUNCTION("""COMPUTED_VALUE"""),"")</f>
        <v/>
      </c>
      <c r="AG208" s="232" t="str">
        <f>IFERROR(__xludf.DUMMYFUNCTION("""COMPUTED_VALUE"""),"")</f>
        <v/>
      </c>
      <c r="AH208" s="233" t="str">
        <f>IFERROR(__xludf.DUMMYFUNCTION("""COMPUTED_VALUE"""),"")</f>
        <v/>
      </c>
      <c r="AI208" s="231" t="str">
        <f>IFERROR(__xludf.DUMMYFUNCTION("""COMPUTED_VALUE"""),"")</f>
        <v/>
      </c>
      <c r="AJ208" s="232" t="str">
        <f>IFERROR(__xludf.DUMMYFUNCTION("""COMPUTED_VALUE"""),"")</f>
        <v/>
      </c>
      <c r="AK208" s="233" t="str">
        <f>IFERROR(__xludf.DUMMYFUNCTION("""COMPUTED_VALUE"""),"")</f>
        <v/>
      </c>
      <c r="AL208" s="231" t="str">
        <f>IFERROR(__xludf.DUMMYFUNCTION("""COMPUTED_VALUE"""),"")</f>
        <v/>
      </c>
      <c r="AM208" s="232" t="str">
        <f>IFERROR(__xludf.DUMMYFUNCTION("""COMPUTED_VALUE"""),"")</f>
        <v/>
      </c>
      <c r="AN208" s="233" t="str">
        <f>IFERROR(__xludf.DUMMYFUNCTION("""COMPUTED_VALUE"""),"")</f>
        <v/>
      </c>
      <c r="AO208" s="231" t="str">
        <f>IFERROR(__xludf.DUMMYFUNCTION("""COMPUTED_VALUE"""),"")</f>
        <v/>
      </c>
      <c r="AP208" s="232" t="str">
        <f>IFERROR(__xludf.DUMMYFUNCTION("""COMPUTED_VALUE"""),"")</f>
        <v/>
      </c>
      <c r="AQ208" s="233" t="str">
        <f>IFERROR(__xludf.DUMMYFUNCTION("""COMPUTED_VALUE"""),"")</f>
        <v/>
      </c>
      <c r="AR208" s="231" t="str">
        <f>IFERROR(__xludf.DUMMYFUNCTION("""COMPUTED_VALUE"""),"")</f>
        <v/>
      </c>
      <c r="AS208" s="232" t="str">
        <f>IFERROR(__xludf.DUMMYFUNCTION("""COMPUTED_VALUE"""),"")</f>
        <v/>
      </c>
      <c r="AT208" s="233" t="str">
        <f>IFERROR(__xludf.DUMMYFUNCTION("""COMPUTED_VALUE"""),"")</f>
        <v/>
      </c>
      <c r="AU208" s="231" t="str">
        <f>IFERROR(__xludf.DUMMYFUNCTION("""COMPUTED_VALUE"""),"")</f>
        <v/>
      </c>
      <c r="AV208" s="232" t="str">
        <f>IFERROR(__xludf.DUMMYFUNCTION("""COMPUTED_VALUE"""),"")</f>
        <v/>
      </c>
      <c r="AW208" s="233" t="str">
        <f>IFERROR(__xludf.DUMMYFUNCTION("""COMPUTED_VALUE"""),"")</f>
        <v/>
      </c>
      <c r="AX208" s="231" t="str">
        <f>IFERROR(__xludf.DUMMYFUNCTION("""COMPUTED_VALUE"""),"")</f>
        <v/>
      </c>
      <c r="AY208" s="232">
        <f>IFERROR(__xludf.DUMMYFUNCTION("""COMPUTED_VALUE"""),39.4)</f>
        <v>39.4</v>
      </c>
      <c r="AZ208" s="233" t="str">
        <f>IFERROR(__xludf.DUMMYFUNCTION("""COMPUTED_VALUE"""),"")</f>
        <v/>
      </c>
      <c r="BA208" s="231" t="str">
        <f>IFERROR(__xludf.DUMMYFUNCTION("""COMPUTED_VALUE"""),"")</f>
        <v/>
      </c>
      <c r="BB208" s="232" t="str">
        <f>IFERROR(__xludf.DUMMYFUNCTION("""COMPUTED_VALUE"""),"")</f>
        <v/>
      </c>
      <c r="BC208" s="233" t="str">
        <f>IFERROR(__xludf.DUMMYFUNCTION("""COMPUTED_VALUE"""),"")</f>
        <v/>
      </c>
      <c r="BD208" s="231" t="str">
        <f>IFERROR(__xludf.DUMMYFUNCTION("""COMPUTED_VALUE"""),"")</f>
        <v/>
      </c>
      <c r="BE208" s="232" t="str">
        <f>IFERROR(__xludf.DUMMYFUNCTION("""COMPUTED_VALUE"""),"")</f>
        <v/>
      </c>
      <c r="BF208" s="233" t="str">
        <f>IFERROR(__xludf.DUMMYFUNCTION("""COMPUTED_VALUE"""),"")</f>
        <v/>
      </c>
      <c r="BG208" s="231" t="str">
        <f>IFERROR(__xludf.DUMMYFUNCTION("""COMPUTED_VALUE"""),"")</f>
        <v/>
      </c>
      <c r="BH208" s="232" t="str">
        <f>IFERROR(__xludf.DUMMYFUNCTION("""COMPUTED_VALUE"""),"")</f>
        <v/>
      </c>
      <c r="BI208" s="233" t="str">
        <f>IFERROR(__xludf.DUMMYFUNCTION("""COMPUTED_VALUE"""),"")</f>
        <v/>
      </c>
      <c r="BJ208" s="231" t="str">
        <f>IFERROR(__xludf.DUMMYFUNCTION("""COMPUTED_VALUE"""),"")</f>
        <v/>
      </c>
      <c r="BK208" s="232" t="str">
        <f>IFERROR(__xludf.DUMMYFUNCTION("""COMPUTED_VALUE"""),"")</f>
        <v/>
      </c>
      <c r="BL208" s="233" t="str">
        <f>IFERROR(__xludf.DUMMYFUNCTION("""COMPUTED_VALUE"""),"")</f>
        <v/>
      </c>
      <c r="BM208" s="231" t="str">
        <f>IFERROR(__xludf.DUMMYFUNCTION("""COMPUTED_VALUE"""),"")</f>
        <v/>
      </c>
      <c r="BN208" s="232" t="str">
        <f>IFERROR(__xludf.DUMMYFUNCTION("""COMPUTED_VALUE"""),"")</f>
        <v/>
      </c>
      <c r="BO208" s="233" t="str">
        <f>IFERROR(__xludf.DUMMYFUNCTION("""COMPUTED_VALUE"""),"")</f>
        <v/>
      </c>
      <c r="BP208" s="231" t="str">
        <f>IFERROR(__xludf.DUMMYFUNCTION("""COMPUTED_VALUE"""),"")</f>
        <v/>
      </c>
      <c r="BQ208" s="232" t="str">
        <f>IFERROR(__xludf.DUMMYFUNCTION("""COMPUTED_VALUE"""),"")</f>
        <v/>
      </c>
      <c r="BR208" s="233" t="str">
        <f>IFERROR(__xludf.DUMMYFUNCTION("""COMPUTED_VALUE"""),"")</f>
        <v/>
      </c>
      <c r="BS208" s="231">
        <f>IFERROR(__xludf.DUMMYFUNCTION("""COMPUTED_VALUE"""),25.2)</f>
        <v>25.2</v>
      </c>
      <c r="BT208" s="232">
        <f>IFERROR(__xludf.DUMMYFUNCTION("""COMPUTED_VALUE"""),19.6)</f>
        <v>19.6</v>
      </c>
      <c r="BU208" s="233" t="str">
        <f>IFERROR(__xludf.DUMMYFUNCTION("""COMPUTED_VALUE"""),"")</f>
        <v/>
      </c>
      <c r="BV208" s="231" t="str">
        <f>IFERROR(__xludf.DUMMYFUNCTION("""COMPUTED_VALUE"""),"")</f>
        <v/>
      </c>
      <c r="BW208" s="232" t="str">
        <f>IFERROR(__xludf.DUMMYFUNCTION("""COMPUTED_VALUE"""),"")</f>
        <v/>
      </c>
      <c r="BX208" s="233" t="str">
        <f>IFERROR(__xludf.DUMMYFUNCTION("""COMPUTED_VALUE"""),"")</f>
        <v/>
      </c>
      <c r="BY208" s="231" t="str">
        <f>IFERROR(__xludf.DUMMYFUNCTION("""COMPUTED_VALUE"""),"")</f>
        <v/>
      </c>
      <c r="BZ208" s="232" t="str">
        <f>IFERROR(__xludf.DUMMYFUNCTION("""COMPUTED_VALUE"""),"")</f>
        <v/>
      </c>
      <c r="CA208" s="233" t="str">
        <f>IFERROR(__xludf.DUMMYFUNCTION("""COMPUTED_VALUE"""),"")</f>
        <v/>
      </c>
      <c r="CB208" s="231" t="str">
        <f>IFERROR(__xludf.DUMMYFUNCTION("""COMPUTED_VALUE"""),"")</f>
        <v/>
      </c>
      <c r="CC208" s="232" t="str">
        <f>IFERROR(__xludf.DUMMYFUNCTION("""COMPUTED_VALUE"""),"")</f>
        <v/>
      </c>
      <c r="CD208" s="233" t="str">
        <f>IFERROR(__xludf.DUMMYFUNCTION("""COMPUTED_VALUE"""),"")</f>
        <v/>
      </c>
      <c r="CE208" s="234" t="str">
        <f>IFERROR(__xludf.DUMMYFUNCTION("""COMPUTED_VALUE"""),"")</f>
        <v/>
      </c>
      <c r="CF208" s="230" t="str">
        <f>IFERROR(__xludf.DUMMYFUNCTION("""COMPUTED_VALUE"""),"")</f>
        <v/>
      </c>
      <c r="CG208" s="235" t="str">
        <f>IFERROR(__xludf.DUMMYFUNCTION("""COMPUTED_VALUE"""),"")</f>
        <v/>
      </c>
      <c r="CH208" s="234" t="str">
        <f>IFERROR(__xludf.DUMMYFUNCTION("""COMPUTED_VALUE"""),"")</f>
        <v/>
      </c>
      <c r="CI208" s="230" t="str">
        <f>IFERROR(__xludf.DUMMYFUNCTION("""COMPUTED_VALUE"""),"")</f>
        <v/>
      </c>
      <c r="CJ208" s="235" t="str">
        <f>IFERROR(__xludf.DUMMYFUNCTION("""COMPUTED_VALUE"""),"")</f>
        <v/>
      </c>
      <c r="CK208" s="95" t="str">
        <f>IFERROR(__xludf.DUMMYFUNCTION("""COMPUTED_VALUE"""),"")</f>
        <v/>
      </c>
      <c r="CL208" s="96" t="str">
        <f>IFERROR(__xludf.DUMMYFUNCTION("""COMPUTED_VALUE"""),"")</f>
        <v/>
      </c>
      <c r="CM208" s="97" t="str">
        <f>IFERROR(__xludf.DUMMYFUNCTION("""COMPUTED_VALUE"""),"")</f>
        <v/>
      </c>
      <c r="CN208" s="95" t="str">
        <f>IFERROR(__xludf.DUMMYFUNCTION("""COMPUTED_VALUE"""),"")</f>
        <v/>
      </c>
      <c r="CO208" s="96" t="str">
        <f>IFERROR(__xludf.DUMMYFUNCTION("""COMPUTED_VALUE"""),"")</f>
        <v/>
      </c>
      <c r="CP208" s="97" t="str">
        <f>IFERROR(__xludf.DUMMYFUNCTION("""COMPUTED_VALUE"""),"")</f>
        <v/>
      </c>
      <c r="CQ208" s="95" t="str">
        <f>IFERROR(__xludf.DUMMYFUNCTION("""COMPUTED_VALUE"""),"")</f>
        <v/>
      </c>
      <c r="CR208" s="96" t="str">
        <f>IFERROR(__xludf.DUMMYFUNCTION("""COMPUTED_VALUE"""),"")</f>
        <v/>
      </c>
      <c r="CS208" s="97" t="str">
        <f>IFERROR(__xludf.DUMMYFUNCTION("""COMPUTED_VALUE"""),"#REF!")</f>
        <v>#REF!</v>
      </c>
      <c r="CT208" s="95" t="str">
        <f>IFERROR(__xludf.DUMMYFUNCTION("""COMPUTED_VALUE"""),"#REF!")</f>
        <v>#REF!</v>
      </c>
      <c r="CU208" s="96" t="str">
        <f>IFERROR(__xludf.DUMMYFUNCTION("""COMPUTED_VALUE"""),"#REF!")</f>
        <v>#REF!</v>
      </c>
      <c r="CV208" s="97" t="str">
        <f>IFERROR(__xludf.DUMMYFUNCTION("""COMPUTED_VALUE"""),"#REF!")</f>
        <v>#REF!</v>
      </c>
      <c r="CW208" s="95" t="str">
        <f>IFERROR(__xludf.DUMMYFUNCTION("""COMPUTED_VALUE"""),"#REF!")</f>
        <v>#REF!</v>
      </c>
      <c r="CX208" s="96" t="str">
        <f>IFERROR(__xludf.DUMMYFUNCTION("""COMPUTED_VALUE"""),"#REF!")</f>
        <v>#REF!</v>
      </c>
      <c r="CY208" s="97" t="str">
        <f>IFERROR(__xludf.DUMMYFUNCTION("""COMPUTED_VALUE"""),"#REF!")</f>
        <v>#REF!</v>
      </c>
      <c r="CZ208" s="95" t="str">
        <f>IFERROR(__xludf.DUMMYFUNCTION("""COMPUTED_VALUE"""),"#REF!")</f>
        <v>#REF!</v>
      </c>
      <c r="DA208" s="96" t="str">
        <f>IFERROR(__xludf.DUMMYFUNCTION("""COMPUTED_VALUE"""),"#REF!")</f>
        <v>#REF!</v>
      </c>
      <c r="DB208" s="97" t="str">
        <f>IFERROR(__xludf.DUMMYFUNCTION("""COMPUTED_VALUE"""),"#REF!")</f>
        <v>#REF!</v>
      </c>
      <c r="DC208" s="95" t="str">
        <f>IFERROR(__xludf.DUMMYFUNCTION("""COMPUTED_VALUE"""),"#REF!")</f>
        <v>#REF!</v>
      </c>
      <c r="DD208" s="96" t="str">
        <f>IFERROR(__xludf.DUMMYFUNCTION("""COMPUTED_VALUE"""),"#REF!")</f>
        <v>#REF!</v>
      </c>
      <c r="DE208" s="97" t="str">
        <f>IFERROR(__xludf.DUMMYFUNCTION("""COMPUTED_VALUE"""),"#REF!")</f>
        <v>#REF!</v>
      </c>
      <c r="DF208" s="95" t="str">
        <f>IFERROR(__xludf.DUMMYFUNCTION("""COMPUTED_VALUE"""),"#REF!")</f>
        <v>#REF!</v>
      </c>
      <c r="DG208" s="96" t="str">
        <f>IFERROR(__xludf.DUMMYFUNCTION("""COMPUTED_VALUE"""),"#REF!")</f>
        <v>#REF!</v>
      </c>
      <c r="DH208" s="97" t="str">
        <f>IFERROR(__xludf.DUMMYFUNCTION("""COMPUTED_VALUE"""),"#REF!")</f>
        <v>#REF!</v>
      </c>
      <c r="DI208" s="95" t="str">
        <f>IFERROR(__xludf.DUMMYFUNCTION("""COMPUTED_VALUE"""),"#REF!")</f>
        <v>#REF!</v>
      </c>
      <c r="DJ208" s="96" t="str">
        <f>IFERROR(__xludf.DUMMYFUNCTION("""COMPUTED_VALUE"""),"#REF!")</f>
        <v>#REF!</v>
      </c>
      <c r="DK208" s="97" t="str">
        <f>IFERROR(__xludf.DUMMYFUNCTION("""COMPUTED_VALUE"""),"#REF!")</f>
        <v>#REF!</v>
      </c>
      <c r="DL208" s="95" t="str">
        <f>IFERROR(__xludf.DUMMYFUNCTION("""COMPUTED_VALUE"""),"#REF!")</f>
        <v>#REF!</v>
      </c>
      <c r="DM208" s="96" t="str">
        <f>IFERROR(__xludf.DUMMYFUNCTION("""COMPUTED_VALUE"""),"#REF!")</f>
        <v>#REF!</v>
      </c>
      <c r="DN208" s="97" t="str">
        <f>IFERROR(__xludf.DUMMYFUNCTION("""COMPUTED_VALUE"""),"#REF!")</f>
        <v>#REF!</v>
      </c>
      <c r="DO208" s="95" t="str">
        <f>IFERROR(__xludf.DUMMYFUNCTION("""COMPUTED_VALUE"""),"#REF!")</f>
        <v>#REF!</v>
      </c>
      <c r="DP208" s="96" t="str">
        <f>IFERROR(__xludf.DUMMYFUNCTION("""COMPUTED_VALUE"""),"#REF!")</f>
        <v>#REF!</v>
      </c>
      <c r="DQ208" s="97"/>
      <c r="DR208" s="95"/>
    </row>
    <row r="209">
      <c r="B209" s="237" t="str">
        <f>IFERROR(__xludf.DUMMYFUNCTION("""COMPUTED_VALUE"""),"SIN2")</f>
        <v>SIN2</v>
      </c>
      <c r="C209" s="238">
        <f>IFERROR(__xludf.DUMMYFUNCTION("""COMPUTED_VALUE"""),206.0)</f>
        <v>206</v>
      </c>
      <c r="D209" s="88" t="str">
        <f>IFERROR(__xludf.DUMMYFUNCTION("""COMPUTED_VALUE"""),"Neighboring Village")</f>
        <v>Neighboring Village</v>
      </c>
      <c r="E209" s="82" t="str">
        <f>IFERROR(__xludf.DUMMYFUNCTION("""COMPUTED_VALUE"""),"隣村")</f>
        <v>隣村</v>
      </c>
      <c r="F209" s="102">
        <f>IFERROR(__xludf.DUMMYFUNCTION("""COMPUTED_VALUE"""),20.0)</f>
        <v>20</v>
      </c>
      <c r="G209" s="82">
        <f>IFERROR(__xludf.DUMMYFUNCTION("""COMPUTED_VALUE"""),8011.0)</f>
        <v>8011</v>
      </c>
      <c r="H209" s="231" t="str">
        <f>IFERROR(__xludf.DUMMYFUNCTION("""COMPUTED_VALUE"""),"")</f>
        <v/>
      </c>
      <c r="I209" s="232" t="str">
        <f>IFERROR(__xludf.DUMMYFUNCTION("""COMPUTED_VALUE"""),"")</f>
        <v/>
      </c>
      <c r="J209" s="233" t="str">
        <f>IFERROR(__xludf.DUMMYFUNCTION("""COMPUTED_VALUE"""),"")</f>
        <v/>
      </c>
      <c r="K209" s="231" t="str">
        <f>IFERROR(__xludf.DUMMYFUNCTION("""COMPUTED_VALUE"""),"")</f>
        <v/>
      </c>
      <c r="L209" s="232" t="str">
        <f>IFERROR(__xludf.DUMMYFUNCTION("""COMPUTED_VALUE"""),"")</f>
        <v/>
      </c>
      <c r="M209" s="233" t="str">
        <f>IFERROR(__xludf.DUMMYFUNCTION("""COMPUTED_VALUE"""),"")</f>
        <v/>
      </c>
      <c r="N209" s="231" t="str">
        <f>IFERROR(__xludf.DUMMYFUNCTION("""COMPUTED_VALUE"""),"")</f>
        <v/>
      </c>
      <c r="O209" s="232" t="str">
        <f>IFERROR(__xludf.DUMMYFUNCTION("""COMPUTED_VALUE"""),"")</f>
        <v/>
      </c>
      <c r="P209" s="233" t="str">
        <f>IFERROR(__xludf.DUMMYFUNCTION("""COMPUTED_VALUE"""),"")</f>
        <v/>
      </c>
      <c r="Q209" s="231" t="str">
        <f>IFERROR(__xludf.DUMMYFUNCTION("""COMPUTED_VALUE"""),"")</f>
        <v/>
      </c>
      <c r="R209" s="232" t="str">
        <f>IFERROR(__xludf.DUMMYFUNCTION("""COMPUTED_VALUE"""),"")</f>
        <v/>
      </c>
      <c r="S209" s="233" t="str">
        <f>IFERROR(__xludf.DUMMYFUNCTION("""COMPUTED_VALUE"""),"")</f>
        <v/>
      </c>
      <c r="T209" s="231" t="str">
        <f>IFERROR(__xludf.DUMMYFUNCTION("""COMPUTED_VALUE"""),"")</f>
        <v/>
      </c>
      <c r="U209" s="232" t="str">
        <f>IFERROR(__xludf.DUMMYFUNCTION("""COMPUTED_VALUE"""),"")</f>
        <v/>
      </c>
      <c r="V209" s="233" t="str">
        <f>IFERROR(__xludf.DUMMYFUNCTION("""COMPUTED_VALUE"""),"")</f>
        <v/>
      </c>
      <c r="W209" s="231" t="str">
        <f>IFERROR(__xludf.DUMMYFUNCTION("""COMPUTED_VALUE"""),"")</f>
        <v/>
      </c>
      <c r="X209" s="232" t="str">
        <f>IFERROR(__xludf.DUMMYFUNCTION("""COMPUTED_VALUE"""),"")</f>
        <v/>
      </c>
      <c r="Y209" s="233" t="str">
        <f>IFERROR(__xludf.DUMMYFUNCTION("""COMPUTED_VALUE"""),"")</f>
        <v/>
      </c>
      <c r="Z209" s="231" t="str">
        <f>IFERROR(__xludf.DUMMYFUNCTION("""COMPUTED_VALUE"""),"")</f>
        <v/>
      </c>
      <c r="AA209" s="232" t="str">
        <f>IFERROR(__xludf.DUMMYFUNCTION("""COMPUTED_VALUE"""),"")</f>
        <v/>
      </c>
      <c r="AB209" s="233" t="str">
        <f>IFERROR(__xludf.DUMMYFUNCTION("""COMPUTED_VALUE"""),"")</f>
        <v/>
      </c>
      <c r="AC209" s="231" t="str">
        <f>IFERROR(__xludf.DUMMYFUNCTION("""COMPUTED_VALUE"""),"")</f>
        <v/>
      </c>
      <c r="AD209" s="232" t="str">
        <f>IFERROR(__xludf.DUMMYFUNCTION("""COMPUTED_VALUE"""),"")</f>
        <v/>
      </c>
      <c r="AE209" s="233" t="str">
        <f>IFERROR(__xludf.DUMMYFUNCTION("""COMPUTED_VALUE"""),"")</f>
        <v/>
      </c>
      <c r="AF209" s="231" t="str">
        <f>IFERROR(__xludf.DUMMYFUNCTION("""COMPUTED_VALUE"""),"")</f>
        <v/>
      </c>
      <c r="AG209" s="232" t="str">
        <f>IFERROR(__xludf.DUMMYFUNCTION("""COMPUTED_VALUE"""),"")</f>
        <v/>
      </c>
      <c r="AH209" s="233" t="str">
        <f>IFERROR(__xludf.DUMMYFUNCTION("""COMPUTED_VALUE"""),"")</f>
        <v/>
      </c>
      <c r="AI209" s="231" t="str">
        <f>IFERROR(__xludf.DUMMYFUNCTION("""COMPUTED_VALUE"""),"")</f>
        <v/>
      </c>
      <c r="AJ209" s="232" t="str">
        <f>IFERROR(__xludf.DUMMYFUNCTION("""COMPUTED_VALUE"""),"")</f>
        <v/>
      </c>
      <c r="AK209" s="233" t="str">
        <f>IFERROR(__xludf.DUMMYFUNCTION("""COMPUTED_VALUE"""),"")</f>
        <v/>
      </c>
      <c r="AL209" s="231" t="str">
        <f>IFERROR(__xludf.DUMMYFUNCTION("""COMPUTED_VALUE"""),"")</f>
        <v/>
      </c>
      <c r="AM209" s="232">
        <f>IFERROR(__xludf.DUMMYFUNCTION("""COMPUTED_VALUE"""),25.7)</f>
        <v>25.7</v>
      </c>
      <c r="AN209" s="233" t="str">
        <f>IFERROR(__xludf.DUMMYFUNCTION("""COMPUTED_VALUE"""),"")</f>
        <v/>
      </c>
      <c r="AO209" s="231" t="str">
        <f>IFERROR(__xludf.DUMMYFUNCTION("""COMPUTED_VALUE"""),"")</f>
        <v/>
      </c>
      <c r="AP209" s="232" t="str">
        <f>IFERROR(__xludf.DUMMYFUNCTION("""COMPUTED_VALUE"""),"")</f>
        <v/>
      </c>
      <c r="AQ209" s="233" t="str">
        <f>IFERROR(__xludf.DUMMYFUNCTION("""COMPUTED_VALUE"""),"")</f>
        <v/>
      </c>
      <c r="AR209" s="231" t="str">
        <f>IFERROR(__xludf.DUMMYFUNCTION("""COMPUTED_VALUE"""),"")</f>
        <v/>
      </c>
      <c r="AS209" s="232" t="str">
        <f>IFERROR(__xludf.DUMMYFUNCTION("""COMPUTED_VALUE"""),"")</f>
        <v/>
      </c>
      <c r="AT209" s="233" t="str">
        <f>IFERROR(__xludf.DUMMYFUNCTION("""COMPUTED_VALUE"""),"")</f>
        <v/>
      </c>
      <c r="AU209" s="231" t="str">
        <f>IFERROR(__xludf.DUMMYFUNCTION("""COMPUTED_VALUE"""),"")</f>
        <v/>
      </c>
      <c r="AV209" s="232" t="str">
        <f>IFERROR(__xludf.DUMMYFUNCTION("""COMPUTED_VALUE"""),"")</f>
        <v/>
      </c>
      <c r="AW209" s="233" t="str">
        <f>IFERROR(__xludf.DUMMYFUNCTION("""COMPUTED_VALUE"""),"")</f>
        <v/>
      </c>
      <c r="AX209" s="231" t="str">
        <f>IFERROR(__xludf.DUMMYFUNCTION("""COMPUTED_VALUE"""),"")</f>
        <v/>
      </c>
      <c r="AY209" s="232">
        <f>IFERROR(__xludf.DUMMYFUNCTION("""COMPUTED_VALUE"""),40.500001)</f>
        <v>40.500001</v>
      </c>
      <c r="AZ209" s="233" t="str">
        <f>IFERROR(__xludf.DUMMYFUNCTION("""COMPUTED_VALUE"""),"")</f>
        <v/>
      </c>
      <c r="BA209" s="231" t="str">
        <f>IFERROR(__xludf.DUMMYFUNCTION("""COMPUTED_VALUE"""),"")</f>
        <v/>
      </c>
      <c r="BB209" s="232" t="str">
        <f>IFERROR(__xludf.DUMMYFUNCTION("""COMPUTED_VALUE"""),"")</f>
        <v/>
      </c>
      <c r="BC209" s="233" t="str">
        <f>IFERROR(__xludf.DUMMYFUNCTION("""COMPUTED_VALUE"""),"")</f>
        <v/>
      </c>
      <c r="BD209" s="231" t="str">
        <f>IFERROR(__xludf.DUMMYFUNCTION("""COMPUTED_VALUE"""),"")</f>
        <v/>
      </c>
      <c r="BE209" s="232" t="str">
        <f>IFERROR(__xludf.DUMMYFUNCTION("""COMPUTED_VALUE"""),"")</f>
        <v/>
      </c>
      <c r="BF209" s="233" t="str">
        <f>IFERROR(__xludf.DUMMYFUNCTION("""COMPUTED_VALUE"""),"")</f>
        <v/>
      </c>
      <c r="BG209" s="231" t="str">
        <f>IFERROR(__xludf.DUMMYFUNCTION("""COMPUTED_VALUE"""),"")</f>
        <v/>
      </c>
      <c r="BH209" s="232" t="str">
        <f>IFERROR(__xludf.DUMMYFUNCTION("""COMPUTED_VALUE"""),"")</f>
        <v/>
      </c>
      <c r="BI209" s="233" t="str">
        <f>IFERROR(__xludf.DUMMYFUNCTION("""COMPUTED_VALUE"""),"")</f>
        <v/>
      </c>
      <c r="BJ209" s="231" t="str">
        <f>IFERROR(__xludf.DUMMYFUNCTION("""COMPUTED_VALUE"""),"")</f>
        <v/>
      </c>
      <c r="BK209" s="232" t="str">
        <f>IFERROR(__xludf.DUMMYFUNCTION("""COMPUTED_VALUE"""),"")</f>
        <v/>
      </c>
      <c r="BL209" s="233" t="str">
        <f>IFERROR(__xludf.DUMMYFUNCTION("""COMPUTED_VALUE"""),"")</f>
        <v/>
      </c>
      <c r="BM209" s="231" t="str">
        <f>IFERROR(__xludf.DUMMYFUNCTION("""COMPUTED_VALUE"""),"")</f>
        <v/>
      </c>
      <c r="BN209" s="232" t="str">
        <f>IFERROR(__xludf.DUMMYFUNCTION("""COMPUTED_VALUE"""),"")</f>
        <v/>
      </c>
      <c r="BO209" s="233" t="str">
        <f>IFERROR(__xludf.DUMMYFUNCTION("""COMPUTED_VALUE"""),"")</f>
        <v/>
      </c>
      <c r="BP209" s="231">
        <f>IFERROR(__xludf.DUMMYFUNCTION("""COMPUTED_VALUE"""),13.9)</f>
        <v>13.9</v>
      </c>
      <c r="BQ209" s="232" t="str">
        <f>IFERROR(__xludf.DUMMYFUNCTION("""COMPUTED_VALUE"""),"")</f>
        <v/>
      </c>
      <c r="BR209" s="233" t="str">
        <f>IFERROR(__xludf.DUMMYFUNCTION("""COMPUTED_VALUE"""),"")</f>
        <v/>
      </c>
      <c r="BS209" s="231">
        <f>IFERROR(__xludf.DUMMYFUNCTION("""COMPUTED_VALUE"""),25.6)</f>
        <v>25.6</v>
      </c>
      <c r="BT209" s="232" t="str">
        <f>IFERROR(__xludf.DUMMYFUNCTION("""COMPUTED_VALUE"""),"")</f>
        <v/>
      </c>
      <c r="BU209" s="233" t="str">
        <f>IFERROR(__xludf.DUMMYFUNCTION("""COMPUTED_VALUE"""),"")</f>
        <v/>
      </c>
      <c r="BV209" s="231" t="str">
        <f>IFERROR(__xludf.DUMMYFUNCTION("""COMPUTED_VALUE"""),"")</f>
        <v/>
      </c>
      <c r="BW209" s="232" t="str">
        <f>IFERROR(__xludf.DUMMYFUNCTION("""COMPUTED_VALUE"""),"")</f>
        <v/>
      </c>
      <c r="BX209" s="233" t="str">
        <f>IFERROR(__xludf.DUMMYFUNCTION("""COMPUTED_VALUE"""),"")</f>
        <v/>
      </c>
      <c r="BY209" s="231" t="str">
        <f>IFERROR(__xludf.DUMMYFUNCTION("""COMPUTED_VALUE"""),"")</f>
        <v/>
      </c>
      <c r="BZ209" s="232" t="str">
        <f>IFERROR(__xludf.DUMMYFUNCTION("""COMPUTED_VALUE"""),"")</f>
        <v/>
      </c>
      <c r="CA209" s="233" t="str">
        <f>IFERROR(__xludf.DUMMYFUNCTION("""COMPUTED_VALUE"""),"")</f>
        <v/>
      </c>
      <c r="CB209" s="231" t="str">
        <f>IFERROR(__xludf.DUMMYFUNCTION("""COMPUTED_VALUE"""),"")</f>
        <v/>
      </c>
      <c r="CC209" s="232" t="str">
        <f>IFERROR(__xludf.DUMMYFUNCTION("""COMPUTED_VALUE"""),"")</f>
        <v/>
      </c>
      <c r="CD209" s="233" t="str">
        <f>IFERROR(__xludf.DUMMYFUNCTION("""COMPUTED_VALUE"""),"")</f>
        <v/>
      </c>
      <c r="CE209" s="234" t="str">
        <f>IFERROR(__xludf.DUMMYFUNCTION("""COMPUTED_VALUE"""),"")</f>
        <v/>
      </c>
      <c r="CF209" s="230" t="str">
        <f>IFERROR(__xludf.DUMMYFUNCTION("""COMPUTED_VALUE"""),"")</f>
        <v/>
      </c>
      <c r="CG209" s="235" t="str">
        <f>IFERROR(__xludf.DUMMYFUNCTION("""COMPUTED_VALUE"""),"")</f>
        <v/>
      </c>
      <c r="CH209" s="234" t="str">
        <f>IFERROR(__xludf.DUMMYFUNCTION("""COMPUTED_VALUE"""),"")</f>
        <v/>
      </c>
      <c r="CI209" s="230" t="str">
        <f>IFERROR(__xludf.DUMMYFUNCTION("""COMPUTED_VALUE"""),"")</f>
        <v/>
      </c>
      <c r="CJ209" s="235" t="str">
        <f>IFERROR(__xludf.DUMMYFUNCTION("""COMPUTED_VALUE"""),"")</f>
        <v/>
      </c>
      <c r="CK209" s="95" t="str">
        <f>IFERROR(__xludf.DUMMYFUNCTION("""COMPUTED_VALUE"""),"")</f>
        <v/>
      </c>
      <c r="CL209" s="96" t="str">
        <f>IFERROR(__xludf.DUMMYFUNCTION("""COMPUTED_VALUE"""),"")</f>
        <v/>
      </c>
      <c r="CM209" s="97" t="str">
        <f>IFERROR(__xludf.DUMMYFUNCTION("""COMPUTED_VALUE"""),"")</f>
        <v/>
      </c>
      <c r="CN209" s="95" t="str">
        <f>IFERROR(__xludf.DUMMYFUNCTION("""COMPUTED_VALUE"""),"")</f>
        <v/>
      </c>
      <c r="CO209" s="96" t="str">
        <f>IFERROR(__xludf.DUMMYFUNCTION("""COMPUTED_VALUE"""),"")</f>
        <v/>
      </c>
      <c r="CP209" s="97" t="str">
        <f>IFERROR(__xludf.DUMMYFUNCTION("""COMPUTED_VALUE"""),"")</f>
        <v/>
      </c>
      <c r="CQ209" s="95" t="str">
        <f>IFERROR(__xludf.DUMMYFUNCTION("""COMPUTED_VALUE"""),"")</f>
        <v/>
      </c>
      <c r="CR209" s="96" t="str">
        <f>IFERROR(__xludf.DUMMYFUNCTION("""COMPUTED_VALUE"""),"")</f>
        <v/>
      </c>
      <c r="CS209" s="97" t="str">
        <f>IFERROR(__xludf.DUMMYFUNCTION("""COMPUTED_VALUE"""),"#REF!")</f>
        <v>#REF!</v>
      </c>
      <c r="CT209" s="95" t="str">
        <f>IFERROR(__xludf.DUMMYFUNCTION("""COMPUTED_VALUE"""),"#REF!")</f>
        <v>#REF!</v>
      </c>
      <c r="CU209" s="96" t="str">
        <f>IFERROR(__xludf.DUMMYFUNCTION("""COMPUTED_VALUE"""),"#REF!")</f>
        <v>#REF!</v>
      </c>
      <c r="CV209" s="97" t="str">
        <f>IFERROR(__xludf.DUMMYFUNCTION("""COMPUTED_VALUE"""),"#REF!")</f>
        <v>#REF!</v>
      </c>
      <c r="CW209" s="95" t="str">
        <f>IFERROR(__xludf.DUMMYFUNCTION("""COMPUTED_VALUE"""),"#REF!")</f>
        <v>#REF!</v>
      </c>
      <c r="CX209" s="96" t="str">
        <f>IFERROR(__xludf.DUMMYFUNCTION("""COMPUTED_VALUE"""),"#REF!")</f>
        <v>#REF!</v>
      </c>
      <c r="CY209" s="97" t="str">
        <f>IFERROR(__xludf.DUMMYFUNCTION("""COMPUTED_VALUE"""),"#REF!")</f>
        <v>#REF!</v>
      </c>
      <c r="CZ209" s="95" t="str">
        <f>IFERROR(__xludf.DUMMYFUNCTION("""COMPUTED_VALUE"""),"#REF!")</f>
        <v>#REF!</v>
      </c>
      <c r="DA209" s="96" t="str">
        <f>IFERROR(__xludf.DUMMYFUNCTION("""COMPUTED_VALUE"""),"#REF!")</f>
        <v>#REF!</v>
      </c>
      <c r="DB209" s="97" t="str">
        <f>IFERROR(__xludf.DUMMYFUNCTION("""COMPUTED_VALUE"""),"#REF!")</f>
        <v>#REF!</v>
      </c>
      <c r="DC209" s="95" t="str">
        <f>IFERROR(__xludf.DUMMYFUNCTION("""COMPUTED_VALUE"""),"#REF!")</f>
        <v>#REF!</v>
      </c>
      <c r="DD209" s="96" t="str">
        <f>IFERROR(__xludf.DUMMYFUNCTION("""COMPUTED_VALUE"""),"#REF!")</f>
        <v>#REF!</v>
      </c>
      <c r="DE209" s="97" t="str">
        <f>IFERROR(__xludf.DUMMYFUNCTION("""COMPUTED_VALUE"""),"#REF!")</f>
        <v>#REF!</v>
      </c>
      <c r="DF209" s="95" t="str">
        <f>IFERROR(__xludf.DUMMYFUNCTION("""COMPUTED_VALUE"""),"#REF!")</f>
        <v>#REF!</v>
      </c>
      <c r="DG209" s="96" t="str">
        <f>IFERROR(__xludf.DUMMYFUNCTION("""COMPUTED_VALUE"""),"#REF!")</f>
        <v>#REF!</v>
      </c>
      <c r="DH209" s="97" t="str">
        <f>IFERROR(__xludf.DUMMYFUNCTION("""COMPUTED_VALUE"""),"#REF!")</f>
        <v>#REF!</v>
      </c>
      <c r="DI209" s="95" t="str">
        <f>IFERROR(__xludf.DUMMYFUNCTION("""COMPUTED_VALUE"""),"#REF!")</f>
        <v>#REF!</v>
      </c>
      <c r="DJ209" s="96" t="str">
        <f>IFERROR(__xludf.DUMMYFUNCTION("""COMPUTED_VALUE"""),"#REF!")</f>
        <v>#REF!</v>
      </c>
      <c r="DK209" s="97" t="str">
        <f>IFERROR(__xludf.DUMMYFUNCTION("""COMPUTED_VALUE"""),"#REF!")</f>
        <v>#REF!</v>
      </c>
      <c r="DL209" s="95" t="str">
        <f>IFERROR(__xludf.DUMMYFUNCTION("""COMPUTED_VALUE"""),"#REF!")</f>
        <v>#REF!</v>
      </c>
      <c r="DM209" s="96" t="str">
        <f>IFERROR(__xludf.DUMMYFUNCTION("""COMPUTED_VALUE"""),"#REF!")</f>
        <v>#REF!</v>
      </c>
      <c r="DN209" s="97" t="str">
        <f>IFERROR(__xludf.DUMMYFUNCTION("""COMPUTED_VALUE"""),"#REF!")</f>
        <v>#REF!</v>
      </c>
      <c r="DO209" s="95" t="str">
        <f>IFERROR(__xludf.DUMMYFUNCTION("""COMPUTED_VALUE"""),"#REF!")</f>
        <v>#REF!</v>
      </c>
      <c r="DP209" s="96" t="str">
        <f>IFERROR(__xludf.DUMMYFUNCTION("""COMPUTED_VALUE"""),"#REF!")</f>
        <v>#REF!</v>
      </c>
      <c r="DQ209" s="97"/>
      <c r="DR209" s="95"/>
    </row>
    <row r="210">
      <c r="B210" s="237" t="str">
        <f>IFERROR(__xludf.DUMMYFUNCTION("""COMPUTED_VALUE"""),"SIN3")</f>
        <v>SIN3</v>
      </c>
      <c r="C210" s="238">
        <f>IFERROR(__xludf.DUMMYFUNCTION("""COMPUTED_VALUE"""),207.0)</f>
        <v>207</v>
      </c>
      <c r="D210" s="88" t="str">
        <f>IFERROR(__xludf.DUMMYFUNCTION("""COMPUTED_VALUE"""),"Icy Cave")</f>
        <v>Icy Cave</v>
      </c>
      <c r="E210" s="82" t="str">
        <f>IFERROR(__xludf.DUMMYFUNCTION("""COMPUTED_VALUE"""),"氷冷窟")</f>
        <v>氷冷窟</v>
      </c>
      <c r="F210" s="102">
        <f>IFERROR(__xludf.DUMMYFUNCTION("""COMPUTED_VALUE"""),20.0)</f>
        <v>20</v>
      </c>
      <c r="G210" s="82">
        <f>IFERROR(__xludf.DUMMYFUNCTION("""COMPUTED_VALUE"""),1872.0)</f>
        <v>1872</v>
      </c>
      <c r="H210" s="231" t="str">
        <f>IFERROR(__xludf.DUMMYFUNCTION("""COMPUTED_VALUE"""),"")</f>
        <v/>
      </c>
      <c r="I210" s="232" t="str">
        <f>IFERROR(__xludf.DUMMYFUNCTION("""COMPUTED_VALUE"""),"")</f>
        <v/>
      </c>
      <c r="J210" s="233" t="str">
        <f>IFERROR(__xludf.DUMMYFUNCTION("""COMPUTED_VALUE"""),"")</f>
        <v/>
      </c>
      <c r="K210" s="231" t="str">
        <f>IFERROR(__xludf.DUMMYFUNCTION("""COMPUTED_VALUE"""),"")</f>
        <v/>
      </c>
      <c r="L210" s="232" t="str">
        <f>IFERROR(__xludf.DUMMYFUNCTION("""COMPUTED_VALUE"""),"")</f>
        <v/>
      </c>
      <c r="M210" s="233" t="str">
        <f>IFERROR(__xludf.DUMMYFUNCTION("""COMPUTED_VALUE"""),"")</f>
        <v/>
      </c>
      <c r="N210" s="231" t="str">
        <f>IFERROR(__xludf.DUMMYFUNCTION("""COMPUTED_VALUE"""),"")</f>
        <v/>
      </c>
      <c r="O210" s="232" t="str">
        <f>IFERROR(__xludf.DUMMYFUNCTION("""COMPUTED_VALUE"""),"")</f>
        <v/>
      </c>
      <c r="P210" s="233" t="str">
        <f>IFERROR(__xludf.DUMMYFUNCTION("""COMPUTED_VALUE"""),"")</f>
        <v/>
      </c>
      <c r="Q210" s="231" t="str">
        <f>IFERROR(__xludf.DUMMYFUNCTION("""COMPUTED_VALUE"""),"")</f>
        <v/>
      </c>
      <c r="R210" s="232" t="str">
        <f>IFERROR(__xludf.DUMMYFUNCTION("""COMPUTED_VALUE"""),"")</f>
        <v/>
      </c>
      <c r="S210" s="233">
        <f>IFERROR(__xludf.DUMMYFUNCTION("""COMPUTED_VALUE"""),10.1)</f>
        <v>10.1</v>
      </c>
      <c r="T210" s="231" t="str">
        <f>IFERROR(__xludf.DUMMYFUNCTION("""COMPUTED_VALUE"""),"")</f>
        <v/>
      </c>
      <c r="U210" s="232" t="str">
        <f>IFERROR(__xludf.DUMMYFUNCTION("""COMPUTED_VALUE"""),"")</f>
        <v/>
      </c>
      <c r="V210" s="233" t="str">
        <f>IFERROR(__xludf.DUMMYFUNCTION("""COMPUTED_VALUE"""),"")</f>
        <v/>
      </c>
      <c r="W210" s="231" t="str">
        <f>IFERROR(__xludf.DUMMYFUNCTION("""COMPUTED_VALUE"""),"")</f>
        <v/>
      </c>
      <c r="X210" s="232" t="str">
        <f>IFERROR(__xludf.DUMMYFUNCTION("""COMPUTED_VALUE"""),"")</f>
        <v/>
      </c>
      <c r="Y210" s="233" t="str">
        <f>IFERROR(__xludf.DUMMYFUNCTION("""COMPUTED_VALUE"""),"")</f>
        <v/>
      </c>
      <c r="Z210" s="231">
        <f>IFERROR(__xludf.DUMMYFUNCTION("""COMPUTED_VALUE"""),33.0)</f>
        <v>33</v>
      </c>
      <c r="AA210" s="232" t="str">
        <f>IFERROR(__xludf.DUMMYFUNCTION("""COMPUTED_VALUE"""),"")</f>
        <v/>
      </c>
      <c r="AB210" s="233" t="str">
        <f>IFERROR(__xludf.DUMMYFUNCTION("""COMPUTED_VALUE"""),"")</f>
        <v/>
      </c>
      <c r="AC210" s="231" t="str">
        <f>IFERROR(__xludf.DUMMYFUNCTION("""COMPUTED_VALUE"""),"")</f>
        <v/>
      </c>
      <c r="AD210" s="232" t="str">
        <f>IFERROR(__xludf.DUMMYFUNCTION("""COMPUTED_VALUE"""),"")</f>
        <v/>
      </c>
      <c r="AE210" s="233" t="str">
        <f>IFERROR(__xludf.DUMMYFUNCTION("""COMPUTED_VALUE"""),"")</f>
        <v/>
      </c>
      <c r="AF210" s="231" t="str">
        <f>IFERROR(__xludf.DUMMYFUNCTION("""COMPUTED_VALUE"""),"")</f>
        <v/>
      </c>
      <c r="AG210" s="232" t="str">
        <f>IFERROR(__xludf.DUMMYFUNCTION("""COMPUTED_VALUE"""),"")</f>
        <v/>
      </c>
      <c r="AH210" s="233" t="str">
        <f>IFERROR(__xludf.DUMMYFUNCTION("""COMPUTED_VALUE"""),"")</f>
        <v/>
      </c>
      <c r="AI210" s="231" t="str">
        <f>IFERROR(__xludf.DUMMYFUNCTION("""COMPUTED_VALUE"""),"")</f>
        <v/>
      </c>
      <c r="AJ210" s="232" t="str">
        <f>IFERROR(__xludf.DUMMYFUNCTION("""COMPUTED_VALUE"""),"")</f>
        <v/>
      </c>
      <c r="AK210" s="233" t="str">
        <f>IFERROR(__xludf.DUMMYFUNCTION("""COMPUTED_VALUE"""),"")</f>
        <v/>
      </c>
      <c r="AL210" s="231" t="str">
        <f>IFERROR(__xludf.DUMMYFUNCTION("""COMPUTED_VALUE"""),"")</f>
        <v/>
      </c>
      <c r="AM210" s="232" t="str">
        <f>IFERROR(__xludf.DUMMYFUNCTION("""COMPUTED_VALUE"""),"")</f>
        <v/>
      </c>
      <c r="AN210" s="233" t="str">
        <f>IFERROR(__xludf.DUMMYFUNCTION("""COMPUTED_VALUE"""),"")</f>
        <v/>
      </c>
      <c r="AO210" s="231" t="str">
        <f>IFERROR(__xludf.DUMMYFUNCTION("""COMPUTED_VALUE"""),"")</f>
        <v/>
      </c>
      <c r="AP210" s="232" t="str">
        <f>IFERROR(__xludf.DUMMYFUNCTION("""COMPUTED_VALUE"""),"")</f>
        <v/>
      </c>
      <c r="AQ210" s="233" t="str">
        <f>IFERROR(__xludf.DUMMYFUNCTION("""COMPUTED_VALUE"""),"")</f>
        <v/>
      </c>
      <c r="AR210" s="231" t="str">
        <f>IFERROR(__xludf.DUMMYFUNCTION("""COMPUTED_VALUE"""),"")</f>
        <v/>
      </c>
      <c r="AS210" s="232" t="str">
        <f>IFERROR(__xludf.DUMMYFUNCTION("""COMPUTED_VALUE"""),"")</f>
        <v/>
      </c>
      <c r="AT210" s="233" t="str">
        <f>IFERROR(__xludf.DUMMYFUNCTION("""COMPUTED_VALUE"""),"")</f>
        <v/>
      </c>
      <c r="AU210" s="231" t="str">
        <f>IFERROR(__xludf.DUMMYFUNCTION("""COMPUTED_VALUE"""),"")</f>
        <v/>
      </c>
      <c r="AV210" s="232" t="str">
        <f>IFERROR(__xludf.DUMMYFUNCTION("""COMPUTED_VALUE"""),"")</f>
        <v/>
      </c>
      <c r="AW210" s="233" t="str">
        <f>IFERROR(__xludf.DUMMYFUNCTION("""COMPUTED_VALUE"""),"")</f>
        <v/>
      </c>
      <c r="AX210" s="231" t="str">
        <f>IFERROR(__xludf.DUMMYFUNCTION("""COMPUTED_VALUE"""),"")</f>
        <v/>
      </c>
      <c r="AY210" s="232" t="str">
        <f>IFERROR(__xludf.DUMMYFUNCTION("""COMPUTED_VALUE"""),"")</f>
        <v/>
      </c>
      <c r="AZ210" s="233" t="str">
        <f>IFERROR(__xludf.DUMMYFUNCTION("""COMPUTED_VALUE"""),"")</f>
        <v/>
      </c>
      <c r="BA210" s="231" t="str">
        <f>IFERROR(__xludf.DUMMYFUNCTION("""COMPUTED_VALUE"""),"")</f>
        <v/>
      </c>
      <c r="BB210" s="232" t="str">
        <f>IFERROR(__xludf.DUMMYFUNCTION("""COMPUTED_VALUE"""),"")</f>
        <v/>
      </c>
      <c r="BC210" s="233" t="str">
        <f>IFERROR(__xludf.DUMMYFUNCTION("""COMPUTED_VALUE"""),"")</f>
        <v/>
      </c>
      <c r="BD210" s="231" t="str">
        <f>IFERROR(__xludf.DUMMYFUNCTION("""COMPUTED_VALUE"""),"")</f>
        <v/>
      </c>
      <c r="BE210" s="232" t="str">
        <f>IFERROR(__xludf.DUMMYFUNCTION("""COMPUTED_VALUE"""),"")</f>
        <v/>
      </c>
      <c r="BF210" s="233" t="str">
        <f>IFERROR(__xludf.DUMMYFUNCTION("""COMPUTED_VALUE"""),"")</f>
        <v/>
      </c>
      <c r="BG210" s="231" t="str">
        <f>IFERROR(__xludf.DUMMYFUNCTION("""COMPUTED_VALUE"""),"")</f>
        <v/>
      </c>
      <c r="BH210" s="232">
        <f>IFERROR(__xludf.DUMMYFUNCTION("""COMPUTED_VALUE"""),3.6)</f>
        <v>3.6</v>
      </c>
      <c r="BI210" s="233" t="str">
        <f>IFERROR(__xludf.DUMMYFUNCTION("""COMPUTED_VALUE"""),"")</f>
        <v/>
      </c>
      <c r="BJ210" s="231" t="str">
        <f>IFERROR(__xludf.DUMMYFUNCTION("""COMPUTED_VALUE"""),"")</f>
        <v/>
      </c>
      <c r="BK210" s="232" t="str">
        <f>IFERROR(__xludf.DUMMYFUNCTION("""COMPUTED_VALUE"""),"")</f>
        <v/>
      </c>
      <c r="BL210" s="233" t="str">
        <f>IFERROR(__xludf.DUMMYFUNCTION("""COMPUTED_VALUE"""),"")</f>
        <v/>
      </c>
      <c r="BM210" s="231" t="str">
        <f>IFERROR(__xludf.DUMMYFUNCTION("""COMPUTED_VALUE"""),"")</f>
        <v/>
      </c>
      <c r="BN210" s="232" t="str">
        <f>IFERROR(__xludf.DUMMYFUNCTION("""COMPUTED_VALUE"""),"")</f>
        <v/>
      </c>
      <c r="BO210" s="233" t="str">
        <f>IFERROR(__xludf.DUMMYFUNCTION("""COMPUTED_VALUE"""),"")</f>
        <v/>
      </c>
      <c r="BP210" s="231" t="str">
        <f>IFERROR(__xludf.DUMMYFUNCTION("""COMPUTED_VALUE"""),"")</f>
        <v/>
      </c>
      <c r="BQ210" s="232" t="str">
        <f>IFERROR(__xludf.DUMMYFUNCTION("""COMPUTED_VALUE"""),"")</f>
        <v/>
      </c>
      <c r="BR210" s="233" t="str">
        <f>IFERROR(__xludf.DUMMYFUNCTION("""COMPUTED_VALUE"""),"")</f>
        <v/>
      </c>
      <c r="BS210" s="231" t="str">
        <f>IFERROR(__xludf.DUMMYFUNCTION("""COMPUTED_VALUE"""),"")</f>
        <v/>
      </c>
      <c r="BT210" s="232" t="str">
        <f>IFERROR(__xludf.DUMMYFUNCTION("""COMPUTED_VALUE"""),"")</f>
        <v/>
      </c>
      <c r="BU210" s="233" t="str">
        <f>IFERROR(__xludf.DUMMYFUNCTION("""COMPUTED_VALUE"""),"")</f>
        <v/>
      </c>
      <c r="BV210" s="231">
        <f>IFERROR(__xludf.DUMMYFUNCTION("""COMPUTED_VALUE"""),37.2)</f>
        <v>37.2</v>
      </c>
      <c r="BW210" s="232" t="str">
        <f>IFERROR(__xludf.DUMMYFUNCTION("""COMPUTED_VALUE"""),"")</f>
        <v/>
      </c>
      <c r="BX210" s="233" t="str">
        <f>IFERROR(__xludf.DUMMYFUNCTION("""COMPUTED_VALUE"""),"")</f>
        <v/>
      </c>
      <c r="BY210" s="231" t="str">
        <f>IFERROR(__xludf.DUMMYFUNCTION("""COMPUTED_VALUE"""),"")</f>
        <v/>
      </c>
      <c r="BZ210" s="232" t="str">
        <f>IFERROR(__xludf.DUMMYFUNCTION("""COMPUTED_VALUE"""),"")</f>
        <v/>
      </c>
      <c r="CA210" s="233" t="str">
        <f>IFERROR(__xludf.DUMMYFUNCTION("""COMPUTED_VALUE"""),"")</f>
        <v/>
      </c>
      <c r="CB210" s="231" t="str">
        <f>IFERROR(__xludf.DUMMYFUNCTION("""COMPUTED_VALUE"""),"")</f>
        <v/>
      </c>
      <c r="CC210" s="232" t="str">
        <f>IFERROR(__xludf.DUMMYFUNCTION("""COMPUTED_VALUE"""),"")</f>
        <v/>
      </c>
      <c r="CD210" s="233" t="str">
        <f>IFERROR(__xludf.DUMMYFUNCTION("""COMPUTED_VALUE"""),"")</f>
        <v/>
      </c>
      <c r="CE210" s="234" t="str">
        <f>IFERROR(__xludf.DUMMYFUNCTION("""COMPUTED_VALUE"""),"")</f>
        <v/>
      </c>
      <c r="CF210" s="230" t="str">
        <f>IFERROR(__xludf.DUMMYFUNCTION("""COMPUTED_VALUE"""),"")</f>
        <v/>
      </c>
      <c r="CG210" s="235" t="str">
        <f>IFERROR(__xludf.DUMMYFUNCTION("""COMPUTED_VALUE"""),"")</f>
        <v/>
      </c>
      <c r="CH210" s="234" t="str">
        <f>IFERROR(__xludf.DUMMYFUNCTION("""COMPUTED_VALUE"""),"")</f>
        <v/>
      </c>
      <c r="CI210" s="230" t="str">
        <f>IFERROR(__xludf.DUMMYFUNCTION("""COMPUTED_VALUE"""),"")</f>
        <v/>
      </c>
      <c r="CJ210" s="235" t="str">
        <f>IFERROR(__xludf.DUMMYFUNCTION("""COMPUTED_VALUE"""),"")</f>
        <v/>
      </c>
      <c r="CK210" s="95" t="str">
        <f>IFERROR(__xludf.DUMMYFUNCTION("""COMPUTED_VALUE"""),"")</f>
        <v/>
      </c>
      <c r="CL210" s="96" t="str">
        <f>IFERROR(__xludf.DUMMYFUNCTION("""COMPUTED_VALUE"""),"")</f>
        <v/>
      </c>
      <c r="CM210" s="97" t="str">
        <f>IFERROR(__xludf.DUMMYFUNCTION("""COMPUTED_VALUE"""),"")</f>
        <v/>
      </c>
      <c r="CN210" s="95" t="str">
        <f>IFERROR(__xludf.DUMMYFUNCTION("""COMPUTED_VALUE"""),"")</f>
        <v/>
      </c>
      <c r="CO210" s="96" t="str">
        <f>IFERROR(__xludf.DUMMYFUNCTION("""COMPUTED_VALUE"""),"")</f>
        <v/>
      </c>
      <c r="CP210" s="97" t="str">
        <f>IFERROR(__xludf.DUMMYFUNCTION("""COMPUTED_VALUE"""),"")</f>
        <v/>
      </c>
      <c r="CQ210" s="95">
        <f>IFERROR(__xludf.DUMMYFUNCTION("""COMPUTED_VALUE"""),6.2)</f>
        <v>6.2</v>
      </c>
      <c r="CR210" s="96" t="str">
        <f>IFERROR(__xludf.DUMMYFUNCTION("""COMPUTED_VALUE"""),"")</f>
        <v/>
      </c>
      <c r="CS210" s="97" t="str">
        <f>IFERROR(__xludf.DUMMYFUNCTION("""COMPUTED_VALUE"""),"#REF!")</f>
        <v>#REF!</v>
      </c>
      <c r="CT210" s="95" t="str">
        <f>IFERROR(__xludf.DUMMYFUNCTION("""COMPUTED_VALUE"""),"#REF!")</f>
        <v>#REF!</v>
      </c>
      <c r="CU210" s="96" t="str">
        <f>IFERROR(__xludf.DUMMYFUNCTION("""COMPUTED_VALUE"""),"#REF!")</f>
        <v>#REF!</v>
      </c>
      <c r="CV210" s="97" t="str">
        <f>IFERROR(__xludf.DUMMYFUNCTION("""COMPUTED_VALUE"""),"#REF!")</f>
        <v>#REF!</v>
      </c>
      <c r="CW210" s="95" t="str">
        <f>IFERROR(__xludf.DUMMYFUNCTION("""COMPUTED_VALUE"""),"#REF!")</f>
        <v>#REF!</v>
      </c>
      <c r="CX210" s="96" t="str">
        <f>IFERROR(__xludf.DUMMYFUNCTION("""COMPUTED_VALUE"""),"#REF!")</f>
        <v>#REF!</v>
      </c>
      <c r="CY210" s="97" t="str">
        <f>IFERROR(__xludf.DUMMYFUNCTION("""COMPUTED_VALUE"""),"#REF!")</f>
        <v>#REF!</v>
      </c>
      <c r="CZ210" s="95" t="str">
        <f>IFERROR(__xludf.DUMMYFUNCTION("""COMPUTED_VALUE"""),"#REF!")</f>
        <v>#REF!</v>
      </c>
      <c r="DA210" s="96" t="str">
        <f>IFERROR(__xludf.DUMMYFUNCTION("""COMPUTED_VALUE"""),"#REF!")</f>
        <v>#REF!</v>
      </c>
      <c r="DB210" s="97" t="str">
        <f>IFERROR(__xludf.DUMMYFUNCTION("""COMPUTED_VALUE"""),"#REF!")</f>
        <v>#REF!</v>
      </c>
      <c r="DC210" s="95" t="str">
        <f>IFERROR(__xludf.DUMMYFUNCTION("""COMPUTED_VALUE"""),"#REF!")</f>
        <v>#REF!</v>
      </c>
      <c r="DD210" s="96" t="str">
        <f>IFERROR(__xludf.DUMMYFUNCTION("""COMPUTED_VALUE"""),"#REF!")</f>
        <v>#REF!</v>
      </c>
      <c r="DE210" s="97" t="str">
        <f>IFERROR(__xludf.DUMMYFUNCTION("""COMPUTED_VALUE"""),"#REF!")</f>
        <v>#REF!</v>
      </c>
      <c r="DF210" s="95" t="str">
        <f>IFERROR(__xludf.DUMMYFUNCTION("""COMPUTED_VALUE"""),"#REF!")</f>
        <v>#REF!</v>
      </c>
      <c r="DG210" s="96" t="str">
        <f>IFERROR(__xludf.DUMMYFUNCTION("""COMPUTED_VALUE"""),"#REF!")</f>
        <v>#REF!</v>
      </c>
      <c r="DH210" s="97" t="str">
        <f>IFERROR(__xludf.DUMMYFUNCTION("""COMPUTED_VALUE"""),"#REF!")</f>
        <v>#REF!</v>
      </c>
      <c r="DI210" s="95" t="str">
        <f>IFERROR(__xludf.DUMMYFUNCTION("""COMPUTED_VALUE"""),"#REF!")</f>
        <v>#REF!</v>
      </c>
      <c r="DJ210" s="96" t="str">
        <f>IFERROR(__xludf.DUMMYFUNCTION("""COMPUTED_VALUE"""),"#REF!")</f>
        <v>#REF!</v>
      </c>
      <c r="DK210" s="97" t="str">
        <f>IFERROR(__xludf.DUMMYFUNCTION("""COMPUTED_VALUE"""),"#REF!")</f>
        <v>#REF!</v>
      </c>
      <c r="DL210" s="95" t="str">
        <f>IFERROR(__xludf.DUMMYFUNCTION("""COMPUTED_VALUE"""),"#REF!")</f>
        <v>#REF!</v>
      </c>
      <c r="DM210" s="96" t="str">
        <f>IFERROR(__xludf.DUMMYFUNCTION("""COMPUTED_VALUE"""),"#REF!")</f>
        <v>#REF!</v>
      </c>
      <c r="DN210" s="97" t="str">
        <f>IFERROR(__xludf.DUMMYFUNCTION("""COMPUTED_VALUE"""),"#REF!")</f>
        <v>#REF!</v>
      </c>
      <c r="DO210" s="95" t="str">
        <f>IFERROR(__xludf.DUMMYFUNCTION("""COMPUTED_VALUE"""),"#REF!")</f>
        <v>#REF!</v>
      </c>
      <c r="DP210" s="96" t="str">
        <f>IFERROR(__xludf.DUMMYFUNCTION("""COMPUTED_VALUE"""),"#REF!")</f>
        <v>#REF!</v>
      </c>
      <c r="DQ210" s="97"/>
      <c r="DR210" s="95"/>
    </row>
    <row r="211">
      <c r="B211" s="237" t="str">
        <f>IFERROR(__xludf.DUMMYFUNCTION("""COMPUTED_VALUE"""),"SIN4")</f>
        <v>SIN4</v>
      </c>
      <c r="C211" s="238">
        <f>IFERROR(__xludf.DUMMYFUNCTION("""COMPUTED_VALUE"""),208.0)</f>
        <v>208</v>
      </c>
      <c r="D211" s="88" t="str">
        <f>IFERROR(__xludf.DUMMYFUNCTION("""COMPUTED_VALUE"""),"Akuta's Camp")</f>
        <v>Akuta's Camp</v>
      </c>
      <c r="E211" s="82" t="str">
        <f>IFERROR(__xludf.DUMMYFUNCTION("""COMPUTED_VALUE"""),"芥の陣幕")</f>
        <v>芥の陣幕</v>
      </c>
      <c r="F211" s="102">
        <f>IFERROR(__xludf.DUMMYFUNCTION("""COMPUTED_VALUE"""),21.0)</f>
        <v>21</v>
      </c>
      <c r="G211" s="82">
        <f>IFERROR(__xludf.DUMMYFUNCTION("""COMPUTED_VALUE"""),2492.0)</f>
        <v>2492</v>
      </c>
      <c r="H211" s="231" t="str">
        <f>IFERROR(__xludf.DUMMYFUNCTION("""COMPUTED_VALUE"""),"")</f>
        <v/>
      </c>
      <c r="I211" s="232" t="str">
        <f>IFERROR(__xludf.DUMMYFUNCTION("""COMPUTED_VALUE"""),"")</f>
        <v/>
      </c>
      <c r="J211" s="233" t="str">
        <f>IFERROR(__xludf.DUMMYFUNCTION("""COMPUTED_VALUE"""),"")</f>
        <v/>
      </c>
      <c r="K211" s="231" t="str">
        <f>IFERROR(__xludf.DUMMYFUNCTION("""COMPUTED_VALUE"""),"")</f>
        <v/>
      </c>
      <c r="L211" s="232" t="str">
        <f>IFERROR(__xludf.DUMMYFUNCTION("""COMPUTED_VALUE"""),"")</f>
        <v/>
      </c>
      <c r="M211" s="233" t="str">
        <f>IFERROR(__xludf.DUMMYFUNCTION("""COMPUTED_VALUE"""),"")</f>
        <v/>
      </c>
      <c r="N211" s="231" t="str">
        <f>IFERROR(__xludf.DUMMYFUNCTION("""COMPUTED_VALUE"""),"")</f>
        <v/>
      </c>
      <c r="O211" s="232" t="str">
        <f>IFERROR(__xludf.DUMMYFUNCTION("""COMPUTED_VALUE"""),"")</f>
        <v/>
      </c>
      <c r="P211" s="233" t="str">
        <f>IFERROR(__xludf.DUMMYFUNCTION("""COMPUTED_VALUE"""),"")</f>
        <v/>
      </c>
      <c r="Q211" s="231" t="str">
        <f>IFERROR(__xludf.DUMMYFUNCTION("""COMPUTED_VALUE"""),"")</f>
        <v/>
      </c>
      <c r="R211" s="232" t="str">
        <f>IFERROR(__xludf.DUMMYFUNCTION("""COMPUTED_VALUE"""),"")</f>
        <v/>
      </c>
      <c r="S211" s="233" t="str">
        <f>IFERROR(__xludf.DUMMYFUNCTION("""COMPUTED_VALUE"""),"")</f>
        <v/>
      </c>
      <c r="T211" s="231" t="str">
        <f>IFERROR(__xludf.DUMMYFUNCTION("""COMPUTED_VALUE"""),"")</f>
        <v/>
      </c>
      <c r="U211" s="232" t="str">
        <f>IFERROR(__xludf.DUMMYFUNCTION("""COMPUTED_VALUE"""),"")</f>
        <v/>
      </c>
      <c r="V211" s="233" t="str">
        <f>IFERROR(__xludf.DUMMYFUNCTION("""COMPUTED_VALUE"""),"")</f>
        <v/>
      </c>
      <c r="W211" s="231" t="str">
        <f>IFERROR(__xludf.DUMMYFUNCTION("""COMPUTED_VALUE"""),"")</f>
        <v/>
      </c>
      <c r="X211" s="232" t="str">
        <f>IFERROR(__xludf.DUMMYFUNCTION("""COMPUTED_VALUE"""),"")</f>
        <v/>
      </c>
      <c r="Y211" s="233" t="str">
        <f>IFERROR(__xludf.DUMMYFUNCTION("""COMPUTED_VALUE"""),"")</f>
        <v/>
      </c>
      <c r="Z211" s="231" t="str">
        <f>IFERROR(__xludf.DUMMYFUNCTION("""COMPUTED_VALUE"""),"")</f>
        <v/>
      </c>
      <c r="AA211" s="232" t="str">
        <f>IFERROR(__xludf.DUMMYFUNCTION("""COMPUTED_VALUE"""),"")</f>
        <v/>
      </c>
      <c r="AB211" s="233" t="str">
        <f>IFERROR(__xludf.DUMMYFUNCTION("""COMPUTED_VALUE"""),"")</f>
        <v/>
      </c>
      <c r="AC211" s="231" t="str">
        <f>IFERROR(__xludf.DUMMYFUNCTION("""COMPUTED_VALUE"""),"")</f>
        <v/>
      </c>
      <c r="AD211" s="232" t="str">
        <f>IFERROR(__xludf.DUMMYFUNCTION("""COMPUTED_VALUE"""),"")</f>
        <v/>
      </c>
      <c r="AE211" s="233">
        <f>IFERROR(__xludf.DUMMYFUNCTION("""COMPUTED_VALUE"""),20.5)</f>
        <v>20.5</v>
      </c>
      <c r="AF211" s="231" t="str">
        <f>IFERROR(__xludf.DUMMYFUNCTION("""COMPUTED_VALUE"""),"")</f>
        <v/>
      </c>
      <c r="AG211" s="232" t="str">
        <f>IFERROR(__xludf.DUMMYFUNCTION("""COMPUTED_VALUE"""),"")</f>
        <v/>
      </c>
      <c r="AH211" s="233" t="str">
        <f>IFERROR(__xludf.DUMMYFUNCTION("""COMPUTED_VALUE"""),"")</f>
        <v/>
      </c>
      <c r="AI211" s="231" t="str">
        <f>IFERROR(__xludf.DUMMYFUNCTION("""COMPUTED_VALUE"""),"")</f>
        <v/>
      </c>
      <c r="AJ211" s="232" t="str">
        <f>IFERROR(__xludf.DUMMYFUNCTION("""COMPUTED_VALUE"""),"")</f>
        <v/>
      </c>
      <c r="AK211" s="233" t="str">
        <f>IFERROR(__xludf.DUMMYFUNCTION("""COMPUTED_VALUE"""),"")</f>
        <v/>
      </c>
      <c r="AL211" s="231" t="str">
        <f>IFERROR(__xludf.DUMMYFUNCTION("""COMPUTED_VALUE"""),"")</f>
        <v/>
      </c>
      <c r="AM211" s="232">
        <f>IFERROR(__xludf.DUMMYFUNCTION("""COMPUTED_VALUE"""),18.7)</f>
        <v>18.7</v>
      </c>
      <c r="AN211" s="233" t="str">
        <f>IFERROR(__xludf.DUMMYFUNCTION("""COMPUTED_VALUE"""),"")</f>
        <v/>
      </c>
      <c r="AO211" s="231" t="str">
        <f>IFERROR(__xludf.DUMMYFUNCTION("""COMPUTED_VALUE"""),"")</f>
        <v/>
      </c>
      <c r="AP211" s="232" t="str">
        <f>IFERROR(__xludf.DUMMYFUNCTION("""COMPUTED_VALUE"""),"")</f>
        <v/>
      </c>
      <c r="AQ211" s="233" t="str">
        <f>IFERROR(__xludf.DUMMYFUNCTION("""COMPUTED_VALUE"""),"")</f>
        <v/>
      </c>
      <c r="AR211" s="231" t="str">
        <f>IFERROR(__xludf.DUMMYFUNCTION("""COMPUTED_VALUE"""),"")</f>
        <v/>
      </c>
      <c r="AS211" s="232" t="str">
        <f>IFERROR(__xludf.DUMMYFUNCTION("""COMPUTED_VALUE"""),"")</f>
        <v/>
      </c>
      <c r="AT211" s="233" t="str">
        <f>IFERROR(__xludf.DUMMYFUNCTION("""COMPUTED_VALUE"""),"")</f>
        <v/>
      </c>
      <c r="AU211" s="231" t="str">
        <f>IFERROR(__xludf.DUMMYFUNCTION("""COMPUTED_VALUE"""),"")</f>
        <v/>
      </c>
      <c r="AV211" s="232" t="str">
        <f>IFERROR(__xludf.DUMMYFUNCTION("""COMPUTED_VALUE"""),"")</f>
        <v/>
      </c>
      <c r="AW211" s="233">
        <f>IFERROR(__xludf.DUMMYFUNCTION("""COMPUTED_VALUE"""),29.4)</f>
        <v>29.4</v>
      </c>
      <c r="AX211" s="231" t="str">
        <f>IFERROR(__xludf.DUMMYFUNCTION("""COMPUTED_VALUE"""),"")</f>
        <v/>
      </c>
      <c r="AY211" s="232" t="str">
        <f>IFERROR(__xludf.DUMMYFUNCTION("""COMPUTED_VALUE"""),"")</f>
        <v/>
      </c>
      <c r="AZ211" s="233" t="str">
        <f>IFERROR(__xludf.DUMMYFUNCTION("""COMPUTED_VALUE"""),"")</f>
        <v/>
      </c>
      <c r="BA211" s="231" t="str">
        <f>IFERROR(__xludf.DUMMYFUNCTION("""COMPUTED_VALUE"""),"")</f>
        <v/>
      </c>
      <c r="BB211" s="232" t="str">
        <f>IFERROR(__xludf.DUMMYFUNCTION("""COMPUTED_VALUE"""),"")</f>
        <v/>
      </c>
      <c r="BC211" s="233" t="str">
        <f>IFERROR(__xludf.DUMMYFUNCTION("""COMPUTED_VALUE"""),"")</f>
        <v/>
      </c>
      <c r="BD211" s="231" t="str">
        <f>IFERROR(__xludf.DUMMYFUNCTION("""COMPUTED_VALUE"""),"")</f>
        <v/>
      </c>
      <c r="BE211" s="232" t="str">
        <f>IFERROR(__xludf.DUMMYFUNCTION("""COMPUTED_VALUE"""),"")</f>
        <v/>
      </c>
      <c r="BF211" s="233" t="str">
        <f>IFERROR(__xludf.DUMMYFUNCTION("""COMPUTED_VALUE"""),"")</f>
        <v/>
      </c>
      <c r="BG211" s="231" t="str">
        <f>IFERROR(__xludf.DUMMYFUNCTION("""COMPUTED_VALUE"""),"")</f>
        <v/>
      </c>
      <c r="BH211" s="232" t="str">
        <f>IFERROR(__xludf.DUMMYFUNCTION("""COMPUTED_VALUE"""),"")</f>
        <v/>
      </c>
      <c r="BI211" s="233" t="str">
        <f>IFERROR(__xludf.DUMMYFUNCTION("""COMPUTED_VALUE"""),"")</f>
        <v/>
      </c>
      <c r="BJ211" s="231" t="str">
        <f>IFERROR(__xludf.DUMMYFUNCTION("""COMPUTED_VALUE"""),"")</f>
        <v/>
      </c>
      <c r="BK211" s="232" t="str">
        <f>IFERROR(__xludf.DUMMYFUNCTION("""COMPUTED_VALUE"""),"")</f>
        <v/>
      </c>
      <c r="BL211" s="233" t="str">
        <f>IFERROR(__xludf.DUMMYFUNCTION("""COMPUTED_VALUE"""),"")</f>
        <v/>
      </c>
      <c r="BM211" s="231" t="str">
        <f>IFERROR(__xludf.DUMMYFUNCTION("""COMPUTED_VALUE"""),"")</f>
        <v/>
      </c>
      <c r="BN211" s="232" t="str">
        <f>IFERROR(__xludf.DUMMYFUNCTION("""COMPUTED_VALUE"""),"")</f>
        <v/>
      </c>
      <c r="BO211" s="233" t="str">
        <f>IFERROR(__xludf.DUMMYFUNCTION("""COMPUTED_VALUE"""),"")</f>
        <v/>
      </c>
      <c r="BP211" s="231">
        <f>IFERROR(__xludf.DUMMYFUNCTION("""COMPUTED_VALUE"""),15.6)</f>
        <v>15.6</v>
      </c>
      <c r="BQ211" s="232" t="str">
        <f>IFERROR(__xludf.DUMMYFUNCTION("""COMPUTED_VALUE"""),"")</f>
        <v/>
      </c>
      <c r="BR211" s="233" t="str">
        <f>IFERROR(__xludf.DUMMYFUNCTION("""COMPUTED_VALUE"""),"")</f>
        <v/>
      </c>
      <c r="BS211" s="231" t="str">
        <f>IFERROR(__xludf.DUMMYFUNCTION("""COMPUTED_VALUE"""),"")</f>
        <v/>
      </c>
      <c r="BT211" s="232">
        <f>IFERROR(__xludf.DUMMYFUNCTION("""COMPUTED_VALUE"""),25.4)</f>
        <v>25.4</v>
      </c>
      <c r="BU211" s="233" t="str">
        <f>IFERROR(__xludf.DUMMYFUNCTION("""COMPUTED_VALUE"""),"")</f>
        <v/>
      </c>
      <c r="BV211" s="231" t="str">
        <f>IFERROR(__xludf.DUMMYFUNCTION("""COMPUTED_VALUE"""),"")</f>
        <v/>
      </c>
      <c r="BW211" s="232" t="str">
        <f>IFERROR(__xludf.DUMMYFUNCTION("""COMPUTED_VALUE"""),"")</f>
        <v/>
      </c>
      <c r="BX211" s="233" t="str">
        <f>IFERROR(__xludf.DUMMYFUNCTION("""COMPUTED_VALUE"""),"")</f>
        <v/>
      </c>
      <c r="BY211" s="231" t="str">
        <f>IFERROR(__xludf.DUMMYFUNCTION("""COMPUTED_VALUE"""),"")</f>
        <v/>
      </c>
      <c r="BZ211" s="232" t="str">
        <f>IFERROR(__xludf.DUMMYFUNCTION("""COMPUTED_VALUE"""),"")</f>
        <v/>
      </c>
      <c r="CA211" s="233" t="str">
        <f>IFERROR(__xludf.DUMMYFUNCTION("""COMPUTED_VALUE"""),"")</f>
        <v/>
      </c>
      <c r="CB211" s="231" t="str">
        <f>IFERROR(__xludf.DUMMYFUNCTION("""COMPUTED_VALUE"""),"")</f>
        <v/>
      </c>
      <c r="CC211" s="232" t="str">
        <f>IFERROR(__xludf.DUMMYFUNCTION("""COMPUTED_VALUE"""),"")</f>
        <v/>
      </c>
      <c r="CD211" s="233" t="str">
        <f>IFERROR(__xludf.DUMMYFUNCTION("""COMPUTED_VALUE"""),"")</f>
        <v/>
      </c>
      <c r="CE211" s="234" t="str">
        <f>IFERROR(__xludf.DUMMYFUNCTION("""COMPUTED_VALUE"""),"")</f>
        <v/>
      </c>
      <c r="CF211" s="230" t="str">
        <f>IFERROR(__xludf.DUMMYFUNCTION("""COMPUTED_VALUE"""),"")</f>
        <v/>
      </c>
      <c r="CG211" s="235" t="str">
        <f>IFERROR(__xludf.DUMMYFUNCTION("""COMPUTED_VALUE"""),"")</f>
        <v/>
      </c>
      <c r="CH211" s="234" t="str">
        <f>IFERROR(__xludf.DUMMYFUNCTION("""COMPUTED_VALUE"""),"")</f>
        <v/>
      </c>
      <c r="CI211" s="230" t="str">
        <f>IFERROR(__xludf.DUMMYFUNCTION("""COMPUTED_VALUE"""),"")</f>
        <v/>
      </c>
      <c r="CJ211" s="235" t="str">
        <f>IFERROR(__xludf.DUMMYFUNCTION("""COMPUTED_VALUE"""),"")</f>
        <v/>
      </c>
      <c r="CK211" s="95" t="str">
        <f>IFERROR(__xludf.DUMMYFUNCTION("""COMPUTED_VALUE"""),"")</f>
        <v/>
      </c>
      <c r="CL211" s="96" t="str">
        <f>IFERROR(__xludf.DUMMYFUNCTION("""COMPUTED_VALUE"""),"")</f>
        <v/>
      </c>
      <c r="CM211" s="97" t="str">
        <f>IFERROR(__xludf.DUMMYFUNCTION("""COMPUTED_VALUE"""),"")</f>
        <v/>
      </c>
      <c r="CN211" s="95" t="str">
        <f>IFERROR(__xludf.DUMMYFUNCTION("""COMPUTED_VALUE"""),"")</f>
        <v/>
      </c>
      <c r="CO211" s="96" t="str">
        <f>IFERROR(__xludf.DUMMYFUNCTION("""COMPUTED_VALUE"""),"")</f>
        <v/>
      </c>
      <c r="CP211" s="97" t="str">
        <f>IFERROR(__xludf.DUMMYFUNCTION("""COMPUTED_VALUE"""),"")</f>
        <v/>
      </c>
      <c r="CQ211" s="95" t="str">
        <f>IFERROR(__xludf.DUMMYFUNCTION("""COMPUTED_VALUE"""),"")</f>
        <v/>
      </c>
      <c r="CR211" s="96" t="str">
        <f>IFERROR(__xludf.DUMMYFUNCTION("""COMPUTED_VALUE"""),"")</f>
        <v/>
      </c>
      <c r="CS211" s="97" t="str">
        <f>IFERROR(__xludf.DUMMYFUNCTION("""COMPUTED_VALUE"""),"#REF!")</f>
        <v>#REF!</v>
      </c>
      <c r="CT211" s="95" t="str">
        <f>IFERROR(__xludf.DUMMYFUNCTION("""COMPUTED_VALUE"""),"#REF!")</f>
        <v>#REF!</v>
      </c>
      <c r="CU211" s="96" t="str">
        <f>IFERROR(__xludf.DUMMYFUNCTION("""COMPUTED_VALUE"""),"#REF!")</f>
        <v>#REF!</v>
      </c>
      <c r="CV211" s="97" t="str">
        <f>IFERROR(__xludf.DUMMYFUNCTION("""COMPUTED_VALUE"""),"#REF!")</f>
        <v>#REF!</v>
      </c>
      <c r="CW211" s="95" t="str">
        <f>IFERROR(__xludf.DUMMYFUNCTION("""COMPUTED_VALUE"""),"#REF!")</f>
        <v>#REF!</v>
      </c>
      <c r="CX211" s="96" t="str">
        <f>IFERROR(__xludf.DUMMYFUNCTION("""COMPUTED_VALUE"""),"#REF!")</f>
        <v>#REF!</v>
      </c>
      <c r="CY211" s="97" t="str">
        <f>IFERROR(__xludf.DUMMYFUNCTION("""COMPUTED_VALUE"""),"#REF!")</f>
        <v>#REF!</v>
      </c>
      <c r="CZ211" s="95" t="str">
        <f>IFERROR(__xludf.DUMMYFUNCTION("""COMPUTED_VALUE"""),"#REF!")</f>
        <v>#REF!</v>
      </c>
      <c r="DA211" s="96" t="str">
        <f>IFERROR(__xludf.DUMMYFUNCTION("""COMPUTED_VALUE"""),"#REF!")</f>
        <v>#REF!</v>
      </c>
      <c r="DB211" s="97" t="str">
        <f>IFERROR(__xludf.DUMMYFUNCTION("""COMPUTED_VALUE"""),"#REF!")</f>
        <v>#REF!</v>
      </c>
      <c r="DC211" s="95" t="str">
        <f>IFERROR(__xludf.DUMMYFUNCTION("""COMPUTED_VALUE"""),"#REF!")</f>
        <v>#REF!</v>
      </c>
      <c r="DD211" s="96" t="str">
        <f>IFERROR(__xludf.DUMMYFUNCTION("""COMPUTED_VALUE"""),"#REF!")</f>
        <v>#REF!</v>
      </c>
      <c r="DE211" s="97" t="str">
        <f>IFERROR(__xludf.DUMMYFUNCTION("""COMPUTED_VALUE"""),"#REF!")</f>
        <v>#REF!</v>
      </c>
      <c r="DF211" s="95" t="str">
        <f>IFERROR(__xludf.DUMMYFUNCTION("""COMPUTED_VALUE"""),"#REF!")</f>
        <v>#REF!</v>
      </c>
      <c r="DG211" s="96" t="str">
        <f>IFERROR(__xludf.DUMMYFUNCTION("""COMPUTED_VALUE"""),"#REF!")</f>
        <v>#REF!</v>
      </c>
      <c r="DH211" s="97" t="str">
        <f>IFERROR(__xludf.DUMMYFUNCTION("""COMPUTED_VALUE"""),"#REF!")</f>
        <v>#REF!</v>
      </c>
      <c r="DI211" s="95" t="str">
        <f>IFERROR(__xludf.DUMMYFUNCTION("""COMPUTED_VALUE"""),"#REF!")</f>
        <v>#REF!</v>
      </c>
      <c r="DJ211" s="96" t="str">
        <f>IFERROR(__xludf.DUMMYFUNCTION("""COMPUTED_VALUE"""),"#REF!")</f>
        <v>#REF!</v>
      </c>
      <c r="DK211" s="97" t="str">
        <f>IFERROR(__xludf.DUMMYFUNCTION("""COMPUTED_VALUE"""),"#REF!")</f>
        <v>#REF!</v>
      </c>
      <c r="DL211" s="95" t="str">
        <f>IFERROR(__xludf.DUMMYFUNCTION("""COMPUTED_VALUE"""),"#REF!")</f>
        <v>#REF!</v>
      </c>
      <c r="DM211" s="96" t="str">
        <f>IFERROR(__xludf.DUMMYFUNCTION("""COMPUTED_VALUE"""),"#REF!")</f>
        <v>#REF!</v>
      </c>
      <c r="DN211" s="97" t="str">
        <f>IFERROR(__xludf.DUMMYFUNCTION("""COMPUTED_VALUE"""),"#REF!")</f>
        <v>#REF!</v>
      </c>
      <c r="DO211" s="95" t="str">
        <f>IFERROR(__xludf.DUMMYFUNCTION("""COMPUTED_VALUE"""),"#REF!")</f>
        <v>#REF!</v>
      </c>
      <c r="DP211" s="96" t="str">
        <f>IFERROR(__xludf.DUMMYFUNCTION("""COMPUTED_VALUE"""),"#REF!")</f>
        <v>#REF!</v>
      </c>
      <c r="DQ211" s="97"/>
      <c r="DR211" s="95"/>
    </row>
    <row r="212">
      <c r="B212" s="237" t="str">
        <f>IFERROR(__xludf.DUMMYFUNCTION("""COMPUTED_VALUE"""),"SIN5")</f>
        <v>SIN5</v>
      </c>
      <c r="C212" s="238">
        <f>IFERROR(__xludf.DUMMYFUNCTION("""COMPUTED_VALUE"""),209.0)</f>
        <v>209</v>
      </c>
      <c r="D212" s="88" t="str">
        <f>IFERROR(__xludf.DUMMYFUNCTION("""COMPUTED_VALUE"""),"Jingyang Field")</f>
        <v>Jingyang Field</v>
      </c>
      <c r="E212" s="82" t="str">
        <f>IFERROR(__xludf.DUMMYFUNCTION("""COMPUTED_VALUE"""),"景陽原")</f>
        <v>景陽原</v>
      </c>
      <c r="F212" s="102">
        <f>IFERROR(__xludf.DUMMYFUNCTION("""COMPUTED_VALUE"""),21.0)</f>
        <v>21</v>
      </c>
      <c r="G212" s="82">
        <f>IFERROR(__xludf.DUMMYFUNCTION("""COMPUTED_VALUE"""),5852.0)</f>
        <v>5852</v>
      </c>
      <c r="H212" s="231" t="str">
        <f>IFERROR(__xludf.DUMMYFUNCTION("""COMPUTED_VALUE"""),"")</f>
        <v/>
      </c>
      <c r="I212" s="232" t="str">
        <f>IFERROR(__xludf.DUMMYFUNCTION("""COMPUTED_VALUE"""),"")</f>
        <v/>
      </c>
      <c r="J212" s="233" t="str">
        <f>IFERROR(__xludf.DUMMYFUNCTION("""COMPUTED_VALUE"""),"")</f>
        <v/>
      </c>
      <c r="K212" s="231" t="str">
        <f>IFERROR(__xludf.DUMMYFUNCTION("""COMPUTED_VALUE"""),"")</f>
        <v/>
      </c>
      <c r="L212" s="232" t="str">
        <f>IFERROR(__xludf.DUMMYFUNCTION("""COMPUTED_VALUE"""),"")</f>
        <v/>
      </c>
      <c r="M212" s="233" t="str">
        <f>IFERROR(__xludf.DUMMYFUNCTION("""COMPUTED_VALUE"""),"")</f>
        <v/>
      </c>
      <c r="N212" s="231" t="str">
        <f>IFERROR(__xludf.DUMMYFUNCTION("""COMPUTED_VALUE"""),"")</f>
        <v/>
      </c>
      <c r="O212" s="232" t="str">
        <f>IFERROR(__xludf.DUMMYFUNCTION("""COMPUTED_VALUE"""),"")</f>
        <v/>
      </c>
      <c r="P212" s="233" t="str">
        <f>IFERROR(__xludf.DUMMYFUNCTION("""COMPUTED_VALUE"""),"")</f>
        <v/>
      </c>
      <c r="Q212" s="231" t="str">
        <f>IFERROR(__xludf.DUMMYFUNCTION("""COMPUTED_VALUE"""),"")</f>
        <v/>
      </c>
      <c r="R212" s="232" t="str">
        <f>IFERROR(__xludf.DUMMYFUNCTION("""COMPUTED_VALUE"""),"")</f>
        <v/>
      </c>
      <c r="S212" s="233" t="str">
        <f>IFERROR(__xludf.DUMMYFUNCTION("""COMPUTED_VALUE"""),"")</f>
        <v/>
      </c>
      <c r="T212" s="231">
        <f>IFERROR(__xludf.DUMMYFUNCTION("""COMPUTED_VALUE"""),15.7)</f>
        <v>15.7</v>
      </c>
      <c r="U212" s="232" t="str">
        <f>IFERROR(__xludf.DUMMYFUNCTION("""COMPUTED_VALUE"""),"")</f>
        <v/>
      </c>
      <c r="V212" s="233" t="str">
        <f>IFERROR(__xludf.DUMMYFUNCTION("""COMPUTED_VALUE"""),"")</f>
        <v/>
      </c>
      <c r="W212" s="231" t="str">
        <f>IFERROR(__xludf.DUMMYFUNCTION("""COMPUTED_VALUE"""),"")</f>
        <v/>
      </c>
      <c r="X212" s="232" t="str">
        <f>IFERROR(__xludf.DUMMYFUNCTION("""COMPUTED_VALUE"""),"")</f>
        <v/>
      </c>
      <c r="Y212" s="233" t="str">
        <f>IFERROR(__xludf.DUMMYFUNCTION("""COMPUTED_VALUE"""),"")</f>
        <v/>
      </c>
      <c r="Z212" s="231" t="str">
        <f>IFERROR(__xludf.DUMMYFUNCTION("""COMPUTED_VALUE"""),"")</f>
        <v/>
      </c>
      <c r="AA212" s="232" t="str">
        <f>IFERROR(__xludf.DUMMYFUNCTION("""COMPUTED_VALUE"""),"")</f>
        <v/>
      </c>
      <c r="AB212" s="233" t="str">
        <f>IFERROR(__xludf.DUMMYFUNCTION("""COMPUTED_VALUE"""),"")</f>
        <v/>
      </c>
      <c r="AC212" s="231" t="str">
        <f>IFERROR(__xludf.DUMMYFUNCTION("""COMPUTED_VALUE"""),"")</f>
        <v/>
      </c>
      <c r="AD212" s="232" t="str">
        <f>IFERROR(__xludf.DUMMYFUNCTION("""COMPUTED_VALUE"""),"")</f>
        <v/>
      </c>
      <c r="AE212" s="233" t="str">
        <f>IFERROR(__xludf.DUMMYFUNCTION("""COMPUTED_VALUE"""),"")</f>
        <v/>
      </c>
      <c r="AF212" s="231" t="str">
        <f>IFERROR(__xludf.DUMMYFUNCTION("""COMPUTED_VALUE"""),"")</f>
        <v/>
      </c>
      <c r="AG212" s="232" t="str">
        <f>IFERROR(__xludf.DUMMYFUNCTION("""COMPUTED_VALUE"""),"")</f>
        <v/>
      </c>
      <c r="AH212" s="233" t="str">
        <f>IFERROR(__xludf.DUMMYFUNCTION("""COMPUTED_VALUE"""),"")</f>
        <v/>
      </c>
      <c r="AI212" s="231" t="str">
        <f>IFERROR(__xludf.DUMMYFUNCTION("""COMPUTED_VALUE"""),"")</f>
        <v/>
      </c>
      <c r="AJ212" s="232" t="str">
        <f>IFERROR(__xludf.DUMMYFUNCTION("""COMPUTED_VALUE"""),"")</f>
        <v/>
      </c>
      <c r="AK212" s="233" t="str">
        <f>IFERROR(__xludf.DUMMYFUNCTION("""COMPUTED_VALUE"""),"")</f>
        <v/>
      </c>
      <c r="AL212" s="231" t="str">
        <f>IFERROR(__xludf.DUMMYFUNCTION("""COMPUTED_VALUE"""),"")</f>
        <v/>
      </c>
      <c r="AM212" s="232">
        <f>IFERROR(__xludf.DUMMYFUNCTION("""COMPUTED_VALUE"""),20.7)</f>
        <v>20.7</v>
      </c>
      <c r="AN212" s="233" t="str">
        <f>IFERROR(__xludf.DUMMYFUNCTION("""COMPUTED_VALUE"""),"")</f>
        <v/>
      </c>
      <c r="AO212" s="231" t="str">
        <f>IFERROR(__xludf.DUMMYFUNCTION("""COMPUTED_VALUE"""),"")</f>
        <v/>
      </c>
      <c r="AP212" s="232" t="str">
        <f>IFERROR(__xludf.DUMMYFUNCTION("""COMPUTED_VALUE"""),"")</f>
        <v/>
      </c>
      <c r="AQ212" s="233" t="str">
        <f>IFERROR(__xludf.DUMMYFUNCTION("""COMPUTED_VALUE"""),"")</f>
        <v/>
      </c>
      <c r="AR212" s="231" t="str">
        <f>IFERROR(__xludf.DUMMYFUNCTION("""COMPUTED_VALUE"""),"")</f>
        <v/>
      </c>
      <c r="AS212" s="232" t="str">
        <f>IFERROR(__xludf.DUMMYFUNCTION("""COMPUTED_VALUE"""),"")</f>
        <v/>
      </c>
      <c r="AT212" s="233" t="str">
        <f>IFERROR(__xludf.DUMMYFUNCTION("""COMPUTED_VALUE"""),"")</f>
        <v/>
      </c>
      <c r="AU212" s="231" t="str">
        <f>IFERROR(__xludf.DUMMYFUNCTION("""COMPUTED_VALUE"""),"")</f>
        <v/>
      </c>
      <c r="AV212" s="232" t="str">
        <f>IFERROR(__xludf.DUMMYFUNCTION("""COMPUTED_VALUE"""),"")</f>
        <v/>
      </c>
      <c r="AW212" s="233">
        <f>IFERROR(__xludf.DUMMYFUNCTION("""COMPUTED_VALUE"""),32.1)</f>
        <v>32.1</v>
      </c>
      <c r="AX212" s="231" t="str">
        <f>IFERROR(__xludf.DUMMYFUNCTION("""COMPUTED_VALUE"""),"")</f>
        <v/>
      </c>
      <c r="AY212" s="232" t="str">
        <f>IFERROR(__xludf.DUMMYFUNCTION("""COMPUTED_VALUE"""),"")</f>
        <v/>
      </c>
      <c r="AZ212" s="233" t="str">
        <f>IFERROR(__xludf.DUMMYFUNCTION("""COMPUTED_VALUE"""),"")</f>
        <v/>
      </c>
      <c r="BA212" s="231" t="str">
        <f>IFERROR(__xludf.DUMMYFUNCTION("""COMPUTED_VALUE"""),"")</f>
        <v/>
      </c>
      <c r="BB212" s="232" t="str">
        <f>IFERROR(__xludf.DUMMYFUNCTION("""COMPUTED_VALUE"""),"")</f>
        <v/>
      </c>
      <c r="BC212" s="233" t="str">
        <f>IFERROR(__xludf.DUMMYFUNCTION("""COMPUTED_VALUE"""),"")</f>
        <v/>
      </c>
      <c r="BD212" s="231" t="str">
        <f>IFERROR(__xludf.DUMMYFUNCTION("""COMPUTED_VALUE"""),"")</f>
        <v/>
      </c>
      <c r="BE212" s="232" t="str">
        <f>IFERROR(__xludf.DUMMYFUNCTION("""COMPUTED_VALUE"""),"")</f>
        <v/>
      </c>
      <c r="BF212" s="233" t="str">
        <f>IFERROR(__xludf.DUMMYFUNCTION("""COMPUTED_VALUE"""),"")</f>
        <v/>
      </c>
      <c r="BG212" s="231" t="str">
        <f>IFERROR(__xludf.DUMMYFUNCTION("""COMPUTED_VALUE"""),"")</f>
        <v/>
      </c>
      <c r="BH212" s="232" t="str">
        <f>IFERROR(__xludf.DUMMYFUNCTION("""COMPUTED_VALUE"""),"")</f>
        <v/>
      </c>
      <c r="BI212" s="233" t="str">
        <f>IFERROR(__xludf.DUMMYFUNCTION("""COMPUTED_VALUE"""),"")</f>
        <v/>
      </c>
      <c r="BJ212" s="231" t="str">
        <f>IFERROR(__xludf.DUMMYFUNCTION("""COMPUTED_VALUE"""),"")</f>
        <v/>
      </c>
      <c r="BK212" s="232">
        <f>IFERROR(__xludf.DUMMYFUNCTION("""COMPUTED_VALUE"""),10.1)</f>
        <v>10.1</v>
      </c>
      <c r="BL212" s="233" t="str">
        <f>IFERROR(__xludf.DUMMYFUNCTION("""COMPUTED_VALUE"""),"")</f>
        <v/>
      </c>
      <c r="BM212" s="231" t="str">
        <f>IFERROR(__xludf.DUMMYFUNCTION("""COMPUTED_VALUE"""),"")</f>
        <v/>
      </c>
      <c r="BN212" s="232" t="str">
        <f>IFERROR(__xludf.DUMMYFUNCTION("""COMPUTED_VALUE"""),"")</f>
        <v/>
      </c>
      <c r="BO212" s="233" t="str">
        <f>IFERROR(__xludf.DUMMYFUNCTION("""COMPUTED_VALUE"""),"")</f>
        <v/>
      </c>
      <c r="BP212" s="231">
        <f>IFERROR(__xludf.DUMMYFUNCTION("""COMPUTED_VALUE"""),10.1)</f>
        <v>10.1</v>
      </c>
      <c r="BQ212" s="232" t="str">
        <f>IFERROR(__xludf.DUMMYFUNCTION("""COMPUTED_VALUE"""),"")</f>
        <v/>
      </c>
      <c r="BR212" s="233" t="str">
        <f>IFERROR(__xludf.DUMMYFUNCTION("""COMPUTED_VALUE"""),"")</f>
        <v/>
      </c>
      <c r="BS212" s="231" t="str">
        <f>IFERROR(__xludf.DUMMYFUNCTION("""COMPUTED_VALUE"""),"")</f>
        <v/>
      </c>
      <c r="BT212" s="232" t="str">
        <f>IFERROR(__xludf.DUMMYFUNCTION("""COMPUTED_VALUE"""),"")</f>
        <v/>
      </c>
      <c r="BU212" s="233" t="str">
        <f>IFERROR(__xludf.DUMMYFUNCTION("""COMPUTED_VALUE"""),"")</f>
        <v/>
      </c>
      <c r="BV212" s="231" t="str">
        <f>IFERROR(__xludf.DUMMYFUNCTION("""COMPUTED_VALUE"""),"")</f>
        <v/>
      </c>
      <c r="BW212" s="232" t="str">
        <f>IFERROR(__xludf.DUMMYFUNCTION("""COMPUTED_VALUE"""),"")</f>
        <v/>
      </c>
      <c r="BX212" s="233" t="str">
        <f>IFERROR(__xludf.DUMMYFUNCTION("""COMPUTED_VALUE"""),"")</f>
        <v/>
      </c>
      <c r="BY212" s="231" t="str">
        <f>IFERROR(__xludf.DUMMYFUNCTION("""COMPUTED_VALUE"""),"")</f>
        <v/>
      </c>
      <c r="BZ212" s="232" t="str">
        <f>IFERROR(__xludf.DUMMYFUNCTION("""COMPUTED_VALUE"""),"")</f>
        <v/>
      </c>
      <c r="CA212" s="233" t="str">
        <f>IFERROR(__xludf.DUMMYFUNCTION("""COMPUTED_VALUE"""),"")</f>
        <v/>
      </c>
      <c r="CB212" s="231" t="str">
        <f>IFERROR(__xludf.DUMMYFUNCTION("""COMPUTED_VALUE"""),"")</f>
        <v/>
      </c>
      <c r="CC212" s="232" t="str">
        <f>IFERROR(__xludf.DUMMYFUNCTION("""COMPUTED_VALUE"""),"")</f>
        <v/>
      </c>
      <c r="CD212" s="233" t="str">
        <f>IFERROR(__xludf.DUMMYFUNCTION("""COMPUTED_VALUE"""),"")</f>
        <v/>
      </c>
      <c r="CE212" s="234" t="str">
        <f>IFERROR(__xludf.DUMMYFUNCTION("""COMPUTED_VALUE"""),"")</f>
        <v/>
      </c>
      <c r="CF212" s="230" t="str">
        <f>IFERROR(__xludf.DUMMYFUNCTION("""COMPUTED_VALUE"""),"")</f>
        <v/>
      </c>
      <c r="CG212" s="235" t="str">
        <f>IFERROR(__xludf.DUMMYFUNCTION("""COMPUTED_VALUE"""),"")</f>
        <v/>
      </c>
      <c r="CH212" s="234" t="str">
        <f>IFERROR(__xludf.DUMMYFUNCTION("""COMPUTED_VALUE"""),"")</f>
        <v/>
      </c>
      <c r="CI212" s="230" t="str">
        <f>IFERROR(__xludf.DUMMYFUNCTION("""COMPUTED_VALUE"""),"")</f>
        <v/>
      </c>
      <c r="CJ212" s="235" t="str">
        <f>IFERROR(__xludf.DUMMYFUNCTION("""COMPUTED_VALUE"""),"")</f>
        <v/>
      </c>
      <c r="CK212" s="95" t="str">
        <f>IFERROR(__xludf.DUMMYFUNCTION("""COMPUTED_VALUE"""),"")</f>
        <v/>
      </c>
      <c r="CL212" s="96" t="str">
        <f>IFERROR(__xludf.DUMMYFUNCTION("""COMPUTED_VALUE"""),"")</f>
        <v/>
      </c>
      <c r="CM212" s="97" t="str">
        <f>IFERROR(__xludf.DUMMYFUNCTION("""COMPUTED_VALUE"""),"")</f>
        <v/>
      </c>
      <c r="CN212" s="95" t="str">
        <f>IFERROR(__xludf.DUMMYFUNCTION("""COMPUTED_VALUE"""),"")</f>
        <v/>
      </c>
      <c r="CO212" s="96" t="str">
        <f>IFERROR(__xludf.DUMMYFUNCTION("""COMPUTED_VALUE"""),"")</f>
        <v/>
      </c>
      <c r="CP212" s="97" t="str">
        <f>IFERROR(__xludf.DUMMYFUNCTION("""COMPUTED_VALUE"""),"")</f>
        <v/>
      </c>
      <c r="CQ212" s="95" t="str">
        <f>IFERROR(__xludf.DUMMYFUNCTION("""COMPUTED_VALUE"""),"")</f>
        <v/>
      </c>
      <c r="CR212" s="96" t="str">
        <f>IFERROR(__xludf.DUMMYFUNCTION("""COMPUTED_VALUE"""),"")</f>
        <v/>
      </c>
      <c r="CS212" s="97" t="str">
        <f>IFERROR(__xludf.DUMMYFUNCTION("""COMPUTED_VALUE"""),"#REF!")</f>
        <v>#REF!</v>
      </c>
      <c r="CT212" s="95" t="str">
        <f>IFERROR(__xludf.DUMMYFUNCTION("""COMPUTED_VALUE"""),"#REF!")</f>
        <v>#REF!</v>
      </c>
      <c r="CU212" s="96" t="str">
        <f>IFERROR(__xludf.DUMMYFUNCTION("""COMPUTED_VALUE"""),"#REF!")</f>
        <v>#REF!</v>
      </c>
      <c r="CV212" s="97" t="str">
        <f>IFERROR(__xludf.DUMMYFUNCTION("""COMPUTED_VALUE"""),"#REF!")</f>
        <v>#REF!</v>
      </c>
      <c r="CW212" s="95" t="str">
        <f>IFERROR(__xludf.DUMMYFUNCTION("""COMPUTED_VALUE"""),"#REF!")</f>
        <v>#REF!</v>
      </c>
      <c r="CX212" s="96" t="str">
        <f>IFERROR(__xludf.DUMMYFUNCTION("""COMPUTED_VALUE"""),"#REF!")</f>
        <v>#REF!</v>
      </c>
      <c r="CY212" s="97" t="str">
        <f>IFERROR(__xludf.DUMMYFUNCTION("""COMPUTED_VALUE"""),"#REF!")</f>
        <v>#REF!</v>
      </c>
      <c r="CZ212" s="95" t="str">
        <f>IFERROR(__xludf.DUMMYFUNCTION("""COMPUTED_VALUE"""),"#REF!")</f>
        <v>#REF!</v>
      </c>
      <c r="DA212" s="96" t="str">
        <f>IFERROR(__xludf.DUMMYFUNCTION("""COMPUTED_VALUE"""),"#REF!")</f>
        <v>#REF!</v>
      </c>
      <c r="DB212" s="97" t="str">
        <f>IFERROR(__xludf.DUMMYFUNCTION("""COMPUTED_VALUE"""),"#REF!")</f>
        <v>#REF!</v>
      </c>
      <c r="DC212" s="95" t="str">
        <f>IFERROR(__xludf.DUMMYFUNCTION("""COMPUTED_VALUE"""),"#REF!")</f>
        <v>#REF!</v>
      </c>
      <c r="DD212" s="96" t="str">
        <f>IFERROR(__xludf.DUMMYFUNCTION("""COMPUTED_VALUE"""),"#REF!")</f>
        <v>#REF!</v>
      </c>
      <c r="DE212" s="97" t="str">
        <f>IFERROR(__xludf.DUMMYFUNCTION("""COMPUTED_VALUE"""),"#REF!")</f>
        <v>#REF!</v>
      </c>
      <c r="DF212" s="95" t="str">
        <f>IFERROR(__xludf.DUMMYFUNCTION("""COMPUTED_VALUE"""),"#REF!")</f>
        <v>#REF!</v>
      </c>
      <c r="DG212" s="96" t="str">
        <f>IFERROR(__xludf.DUMMYFUNCTION("""COMPUTED_VALUE"""),"#REF!")</f>
        <v>#REF!</v>
      </c>
      <c r="DH212" s="97" t="str">
        <f>IFERROR(__xludf.DUMMYFUNCTION("""COMPUTED_VALUE"""),"#REF!")</f>
        <v>#REF!</v>
      </c>
      <c r="DI212" s="95" t="str">
        <f>IFERROR(__xludf.DUMMYFUNCTION("""COMPUTED_VALUE"""),"#REF!")</f>
        <v>#REF!</v>
      </c>
      <c r="DJ212" s="96" t="str">
        <f>IFERROR(__xludf.DUMMYFUNCTION("""COMPUTED_VALUE"""),"#REF!")</f>
        <v>#REF!</v>
      </c>
      <c r="DK212" s="97" t="str">
        <f>IFERROR(__xludf.DUMMYFUNCTION("""COMPUTED_VALUE"""),"#REF!")</f>
        <v>#REF!</v>
      </c>
      <c r="DL212" s="95" t="str">
        <f>IFERROR(__xludf.DUMMYFUNCTION("""COMPUTED_VALUE"""),"#REF!")</f>
        <v>#REF!</v>
      </c>
      <c r="DM212" s="96" t="str">
        <f>IFERROR(__xludf.DUMMYFUNCTION("""COMPUTED_VALUE"""),"#REF!")</f>
        <v>#REF!</v>
      </c>
      <c r="DN212" s="97" t="str">
        <f>IFERROR(__xludf.DUMMYFUNCTION("""COMPUTED_VALUE"""),"#REF!")</f>
        <v>#REF!</v>
      </c>
      <c r="DO212" s="95" t="str">
        <f>IFERROR(__xludf.DUMMYFUNCTION("""COMPUTED_VALUE"""),"#REF!")</f>
        <v>#REF!</v>
      </c>
      <c r="DP212" s="96" t="str">
        <f>IFERROR(__xludf.DUMMYFUNCTION("""COMPUTED_VALUE"""),"#REF!")</f>
        <v>#REF!</v>
      </c>
      <c r="DQ212" s="97"/>
      <c r="DR212" s="95"/>
    </row>
    <row r="213">
      <c r="B213" s="237" t="str">
        <f>IFERROR(__xludf.DUMMYFUNCTION("""COMPUTED_VALUE"""),"SIN6")</f>
        <v>SIN6</v>
      </c>
      <c r="C213" s="238">
        <f>IFERROR(__xludf.DUMMYFUNCTION("""COMPUTED_VALUE"""),210.0)</f>
        <v>210</v>
      </c>
      <c r="D213" s="88" t="str">
        <f>IFERROR(__xludf.DUMMYFUNCTION("""COMPUTED_VALUE"""),"Shanyang Hill")</f>
        <v>Shanyang Hill</v>
      </c>
      <c r="E213" s="82" t="str">
        <f>IFERROR(__xludf.DUMMYFUNCTION("""COMPUTED_VALUE"""),"山陽丘")</f>
        <v>山陽丘</v>
      </c>
      <c r="F213" s="102">
        <f>IFERROR(__xludf.DUMMYFUNCTION("""COMPUTED_VALUE"""),21.0)</f>
        <v>21</v>
      </c>
      <c r="G213" s="82">
        <f>IFERROR(__xludf.DUMMYFUNCTION("""COMPUTED_VALUE"""),5463.0)</f>
        <v>5463</v>
      </c>
      <c r="H213" s="231" t="str">
        <f>IFERROR(__xludf.DUMMYFUNCTION("""COMPUTED_VALUE"""),"")</f>
        <v/>
      </c>
      <c r="I213" s="232" t="str">
        <f>IFERROR(__xludf.DUMMYFUNCTION("""COMPUTED_VALUE"""),"")</f>
        <v/>
      </c>
      <c r="J213" s="233" t="str">
        <f>IFERROR(__xludf.DUMMYFUNCTION("""COMPUTED_VALUE"""),"")</f>
        <v/>
      </c>
      <c r="K213" s="231" t="str">
        <f>IFERROR(__xludf.DUMMYFUNCTION("""COMPUTED_VALUE"""),"")</f>
        <v/>
      </c>
      <c r="L213" s="232" t="str">
        <f>IFERROR(__xludf.DUMMYFUNCTION("""COMPUTED_VALUE"""),"")</f>
        <v/>
      </c>
      <c r="M213" s="233" t="str">
        <f>IFERROR(__xludf.DUMMYFUNCTION("""COMPUTED_VALUE"""),"")</f>
        <v/>
      </c>
      <c r="N213" s="231" t="str">
        <f>IFERROR(__xludf.DUMMYFUNCTION("""COMPUTED_VALUE"""),"")</f>
        <v/>
      </c>
      <c r="O213" s="232" t="str">
        <f>IFERROR(__xludf.DUMMYFUNCTION("""COMPUTED_VALUE"""),"")</f>
        <v/>
      </c>
      <c r="P213" s="233" t="str">
        <f>IFERROR(__xludf.DUMMYFUNCTION("""COMPUTED_VALUE"""),"")</f>
        <v/>
      </c>
      <c r="Q213" s="231" t="str">
        <f>IFERROR(__xludf.DUMMYFUNCTION("""COMPUTED_VALUE"""),"")</f>
        <v/>
      </c>
      <c r="R213" s="232" t="str">
        <f>IFERROR(__xludf.DUMMYFUNCTION("""COMPUTED_VALUE"""),"")</f>
        <v/>
      </c>
      <c r="S213" s="233" t="str">
        <f>IFERROR(__xludf.DUMMYFUNCTION("""COMPUTED_VALUE"""),"")</f>
        <v/>
      </c>
      <c r="T213" s="231">
        <f>IFERROR(__xludf.DUMMYFUNCTION("""COMPUTED_VALUE"""),15.2)</f>
        <v>15.2</v>
      </c>
      <c r="U213" s="232" t="str">
        <f>IFERROR(__xludf.DUMMYFUNCTION("""COMPUTED_VALUE"""),"")</f>
        <v/>
      </c>
      <c r="V213" s="233" t="str">
        <f>IFERROR(__xludf.DUMMYFUNCTION("""COMPUTED_VALUE"""),"")</f>
        <v/>
      </c>
      <c r="W213" s="231" t="str">
        <f>IFERROR(__xludf.DUMMYFUNCTION("""COMPUTED_VALUE"""),"")</f>
        <v/>
      </c>
      <c r="X213" s="232" t="str">
        <f>IFERROR(__xludf.DUMMYFUNCTION("""COMPUTED_VALUE"""),"")</f>
        <v/>
      </c>
      <c r="Y213" s="233" t="str">
        <f>IFERROR(__xludf.DUMMYFUNCTION("""COMPUTED_VALUE"""),"")</f>
        <v/>
      </c>
      <c r="Z213" s="231" t="str">
        <f>IFERROR(__xludf.DUMMYFUNCTION("""COMPUTED_VALUE"""),"")</f>
        <v/>
      </c>
      <c r="AA213" s="232" t="str">
        <f>IFERROR(__xludf.DUMMYFUNCTION("""COMPUTED_VALUE"""),"")</f>
        <v/>
      </c>
      <c r="AB213" s="233" t="str">
        <f>IFERROR(__xludf.DUMMYFUNCTION("""COMPUTED_VALUE"""),"")</f>
        <v/>
      </c>
      <c r="AC213" s="231" t="str">
        <f>IFERROR(__xludf.DUMMYFUNCTION("""COMPUTED_VALUE"""),"")</f>
        <v/>
      </c>
      <c r="AD213" s="232" t="str">
        <f>IFERROR(__xludf.DUMMYFUNCTION("""COMPUTED_VALUE"""),"")</f>
        <v/>
      </c>
      <c r="AE213" s="233" t="str">
        <f>IFERROR(__xludf.DUMMYFUNCTION("""COMPUTED_VALUE"""),"")</f>
        <v/>
      </c>
      <c r="AF213" s="231" t="str">
        <f>IFERROR(__xludf.DUMMYFUNCTION("""COMPUTED_VALUE"""),"")</f>
        <v/>
      </c>
      <c r="AG213" s="232" t="str">
        <f>IFERROR(__xludf.DUMMYFUNCTION("""COMPUTED_VALUE"""),"")</f>
        <v/>
      </c>
      <c r="AH213" s="233" t="str">
        <f>IFERROR(__xludf.DUMMYFUNCTION("""COMPUTED_VALUE"""),"")</f>
        <v/>
      </c>
      <c r="AI213" s="231" t="str">
        <f>IFERROR(__xludf.DUMMYFUNCTION("""COMPUTED_VALUE"""),"")</f>
        <v/>
      </c>
      <c r="AJ213" s="232" t="str">
        <f>IFERROR(__xludf.DUMMYFUNCTION("""COMPUTED_VALUE"""),"")</f>
        <v/>
      </c>
      <c r="AK213" s="233" t="str">
        <f>IFERROR(__xludf.DUMMYFUNCTION("""COMPUTED_VALUE"""),"")</f>
        <v/>
      </c>
      <c r="AL213" s="231" t="str">
        <f>IFERROR(__xludf.DUMMYFUNCTION("""COMPUTED_VALUE"""),"")</f>
        <v/>
      </c>
      <c r="AM213" s="232" t="str">
        <f>IFERROR(__xludf.DUMMYFUNCTION("""COMPUTED_VALUE"""),"")</f>
        <v/>
      </c>
      <c r="AN213" s="233" t="str">
        <f>IFERROR(__xludf.DUMMYFUNCTION("""COMPUTED_VALUE"""),"")</f>
        <v/>
      </c>
      <c r="AO213" s="231" t="str">
        <f>IFERROR(__xludf.DUMMYFUNCTION("""COMPUTED_VALUE"""),"")</f>
        <v/>
      </c>
      <c r="AP213" s="232" t="str">
        <f>IFERROR(__xludf.DUMMYFUNCTION("""COMPUTED_VALUE"""),"")</f>
        <v/>
      </c>
      <c r="AQ213" s="233" t="str">
        <f>IFERROR(__xludf.DUMMYFUNCTION("""COMPUTED_VALUE"""),"")</f>
        <v/>
      </c>
      <c r="AR213" s="231" t="str">
        <f>IFERROR(__xludf.DUMMYFUNCTION("""COMPUTED_VALUE"""),"")</f>
        <v/>
      </c>
      <c r="AS213" s="232" t="str">
        <f>IFERROR(__xludf.DUMMYFUNCTION("""COMPUTED_VALUE"""),"")</f>
        <v/>
      </c>
      <c r="AT213" s="233" t="str">
        <f>IFERROR(__xludf.DUMMYFUNCTION("""COMPUTED_VALUE"""),"")</f>
        <v/>
      </c>
      <c r="AU213" s="231" t="str">
        <f>IFERROR(__xludf.DUMMYFUNCTION("""COMPUTED_VALUE"""),"")</f>
        <v/>
      </c>
      <c r="AV213" s="232" t="str">
        <f>IFERROR(__xludf.DUMMYFUNCTION("""COMPUTED_VALUE"""),"")</f>
        <v/>
      </c>
      <c r="AW213" s="233">
        <f>IFERROR(__xludf.DUMMYFUNCTION("""COMPUTED_VALUE"""),29.2)</f>
        <v>29.2</v>
      </c>
      <c r="AX213" s="231" t="str">
        <f>IFERROR(__xludf.DUMMYFUNCTION("""COMPUTED_VALUE"""),"")</f>
        <v/>
      </c>
      <c r="AY213" s="232">
        <f>IFERROR(__xludf.DUMMYFUNCTION("""COMPUTED_VALUE"""),30.1)</f>
        <v>30.1</v>
      </c>
      <c r="AZ213" s="233" t="str">
        <f>IFERROR(__xludf.DUMMYFUNCTION("""COMPUTED_VALUE"""),"")</f>
        <v/>
      </c>
      <c r="BA213" s="231" t="str">
        <f>IFERROR(__xludf.DUMMYFUNCTION("""COMPUTED_VALUE"""),"")</f>
        <v/>
      </c>
      <c r="BB213" s="232" t="str">
        <f>IFERROR(__xludf.DUMMYFUNCTION("""COMPUTED_VALUE"""),"")</f>
        <v/>
      </c>
      <c r="BC213" s="233" t="str">
        <f>IFERROR(__xludf.DUMMYFUNCTION("""COMPUTED_VALUE"""),"")</f>
        <v/>
      </c>
      <c r="BD213" s="231" t="str">
        <f>IFERROR(__xludf.DUMMYFUNCTION("""COMPUTED_VALUE"""),"")</f>
        <v/>
      </c>
      <c r="BE213" s="232" t="str">
        <f>IFERROR(__xludf.DUMMYFUNCTION("""COMPUTED_VALUE"""),"")</f>
        <v/>
      </c>
      <c r="BF213" s="233" t="str">
        <f>IFERROR(__xludf.DUMMYFUNCTION("""COMPUTED_VALUE"""),"")</f>
        <v/>
      </c>
      <c r="BG213" s="231" t="str">
        <f>IFERROR(__xludf.DUMMYFUNCTION("""COMPUTED_VALUE"""),"")</f>
        <v/>
      </c>
      <c r="BH213" s="232" t="str">
        <f>IFERROR(__xludf.DUMMYFUNCTION("""COMPUTED_VALUE"""),"")</f>
        <v/>
      </c>
      <c r="BI213" s="233" t="str">
        <f>IFERROR(__xludf.DUMMYFUNCTION("""COMPUTED_VALUE"""),"")</f>
        <v/>
      </c>
      <c r="BJ213" s="231" t="str">
        <f>IFERROR(__xludf.DUMMYFUNCTION("""COMPUTED_VALUE"""),"")</f>
        <v/>
      </c>
      <c r="BK213" s="232">
        <f>IFERROR(__xludf.DUMMYFUNCTION("""COMPUTED_VALUE"""),12.2)</f>
        <v>12.2</v>
      </c>
      <c r="BL213" s="233" t="str">
        <f>IFERROR(__xludf.DUMMYFUNCTION("""COMPUTED_VALUE"""),"")</f>
        <v/>
      </c>
      <c r="BM213" s="231" t="str">
        <f>IFERROR(__xludf.DUMMYFUNCTION("""COMPUTED_VALUE"""),"")</f>
        <v/>
      </c>
      <c r="BN213" s="232" t="str">
        <f>IFERROR(__xludf.DUMMYFUNCTION("""COMPUTED_VALUE"""),"")</f>
        <v/>
      </c>
      <c r="BO213" s="233" t="str">
        <f>IFERROR(__xludf.DUMMYFUNCTION("""COMPUTED_VALUE"""),"")</f>
        <v/>
      </c>
      <c r="BP213" s="231" t="str">
        <f>IFERROR(__xludf.DUMMYFUNCTION("""COMPUTED_VALUE"""),"")</f>
        <v/>
      </c>
      <c r="BQ213" s="232" t="str">
        <f>IFERROR(__xludf.DUMMYFUNCTION("""COMPUTED_VALUE"""),"")</f>
        <v/>
      </c>
      <c r="BR213" s="233" t="str">
        <f>IFERROR(__xludf.DUMMYFUNCTION("""COMPUTED_VALUE"""),"")</f>
        <v/>
      </c>
      <c r="BS213" s="231">
        <f>IFERROR(__xludf.DUMMYFUNCTION("""COMPUTED_VALUE"""),25.5)</f>
        <v>25.5</v>
      </c>
      <c r="BT213" s="232" t="str">
        <f>IFERROR(__xludf.DUMMYFUNCTION("""COMPUTED_VALUE"""),"")</f>
        <v/>
      </c>
      <c r="BU213" s="233" t="str">
        <f>IFERROR(__xludf.DUMMYFUNCTION("""COMPUTED_VALUE"""),"")</f>
        <v/>
      </c>
      <c r="BV213" s="231" t="str">
        <f>IFERROR(__xludf.DUMMYFUNCTION("""COMPUTED_VALUE"""),"")</f>
        <v/>
      </c>
      <c r="BW213" s="232" t="str">
        <f>IFERROR(__xludf.DUMMYFUNCTION("""COMPUTED_VALUE"""),"")</f>
        <v/>
      </c>
      <c r="BX213" s="233" t="str">
        <f>IFERROR(__xludf.DUMMYFUNCTION("""COMPUTED_VALUE"""),"")</f>
        <v/>
      </c>
      <c r="BY213" s="231" t="str">
        <f>IFERROR(__xludf.DUMMYFUNCTION("""COMPUTED_VALUE"""),"")</f>
        <v/>
      </c>
      <c r="BZ213" s="232" t="str">
        <f>IFERROR(__xludf.DUMMYFUNCTION("""COMPUTED_VALUE"""),"")</f>
        <v/>
      </c>
      <c r="CA213" s="233" t="str">
        <f>IFERROR(__xludf.DUMMYFUNCTION("""COMPUTED_VALUE"""),"")</f>
        <v/>
      </c>
      <c r="CB213" s="231" t="str">
        <f>IFERROR(__xludf.DUMMYFUNCTION("""COMPUTED_VALUE"""),"")</f>
        <v/>
      </c>
      <c r="CC213" s="232" t="str">
        <f>IFERROR(__xludf.DUMMYFUNCTION("""COMPUTED_VALUE"""),"")</f>
        <v/>
      </c>
      <c r="CD213" s="233" t="str">
        <f>IFERROR(__xludf.DUMMYFUNCTION("""COMPUTED_VALUE"""),"")</f>
        <v/>
      </c>
      <c r="CE213" s="234" t="str">
        <f>IFERROR(__xludf.DUMMYFUNCTION("""COMPUTED_VALUE"""),"")</f>
        <v/>
      </c>
      <c r="CF213" s="230" t="str">
        <f>IFERROR(__xludf.DUMMYFUNCTION("""COMPUTED_VALUE"""),"")</f>
        <v/>
      </c>
      <c r="CG213" s="235" t="str">
        <f>IFERROR(__xludf.DUMMYFUNCTION("""COMPUTED_VALUE"""),"")</f>
        <v/>
      </c>
      <c r="CH213" s="234" t="str">
        <f>IFERROR(__xludf.DUMMYFUNCTION("""COMPUTED_VALUE"""),"")</f>
        <v/>
      </c>
      <c r="CI213" s="230" t="str">
        <f>IFERROR(__xludf.DUMMYFUNCTION("""COMPUTED_VALUE"""),"")</f>
        <v/>
      </c>
      <c r="CJ213" s="235" t="str">
        <f>IFERROR(__xludf.DUMMYFUNCTION("""COMPUTED_VALUE"""),"")</f>
        <v/>
      </c>
      <c r="CK213" s="95" t="str">
        <f>IFERROR(__xludf.DUMMYFUNCTION("""COMPUTED_VALUE"""),"")</f>
        <v/>
      </c>
      <c r="CL213" s="96" t="str">
        <f>IFERROR(__xludf.DUMMYFUNCTION("""COMPUTED_VALUE"""),"")</f>
        <v/>
      </c>
      <c r="CM213" s="97" t="str">
        <f>IFERROR(__xludf.DUMMYFUNCTION("""COMPUTED_VALUE"""),"")</f>
        <v/>
      </c>
      <c r="CN213" s="95" t="str">
        <f>IFERROR(__xludf.DUMMYFUNCTION("""COMPUTED_VALUE"""),"")</f>
        <v/>
      </c>
      <c r="CO213" s="96" t="str">
        <f>IFERROR(__xludf.DUMMYFUNCTION("""COMPUTED_VALUE"""),"")</f>
        <v/>
      </c>
      <c r="CP213" s="97" t="str">
        <f>IFERROR(__xludf.DUMMYFUNCTION("""COMPUTED_VALUE"""),"")</f>
        <v/>
      </c>
      <c r="CQ213" s="95" t="str">
        <f>IFERROR(__xludf.DUMMYFUNCTION("""COMPUTED_VALUE"""),"")</f>
        <v/>
      </c>
      <c r="CR213" s="96" t="str">
        <f>IFERROR(__xludf.DUMMYFUNCTION("""COMPUTED_VALUE"""),"")</f>
        <v/>
      </c>
      <c r="CS213" s="97" t="str">
        <f>IFERROR(__xludf.DUMMYFUNCTION("""COMPUTED_VALUE"""),"#REF!")</f>
        <v>#REF!</v>
      </c>
      <c r="CT213" s="95" t="str">
        <f>IFERROR(__xludf.DUMMYFUNCTION("""COMPUTED_VALUE"""),"#REF!")</f>
        <v>#REF!</v>
      </c>
      <c r="CU213" s="96" t="str">
        <f>IFERROR(__xludf.DUMMYFUNCTION("""COMPUTED_VALUE"""),"#REF!")</f>
        <v>#REF!</v>
      </c>
      <c r="CV213" s="97" t="str">
        <f>IFERROR(__xludf.DUMMYFUNCTION("""COMPUTED_VALUE"""),"#REF!")</f>
        <v>#REF!</v>
      </c>
      <c r="CW213" s="95" t="str">
        <f>IFERROR(__xludf.DUMMYFUNCTION("""COMPUTED_VALUE"""),"#REF!")</f>
        <v>#REF!</v>
      </c>
      <c r="CX213" s="96" t="str">
        <f>IFERROR(__xludf.DUMMYFUNCTION("""COMPUTED_VALUE"""),"#REF!")</f>
        <v>#REF!</v>
      </c>
      <c r="CY213" s="97" t="str">
        <f>IFERROR(__xludf.DUMMYFUNCTION("""COMPUTED_VALUE"""),"#REF!")</f>
        <v>#REF!</v>
      </c>
      <c r="CZ213" s="95" t="str">
        <f>IFERROR(__xludf.DUMMYFUNCTION("""COMPUTED_VALUE"""),"#REF!")</f>
        <v>#REF!</v>
      </c>
      <c r="DA213" s="96" t="str">
        <f>IFERROR(__xludf.DUMMYFUNCTION("""COMPUTED_VALUE"""),"#REF!")</f>
        <v>#REF!</v>
      </c>
      <c r="DB213" s="97" t="str">
        <f>IFERROR(__xludf.DUMMYFUNCTION("""COMPUTED_VALUE"""),"#REF!")</f>
        <v>#REF!</v>
      </c>
      <c r="DC213" s="95" t="str">
        <f>IFERROR(__xludf.DUMMYFUNCTION("""COMPUTED_VALUE"""),"#REF!")</f>
        <v>#REF!</v>
      </c>
      <c r="DD213" s="96" t="str">
        <f>IFERROR(__xludf.DUMMYFUNCTION("""COMPUTED_VALUE"""),"#REF!")</f>
        <v>#REF!</v>
      </c>
      <c r="DE213" s="97" t="str">
        <f>IFERROR(__xludf.DUMMYFUNCTION("""COMPUTED_VALUE"""),"#REF!")</f>
        <v>#REF!</v>
      </c>
      <c r="DF213" s="95" t="str">
        <f>IFERROR(__xludf.DUMMYFUNCTION("""COMPUTED_VALUE"""),"#REF!")</f>
        <v>#REF!</v>
      </c>
      <c r="DG213" s="96" t="str">
        <f>IFERROR(__xludf.DUMMYFUNCTION("""COMPUTED_VALUE"""),"#REF!")</f>
        <v>#REF!</v>
      </c>
      <c r="DH213" s="97" t="str">
        <f>IFERROR(__xludf.DUMMYFUNCTION("""COMPUTED_VALUE"""),"#REF!")</f>
        <v>#REF!</v>
      </c>
      <c r="DI213" s="95" t="str">
        <f>IFERROR(__xludf.DUMMYFUNCTION("""COMPUTED_VALUE"""),"#REF!")</f>
        <v>#REF!</v>
      </c>
      <c r="DJ213" s="96" t="str">
        <f>IFERROR(__xludf.DUMMYFUNCTION("""COMPUTED_VALUE"""),"#REF!")</f>
        <v>#REF!</v>
      </c>
      <c r="DK213" s="97" t="str">
        <f>IFERROR(__xludf.DUMMYFUNCTION("""COMPUTED_VALUE"""),"#REF!")</f>
        <v>#REF!</v>
      </c>
      <c r="DL213" s="95" t="str">
        <f>IFERROR(__xludf.DUMMYFUNCTION("""COMPUTED_VALUE"""),"#REF!")</f>
        <v>#REF!</v>
      </c>
      <c r="DM213" s="96" t="str">
        <f>IFERROR(__xludf.DUMMYFUNCTION("""COMPUTED_VALUE"""),"#REF!")</f>
        <v>#REF!</v>
      </c>
      <c r="DN213" s="97" t="str">
        <f>IFERROR(__xludf.DUMMYFUNCTION("""COMPUTED_VALUE"""),"#REF!")</f>
        <v>#REF!</v>
      </c>
      <c r="DO213" s="95" t="str">
        <f>IFERROR(__xludf.DUMMYFUNCTION("""COMPUTED_VALUE"""),"#REF!")</f>
        <v>#REF!</v>
      </c>
      <c r="DP213" s="96" t="str">
        <f>IFERROR(__xludf.DUMMYFUNCTION("""COMPUTED_VALUE"""),"#REF!")</f>
        <v>#REF!</v>
      </c>
      <c r="DQ213" s="97"/>
      <c r="DR213" s="95"/>
    </row>
    <row r="214">
      <c r="B214" s="237" t="str">
        <f>IFERROR(__xludf.DUMMYFUNCTION("""COMPUTED_VALUE"""),"SIN7")</f>
        <v>SIN7</v>
      </c>
      <c r="C214" s="238">
        <f>IFERROR(__xludf.DUMMYFUNCTION("""COMPUTED_VALUE"""),211.0)</f>
        <v>211</v>
      </c>
      <c r="D214" s="88" t="str">
        <f>IFERROR(__xludf.DUMMYFUNCTION("""COMPUTED_VALUE"""),"Prison Camp")</f>
        <v>Prison Camp</v>
      </c>
      <c r="E214" s="82" t="str">
        <f>IFERROR(__xludf.DUMMYFUNCTION("""COMPUTED_VALUE"""),"収容所")</f>
        <v>収容所</v>
      </c>
      <c r="F214" s="102">
        <f>IFERROR(__xludf.DUMMYFUNCTION("""COMPUTED_VALUE"""),21.0)</f>
        <v>21</v>
      </c>
      <c r="G214" s="82">
        <f>IFERROR(__xludf.DUMMYFUNCTION("""COMPUTED_VALUE"""),64594.0)</f>
        <v>64594</v>
      </c>
      <c r="H214" s="231" t="str">
        <f>IFERROR(__xludf.DUMMYFUNCTION("""COMPUTED_VALUE"""),"")</f>
        <v/>
      </c>
      <c r="I214" s="232" t="str">
        <f>IFERROR(__xludf.DUMMYFUNCTION("""COMPUTED_VALUE"""),"")</f>
        <v/>
      </c>
      <c r="J214" s="233" t="str">
        <f>IFERROR(__xludf.DUMMYFUNCTION("""COMPUTED_VALUE"""),"")</f>
        <v/>
      </c>
      <c r="K214" s="231" t="str">
        <f>IFERROR(__xludf.DUMMYFUNCTION("""COMPUTED_VALUE"""),"")</f>
        <v/>
      </c>
      <c r="L214" s="232" t="str">
        <f>IFERROR(__xludf.DUMMYFUNCTION("""COMPUTED_VALUE"""),"")</f>
        <v/>
      </c>
      <c r="M214" s="233" t="str">
        <f>IFERROR(__xludf.DUMMYFUNCTION("""COMPUTED_VALUE"""),"")</f>
        <v/>
      </c>
      <c r="N214" s="231" t="str">
        <f>IFERROR(__xludf.DUMMYFUNCTION("""COMPUTED_VALUE"""),"")</f>
        <v/>
      </c>
      <c r="O214" s="232" t="str">
        <f>IFERROR(__xludf.DUMMYFUNCTION("""COMPUTED_VALUE"""),"")</f>
        <v/>
      </c>
      <c r="P214" s="233" t="str">
        <f>IFERROR(__xludf.DUMMYFUNCTION("""COMPUTED_VALUE"""),"")</f>
        <v/>
      </c>
      <c r="Q214" s="231" t="str">
        <f>IFERROR(__xludf.DUMMYFUNCTION("""COMPUTED_VALUE"""),"")</f>
        <v/>
      </c>
      <c r="R214" s="232" t="str">
        <f>IFERROR(__xludf.DUMMYFUNCTION("""COMPUTED_VALUE"""),"")</f>
        <v/>
      </c>
      <c r="S214" s="233" t="str">
        <f>IFERROR(__xludf.DUMMYFUNCTION("""COMPUTED_VALUE"""),"")</f>
        <v/>
      </c>
      <c r="T214" s="231">
        <f>IFERROR(__xludf.DUMMYFUNCTION("""COMPUTED_VALUE"""),20.2)</f>
        <v>20.2</v>
      </c>
      <c r="U214" s="232" t="str">
        <f>IFERROR(__xludf.DUMMYFUNCTION("""COMPUTED_VALUE"""),"")</f>
        <v/>
      </c>
      <c r="V214" s="233" t="str">
        <f>IFERROR(__xludf.DUMMYFUNCTION("""COMPUTED_VALUE"""),"")</f>
        <v/>
      </c>
      <c r="W214" s="231" t="str">
        <f>IFERROR(__xludf.DUMMYFUNCTION("""COMPUTED_VALUE"""),"")</f>
        <v/>
      </c>
      <c r="X214" s="232" t="str">
        <f>IFERROR(__xludf.DUMMYFUNCTION("""COMPUTED_VALUE"""),"")</f>
        <v/>
      </c>
      <c r="Y214" s="233" t="str">
        <f>IFERROR(__xludf.DUMMYFUNCTION("""COMPUTED_VALUE"""),"")</f>
        <v/>
      </c>
      <c r="Z214" s="231" t="str">
        <f>IFERROR(__xludf.DUMMYFUNCTION("""COMPUTED_VALUE"""),"")</f>
        <v/>
      </c>
      <c r="AA214" s="232" t="str">
        <f>IFERROR(__xludf.DUMMYFUNCTION("""COMPUTED_VALUE"""),"")</f>
        <v/>
      </c>
      <c r="AB214" s="233" t="str">
        <f>IFERROR(__xludf.DUMMYFUNCTION("""COMPUTED_VALUE"""),"")</f>
        <v/>
      </c>
      <c r="AC214" s="231" t="str">
        <f>IFERROR(__xludf.DUMMYFUNCTION("""COMPUTED_VALUE"""),"")</f>
        <v/>
      </c>
      <c r="AD214" s="232" t="str">
        <f>IFERROR(__xludf.DUMMYFUNCTION("""COMPUTED_VALUE"""),"")</f>
        <v/>
      </c>
      <c r="AE214" s="233" t="str">
        <f>IFERROR(__xludf.DUMMYFUNCTION("""COMPUTED_VALUE"""),"")</f>
        <v/>
      </c>
      <c r="AF214" s="231" t="str">
        <f>IFERROR(__xludf.DUMMYFUNCTION("""COMPUTED_VALUE"""),"")</f>
        <v/>
      </c>
      <c r="AG214" s="232" t="str">
        <f>IFERROR(__xludf.DUMMYFUNCTION("""COMPUTED_VALUE"""),"")</f>
        <v/>
      </c>
      <c r="AH214" s="233" t="str">
        <f>IFERROR(__xludf.DUMMYFUNCTION("""COMPUTED_VALUE"""),"")</f>
        <v/>
      </c>
      <c r="AI214" s="231" t="str">
        <f>IFERROR(__xludf.DUMMYFUNCTION("""COMPUTED_VALUE"""),"")</f>
        <v/>
      </c>
      <c r="AJ214" s="232" t="str">
        <f>IFERROR(__xludf.DUMMYFUNCTION("""COMPUTED_VALUE"""),"")</f>
        <v/>
      </c>
      <c r="AK214" s="233" t="str">
        <f>IFERROR(__xludf.DUMMYFUNCTION("""COMPUTED_VALUE"""),"")</f>
        <v/>
      </c>
      <c r="AL214" s="231" t="str">
        <f>IFERROR(__xludf.DUMMYFUNCTION("""COMPUTED_VALUE"""),"")</f>
        <v/>
      </c>
      <c r="AM214" s="232" t="str">
        <f>IFERROR(__xludf.DUMMYFUNCTION("""COMPUTED_VALUE"""),"")</f>
        <v/>
      </c>
      <c r="AN214" s="233" t="str">
        <f>IFERROR(__xludf.DUMMYFUNCTION("""COMPUTED_VALUE"""),"")</f>
        <v/>
      </c>
      <c r="AO214" s="231">
        <f>IFERROR(__xludf.DUMMYFUNCTION("""COMPUTED_VALUE"""),25.3)</f>
        <v>25.3</v>
      </c>
      <c r="AP214" s="232" t="str">
        <f>IFERROR(__xludf.DUMMYFUNCTION("""COMPUTED_VALUE"""),"")</f>
        <v/>
      </c>
      <c r="AQ214" s="233" t="str">
        <f>IFERROR(__xludf.DUMMYFUNCTION("""COMPUTED_VALUE"""),"")</f>
        <v/>
      </c>
      <c r="AR214" s="231" t="str">
        <f>IFERROR(__xludf.DUMMYFUNCTION("""COMPUTED_VALUE"""),"")</f>
        <v/>
      </c>
      <c r="AS214" s="232" t="str">
        <f>IFERROR(__xludf.DUMMYFUNCTION("""COMPUTED_VALUE"""),"")</f>
        <v/>
      </c>
      <c r="AT214" s="233" t="str">
        <f>IFERROR(__xludf.DUMMYFUNCTION("""COMPUTED_VALUE"""),"")</f>
        <v/>
      </c>
      <c r="AU214" s="231" t="str">
        <f>IFERROR(__xludf.DUMMYFUNCTION("""COMPUTED_VALUE"""),"")</f>
        <v/>
      </c>
      <c r="AV214" s="232" t="str">
        <f>IFERROR(__xludf.DUMMYFUNCTION("""COMPUTED_VALUE"""),"")</f>
        <v/>
      </c>
      <c r="AW214" s="233" t="str">
        <f>IFERROR(__xludf.DUMMYFUNCTION("""COMPUTED_VALUE"""),"")</f>
        <v/>
      </c>
      <c r="AX214" s="231" t="str">
        <f>IFERROR(__xludf.DUMMYFUNCTION("""COMPUTED_VALUE"""),"")</f>
        <v/>
      </c>
      <c r="AY214" s="232" t="str">
        <f>IFERROR(__xludf.DUMMYFUNCTION("""COMPUTED_VALUE"""),"")</f>
        <v/>
      </c>
      <c r="AZ214" s="233" t="str">
        <f>IFERROR(__xludf.DUMMYFUNCTION("""COMPUTED_VALUE"""),"")</f>
        <v/>
      </c>
      <c r="BA214" s="231" t="str">
        <f>IFERROR(__xludf.DUMMYFUNCTION("""COMPUTED_VALUE"""),"")</f>
        <v/>
      </c>
      <c r="BB214" s="232" t="str">
        <f>IFERROR(__xludf.DUMMYFUNCTION("""COMPUTED_VALUE"""),"")</f>
        <v/>
      </c>
      <c r="BC214" s="233" t="str">
        <f>IFERROR(__xludf.DUMMYFUNCTION("""COMPUTED_VALUE"""),"")</f>
        <v/>
      </c>
      <c r="BD214" s="231" t="str">
        <f>IFERROR(__xludf.DUMMYFUNCTION("""COMPUTED_VALUE"""),"")</f>
        <v/>
      </c>
      <c r="BE214" s="232" t="str">
        <f>IFERROR(__xludf.DUMMYFUNCTION("""COMPUTED_VALUE"""),"")</f>
        <v/>
      </c>
      <c r="BF214" s="233" t="str">
        <f>IFERROR(__xludf.DUMMYFUNCTION("""COMPUTED_VALUE"""),"")</f>
        <v/>
      </c>
      <c r="BG214" s="231" t="str">
        <f>IFERROR(__xludf.DUMMYFUNCTION("""COMPUTED_VALUE"""),"")</f>
        <v/>
      </c>
      <c r="BH214" s="232" t="str">
        <f>IFERROR(__xludf.DUMMYFUNCTION("""COMPUTED_VALUE"""),"")</f>
        <v/>
      </c>
      <c r="BI214" s="233" t="str">
        <f>IFERROR(__xludf.DUMMYFUNCTION("""COMPUTED_VALUE"""),"")</f>
        <v/>
      </c>
      <c r="BJ214" s="231" t="str">
        <f>IFERROR(__xludf.DUMMYFUNCTION("""COMPUTED_VALUE"""),"")</f>
        <v/>
      </c>
      <c r="BK214" s="232">
        <f>IFERROR(__xludf.DUMMYFUNCTION("""COMPUTED_VALUE"""),14.9)</f>
        <v>14.9</v>
      </c>
      <c r="BL214" s="233" t="str">
        <f>IFERROR(__xludf.DUMMYFUNCTION("""COMPUTED_VALUE"""),"")</f>
        <v/>
      </c>
      <c r="BM214" s="231" t="str">
        <f>IFERROR(__xludf.DUMMYFUNCTION("""COMPUTED_VALUE"""),"")</f>
        <v/>
      </c>
      <c r="BN214" s="232" t="str">
        <f>IFERROR(__xludf.DUMMYFUNCTION("""COMPUTED_VALUE"""),"")</f>
        <v/>
      </c>
      <c r="BO214" s="233">
        <f>IFERROR(__xludf.DUMMYFUNCTION("""COMPUTED_VALUE"""),20.2)</f>
        <v>20.2</v>
      </c>
      <c r="BP214" s="231" t="str">
        <f>IFERROR(__xludf.DUMMYFUNCTION("""COMPUTED_VALUE"""),"")</f>
        <v/>
      </c>
      <c r="BQ214" s="232" t="str">
        <f>IFERROR(__xludf.DUMMYFUNCTION("""COMPUTED_VALUE"""),"")</f>
        <v/>
      </c>
      <c r="BR214" s="233" t="str">
        <f>IFERROR(__xludf.DUMMYFUNCTION("""COMPUTED_VALUE"""),"")</f>
        <v/>
      </c>
      <c r="BS214" s="231" t="str">
        <f>IFERROR(__xludf.DUMMYFUNCTION("""COMPUTED_VALUE"""),"")</f>
        <v/>
      </c>
      <c r="BT214" s="232" t="str">
        <f>IFERROR(__xludf.DUMMYFUNCTION("""COMPUTED_VALUE"""),"")</f>
        <v/>
      </c>
      <c r="BU214" s="233" t="str">
        <f>IFERROR(__xludf.DUMMYFUNCTION("""COMPUTED_VALUE"""),"")</f>
        <v/>
      </c>
      <c r="BV214" s="231" t="str">
        <f>IFERROR(__xludf.DUMMYFUNCTION("""COMPUTED_VALUE"""),"")</f>
        <v/>
      </c>
      <c r="BW214" s="232" t="str">
        <f>IFERROR(__xludf.DUMMYFUNCTION("""COMPUTED_VALUE"""),"")</f>
        <v/>
      </c>
      <c r="BX214" s="233" t="str">
        <f>IFERROR(__xludf.DUMMYFUNCTION("""COMPUTED_VALUE"""),"")</f>
        <v/>
      </c>
      <c r="BY214" s="231" t="str">
        <f>IFERROR(__xludf.DUMMYFUNCTION("""COMPUTED_VALUE"""),"")</f>
        <v/>
      </c>
      <c r="BZ214" s="232" t="str">
        <f>IFERROR(__xludf.DUMMYFUNCTION("""COMPUTED_VALUE"""),"")</f>
        <v/>
      </c>
      <c r="CA214" s="233" t="str">
        <f>IFERROR(__xludf.DUMMYFUNCTION("""COMPUTED_VALUE"""),"")</f>
        <v/>
      </c>
      <c r="CB214" s="231" t="str">
        <f>IFERROR(__xludf.DUMMYFUNCTION("""COMPUTED_VALUE"""),"")</f>
        <v/>
      </c>
      <c r="CC214" s="232" t="str">
        <f>IFERROR(__xludf.DUMMYFUNCTION("""COMPUTED_VALUE"""),"")</f>
        <v/>
      </c>
      <c r="CD214" s="233" t="str">
        <f>IFERROR(__xludf.DUMMYFUNCTION("""COMPUTED_VALUE"""),"")</f>
        <v/>
      </c>
      <c r="CE214" s="234" t="str">
        <f>IFERROR(__xludf.DUMMYFUNCTION("""COMPUTED_VALUE"""),"")</f>
        <v/>
      </c>
      <c r="CF214" s="230" t="str">
        <f>IFERROR(__xludf.DUMMYFUNCTION("""COMPUTED_VALUE"""),"")</f>
        <v/>
      </c>
      <c r="CG214" s="235" t="str">
        <f>IFERROR(__xludf.DUMMYFUNCTION("""COMPUTED_VALUE"""),"")</f>
        <v/>
      </c>
      <c r="CH214" s="234" t="str">
        <f>IFERROR(__xludf.DUMMYFUNCTION("""COMPUTED_VALUE"""),"")</f>
        <v/>
      </c>
      <c r="CI214" s="230" t="str">
        <f>IFERROR(__xludf.DUMMYFUNCTION("""COMPUTED_VALUE"""),"")</f>
        <v/>
      </c>
      <c r="CJ214" s="235" t="str">
        <f>IFERROR(__xludf.DUMMYFUNCTION("""COMPUTED_VALUE"""),"")</f>
        <v/>
      </c>
      <c r="CK214" s="95" t="str">
        <f>IFERROR(__xludf.DUMMYFUNCTION("""COMPUTED_VALUE"""),"")</f>
        <v/>
      </c>
      <c r="CL214" s="96" t="str">
        <f>IFERROR(__xludf.DUMMYFUNCTION("""COMPUTED_VALUE"""),"")</f>
        <v/>
      </c>
      <c r="CM214" s="97" t="str">
        <f>IFERROR(__xludf.DUMMYFUNCTION("""COMPUTED_VALUE"""),"")</f>
        <v/>
      </c>
      <c r="CN214" s="95" t="str">
        <f>IFERROR(__xludf.DUMMYFUNCTION("""COMPUTED_VALUE"""),"")</f>
        <v/>
      </c>
      <c r="CO214" s="96" t="str">
        <f>IFERROR(__xludf.DUMMYFUNCTION("""COMPUTED_VALUE"""),"")</f>
        <v/>
      </c>
      <c r="CP214" s="97" t="str">
        <f>IFERROR(__xludf.DUMMYFUNCTION("""COMPUTED_VALUE"""),"")</f>
        <v/>
      </c>
      <c r="CQ214" s="95" t="str">
        <f>IFERROR(__xludf.DUMMYFUNCTION("""COMPUTED_VALUE"""),"")</f>
        <v/>
      </c>
      <c r="CR214" s="96" t="str">
        <f>IFERROR(__xludf.DUMMYFUNCTION("""COMPUTED_VALUE"""),"")</f>
        <v/>
      </c>
      <c r="CS214" s="97" t="str">
        <f>IFERROR(__xludf.DUMMYFUNCTION("""COMPUTED_VALUE"""),"#REF!")</f>
        <v>#REF!</v>
      </c>
      <c r="CT214" s="95" t="str">
        <f>IFERROR(__xludf.DUMMYFUNCTION("""COMPUTED_VALUE"""),"#REF!")</f>
        <v>#REF!</v>
      </c>
      <c r="CU214" s="96" t="str">
        <f>IFERROR(__xludf.DUMMYFUNCTION("""COMPUTED_VALUE"""),"#REF!")</f>
        <v>#REF!</v>
      </c>
      <c r="CV214" s="97" t="str">
        <f>IFERROR(__xludf.DUMMYFUNCTION("""COMPUTED_VALUE"""),"#REF!")</f>
        <v>#REF!</v>
      </c>
      <c r="CW214" s="95" t="str">
        <f>IFERROR(__xludf.DUMMYFUNCTION("""COMPUTED_VALUE"""),"#REF!")</f>
        <v>#REF!</v>
      </c>
      <c r="CX214" s="96" t="str">
        <f>IFERROR(__xludf.DUMMYFUNCTION("""COMPUTED_VALUE"""),"#REF!")</f>
        <v>#REF!</v>
      </c>
      <c r="CY214" s="97" t="str">
        <f>IFERROR(__xludf.DUMMYFUNCTION("""COMPUTED_VALUE"""),"#REF!")</f>
        <v>#REF!</v>
      </c>
      <c r="CZ214" s="95" t="str">
        <f>IFERROR(__xludf.DUMMYFUNCTION("""COMPUTED_VALUE"""),"#REF!")</f>
        <v>#REF!</v>
      </c>
      <c r="DA214" s="96" t="str">
        <f>IFERROR(__xludf.DUMMYFUNCTION("""COMPUTED_VALUE"""),"#REF!")</f>
        <v>#REF!</v>
      </c>
      <c r="DB214" s="97" t="str">
        <f>IFERROR(__xludf.DUMMYFUNCTION("""COMPUTED_VALUE"""),"#REF!")</f>
        <v>#REF!</v>
      </c>
      <c r="DC214" s="95" t="str">
        <f>IFERROR(__xludf.DUMMYFUNCTION("""COMPUTED_VALUE"""),"#REF!")</f>
        <v>#REF!</v>
      </c>
      <c r="DD214" s="96" t="str">
        <f>IFERROR(__xludf.DUMMYFUNCTION("""COMPUTED_VALUE"""),"#REF!")</f>
        <v>#REF!</v>
      </c>
      <c r="DE214" s="97" t="str">
        <f>IFERROR(__xludf.DUMMYFUNCTION("""COMPUTED_VALUE"""),"#REF!")</f>
        <v>#REF!</v>
      </c>
      <c r="DF214" s="95" t="str">
        <f>IFERROR(__xludf.DUMMYFUNCTION("""COMPUTED_VALUE"""),"#REF!")</f>
        <v>#REF!</v>
      </c>
      <c r="DG214" s="96" t="str">
        <f>IFERROR(__xludf.DUMMYFUNCTION("""COMPUTED_VALUE"""),"#REF!")</f>
        <v>#REF!</v>
      </c>
      <c r="DH214" s="97" t="str">
        <f>IFERROR(__xludf.DUMMYFUNCTION("""COMPUTED_VALUE"""),"#REF!")</f>
        <v>#REF!</v>
      </c>
      <c r="DI214" s="95" t="str">
        <f>IFERROR(__xludf.DUMMYFUNCTION("""COMPUTED_VALUE"""),"#REF!")</f>
        <v>#REF!</v>
      </c>
      <c r="DJ214" s="96" t="str">
        <f>IFERROR(__xludf.DUMMYFUNCTION("""COMPUTED_VALUE"""),"#REF!")</f>
        <v>#REF!</v>
      </c>
      <c r="DK214" s="97" t="str">
        <f>IFERROR(__xludf.DUMMYFUNCTION("""COMPUTED_VALUE"""),"#REF!")</f>
        <v>#REF!</v>
      </c>
      <c r="DL214" s="95" t="str">
        <f>IFERROR(__xludf.DUMMYFUNCTION("""COMPUTED_VALUE"""),"#REF!")</f>
        <v>#REF!</v>
      </c>
      <c r="DM214" s="96" t="str">
        <f>IFERROR(__xludf.DUMMYFUNCTION("""COMPUTED_VALUE"""),"#REF!")</f>
        <v>#REF!</v>
      </c>
      <c r="DN214" s="97" t="str">
        <f>IFERROR(__xludf.DUMMYFUNCTION("""COMPUTED_VALUE"""),"#REF!")</f>
        <v>#REF!</v>
      </c>
      <c r="DO214" s="95" t="str">
        <f>IFERROR(__xludf.DUMMYFUNCTION("""COMPUTED_VALUE"""),"#REF!")</f>
        <v>#REF!</v>
      </c>
      <c r="DP214" s="96" t="str">
        <f>IFERROR(__xludf.DUMMYFUNCTION("""COMPUTED_VALUE"""),"#REF!")</f>
        <v>#REF!</v>
      </c>
      <c r="DQ214" s="97"/>
      <c r="DR214" s="95"/>
    </row>
    <row r="215">
      <c r="B215" s="237" t="str">
        <f>IFERROR(__xludf.DUMMYFUNCTION("""COMPUTED_VALUE"""),"SIN8")</f>
        <v>SIN8</v>
      </c>
      <c r="C215" s="238">
        <f>IFERROR(__xludf.DUMMYFUNCTION("""COMPUTED_VALUE"""),212.0)</f>
        <v>212</v>
      </c>
      <c r="D215" s="88" t="str">
        <f>IFERROR(__xludf.DUMMYFUNCTION("""COMPUTED_VALUE"""),"Shiquan Canyon")</f>
        <v>Shiquan Canyon</v>
      </c>
      <c r="E215" s="82" t="str">
        <f>IFERROR(__xludf.DUMMYFUNCTION("""COMPUTED_VALUE"""),"石泉峡")</f>
        <v>石泉峡</v>
      </c>
      <c r="F215" s="102">
        <f>IFERROR(__xludf.DUMMYFUNCTION("""COMPUTED_VALUE"""),21.0)</f>
        <v>21</v>
      </c>
      <c r="G215" s="82">
        <f>IFERROR(__xludf.DUMMYFUNCTION("""COMPUTED_VALUE"""),12318.0)</f>
        <v>12318</v>
      </c>
      <c r="H215" s="231" t="str">
        <f>IFERROR(__xludf.DUMMYFUNCTION("""COMPUTED_VALUE"""),"")</f>
        <v/>
      </c>
      <c r="I215" s="232" t="str">
        <f>IFERROR(__xludf.DUMMYFUNCTION("""COMPUTED_VALUE"""),"")</f>
        <v/>
      </c>
      <c r="J215" s="233" t="str">
        <f>IFERROR(__xludf.DUMMYFUNCTION("""COMPUTED_VALUE"""),"")</f>
        <v/>
      </c>
      <c r="K215" s="231" t="str">
        <f>IFERROR(__xludf.DUMMYFUNCTION("""COMPUTED_VALUE"""),"")</f>
        <v/>
      </c>
      <c r="L215" s="232" t="str">
        <f>IFERROR(__xludf.DUMMYFUNCTION("""COMPUTED_VALUE"""),"")</f>
        <v/>
      </c>
      <c r="M215" s="233" t="str">
        <f>IFERROR(__xludf.DUMMYFUNCTION("""COMPUTED_VALUE"""),"")</f>
        <v/>
      </c>
      <c r="N215" s="231" t="str">
        <f>IFERROR(__xludf.DUMMYFUNCTION("""COMPUTED_VALUE"""),"")</f>
        <v/>
      </c>
      <c r="O215" s="232" t="str">
        <f>IFERROR(__xludf.DUMMYFUNCTION("""COMPUTED_VALUE"""),"")</f>
        <v/>
      </c>
      <c r="P215" s="233" t="str">
        <f>IFERROR(__xludf.DUMMYFUNCTION("""COMPUTED_VALUE"""),"")</f>
        <v/>
      </c>
      <c r="Q215" s="231" t="str">
        <f>IFERROR(__xludf.DUMMYFUNCTION("""COMPUTED_VALUE"""),"")</f>
        <v/>
      </c>
      <c r="R215" s="232" t="str">
        <f>IFERROR(__xludf.DUMMYFUNCTION("""COMPUTED_VALUE"""),"")</f>
        <v/>
      </c>
      <c r="S215" s="233" t="str">
        <f>IFERROR(__xludf.DUMMYFUNCTION("""COMPUTED_VALUE"""),"")</f>
        <v/>
      </c>
      <c r="T215" s="231">
        <f>IFERROR(__xludf.DUMMYFUNCTION("""COMPUTED_VALUE"""),20.0)</f>
        <v>20</v>
      </c>
      <c r="U215" s="232" t="str">
        <f>IFERROR(__xludf.DUMMYFUNCTION("""COMPUTED_VALUE"""),"")</f>
        <v/>
      </c>
      <c r="V215" s="233" t="str">
        <f>IFERROR(__xludf.DUMMYFUNCTION("""COMPUTED_VALUE"""),"")</f>
        <v/>
      </c>
      <c r="W215" s="231" t="str">
        <f>IFERROR(__xludf.DUMMYFUNCTION("""COMPUTED_VALUE"""),"")</f>
        <v/>
      </c>
      <c r="X215" s="232" t="str">
        <f>IFERROR(__xludf.DUMMYFUNCTION("""COMPUTED_VALUE"""),"")</f>
        <v/>
      </c>
      <c r="Y215" s="233" t="str">
        <f>IFERROR(__xludf.DUMMYFUNCTION("""COMPUTED_VALUE"""),"")</f>
        <v/>
      </c>
      <c r="Z215" s="231" t="str">
        <f>IFERROR(__xludf.DUMMYFUNCTION("""COMPUTED_VALUE"""),"")</f>
        <v/>
      </c>
      <c r="AA215" s="232" t="str">
        <f>IFERROR(__xludf.DUMMYFUNCTION("""COMPUTED_VALUE"""),"")</f>
        <v/>
      </c>
      <c r="AB215" s="233" t="str">
        <f>IFERROR(__xludf.DUMMYFUNCTION("""COMPUTED_VALUE"""),"")</f>
        <v/>
      </c>
      <c r="AC215" s="231" t="str">
        <f>IFERROR(__xludf.DUMMYFUNCTION("""COMPUTED_VALUE"""),"")</f>
        <v/>
      </c>
      <c r="AD215" s="232" t="str">
        <f>IFERROR(__xludf.DUMMYFUNCTION("""COMPUTED_VALUE"""),"")</f>
        <v/>
      </c>
      <c r="AE215" s="233">
        <f>IFERROR(__xludf.DUMMYFUNCTION("""COMPUTED_VALUE"""),30.1)</f>
        <v>30.1</v>
      </c>
      <c r="AF215" s="231" t="str">
        <f>IFERROR(__xludf.DUMMYFUNCTION("""COMPUTED_VALUE"""),"")</f>
        <v/>
      </c>
      <c r="AG215" s="232" t="str">
        <f>IFERROR(__xludf.DUMMYFUNCTION("""COMPUTED_VALUE"""),"")</f>
        <v/>
      </c>
      <c r="AH215" s="233" t="str">
        <f>IFERROR(__xludf.DUMMYFUNCTION("""COMPUTED_VALUE"""),"")</f>
        <v/>
      </c>
      <c r="AI215" s="231" t="str">
        <f>IFERROR(__xludf.DUMMYFUNCTION("""COMPUTED_VALUE"""),"")</f>
        <v/>
      </c>
      <c r="AJ215" s="232" t="str">
        <f>IFERROR(__xludf.DUMMYFUNCTION("""COMPUTED_VALUE"""),"")</f>
        <v/>
      </c>
      <c r="AK215" s="233" t="str">
        <f>IFERROR(__xludf.DUMMYFUNCTION("""COMPUTED_VALUE"""),"")</f>
        <v/>
      </c>
      <c r="AL215" s="231" t="str">
        <f>IFERROR(__xludf.DUMMYFUNCTION("""COMPUTED_VALUE"""),"")</f>
        <v/>
      </c>
      <c r="AM215" s="232" t="str">
        <f>IFERROR(__xludf.DUMMYFUNCTION("""COMPUTED_VALUE"""),"")</f>
        <v/>
      </c>
      <c r="AN215" s="233" t="str">
        <f>IFERROR(__xludf.DUMMYFUNCTION("""COMPUTED_VALUE"""),"")</f>
        <v/>
      </c>
      <c r="AO215" s="231" t="str">
        <f>IFERROR(__xludf.DUMMYFUNCTION("""COMPUTED_VALUE"""),"")</f>
        <v/>
      </c>
      <c r="AP215" s="232" t="str">
        <f>IFERROR(__xludf.DUMMYFUNCTION("""COMPUTED_VALUE"""),"")</f>
        <v/>
      </c>
      <c r="AQ215" s="233" t="str">
        <f>IFERROR(__xludf.DUMMYFUNCTION("""COMPUTED_VALUE"""),"")</f>
        <v/>
      </c>
      <c r="AR215" s="231" t="str">
        <f>IFERROR(__xludf.DUMMYFUNCTION("""COMPUTED_VALUE"""),"")</f>
        <v/>
      </c>
      <c r="AS215" s="232" t="str">
        <f>IFERROR(__xludf.DUMMYFUNCTION("""COMPUTED_VALUE"""),"")</f>
        <v/>
      </c>
      <c r="AT215" s="233" t="str">
        <f>IFERROR(__xludf.DUMMYFUNCTION("""COMPUTED_VALUE"""),"")</f>
        <v/>
      </c>
      <c r="AU215" s="231" t="str">
        <f>IFERROR(__xludf.DUMMYFUNCTION("""COMPUTED_VALUE"""),"")</f>
        <v/>
      </c>
      <c r="AV215" s="232" t="str">
        <f>IFERROR(__xludf.DUMMYFUNCTION("""COMPUTED_VALUE"""),"")</f>
        <v/>
      </c>
      <c r="AW215" s="233" t="str">
        <f>IFERROR(__xludf.DUMMYFUNCTION("""COMPUTED_VALUE"""),"")</f>
        <v/>
      </c>
      <c r="AX215" s="231" t="str">
        <f>IFERROR(__xludf.DUMMYFUNCTION("""COMPUTED_VALUE"""),"")</f>
        <v/>
      </c>
      <c r="AY215" s="232" t="str">
        <f>IFERROR(__xludf.DUMMYFUNCTION("""COMPUTED_VALUE"""),"")</f>
        <v/>
      </c>
      <c r="AZ215" s="233" t="str">
        <f>IFERROR(__xludf.DUMMYFUNCTION("""COMPUTED_VALUE"""),"")</f>
        <v/>
      </c>
      <c r="BA215" s="231" t="str">
        <f>IFERROR(__xludf.DUMMYFUNCTION("""COMPUTED_VALUE"""),"")</f>
        <v/>
      </c>
      <c r="BB215" s="232" t="str">
        <f>IFERROR(__xludf.DUMMYFUNCTION("""COMPUTED_VALUE"""),"")</f>
        <v/>
      </c>
      <c r="BC215" s="233" t="str">
        <f>IFERROR(__xludf.DUMMYFUNCTION("""COMPUTED_VALUE"""),"")</f>
        <v/>
      </c>
      <c r="BD215" s="231" t="str">
        <f>IFERROR(__xludf.DUMMYFUNCTION("""COMPUTED_VALUE"""),"")</f>
        <v/>
      </c>
      <c r="BE215" s="232" t="str">
        <f>IFERROR(__xludf.DUMMYFUNCTION("""COMPUTED_VALUE"""),"")</f>
        <v/>
      </c>
      <c r="BF215" s="233" t="str">
        <f>IFERROR(__xludf.DUMMYFUNCTION("""COMPUTED_VALUE"""),"")</f>
        <v/>
      </c>
      <c r="BG215" s="231" t="str">
        <f>IFERROR(__xludf.DUMMYFUNCTION("""COMPUTED_VALUE"""),"")</f>
        <v/>
      </c>
      <c r="BH215" s="232" t="str">
        <f>IFERROR(__xludf.DUMMYFUNCTION("""COMPUTED_VALUE"""),"")</f>
        <v/>
      </c>
      <c r="BI215" s="233" t="str">
        <f>IFERROR(__xludf.DUMMYFUNCTION("""COMPUTED_VALUE"""),"")</f>
        <v/>
      </c>
      <c r="BJ215" s="231" t="str">
        <f>IFERROR(__xludf.DUMMYFUNCTION("""COMPUTED_VALUE"""),"")</f>
        <v/>
      </c>
      <c r="BK215" s="232">
        <f>IFERROR(__xludf.DUMMYFUNCTION("""COMPUTED_VALUE"""),19.5)</f>
        <v>19.5</v>
      </c>
      <c r="BL215" s="233" t="str">
        <f>IFERROR(__xludf.DUMMYFUNCTION("""COMPUTED_VALUE"""),"")</f>
        <v/>
      </c>
      <c r="BM215" s="231" t="str">
        <f>IFERROR(__xludf.DUMMYFUNCTION("""COMPUTED_VALUE"""),"")</f>
        <v/>
      </c>
      <c r="BN215" s="232" t="str">
        <f>IFERROR(__xludf.DUMMYFUNCTION("""COMPUTED_VALUE"""),"")</f>
        <v/>
      </c>
      <c r="BO215" s="233" t="str">
        <f>IFERROR(__xludf.DUMMYFUNCTION("""COMPUTED_VALUE"""),"")</f>
        <v/>
      </c>
      <c r="BP215" s="231" t="str">
        <f>IFERROR(__xludf.DUMMYFUNCTION("""COMPUTED_VALUE"""),"")</f>
        <v/>
      </c>
      <c r="BQ215" s="232" t="str">
        <f>IFERROR(__xludf.DUMMYFUNCTION("""COMPUTED_VALUE"""),"")</f>
        <v/>
      </c>
      <c r="BR215" s="233" t="str">
        <f>IFERROR(__xludf.DUMMYFUNCTION("""COMPUTED_VALUE"""),"")</f>
        <v/>
      </c>
      <c r="BS215" s="231" t="str">
        <f>IFERROR(__xludf.DUMMYFUNCTION("""COMPUTED_VALUE"""),"")</f>
        <v/>
      </c>
      <c r="BT215" s="232">
        <f>IFERROR(__xludf.DUMMYFUNCTION("""COMPUTED_VALUE"""),25.6)</f>
        <v>25.6</v>
      </c>
      <c r="BU215" s="233" t="str">
        <f>IFERROR(__xludf.DUMMYFUNCTION("""COMPUTED_VALUE"""),"")</f>
        <v/>
      </c>
      <c r="BV215" s="231" t="str">
        <f>IFERROR(__xludf.DUMMYFUNCTION("""COMPUTED_VALUE"""),"")</f>
        <v/>
      </c>
      <c r="BW215" s="232" t="str">
        <f>IFERROR(__xludf.DUMMYFUNCTION("""COMPUTED_VALUE"""),"")</f>
        <v/>
      </c>
      <c r="BX215" s="233" t="str">
        <f>IFERROR(__xludf.DUMMYFUNCTION("""COMPUTED_VALUE"""),"")</f>
        <v/>
      </c>
      <c r="BY215" s="231" t="str">
        <f>IFERROR(__xludf.DUMMYFUNCTION("""COMPUTED_VALUE"""),"")</f>
        <v/>
      </c>
      <c r="BZ215" s="232" t="str">
        <f>IFERROR(__xludf.DUMMYFUNCTION("""COMPUTED_VALUE"""),"")</f>
        <v/>
      </c>
      <c r="CA215" s="233" t="str">
        <f>IFERROR(__xludf.DUMMYFUNCTION("""COMPUTED_VALUE"""),"")</f>
        <v/>
      </c>
      <c r="CB215" s="231" t="str">
        <f>IFERROR(__xludf.DUMMYFUNCTION("""COMPUTED_VALUE"""),"")</f>
        <v/>
      </c>
      <c r="CC215" s="232" t="str">
        <f>IFERROR(__xludf.DUMMYFUNCTION("""COMPUTED_VALUE"""),"")</f>
        <v/>
      </c>
      <c r="CD215" s="233" t="str">
        <f>IFERROR(__xludf.DUMMYFUNCTION("""COMPUTED_VALUE"""),"")</f>
        <v/>
      </c>
      <c r="CE215" s="234" t="str">
        <f>IFERROR(__xludf.DUMMYFUNCTION("""COMPUTED_VALUE"""),"")</f>
        <v/>
      </c>
      <c r="CF215" s="230" t="str">
        <f>IFERROR(__xludf.DUMMYFUNCTION("""COMPUTED_VALUE"""),"")</f>
        <v/>
      </c>
      <c r="CG215" s="235" t="str">
        <f>IFERROR(__xludf.DUMMYFUNCTION("""COMPUTED_VALUE"""),"")</f>
        <v/>
      </c>
      <c r="CH215" s="234" t="str">
        <f>IFERROR(__xludf.DUMMYFUNCTION("""COMPUTED_VALUE"""),"")</f>
        <v/>
      </c>
      <c r="CI215" s="230" t="str">
        <f>IFERROR(__xludf.DUMMYFUNCTION("""COMPUTED_VALUE"""),"")</f>
        <v/>
      </c>
      <c r="CJ215" s="235" t="str">
        <f>IFERROR(__xludf.DUMMYFUNCTION("""COMPUTED_VALUE"""),"")</f>
        <v/>
      </c>
      <c r="CK215" s="95" t="str">
        <f>IFERROR(__xludf.DUMMYFUNCTION("""COMPUTED_VALUE"""),"")</f>
        <v/>
      </c>
      <c r="CL215" s="96" t="str">
        <f>IFERROR(__xludf.DUMMYFUNCTION("""COMPUTED_VALUE"""),"")</f>
        <v/>
      </c>
      <c r="CM215" s="97" t="str">
        <f>IFERROR(__xludf.DUMMYFUNCTION("""COMPUTED_VALUE"""),"")</f>
        <v/>
      </c>
      <c r="CN215" s="95" t="str">
        <f>IFERROR(__xludf.DUMMYFUNCTION("""COMPUTED_VALUE"""),"")</f>
        <v/>
      </c>
      <c r="CO215" s="96" t="str">
        <f>IFERROR(__xludf.DUMMYFUNCTION("""COMPUTED_VALUE"""),"")</f>
        <v/>
      </c>
      <c r="CP215" s="97" t="str">
        <f>IFERROR(__xludf.DUMMYFUNCTION("""COMPUTED_VALUE"""),"")</f>
        <v/>
      </c>
      <c r="CQ215" s="95" t="str">
        <f>IFERROR(__xludf.DUMMYFUNCTION("""COMPUTED_VALUE"""),"")</f>
        <v/>
      </c>
      <c r="CR215" s="96" t="str">
        <f>IFERROR(__xludf.DUMMYFUNCTION("""COMPUTED_VALUE"""),"")</f>
        <v/>
      </c>
      <c r="CS215" s="97" t="str">
        <f>IFERROR(__xludf.DUMMYFUNCTION("""COMPUTED_VALUE"""),"#REF!")</f>
        <v>#REF!</v>
      </c>
      <c r="CT215" s="95" t="str">
        <f>IFERROR(__xludf.DUMMYFUNCTION("""COMPUTED_VALUE"""),"#REF!")</f>
        <v>#REF!</v>
      </c>
      <c r="CU215" s="96" t="str">
        <f>IFERROR(__xludf.DUMMYFUNCTION("""COMPUTED_VALUE"""),"#REF!")</f>
        <v>#REF!</v>
      </c>
      <c r="CV215" s="97" t="str">
        <f>IFERROR(__xludf.DUMMYFUNCTION("""COMPUTED_VALUE"""),"#REF!")</f>
        <v>#REF!</v>
      </c>
      <c r="CW215" s="95" t="str">
        <f>IFERROR(__xludf.DUMMYFUNCTION("""COMPUTED_VALUE"""),"#REF!")</f>
        <v>#REF!</v>
      </c>
      <c r="CX215" s="96" t="str">
        <f>IFERROR(__xludf.DUMMYFUNCTION("""COMPUTED_VALUE"""),"#REF!")</f>
        <v>#REF!</v>
      </c>
      <c r="CY215" s="97" t="str">
        <f>IFERROR(__xludf.DUMMYFUNCTION("""COMPUTED_VALUE"""),"#REF!")</f>
        <v>#REF!</v>
      </c>
      <c r="CZ215" s="95" t="str">
        <f>IFERROR(__xludf.DUMMYFUNCTION("""COMPUTED_VALUE"""),"#REF!")</f>
        <v>#REF!</v>
      </c>
      <c r="DA215" s="96" t="str">
        <f>IFERROR(__xludf.DUMMYFUNCTION("""COMPUTED_VALUE"""),"#REF!")</f>
        <v>#REF!</v>
      </c>
      <c r="DB215" s="97" t="str">
        <f>IFERROR(__xludf.DUMMYFUNCTION("""COMPUTED_VALUE"""),"#REF!")</f>
        <v>#REF!</v>
      </c>
      <c r="DC215" s="95" t="str">
        <f>IFERROR(__xludf.DUMMYFUNCTION("""COMPUTED_VALUE"""),"#REF!")</f>
        <v>#REF!</v>
      </c>
      <c r="DD215" s="96" t="str">
        <f>IFERROR(__xludf.DUMMYFUNCTION("""COMPUTED_VALUE"""),"#REF!")</f>
        <v>#REF!</v>
      </c>
      <c r="DE215" s="97" t="str">
        <f>IFERROR(__xludf.DUMMYFUNCTION("""COMPUTED_VALUE"""),"#REF!")</f>
        <v>#REF!</v>
      </c>
      <c r="DF215" s="95" t="str">
        <f>IFERROR(__xludf.DUMMYFUNCTION("""COMPUTED_VALUE"""),"#REF!")</f>
        <v>#REF!</v>
      </c>
      <c r="DG215" s="96" t="str">
        <f>IFERROR(__xludf.DUMMYFUNCTION("""COMPUTED_VALUE"""),"#REF!")</f>
        <v>#REF!</v>
      </c>
      <c r="DH215" s="97" t="str">
        <f>IFERROR(__xludf.DUMMYFUNCTION("""COMPUTED_VALUE"""),"#REF!")</f>
        <v>#REF!</v>
      </c>
      <c r="DI215" s="95" t="str">
        <f>IFERROR(__xludf.DUMMYFUNCTION("""COMPUTED_VALUE"""),"#REF!")</f>
        <v>#REF!</v>
      </c>
      <c r="DJ215" s="96" t="str">
        <f>IFERROR(__xludf.DUMMYFUNCTION("""COMPUTED_VALUE"""),"#REF!")</f>
        <v>#REF!</v>
      </c>
      <c r="DK215" s="97" t="str">
        <f>IFERROR(__xludf.DUMMYFUNCTION("""COMPUTED_VALUE"""),"#REF!")</f>
        <v>#REF!</v>
      </c>
      <c r="DL215" s="95" t="str">
        <f>IFERROR(__xludf.DUMMYFUNCTION("""COMPUTED_VALUE"""),"#REF!")</f>
        <v>#REF!</v>
      </c>
      <c r="DM215" s="96" t="str">
        <f>IFERROR(__xludf.DUMMYFUNCTION("""COMPUTED_VALUE"""),"#REF!")</f>
        <v>#REF!</v>
      </c>
      <c r="DN215" s="97" t="str">
        <f>IFERROR(__xludf.DUMMYFUNCTION("""COMPUTED_VALUE"""),"#REF!")</f>
        <v>#REF!</v>
      </c>
      <c r="DO215" s="95" t="str">
        <f>IFERROR(__xludf.DUMMYFUNCTION("""COMPUTED_VALUE"""),"#REF!")</f>
        <v>#REF!</v>
      </c>
      <c r="DP215" s="96" t="str">
        <f>IFERROR(__xludf.DUMMYFUNCTION("""COMPUTED_VALUE"""),"#REF!")</f>
        <v>#REF!</v>
      </c>
      <c r="DQ215" s="97"/>
      <c r="DR215" s="95"/>
    </row>
    <row r="216">
      <c r="B216" s="237" t="str">
        <f>IFERROR(__xludf.DUMMYFUNCTION("""COMPUTED_VALUE"""),"SIN9")</f>
        <v>SIN9</v>
      </c>
      <c r="C216" s="238">
        <f>IFERROR(__xludf.DUMMYFUNCTION("""COMPUTED_VALUE"""),213.0)</f>
        <v>213</v>
      </c>
      <c r="D216" s="88" t="str">
        <f>IFERROR(__xludf.DUMMYFUNCTION("""COMPUTED_VALUE"""),"Daping Yu")</f>
        <v>Daping Yu</v>
      </c>
      <c r="E216" s="82" t="str">
        <f>IFERROR(__xludf.DUMMYFUNCTION("""COMPUTED_VALUE"""),"大坪峪")</f>
        <v>大坪峪</v>
      </c>
      <c r="F216" s="102">
        <f>IFERROR(__xludf.DUMMYFUNCTION("""COMPUTED_VALUE"""),21.0)</f>
        <v>21</v>
      </c>
      <c r="G216" s="82">
        <f>IFERROR(__xludf.DUMMYFUNCTION("""COMPUTED_VALUE"""),10400.0)</f>
        <v>10400</v>
      </c>
      <c r="H216" s="231" t="str">
        <f>IFERROR(__xludf.DUMMYFUNCTION("""COMPUTED_VALUE"""),"")</f>
        <v/>
      </c>
      <c r="I216" s="232" t="str">
        <f>IFERROR(__xludf.DUMMYFUNCTION("""COMPUTED_VALUE"""),"")</f>
        <v/>
      </c>
      <c r="J216" s="233" t="str">
        <f>IFERROR(__xludf.DUMMYFUNCTION("""COMPUTED_VALUE"""),"")</f>
        <v/>
      </c>
      <c r="K216" s="231" t="str">
        <f>IFERROR(__xludf.DUMMYFUNCTION("""COMPUTED_VALUE"""),"")</f>
        <v/>
      </c>
      <c r="L216" s="232" t="str">
        <f>IFERROR(__xludf.DUMMYFUNCTION("""COMPUTED_VALUE"""),"")</f>
        <v/>
      </c>
      <c r="M216" s="233" t="str">
        <f>IFERROR(__xludf.DUMMYFUNCTION("""COMPUTED_VALUE"""),"")</f>
        <v/>
      </c>
      <c r="N216" s="231" t="str">
        <f>IFERROR(__xludf.DUMMYFUNCTION("""COMPUTED_VALUE"""),"")</f>
        <v/>
      </c>
      <c r="O216" s="232" t="str">
        <f>IFERROR(__xludf.DUMMYFUNCTION("""COMPUTED_VALUE"""),"")</f>
        <v/>
      </c>
      <c r="P216" s="233" t="str">
        <f>IFERROR(__xludf.DUMMYFUNCTION("""COMPUTED_VALUE"""),"")</f>
        <v/>
      </c>
      <c r="Q216" s="231" t="str">
        <f>IFERROR(__xludf.DUMMYFUNCTION("""COMPUTED_VALUE"""),"")</f>
        <v/>
      </c>
      <c r="R216" s="232" t="str">
        <f>IFERROR(__xludf.DUMMYFUNCTION("""COMPUTED_VALUE"""),"")</f>
        <v/>
      </c>
      <c r="S216" s="233" t="str">
        <f>IFERROR(__xludf.DUMMYFUNCTION("""COMPUTED_VALUE"""),"")</f>
        <v/>
      </c>
      <c r="T216" s="231" t="str">
        <f>IFERROR(__xludf.DUMMYFUNCTION("""COMPUTED_VALUE"""),"")</f>
        <v/>
      </c>
      <c r="U216" s="232" t="str">
        <f>IFERROR(__xludf.DUMMYFUNCTION("""COMPUTED_VALUE"""),"")</f>
        <v/>
      </c>
      <c r="V216" s="233" t="str">
        <f>IFERROR(__xludf.DUMMYFUNCTION("""COMPUTED_VALUE"""),"")</f>
        <v/>
      </c>
      <c r="W216" s="231" t="str">
        <f>IFERROR(__xludf.DUMMYFUNCTION("""COMPUTED_VALUE"""),"")</f>
        <v/>
      </c>
      <c r="X216" s="232" t="str">
        <f>IFERROR(__xludf.DUMMYFUNCTION("""COMPUTED_VALUE"""),"")</f>
        <v/>
      </c>
      <c r="Y216" s="233" t="str">
        <f>IFERROR(__xludf.DUMMYFUNCTION("""COMPUTED_VALUE"""),"")</f>
        <v/>
      </c>
      <c r="Z216" s="231" t="str">
        <f>IFERROR(__xludf.DUMMYFUNCTION("""COMPUTED_VALUE"""),"")</f>
        <v/>
      </c>
      <c r="AA216" s="232" t="str">
        <f>IFERROR(__xludf.DUMMYFUNCTION("""COMPUTED_VALUE"""),"")</f>
        <v/>
      </c>
      <c r="AB216" s="233" t="str">
        <f>IFERROR(__xludf.DUMMYFUNCTION("""COMPUTED_VALUE"""),"")</f>
        <v/>
      </c>
      <c r="AC216" s="231" t="str">
        <f>IFERROR(__xludf.DUMMYFUNCTION("""COMPUTED_VALUE"""),"")</f>
        <v/>
      </c>
      <c r="AD216" s="232" t="str">
        <f>IFERROR(__xludf.DUMMYFUNCTION("""COMPUTED_VALUE"""),"")</f>
        <v/>
      </c>
      <c r="AE216" s="233">
        <f>IFERROR(__xludf.DUMMYFUNCTION("""COMPUTED_VALUE"""),28.8)</f>
        <v>28.8</v>
      </c>
      <c r="AF216" s="231" t="str">
        <f>IFERROR(__xludf.DUMMYFUNCTION("""COMPUTED_VALUE"""),"")</f>
        <v/>
      </c>
      <c r="AG216" s="232" t="str">
        <f>IFERROR(__xludf.DUMMYFUNCTION("""COMPUTED_VALUE"""),"")</f>
        <v/>
      </c>
      <c r="AH216" s="233" t="str">
        <f>IFERROR(__xludf.DUMMYFUNCTION("""COMPUTED_VALUE"""),"")</f>
        <v/>
      </c>
      <c r="AI216" s="231" t="str">
        <f>IFERROR(__xludf.DUMMYFUNCTION("""COMPUTED_VALUE"""),"")</f>
        <v/>
      </c>
      <c r="AJ216" s="232" t="str">
        <f>IFERROR(__xludf.DUMMYFUNCTION("""COMPUTED_VALUE"""),"")</f>
        <v/>
      </c>
      <c r="AK216" s="233" t="str">
        <f>IFERROR(__xludf.DUMMYFUNCTION("""COMPUTED_VALUE"""),"")</f>
        <v/>
      </c>
      <c r="AL216" s="231" t="str">
        <f>IFERROR(__xludf.DUMMYFUNCTION("""COMPUTED_VALUE"""),"")</f>
        <v/>
      </c>
      <c r="AM216" s="232" t="str">
        <f>IFERROR(__xludf.DUMMYFUNCTION("""COMPUTED_VALUE"""),"")</f>
        <v/>
      </c>
      <c r="AN216" s="233" t="str">
        <f>IFERROR(__xludf.DUMMYFUNCTION("""COMPUTED_VALUE"""),"")</f>
        <v/>
      </c>
      <c r="AO216" s="231">
        <f>IFERROR(__xludf.DUMMYFUNCTION("""COMPUTED_VALUE"""),25.4)</f>
        <v>25.4</v>
      </c>
      <c r="AP216" s="232" t="str">
        <f>IFERROR(__xludf.DUMMYFUNCTION("""COMPUTED_VALUE"""),"")</f>
        <v/>
      </c>
      <c r="AQ216" s="233" t="str">
        <f>IFERROR(__xludf.DUMMYFUNCTION("""COMPUTED_VALUE"""),"")</f>
        <v/>
      </c>
      <c r="AR216" s="231" t="str">
        <f>IFERROR(__xludf.DUMMYFUNCTION("""COMPUTED_VALUE"""),"")</f>
        <v/>
      </c>
      <c r="AS216" s="232" t="str">
        <f>IFERROR(__xludf.DUMMYFUNCTION("""COMPUTED_VALUE"""),"")</f>
        <v/>
      </c>
      <c r="AT216" s="233" t="str">
        <f>IFERROR(__xludf.DUMMYFUNCTION("""COMPUTED_VALUE"""),"")</f>
        <v/>
      </c>
      <c r="AU216" s="231" t="str">
        <f>IFERROR(__xludf.DUMMYFUNCTION("""COMPUTED_VALUE"""),"")</f>
        <v/>
      </c>
      <c r="AV216" s="232" t="str">
        <f>IFERROR(__xludf.DUMMYFUNCTION("""COMPUTED_VALUE"""),"")</f>
        <v/>
      </c>
      <c r="AW216" s="233" t="str">
        <f>IFERROR(__xludf.DUMMYFUNCTION("""COMPUTED_VALUE"""),"")</f>
        <v/>
      </c>
      <c r="AX216" s="231" t="str">
        <f>IFERROR(__xludf.DUMMYFUNCTION("""COMPUTED_VALUE"""),"")</f>
        <v/>
      </c>
      <c r="AY216" s="232" t="str">
        <f>IFERROR(__xludf.DUMMYFUNCTION("""COMPUTED_VALUE"""),"")</f>
        <v/>
      </c>
      <c r="AZ216" s="233" t="str">
        <f>IFERROR(__xludf.DUMMYFUNCTION("""COMPUTED_VALUE"""),"")</f>
        <v/>
      </c>
      <c r="BA216" s="231" t="str">
        <f>IFERROR(__xludf.DUMMYFUNCTION("""COMPUTED_VALUE"""),"")</f>
        <v/>
      </c>
      <c r="BB216" s="232" t="str">
        <f>IFERROR(__xludf.DUMMYFUNCTION("""COMPUTED_VALUE"""),"")</f>
        <v/>
      </c>
      <c r="BC216" s="233" t="str">
        <f>IFERROR(__xludf.DUMMYFUNCTION("""COMPUTED_VALUE"""),"")</f>
        <v/>
      </c>
      <c r="BD216" s="231" t="str">
        <f>IFERROR(__xludf.DUMMYFUNCTION("""COMPUTED_VALUE"""),"")</f>
        <v/>
      </c>
      <c r="BE216" s="232" t="str">
        <f>IFERROR(__xludf.DUMMYFUNCTION("""COMPUTED_VALUE"""),"")</f>
        <v/>
      </c>
      <c r="BF216" s="233" t="str">
        <f>IFERROR(__xludf.DUMMYFUNCTION("""COMPUTED_VALUE"""),"")</f>
        <v/>
      </c>
      <c r="BG216" s="231" t="str">
        <f>IFERROR(__xludf.DUMMYFUNCTION("""COMPUTED_VALUE"""),"")</f>
        <v/>
      </c>
      <c r="BH216" s="232" t="str">
        <f>IFERROR(__xludf.DUMMYFUNCTION("""COMPUTED_VALUE"""),"")</f>
        <v/>
      </c>
      <c r="BI216" s="233" t="str">
        <f>IFERROR(__xludf.DUMMYFUNCTION("""COMPUTED_VALUE"""),"")</f>
        <v/>
      </c>
      <c r="BJ216" s="231" t="str">
        <f>IFERROR(__xludf.DUMMYFUNCTION("""COMPUTED_VALUE"""),"")</f>
        <v/>
      </c>
      <c r="BK216" s="232" t="str">
        <f>IFERROR(__xludf.DUMMYFUNCTION("""COMPUTED_VALUE"""),"")</f>
        <v/>
      </c>
      <c r="BL216" s="233" t="str">
        <f>IFERROR(__xludf.DUMMYFUNCTION("""COMPUTED_VALUE"""),"")</f>
        <v/>
      </c>
      <c r="BM216" s="231" t="str">
        <f>IFERROR(__xludf.DUMMYFUNCTION("""COMPUTED_VALUE"""),"")</f>
        <v/>
      </c>
      <c r="BN216" s="232" t="str">
        <f>IFERROR(__xludf.DUMMYFUNCTION("""COMPUTED_VALUE"""),"")</f>
        <v/>
      </c>
      <c r="BO216" s="233">
        <f>IFERROR(__xludf.DUMMYFUNCTION("""COMPUTED_VALUE"""),20.3)</f>
        <v>20.3</v>
      </c>
      <c r="BP216" s="231" t="str">
        <f>IFERROR(__xludf.DUMMYFUNCTION("""COMPUTED_VALUE"""),"")</f>
        <v/>
      </c>
      <c r="BQ216" s="232" t="str">
        <f>IFERROR(__xludf.DUMMYFUNCTION("""COMPUTED_VALUE"""),"")</f>
        <v/>
      </c>
      <c r="BR216" s="233" t="str">
        <f>IFERROR(__xludf.DUMMYFUNCTION("""COMPUTED_VALUE"""),"")</f>
        <v/>
      </c>
      <c r="BS216" s="231" t="str">
        <f>IFERROR(__xludf.DUMMYFUNCTION("""COMPUTED_VALUE"""),"")</f>
        <v/>
      </c>
      <c r="BT216" s="232">
        <f>IFERROR(__xludf.DUMMYFUNCTION("""COMPUTED_VALUE"""),25.5)</f>
        <v>25.5</v>
      </c>
      <c r="BU216" s="233" t="str">
        <f>IFERROR(__xludf.DUMMYFUNCTION("""COMPUTED_VALUE"""),"")</f>
        <v/>
      </c>
      <c r="BV216" s="231" t="str">
        <f>IFERROR(__xludf.DUMMYFUNCTION("""COMPUTED_VALUE"""),"")</f>
        <v/>
      </c>
      <c r="BW216" s="232" t="str">
        <f>IFERROR(__xludf.DUMMYFUNCTION("""COMPUTED_VALUE"""),"")</f>
        <v/>
      </c>
      <c r="BX216" s="233" t="str">
        <f>IFERROR(__xludf.DUMMYFUNCTION("""COMPUTED_VALUE"""),"")</f>
        <v/>
      </c>
      <c r="BY216" s="231" t="str">
        <f>IFERROR(__xludf.DUMMYFUNCTION("""COMPUTED_VALUE"""),"")</f>
        <v/>
      </c>
      <c r="BZ216" s="232" t="str">
        <f>IFERROR(__xludf.DUMMYFUNCTION("""COMPUTED_VALUE"""),"")</f>
        <v/>
      </c>
      <c r="CA216" s="233" t="str">
        <f>IFERROR(__xludf.DUMMYFUNCTION("""COMPUTED_VALUE"""),"")</f>
        <v/>
      </c>
      <c r="CB216" s="231" t="str">
        <f>IFERROR(__xludf.DUMMYFUNCTION("""COMPUTED_VALUE"""),"")</f>
        <v/>
      </c>
      <c r="CC216" s="232" t="str">
        <f>IFERROR(__xludf.DUMMYFUNCTION("""COMPUTED_VALUE"""),"")</f>
        <v/>
      </c>
      <c r="CD216" s="233" t="str">
        <f>IFERROR(__xludf.DUMMYFUNCTION("""COMPUTED_VALUE"""),"")</f>
        <v/>
      </c>
      <c r="CE216" s="234" t="str">
        <f>IFERROR(__xludf.DUMMYFUNCTION("""COMPUTED_VALUE"""),"")</f>
        <v/>
      </c>
      <c r="CF216" s="230" t="str">
        <f>IFERROR(__xludf.DUMMYFUNCTION("""COMPUTED_VALUE"""),"")</f>
        <v/>
      </c>
      <c r="CG216" s="235" t="str">
        <f>IFERROR(__xludf.DUMMYFUNCTION("""COMPUTED_VALUE"""),"")</f>
        <v/>
      </c>
      <c r="CH216" s="234" t="str">
        <f>IFERROR(__xludf.DUMMYFUNCTION("""COMPUTED_VALUE"""),"")</f>
        <v/>
      </c>
      <c r="CI216" s="230" t="str">
        <f>IFERROR(__xludf.DUMMYFUNCTION("""COMPUTED_VALUE"""),"")</f>
        <v/>
      </c>
      <c r="CJ216" s="235" t="str">
        <f>IFERROR(__xludf.DUMMYFUNCTION("""COMPUTED_VALUE"""),"")</f>
        <v/>
      </c>
      <c r="CK216" s="95" t="str">
        <f>IFERROR(__xludf.DUMMYFUNCTION("""COMPUTED_VALUE"""),"")</f>
        <v/>
      </c>
      <c r="CL216" s="96" t="str">
        <f>IFERROR(__xludf.DUMMYFUNCTION("""COMPUTED_VALUE"""),"")</f>
        <v/>
      </c>
      <c r="CM216" s="97" t="str">
        <f>IFERROR(__xludf.DUMMYFUNCTION("""COMPUTED_VALUE"""),"")</f>
        <v/>
      </c>
      <c r="CN216" s="95" t="str">
        <f>IFERROR(__xludf.DUMMYFUNCTION("""COMPUTED_VALUE"""),"")</f>
        <v/>
      </c>
      <c r="CO216" s="96" t="str">
        <f>IFERROR(__xludf.DUMMYFUNCTION("""COMPUTED_VALUE"""),"")</f>
        <v/>
      </c>
      <c r="CP216" s="97" t="str">
        <f>IFERROR(__xludf.DUMMYFUNCTION("""COMPUTED_VALUE"""),"")</f>
        <v/>
      </c>
      <c r="CQ216" s="95" t="str">
        <f>IFERROR(__xludf.DUMMYFUNCTION("""COMPUTED_VALUE"""),"")</f>
        <v/>
      </c>
      <c r="CR216" s="96" t="str">
        <f>IFERROR(__xludf.DUMMYFUNCTION("""COMPUTED_VALUE"""),"")</f>
        <v/>
      </c>
      <c r="CS216" s="97" t="str">
        <f>IFERROR(__xludf.DUMMYFUNCTION("""COMPUTED_VALUE"""),"#REF!")</f>
        <v>#REF!</v>
      </c>
      <c r="CT216" s="95" t="str">
        <f>IFERROR(__xludf.DUMMYFUNCTION("""COMPUTED_VALUE"""),"#REF!")</f>
        <v>#REF!</v>
      </c>
      <c r="CU216" s="96" t="str">
        <f>IFERROR(__xludf.DUMMYFUNCTION("""COMPUTED_VALUE"""),"#REF!")</f>
        <v>#REF!</v>
      </c>
      <c r="CV216" s="97" t="str">
        <f>IFERROR(__xludf.DUMMYFUNCTION("""COMPUTED_VALUE"""),"#REF!")</f>
        <v>#REF!</v>
      </c>
      <c r="CW216" s="95" t="str">
        <f>IFERROR(__xludf.DUMMYFUNCTION("""COMPUTED_VALUE"""),"#REF!")</f>
        <v>#REF!</v>
      </c>
      <c r="CX216" s="96" t="str">
        <f>IFERROR(__xludf.DUMMYFUNCTION("""COMPUTED_VALUE"""),"#REF!")</f>
        <v>#REF!</v>
      </c>
      <c r="CY216" s="97" t="str">
        <f>IFERROR(__xludf.DUMMYFUNCTION("""COMPUTED_VALUE"""),"#REF!")</f>
        <v>#REF!</v>
      </c>
      <c r="CZ216" s="95" t="str">
        <f>IFERROR(__xludf.DUMMYFUNCTION("""COMPUTED_VALUE"""),"#REF!")</f>
        <v>#REF!</v>
      </c>
      <c r="DA216" s="96" t="str">
        <f>IFERROR(__xludf.DUMMYFUNCTION("""COMPUTED_VALUE"""),"#REF!")</f>
        <v>#REF!</v>
      </c>
      <c r="DB216" s="97" t="str">
        <f>IFERROR(__xludf.DUMMYFUNCTION("""COMPUTED_VALUE"""),"#REF!")</f>
        <v>#REF!</v>
      </c>
      <c r="DC216" s="95" t="str">
        <f>IFERROR(__xludf.DUMMYFUNCTION("""COMPUTED_VALUE"""),"#REF!")</f>
        <v>#REF!</v>
      </c>
      <c r="DD216" s="96" t="str">
        <f>IFERROR(__xludf.DUMMYFUNCTION("""COMPUTED_VALUE"""),"#REF!")</f>
        <v>#REF!</v>
      </c>
      <c r="DE216" s="97" t="str">
        <f>IFERROR(__xludf.DUMMYFUNCTION("""COMPUTED_VALUE"""),"#REF!")</f>
        <v>#REF!</v>
      </c>
      <c r="DF216" s="95" t="str">
        <f>IFERROR(__xludf.DUMMYFUNCTION("""COMPUTED_VALUE"""),"#REF!")</f>
        <v>#REF!</v>
      </c>
      <c r="DG216" s="96" t="str">
        <f>IFERROR(__xludf.DUMMYFUNCTION("""COMPUTED_VALUE"""),"#REF!")</f>
        <v>#REF!</v>
      </c>
      <c r="DH216" s="97" t="str">
        <f>IFERROR(__xludf.DUMMYFUNCTION("""COMPUTED_VALUE"""),"#REF!")</f>
        <v>#REF!</v>
      </c>
      <c r="DI216" s="95" t="str">
        <f>IFERROR(__xludf.DUMMYFUNCTION("""COMPUTED_VALUE"""),"#REF!")</f>
        <v>#REF!</v>
      </c>
      <c r="DJ216" s="96" t="str">
        <f>IFERROR(__xludf.DUMMYFUNCTION("""COMPUTED_VALUE"""),"#REF!")</f>
        <v>#REF!</v>
      </c>
      <c r="DK216" s="97" t="str">
        <f>IFERROR(__xludf.DUMMYFUNCTION("""COMPUTED_VALUE"""),"#REF!")</f>
        <v>#REF!</v>
      </c>
      <c r="DL216" s="95" t="str">
        <f>IFERROR(__xludf.DUMMYFUNCTION("""COMPUTED_VALUE"""),"#REF!")</f>
        <v>#REF!</v>
      </c>
      <c r="DM216" s="96" t="str">
        <f>IFERROR(__xludf.DUMMYFUNCTION("""COMPUTED_VALUE"""),"#REF!")</f>
        <v>#REF!</v>
      </c>
      <c r="DN216" s="97" t="str">
        <f>IFERROR(__xludf.DUMMYFUNCTION("""COMPUTED_VALUE"""),"#REF!")</f>
        <v>#REF!</v>
      </c>
      <c r="DO216" s="95" t="str">
        <f>IFERROR(__xludf.DUMMYFUNCTION("""COMPUTED_VALUE"""),"#REF!")</f>
        <v>#REF!</v>
      </c>
      <c r="DP216" s="96" t="str">
        <f>IFERROR(__xludf.DUMMYFUNCTION("""COMPUTED_VALUE"""),"#REF!")</f>
        <v>#REF!</v>
      </c>
      <c r="DQ216" s="97"/>
      <c r="DR216" s="95"/>
    </row>
    <row r="217">
      <c r="B217" s="237" t="str">
        <f>IFERROR(__xludf.DUMMYFUNCTION("""COMPUTED_VALUE"""),"SIN10")</f>
        <v>SIN10</v>
      </c>
      <c r="C217" s="238">
        <f>IFERROR(__xludf.DUMMYFUNCTION("""COMPUTED_VALUE"""),214.0)</f>
        <v>214</v>
      </c>
      <c r="D217" s="88" t="str">
        <f>IFERROR(__xludf.DUMMYFUNCTION("""COMPUTED_VALUE"""),"Xianyang")</f>
        <v>Xianyang</v>
      </c>
      <c r="E217" s="82" t="str">
        <f>IFERROR(__xludf.DUMMYFUNCTION("""COMPUTED_VALUE"""),"咸陽")</f>
        <v>咸陽</v>
      </c>
      <c r="F217" s="102">
        <f>IFERROR(__xludf.DUMMYFUNCTION("""COMPUTED_VALUE"""),21.0)</f>
        <v>21</v>
      </c>
      <c r="G217" s="82">
        <f>IFERROR(__xludf.DUMMYFUNCTION("""COMPUTED_VALUE"""),10327.0)</f>
        <v>10327</v>
      </c>
      <c r="H217" s="231" t="str">
        <f>IFERROR(__xludf.DUMMYFUNCTION("""COMPUTED_VALUE"""),"")</f>
        <v/>
      </c>
      <c r="I217" s="232" t="str">
        <f>IFERROR(__xludf.DUMMYFUNCTION("""COMPUTED_VALUE"""),"")</f>
        <v/>
      </c>
      <c r="J217" s="233" t="str">
        <f>IFERROR(__xludf.DUMMYFUNCTION("""COMPUTED_VALUE"""),"")</f>
        <v/>
      </c>
      <c r="K217" s="231" t="str">
        <f>IFERROR(__xludf.DUMMYFUNCTION("""COMPUTED_VALUE"""),"")</f>
        <v/>
      </c>
      <c r="L217" s="232" t="str">
        <f>IFERROR(__xludf.DUMMYFUNCTION("""COMPUTED_VALUE"""),"")</f>
        <v/>
      </c>
      <c r="M217" s="233" t="str">
        <f>IFERROR(__xludf.DUMMYFUNCTION("""COMPUTED_VALUE"""),"")</f>
        <v/>
      </c>
      <c r="N217" s="231" t="str">
        <f>IFERROR(__xludf.DUMMYFUNCTION("""COMPUTED_VALUE"""),"")</f>
        <v/>
      </c>
      <c r="O217" s="232" t="str">
        <f>IFERROR(__xludf.DUMMYFUNCTION("""COMPUTED_VALUE"""),"")</f>
        <v/>
      </c>
      <c r="P217" s="233" t="str">
        <f>IFERROR(__xludf.DUMMYFUNCTION("""COMPUTED_VALUE"""),"")</f>
        <v/>
      </c>
      <c r="Q217" s="231" t="str">
        <f>IFERROR(__xludf.DUMMYFUNCTION("""COMPUTED_VALUE"""),"")</f>
        <v/>
      </c>
      <c r="R217" s="232" t="str">
        <f>IFERROR(__xludf.DUMMYFUNCTION("""COMPUTED_VALUE"""),"")</f>
        <v/>
      </c>
      <c r="S217" s="233" t="str">
        <f>IFERROR(__xludf.DUMMYFUNCTION("""COMPUTED_VALUE"""),"")</f>
        <v/>
      </c>
      <c r="T217" s="231">
        <f>IFERROR(__xludf.DUMMYFUNCTION("""COMPUTED_VALUE"""),15.9)</f>
        <v>15.9</v>
      </c>
      <c r="U217" s="232" t="str">
        <f>IFERROR(__xludf.DUMMYFUNCTION("""COMPUTED_VALUE"""),"")</f>
        <v/>
      </c>
      <c r="V217" s="233" t="str">
        <f>IFERROR(__xludf.DUMMYFUNCTION("""COMPUTED_VALUE"""),"")</f>
        <v/>
      </c>
      <c r="W217" s="231" t="str">
        <f>IFERROR(__xludf.DUMMYFUNCTION("""COMPUTED_VALUE"""),"")</f>
        <v/>
      </c>
      <c r="X217" s="232" t="str">
        <f>IFERROR(__xludf.DUMMYFUNCTION("""COMPUTED_VALUE"""),"")</f>
        <v/>
      </c>
      <c r="Y217" s="233" t="str">
        <f>IFERROR(__xludf.DUMMYFUNCTION("""COMPUTED_VALUE"""),"")</f>
        <v/>
      </c>
      <c r="Z217" s="231" t="str">
        <f>IFERROR(__xludf.DUMMYFUNCTION("""COMPUTED_VALUE"""),"")</f>
        <v/>
      </c>
      <c r="AA217" s="232" t="str">
        <f>IFERROR(__xludf.DUMMYFUNCTION("""COMPUTED_VALUE"""),"")</f>
        <v/>
      </c>
      <c r="AB217" s="233" t="str">
        <f>IFERROR(__xludf.DUMMYFUNCTION("""COMPUTED_VALUE"""),"")</f>
        <v/>
      </c>
      <c r="AC217" s="231" t="str">
        <f>IFERROR(__xludf.DUMMYFUNCTION("""COMPUTED_VALUE"""),"")</f>
        <v/>
      </c>
      <c r="AD217" s="232" t="str">
        <f>IFERROR(__xludf.DUMMYFUNCTION("""COMPUTED_VALUE"""),"")</f>
        <v/>
      </c>
      <c r="AE217" s="233" t="str">
        <f>IFERROR(__xludf.DUMMYFUNCTION("""COMPUTED_VALUE"""),"")</f>
        <v/>
      </c>
      <c r="AF217" s="231" t="str">
        <f>IFERROR(__xludf.DUMMYFUNCTION("""COMPUTED_VALUE"""),"")</f>
        <v/>
      </c>
      <c r="AG217" s="232" t="str">
        <f>IFERROR(__xludf.DUMMYFUNCTION("""COMPUTED_VALUE"""),"")</f>
        <v/>
      </c>
      <c r="AH217" s="233" t="str">
        <f>IFERROR(__xludf.DUMMYFUNCTION("""COMPUTED_VALUE"""),"")</f>
        <v/>
      </c>
      <c r="AI217" s="231" t="str">
        <f>IFERROR(__xludf.DUMMYFUNCTION("""COMPUTED_VALUE"""),"")</f>
        <v/>
      </c>
      <c r="AJ217" s="232" t="str">
        <f>IFERROR(__xludf.DUMMYFUNCTION("""COMPUTED_VALUE"""),"")</f>
        <v/>
      </c>
      <c r="AK217" s="233" t="str">
        <f>IFERROR(__xludf.DUMMYFUNCTION("""COMPUTED_VALUE"""),"")</f>
        <v/>
      </c>
      <c r="AL217" s="231" t="str">
        <f>IFERROR(__xludf.DUMMYFUNCTION("""COMPUTED_VALUE"""),"")</f>
        <v/>
      </c>
      <c r="AM217" s="232" t="str">
        <f>IFERROR(__xludf.DUMMYFUNCTION("""COMPUTED_VALUE"""),"")</f>
        <v/>
      </c>
      <c r="AN217" s="233" t="str">
        <f>IFERROR(__xludf.DUMMYFUNCTION("""COMPUTED_VALUE"""),"")</f>
        <v/>
      </c>
      <c r="AO217" s="231">
        <f>IFERROR(__xludf.DUMMYFUNCTION("""COMPUTED_VALUE"""),19.9)</f>
        <v>19.9</v>
      </c>
      <c r="AP217" s="232" t="str">
        <f>IFERROR(__xludf.DUMMYFUNCTION("""COMPUTED_VALUE"""),"")</f>
        <v/>
      </c>
      <c r="AQ217" s="233" t="str">
        <f>IFERROR(__xludf.DUMMYFUNCTION("""COMPUTED_VALUE"""),"")</f>
        <v/>
      </c>
      <c r="AR217" s="231" t="str">
        <f>IFERROR(__xludf.DUMMYFUNCTION("""COMPUTED_VALUE"""),"")</f>
        <v/>
      </c>
      <c r="AS217" s="232" t="str">
        <f>IFERROR(__xludf.DUMMYFUNCTION("""COMPUTED_VALUE"""),"")</f>
        <v/>
      </c>
      <c r="AT217" s="233" t="str">
        <f>IFERROR(__xludf.DUMMYFUNCTION("""COMPUTED_VALUE"""),"")</f>
        <v/>
      </c>
      <c r="AU217" s="231" t="str">
        <f>IFERROR(__xludf.DUMMYFUNCTION("""COMPUTED_VALUE"""),"")</f>
        <v/>
      </c>
      <c r="AV217" s="232" t="str">
        <f>IFERROR(__xludf.DUMMYFUNCTION("""COMPUTED_VALUE"""),"")</f>
        <v/>
      </c>
      <c r="AW217" s="233">
        <f>IFERROR(__xludf.DUMMYFUNCTION("""COMPUTED_VALUE"""),29.7)</f>
        <v>29.7</v>
      </c>
      <c r="AX217" s="231" t="str">
        <f>IFERROR(__xludf.DUMMYFUNCTION("""COMPUTED_VALUE"""),"")</f>
        <v/>
      </c>
      <c r="AY217" s="232" t="str">
        <f>IFERROR(__xludf.DUMMYFUNCTION("""COMPUTED_VALUE"""),"")</f>
        <v/>
      </c>
      <c r="AZ217" s="233" t="str">
        <f>IFERROR(__xludf.DUMMYFUNCTION("""COMPUTED_VALUE"""),"")</f>
        <v/>
      </c>
      <c r="BA217" s="231" t="str">
        <f>IFERROR(__xludf.DUMMYFUNCTION("""COMPUTED_VALUE"""),"")</f>
        <v/>
      </c>
      <c r="BB217" s="232" t="str">
        <f>IFERROR(__xludf.DUMMYFUNCTION("""COMPUTED_VALUE"""),"")</f>
        <v/>
      </c>
      <c r="BC217" s="233" t="str">
        <f>IFERROR(__xludf.DUMMYFUNCTION("""COMPUTED_VALUE"""),"")</f>
        <v/>
      </c>
      <c r="BD217" s="231" t="str">
        <f>IFERROR(__xludf.DUMMYFUNCTION("""COMPUTED_VALUE"""),"")</f>
        <v/>
      </c>
      <c r="BE217" s="232" t="str">
        <f>IFERROR(__xludf.DUMMYFUNCTION("""COMPUTED_VALUE"""),"")</f>
        <v/>
      </c>
      <c r="BF217" s="233" t="str">
        <f>IFERROR(__xludf.DUMMYFUNCTION("""COMPUTED_VALUE"""),"")</f>
        <v/>
      </c>
      <c r="BG217" s="231" t="str">
        <f>IFERROR(__xludf.DUMMYFUNCTION("""COMPUTED_VALUE"""),"")</f>
        <v/>
      </c>
      <c r="BH217" s="232" t="str">
        <f>IFERROR(__xludf.DUMMYFUNCTION("""COMPUTED_VALUE"""),"")</f>
        <v/>
      </c>
      <c r="BI217" s="233" t="str">
        <f>IFERROR(__xludf.DUMMYFUNCTION("""COMPUTED_VALUE"""),"")</f>
        <v/>
      </c>
      <c r="BJ217" s="231" t="str">
        <f>IFERROR(__xludf.DUMMYFUNCTION("""COMPUTED_VALUE"""),"")</f>
        <v/>
      </c>
      <c r="BK217" s="232">
        <f>IFERROR(__xludf.DUMMYFUNCTION("""COMPUTED_VALUE"""),15.3)</f>
        <v>15.3</v>
      </c>
      <c r="BL217" s="233" t="str">
        <f>IFERROR(__xludf.DUMMYFUNCTION("""COMPUTED_VALUE"""),"")</f>
        <v/>
      </c>
      <c r="BM217" s="231" t="str">
        <f>IFERROR(__xludf.DUMMYFUNCTION("""COMPUTED_VALUE"""),"")</f>
        <v/>
      </c>
      <c r="BN217" s="232" t="str">
        <f>IFERROR(__xludf.DUMMYFUNCTION("""COMPUTED_VALUE"""),"")</f>
        <v/>
      </c>
      <c r="BO217" s="233">
        <f>IFERROR(__xludf.DUMMYFUNCTION("""COMPUTED_VALUE"""),23.9)</f>
        <v>23.9</v>
      </c>
      <c r="BP217" s="231" t="str">
        <f>IFERROR(__xludf.DUMMYFUNCTION("""COMPUTED_VALUE"""),"")</f>
        <v/>
      </c>
      <c r="BQ217" s="232" t="str">
        <f>IFERROR(__xludf.DUMMYFUNCTION("""COMPUTED_VALUE"""),"")</f>
        <v/>
      </c>
      <c r="BR217" s="233" t="str">
        <f>IFERROR(__xludf.DUMMYFUNCTION("""COMPUTED_VALUE"""),"")</f>
        <v/>
      </c>
      <c r="BS217" s="231" t="str">
        <f>IFERROR(__xludf.DUMMYFUNCTION("""COMPUTED_VALUE"""),"")</f>
        <v/>
      </c>
      <c r="BT217" s="232" t="str">
        <f>IFERROR(__xludf.DUMMYFUNCTION("""COMPUTED_VALUE"""),"")</f>
        <v/>
      </c>
      <c r="BU217" s="233" t="str">
        <f>IFERROR(__xludf.DUMMYFUNCTION("""COMPUTED_VALUE"""),"")</f>
        <v/>
      </c>
      <c r="BV217" s="231" t="str">
        <f>IFERROR(__xludf.DUMMYFUNCTION("""COMPUTED_VALUE"""),"")</f>
        <v/>
      </c>
      <c r="BW217" s="232" t="str">
        <f>IFERROR(__xludf.DUMMYFUNCTION("""COMPUTED_VALUE"""),"")</f>
        <v/>
      </c>
      <c r="BX217" s="233" t="str">
        <f>IFERROR(__xludf.DUMMYFUNCTION("""COMPUTED_VALUE"""),"")</f>
        <v/>
      </c>
      <c r="BY217" s="231" t="str">
        <f>IFERROR(__xludf.DUMMYFUNCTION("""COMPUTED_VALUE"""),"")</f>
        <v/>
      </c>
      <c r="BZ217" s="232" t="str">
        <f>IFERROR(__xludf.DUMMYFUNCTION("""COMPUTED_VALUE"""),"")</f>
        <v/>
      </c>
      <c r="CA217" s="233" t="str">
        <f>IFERROR(__xludf.DUMMYFUNCTION("""COMPUTED_VALUE"""),"")</f>
        <v/>
      </c>
      <c r="CB217" s="231" t="str">
        <f>IFERROR(__xludf.DUMMYFUNCTION("""COMPUTED_VALUE"""),"")</f>
        <v/>
      </c>
      <c r="CC217" s="232" t="str">
        <f>IFERROR(__xludf.DUMMYFUNCTION("""COMPUTED_VALUE"""),"")</f>
        <v/>
      </c>
      <c r="CD217" s="233" t="str">
        <f>IFERROR(__xludf.DUMMYFUNCTION("""COMPUTED_VALUE"""),"")</f>
        <v/>
      </c>
      <c r="CE217" s="234" t="str">
        <f>IFERROR(__xludf.DUMMYFUNCTION("""COMPUTED_VALUE"""),"")</f>
        <v/>
      </c>
      <c r="CF217" s="230" t="str">
        <f>IFERROR(__xludf.DUMMYFUNCTION("""COMPUTED_VALUE"""),"")</f>
        <v/>
      </c>
      <c r="CG217" s="235" t="str">
        <f>IFERROR(__xludf.DUMMYFUNCTION("""COMPUTED_VALUE"""),"")</f>
        <v/>
      </c>
      <c r="CH217" s="234" t="str">
        <f>IFERROR(__xludf.DUMMYFUNCTION("""COMPUTED_VALUE"""),"")</f>
        <v/>
      </c>
      <c r="CI217" s="230" t="str">
        <f>IFERROR(__xludf.DUMMYFUNCTION("""COMPUTED_VALUE"""),"")</f>
        <v/>
      </c>
      <c r="CJ217" s="235" t="str">
        <f>IFERROR(__xludf.DUMMYFUNCTION("""COMPUTED_VALUE"""),"")</f>
        <v/>
      </c>
      <c r="CK217" s="95" t="str">
        <f>IFERROR(__xludf.DUMMYFUNCTION("""COMPUTED_VALUE"""),"")</f>
        <v/>
      </c>
      <c r="CL217" s="96" t="str">
        <f>IFERROR(__xludf.DUMMYFUNCTION("""COMPUTED_VALUE"""),"")</f>
        <v/>
      </c>
      <c r="CM217" s="97" t="str">
        <f>IFERROR(__xludf.DUMMYFUNCTION("""COMPUTED_VALUE"""),"")</f>
        <v/>
      </c>
      <c r="CN217" s="95" t="str">
        <f>IFERROR(__xludf.DUMMYFUNCTION("""COMPUTED_VALUE"""),"")</f>
        <v/>
      </c>
      <c r="CO217" s="96" t="str">
        <f>IFERROR(__xludf.DUMMYFUNCTION("""COMPUTED_VALUE"""),"")</f>
        <v/>
      </c>
      <c r="CP217" s="97" t="str">
        <f>IFERROR(__xludf.DUMMYFUNCTION("""COMPUTED_VALUE"""),"")</f>
        <v/>
      </c>
      <c r="CQ217" s="95" t="str">
        <f>IFERROR(__xludf.DUMMYFUNCTION("""COMPUTED_VALUE"""),"")</f>
        <v/>
      </c>
      <c r="CR217" s="96" t="str">
        <f>IFERROR(__xludf.DUMMYFUNCTION("""COMPUTED_VALUE"""),"")</f>
        <v/>
      </c>
      <c r="CS217" s="97" t="str">
        <f>IFERROR(__xludf.DUMMYFUNCTION("""COMPUTED_VALUE"""),"#REF!")</f>
        <v>#REF!</v>
      </c>
      <c r="CT217" s="95" t="str">
        <f>IFERROR(__xludf.DUMMYFUNCTION("""COMPUTED_VALUE"""),"#REF!")</f>
        <v>#REF!</v>
      </c>
      <c r="CU217" s="96" t="str">
        <f>IFERROR(__xludf.DUMMYFUNCTION("""COMPUTED_VALUE"""),"#REF!")</f>
        <v>#REF!</v>
      </c>
      <c r="CV217" s="97" t="str">
        <f>IFERROR(__xludf.DUMMYFUNCTION("""COMPUTED_VALUE"""),"#REF!")</f>
        <v>#REF!</v>
      </c>
      <c r="CW217" s="95" t="str">
        <f>IFERROR(__xludf.DUMMYFUNCTION("""COMPUTED_VALUE"""),"#REF!")</f>
        <v>#REF!</v>
      </c>
      <c r="CX217" s="96" t="str">
        <f>IFERROR(__xludf.DUMMYFUNCTION("""COMPUTED_VALUE"""),"#REF!")</f>
        <v>#REF!</v>
      </c>
      <c r="CY217" s="97" t="str">
        <f>IFERROR(__xludf.DUMMYFUNCTION("""COMPUTED_VALUE"""),"#REF!")</f>
        <v>#REF!</v>
      </c>
      <c r="CZ217" s="95" t="str">
        <f>IFERROR(__xludf.DUMMYFUNCTION("""COMPUTED_VALUE"""),"#REF!")</f>
        <v>#REF!</v>
      </c>
      <c r="DA217" s="96" t="str">
        <f>IFERROR(__xludf.DUMMYFUNCTION("""COMPUTED_VALUE"""),"#REF!")</f>
        <v>#REF!</v>
      </c>
      <c r="DB217" s="97" t="str">
        <f>IFERROR(__xludf.DUMMYFUNCTION("""COMPUTED_VALUE"""),"#REF!")</f>
        <v>#REF!</v>
      </c>
      <c r="DC217" s="95" t="str">
        <f>IFERROR(__xludf.DUMMYFUNCTION("""COMPUTED_VALUE"""),"#REF!")</f>
        <v>#REF!</v>
      </c>
      <c r="DD217" s="96" t="str">
        <f>IFERROR(__xludf.DUMMYFUNCTION("""COMPUTED_VALUE"""),"#REF!")</f>
        <v>#REF!</v>
      </c>
      <c r="DE217" s="97" t="str">
        <f>IFERROR(__xludf.DUMMYFUNCTION("""COMPUTED_VALUE"""),"#REF!")</f>
        <v>#REF!</v>
      </c>
      <c r="DF217" s="95" t="str">
        <f>IFERROR(__xludf.DUMMYFUNCTION("""COMPUTED_VALUE"""),"#REF!")</f>
        <v>#REF!</v>
      </c>
      <c r="DG217" s="96" t="str">
        <f>IFERROR(__xludf.DUMMYFUNCTION("""COMPUTED_VALUE"""),"#REF!")</f>
        <v>#REF!</v>
      </c>
      <c r="DH217" s="97" t="str">
        <f>IFERROR(__xludf.DUMMYFUNCTION("""COMPUTED_VALUE"""),"#REF!")</f>
        <v>#REF!</v>
      </c>
      <c r="DI217" s="95" t="str">
        <f>IFERROR(__xludf.DUMMYFUNCTION("""COMPUTED_VALUE"""),"#REF!")</f>
        <v>#REF!</v>
      </c>
      <c r="DJ217" s="96" t="str">
        <f>IFERROR(__xludf.DUMMYFUNCTION("""COMPUTED_VALUE"""),"#REF!")</f>
        <v>#REF!</v>
      </c>
      <c r="DK217" s="97" t="str">
        <f>IFERROR(__xludf.DUMMYFUNCTION("""COMPUTED_VALUE"""),"#REF!")</f>
        <v>#REF!</v>
      </c>
      <c r="DL217" s="95" t="str">
        <f>IFERROR(__xludf.DUMMYFUNCTION("""COMPUTED_VALUE"""),"#REF!")</f>
        <v>#REF!</v>
      </c>
      <c r="DM217" s="96" t="str">
        <f>IFERROR(__xludf.DUMMYFUNCTION("""COMPUTED_VALUE"""),"#REF!")</f>
        <v>#REF!</v>
      </c>
      <c r="DN217" s="97" t="str">
        <f>IFERROR(__xludf.DUMMYFUNCTION("""COMPUTED_VALUE"""),"#REF!")</f>
        <v>#REF!</v>
      </c>
      <c r="DO217" s="95" t="str">
        <f>IFERROR(__xludf.DUMMYFUNCTION("""COMPUTED_VALUE"""),"#REF!")</f>
        <v>#REF!</v>
      </c>
      <c r="DP217" s="96" t="str">
        <f>IFERROR(__xludf.DUMMYFUNCTION("""COMPUTED_VALUE"""),"#REF!")</f>
        <v>#REF!</v>
      </c>
      <c r="DQ217" s="97"/>
      <c r="DR217" s="95"/>
    </row>
    <row r="218">
      <c r="B218" s="237" t="str">
        <f>IFERROR(__xludf.DUMMYFUNCTION("""COMPUTED_VALUE"""),"SIN11")</f>
        <v>SIN11</v>
      </c>
      <c r="C218" s="238">
        <f>IFERROR(__xludf.DUMMYFUNCTION("""COMPUTED_VALUE"""),215.0)</f>
        <v>215</v>
      </c>
      <c r="D218" s="88" t="str">
        <f>IFERROR(__xludf.DUMMYFUNCTION("""COMPUTED_VALUE"""),"Ba Men Cave")</f>
        <v>Ba Men Cave</v>
      </c>
      <c r="E218" s="82" t="str">
        <f>IFERROR(__xludf.DUMMYFUNCTION("""COMPUTED_VALUE"""),"八門洞")</f>
        <v>八門洞</v>
      </c>
      <c r="F218" s="102">
        <f>IFERROR(__xludf.DUMMYFUNCTION("""COMPUTED_VALUE"""),21.0)</f>
        <v>21</v>
      </c>
      <c r="G218" s="82">
        <f>IFERROR(__xludf.DUMMYFUNCTION("""COMPUTED_VALUE"""),29077.0)</f>
        <v>29077</v>
      </c>
      <c r="H218" s="231" t="str">
        <f>IFERROR(__xludf.DUMMYFUNCTION("""COMPUTED_VALUE"""),"")</f>
        <v/>
      </c>
      <c r="I218" s="232" t="str">
        <f>IFERROR(__xludf.DUMMYFUNCTION("""COMPUTED_VALUE"""),"")</f>
        <v/>
      </c>
      <c r="J218" s="233" t="str">
        <f>IFERROR(__xludf.DUMMYFUNCTION("""COMPUTED_VALUE"""),"")</f>
        <v/>
      </c>
      <c r="K218" s="231" t="str">
        <f>IFERROR(__xludf.DUMMYFUNCTION("""COMPUTED_VALUE"""),"")</f>
        <v/>
      </c>
      <c r="L218" s="232" t="str">
        <f>IFERROR(__xludf.DUMMYFUNCTION("""COMPUTED_VALUE"""),"")</f>
        <v/>
      </c>
      <c r="M218" s="233" t="str">
        <f>IFERROR(__xludf.DUMMYFUNCTION("""COMPUTED_VALUE"""),"")</f>
        <v/>
      </c>
      <c r="N218" s="231" t="str">
        <f>IFERROR(__xludf.DUMMYFUNCTION("""COMPUTED_VALUE"""),"")</f>
        <v/>
      </c>
      <c r="O218" s="232" t="str">
        <f>IFERROR(__xludf.DUMMYFUNCTION("""COMPUTED_VALUE"""),"")</f>
        <v/>
      </c>
      <c r="P218" s="233" t="str">
        <f>IFERROR(__xludf.DUMMYFUNCTION("""COMPUTED_VALUE"""),"")</f>
        <v/>
      </c>
      <c r="Q218" s="231" t="str">
        <f>IFERROR(__xludf.DUMMYFUNCTION("""COMPUTED_VALUE"""),"")</f>
        <v/>
      </c>
      <c r="R218" s="232" t="str">
        <f>IFERROR(__xludf.DUMMYFUNCTION("""COMPUTED_VALUE"""),"")</f>
        <v/>
      </c>
      <c r="S218" s="233" t="str">
        <f>IFERROR(__xludf.DUMMYFUNCTION("""COMPUTED_VALUE"""),"")</f>
        <v/>
      </c>
      <c r="T218" s="231" t="str">
        <f>IFERROR(__xludf.DUMMYFUNCTION("""COMPUTED_VALUE"""),"")</f>
        <v/>
      </c>
      <c r="U218" s="232" t="str">
        <f>IFERROR(__xludf.DUMMYFUNCTION("""COMPUTED_VALUE"""),"")</f>
        <v/>
      </c>
      <c r="V218" s="233" t="str">
        <f>IFERROR(__xludf.DUMMYFUNCTION("""COMPUTED_VALUE"""),"")</f>
        <v/>
      </c>
      <c r="W218" s="231" t="str">
        <f>IFERROR(__xludf.DUMMYFUNCTION("""COMPUTED_VALUE"""),"")</f>
        <v/>
      </c>
      <c r="X218" s="232" t="str">
        <f>IFERROR(__xludf.DUMMYFUNCTION("""COMPUTED_VALUE"""),"")</f>
        <v/>
      </c>
      <c r="Y218" s="233" t="str">
        <f>IFERROR(__xludf.DUMMYFUNCTION("""COMPUTED_VALUE"""),"")</f>
        <v/>
      </c>
      <c r="Z218" s="231" t="str">
        <f>IFERROR(__xludf.DUMMYFUNCTION("""COMPUTED_VALUE"""),"")</f>
        <v/>
      </c>
      <c r="AA218" s="232" t="str">
        <f>IFERROR(__xludf.DUMMYFUNCTION("""COMPUTED_VALUE"""),"")</f>
        <v/>
      </c>
      <c r="AB218" s="233" t="str">
        <f>IFERROR(__xludf.DUMMYFUNCTION("""COMPUTED_VALUE"""),"")</f>
        <v/>
      </c>
      <c r="AC218" s="231" t="str">
        <f>IFERROR(__xludf.DUMMYFUNCTION("""COMPUTED_VALUE"""),"")</f>
        <v/>
      </c>
      <c r="AD218" s="232" t="str">
        <f>IFERROR(__xludf.DUMMYFUNCTION("""COMPUTED_VALUE"""),"")</f>
        <v/>
      </c>
      <c r="AE218" s="233" t="str">
        <f>IFERROR(__xludf.DUMMYFUNCTION("""COMPUTED_VALUE"""),"")</f>
        <v/>
      </c>
      <c r="AF218" s="231" t="str">
        <f>IFERROR(__xludf.DUMMYFUNCTION("""COMPUTED_VALUE"""),"")</f>
        <v/>
      </c>
      <c r="AG218" s="232" t="str">
        <f>IFERROR(__xludf.DUMMYFUNCTION("""COMPUTED_VALUE"""),"")</f>
        <v/>
      </c>
      <c r="AH218" s="233" t="str">
        <f>IFERROR(__xludf.DUMMYFUNCTION("""COMPUTED_VALUE"""),"")</f>
        <v/>
      </c>
      <c r="AI218" s="231" t="str">
        <f>IFERROR(__xludf.DUMMYFUNCTION("""COMPUTED_VALUE"""),"")</f>
        <v/>
      </c>
      <c r="AJ218" s="232" t="str">
        <f>IFERROR(__xludf.DUMMYFUNCTION("""COMPUTED_VALUE"""),"")</f>
        <v/>
      </c>
      <c r="AK218" s="233" t="str">
        <f>IFERROR(__xludf.DUMMYFUNCTION("""COMPUTED_VALUE"""),"")</f>
        <v/>
      </c>
      <c r="AL218" s="231" t="str">
        <f>IFERROR(__xludf.DUMMYFUNCTION("""COMPUTED_VALUE"""),"")</f>
        <v/>
      </c>
      <c r="AM218" s="232" t="str">
        <f>IFERROR(__xludf.DUMMYFUNCTION("""COMPUTED_VALUE"""),"")</f>
        <v/>
      </c>
      <c r="AN218" s="233" t="str">
        <f>IFERROR(__xludf.DUMMYFUNCTION("""COMPUTED_VALUE"""),"")</f>
        <v/>
      </c>
      <c r="AO218" s="231">
        <f>IFERROR(__xludf.DUMMYFUNCTION("""COMPUTED_VALUE"""),39.3)</f>
        <v>39.3</v>
      </c>
      <c r="AP218" s="232" t="str">
        <f>IFERROR(__xludf.DUMMYFUNCTION("""COMPUTED_VALUE"""),"")</f>
        <v/>
      </c>
      <c r="AQ218" s="233" t="str">
        <f>IFERROR(__xludf.DUMMYFUNCTION("""COMPUTED_VALUE"""),"")</f>
        <v/>
      </c>
      <c r="AR218" s="231" t="str">
        <f>IFERROR(__xludf.DUMMYFUNCTION("""COMPUTED_VALUE"""),"")</f>
        <v/>
      </c>
      <c r="AS218" s="232" t="str">
        <f>IFERROR(__xludf.DUMMYFUNCTION("""COMPUTED_VALUE"""),"")</f>
        <v/>
      </c>
      <c r="AT218" s="233" t="str">
        <f>IFERROR(__xludf.DUMMYFUNCTION("""COMPUTED_VALUE"""),"")</f>
        <v/>
      </c>
      <c r="AU218" s="231" t="str">
        <f>IFERROR(__xludf.DUMMYFUNCTION("""COMPUTED_VALUE"""),"")</f>
        <v/>
      </c>
      <c r="AV218" s="232" t="str">
        <f>IFERROR(__xludf.DUMMYFUNCTION("""COMPUTED_VALUE"""),"")</f>
        <v/>
      </c>
      <c r="AW218" s="233" t="str">
        <f>IFERROR(__xludf.DUMMYFUNCTION("""COMPUTED_VALUE"""),"")</f>
        <v/>
      </c>
      <c r="AX218" s="231" t="str">
        <f>IFERROR(__xludf.DUMMYFUNCTION("""COMPUTED_VALUE"""),"")</f>
        <v/>
      </c>
      <c r="AY218" s="232" t="str">
        <f>IFERROR(__xludf.DUMMYFUNCTION("""COMPUTED_VALUE"""),"")</f>
        <v/>
      </c>
      <c r="AZ218" s="233" t="str">
        <f>IFERROR(__xludf.DUMMYFUNCTION("""COMPUTED_VALUE"""),"")</f>
        <v/>
      </c>
      <c r="BA218" s="231" t="str">
        <f>IFERROR(__xludf.DUMMYFUNCTION("""COMPUTED_VALUE"""),"")</f>
        <v/>
      </c>
      <c r="BB218" s="232" t="str">
        <f>IFERROR(__xludf.DUMMYFUNCTION("""COMPUTED_VALUE"""),"")</f>
        <v/>
      </c>
      <c r="BC218" s="233" t="str">
        <f>IFERROR(__xludf.DUMMYFUNCTION("""COMPUTED_VALUE"""),"")</f>
        <v/>
      </c>
      <c r="BD218" s="231" t="str">
        <f>IFERROR(__xludf.DUMMYFUNCTION("""COMPUTED_VALUE"""),"")</f>
        <v/>
      </c>
      <c r="BE218" s="232" t="str">
        <f>IFERROR(__xludf.DUMMYFUNCTION("""COMPUTED_VALUE"""),"")</f>
        <v/>
      </c>
      <c r="BF218" s="233" t="str">
        <f>IFERROR(__xludf.DUMMYFUNCTION("""COMPUTED_VALUE"""),"")</f>
        <v/>
      </c>
      <c r="BG218" s="231" t="str">
        <f>IFERROR(__xludf.DUMMYFUNCTION("""COMPUTED_VALUE"""),"")</f>
        <v/>
      </c>
      <c r="BH218" s="232" t="str">
        <f>IFERROR(__xludf.DUMMYFUNCTION("""COMPUTED_VALUE"""),"")</f>
        <v/>
      </c>
      <c r="BI218" s="233" t="str">
        <f>IFERROR(__xludf.DUMMYFUNCTION("""COMPUTED_VALUE"""),"")</f>
        <v/>
      </c>
      <c r="BJ218" s="231" t="str">
        <f>IFERROR(__xludf.DUMMYFUNCTION("""COMPUTED_VALUE"""),"")</f>
        <v/>
      </c>
      <c r="BK218" s="232" t="str">
        <f>IFERROR(__xludf.DUMMYFUNCTION("""COMPUTED_VALUE"""),"")</f>
        <v/>
      </c>
      <c r="BL218" s="233" t="str">
        <f>IFERROR(__xludf.DUMMYFUNCTION("""COMPUTED_VALUE"""),"")</f>
        <v/>
      </c>
      <c r="BM218" s="231" t="str">
        <f>IFERROR(__xludf.DUMMYFUNCTION("""COMPUTED_VALUE"""),"")</f>
        <v/>
      </c>
      <c r="BN218" s="232" t="str">
        <f>IFERROR(__xludf.DUMMYFUNCTION("""COMPUTED_VALUE"""),"")</f>
        <v/>
      </c>
      <c r="BO218" s="233">
        <f>IFERROR(__xludf.DUMMYFUNCTION("""COMPUTED_VALUE"""),45.1)</f>
        <v>45.1</v>
      </c>
      <c r="BP218" s="231" t="str">
        <f>IFERROR(__xludf.DUMMYFUNCTION("""COMPUTED_VALUE"""),"")</f>
        <v/>
      </c>
      <c r="BQ218" s="232" t="str">
        <f>IFERROR(__xludf.DUMMYFUNCTION("""COMPUTED_VALUE"""),"")</f>
        <v/>
      </c>
      <c r="BR218" s="233" t="str">
        <f>IFERROR(__xludf.DUMMYFUNCTION("""COMPUTED_VALUE"""),"")</f>
        <v/>
      </c>
      <c r="BS218" s="231" t="str">
        <f>IFERROR(__xludf.DUMMYFUNCTION("""COMPUTED_VALUE"""),"")</f>
        <v/>
      </c>
      <c r="BT218" s="232" t="str">
        <f>IFERROR(__xludf.DUMMYFUNCTION("""COMPUTED_VALUE"""),"")</f>
        <v/>
      </c>
      <c r="BU218" s="233" t="str">
        <f>IFERROR(__xludf.DUMMYFUNCTION("""COMPUTED_VALUE"""),"")</f>
        <v/>
      </c>
      <c r="BV218" s="231" t="str">
        <f>IFERROR(__xludf.DUMMYFUNCTION("""COMPUTED_VALUE"""),"")</f>
        <v/>
      </c>
      <c r="BW218" s="232" t="str">
        <f>IFERROR(__xludf.DUMMYFUNCTION("""COMPUTED_VALUE"""),"")</f>
        <v/>
      </c>
      <c r="BX218" s="233" t="str">
        <f>IFERROR(__xludf.DUMMYFUNCTION("""COMPUTED_VALUE"""),"")</f>
        <v/>
      </c>
      <c r="BY218" s="231" t="str">
        <f>IFERROR(__xludf.DUMMYFUNCTION("""COMPUTED_VALUE"""),"")</f>
        <v/>
      </c>
      <c r="BZ218" s="232" t="str">
        <f>IFERROR(__xludf.DUMMYFUNCTION("""COMPUTED_VALUE"""),"")</f>
        <v/>
      </c>
      <c r="CA218" s="233" t="str">
        <f>IFERROR(__xludf.DUMMYFUNCTION("""COMPUTED_VALUE"""),"")</f>
        <v/>
      </c>
      <c r="CB218" s="231" t="str">
        <f>IFERROR(__xludf.DUMMYFUNCTION("""COMPUTED_VALUE"""),"")</f>
        <v/>
      </c>
      <c r="CC218" s="232" t="str">
        <f>IFERROR(__xludf.DUMMYFUNCTION("""COMPUTED_VALUE"""),"")</f>
        <v/>
      </c>
      <c r="CD218" s="233" t="str">
        <f>IFERROR(__xludf.DUMMYFUNCTION("""COMPUTED_VALUE"""),"")</f>
        <v/>
      </c>
      <c r="CE218" s="234" t="str">
        <f>IFERROR(__xludf.DUMMYFUNCTION("""COMPUTED_VALUE"""),"")</f>
        <v/>
      </c>
      <c r="CF218" s="230" t="str">
        <f>IFERROR(__xludf.DUMMYFUNCTION("""COMPUTED_VALUE"""),"")</f>
        <v/>
      </c>
      <c r="CG218" s="235" t="str">
        <f>IFERROR(__xludf.DUMMYFUNCTION("""COMPUTED_VALUE"""),"")</f>
        <v/>
      </c>
      <c r="CH218" s="234" t="str">
        <f>IFERROR(__xludf.DUMMYFUNCTION("""COMPUTED_VALUE"""),"")</f>
        <v/>
      </c>
      <c r="CI218" s="230" t="str">
        <f>IFERROR(__xludf.DUMMYFUNCTION("""COMPUTED_VALUE"""),"")</f>
        <v/>
      </c>
      <c r="CJ218" s="235" t="str">
        <f>IFERROR(__xludf.DUMMYFUNCTION("""COMPUTED_VALUE"""),"")</f>
        <v/>
      </c>
      <c r="CK218" s="95" t="str">
        <f>IFERROR(__xludf.DUMMYFUNCTION("""COMPUTED_VALUE"""),"")</f>
        <v/>
      </c>
      <c r="CL218" s="96" t="str">
        <f>IFERROR(__xludf.DUMMYFUNCTION("""COMPUTED_VALUE"""),"")</f>
        <v/>
      </c>
      <c r="CM218" s="97" t="str">
        <f>IFERROR(__xludf.DUMMYFUNCTION("""COMPUTED_VALUE"""),"")</f>
        <v/>
      </c>
      <c r="CN218" s="95" t="str">
        <f>IFERROR(__xludf.DUMMYFUNCTION("""COMPUTED_VALUE"""),"")</f>
        <v/>
      </c>
      <c r="CO218" s="96" t="str">
        <f>IFERROR(__xludf.DUMMYFUNCTION("""COMPUTED_VALUE"""),"")</f>
        <v/>
      </c>
      <c r="CP218" s="97" t="str">
        <f>IFERROR(__xludf.DUMMYFUNCTION("""COMPUTED_VALUE"""),"")</f>
        <v/>
      </c>
      <c r="CQ218" s="95" t="str">
        <f>IFERROR(__xludf.DUMMYFUNCTION("""COMPUTED_VALUE"""),"")</f>
        <v/>
      </c>
      <c r="CR218" s="96" t="str">
        <f>IFERROR(__xludf.DUMMYFUNCTION("""COMPUTED_VALUE"""),"")</f>
        <v/>
      </c>
      <c r="CS218" s="97" t="str">
        <f>IFERROR(__xludf.DUMMYFUNCTION("""COMPUTED_VALUE"""),"#REF!")</f>
        <v>#REF!</v>
      </c>
      <c r="CT218" s="95" t="str">
        <f>IFERROR(__xludf.DUMMYFUNCTION("""COMPUTED_VALUE"""),"#REF!")</f>
        <v>#REF!</v>
      </c>
      <c r="CU218" s="96" t="str">
        <f>IFERROR(__xludf.DUMMYFUNCTION("""COMPUTED_VALUE"""),"#REF!")</f>
        <v>#REF!</v>
      </c>
      <c r="CV218" s="97" t="str">
        <f>IFERROR(__xludf.DUMMYFUNCTION("""COMPUTED_VALUE"""),"#REF!")</f>
        <v>#REF!</v>
      </c>
      <c r="CW218" s="95" t="str">
        <f>IFERROR(__xludf.DUMMYFUNCTION("""COMPUTED_VALUE"""),"#REF!")</f>
        <v>#REF!</v>
      </c>
      <c r="CX218" s="96" t="str">
        <f>IFERROR(__xludf.DUMMYFUNCTION("""COMPUTED_VALUE"""),"#REF!")</f>
        <v>#REF!</v>
      </c>
      <c r="CY218" s="97" t="str">
        <f>IFERROR(__xludf.DUMMYFUNCTION("""COMPUTED_VALUE"""),"#REF!")</f>
        <v>#REF!</v>
      </c>
      <c r="CZ218" s="95" t="str">
        <f>IFERROR(__xludf.DUMMYFUNCTION("""COMPUTED_VALUE"""),"#REF!")</f>
        <v>#REF!</v>
      </c>
      <c r="DA218" s="96" t="str">
        <f>IFERROR(__xludf.DUMMYFUNCTION("""COMPUTED_VALUE"""),"#REF!")</f>
        <v>#REF!</v>
      </c>
      <c r="DB218" s="97" t="str">
        <f>IFERROR(__xludf.DUMMYFUNCTION("""COMPUTED_VALUE"""),"#REF!")</f>
        <v>#REF!</v>
      </c>
      <c r="DC218" s="95" t="str">
        <f>IFERROR(__xludf.DUMMYFUNCTION("""COMPUTED_VALUE"""),"#REF!")</f>
        <v>#REF!</v>
      </c>
      <c r="DD218" s="96" t="str">
        <f>IFERROR(__xludf.DUMMYFUNCTION("""COMPUTED_VALUE"""),"#REF!")</f>
        <v>#REF!</v>
      </c>
      <c r="DE218" s="97" t="str">
        <f>IFERROR(__xludf.DUMMYFUNCTION("""COMPUTED_VALUE"""),"#REF!")</f>
        <v>#REF!</v>
      </c>
      <c r="DF218" s="95" t="str">
        <f>IFERROR(__xludf.DUMMYFUNCTION("""COMPUTED_VALUE"""),"#REF!")</f>
        <v>#REF!</v>
      </c>
      <c r="DG218" s="96" t="str">
        <f>IFERROR(__xludf.DUMMYFUNCTION("""COMPUTED_VALUE"""),"#REF!")</f>
        <v>#REF!</v>
      </c>
      <c r="DH218" s="97" t="str">
        <f>IFERROR(__xludf.DUMMYFUNCTION("""COMPUTED_VALUE"""),"#REF!")</f>
        <v>#REF!</v>
      </c>
      <c r="DI218" s="95" t="str">
        <f>IFERROR(__xludf.DUMMYFUNCTION("""COMPUTED_VALUE"""),"#REF!")</f>
        <v>#REF!</v>
      </c>
      <c r="DJ218" s="96" t="str">
        <f>IFERROR(__xludf.DUMMYFUNCTION("""COMPUTED_VALUE"""),"#REF!")</f>
        <v>#REF!</v>
      </c>
      <c r="DK218" s="97" t="str">
        <f>IFERROR(__xludf.DUMMYFUNCTION("""COMPUTED_VALUE"""),"#REF!")</f>
        <v>#REF!</v>
      </c>
      <c r="DL218" s="95" t="str">
        <f>IFERROR(__xludf.DUMMYFUNCTION("""COMPUTED_VALUE"""),"#REF!")</f>
        <v>#REF!</v>
      </c>
      <c r="DM218" s="96" t="str">
        <f>IFERROR(__xludf.DUMMYFUNCTION("""COMPUTED_VALUE"""),"#REF!")</f>
        <v>#REF!</v>
      </c>
      <c r="DN218" s="97" t="str">
        <f>IFERROR(__xludf.DUMMYFUNCTION("""COMPUTED_VALUE"""),"#REF!")</f>
        <v>#REF!</v>
      </c>
      <c r="DO218" s="95" t="str">
        <f>IFERROR(__xludf.DUMMYFUNCTION("""COMPUTED_VALUE"""),"#REF!")</f>
        <v>#REF!</v>
      </c>
      <c r="DP218" s="96" t="str">
        <f>IFERROR(__xludf.DUMMYFUNCTION("""COMPUTED_VALUE"""),"#REF!")</f>
        <v>#REF!</v>
      </c>
      <c r="DQ218" s="97"/>
      <c r="DR218" s="95"/>
    </row>
    <row r="219">
      <c r="A219" s="183" t="str">
        <f>IFERROR(__xludf.DUMMYFUNCTION("""COMPUTED_VALUE"""),"YUGA KSTRA")</f>
        <v>YUGA KSTRA</v>
      </c>
      <c r="B219" s="180" t="str">
        <f>IFERROR(__xludf.DUMMYFUNCTION("""COMPUTED_VALUE"""),"YKS1")</f>
        <v>YKS1</v>
      </c>
      <c r="C219">
        <f>IFERROR(__xludf.DUMMYFUNCTION("""COMPUTED_VALUE"""),216.0)</f>
        <v>216</v>
      </c>
      <c r="D219" s="88" t="str">
        <f>IFERROR(__xludf.DUMMYFUNCTION("""COMPUTED_VALUE"""),"Initiate Point")</f>
        <v>Initiate Point</v>
      </c>
      <c r="E219" s="82" t="str">
        <f>IFERROR(__xludf.DUMMYFUNCTION("""COMPUTED_VALUE"""),"イニシエートポイント")</f>
        <v>イニシエートポイント</v>
      </c>
      <c r="F219" s="102">
        <f>IFERROR(__xludf.DUMMYFUNCTION("""COMPUTED_VALUE"""),20.0)</f>
        <v>20</v>
      </c>
      <c r="G219" s="82">
        <f>IFERROR(__xludf.DUMMYFUNCTION("""COMPUTED_VALUE"""),4522.0)</f>
        <v>4522</v>
      </c>
      <c r="H219" s="231" t="str">
        <f>IFERROR(__xludf.DUMMYFUNCTION("""COMPUTED_VALUE"""),"")</f>
        <v/>
      </c>
      <c r="I219" s="232" t="str">
        <f>IFERROR(__xludf.DUMMYFUNCTION("""COMPUTED_VALUE"""),"")</f>
        <v/>
      </c>
      <c r="J219" s="233" t="str">
        <f>IFERROR(__xludf.DUMMYFUNCTION("""COMPUTED_VALUE"""),"")</f>
        <v/>
      </c>
      <c r="K219" s="231" t="str">
        <f>IFERROR(__xludf.DUMMYFUNCTION("""COMPUTED_VALUE"""),"")</f>
        <v/>
      </c>
      <c r="L219" s="232">
        <f>IFERROR(__xludf.DUMMYFUNCTION("""COMPUTED_VALUE"""),21.0)</f>
        <v>21</v>
      </c>
      <c r="M219" s="233" t="str">
        <f>IFERROR(__xludf.DUMMYFUNCTION("""COMPUTED_VALUE"""),"")</f>
        <v/>
      </c>
      <c r="N219" s="231" t="str">
        <f>IFERROR(__xludf.DUMMYFUNCTION("""COMPUTED_VALUE"""),"")</f>
        <v/>
      </c>
      <c r="O219" s="232" t="str">
        <f>IFERROR(__xludf.DUMMYFUNCTION("""COMPUTED_VALUE"""),"")</f>
        <v/>
      </c>
      <c r="P219" s="233" t="str">
        <f>IFERROR(__xludf.DUMMYFUNCTION("""COMPUTED_VALUE"""),"")</f>
        <v/>
      </c>
      <c r="Q219" s="231" t="str">
        <f>IFERROR(__xludf.DUMMYFUNCTION("""COMPUTED_VALUE"""),"")</f>
        <v/>
      </c>
      <c r="R219" s="232" t="str">
        <f>IFERROR(__xludf.DUMMYFUNCTION("""COMPUTED_VALUE"""),"")</f>
        <v/>
      </c>
      <c r="S219" s="233" t="str">
        <f>IFERROR(__xludf.DUMMYFUNCTION("""COMPUTED_VALUE"""),"")</f>
        <v/>
      </c>
      <c r="T219" s="231" t="str">
        <f>IFERROR(__xludf.DUMMYFUNCTION("""COMPUTED_VALUE"""),"")</f>
        <v/>
      </c>
      <c r="U219" s="232" t="str">
        <f>IFERROR(__xludf.DUMMYFUNCTION("""COMPUTED_VALUE"""),"")</f>
        <v/>
      </c>
      <c r="V219" s="233" t="str">
        <f>IFERROR(__xludf.DUMMYFUNCTION("""COMPUTED_VALUE"""),"")</f>
        <v/>
      </c>
      <c r="W219" s="231" t="str">
        <f>IFERROR(__xludf.DUMMYFUNCTION("""COMPUTED_VALUE"""),"")</f>
        <v/>
      </c>
      <c r="X219" s="232" t="str">
        <f>IFERROR(__xludf.DUMMYFUNCTION("""COMPUTED_VALUE"""),"")</f>
        <v/>
      </c>
      <c r="Y219" s="233" t="str">
        <f>IFERROR(__xludf.DUMMYFUNCTION("""COMPUTED_VALUE"""),"")</f>
        <v/>
      </c>
      <c r="Z219" s="231" t="str">
        <f>IFERROR(__xludf.DUMMYFUNCTION("""COMPUTED_VALUE"""),"")</f>
        <v/>
      </c>
      <c r="AA219" s="232" t="str">
        <f>IFERROR(__xludf.DUMMYFUNCTION("""COMPUTED_VALUE"""),"")</f>
        <v/>
      </c>
      <c r="AB219" s="233" t="str">
        <f>IFERROR(__xludf.DUMMYFUNCTION("""COMPUTED_VALUE"""),"")</f>
        <v/>
      </c>
      <c r="AC219" s="231" t="str">
        <f>IFERROR(__xludf.DUMMYFUNCTION("""COMPUTED_VALUE"""),"")</f>
        <v/>
      </c>
      <c r="AD219" s="232" t="str">
        <f>IFERROR(__xludf.DUMMYFUNCTION("""COMPUTED_VALUE"""),"")</f>
        <v/>
      </c>
      <c r="AE219" s="233" t="str">
        <f>IFERROR(__xludf.DUMMYFUNCTION("""COMPUTED_VALUE"""),"")</f>
        <v/>
      </c>
      <c r="AF219" s="231" t="str">
        <f>IFERROR(__xludf.DUMMYFUNCTION("""COMPUTED_VALUE"""),"")</f>
        <v/>
      </c>
      <c r="AG219" s="232" t="str">
        <f>IFERROR(__xludf.DUMMYFUNCTION("""COMPUTED_VALUE"""),"")</f>
        <v/>
      </c>
      <c r="AH219" s="233" t="str">
        <f>IFERROR(__xludf.DUMMYFUNCTION("""COMPUTED_VALUE"""),"")</f>
        <v/>
      </c>
      <c r="AI219" s="231" t="str">
        <f>IFERROR(__xludf.DUMMYFUNCTION("""COMPUTED_VALUE"""),"")</f>
        <v/>
      </c>
      <c r="AJ219" s="232" t="str">
        <f>IFERROR(__xludf.DUMMYFUNCTION("""COMPUTED_VALUE"""),"")</f>
        <v/>
      </c>
      <c r="AK219" s="233" t="str">
        <f>IFERROR(__xludf.DUMMYFUNCTION("""COMPUTED_VALUE"""),"")</f>
        <v/>
      </c>
      <c r="AL219" s="231" t="str">
        <f>IFERROR(__xludf.DUMMYFUNCTION("""COMPUTED_VALUE"""),"")</f>
        <v/>
      </c>
      <c r="AM219" s="232" t="str">
        <f>IFERROR(__xludf.DUMMYFUNCTION("""COMPUTED_VALUE"""),"")</f>
        <v/>
      </c>
      <c r="AN219" s="233" t="str">
        <f>IFERROR(__xludf.DUMMYFUNCTION("""COMPUTED_VALUE"""),"")</f>
        <v/>
      </c>
      <c r="AO219" s="231" t="str">
        <f>IFERROR(__xludf.DUMMYFUNCTION("""COMPUTED_VALUE"""),"")</f>
        <v/>
      </c>
      <c r="AP219" s="232">
        <f>IFERROR(__xludf.DUMMYFUNCTION("""COMPUTED_VALUE"""),27.7)</f>
        <v>27.7</v>
      </c>
      <c r="AQ219" s="233" t="str">
        <f>IFERROR(__xludf.DUMMYFUNCTION("""COMPUTED_VALUE"""),"")</f>
        <v/>
      </c>
      <c r="AR219" s="231" t="str">
        <f>IFERROR(__xludf.DUMMYFUNCTION("""COMPUTED_VALUE"""),"")</f>
        <v/>
      </c>
      <c r="AS219" s="232" t="str">
        <f>IFERROR(__xludf.DUMMYFUNCTION("""COMPUTED_VALUE"""),"")</f>
        <v/>
      </c>
      <c r="AT219" s="233" t="str">
        <f>IFERROR(__xludf.DUMMYFUNCTION("""COMPUTED_VALUE"""),"")</f>
        <v/>
      </c>
      <c r="AU219" s="231" t="str">
        <f>IFERROR(__xludf.DUMMYFUNCTION("""COMPUTED_VALUE"""),"")</f>
        <v/>
      </c>
      <c r="AV219" s="232" t="str">
        <f>IFERROR(__xludf.DUMMYFUNCTION("""COMPUTED_VALUE"""),"")</f>
        <v/>
      </c>
      <c r="AW219" s="233" t="str">
        <f>IFERROR(__xludf.DUMMYFUNCTION("""COMPUTED_VALUE"""),"")</f>
        <v/>
      </c>
      <c r="AX219" s="231" t="str">
        <f>IFERROR(__xludf.DUMMYFUNCTION("""COMPUTED_VALUE"""),"")</f>
        <v/>
      </c>
      <c r="AY219" s="232" t="str">
        <f>IFERROR(__xludf.DUMMYFUNCTION("""COMPUTED_VALUE"""),"")</f>
        <v/>
      </c>
      <c r="AZ219" s="233" t="str">
        <f>IFERROR(__xludf.DUMMYFUNCTION("""COMPUTED_VALUE"""),"")</f>
        <v/>
      </c>
      <c r="BA219" s="231" t="str">
        <f>IFERROR(__xludf.DUMMYFUNCTION("""COMPUTED_VALUE"""),"")</f>
        <v/>
      </c>
      <c r="BB219" s="232" t="str">
        <f>IFERROR(__xludf.DUMMYFUNCTION("""COMPUTED_VALUE"""),"")</f>
        <v/>
      </c>
      <c r="BC219" s="233" t="str">
        <f>IFERROR(__xludf.DUMMYFUNCTION("""COMPUTED_VALUE"""),"")</f>
        <v/>
      </c>
      <c r="BD219" s="231" t="str">
        <f>IFERROR(__xludf.DUMMYFUNCTION("""COMPUTED_VALUE"""),"")</f>
        <v/>
      </c>
      <c r="BE219" s="232" t="str">
        <f>IFERROR(__xludf.DUMMYFUNCTION("""COMPUTED_VALUE"""),"")</f>
        <v/>
      </c>
      <c r="BF219" s="233" t="str">
        <f>IFERROR(__xludf.DUMMYFUNCTION("""COMPUTED_VALUE"""),"")</f>
        <v/>
      </c>
      <c r="BG219" s="231" t="str">
        <f>IFERROR(__xludf.DUMMYFUNCTION("""COMPUTED_VALUE"""),"")</f>
        <v/>
      </c>
      <c r="BH219" s="232" t="str">
        <f>IFERROR(__xludf.DUMMYFUNCTION("""COMPUTED_VALUE"""),"")</f>
        <v/>
      </c>
      <c r="BI219" s="233" t="str">
        <f>IFERROR(__xludf.DUMMYFUNCTION("""COMPUTED_VALUE"""),"")</f>
        <v/>
      </c>
      <c r="BJ219" s="231" t="str">
        <f>IFERROR(__xludf.DUMMYFUNCTION("""COMPUTED_VALUE"""),"")</f>
        <v/>
      </c>
      <c r="BK219" s="232" t="str">
        <f>IFERROR(__xludf.DUMMYFUNCTION("""COMPUTED_VALUE"""),"")</f>
        <v/>
      </c>
      <c r="BL219" s="233">
        <f>IFERROR(__xludf.DUMMYFUNCTION("""COMPUTED_VALUE"""),16.2)</f>
        <v>16.2</v>
      </c>
      <c r="BM219" s="231" t="str">
        <f>IFERROR(__xludf.DUMMYFUNCTION("""COMPUTED_VALUE"""),"")</f>
        <v/>
      </c>
      <c r="BN219" s="232" t="str">
        <f>IFERROR(__xludf.DUMMYFUNCTION("""COMPUTED_VALUE"""),"")</f>
        <v/>
      </c>
      <c r="BO219" s="233" t="str">
        <f>IFERROR(__xludf.DUMMYFUNCTION("""COMPUTED_VALUE"""),"")</f>
        <v/>
      </c>
      <c r="BP219" s="231" t="str">
        <f>IFERROR(__xludf.DUMMYFUNCTION("""COMPUTED_VALUE"""),"")</f>
        <v/>
      </c>
      <c r="BQ219" s="232" t="str">
        <f>IFERROR(__xludf.DUMMYFUNCTION("""COMPUTED_VALUE"""),"")</f>
        <v/>
      </c>
      <c r="BR219" s="233" t="str">
        <f>IFERROR(__xludf.DUMMYFUNCTION("""COMPUTED_VALUE"""),"")</f>
        <v/>
      </c>
      <c r="BS219" s="231" t="str">
        <f>IFERROR(__xludf.DUMMYFUNCTION("""COMPUTED_VALUE"""),"")</f>
        <v/>
      </c>
      <c r="BT219" s="232" t="str">
        <f>IFERROR(__xludf.DUMMYFUNCTION("""COMPUTED_VALUE"""),"")</f>
        <v/>
      </c>
      <c r="BU219" s="233" t="str">
        <f>IFERROR(__xludf.DUMMYFUNCTION("""COMPUTED_VALUE"""),"")</f>
        <v/>
      </c>
      <c r="BV219" s="231" t="str">
        <f>IFERROR(__xludf.DUMMYFUNCTION("""COMPUTED_VALUE"""),"")</f>
        <v/>
      </c>
      <c r="BW219" s="232">
        <f>IFERROR(__xludf.DUMMYFUNCTION("""COMPUTED_VALUE"""),25.2)</f>
        <v>25.2</v>
      </c>
      <c r="BX219" s="233" t="str">
        <f>IFERROR(__xludf.DUMMYFUNCTION("""COMPUTED_VALUE"""),"")</f>
        <v/>
      </c>
      <c r="BY219" s="231" t="str">
        <f>IFERROR(__xludf.DUMMYFUNCTION("""COMPUTED_VALUE"""),"")</f>
        <v/>
      </c>
      <c r="BZ219" s="232" t="str">
        <f>IFERROR(__xludf.DUMMYFUNCTION("""COMPUTED_VALUE"""),"")</f>
        <v/>
      </c>
      <c r="CA219" s="233" t="str">
        <f>IFERROR(__xludf.DUMMYFUNCTION("""COMPUTED_VALUE"""),"")</f>
        <v/>
      </c>
      <c r="CB219" s="231" t="str">
        <f>IFERROR(__xludf.DUMMYFUNCTION("""COMPUTED_VALUE"""),"")</f>
        <v/>
      </c>
      <c r="CC219" s="232" t="str">
        <f>IFERROR(__xludf.DUMMYFUNCTION("""COMPUTED_VALUE"""),"")</f>
        <v/>
      </c>
      <c r="CD219" s="233" t="str">
        <f>IFERROR(__xludf.DUMMYFUNCTION("""COMPUTED_VALUE"""),"")</f>
        <v/>
      </c>
      <c r="CE219" s="234" t="str">
        <f>IFERROR(__xludf.DUMMYFUNCTION("""COMPUTED_VALUE"""),"")</f>
        <v/>
      </c>
      <c r="CF219" s="230" t="str">
        <f>IFERROR(__xludf.DUMMYFUNCTION("""COMPUTED_VALUE"""),"")</f>
        <v/>
      </c>
      <c r="CG219" s="235" t="str">
        <f>IFERROR(__xludf.DUMMYFUNCTION("""COMPUTED_VALUE"""),"")</f>
        <v/>
      </c>
      <c r="CH219" s="234" t="str">
        <f>IFERROR(__xludf.DUMMYFUNCTION("""COMPUTED_VALUE"""),"")</f>
        <v/>
      </c>
      <c r="CI219" s="230" t="str">
        <f>IFERROR(__xludf.DUMMYFUNCTION("""COMPUTED_VALUE"""),"")</f>
        <v/>
      </c>
      <c r="CJ219" s="235" t="str">
        <f>IFERROR(__xludf.DUMMYFUNCTION("""COMPUTED_VALUE"""),"")</f>
        <v/>
      </c>
      <c r="CK219" s="95" t="str">
        <f>IFERROR(__xludf.DUMMYFUNCTION("""COMPUTED_VALUE"""),"")</f>
        <v/>
      </c>
      <c r="CL219" s="96" t="str">
        <f>IFERROR(__xludf.DUMMYFUNCTION("""COMPUTED_VALUE"""),"")</f>
        <v/>
      </c>
      <c r="CM219" s="97" t="str">
        <f>IFERROR(__xludf.DUMMYFUNCTION("""COMPUTED_VALUE"""),"")</f>
        <v/>
      </c>
      <c r="CN219" s="95" t="str">
        <f>IFERROR(__xludf.DUMMYFUNCTION("""COMPUTED_VALUE"""),"")</f>
        <v/>
      </c>
      <c r="CO219" s="96" t="str">
        <f>IFERROR(__xludf.DUMMYFUNCTION("""COMPUTED_VALUE"""),"")</f>
        <v/>
      </c>
      <c r="CP219" s="97" t="str">
        <f>IFERROR(__xludf.DUMMYFUNCTION("""COMPUTED_VALUE"""),"")</f>
        <v/>
      </c>
      <c r="CQ219" s="95" t="str">
        <f>IFERROR(__xludf.DUMMYFUNCTION("""COMPUTED_VALUE"""),"")</f>
        <v/>
      </c>
      <c r="CR219" s="96" t="str">
        <f>IFERROR(__xludf.DUMMYFUNCTION("""COMPUTED_VALUE"""),"")</f>
        <v/>
      </c>
      <c r="CS219" s="97" t="str">
        <f>IFERROR(__xludf.DUMMYFUNCTION("""COMPUTED_VALUE"""),"#REF!")</f>
        <v>#REF!</v>
      </c>
      <c r="CT219" s="95" t="str">
        <f>IFERROR(__xludf.DUMMYFUNCTION("""COMPUTED_VALUE"""),"#REF!")</f>
        <v>#REF!</v>
      </c>
      <c r="CU219" s="96" t="str">
        <f>IFERROR(__xludf.DUMMYFUNCTION("""COMPUTED_VALUE"""),"#REF!")</f>
        <v>#REF!</v>
      </c>
      <c r="CV219" s="97" t="str">
        <f>IFERROR(__xludf.DUMMYFUNCTION("""COMPUTED_VALUE"""),"#REF!")</f>
        <v>#REF!</v>
      </c>
      <c r="CW219" s="95" t="str">
        <f>IFERROR(__xludf.DUMMYFUNCTION("""COMPUTED_VALUE"""),"#REF!")</f>
        <v>#REF!</v>
      </c>
      <c r="CX219" s="96" t="str">
        <f>IFERROR(__xludf.DUMMYFUNCTION("""COMPUTED_VALUE"""),"#REF!")</f>
        <v>#REF!</v>
      </c>
      <c r="CY219" s="97" t="str">
        <f>IFERROR(__xludf.DUMMYFUNCTION("""COMPUTED_VALUE"""),"#REF!")</f>
        <v>#REF!</v>
      </c>
      <c r="CZ219" s="95" t="str">
        <f>IFERROR(__xludf.DUMMYFUNCTION("""COMPUTED_VALUE"""),"#REF!")</f>
        <v>#REF!</v>
      </c>
      <c r="DA219" s="96" t="str">
        <f>IFERROR(__xludf.DUMMYFUNCTION("""COMPUTED_VALUE"""),"#REF!")</f>
        <v>#REF!</v>
      </c>
      <c r="DB219" s="97" t="str">
        <f>IFERROR(__xludf.DUMMYFUNCTION("""COMPUTED_VALUE"""),"#REF!")</f>
        <v>#REF!</v>
      </c>
      <c r="DC219" s="95" t="str">
        <f>IFERROR(__xludf.DUMMYFUNCTION("""COMPUTED_VALUE"""),"#REF!")</f>
        <v>#REF!</v>
      </c>
      <c r="DD219" s="96" t="str">
        <f>IFERROR(__xludf.DUMMYFUNCTION("""COMPUTED_VALUE"""),"#REF!")</f>
        <v>#REF!</v>
      </c>
      <c r="DE219" s="97" t="str">
        <f>IFERROR(__xludf.DUMMYFUNCTION("""COMPUTED_VALUE"""),"#REF!")</f>
        <v>#REF!</v>
      </c>
      <c r="DF219" s="95" t="str">
        <f>IFERROR(__xludf.DUMMYFUNCTION("""COMPUTED_VALUE"""),"#REF!")</f>
        <v>#REF!</v>
      </c>
      <c r="DG219" s="96" t="str">
        <f>IFERROR(__xludf.DUMMYFUNCTION("""COMPUTED_VALUE"""),"#REF!")</f>
        <v>#REF!</v>
      </c>
      <c r="DH219" s="97" t="str">
        <f>IFERROR(__xludf.DUMMYFUNCTION("""COMPUTED_VALUE"""),"#REF!")</f>
        <v>#REF!</v>
      </c>
      <c r="DI219" s="95" t="str">
        <f>IFERROR(__xludf.DUMMYFUNCTION("""COMPUTED_VALUE"""),"#REF!")</f>
        <v>#REF!</v>
      </c>
      <c r="DJ219" s="96" t="str">
        <f>IFERROR(__xludf.DUMMYFUNCTION("""COMPUTED_VALUE"""),"#REF!")</f>
        <v>#REF!</v>
      </c>
      <c r="DK219" s="97" t="str">
        <f>IFERROR(__xludf.DUMMYFUNCTION("""COMPUTED_VALUE"""),"#REF!")</f>
        <v>#REF!</v>
      </c>
      <c r="DL219" s="95" t="str">
        <f>IFERROR(__xludf.DUMMYFUNCTION("""COMPUTED_VALUE"""),"#REF!")</f>
        <v>#REF!</v>
      </c>
      <c r="DM219" s="96" t="str">
        <f>IFERROR(__xludf.DUMMYFUNCTION("""COMPUTED_VALUE"""),"#REF!")</f>
        <v>#REF!</v>
      </c>
      <c r="DN219" s="97" t="str">
        <f>IFERROR(__xludf.DUMMYFUNCTION("""COMPUTED_VALUE"""),"#REF!")</f>
        <v>#REF!</v>
      </c>
      <c r="DO219" s="95" t="str">
        <f>IFERROR(__xludf.DUMMYFUNCTION("""COMPUTED_VALUE"""),"#REF!")</f>
        <v>#REF!</v>
      </c>
      <c r="DP219" s="96" t="str">
        <f>IFERROR(__xludf.DUMMYFUNCTION("""COMPUTED_VALUE"""),"#REF!")</f>
        <v>#REF!</v>
      </c>
      <c r="DQ219" s="97"/>
      <c r="DR219" s="95"/>
    </row>
    <row r="220">
      <c r="B220" s="180" t="str">
        <f>IFERROR(__xludf.DUMMYFUNCTION("""COMPUTED_VALUE"""),"YKS2")</f>
        <v>YKS2</v>
      </c>
      <c r="C220">
        <f>IFERROR(__xludf.DUMMYFUNCTION("""COMPUTED_VALUE"""),217.0)</f>
        <v>217</v>
      </c>
      <c r="D220" s="88" t="str">
        <f>IFERROR(__xludf.DUMMYFUNCTION("""COMPUTED_VALUE"""),"Bich")</f>
        <v>Bich</v>
      </c>
      <c r="E220" s="82" t="str">
        <f>IFERROR(__xludf.DUMMYFUNCTION("""COMPUTED_VALUE"""),"ビーチュ")</f>
        <v>ビーチュ</v>
      </c>
      <c r="F220" s="102">
        <f>IFERROR(__xludf.DUMMYFUNCTION("""COMPUTED_VALUE"""),20.0)</f>
        <v>20</v>
      </c>
      <c r="G220" s="82">
        <f>IFERROR(__xludf.DUMMYFUNCTION("""COMPUTED_VALUE"""),7416.0)</f>
        <v>7416</v>
      </c>
      <c r="H220" s="231" t="str">
        <f>IFERROR(__xludf.DUMMYFUNCTION("""COMPUTED_VALUE"""),"")</f>
        <v/>
      </c>
      <c r="I220" s="232" t="str">
        <f>IFERROR(__xludf.DUMMYFUNCTION("""COMPUTED_VALUE"""),"")</f>
        <v/>
      </c>
      <c r="J220" s="233" t="str">
        <f>IFERROR(__xludf.DUMMYFUNCTION("""COMPUTED_VALUE"""),"")</f>
        <v/>
      </c>
      <c r="K220" s="231" t="str">
        <f>IFERROR(__xludf.DUMMYFUNCTION("""COMPUTED_VALUE"""),"")</f>
        <v/>
      </c>
      <c r="L220" s="232" t="str">
        <f>IFERROR(__xludf.DUMMYFUNCTION("""COMPUTED_VALUE"""),"")</f>
        <v/>
      </c>
      <c r="M220" s="233" t="str">
        <f>IFERROR(__xludf.DUMMYFUNCTION("""COMPUTED_VALUE"""),"")</f>
        <v/>
      </c>
      <c r="N220" s="231" t="str">
        <f>IFERROR(__xludf.DUMMYFUNCTION("""COMPUTED_VALUE"""),"")</f>
        <v/>
      </c>
      <c r="O220" s="232" t="str">
        <f>IFERROR(__xludf.DUMMYFUNCTION("""COMPUTED_VALUE"""),"")</f>
        <v/>
      </c>
      <c r="P220" s="233" t="str">
        <f>IFERROR(__xludf.DUMMYFUNCTION("""COMPUTED_VALUE"""),"")</f>
        <v/>
      </c>
      <c r="Q220" s="231" t="str">
        <f>IFERROR(__xludf.DUMMYFUNCTION("""COMPUTED_VALUE"""),"")</f>
        <v/>
      </c>
      <c r="R220" s="232" t="str">
        <f>IFERROR(__xludf.DUMMYFUNCTION("""COMPUTED_VALUE"""),"")</f>
        <v/>
      </c>
      <c r="S220" s="233" t="str">
        <f>IFERROR(__xludf.DUMMYFUNCTION("""COMPUTED_VALUE"""),"")</f>
        <v/>
      </c>
      <c r="T220" s="231" t="str">
        <f>IFERROR(__xludf.DUMMYFUNCTION("""COMPUTED_VALUE"""),"")</f>
        <v/>
      </c>
      <c r="U220" s="232" t="str">
        <f>IFERROR(__xludf.DUMMYFUNCTION("""COMPUTED_VALUE"""),"")</f>
        <v/>
      </c>
      <c r="V220" s="233" t="str">
        <f>IFERROR(__xludf.DUMMYFUNCTION("""COMPUTED_VALUE"""),"")</f>
        <v/>
      </c>
      <c r="W220" s="231" t="str">
        <f>IFERROR(__xludf.DUMMYFUNCTION("""COMPUTED_VALUE"""),"")</f>
        <v/>
      </c>
      <c r="X220" s="232" t="str">
        <f>IFERROR(__xludf.DUMMYFUNCTION("""COMPUTED_VALUE"""),"")</f>
        <v/>
      </c>
      <c r="Y220" s="233" t="str">
        <f>IFERROR(__xludf.DUMMYFUNCTION("""COMPUTED_VALUE"""),"")</f>
        <v/>
      </c>
      <c r="Z220" s="231" t="str">
        <f>IFERROR(__xludf.DUMMYFUNCTION("""COMPUTED_VALUE"""),"")</f>
        <v/>
      </c>
      <c r="AA220" s="232" t="str">
        <f>IFERROR(__xludf.DUMMYFUNCTION("""COMPUTED_VALUE"""),"")</f>
        <v/>
      </c>
      <c r="AB220" s="233" t="str">
        <f>IFERROR(__xludf.DUMMYFUNCTION("""COMPUTED_VALUE"""),"")</f>
        <v/>
      </c>
      <c r="AC220" s="231" t="str">
        <f>IFERROR(__xludf.DUMMYFUNCTION("""COMPUTED_VALUE"""),"")</f>
        <v/>
      </c>
      <c r="AD220" s="232">
        <f>IFERROR(__xludf.DUMMYFUNCTION("""COMPUTED_VALUE"""),15.3)</f>
        <v>15.3</v>
      </c>
      <c r="AE220" s="233" t="str">
        <f>IFERROR(__xludf.DUMMYFUNCTION("""COMPUTED_VALUE"""),"")</f>
        <v/>
      </c>
      <c r="AF220" s="231" t="str">
        <f>IFERROR(__xludf.DUMMYFUNCTION("""COMPUTED_VALUE"""),"")</f>
        <v/>
      </c>
      <c r="AG220" s="232" t="str">
        <f>IFERROR(__xludf.DUMMYFUNCTION("""COMPUTED_VALUE"""),"")</f>
        <v/>
      </c>
      <c r="AH220" s="233" t="str">
        <f>IFERROR(__xludf.DUMMYFUNCTION("""COMPUTED_VALUE"""),"")</f>
        <v/>
      </c>
      <c r="AI220" s="231" t="str">
        <f>IFERROR(__xludf.DUMMYFUNCTION("""COMPUTED_VALUE"""),"")</f>
        <v/>
      </c>
      <c r="AJ220" s="232" t="str">
        <f>IFERROR(__xludf.DUMMYFUNCTION("""COMPUTED_VALUE"""),"")</f>
        <v/>
      </c>
      <c r="AK220" s="233" t="str">
        <f>IFERROR(__xludf.DUMMYFUNCTION("""COMPUTED_VALUE"""),"")</f>
        <v/>
      </c>
      <c r="AL220" s="231" t="str">
        <f>IFERROR(__xludf.DUMMYFUNCTION("""COMPUTED_VALUE"""),"")</f>
        <v/>
      </c>
      <c r="AM220" s="232" t="str">
        <f>IFERROR(__xludf.DUMMYFUNCTION("""COMPUTED_VALUE"""),"")</f>
        <v/>
      </c>
      <c r="AN220" s="233" t="str">
        <f>IFERROR(__xludf.DUMMYFUNCTION("""COMPUTED_VALUE"""),"")</f>
        <v/>
      </c>
      <c r="AO220" s="231" t="str">
        <f>IFERROR(__xludf.DUMMYFUNCTION("""COMPUTED_VALUE"""),"")</f>
        <v/>
      </c>
      <c r="AP220" s="232">
        <f>IFERROR(__xludf.DUMMYFUNCTION("""COMPUTED_VALUE"""),19.8)</f>
        <v>19.8</v>
      </c>
      <c r="AQ220" s="233" t="str">
        <f>IFERROR(__xludf.DUMMYFUNCTION("""COMPUTED_VALUE"""),"")</f>
        <v/>
      </c>
      <c r="AR220" s="231" t="str">
        <f>IFERROR(__xludf.DUMMYFUNCTION("""COMPUTED_VALUE"""),"")</f>
        <v/>
      </c>
      <c r="AS220" s="232" t="str">
        <f>IFERROR(__xludf.DUMMYFUNCTION("""COMPUTED_VALUE"""),"")</f>
        <v/>
      </c>
      <c r="AT220" s="233" t="str">
        <f>IFERROR(__xludf.DUMMYFUNCTION("""COMPUTED_VALUE"""),"")</f>
        <v/>
      </c>
      <c r="AU220" s="231" t="str">
        <f>IFERROR(__xludf.DUMMYFUNCTION("""COMPUTED_VALUE"""),"")</f>
        <v/>
      </c>
      <c r="AV220" s="232" t="str">
        <f>IFERROR(__xludf.DUMMYFUNCTION("""COMPUTED_VALUE"""),"")</f>
        <v/>
      </c>
      <c r="AW220" s="233">
        <f>IFERROR(__xludf.DUMMYFUNCTION("""COMPUTED_VALUE"""),30.4)</f>
        <v>30.4</v>
      </c>
      <c r="AX220" s="231" t="str">
        <f>IFERROR(__xludf.DUMMYFUNCTION("""COMPUTED_VALUE"""),"")</f>
        <v/>
      </c>
      <c r="AY220" s="232" t="str">
        <f>IFERROR(__xludf.DUMMYFUNCTION("""COMPUTED_VALUE"""),"")</f>
        <v/>
      </c>
      <c r="AZ220" s="233" t="str">
        <f>IFERROR(__xludf.DUMMYFUNCTION("""COMPUTED_VALUE"""),"")</f>
        <v/>
      </c>
      <c r="BA220" s="231" t="str">
        <f>IFERROR(__xludf.DUMMYFUNCTION("""COMPUTED_VALUE"""),"")</f>
        <v/>
      </c>
      <c r="BB220" s="232" t="str">
        <f>IFERROR(__xludf.DUMMYFUNCTION("""COMPUTED_VALUE"""),"")</f>
        <v/>
      </c>
      <c r="BC220" s="233" t="str">
        <f>IFERROR(__xludf.DUMMYFUNCTION("""COMPUTED_VALUE"""),"")</f>
        <v/>
      </c>
      <c r="BD220" s="231" t="str">
        <f>IFERROR(__xludf.DUMMYFUNCTION("""COMPUTED_VALUE"""),"")</f>
        <v/>
      </c>
      <c r="BE220" s="232" t="str">
        <f>IFERROR(__xludf.DUMMYFUNCTION("""COMPUTED_VALUE"""),"")</f>
        <v/>
      </c>
      <c r="BF220" s="233" t="str">
        <f>IFERROR(__xludf.DUMMYFUNCTION("""COMPUTED_VALUE"""),"")</f>
        <v/>
      </c>
      <c r="BG220" s="231" t="str">
        <f>IFERROR(__xludf.DUMMYFUNCTION("""COMPUTED_VALUE"""),"")</f>
        <v/>
      </c>
      <c r="BH220" s="232" t="str">
        <f>IFERROR(__xludf.DUMMYFUNCTION("""COMPUTED_VALUE"""),"")</f>
        <v/>
      </c>
      <c r="BI220" s="233" t="str">
        <f>IFERROR(__xludf.DUMMYFUNCTION("""COMPUTED_VALUE"""),"")</f>
        <v/>
      </c>
      <c r="BJ220" s="231" t="str">
        <f>IFERROR(__xludf.DUMMYFUNCTION("""COMPUTED_VALUE"""),"")</f>
        <v/>
      </c>
      <c r="BK220" s="232" t="str">
        <f>IFERROR(__xludf.DUMMYFUNCTION("""COMPUTED_VALUE"""),"")</f>
        <v/>
      </c>
      <c r="BL220" s="233" t="str">
        <f>IFERROR(__xludf.DUMMYFUNCTION("""COMPUTED_VALUE"""),"")</f>
        <v/>
      </c>
      <c r="BM220" s="231" t="str">
        <f>IFERROR(__xludf.DUMMYFUNCTION("""COMPUTED_VALUE"""),"")</f>
        <v/>
      </c>
      <c r="BN220" s="232">
        <f>IFERROR(__xludf.DUMMYFUNCTION("""COMPUTED_VALUE"""),10.4)</f>
        <v>10.4</v>
      </c>
      <c r="BO220" s="233" t="str">
        <f>IFERROR(__xludf.DUMMYFUNCTION("""COMPUTED_VALUE"""),"")</f>
        <v/>
      </c>
      <c r="BP220" s="231" t="str">
        <f>IFERROR(__xludf.DUMMYFUNCTION("""COMPUTED_VALUE"""),"")</f>
        <v/>
      </c>
      <c r="BQ220" s="232" t="str">
        <f>IFERROR(__xludf.DUMMYFUNCTION("""COMPUTED_VALUE"""),"")</f>
        <v/>
      </c>
      <c r="BR220" s="233" t="str">
        <f>IFERROR(__xludf.DUMMYFUNCTION("""COMPUTED_VALUE"""),"")</f>
        <v/>
      </c>
      <c r="BS220" s="231" t="str">
        <f>IFERROR(__xludf.DUMMYFUNCTION("""COMPUTED_VALUE"""),"")</f>
        <v/>
      </c>
      <c r="BT220" s="232" t="str">
        <f>IFERROR(__xludf.DUMMYFUNCTION("""COMPUTED_VALUE"""),"")</f>
        <v/>
      </c>
      <c r="BU220" s="233" t="str">
        <f>IFERROR(__xludf.DUMMYFUNCTION("""COMPUTED_VALUE"""),"")</f>
        <v/>
      </c>
      <c r="BV220" s="231" t="str">
        <f>IFERROR(__xludf.DUMMYFUNCTION("""COMPUTED_VALUE"""),"")</f>
        <v/>
      </c>
      <c r="BW220" s="232">
        <f>IFERROR(__xludf.DUMMYFUNCTION("""COMPUTED_VALUE"""),30.0)</f>
        <v>30</v>
      </c>
      <c r="BX220" s="233" t="str">
        <f>IFERROR(__xludf.DUMMYFUNCTION("""COMPUTED_VALUE"""),"")</f>
        <v/>
      </c>
      <c r="BY220" s="231" t="str">
        <f>IFERROR(__xludf.DUMMYFUNCTION("""COMPUTED_VALUE"""),"")</f>
        <v/>
      </c>
      <c r="BZ220" s="232" t="str">
        <f>IFERROR(__xludf.DUMMYFUNCTION("""COMPUTED_VALUE"""),"")</f>
        <v/>
      </c>
      <c r="CA220" s="233" t="str">
        <f>IFERROR(__xludf.DUMMYFUNCTION("""COMPUTED_VALUE"""),"")</f>
        <v/>
      </c>
      <c r="CB220" s="231" t="str">
        <f>IFERROR(__xludf.DUMMYFUNCTION("""COMPUTED_VALUE"""),"")</f>
        <v/>
      </c>
      <c r="CC220" s="232" t="str">
        <f>IFERROR(__xludf.DUMMYFUNCTION("""COMPUTED_VALUE"""),"")</f>
        <v/>
      </c>
      <c r="CD220" s="233" t="str">
        <f>IFERROR(__xludf.DUMMYFUNCTION("""COMPUTED_VALUE"""),"")</f>
        <v/>
      </c>
      <c r="CE220" s="234" t="str">
        <f>IFERROR(__xludf.DUMMYFUNCTION("""COMPUTED_VALUE"""),"")</f>
        <v/>
      </c>
      <c r="CF220" s="230" t="str">
        <f>IFERROR(__xludf.DUMMYFUNCTION("""COMPUTED_VALUE"""),"")</f>
        <v/>
      </c>
      <c r="CG220" s="235" t="str">
        <f>IFERROR(__xludf.DUMMYFUNCTION("""COMPUTED_VALUE"""),"")</f>
        <v/>
      </c>
      <c r="CH220" s="234" t="str">
        <f>IFERROR(__xludf.DUMMYFUNCTION("""COMPUTED_VALUE"""),"")</f>
        <v/>
      </c>
      <c r="CI220" s="230" t="str">
        <f>IFERROR(__xludf.DUMMYFUNCTION("""COMPUTED_VALUE"""),"")</f>
        <v/>
      </c>
      <c r="CJ220" s="235" t="str">
        <f>IFERROR(__xludf.DUMMYFUNCTION("""COMPUTED_VALUE"""),"")</f>
        <v/>
      </c>
      <c r="CK220" s="95" t="str">
        <f>IFERROR(__xludf.DUMMYFUNCTION("""COMPUTED_VALUE"""),"")</f>
        <v/>
      </c>
      <c r="CL220" s="96" t="str">
        <f>IFERROR(__xludf.DUMMYFUNCTION("""COMPUTED_VALUE"""),"")</f>
        <v/>
      </c>
      <c r="CM220" s="97" t="str">
        <f>IFERROR(__xludf.DUMMYFUNCTION("""COMPUTED_VALUE"""),"")</f>
        <v/>
      </c>
      <c r="CN220" s="95" t="str">
        <f>IFERROR(__xludf.DUMMYFUNCTION("""COMPUTED_VALUE"""),"")</f>
        <v/>
      </c>
      <c r="CO220" s="96" t="str">
        <f>IFERROR(__xludf.DUMMYFUNCTION("""COMPUTED_VALUE"""),"")</f>
        <v/>
      </c>
      <c r="CP220" s="97">
        <f>IFERROR(__xludf.DUMMYFUNCTION("""COMPUTED_VALUE"""),9.0)</f>
        <v>9</v>
      </c>
      <c r="CQ220" s="95" t="str">
        <f>IFERROR(__xludf.DUMMYFUNCTION("""COMPUTED_VALUE"""),"")</f>
        <v/>
      </c>
      <c r="CR220" s="96" t="str">
        <f>IFERROR(__xludf.DUMMYFUNCTION("""COMPUTED_VALUE"""),"")</f>
        <v/>
      </c>
      <c r="CS220" s="97" t="str">
        <f>IFERROR(__xludf.DUMMYFUNCTION("""COMPUTED_VALUE"""),"#REF!")</f>
        <v>#REF!</v>
      </c>
      <c r="CT220" s="95" t="str">
        <f>IFERROR(__xludf.DUMMYFUNCTION("""COMPUTED_VALUE"""),"#REF!")</f>
        <v>#REF!</v>
      </c>
      <c r="CU220" s="96" t="str">
        <f>IFERROR(__xludf.DUMMYFUNCTION("""COMPUTED_VALUE"""),"#REF!")</f>
        <v>#REF!</v>
      </c>
      <c r="CV220" s="97" t="str">
        <f>IFERROR(__xludf.DUMMYFUNCTION("""COMPUTED_VALUE"""),"#REF!")</f>
        <v>#REF!</v>
      </c>
      <c r="CW220" s="95" t="str">
        <f>IFERROR(__xludf.DUMMYFUNCTION("""COMPUTED_VALUE"""),"#REF!")</f>
        <v>#REF!</v>
      </c>
      <c r="CX220" s="96" t="str">
        <f>IFERROR(__xludf.DUMMYFUNCTION("""COMPUTED_VALUE"""),"#REF!")</f>
        <v>#REF!</v>
      </c>
      <c r="CY220" s="97" t="str">
        <f>IFERROR(__xludf.DUMMYFUNCTION("""COMPUTED_VALUE"""),"#REF!")</f>
        <v>#REF!</v>
      </c>
      <c r="CZ220" s="95" t="str">
        <f>IFERROR(__xludf.DUMMYFUNCTION("""COMPUTED_VALUE"""),"#REF!")</f>
        <v>#REF!</v>
      </c>
      <c r="DA220" s="96" t="str">
        <f>IFERROR(__xludf.DUMMYFUNCTION("""COMPUTED_VALUE"""),"#REF!")</f>
        <v>#REF!</v>
      </c>
      <c r="DB220" s="97" t="str">
        <f>IFERROR(__xludf.DUMMYFUNCTION("""COMPUTED_VALUE"""),"#REF!")</f>
        <v>#REF!</v>
      </c>
      <c r="DC220" s="95" t="str">
        <f>IFERROR(__xludf.DUMMYFUNCTION("""COMPUTED_VALUE"""),"#REF!")</f>
        <v>#REF!</v>
      </c>
      <c r="DD220" s="96" t="str">
        <f>IFERROR(__xludf.DUMMYFUNCTION("""COMPUTED_VALUE"""),"#REF!")</f>
        <v>#REF!</v>
      </c>
      <c r="DE220" s="97" t="str">
        <f>IFERROR(__xludf.DUMMYFUNCTION("""COMPUTED_VALUE"""),"#REF!")</f>
        <v>#REF!</v>
      </c>
      <c r="DF220" s="95" t="str">
        <f>IFERROR(__xludf.DUMMYFUNCTION("""COMPUTED_VALUE"""),"#REF!")</f>
        <v>#REF!</v>
      </c>
      <c r="DG220" s="96" t="str">
        <f>IFERROR(__xludf.DUMMYFUNCTION("""COMPUTED_VALUE"""),"#REF!")</f>
        <v>#REF!</v>
      </c>
      <c r="DH220" s="97" t="str">
        <f>IFERROR(__xludf.DUMMYFUNCTION("""COMPUTED_VALUE"""),"#REF!")</f>
        <v>#REF!</v>
      </c>
      <c r="DI220" s="95" t="str">
        <f>IFERROR(__xludf.DUMMYFUNCTION("""COMPUTED_VALUE"""),"#REF!")</f>
        <v>#REF!</v>
      </c>
      <c r="DJ220" s="96" t="str">
        <f>IFERROR(__xludf.DUMMYFUNCTION("""COMPUTED_VALUE"""),"#REF!")</f>
        <v>#REF!</v>
      </c>
      <c r="DK220" s="97" t="str">
        <f>IFERROR(__xludf.DUMMYFUNCTION("""COMPUTED_VALUE"""),"#REF!")</f>
        <v>#REF!</v>
      </c>
      <c r="DL220" s="95" t="str">
        <f>IFERROR(__xludf.DUMMYFUNCTION("""COMPUTED_VALUE"""),"#REF!")</f>
        <v>#REF!</v>
      </c>
      <c r="DM220" s="96" t="str">
        <f>IFERROR(__xludf.DUMMYFUNCTION("""COMPUTED_VALUE"""),"#REF!")</f>
        <v>#REF!</v>
      </c>
      <c r="DN220" s="97" t="str">
        <f>IFERROR(__xludf.DUMMYFUNCTION("""COMPUTED_VALUE"""),"#REF!")</f>
        <v>#REF!</v>
      </c>
      <c r="DO220" s="95" t="str">
        <f>IFERROR(__xludf.DUMMYFUNCTION("""COMPUTED_VALUE"""),"#REF!")</f>
        <v>#REF!</v>
      </c>
      <c r="DP220" s="96" t="str">
        <f>IFERROR(__xludf.DUMMYFUNCTION("""COMPUTED_VALUE"""),"#REF!")</f>
        <v>#REF!</v>
      </c>
      <c r="DQ220" s="97"/>
      <c r="DR220" s="95"/>
    </row>
    <row r="221">
      <c r="B221" s="180" t="str">
        <f>IFERROR(__xludf.DUMMYFUNCTION("""COMPUTED_VALUE"""),"YKS3")</f>
        <v>YKS3</v>
      </c>
      <c r="C221">
        <f>IFERROR(__xludf.DUMMYFUNCTION("""COMPUTED_VALUE"""),218.0)</f>
        <v>218</v>
      </c>
      <c r="D221" s="88" t="str">
        <f>IFERROR(__xludf.DUMMYFUNCTION("""COMPUTED_VALUE"""),"Secluded Grotto")</f>
        <v>Secluded Grotto</v>
      </c>
      <c r="E221" s="82" t="str">
        <f>IFERROR(__xludf.DUMMYFUNCTION("""COMPUTED_VALUE"""),"隠遁窟")</f>
        <v>隠遁窟</v>
      </c>
      <c r="F221" s="102">
        <f>IFERROR(__xludf.DUMMYFUNCTION("""COMPUTED_VALUE"""),21.0)</f>
        <v>21</v>
      </c>
      <c r="G221" s="82">
        <f>IFERROR(__xludf.DUMMYFUNCTION("""COMPUTED_VALUE"""),4926.0)</f>
        <v>4926</v>
      </c>
      <c r="H221" s="231" t="str">
        <f>IFERROR(__xludf.DUMMYFUNCTION("""COMPUTED_VALUE"""),"")</f>
        <v/>
      </c>
      <c r="I221" s="232" t="str">
        <f>IFERROR(__xludf.DUMMYFUNCTION("""COMPUTED_VALUE"""),"")</f>
        <v/>
      </c>
      <c r="J221" s="233" t="str">
        <f>IFERROR(__xludf.DUMMYFUNCTION("""COMPUTED_VALUE"""),"")</f>
        <v/>
      </c>
      <c r="K221" s="231" t="str">
        <f>IFERROR(__xludf.DUMMYFUNCTION("""COMPUTED_VALUE"""),"")</f>
        <v/>
      </c>
      <c r="L221" s="232" t="str">
        <f>IFERROR(__xludf.DUMMYFUNCTION("""COMPUTED_VALUE"""),"")</f>
        <v/>
      </c>
      <c r="M221" s="233" t="str">
        <f>IFERROR(__xludf.DUMMYFUNCTION("""COMPUTED_VALUE"""),"")</f>
        <v/>
      </c>
      <c r="N221" s="231">
        <f>IFERROR(__xludf.DUMMYFUNCTION("""COMPUTED_VALUE"""),20.199999)</f>
        <v>20.199999</v>
      </c>
      <c r="O221" s="232" t="str">
        <f>IFERROR(__xludf.DUMMYFUNCTION("""COMPUTED_VALUE"""),"")</f>
        <v/>
      </c>
      <c r="P221" s="233" t="str">
        <f>IFERROR(__xludf.DUMMYFUNCTION("""COMPUTED_VALUE"""),"")</f>
        <v/>
      </c>
      <c r="Q221" s="231" t="str">
        <f>IFERROR(__xludf.DUMMYFUNCTION("""COMPUTED_VALUE"""),"")</f>
        <v/>
      </c>
      <c r="R221" s="232" t="str">
        <f>IFERROR(__xludf.DUMMYFUNCTION("""COMPUTED_VALUE"""),"")</f>
        <v/>
      </c>
      <c r="S221" s="233" t="str">
        <f>IFERROR(__xludf.DUMMYFUNCTION("""COMPUTED_VALUE"""),"")</f>
        <v/>
      </c>
      <c r="T221" s="231" t="str">
        <f>IFERROR(__xludf.DUMMYFUNCTION("""COMPUTED_VALUE"""),"")</f>
        <v/>
      </c>
      <c r="U221" s="232" t="str">
        <f>IFERROR(__xludf.DUMMYFUNCTION("""COMPUTED_VALUE"""),"")</f>
        <v/>
      </c>
      <c r="V221" s="233" t="str">
        <f>IFERROR(__xludf.DUMMYFUNCTION("""COMPUTED_VALUE"""),"")</f>
        <v/>
      </c>
      <c r="W221" s="231" t="str">
        <f>IFERROR(__xludf.DUMMYFUNCTION("""COMPUTED_VALUE"""),"")</f>
        <v/>
      </c>
      <c r="X221" s="232" t="str">
        <f>IFERROR(__xludf.DUMMYFUNCTION("""COMPUTED_VALUE"""),"")</f>
        <v/>
      </c>
      <c r="Y221" s="233" t="str">
        <f>IFERROR(__xludf.DUMMYFUNCTION("""COMPUTED_VALUE"""),"")</f>
        <v/>
      </c>
      <c r="Z221" s="231" t="str">
        <f>IFERROR(__xludf.DUMMYFUNCTION("""COMPUTED_VALUE"""),"")</f>
        <v/>
      </c>
      <c r="AA221" s="232" t="str">
        <f>IFERROR(__xludf.DUMMYFUNCTION("""COMPUTED_VALUE"""),"")</f>
        <v/>
      </c>
      <c r="AB221" s="233" t="str">
        <f>IFERROR(__xludf.DUMMYFUNCTION("""COMPUTED_VALUE"""),"")</f>
        <v/>
      </c>
      <c r="AC221" s="231" t="str">
        <f>IFERROR(__xludf.DUMMYFUNCTION("""COMPUTED_VALUE"""),"")</f>
        <v/>
      </c>
      <c r="AD221" s="232" t="str">
        <f>IFERROR(__xludf.DUMMYFUNCTION("""COMPUTED_VALUE"""),"")</f>
        <v/>
      </c>
      <c r="AE221" s="233" t="str">
        <f>IFERROR(__xludf.DUMMYFUNCTION("""COMPUTED_VALUE"""),"")</f>
        <v/>
      </c>
      <c r="AF221" s="231" t="str">
        <f>IFERROR(__xludf.DUMMYFUNCTION("""COMPUTED_VALUE"""),"")</f>
        <v/>
      </c>
      <c r="AG221" s="232" t="str">
        <f>IFERROR(__xludf.DUMMYFUNCTION("""COMPUTED_VALUE"""),"")</f>
        <v/>
      </c>
      <c r="AH221" s="233" t="str">
        <f>IFERROR(__xludf.DUMMYFUNCTION("""COMPUTED_VALUE"""),"")</f>
        <v/>
      </c>
      <c r="AI221" s="231" t="str">
        <f>IFERROR(__xludf.DUMMYFUNCTION("""COMPUTED_VALUE"""),"")</f>
        <v/>
      </c>
      <c r="AJ221" s="232" t="str">
        <f>IFERROR(__xludf.DUMMYFUNCTION("""COMPUTED_VALUE"""),"")</f>
        <v/>
      </c>
      <c r="AK221" s="233" t="str">
        <f>IFERROR(__xludf.DUMMYFUNCTION("""COMPUTED_VALUE"""),"")</f>
        <v/>
      </c>
      <c r="AL221" s="231" t="str">
        <f>IFERROR(__xludf.DUMMYFUNCTION("""COMPUTED_VALUE"""),"")</f>
        <v/>
      </c>
      <c r="AM221" s="232" t="str">
        <f>IFERROR(__xludf.DUMMYFUNCTION("""COMPUTED_VALUE"""),"")</f>
        <v/>
      </c>
      <c r="AN221" s="233" t="str">
        <f>IFERROR(__xludf.DUMMYFUNCTION("""COMPUTED_VALUE"""),"")</f>
        <v/>
      </c>
      <c r="AO221" s="231" t="str">
        <f>IFERROR(__xludf.DUMMYFUNCTION("""COMPUTED_VALUE"""),"")</f>
        <v/>
      </c>
      <c r="AP221" s="232">
        <f>IFERROR(__xludf.DUMMYFUNCTION("""COMPUTED_VALUE"""),25.2)</f>
        <v>25.2</v>
      </c>
      <c r="AQ221" s="233" t="str">
        <f>IFERROR(__xludf.DUMMYFUNCTION("""COMPUTED_VALUE"""),"")</f>
        <v/>
      </c>
      <c r="AR221" s="231" t="str">
        <f>IFERROR(__xludf.DUMMYFUNCTION("""COMPUTED_VALUE"""),"")</f>
        <v/>
      </c>
      <c r="AS221" s="232" t="str">
        <f>IFERROR(__xludf.DUMMYFUNCTION("""COMPUTED_VALUE"""),"")</f>
        <v/>
      </c>
      <c r="AT221" s="233" t="str">
        <f>IFERROR(__xludf.DUMMYFUNCTION("""COMPUTED_VALUE"""),"")</f>
        <v/>
      </c>
      <c r="AU221" s="231" t="str">
        <f>IFERROR(__xludf.DUMMYFUNCTION("""COMPUTED_VALUE"""),"")</f>
        <v/>
      </c>
      <c r="AV221" s="232" t="str">
        <f>IFERROR(__xludf.DUMMYFUNCTION("""COMPUTED_VALUE"""),"")</f>
        <v/>
      </c>
      <c r="AW221" s="233" t="str">
        <f>IFERROR(__xludf.DUMMYFUNCTION("""COMPUTED_VALUE"""),"")</f>
        <v/>
      </c>
      <c r="AX221" s="231" t="str">
        <f>IFERROR(__xludf.DUMMYFUNCTION("""COMPUTED_VALUE"""),"")</f>
        <v/>
      </c>
      <c r="AY221" s="232" t="str">
        <f>IFERROR(__xludf.DUMMYFUNCTION("""COMPUTED_VALUE"""),"")</f>
        <v/>
      </c>
      <c r="AZ221" s="233" t="str">
        <f>IFERROR(__xludf.DUMMYFUNCTION("""COMPUTED_VALUE"""),"")</f>
        <v/>
      </c>
      <c r="BA221" s="231" t="str">
        <f>IFERROR(__xludf.DUMMYFUNCTION("""COMPUTED_VALUE"""),"")</f>
        <v/>
      </c>
      <c r="BB221" s="232" t="str">
        <f>IFERROR(__xludf.DUMMYFUNCTION("""COMPUTED_VALUE"""),"")</f>
        <v/>
      </c>
      <c r="BC221" s="233" t="str">
        <f>IFERROR(__xludf.DUMMYFUNCTION("""COMPUTED_VALUE"""),"")</f>
        <v/>
      </c>
      <c r="BD221" s="231" t="str">
        <f>IFERROR(__xludf.DUMMYFUNCTION("""COMPUTED_VALUE"""),"")</f>
        <v/>
      </c>
      <c r="BE221" s="232" t="str">
        <f>IFERROR(__xludf.DUMMYFUNCTION("""COMPUTED_VALUE"""),"")</f>
        <v/>
      </c>
      <c r="BF221" s="233" t="str">
        <f>IFERROR(__xludf.DUMMYFUNCTION("""COMPUTED_VALUE"""),"")</f>
        <v/>
      </c>
      <c r="BG221" s="231" t="str">
        <f>IFERROR(__xludf.DUMMYFUNCTION("""COMPUTED_VALUE"""),"")</f>
        <v/>
      </c>
      <c r="BH221" s="232" t="str">
        <f>IFERROR(__xludf.DUMMYFUNCTION("""COMPUTED_VALUE"""),"")</f>
        <v/>
      </c>
      <c r="BI221" s="233" t="str">
        <f>IFERROR(__xludf.DUMMYFUNCTION("""COMPUTED_VALUE"""),"")</f>
        <v/>
      </c>
      <c r="BJ221" s="231" t="str">
        <f>IFERROR(__xludf.DUMMYFUNCTION("""COMPUTED_VALUE"""),"")</f>
        <v/>
      </c>
      <c r="BK221" s="232" t="str">
        <f>IFERROR(__xludf.DUMMYFUNCTION("""COMPUTED_VALUE"""),"")</f>
        <v/>
      </c>
      <c r="BL221" s="233" t="str">
        <f>IFERROR(__xludf.DUMMYFUNCTION("""COMPUTED_VALUE"""),"")</f>
        <v/>
      </c>
      <c r="BM221" s="231" t="str">
        <f>IFERROR(__xludf.DUMMYFUNCTION("""COMPUTED_VALUE"""),"")</f>
        <v/>
      </c>
      <c r="BN221" s="232" t="str">
        <f>IFERROR(__xludf.DUMMYFUNCTION("""COMPUTED_VALUE"""),"")</f>
        <v/>
      </c>
      <c r="BO221" s="233">
        <f>IFERROR(__xludf.DUMMYFUNCTION("""COMPUTED_VALUE"""),15.8)</f>
        <v>15.8</v>
      </c>
      <c r="BP221" s="231" t="str">
        <f>IFERROR(__xludf.DUMMYFUNCTION("""COMPUTED_VALUE"""),"")</f>
        <v/>
      </c>
      <c r="BQ221" s="232" t="str">
        <f>IFERROR(__xludf.DUMMYFUNCTION("""COMPUTED_VALUE"""),"")</f>
        <v/>
      </c>
      <c r="BR221" s="233" t="str">
        <f>IFERROR(__xludf.DUMMYFUNCTION("""COMPUTED_VALUE"""),"")</f>
        <v/>
      </c>
      <c r="BS221" s="231" t="str">
        <f>IFERROR(__xludf.DUMMYFUNCTION("""COMPUTED_VALUE"""),"")</f>
        <v/>
      </c>
      <c r="BT221" s="232" t="str">
        <f>IFERROR(__xludf.DUMMYFUNCTION("""COMPUTED_VALUE"""),"")</f>
        <v/>
      </c>
      <c r="BU221" s="233" t="str">
        <f>IFERROR(__xludf.DUMMYFUNCTION("""COMPUTED_VALUE"""),"")</f>
        <v/>
      </c>
      <c r="BV221" s="231" t="str">
        <f>IFERROR(__xludf.DUMMYFUNCTION("""COMPUTED_VALUE"""),"")</f>
        <v/>
      </c>
      <c r="BW221" s="232">
        <f>IFERROR(__xludf.DUMMYFUNCTION("""COMPUTED_VALUE"""),24.8)</f>
        <v>24.8</v>
      </c>
      <c r="BX221" s="233" t="str">
        <f>IFERROR(__xludf.DUMMYFUNCTION("""COMPUTED_VALUE"""),"")</f>
        <v/>
      </c>
      <c r="BY221" s="231" t="str">
        <f>IFERROR(__xludf.DUMMYFUNCTION("""COMPUTED_VALUE"""),"")</f>
        <v/>
      </c>
      <c r="BZ221" s="232" t="str">
        <f>IFERROR(__xludf.DUMMYFUNCTION("""COMPUTED_VALUE"""),"")</f>
        <v/>
      </c>
      <c r="CA221" s="233" t="str">
        <f>IFERROR(__xludf.DUMMYFUNCTION("""COMPUTED_VALUE"""),"")</f>
        <v/>
      </c>
      <c r="CB221" s="231" t="str">
        <f>IFERROR(__xludf.DUMMYFUNCTION("""COMPUTED_VALUE"""),"")</f>
        <v/>
      </c>
      <c r="CC221" s="232" t="str">
        <f>IFERROR(__xludf.DUMMYFUNCTION("""COMPUTED_VALUE"""),"")</f>
        <v/>
      </c>
      <c r="CD221" s="233" t="str">
        <f>IFERROR(__xludf.DUMMYFUNCTION("""COMPUTED_VALUE"""),"")</f>
        <v/>
      </c>
      <c r="CE221" s="234" t="str">
        <f>IFERROR(__xludf.DUMMYFUNCTION("""COMPUTED_VALUE"""),"")</f>
        <v/>
      </c>
      <c r="CF221" s="230" t="str">
        <f>IFERROR(__xludf.DUMMYFUNCTION("""COMPUTED_VALUE"""),"")</f>
        <v/>
      </c>
      <c r="CG221" s="235" t="str">
        <f>IFERROR(__xludf.DUMMYFUNCTION("""COMPUTED_VALUE"""),"")</f>
        <v/>
      </c>
      <c r="CH221" s="234" t="str">
        <f>IFERROR(__xludf.DUMMYFUNCTION("""COMPUTED_VALUE"""),"")</f>
        <v/>
      </c>
      <c r="CI221" s="230" t="str">
        <f>IFERROR(__xludf.DUMMYFUNCTION("""COMPUTED_VALUE"""),"")</f>
        <v/>
      </c>
      <c r="CJ221" s="235" t="str">
        <f>IFERROR(__xludf.DUMMYFUNCTION("""COMPUTED_VALUE"""),"")</f>
        <v/>
      </c>
      <c r="CK221" s="95" t="str">
        <f>IFERROR(__xludf.DUMMYFUNCTION("""COMPUTED_VALUE"""),"")</f>
        <v/>
      </c>
      <c r="CL221" s="96" t="str">
        <f>IFERROR(__xludf.DUMMYFUNCTION("""COMPUTED_VALUE"""),"")</f>
        <v/>
      </c>
      <c r="CM221" s="97" t="str">
        <f>IFERROR(__xludf.DUMMYFUNCTION("""COMPUTED_VALUE"""),"")</f>
        <v/>
      </c>
      <c r="CN221" s="95" t="str">
        <f>IFERROR(__xludf.DUMMYFUNCTION("""COMPUTED_VALUE"""),"")</f>
        <v/>
      </c>
      <c r="CO221" s="96" t="str">
        <f>IFERROR(__xludf.DUMMYFUNCTION("""COMPUTED_VALUE"""),"")</f>
        <v/>
      </c>
      <c r="CP221" s="97" t="str">
        <f>IFERROR(__xludf.DUMMYFUNCTION("""COMPUTED_VALUE"""),"")</f>
        <v/>
      </c>
      <c r="CQ221" s="95" t="str">
        <f>IFERROR(__xludf.DUMMYFUNCTION("""COMPUTED_VALUE"""),"")</f>
        <v/>
      </c>
      <c r="CR221" s="96" t="str">
        <f>IFERROR(__xludf.DUMMYFUNCTION("""COMPUTED_VALUE"""),"")</f>
        <v/>
      </c>
      <c r="CS221" s="97" t="str">
        <f>IFERROR(__xludf.DUMMYFUNCTION("""COMPUTED_VALUE"""),"#REF!")</f>
        <v>#REF!</v>
      </c>
      <c r="CT221" s="95" t="str">
        <f>IFERROR(__xludf.DUMMYFUNCTION("""COMPUTED_VALUE"""),"#REF!")</f>
        <v>#REF!</v>
      </c>
      <c r="CU221" s="96" t="str">
        <f>IFERROR(__xludf.DUMMYFUNCTION("""COMPUTED_VALUE"""),"#REF!")</f>
        <v>#REF!</v>
      </c>
      <c r="CV221" s="97" t="str">
        <f>IFERROR(__xludf.DUMMYFUNCTION("""COMPUTED_VALUE"""),"#REF!")</f>
        <v>#REF!</v>
      </c>
      <c r="CW221" s="95" t="str">
        <f>IFERROR(__xludf.DUMMYFUNCTION("""COMPUTED_VALUE"""),"#REF!")</f>
        <v>#REF!</v>
      </c>
      <c r="CX221" s="96" t="str">
        <f>IFERROR(__xludf.DUMMYFUNCTION("""COMPUTED_VALUE"""),"#REF!")</f>
        <v>#REF!</v>
      </c>
      <c r="CY221" s="97" t="str">
        <f>IFERROR(__xludf.DUMMYFUNCTION("""COMPUTED_VALUE"""),"#REF!")</f>
        <v>#REF!</v>
      </c>
      <c r="CZ221" s="95" t="str">
        <f>IFERROR(__xludf.DUMMYFUNCTION("""COMPUTED_VALUE"""),"#REF!")</f>
        <v>#REF!</v>
      </c>
      <c r="DA221" s="96" t="str">
        <f>IFERROR(__xludf.DUMMYFUNCTION("""COMPUTED_VALUE"""),"#REF!")</f>
        <v>#REF!</v>
      </c>
      <c r="DB221" s="97" t="str">
        <f>IFERROR(__xludf.DUMMYFUNCTION("""COMPUTED_VALUE"""),"#REF!")</f>
        <v>#REF!</v>
      </c>
      <c r="DC221" s="95" t="str">
        <f>IFERROR(__xludf.DUMMYFUNCTION("""COMPUTED_VALUE"""),"#REF!")</f>
        <v>#REF!</v>
      </c>
      <c r="DD221" s="96" t="str">
        <f>IFERROR(__xludf.DUMMYFUNCTION("""COMPUTED_VALUE"""),"#REF!")</f>
        <v>#REF!</v>
      </c>
      <c r="DE221" s="97" t="str">
        <f>IFERROR(__xludf.DUMMYFUNCTION("""COMPUTED_VALUE"""),"#REF!")</f>
        <v>#REF!</v>
      </c>
      <c r="DF221" s="95" t="str">
        <f>IFERROR(__xludf.DUMMYFUNCTION("""COMPUTED_VALUE"""),"#REF!")</f>
        <v>#REF!</v>
      </c>
      <c r="DG221" s="96" t="str">
        <f>IFERROR(__xludf.DUMMYFUNCTION("""COMPUTED_VALUE"""),"#REF!")</f>
        <v>#REF!</v>
      </c>
      <c r="DH221" s="97" t="str">
        <f>IFERROR(__xludf.DUMMYFUNCTION("""COMPUTED_VALUE"""),"#REF!")</f>
        <v>#REF!</v>
      </c>
      <c r="DI221" s="95" t="str">
        <f>IFERROR(__xludf.DUMMYFUNCTION("""COMPUTED_VALUE"""),"#REF!")</f>
        <v>#REF!</v>
      </c>
      <c r="DJ221" s="96" t="str">
        <f>IFERROR(__xludf.DUMMYFUNCTION("""COMPUTED_VALUE"""),"#REF!")</f>
        <v>#REF!</v>
      </c>
      <c r="DK221" s="97" t="str">
        <f>IFERROR(__xludf.DUMMYFUNCTION("""COMPUTED_VALUE"""),"#REF!")</f>
        <v>#REF!</v>
      </c>
      <c r="DL221" s="95" t="str">
        <f>IFERROR(__xludf.DUMMYFUNCTION("""COMPUTED_VALUE"""),"#REF!")</f>
        <v>#REF!</v>
      </c>
      <c r="DM221" s="96" t="str">
        <f>IFERROR(__xludf.DUMMYFUNCTION("""COMPUTED_VALUE"""),"#REF!")</f>
        <v>#REF!</v>
      </c>
      <c r="DN221" s="97" t="str">
        <f>IFERROR(__xludf.DUMMYFUNCTION("""COMPUTED_VALUE"""),"#REF!")</f>
        <v>#REF!</v>
      </c>
      <c r="DO221" s="95" t="str">
        <f>IFERROR(__xludf.DUMMYFUNCTION("""COMPUTED_VALUE"""),"#REF!")</f>
        <v>#REF!</v>
      </c>
      <c r="DP221" s="96" t="str">
        <f>IFERROR(__xludf.DUMMYFUNCTION("""COMPUTED_VALUE"""),"#REF!")</f>
        <v>#REF!</v>
      </c>
      <c r="DQ221" s="97"/>
      <c r="DR221" s="95"/>
    </row>
    <row r="222">
      <c r="B222" s="180" t="str">
        <f>IFERROR(__xludf.DUMMYFUNCTION("""COMPUTED_VALUE"""),"YKS4")</f>
        <v>YKS4</v>
      </c>
      <c r="C222">
        <f>IFERROR(__xludf.DUMMYFUNCTION("""COMPUTED_VALUE"""),219.0)</f>
        <v>219</v>
      </c>
      <c r="D222" s="88" t="str">
        <f>IFERROR(__xludf.DUMMYFUNCTION("""COMPUTED_VALUE"""),"Northern Sacred Mountain")</f>
        <v>Northern Sacred Mountain</v>
      </c>
      <c r="E222" s="82" t="str">
        <f>IFERROR(__xludf.DUMMYFUNCTION("""COMPUTED_VALUE"""),"北の霊峰")</f>
        <v>北の霊峰</v>
      </c>
      <c r="F222" s="102">
        <f>IFERROR(__xludf.DUMMYFUNCTION("""COMPUTED_VALUE"""),21.0)</f>
        <v>21</v>
      </c>
      <c r="G222" s="82">
        <f>IFERROR(__xludf.DUMMYFUNCTION("""COMPUTED_VALUE"""),11672.0)</f>
        <v>11672</v>
      </c>
      <c r="H222" s="231" t="str">
        <f>IFERROR(__xludf.DUMMYFUNCTION("""COMPUTED_VALUE"""),"")</f>
        <v/>
      </c>
      <c r="I222" s="232" t="str">
        <f>IFERROR(__xludf.DUMMYFUNCTION("""COMPUTED_VALUE"""),"")</f>
        <v/>
      </c>
      <c r="J222" s="233" t="str">
        <f>IFERROR(__xludf.DUMMYFUNCTION("""COMPUTED_VALUE"""),"")</f>
        <v/>
      </c>
      <c r="K222" s="231" t="str">
        <f>IFERROR(__xludf.DUMMYFUNCTION("""COMPUTED_VALUE"""),"")</f>
        <v/>
      </c>
      <c r="L222" s="232" t="str">
        <f>IFERROR(__xludf.DUMMYFUNCTION("""COMPUTED_VALUE"""),"")</f>
        <v/>
      </c>
      <c r="M222" s="233" t="str">
        <f>IFERROR(__xludf.DUMMYFUNCTION("""COMPUTED_VALUE"""),"")</f>
        <v/>
      </c>
      <c r="N222" s="231" t="str">
        <f>IFERROR(__xludf.DUMMYFUNCTION("""COMPUTED_VALUE"""),"")</f>
        <v/>
      </c>
      <c r="O222" s="232" t="str">
        <f>IFERROR(__xludf.DUMMYFUNCTION("""COMPUTED_VALUE"""),"")</f>
        <v/>
      </c>
      <c r="P222" s="233" t="str">
        <f>IFERROR(__xludf.DUMMYFUNCTION("""COMPUTED_VALUE"""),"")</f>
        <v/>
      </c>
      <c r="Q222" s="231" t="str">
        <f>IFERROR(__xludf.DUMMYFUNCTION("""COMPUTED_VALUE"""),"")</f>
        <v/>
      </c>
      <c r="R222" s="232" t="str">
        <f>IFERROR(__xludf.DUMMYFUNCTION("""COMPUTED_VALUE"""),"")</f>
        <v/>
      </c>
      <c r="S222" s="233" t="str">
        <f>IFERROR(__xludf.DUMMYFUNCTION("""COMPUTED_VALUE"""),"")</f>
        <v/>
      </c>
      <c r="T222" s="231" t="str">
        <f>IFERROR(__xludf.DUMMYFUNCTION("""COMPUTED_VALUE"""),"")</f>
        <v/>
      </c>
      <c r="U222" s="232" t="str">
        <f>IFERROR(__xludf.DUMMYFUNCTION("""COMPUTED_VALUE"""),"")</f>
        <v/>
      </c>
      <c r="V222" s="233">
        <f>IFERROR(__xludf.DUMMYFUNCTION("""COMPUTED_VALUE"""),9.8)</f>
        <v>9.8</v>
      </c>
      <c r="W222" s="231" t="str">
        <f>IFERROR(__xludf.DUMMYFUNCTION("""COMPUTED_VALUE"""),"")</f>
        <v/>
      </c>
      <c r="X222" s="232" t="str">
        <f>IFERROR(__xludf.DUMMYFUNCTION("""COMPUTED_VALUE"""),"")</f>
        <v/>
      </c>
      <c r="Y222" s="233" t="str">
        <f>IFERROR(__xludf.DUMMYFUNCTION("""COMPUTED_VALUE"""),"")</f>
        <v/>
      </c>
      <c r="Z222" s="231" t="str">
        <f>IFERROR(__xludf.DUMMYFUNCTION("""COMPUTED_VALUE"""),"")</f>
        <v/>
      </c>
      <c r="AA222" s="232" t="str">
        <f>IFERROR(__xludf.DUMMYFUNCTION("""COMPUTED_VALUE"""),"")</f>
        <v/>
      </c>
      <c r="AB222" s="233" t="str">
        <f>IFERROR(__xludf.DUMMYFUNCTION("""COMPUTED_VALUE"""),"")</f>
        <v/>
      </c>
      <c r="AC222" s="231" t="str">
        <f>IFERROR(__xludf.DUMMYFUNCTION("""COMPUTED_VALUE"""),"")</f>
        <v/>
      </c>
      <c r="AD222" s="232" t="str">
        <f>IFERROR(__xludf.DUMMYFUNCTION("""COMPUTED_VALUE"""),"")</f>
        <v/>
      </c>
      <c r="AE222" s="233" t="str">
        <f>IFERROR(__xludf.DUMMYFUNCTION("""COMPUTED_VALUE"""),"")</f>
        <v/>
      </c>
      <c r="AF222" s="231" t="str">
        <f>IFERROR(__xludf.DUMMYFUNCTION("""COMPUTED_VALUE"""),"")</f>
        <v/>
      </c>
      <c r="AG222" s="232" t="str">
        <f>IFERROR(__xludf.DUMMYFUNCTION("""COMPUTED_VALUE"""),"")</f>
        <v/>
      </c>
      <c r="AH222" s="233" t="str">
        <f>IFERROR(__xludf.DUMMYFUNCTION("""COMPUTED_VALUE"""),"")</f>
        <v/>
      </c>
      <c r="AI222" s="231" t="str">
        <f>IFERROR(__xludf.DUMMYFUNCTION("""COMPUTED_VALUE"""),"")</f>
        <v/>
      </c>
      <c r="AJ222" s="232" t="str">
        <f>IFERROR(__xludf.DUMMYFUNCTION("""COMPUTED_VALUE"""),"")</f>
        <v/>
      </c>
      <c r="AK222" s="233" t="str">
        <f>IFERROR(__xludf.DUMMYFUNCTION("""COMPUTED_VALUE"""),"")</f>
        <v/>
      </c>
      <c r="AL222" s="231" t="str">
        <f>IFERROR(__xludf.DUMMYFUNCTION("""COMPUTED_VALUE"""),"")</f>
        <v/>
      </c>
      <c r="AM222" s="232" t="str">
        <f>IFERROR(__xludf.DUMMYFUNCTION("""COMPUTED_VALUE"""),"")</f>
        <v/>
      </c>
      <c r="AN222" s="233" t="str">
        <f>IFERROR(__xludf.DUMMYFUNCTION("""COMPUTED_VALUE"""),"")</f>
        <v/>
      </c>
      <c r="AO222" s="231" t="str">
        <f>IFERROR(__xludf.DUMMYFUNCTION("""COMPUTED_VALUE"""),"")</f>
        <v/>
      </c>
      <c r="AP222" s="232" t="str">
        <f>IFERROR(__xludf.DUMMYFUNCTION("""COMPUTED_VALUE"""),"")</f>
        <v/>
      </c>
      <c r="AQ222" s="233" t="str">
        <f>IFERROR(__xludf.DUMMYFUNCTION("""COMPUTED_VALUE"""),"")</f>
        <v/>
      </c>
      <c r="AR222" s="231" t="str">
        <f>IFERROR(__xludf.DUMMYFUNCTION("""COMPUTED_VALUE"""),"")</f>
        <v/>
      </c>
      <c r="AS222" s="232" t="str">
        <f>IFERROR(__xludf.DUMMYFUNCTION("""COMPUTED_VALUE"""),"")</f>
        <v/>
      </c>
      <c r="AT222" s="233" t="str">
        <f>IFERROR(__xludf.DUMMYFUNCTION("""COMPUTED_VALUE"""),"")</f>
        <v/>
      </c>
      <c r="AU222" s="231" t="str">
        <f>IFERROR(__xludf.DUMMYFUNCTION("""COMPUTED_VALUE"""),"")</f>
        <v/>
      </c>
      <c r="AV222" s="232" t="str">
        <f>IFERROR(__xludf.DUMMYFUNCTION("""COMPUTED_VALUE"""),"")</f>
        <v/>
      </c>
      <c r="AW222" s="233">
        <f>IFERROR(__xludf.DUMMYFUNCTION("""COMPUTED_VALUE"""),30.0)</f>
        <v>30</v>
      </c>
      <c r="AX222" s="231">
        <f>IFERROR(__xludf.DUMMYFUNCTION("""COMPUTED_VALUE"""),28.8)</f>
        <v>28.8</v>
      </c>
      <c r="AY222" s="232" t="str">
        <f>IFERROR(__xludf.DUMMYFUNCTION("""COMPUTED_VALUE"""),"")</f>
        <v/>
      </c>
      <c r="AZ222" s="233" t="str">
        <f>IFERROR(__xludf.DUMMYFUNCTION("""COMPUTED_VALUE"""),"")</f>
        <v/>
      </c>
      <c r="BA222" s="231" t="str">
        <f>IFERROR(__xludf.DUMMYFUNCTION("""COMPUTED_VALUE"""),"")</f>
        <v/>
      </c>
      <c r="BB222" s="232" t="str">
        <f>IFERROR(__xludf.DUMMYFUNCTION("""COMPUTED_VALUE"""),"")</f>
        <v/>
      </c>
      <c r="BC222" s="233" t="str">
        <f>IFERROR(__xludf.DUMMYFUNCTION("""COMPUTED_VALUE"""),"")</f>
        <v/>
      </c>
      <c r="BD222" s="231" t="str">
        <f>IFERROR(__xludf.DUMMYFUNCTION("""COMPUTED_VALUE"""),"")</f>
        <v/>
      </c>
      <c r="BE222" s="232">
        <f>IFERROR(__xludf.DUMMYFUNCTION("""COMPUTED_VALUE"""),4.1)</f>
        <v>4.1</v>
      </c>
      <c r="BF222" s="233" t="str">
        <f>IFERROR(__xludf.DUMMYFUNCTION("""COMPUTED_VALUE"""),"")</f>
        <v/>
      </c>
      <c r="BG222" s="231" t="str">
        <f>IFERROR(__xludf.DUMMYFUNCTION("""COMPUTED_VALUE"""),"")</f>
        <v/>
      </c>
      <c r="BH222" s="232" t="str">
        <f>IFERROR(__xludf.DUMMYFUNCTION("""COMPUTED_VALUE"""),"")</f>
        <v/>
      </c>
      <c r="BI222" s="233" t="str">
        <f>IFERROR(__xludf.DUMMYFUNCTION("""COMPUTED_VALUE"""),"")</f>
        <v/>
      </c>
      <c r="BJ222" s="231" t="str">
        <f>IFERROR(__xludf.DUMMYFUNCTION("""COMPUTED_VALUE"""),"")</f>
        <v/>
      </c>
      <c r="BK222" s="232" t="str">
        <f>IFERROR(__xludf.DUMMYFUNCTION("""COMPUTED_VALUE"""),"")</f>
        <v/>
      </c>
      <c r="BL222" s="233" t="str">
        <f>IFERROR(__xludf.DUMMYFUNCTION("""COMPUTED_VALUE"""),"")</f>
        <v/>
      </c>
      <c r="BM222" s="231" t="str">
        <f>IFERROR(__xludf.DUMMYFUNCTION("""COMPUTED_VALUE"""),"")</f>
        <v/>
      </c>
      <c r="BN222" s="232" t="str">
        <f>IFERROR(__xludf.DUMMYFUNCTION("""COMPUTED_VALUE"""),"")</f>
        <v/>
      </c>
      <c r="BO222" s="233" t="str">
        <f>IFERROR(__xludf.DUMMYFUNCTION("""COMPUTED_VALUE"""),"")</f>
        <v/>
      </c>
      <c r="BP222" s="231" t="str">
        <f>IFERROR(__xludf.DUMMYFUNCTION("""COMPUTED_VALUE"""),"")</f>
        <v/>
      </c>
      <c r="BQ222" s="232" t="str">
        <f>IFERROR(__xludf.DUMMYFUNCTION("""COMPUTED_VALUE"""),"")</f>
        <v/>
      </c>
      <c r="BR222" s="233" t="str">
        <f>IFERROR(__xludf.DUMMYFUNCTION("""COMPUTED_VALUE"""),"")</f>
        <v/>
      </c>
      <c r="BS222" s="231" t="str">
        <f>IFERROR(__xludf.DUMMYFUNCTION("""COMPUTED_VALUE"""),"")</f>
        <v/>
      </c>
      <c r="BT222" s="232" t="str">
        <f>IFERROR(__xludf.DUMMYFUNCTION("""COMPUTED_VALUE"""),"")</f>
        <v/>
      </c>
      <c r="BU222" s="233" t="str">
        <f>IFERROR(__xludf.DUMMYFUNCTION("""COMPUTED_VALUE"""),"")</f>
        <v/>
      </c>
      <c r="BV222" s="231" t="str">
        <f>IFERROR(__xludf.DUMMYFUNCTION("""COMPUTED_VALUE"""),"")</f>
        <v/>
      </c>
      <c r="BW222" s="232">
        <f>IFERROR(__xludf.DUMMYFUNCTION("""COMPUTED_VALUE"""),24.9)</f>
        <v>24.9</v>
      </c>
      <c r="BX222" s="233" t="str">
        <f>IFERROR(__xludf.DUMMYFUNCTION("""COMPUTED_VALUE"""),"")</f>
        <v/>
      </c>
      <c r="BY222" s="231" t="str">
        <f>IFERROR(__xludf.DUMMYFUNCTION("""COMPUTED_VALUE"""),"")</f>
        <v/>
      </c>
      <c r="BZ222" s="232" t="str">
        <f>IFERROR(__xludf.DUMMYFUNCTION("""COMPUTED_VALUE"""),"")</f>
        <v/>
      </c>
      <c r="CA222" s="233" t="str">
        <f>IFERROR(__xludf.DUMMYFUNCTION("""COMPUTED_VALUE"""),"")</f>
        <v/>
      </c>
      <c r="CB222" s="231" t="str">
        <f>IFERROR(__xludf.DUMMYFUNCTION("""COMPUTED_VALUE"""),"")</f>
        <v/>
      </c>
      <c r="CC222" s="232" t="str">
        <f>IFERROR(__xludf.DUMMYFUNCTION("""COMPUTED_VALUE"""),"")</f>
        <v/>
      </c>
      <c r="CD222" s="233" t="str">
        <f>IFERROR(__xludf.DUMMYFUNCTION("""COMPUTED_VALUE"""),"")</f>
        <v/>
      </c>
      <c r="CE222" s="234" t="str">
        <f>IFERROR(__xludf.DUMMYFUNCTION("""COMPUTED_VALUE"""),"")</f>
        <v/>
      </c>
      <c r="CF222" s="230" t="str">
        <f>IFERROR(__xludf.DUMMYFUNCTION("""COMPUTED_VALUE"""),"")</f>
        <v/>
      </c>
      <c r="CG222" s="235" t="str">
        <f>IFERROR(__xludf.DUMMYFUNCTION("""COMPUTED_VALUE"""),"")</f>
        <v/>
      </c>
      <c r="CH222" s="234" t="str">
        <f>IFERROR(__xludf.DUMMYFUNCTION("""COMPUTED_VALUE"""),"")</f>
        <v/>
      </c>
      <c r="CI222" s="230" t="str">
        <f>IFERROR(__xludf.DUMMYFUNCTION("""COMPUTED_VALUE"""),"")</f>
        <v/>
      </c>
      <c r="CJ222" s="235" t="str">
        <f>IFERROR(__xludf.DUMMYFUNCTION("""COMPUTED_VALUE"""),"")</f>
        <v/>
      </c>
      <c r="CK222" s="95" t="str">
        <f>IFERROR(__xludf.DUMMYFUNCTION("""COMPUTED_VALUE"""),"")</f>
        <v/>
      </c>
      <c r="CL222" s="96" t="str">
        <f>IFERROR(__xludf.DUMMYFUNCTION("""COMPUTED_VALUE"""),"")</f>
        <v/>
      </c>
      <c r="CM222" s="97" t="str">
        <f>IFERROR(__xludf.DUMMYFUNCTION("""COMPUTED_VALUE"""),"")</f>
        <v/>
      </c>
      <c r="CN222" s="95">
        <f>IFERROR(__xludf.DUMMYFUNCTION("""COMPUTED_VALUE"""),4.7)</f>
        <v>4.7</v>
      </c>
      <c r="CO222" s="96" t="str">
        <f>IFERROR(__xludf.DUMMYFUNCTION("""COMPUTED_VALUE"""),"")</f>
        <v/>
      </c>
      <c r="CP222" s="97" t="str">
        <f>IFERROR(__xludf.DUMMYFUNCTION("""COMPUTED_VALUE"""),"")</f>
        <v/>
      </c>
      <c r="CQ222" s="95" t="str">
        <f>IFERROR(__xludf.DUMMYFUNCTION("""COMPUTED_VALUE"""),"")</f>
        <v/>
      </c>
      <c r="CR222" s="96" t="str">
        <f>IFERROR(__xludf.DUMMYFUNCTION("""COMPUTED_VALUE"""),"")</f>
        <v/>
      </c>
      <c r="CS222" s="97" t="str">
        <f>IFERROR(__xludf.DUMMYFUNCTION("""COMPUTED_VALUE"""),"#REF!")</f>
        <v>#REF!</v>
      </c>
      <c r="CT222" s="95" t="str">
        <f>IFERROR(__xludf.DUMMYFUNCTION("""COMPUTED_VALUE"""),"#REF!")</f>
        <v>#REF!</v>
      </c>
      <c r="CU222" s="96" t="str">
        <f>IFERROR(__xludf.DUMMYFUNCTION("""COMPUTED_VALUE"""),"#REF!")</f>
        <v>#REF!</v>
      </c>
      <c r="CV222" s="97" t="str">
        <f>IFERROR(__xludf.DUMMYFUNCTION("""COMPUTED_VALUE"""),"#REF!")</f>
        <v>#REF!</v>
      </c>
      <c r="CW222" s="95" t="str">
        <f>IFERROR(__xludf.DUMMYFUNCTION("""COMPUTED_VALUE"""),"#REF!")</f>
        <v>#REF!</v>
      </c>
      <c r="CX222" s="96" t="str">
        <f>IFERROR(__xludf.DUMMYFUNCTION("""COMPUTED_VALUE"""),"#REF!")</f>
        <v>#REF!</v>
      </c>
      <c r="CY222" s="97" t="str">
        <f>IFERROR(__xludf.DUMMYFUNCTION("""COMPUTED_VALUE"""),"#REF!")</f>
        <v>#REF!</v>
      </c>
      <c r="CZ222" s="95" t="str">
        <f>IFERROR(__xludf.DUMMYFUNCTION("""COMPUTED_VALUE"""),"#REF!")</f>
        <v>#REF!</v>
      </c>
      <c r="DA222" s="96" t="str">
        <f>IFERROR(__xludf.DUMMYFUNCTION("""COMPUTED_VALUE"""),"#REF!")</f>
        <v>#REF!</v>
      </c>
      <c r="DB222" s="97" t="str">
        <f>IFERROR(__xludf.DUMMYFUNCTION("""COMPUTED_VALUE"""),"#REF!")</f>
        <v>#REF!</v>
      </c>
      <c r="DC222" s="95" t="str">
        <f>IFERROR(__xludf.DUMMYFUNCTION("""COMPUTED_VALUE"""),"#REF!")</f>
        <v>#REF!</v>
      </c>
      <c r="DD222" s="96" t="str">
        <f>IFERROR(__xludf.DUMMYFUNCTION("""COMPUTED_VALUE"""),"#REF!")</f>
        <v>#REF!</v>
      </c>
      <c r="DE222" s="97" t="str">
        <f>IFERROR(__xludf.DUMMYFUNCTION("""COMPUTED_VALUE"""),"#REF!")</f>
        <v>#REF!</v>
      </c>
      <c r="DF222" s="95" t="str">
        <f>IFERROR(__xludf.DUMMYFUNCTION("""COMPUTED_VALUE"""),"#REF!")</f>
        <v>#REF!</v>
      </c>
      <c r="DG222" s="96" t="str">
        <f>IFERROR(__xludf.DUMMYFUNCTION("""COMPUTED_VALUE"""),"#REF!")</f>
        <v>#REF!</v>
      </c>
      <c r="DH222" s="97" t="str">
        <f>IFERROR(__xludf.DUMMYFUNCTION("""COMPUTED_VALUE"""),"#REF!")</f>
        <v>#REF!</v>
      </c>
      <c r="DI222" s="95" t="str">
        <f>IFERROR(__xludf.DUMMYFUNCTION("""COMPUTED_VALUE"""),"#REF!")</f>
        <v>#REF!</v>
      </c>
      <c r="DJ222" s="96" t="str">
        <f>IFERROR(__xludf.DUMMYFUNCTION("""COMPUTED_VALUE"""),"#REF!")</f>
        <v>#REF!</v>
      </c>
      <c r="DK222" s="97" t="str">
        <f>IFERROR(__xludf.DUMMYFUNCTION("""COMPUTED_VALUE"""),"#REF!")</f>
        <v>#REF!</v>
      </c>
      <c r="DL222" s="95" t="str">
        <f>IFERROR(__xludf.DUMMYFUNCTION("""COMPUTED_VALUE"""),"#REF!")</f>
        <v>#REF!</v>
      </c>
      <c r="DM222" s="96" t="str">
        <f>IFERROR(__xludf.DUMMYFUNCTION("""COMPUTED_VALUE"""),"#REF!")</f>
        <v>#REF!</v>
      </c>
      <c r="DN222" s="97" t="str">
        <f>IFERROR(__xludf.DUMMYFUNCTION("""COMPUTED_VALUE"""),"#REF!")</f>
        <v>#REF!</v>
      </c>
      <c r="DO222" s="95" t="str">
        <f>IFERROR(__xludf.DUMMYFUNCTION("""COMPUTED_VALUE"""),"#REF!")</f>
        <v>#REF!</v>
      </c>
      <c r="DP222" s="96" t="str">
        <f>IFERROR(__xludf.DUMMYFUNCTION("""COMPUTED_VALUE"""),"#REF!")</f>
        <v>#REF!</v>
      </c>
      <c r="DQ222" s="97"/>
      <c r="DR222" s="95"/>
    </row>
    <row r="223">
      <c r="B223" s="180" t="str">
        <f>IFERROR(__xludf.DUMMYFUNCTION("""COMPUTED_VALUE"""),"YKS5")</f>
        <v>YKS5</v>
      </c>
      <c r="C223">
        <f>IFERROR(__xludf.DUMMYFUNCTION("""COMPUTED_VALUE"""),220.0)</f>
        <v>220</v>
      </c>
      <c r="D223" s="88" t="str">
        <f>IFERROR(__xludf.DUMMYFUNCTION("""COMPUTED_VALUE"""),"Western Fault")</f>
        <v>Western Fault</v>
      </c>
      <c r="E223" s="82" t="str">
        <f>IFERROR(__xludf.DUMMYFUNCTION("""COMPUTED_VALUE"""),"西の断層")</f>
        <v>西の断層</v>
      </c>
      <c r="F223" s="102">
        <f>IFERROR(__xludf.DUMMYFUNCTION("""COMPUTED_VALUE"""),21.0)</f>
        <v>21</v>
      </c>
      <c r="G223" s="82">
        <f>IFERROR(__xludf.DUMMYFUNCTION("""COMPUTED_VALUE"""),12456.0)</f>
        <v>12456</v>
      </c>
      <c r="H223" s="231">
        <f>IFERROR(__xludf.DUMMYFUNCTION("""COMPUTED_VALUE"""),19.4)</f>
        <v>19.4</v>
      </c>
      <c r="I223" s="232" t="str">
        <f>IFERROR(__xludf.DUMMYFUNCTION("""COMPUTED_VALUE"""),"")</f>
        <v/>
      </c>
      <c r="J223" s="233" t="str">
        <f>IFERROR(__xludf.DUMMYFUNCTION("""COMPUTED_VALUE"""),"")</f>
        <v/>
      </c>
      <c r="K223" s="231" t="str">
        <f>IFERROR(__xludf.DUMMYFUNCTION("""COMPUTED_VALUE"""),"")</f>
        <v/>
      </c>
      <c r="L223" s="232" t="str">
        <f>IFERROR(__xludf.DUMMYFUNCTION("""COMPUTED_VALUE"""),"")</f>
        <v/>
      </c>
      <c r="M223" s="233" t="str">
        <f>IFERROR(__xludf.DUMMYFUNCTION("""COMPUTED_VALUE"""),"")</f>
        <v/>
      </c>
      <c r="N223" s="231" t="str">
        <f>IFERROR(__xludf.DUMMYFUNCTION("""COMPUTED_VALUE"""),"")</f>
        <v/>
      </c>
      <c r="O223" s="232" t="str">
        <f>IFERROR(__xludf.DUMMYFUNCTION("""COMPUTED_VALUE"""),"")</f>
        <v/>
      </c>
      <c r="P223" s="233" t="str">
        <f>IFERROR(__xludf.DUMMYFUNCTION("""COMPUTED_VALUE"""),"")</f>
        <v/>
      </c>
      <c r="Q223" s="231" t="str">
        <f>IFERROR(__xludf.DUMMYFUNCTION("""COMPUTED_VALUE"""),"")</f>
        <v/>
      </c>
      <c r="R223" s="232" t="str">
        <f>IFERROR(__xludf.DUMMYFUNCTION("""COMPUTED_VALUE"""),"")</f>
        <v/>
      </c>
      <c r="S223" s="233" t="str">
        <f>IFERROR(__xludf.DUMMYFUNCTION("""COMPUTED_VALUE"""),"")</f>
        <v/>
      </c>
      <c r="T223" s="231" t="str">
        <f>IFERROR(__xludf.DUMMYFUNCTION("""COMPUTED_VALUE"""),"")</f>
        <v/>
      </c>
      <c r="U223" s="232" t="str">
        <f>IFERROR(__xludf.DUMMYFUNCTION("""COMPUTED_VALUE"""),"")</f>
        <v/>
      </c>
      <c r="V223" s="233" t="str">
        <f>IFERROR(__xludf.DUMMYFUNCTION("""COMPUTED_VALUE"""),"")</f>
        <v/>
      </c>
      <c r="W223" s="231" t="str">
        <f>IFERROR(__xludf.DUMMYFUNCTION("""COMPUTED_VALUE"""),"")</f>
        <v/>
      </c>
      <c r="X223" s="232" t="str">
        <f>IFERROR(__xludf.DUMMYFUNCTION("""COMPUTED_VALUE"""),"")</f>
        <v/>
      </c>
      <c r="Y223" s="233" t="str">
        <f>IFERROR(__xludf.DUMMYFUNCTION("""COMPUTED_VALUE"""),"")</f>
        <v/>
      </c>
      <c r="Z223" s="231" t="str">
        <f>IFERROR(__xludf.DUMMYFUNCTION("""COMPUTED_VALUE"""),"")</f>
        <v/>
      </c>
      <c r="AA223" s="232" t="str">
        <f>IFERROR(__xludf.DUMMYFUNCTION("""COMPUTED_VALUE"""),"")</f>
        <v/>
      </c>
      <c r="AB223" s="233" t="str">
        <f>IFERROR(__xludf.DUMMYFUNCTION("""COMPUTED_VALUE"""),"")</f>
        <v/>
      </c>
      <c r="AC223" s="231" t="str">
        <f>IFERROR(__xludf.DUMMYFUNCTION("""COMPUTED_VALUE"""),"")</f>
        <v/>
      </c>
      <c r="AD223" s="232" t="str">
        <f>IFERROR(__xludf.DUMMYFUNCTION("""COMPUTED_VALUE"""),"")</f>
        <v/>
      </c>
      <c r="AE223" s="233" t="str">
        <f>IFERROR(__xludf.DUMMYFUNCTION("""COMPUTED_VALUE"""),"")</f>
        <v/>
      </c>
      <c r="AF223" s="231" t="str">
        <f>IFERROR(__xludf.DUMMYFUNCTION("""COMPUTED_VALUE"""),"")</f>
        <v/>
      </c>
      <c r="AG223" s="232" t="str">
        <f>IFERROR(__xludf.DUMMYFUNCTION("""COMPUTED_VALUE"""),"")</f>
        <v/>
      </c>
      <c r="AH223" s="233" t="str">
        <f>IFERROR(__xludf.DUMMYFUNCTION("""COMPUTED_VALUE"""),"")</f>
        <v/>
      </c>
      <c r="AI223" s="231" t="str">
        <f>IFERROR(__xludf.DUMMYFUNCTION("""COMPUTED_VALUE"""),"")</f>
        <v/>
      </c>
      <c r="AJ223" s="232" t="str">
        <f>IFERROR(__xludf.DUMMYFUNCTION("""COMPUTED_VALUE"""),"")</f>
        <v/>
      </c>
      <c r="AK223" s="233" t="str">
        <f>IFERROR(__xludf.DUMMYFUNCTION("""COMPUTED_VALUE"""),"")</f>
        <v/>
      </c>
      <c r="AL223" s="231" t="str">
        <f>IFERROR(__xludf.DUMMYFUNCTION("""COMPUTED_VALUE"""),"")</f>
        <v/>
      </c>
      <c r="AM223" s="232" t="str">
        <f>IFERROR(__xludf.DUMMYFUNCTION("""COMPUTED_VALUE"""),"")</f>
        <v/>
      </c>
      <c r="AN223" s="233" t="str">
        <f>IFERROR(__xludf.DUMMYFUNCTION("""COMPUTED_VALUE"""),"")</f>
        <v/>
      </c>
      <c r="AO223" s="231" t="str">
        <f>IFERROR(__xludf.DUMMYFUNCTION("""COMPUTED_VALUE"""),"")</f>
        <v/>
      </c>
      <c r="AP223" s="232">
        <f>IFERROR(__xludf.DUMMYFUNCTION("""COMPUTED_VALUE"""),25.2)</f>
        <v>25.2</v>
      </c>
      <c r="AQ223" s="233" t="str">
        <f>IFERROR(__xludf.DUMMYFUNCTION("""COMPUTED_VALUE"""),"")</f>
        <v/>
      </c>
      <c r="AR223" s="231" t="str">
        <f>IFERROR(__xludf.DUMMYFUNCTION("""COMPUTED_VALUE"""),"")</f>
        <v/>
      </c>
      <c r="AS223" s="232" t="str">
        <f>IFERROR(__xludf.DUMMYFUNCTION("""COMPUTED_VALUE"""),"")</f>
        <v/>
      </c>
      <c r="AT223" s="233" t="str">
        <f>IFERROR(__xludf.DUMMYFUNCTION("""COMPUTED_VALUE"""),"")</f>
        <v/>
      </c>
      <c r="AU223" s="231" t="str">
        <f>IFERROR(__xludf.DUMMYFUNCTION("""COMPUTED_VALUE"""),"")</f>
        <v/>
      </c>
      <c r="AV223" s="232" t="str">
        <f>IFERROR(__xludf.DUMMYFUNCTION("""COMPUTED_VALUE"""),"")</f>
        <v/>
      </c>
      <c r="AW223" s="233" t="str">
        <f>IFERROR(__xludf.DUMMYFUNCTION("""COMPUTED_VALUE"""),"")</f>
        <v/>
      </c>
      <c r="AX223" s="231" t="str">
        <f>IFERROR(__xludf.DUMMYFUNCTION("""COMPUTED_VALUE"""),"")</f>
        <v/>
      </c>
      <c r="AY223" s="232" t="str">
        <f>IFERROR(__xludf.DUMMYFUNCTION("""COMPUTED_VALUE"""),"")</f>
        <v/>
      </c>
      <c r="AZ223" s="233" t="str">
        <f>IFERROR(__xludf.DUMMYFUNCTION("""COMPUTED_VALUE"""),"")</f>
        <v/>
      </c>
      <c r="BA223" s="231" t="str">
        <f>IFERROR(__xludf.DUMMYFUNCTION("""COMPUTED_VALUE"""),"")</f>
        <v/>
      </c>
      <c r="BB223" s="232" t="str">
        <f>IFERROR(__xludf.DUMMYFUNCTION("""COMPUTED_VALUE"""),"")</f>
        <v/>
      </c>
      <c r="BC223" s="233" t="str">
        <f>IFERROR(__xludf.DUMMYFUNCTION("""COMPUTED_VALUE"""),"")</f>
        <v/>
      </c>
      <c r="BD223" s="231" t="str">
        <f>IFERROR(__xludf.DUMMYFUNCTION("""COMPUTED_VALUE"""),"")</f>
        <v/>
      </c>
      <c r="BE223" s="232" t="str">
        <f>IFERROR(__xludf.DUMMYFUNCTION("""COMPUTED_VALUE"""),"")</f>
        <v/>
      </c>
      <c r="BF223" s="233" t="str">
        <f>IFERROR(__xludf.DUMMYFUNCTION("""COMPUTED_VALUE"""),"")</f>
        <v/>
      </c>
      <c r="BG223" s="231" t="str">
        <f>IFERROR(__xludf.DUMMYFUNCTION("""COMPUTED_VALUE"""),"")</f>
        <v/>
      </c>
      <c r="BH223" s="232" t="str">
        <f>IFERROR(__xludf.DUMMYFUNCTION("""COMPUTED_VALUE"""),"")</f>
        <v/>
      </c>
      <c r="BI223" s="233" t="str">
        <f>IFERROR(__xludf.DUMMYFUNCTION("""COMPUTED_VALUE"""),"")</f>
        <v/>
      </c>
      <c r="BJ223" s="231" t="str">
        <f>IFERROR(__xludf.DUMMYFUNCTION("""COMPUTED_VALUE"""),"")</f>
        <v/>
      </c>
      <c r="BK223" s="232" t="str">
        <f>IFERROR(__xludf.DUMMYFUNCTION("""COMPUTED_VALUE"""),"")</f>
        <v/>
      </c>
      <c r="BL223" s="233" t="str">
        <f>IFERROR(__xludf.DUMMYFUNCTION("""COMPUTED_VALUE"""),"")</f>
        <v/>
      </c>
      <c r="BM223" s="231">
        <f>IFERROR(__xludf.DUMMYFUNCTION("""COMPUTED_VALUE"""),23.8)</f>
        <v>23.8</v>
      </c>
      <c r="BN223" s="232" t="str">
        <f>IFERROR(__xludf.DUMMYFUNCTION("""COMPUTED_VALUE"""),"")</f>
        <v/>
      </c>
      <c r="BO223" s="233" t="str">
        <f>IFERROR(__xludf.DUMMYFUNCTION("""COMPUTED_VALUE"""),"")</f>
        <v/>
      </c>
      <c r="BP223" s="231" t="str">
        <f>IFERROR(__xludf.DUMMYFUNCTION("""COMPUTED_VALUE"""),"")</f>
        <v/>
      </c>
      <c r="BQ223" s="232" t="str">
        <f>IFERROR(__xludf.DUMMYFUNCTION("""COMPUTED_VALUE"""),"")</f>
        <v/>
      </c>
      <c r="BR223" s="233" t="str">
        <f>IFERROR(__xludf.DUMMYFUNCTION("""COMPUTED_VALUE"""),"")</f>
        <v/>
      </c>
      <c r="BS223" s="231" t="str">
        <f>IFERROR(__xludf.DUMMYFUNCTION("""COMPUTED_VALUE"""),"")</f>
        <v/>
      </c>
      <c r="BT223" s="232" t="str">
        <f>IFERROR(__xludf.DUMMYFUNCTION("""COMPUTED_VALUE"""),"")</f>
        <v/>
      </c>
      <c r="BU223" s="233" t="str">
        <f>IFERROR(__xludf.DUMMYFUNCTION("""COMPUTED_VALUE"""),"")</f>
        <v/>
      </c>
      <c r="BV223" s="231" t="str">
        <f>IFERROR(__xludf.DUMMYFUNCTION("""COMPUTED_VALUE"""),"")</f>
        <v/>
      </c>
      <c r="BW223" s="232">
        <f>IFERROR(__xludf.DUMMYFUNCTION("""COMPUTED_VALUE"""),24.9)</f>
        <v>24.9</v>
      </c>
      <c r="BX223" s="233" t="str">
        <f>IFERROR(__xludf.DUMMYFUNCTION("""COMPUTED_VALUE"""),"")</f>
        <v/>
      </c>
      <c r="BY223" s="231" t="str">
        <f>IFERROR(__xludf.DUMMYFUNCTION("""COMPUTED_VALUE"""),"")</f>
        <v/>
      </c>
      <c r="BZ223" s="232" t="str">
        <f>IFERROR(__xludf.DUMMYFUNCTION("""COMPUTED_VALUE"""),"")</f>
        <v/>
      </c>
      <c r="CA223" s="233" t="str">
        <f>IFERROR(__xludf.DUMMYFUNCTION("""COMPUTED_VALUE"""),"")</f>
        <v/>
      </c>
      <c r="CB223" s="231" t="str">
        <f>IFERROR(__xludf.DUMMYFUNCTION("""COMPUTED_VALUE"""),"")</f>
        <v/>
      </c>
      <c r="CC223" s="232" t="str">
        <f>IFERROR(__xludf.DUMMYFUNCTION("""COMPUTED_VALUE"""),"")</f>
        <v/>
      </c>
      <c r="CD223" s="233" t="str">
        <f>IFERROR(__xludf.DUMMYFUNCTION("""COMPUTED_VALUE"""),"")</f>
        <v/>
      </c>
      <c r="CE223" s="234" t="str">
        <f>IFERROR(__xludf.DUMMYFUNCTION("""COMPUTED_VALUE"""),"")</f>
        <v/>
      </c>
      <c r="CF223" s="230" t="str">
        <f>IFERROR(__xludf.DUMMYFUNCTION("""COMPUTED_VALUE"""),"")</f>
        <v/>
      </c>
      <c r="CG223" s="235" t="str">
        <f>IFERROR(__xludf.DUMMYFUNCTION("""COMPUTED_VALUE"""),"")</f>
        <v/>
      </c>
      <c r="CH223" s="234" t="str">
        <f>IFERROR(__xludf.DUMMYFUNCTION("""COMPUTED_VALUE"""),"")</f>
        <v/>
      </c>
      <c r="CI223" s="230" t="str">
        <f>IFERROR(__xludf.DUMMYFUNCTION("""COMPUTED_VALUE"""),"")</f>
        <v/>
      </c>
      <c r="CJ223" s="235" t="str">
        <f>IFERROR(__xludf.DUMMYFUNCTION("""COMPUTED_VALUE"""),"")</f>
        <v/>
      </c>
      <c r="CK223" s="95" t="str">
        <f>IFERROR(__xludf.DUMMYFUNCTION("""COMPUTED_VALUE"""),"")</f>
        <v/>
      </c>
      <c r="CL223" s="96" t="str">
        <f>IFERROR(__xludf.DUMMYFUNCTION("""COMPUTED_VALUE"""),"")</f>
        <v/>
      </c>
      <c r="CM223" s="97" t="str">
        <f>IFERROR(__xludf.DUMMYFUNCTION("""COMPUTED_VALUE"""),"")</f>
        <v/>
      </c>
      <c r="CN223" s="95" t="str">
        <f>IFERROR(__xludf.DUMMYFUNCTION("""COMPUTED_VALUE"""),"")</f>
        <v/>
      </c>
      <c r="CO223" s="96">
        <f>IFERROR(__xludf.DUMMYFUNCTION("""COMPUTED_VALUE"""),13.4)</f>
        <v>13.4</v>
      </c>
      <c r="CP223" s="97" t="str">
        <f>IFERROR(__xludf.DUMMYFUNCTION("""COMPUTED_VALUE"""),"")</f>
        <v/>
      </c>
      <c r="CQ223" s="95" t="str">
        <f>IFERROR(__xludf.DUMMYFUNCTION("""COMPUTED_VALUE"""),"")</f>
        <v/>
      </c>
      <c r="CR223" s="96" t="str">
        <f>IFERROR(__xludf.DUMMYFUNCTION("""COMPUTED_VALUE"""),"")</f>
        <v/>
      </c>
      <c r="CS223" s="97" t="str">
        <f>IFERROR(__xludf.DUMMYFUNCTION("""COMPUTED_VALUE"""),"#REF!")</f>
        <v>#REF!</v>
      </c>
      <c r="CT223" s="95" t="str">
        <f>IFERROR(__xludf.DUMMYFUNCTION("""COMPUTED_VALUE"""),"#REF!")</f>
        <v>#REF!</v>
      </c>
      <c r="CU223" s="96" t="str">
        <f>IFERROR(__xludf.DUMMYFUNCTION("""COMPUTED_VALUE"""),"#REF!")</f>
        <v>#REF!</v>
      </c>
      <c r="CV223" s="97" t="str">
        <f>IFERROR(__xludf.DUMMYFUNCTION("""COMPUTED_VALUE"""),"#REF!")</f>
        <v>#REF!</v>
      </c>
      <c r="CW223" s="95" t="str">
        <f>IFERROR(__xludf.DUMMYFUNCTION("""COMPUTED_VALUE"""),"#REF!")</f>
        <v>#REF!</v>
      </c>
      <c r="CX223" s="96" t="str">
        <f>IFERROR(__xludf.DUMMYFUNCTION("""COMPUTED_VALUE"""),"#REF!")</f>
        <v>#REF!</v>
      </c>
      <c r="CY223" s="97" t="str">
        <f>IFERROR(__xludf.DUMMYFUNCTION("""COMPUTED_VALUE"""),"#REF!")</f>
        <v>#REF!</v>
      </c>
      <c r="CZ223" s="95" t="str">
        <f>IFERROR(__xludf.DUMMYFUNCTION("""COMPUTED_VALUE"""),"#REF!")</f>
        <v>#REF!</v>
      </c>
      <c r="DA223" s="96" t="str">
        <f>IFERROR(__xludf.DUMMYFUNCTION("""COMPUTED_VALUE"""),"#REF!")</f>
        <v>#REF!</v>
      </c>
      <c r="DB223" s="97" t="str">
        <f>IFERROR(__xludf.DUMMYFUNCTION("""COMPUTED_VALUE"""),"#REF!")</f>
        <v>#REF!</v>
      </c>
      <c r="DC223" s="95" t="str">
        <f>IFERROR(__xludf.DUMMYFUNCTION("""COMPUTED_VALUE"""),"#REF!")</f>
        <v>#REF!</v>
      </c>
      <c r="DD223" s="96" t="str">
        <f>IFERROR(__xludf.DUMMYFUNCTION("""COMPUTED_VALUE"""),"#REF!")</f>
        <v>#REF!</v>
      </c>
      <c r="DE223" s="97" t="str">
        <f>IFERROR(__xludf.DUMMYFUNCTION("""COMPUTED_VALUE"""),"#REF!")</f>
        <v>#REF!</v>
      </c>
      <c r="DF223" s="95" t="str">
        <f>IFERROR(__xludf.DUMMYFUNCTION("""COMPUTED_VALUE"""),"#REF!")</f>
        <v>#REF!</v>
      </c>
      <c r="DG223" s="96" t="str">
        <f>IFERROR(__xludf.DUMMYFUNCTION("""COMPUTED_VALUE"""),"#REF!")</f>
        <v>#REF!</v>
      </c>
      <c r="DH223" s="97" t="str">
        <f>IFERROR(__xludf.DUMMYFUNCTION("""COMPUTED_VALUE"""),"#REF!")</f>
        <v>#REF!</v>
      </c>
      <c r="DI223" s="95" t="str">
        <f>IFERROR(__xludf.DUMMYFUNCTION("""COMPUTED_VALUE"""),"#REF!")</f>
        <v>#REF!</v>
      </c>
      <c r="DJ223" s="96" t="str">
        <f>IFERROR(__xludf.DUMMYFUNCTION("""COMPUTED_VALUE"""),"#REF!")</f>
        <v>#REF!</v>
      </c>
      <c r="DK223" s="97" t="str">
        <f>IFERROR(__xludf.DUMMYFUNCTION("""COMPUTED_VALUE"""),"#REF!")</f>
        <v>#REF!</v>
      </c>
      <c r="DL223" s="95" t="str">
        <f>IFERROR(__xludf.DUMMYFUNCTION("""COMPUTED_VALUE"""),"#REF!")</f>
        <v>#REF!</v>
      </c>
      <c r="DM223" s="96" t="str">
        <f>IFERROR(__xludf.DUMMYFUNCTION("""COMPUTED_VALUE"""),"#REF!")</f>
        <v>#REF!</v>
      </c>
      <c r="DN223" s="97" t="str">
        <f>IFERROR(__xludf.DUMMYFUNCTION("""COMPUTED_VALUE"""),"#REF!")</f>
        <v>#REF!</v>
      </c>
      <c r="DO223" s="95" t="str">
        <f>IFERROR(__xludf.DUMMYFUNCTION("""COMPUTED_VALUE"""),"#REF!")</f>
        <v>#REF!</v>
      </c>
      <c r="DP223" s="96" t="str">
        <f>IFERROR(__xludf.DUMMYFUNCTION("""COMPUTED_VALUE"""),"#REF!")</f>
        <v>#REF!</v>
      </c>
      <c r="DQ223" s="97"/>
      <c r="DR223" s="95"/>
    </row>
    <row r="224">
      <c r="B224" s="180" t="str">
        <f>IFERROR(__xludf.DUMMYFUNCTION("""COMPUTED_VALUE"""),"YKS6")</f>
        <v>YKS6</v>
      </c>
      <c r="C224">
        <f>IFERROR(__xludf.DUMMYFUNCTION("""COMPUTED_VALUE"""),221.0)</f>
        <v>221</v>
      </c>
      <c r="D224" s="88" t="str">
        <f>IFERROR(__xludf.DUMMYFUNCTION("""COMPUTED_VALUE"""),"Deewar")</f>
        <v>Deewar</v>
      </c>
      <c r="E224" s="82" t="str">
        <f>IFERROR(__xludf.DUMMYFUNCTION("""COMPUTED_VALUE"""),"ディーヴァール")</f>
        <v>ディーヴァール</v>
      </c>
      <c r="F224" s="102">
        <f>IFERROR(__xludf.DUMMYFUNCTION("""COMPUTED_VALUE"""),21.0)</f>
        <v>21</v>
      </c>
      <c r="G224" s="82">
        <f>IFERROR(__xludf.DUMMYFUNCTION("""COMPUTED_VALUE"""),91778.0)</f>
        <v>91778</v>
      </c>
      <c r="H224" s="231" t="str">
        <f>IFERROR(__xludf.DUMMYFUNCTION("""COMPUTED_VALUE"""),"")</f>
        <v/>
      </c>
      <c r="I224" s="232" t="str">
        <f>IFERROR(__xludf.DUMMYFUNCTION("""COMPUTED_VALUE"""),"")</f>
        <v/>
      </c>
      <c r="J224" s="233" t="str">
        <f>IFERROR(__xludf.DUMMYFUNCTION("""COMPUTED_VALUE"""),"")</f>
        <v/>
      </c>
      <c r="K224" s="231" t="str">
        <f>IFERROR(__xludf.DUMMYFUNCTION("""COMPUTED_VALUE"""),"")</f>
        <v/>
      </c>
      <c r="L224" s="232" t="str">
        <f>IFERROR(__xludf.DUMMYFUNCTION("""COMPUTED_VALUE"""),"")</f>
        <v/>
      </c>
      <c r="M224" s="233" t="str">
        <f>IFERROR(__xludf.DUMMYFUNCTION("""COMPUTED_VALUE"""),"")</f>
        <v/>
      </c>
      <c r="N224" s="231" t="str">
        <f>IFERROR(__xludf.DUMMYFUNCTION("""COMPUTED_VALUE"""),"")</f>
        <v/>
      </c>
      <c r="O224" s="232" t="str">
        <f>IFERROR(__xludf.DUMMYFUNCTION("""COMPUTED_VALUE"""),"")</f>
        <v/>
      </c>
      <c r="P224" s="233" t="str">
        <f>IFERROR(__xludf.DUMMYFUNCTION("""COMPUTED_VALUE"""),"")</f>
        <v/>
      </c>
      <c r="Q224" s="231" t="str">
        <f>IFERROR(__xludf.DUMMYFUNCTION("""COMPUTED_VALUE"""),"")</f>
        <v/>
      </c>
      <c r="R224" s="232" t="str">
        <f>IFERROR(__xludf.DUMMYFUNCTION("""COMPUTED_VALUE"""),"")</f>
        <v/>
      </c>
      <c r="S224" s="233" t="str">
        <f>IFERROR(__xludf.DUMMYFUNCTION("""COMPUTED_VALUE"""),"")</f>
        <v/>
      </c>
      <c r="T224" s="231" t="str">
        <f>IFERROR(__xludf.DUMMYFUNCTION("""COMPUTED_VALUE"""),"")</f>
        <v/>
      </c>
      <c r="U224" s="232" t="str">
        <f>IFERROR(__xludf.DUMMYFUNCTION("""COMPUTED_VALUE"""),"")</f>
        <v/>
      </c>
      <c r="V224" s="233">
        <f>IFERROR(__xludf.DUMMYFUNCTION("""COMPUTED_VALUE"""),12.3)</f>
        <v>12.3</v>
      </c>
      <c r="W224" s="231" t="str">
        <f>IFERROR(__xludf.DUMMYFUNCTION("""COMPUTED_VALUE"""),"")</f>
        <v/>
      </c>
      <c r="X224" s="232" t="str">
        <f>IFERROR(__xludf.DUMMYFUNCTION("""COMPUTED_VALUE"""),"")</f>
        <v/>
      </c>
      <c r="Y224" s="233" t="str">
        <f>IFERROR(__xludf.DUMMYFUNCTION("""COMPUTED_VALUE"""),"")</f>
        <v/>
      </c>
      <c r="Z224" s="231" t="str">
        <f>IFERROR(__xludf.DUMMYFUNCTION("""COMPUTED_VALUE"""),"")</f>
        <v/>
      </c>
      <c r="AA224" s="232" t="str">
        <f>IFERROR(__xludf.DUMMYFUNCTION("""COMPUTED_VALUE"""),"")</f>
        <v/>
      </c>
      <c r="AB224" s="233" t="str">
        <f>IFERROR(__xludf.DUMMYFUNCTION("""COMPUTED_VALUE"""),"")</f>
        <v/>
      </c>
      <c r="AC224" s="231" t="str">
        <f>IFERROR(__xludf.DUMMYFUNCTION("""COMPUTED_VALUE"""),"")</f>
        <v/>
      </c>
      <c r="AD224" s="232" t="str">
        <f>IFERROR(__xludf.DUMMYFUNCTION("""COMPUTED_VALUE"""),"")</f>
        <v/>
      </c>
      <c r="AE224" s="233" t="str">
        <f>IFERROR(__xludf.DUMMYFUNCTION("""COMPUTED_VALUE"""),"")</f>
        <v/>
      </c>
      <c r="AF224" s="231" t="str">
        <f>IFERROR(__xludf.DUMMYFUNCTION("""COMPUTED_VALUE"""),"")</f>
        <v/>
      </c>
      <c r="AG224" s="232" t="str">
        <f>IFERROR(__xludf.DUMMYFUNCTION("""COMPUTED_VALUE"""),"")</f>
        <v/>
      </c>
      <c r="AH224" s="233" t="str">
        <f>IFERROR(__xludf.DUMMYFUNCTION("""COMPUTED_VALUE"""),"")</f>
        <v/>
      </c>
      <c r="AI224" s="231" t="str">
        <f>IFERROR(__xludf.DUMMYFUNCTION("""COMPUTED_VALUE"""),"")</f>
        <v/>
      </c>
      <c r="AJ224" s="232" t="str">
        <f>IFERROR(__xludf.DUMMYFUNCTION("""COMPUTED_VALUE"""),"")</f>
        <v/>
      </c>
      <c r="AK224" s="233" t="str">
        <f>IFERROR(__xludf.DUMMYFUNCTION("""COMPUTED_VALUE"""),"")</f>
        <v/>
      </c>
      <c r="AL224" s="231" t="str">
        <f>IFERROR(__xludf.DUMMYFUNCTION("""COMPUTED_VALUE"""),"")</f>
        <v/>
      </c>
      <c r="AM224" s="232" t="str">
        <f>IFERROR(__xludf.DUMMYFUNCTION("""COMPUTED_VALUE"""),"")</f>
        <v/>
      </c>
      <c r="AN224" s="233" t="str">
        <f>IFERROR(__xludf.DUMMYFUNCTION("""COMPUTED_VALUE"""),"")</f>
        <v/>
      </c>
      <c r="AO224" s="231" t="str">
        <f>IFERROR(__xludf.DUMMYFUNCTION("""COMPUTED_VALUE"""),"")</f>
        <v/>
      </c>
      <c r="AP224" s="232">
        <f>IFERROR(__xludf.DUMMYFUNCTION("""COMPUTED_VALUE"""),25.4)</f>
        <v>25.4</v>
      </c>
      <c r="AQ224" s="233" t="str">
        <f>IFERROR(__xludf.DUMMYFUNCTION("""COMPUTED_VALUE"""),"")</f>
        <v/>
      </c>
      <c r="AR224" s="231" t="str">
        <f>IFERROR(__xludf.DUMMYFUNCTION("""COMPUTED_VALUE"""),"")</f>
        <v/>
      </c>
      <c r="AS224" s="232" t="str">
        <f>IFERROR(__xludf.DUMMYFUNCTION("""COMPUTED_VALUE"""),"")</f>
        <v/>
      </c>
      <c r="AT224" s="233" t="str">
        <f>IFERROR(__xludf.DUMMYFUNCTION("""COMPUTED_VALUE"""),"")</f>
        <v/>
      </c>
      <c r="AU224" s="231" t="str">
        <f>IFERROR(__xludf.DUMMYFUNCTION("""COMPUTED_VALUE"""),"")</f>
        <v/>
      </c>
      <c r="AV224" s="232" t="str">
        <f>IFERROR(__xludf.DUMMYFUNCTION("""COMPUTED_VALUE"""),"")</f>
        <v/>
      </c>
      <c r="AW224" s="233" t="str">
        <f>IFERROR(__xludf.DUMMYFUNCTION("""COMPUTED_VALUE"""),"")</f>
        <v/>
      </c>
      <c r="AX224" s="231" t="str">
        <f>IFERROR(__xludf.DUMMYFUNCTION("""COMPUTED_VALUE"""),"")</f>
        <v/>
      </c>
      <c r="AY224" s="232" t="str">
        <f>IFERROR(__xludf.DUMMYFUNCTION("""COMPUTED_VALUE"""),"")</f>
        <v/>
      </c>
      <c r="AZ224" s="233" t="str">
        <f>IFERROR(__xludf.DUMMYFUNCTION("""COMPUTED_VALUE"""),"")</f>
        <v/>
      </c>
      <c r="BA224" s="231" t="str">
        <f>IFERROR(__xludf.DUMMYFUNCTION("""COMPUTED_VALUE"""),"")</f>
        <v/>
      </c>
      <c r="BB224" s="232" t="str">
        <f>IFERROR(__xludf.DUMMYFUNCTION("""COMPUTED_VALUE"""),"")</f>
        <v/>
      </c>
      <c r="BC224" s="233" t="str">
        <f>IFERROR(__xludf.DUMMYFUNCTION("""COMPUTED_VALUE"""),"")</f>
        <v/>
      </c>
      <c r="BD224" s="231" t="str">
        <f>IFERROR(__xludf.DUMMYFUNCTION("""COMPUTED_VALUE"""),"")</f>
        <v/>
      </c>
      <c r="BE224" s="232">
        <f>IFERROR(__xludf.DUMMYFUNCTION("""COMPUTED_VALUE"""),4.1)</f>
        <v>4.1</v>
      </c>
      <c r="BF224" s="233" t="str">
        <f>IFERROR(__xludf.DUMMYFUNCTION("""COMPUTED_VALUE"""),"")</f>
        <v/>
      </c>
      <c r="BG224" s="231" t="str">
        <f>IFERROR(__xludf.DUMMYFUNCTION("""COMPUTED_VALUE"""),"")</f>
        <v/>
      </c>
      <c r="BH224" s="232" t="str">
        <f>IFERROR(__xludf.DUMMYFUNCTION("""COMPUTED_VALUE"""),"")</f>
        <v/>
      </c>
      <c r="BI224" s="233" t="str">
        <f>IFERROR(__xludf.DUMMYFUNCTION("""COMPUTED_VALUE"""),"")</f>
        <v/>
      </c>
      <c r="BJ224" s="231" t="str">
        <f>IFERROR(__xludf.DUMMYFUNCTION("""COMPUTED_VALUE"""),"")</f>
        <v/>
      </c>
      <c r="BK224" s="232" t="str">
        <f>IFERROR(__xludf.DUMMYFUNCTION("""COMPUTED_VALUE"""),"")</f>
        <v/>
      </c>
      <c r="BL224" s="233" t="str">
        <f>IFERROR(__xludf.DUMMYFUNCTION("""COMPUTED_VALUE"""),"")</f>
        <v/>
      </c>
      <c r="BM224" s="231" t="str">
        <f>IFERROR(__xludf.DUMMYFUNCTION("""COMPUTED_VALUE"""),"")</f>
        <v/>
      </c>
      <c r="BN224" s="232" t="str">
        <f>IFERROR(__xludf.DUMMYFUNCTION("""COMPUTED_VALUE"""),"")</f>
        <v/>
      </c>
      <c r="BO224" s="233" t="str">
        <f>IFERROR(__xludf.DUMMYFUNCTION("""COMPUTED_VALUE"""),"")</f>
        <v/>
      </c>
      <c r="BP224" s="231" t="str">
        <f>IFERROR(__xludf.DUMMYFUNCTION("""COMPUTED_VALUE"""),"")</f>
        <v/>
      </c>
      <c r="BQ224" s="232" t="str">
        <f>IFERROR(__xludf.DUMMYFUNCTION("""COMPUTED_VALUE"""),"")</f>
        <v/>
      </c>
      <c r="BR224" s="233" t="str">
        <f>IFERROR(__xludf.DUMMYFUNCTION("""COMPUTED_VALUE"""),"")</f>
        <v/>
      </c>
      <c r="BS224" s="231" t="str">
        <f>IFERROR(__xludf.DUMMYFUNCTION("""COMPUTED_VALUE"""),"")</f>
        <v/>
      </c>
      <c r="BT224" s="232" t="str">
        <f>IFERROR(__xludf.DUMMYFUNCTION("""COMPUTED_VALUE"""),"")</f>
        <v/>
      </c>
      <c r="BU224" s="233" t="str">
        <f>IFERROR(__xludf.DUMMYFUNCTION("""COMPUTED_VALUE"""),"")</f>
        <v/>
      </c>
      <c r="BV224" s="231" t="str">
        <f>IFERROR(__xludf.DUMMYFUNCTION("""COMPUTED_VALUE"""),"")</f>
        <v/>
      </c>
      <c r="BW224" s="232">
        <f>IFERROR(__xludf.DUMMYFUNCTION("""COMPUTED_VALUE"""),30.1)</f>
        <v>30.1</v>
      </c>
      <c r="BX224" s="233" t="str">
        <f>IFERROR(__xludf.DUMMYFUNCTION("""COMPUTED_VALUE"""),"")</f>
        <v/>
      </c>
      <c r="BY224" s="231" t="str">
        <f>IFERROR(__xludf.DUMMYFUNCTION("""COMPUTED_VALUE"""),"")</f>
        <v/>
      </c>
      <c r="BZ224" s="232" t="str">
        <f>IFERROR(__xludf.DUMMYFUNCTION("""COMPUTED_VALUE"""),"")</f>
        <v/>
      </c>
      <c r="CA224" s="233" t="str">
        <f>IFERROR(__xludf.DUMMYFUNCTION("""COMPUTED_VALUE"""),"")</f>
        <v/>
      </c>
      <c r="CB224" s="231" t="str">
        <f>IFERROR(__xludf.DUMMYFUNCTION("""COMPUTED_VALUE"""),"")</f>
        <v/>
      </c>
      <c r="CC224" s="232" t="str">
        <f>IFERROR(__xludf.DUMMYFUNCTION("""COMPUTED_VALUE"""),"")</f>
        <v/>
      </c>
      <c r="CD224" s="233" t="str">
        <f>IFERROR(__xludf.DUMMYFUNCTION("""COMPUTED_VALUE"""),"")</f>
        <v/>
      </c>
      <c r="CE224" s="234" t="str">
        <f>IFERROR(__xludf.DUMMYFUNCTION("""COMPUTED_VALUE"""),"")</f>
        <v/>
      </c>
      <c r="CF224" s="230" t="str">
        <f>IFERROR(__xludf.DUMMYFUNCTION("""COMPUTED_VALUE"""),"")</f>
        <v/>
      </c>
      <c r="CG224" s="235" t="str">
        <f>IFERROR(__xludf.DUMMYFUNCTION("""COMPUTED_VALUE"""),"")</f>
        <v/>
      </c>
      <c r="CH224" s="234" t="str">
        <f>IFERROR(__xludf.DUMMYFUNCTION("""COMPUTED_VALUE"""),"")</f>
        <v/>
      </c>
      <c r="CI224" s="230" t="str">
        <f>IFERROR(__xludf.DUMMYFUNCTION("""COMPUTED_VALUE"""),"")</f>
        <v/>
      </c>
      <c r="CJ224" s="235" t="str">
        <f>IFERROR(__xludf.DUMMYFUNCTION("""COMPUTED_VALUE"""),"")</f>
        <v/>
      </c>
      <c r="CK224" s="95" t="str">
        <f>IFERROR(__xludf.DUMMYFUNCTION("""COMPUTED_VALUE"""),"")</f>
        <v/>
      </c>
      <c r="CL224" s="96" t="str">
        <f>IFERROR(__xludf.DUMMYFUNCTION("""COMPUTED_VALUE"""),"")</f>
        <v/>
      </c>
      <c r="CM224" s="97" t="str">
        <f>IFERROR(__xludf.DUMMYFUNCTION("""COMPUTED_VALUE"""),"")</f>
        <v/>
      </c>
      <c r="CN224" s="95">
        <f>IFERROR(__xludf.DUMMYFUNCTION("""COMPUTED_VALUE"""),4.6)</f>
        <v>4.6</v>
      </c>
      <c r="CO224" s="96" t="str">
        <f>IFERROR(__xludf.DUMMYFUNCTION("""COMPUTED_VALUE"""),"")</f>
        <v/>
      </c>
      <c r="CP224" s="97" t="str">
        <f>IFERROR(__xludf.DUMMYFUNCTION("""COMPUTED_VALUE"""),"")</f>
        <v/>
      </c>
      <c r="CQ224" s="95" t="str">
        <f>IFERROR(__xludf.DUMMYFUNCTION("""COMPUTED_VALUE"""),"")</f>
        <v/>
      </c>
      <c r="CR224" s="96" t="str">
        <f>IFERROR(__xludf.DUMMYFUNCTION("""COMPUTED_VALUE"""),"")</f>
        <v/>
      </c>
      <c r="CS224" s="97" t="str">
        <f>IFERROR(__xludf.DUMMYFUNCTION("""COMPUTED_VALUE"""),"#REF!")</f>
        <v>#REF!</v>
      </c>
      <c r="CT224" s="95" t="str">
        <f>IFERROR(__xludf.DUMMYFUNCTION("""COMPUTED_VALUE"""),"#REF!")</f>
        <v>#REF!</v>
      </c>
      <c r="CU224" s="96" t="str">
        <f>IFERROR(__xludf.DUMMYFUNCTION("""COMPUTED_VALUE"""),"#REF!")</f>
        <v>#REF!</v>
      </c>
      <c r="CV224" s="97" t="str">
        <f>IFERROR(__xludf.DUMMYFUNCTION("""COMPUTED_VALUE"""),"#REF!")</f>
        <v>#REF!</v>
      </c>
      <c r="CW224" s="95" t="str">
        <f>IFERROR(__xludf.DUMMYFUNCTION("""COMPUTED_VALUE"""),"#REF!")</f>
        <v>#REF!</v>
      </c>
      <c r="CX224" s="96" t="str">
        <f>IFERROR(__xludf.DUMMYFUNCTION("""COMPUTED_VALUE"""),"#REF!")</f>
        <v>#REF!</v>
      </c>
      <c r="CY224" s="97" t="str">
        <f>IFERROR(__xludf.DUMMYFUNCTION("""COMPUTED_VALUE"""),"#REF!")</f>
        <v>#REF!</v>
      </c>
      <c r="CZ224" s="95" t="str">
        <f>IFERROR(__xludf.DUMMYFUNCTION("""COMPUTED_VALUE"""),"#REF!")</f>
        <v>#REF!</v>
      </c>
      <c r="DA224" s="96" t="str">
        <f>IFERROR(__xludf.DUMMYFUNCTION("""COMPUTED_VALUE"""),"#REF!")</f>
        <v>#REF!</v>
      </c>
      <c r="DB224" s="97" t="str">
        <f>IFERROR(__xludf.DUMMYFUNCTION("""COMPUTED_VALUE"""),"#REF!")</f>
        <v>#REF!</v>
      </c>
      <c r="DC224" s="95" t="str">
        <f>IFERROR(__xludf.DUMMYFUNCTION("""COMPUTED_VALUE"""),"#REF!")</f>
        <v>#REF!</v>
      </c>
      <c r="DD224" s="96" t="str">
        <f>IFERROR(__xludf.DUMMYFUNCTION("""COMPUTED_VALUE"""),"#REF!")</f>
        <v>#REF!</v>
      </c>
      <c r="DE224" s="97" t="str">
        <f>IFERROR(__xludf.DUMMYFUNCTION("""COMPUTED_VALUE"""),"#REF!")</f>
        <v>#REF!</v>
      </c>
      <c r="DF224" s="95" t="str">
        <f>IFERROR(__xludf.DUMMYFUNCTION("""COMPUTED_VALUE"""),"#REF!")</f>
        <v>#REF!</v>
      </c>
      <c r="DG224" s="96" t="str">
        <f>IFERROR(__xludf.DUMMYFUNCTION("""COMPUTED_VALUE"""),"#REF!")</f>
        <v>#REF!</v>
      </c>
      <c r="DH224" s="97" t="str">
        <f>IFERROR(__xludf.DUMMYFUNCTION("""COMPUTED_VALUE"""),"#REF!")</f>
        <v>#REF!</v>
      </c>
      <c r="DI224" s="95" t="str">
        <f>IFERROR(__xludf.DUMMYFUNCTION("""COMPUTED_VALUE"""),"#REF!")</f>
        <v>#REF!</v>
      </c>
      <c r="DJ224" s="96" t="str">
        <f>IFERROR(__xludf.DUMMYFUNCTION("""COMPUTED_VALUE"""),"#REF!")</f>
        <v>#REF!</v>
      </c>
      <c r="DK224" s="97" t="str">
        <f>IFERROR(__xludf.DUMMYFUNCTION("""COMPUTED_VALUE"""),"#REF!")</f>
        <v>#REF!</v>
      </c>
      <c r="DL224" s="95" t="str">
        <f>IFERROR(__xludf.DUMMYFUNCTION("""COMPUTED_VALUE"""),"#REF!")</f>
        <v>#REF!</v>
      </c>
      <c r="DM224" s="96" t="str">
        <f>IFERROR(__xludf.DUMMYFUNCTION("""COMPUTED_VALUE"""),"#REF!")</f>
        <v>#REF!</v>
      </c>
      <c r="DN224" s="97" t="str">
        <f>IFERROR(__xludf.DUMMYFUNCTION("""COMPUTED_VALUE"""),"#REF!")</f>
        <v>#REF!</v>
      </c>
      <c r="DO224" s="95" t="str">
        <f>IFERROR(__xludf.DUMMYFUNCTION("""COMPUTED_VALUE"""),"#REF!")</f>
        <v>#REF!</v>
      </c>
      <c r="DP224" s="96" t="str">
        <f>IFERROR(__xludf.DUMMYFUNCTION("""COMPUTED_VALUE"""),"#REF!")</f>
        <v>#REF!</v>
      </c>
      <c r="DQ224" s="97"/>
      <c r="DR224" s="95"/>
    </row>
    <row r="225">
      <c r="B225" s="180" t="str">
        <f>IFERROR(__xludf.DUMMYFUNCTION("""COMPUTED_VALUE"""),"YKS7")</f>
        <v>YKS7</v>
      </c>
      <c r="C225">
        <f>IFERROR(__xludf.DUMMYFUNCTION("""COMPUTED_VALUE"""),222.0)</f>
        <v>222</v>
      </c>
      <c r="D225" s="88" t="str">
        <f>IFERROR(__xludf.DUMMYFUNCTION("""COMPUTED_VALUE"""),"Divine Sky Rock Ruins")</f>
        <v>Divine Sky Rock Ruins</v>
      </c>
      <c r="E225" s="82" t="str">
        <f>IFERROR(__xludf.DUMMYFUNCTION("""COMPUTED_VALUE"""),"神の空岩跡")</f>
        <v>神の空岩跡</v>
      </c>
      <c r="F225" s="102">
        <f>IFERROR(__xludf.DUMMYFUNCTION("""COMPUTED_VALUE"""),21.0)</f>
        <v>21</v>
      </c>
      <c r="G225" s="82">
        <f>IFERROR(__xludf.DUMMYFUNCTION("""COMPUTED_VALUE"""),6686.0)</f>
        <v>6686</v>
      </c>
      <c r="H225" s="231" t="str">
        <f>IFERROR(__xludf.DUMMYFUNCTION("""COMPUTED_VALUE"""),"")</f>
        <v/>
      </c>
      <c r="I225" s="232" t="str">
        <f>IFERROR(__xludf.DUMMYFUNCTION("""COMPUTED_VALUE"""),"")</f>
        <v/>
      </c>
      <c r="J225" s="233" t="str">
        <f>IFERROR(__xludf.DUMMYFUNCTION("""COMPUTED_VALUE"""),"")</f>
        <v/>
      </c>
      <c r="K225" s="231" t="str">
        <f>IFERROR(__xludf.DUMMYFUNCTION("""COMPUTED_VALUE"""),"")</f>
        <v/>
      </c>
      <c r="L225" s="232" t="str">
        <f>IFERROR(__xludf.DUMMYFUNCTION("""COMPUTED_VALUE"""),"")</f>
        <v/>
      </c>
      <c r="M225" s="233" t="str">
        <f>IFERROR(__xludf.DUMMYFUNCTION("""COMPUTED_VALUE"""),"")</f>
        <v/>
      </c>
      <c r="N225" s="231" t="str">
        <f>IFERROR(__xludf.DUMMYFUNCTION("""COMPUTED_VALUE"""),"")</f>
        <v/>
      </c>
      <c r="O225" s="232" t="str">
        <f>IFERROR(__xludf.DUMMYFUNCTION("""COMPUTED_VALUE"""),"")</f>
        <v/>
      </c>
      <c r="P225" s="233" t="str">
        <f>IFERROR(__xludf.DUMMYFUNCTION("""COMPUTED_VALUE"""),"")</f>
        <v/>
      </c>
      <c r="Q225" s="231" t="str">
        <f>IFERROR(__xludf.DUMMYFUNCTION("""COMPUTED_VALUE"""),"")</f>
        <v/>
      </c>
      <c r="R225" s="232" t="str">
        <f>IFERROR(__xludf.DUMMYFUNCTION("""COMPUTED_VALUE"""),"")</f>
        <v/>
      </c>
      <c r="S225" s="233" t="str">
        <f>IFERROR(__xludf.DUMMYFUNCTION("""COMPUTED_VALUE"""),"")</f>
        <v/>
      </c>
      <c r="T225" s="231" t="str">
        <f>IFERROR(__xludf.DUMMYFUNCTION("""COMPUTED_VALUE"""),"")</f>
        <v/>
      </c>
      <c r="U225" s="232" t="str">
        <f>IFERROR(__xludf.DUMMYFUNCTION("""COMPUTED_VALUE"""),"")</f>
        <v/>
      </c>
      <c r="V225" s="233" t="str">
        <f>IFERROR(__xludf.DUMMYFUNCTION("""COMPUTED_VALUE"""),"")</f>
        <v/>
      </c>
      <c r="W225" s="231" t="str">
        <f>IFERROR(__xludf.DUMMYFUNCTION("""COMPUTED_VALUE"""),"")</f>
        <v/>
      </c>
      <c r="X225" s="232" t="str">
        <f>IFERROR(__xludf.DUMMYFUNCTION("""COMPUTED_VALUE"""),"")</f>
        <v/>
      </c>
      <c r="Y225" s="233" t="str">
        <f>IFERROR(__xludf.DUMMYFUNCTION("""COMPUTED_VALUE"""),"")</f>
        <v/>
      </c>
      <c r="Z225" s="231" t="str">
        <f>IFERROR(__xludf.DUMMYFUNCTION("""COMPUTED_VALUE"""),"")</f>
        <v/>
      </c>
      <c r="AA225" s="232" t="str">
        <f>IFERROR(__xludf.DUMMYFUNCTION("""COMPUTED_VALUE"""),"")</f>
        <v/>
      </c>
      <c r="AB225" s="233" t="str">
        <f>IFERROR(__xludf.DUMMYFUNCTION("""COMPUTED_VALUE"""),"")</f>
        <v/>
      </c>
      <c r="AC225" s="231" t="str">
        <f>IFERROR(__xludf.DUMMYFUNCTION("""COMPUTED_VALUE"""),"")</f>
        <v/>
      </c>
      <c r="AD225" s="232" t="str">
        <f>IFERROR(__xludf.DUMMYFUNCTION("""COMPUTED_VALUE"""),"")</f>
        <v/>
      </c>
      <c r="AE225" s="233" t="str">
        <f>IFERROR(__xludf.DUMMYFUNCTION("""COMPUTED_VALUE"""),"")</f>
        <v/>
      </c>
      <c r="AF225" s="231" t="str">
        <f>IFERROR(__xludf.DUMMYFUNCTION("""COMPUTED_VALUE"""),"")</f>
        <v/>
      </c>
      <c r="AG225" s="232" t="str">
        <f>IFERROR(__xludf.DUMMYFUNCTION("""COMPUTED_VALUE"""),"")</f>
        <v/>
      </c>
      <c r="AH225" s="233" t="str">
        <f>IFERROR(__xludf.DUMMYFUNCTION("""COMPUTED_VALUE"""),"")</f>
        <v/>
      </c>
      <c r="AI225" s="231" t="str">
        <f>IFERROR(__xludf.DUMMYFUNCTION("""COMPUTED_VALUE"""),"")</f>
        <v/>
      </c>
      <c r="AJ225" s="232" t="str">
        <f>IFERROR(__xludf.DUMMYFUNCTION("""COMPUTED_VALUE"""),"")</f>
        <v/>
      </c>
      <c r="AK225" s="233" t="str">
        <f>IFERROR(__xludf.DUMMYFUNCTION("""COMPUTED_VALUE"""),"")</f>
        <v/>
      </c>
      <c r="AL225" s="231" t="str">
        <f>IFERROR(__xludf.DUMMYFUNCTION("""COMPUTED_VALUE"""),"")</f>
        <v/>
      </c>
      <c r="AM225" s="232" t="str">
        <f>IFERROR(__xludf.DUMMYFUNCTION("""COMPUTED_VALUE"""),"")</f>
        <v/>
      </c>
      <c r="AN225" s="233" t="str">
        <f>IFERROR(__xludf.DUMMYFUNCTION("""COMPUTED_VALUE"""),"")</f>
        <v/>
      </c>
      <c r="AO225" s="231" t="str">
        <f>IFERROR(__xludf.DUMMYFUNCTION("""COMPUTED_VALUE"""),"")</f>
        <v/>
      </c>
      <c r="AP225" s="232">
        <f>IFERROR(__xludf.DUMMYFUNCTION("""COMPUTED_VALUE"""),40.0)</f>
        <v>40</v>
      </c>
      <c r="AQ225" s="233" t="str">
        <f>IFERROR(__xludf.DUMMYFUNCTION("""COMPUTED_VALUE"""),"")</f>
        <v/>
      </c>
      <c r="AR225" s="231" t="str">
        <f>IFERROR(__xludf.DUMMYFUNCTION("""COMPUTED_VALUE"""),"")</f>
        <v/>
      </c>
      <c r="AS225" s="232" t="str">
        <f>IFERROR(__xludf.DUMMYFUNCTION("""COMPUTED_VALUE"""),"")</f>
        <v/>
      </c>
      <c r="AT225" s="233" t="str">
        <f>IFERROR(__xludf.DUMMYFUNCTION("""COMPUTED_VALUE"""),"")</f>
        <v/>
      </c>
      <c r="AU225" s="231" t="str">
        <f>IFERROR(__xludf.DUMMYFUNCTION("""COMPUTED_VALUE"""),"")</f>
        <v/>
      </c>
      <c r="AV225" s="232" t="str">
        <f>IFERROR(__xludf.DUMMYFUNCTION("""COMPUTED_VALUE"""),"")</f>
        <v/>
      </c>
      <c r="AW225" s="233" t="str">
        <f>IFERROR(__xludf.DUMMYFUNCTION("""COMPUTED_VALUE"""),"")</f>
        <v/>
      </c>
      <c r="AX225" s="231" t="str">
        <f>IFERROR(__xludf.DUMMYFUNCTION("""COMPUTED_VALUE"""),"")</f>
        <v/>
      </c>
      <c r="AY225" s="232" t="str">
        <f>IFERROR(__xludf.DUMMYFUNCTION("""COMPUTED_VALUE"""),"")</f>
        <v/>
      </c>
      <c r="AZ225" s="233" t="str">
        <f>IFERROR(__xludf.DUMMYFUNCTION("""COMPUTED_VALUE"""),"")</f>
        <v/>
      </c>
      <c r="BA225" s="231" t="str">
        <f>IFERROR(__xludf.DUMMYFUNCTION("""COMPUTED_VALUE"""),"")</f>
        <v/>
      </c>
      <c r="BB225" s="232" t="str">
        <f>IFERROR(__xludf.DUMMYFUNCTION("""COMPUTED_VALUE"""),"")</f>
        <v/>
      </c>
      <c r="BC225" s="233" t="str">
        <f>IFERROR(__xludf.DUMMYFUNCTION("""COMPUTED_VALUE"""),"")</f>
        <v/>
      </c>
      <c r="BD225" s="231" t="str">
        <f>IFERROR(__xludf.DUMMYFUNCTION("""COMPUTED_VALUE"""),"")</f>
        <v/>
      </c>
      <c r="BE225" s="232" t="str">
        <f>IFERROR(__xludf.DUMMYFUNCTION("""COMPUTED_VALUE"""),"")</f>
        <v/>
      </c>
      <c r="BF225" s="233" t="str">
        <f>IFERROR(__xludf.DUMMYFUNCTION("""COMPUTED_VALUE"""),"")</f>
        <v/>
      </c>
      <c r="BG225" s="231" t="str">
        <f>IFERROR(__xludf.DUMMYFUNCTION("""COMPUTED_VALUE"""),"")</f>
        <v/>
      </c>
      <c r="BH225" s="232" t="str">
        <f>IFERROR(__xludf.DUMMYFUNCTION("""COMPUTED_VALUE"""),"")</f>
        <v/>
      </c>
      <c r="BI225" s="233" t="str">
        <f>IFERROR(__xludf.DUMMYFUNCTION("""COMPUTED_VALUE"""),"")</f>
        <v/>
      </c>
      <c r="BJ225" s="231" t="str">
        <f>IFERROR(__xludf.DUMMYFUNCTION("""COMPUTED_VALUE"""),"")</f>
        <v/>
      </c>
      <c r="BK225" s="232" t="str">
        <f>IFERROR(__xludf.DUMMYFUNCTION("""COMPUTED_VALUE"""),"")</f>
        <v/>
      </c>
      <c r="BL225" s="233" t="str">
        <f>IFERROR(__xludf.DUMMYFUNCTION("""COMPUTED_VALUE"""),"")</f>
        <v/>
      </c>
      <c r="BM225" s="231" t="str">
        <f>IFERROR(__xludf.DUMMYFUNCTION("""COMPUTED_VALUE"""),"")</f>
        <v/>
      </c>
      <c r="BN225" s="232" t="str">
        <f>IFERROR(__xludf.DUMMYFUNCTION("""COMPUTED_VALUE"""),"")</f>
        <v/>
      </c>
      <c r="BO225" s="233" t="str">
        <f>IFERROR(__xludf.DUMMYFUNCTION("""COMPUTED_VALUE"""),"")</f>
        <v/>
      </c>
      <c r="BP225" s="231">
        <f>IFERROR(__xludf.DUMMYFUNCTION("""COMPUTED_VALUE"""),5.7)</f>
        <v>5.7</v>
      </c>
      <c r="BQ225" s="232" t="str">
        <f>IFERROR(__xludf.DUMMYFUNCTION("""COMPUTED_VALUE"""),"")</f>
        <v/>
      </c>
      <c r="BR225" s="233" t="str">
        <f>IFERROR(__xludf.DUMMYFUNCTION("""COMPUTED_VALUE"""),"")</f>
        <v/>
      </c>
      <c r="BS225" s="231" t="str">
        <f>IFERROR(__xludf.DUMMYFUNCTION("""COMPUTED_VALUE"""),"")</f>
        <v/>
      </c>
      <c r="BT225" s="232" t="str">
        <f>IFERROR(__xludf.DUMMYFUNCTION("""COMPUTED_VALUE"""),"")</f>
        <v/>
      </c>
      <c r="BU225" s="233" t="str">
        <f>IFERROR(__xludf.DUMMYFUNCTION("""COMPUTED_VALUE"""),"")</f>
        <v/>
      </c>
      <c r="BV225" s="231" t="str">
        <f>IFERROR(__xludf.DUMMYFUNCTION("""COMPUTED_VALUE"""),"")</f>
        <v/>
      </c>
      <c r="BW225" s="232">
        <f>IFERROR(__xludf.DUMMYFUNCTION("""COMPUTED_VALUE"""),38.1)</f>
        <v>38.1</v>
      </c>
      <c r="BX225" s="233" t="str">
        <f>IFERROR(__xludf.DUMMYFUNCTION("""COMPUTED_VALUE"""),"")</f>
        <v/>
      </c>
      <c r="BY225" s="231" t="str">
        <f>IFERROR(__xludf.DUMMYFUNCTION("""COMPUTED_VALUE"""),"")</f>
        <v/>
      </c>
      <c r="BZ225" s="232" t="str">
        <f>IFERROR(__xludf.DUMMYFUNCTION("""COMPUTED_VALUE"""),"")</f>
        <v/>
      </c>
      <c r="CA225" s="233" t="str">
        <f>IFERROR(__xludf.DUMMYFUNCTION("""COMPUTED_VALUE"""),"")</f>
        <v/>
      </c>
      <c r="CB225" s="231" t="str">
        <f>IFERROR(__xludf.DUMMYFUNCTION("""COMPUTED_VALUE"""),"")</f>
        <v/>
      </c>
      <c r="CC225" s="232" t="str">
        <f>IFERROR(__xludf.DUMMYFUNCTION("""COMPUTED_VALUE"""),"")</f>
        <v/>
      </c>
      <c r="CD225" s="233" t="str">
        <f>IFERROR(__xludf.DUMMYFUNCTION("""COMPUTED_VALUE"""),"")</f>
        <v/>
      </c>
      <c r="CE225" s="234" t="str">
        <f>IFERROR(__xludf.DUMMYFUNCTION("""COMPUTED_VALUE"""),"")</f>
        <v/>
      </c>
      <c r="CF225" s="230" t="str">
        <f>IFERROR(__xludf.DUMMYFUNCTION("""COMPUTED_VALUE"""),"")</f>
        <v/>
      </c>
      <c r="CG225" s="235" t="str">
        <f>IFERROR(__xludf.DUMMYFUNCTION("""COMPUTED_VALUE"""),"")</f>
        <v/>
      </c>
      <c r="CH225" s="234" t="str">
        <f>IFERROR(__xludf.DUMMYFUNCTION("""COMPUTED_VALUE"""),"")</f>
        <v/>
      </c>
      <c r="CI225" s="230" t="str">
        <f>IFERROR(__xludf.DUMMYFUNCTION("""COMPUTED_VALUE"""),"")</f>
        <v/>
      </c>
      <c r="CJ225" s="235" t="str">
        <f>IFERROR(__xludf.DUMMYFUNCTION("""COMPUTED_VALUE"""),"")</f>
        <v/>
      </c>
      <c r="CK225" s="95" t="str">
        <f>IFERROR(__xludf.DUMMYFUNCTION("""COMPUTED_VALUE"""),"")</f>
        <v/>
      </c>
      <c r="CL225" s="96" t="str">
        <f>IFERROR(__xludf.DUMMYFUNCTION("""COMPUTED_VALUE"""),"")</f>
        <v/>
      </c>
      <c r="CM225" s="97" t="str">
        <f>IFERROR(__xludf.DUMMYFUNCTION("""COMPUTED_VALUE"""),"")</f>
        <v/>
      </c>
      <c r="CN225" s="95" t="str">
        <f>IFERROR(__xludf.DUMMYFUNCTION("""COMPUTED_VALUE"""),"")</f>
        <v/>
      </c>
      <c r="CO225" s="96" t="str">
        <f>IFERROR(__xludf.DUMMYFUNCTION("""COMPUTED_VALUE"""),"")</f>
        <v/>
      </c>
      <c r="CP225" s="97" t="str">
        <f>IFERROR(__xludf.DUMMYFUNCTION("""COMPUTED_VALUE"""),"")</f>
        <v/>
      </c>
      <c r="CQ225" s="95" t="str">
        <f>IFERROR(__xludf.DUMMYFUNCTION("""COMPUTED_VALUE"""),"")</f>
        <v/>
      </c>
      <c r="CR225" s="96" t="str">
        <f>IFERROR(__xludf.DUMMYFUNCTION("""COMPUTED_VALUE"""),"")</f>
        <v/>
      </c>
      <c r="CS225" s="97" t="str">
        <f>IFERROR(__xludf.DUMMYFUNCTION("""COMPUTED_VALUE"""),"#REF!")</f>
        <v>#REF!</v>
      </c>
      <c r="CT225" s="95" t="str">
        <f>IFERROR(__xludf.DUMMYFUNCTION("""COMPUTED_VALUE"""),"#REF!")</f>
        <v>#REF!</v>
      </c>
      <c r="CU225" s="96" t="str">
        <f>IFERROR(__xludf.DUMMYFUNCTION("""COMPUTED_VALUE"""),"#REF!")</f>
        <v>#REF!</v>
      </c>
      <c r="CV225" s="97" t="str">
        <f>IFERROR(__xludf.DUMMYFUNCTION("""COMPUTED_VALUE"""),"#REF!")</f>
        <v>#REF!</v>
      </c>
      <c r="CW225" s="95" t="str">
        <f>IFERROR(__xludf.DUMMYFUNCTION("""COMPUTED_VALUE"""),"#REF!")</f>
        <v>#REF!</v>
      </c>
      <c r="CX225" s="96" t="str">
        <f>IFERROR(__xludf.DUMMYFUNCTION("""COMPUTED_VALUE"""),"#REF!")</f>
        <v>#REF!</v>
      </c>
      <c r="CY225" s="97" t="str">
        <f>IFERROR(__xludf.DUMMYFUNCTION("""COMPUTED_VALUE"""),"#REF!")</f>
        <v>#REF!</v>
      </c>
      <c r="CZ225" s="95" t="str">
        <f>IFERROR(__xludf.DUMMYFUNCTION("""COMPUTED_VALUE"""),"#REF!")</f>
        <v>#REF!</v>
      </c>
      <c r="DA225" s="96" t="str">
        <f>IFERROR(__xludf.DUMMYFUNCTION("""COMPUTED_VALUE"""),"#REF!")</f>
        <v>#REF!</v>
      </c>
      <c r="DB225" s="97" t="str">
        <f>IFERROR(__xludf.DUMMYFUNCTION("""COMPUTED_VALUE"""),"#REF!")</f>
        <v>#REF!</v>
      </c>
      <c r="DC225" s="95" t="str">
        <f>IFERROR(__xludf.DUMMYFUNCTION("""COMPUTED_VALUE"""),"#REF!")</f>
        <v>#REF!</v>
      </c>
      <c r="DD225" s="96" t="str">
        <f>IFERROR(__xludf.DUMMYFUNCTION("""COMPUTED_VALUE"""),"#REF!")</f>
        <v>#REF!</v>
      </c>
      <c r="DE225" s="97" t="str">
        <f>IFERROR(__xludf.DUMMYFUNCTION("""COMPUTED_VALUE"""),"#REF!")</f>
        <v>#REF!</v>
      </c>
      <c r="DF225" s="95" t="str">
        <f>IFERROR(__xludf.DUMMYFUNCTION("""COMPUTED_VALUE"""),"#REF!")</f>
        <v>#REF!</v>
      </c>
      <c r="DG225" s="96" t="str">
        <f>IFERROR(__xludf.DUMMYFUNCTION("""COMPUTED_VALUE"""),"#REF!")</f>
        <v>#REF!</v>
      </c>
      <c r="DH225" s="97" t="str">
        <f>IFERROR(__xludf.DUMMYFUNCTION("""COMPUTED_VALUE"""),"#REF!")</f>
        <v>#REF!</v>
      </c>
      <c r="DI225" s="95" t="str">
        <f>IFERROR(__xludf.DUMMYFUNCTION("""COMPUTED_VALUE"""),"#REF!")</f>
        <v>#REF!</v>
      </c>
      <c r="DJ225" s="96" t="str">
        <f>IFERROR(__xludf.DUMMYFUNCTION("""COMPUTED_VALUE"""),"#REF!")</f>
        <v>#REF!</v>
      </c>
      <c r="DK225" s="97" t="str">
        <f>IFERROR(__xludf.DUMMYFUNCTION("""COMPUTED_VALUE"""),"#REF!")</f>
        <v>#REF!</v>
      </c>
      <c r="DL225" s="95" t="str">
        <f>IFERROR(__xludf.DUMMYFUNCTION("""COMPUTED_VALUE"""),"#REF!")</f>
        <v>#REF!</v>
      </c>
      <c r="DM225" s="96" t="str">
        <f>IFERROR(__xludf.DUMMYFUNCTION("""COMPUTED_VALUE"""),"#REF!")</f>
        <v>#REF!</v>
      </c>
      <c r="DN225" s="97" t="str">
        <f>IFERROR(__xludf.DUMMYFUNCTION("""COMPUTED_VALUE"""),"#REF!")</f>
        <v>#REF!</v>
      </c>
      <c r="DO225" s="95" t="str">
        <f>IFERROR(__xludf.DUMMYFUNCTION("""COMPUTED_VALUE"""),"#REF!")</f>
        <v>#REF!</v>
      </c>
      <c r="DP225" s="96" t="str">
        <f>IFERROR(__xludf.DUMMYFUNCTION("""COMPUTED_VALUE"""),"#REF!")</f>
        <v>#REF!</v>
      </c>
      <c r="DQ225" s="97"/>
      <c r="DR225" s="95"/>
    </row>
    <row r="226">
      <c r="B226" s="180" t="str">
        <f>IFERROR(__xludf.DUMMYFUNCTION("""COMPUTED_VALUE"""),"YKS8")</f>
        <v>YKS8</v>
      </c>
      <c r="C226">
        <f>IFERROR(__xludf.DUMMYFUNCTION("""COMPUTED_VALUE"""),223.0)</f>
        <v>223</v>
      </c>
      <c r="D226" s="88" t="str">
        <f>IFERROR(__xludf.DUMMYFUNCTION("""COMPUTED_VALUE"""),"Southern Town")</f>
        <v>Southern Town</v>
      </c>
      <c r="E226" s="82" t="str">
        <f>IFERROR(__xludf.DUMMYFUNCTION("""COMPUTED_VALUE"""),"南の町")</f>
        <v>南の町</v>
      </c>
      <c r="F226" s="102">
        <f>IFERROR(__xludf.DUMMYFUNCTION("""COMPUTED_VALUE"""),21.0)</f>
        <v>21</v>
      </c>
      <c r="G226" s="82">
        <f>IFERROR(__xludf.DUMMYFUNCTION("""COMPUTED_VALUE"""),10032.0)</f>
        <v>10032</v>
      </c>
      <c r="H226" s="231" t="str">
        <f>IFERROR(__xludf.DUMMYFUNCTION("""COMPUTED_VALUE"""),"")</f>
        <v/>
      </c>
      <c r="I226" s="232" t="str">
        <f>IFERROR(__xludf.DUMMYFUNCTION("""COMPUTED_VALUE"""),"")</f>
        <v/>
      </c>
      <c r="J226" s="233" t="str">
        <f>IFERROR(__xludf.DUMMYFUNCTION("""COMPUTED_VALUE"""),"")</f>
        <v/>
      </c>
      <c r="K226" s="231" t="str">
        <f>IFERROR(__xludf.DUMMYFUNCTION("""COMPUTED_VALUE"""),"")</f>
        <v/>
      </c>
      <c r="L226" s="232" t="str">
        <f>IFERROR(__xludf.DUMMYFUNCTION("""COMPUTED_VALUE"""),"")</f>
        <v/>
      </c>
      <c r="M226" s="233" t="str">
        <f>IFERROR(__xludf.DUMMYFUNCTION("""COMPUTED_VALUE"""),"")</f>
        <v/>
      </c>
      <c r="N226" s="231" t="str">
        <f>IFERROR(__xludf.DUMMYFUNCTION("""COMPUTED_VALUE"""),"")</f>
        <v/>
      </c>
      <c r="O226" s="232" t="str">
        <f>IFERROR(__xludf.DUMMYFUNCTION("""COMPUTED_VALUE"""),"")</f>
        <v/>
      </c>
      <c r="P226" s="233" t="str">
        <f>IFERROR(__xludf.DUMMYFUNCTION("""COMPUTED_VALUE"""),"")</f>
        <v/>
      </c>
      <c r="Q226" s="231" t="str">
        <f>IFERROR(__xludf.DUMMYFUNCTION("""COMPUTED_VALUE"""),"")</f>
        <v/>
      </c>
      <c r="R226" s="232" t="str">
        <f>IFERROR(__xludf.DUMMYFUNCTION("""COMPUTED_VALUE"""),"")</f>
        <v/>
      </c>
      <c r="S226" s="233" t="str">
        <f>IFERROR(__xludf.DUMMYFUNCTION("""COMPUTED_VALUE"""),"")</f>
        <v/>
      </c>
      <c r="T226" s="231" t="str">
        <f>IFERROR(__xludf.DUMMYFUNCTION("""COMPUTED_VALUE"""),"")</f>
        <v/>
      </c>
      <c r="U226" s="232" t="str">
        <f>IFERROR(__xludf.DUMMYFUNCTION("""COMPUTED_VALUE"""),"")</f>
        <v/>
      </c>
      <c r="V226" s="233" t="str">
        <f>IFERROR(__xludf.DUMMYFUNCTION("""COMPUTED_VALUE"""),"")</f>
        <v/>
      </c>
      <c r="W226" s="231" t="str">
        <f>IFERROR(__xludf.DUMMYFUNCTION("""COMPUTED_VALUE"""),"")</f>
        <v/>
      </c>
      <c r="X226" s="232" t="str">
        <f>IFERROR(__xludf.DUMMYFUNCTION("""COMPUTED_VALUE"""),"")</f>
        <v/>
      </c>
      <c r="Y226" s="233" t="str">
        <f>IFERROR(__xludf.DUMMYFUNCTION("""COMPUTED_VALUE"""),"")</f>
        <v/>
      </c>
      <c r="Z226" s="231" t="str">
        <f>IFERROR(__xludf.DUMMYFUNCTION("""COMPUTED_VALUE"""),"")</f>
        <v/>
      </c>
      <c r="AA226" s="232" t="str">
        <f>IFERROR(__xludf.DUMMYFUNCTION("""COMPUTED_VALUE"""),"")</f>
        <v/>
      </c>
      <c r="AB226" s="233" t="str">
        <f>IFERROR(__xludf.DUMMYFUNCTION("""COMPUTED_VALUE"""),"")</f>
        <v/>
      </c>
      <c r="AC226" s="231" t="str">
        <f>IFERROR(__xludf.DUMMYFUNCTION("""COMPUTED_VALUE"""),"")</f>
        <v/>
      </c>
      <c r="AD226" s="232" t="str">
        <f>IFERROR(__xludf.DUMMYFUNCTION("""COMPUTED_VALUE"""),"")</f>
        <v/>
      </c>
      <c r="AE226" s="233" t="str">
        <f>IFERROR(__xludf.DUMMYFUNCTION("""COMPUTED_VALUE"""),"")</f>
        <v/>
      </c>
      <c r="AF226" s="231" t="str">
        <f>IFERROR(__xludf.DUMMYFUNCTION("""COMPUTED_VALUE"""),"")</f>
        <v/>
      </c>
      <c r="AG226" s="232" t="str">
        <f>IFERROR(__xludf.DUMMYFUNCTION("""COMPUTED_VALUE"""),"")</f>
        <v/>
      </c>
      <c r="AH226" s="233" t="str">
        <f>IFERROR(__xludf.DUMMYFUNCTION("""COMPUTED_VALUE"""),"")</f>
        <v/>
      </c>
      <c r="AI226" s="231" t="str">
        <f>IFERROR(__xludf.DUMMYFUNCTION("""COMPUTED_VALUE"""),"")</f>
        <v/>
      </c>
      <c r="AJ226" s="232" t="str">
        <f>IFERROR(__xludf.DUMMYFUNCTION("""COMPUTED_VALUE"""),"")</f>
        <v/>
      </c>
      <c r="AK226" s="233" t="str">
        <f>IFERROR(__xludf.DUMMYFUNCTION("""COMPUTED_VALUE"""),"")</f>
        <v/>
      </c>
      <c r="AL226" s="231" t="str">
        <f>IFERROR(__xludf.DUMMYFUNCTION("""COMPUTED_VALUE"""),"")</f>
        <v/>
      </c>
      <c r="AM226" s="232" t="str">
        <f>IFERROR(__xludf.DUMMYFUNCTION("""COMPUTED_VALUE"""),"")</f>
        <v/>
      </c>
      <c r="AN226" s="233" t="str">
        <f>IFERROR(__xludf.DUMMYFUNCTION("""COMPUTED_VALUE"""),"")</f>
        <v/>
      </c>
      <c r="AO226" s="231" t="str">
        <f>IFERROR(__xludf.DUMMYFUNCTION("""COMPUTED_VALUE"""),"")</f>
        <v/>
      </c>
      <c r="AP226" s="232">
        <f>IFERROR(__xludf.DUMMYFUNCTION("""COMPUTED_VALUE"""),18.5)</f>
        <v>18.5</v>
      </c>
      <c r="AQ226" s="233" t="str">
        <f>IFERROR(__xludf.DUMMYFUNCTION("""COMPUTED_VALUE"""),"")</f>
        <v/>
      </c>
      <c r="AR226" s="231" t="str">
        <f>IFERROR(__xludf.DUMMYFUNCTION("""COMPUTED_VALUE"""),"")</f>
        <v/>
      </c>
      <c r="AS226" s="232" t="str">
        <f>IFERROR(__xludf.DUMMYFUNCTION("""COMPUTED_VALUE"""),"")</f>
        <v/>
      </c>
      <c r="AT226" s="233" t="str">
        <f>IFERROR(__xludf.DUMMYFUNCTION("""COMPUTED_VALUE"""),"")</f>
        <v/>
      </c>
      <c r="AU226" s="231" t="str">
        <f>IFERROR(__xludf.DUMMYFUNCTION("""COMPUTED_VALUE"""),"")</f>
        <v/>
      </c>
      <c r="AV226" s="232" t="str">
        <f>IFERROR(__xludf.DUMMYFUNCTION("""COMPUTED_VALUE"""),"")</f>
        <v/>
      </c>
      <c r="AW226" s="233">
        <f>IFERROR(__xludf.DUMMYFUNCTION("""COMPUTED_VALUE"""),29.0)</f>
        <v>29</v>
      </c>
      <c r="AX226" s="231">
        <f>IFERROR(__xludf.DUMMYFUNCTION("""COMPUTED_VALUE"""),24.9)</f>
        <v>24.9</v>
      </c>
      <c r="AY226" s="232" t="str">
        <f>IFERROR(__xludf.DUMMYFUNCTION("""COMPUTED_VALUE"""),"")</f>
        <v/>
      </c>
      <c r="AZ226" s="233" t="str">
        <f>IFERROR(__xludf.DUMMYFUNCTION("""COMPUTED_VALUE"""),"")</f>
        <v/>
      </c>
      <c r="BA226" s="231" t="str">
        <f>IFERROR(__xludf.DUMMYFUNCTION("""COMPUTED_VALUE"""),"")</f>
        <v/>
      </c>
      <c r="BB226" s="232" t="str">
        <f>IFERROR(__xludf.DUMMYFUNCTION("""COMPUTED_VALUE"""),"")</f>
        <v/>
      </c>
      <c r="BC226" s="233" t="str">
        <f>IFERROR(__xludf.DUMMYFUNCTION("""COMPUTED_VALUE"""),"")</f>
        <v/>
      </c>
      <c r="BD226" s="231" t="str">
        <f>IFERROR(__xludf.DUMMYFUNCTION("""COMPUTED_VALUE"""),"")</f>
        <v/>
      </c>
      <c r="BE226" s="232" t="str">
        <f>IFERROR(__xludf.DUMMYFUNCTION("""COMPUTED_VALUE"""),"")</f>
        <v/>
      </c>
      <c r="BF226" s="233" t="str">
        <f>IFERROR(__xludf.DUMMYFUNCTION("""COMPUTED_VALUE"""),"")</f>
        <v/>
      </c>
      <c r="BG226" s="231" t="str">
        <f>IFERROR(__xludf.DUMMYFUNCTION("""COMPUTED_VALUE"""),"")</f>
        <v/>
      </c>
      <c r="BH226" s="232" t="str">
        <f>IFERROR(__xludf.DUMMYFUNCTION("""COMPUTED_VALUE"""),"")</f>
        <v/>
      </c>
      <c r="BI226" s="233" t="str">
        <f>IFERROR(__xludf.DUMMYFUNCTION("""COMPUTED_VALUE"""),"")</f>
        <v/>
      </c>
      <c r="BJ226" s="231" t="str">
        <f>IFERROR(__xludf.DUMMYFUNCTION("""COMPUTED_VALUE"""),"")</f>
        <v/>
      </c>
      <c r="BK226" s="232" t="str">
        <f>IFERROR(__xludf.DUMMYFUNCTION("""COMPUTED_VALUE"""),"")</f>
        <v/>
      </c>
      <c r="BL226" s="233" t="str">
        <f>IFERROR(__xludf.DUMMYFUNCTION("""COMPUTED_VALUE"""),"")</f>
        <v/>
      </c>
      <c r="BM226" s="231" t="str">
        <f>IFERROR(__xludf.DUMMYFUNCTION("""COMPUTED_VALUE"""),"")</f>
        <v/>
      </c>
      <c r="BN226" s="232" t="str">
        <f>IFERROR(__xludf.DUMMYFUNCTION("""COMPUTED_VALUE"""),"")</f>
        <v/>
      </c>
      <c r="BO226" s="233" t="str">
        <f>IFERROR(__xludf.DUMMYFUNCTION("""COMPUTED_VALUE"""),"")</f>
        <v/>
      </c>
      <c r="BP226" s="231">
        <f>IFERROR(__xludf.DUMMYFUNCTION("""COMPUTED_VALUE"""),11.1)</f>
        <v>11.1</v>
      </c>
      <c r="BQ226" s="232" t="str">
        <f>IFERROR(__xludf.DUMMYFUNCTION("""COMPUTED_VALUE"""),"")</f>
        <v/>
      </c>
      <c r="BR226" s="233" t="str">
        <f>IFERROR(__xludf.DUMMYFUNCTION("""COMPUTED_VALUE"""),"")</f>
        <v/>
      </c>
      <c r="BS226" s="231" t="str">
        <f>IFERROR(__xludf.DUMMYFUNCTION("""COMPUTED_VALUE"""),"")</f>
        <v/>
      </c>
      <c r="BT226" s="232" t="str">
        <f>IFERROR(__xludf.DUMMYFUNCTION("""COMPUTED_VALUE"""),"")</f>
        <v/>
      </c>
      <c r="BU226" s="233" t="str">
        <f>IFERROR(__xludf.DUMMYFUNCTION("""COMPUTED_VALUE"""),"")</f>
        <v/>
      </c>
      <c r="BV226" s="231" t="str">
        <f>IFERROR(__xludf.DUMMYFUNCTION("""COMPUTED_VALUE"""),"")</f>
        <v/>
      </c>
      <c r="BW226" s="232">
        <f>IFERROR(__xludf.DUMMYFUNCTION("""COMPUTED_VALUE"""),31.1)</f>
        <v>31.1</v>
      </c>
      <c r="BX226" s="233" t="str">
        <f>IFERROR(__xludf.DUMMYFUNCTION("""COMPUTED_VALUE"""),"")</f>
        <v/>
      </c>
      <c r="BY226" s="231" t="str">
        <f>IFERROR(__xludf.DUMMYFUNCTION("""COMPUTED_VALUE"""),"")</f>
        <v/>
      </c>
      <c r="BZ226" s="232" t="str">
        <f>IFERROR(__xludf.DUMMYFUNCTION("""COMPUTED_VALUE"""),"")</f>
        <v/>
      </c>
      <c r="CA226" s="233" t="str">
        <f>IFERROR(__xludf.DUMMYFUNCTION("""COMPUTED_VALUE"""),"")</f>
        <v/>
      </c>
      <c r="CB226" s="231" t="str">
        <f>IFERROR(__xludf.DUMMYFUNCTION("""COMPUTED_VALUE"""),"")</f>
        <v/>
      </c>
      <c r="CC226" s="232" t="str">
        <f>IFERROR(__xludf.DUMMYFUNCTION("""COMPUTED_VALUE"""),"")</f>
        <v/>
      </c>
      <c r="CD226" s="233" t="str">
        <f>IFERROR(__xludf.DUMMYFUNCTION("""COMPUTED_VALUE"""),"")</f>
        <v/>
      </c>
      <c r="CE226" s="234" t="str">
        <f>IFERROR(__xludf.DUMMYFUNCTION("""COMPUTED_VALUE"""),"")</f>
        <v/>
      </c>
      <c r="CF226" s="230" t="str">
        <f>IFERROR(__xludf.DUMMYFUNCTION("""COMPUTED_VALUE"""),"")</f>
        <v/>
      </c>
      <c r="CG226" s="235" t="str">
        <f>IFERROR(__xludf.DUMMYFUNCTION("""COMPUTED_VALUE"""),"")</f>
        <v/>
      </c>
      <c r="CH226" s="234" t="str">
        <f>IFERROR(__xludf.DUMMYFUNCTION("""COMPUTED_VALUE"""),"")</f>
        <v/>
      </c>
      <c r="CI226" s="230" t="str">
        <f>IFERROR(__xludf.DUMMYFUNCTION("""COMPUTED_VALUE"""),"")</f>
        <v/>
      </c>
      <c r="CJ226" s="235" t="str">
        <f>IFERROR(__xludf.DUMMYFUNCTION("""COMPUTED_VALUE"""),"")</f>
        <v/>
      </c>
      <c r="CK226" s="95" t="str">
        <f>IFERROR(__xludf.DUMMYFUNCTION("""COMPUTED_VALUE"""),"")</f>
        <v/>
      </c>
      <c r="CL226" s="96" t="str">
        <f>IFERROR(__xludf.DUMMYFUNCTION("""COMPUTED_VALUE"""),"")</f>
        <v/>
      </c>
      <c r="CM226" s="97" t="str">
        <f>IFERROR(__xludf.DUMMYFUNCTION("""COMPUTED_VALUE"""),"")</f>
        <v/>
      </c>
      <c r="CN226" s="95" t="str">
        <f>IFERROR(__xludf.DUMMYFUNCTION("""COMPUTED_VALUE"""),"")</f>
        <v/>
      </c>
      <c r="CO226" s="96" t="str">
        <f>IFERROR(__xludf.DUMMYFUNCTION("""COMPUTED_VALUE"""),"")</f>
        <v/>
      </c>
      <c r="CP226" s="97" t="str">
        <f>IFERROR(__xludf.DUMMYFUNCTION("""COMPUTED_VALUE"""),"")</f>
        <v/>
      </c>
      <c r="CQ226" s="95" t="str">
        <f>IFERROR(__xludf.DUMMYFUNCTION("""COMPUTED_VALUE"""),"")</f>
        <v/>
      </c>
      <c r="CR226" s="96" t="str">
        <f>IFERROR(__xludf.DUMMYFUNCTION("""COMPUTED_VALUE"""),"")</f>
        <v/>
      </c>
      <c r="CS226" s="97" t="str">
        <f>IFERROR(__xludf.DUMMYFUNCTION("""COMPUTED_VALUE"""),"#REF!")</f>
        <v>#REF!</v>
      </c>
      <c r="CT226" s="95" t="str">
        <f>IFERROR(__xludf.DUMMYFUNCTION("""COMPUTED_VALUE"""),"#REF!")</f>
        <v>#REF!</v>
      </c>
      <c r="CU226" s="96" t="str">
        <f>IFERROR(__xludf.DUMMYFUNCTION("""COMPUTED_VALUE"""),"#REF!")</f>
        <v>#REF!</v>
      </c>
      <c r="CV226" s="97" t="str">
        <f>IFERROR(__xludf.DUMMYFUNCTION("""COMPUTED_VALUE"""),"#REF!")</f>
        <v>#REF!</v>
      </c>
      <c r="CW226" s="95" t="str">
        <f>IFERROR(__xludf.DUMMYFUNCTION("""COMPUTED_VALUE"""),"#REF!")</f>
        <v>#REF!</v>
      </c>
      <c r="CX226" s="96" t="str">
        <f>IFERROR(__xludf.DUMMYFUNCTION("""COMPUTED_VALUE"""),"#REF!")</f>
        <v>#REF!</v>
      </c>
      <c r="CY226" s="97" t="str">
        <f>IFERROR(__xludf.DUMMYFUNCTION("""COMPUTED_VALUE"""),"#REF!")</f>
        <v>#REF!</v>
      </c>
      <c r="CZ226" s="95" t="str">
        <f>IFERROR(__xludf.DUMMYFUNCTION("""COMPUTED_VALUE"""),"#REF!")</f>
        <v>#REF!</v>
      </c>
      <c r="DA226" s="96" t="str">
        <f>IFERROR(__xludf.DUMMYFUNCTION("""COMPUTED_VALUE"""),"#REF!")</f>
        <v>#REF!</v>
      </c>
      <c r="DB226" s="97" t="str">
        <f>IFERROR(__xludf.DUMMYFUNCTION("""COMPUTED_VALUE"""),"#REF!")</f>
        <v>#REF!</v>
      </c>
      <c r="DC226" s="95" t="str">
        <f>IFERROR(__xludf.DUMMYFUNCTION("""COMPUTED_VALUE"""),"#REF!")</f>
        <v>#REF!</v>
      </c>
      <c r="DD226" s="96" t="str">
        <f>IFERROR(__xludf.DUMMYFUNCTION("""COMPUTED_VALUE"""),"#REF!")</f>
        <v>#REF!</v>
      </c>
      <c r="DE226" s="97" t="str">
        <f>IFERROR(__xludf.DUMMYFUNCTION("""COMPUTED_VALUE"""),"#REF!")</f>
        <v>#REF!</v>
      </c>
      <c r="DF226" s="95" t="str">
        <f>IFERROR(__xludf.DUMMYFUNCTION("""COMPUTED_VALUE"""),"#REF!")</f>
        <v>#REF!</v>
      </c>
      <c r="DG226" s="96" t="str">
        <f>IFERROR(__xludf.DUMMYFUNCTION("""COMPUTED_VALUE"""),"#REF!")</f>
        <v>#REF!</v>
      </c>
      <c r="DH226" s="97" t="str">
        <f>IFERROR(__xludf.DUMMYFUNCTION("""COMPUTED_VALUE"""),"#REF!")</f>
        <v>#REF!</v>
      </c>
      <c r="DI226" s="95" t="str">
        <f>IFERROR(__xludf.DUMMYFUNCTION("""COMPUTED_VALUE"""),"#REF!")</f>
        <v>#REF!</v>
      </c>
      <c r="DJ226" s="96" t="str">
        <f>IFERROR(__xludf.DUMMYFUNCTION("""COMPUTED_VALUE"""),"#REF!")</f>
        <v>#REF!</v>
      </c>
      <c r="DK226" s="97" t="str">
        <f>IFERROR(__xludf.DUMMYFUNCTION("""COMPUTED_VALUE"""),"#REF!")</f>
        <v>#REF!</v>
      </c>
      <c r="DL226" s="95" t="str">
        <f>IFERROR(__xludf.DUMMYFUNCTION("""COMPUTED_VALUE"""),"#REF!")</f>
        <v>#REF!</v>
      </c>
      <c r="DM226" s="96" t="str">
        <f>IFERROR(__xludf.DUMMYFUNCTION("""COMPUTED_VALUE"""),"#REF!")</f>
        <v>#REF!</v>
      </c>
      <c r="DN226" s="97" t="str">
        <f>IFERROR(__xludf.DUMMYFUNCTION("""COMPUTED_VALUE"""),"#REF!")</f>
        <v>#REF!</v>
      </c>
      <c r="DO226" s="95" t="str">
        <f>IFERROR(__xludf.DUMMYFUNCTION("""COMPUTED_VALUE"""),"#REF!")</f>
        <v>#REF!</v>
      </c>
      <c r="DP226" s="96" t="str">
        <f>IFERROR(__xludf.DUMMYFUNCTION("""COMPUTED_VALUE"""),"#REF!")</f>
        <v>#REF!</v>
      </c>
      <c r="DQ226" s="97"/>
      <c r="DR226" s="95"/>
    </row>
    <row r="227">
      <c r="B227" s="180" t="str">
        <f>IFERROR(__xludf.DUMMYFUNCTION("""COMPUTED_VALUE"""),"YKS9")</f>
        <v>YKS9</v>
      </c>
      <c r="C227">
        <f>IFERROR(__xludf.DUMMYFUNCTION("""COMPUTED_VALUE"""),224.0)</f>
        <v>224</v>
      </c>
      <c r="D227" s="88" t="str">
        <f>IFERROR(__xludf.DUMMYFUNCTION("""COMPUTED_VALUE"""),"Eternal Grounds")</f>
        <v>Eternal Grounds</v>
      </c>
      <c r="E227" s="82" t="str">
        <f>IFERROR(__xludf.DUMMYFUNCTION("""COMPUTED_VALUE"""),"無窮の地")</f>
        <v>無窮の地</v>
      </c>
      <c r="F227" s="102">
        <f>IFERROR(__xludf.DUMMYFUNCTION("""COMPUTED_VALUE"""),21.0)</f>
        <v>21</v>
      </c>
      <c r="G227" s="82">
        <f>IFERROR(__xludf.DUMMYFUNCTION("""COMPUTED_VALUE"""),22314.0)</f>
        <v>22314</v>
      </c>
      <c r="H227" s="231" t="str">
        <f>IFERROR(__xludf.DUMMYFUNCTION("""COMPUTED_VALUE"""),"")</f>
        <v/>
      </c>
      <c r="I227" s="232" t="str">
        <f>IFERROR(__xludf.DUMMYFUNCTION("""COMPUTED_VALUE"""),"")</f>
        <v/>
      </c>
      <c r="J227" s="233" t="str">
        <f>IFERROR(__xludf.DUMMYFUNCTION("""COMPUTED_VALUE"""),"")</f>
        <v/>
      </c>
      <c r="K227" s="231" t="str">
        <f>IFERROR(__xludf.DUMMYFUNCTION("""COMPUTED_VALUE"""),"")</f>
        <v/>
      </c>
      <c r="L227" s="232" t="str">
        <f>IFERROR(__xludf.DUMMYFUNCTION("""COMPUTED_VALUE"""),"")</f>
        <v/>
      </c>
      <c r="M227" s="233" t="str">
        <f>IFERROR(__xludf.DUMMYFUNCTION("""COMPUTED_VALUE"""),"")</f>
        <v/>
      </c>
      <c r="N227" s="231" t="str">
        <f>IFERROR(__xludf.DUMMYFUNCTION("""COMPUTED_VALUE"""),"")</f>
        <v/>
      </c>
      <c r="O227" s="232" t="str">
        <f>IFERROR(__xludf.DUMMYFUNCTION("""COMPUTED_VALUE"""),"")</f>
        <v/>
      </c>
      <c r="P227" s="233" t="str">
        <f>IFERROR(__xludf.DUMMYFUNCTION("""COMPUTED_VALUE"""),"")</f>
        <v/>
      </c>
      <c r="Q227" s="231" t="str">
        <f>IFERROR(__xludf.DUMMYFUNCTION("""COMPUTED_VALUE"""),"")</f>
        <v/>
      </c>
      <c r="R227" s="232" t="str">
        <f>IFERROR(__xludf.DUMMYFUNCTION("""COMPUTED_VALUE"""),"")</f>
        <v/>
      </c>
      <c r="S227" s="233" t="str">
        <f>IFERROR(__xludf.DUMMYFUNCTION("""COMPUTED_VALUE"""),"")</f>
        <v/>
      </c>
      <c r="T227" s="231" t="str">
        <f>IFERROR(__xludf.DUMMYFUNCTION("""COMPUTED_VALUE"""),"")</f>
        <v/>
      </c>
      <c r="U227" s="232" t="str">
        <f>IFERROR(__xludf.DUMMYFUNCTION("""COMPUTED_VALUE"""),"")</f>
        <v/>
      </c>
      <c r="V227" s="233">
        <f>IFERROR(__xludf.DUMMYFUNCTION("""COMPUTED_VALUE"""),10.4)</f>
        <v>10.4</v>
      </c>
      <c r="W227" s="231" t="str">
        <f>IFERROR(__xludf.DUMMYFUNCTION("""COMPUTED_VALUE"""),"")</f>
        <v/>
      </c>
      <c r="X227" s="232" t="str">
        <f>IFERROR(__xludf.DUMMYFUNCTION("""COMPUTED_VALUE"""),"")</f>
        <v/>
      </c>
      <c r="Y227" s="233" t="str">
        <f>IFERROR(__xludf.DUMMYFUNCTION("""COMPUTED_VALUE"""),"")</f>
        <v/>
      </c>
      <c r="Z227" s="231" t="str">
        <f>IFERROR(__xludf.DUMMYFUNCTION("""COMPUTED_VALUE"""),"")</f>
        <v/>
      </c>
      <c r="AA227" s="232" t="str">
        <f>IFERROR(__xludf.DUMMYFUNCTION("""COMPUTED_VALUE"""),"")</f>
        <v/>
      </c>
      <c r="AB227" s="233" t="str">
        <f>IFERROR(__xludf.DUMMYFUNCTION("""COMPUTED_VALUE"""),"")</f>
        <v/>
      </c>
      <c r="AC227" s="231" t="str">
        <f>IFERROR(__xludf.DUMMYFUNCTION("""COMPUTED_VALUE"""),"")</f>
        <v/>
      </c>
      <c r="AD227" s="232">
        <f>IFERROR(__xludf.DUMMYFUNCTION("""COMPUTED_VALUE"""),15.4)</f>
        <v>15.4</v>
      </c>
      <c r="AE227" s="233" t="str">
        <f>IFERROR(__xludf.DUMMYFUNCTION("""COMPUTED_VALUE"""),"")</f>
        <v/>
      </c>
      <c r="AF227" s="231" t="str">
        <f>IFERROR(__xludf.DUMMYFUNCTION("""COMPUTED_VALUE"""),"")</f>
        <v/>
      </c>
      <c r="AG227" s="232" t="str">
        <f>IFERROR(__xludf.DUMMYFUNCTION("""COMPUTED_VALUE"""),"")</f>
        <v/>
      </c>
      <c r="AH227" s="233" t="str">
        <f>IFERROR(__xludf.DUMMYFUNCTION("""COMPUTED_VALUE"""),"")</f>
        <v/>
      </c>
      <c r="AI227" s="231" t="str">
        <f>IFERROR(__xludf.DUMMYFUNCTION("""COMPUTED_VALUE"""),"")</f>
        <v/>
      </c>
      <c r="AJ227" s="232" t="str">
        <f>IFERROR(__xludf.DUMMYFUNCTION("""COMPUTED_VALUE"""),"")</f>
        <v/>
      </c>
      <c r="AK227" s="233" t="str">
        <f>IFERROR(__xludf.DUMMYFUNCTION("""COMPUTED_VALUE"""),"")</f>
        <v/>
      </c>
      <c r="AL227" s="231" t="str">
        <f>IFERROR(__xludf.DUMMYFUNCTION("""COMPUTED_VALUE"""),"")</f>
        <v/>
      </c>
      <c r="AM227" s="232" t="str">
        <f>IFERROR(__xludf.DUMMYFUNCTION("""COMPUTED_VALUE"""),"")</f>
        <v/>
      </c>
      <c r="AN227" s="233" t="str">
        <f>IFERROR(__xludf.DUMMYFUNCTION("""COMPUTED_VALUE"""),"")</f>
        <v/>
      </c>
      <c r="AO227" s="231" t="str">
        <f>IFERROR(__xludf.DUMMYFUNCTION("""COMPUTED_VALUE"""),"")</f>
        <v/>
      </c>
      <c r="AP227" s="232" t="str">
        <f>IFERROR(__xludf.DUMMYFUNCTION("""COMPUTED_VALUE"""),"")</f>
        <v/>
      </c>
      <c r="AQ227" s="233" t="str">
        <f>IFERROR(__xludf.DUMMYFUNCTION("""COMPUTED_VALUE"""),"")</f>
        <v/>
      </c>
      <c r="AR227" s="231" t="str">
        <f>IFERROR(__xludf.DUMMYFUNCTION("""COMPUTED_VALUE"""),"")</f>
        <v/>
      </c>
      <c r="AS227" s="232" t="str">
        <f>IFERROR(__xludf.DUMMYFUNCTION("""COMPUTED_VALUE"""),"")</f>
        <v/>
      </c>
      <c r="AT227" s="233" t="str">
        <f>IFERROR(__xludf.DUMMYFUNCTION("""COMPUTED_VALUE"""),"")</f>
        <v/>
      </c>
      <c r="AU227" s="231" t="str">
        <f>IFERROR(__xludf.DUMMYFUNCTION("""COMPUTED_VALUE"""),"")</f>
        <v/>
      </c>
      <c r="AV227" s="232" t="str">
        <f>IFERROR(__xludf.DUMMYFUNCTION("""COMPUTED_VALUE"""),"")</f>
        <v/>
      </c>
      <c r="AW227" s="233">
        <f>IFERROR(__xludf.DUMMYFUNCTION("""COMPUTED_VALUE"""),29.8)</f>
        <v>29.8</v>
      </c>
      <c r="AX227" s="231" t="str">
        <f>IFERROR(__xludf.DUMMYFUNCTION("""COMPUTED_VALUE"""),"")</f>
        <v/>
      </c>
      <c r="AY227" s="232" t="str">
        <f>IFERROR(__xludf.DUMMYFUNCTION("""COMPUTED_VALUE"""),"")</f>
        <v/>
      </c>
      <c r="AZ227" s="233" t="str">
        <f>IFERROR(__xludf.DUMMYFUNCTION("""COMPUTED_VALUE"""),"")</f>
        <v/>
      </c>
      <c r="BA227" s="231" t="str">
        <f>IFERROR(__xludf.DUMMYFUNCTION("""COMPUTED_VALUE"""),"")</f>
        <v/>
      </c>
      <c r="BB227" s="232" t="str">
        <f>IFERROR(__xludf.DUMMYFUNCTION("""COMPUTED_VALUE"""),"")</f>
        <v/>
      </c>
      <c r="BC227" s="233" t="str">
        <f>IFERROR(__xludf.DUMMYFUNCTION("""COMPUTED_VALUE"""),"")</f>
        <v/>
      </c>
      <c r="BD227" s="231" t="str">
        <f>IFERROR(__xludf.DUMMYFUNCTION("""COMPUTED_VALUE"""),"")</f>
        <v/>
      </c>
      <c r="BE227" s="232">
        <f>IFERROR(__xludf.DUMMYFUNCTION("""COMPUTED_VALUE"""),4.3)</f>
        <v>4.3</v>
      </c>
      <c r="BF227" s="233" t="str">
        <f>IFERROR(__xludf.DUMMYFUNCTION("""COMPUTED_VALUE"""),"")</f>
        <v/>
      </c>
      <c r="BG227" s="231" t="str">
        <f>IFERROR(__xludf.DUMMYFUNCTION("""COMPUTED_VALUE"""),"")</f>
        <v/>
      </c>
      <c r="BH227" s="232" t="str">
        <f>IFERROR(__xludf.DUMMYFUNCTION("""COMPUTED_VALUE"""),"")</f>
        <v/>
      </c>
      <c r="BI227" s="233" t="str">
        <f>IFERROR(__xludf.DUMMYFUNCTION("""COMPUTED_VALUE"""),"")</f>
        <v/>
      </c>
      <c r="BJ227" s="231" t="str">
        <f>IFERROR(__xludf.DUMMYFUNCTION("""COMPUTED_VALUE"""),"")</f>
        <v/>
      </c>
      <c r="BK227" s="232" t="str">
        <f>IFERROR(__xludf.DUMMYFUNCTION("""COMPUTED_VALUE"""),"")</f>
        <v/>
      </c>
      <c r="BL227" s="233" t="str">
        <f>IFERROR(__xludf.DUMMYFUNCTION("""COMPUTED_VALUE"""),"")</f>
        <v/>
      </c>
      <c r="BM227" s="231" t="str">
        <f>IFERROR(__xludf.DUMMYFUNCTION("""COMPUTED_VALUE"""),"")</f>
        <v/>
      </c>
      <c r="BN227" s="232">
        <f>IFERROR(__xludf.DUMMYFUNCTION("""COMPUTED_VALUE"""),14.8)</f>
        <v>14.8</v>
      </c>
      <c r="BO227" s="233" t="str">
        <f>IFERROR(__xludf.DUMMYFUNCTION("""COMPUTED_VALUE"""),"")</f>
        <v/>
      </c>
      <c r="BP227" s="231" t="str">
        <f>IFERROR(__xludf.DUMMYFUNCTION("""COMPUTED_VALUE"""),"")</f>
        <v/>
      </c>
      <c r="BQ227" s="232" t="str">
        <f>IFERROR(__xludf.DUMMYFUNCTION("""COMPUTED_VALUE"""),"")</f>
        <v/>
      </c>
      <c r="BR227" s="233" t="str">
        <f>IFERROR(__xludf.DUMMYFUNCTION("""COMPUTED_VALUE"""),"")</f>
        <v/>
      </c>
      <c r="BS227" s="231" t="str">
        <f>IFERROR(__xludf.DUMMYFUNCTION("""COMPUTED_VALUE"""),"")</f>
        <v/>
      </c>
      <c r="BT227" s="232" t="str">
        <f>IFERROR(__xludf.DUMMYFUNCTION("""COMPUTED_VALUE"""),"")</f>
        <v/>
      </c>
      <c r="BU227" s="233" t="str">
        <f>IFERROR(__xludf.DUMMYFUNCTION("""COMPUTED_VALUE"""),"")</f>
        <v/>
      </c>
      <c r="BV227" s="231" t="str">
        <f>IFERROR(__xludf.DUMMYFUNCTION("""COMPUTED_VALUE"""),"")</f>
        <v/>
      </c>
      <c r="BW227" s="232" t="str">
        <f>IFERROR(__xludf.DUMMYFUNCTION("""COMPUTED_VALUE"""),"")</f>
        <v/>
      </c>
      <c r="BX227" s="233" t="str">
        <f>IFERROR(__xludf.DUMMYFUNCTION("""COMPUTED_VALUE"""),"")</f>
        <v/>
      </c>
      <c r="BY227" s="231" t="str">
        <f>IFERROR(__xludf.DUMMYFUNCTION("""COMPUTED_VALUE"""),"")</f>
        <v/>
      </c>
      <c r="BZ227" s="232" t="str">
        <f>IFERROR(__xludf.DUMMYFUNCTION("""COMPUTED_VALUE"""),"")</f>
        <v/>
      </c>
      <c r="CA227" s="233" t="str">
        <f>IFERROR(__xludf.DUMMYFUNCTION("""COMPUTED_VALUE"""),"")</f>
        <v/>
      </c>
      <c r="CB227" s="231" t="str">
        <f>IFERROR(__xludf.DUMMYFUNCTION("""COMPUTED_VALUE"""),"")</f>
        <v/>
      </c>
      <c r="CC227" s="232" t="str">
        <f>IFERROR(__xludf.DUMMYFUNCTION("""COMPUTED_VALUE"""),"")</f>
        <v/>
      </c>
      <c r="CD227" s="233" t="str">
        <f>IFERROR(__xludf.DUMMYFUNCTION("""COMPUTED_VALUE"""),"")</f>
        <v/>
      </c>
      <c r="CE227" s="234" t="str">
        <f>IFERROR(__xludf.DUMMYFUNCTION("""COMPUTED_VALUE"""),"")</f>
        <v/>
      </c>
      <c r="CF227" s="230" t="str">
        <f>IFERROR(__xludf.DUMMYFUNCTION("""COMPUTED_VALUE"""),"")</f>
        <v/>
      </c>
      <c r="CG227" s="235" t="str">
        <f>IFERROR(__xludf.DUMMYFUNCTION("""COMPUTED_VALUE"""),"")</f>
        <v/>
      </c>
      <c r="CH227" s="234" t="str">
        <f>IFERROR(__xludf.DUMMYFUNCTION("""COMPUTED_VALUE"""),"")</f>
        <v/>
      </c>
      <c r="CI227" s="230" t="str">
        <f>IFERROR(__xludf.DUMMYFUNCTION("""COMPUTED_VALUE"""),"")</f>
        <v/>
      </c>
      <c r="CJ227" s="235" t="str">
        <f>IFERROR(__xludf.DUMMYFUNCTION("""COMPUTED_VALUE"""),"")</f>
        <v/>
      </c>
      <c r="CK227" s="95" t="str">
        <f>IFERROR(__xludf.DUMMYFUNCTION("""COMPUTED_VALUE"""),"")</f>
        <v/>
      </c>
      <c r="CL227" s="96" t="str">
        <f>IFERROR(__xludf.DUMMYFUNCTION("""COMPUTED_VALUE"""),"")</f>
        <v/>
      </c>
      <c r="CM227" s="97" t="str">
        <f>IFERROR(__xludf.DUMMYFUNCTION("""COMPUTED_VALUE"""),"")</f>
        <v/>
      </c>
      <c r="CN227" s="95">
        <f>IFERROR(__xludf.DUMMYFUNCTION("""COMPUTED_VALUE"""),4.5)</f>
        <v>4.5</v>
      </c>
      <c r="CO227" s="96" t="str">
        <f>IFERROR(__xludf.DUMMYFUNCTION("""COMPUTED_VALUE"""),"")</f>
        <v/>
      </c>
      <c r="CP227" s="97">
        <f>IFERROR(__xludf.DUMMYFUNCTION("""COMPUTED_VALUE"""),12.8)</f>
        <v>12.8</v>
      </c>
      <c r="CQ227" s="95" t="str">
        <f>IFERROR(__xludf.DUMMYFUNCTION("""COMPUTED_VALUE"""),"")</f>
        <v/>
      </c>
      <c r="CR227" s="96" t="str">
        <f>IFERROR(__xludf.DUMMYFUNCTION("""COMPUTED_VALUE"""),"")</f>
        <v/>
      </c>
      <c r="CS227" s="97" t="str">
        <f>IFERROR(__xludf.DUMMYFUNCTION("""COMPUTED_VALUE"""),"#REF!")</f>
        <v>#REF!</v>
      </c>
      <c r="CT227" s="95" t="str">
        <f>IFERROR(__xludf.DUMMYFUNCTION("""COMPUTED_VALUE"""),"#REF!")</f>
        <v>#REF!</v>
      </c>
      <c r="CU227" s="96" t="str">
        <f>IFERROR(__xludf.DUMMYFUNCTION("""COMPUTED_VALUE"""),"#REF!")</f>
        <v>#REF!</v>
      </c>
      <c r="CV227" s="97" t="str">
        <f>IFERROR(__xludf.DUMMYFUNCTION("""COMPUTED_VALUE"""),"#REF!")</f>
        <v>#REF!</v>
      </c>
      <c r="CW227" s="95" t="str">
        <f>IFERROR(__xludf.DUMMYFUNCTION("""COMPUTED_VALUE"""),"#REF!")</f>
        <v>#REF!</v>
      </c>
      <c r="CX227" s="96" t="str">
        <f>IFERROR(__xludf.DUMMYFUNCTION("""COMPUTED_VALUE"""),"#REF!")</f>
        <v>#REF!</v>
      </c>
      <c r="CY227" s="97" t="str">
        <f>IFERROR(__xludf.DUMMYFUNCTION("""COMPUTED_VALUE"""),"#REF!")</f>
        <v>#REF!</v>
      </c>
      <c r="CZ227" s="95" t="str">
        <f>IFERROR(__xludf.DUMMYFUNCTION("""COMPUTED_VALUE"""),"#REF!")</f>
        <v>#REF!</v>
      </c>
      <c r="DA227" s="96" t="str">
        <f>IFERROR(__xludf.DUMMYFUNCTION("""COMPUTED_VALUE"""),"#REF!")</f>
        <v>#REF!</v>
      </c>
      <c r="DB227" s="97" t="str">
        <f>IFERROR(__xludf.DUMMYFUNCTION("""COMPUTED_VALUE"""),"#REF!")</f>
        <v>#REF!</v>
      </c>
      <c r="DC227" s="95" t="str">
        <f>IFERROR(__xludf.DUMMYFUNCTION("""COMPUTED_VALUE"""),"#REF!")</f>
        <v>#REF!</v>
      </c>
      <c r="DD227" s="96" t="str">
        <f>IFERROR(__xludf.DUMMYFUNCTION("""COMPUTED_VALUE"""),"#REF!")</f>
        <v>#REF!</v>
      </c>
      <c r="DE227" s="97" t="str">
        <f>IFERROR(__xludf.DUMMYFUNCTION("""COMPUTED_VALUE"""),"#REF!")</f>
        <v>#REF!</v>
      </c>
      <c r="DF227" s="95" t="str">
        <f>IFERROR(__xludf.DUMMYFUNCTION("""COMPUTED_VALUE"""),"#REF!")</f>
        <v>#REF!</v>
      </c>
      <c r="DG227" s="96" t="str">
        <f>IFERROR(__xludf.DUMMYFUNCTION("""COMPUTED_VALUE"""),"#REF!")</f>
        <v>#REF!</v>
      </c>
      <c r="DH227" s="97" t="str">
        <f>IFERROR(__xludf.DUMMYFUNCTION("""COMPUTED_VALUE"""),"#REF!")</f>
        <v>#REF!</v>
      </c>
      <c r="DI227" s="95" t="str">
        <f>IFERROR(__xludf.DUMMYFUNCTION("""COMPUTED_VALUE"""),"#REF!")</f>
        <v>#REF!</v>
      </c>
      <c r="DJ227" s="96" t="str">
        <f>IFERROR(__xludf.DUMMYFUNCTION("""COMPUTED_VALUE"""),"#REF!")</f>
        <v>#REF!</v>
      </c>
      <c r="DK227" s="97" t="str">
        <f>IFERROR(__xludf.DUMMYFUNCTION("""COMPUTED_VALUE"""),"#REF!")</f>
        <v>#REF!</v>
      </c>
      <c r="DL227" s="95" t="str">
        <f>IFERROR(__xludf.DUMMYFUNCTION("""COMPUTED_VALUE"""),"#REF!")</f>
        <v>#REF!</v>
      </c>
      <c r="DM227" s="96" t="str">
        <f>IFERROR(__xludf.DUMMYFUNCTION("""COMPUTED_VALUE"""),"#REF!")</f>
        <v>#REF!</v>
      </c>
      <c r="DN227" s="97" t="str">
        <f>IFERROR(__xludf.DUMMYFUNCTION("""COMPUTED_VALUE"""),"#REF!")</f>
        <v>#REF!</v>
      </c>
      <c r="DO227" s="95" t="str">
        <f>IFERROR(__xludf.DUMMYFUNCTION("""COMPUTED_VALUE"""),"#REF!")</f>
        <v>#REF!</v>
      </c>
      <c r="DP227" s="96" t="str">
        <f>IFERROR(__xludf.DUMMYFUNCTION("""COMPUTED_VALUE"""),"#REF!")</f>
        <v>#REF!</v>
      </c>
      <c r="DQ227" s="97"/>
      <c r="DR227" s="95"/>
    </row>
    <row r="228">
      <c r="B228" s="180" t="str">
        <f>IFERROR(__xludf.DUMMYFUNCTION("""COMPUTED_VALUE"""),"YKS10")</f>
        <v>YKS10</v>
      </c>
      <c r="C228">
        <f>IFERROR(__xludf.DUMMYFUNCTION("""COMPUTED_VALUE"""),225.0)</f>
        <v>225</v>
      </c>
      <c r="D228" s="88" t="str">
        <f>IFERROR(__xludf.DUMMYFUNCTION("""COMPUTED_VALUE"""),"Eastern Flower Garden")</f>
        <v>Eastern Flower Garden</v>
      </c>
      <c r="E228" s="82" t="str">
        <f>IFERROR(__xludf.DUMMYFUNCTION("""COMPUTED_VALUE"""),"東の花園")</f>
        <v>東の花園</v>
      </c>
      <c r="F228" s="102">
        <f>IFERROR(__xludf.DUMMYFUNCTION("""COMPUTED_VALUE"""),21.0)</f>
        <v>21</v>
      </c>
      <c r="G228" s="82">
        <f>IFERROR(__xludf.DUMMYFUNCTION("""COMPUTED_VALUE"""),6018.0)</f>
        <v>6018</v>
      </c>
      <c r="H228" s="231" t="str">
        <f>IFERROR(__xludf.DUMMYFUNCTION("""COMPUTED_VALUE"""),"")</f>
        <v/>
      </c>
      <c r="I228" s="232" t="str">
        <f>IFERROR(__xludf.DUMMYFUNCTION("""COMPUTED_VALUE"""),"")</f>
        <v/>
      </c>
      <c r="J228" s="233" t="str">
        <f>IFERROR(__xludf.DUMMYFUNCTION("""COMPUTED_VALUE"""),"")</f>
        <v/>
      </c>
      <c r="K228" s="231" t="str">
        <f>IFERROR(__xludf.DUMMYFUNCTION("""COMPUTED_VALUE"""),"")</f>
        <v/>
      </c>
      <c r="L228" s="232" t="str">
        <f>IFERROR(__xludf.DUMMYFUNCTION("""COMPUTED_VALUE"""),"")</f>
        <v/>
      </c>
      <c r="M228" s="233" t="str">
        <f>IFERROR(__xludf.DUMMYFUNCTION("""COMPUTED_VALUE"""),"")</f>
        <v/>
      </c>
      <c r="N228" s="231" t="str">
        <f>IFERROR(__xludf.DUMMYFUNCTION("""COMPUTED_VALUE"""),"")</f>
        <v/>
      </c>
      <c r="O228" s="232">
        <f>IFERROR(__xludf.DUMMYFUNCTION("""COMPUTED_VALUE"""),18.9)</f>
        <v>18.9</v>
      </c>
      <c r="P228" s="233" t="str">
        <f>IFERROR(__xludf.DUMMYFUNCTION("""COMPUTED_VALUE"""),"")</f>
        <v/>
      </c>
      <c r="Q228" s="231" t="str">
        <f>IFERROR(__xludf.DUMMYFUNCTION("""COMPUTED_VALUE"""),"")</f>
        <v/>
      </c>
      <c r="R228" s="232" t="str">
        <f>IFERROR(__xludf.DUMMYFUNCTION("""COMPUTED_VALUE"""),"")</f>
        <v/>
      </c>
      <c r="S228" s="233" t="str">
        <f>IFERROR(__xludf.DUMMYFUNCTION("""COMPUTED_VALUE"""),"")</f>
        <v/>
      </c>
      <c r="T228" s="231" t="str">
        <f>IFERROR(__xludf.DUMMYFUNCTION("""COMPUTED_VALUE"""),"")</f>
        <v/>
      </c>
      <c r="U228" s="232" t="str">
        <f>IFERROR(__xludf.DUMMYFUNCTION("""COMPUTED_VALUE"""),"")</f>
        <v/>
      </c>
      <c r="V228" s="233" t="str">
        <f>IFERROR(__xludf.DUMMYFUNCTION("""COMPUTED_VALUE"""),"")</f>
        <v/>
      </c>
      <c r="W228" s="231" t="str">
        <f>IFERROR(__xludf.DUMMYFUNCTION("""COMPUTED_VALUE"""),"")</f>
        <v/>
      </c>
      <c r="X228" s="232" t="str">
        <f>IFERROR(__xludf.DUMMYFUNCTION("""COMPUTED_VALUE"""),"")</f>
        <v/>
      </c>
      <c r="Y228" s="233" t="str">
        <f>IFERROR(__xludf.DUMMYFUNCTION("""COMPUTED_VALUE"""),"")</f>
        <v/>
      </c>
      <c r="Z228" s="231" t="str">
        <f>IFERROR(__xludf.DUMMYFUNCTION("""COMPUTED_VALUE"""),"")</f>
        <v/>
      </c>
      <c r="AA228" s="232" t="str">
        <f>IFERROR(__xludf.DUMMYFUNCTION("""COMPUTED_VALUE"""),"")</f>
        <v/>
      </c>
      <c r="AB228" s="233" t="str">
        <f>IFERROR(__xludf.DUMMYFUNCTION("""COMPUTED_VALUE"""),"")</f>
        <v/>
      </c>
      <c r="AC228" s="231" t="str">
        <f>IFERROR(__xludf.DUMMYFUNCTION("""COMPUTED_VALUE"""),"")</f>
        <v/>
      </c>
      <c r="AD228" s="232">
        <f>IFERROR(__xludf.DUMMYFUNCTION("""COMPUTED_VALUE"""),19.7)</f>
        <v>19.7</v>
      </c>
      <c r="AE228" s="233" t="str">
        <f>IFERROR(__xludf.DUMMYFUNCTION("""COMPUTED_VALUE"""),"")</f>
        <v/>
      </c>
      <c r="AF228" s="231" t="str">
        <f>IFERROR(__xludf.DUMMYFUNCTION("""COMPUTED_VALUE"""),"")</f>
        <v/>
      </c>
      <c r="AG228" s="232" t="str">
        <f>IFERROR(__xludf.DUMMYFUNCTION("""COMPUTED_VALUE"""),"")</f>
        <v/>
      </c>
      <c r="AH228" s="233" t="str">
        <f>IFERROR(__xludf.DUMMYFUNCTION("""COMPUTED_VALUE"""),"")</f>
        <v/>
      </c>
      <c r="AI228" s="231" t="str">
        <f>IFERROR(__xludf.DUMMYFUNCTION("""COMPUTED_VALUE"""),"")</f>
        <v/>
      </c>
      <c r="AJ228" s="232" t="str">
        <f>IFERROR(__xludf.DUMMYFUNCTION("""COMPUTED_VALUE"""),"")</f>
        <v/>
      </c>
      <c r="AK228" s="233" t="str">
        <f>IFERROR(__xludf.DUMMYFUNCTION("""COMPUTED_VALUE"""),"")</f>
        <v/>
      </c>
      <c r="AL228" s="231" t="str">
        <f>IFERROR(__xludf.DUMMYFUNCTION("""COMPUTED_VALUE"""),"")</f>
        <v/>
      </c>
      <c r="AM228" s="232" t="str">
        <f>IFERROR(__xludf.DUMMYFUNCTION("""COMPUTED_VALUE"""),"")</f>
        <v/>
      </c>
      <c r="AN228" s="233" t="str">
        <f>IFERROR(__xludf.DUMMYFUNCTION("""COMPUTED_VALUE"""),"")</f>
        <v/>
      </c>
      <c r="AO228" s="231" t="str">
        <f>IFERROR(__xludf.DUMMYFUNCTION("""COMPUTED_VALUE"""),"")</f>
        <v/>
      </c>
      <c r="AP228" s="232" t="str">
        <f>IFERROR(__xludf.DUMMYFUNCTION("""COMPUTED_VALUE"""),"")</f>
        <v/>
      </c>
      <c r="AQ228" s="233" t="str">
        <f>IFERROR(__xludf.DUMMYFUNCTION("""COMPUTED_VALUE"""),"")</f>
        <v/>
      </c>
      <c r="AR228" s="231" t="str">
        <f>IFERROR(__xludf.DUMMYFUNCTION("""COMPUTED_VALUE"""),"")</f>
        <v/>
      </c>
      <c r="AS228" s="232" t="str">
        <f>IFERROR(__xludf.DUMMYFUNCTION("""COMPUTED_VALUE"""),"")</f>
        <v/>
      </c>
      <c r="AT228" s="233" t="str">
        <f>IFERROR(__xludf.DUMMYFUNCTION("""COMPUTED_VALUE"""),"")</f>
        <v/>
      </c>
      <c r="AU228" s="231" t="str">
        <f>IFERROR(__xludf.DUMMYFUNCTION("""COMPUTED_VALUE"""),"")</f>
        <v/>
      </c>
      <c r="AV228" s="232" t="str">
        <f>IFERROR(__xludf.DUMMYFUNCTION("""COMPUTED_VALUE"""),"")</f>
        <v/>
      </c>
      <c r="AW228" s="233" t="str">
        <f>IFERROR(__xludf.DUMMYFUNCTION("""COMPUTED_VALUE"""),"")</f>
        <v/>
      </c>
      <c r="AX228" s="231" t="str">
        <f>IFERROR(__xludf.DUMMYFUNCTION("""COMPUTED_VALUE"""),"")</f>
        <v/>
      </c>
      <c r="AY228" s="232" t="str">
        <f>IFERROR(__xludf.DUMMYFUNCTION("""COMPUTED_VALUE"""),"")</f>
        <v/>
      </c>
      <c r="AZ228" s="233" t="str">
        <f>IFERROR(__xludf.DUMMYFUNCTION("""COMPUTED_VALUE"""),"")</f>
        <v/>
      </c>
      <c r="BA228" s="231" t="str">
        <f>IFERROR(__xludf.DUMMYFUNCTION("""COMPUTED_VALUE"""),"")</f>
        <v/>
      </c>
      <c r="BB228" s="232" t="str">
        <f>IFERROR(__xludf.DUMMYFUNCTION("""COMPUTED_VALUE"""),"")</f>
        <v/>
      </c>
      <c r="BC228" s="233" t="str">
        <f>IFERROR(__xludf.DUMMYFUNCTION("""COMPUTED_VALUE"""),"")</f>
        <v/>
      </c>
      <c r="BD228" s="231" t="str">
        <f>IFERROR(__xludf.DUMMYFUNCTION("""COMPUTED_VALUE"""),"")</f>
        <v/>
      </c>
      <c r="BE228" s="232" t="str">
        <f>IFERROR(__xludf.DUMMYFUNCTION("""COMPUTED_VALUE"""),"")</f>
        <v/>
      </c>
      <c r="BF228" s="233" t="str">
        <f>IFERROR(__xludf.DUMMYFUNCTION("""COMPUTED_VALUE"""),"")</f>
        <v/>
      </c>
      <c r="BG228" s="231" t="str">
        <f>IFERROR(__xludf.DUMMYFUNCTION("""COMPUTED_VALUE"""),"")</f>
        <v/>
      </c>
      <c r="BH228" s="232" t="str">
        <f>IFERROR(__xludf.DUMMYFUNCTION("""COMPUTED_VALUE"""),"")</f>
        <v/>
      </c>
      <c r="BI228" s="233" t="str">
        <f>IFERROR(__xludf.DUMMYFUNCTION("""COMPUTED_VALUE"""),"")</f>
        <v/>
      </c>
      <c r="BJ228" s="231" t="str">
        <f>IFERROR(__xludf.DUMMYFUNCTION("""COMPUTED_VALUE"""),"")</f>
        <v/>
      </c>
      <c r="BK228" s="232" t="str">
        <f>IFERROR(__xludf.DUMMYFUNCTION("""COMPUTED_VALUE"""),"")</f>
        <v/>
      </c>
      <c r="BL228" s="233" t="str">
        <f>IFERROR(__xludf.DUMMYFUNCTION("""COMPUTED_VALUE"""),"")</f>
        <v/>
      </c>
      <c r="BM228" s="231" t="str">
        <f>IFERROR(__xludf.DUMMYFUNCTION("""COMPUTED_VALUE"""),"")</f>
        <v/>
      </c>
      <c r="BN228" s="232">
        <f>IFERROR(__xludf.DUMMYFUNCTION("""COMPUTED_VALUE"""),40.6)</f>
        <v>40.6</v>
      </c>
      <c r="BO228" s="233" t="str">
        <f>IFERROR(__xludf.DUMMYFUNCTION("""COMPUTED_VALUE"""),"")</f>
        <v/>
      </c>
      <c r="BP228" s="231" t="str">
        <f>IFERROR(__xludf.DUMMYFUNCTION("""COMPUTED_VALUE"""),"")</f>
        <v/>
      </c>
      <c r="BQ228" s="232" t="str">
        <f>IFERROR(__xludf.DUMMYFUNCTION("""COMPUTED_VALUE"""),"")</f>
        <v/>
      </c>
      <c r="BR228" s="233" t="str">
        <f>IFERROR(__xludf.DUMMYFUNCTION("""COMPUTED_VALUE"""),"")</f>
        <v/>
      </c>
      <c r="BS228" s="231" t="str">
        <f>IFERROR(__xludf.DUMMYFUNCTION("""COMPUTED_VALUE"""),"")</f>
        <v/>
      </c>
      <c r="BT228" s="232" t="str">
        <f>IFERROR(__xludf.DUMMYFUNCTION("""COMPUTED_VALUE"""),"")</f>
        <v/>
      </c>
      <c r="BU228" s="233" t="str">
        <f>IFERROR(__xludf.DUMMYFUNCTION("""COMPUTED_VALUE"""),"")</f>
        <v/>
      </c>
      <c r="BV228" s="231" t="str">
        <f>IFERROR(__xludf.DUMMYFUNCTION("""COMPUTED_VALUE"""),"")</f>
        <v/>
      </c>
      <c r="BW228" s="232" t="str">
        <f>IFERROR(__xludf.DUMMYFUNCTION("""COMPUTED_VALUE"""),"")</f>
        <v/>
      </c>
      <c r="BX228" s="233" t="str">
        <f>IFERROR(__xludf.DUMMYFUNCTION("""COMPUTED_VALUE"""),"")</f>
        <v/>
      </c>
      <c r="BY228" s="231" t="str">
        <f>IFERROR(__xludf.DUMMYFUNCTION("""COMPUTED_VALUE"""),"")</f>
        <v/>
      </c>
      <c r="BZ228" s="232" t="str">
        <f>IFERROR(__xludf.DUMMYFUNCTION("""COMPUTED_VALUE"""),"")</f>
        <v/>
      </c>
      <c r="CA228" s="233" t="str">
        <f>IFERROR(__xludf.DUMMYFUNCTION("""COMPUTED_VALUE"""),"")</f>
        <v/>
      </c>
      <c r="CB228" s="231" t="str">
        <f>IFERROR(__xludf.DUMMYFUNCTION("""COMPUTED_VALUE"""),"")</f>
        <v/>
      </c>
      <c r="CC228" s="232" t="str">
        <f>IFERROR(__xludf.DUMMYFUNCTION("""COMPUTED_VALUE"""),"")</f>
        <v/>
      </c>
      <c r="CD228" s="233" t="str">
        <f>IFERROR(__xludf.DUMMYFUNCTION("""COMPUTED_VALUE"""),"")</f>
        <v/>
      </c>
      <c r="CE228" s="234" t="str">
        <f>IFERROR(__xludf.DUMMYFUNCTION("""COMPUTED_VALUE"""),"")</f>
        <v/>
      </c>
      <c r="CF228" s="230" t="str">
        <f>IFERROR(__xludf.DUMMYFUNCTION("""COMPUTED_VALUE"""),"")</f>
        <v/>
      </c>
      <c r="CG228" s="235" t="str">
        <f>IFERROR(__xludf.DUMMYFUNCTION("""COMPUTED_VALUE"""),"")</f>
        <v/>
      </c>
      <c r="CH228" s="234" t="str">
        <f>IFERROR(__xludf.DUMMYFUNCTION("""COMPUTED_VALUE"""),"")</f>
        <v/>
      </c>
      <c r="CI228" s="230" t="str">
        <f>IFERROR(__xludf.DUMMYFUNCTION("""COMPUTED_VALUE"""),"")</f>
        <v/>
      </c>
      <c r="CJ228" s="235" t="str">
        <f>IFERROR(__xludf.DUMMYFUNCTION("""COMPUTED_VALUE"""),"")</f>
        <v/>
      </c>
      <c r="CK228" s="95" t="str">
        <f>IFERROR(__xludf.DUMMYFUNCTION("""COMPUTED_VALUE"""),"")</f>
        <v/>
      </c>
      <c r="CL228" s="96" t="str">
        <f>IFERROR(__xludf.DUMMYFUNCTION("""COMPUTED_VALUE"""),"")</f>
        <v/>
      </c>
      <c r="CM228" s="97" t="str">
        <f>IFERROR(__xludf.DUMMYFUNCTION("""COMPUTED_VALUE"""),"")</f>
        <v/>
      </c>
      <c r="CN228" s="95" t="str">
        <f>IFERROR(__xludf.DUMMYFUNCTION("""COMPUTED_VALUE"""),"")</f>
        <v/>
      </c>
      <c r="CO228" s="96" t="str">
        <f>IFERROR(__xludf.DUMMYFUNCTION("""COMPUTED_VALUE"""),"")</f>
        <v/>
      </c>
      <c r="CP228" s="97">
        <f>IFERROR(__xludf.DUMMYFUNCTION("""COMPUTED_VALUE"""),32.9)</f>
        <v>32.9</v>
      </c>
      <c r="CQ228" s="95" t="str">
        <f>IFERROR(__xludf.DUMMYFUNCTION("""COMPUTED_VALUE"""),"")</f>
        <v/>
      </c>
      <c r="CR228" s="96" t="str">
        <f>IFERROR(__xludf.DUMMYFUNCTION("""COMPUTED_VALUE"""),"")</f>
        <v/>
      </c>
      <c r="CS228" s="97" t="str">
        <f>IFERROR(__xludf.DUMMYFUNCTION("""COMPUTED_VALUE"""),"#REF!")</f>
        <v>#REF!</v>
      </c>
      <c r="CT228" s="95" t="str">
        <f>IFERROR(__xludf.DUMMYFUNCTION("""COMPUTED_VALUE"""),"#REF!")</f>
        <v>#REF!</v>
      </c>
      <c r="CU228" s="96" t="str">
        <f>IFERROR(__xludf.DUMMYFUNCTION("""COMPUTED_VALUE"""),"#REF!")</f>
        <v>#REF!</v>
      </c>
      <c r="CV228" s="97" t="str">
        <f>IFERROR(__xludf.DUMMYFUNCTION("""COMPUTED_VALUE"""),"#REF!")</f>
        <v>#REF!</v>
      </c>
      <c r="CW228" s="95" t="str">
        <f>IFERROR(__xludf.DUMMYFUNCTION("""COMPUTED_VALUE"""),"#REF!")</f>
        <v>#REF!</v>
      </c>
      <c r="CX228" s="96" t="str">
        <f>IFERROR(__xludf.DUMMYFUNCTION("""COMPUTED_VALUE"""),"#REF!")</f>
        <v>#REF!</v>
      </c>
      <c r="CY228" s="97" t="str">
        <f>IFERROR(__xludf.DUMMYFUNCTION("""COMPUTED_VALUE"""),"#REF!")</f>
        <v>#REF!</v>
      </c>
      <c r="CZ228" s="95" t="str">
        <f>IFERROR(__xludf.DUMMYFUNCTION("""COMPUTED_VALUE"""),"#REF!")</f>
        <v>#REF!</v>
      </c>
      <c r="DA228" s="96" t="str">
        <f>IFERROR(__xludf.DUMMYFUNCTION("""COMPUTED_VALUE"""),"#REF!")</f>
        <v>#REF!</v>
      </c>
      <c r="DB228" s="97" t="str">
        <f>IFERROR(__xludf.DUMMYFUNCTION("""COMPUTED_VALUE"""),"#REF!")</f>
        <v>#REF!</v>
      </c>
      <c r="DC228" s="95" t="str">
        <f>IFERROR(__xludf.DUMMYFUNCTION("""COMPUTED_VALUE"""),"#REF!")</f>
        <v>#REF!</v>
      </c>
      <c r="DD228" s="96" t="str">
        <f>IFERROR(__xludf.DUMMYFUNCTION("""COMPUTED_VALUE"""),"#REF!")</f>
        <v>#REF!</v>
      </c>
      <c r="DE228" s="97" t="str">
        <f>IFERROR(__xludf.DUMMYFUNCTION("""COMPUTED_VALUE"""),"#REF!")</f>
        <v>#REF!</v>
      </c>
      <c r="DF228" s="95" t="str">
        <f>IFERROR(__xludf.DUMMYFUNCTION("""COMPUTED_VALUE"""),"#REF!")</f>
        <v>#REF!</v>
      </c>
      <c r="DG228" s="96" t="str">
        <f>IFERROR(__xludf.DUMMYFUNCTION("""COMPUTED_VALUE"""),"#REF!")</f>
        <v>#REF!</v>
      </c>
      <c r="DH228" s="97" t="str">
        <f>IFERROR(__xludf.DUMMYFUNCTION("""COMPUTED_VALUE"""),"#REF!")</f>
        <v>#REF!</v>
      </c>
      <c r="DI228" s="95" t="str">
        <f>IFERROR(__xludf.DUMMYFUNCTION("""COMPUTED_VALUE"""),"#REF!")</f>
        <v>#REF!</v>
      </c>
      <c r="DJ228" s="96" t="str">
        <f>IFERROR(__xludf.DUMMYFUNCTION("""COMPUTED_VALUE"""),"#REF!")</f>
        <v>#REF!</v>
      </c>
      <c r="DK228" s="97" t="str">
        <f>IFERROR(__xludf.DUMMYFUNCTION("""COMPUTED_VALUE"""),"#REF!")</f>
        <v>#REF!</v>
      </c>
      <c r="DL228" s="95" t="str">
        <f>IFERROR(__xludf.DUMMYFUNCTION("""COMPUTED_VALUE"""),"#REF!")</f>
        <v>#REF!</v>
      </c>
      <c r="DM228" s="96" t="str">
        <f>IFERROR(__xludf.DUMMYFUNCTION("""COMPUTED_VALUE"""),"#REF!")</f>
        <v>#REF!</v>
      </c>
      <c r="DN228" s="97" t="str">
        <f>IFERROR(__xludf.DUMMYFUNCTION("""COMPUTED_VALUE"""),"#REF!")</f>
        <v>#REF!</v>
      </c>
      <c r="DO228" s="95" t="str">
        <f>IFERROR(__xludf.DUMMYFUNCTION("""COMPUTED_VALUE"""),"#REF!")</f>
        <v>#REF!</v>
      </c>
      <c r="DP228" s="96" t="str">
        <f>IFERROR(__xludf.DUMMYFUNCTION("""COMPUTED_VALUE"""),"#REF!")</f>
        <v>#REF!</v>
      </c>
      <c r="DQ228" s="97"/>
      <c r="DR228" s="95"/>
    </row>
    <row r="229">
      <c r="A229" s="188" t="str">
        <f>IFERROR(__xludf.DUMMYFUNCTION("""COMPUTED_VALUE"""),"ATLANTIS")</f>
        <v>ATLANTIS</v>
      </c>
      <c r="B229" s="189" t="str">
        <f>IFERROR(__xludf.DUMMYFUNCTION("""COMPUTED_VALUE"""),"ATL1")</f>
        <v>ATL1</v>
      </c>
      <c r="C229" s="190">
        <f>IFERROR(__xludf.DUMMYFUNCTION("""COMPUTED_VALUE"""),228.0)</f>
        <v>228</v>
      </c>
      <c r="D229" s="239" t="str">
        <f>IFERROR(__xludf.DUMMYFUNCTION("""COMPUTED_VALUE"""),"Sailing Point")</f>
        <v>Sailing Point</v>
      </c>
      <c r="E229" s="190" t="str">
        <f>IFERROR(__xludf.DUMMYFUNCTION("""COMPUTED_VALUE"""),"セーリングポイント")</f>
        <v>セーリングポイント</v>
      </c>
      <c r="F229" s="240">
        <f>IFERROR(__xludf.DUMMYFUNCTION("""COMPUTED_VALUE"""),21.0)</f>
        <v>21</v>
      </c>
      <c r="G229" s="190">
        <f>IFERROR(__xludf.DUMMYFUNCTION("""COMPUTED_VALUE"""),53983.0)</f>
        <v>53983</v>
      </c>
      <c r="H229" s="241" t="str">
        <f>IFERROR(__xludf.DUMMYFUNCTION("""COMPUTED_VALUE"""),"")</f>
        <v/>
      </c>
      <c r="I229" s="242" t="str">
        <f>IFERROR(__xludf.DUMMYFUNCTION("""COMPUTED_VALUE"""),"")</f>
        <v/>
      </c>
      <c r="J229" s="243" t="str">
        <f>IFERROR(__xludf.DUMMYFUNCTION("""COMPUTED_VALUE"""),"")</f>
        <v/>
      </c>
      <c r="K229" s="241" t="str">
        <f>IFERROR(__xludf.DUMMYFUNCTION("""COMPUTED_VALUE"""),"")</f>
        <v/>
      </c>
      <c r="L229" s="242" t="str">
        <f>IFERROR(__xludf.DUMMYFUNCTION("""COMPUTED_VALUE"""),"")</f>
        <v/>
      </c>
      <c r="M229" s="243" t="str">
        <f>IFERROR(__xludf.DUMMYFUNCTION("""COMPUTED_VALUE"""),"")</f>
        <v/>
      </c>
      <c r="N229" s="241" t="str">
        <f>IFERROR(__xludf.DUMMYFUNCTION("""COMPUTED_VALUE"""),"")</f>
        <v/>
      </c>
      <c r="O229" s="242" t="str">
        <f>IFERROR(__xludf.DUMMYFUNCTION("""COMPUTED_VALUE"""),"")</f>
        <v/>
      </c>
      <c r="P229" s="243" t="str">
        <f>IFERROR(__xludf.DUMMYFUNCTION("""COMPUTED_VALUE"""),"")</f>
        <v/>
      </c>
      <c r="Q229" s="241" t="str">
        <f>IFERROR(__xludf.DUMMYFUNCTION("""COMPUTED_VALUE"""),"")</f>
        <v/>
      </c>
      <c r="R229" s="242" t="str">
        <f>IFERROR(__xludf.DUMMYFUNCTION("""COMPUTED_VALUE"""),"")</f>
        <v/>
      </c>
      <c r="S229" s="243" t="str">
        <f>IFERROR(__xludf.DUMMYFUNCTION("""COMPUTED_VALUE"""),"")</f>
        <v/>
      </c>
      <c r="T229" s="241" t="str">
        <f>IFERROR(__xludf.DUMMYFUNCTION("""COMPUTED_VALUE"""),"")</f>
        <v/>
      </c>
      <c r="U229" s="242" t="str">
        <f>IFERROR(__xludf.DUMMYFUNCTION("""COMPUTED_VALUE"""),"")</f>
        <v/>
      </c>
      <c r="V229" s="243" t="str">
        <f>IFERROR(__xludf.DUMMYFUNCTION("""COMPUTED_VALUE"""),"")</f>
        <v/>
      </c>
      <c r="W229" s="241">
        <f>IFERROR(__xludf.DUMMYFUNCTION("""COMPUTED_VALUE"""),11.8)</f>
        <v>11.8</v>
      </c>
      <c r="X229" s="242" t="str">
        <f>IFERROR(__xludf.DUMMYFUNCTION("""COMPUTED_VALUE"""),"")</f>
        <v/>
      </c>
      <c r="Y229" s="243" t="str">
        <f>IFERROR(__xludf.DUMMYFUNCTION("""COMPUTED_VALUE"""),"")</f>
        <v/>
      </c>
      <c r="Z229" s="241" t="str">
        <f>IFERROR(__xludf.DUMMYFUNCTION("""COMPUTED_VALUE"""),"")</f>
        <v/>
      </c>
      <c r="AA229" s="242" t="str">
        <f>IFERROR(__xludf.DUMMYFUNCTION("""COMPUTED_VALUE"""),"")</f>
        <v/>
      </c>
      <c r="AB229" s="243" t="str">
        <f>IFERROR(__xludf.DUMMYFUNCTION("""COMPUTED_VALUE"""),"")</f>
        <v/>
      </c>
      <c r="AC229" s="241" t="str">
        <f>IFERROR(__xludf.DUMMYFUNCTION("""COMPUTED_VALUE"""),"")</f>
        <v/>
      </c>
      <c r="AD229" s="242" t="str">
        <f>IFERROR(__xludf.DUMMYFUNCTION("""COMPUTED_VALUE"""),"")</f>
        <v/>
      </c>
      <c r="AE229" s="243" t="str">
        <f>IFERROR(__xludf.DUMMYFUNCTION("""COMPUTED_VALUE"""),"")</f>
        <v/>
      </c>
      <c r="AF229" s="241" t="str">
        <f>IFERROR(__xludf.DUMMYFUNCTION("""COMPUTED_VALUE"""),"")</f>
        <v/>
      </c>
      <c r="AG229" s="242" t="str">
        <f>IFERROR(__xludf.DUMMYFUNCTION("""COMPUTED_VALUE"""),"")</f>
        <v/>
      </c>
      <c r="AH229" s="243" t="str">
        <f>IFERROR(__xludf.DUMMYFUNCTION("""COMPUTED_VALUE"""),"")</f>
        <v/>
      </c>
      <c r="AI229" s="241" t="str">
        <f>IFERROR(__xludf.DUMMYFUNCTION("""COMPUTED_VALUE"""),"")</f>
        <v/>
      </c>
      <c r="AJ229" s="242">
        <f>IFERROR(__xludf.DUMMYFUNCTION("""COMPUTED_VALUE"""),25.5)</f>
        <v>25.5</v>
      </c>
      <c r="AK229" s="243" t="str">
        <f>IFERROR(__xludf.DUMMYFUNCTION("""COMPUTED_VALUE"""),"")</f>
        <v/>
      </c>
      <c r="AL229" s="241" t="str">
        <f>IFERROR(__xludf.DUMMYFUNCTION("""COMPUTED_VALUE"""),"")</f>
        <v/>
      </c>
      <c r="AM229" s="242" t="str">
        <f>IFERROR(__xludf.DUMMYFUNCTION("""COMPUTED_VALUE"""),"")</f>
        <v/>
      </c>
      <c r="AN229" s="243" t="str">
        <f>IFERROR(__xludf.DUMMYFUNCTION("""COMPUTED_VALUE"""),"")</f>
        <v/>
      </c>
      <c r="AO229" s="241" t="str">
        <f>IFERROR(__xludf.DUMMYFUNCTION("""COMPUTED_VALUE"""),"")</f>
        <v/>
      </c>
      <c r="AP229" s="242" t="str">
        <f>IFERROR(__xludf.DUMMYFUNCTION("""COMPUTED_VALUE"""),"")</f>
        <v/>
      </c>
      <c r="AQ229" s="243" t="str">
        <f>IFERROR(__xludf.DUMMYFUNCTION("""COMPUTED_VALUE"""),"")</f>
        <v/>
      </c>
      <c r="AR229" s="241" t="str">
        <f>IFERROR(__xludf.DUMMYFUNCTION("""COMPUTED_VALUE"""),"")</f>
        <v/>
      </c>
      <c r="AS229" s="242" t="str">
        <f>IFERROR(__xludf.DUMMYFUNCTION("""COMPUTED_VALUE"""),"")</f>
        <v/>
      </c>
      <c r="AT229" s="243" t="str">
        <f>IFERROR(__xludf.DUMMYFUNCTION("""COMPUTED_VALUE"""),"")</f>
        <v/>
      </c>
      <c r="AU229" s="241" t="str">
        <f>IFERROR(__xludf.DUMMYFUNCTION("""COMPUTED_VALUE"""),"")</f>
        <v/>
      </c>
      <c r="AV229" s="242" t="str">
        <f>IFERROR(__xludf.DUMMYFUNCTION("""COMPUTED_VALUE"""),"")</f>
        <v/>
      </c>
      <c r="AW229" s="243" t="str">
        <f>IFERROR(__xludf.DUMMYFUNCTION("""COMPUTED_VALUE"""),"")</f>
        <v/>
      </c>
      <c r="AX229" s="241" t="str">
        <f>IFERROR(__xludf.DUMMYFUNCTION("""COMPUTED_VALUE"""),"")</f>
        <v/>
      </c>
      <c r="AY229" s="242" t="str">
        <f>IFERROR(__xludf.DUMMYFUNCTION("""COMPUTED_VALUE"""),"")</f>
        <v/>
      </c>
      <c r="AZ229" s="243" t="str">
        <f>IFERROR(__xludf.DUMMYFUNCTION("""COMPUTED_VALUE"""),"")</f>
        <v/>
      </c>
      <c r="BA229" s="241" t="str">
        <f>IFERROR(__xludf.DUMMYFUNCTION("""COMPUTED_VALUE"""),"")</f>
        <v/>
      </c>
      <c r="BB229" s="242" t="str">
        <f>IFERROR(__xludf.DUMMYFUNCTION("""COMPUTED_VALUE"""),"")</f>
        <v/>
      </c>
      <c r="BC229" s="243" t="str">
        <f>IFERROR(__xludf.DUMMYFUNCTION("""COMPUTED_VALUE"""),"")</f>
        <v/>
      </c>
      <c r="BD229" s="241" t="str">
        <f>IFERROR(__xludf.DUMMYFUNCTION("""COMPUTED_VALUE"""),"")</f>
        <v/>
      </c>
      <c r="BE229" s="242" t="str">
        <f>IFERROR(__xludf.DUMMYFUNCTION("""COMPUTED_VALUE"""),"")</f>
        <v/>
      </c>
      <c r="BF229" s="243">
        <f>IFERROR(__xludf.DUMMYFUNCTION("""COMPUTED_VALUE"""),4.0)</f>
        <v>4</v>
      </c>
      <c r="BG229" s="241" t="str">
        <f>IFERROR(__xludf.DUMMYFUNCTION("""COMPUTED_VALUE"""),"")</f>
        <v/>
      </c>
      <c r="BH229" s="242" t="str">
        <f>IFERROR(__xludf.DUMMYFUNCTION("""COMPUTED_VALUE"""),"")</f>
        <v/>
      </c>
      <c r="BI229" s="243" t="str">
        <f>IFERROR(__xludf.DUMMYFUNCTION("""COMPUTED_VALUE"""),"")</f>
        <v/>
      </c>
      <c r="BJ229" s="241" t="str">
        <f>IFERROR(__xludf.DUMMYFUNCTION("""COMPUTED_VALUE"""),"")</f>
        <v/>
      </c>
      <c r="BK229" s="242" t="str">
        <f>IFERROR(__xludf.DUMMYFUNCTION("""COMPUTED_VALUE"""),"")</f>
        <v/>
      </c>
      <c r="BL229" s="243" t="str">
        <f>IFERROR(__xludf.DUMMYFUNCTION("""COMPUTED_VALUE"""),"")</f>
        <v/>
      </c>
      <c r="BM229" s="241" t="str">
        <f>IFERROR(__xludf.DUMMYFUNCTION("""COMPUTED_VALUE"""),"")</f>
        <v/>
      </c>
      <c r="BN229" s="242" t="str">
        <f>IFERROR(__xludf.DUMMYFUNCTION("""COMPUTED_VALUE"""),"")</f>
        <v/>
      </c>
      <c r="BO229" s="243" t="str">
        <f>IFERROR(__xludf.DUMMYFUNCTION("""COMPUTED_VALUE"""),"")</f>
        <v/>
      </c>
      <c r="BP229" s="241" t="str">
        <f>IFERROR(__xludf.DUMMYFUNCTION("""COMPUTED_VALUE"""),"")</f>
        <v/>
      </c>
      <c r="BQ229" s="242">
        <f>IFERROR(__xludf.DUMMYFUNCTION("""COMPUTED_VALUE"""),36.0)</f>
        <v>36</v>
      </c>
      <c r="BR229" s="243" t="str">
        <f>IFERROR(__xludf.DUMMYFUNCTION("""COMPUTED_VALUE"""),"")</f>
        <v/>
      </c>
      <c r="BS229" s="241" t="str">
        <f>IFERROR(__xludf.DUMMYFUNCTION("""COMPUTED_VALUE"""),"")</f>
        <v/>
      </c>
      <c r="BT229" s="242" t="str">
        <f>IFERROR(__xludf.DUMMYFUNCTION("""COMPUTED_VALUE"""),"")</f>
        <v/>
      </c>
      <c r="BU229" s="243" t="str">
        <f>IFERROR(__xludf.DUMMYFUNCTION("""COMPUTED_VALUE"""),"")</f>
        <v/>
      </c>
      <c r="BV229" s="241" t="str">
        <f>IFERROR(__xludf.DUMMYFUNCTION("""COMPUTED_VALUE"""),"")</f>
        <v/>
      </c>
      <c r="BW229" s="242" t="str">
        <f>IFERROR(__xludf.DUMMYFUNCTION("""COMPUTED_VALUE"""),"")</f>
        <v/>
      </c>
      <c r="BX229" s="243" t="str">
        <f>IFERROR(__xludf.DUMMYFUNCTION("""COMPUTED_VALUE"""),"")</f>
        <v/>
      </c>
      <c r="BY229" s="241" t="str">
        <f>IFERROR(__xludf.DUMMYFUNCTION("""COMPUTED_VALUE"""),"")</f>
        <v/>
      </c>
      <c r="BZ229" s="242" t="str">
        <f>IFERROR(__xludf.DUMMYFUNCTION("""COMPUTED_VALUE"""),"")</f>
        <v/>
      </c>
      <c r="CA229" s="243" t="str">
        <f>IFERROR(__xludf.DUMMYFUNCTION("""COMPUTED_VALUE"""),"")</f>
        <v/>
      </c>
      <c r="CB229" s="241" t="str">
        <f>IFERROR(__xludf.DUMMYFUNCTION("""COMPUTED_VALUE"""),"")</f>
        <v/>
      </c>
      <c r="CC229" s="242" t="str">
        <f>IFERROR(__xludf.DUMMYFUNCTION("""COMPUTED_VALUE"""),"")</f>
        <v/>
      </c>
      <c r="CD229" s="243" t="str">
        <f>IFERROR(__xludf.DUMMYFUNCTION("""COMPUTED_VALUE"""),"")</f>
        <v/>
      </c>
      <c r="CE229" s="244" t="str">
        <f>IFERROR(__xludf.DUMMYFUNCTION("""COMPUTED_VALUE"""),"")</f>
        <v/>
      </c>
      <c r="CF229" s="245" t="str">
        <f>IFERROR(__xludf.DUMMYFUNCTION("""COMPUTED_VALUE"""),"")</f>
        <v/>
      </c>
      <c r="CG229" s="246" t="str">
        <f>IFERROR(__xludf.DUMMYFUNCTION("""COMPUTED_VALUE"""),"")</f>
        <v/>
      </c>
      <c r="CH229" s="244" t="str">
        <f>IFERROR(__xludf.DUMMYFUNCTION("""COMPUTED_VALUE"""),"")</f>
        <v/>
      </c>
      <c r="CI229" s="245" t="str">
        <f>IFERROR(__xludf.DUMMYFUNCTION("""COMPUTED_VALUE"""),"")</f>
        <v/>
      </c>
      <c r="CJ229" s="246" t="str">
        <f>IFERROR(__xludf.DUMMYFUNCTION("""COMPUTED_VALUE"""),"")</f>
        <v/>
      </c>
      <c r="CK229" s="194" t="str">
        <f>IFERROR(__xludf.DUMMYFUNCTION("""COMPUTED_VALUE"""),"")</f>
        <v/>
      </c>
      <c r="CL229" s="195" t="str">
        <f>IFERROR(__xludf.DUMMYFUNCTION("""COMPUTED_VALUE"""),"")</f>
        <v/>
      </c>
      <c r="CM229" s="196" t="str">
        <f>IFERROR(__xludf.DUMMYFUNCTION("""COMPUTED_VALUE"""),"")</f>
        <v/>
      </c>
      <c r="CN229" s="194" t="str">
        <f>IFERROR(__xludf.DUMMYFUNCTION("""COMPUTED_VALUE"""),"")</f>
        <v/>
      </c>
      <c r="CO229" s="195">
        <f>IFERROR(__xludf.DUMMYFUNCTION("""COMPUTED_VALUE"""),4.7)</f>
        <v>4.7</v>
      </c>
      <c r="CP229" s="196" t="str">
        <f>IFERROR(__xludf.DUMMYFUNCTION("""COMPUTED_VALUE"""),"")</f>
        <v/>
      </c>
      <c r="CQ229" s="194" t="str">
        <f>IFERROR(__xludf.DUMMYFUNCTION("""COMPUTED_VALUE"""),"")</f>
        <v/>
      </c>
      <c r="CR229" s="195" t="str">
        <f>IFERROR(__xludf.DUMMYFUNCTION("""COMPUTED_VALUE"""),"")</f>
        <v/>
      </c>
      <c r="CS229" s="196" t="str">
        <f>IFERROR(__xludf.DUMMYFUNCTION("""COMPUTED_VALUE"""),"#REF!")</f>
        <v>#REF!</v>
      </c>
      <c r="CT229" s="194" t="str">
        <f>IFERROR(__xludf.DUMMYFUNCTION("""COMPUTED_VALUE"""),"#REF!")</f>
        <v>#REF!</v>
      </c>
      <c r="CU229" s="195" t="str">
        <f>IFERROR(__xludf.DUMMYFUNCTION("""COMPUTED_VALUE"""),"#REF!")</f>
        <v>#REF!</v>
      </c>
      <c r="CV229" s="196" t="str">
        <f>IFERROR(__xludf.DUMMYFUNCTION("""COMPUTED_VALUE"""),"#REF!")</f>
        <v>#REF!</v>
      </c>
      <c r="CW229" s="194" t="str">
        <f>IFERROR(__xludf.DUMMYFUNCTION("""COMPUTED_VALUE"""),"#REF!")</f>
        <v>#REF!</v>
      </c>
      <c r="CX229" s="195" t="str">
        <f>IFERROR(__xludf.DUMMYFUNCTION("""COMPUTED_VALUE"""),"#REF!")</f>
        <v>#REF!</v>
      </c>
      <c r="CY229" s="196" t="str">
        <f>IFERROR(__xludf.DUMMYFUNCTION("""COMPUTED_VALUE"""),"#REF!")</f>
        <v>#REF!</v>
      </c>
      <c r="CZ229" s="194" t="str">
        <f>IFERROR(__xludf.DUMMYFUNCTION("""COMPUTED_VALUE"""),"#REF!")</f>
        <v>#REF!</v>
      </c>
      <c r="DA229" s="195" t="str">
        <f>IFERROR(__xludf.DUMMYFUNCTION("""COMPUTED_VALUE"""),"#REF!")</f>
        <v>#REF!</v>
      </c>
      <c r="DB229" s="196" t="str">
        <f>IFERROR(__xludf.DUMMYFUNCTION("""COMPUTED_VALUE"""),"#REF!")</f>
        <v>#REF!</v>
      </c>
      <c r="DC229" s="194" t="str">
        <f>IFERROR(__xludf.DUMMYFUNCTION("""COMPUTED_VALUE"""),"#REF!")</f>
        <v>#REF!</v>
      </c>
      <c r="DD229" s="195" t="str">
        <f>IFERROR(__xludf.DUMMYFUNCTION("""COMPUTED_VALUE"""),"#REF!")</f>
        <v>#REF!</v>
      </c>
      <c r="DE229" s="196" t="str">
        <f>IFERROR(__xludf.DUMMYFUNCTION("""COMPUTED_VALUE"""),"#REF!")</f>
        <v>#REF!</v>
      </c>
      <c r="DF229" s="194" t="str">
        <f>IFERROR(__xludf.DUMMYFUNCTION("""COMPUTED_VALUE"""),"#REF!")</f>
        <v>#REF!</v>
      </c>
      <c r="DG229" s="195" t="str">
        <f>IFERROR(__xludf.DUMMYFUNCTION("""COMPUTED_VALUE"""),"#REF!")</f>
        <v>#REF!</v>
      </c>
      <c r="DH229" s="196" t="str">
        <f>IFERROR(__xludf.DUMMYFUNCTION("""COMPUTED_VALUE"""),"#REF!")</f>
        <v>#REF!</v>
      </c>
      <c r="DI229" s="194" t="str">
        <f>IFERROR(__xludf.DUMMYFUNCTION("""COMPUTED_VALUE"""),"#REF!")</f>
        <v>#REF!</v>
      </c>
      <c r="DJ229" s="195" t="str">
        <f>IFERROR(__xludf.DUMMYFUNCTION("""COMPUTED_VALUE"""),"#REF!")</f>
        <v>#REF!</v>
      </c>
      <c r="DK229" s="196" t="str">
        <f>IFERROR(__xludf.DUMMYFUNCTION("""COMPUTED_VALUE"""),"#REF!")</f>
        <v>#REF!</v>
      </c>
      <c r="DL229" s="194" t="str">
        <f>IFERROR(__xludf.DUMMYFUNCTION("""COMPUTED_VALUE"""),"#REF!")</f>
        <v>#REF!</v>
      </c>
      <c r="DM229" s="195" t="str">
        <f>IFERROR(__xludf.DUMMYFUNCTION("""COMPUTED_VALUE"""),"#REF!")</f>
        <v>#REF!</v>
      </c>
      <c r="DN229" s="196" t="str">
        <f>IFERROR(__xludf.DUMMYFUNCTION("""COMPUTED_VALUE"""),"#REF!")</f>
        <v>#REF!</v>
      </c>
      <c r="DO229" s="194" t="str">
        <f>IFERROR(__xludf.DUMMYFUNCTION("""COMPUTED_VALUE"""),"#REF!")</f>
        <v>#REF!</v>
      </c>
      <c r="DP229" s="195" t="str">
        <f>IFERROR(__xludf.DUMMYFUNCTION("""COMPUTED_VALUE"""),"#REF!")</f>
        <v>#REF!</v>
      </c>
      <c r="DQ229" s="196"/>
      <c r="DR229" s="194"/>
    </row>
    <row r="230">
      <c r="B230" s="201" t="str">
        <f>IFERROR(__xludf.DUMMYFUNCTION("""COMPUTED_VALUE"""),"ATL2")</f>
        <v>ATL2</v>
      </c>
      <c r="C230" s="68">
        <f>IFERROR(__xludf.DUMMYFUNCTION("""COMPUTED_VALUE"""),229.0)</f>
        <v>229</v>
      </c>
      <c r="D230" s="247" t="str">
        <f>IFERROR(__xludf.DUMMYFUNCTION("""COMPUTED_VALUE"""),"Hestia Island")</f>
        <v>Hestia Island</v>
      </c>
      <c r="E230" s="68" t="str">
        <f>IFERROR(__xludf.DUMMYFUNCTION("""COMPUTED_VALUE"""),"ヘスティア島")</f>
        <v>ヘスティア島</v>
      </c>
      <c r="F230" s="248">
        <f>IFERROR(__xludf.DUMMYFUNCTION("""COMPUTED_VALUE"""),21.0)</f>
        <v>21</v>
      </c>
      <c r="G230" s="68">
        <f>IFERROR(__xludf.DUMMYFUNCTION("""COMPUTED_VALUE"""),3235.0)</f>
        <v>3235</v>
      </c>
      <c r="H230" s="249" t="str">
        <f>IFERROR(__xludf.DUMMYFUNCTION("""COMPUTED_VALUE"""),"")</f>
        <v/>
      </c>
      <c r="I230" s="250" t="str">
        <f>IFERROR(__xludf.DUMMYFUNCTION("""COMPUTED_VALUE"""),"")</f>
        <v/>
      </c>
      <c r="J230" s="251" t="str">
        <f>IFERROR(__xludf.DUMMYFUNCTION("""COMPUTED_VALUE"""),"")</f>
        <v/>
      </c>
      <c r="K230" s="249" t="str">
        <f>IFERROR(__xludf.DUMMYFUNCTION("""COMPUTED_VALUE"""),"")</f>
        <v/>
      </c>
      <c r="L230" s="250" t="str">
        <f>IFERROR(__xludf.DUMMYFUNCTION("""COMPUTED_VALUE"""),"")</f>
        <v/>
      </c>
      <c r="M230" s="251" t="str">
        <f>IFERROR(__xludf.DUMMYFUNCTION("""COMPUTED_VALUE"""),"")</f>
        <v/>
      </c>
      <c r="N230" s="249" t="str">
        <f>IFERROR(__xludf.DUMMYFUNCTION("""COMPUTED_VALUE"""),"")</f>
        <v/>
      </c>
      <c r="O230" s="250" t="str">
        <f>IFERROR(__xludf.DUMMYFUNCTION("""COMPUTED_VALUE"""),"")</f>
        <v/>
      </c>
      <c r="P230" s="251" t="str">
        <f>IFERROR(__xludf.DUMMYFUNCTION("""COMPUTED_VALUE"""),"")</f>
        <v/>
      </c>
      <c r="Q230" s="249" t="str">
        <f>IFERROR(__xludf.DUMMYFUNCTION("""COMPUTED_VALUE"""),"")</f>
        <v/>
      </c>
      <c r="R230" s="250" t="str">
        <f>IFERROR(__xludf.DUMMYFUNCTION("""COMPUTED_VALUE"""),"")</f>
        <v/>
      </c>
      <c r="S230" s="251">
        <f>IFERROR(__xludf.DUMMYFUNCTION("""COMPUTED_VALUE"""),11.8)</f>
        <v>11.8</v>
      </c>
      <c r="T230" s="249" t="str">
        <f>IFERROR(__xludf.DUMMYFUNCTION("""COMPUTED_VALUE"""),"")</f>
        <v/>
      </c>
      <c r="U230" s="250" t="str">
        <f>IFERROR(__xludf.DUMMYFUNCTION("""COMPUTED_VALUE"""),"")</f>
        <v/>
      </c>
      <c r="V230" s="251" t="str">
        <f>IFERROR(__xludf.DUMMYFUNCTION("""COMPUTED_VALUE"""),"")</f>
        <v/>
      </c>
      <c r="W230" s="249" t="str">
        <f>IFERROR(__xludf.DUMMYFUNCTION("""COMPUTED_VALUE"""),"")</f>
        <v/>
      </c>
      <c r="X230" s="250" t="str">
        <f>IFERROR(__xludf.DUMMYFUNCTION("""COMPUTED_VALUE"""),"")</f>
        <v/>
      </c>
      <c r="Y230" s="251" t="str">
        <f>IFERROR(__xludf.DUMMYFUNCTION("""COMPUTED_VALUE"""),"")</f>
        <v/>
      </c>
      <c r="Z230" s="249" t="str">
        <f>IFERROR(__xludf.DUMMYFUNCTION("""COMPUTED_VALUE"""),"")</f>
        <v/>
      </c>
      <c r="AA230" s="250" t="str">
        <f>IFERROR(__xludf.DUMMYFUNCTION("""COMPUTED_VALUE"""),"")</f>
        <v/>
      </c>
      <c r="AB230" s="251" t="str">
        <f>IFERROR(__xludf.DUMMYFUNCTION("""COMPUTED_VALUE"""),"")</f>
        <v/>
      </c>
      <c r="AC230" s="249" t="str">
        <f>IFERROR(__xludf.DUMMYFUNCTION("""COMPUTED_VALUE"""),"")</f>
        <v/>
      </c>
      <c r="AD230" s="250" t="str">
        <f>IFERROR(__xludf.DUMMYFUNCTION("""COMPUTED_VALUE"""),"")</f>
        <v/>
      </c>
      <c r="AE230" s="251" t="str">
        <f>IFERROR(__xludf.DUMMYFUNCTION("""COMPUTED_VALUE"""),"")</f>
        <v/>
      </c>
      <c r="AF230" s="249" t="str">
        <f>IFERROR(__xludf.DUMMYFUNCTION("""COMPUTED_VALUE"""),"")</f>
        <v/>
      </c>
      <c r="AG230" s="250" t="str">
        <f>IFERROR(__xludf.DUMMYFUNCTION("""COMPUTED_VALUE"""),"")</f>
        <v/>
      </c>
      <c r="AH230" s="251" t="str">
        <f>IFERROR(__xludf.DUMMYFUNCTION("""COMPUTED_VALUE"""),"")</f>
        <v/>
      </c>
      <c r="AI230" s="249" t="str">
        <f>IFERROR(__xludf.DUMMYFUNCTION("""COMPUTED_VALUE"""),"")</f>
        <v/>
      </c>
      <c r="AJ230" s="250" t="str">
        <f>IFERROR(__xludf.DUMMYFUNCTION("""COMPUTED_VALUE"""),"")</f>
        <v/>
      </c>
      <c r="AK230" s="251" t="str">
        <f>IFERROR(__xludf.DUMMYFUNCTION("""COMPUTED_VALUE"""),"")</f>
        <v/>
      </c>
      <c r="AL230" s="249" t="str">
        <f>IFERROR(__xludf.DUMMYFUNCTION("""COMPUTED_VALUE"""),"")</f>
        <v/>
      </c>
      <c r="AM230" s="250" t="str">
        <f>IFERROR(__xludf.DUMMYFUNCTION("""COMPUTED_VALUE"""),"")</f>
        <v/>
      </c>
      <c r="AN230" s="251" t="str">
        <f>IFERROR(__xludf.DUMMYFUNCTION("""COMPUTED_VALUE"""),"")</f>
        <v/>
      </c>
      <c r="AO230" s="249" t="str">
        <f>IFERROR(__xludf.DUMMYFUNCTION("""COMPUTED_VALUE"""),"")</f>
        <v/>
      </c>
      <c r="AP230" s="250" t="str">
        <f>IFERROR(__xludf.DUMMYFUNCTION("""COMPUTED_VALUE"""),"")</f>
        <v/>
      </c>
      <c r="AQ230" s="251">
        <f>IFERROR(__xludf.DUMMYFUNCTION("""COMPUTED_VALUE"""),25.0)</f>
        <v>25</v>
      </c>
      <c r="AR230" s="249" t="str">
        <f>IFERROR(__xludf.DUMMYFUNCTION("""COMPUTED_VALUE"""),"")</f>
        <v/>
      </c>
      <c r="AS230" s="250" t="str">
        <f>IFERROR(__xludf.DUMMYFUNCTION("""COMPUTED_VALUE"""),"")</f>
        <v/>
      </c>
      <c r="AT230" s="251" t="str">
        <f>IFERROR(__xludf.DUMMYFUNCTION("""COMPUTED_VALUE"""),"")</f>
        <v/>
      </c>
      <c r="AU230" s="249" t="str">
        <f>IFERROR(__xludf.DUMMYFUNCTION("""COMPUTED_VALUE"""),"")</f>
        <v/>
      </c>
      <c r="AV230" s="250" t="str">
        <f>IFERROR(__xludf.DUMMYFUNCTION("""COMPUTED_VALUE"""),"")</f>
        <v/>
      </c>
      <c r="AW230" s="251" t="str">
        <f>IFERROR(__xludf.DUMMYFUNCTION("""COMPUTED_VALUE"""),"")</f>
        <v/>
      </c>
      <c r="AX230" s="249" t="str">
        <f>IFERROR(__xludf.DUMMYFUNCTION("""COMPUTED_VALUE"""),"")</f>
        <v/>
      </c>
      <c r="AY230" s="250" t="str">
        <f>IFERROR(__xludf.DUMMYFUNCTION("""COMPUTED_VALUE"""),"")</f>
        <v/>
      </c>
      <c r="AZ230" s="251" t="str">
        <f>IFERROR(__xludf.DUMMYFUNCTION("""COMPUTED_VALUE"""),"")</f>
        <v/>
      </c>
      <c r="BA230" s="249" t="str">
        <f>IFERROR(__xludf.DUMMYFUNCTION("""COMPUTED_VALUE"""),"")</f>
        <v/>
      </c>
      <c r="BB230" s="250" t="str">
        <f>IFERROR(__xludf.DUMMYFUNCTION("""COMPUTED_VALUE"""),"")</f>
        <v/>
      </c>
      <c r="BC230" s="251" t="str">
        <f>IFERROR(__xludf.DUMMYFUNCTION("""COMPUTED_VALUE"""),"")</f>
        <v/>
      </c>
      <c r="BD230" s="249">
        <f>IFERROR(__xludf.DUMMYFUNCTION("""COMPUTED_VALUE"""),3.9)</f>
        <v>3.9</v>
      </c>
      <c r="BE230" s="250" t="str">
        <f>IFERROR(__xludf.DUMMYFUNCTION("""COMPUTED_VALUE"""),"")</f>
        <v/>
      </c>
      <c r="BF230" s="251" t="str">
        <f>IFERROR(__xludf.DUMMYFUNCTION("""COMPUTED_VALUE"""),"")</f>
        <v/>
      </c>
      <c r="BG230" s="249" t="str">
        <f>IFERROR(__xludf.DUMMYFUNCTION("""COMPUTED_VALUE"""),"")</f>
        <v/>
      </c>
      <c r="BH230" s="250" t="str">
        <f>IFERROR(__xludf.DUMMYFUNCTION("""COMPUTED_VALUE"""),"")</f>
        <v/>
      </c>
      <c r="BI230" s="251" t="str">
        <f>IFERROR(__xludf.DUMMYFUNCTION("""COMPUTED_VALUE"""),"")</f>
        <v/>
      </c>
      <c r="BJ230" s="249" t="str">
        <f>IFERROR(__xludf.DUMMYFUNCTION("""COMPUTED_VALUE"""),"")</f>
        <v/>
      </c>
      <c r="BK230" s="250" t="str">
        <f>IFERROR(__xludf.DUMMYFUNCTION("""COMPUTED_VALUE"""),"")</f>
        <v/>
      </c>
      <c r="BL230" s="251" t="str">
        <f>IFERROR(__xludf.DUMMYFUNCTION("""COMPUTED_VALUE"""),"")</f>
        <v/>
      </c>
      <c r="BM230" s="249" t="str">
        <f>IFERROR(__xludf.DUMMYFUNCTION("""COMPUTED_VALUE"""),"")</f>
        <v/>
      </c>
      <c r="BN230" s="250" t="str">
        <f>IFERROR(__xludf.DUMMYFUNCTION("""COMPUTED_VALUE"""),"")</f>
        <v/>
      </c>
      <c r="BO230" s="251">
        <f>IFERROR(__xludf.DUMMYFUNCTION("""COMPUTED_VALUE"""),20.1)</f>
        <v>20.1</v>
      </c>
      <c r="BP230" s="249">
        <f>IFERROR(__xludf.DUMMYFUNCTION("""COMPUTED_VALUE"""),20.1)</f>
        <v>20.1</v>
      </c>
      <c r="BQ230" s="250" t="str">
        <f>IFERROR(__xludf.DUMMYFUNCTION("""COMPUTED_VALUE"""),"")</f>
        <v/>
      </c>
      <c r="BR230" s="251" t="str">
        <f>IFERROR(__xludf.DUMMYFUNCTION("""COMPUTED_VALUE"""),"")</f>
        <v/>
      </c>
      <c r="BS230" s="249" t="str">
        <f>IFERROR(__xludf.DUMMYFUNCTION("""COMPUTED_VALUE"""),"")</f>
        <v/>
      </c>
      <c r="BT230" s="250" t="str">
        <f>IFERROR(__xludf.DUMMYFUNCTION("""COMPUTED_VALUE"""),"")</f>
        <v/>
      </c>
      <c r="BU230" s="251" t="str">
        <f>IFERROR(__xludf.DUMMYFUNCTION("""COMPUTED_VALUE"""),"")</f>
        <v/>
      </c>
      <c r="BV230" s="249" t="str">
        <f>IFERROR(__xludf.DUMMYFUNCTION("""COMPUTED_VALUE"""),"")</f>
        <v/>
      </c>
      <c r="BW230" s="250" t="str">
        <f>IFERROR(__xludf.DUMMYFUNCTION("""COMPUTED_VALUE"""),"")</f>
        <v/>
      </c>
      <c r="BX230" s="251" t="str">
        <f>IFERROR(__xludf.DUMMYFUNCTION("""COMPUTED_VALUE"""),"")</f>
        <v/>
      </c>
      <c r="BY230" s="249" t="str">
        <f>IFERROR(__xludf.DUMMYFUNCTION("""COMPUTED_VALUE"""),"")</f>
        <v/>
      </c>
      <c r="BZ230" s="250" t="str">
        <f>IFERROR(__xludf.DUMMYFUNCTION("""COMPUTED_VALUE"""),"")</f>
        <v/>
      </c>
      <c r="CA230" s="251" t="str">
        <f>IFERROR(__xludf.DUMMYFUNCTION("""COMPUTED_VALUE"""),"")</f>
        <v/>
      </c>
      <c r="CB230" s="249" t="str">
        <f>IFERROR(__xludf.DUMMYFUNCTION("""COMPUTED_VALUE"""),"")</f>
        <v/>
      </c>
      <c r="CC230" s="250" t="str">
        <f>IFERROR(__xludf.DUMMYFUNCTION("""COMPUTED_VALUE"""),"")</f>
        <v/>
      </c>
      <c r="CD230" s="251" t="str">
        <f>IFERROR(__xludf.DUMMYFUNCTION("""COMPUTED_VALUE"""),"")</f>
        <v/>
      </c>
      <c r="CE230" s="252" t="str">
        <f>IFERROR(__xludf.DUMMYFUNCTION("""COMPUTED_VALUE"""),"")</f>
        <v/>
      </c>
      <c r="CF230" s="253" t="str">
        <f>IFERROR(__xludf.DUMMYFUNCTION("""COMPUTED_VALUE"""),"")</f>
        <v/>
      </c>
      <c r="CG230" s="254" t="str">
        <f>IFERROR(__xludf.DUMMYFUNCTION("""COMPUTED_VALUE"""),"")</f>
        <v/>
      </c>
      <c r="CH230" s="252" t="str">
        <f>IFERROR(__xludf.DUMMYFUNCTION("""COMPUTED_VALUE"""),"")</f>
        <v/>
      </c>
      <c r="CI230" s="253" t="str">
        <f>IFERROR(__xludf.DUMMYFUNCTION("""COMPUTED_VALUE"""),"")</f>
        <v/>
      </c>
      <c r="CJ230" s="254" t="str">
        <f>IFERROR(__xludf.DUMMYFUNCTION("""COMPUTED_VALUE"""),"")</f>
        <v/>
      </c>
      <c r="CK230" s="204" t="str">
        <f>IFERROR(__xludf.DUMMYFUNCTION("""COMPUTED_VALUE"""),"")</f>
        <v/>
      </c>
      <c r="CL230" s="205" t="str">
        <f>IFERROR(__xludf.DUMMYFUNCTION("""COMPUTED_VALUE"""),"")</f>
        <v/>
      </c>
      <c r="CM230" s="206">
        <f>IFERROR(__xludf.DUMMYFUNCTION("""COMPUTED_VALUE"""),5.0)</f>
        <v>5</v>
      </c>
      <c r="CN230" s="204" t="str">
        <f>IFERROR(__xludf.DUMMYFUNCTION("""COMPUTED_VALUE"""),"")</f>
        <v/>
      </c>
      <c r="CO230" s="205" t="str">
        <f>IFERROR(__xludf.DUMMYFUNCTION("""COMPUTED_VALUE"""),"")</f>
        <v/>
      </c>
      <c r="CP230" s="206" t="str">
        <f>IFERROR(__xludf.DUMMYFUNCTION("""COMPUTED_VALUE"""),"")</f>
        <v/>
      </c>
      <c r="CQ230" s="204" t="str">
        <f>IFERROR(__xludf.DUMMYFUNCTION("""COMPUTED_VALUE"""),"")</f>
        <v/>
      </c>
      <c r="CR230" s="205" t="str">
        <f>IFERROR(__xludf.DUMMYFUNCTION("""COMPUTED_VALUE"""),"")</f>
        <v/>
      </c>
      <c r="CS230" s="206" t="str">
        <f>IFERROR(__xludf.DUMMYFUNCTION("""COMPUTED_VALUE"""),"#REF!")</f>
        <v>#REF!</v>
      </c>
      <c r="CT230" s="204" t="str">
        <f>IFERROR(__xludf.DUMMYFUNCTION("""COMPUTED_VALUE"""),"#REF!")</f>
        <v>#REF!</v>
      </c>
      <c r="CU230" s="205" t="str">
        <f>IFERROR(__xludf.DUMMYFUNCTION("""COMPUTED_VALUE"""),"#REF!")</f>
        <v>#REF!</v>
      </c>
      <c r="CV230" s="206" t="str">
        <f>IFERROR(__xludf.DUMMYFUNCTION("""COMPUTED_VALUE"""),"#REF!")</f>
        <v>#REF!</v>
      </c>
      <c r="CW230" s="204" t="str">
        <f>IFERROR(__xludf.DUMMYFUNCTION("""COMPUTED_VALUE"""),"#REF!")</f>
        <v>#REF!</v>
      </c>
      <c r="CX230" s="205" t="str">
        <f>IFERROR(__xludf.DUMMYFUNCTION("""COMPUTED_VALUE"""),"#REF!")</f>
        <v>#REF!</v>
      </c>
      <c r="CY230" s="206" t="str">
        <f>IFERROR(__xludf.DUMMYFUNCTION("""COMPUTED_VALUE"""),"#REF!")</f>
        <v>#REF!</v>
      </c>
      <c r="CZ230" s="204" t="str">
        <f>IFERROR(__xludf.DUMMYFUNCTION("""COMPUTED_VALUE"""),"#REF!")</f>
        <v>#REF!</v>
      </c>
      <c r="DA230" s="205" t="str">
        <f>IFERROR(__xludf.DUMMYFUNCTION("""COMPUTED_VALUE"""),"#REF!")</f>
        <v>#REF!</v>
      </c>
      <c r="DB230" s="206" t="str">
        <f>IFERROR(__xludf.DUMMYFUNCTION("""COMPUTED_VALUE"""),"#REF!")</f>
        <v>#REF!</v>
      </c>
      <c r="DC230" s="204" t="str">
        <f>IFERROR(__xludf.DUMMYFUNCTION("""COMPUTED_VALUE"""),"#REF!")</f>
        <v>#REF!</v>
      </c>
      <c r="DD230" s="205" t="str">
        <f>IFERROR(__xludf.DUMMYFUNCTION("""COMPUTED_VALUE"""),"#REF!")</f>
        <v>#REF!</v>
      </c>
      <c r="DE230" s="206" t="str">
        <f>IFERROR(__xludf.DUMMYFUNCTION("""COMPUTED_VALUE"""),"#REF!")</f>
        <v>#REF!</v>
      </c>
      <c r="DF230" s="204" t="str">
        <f>IFERROR(__xludf.DUMMYFUNCTION("""COMPUTED_VALUE"""),"#REF!")</f>
        <v>#REF!</v>
      </c>
      <c r="DG230" s="205" t="str">
        <f>IFERROR(__xludf.DUMMYFUNCTION("""COMPUTED_VALUE"""),"#REF!")</f>
        <v>#REF!</v>
      </c>
      <c r="DH230" s="206" t="str">
        <f>IFERROR(__xludf.DUMMYFUNCTION("""COMPUTED_VALUE"""),"#REF!")</f>
        <v>#REF!</v>
      </c>
      <c r="DI230" s="204" t="str">
        <f>IFERROR(__xludf.DUMMYFUNCTION("""COMPUTED_VALUE"""),"#REF!")</f>
        <v>#REF!</v>
      </c>
      <c r="DJ230" s="205" t="str">
        <f>IFERROR(__xludf.DUMMYFUNCTION("""COMPUTED_VALUE"""),"#REF!")</f>
        <v>#REF!</v>
      </c>
      <c r="DK230" s="206" t="str">
        <f>IFERROR(__xludf.DUMMYFUNCTION("""COMPUTED_VALUE"""),"#REF!")</f>
        <v>#REF!</v>
      </c>
      <c r="DL230" s="204" t="str">
        <f>IFERROR(__xludf.DUMMYFUNCTION("""COMPUTED_VALUE"""),"#REF!")</f>
        <v>#REF!</v>
      </c>
      <c r="DM230" s="205" t="str">
        <f>IFERROR(__xludf.DUMMYFUNCTION("""COMPUTED_VALUE"""),"#REF!")</f>
        <v>#REF!</v>
      </c>
      <c r="DN230" s="206" t="str">
        <f>IFERROR(__xludf.DUMMYFUNCTION("""COMPUTED_VALUE"""),"#REF!")</f>
        <v>#REF!</v>
      </c>
      <c r="DO230" s="204" t="str">
        <f>IFERROR(__xludf.DUMMYFUNCTION("""COMPUTED_VALUE"""),"#REF!")</f>
        <v>#REF!</v>
      </c>
      <c r="DP230" s="205" t="str">
        <f>IFERROR(__xludf.DUMMYFUNCTION("""COMPUTED_VALUE"""),"#REF!")</f>
        <v>#REF!</v>
      </c>
      <c r="DQ230" s="206"/>
      <c r="DR230" s="204"/>
    </row>
    <row r="231">
      <c r="B231" s="189" t="str">
        <f>IFERROR(__xludf.DUMMYFUNCTION("""COMPUTED_VALUE"""),"ATL3")</f>
        <v>ATL3</v>
      </c>
      <c r="C231" s="190">
        <f>IFERROR(__xludf.DUMMYFUNCTION("""COMPUTED_VALUE"""),230.0)</f>
        <v>230</v>
      </c>
      <c r="D231" s="239" t="str">
        <f>IFERROR(__xludf.DUMMYFUNCTION("""COMPUTED_VALUE"""),"Hecate Island")</f>
        <v>Hecate Island</v>
      </c>
      <c r="E231" s="190" t="str">
        <f>IFERROR(__xludf.DUMMYFUNCTION("""COMPUTED_VALUE"""),"ヘカテ島")</f>
        <v>ヘカテ島</v>
      </c>
      <c r="F231" s="240">
        <f>IFERROR(__xludf.DUMMYFUNCTION("""COMPUTED_VALUE"""),21.0)</f>
        <v>21</v>
      </c>
      <c r="G231" s="190">
        <f>IFERROR(__xludf.DUMMYFUNCTION("""COMPUTED_VALUE"""),5012.0)</f>
        <v>5012</v>
      </c>
      <c r="H231" s="241">
        <f>IFERROR(__xludf.DUMMYFUNCTION("""COMPUTED_VALUE"""),19.6)</f>
        <v>19.6</v>
      </c>
      <c r="I231" s="242" t="str">
        <f>IFERROR(__xludf.DUMMYFUNCTION("""COMPUTED_VALUE"""),"")</f>
        <v/>
      </c>
      <c r="J231" s="243" t="str">
        <f>IFERROR(__xludf.DUMMYFUNCTION("""COMPUTED_VALUE"""),"")</f>
        <v/>
      </c>
      <c r="K231" s="241" t="str">
        <f>IFERROR(__xludf.DUMMYFUNCTION("""COMPUTED_VALUE"""),"")</f>
        <v/>
      </c>
      <c r="L231" s="242" t="str">
        <f>IFERROR(__xludf.DUMMYFUNCTION("""COMPUTED_VALUE"""),"")</f>
        <v/>
      </c>
      <c r="M231" s="243" t="str">
        <f>IFERROR(__xludf.DUMMYFUNCTION("""COMPUTED_VALUE"""),"")</f>
        <v/>
      </c>
      <c r="N231" s="241" t="str">
        <f>IFERROR(__xludf.DUMMYFUNCTION("""COMPUTED_VALUE"""),"")</f>
        <v/>
      </c>
      <c r="O231" s="242" t="str">
        <f>IFERROR(__xludf.DUMMYFUNCTION("""COMPUTED_VALUE"""),"")</f>
        <v/>
      </c>
      <c r="P231" s="243" t="str">
        <f>IFERROR(__xludf.DUMMYFUNCTION("""COMPUTED_VALUE"""),"")</f>
        <v/>
      </c>
      <c r="Q231" s="241" t="str">
        <f>IFERROR(__xludf.DUMMYFUNCTION("""COMPUTED_VALUE"""),"")</f>
        <v/>
      </c>
      <c r="R231" s="242" t="str">
        <f>IFERROR(__xludf.DUMMYFUNCTION("""COMPUTED_VALUE"""),"")</f>
        <v/>
      </c>
      <c r="S231" s="243" t="str">
        <f>IFERROR(__xludf.DUMMYFUNCTION("""COMPUTED_VALUE"""),"")</f>
        <v/>
      </c>
      <c r="T231" s="241" t="str">
        <f>IFERROR(__xludf.DUMMYFUNCTION("""COMPUTED_VALUE"""),"")</f>
        <v/>
      </c>
      <c r="U231" s="242" t="str">
        <f>IFERROR(__xludf.DUMMYFUNCTION("""COMPUTED_VALUE"""),"")</f>
        <v/>
      </c>
      <c r="V231" s="243" t="str">
        <f>IFERROR(__xludf.DUMMYFUNCTION("""COMPUTED_VALUE"""),"")</f>
        <v/>
      </c>
      <c r="W231" s="241" t="str">
        <f>IFERROR(__xludf.DUMMYFUNCTION("""COMPUTED_VALUE"""),"")</f>
        <v/>
      </c>
      <c r="X231" s="242" t="str">
        <f>IFERROR(__xludf.DUMMYFUNCTION("""COMPUTED_VALUE"""),"")</f>
        <v/>
      </c>
      <c r="Y231" s="243" t="str">
        <f>IFERROR(__xludf.DUMMYFUNCTION("""COMPUTED_VALUE"""),"")</f>
        <v/>
      </c>
      <c r="Z231" s="241" t="str">
        <f>IFERROR(__xludf.DUMMYFUNCTION("""COMPUTED_VALUE"""),"")</f>
        <v/>
      </c>
      <c r="AA231" s="242" t="str">
        <f>IFERROR(__xludf.DUMMYFUNCTION("""COMPUTED_VALUE"""),"")</f>
        <v/>
      </c>
      <c r="AB231" s="243" t="str">
        <f>IFERROR(__xludf.DUMMYFUNCTION("""COMPUTED_VALUE"""),"")</f>
        <v/>
      </c>
      <c r="AC231" s="241" t="str">
        <f>IFERROR(__xludf.DUMMYFUNCTION("""COMPUTED_VALUE"""),"")</f>
        <v/>
      </c>
      <c r="AD231" s="242" t="str">
        <f>IFERROR(__xludf.DUMMYFUNCTION("""COMPUTED_VALUE"""),"")</f>
        <v/>
      </c>
      <c r="AE231" s="243" t="str">
        <f>IFERROR(__xludf.DUMMYFUNCTION("""COMPUTED_VALUE"""),"")</f>
        <v/>
      </c>
      <c r="AF231" s="241" t="str">
        <f>IFERROR(__xludf.DUMMYFUNCTION("""COMPUTED_VALUE"""),"")</f>
        <v/>
      </c>
      <c r="AG231" s="242" t="str">
        <f>IFERROR(__xludf.DUMMYFUNCTION("""COMPUTED_VALUE"""),"")</f>
        <v/>
      </c>
      <c r="AH231" s="243" t="str">
        <f>IFERROR(__xludf.DUMMYFUNCTION("""COMPUTED_VALUE"""),"")</f>
        <v/>
      </c>
      <c r="AI231" s="241" t="str">
        <f>IFERROR(__xludf.DUMMYFUNCTION("""COMPUTED_VALUE"""),"")</f>
        <v/>
      </c>
      <c r="AJ231" s="242" t="str">
        <f>IFERROR(__xludf.DUMMYFUNCTION("""COMPUTED_VALUE"""),"")</f>
        <v/>
      </c>
      <c r="AK231" s="243" t="str">
        <f>IFERROR(__xludf.DUMMYFUNCTION("""COMPUTED_VALUE"""),"")</f>
        <v/>
      </c>
      <c r="AL231" s="241" t="str">
        <f>IFERROR(__xludf.DUMMYFUNCTION("""COMPUTED_VALUE"""),"")</f>
        <v/>
      </c>
      <c r="AM231" s="242" t="str">
        <f>IFERROR(__xludf.DUMMYFUNCTION("""COMPUTED_VALUE"""),"")</f>
        <v/>
      </c>
      <c r="AN231" s="243" t="str">
        <f>IFERROR(__xludf.DUMMYFUNCTION("""COMPUTED_VALUE"""),"")</f>
        <v/>
      </c>
      <c r="AO231" s="241" t="str">
        <f>IFERROR(__xludf.DUMMYFUNCTION("""COMPUTED_VALUE"""),"")</f>
        <v/>
      </c>
      <c r="AP231" s="242" t="str">
        <f>IFERROR(__xludf.DUMMYFUNCTION("""COMPUTED_VALUE"""),"")</f>
        <v/>
      </c>
      <c r="AQ231" s="243">
        <f>IFERROR(__xludf.DUMMYFUNCTION("""COMPUTED_VALUE"""),25.0)</f>
        <v>25</v>
      </c>
      <c r="AR231" s="241" t="str">
        <f>IFERROR(__xludf.DUMMYFUNCTION("""COMPUTED_VALUE"""),"")</f>
        <v/>
      </c>
      <c r="AS231" s="242" t="str">
        <f>IFERROR(__xludf.DUMMYFUNCTION("""COMPUTED_VALUE"""),"")</f>
        <v/>
      </c>
      <c r="AT231" s="243" t="str">
        <f>IFERROR(__xludf.DUMMYFUNCTION("""COMPUTED_VALUE"""),"")</f>
        <v/>
      </c>
      <c r="AU231" s="241" t="str">
        <f>IFERROR(__xludf.DUMMYFUNCTION("""COMPUTED_VALUE"""),"")</f>
        <v/>
      </c>
      <c r="AV231" s="242" t="str">
        <f>IFERROR(__xludf.DUMMYFUNCTION("""COMPUTED_VALUE"""),"")</f>
        <v/>
      </c>
      <c r="AW231" s="243" t="str">
        <f>IFERROR(__xludf.DUMMYFUNCTION("""COMPUTED_VALUE"""),"")</f>
        <v/>
      </c>
      <c r="AX231" s="241" t="str">
        <f>IFERROR(__xludf.DUMMYFUNCTION("""COMPUTED_VALUE"""),"")</f>
        <v/>
      </c>
      <c r="AY231" s="242" t="str">
        <f>IFERROR(__xludf.DUMMYFUNCTION("""COMPUTED_VALUE"""),"")</f>
        <v/>
      </c>
      <c r="AZ231" s="243" t="str">
        <f>IFERROR(__xludf.DUMMYFUNCTION("""COMPUTED_VALUE"""),"")</f>
        <v/>
      </c>
      <c r="BA231" s="241" t="str">
        <f>IFERROR(__xludf.DUMMYFUNCTION("""COMPUTED_VALUE"""),"")</f>
        <v/>
      </c>
      <c r="BB231" s="242" t="str">
        <f>IFERROR(__xludf.DUMMYFUNCTION("""COMPUTED_VALUE"""),"")</f>
        <v/>
      </c>
      <c r="BC231" s="243" t="str">
        <f>IFERROR(__xludf.DUMMYFUNCTION("""COMPUTED_VALUE"""),"")</f>
        <v/>
      </c>
      <c r="BD231" s="241" t="str">
        <f>IFERROR(__xludf.DUMMYFUNCTION("""COMPUTED_VALUE"""),"")</f>
        <v/>
      </c>
      <c r="BE231" s="242" t="str">
        <f>IFERROR(__xludf.DUMMYFUNCTION("""COMPUTED_VALUE"""),"")</f>
        <v/>
      </c>
      <c r="BF231" s="243" t="str">
        <f>IFERROR(__xludf.DUMMYFUNCTION("""COMPUTED_VALUE"""),"")</f>
        <v/>
      </c>
      <c r="BG231" s="241" t="str">
        <f>IFERROR(__xludf.DUMMYFUNCTION("""COMPUTED_VALUE"""),"")</f>
        <v/>
      </c>
      <c r="BH231" s="242" t="str">
        <f>IFERROR(__xludf.DUMMYFUNCTION("""COMPUTED_VALUE"""),"")</f>
        <v/>
      </c>
      <c r="BI231" s="243" t="str">
        <f>IFERROR(__xludf.DUMMYFUNCTION("""COMPUTED_VALUE"""),"")</f>
        <v/>
      </c>
      <c r="BJ231" s="241" t="str">
        <f>IFERROR(__xludf.DUMMYFUNCTION("""COMPUTED_VALUE"""),"")</f>
        <v/>
      </c>
      <c r="BK231" s="242" t="str">
        <f>IFERROR(__xludf.DUMMYFUNCTION("""COMPUTED_VALUE"""),"")</f>
        <v/>
      </c>
      <c r="BL231" s="243" t="str">
        <f>IFERROR(__xludf.DUMMYFUNCTION("""COMPUTED_VALUE"""),"")</f>
        <v/>
      </c>
      <c r="BM231" s="241" t="str">
        <f>IFERROR(__xludf.DUMMYFUNCTION("""COMPUTED_VALUE"""),"")</f>
        <v/>
      </c>
      <c r="BN231" s="242" t="str">
        <f>IFERROR(__xludf.DUMMYFUNCTION("""COMPUTED_VALUE"""),"")</f>
        <v/>
      </c>
      <c r="BO231" s="243" t="str">
        <f>IFERROR(__xludf.DUMMYFUNCTION("""COMPUTED_VALUE"""),"")</f>
        <v/>
      </c>
      <c r="BP231" s="241">
        <f>IFERROR(__xludf.DUMMYFUNCTION("""COMPUTED_VALUE"""),48.4)</f>
        <v>48.4</v>
      </c>
      <c r="BQ231" s="242" t="str">
        <f>IFERROR(__xludf.DUMMYFUNCTION("""COMPUTED_VALUE"""),"")</f>
        <v/>
      </c>
      <c r="BR231" s="243" t="str">
        <f>IFERROR(__xludf.DUMMYFUNCTION("""COMPUTED_VALUE"""),"")</f>
        <v/>
      </c>
      <c r="BS231" s="241" t="str">
        <f>IFERROR(__xludf.DUMMYFUNCTION("""COMPUTED_VALUE"""),"")</f>
        <v/>
      </c>
      <c r="BT231" s="242" t="str">
        <f>IFERROR(__xludf.DUMMYFUNCTION("""COMPUTED_VALUE"""),"")</f>
        <v/>
      </c>
      <c r="BU231" s="243" t="str">
        <f>IFERROR(__xludf.DUMMYFUNCTION("""COMPUTED_VALUE"""),"")</f>
        <v/>
      </c>
      <c r="BV231" s="241" t="str">
        <f>IFERROR(__xludf.DUMMYFUNCTION("""COMPUTED_VALUE"""),"")</f>
        <v/>
      </c>
      <c r="BW231" s="242" t="str">
        <f>IFERROR(__xludf.DUMMYFUNCTION("""COMPUTED_VALUE"""),"")</f>
        <v/>
      </c>
      <c r="BX231" s="243" t="str">
        <f>IFERROR(__xludf.DUMMYFUNCTION("""COMPUTED_VALUE"""),"")</f>
        <v/>
      </c>
      <c r="BY231" s="241" t="str">
        <f>IFERROR(__xludf.DUMMYFUNCTION("""COMPUTED_VALUE"""),"")</f>
        <v/>
      </c>
      <c r="BZ231" s="242" t="str">
        <f>IFERROR(__xludf.DUMMYFUNCTION("""COMPUTED_VALUE"""),"")</f>
        <v/>
      </c>
      <c r="CA231" s="243" t="str">
        <f>IFERROR(__xludf.DUMMYFUNCTION("""COMPUTED_VALUE"""),"")</f>
        <v/>
      </c>
      <c r="CB231" s="241" t="str">
        <f>IFERROR(__xludf.DUMMYFUNCTION("""COMPUTED_VALUE"""),"")</f>
        <v/>
      </c>
      <c r="CC231" s="242" t="str">
        <f>IFERROR(__xludf.DUMMYFUNCTION("""COMPUTED_VALUE"""),"")</f>
        <v/>
      </c>
      <c r="CD231" s="243" t="str">
        <f>IFERROR(__xludf.DUMMYFUNCTION("""COMPUTED_VALUE"""),"")</f>
        <v/>
      </c>
      <c r="CE231" s="244" t="str">
        <f>IFERROR(__xludf.DUMMYFUNCTION("""COMPUTED_VALUE"""),"")</f>
        <v/>
      </c>
      <c r="CF231" s="245" t="str">
        <f>IFERROR(__xludf.DUMMYFUNCTION("""COMPUTED_VALUE"""),"")</f>
        <v/>
      </c>
      <c r="CG231" s="246" t="str">
        <f>IFERROR(__xludf.DUMMYFUNCTION("""COMPUTED_VALUE"""),"")</f>
        <v/>
      </c>
      <c r="CH231" s="244" t="str">
        <f>IFERROR(__xludf.DUMMYFUNCTION("""COMPUTED_VALUE"""),"")</f>
        <v/>
      </c>
      <c r="CI231" s="245" t="str">
        <f>IFERROR(__xludf.DUMMYFUNCTION("""COMPUTED_VALUE"""),"")</f>
        <v/>
      </c>
      <c r="CJ231" s="246" t="str">
        <f>IFERROR(__xludf.DUMMYFUNCTION("""COMPUTED_VALUE"""),"")</f>
        <v/>
      </c>
      <c r="CK231" s="194" t="str">
        <f>IFERROR(__xludf.DUMMYFUNCTION("""COMPUTED_VALUE"""),"")</f>
        <v/>
      </c>
      <c r="CL231" s="195" t="str">
        <f>IFERROR(__xludf.DUMMYFUNCTION("""COMPUTED_VALUE"""),"")</f>
        <v/>
      </c>
      <c r="CM231" s="196" t="str">
        <f>IFERROR(__xludf.DUMMYFUNCTION("""COMPUTED_VALUE"""),"")</f>
        <v/>
      </c>
      <c r="CN231" s="194" t="str">
        <f>IFERROR(__xludf.DUMMYFUNCTION("""COMPUTED_VALUE"""),"")</f>
        <v/>
      </c>
      <c r="CO231" s="195" t="str">
        <f>IFERROR(__xludf.DUMMYFUNCTION("""COMPUTED_VALUE"""),"")</f>
        <v/>
      </c>
      <c r="CP231" s="196" t="str">
        <f>IFERROR(__xludf.DUMMYFUNCTION("""COMPUTED_VALUE"""),"")</f>
        <v/>
      </c>
      <c r="CQ231" s="194" t="str">
        <f>IFERROR(__xludf.DUMMYFUNCTION("""COMPUTED_VALUE"""),"")</f>
        <v/>
      </c>
      <c r="CR231" s="195">
        <f>IFERROR(__xludf.DUMMYFUNCTION("""COMPUTED_VALUE"""),4.0)</f>
        <v>4</v>
      </c>
      <c r="CS231" s="196" t="str">
        <f>IFERROR(__xludf.DUMMYFUNCTION("""COMPUTED_VALUE"""),"#REF!")</f>
        <v>#REF!</v>
      </c>
      <c r="CT231" s="194" t="str">
        <f>IFERROR(__xludf.DUMMYFUNCTION("""COMPUTED_VALUE"""),"#REF!")</f>
        <v>#REF!</v>
      </c>
      <c r="CU231" s="195" t="str">
        <f>IFERROR(__xludf.DUMMYFUNCTION("""COMPUTED_VALUE"""),"#REF!")</f>
        <v>#REF!</v>
      </c>
      <c r="CV231" s="196" t="str">
        <f>IFERROR(__xludf.DUMMYFUNCTION("""COMPUTED_VALUE"""),"#REF!")</f>
        <v>#REF!</v>
      </c>
      <c r="CW231" s="194" t="str">
        <f>IFERROR(__xludf.DUMMYFUNCTION("""COMPUTED_VALUE"""),"#REF!")</f>
        <v>#REF!</v>
      </c>
      <c r="CX231" s="195" t="str">
        <f>IFERROR(__xludf.DUMMYFUNCTION("""COMPUTED_VALUE"""),"#REF!")</f>
        <v>#REF!</v>
      </c>
      <c r="CY231" s="196" t="str">
        <f>IFERROR(__xludf.DUMMYFUNCTION("""COMPUTED_VALUE"""),"#REF!")</f>
        <v>#REF!</v>
      </c>
      <c r="CZ231" s="194" t="str">
        <f>IFERROR(__xludf.DUMMYFUNCTION("""COMPUTED_VALUE"""),"#REF!")</f>
        <v>#REF!</v>
      </c>
      <c r="DA231" s="195" t="str">
        <f>IFERROR(__xludf.DUMMYFUNCTION("""COMPUTED_VALUE"""),"#REF!")</f>
        <v>#REF!</v>
      </c>
      <c r="DB231" s="196" t="str">
        <f>IFERROR(__xludf.DUMMYFUNCTION("""COMPUTED_VALUE"""),"#REF!")</f>
        <v>#REF!</v>
      </c>
      <c r="DC231" s="194" t="str">
        <f>IFERROR(__xludf.DUMMYFUNCTION("""COMPUTED_VALUE"""),"#REF!")</f>
        <v>#REF!</v>
      </c>
      <c r="DD231" s="195" t="str">
        <f>IFERROR(__xludf.DUMMYFUNCTION("""COMPUTED_VALUE"""),"#REF!")</f>
        <v>#REF!</v>
      </c>
      <c r="DE231" s="196" t="str">
        <f>IFERROR(__xludf.DUMMYFUNCTION("""COMPUTED_VALUE"""),"#REF!")</f>
        <v>#REF!</v>
      </c>
      <c r="DF231" s="194" t="str">
        <f>IFERROR(__xludf.DUMMYFUNCTION("""COMPUTED_VALUE"""),"#REF!")</f>
        <v>#REF!</v>
      </c>
      <c r="DG231" s="195" t="str">
        <f>IFERROR(__xludf.DUMMYFUNCTION("""COMPUTED_VALUE"""),"#REF!")</f>
        <v>#REF!</v>
      </c>
      <c r="DH231" s="196" t="str">
        <f>IFERROR(__xludf.DUMMYFUNCTION("""COMPUTED_VALUE"""),"#REF!")</f>
        <v>#REF!</v>
      </c>
      <c r="DI231" s="194" t="str">
        <f>IFERROR(__xludf.DUMMYFUNCTION("""COMPUTED_VALUE"""),"#REF!")</f>
        <v>#REF!</v>
      </c>
      <c r="DJ231" s="195" t="str">
        <f>IFERROR(__xludf.DUMMYFUNCTION("""COMPUTED_VALUE"""),"#REF!")</f>
        <v>#REF!</v>
      </c>
      <c r="DK231" s="196" t="str">
        <f>IFERROR(__xludf.DUMMYFUNCTION("""COMPUTED_VALUE"""),"#REF!")</f>
        <v>#REF!</v>
      </c>
      <c r="DL231" s="194" t="str">
        <f>IFERROR(__xludf.DUMMYFUNCTION("""COMPUTED_VALUE"""),"#REF!")</f>
        <v>#REF!</v>
      </c>
      <c r="DM231" s="195" t="str">
        <f>IFERROR(__xludf.DUMMYFUNCTION("""COMPUTED_VALUE"""),"#REF!")</f>
        <v>#REF!</v>
      </c>
      <c r="DN231" s="196" t="str">
        <f>IFERROR(__xludf.DUMMYFUNCTION("""COMPUTED_VALUE"""),"#REF!")</f>
        <v>#REF!</v>
      </c>
      <c r="DO231" s="194" t="str">
        <f>IFERROR(__xludf.DUMMYFUNCTION("""COMPUTED_VALUE"""),"#REF!")</f>
        <v>#REF!</v>
      </c>
      <c r="DP231" s="195" t="str">
        <f>IFERROR(__xludf.DUMMYFUNCTION("""COMPUTED_VALUE"""),"#REF!")</f>
        <v>#REF!</v>
      </c>
      <c r="DQ231" s="196"/>
      <c r="DR231" s="194"/>
    </row>
    <row r="232">
      <c r="B232" s="201" t="str">
        <f>IFERROR(__xludf.DUMMYFUNCTION("""COMPUTED_VALUE"""),"ATL4")</f>
        <v>ATL4</v>
      </c>
      <c r="C232" s="68">
        <f>IFERROR(__xludf.DUMMYFUNCTION("""COMPUTED_VALUE"""),231.0)</f>
        <v>231</v>
      </c>
      <c r="D232" s="247" t="str">
        <f>IFERROR(__xludf.DUMMYFUNCTION("""COMPUTED_VALUE"""),"Deimos Island")</f>
        <v>Deimos Island</v>
      </c>
      <c r="E232" s="68" t="str">
        <f>IFERROR(__xludf.DUMMYFUNCTION("""COMPUTED_VALUE"""),"デイモス島")</f>
        <v>デイモス島</v>
      </c>
      <c r="F232" s="248">
        <f>IFERROR(__xludf.DUMMYFUNCTION("""COMPUTED_VALUE"""),21.0)</f>
        <v>21</v>
      </c>
      <c r="G232" s="68">
        <f>IFERROR(__xludf.DUMMYFUNCTION("""COMPUTED_VALUE"""),6220.0)</f>
        <v>6220</v>
      </c>
      <c r="H232" s="249" t="str">
        <f>IFERROR(__xludf.DUMMYFUNCTION("""COMPUTED_VALUE"""),"")</f>
        <v/>
      </c>
      <c r="I232" s="250" t="str">
        <f>IFERROR(__xludf.DUMMYFUNCTION("""COMPUTED_VALUE"""),"")</f>
        <v/>
      </c>
      <c r="J232" s="251" t="str">
        <f>IFERROR(__xludf.DUMMYFUNCTION("""COMPUTED_VALUE"""),"")</f>
        <v/>
      </c>
      <c r="K232" s="249" t="str">
        <f>IFERROR(__xludf.DUMMYFUNCTION("""COMPUTED_VALUE"""),"")</f>
        <v/>
      </c>
      <c r="L232" s="250" t="str">
        <f>IFERROR(__xludf.DUMMYFUNCTION("""COMPUTED_VALUE"""),"")</f>
        <v/>
      </c>
      <c r="M232" s="251" t="str">
        <f>IFERROR(__xludf.DUMMYFUNCTION("""COMPUTED_VALUE"""),"")</f>
        <v/>
      </c>
      <c r="N232" s="249" t="str">
        <f>IFERROR(__xludf.DUMMYFUNCTION("""COMPUTED_VALUE"""),"")</f>
        <v/>
      </c>
      <c r="O232" s="250" t="str">
        <f>IFERROR(__xludf.DUMMYFUNCTION("""COMPUTED_VALUE"""),"")</f>
        <v/>
      </c>
      <c r="P232" s="251">
        <f>IFERROR(__xludf.DUMMYFUNCTION("""COMPUTED_VALUE"""),12.0)</f>
        <v>12</v>
      </c>
      <c r="Q232" s="249" t="str">
        <f>IFERROR(__xludf.DUMMYFUNCTION("""COMPUTED_VALUE"""),"")</f>
        <v/>
      </c>
      <c r="R232" s="250" t="str">
        <f>IFERROR(__xludf.DUMMYFUNCTION("""COMPUTED_VALUE"""),"")</f>
        <v/>
      </c>
      <c r="S232" s="251" t="str">
        <f>IFERROR(__xludf.DUMMYFUNCTION("""COMPUTED_VALUE"""),"")</f>
        <v/>
      </c>
      <c r="T232" s="249" t="str">
        <f>IFERROR(__xludf.DUMMYFUNCTION("""COMPUTED_VALUE"""),"")</f>
        <v/>
      </c>
      <c r="U232" s="250" t="str">
        <f>IFERROR(__xludf.DUMMYFUNCTION("""COMPUTED_VALUE"""),"")</f>
        <v/>
      </c>
      <c r="V232" s="251" t="str">
        <f>IFERROR(__xludf.DUMMYFUNCTION("""COMPUTED_VALUE"""),"")</f>
        <v/>
      </c>
      <c r="W232" s="249" t="str">
        <f>IFERROR(__xludf.DUMMYFUNCTION("""COMPUTED_VALUE"""),"")</f>
        <v/>
      </c>
      <c r="X232" s="250" t="str">
        <f>IFERROR(__xludf.DUMMYFUNCTION("""COMPUTED_VALUE"""),"")</f>
        <v/>
      </c>
      <c r="Y232" s="251" t="str">
        <f>IFERROR(__xludf.DUMMYFUNCTION("""COMPUTED_VALUE"""),"")</f>
        <v/>
      </c>
      <c r="Z232" s="249" t="str">
        <f>IFERROR(__xludf.DUMMYFUNCTION("""COMPUTED_VALUE"""),"")</f>
        <v/>
      </c>
      <c r="AA232" s="250" t="str">
        <f>IFERROR(__xludf.DUMMYFUNCTION("""COMPUTED_VALUE"""),"")</f>
        <v/>
      </c>
      <c r="AB232" s="251" t="str">
        <f>IFERROR(__xludf.DUMMYFUNCTION("""COMPUTED_VALUE"""),"")</f>
        <v/>
      </c>
      <c r="AC232" s="249" t="str">
        <f>IFERROR(__xludf.DUMMYFUNCTION("""COMPUTED_VALUE"""),"")</f>
        <v/>
      </c>
      <c r="AD232" s="250" t="str">
        <f>IFERROR(__xludf.DUMMYFUNCTION("""COMPUTED_VALUE"""),"")</f>
        <v/>
      </c>
      <c r="AE232" s="251" t="str">
        <f>IFERROR(__xludf.DUMMYFUNCTION("""COMPUTED_VALUE"""),"")</f>
        <v/>
      </c>
      <c r="AF232" s="249" t="str">
        <f>IFERROR(__xludf.DUMMYFUNCTION("""COMPUTED_VALUE"""),"")</f>
        <v/>
      </c>
      <c r="AG232" s="250" t="str">
        <f>IFERROR(__xludf.DUMMYFUNCTION("""COMPUTED_VALUE"""),"")</f>
        <v/>
      </c>
      <c r="AH232" s="251" t="str">
        <f>IFERROR(__xludf.DUMMYFUNCTION("""COMPUTED_VALUE"""),"")</f>
        <v/>
      </c>
      <c r="AI232" s="249" t="str">
        <f>IFERROR(__xludf.DUMMYFUNCTION("""COMPUTED_VALUE"""),"")</f>
        <v/>
      </c>
      <c r="AJ232" s="250" t="str">
        <f>IFERROR(__xludf.DUMMYFUNCTION("""COMPUTED_VALUE"""),"")</f>
        <v/>
      </c>
      <c r="AK232" s="251" t="str">
        <f>IFERROR(__xludf.DUMMYFUNCTION("""COMPUTED_VALUE"""),"")</f>
        <v/>
      </c>
      <c r="AL232" s="249" t="str">
        <f>IFERROR(__xludf.DUMMYFUNCTION("""COMPUTED_VALUE"""),"")</f>
        <v/>
      </c>
      <c r="AM232" s="250" t="str">
        <f>IFERROR(__xludf.DUMMYFUNCTION("""COMPUTED_VALUE"""),"")</f>
        <v/>
      </c>
      <c r="AN232" s="251" t="str">
        <f>IFERROR(__xludf.DUMMYFUNCTION("""COMPUTED_VALUE"""),"")</f>
        <v/>
      </c>
      <c r="AO232" s="249" t="str">
        <f>IFERROR(__xludf.DUMMYFUNCTION("""COMPUTED_VALUE"""),"")</f>
        <v/>
      </c>
      <c r="AP232" s="250" t="str">
        <f>IFERROR(__xludf.DUMMYFUNCTION("""COMPUTED_VALUE"""),"")</f>
        <v/>
      </c>
      <c r="AQ232" s="251">
        <f>IFERROR(__xludf.DUMMYFUNCTION("""COMPUTED_VALUE"""),26.4)</f>
        <v>26.4</v>
      </c>
      <c r="AR232" s="249" t="str">
        <f>IFERROR(__xludf.DUMMYFUNCTION("""COMPUTED_VALUE"""),"")</f>
        <v/>
      </c>
      <c r="AS232" s="250" t="str">
        <f>IFERROR(__xludf.DUMMYFUNCTION("""COMPUTED_VALUE"""),"")</f>
        <v/>
      </c>
      <c r="AT232" s="251" t="str">
        <f>IFERROR(__xludf.DUMMYFUNCTION("""COMPUTED_VALUE"""),"")</f>
        <v/>
      </c>
      <c r="AU232" s="249" t="str">
        <f>IFERROR(__xludf.DUMMYFUNCTION("""COMPUTED_VALUE"""),"")</f>
        <v/>
      </c>
      <c r="AV232" s="250" t="str">
        <f>IFERROR(__xludf.DUMMYFUNCTION("""COMPUTED_VALUE"""),"")</f>
        <v/>
      </c>
      <c r="AW232" s="251" t="str">
        <f>IFERROR(__xludf.DUMMYFUNCTION("""COMPUTED_VALUE"""),"")</f>
        <v/>
      </c>
      <c r="AX232" s="249" t="str">
        <f>IFERROR(__xludf.DUMMYFUNCTION("""COMPUTED_VALUE"""),"")</f>
        <v/>
      </c>
      <c r="AY232" s="250" t="str">
        <f>IFERROR(__xludf.DUMMYFUNCTION("""COMPUTED_VALUE"""),"")</f>
        <v/>
      </c>
      <c r="AZ232" s="251" t="str">
        <f>IFERROR(__xludf.DUMMYFUNCTION("""COMPUTED_VALUE"""),"")</f>
        <v/>
      </c>
      <c r="BA232" s="249" t="str">
        <f>IFERROR(__xludf.DUMMYFUNCTION("""COMPUTED_VALUE"""),"")</f>
        <v/>
      </c>
      <c r="BB232" s="250" t="str">
        <f>IFERROR(__xludf.DUMMYFUNCTION("""COMPUTED_VALUE"""),"")</f>
        <v/>
      </c>
      <c r="BC232" s="251" t="str">
        <f>IFERROR(__xludf.DUMMYFUNCTION("""COMPUTED_VALUE"""),"")</f>
        <v/>
      </c>
      <c r="BD232" s="249" t="str">
        <f>IFERROR(__xludf.DUMMYFUNCTION("""COMPUTED_VALUE"""),"")</f>
        <v/>
      </c>
      <c r="BE232" s="250" t="str">
        <f>IFERROR(__xludf.DUMMYFUNCTION("""COMPUTED_VALUE"""),"")</f>
        <v/>
      </c>
      <c r="BF232" s="251" t="str">
        <f>IFERROR(__xludf.DUMMYFUNCTION("""COMPUTED_VALUE"""),"")</f>
        <v/>
      </c>
      <c r="BG232" s="249">
        <f>IFERROR(__xludf.DUMMYFUNCTION("""COMPUTED_VALUE"""),5.7)</f>
        <v>5.7</v>
      </c>
      <c r="BH232" s="250" t="str">
        <f>IFERROR(__xludf.DUMMYFUNCTION("""COMPUTED_VALUE"""),"")</f>
        <v/>
      </c>
      <c r="BI232" s="251" t="str">
        <f>IFERROR(__xludf.DUMMYFUNCTION("""COMPUTED_VALUE"""),"")</f>
        <v/>
      </c>
      <c r="BJ232" s="249">
        <f>IFERROR(__xludf.DUMMYFUNCTION("""COMPUTED_VALUE"""),34.6)</f>
        <v>34.6</v>
      </c>
      <c r="BK232" s="250" t="str">
        <f>IFERROR(__xludf.DUMMYFUNCTION("""COMPUTED_VALUE"""),"")</f>
        <v/>
      </c>
      <c r="BL232" s="251" t="str">
        <f>IFERROR(__xludf.DUMMYFUNCTION("""COMPUTED_VALUE"""),"")</f>
        <v/>
      </c>
      <c r="BM232" s="249" t="str">
        <f>IFERROR(__xludf.DUMMYFUNCTION("""COMPUTED_VALUE"""),"")</f>
        <v/>
      </c>
      <c r="BN232" s="250" t="str">
        <f>IFERROR(__xludf.DUMMYFUNCTION("""COMPUTED_VALUE"""),"")</f>
        <v/>
      </c>
      <c r="BO232" s="251" t="str">
        <f>IFERROR(__xludf.DUMMYFUNCTION("""COMPUTED_VALUE"""),"")</f>
        <v/>
      </c>
      <c r="BP232" s="249" t="str">
        <f>IFERROR(__xludf.DUMMYFUNCTION("""COMPUTED_VALUE"""),"")</f>
        <v/>
      </c>
      <c r="BQ232" s="250" t="str">
        <f>IFERROR(__xludf.DUMMYFUNCTION("""COMPUTED_VALUE"""),"")</f>
        <v/>
      </c>
      <c r="BR232" s="251" t="str">
        <f>IFERROR(__xludf.DUMMYFUNCTION("""COMPUTED_VALUE"""),"")</f>
        <v/>
      </c>
      <c r="BS232" s="249" t="str">
        <f>IFERROR(__xludf.DUMMYFUNCTION("""COMPUTED_VALUE"""),"")</f>
        <v/>
      </c>
      <c r="BT232" s="250" t="str">
        <f>IFERROR(__xludf.DUMMYFUNCTION("""COMPUTED_VALUE"""),"")</f>
        <v/>
      </c>
      <c r="BU232" s="251" t="str">
        <f>IFERROR(__xludf.DUMMYFUNCTION("""COMPUTED_VALUE"""),"")</f>
        <v/>
      </c>
      <c r="BV232" s="249" t="str">
        <f>IFERROR(__xludf.DUMMYFUNCTION("""COMPUTED_VALUE"""),"")</f>
        <v/>
      </c>
      <c r="BW232" s="250" t="str">
        <f>IFERROR(__xludf.DUMMYFUNCTION("""COMPUTED_VALUE"""),"")</f>
        <v/>
      </c>
      <c r="BX232" s="251" t="str">
        <f>IFERROR(__xludf.DUMMYFUNCTION("""COMPUTED_VALUE"""),"")</f>
        <v/>
      </c>
      <c r="BY232" s="249" t="str">
        <f>IFERROR(__xludf.DUMMYFUNCTION("""COMPUTED_VALUE"""),"")</f>
        <v/>
      </c>
      <c r="BZ232" s="250" t="str">
        <f>IFERROR(__xludf.DUMMYFUNCTION("""COMPUTED_VALUE"""),"")</f>
        <v/>
      </c>
      <c r="CA232" s="251" t="str">
        <f>IFERROR(__xludf.DUMMYFUNCTION("""COMPUTED_VALUE"""),"")</f>
        <v/>
      </c>
      <c r="CB232" s="249" t="str">
        <f>IFERROR(__xludf.DUMMYFUNCTION("""COMPUTED_VALUE"""),"")</f>
        <v/>
      </c>
      <c r="CC232" s="250" t="str">
        <f>IFERROR(__xludf.DUMMYFUNCTION("""COMPUTED_VALUE"""),"")</f>
        <v/>
      </c>
      <c r="CD232" s="251" t="str">
        <f>IFERROR(__xludf.DUMMYFUNCTION("""COMPUTED_VALUE"""),"")</f>
        <v/>
      </c>
      <c r="CE232" s="252" t="str">
        <f>IFERROR(__xludf.DUMMYFUNCTION("""COMPUTED_VALUE"""),"")</f>
        <v/>
      </c>
      <c r="CF232" s="253" t="str">
        <f>IFERROR(__xludf.DUMMYFUNCTION("""COMPUTED_VALUE"""),"")</f>
        <v/>
      </c>
      <c r="CG232" s="254" t="str">
        <f>IFERROR(__xludf.DUMMYFUNCTION("""COMPUTED_VALUE"""),"")</f>
        <v/>
      </c>
      <c r="CH232" s="252" t="str">
        <f>IFERROR(__xludf.DUMMYFUNCTION("""COMPUTED_VALUE"""),"")</f>
        <v/>
      </c>
      <c r="CI232" s="253" t="str">
        <f>IFERROR(__xludf.DUMMYFUNCTION("""COMPUTED_VALUE"""),"")</f>
        <v/>
      </c>
      <c r="CJ232" s="254" t="str">
        <f>IFERROR(__xludf.DUMMYFUNCTION("""COMPUTED_VALUE"""),"")</f>
        <v/>
      </c>
      <c r="CK232" s="204" t="str">
        <f>IFERROR(__xludf.DUMMYFUNCTION("""COMPUTED_VALUE"""),"")</f>
        <v/>
      </c>
      <c r="CL232" s="205" t="str">
        <f>IFERROR(__xludf.DUMMYFUNCTION("""COMPUTED_VALUE"""),"")</f>
        <v/>
      </c>
      <c r="CM232" s="206" t="str">
        <f>IFERROR(__xludf.DUMMYFUNCTION("""COMPUTED_VALUE"""),"")</f>
        <v/>
      </c>
      <c r="CN232" s="204" t="str">
        <f>IFERROR(__xludf.DUMMYFUNCTION("""COMPUTED_VALUE"""),"")</f>
        <v/>
      </c>
      <c r="CO232" s="205" t="str">
        <f>IFERROR(__xludf.DUMMYFUNCTION("""COMPUTED_VALUE"""),"")</f>
        <v/>
      </c>
      <c r="CP232" s="206">
        <f>IFERROR(__xludf.DUMMYFUNCTION("""COMPUTED_VALUE"""),8.5)</f>
        <v>8.5</v>
      </c>
      <c r="CQ232" s="204" t="str">
        <f>IFERROR(__xludf.DUMMYFUNCTION("""COMPUTED_VALUE"""),"")</f>
        <v/>
      </c>
      <c r="CR232" s="205" t="str">
        <f>IFERROR(__xludf.DUMMYFUNCTION("""COMPUTED_VALUE"""),"")</f>
        <v/>
      </c>
      <c r="CS232" s="206" t="str">
        <f>IFERROR(__xludf.DUMMYFUNCTION("""COMPUTED_VALUE"""),"#REF!")</f>
        <v>#REF!</v>
      </c>
      <c r="CT232" s="204" t="str">
        <f>IFERROR(__xludf.DUMMYFUNCTION("""COMPUTED_VALUE"""),"#REF!")</f>
        <v>#REF!</v>
      </c>
      <c r="CU232" s="205" t="str">
        <f>IFERROR(__xludf.DUMMYFUNCTION("""COMPUTED_VALUE"""),"#REF!")</f>
        <v>#REF!</v>
      </c>
      <c r="CV232" s="206" t="str">
        <f>IFERROR(__xludf.DUMMYFUNCTION("""COMPUTED_VALUE"""),"#REF!")</f>
        <v>#REF!</v>
      </c>
      <c r="CW232" s="204" t="str">
        <f>IFERROR(__xludf.DUMMYFUNCTION("""COMPUTED_VALUE"""),"#REF!")</f>
        <v>#REF!</v>
      </c>
      <c r="CX232" s="205" t="str">
        <f>IFERROR(__xludf.DUMMYFUNCTION("""COMPUTED_VALUE"""),"#REF!")</f>
        <v>#REF!</v>
      </c>
      <c r="CY232" s="206" t="str">
        <f>IFERROR(__xludf.DUMMYFUNCTION("""COMPUTED_VALUE"""),"#REF!")</f>
        <v>#REF!</v>
      </c>
      <c r="CZ232" s="204" t="str">
        <f>IFERROR(__xludf.DUMMYFUNCTION("""COMPUTED_VALUE"""),"#REF!")</f>
        <v>#REF!</v>
      </c>
      <c r="DA232" s="205" t="str">
        <f>IFERROR(__xludf.DUMMYFUNCTION("""COMPUTED_VALUE"""),"#REF!")</f>
        <v>#REF!</v>
      </c>
      <c r="DB232" s="206" t="str">
        <f>IFERROR(__xludf.DUMMYFUNCTION("""COMPUTED_VALUE"""),"#REF!")</f>
        <v>#REF!</v>
      </c>
      <c r="DC232" s="204" t="str">
        <f>IFERROR(__xludf.DUMMYFUNCTION("""COMPUTED_VALUE"""),"#REF!")</f>
        <v>#REF!</v>
      </c>
      <c r="DD232" s="205" t="str">
        <f>IFERROR(__xludf.DUMMYFUNCTION("""COMPUTED_VALUE"""),"#REF!")</f>
        <v>#REF!</v>
      </c>
      <c r="DE232" s="206" t="str">
        <f>IFERROR(__xludf.DUMMYFUNCTION("""COMPUTED_VALUE"""),"#REF!")</f>
        <v>#REF!</v>
      </c>
      <c r="DF232" s="204" t="str">
        <f>IFERROR(__xludf.DUMMYFUNCTION("""COMPUTED_VALUE"""),"#REF!")</f>
        <v>#REF!</v>
      </c>
      <c r="DG232" s="205" t="str">
        <f>IFERROR(__xludf.DUMMYFUNCTION("""COMPUTED_VALUE"""),"#REF!")</f>
        <v>#REF!</v>
      </c>
      <c r="DH232" s="206" t="str">
        <f>IFERROR(__xludf.DUMMYFUNCTION("""COMPUTED_VALUE"""),"#REF!")</f>
        <v>#REF!</v>
      </c>
      <c r="DI232" s="204" t="str">
        <f>IFERROR(__xludf.DUMMYFUNCTION("""COMPUTED_VALUE"""),"#REF!")</f>
        <v>#REF!</v>
      </c>
      <c r="DJ232" s="205" t="str">
        <f>IFERROR(__xludf.DUMMYFUNCTION("""COMPUTED_VALUE"""),"#REF!")</f>
        <v>#REF!</v>
      </c>
      <c r="DK232" s="206" t="str">
        <f>IFERROR(__xludf.DUMMYFUNCTION("""COMPUTED_VALUE"""),"#REF!")</f>
        <v>#REF!</v>
      </c>
      <c r="DL232" s="204" t="str">
        <f>IFERROR(__xludf.DUMMYFUNCTION("""COMPUTED_VALUE"""),"#REF!")</f>
        <v>#REF!</v>
      </c>
      <c r="DM232" s="205" t="str">
        <f>IFERROR(__xludf.DUMMYFUNCTION("""COMPUTED_VALUE"""),"#REF!")</f>
        <v>#REF!</v>
      </c>
      <c r="DN232" s="206" t="str">
        <f>IFERROR(__xludf.DUMMYFUNCTION("""COMPUTED_VALUE"""),"#REF!")</f>
        <v>#REF!</v>
      </c>
      <c r="DO232" s="204" t="str">
        <f>IFERROR(__xludf.DUMMYFUNCTION("""COMPUTED_VALUE"""),"#REF!")</f>
        <v>#REF!</v>
      </c>
      <c r="DP232" s="205" t="str">
        <f>IFERROR(__xludf.DUMMYFUNCTION("""COMPUTED_VALUE"""),"#REF!")</f>
        <v>#REF!</v>
      </c>
      <c r="DQ232" s="206"/>
      <c r="DR232" s="204"/>
    </row>
    <row r="233">
      <c r="B233" s="189" t="str">
        <f>IFERROR(__xludf.DUMMYFUNCTION("""COMPUTED_VALUE"""),"ATL5")</f>
        <v>ATL5</v>
      </c>
      <c r="C233" s="190">
        <f>IFERROR(__xludf.DUMMYFUNCTION("""COMPUTED_VALUE"""),232.0)</f>
        <v>232</v>
      </c>
      <c r="D233" s="239" t="str">
        <f>IFERROR(__xludf.DUMMYFUNCTION("""COMPUTED_VALUE"""),"Astraea Island")</f>
        <v>Astraea Island</v>
      </c>
      <c r="E233" s="190" t="str">
        <f>IFERROR(__xludf.DUMMYFUNCTION("""COMPUTED_VALUE"""),"アストライア島")</f>
        <v>アストライア島</v>
      </c>
      <c r="F233" s="240">
        <f>IFERROR(__xludf.DUMMYFUNCTION("""COMPUTED_VALUE"""),21.0)</f>
        <v>21</v>
      </c>
      <c r="G233" s="190">
        <f>IFERROR(__xludf.DUMMYFUNCTION("""COMPUTED_VALUE"""),34644.0)</f>
        <v>34644</v>
      </c>
      <c r="H233" s="241" t="str">
        <f>IFERROR(__xludf.DUMMYFUNCTION("""COMPUTED_VALUE"""),"")</f>
        <v/>
      </c>
      <c r="I233" s="242" t="str">
        <f>IFERROR(__xludf.DUMMYFUNCTION("""COMPUTED_VALUE"""),"")</f>
        <v/>
      </c>
      <c r="J233" s="243" t="str">
        <f>IFERROR(__xludf.DUMMYFUNCTION("""COMPUTED_VALUE"""),"")</f>
        <v/>
      </c>
      <c r="K233" s="241">
        <f>IFERROR(__xludf.DUMMYFUNCTION("""COMPUTED_VALUE"""),10.1)</f>
        <v>10.1</v>
      </c>
      <c r="L233" s="242" t="str">
        <f>IFERROR(__xludf.DUMMYFUNCTION("""COMPUTED_VALUE"""),"")</f>
        <v/>
      </c>
      <c r="M233" s="243" t="str">
        <f>IFERROR(__xludf.DUMMYFUNCTION("""COMPUTED_VALUE"""),"")</f>
        <v/>
      </c>
      <c r="N233" s="241" t="str">
        <f>IFERROR(__xludf.DUMMYFUNCTION("""COMPUTED_VALUE"""),"")</f>
        <v/>
      </c>
      <c r="O233" s="242" t="str">
        <f>IFERROR(__xludf.DUMMYFUNCTION("""COMPUTED_VALUE"""),"")</f>
        <v/>
      </c>
      <c r="P233" s="243" t="str">
        <f>IFERROR(__xludf.DUMMYFUNCTION("""COMPUTED_VALUE"""),"")</f>
        <v/>
      </c>
      <c r="Q233" s="241" t="str">
        <f>IFERROR(__xludf.DUMMYFUNCTION("""COMPUTED_VALUE"""),"")</f>
        <v/>
      </c>
      <c r="R233" s="242" t="str">
        <f>IFERROR(__xludf.DUMMYFUNCTION("""COMPUTED_VALUE"""),"")</f>
        <v/>
      </c>
      <c r="S233" s="243" t="str">
        <f>IFERROR(__xludf.DUMMYFUNCTION("""COMPUTED_VALUE"""),"")</f>
        <v/>
      </c>
      <c r="T233" s="241" t="str">
        <f>IFERROR(__xludf.DUMMYFUNCTION("""COMPUTED_VALUE"""),"")</f>
        <v/>
      </c>
      <c r="U233" s="242" t="str">
        <f>IFERROR(__xludf.DUMMYFUNCTION("""COMPUTED_VALUE"""),"")</f>
        <v/>
      </c>
      <c r="V233" s="243" t="str">
        <f>IFERROR(__xludf.DUMMYFUNCTION("""COMPUTED_VALUE"""),"")</f>
        <v/>
      </c>
      <c r="W233" s="241" t="str">
        <f>IFERROR(__xludf.DUMMYFUNCTION("""COMPUTED_VALUE"""),"")</f>
        <v/>
      </c>
      <c r="X233" s="242" t="str">
        <f>IFERROR(__xludf.DUMMYFUNCTION("""COMPUTED_VALUE"""),"")</f>
        <v/>
      </c>
      <c r="Y233" s="243" t="str">
        <f>IFERROR(__xludf.DUMMYFUNCTION("""COMPUTED_VALUE"""),"")</f>
        <v/>
      </c>
      <c r="Z233" s="241" t="str">
        <f>IFERROR(__xludf.DUMMYFUNCTION("""COMPUTED_VALUE"""),"")</f>
        <v/>
      </c>
      <c r="AA233" s="242" t="str">
        <f>IFERROR(__xludf.DUMMYFUNCTION("""COMPUTED_VALUE"""),"")</f>
        <v/>
      </c>
      <c r="AB233" s="243" t="str">
        <f>IFERROR(__xludf.DUMMYFUNCTION("""COMPUTED_VALUE"""),"")</f>
        <v/>
      </c>
      <c r="AC233" s="241" t="str">
        <f>IFERROR(__xludf.DUMMYFUNCTION("""COMPUTED_VALUE"""),"")</f>
        <v/>
      </c>
      <c r="AD233" s="242" t="str">
        <f>IFERROR(__xludf.DUMMYFUNCTION("""COMPUTED_VALUE"""),"")</f>
        <v/>
      </c>
      <c r="AE233" s="243" t="str">
        <f>IFERROR(__xludf.DUMMYFUNCTION("""COMPUTED_VALUE"""),"")</f>
        <v/>
      </c>
      <c r="AF233" s="241" t="str">
        <f>IFERROR(__xludf.DUMMYFUNCTION("""COMPUTED_VALUE"""),"")</f>
        <v/>
      </c>
      <c r="AG233" s="242" t="str">
        <f>IFERROR(__xludf.DUMMYFUNCTION("""COMPUTED_VALUE"""),"")</f>
        <v/>
      </c>
      <c r="AH233" s="243" t="str">
        <f>IFERROR(__xludf.DUMMYFUNCTION("""COMPUTED_VALUE"""),"")</f>
        <v/>
      </c>
      <c r="AI233" s="241" t="str">
        <f>IFERROR(__xludf.DUMMYFUNCTION("""COMPUTED_VALUE"""),"")</f>
        <v/>
      </c>
      <c r="AJ233" s="242" t="str">
        <f>IFERROR(__xludf.DUMMYFUNCTION("""COMPUTED_VALUE"""),"")</f>
        <v/>
      </c>
      <c r="AK233" s="243" t="str">
        <f>IFERROR(__xludf.DUMMYFUNCTION("""COMPUTED_VALUE"""),"")</f>
        <v/>
      </c>
      <c r="AL233" s="241" t="str">
        <f>IFERROR(__xludf.DUMMYFUNCTION("""COMPUTED_VALUE"""),"")</f>
        <v/>
      </c>
      <c r="AM233" s="242" t="str">
        <f>IFERROR(__xludf.DUMMYFUNCTION("""COMPUTED_VALUE"""),"")</f>
        <v/>
      </c>
      <c r="AN233" s="243" t="str">
        <f>IFERROR(__xludf.DUMMYFUNCTION("""COMPUTED_VALUE"""),"")</f>
        <v/>
      </c>
      <c r="AO233" s="241" t="str">
        <f>IFERROR(__xludf.DUMMYFUNCTION("""COMPUTED_VALUE"""),"")</f>
        <v/>
      </c>
      <c r="AP233" s="242" t="str">
        <f>IFERROR(__xludf.DUMMYFUNCTION("""COMPUTED_VALUE"""),"")</f>
        <v/>
      </c>
      <c r="AQ233" s="243">
        <f>IFERROR(__xludf.DUMMYFUNCTION("""COMPUTED_VALUE"""),20.0)</f>
        <v>20</v>
      </c>
      <c r="AR233" s="241" t="str">
        <f>IFERROR(__xludf.DUMMYFUNCTION("""COMPUTED_VALUE"""),"")</f>
        <v/>
      </c>
      <c r="AS233" s="242" t="str">
        <f>IFERROR(__xludf.DUMMYFUNCTION("""COMPUTED_VALUE"""),"")</f>
        <v/>
      </c>
      <c r="AT233" s="243" t="str">
        <f>IFERROR(__xludf.DUMMYFUNCTION("""COMPUTED_VALUE"""),"")</f>
        <v/>
      </c>
      <c r="AU233" s="241" t="str">
        <f>IFERROR(__xludf.DUMMYFUNCTION("""COMPUTED_VALUE"""),"")</f>
        <v/>
      </c>
      <c r="AV233" s="242" t="str">
        <f>IFERROR(__xludf.DUMMYFUNCTION("""COMPUTED_VALUE"""),"")</f>
        <v/>
      </c>
      <c r="AW233" s="243">
        <f>IFERROR(__xludf.DUMMYFUNCTION("""COMPUTED_VALUE"""),30.2)</f>
        <v>30.2</v>
      </c>
      <c r="AX233" s="241" t="str">
        <f>IFERROR(__xludf.DUMMYFUNCTION("""COMPUTED_VALUE"""),"")</f>
        <v/>
      </c>
      <c r="AY233" s="242" t="str">
        <f>IFERROR(__xludf.DUMMYFUNCTION("""COMPUTED_VALUE"""),"")</f>
        <v/>
      </c>
      <c r="AZ233" s="243" t="str">
        <f>IFERROR(__xludf.DUMMYFUNCTION("""COMPUTED_VALUE"""),"")</f>
        <v/>
      </c>
      <c r="BA233" s="241" t="str">
        <f>IFERROR(__xludf.DUMMYFUNCTION("""COMPUTED_VALUE"""),"")</f>
        <v/>
      </c>
      <c r="BB233" s="242" t="str">
        <f>IFERROR(__xludf.DUMMYFUNCTION("""COMPUTED_VALUE"""),"")</f>
        <v/>
      </c>
      <c r="BC233" s="243">
        <f>IFERROR(__xludf.DUMMYFUNCTION("""COMPUTED_VALUE"""),3.3)</f>
        <v>3.3</v>
      </c>
      <c r="BD233" s="241" t="str">
        <f>IFERROR(__xludf.DUMMYFUNCTION("""COMPUTED_VALUE"""),"")</f>
        <v/>
      </c>
      <c r="BE233" s="242" t="str">
        <f>IFERROR(__xludf.DUMMYFUNCTION("""COMPUTED_VALUE"""),"")</f>
        <v/>
      </c>
      <c r="BF233" s="243" t="str">
        <f>IFERROR(__xludf.DUMMYFUNCTION("""COMPUTED_VALUE"""),"")</f>
        <v/>
      </c>
      <c r="BG233" s="241" t="str">
        <f>IFERROR(__xludf.DUMMYFUNCTION("""COMPUTED_VALUE"""),"")</f>
        <v/>
      </c>
      <c r="BH233" s="242" t="str">
        <f>IFERROR(__xludf.DUMMYFUNCTION("""COMPUTED_VALUE"""),"")</f>
        <v/>
      </c>
      <c r="BI233" s="243" t="str">
        <f>IFERROR(__xludf.DUMMYFUNCTION("""COMPUTED_VALUE"""),"")</f>
        <v/>
      </c>
      <c r="BJ233" s="241">
        <f>IFERROR(__xludf.DUMMYFUNCTION("""COMPUTED_VALUE"""),30.3)</f>
        <v>30.3</v>
      </c>
      <c r="BK233" s="242" t="str">
        <f>IFERROR(__xludf.DUMMYFUNCTION("""COMPUTED_VALUE"""),"")</f>
        <v/>
      </c>
      <c r="BL233" s="243" t="str">
        <f>IFERROR(__xludf.DUMMYFUNCTION("""COMPUTED_VALUE"""),"")</f>
        <v/>
      </c>
      <c r="BM233" s="241" t="str">
        <f>IFERROR(__xludf.DUMMYFUNCTION("""COMPUTED_VALUE"""),"")</f>
        <v/>
      </c>
      <c r="BN233" s="242" t="str">
        <f>IFERROR(__xludf.DUMMYFUNCTION("""COMPUTED_VALUE"""),"")</f>
        <v/>
      </c>
      <c r="BO233" s="243" t="str">
        <f>IFERROR(__xludf.DUMMYFUNCTION("""COMPUTED_VALUE"""),"")</f>
        <v/>
      </c>
      <c r="BP233" s="241" t="str">
        <f>IFERROR(__xludf.DUMMYFUNCTION("""COMPUTED_VALUE"""),"")</f>
        <v/>
      </c>
      <c r="BQ233" s="242" t="str">
        <f>IFERROR(__xludf.DUMMYFUNCTION("""COMPUTED_VALUE"""),"")</f>
        <v/>
      </c>
      <c r="BR233" s="243" t="str">
        <f>IFERROR(__xludf.DUMMYFUNCTION("""COMPUTED_VALUE"""),"")</f>
        <v/>
      </c>
      <c r="BS233" s="241" t="str">
        <f>IFERROR(__xludf.DUMMYFUNCTION("""COMPUTED_VALUE"""),"")</f>
        <v/>
      </c>
      <c r="BT233" s="242" t="str">
        <f>IFERROR(__xludf.DUMMYFUNCTION("""COMPUTED_VALUE"""),"")</f>
        <v/>
      </c>
      <c r="BU233" s="243" t="str">
        <f>IFERROR(__xludf.DUMMYFUNCTION("""COMPUTED_VALUE"""),"")</f>
        <v/>
      </c>
      <c r="BV233" s="241" t="str">
        <f>IFERROR(__xludf.DUMMYFUNCTION("""COMPUTED_VALUE"""),"")</f>
        <v/>
      </c>
      <c r="BW233" s="242" t="str">
        <f>IFERROR(__xludf.DUMMYFUNCTION("""COMPUTED_VALUE"""),"")</f>
        <v/>
      </c>
      <c r="BX233" s="243" t="str">
        <f>IFERROR(__xludf.DUMMYFUNCTION("""COMPUTED_VALUE"""),"")</f>
        <v/>
      </c>
      <c r="BY233" s="241" t="str">
        <f>IFERROR(__xludf.DUMMYFUNCTION("""COMPUTED_VALUE"""),"")</f>
        <v/>
      </c>
      <c r="BZ233" s="242" t="str">
        <f>IFERROR(__xludf.DUMMYFUNCTION("""COMPUTED_VALUE"""),"")</f>
        <v/>
      </c>
      <c r="CA233" s="243" t="str">
        <f>IFERROR(__xludf.DUMMYFUNCTION("""COMPUTED_VALUE"""),"")</f>
        <v/>
      </c>
      <c r="CB233" s="241" t="str">
        <f>IFERROR(__xludf.DUMMYFUNCTION("""COMPUTED_VALUE"""),"")</f>
        <v/>
      </c>
      <c r="CC233" s="242" t="str">
        <f>IFERROR(__xludf.DUMMYFUNCTION("""COMPUTED_VALUE"""),"")</f>
        <v/>
      </c>
      <c r="CD233" s="243" t="str">
        <f>IFERROR(__xludf.DUMMYFUNCTION("""COMPUTED_VALUE"""),"")</f>
        <v/>
      </c>
      <c r="CE233" s="244" t="str">
        <f>IFERROR(__xludf.DUMMYFUNCTION("""COMPUTED_VALUE"""),"")</f>
        <v/>
      </c>
      <c r="CF233" s="245" t="str">
        <f>IFERROR(__xludf.DUMMYFUNCTION("""COMPUTED_VALUE"""),"")</f>
        <v/>
      </c>
      <c r="CG233" s="246" t="str">
        <f>IFERROR(__xludf.DUMMYFUNCTION("""COMPUTED_VALUE"""),"")</f>
        <v/>
      </c>
      <c r="CH233" s="244" t="str">
        <f>IFERROR(__xludf.DUMMYFUNCTION("""COMPUTED_VALUE"""),"")</f>
        <v/>
      </c>
      <c r="CI233" s="245" t="str">
        <f>IFERROR(__xludf.DUMMYFUNCTION("""COMPUTED_VALUE"""),"")</f>
        <v/>
      </c>
      <c r="CJ233" s="246" t="str">
        <f>IFERROR(__xludf.DUMMYFUNCTION("""COMPUTED_VALUE"""),"")</f>
        <v/>
      </c>
      <c r="CK233" s="194" t="str">
        <f>IFERROR(__xludf.DUMMYFUNCTION("""COMPUTED_VALUE"""),"")</f>
        <v/>
      </c>
      <c r="CL233" s="195">
        <f>IFERROR(__xludf.DUMMYFUNCTION("""COMPUTED_VALUE"""),4.9)</f>
        <v>4.9</v>
      </c>
      <c r="CM233" s="196" t="str">
        <f>IFERROR(__xludf.DUMMYFUNCTION("""COMPUTED_VALUE"""),"")</f>
        <v/>
      </c>
      <c r="CN233" s="194" t="str">
        <f>IFERROR(__xludf.DUMMYFUNCTION("""COMPUTED_VALUE"""),"")</f>
        <v/>
      </c>
      <c r="CO233" s="195" t="str">
        <f>IFERROR(__xludf.DUMMYFUNCTION("""COMPUTED_VALUE"""),"")</f>
        <v/>
      </c>
      <c r="CP233" s="196" t="str">
        <f>IFERROR(__xludf.DUMMYFUNCTION("""COMPUTED_VALUE"""),"")</f>
        <v/>
      </c>
      <c r="CQ233" s="194" t="str">
        <f>IFERROR(__xludf.DUMMYFUNCTION("""COMPUTED_VALUE"""),"")</f>
        <v/>
      </c>
      <c r="CR233" s="195" t="str">
        <f>IFERROR(__xludf.DUMMYFUNCTION("""COMPUTED_VALUE"""),"")</f>
        <v/>
      </c>
      <c r="CS233" s="196" t="str">
        <f>IFERROR(__xludf.DUMMYFUNCTION("""COMPUTED_VALUE"""),"#REF!")</f>
        <v>#REF!</v>
      </c>
      <c r="CT233" s="194" t="str">
        <f>IFERROR(__xludf.DUMMYFUNCTION("""COMPUTED_VALUE"""),"#REF!")</f>
        <v>#REF!</v>
      </c>
      <c r="CU233" s="195" t="str">
        <f>IFERROR(__xludf.DUMMYFUNCTION("""COMPUTED_VALUE"""),"#REF!")</f>
        <v>#REF!</v>
      </c>
      <c r="CV233" s="196" t="str">
        <f>IFERROR(__xludf.DUMMYFUNCTION("""COMPUTED_VALUE"""),"#REF!")</f>
        <v>#REF!</v>
      </c>
      <c r="CW233" s="194" t="str">
        <f>IFERROR(__xludf.DUMMYFUNCTION("""COMPUTED_VALUE"""),"#REF!")</f>
        <v>#REF!</v>
      </c>
      <c r="CX233" s="195" t="str">
        <f>IFERROR(__xludf.DUMMYFUNCTION("""COMPUTED_VALUE"""),"#REF!")</f>
        <v>#REF!</v>
      </c>
      <c r="CY233" s="196" t="str">
        <f>IFERROR(__xludf.DUMMYFUNCTION("""COMPUTED_VALUE"""),"#REF!")</f>
        <v>#REF!</v>
      </c>
      <c r="CZ233" s="194" t="str">
        <f>IFERROR(__xludf.DUMMYFUNCTION("""COMPUTED_VALUE"""),"#REF!")</f>
        <v>#REF!</v>
      </c>
      <c r="DA233" s="195" t="str">
        <f>IFERROR(__xludf.DUMMYFUNCTION("""COMPUTED_VALUE"""),"#REF!")</f>
        <v>#REF!</v>
      </c>
      <c r="DB233" s="196" t="str">
        <f>IFERROR(__xludf.DUMMYFUNCTION("""COMPUTED_VALUE"""),"#REF!")</f>
        <v>#REF!</v>
      </c>
      <c r="DC233" s="194" t="str">
        <f>IFERROR(__xludf.DUMMYFUNCTION("""COMPUTED_VALUE"""),"#REF!")</f>
        <v>#REF!</v>
      </c>
      <c r="DD233" s="195" t="str">
        <f>IFERROR(__xludf.DUMMYFUNCTION("""COMPUTED_VALUE"""),"#REF!")</f>
        <v>#REF!</v>
      </c>
      <c r="DE233" s="196" t="str">
        <f>IFERROR(__xludf.DUMMYFUNCTION("""COMPUTED_VALUE"""),"#REF!")</f>
        <v>#REF!</v>
      </c>
      <c r="DF233" s="194" t="str">
        <f>IFERROR(__xludf.DUMMYFUNCTION("""COMPUTED_VALUE"""),"#REF!")</f>
        <v>#REF!</v>
      </c>
      <c r="DG233" s="195" t="str">
        <f>IFERROR(__xludf.DUMMYFUNCTION("""COMPUTED_VALUE"""),"#REF!")</f>
        <v>#REF!</v>
      </c>
      <c r="DH233" s="196" t="str">
        <f>IFERROR(__xludf.DUMMYFUNCTION("""COMPUTED_VALUE"""),"#REF!")</f>
        <v>#REF!</v>
      </c>
      <c r="DI233" s="194" t="str">
        <f>IFERROR(__xludf.DUMMYFUNCTION("""COMPUTED_VALUE"""),"#REF!")</f>
        <v>#REF!</v>
      </c>
      <c r="DJ233" s="195" t="str">
        <f>IFERROR(__xludf.DUMMYFUNCTION("""COMPUTED_VALUE"""),"#REF!")</f>
        <v>#REF!</v>
      </c>
      <c r="DK233" s="196" t="str">
        <f>IFERROR(__xludf.DUMMYFUNCTION("""COMPUTED_VALUE"""),"#REF!")</f>
        <v>#REF!</v>
      </c>
      <c r="DL233" s="194" t="str">
        <f>IFERROR(__xludf.DUMMYFUNCTION("""COMPUTED_VALUE"""),"#REF!")</f>
        <v>#REF!</v>
      </c>
      <c r="DM233" s="195" t="str">
        <f>IFERROR(__xludf.DUMMYFUNCTION("""COMPUTED_VALUE"""),"#REF!")</f>
        <v>#REF!</v>
      </c>
      <c r="DN233" s="196" t="str">
        <f>IFERROR(__xludf.DUMMYFUNCTION("""COMPUTED_VALUE"""),"#REF!")</f>
        <v>#REF!</v>
      </c>
      <c r="DO233" s="194" t="str">
        <f>IFERROR(__xludf.DUMMYFUNCTION("""COMPUTED_VALUE"""),"#REF!")</f>
        <v>#REF!</v>
      </c>
      <c r="DP233" s="195" t="str">
        <f>IFERROR(__xludf.DUMMYFUNCTION("""COMPUTED_VALUE"""),"#REF!")</f>
        <v>#REF!</v>
      </c>
      <c r="DQ233" s="196"/>
      <c r="DR233" s="194"/>
    </row>
    <row r="234">
      <c r="B234" s="201" t="str">
        <f>IFERROR(__xludf.DUMMYFUNCTION("""COMPUTED_VALUE"""),"ATL6")</f>
        <v>ATL6</v>
      </c>
      <c r="C234" s="68">
        <f>IFERROR(__xludf.DUMMYFUNCTION("""COMPUTED_VALUE"""),233.0)</f>
        <v>233</v>
      </c>
      <c r="D234" s="247" t="str">
        <f>IFERROR(__xludf.DUMMYFUNCTION("""COMPUTED_VALUE"""),"Thetis Island")</f>
        <v>Thetis Island</v>
      </c>
      <c r="E234" s="68" t="str">
        <f>IFERROR(__xludf.DUMMYFUNCTION("""COMPUTED_VALUE"""),"テティス島")</f>
        <v>テティス島</v>
      </c>
      <c r="F234" s="248">
        <f>IFERROR(__xludf.DUMMYFUNCTION("""COMPUTED_VALUE"""),21.0)</f>
        <v>21</v>
      </c>
      <c r="G234" s="68">
        <f>IFERROR(__xludf.DUMMYFUNCTION("""COMPUTED_VALUE"""),1367.0)</f>
        <v>1367</v>
      </c>
      <c r="H234" s="249" t="str">
        <f>IFERROR(__xludf.DUMMYFUNCTION("""COMPUTED_VALUE"""),"")</f>
        <v/>
      </c>
      <c r="I234" s="250" t="str">
        <f>IFERROR(__xludf.DUMMYFUNCTION("""COMPUTED_VALUE"""),"")</f>
        <v/>
      </c>
      <c r="J234" s="251" t="str">
        <f>IFERROR(__xludf.DUMMYFUNCTION("""COMPUTED_VALUE"""),"")</f>
        <v/>
      </c>
      <c r="K234" s="249" t="str">
        <f>IFERROR(__xludf.DUMMYFUNCTION("""COMPUTED_VALUE"""),"")</f>
        <v/>
      </c>
      <c r="L234" s="250" t="str">
        <f>IFERROR(__xludf.DUMMYFUNCTION("""COMPUTED_VALUE"""),"")</f>
        <v/>
      </c>
      <c r="M234" s="251" t="str">
        <f>IFERROR(__xludf.DUMMYFUNCTION("""COMPUTED_VALUE"""),"")</f>
        <v/>
      </c>
      <c r="N234" s="249" t="str">
        <f>IFERROR(__xludf.DUMMYFUNCTION("""COMPUTED_VALUE"""),"")</f>
        <v/>
      </c>
      <c r="O234" s="250" t="str">
        <f>IFERROR(__xludf.DUMMYFUNCTION("""COMPUTED_VALUE"""),"")</f>
        <v/>
      </c>
      <c r="P234" s="251" t="str">
        <f>IFERROR(__xludf.DUMMYFUNCTION("""COMPUTED_VALUE"""),"")</f>
        <v/>
      </c>
      <c r="Q234" s="249" t="str">
        <f>IFERROR(__xludf.DUMMYFUNCTION("""COMPUTED_VALUE"""),"")</f>
        <v/>
      </c>
      <c r="R234" s="250" t="str">
        <f>IFERROR(__xludf.DUMMYFUNCTION("""COMPUTED_VALUE"""),"")</f>
        <v/>
      </c>
      <c r="S234" s="251" t="str">
        <f>IFERROR(__xludf.DUMMYFUNCTION("""COMPUTED_VALUE"""),"")</f>
        <v/>
      </c>
      <c r="T234" s="249">
        <f>IFERROR(__xludf.DUMMYFUNCTION("""COMPUTED_VALUE"""),17.7)</f>
        <v>17.7</v>
      </c>
      <c r="U234" s="250" t="str">
        <f>IFERROR(__xludf.DUMMYFUNCTION("""COMPUTED_VALUE"""),"")</f>
        <v/>
      </c>
      <c r="V234" s="251" t="str">
        <f>IFERROR(__xludf.DUMMYFUNCTION("""COMPUTED_VALUE"""),"")</f>
        <v/>
      </c>
      <c r="W234" s="249" t="str">
        <f>IFERROR(__xludf.DUMMYFUNCTION("""COMPUTED_VALUE"""),"")</f>
        <v/>
      </c>
      <c r="X234" s="250" t="str">
        <f>IFERROR(__xludf.DUMMYFUNCTION("""COMPUTED_VALUE"""),"")</f>
        <v/>
      </c>
      <c r="Y234" s="251" t="str">
        <f>IFERROR(__xludf.DUMMYFUNCTION("""COMPUTED_VALUE"""),"")</f>
        <v/>
      </c>
      <c r="Z234" s="249" t="str">
        <f>IFERROR(__xludf.DUMMYFUNCTION("""COMPUTED_VALUE"""),"")</f>
        <v/>
      </c>
      <c r="AA234" s="250" t="str">
        <f>IFERROR(__xludf.DUMMYFUNCTION("""COMPUTED_VALUE"""),"")</f>
        <v/>
      </c>
      <c r="AB234" s="251" t="str">
        <f>IFERROR(__xludf.DUMMYFUNCTION("""COMPUTED_VALUE"""),"")</f>
        <v/>
      </c>
      <c r="AC234" s="249">
        <f>IFERROR(__xludf.DUMMYFUNCTION("""COMPUTED_VALUE"""),24.0)</f>
        <v>24</v>
      </c>
      <c r="AD234" s="250" t="str">
        <f>IFERROR(__xludf.DUMMYFUNCTION("""COMPUTED_VALUE"""),"")</f>
        <v/>
      </c>
      <c r="AE234" s="251" t="str">
        <f>IFERROR(__xludf.DUMMYFUNCTION("""COMPUTED_VALUE"""),"")</f>
        <v/>
      </c>
      <c r="AF234" s="249" t="str">
        <f>IFERROR(__xludf.DUMMYFUNCTION("""COMPUTED_VALUE"""),"")</f>
        <v/>
      </c>
      <c r="AG234" s="250" t="str">
        <f>IFERROR(__xludf.DUMMYFUNCTION("""COMPUTED_VALUE"""),"")</f>
        <v/>
      </c>
      <c r="AH234" s="251" t="str">
        <f>IFERROR(__xludf.DUMMYFUNCTION("""COMPUTED_VALUE"""),"")</f>
        <v/>
      </c>
      <c r="AI234" s="249" t="str">
        <f>IFERROR(__xludf.DUMMYFUNCTION("""COMPUTED_VALUE"""),"")</f>
        <v/>
      </c>
      <c r="AJ234" s="250" t="str">
        <f>IFERROR(__xludf.DUMMYFUNCTION("""COMPUTED_VALUE"""),"")</f>
        <v/>
      </c>
      <c r="AK234" s="251" t="str">
        <f>IFERROR(__xludf.DUMMYFUNCTION("""COMPUTED_VALUE"""),"")</f>
        <v/>
      </c>
      <c r="AL234" s="249" t="str">
        <f>IFERROR(__xludf.DUMMYFUNCTION("""COMPUTED_VALUE"""),"")</f>
        <v/>
      </c>
      <c r="AM234" s="250" t="str">
        <f>IFERROR(__xludf.DUMMYFUNCTION("""COMPUTED_VALUE"""),"")</f>
        <v/>
      </c>
      <c r="AN234" s="251" t="str">
        <f>IFERROR(__xludf.DUMMYFUNCTION("""COMPUTED_VALUE"""),"")</f>
        <v/>
      </c>
      <c r="AO234" s="249" t="str">
        <f>IFERROR(__xludf.DUMMYFUNCTION("""COMPUTED_VALUE"""),"")</f>
        <v/>
      </c>
      <c r="AP234" s="250" t="str">
        <f>IFERROR(__xludf.DUMMYFUNCTION("""COMPUTED_VALUE"""),"")</f>
        <v/>
      </c>
      <c r="AQ234" s="251" t="str">
        <f>IFERROR(__xludf.DUMMYFUNCTION("""COMPUTED_VALUE"""),"")</f>
        <v/>
      </c>
      <c r="AR234" s="249" t="str">
        <f>IFERROR(__xludf.DUMMYFUNCTION("""COMPUTED_VALUE"""),"")</f>
        <v/>
      </c>
      <c r="AS234" s="250" t="str">
        <f>IFERROR(__xludf.DUMMYFUNCTION("""COMPUTED_VALUE"""),"")</f>
        <v/>
      </c>
      <c r="AT234" s="251" t="str">
        <f>IFERROR(__xludf.DUMMYFUNCTION("""COMPUTED_VALUE"""),"")</f>
        <v/>
      </c>
      <c r="AU234" s="249" t="str">
        <f>IFERROR(__xludf.DUMMYFUNCTION("""COMPUTED_VALUE"""),"")</f>
        <v/>
      </c>
      <c r="AV234" s="250" t="str">
        <f>IFERROR(__xludf.DUMMYFUNCTION("""COMPUTED_VALUE"""),"")</f>
        <v/>
      </c>
      <c r="AW234" s="251" t="str">
        <f>IFERROR(__xludf.DUMMYFUNCTION("""COMPUTED_VALUE"""),"")</f>
        <v/>
      </c>
      <c r="AX234" s="249" t="str">
        <f>IFERROR(__xludf.DUMMYFUNCTION("""COMPUTED_VALUE"""),"")</f>
        <v/>
      </c>
      <c r="AY234" s="250" t="str">
        <f>IFERROR(__xludf.DUMMYFUNCTION("""COMPUTED_VALUE"""),"")</f>
        <v/>
      </c>
      <c r="AZ234" s="251" t="str">
        <f>IFERROR(__xludf.DUMMYFUNCTION("""COMPUTED_VALUE"""),"")</f>
        <v/>
      </c>
      <c r="BA234" s="249" t="str">
        <f>IFERROR(__xludf.DUMMYFUNCTION("""COMPUTED_VALUE"""),"")</f>
        <v/>
      </c>
      <c r="BB234" s="250" t="str">
        <f>IFERROR(__xludf.DUMMYFUNCTION("""COMPUTED_VALUE"""),"")</f>
        <v/>
      </c>
      <c r="BC234" s="251" t="str">
        <f>IFERROR(__xludf.DUMMYFUNCTION("""COMPUTED_VALUE"""),"")</f>
        <v/>
      </c>
      <c r="BD234" s="249" t="str">
        <f>IFERROR(__xludf.DUMMYFUNCTION("""COMPUTED_VALUE"""),"")</f>
        <v/>
      </c>
      <c r="BE234" s="250" t="str">
        <f>IFERROR(__xludf.DUMMYFUNCTION("""COMPUTED_VALUE"""),"")</f>
        <v/>
      </c>
      <c r="BF234" s="251" t="str">
        <f>IFERROR(__xludf.DUMMYFUNCTION("""COMPUTED_VALUE"""),"")</f>
        <v/>
      </c>
      <c r="BG234" s="249" t="str">
        <f>IFERROR(__xludf.DUMMYFUNCTION("""COMPUTED_VALUE"""),"")</f>
        <v/>
      </c>
      <c r="BH234" s="250" t="str">
        <f>IFERROR(__xludf.DUMMYFUNCTION("""COMPUTED_VALUE"""),"")</f>
        <v/>
      </c>
      <c r="BI234" s="251" t="str">
        <f>IFERROR(__xludf.DUMMYFUNCTION("""COMPUTED_VALUE"""),"")</f>
        <v/>
      </c>
      <c r="BJ234" s="249" t="str">
        <f>IFERROR(__xludf.DUMMYFUNCTION("""COMPUTED_VALUE"""),"")</f>
        <v/>
      </c>
      <c r="BK234" s="250" t="str">
        <f>IFERROR(__xludf.DUMMYFUNCTION("""COMPUTED_VALUE"""),"")</f>
        <v/>
      </c>
      <c r="BL234" s="251">
        <f>IFERROR(__xludf.DUMMYFUNCTION("""COMPUTED_VALUE"""),11.9)</f>
        <v>11.9</v>
      </c>
      <c r="BM234" s="249" t="str">
        <f>IFERROR(__xludf.DUMMYFUNCTION("""COMPUTED_VALUE"""),"")</f>
        <v/>
      </c>
      <c r="BN234" s="250">
        <f>IFERROR(__xludf.DUMMYFUNCTION("""COMPUTED_VALUE"""),45.6)</f>
        <v>45.6</v>
      </c>
      <c r="BO234" s="251" t="str">
        <f>IFERROR(__xludf.DUMMYFUNCTION("""COMPUTED_VALUE"""),"")</f>
        <v/>
      </c>
      <c r="BP234" s="249" t="str">
        <f>IFERROR(__xludf.DUMMYFUNCTION("""COMPUTED_VALUE"""),"")</f>
        <v/>
      </c>
      <c r="BQ234" s="250" t="str">
        <f>IFERROR(__xludf.DUMMYFUNCTION("""COMPUTED_VALUE"""),"")</f>
        <v/>
      </c>
      <c r="BR234" s="251" t="str">
        <f>IFERROR(__xludf.DUMMYFUNCTION("""COMPUTED_VALUE"""),"")</f>
        <v/>
      </c>
      <c r="BS234" s="249" t="str">
        <f>IFERROR(__xludf.DUMMYFUNCTION("""COMPUTED_VALUE"""),"")</f>
        <v/>
      </c>
      <c r="BT234" s="250" t="str">
        <f>IFERROR(__xludf.DUMMYFUNCTION("""COMPUTED_VALUE"""),"")</f>
        <v/>
      </c>
      <c r="BU234" s="251" t="str">
        <f>IFERROR(__xludf.DUMMYFUNCTION("""COMPUTED_VALUE"""),"")</f>
        <v/>
      </c>
      <c r="BV234" s="249" t="str">
        <f>IFERROR(__xludf.DUMMYFUNCTION("""COMPUTED_VALUE"""),"")</f>
        <v/>
      </c>
      <c r="BW234" s="250" t="str">
        <f>IFERROR(__xludf.DUMMYFUNCTION("""COMPUTED_VALUE"""),"")</f>
        <v/>
      </c>
      <c r="BX234" s="251" t="str">
        <f>IFERROR(__xludf.DUMMYFUNCTION("""COMPUTED_VALUE"""),"")</f>
        <v/>
      </c>
      <c r="BY234" s="249" t="str">
        <f>IFERROR(__xludf.DUMMYFUNCTION("""COMPUTED_VALUE"""),"")</f>
        <v/>
      </c>
      <c r="BZ234" s="250" t="str">
        <f>IFERROR(__xludf.DUMMYFUNCTION("""COMPUTED_VALUE"""),"")</f>
        <v/>
      </c>
      <c r="CA234" s="251" t="str">
        <f>IFERROR(__xludf.DUMMYFUNCTION("""COMPUTED_VALUE"""),"")</f>
        <v/>
      </c>
      <c r="CB234" s="249" t="str">
        <f>IFERROR(__xludf.DUMMYFUNCTION("""COMPUTED_VALUE"""),"")</f>
        <v/>
      </c>
      <c r="CC234" s="250" t="str">
        <f>IFERROR(__xludf.DUMMYFUNCTION("""COMPUTED_VALUE"""),"")</f>
        <v/>
      </c>
      <c r="CD234" s="251" t="str">
        <f>IFERROR(__xludf.DUMMYFUNCTION("""COMPUTED_VALUE"""),"")</f>
        <v/>
      </c>
      <c r="CE234" s="252" t="str">
        <f>IFERROR(__xludf.DUMMYFUNCTION("""COMPUTED_VALUE"""),"")</f>
        <v/>
      </c>
      <c r="CF234" s="253" t="str">
        <f>IFERROR(__xludf.DUMMYFUNCTION("""COMPUTED_VALUE"""),"")</f>
        <v/>
      </c>
      <c r="CG234" s="254" t="str">
        <f>IFERROR(__xludf.DUMMYFUNCTION("""COMPUTED_VALUE"""),"")</f>
        <v/>
      </c>
      <c r="CH234" s="252" t="str">
        <f>IFERROR(__xludf.DUMMYFUNCTION("""COMPUTED_VALUE"""),"")</f>
        <v/>
      </c>
      <c r="CI234" s="253" t="str">
        <f>IFERROR(__xludf.DUMMYFUNCTION("""COMPUTED_VALUE"""),"")</f>
        <v/>
      </c>
      <c r="CJ234" s="254" t="str">
        <f>IFERROR(__xludf.DUMMYFUNCTION("""COMPUTED_VALUE"""),"")</f>
        <v/>
      </c>
      <c r="CK234" s="204" t="str">
        <f>IFERROR(__xludf.DUMMYFUNCTION("""COMPUTED_VALUE"""),"")</f>
        <v/>
      </c>
      <c r="CL234" s="205" t="str">
        <f>IFERROR(__xludf.DUMMYFUNCTION("""COMPUTED_VALUE"""),"")</f>
        <v/>
      </c>
      <c r="CM234" s="206" t="str">
        <f>IFERROR(__xludf.DUMMYFUNCTION("""COMPUTED_VALUE"""),"")</f>
        <v/>
      </c>
      <c r="CN234" s="204">
        <f>IFERROR(__xludf.DUMMYFUNCTION("""COMPUTED_VALUE"""),5.0)</f>
        <v>5</v>
      </c>
      <c r="CO234" s="205" t="str">
        <f>IFERROR(__xludf.DUMMYFUNCTION("""COMPUTED_VALUE"""),"")</f>
        <v/>
      </c>
      <c r="CP234" s="206" t="str">
        <f>IFERROR(__xludf.DUMMYFUNCTION("""COMPUTED_VALUE"""),"")</f>
        <v/>
      </c>
      <c r="CQ234" s="204" t="str">
        <f>IFERROR(__xludf.DUMMYFUNCTION("""COMPUTED_VALUE"""),"")</f>
        <v/>
      </c>
      <c r="CR234" s="205" t="str">
        <f>IFERROR(__xludf.DUMMYFUNCTION("""COMPUTED_VALUE"""),"")</f>
        <v/>
      </c>
      <c r="CS234" s="206" t="str">
        <f>IFERROR(__xludf.DUMMYFUNCTION("""COMPUTED_VALUE"""),"#REF!")</f>
        <v>#REF!</v>
      </c>
      <c r="CT234" s="204" t="str">
        <f>IFERROR(__xludf.DUMMYFUNCTION("""COMPUTED_VALUE"""),"#REF!")</f>
        <v>#REF!</v>
      </c>
      <c r="CU234" s="205" t="str">
        <f>IFERROR(__xludf.DUMMYFUNCTION("""COMPUTED_VALUE"""),"#REF!")</f>
        <v>#REF!</v>
      </c>
      <c r="CV234" s="206" t="str">
        <f>IFERROR(__xludf.DUMMYFUNCTION("""COMPUTED_VALUE"""),"#REF!")</f>
        <v>#REF!</v>
      </c>
      <c r="CW234" s="204" t="str">
        <f>IFERROR(__xludf.DUMMYFUNCTION("""COMPUTED_VALUE"""),"#REF!")</f>
        <v>#REF!</v>
      </c>
      <c r="CX234" s="205" t="str">
        <f>IFERROR(__xludf.DUMMYFUNCTION("""COMPUTED_VALUE"""),"#REF!")</f>
        <v>#REF!</v>
      </c>
      <c r="CY234" s="206" t="str">
        <f>IFERROR(__xludf.DUMMYFUNCTION("""COMPUTED_VALUE"""),"#REF!")</f>
        <v>#REF!</v>
      </c>
      <c r="CZ234" s="204" t="str">
        <f>IFERROR(__xludf.DUMMYFUNCTION("""COMPUTED_VALUE"""),"#REF!")</f>
        <v>#REF!</v>
      </c>
      <c r="DA234" s="205" t="str">
        <f>IFERROR(__xludf.DUMMYFUNCTION("""COMPUTED_VALUE"""),"#REF!")</f>
        <v>#REF!</v>
      </c>
      <c r="DB234" s="206" t="str">
        <f>IFERROR(__xludf.DUMMYFUNCTION("""COMPUTED_VALUE"""),"#REF!")</f>
        <v>#REF!</v>
      </c>
      <c r="DC234" s="204" t="str">
        <f>IFERROR(__xludf.DUMMYFUNCTION("""COMPUTED_VALUE"""),"#REF!")</f>
        <v>#REF!</v>
      </c>
      <c r="DD234" s="205" t="str">
        <f>IFERROR(__xludf.DUMMYFUNCTION("""COMPUTED_VALUE"""),"#REF!")</f>
        <v>#REF!</v>
      </c>
      <c r="DE234" s="206" t="str">
        <f>IFERROR(__xludf.DUMMYFUNCTION("""COMPUTED_VALUE"""),"#REF!")</f>
        <v>#REF!</v>
      </c>
      <c r="DF234" s="204" t="str">
        <f>IFERROR(__xludf.DUMMYFUNCTION("""COMPUTED_VALUE"""),"#REF!")</f>
        <v>#REF!</v>
      </c>
      <c r="DG234" s="205" t="str">
        <f>IFERROR(__xludf.DUMMYFUNCTION("""COMPUTED_VALUE"""),"#REF!")</f>
        <v>#REF!</v>
      </c>
      <c r="DH234" s="206" t="str">
        <f>IFERROR(__xludf.DUMMYFUNCTION("""COMPUTED_VALUE"""),"#REF!")</f>
        <v>#REF!</v>
      </c>
      <c r="DI234" s="204" t="str">
        <f>IFERROR(__xludf.DUMMYFUNCTION("""COMPUTED_VALUE"""),"#REF!")</f>
        <v>#REF!</v>
      </c>
      <c r="DJ234" s="205" t="str">
        <f>IFERROR(__xludf.DUMMYFUNCTION("""COMPUTED_VALUE"""),"#REF!")</f>
        <v>#REF!</v>
      </c>
      <c r="DK234" s="206" t="str">
        <f>IFERROR(__xludf.DUMMYFUNCTION("""COMPUTED_VALUE"""),"#REF!")</f>
        <v>#REF!</v>
      </c>
      <c r="DL234" s="204" t="str">
        <f>IFERROR(__xludf.DUMMYFUNCTION("""COMPUTED_VALUE"""),"#REF!")</f>
        <v>#REF!</v>
      </c>
      <c r="DM234" s="205" t="str">
        <f>IFERROR(__xludf.DUMMYFUNCTION("""COMPUTED_VALUE"""),"#REF!")</f>
        <v>#REF!</v>
      </c>
      <c r="DN234" s="206" t="str">
        <f>IFERROR(__xludf.DUMMYFUNCTION("""COMPUTED_VALUE"""),"#REF!")</f>
        <v>#REF!</v>
      </c>
      <c r="DO234" s="204" t="str">
        <f>IFERROR(__xludf.DUMMYFUNCTION("""COMPUTED_VALUE"""),"#REF!")</f>
        <v>#REF!</v>
      </c>
      <c r="DP234" s="205" t="str">
        <f>IFERROR(__xludf.DUMMYFUNCTION("""COMPUTED_VALUE"""),"#REF!")</f>
        <v>#REF!</v>
      </c>
      <c r="DQ234" s="206"/>
      <c r="DR234" s="204"/>
    </row>
    <row r="235">
      <c r="B235" s="189" t="str">
        <f>IFERROR(__xludf.DUMMYFUNCTION("""COMPUTED_VALUE"""),"ATL7")</f>
        <v>ATL7</v>
      </c>
      <c r="C235" s="190">
        <f>IFERROR(__xludf.DUMMYFUNCTION("""COMPUTED_VALUE"""),234.0)</f>
        <v>234</v>
      </c>
      <c r="D235" s="239" t="str">
        <f>IFERROR(__xludf.DUMMYFUNCTION("""COMPUTED_VALUE"""),"Eris Island")</f>
        <v>Eris Island</v>
      </c>
      <c r="E235" s="190" t="str">
        <f>IFERROR(__xludf.DUMMYFUNCTION("""COMPUTED_VALUE"""),"エリス島")</f>
        <v>エリス島</v>
      </c>
      <c r="F235" s="240">
        <f>IFERROR(__xludf.DUMMYFUNCTION("""COMPUTED_VALUE"""),21.0)</f>
        <v>21</v>
      </c>
      <c r="G235" s="190">
        <f>IFERROR(__xludf.DUMMYFUNCTION("""COMPUTED_VALUE"""),4175.0)</f>
        <v>4175</v>
      </c>
      <c r="H235" s="241" t="str">
        <f>IFERROR(__xludf.DUMMYFUNCTION("""COMPUTED_VALUE"""),"")</f>
        <v/>
      </c>
      <c r="I235" s="242" t="str">
        <f>IFERROR(__xludf.DUMMYFUNCTION("""COMPUTED_VALUE"""),"")</f>
        <v/>
      </c>
      <c r="J235" s="243" t="str">
        <f>IFERROR(__xludf.DUMMYFUNCTION("""COMPUTED_VALUE"""),"")</f>
        <v/>
      </c>
      <c r="K235" s="241" t="str">
        <f>IFERROR(__xludf.DUMMYFUNCTION("""COMPUTED_VALUE"""),"")</f>
        <v/>
      </c>
      <c r="L235" s="242" t="str">
        <f>IFERROR(__xludf.DUMMYFUNCTION("""COMPUTED_VALUE"""),"")</f>
        <v/>
      </c>
      <c r="M235" s="243" t="str">
        <f>IFERROR(__xludf.DUMMYFUNCTION("""COMPUTED_VALUE"""),"")</f>
        <v/>
      </c>
      <c r="N235" s="241" t="str">
        <f>IFERROR(__xludf.DUMMYFUNCTION("""COMPUTED_VALUE"""),"")</f>
        <v/>
      </c>
      <c r="O235" s="242" t="str">
        <f>IFERROR(__xludf.DUMMYFUNCTION("""COMPUTED_VALUE"""),"")</f>
        <v/>
      </c>
      <c r="P235" s="243" t="str">
        <f>IFERROR(__xludf.DUMMYFUNCTION("""COMPUTED_VALUE"""),"")</f>
        <v/>
      </c>
      <c r="Q235" s="241" t="str">
        <f>IFERROR(__xludf.DUMMYFUNCTION("""COMPUTED_VALUE"""),"")</f>
        <v/>
      </c>
      <c r="R235" s="242" t="str">
        <f>IFERROR(__xludf.DUMMYFUNCTION("""COMPUTED_VALUE"""),"")</f>
        <v/>
      </c>
      <c r="S235" s="243" t="str">
        <f>IFERROR(__xludf.DUMMYFUNCTION("""COMPUTED_VALUE"""),"")</f>
        <v/>
      </c>
      <c r="T235" s="241">
        <f>IFERROR(__xludf.DUMMYFUNCTION("""COMPUTED_VALUE"""),15.4)</f>
        <v>15.4</v>
      </c>
      <c r="U235" s="242" t="str">
        <f>IFERROR(__xludf.DUMMYFUNCTION("""COMPUTED_VALUE"""),"")</f>
        <v/>
      </c>
      <c r="V235" s="243" t="str">
        <f>IFERROR(__xludf.DUMMYFUNCTION("""COMPUTED_VALUE"""),"")</f>
        <v/>
      </c>
      <c r="W235" s="241" t="str">
        <f>IFERROR(__xludf.DUMMYFUNCTION("""COMPUTED_VALUE"""),"")</f>
        <v/>
      </c>
      <c r="X235" s="242" t="str">
        <f>IFERROR(__xludf.DUMMYFUNCTION("""COMPUTED_VALUE"""),"")</f>
        <v/>
      </c>
      <c r="Y235" s="243" t="str">
        <f>IFERROR(__xludf.DUMMYFUNCTION("""COMPUTED_VALUE"""),"")</f>
        <v/>
      </c>
      <c r="Z235" s="241" t="str">
        <f>IFERROR(__xludf.DUMMYFUNCTION("""COMPUTED_VALUE"""),"")</f>
        <v/>
      </c>
      <c r="AA235" s="242" t="str">
        <f>IFERROR(__xludf.DUMMYFUNCTION("""COMPUTED_VALUE"""),"")</f>
        <v/>
      </c>
      <c r="AB235" s="243" t="str">
        <f>IFERROR(__xludf.DUMMYFUNCTION("""COMPUTED_VALUE"""),"")</f>
        <v/>
      </c>
      <c r="AC235" s="241" t="str">
        <f>IFERROR(__xludf.DUMMYFUNCTION("""COMPUTED_VALUE"""),"")</f>
        <v/>
      </c>
      <c r="AD235" s="242" t="str">
        <f>IFERROR(__xludf.DUMMYFUNCTION("""COMPUTED_VALUE"""),"")</f>
        <v/>
      </c>
      <c r="AE235" s="243" t="str">
        <f>IFERROR(__xludf.DUMMYFUNCTION("""COMPUTED_VALUE"""),"")</f>
        <v/>
      </c>
      <c r="AF235" s="241" t="str">
        <f>IFERROR(__xludf.DUMMYFUNCTION("""COMPUTED_VALUE"""),"")</f>
        <v/>
      </c>
      <c r="AG235" s="242" t="str">
        <f>IFERROR(__xludf.DUMMYFUNCTION("""COMPUTED_VALUE"""),"")</f>
        <v/>
      </c>
      <c r="AH235" s="243" t="str">
        <f>IFERROR(__xludf.DUMMYFUNCTION("""COMPUTED_VALUE"""),"")</f>
        <v/>
      </c>
      <c r="AI235" s="241" t="str">
        <f>IFERROR(__xludf.DUMMYFUNCTION("""COMPUTED_VALUE"""),"")</f>
        <v/>
      </c>
      <c r="AJ235" s="242" t="str">
        <f>IFERROR(__xludf.DUMMYFUNCTION("""COMPUTED_VALUE"""),"")</f>
        <v/>
      </c>
      <c r="AK235" s="243" t="str">
        <f>IFERROR(__xludf.DUMMYFUNCTION("""COMPUTED_VALUE"""),"")</f>
        <v/>
      </c>
      <c r="AL235" s="241" t="str">
        <f>IFERROR(__xludf.DUMMYFUNCTION("""COMPUTED_VALUE"""),"")</f>
        <v/>
      </c>
      <c r="AM235" s="242" t="str">
        <f>IFERROR(__xludf.DUMMYFUNCTION("""COMPUTED_VALUE"""),"")</f>
        <v/>
      </c>
      <c r="AN235" s="243" t="str">
        <f>IFERROR(__xludf.DUMMYFUNCTION("""COMPUTED_VALUE"""),"")</f>
        <v/>
      </c>
      <c r="AO235" s="241" t="str">
        <f>IFERROR(__xludf.DUMMYFUNCTION("""COMPUTED_VALUE"""),"")</f>
        <v/>
      </c>
      <c r="AP235" s="242" t="str">
        <f>IFERROR(__xludf.DUMMYFUNCTION("""COMPUTED_VALUE"""),"")</f>
        <v/>
      </c>
      <c r="AQ235" s="243">
        <f>IFERROR(__xludf.DUMMYFUNCTION("""COMPUTED_VALUE"""),20.0)</f>
        <v>20</v>
      </c>
      <c r="AR235" s="241" t="str">
        <f>IFERROR(__xludf.DUMMYFUNCTION("""COMPUTED_VALUE"""),"")</f>
        <v/>
      </c>
      <c r="AS235" s="242" t="str">
        <f>IFERROR(__xludf.DUMMYFUNCTION("""COMPUTED_VALUE"""),"")</f>
        <v/>
      </c>
      <c r="AT235" s="243" t="str">
        <f>IFERROR(__xludf.DUMMYFUNCTION("""COMPUTED_VALUE"""),"")</f>
        <v/>
      </c>
      <c r="AU235" s="241" t="str">
        <f>IFERROR(__xludf.DUMMYFUNCTION("""COMPUTED_VALUE"""),"")</f>
        <v/>
      </c>
      <c r="AV235" s="242" t="str">
        <f>IFERROR(__xludf.DUMMYFUNCTION("""COMPUTED_VALUE"""),"")</f>
        <v/>
      </c>
      <c r="AW235" s="243">
        <f>IFERROR(__xludf.DUMMYFUNCTION("""COMPUTED_VALUE"""),30.3)</f>
        <v>30.3</v>
      </c>
      <c r="AX235" s="241" t="str">
        <f>IFERROR(__xludf.DUMMYFUNCTION("""COMPUTED_VALUE"""),"")</f>
        <v/>
      </c>
      <c r="AY235" s="242" t="str">
        <f>IFERROR(__xludf.DUMMYFUNCTION("""COMPUTED_VALUE"""),"")</f>
        <v/>
      </c>
      <c r="AZ235" s="243" t="str">
        <f>IFERROR(__xludf.DUMMYFUNCTION("""COMPUTED_VALUE"""),"")</f>
        <v/>
      </c>
      <c r="BA235" s="241" t="str">
        <f>IFERROR(__xludf.DUMMYFUNCTION("""COMPUTED_VALUE"""),"")</f>
        <v/>
      </c>
      <c r="BB235" s="242" t="str">
        <f>IFERROR(__xludf.DUMMYFUNCTION("""COMPUTED_VALUE"""),"")</f>
        <v/>
      </c>
      <c r="BC235" s="243" t="str">
        <f>IFERROR(__xludf.DUMMYFUNCTION("""COMPUTED_VALUE"""),"")</f>
        <v/>
      </c>
      <c r="BD235" s="241" t="str">
        <f>IFERROR(__xludf.DUMMYFUNCTION("""COMPUTED_VALUE"""),"")</f>
        <v/>
      </c>
      <c r="BE235" s="242" t="str">
        <f>IFERROR(__xludf.DUMMYFUNCTION("""COMPUTED_VALUE"""),"")</f>
        <v/>
      </c>
      <c r="BF235" s="243" t="str">
        <f>IFERROR(__xludf.DUMMYFUNCTION("""COMPUTED_VALUE"""),"")</f>
        <v/>
      </c>
      <c r="BG235" s="241" t="str">
        <f>IFERROR(__xludf.DUMMYFUNCTION("""COMPUTED_VALUE"""),"")</f>
        <v/>
      </c>
      <c r="BH235" s="242" t="str">
        <f>IFERROR(__xludf.DUMMYFUNCTION("""COMPUTED_VALUE"""),"")</f>
        <v/>
      </c>
      <c r="BI235" s="243" t="str">
        <f>IFERROR(__xludf.DUMMYFUNCTION("""COMPUTED_VALUE"""),"")</f>
        <v/>
      </c>
      <c r="BJ235" s="241" t="str">
        <f>IFERROR(__xludf.DUMMYFUNCTION("""COMPUTED_VALUE"""),"")</f>
        <v/>
      </c>
      <c r="BK235" s="242" t="str">
        <f>IFERROR(__xludf.DUMMYFUNCTION("""COMPUTED_VALUE"""),"")</f>
        <v/>
      </c>
      <c r="BL235" s="243">
        <f>IFERROR(__xludf.DUMMYFUNCTION("""COMPUTED_VALUE"""),8.2)</f>
        <v>8.2</v>
      </c>
      <c r="BM235" s="241" t="str">
        <f>IFERROR(__xludf.DUMMYFUNCTION("""COMPUTED_VALUE"""),"")</f>
        <v/>
      </c>
      <c r="BN235" s="242" t="str">
        <f>IFERROR(__xludf.DUMMYFUNCTION("""COMPUTED_VALUE"""),"")</f>
        <v/>
      </c>
      <c r="BO235" s="243" t="str">
        <f>IFERROR(__xludf.DUMMYFUNCTION("""COMPUTED_VALUE"""),"")</f>
        <v/>
      </c>
      <c r="BP235" s="241">
        <f>IFERROR(__xludf.DUMMYFUNCTION("""COMPUTED_VALUE"""),27.9)</f>
        <v>27.9</v>
      </c>
      <c r="BQ235" s="242" t="str">
        <f>IFERROR(__xludf.DUMMYFUNCTION("""COMPUTED_VALUE"""),"")</f>
        <v/>
      </c>
      <c r="BR235" s="243" t="str">
        <f>IFERROR(__xludf.DUMMYFUNCTION("""COMPUTED_VALUE"""),"")</f>
        <v/>
      </c>
      <c r="BS235" s="241" t="str">
        <f>IFERROR(__xludf.DUMMYFUNCTION("""COMPUTED_VALUE"""),"")</f>
        <v/>
      </c>
      <c r="BT235" s="242" t="str">
        <f>IFERROR(__xludf.DUMMYFUNCTION("""COMPUTED_VALUE"""),"")</f>
        <v/>
      </c>
      <c r="BU235" s="243" t="str">
        <f>IFERROR(__xludf.DUMMYFUNCTION("""COMPUTED_VALUE"""),"")</f>
        <v/>
      </c>
      <c r="BV235" s="241" t="str">
        <f>IFERROR(__xludf.DUMMYFUNCTION("""COMPUTED_VALUE"""),"")</f>
        <v/>
      </c>
      <c r="BW235" s="242" t="str">
        <f>IFERROR(__xludf.DUMMYFUNCTION("""COMPUTED_VALUE"""),"")</f>
        <v/>
      </c>
      <c r="BX235" s="243" t="str">
        <f>IFERROR(__xludf.DUMMYFUNCTION("""COMPUTED_VALUE"""),"")</f>
        <v/>
      </c>
      <c r="BY235" s="241" t="str">
        <f>IFERROR(__xludf.DUMMYFUNCTION("""COMPUTED_VALUE"""),"")</f>
        <v/>
      </c>
      <c r="BZ235" s="242" t="str">
        <f>IFERROR(__xludf.DUMMYFUNCTION("""COMPUTED_VALUE"""),"")</f>
        <v/>
      </c>
      <c r="CA235" s="243" t="str">
        <f>IFERROR(__xludf.DUMMYFUNCTION("""COMPUTED_VALUE"""),"")</f>
        <v/>
      </c>
      <c r="CB235" s="241" t="str">
        <f>IFERROR(__xludf.DUMMYFUNCTION("""COMPUTED_VALUE"""),"")</f>
        <v/>
      </c>
      <c r="CC235" s="242" t="str">
        <f>IFERROR(__xludf.DUMMYFUNCTION("""COMPUTED_VALUE"""),"")</f>
        <v/>
      </c>
      <c r="CD235" s="243" t="str">
        <f>IFERROR(__xludf.DUMMYFUNCTION("""COMPUTED_VALUE"""),"")</f>
        <v/>
      </c>
      <c r="CE235" s="244" t="str">
        <f>IFERROR(__xludf.DUMMYFUNCTION("""COMPUTED_VALUE"""),"")</f>
        <v/>
      </c>
      <c r="CF235" s="245" t="str">
        <f>IFERROR(__xludf.DUMMYFUNCTION("""COMPUTED_VALUE"""),"")</f>
        <v/>
      </c>
      <c r="CG235" s="246" t="str">
        <f>IFERROR(__xludf.DUMMYFUNCTION("""COMPUTED_VALUE"""),"")</f>
        <v/>
      </c>
      <c r="CH235" s="244" t="str">
        <f>IFERROR(__xludf.DUMMYFUNCTION("""COMPUTED_VALUE"""),"")</f>
        <v/>
      </c>
      <c r="CI235" s="245" t="str">
        <f>IFERROR(__xludf.DUMMYFUNCTION("""COMPUTED_VALUE"""),"")</f>
        <v/>
      </c>
      <c r="CJ235" s="246" t="str">
        <f>IFERROR(__xludf.DUMMYFUNCTION("""COMPUTED_VALUE"""),"")</f>
        <v/>
      </c>
      <c r="CK235" s="194" t="str">
        <f>IFERROR(__xludf.DUMMYFUNCTION("""COMPUTED_VALUE"""),"")</f>
        <v/>
      </c>
      <c r="CL235" s="195" t="str">
        <f>IFERROR(__xludf.DUMMYFUNCTION("""COMPUTED_VALUE"""),"")</f>
        <v/>
      </c>
      <c r="CM235" s="196" t="str">
        <f>IFERROR(__xludf.DUMMYFUNCTION("""COMPUTED_VALUE"""),"")</f>
        <v/>
      </c>
      <c r="CN235" s="194">
        <f>IFERROR(__xludf.DUMMYFUNCTION("""COMPUTED_VALUE"""),4.4)</f>
        <v>4.4</v>
      </c>
      <c r="CO235" s="195" t="str">
        <f>IFERROR(__xludf.DUMMYFUNCTION("""COMPUTED_VALUE"""),"")</f>
        <v/>
      </c>
      <c r="CP235" s="196" t="str">
        <f>IFERROR(__xludf.DUMMYFUNCTION("""COMPUTED_VALUE"""),"")</f>
        <v/>
      </c>
      <c r="CQ235" s="194" t="str">
        <f>IFERROR(__xludf.DUMMYFUNCTION("""COMPUTED_VALUE"""),"")</f>
        <v/>
      </c>
      <c r="CR235" s="195" t="str">
        <f>IFERROR(__xludf.DUMMYFUNCTION("""COMPUTED_VALUE"""),"")</f>
        <v/>
      </c>
      <c r="CS235" s="196" t="str">
        <f>IFERROR(__xludf.DUMMYFUNCTION("""COMPUTED_VALUE"""),"#REF!")</f>
        <v>#REF!</v>
      </c>
      <c r="CT235" s="194" t="str">
        <f>IFERROR(__xludf.DUMMYFUNCTION("""COMPUTED_VALUE"""),"#REF!")</f>
        <v>#REF!</v>
      </c>
      <c r="CU235" s="195" t="str">
        <f>IFERROR(__xludf.DUMMYFUNCTION("""COMPUTED_VALUE"""),"#REF!")</f>
        <v>#REF!</v>
      </c>
      <c r="CV235" s="196" t="str">
        <f>IFERROR(__xludf.DUMMYFUNCTION("""COMPUTED_VALUE"""),"#REF!")</f>
        <v>#REF!</v>
      </c>
      <c r="CW235" s="194" t="str">
        <f>IFERROR(__xludf.DUMMYFUNCTION("""COMPUTED_VALUE"""),"#REF!")</f>
        <v>#REF!</v>
      </c>
      <c r="CX235" s="195" t="str">
        <f>IFERROR(__xludf.DUMMYFUNCTION("""COMPUTED_VALUE"""),"#REF!")</f>
        <v>#REF!</v>
      </c>
      <c r="CY235" s="196" t="str">
        <f>IFERROR(__xludf.DUMMYFUNCTION("""COMPUTED_VALUE"""),"#REF!")</f>
        <v>#REF!</v>
      </c>
      <c r="CZ235" s="194" t="str">
        <f>IFERROR(__xludf.DUMMYFUNCTION("""COMPUTED_VALUE"""),"#REF!")</f>
        <v>#REF!</v>
      </c>
      <c r="DA235" s="195" t="str">
        <f>IFERROR(__xludf.DUMMYFUNCTION("""COMPUTED_VALUE"""),"#REF!")</f>
        <v>#REF!</v>
      </c>
      <c r="DB235" s="196" t="str">
        <f>IFERROR(__xludf.DUMMYFUNCTION("""COMPUTED_VALUE"""),"#REF!")</f>
        <v>#REF!</v>
      </c>
      <c r="DC235" s="194" t="str">
        <f>IFERROR(__xludf.DUMMYFUNCTION("""COMPUTED_VALUE"""),"#REF!")</f>
        <v>#REF!</v>
      </c>
      <c r="DD235" s="195" t="str">
        <f>IFERROR(__xludf.DUMMYFUNCTION("""COMPUTED_VALUE"""),"#REF!")</f>
        <v>#REF!</v>
      </c>
      <c r="DE235" s="196" t="str">
        <f>IFERROR(__xludf.DUMMYFUNCTION("""COMPUTED_VALUE"""),"#REF!")</f>
        <v>#REF!</v>
      </c>
      <c r="DF235" s="194" t="str">
        <f>IFERROR(__xludf.DUMMYFUNCTION("""COMPUTED_VALUE"""),"#REF!")</f>
        <v>#REF!</v>
      </c>
      <c r="DG235" s="195" t="str">
        <f>IFERROR(__xludf.DUMMYFUNCTION("""COMPUTED_VALUE"""),"#REF!")</f>
        <v>#REF!</v>
      </c>
      <c r="DH235" s="196" t="str">
        <f>IFERROR(__xludf.DUMMYFUNCTION("""COMPUTED_VALUE"""),"#REF!")</f>
        <v>#REF!</v>
      </c>
      <c r="DI235" s="194" t="str">
        <f>IFERROR(__xludf.DUMMYFUNCTION("""COMPUTED_VALUE"""),"#REF!")</f>
        <v>#REF!</v>
      </c>
      <c r="DJ235" s="195" t="str">
        <f>IFERROR(__xludf.DUMMYFUNCTION("""COMPUTED_VALUE"""),"#REF!")</f>
        <v>#REF!</v>
      </c>
      <c r="DK235" s="196" t="str">
        <f>IFERROR(__xludf.DUMMYFUNCTION("""COMPUTED_VALUE"""),"#REF!")</f>
        <v>#REF!</v>
      </c>
      <c r="DL235" s="194" t="str">
        <f>IFERROR(__xludf.DUMMYFUNCTION("""COMPUTED_VALUE"""),"#REF!")</f>
        <v>#REF!</v>
      </c>
      <c r="DM235" s="195" t="str">
        <f>IFERROR(__xludf.DUMMYFUNCTION("""COMPUTED_VALUE"""),"#REF!")</f>
        <v>#REF!</v>
      </c>
      <c r="DN235" s="196" t="str">
        <f>IFERROR(__xludf.DUMMYFUNCTION("""COMPUTED_VALUE"""),"#REF!")</f>
        <v>#REF!</v>
      </c>
      <c r="DO235" s="194" t="str">
        <f>IFERROR(__xludf.DUMMYFUNCTION("""COMPUTED_VALUE"""),"#REF!")</f>
        <v>#REF!</v>
      </c>
      <c r="DP235" s="195" t="str">
        <f>IFERROR(__xludf.DUMMYFUNCTION("""COMPUTED_VALUE"""),"#REF!")</f>
        <v>#REF!</v>
      </c>
      <c r="DQ235" s="196"/>
      <c r="DR235" s="194"/>
    </row>
    <row r="236">
      <c r="B236" s="201" t="str">
        <f>IFERROR(__xludf.DUMMYFUNCTION("""COMPUTED_VALUE"""),"ATL8")</f>
        <v>ATL8</v>
      </c>
      <c r="C236" s="68">
        <f>IFERROR(__xludf.DUMMYFUNCTION("""COMPUTED_VALUE"""),235.0)</f>
        <v>235</v>
      </c>
      <c r="D236" s="247" t="str">
        <f>IFERROR(__xludf.DUMMYFUNCTION("""COMPUTED_VALUE"""),"Nemesis Island")</f>
        <v>Nemesis Island</v>
      </c>
      <c r="E236" s="68" t="str">
        <f>IFERROR(__xludf.DUMMYFUNCTION("""COMPUTED_VALUE"""),"ネメシス島")</f>
        <v>ネメシス島</v>
      </c>
      <c r="F236" s="248">
        <f>IFERROR(__xludf.DUMMYFUNCTION("""COMPUTED_VALUE"""),21.0)</f>
        <v>21</v>
      </c>
      <c r="G236" s="68">
        <f>IFERROR(__xludf.DUMMYFUNCTION("""COMPUTED_VALUE"""),93630.0)</f>
        <v>93630</v>
      </c>
      <c r="H236" s="249" t="str">
        <f>IFERROR(__xludf.DUMMYFUNCTION("""COMPUTED_VALUE"""),"")</f>
        <v/>
      </c>
      <c r="I236" s="250" t="str">
        <f>IFERROR(__xludf.DUMMYFUNCTION("""COMPUTED_VALUE"""),"")</f>
        <v/>
      </c>
      <c r="J236" s="251" t="str">
        <f>IFERROR(__xludf.DUMMYFUNCTION("""COMPUTED_VALUE"""),"")</f>
        <v/>
      </c>
      <c r="K236" s="249" t="str">
        <f>IFERROR(__xludf.DUMMYFUNCTION("""COMPUTED_VALUE"""),"")</f>
        <v/>
      </c>
      <c r="L236" s="250" t="str">
        <f>IFERROR(__xludf.DUMMYFUNCTION("""COMPUTED_VALUE"""),"")</f>
        <v/>
      </c>
      <c r="M236" s="251" t="str">
        <f>IFERROR(__xludf.DUMMYFUNCTION("""COMPUTED_VALUE"""),"")</f>
        <v/>
      </c>
      <c r="N236" s="249" t="str">
        <f>IFERROR(__xludf.DUMMYFUNCTION("""COMPUTED_VALUE"""),"")</f>
        <v/>
      </c>
      <c r="O236" s="250" t="str">
        <f>IFERROR(__xludf.DUMMYFUNCTION("""COMPUTED_VALUE"""),"")</f>
        <v/>
      </c>
      <c r="P236" s="251" t="str">
        <f>IFERROR(__xludf.DUMMYFUNCTION("""COMPUTED_VALUE"""),"")</f>
        <v/>
      </c>
      <c r="Q236" s="249" t="str">
        <f>IFERROR(__xludf.DUMMYFUNCTION("""COMPUTED_VALUE"""),"")</f>
        <v/>
      </c>
      <c r="R236" s="250" t="str">
        <f>IFERROR(__xludf.DUMMYFUNCTION("""COMPUTED_VALUE"""),"")</f>
        <v/>
      </c>
      <c r="S236" s="251" t="str">
        <f>IFERROR(__xludf.DUMMYFUNCTION("""COMPUTED_VALUE"""),"")</f>
        <v/>
      </c>
      <c r="T236" s="249" t="str">
        <f>IFERROR(__xludf.DUMMYFUNCTION("""COMPUTED_VALUE"""),"")</f>
        <v/>
      </c>
      <c r="U236" s="250" t="str">
        <f>IFERROR(__xludf.DUMMYFUNCTION("""COMPUTED_VALUE"""),"")</f>
        <v/>
      </c>
      <c r="V236" s="251" t="str">
        <f>IFERROR(__xludf.DUMMYFUNCTION("""COMPUTED_VALUE"""),"")</f>
        <v/>
      </c>
      <c r="W236" s="249">
        <f>IFERROR(__xludf.DUMMYFUNCTION("""COMPUTED_VALUE"""),12.0)</f>
        <v>12</v>
      </c>
      <c r="X236" s="250" t="str">
        <f>IFERROR(__xludf.DUMMYFUNCTION("""COMPUTED_VALUE"""),"")</f>
        <v/>
      </c>
      <c r="Y236" s="251" t="str">
        <f>IFERROR(__xludf.DUMMYFUNCTION("""COMPUTED_VALUE"""),"")</f>
        <v/>
      </c>
      <c r="Z236" s="249" t="str">
        <f>IFERROR(__xludf.DUMMYFUNCTION("""COMPUTED_VALUE"""),"")</f>
        <v/>
      </c>
      <c r="AA236" s="250" t="str">
        <f>IFERROR(__xludf.DUMMYFUNCTION("""COMPUTED_VALUE"""),"")</f>
        <v/>
      </c>
      <c r="AB236" s="251" t="str">
        <f>IFERROR(__xludf.DUMMYFUNCTION("""COMPUTED_VALUE"""),"")</f>
        <v/>
      </c>
      <c r="AC236" s="249" t="str">
        <f>IFERROR(__xludf.DUMMYFUNCTION("""COMPUTED_VALUE"""),"")</f>
        <v/>
      </c>
      <c r="AD236" s="250" t="str">
        <f>IFERROR(__xludf.DUMMYFUNCTION("""COMPUTED_VALUE"""),"")</f>
        <v/>
      </c>
      <c r="AE236" s="251" t="str">
        <f>IFERROR(__xludf.DUMMYFUNCTION("""COMPUTED_VALUE"""),"")</f>
        <v/>
      </c>
      <c r="AF236" s="249" t="str">
        <f>IFERROR(__xludf.DUMMYFUNCTION("""COMPUTED_VALUE"""),"")</f>
        <v/>
      </c>
      <c r="AG236" s="250" t="str">
        <f>IFERROR(__xludf.DUMMYFUNCTION("""COMPUTED_VALUE"""),"")</f>
        <v/>
      </c>
      <c r="AH236" s="251" t="str">
        <f>IFERROR(__xludf.DUMMYFUNCTION("""COMPUTED_VALUE"""),"")</f>
        <v/>
      </c>
      <c r="AI236" s="249" t="str">
        <f>IFERROR(__xludf.DUMMYFUNCTION("""COMPUTED_VALUE"""),"")</f>
        <v/>
      </c>
      <c r="AJ236" s="250" t="str">
        <f>IFERROR(__xludf.DUMMYFUNCTION("""COMPUTED_VALUE"""),"")</f>
        <v/>
      </c>
      <c r="AK236" s="251" t="str">
        <f>IFERROR(__xludf.DUMMYFUNCTION("""COMPUTED_VALUE"""),"")</f>
        <v/>
      </c>
      <c r="AL236" s="249" t="str">
        <f>IFERROR(__xludf.DUMMYFUNCTION("""COMPUTED_VALUE"""),"")</f>
        <v/>
      </c>
      <c r="AM236" s="250" t="str">
        <f>IFERROR(__xludf.DUMMYFUNCTION("""COMPUTED_VALUE"""),"")</f>
        <v/>
      </c>
      <c r="AN236" s="251" t="str">
        <f>IFERROR(__xludf.DUMMYFUNCTION("""COMPUTED_VALUE"""),"")</f>
        <v/>
      </c>
      <c r="AO236" s="249" t="str">
        <f>IFERROR(__xludf.DUMMYFUNCTION("""COMPUTED_VALUE"""),"")</f>
        <v/>
      </c>
      <c r="AP236" s="250" t="str">
        <f>IFERROR(__xludf.DUMMYFUNCTION("""COMPUTED_VALUE"""),"")</f>
        <v/>
      </c>
      <c r="AQ236" s="251">
        <f>IFERROR(__xludf.DUMMYFUNCTION("""COMPUTED_VALUE"""),25.5)</f>
        <v>25.5</v>
      </c>
      <c r="AR236" s="249" t="str">
        <f>IFERROR(__xludf.DUMMYFUNCTION("""COMPUTED_VALUE"""),"")</f>
        <v/>
      </c>
      <c r="AS236" s="250" t="str">
        <f>IFERROR(__xludf.DUMMYFUNCTION("""COMPUTED_VALUE"""),"")</f>
        <v/>
      </c>
      <c r="AT236" s="251" t="str">
        <f>IFERROR(__xludf.DUMMYFUNCTION("""COMPUTED_VALUE"""),"")</f>
        <v/>
      </c>
      <c r="AU236" s="249" t="str">
        <f>IFERROR(__xludf.DUMMYFUNCTION("""COMPUTED_VALUE"""),"")</f>
        <v/>
      </c>
      <c r="AV236" s="250" t="str">
        <f>IFERROR(__xludf.DUMMYFUNCTION("""COMPUTED_VALUE"""),"")</f>
        <v/>
      </c>
      <c r="AW236" s="251" t="str">
        <f>IFERROR(__xludf.DUMMYFUNCTION("""COMPUTED_VALUE"""),"")</f>
        <v/>
      </c>
      <c r="AX236" s="249" t="str">
        <f>IFERROR(__xludf.DUMMYFUNCTION("""COMPUTED_VALUE"""),"")</f>
        <v/>
      </c>
      <c r="AY236" s="250" t="str">
        <f>IFERROR(__xludf.DUMMYFUNCTION("""COMPUTED_VALUE"""),"")</f>
        <v/>
      </c>
      <c r="AZ236" s="251" t="str">
        <f>IFERROR(__xludf.DUMMYFUNCTION("""COMPUTED_VALUE"""),"")</f>
        <v/>
      </c>
      <c r="BA236" s="249" t="str">
        <f>IFERROR(__xludf.DUMMYFUNCTION("""COMPUTED_VALUE"""),"")</f>
        <v/>
      </c>
      <c r="BB236" s="250" t="str">
        <f>IFERROR(__xludf.DUMMYFUNCTION("""COMPUTED_VALUE"""),"")</f>
        <v/>
      </c>
      <c r="BC236" s="251" t="str">
        <f>IFERROR(__xludf.DUMMYFUNCTION("""COMPUTED_VALUE"""),"")</f>
        <v/>
      </c>
      <c r="BD236" s="249" t="str">
        <f>IFERROR(__xludf.DUMMYFUNCTION("""COMPUTED_VALUE"""),"")</f>
        <v/>
      </c>
      <c r="BE236" s="250" t="str">
        <f>IFERROR(__xludf.DUMMYFUNCTION("""COMPUTED_VALUE"""),"")</f>
        <v/>
      </c>
      <c r="BF236" s="251">
        <f>IFERROR(__xludf.DUMMYFUNCTION("""COMPUTED_VALUE"""),4.0)</f>
        <v>4</v>
      </c>
      <c r="BG236" s="249" t="str">
        <f>IFERROR(__xludf.DUMMYFUNCTION("""COMPUTED_VALUE"""),"")</f>
        <v/>
      </c>
      <c r="BH236" s="250" t="str">
        <f>IFERROR(__xludf.DUMMYFUNCTION("""COMPUTED_VALUE"""),"")</f>
        <v/>
      </c>
      <c r="BI236" s="251" t="str">
        <f>IFERROR(__xludf.DUMMYFUNCTION("""COMPUTED_VALUE"""),"")</f>
        <v/>
      </c>
      <c r="BJ236" s="249" t="str">
        <f>IFERROR(__xludf.DUMMYFUNCTION("""COMPUTED_VALUE"""),"")</f>
        <v/>
      </c>
      <c r="BK236" s="250" t="str">
        <f>IFERROR(__xludf.DUMMYFUNCTION("""COMPUTED_VALUE"""),"")</f>
        <v/>
      </c>
      <c r="BL236" s="251" t="str">
        <f>IFERROR(__xludf.DUMMYFUNCTION("""COMPUTED_VALUE"""),"")</f>
        <v/>
      </c>
      <c r="BM236" s="249" t="str">
        <f>IFERROR(__xludf.DUMMYFUNCTION("""COMPUTED_VALUE"""),"")</f>
        <v/>
      </c>
      <c r="BN236" s="250" t="str">
        <f>IFERROR(__xludf.DUMMYFUNCTION("""COMPUTED_VALUE"""),"")</f>
        <v/>
      </c>
      <c r="BO236" s="251" t="str">
        <f>IFERROR(__xludf.DUMMYFUNCTION("""COMPUTED_VALUE"""),"")</f>
        <v/>
      </c>
      <c r="BP236" s="249">
        <f>IFERROR(__xludf.DUMMYFUNCTION("""COMPUTED_VALUE"""),34.9)</f>
        <v>34.9</v>
      </c>
      <c r="BQ236" s="250" t="str">
        <f>IFERROR(__xludf.DUMMYFUNCTION("""COMPUTED_VALUE"""),"")</f>
        <v/>
      </c>
      <c r="BR236" s="251" t="str">
        <f>IFERROR(__xludf.DUMMYFUNCTION("""COMPUTED_VALUE"""),"")</f>
        <v/>
      </c>
      <c r="BS236" s="249" t="str">
        <f>IFERROR(__xludf.DUMMYFUNCTION("""COMPUTED_VALUE"""),"")</f>
        <v/>
      </c>
      <c r="BT236" s="250" t="str">
        <f>IFERROR(__xludf.DUMMYFUNCTION("""COMPUTED_VALUE"""),"")</f>
        <v/>
      </c>
      <c r="BU236" s="251" t="str">
        <f>IFERROR(__xludf.DUMMYFUNCTION("""COMPUTED_VALUE"""),"")</f>
        <v/>
      </c>
      <c r="BV236" s="249" t="str">
        <f>IFERROR(__xludf.DUMMYFUNCTION("""COMPUTED_VALUE"""),"")</f>
        <v/>
      </c>
      <c r="BW236" s="250" t="str">
        <f>IFERROR(__xludf.DUMMYFUNCTION("""COMPUTED_VALUE"""),"")</f>
        <v/>
      </c>
      <c r="BX236" s="251" t="str">
        <f>IFERROR(__xludf.DUMMYFUNCTION("""COMPUTED_VALUE"""),"")</f>
        <v/>
      </c>
      <c r="BY236" s="249" t="str">
        <f>IFERROR(__xludf.DUMMYFUNCTION("""COMPUTED_VALUE"""),"")</f>
        <v/>
      </c>
      <c r="BZ236" s="250" t="str">
        <f>IFERROR(__xludf.DUMMYFUNCTION("""COMPUTED_VALUE"""),"")</f>
        <v/>
      </c>
      <c r="CA236" s="251" t="str">
        <f>IFERROR(__xludf.DUMMYFUNCTION("""COMPUTED_VALUE"""),"")</f>
        <v/>
      </c>
      <c r="CB236" s="249" t="str">
        <f>IFERROR(__xludf.DUMMYFUNCTION("""COMPUTED_VALUE"""),"")</f>
        <v/>
      </c>
      <c r="CC236" s="250" t="str">
        <f>IFERROR(__xludf.DUMMYFUNCTION("""COMPUTED_VALUE"""),"")</f>
        <v/>
      </c>
      <c r="CD236" s="251" t="str">
        <f>IFERROR(__xludf.DUMMYFUNCTION("""COMPUTED_VALUE"""),"")</f>
        <v/>
      </c>
      <c r="CE236" s="252" t="str">
        <f>IFERROR(__xludf.DUMMYFUNCTION("""COMPUTED_VALUE"""),"")</f>
        <v/>
      </c>
      <c r="CF236" s="253" t="str">
        <f>IFERROR(__xludf.DUMMYFUNCTION("""COMPUTED_VALUE"""),"")</f>
        <v/>
      </c>
      <c r="CG236" s="254" t="str">
        <f>IFERROR(__xludf.DUMMYFUNCTION("""COMPUTED_VALUE"""),"")</f>
        <v/>
      </c>
      <c r="CH236" s="252" t="str">
        <f>IFERROR(__xludf.DUMMYFUNCTION("""COMPUTED_VALUE"""),"")</f>
        <v/>
      </c>
      <c r="CI236" s="253" t="str">
        <f>IFERROR(__xludf.DUMMYFUNCTION("""COMPUTED_VALUE"""),"")</f>
        <v/>
      </c>
      <c r="CJ236" s="254" t="str">
        <f>IFERROR(__xludf.DUMMYFUNCTION("""COMPUTED_VALUE"""),"")</f>
        <v/>
      </c>
      <c r="CK236" s="204" t="str">
        <f>IFERROR(__xludf.DUMMYFUNCTION("""COMPUTED_VALUE"""),"")</f>
        <v/>
      </c>
      <c r="CL236" s="205" t="str">
        <f>IFERROR(__xludf.DUMMYFUNCTION("""COMPUTED_VALUE"""),"")</f>
        <v/>
      </c>
      <c r="CM236" s="206" t="str">
        <f>IFERROR(__xludf.DUMMYFUNCTION("""COMPUTED_VALUE"""),"")</f>
        <v/>
      </c>
      <c r="CN236" s="204" t="str">
        <f>IFERROR(__xludf.DUMMYFUNCTION("""COMPUTED_VALUE"""),"")</f>
        <v/>
      </c>
      <c r="CO236" s="205">
        <f>IFERROR(__xludf.DUMMYFUNCTION("""COMPUTED_VALUE"""),4.4)</f>
        <v>4.4</v>
      </c>
      <c r="CP236" s="206" t="str">
        <f>IFERROR(__xludf.DUMMYFUNCTION("""COMPUTED_VALUE"""),"")</f>
        <v/>
      </c>
      <c r="CQ236" s="204" t="str">
        <f>IFERROR(__xludf.DUMMYFUNCTION("""COMPUTED_VALUE"""),"")</f>
        <v/>
      </c>
      <c r="CR236" s="205" t="str">
        <f>IFERROR(__xludf.DUMMYFUNCTION("""COMPUTED_VALUE"""),"")</f>
        <v/>
      </c>
      <c r="CS236" s="206" t="str">
        <f>IFERROR(__xludf.DUMMYFUNCTION("""COMPUTED_VALUE"""),"#REF!")</f>
        <v>#REF!</v>
      </c>
      <c r="CT236" s="204" t="str">
        <f>IFERROR(__xludf.DUMMYFUNCTION("""COMPUTED_VALUE"""),"#REF!")</f>
        <v>#REF!</v>
      </c>
      <c r="CU236" s="205" t="str">
        <f>IFERROR(__xludf.DUMMYFUNCTION("""COMPUTED_VALUE"""),"#REF!")</f>
        <v>#REF!</v>
      </c>
      <c r="CV236" s="206" t="str">
        <f>IFERROR(__xludf.DUMMYFUNCTION("""COMPUTED_VALUE"""),"#REF!")</f>
        <v>#REF!</v>
      </c>
      <c r="CW236" s="204" t="str">
        <f>IFERROR(__xludf.DUMMYFUNCTION("""COMPUTED_VALUE"""),"#REF!")</f>
        <v>#REF!</v>
      </c>
      <c r="CX236" s="205" t="str">
        <f>IFERROR(__xludf.DUMMYFUNCTION("""COMPUTED_VALUE"""),"#REF!")</f>
        <v>#REF!</v>
      </c>
      <c r="CY236" s="206" t="str">
        <f>IFERROR(__xludf.DUMMYFUNCTION("""COMPUTED_VALUE"""),"#REF!")</f>
        <v>#REF!</v>
      </c>
      <c r="CZ236" s="204" t="str">
        <f>IFERROR(__xludf.DUMMYFUNCTION("""COMPUTED_VALUE"""),"#REF!")</f>
        <v>#REF!</v>
      </c>
      <c r="DA236" s="205" t="str">
        <f>IFERROR(__xludf.DUMMYFUNCTION("""COMPUTED_VALUE"""),"#REF!")</f>
        <v>#REF!</v>
      </c>
      <c r="DB236" s="206" t="str">
        <f>IFERROR(__xludf.DUMMYFUNCTION("""COMPUTED_VALUE"""),"#REF!")</f>
        <v>#REF!</v>
      </c>
      <c r="DC236" s="204" t="str">
        <f>IFERROR(__xludf.DUMMYFUNCTION("""COMPUTED_VALUE"""),"#REF!")</f>
        <v>#REF!</v>
      </c>
      <c r="DD236" s="205" t="str">
        <f>IFERROR(__xludf.DUMMYFUNCTION("""COMPUTED_VALUE"""),"#REF!")</f>
        <v>#REF!</v>
      </c>
      <c r="DE236" s="206" t="str">
        <f>IFERROR(__xludf.DUMMYFUNCTION("""COMPUTED_VALUE"""),"#REF!")</f>
        <v>#REF!</v>
      </c>
      <c r="DF236" s="204" t="str">
        <f>IFERROR(__xludf.DUMMYFUNCTION("""COMPUTED_VALUE"""),"#REF!")</f>
        <v>#REF!</v>
      </c>
      <c r="DG236" s="205" t="str">
        <f>IFERROR(__xludf.DUMMYFUNCTION("""COMPUTED_VALUE"""),"#REF!")</f>
        <v>#REF!</v>
      </c>
      <c r="DH236" s="206" t="str">
        <f>IFERROR(__xludf.DUMMYFUNCTION("""COMPUTED_VALUE"""),"#REF!")</f>
        <v>#REF!</v>
      </c>
      <c r="DI236" s="204" t="str">
        <f>IFERROR(__xludf.DUMMYFUNCTION("""COMPUTED_VALUE"""),"#REF!")</f>
        <v>#REF!</v>
      </c>
      <c r="DJ236" s="205" t="str">
        <f>IFERROR(__xludf.DUMMYFUNCTION("""COMPUTED_VALUE"""),"#REF!")</f>
        <v>#REF!</v>
      </c>
      <c r="DK236" s="206" t="str">
        <f>IFERROR(__xludf.DUMMYFUNCTION("""COMPUTED_VALUE"""),"#REF!")</f>
        <v>#REF!</v>
      </c>
      <c r="DL236" s="204" t="str">
        <f>IFERROR(__xludf.DUMMYFUNCTION("""COMPUTED_VALUE"""),"#REF!")</f>
        <v>#REF!</v>
      </c>
      <c r="DM236" s="205" t="str">
        <f>IFERROR(__xludf.DUMMYFUNCTION("""COMPUTED_VALUE"""),"#REF!")</f>
        <v>#REF!</v>
      </c>
      <c r="DN236" s="206" t="str">
        <f>IFERROR(__xludf.DUMMYFUNCTION("""COMPUTED_VALUE"""),"#REF!")</f>
        <v>#REF!</v>
      </c>
      <c r="DO236" s="204" t="str">
        <f>IFERROR(__xludf.DUMMYFUNCTION("""COMPUTED_VALUE"""),"#REF!")</f>
        <v>#REF!</v>
      </c>
      <c r="DP236" s="205" t="str">
        <f>IFERROR(__xludf.DUMMYFUNCTION("""COMPUTED_VALUE"""),"#REF!")</f>
        <v>#REF!</v>
      </c>
      <c r="DQ236" s="206"/>
      <c r="DR236" s="204"/>
    </row>
    <row r="237">
      <c r="B237" s="189" t="str">
        <f>IFERROR(__xludf.DUMMYFUNCTION("""COMPUTED_VALUE"""),"ATL9")</f>
        <v>ATL9</v>
      </c>
      <c r="C237" s="190">
        <f>IFERROR(__xludf.DUMMYFUNCTION("""COMPUTED_VALUE"""),236.0)</f>
        <v>236</v>
      </c>
      <c r="D237" s="239" t="str">
        <f>IFERROR(__xludf.DUMMYFUNCTION("""COMPUTED_VALUE"""),"Thanatos Island")</f>
        <v>Thanatos Island</v>
      </c>
      <c r="E237" s="190" t="str">
        <f>IFERROR(__xludf.DUMMYFUNCTION("""COMPUTED_VALUE"""),"タナトス島")</f>
        <v>タナトス島</v>
      </c>
      <c r="F237" s="240">
        <f>IFERROR(__xludf.DUMMYFUNCTION("""COMPUTED_VALUE"""),21.0)</f>
        <v>21</v>
      </c>
      <c r="G237" s="190">
        <f>IFERROR(__xludf.DUMMYFUNCTION("""COMPUTED_VALUE"""),3912.0)</f>
        <v>3912</v>
      </c>
      <c r="H237" s="241" t="str">
        <f>IFERROR(__xludf.DUMMYFUNCTION("""COMPUTED_VALUE"""),"")</f>
        <v/>
      </c>
      <c r="I237" s="242" t="str">
        <f>IFERROR(__xludf.DUMMYFUNCTION("""COMPUTED_VALUE"""),"")</f>
        <v/>
      </c>
      <c r="J237" s="243" t="str">
        <f>IFERROR(__xludf.DUMMYFUNCTION("""COMPUTED_VALUE"""),"")</f>
        <v/>
      </c>
      <c r="K237" s="241" t="str">
        <f>IFERROR(__xludf.DUMMYFUNCTION("""COMPUTED_VALUE"""),"")</f>
        <v/>
      </c>
      <c r="L237" s="242" t="str">
        <f>IFERROR(__xludf.DUMMYFUNCTION("""COMPUTED_VALUE"""),"")</f>
        <v/>
      </c>
      <c r="M237" s="243" t="str">
        <f>IFERROR(__xludf.DUMMYFUNCTION("""COMPUTED_VALUE"""),"")</f>
        <v/>
      </c>
      <c r="N237" s="241" t="str">
        <f>IFERROR(__xludf.DUMMYFUNCTION("""COMPUTED_VALUE"""),"")</f>
        <v/>
      </c>
      <c r="O237" s="242" t="str">
        <f>IFERROR(__xludf.DUMMYFUNCTION("""COMPUTED_VALUE"""),"")</f>
        <v/>
      </c>
      <c r="P237" s="243" t="str">
        <f>IFERROR(__xludf.DUMMYFUNCTION("""COMPUTED_VALUE"""),"")</f>
        <v/>
      </c>
      <c r="Q237" s="241" t="str">
        <f>IFERROR(__xludf.DUMMYFUNCTION("""COMPUTED_VALUE"""),"")</f>
        <v/>
      </c>
      <c r="R237" s="242" t="str">
        <f>IFERROR(__xludf.DUMMYFUNCTION("""COMPUTED_VALUE"""),"")</f>
        <v/>
      </c>
      <c r="S237" s="243" t="str">
        <f>IFERROR(__xludf.DUMMYFUNCTION("""COMPUTED_VALUE"""),"")</f>
        <v/>
      </c>
      <c r="T237" s="241" t="str">
        <f>IFERROR(__xludf.DUMMYFUNCTION("""COMPUTED_VALUE"""),"")</f>
        <v/>
      </c>
      <c r="U237" s="242" t="str">
        <f>IFERROR(__xludf.DUMMYFUNCTION("""COMPUTED_VALUE"""),"")</f>
        <v/>
      </c>
      <c r="V237" s="243" t="str">
        <f>IFERROR(__xludf.DUMMYFUNCTION("""COMPUTED_VALUE"""),"")</f>
        <v/>
      </c>
      <c r="W237" s="241" t="str">
        <f>IFERROR(__xludf.DUMMYFUNCTION("""COMPUTED_VALUE"""),"")</f>
        <v/>
      </c>
      <c r="X237" s="242" t="str">
        <f>IFERROR(__xludf.DUMMYFUNCTION("""COMPUTED_VALUE"""),"")</f>
        <v/>
      </c>
      <c r="Y237" s="243" t="str">
        <f>IFERROR(__xludf.DUMMYFUNCTION("""COMPUTED_VALUE"""),"")</f>
        <v/>
      </c>
      <c r="Z237" s="241" t="str">
        <f>IFERROR(__xludf.DUMMYFUNCTION("""COMPUTED_VALUE"""),"")</f>
        <v/>
      </c>
      <c r="AA237" s="242" t="str">
        <f>IFERROR(__xludf.DUMMYFUNCTION("""COMPUTED_VALUE"""),"")</f>
        <v/>
      </c>
      <c r="AB237" s="243" t="str">
        <f>IFERROR(__xludf.DUMMYFUNCTION("""COMPUTED_VALUE"""),"")</f>
        <v/>
      </c>
      <c r="AC237" s="241" t="str">
        <f>IFERROR(__xludf.DUMMYFUNCTION("""COMPUTED_VALUE"""),"")</f>
        <v/>
      </c>
      <c r="AD237" s="242" t="str">
        <f>IFERROR(__xludf.DUMMYFUNCTION("""COMPUTED_VALUE"""),"")</f>
        <v/>
      </c>
      <c r="AE237" s="243" t="str">
        <f>IFERROR(__xludf.DUMMYFUNCTION("""COMPUTED_VALUE"""),"")</f>
        <v/>
      </c>
      <c r="AF237" s="241" t="str">
        <f>IFERROR(__xludf.DUMMYFUNCTION("""COMPUTED_VALUE"""),"")</f>
        <v/>
      </c>
      <c r="AG237" s="242" t="str">
        <f>IFERROR(__xludf.DUMMYFUNCTION("""COMPUTED_VALUE"""),"")</f>
        <v/>
      </c>
      <c r="AH237" s="243" t="str">
        <f>IFERROR(__xludf.DUMMYFUNCTION("""COMPUTED_VALUE"""),"")</f>
        <v/>
      </c>
      <c r="AI237" s="241" t="str">
        <f>IFERROR(__xludf.DUMMYFUNCTION("""COMPUTED_VALUE"""),"")</f>
        <v/>
      </c>
      <c r="AJ237" s="242" t="str">
        <f>IFERROR(__xludf.DUMMYFUNCTION("""COMPUTED_VALUE"""),"")</f>
        <v/>
      </c>
      <c r="AK237" s="243" t="str">
        <f>IFERROR(__xludf.DUMMYFUNCTION("""COMPUTED_VALUE"""),"")</f>
        <v/>
      </c>
      <c r="AL237" s="241" t="str">
        <f>IFERROR(__xludf.DUMMYFUNCTION("""COMPUTED_VALUE"""),"")</f>
        <v/>
      </c>
      <c r="AM237" s="242" t="str">
        <f>IFERROR(__xludf.DUMMYFUNCTION("""COMPUTED_VALUE"""),"")</f>
        <v/>
      </c>
      <c r="AN237" s="243" t="str">
        <f>IFERROR(__xludf.DUMMYFUNCTION("""COMPUTED_VALUE"""),"")</f>
        <v/>
      </c>
      <c r="AO237" s="241" t="str">
        <f>IFERROR(__xludf.DUMMYFUNCTION("""COMPUTED_VALUE"""),"")</f>
        <v/>
      </c>
      <c r="AP237" s="242" t="str">
        <f>IFERROR(__xludf.DUMMYFUNCTION("""COMPUTED_VALUE"""),"")</f>
        <v/>
      </c>
      <c r="AQ237" s="243">
        <f>IFERROR(__xludf.DUMMYFUNCTION("""COMPUTED_VALUE"""),39.0)</f>
        <v>39</v>
      </c>
      <c r="AR237" s="241" t="str">
        <f>IFERROR(__xludf.DUMMYFUNCTION("""COMPUTED_VALUE"""),"")</f>
        <v/>
      </c>
      <c r="AS237" s="242" t="str">
        <f>IFERROR(__xludf.DUMMYFUNCTION("""COMPUTED_VALUE"""),"")</f>
        <v/>
      </c>
      <c r="AT237" s="243" t="str">
        <f>IFERROR(__xludf.DUMMYFUNCTION("""COMPUTED_VALUE"""),"")</f>
        <v/>
      </c>
      <c r="AU237" s="241" t="str">
        <f>IFERROR(__xludf.DUMMYFUNCTION("""COMPUTED_VALUE"""),"")</f>
        <v/>
      </c>
      <c r="AV237" s="242" t="str">
        <f>IFERROR(__xludf.DUMMYFUNCTION("""COMPUTED_VALUE"""),"")</f>
        <v/>
      </c>
      <c r="AW237" s="243" t="str">
        <f>IFERROR(__xludf.DUMMYFUNCTION("""COMPUTED_VALUE"""),"")</f>
        <v/>
      </c>
      <c r="AX237" s="241" t="str">
        <f>IFERROR(__xludf.DUMMYFUNCTION("""COMPUTED_VALUE"""),"")</f>
        <v/>
      </c>
      <c r="AY237" s="242" t="str">
        <f>IFERROR(__xludf.DUMMYFUNCTION("""COMPUTED_VALUE"""),"")</f>
        <v/>
      </c>
      <c r="AZ237" s="243" t="str">
        <f>IFERROR(__xludf.DUMMYFUNCTION("""COMPUTED_VALUE"""),"")</f>
        <v/>
      </c>
      <c r="BA237" s="241" t="str">
        <f>IFERROR(__xludf.DUMMYFUNCTION("""COMPUTED_VALUE"""),"")</f>
        <v/>
      </c>
      <c r="BB237" s="242" t="str">
        <f>IFERROR(__xludf.DUMMYFUNCTION("""COMPUTED_VALUE"""),"")</f>
        <v/>
      </c>
      <c r="BC237" s="243" t="str">
        <f>IFERROR(__xludf.DUMMYFUNCTION("""COMPUTED_VALUE"""),"")</f>
        <v/>
      </c>
      <c r="BD237" s="241" t="str">
        <f>IFERROR(__xludf.DUMMYFUNCTION("""COMPUTED_VALUE"""),"")</f>
        <v/>
      </c>
      <c r="BE237" s="242" t="str">
        <f>IFERROR(__xludf.DUMMYFUNCTION("""COMPUTED_VALUE"""),"")</f>
        <v/>
      </c>
      <c r="BF237" s="243" t="str">
        <f>IFERROR(__xludf.DUMMYFUNCTION("""COMPUTED_VALUE"""),"")</f>
        <v/>
      </c>
      <c r="BG237" s="241" t="str">
        <f>IFERROR(__xludf.DUMMYFUNCTION("""COMPUTED_VALUE"""),"")</f>
        <v/>
      </c>
      <c r="BH237" s="242" t="str">
        <f>IFERROR(__xludf.DUMMYFUNCTION("""COMPUTED_VALUE"""),"")</f>
        <v/>
      </c>
      <c r="BI237" s="243" t="str">
        <f>IFERROR(__xludf.DUMMYFUNCTION("""COMPUTED_VALUE"""),"")</f>
        <v/>
      </c>
      <c r="BJ237" s="241">
        <f>IFERROR(__xludf.DUMMYFUNCTION("""COMPUTED_VALUE"""),13.7)</f>
        <v>13.7</v>
      </c>
      <c r="BK237" s="242" t="str">
        <f>IFERROR(__xludf.DUMMYFUNCTION("""COMPUTED_VALUE"""),"")</f>
        <v/>
      </c>
      <c r="BL237" s="243" t="str">
        <f>IFERROR(__xludf.DUMMYFUNCTION("""COMPUTED_VALUE"""),"")</f>
        <v/>
      </c>
      <c r="BM237" s="241" t="str">
        <f>IFERROR(__xludf.DUMMYFUNCTION("""COMPUTED_VALUE"""),"")</f>
        <v/>
      </c>
      <c r="BN237" s="242" t="str">
        <f>IFERROR(__xludf.DUMMYFUNCTION("""COMPUTED_VALUE"""),"")</f>
        <v/>
      </c>
      <c r="BO237" s="243">
        <f>IFERROR(__xludf.DUMMYFUNCTION("""COMPUTED_VALUE"""),14.0)</f>
        <v>14</v>
      </c>
      <c r="BP237" s="241">
        <f>IFERROR(__xludf.DUMMYFUNCTION("""COMPUTED_VALUE"""),15.0)</f>
        <v>15</v>
      </c>
      <c r="BQ237" s="242" t="str">
        <f>IFERROR(__xludf.DUMMYFUNCTION("""COMPUTED_VALUE"""),"")</f>
        <v/>
      </c>
      <c r="BR237" s="243" t="str">
        <f>IFERROR(__xludf.DUMMYFUNCTION("""COMPUTED_VALUE"""),"")</f>
        <v/>
      </c>
      <c r="BS237" s="241" t="str">
        <f>IFERROR(__xludf.DUMMYFUNCTION("""COMPUTED_VALUE"""),"")</f>
        <v/>
      </c>
      <c r="BT237" s="242" t="str">
        <f>IFERROR(__xludf.DUMMYFUNCTION("""COMPUTED_VALUE"""),"")</f>
        <v/>
      </c>
      <c r="BU237" s="243" t="str">
        <f>IFERROR(__xludf.DUMMYFUNCTION("""COMPUTED_VALUE"""),"")</f>
        <v/>
      </c>
      <c r="BV237" s="241" t="str">
        <f>IFERROR(__xludf.DUMMYFUNCTION("""COMPUTED_VALUE"""),"")</f>
        <v/>
      </c>
      <c r="BW237" s="242" t="str">
        <f>IFERROR(__xludf.DUMMYFUNCTION("""COMPUTED_VALUE"""),"")</f>
        <v/>
      </c>
      <c r="BX237" s="243" t="str">
        <f>IFERROR(__xludf.DUMMYFUNCTION("""COMPUTED_VALUE"""),"")</f>
        <v/>
      </c>
      <c r="BY237" s="241" t="str">
        <f>IFERROR(__xludf.DUMMYFUNCTION("""COMPUTED_VALUE"""),"")</f>
        <v/>
      </c>
      <c r="BZ237" s="242" t="str">
        <f>IFERROR(__xludf.DUMMYFUNCTION("""COMPUTED_VALUE"""),"")</f>
        <v/>
      </c>
      <c r="CA237" s="243" t="str">
        <f>IFERROR(__xludf.DUMMYFUNCTION("""COMPUTED_VALUE"""),"")</f>
        <v/>
      </c>
      <c r="CB237" s="241" t="str">
        <f>IFERROR(__xludf.DUMMYFUNCTION("""COMPUTED_VALUE"""),"")</f>
        <v/>
      </c>
      <c r="CC237" s="242" t="str">
        <f>IFERROR(__xludf.DUMMYFUNCTION("""COMPUTED_VALUE"""),"")</f>
        <v/>
      </c>
      <c r="CD237" s="243" t="str">
        <f>IFERROR(__xludf.DUMMYFUNCTION("""COMPUTED_VALUE"""),"")</f>
        <v/>
      </c>
      <c r="CE237" s="244" t="str">
        <f>IFERROR(__xludf.DUMMYFUNCTION("""COMPUTED_VALUE"""),"")</f>
        <v/>
      </c>
      <c r="CF237" s="245" t="str">
        <f>IFERROR(__xludf.DUMMYFUNCTION("""COMPUTED_VALUE"""),"")</f>
        <v/>
      </c>
      <c r="CG237" s="246" t="str">
        <f>IFERROR(__xludf.DUMMYFUNCTION("""COMPUTED_VALUE"""),"")</f>
        <v/>
      </c>
      <c r="CH237" s="244" t="str">
        <f>IFERROR(__xludf.DUMMYFUNCTION("""COMPUTED_VALUE"""),"")</f>
        <v/>
      </c>
      <c r="CI237" s="245" t="str">
        <f>IFERROR(__xludf.DUMMYFUNCTION("""COMPUTED_VALUE"""),"")</f>
        <v/>
      </c>
      <c r="CJ237" s="246" t="str">
        <f>IFERROR(__xludf.DUMMYFUNCTION("""COMPUTED_VALUE"""),"")</f>
        <v/>
      </c>
      <c r="CK237" s="194" t="str">
        <f>IFERROR(__xludf.DUMMYFUNCTION("""COMPUTED_VALUE"""),"")</f>
        <v/>
      </c>
      <c r="CL237" s="195" t="str">
        <f>IFERROR(__xludf.DUMMYFUNCTION("""COMPUTED_VALUE"""),"")</f>
        <v/>
      </c>
      <c r="CM237" s="196" t="str">
        <f>IFERROR(__xludf.DUMMYFUNCTION("""COMPUTED_VALUE"""),"")</f>
        <v/>
      </c>
      <c r="CN237" s="194" t="str">
        <f>IFERROR(__xludf.DUMMYFUNCTION("""COMPUTED_VALUE"""),"")</f>
        <v/>
      </c>
      <c r="CO237" s="195" t="str">
        <f>IFERROR(__xludf.DUMMYFUNCTION("""COMPUTED_VALUE"""),"")</f>
        <v/>
      </c>
      <c r="CP237" s="196" t="str">
        <f>IFERROR(__xludf.DUMMYFUNCTION("""COMPUTED_VALUE"""),"")</f>
        <v/>
      </c>
      <c r="CQ237" s="194" t="str">
        <f>IFERROR(__xludf.DUMMYFUNCTION("""COMPUTED_VALUE"""),"")</f>
        <v/>
      </c>
      <c r="CR237" s="195" t="str">
        <f>IFERROR(__xludf.DUMMYFUNCTION("""COMPUTED_VALUE"""),"")</f>
        <v/>
      </c>
      <c r="CS237" s="196" t="str">
        <f>IFERROR(__xludf.DUMMYFUNCTION("""COMPUTED_VALUE"""),"#REF!")</f>
        <v>#REF!</v>
      </c>
      <c r="CT237" s="194" t="str">
        <f>IFERROR(__xludf.DUMMYFUNCTION("""COMPUTED_VALUE"""),"#REF!")</f>
        <v>#REF!</v>
      </c>
      <c r="CU237" s="195" t="str">
        <f>IFERROR(__xludf.DUMMYFUNCTION("""COMPUTED_VALUE"""),"#REF!")</f>
        <v>#REF!</v>
      </c>
      <c r="CV237" s="196" t="str">
        <f>IFERROR(__xludf.DUMMYFUNCTION("""COMPUTED_VALUE"""),"#REF!")</f>
        <v>#REF!</v>
      </c>
      <c r="CW237" s="194" t="str">
        <f>IFERROR(__xludf.DUMMYFUNCTION("""COMPUTED_VALUE"""),"#REF!")</f>
        <v>#REF!</v>
      </c>
      <c r="CX237" s="195" t="str">
        <f>IFERROR(__xludf.DUMMYFUNCTION("""COMPUTED_VALUE"""),"#REF!")</f>
        <v>#REF!</v>
      </c>
      <c r="CY237" s="196" t="str">
        <f>IFERROR(__xludf.DUMMYFUNCTION("""COMPUTED_VALUE"""),"#REF!")</f>
        <v>#REF!</v>
      </c>
      <c r="CZ237" s="194" t="str">
        <f>IFERROR(__xludf.DUMMYFUNCTION("""COMPUTED_VALUE"""),"#REF!")</f>
        <v>#REF!</v>
      </c>
      <c r="DA237" s="195" t="str">
        <f>IFERROR(__xludf.DUMMYFUNCTION("""COMPUTED_VALUE"""),"#REF!")</f>
        <v>#REF!</v>
      </c>
      <c r="DB237" s="196" t="str">
        <f>IFERROR(__xludf.DUMMYFUNCTION("""COMPUTED_VALUE"""),"#REF!")</f>
        <v>#REF!</v>
      </c>
      <c r="DC237" s="194" t="str">
        <f>IFERROR(__xludf.DUMMYFUNCTION("""COMPUTED_VALUE"""),"#REF!")</f>
        <v>#REF!</v>
      </c>
      <c r="DD237" s="195" t="str">
        <f>IFERROR(__xludf.DUMMYFUNCTION("""COMPUTED_VALUE"""),"#REF!")</f>
        <v>#REF!</v>
      </c>
      <c r="DE237" s="196" t="str">
        <f>IFERROR(__xludf.DUMMYFUNCTION("""COMPUTED_VALUE"""),"#REF!")</f>
        <v>#REF!</v>
      </c>
      <c r="DF237" s="194" t="str">
        <f>IFERROR(__xludf.DUMMYFUNCTION("""COMPUTED_VALUE"""),"#REF!")</f>
        <v>#REF!</v>
      </c>
      <c r="DG237" s="195" t="str">
        <f>IFERROR(__xludf.DUMMYFUNCTION("""COMPUTED_VALUE"""),"#REF!")</f>
        <v>#REF!</v>
      </c>
      <c r="DH237" s="196" t="str">
        <f>IFERROR(__xludf.DUMMYFUNCTION("""COMPUTED_VALUE"""),"#REF!")</f>
        <v>#REF!</v>
      </c>
      <c r="DI237" s="194" t="str">
        <f>IFERROR(__xludf.DUMMYFUNCTION("""COMPUTED_VALUE"""),"#REF!")</f>
        <v>#REF!</v>
      </c>
      <c r="DJ237" s="195" t="str">
        <f>IFERROR(__xludf.DUMMYFUNCTION("""COMPUTED_VALUE"""),"#REF!")</f>
        <v>#REF!</v>
      </c>
      <c r="DK237" s="196" t="str">
        <f>IFERROR(__xludf.DUMMYFUNCTION("""COMPUTED_VALUE"""),"#REF!")</f>
        <v>#REF!</v>
      </c>
      <c r="DL237" s="194" t="str">
        <f>IFERROR(__xludf.DUMMYFUNCTION("""COMPUTED_VALUE"""),"#REF!")</f>
        <v>#REF!</v>
      </c>
      <c r="DM237" s="195" t="str">
        <f>IFERROR(__xludf.DUMMYFUNCTION("""COMPUTED_VALUE"""),"#REF!")</f>
        <v>#REF!</v>
      </c>
      <c r="DN237" s="196" t="str">
        <f>IFERROR(__xludf.DUMMYFUNCTION("""COMPUTED_VALUE"""),"#REF!")</f>
        <v>#REF!</v>
      </c>
      <c r="DO237" s="194" t="str">
        <f>IFERROR(__xludf.DUMMYFUNCTION("""COMPUTED_VALUE"""),"#REF!")</f>
        <v>#REF!</v>
      </c>
      <c r="DP237" s="195" t="str">
        <f>IFERROR(__xludf.DUMMYFUNCTION("""COMPUTED_VALUE"""),"#REF!")</f>
        <v>#REF!</v>
      </c>
      <c r="DQ237" s="196"/>
      <c r="DR237" s="194"/>
    </row>
    <row r="238">
      <c r="A238" s="214" t="str">
        <f>IFERROR(__xludf.DUMMYFUNCTION("""COMPUTED_VALUE"""),"Olympus")</f>
        <v>Olympus</v>
      </c>
      <c r="B238" s="180" t="str">
        <f>IFERROR(__xludf.DUMMYFUNCTION("""COMPUTED_VALUE"""),"OLP1")</f>
        <v>OLP1</v>
      </c>
      <c r="C238">
        <f>IFERROR(__xludf.DUMMYFUNCTION("""COMPUTED_VALUE"""),237.0)</f>
        <v>237</v>
      </c>
      <c r="D238" s="178" t="str">
        <f>IFERROR(__xludf.DUMMYFUNCTION("""COMPUTED_VALUE"""),"Gliding Point")</f>
        <v>Gliding Point</v>
      </c>
      <c r="E238" s="215" t="str">
        <f>IFERROR(__xludf.DUMMYFUNCTION("""COMPUTED_VALUE"""),"グライディングポイント")</f>
        <v>グライディングポイント</v>
      </c>
      <c r="F238" s="179">
        <f>IFERROR(__xludf.DUMMYFUNCTION("""COMPUTED_VALUE"""),21.0)</f>
        <v>21</v>
      </c>
      <c r="G238" s="83">
        <f>IFERROR(__xludf.DUMMYFUNCTION("""COMPUTED_VALUE"""),8211.0)</f>
        <v>8211</v>
      </c>
      <c r="H238" s="95">
        <f>IFERROR(__xludf.DUMMYFUNCTION("""COMPUTED_VALUE"""),20.5)</f>
        <v>20.5</v>
      </c>
      <c r="I238" s="96" t="str">
        <f>IFERROR(__xludf.DUMMYFUNCTION("""COMPUTED_VALUE"""),"")</f>
        <v/>
      </c>
      <c r="J238" s="97" t="str">
        <f>IFERROR(__xludf.DUMMYFUNCTION("""COMPUTED_VALUE"""),"")</f>
        <v/>
      </c>
      <c r="K238" s="95" t="str">
        <f>IFERROR(__xludf.DUMMYFUNCTION("""COMPUTED_VALUE"""),"")</f>
        <v/>
      </c>
      <c r="L238" s="96" t="str">
        <f>IFERROR(__xludf.DUMMYFUNCTION("""COMPUTED_VALUE"""),"")</f>
        <v/>
      </c>
      <c r="M238" s="97" t="str">
        <f>IFERROR(__xludf.DUMMYFUNCTION("""COMPUTED_VALUE"""),"")</f>
        <v/>
      </c>
      <c r="N238" s="95" t="str">
        <f>IFERROR(__xludf.DUMMYFUNCTION("""COMPUTED_VALUE"""),"")</f>
        <v/>
      </c>
      <c r="O238" s="96" t="str">
        <f>IFERROR(__xludf.DUMMYFUNCTION("""COMPUTED_VALUE"""),"")</f>
        <v/>
      </c>
      <c r="P238" s="97" t="str">
        <f>IFERROR(__xludf.DUMMYFUNCTION("""COMPUTED_VALUE"""),"")</f>
        <v/>
      </c>
      <c r="Q238" s="95" t="str">
        <f>IFERROR(__xludf.DUMMYFUNCTION("""COMPUTED_VALUE"""),"")</f>
        <v/>
      </c>
      <c r="R238" s="96" t="str">
        <f>IFERROR(__xludf.DUMMYFUNCTION("""COMPUTED_VALUE"""),"")</f>
        <v/>
      </c>
      <c r="S238" s="97" t="str">
        <f>IFERROR(__xludf.DUMMYFUNCTION("""COMPUTED_VALUE"""),"")</f>
        <v/>
      </c>
      <c r="T238" s="95" t="str">
        <f>IFERROR(__xludf.DUMMYFUNCTION("""COMPUTED_VALUE"""),"")</f>
        <v/>
      </c>
      <c r="U238" s="96" t="str">
        <f>IFERROR(__xludf.DUMMYFUNCTION("""COMPUTED_VALUE"""),"")</f>
        <v/>
      </c>
      <c r="V238" s="97" t="str">
        <f>IFERROR(__xludf.DUMMYFUNCTION("""COMPUTED_VALUE"""),"")</f>
        <v/>
      </c>
      <c r="W238" s="95" t="str">
        <f>IFERROR(__xludf.DUMMYFUNCTION("""COMPUTED_VALUE"""),"")</f>
        <v/>
      </c>
      <c r="X238" s="96" t="str">
        <f>IFERROR(__xludf.DUMMYFUNCTION("""COMPUTED_VALUE"""),"")</f>
        <v/>
      </c>
      <c r="Y238" s="97" t="str">
        <f>IFERROR(__xludf.DUMMYFUNCTION("""COMPUTED_VALUE"""),"")</f>
        <v/>
      </c>
      <c r="Z238" s="95" t="str">
        <f>IFERROR(__xludf.DUMMYFUNCTION("""COMPUTED_VALUE"""),"")</f>
        <v/>
      </c>
      <c r="AA238" s="96" t="str">
        <f>IFERROR(__xludf.DUMMYFUNCTION("""COMPUTED_VALUE"""),"")</f>
        <v/>
      </c>
      <c r="AB238" s="97" t="str">
        <f>IFERROR(__xludf.DUMMYFUNCTION("""COMPUTED_VALUE"""),"")</f>
        <v/>
      </c>
      <c r="AC238" s="95">
        <f>IFERROR(__xludf.DUMMYFUNCTION("""COMPUTED_VALUE"""),25.8)</f>
        <v>25.8</v>
      </c>
      <c r="AD238" s="96" t="str">
        <f>IFERROR(__xludf.DUMMYFUNCTION("""COMPUTED_VALUE"""),"")</f>
        <v/>
      </c>
      <c r="AE238" s="97" t="str">
        <f>IFERROR(__xludf.DUMMYFUNCTION("""COMPUTED_VALUE"""),"")</f>
        <v/>
      </c>
      <c r="AF238" s="95" t="str">
        <f>IFERROR(__xludf.DUMMYFUNCTION("""COMPUTED_VALUE"""),"")</f>
        <v/>
      </c>
      <c r="AG238" s="96" t="str">
        <f>IFERROR(__xludf.DUMMYFUNCTION("""COMPUTED_VALUE"""),"")</f>
        <v/>
      </c>
      <c r="AH238" s="97" t="str">
        <f>IFERROR(__xludf.DUMMYFUNCTION("""COMPUTED_VALUE"""),"")</f>
        <v/>
      </c>
      <c r="AI238" s="216" t="str">
        <f>IFERROR(__xludf.DUMMYFUNCTION("""COMPUTED_VALUE"""),"")</f>
        <v/>
      </c>
      <c r="AJ238" s="217" t="str">
        <f>IFERROR(__xludf.DUMMYFUNCTION("""COMPUTED_VALUE"""),"")</f>
        <v/>
      </c>
      <c r="AK238" s="218" t="str">
        <f>IFERROR(__xludf.DUMMYFUNCTION("""COMPUTED_VALUE"""),"")</f>
        <v/>
      </c>
      <c r="AL238" s="217" t="str">
        <f>IFERROR(__xludf.DUMMYFUNCTION("""COMPUTED_VALUE"""),"")</f>
        <v/>
      </c>
      <c r="AM238" s="217" t="str">
        <f>IFERROR(__xludf.DUMMYFUNCTION("""COMPUTED_VALUE"""),"")</f>
        <v/>
      </c>
      <c r="AN238" s="218" t="str">
        <f>IFERROR(__xludf.DUMMYFUNCTION("""COMPUTED_VALUE"""),"")</f>
        <v/>
      </c>
      <c r="AO238" s="217" t="str">
        <f>IFERROR(__xludf.DUMMYFUNCTION("""COMPUTED_VALUE"""),"")</f>
        <v/>
      </c>
      <c r="AP238" s="217" t="str">
        <f>IFERROR(__xludf.DUMMYFUNCTION("""COMPUTED_VALUE"""),"")</f>
        <v/>
      </c>
      <c r="AQ238" s="218" t="str">
        <f>IFERROR(__xludf.DUMMYFUNCTION("""COMPUTED_VALUE"""),"")</f>
        <v/>
      </c>
      <c r="AR238" s="217" t="str">
        <f>IFERROR(__xludf.DUMMYFUNCTION("""COMPUTED_VALUE"""),"")</f>
        <v/>
      </c>
      <c r="AS238" s="217" t="str">
        <f>IFERROR(__xludf.DUMMYFUNCTION("""COMPUTED_VALUE"""),"")</f>
        <v/>
      </c>
      <c r="AT238" s="218" t="str">
        <f>IFERROR(__xludf.DUMMYFUNCTION("""COMPUTED_VALUE"""),"")</f>
        <v/>
      </c>
      <c r="AU238" s="217" t="str">
        <f>IFERROR(__xludf.DUMMYFUNCTION("""COMPUTED_VALUE"""),"")</f>
        <v/>
      </c>
      <c r="AV238" s="217" t="str">
        <f>IFERROR(__xludf.DUMMYFUNCTION("""COMPUTED_VALUE"""),"")</f>
        <v/>
      </c>
      <c r="AW238" s="218" t="str">
        <f>IFERROR(__xludf.DUMMYFUNCTION("""COMPUTED_VALUE"""),"")</f>
        <v/>
      </c>
      <c r="AX238" s="217" t="str">
        <f>IFERROR(__xludf.DUMMYFUNCTION("""COMPUTED_VALUE"""),"")</f>
        <v/>
      </c>
      <c r="AY238" s="217" t="str">
        <f>IFERROR(__xludf.DUMMYFUNCTION("""COMPUTED_VALUE"""),"")</f>
        <v/>
      </c>
      <c r="AZ238" s="218" t="str">
        <f>IFERROR(__xludf.DUMMYFUNCTION("""COMPUTED_VALUE"""),"")</f>
        <v/>
      </c>
      <c r="BA238" s="217" t="str">
        <f>IFERROR(__xludf.DUMMYFUNCTION("""COMPUTED_VALUE"""),"")</f>
        <v/>
      </c>
      <c r="BB238" s="217" t="str">
        <f>IFERROR(__xludf.DUMMYFUNCTION("""COMPUTED_VALUE"""),"")</f>
        <v/>
      </c>
      <c r="BC238" s="218" t="str">
        <f>IFERROR(__xludf.DUMMYFUNCTION("""COMPUTED_VALUE"""),"")</f>
        <v/>
      </c>
      <c r="BD238" s="217" t="str">
        <f>IFERROR(__xludf.DUMMYFUNCTION("""COMPUTED_VALUE"""),"")</f>
        <v/>
      </c>
      <c r="BE238" s="217" t="str">
        <f>IFERROR(__xludf.DUMMYFUNCTION("""COMPUTED_VALUE"""),"")</f>
        <v/>
      </c>
      <c r="BF238" s="218" t="str">
        <f>IFERROR(__xludf.DUMMYFUNCTION("""COMPUTED_VALUE"""),"")</f>
        <v/>
      </c>
      <c r="BG238" s="216" t="str">
        <f>IFERROR(__xludf.DUMMYFUNCTION("""COMPUTED_VALUE"""),"")</f>
        <v/>
      </c>
      <c r="BH238" s="217" t="str">
        <f>IFERROR(__xludf.DUMMYFUNCTION("""COMPUTED_VALUE"""),"")</f>
        <v/>
      </c>
      <c r="BI238" s="218" t="str">
        <f>IFERROR(__xludf.DUMMYFUNCTION("""COMPUTED_VALUE"""),"")</f>
        <v/>
      </c>
      <c r="BJ238" s="217" t="str">
        <f>IFERROR(__xludf.DUMMYFUNCTION("""COMPUTED_VALUE"""),"")</f>
        <v/>
      </c>
      <c r="BK238" s="217" t="str">
        <f>IFERROR(__xludf.DUMMYFUNCTION("""COMPUTED_VALUE"""),"")</f>
        <v/>
      </c>
      <c r="BL238" s="218" t="str">
        <f>IFERROR(__xludf.DUMMYFUNCTION("""COMPUTED_VALUE"""),"")</f>
        <v/>
      </c>
      <c r="BM238" s="217" t="str">
        <f>IFERROR(__xludf.DUMMYFUNCTION("""COMPUTED_VALUE"""),"")</f>
        <v/>
      </c>
      <c r="BN238" s="217">
        <f>IFERROR(__xludf.DUMMYFUNCTION("""COMPUTED_VALUE"""),55.0)</f>
        <v>55</v>
      </c>
      <c r="BO238" s="218" t="str">
        <f>IFERROR(__xludf.DUMMYFUNCTION("""COMPUTED_VALUE"""),"")</f>
        <v/>
      </c>
      <c r="BP238" s="217">
        <f>IFERROR(__xludf.DUMMYFUNCTION("""COMPUTED_VALUE"""),7.1)</f>
        <v>7.1</v>
      </c>
      <c r="BQ238" s="217" t="str">
        <f>IFERROR(__xludf.DUMMYFUNCTION("""COMPUTED_VALUE"""),"")</f>
        <v/>
      </c>
      <c r="BR238" s="218" t="str">
        <f>IFERROR(__xludf.DUMMYFUNCTION("""COMPUTED_VALUE"""),"")</f>
        <v/>
      </c>
      <c r="BS238" s="217" t="str">
        <f>IFERROR(__xludf.DUMMYFUNCTION("""COMPUTED_VALUE"""),"")</f>
        <v/>
      </c>
      <c r="BT238" s="217" t="str">
        <f>IFERROR(__xludf.DUMMYFUNCTION("""COMPUTED_VALUE"""),"")</f>
        <v/>
      </c>
      <c r="BU238" s="218" t="str">
        <f>IFERROR(__xludf.DUMMYFUNCTION("""COMPUTED_VALUE"""),"")</f>
        <v/>
      </c>
      <c r="BV238" s="217" t="str">
        <f>IFERROR(__xludf.DUMMYFUNCTION("""COMPUTED_VALUE"""),"")</f>
        <v/>
      </c>
      <c r="BW238" s="217" t="str">
        <f>IFERROR(__xludf.DUMMYFUNCTION("""COMPUTED_VALUE"""),"")</f>
        <v/>
      </c>
      <c r="BX238" s="218" t="str">
        <f>IFERROR(__xludf.DUMMYFUNCTION("""COMPUTED_VALUE"""),"")</f>
        <v/>
      </c>
      <c r="BY238" s="217" t="str">
        <f>IFERROR(__xludf.DUMMYFUNCTION("""COMPUTED_VALUE"""),"")</f>
        <v/>
      </c>
      <c r="BZ238" s="217" t="str">
        <f>IFERROR(__xludf.DUMMYFUNCTION("""COMPUTED_VALUE"""),"")</f>
        <v/>
      </c>
      <c r="CA238" s="218" t="str">
        <f>IFERROR(__xludf.DUMMYFUNCTION("""COMPUTED_VALUE"""),"")</f>
        <v/>
      </c>
      <c r="CB238" s="216" t="str">
        <f>IFERROR(__xludf.DUMMYFUNCTION("""COMPUTED_VALUE"""),"")</f>
        <v/>
      </c>
      <c r="CC238" s="217" t="str">
        <f>IFERROR(__xludf.DUMMYFUNCTION("""COMPUTED_VALUE"""),"")</f>
        <v/>
      </c>
      <c r="CD238" s="218" t="str">
        <f>IFERROR(__xludf.DUMMYFUNCTION("""COMPUTED_VALUE"""),"")</f>
        <v/>
      </c>
      <c r="CE238" s="217" t="str">
        <f>IFERROR(__xludf.DUMMYFUNCTION("""COMPUTED_VALUE"""),"")</f>
        <v/>
      </c>
      <c r="CF238" s="217" t="str">
        <f>IFERROR(__xludf.DUMMYFUNCTION("""COMPUTED_VALUE"""),"")</f>
        <v/>
      </c>
      <c r="CG238" s="218" t="str">
        <f>IFERROR(__xludf.DUMMYFUNCTION("""COMPUTED_VALUE"""),"")</f>
        <v/>
      </c>
      <c r="CH238" s="217" t="str">
        <f>IFERROR(__xludf.DUMMYFUNCTION("""COMPUTED_VALUE"""),"")</f>
        <v/>
      </c>
      <c r="CI238" s="217" t="str">
        <f>IFERROR(__xludf.DUMMYFUNCTION("""COMPUTED_VALUE"""),"")</f>
        <v/>
      </c>
      <c r="CJ238" s="218" t="str">
        <f>IFERROR(__xludf.DUMMYFUNCTION("""COMPUTED_VALUE"""),"")</f>
        <v/>
      </c>
      <c r="CK238" s="217" t="str">
        <f>IFERROR(__xludf.DUMMYFUNCTION("""COMPUTED_VALUE"""),"")</f>
        <v/>
      </c>
      <c r="CL238" s="217" t="str">
        <f>IFERROR(__xludf.DUMMYFUNCTION("""COMPUTED_VALUE"""),"")</f>
        <v/>
      </c>
      <c r="CM238" s="218" t="str">
        <f>IFERROR(__xludf.DUMMYFUNCTION("""COMPUTED_VALUE"""),"")</f>
        <v/>
      </c>
      <c r="CN238" s="217" t="str">
        <f>IFERROR(__xludf.DUMMYFUNCTION("""COMPUTED_VALUE"""),"")</f>
        <v/>
      </c>
      <c r="CO238" s="217" t="str">
        <f>IFERROR(__xludf.DUMMYFUNCTION("""COMPUTED_VALUE"""),"")</f>
        <v/>
      </c>
      <c r="CP238" s="218" t="str">
        <f>IFERROR(__xludf.DUMMYFUNCTION("""COMPUTED_VALUE"""),"")</f>
        <v/>
      </c>
      <c r="CQ238" s="217" t="str">
        <f>IFERROR(__xludf.DUMMYFUNCTION("""COMPUTED_VALUE"""),"")</f>
        <v/>
      </c>
      <c r="CR238" s="217">
        <f>IFERROR(__xludf.DUMMYFUNCTION("""COMPUTED_VALUE"""),4.3)</f>
        <v>4.3</v>
      </c>
      <c r="CS238" s="218" t="str">
        <f>IFERROR(__xludf.DUMMYFUNCTION("""COMPUTED_VALUE"""),"#REF!")</f>
        <v>#REF!</v>
      </c>
      <c r="CT238" s="217" t="str">
        <f>IFERROR(__xludf.DUMMYFUNCTION("""COMPUTED_VALUE"""),"#REF!")</f>
        <v>#REF!</v>
      </c>
      <c r="CU238" s="217" t="str">
        <f>IFERROR(__xludf.DUMMYFUNCTION("""COMPUTED_VALUE"""),"#REF!")</f>
        <v>#REF!</v>
      </c>
      <c r="CV238" s="218" t="str">
        <f>IFERROR(__xludf.DUMMYFUNCTION("""COMPUTED_VALUE"""),"#REF!")</f>
        <v>#REF!</v>
      </c>
      <c r="CW238" s="217" t="str">
        <f>IFERROR(__xludf.DUMMYFUNCTION("""COMPUTED_VALUE"""),"#REF!")</f>
        <v>#REF!</v>
      </c>
      <c r="CX238" s="217" t="str">
        <f>IFERROR(__xludf.DUMMYFUNCTION("""COMPUTED_VALUE"""),"#REF!")</f>
        <v>#REF!</v>
      </c>
      <c r="CY238" s="218" t="str">
        <f>IFERROR(__xludf.DUMMYFUNCTION("""COMPUTED_VALUE"""),"#REF!")</f>
        <v>#REF!</v>
      </c>
      <c r="CZ238" s="217" t="str">
        <f>IFERROR(__xludf.DUMMYFUNCTION("""COMPUTED_VALUE"""),"#REF!")</f>
        <v>#REF!</v>
      </c>
      <c r="DA238" s="217" t="str">
        <f>IFERROR(__xludf.DUMMYFUNCTION("""COMPUTED_VALUE"""),"#REF!")</f>
        <v>#REF!</v>
      </c>
      <c r="DB238" s="218" t="str">
        <f>IFERROR(__xludf.DUMMYFUNCTION("""COMPUTED_VALUE"""),"#REF!")</f>
        <v>#REF!</v>
      </c>
      <c r="DC238" s="217" t="str">
        <f>IFERROR(__xludf.DUMMYFUNCTION("""COMPUTED_VALUE"""),"#REF!")</f>
        <v>#REF!</v>
      </c>
      <c r="DD238" s="217" t="str">
        <f>IFERROR(__xludf.DUMMYFUNCTION("""COMPUTED_VALUE"""),"#REF!")</f>
        <v>#REF!</v>
      </c>
      <c r="DE238" s="218" t="str">
        <f>IFERROR(__xludf.DUMMYFUNCTION("""COMPUTED_VALUE"""),"#REF!")</f>
        <v>#REF!</v>
      </c>
      <c r="DF238" s="217" t="str">
        <f>IFERROR(__xludf.DUMMYFUNCTION("""COMPUTED_VALUE"""),"#REF!")</f>
        <v>#REF!</v>
      </c>
      <c r="DG238" s="217" t="str">
        <f>IFERROR(__xludf.DUMMYFUNCTION("""COMPUTED_VALUE"""),"#REF!")</f>
        <v>#REF!</v>
      </c>
      <c r="DH238" s="218" t="str">
        <f>IFERROR(__xludf.DUMMYFUNCTION("""COMPUTED_VALUE"""),"#REF!")</f>
        <v>#REF!</v>
      </c>
      <c r="DI238" s="217" t="str">
        <f>IFERROR(__xludf.DUMMYFUNCTION("""COMPUTED_VALUE"""),"#REF!")</f>
        <v>#REF!</v>
      </c>
      <c r="DJ238" s="217" t="str">
        <f>IFERROR(__xludf.DUMMYFUNCTION("""COMPUTED_VALUE"""),"#REF!")</f>
        <v>#REF!</v>
      </c>
      <c r="DK238" s="218" t="str">
        <f>IFERROR(__xludf.DUMMYFUNCTION("""COMPUTED_VALUE"""),"#REF!")</f>
        <v>#REF!</v>
      </c>
      <c r="DL238" s="217" t="str">
        <f>IFERROR(__xludf.DUMMYFUNCTION("""COMPUTED_VALUE"""),"#REF!")</f>
        <v>#REF!</v>
      </c>
      <c r="DM238" s="217" t="str">
        <f>IFERROR(__xludf.DUMMYFUNCTION("""COMPUTED_VALUE"""),"#REF!")</f>
        <v>#REF!</v>
      </c>
      <c r="DN238" s="218" t="str">
        <f>IFERROR(__xludf.DUMMYFUNCTION("""COMPUTED_VALUE"""),"#REF!")</f>
        <v>#REF!</v>
      </c>
      <c r="DO238" s="217" t="str">
        <f>IFERROR(__xludf.DUMMYFUNCTION("""COMPUTED_VALUE"""),"#REF!")</f>
        <v>#REF!</v>
      </c>
      <c r="DP238" s="217" t="str">
        <f>IFERROR(__xludf.DUMMYFUNCTION("""COMPUTED_VALUE"""),"#REF!")</f>
        <v>#REF!</v>
      </c>
      <c r="DQ238" s="218"/>
      <c r="DR238" s="217"/>
    </row>
    <row r="239">
      <c r="B239" s="180" t="str">
        <f>IFERROR(__xludf.DUMMYFUNCTION("""COMPUTED_VALUE"""),"OLP2")</f>
        <v>OLP2</v>
      </c>
      <c r="C239">
        <f>IFERROR(__xludf.DUMMYFUNCTION("""COMPUTED_VALUE"""),238.0)</f>
        <v>238</v>
      </c>
      <c r="D239" s="178" t="str">
        <f>IFERROR(__xludf.DUMMYFUNCTION("""COMPUTED_VALUE"""),"Interstellar City: West")</f>
        <v>Interstellar City: West</v>
      </c>
      <c r="E239" s="215" t="str">
        <f>IFERROR(__xludf.DUMMYFUNCTION("""COMPUTED_VALUE"""),"星間都市西部")</f>
        <v>星間都市西部</v>
      </c>
      <c r="F239" s="179">
        <f>IFERROR(__xludf.DUMMYFUNCTION("""COMPUTED_VALUE"""),21.0)</f>
        <v>21</v>
      </c>
      <c r="G239" s="83">
        <f>IFERROR(__xludf.DUMMYFUNCTION("""COMPUTED_VALUE"""),12319.0)</f>
        <v>12319</v>
      </c>
      <c r="H239" s="95" t="str">
        <f>IFERROR(__xludf.DUMMYFUNCTION("""COMPUTED_VALUE"""),"")</f>
        <v/>
      </c>
      <c r="I239" s="96" t="str">
        <f>IFERROR(__xludf.DUMMYFUNCTION("""COMPUTED_VALUE"""),"")</f>
        <v/>
      </c>
      <c r="J239" s="97" t="str">
        <f>IFERROR(__xludf.DUMMYFUNCTION("""COMPUTED_VALUE"""),"")</f>
        <v/>
      </c>
      <c r="K239" s="95" t="str">
        <f>IFERROR(__xludf.DUMMYFUNCTION("""COMPUTED_VALUE"""),"")</f>
        <v/>
      </c>
      <c r="L239" s="96" t="str">
        <f>IFERROR(__xludf.DUMMYFUNCTION("""COMPUTED_VALUE"""),"")</f>
        <v/>
      </c>
      <c r="M239" s="97" t="str">
        <f>IFERROR(__xludf.DUMMYFUNCTION("""COMPUTED_VALUE"""),"")</f>
        <v/>
      </c>
      <c r="N239" s="95" t="str">
        <f>IFERROR(__xludf.DUMMYFUNCTION("""COMPUTED_VALUE"""),"")</f>
        <v/>
      </c>
      <c r="O239" s="96" t="str">
        <f>IFERROR(__xludf.DUMMYFUNCTION("""COMPUTED_VALUE"""),"")</f>
        <v/>
      </c>
      <c r="P239" s="97" t="str">
        <f>IFERROR(__xludf.DUMMYFUNCTION("""COMPUTED_VALUE"""),"")</f>
        <v/>
      </c>
      <c r="Q239" s="95" t="str">
        <f>IFERROR(__xludf.DUMMYFUNCTION("""COMPUTED_VALUE"""),"")</f>
        <v/>
      </c>
      <c r="R239" s="96" t="str">
        <f>IFERROR(__xludf.DUMMYFUNCTION("""COMPUTED_VALUE"""),"")</f>
        <v/>
      </c>
      <c r="S239" s="97" t="str">
        <f>IFERROR(__xludf.DUMMYFUNCTION("""COMPUTED_VALUE"""),"")</f>
        <v/>
      </c>
      <c r="T239" s="95">
        <f>IFERROR(__xludf.DUMMYFUNCTION("""COMPUTED_VALUE"""),20.1)</f>
        <v>20.1</v>
      </c>
      <c r="U239" s="96" t="str">
        <f>IFERROR(__xludf.DUMMYFUNCTION("""COMPUTED_VALUE"""),"")</f>
        <v/>
      </c>
      <c r="V239" s="97" t="str">
        <f>IFERROR(__xludf.DUMMYFUNCTION("""COMPUTED_VALUE"""),"")</f>
        <v/>
      </c>
      <c r="W239" s="95" t="str">
        <f>IFERROR(__xludf.DUMMYFUNCTION("""COMPUTED_VALUE"""),"")</f>
        <v/>
      </c>
      <c r="X239" s="96">
        <f>IFERROR(__xludf.DUMMYFUNCTION("""COMPUTED_VALUE"""),19.9)</f>
        <v>19.9</v>
      </c>
      <c r="Y239" s="97" t="str">
        <f>IFERROR(__xludf.DUMMYFUNCTION("""COMPUTED_VALUE"""),"")</f>
        <v/>
      </c>
      <c r="Z239" s="95" t="str">
        <f>IFERROR(__xludf.DUMMYFUNCTION("""COMPUTED_VALUE"""),"")</f>
        <v/>
      </c>
      <c r="AA239" s="96" t="str">
        <f>IFERROR(__xludf.DUMMYFUNCTION("""COMPUTED_VALUE"""),"")</f>
        <v/>
      </c>
      <c r="AB239" s="97" t="str">
        <f>IFERROR(__xludf.DUMMYFUNCTION("""COMPUTED_VALUE"""),"")</f>
        <v/>
      </c>
      <c r="AC239" s="95" t="str">
        <f>IFERROR(__xludf.DUMMYFUNCTION("""COMPUTED_VALUE"""),"")</f>
        <v/>
      </c>
      <c r="AD239" s="96" t="str">
        <f>IFERROR(__xludf.DUMMYFUNCTION("""COMPUTED_VALUE"""),"")</f>
        <v/>
      </c>
      <c r="AE239" s="97" t="str">
        <f>IFERROR(__xludf.DUMMYFUNCTION("""COMPUTED_VALUE"""),"")</f>
        <v/>
      </c>
      <c r="AF239" s="95" t="str">
        <f>IFERROR(__xludf.DUMMYFUNCTION("""COMPUTED_VALUE"""),"")</f>
        <v/>
      </c>
      <c r="AG239" s="96" t="str">
        <f>IFERROR(__xludf.DUMMYFUNCTION("""COMPUTED_VALUE"""),"")</f>
        <v/>
      </c>
      <c r="AH239" s="97" t="str">
        <f>IFERROR(__xludf.DUMMYFUNCTION("""COMPUTED_VALUE"""),"")</f>
        <v/>
      </c>
      <c r="AI239" s="216" t="str">
        <f>IFERROR(__xludf.DUMMYFUNCTION("""COMPUTED_VALUE"""),"")</f>
        <v/>
      </c>
      <c r="AJ239" s="217" t="str">
        <f>IFERROR(__xludf.DUMMYFUNCTION("""COMPUTED_VALUE"""),"")</f>
        <v/>
      </c>
      <c r="AK239" s="218" t="str">
        <f>IFERROR(__xludf.DUMMYFUNCTION("""COMPUTED_VALUE"""),"")</f>
        <v/>
      </c>
      <c r="AL239" s="217" t="str">
        <f>IFERROR(__xludf.DUMMYFUNCTION("""COMPUTED_VALUE"""),"")</f>
        <v/>
      </c>
      <c r="AM239" s="217" t="str">
        <f>IFERROR(__xludf.DUMMYFUNCTION("""COMPUTED_VALUE"""),"")</f>
        <v/>
      </c>
      <c r="AN239" s="218" t="str">
        <f>IFERROR(__xludf.DUMMYFUNCTION("""COMPUTED_VALUE"""),"")</f>
        <v/>
      </c>
      <c r="AO239" s="217" t="str">
        <f>IFERROR(__xludf.DUMMYFUNCTION("""COMPUTED_VALUE"""),"")</f>
        <v/>
      </c>
      <c r="AP239" s="217" t="str">
        <f>IFERROR(__xludf.DUMMYFUNCTION("""COMPUTED_VALUE"""),"")</f>
        <v/>
      </c>
      <c r="AQ239" s="218" t="str">
        <f>IFERROR(__xludf.DUMMYFUNCTION("""COMPUTED_VALUE"""),"")</f>
        <v/>
      </c>
      <c r="AR239" s="217" t="str">
        <f>IFERROR(__xludf.DUMMYFUNCTION("""COMPUTED_VALUE"""),"")</f>
        <v/>
      </c>
      <c r="AS239" s="217" t="str">
        <f>IFERROR(__xludf.DUMMYFUNCTION("""COMPUTED_VALUE"""),"")</f>
        <v/>
      </c>
      <c r="AT239" s="218" t="str">
        <f>IFERROR(__xludf.DUMMYFUNCTION("""COMPUTED_VALUE"""),"")</f>
        <v/>
      </c>
      <c r="AU239" s="217" t="str">
        <f>IFERROR(__xludf.DUMMYFUNCTION("""COMPUTED_VALUE"""),"")</f>
        <v/>
      </c>
      <c r="AV239" s="217" t="str">
        <f>IFERROR(__xludf.DUMMYFUNCTION("""COMPUTED_VALUE"""),"")</f>
        <v/>
      </c>
      <c r="AW239" s="218" t="str">
        <f>IFERROR(__xludf.DUMMYFUNCTION("""COMPUTED_VALUE"""),"")</f>
        <v/>
      </c>
      <c r="AX239" s="217" t="str">
        <f>IFERROR(__xludf.DUMMYFUNCTION("""COMPUTED_VALUE"""),"")</f>
        <v/>
      </c>
      <c r="AY239" s="217" t="str">
        <f>IFERROR(__xludf.DUMMYFUNCTION("""COMPUTED_VALUE"""),"")</f>
        <v/>
      </c>
      <c r="AZ239" s="218" t="str">
        <f>IFERROR(__xludf.DUMMYFUNCTION("""COMPUTED_VALUE"""),"")</f>
        <v/>
      </c>
      <c r="BA239" s="217" t="str">
        <f>IFERROR(__xludf.DUMMYFUNCTION("""COMPUTED_VALUE"""),"")</f>
        <v/>
      </c>
      <c r="BB239" s="217" t="str">
        <f>IFERROR(__xludf.DUMMYFUNCTION("""COMPUTED_VALUE"""),"")</f>
        <v/>
      </c>
      <c r="BC239" s="218" t="str">
        <f>IFERROR(__xludf.DUMMYFUNCTION("""COMPUTED_VALUE"""),"")</f>
        <v/>
      </c>
      <c r="BD239" s="217" t="str">
        <f>IFERROR(__xludf.DUMMYFUNCTION("""COMPUTED_VALUE"""),"")</f>
        <v/>
      </c>
      <c r="BE239" s="217" t="str">
        <f>IFERROR(__xludf.DUMMYFUNCTION("""COMPUTED_VALUE"""),"")</f>
        <v/>
      </c>
      <c r="BF239" s="218" t="str">
        <f>IFERROR(__xludf.DUMMYFUNCTION("""COMPUTED_VALUE"""),"")</f>
        <v/>
      </c>
      <c r="BG239" s="216" t="str">
        <f>IFERROR(__xludf.DUMMYFUNCTION("""COMPUTED_VALUE"""),"")</f>
        <v/>
      </c>
      <c r="BH239" s="217" t="str">
        <f>IFERROR(__xludf.DUMMYFUNCTION("""COMPUTED_VALUE"""),"")</f>
        <v/>
      </c>
      <c r="BI239" s="218" t="str">
        <f>IFERROR(__xludf.DUMMYFUNCTION("""COMPUTED_VALUE"""),"")</f>
        <v/>
      </c>
      <c r="BJ239" s="217" t="str">
        <f>IFERROR(__xludf.DUMMYFUNCTION("""COMPUTED_VALUE"""),"")</f>
        <v/>
      </c>
      <c r="BK239" s="217" t="str">
        <f>IFERROR(__xludf.DUMMYFUNCTION("""COMPUTED_VALUE"""),"")</f>
        <v/>
      </c>
      <c r="BL239" s="218">
        <f>IFERROR(__xludf.DUMMYFUNCTION("""COMPUTED_VALUE"""),32.0)</f>
        <v>32</v>
      </c>
      <c r="BM239" s="217" t="str">
        <f>IFERROR(__xludf.DUMMYFUNCTION("""COMPUTED_VALUE"""),"")</f>
        <v/>
      </c>
      <c r="BN239" s="217" t="str">
        <f>IFERROR(__xludf.DUMMYFUNCTION("""COMPUTED_VALUE"""),"")</f>
        <v/>
      </c>
      <c r="BO239" s="218" t="str">
        <f>IFERROR(__xludf.DUMMYFUNCTION("""COMPUTED_VALUE"""),"")</f>
        <v/>
      </c>
      <c r="BP239" s="217" t="str">
        <f>IFERROR(__xludf.DUMMYFUNCTION("""COMPUTED_VALUE"""),"")</f>
        <v/>
      </c>
      <c r="BQ239" s="217" t="str">
        <f>IFERROR(__xludf.DUMMYFUNCTION("""COMPUTED_VALUE"""),"")</f>
        <v/>
      </c>
      <c r="BR239" s="218" t="str">
        <f>IFERROR(__xludf.DUMMYFUNCTION("""COMPUTED_VALUE"""),"")</f>
        <v/>
      </c>
      <c r="BS239" s="217" t="str">
        <f>IFERROR(__xludf.DUMMYFUNCTION("""COMPUTED_VALUE"""),"")</f>
        <v/>
      </c>
      <c r="BT239" s="217" t="str">
        <f>IFERROR(__xludf.DUMMYFUNCTION("""COMPUTED_VALUE"""),"")</f>
        <v/>
      </c>
      <c r="BU239" s="218" t="str">
        <f>IFERROR(__xludf.DUMMYFUNCTION("""COMPUTED_VALUE"""),"")</f>
        <v/>
      </c>
      <c r="BV239" s="217" t="str">
        <f>IFERROR(__xludf.DUMMYFUNCTION("""COMPUTED_VALUE"""),"")</f>
        <v/>
      </c>
      <c r="BW239" s="217" t="str">
        <f>IFERROR(__xludf.DUMMYFUNCTION("""COMPUTED_VALUE"""),"")</f>
        <v/>
      </c>
      <c r="BX239" s="218" t="str">
        <f>IFERROR(__xludf.DUMMYFUNCTION("""COMPUTED_VALUE"""),"")</f>
        <v/>
      </c>
      <c r="BY239" s="217" t="str">
        <f>IFERROR(__xludf.DUMMYFUNCTION("""COMPUTED_VALUE"""),"")</f>
        <v/>
      </c>
      <c r="BZ239" s="217" t="str">
        <f>IFERROR(__xludf.DUMMYFUNCTION("""COMPUTED_VALUE"""),"")</f>
        <v/>
      </c>
      <c r="CA239" s="218" t="str">
        <f>IFERROR(__xludf.DUMMYFUNCTION("""COMPUTED_VALUE"""),"")</f>
        <v/>
      </c>
      <c r="CB239" s="216" t="str">
        <f>IFERROR(__xludf.DUMMYFUNCTION("""COMPUTED_VALUE"""),"")</f>
        <v/>
      </c>
      <c r="CC239" s="217" t="str">
        <f>IFERROR(__xludf.DUMMYFUNCTION("""COMPUTED_VALUE"""),"")</f>
        <v/>
      </c>
      <c r="CD239" s="218" t="str">
        <f>IFERROR(__xludf.DUMMYFUNCTION("""COMPUTED_VALUE"""),"")</f>
        <v/>
      </c>
      <c r="CE239" s="217" t="str">
        <f>IFERROR(__xludf.DUMMYFUNCTION("""COMPUTED_VALUE"""),"")</f>
        <v/>
      </c>
      <c r="CF239" s="217" t="str">
        <f>IFERROR(__xludf.DUMMYFUNCTION("""COMPUTED_VALUE"""),"")</f>
        <v/>
      </c>
      <c r="CG239" s="218" t="str">
        <f>IFERROR(__xludf.DUMMYFUNCTION("""COMPUTED_VALUE"""),"")</f>
        <v/>
      </c>
      <c r="CH239" s="217" t="str">
        <f>IFERROR(__xludf.DUMMYFUNCTION("""COMPUTED_VALUE"""),"")</f>
        <v/>
      </c>
      <c r="CI239" s="217" t="str">
        <f>IFERROR(__xludf.DUMMYFUNCTION("""COMPUTED_VALUE"""),"")</f>
        <v/>
      </c>
      <c r="CJ239" s="218" t="str">
        <f>IFERROR(__xludf.DUMMYFUNCTION("""COMPUTED_VALUE"""),"")</f>
        <v/>
      </c>
      <c r="CK239" s="217" t="str">
        <f>IFERROR(__xludf.DUMMYFUNCTION("""COMPUTED_VALUE"""),"")</f>
        <v/>
      </c>
      <c r="CL239" s="217" t="str">
        <f>IFERROR(__xludf.DUMMYFUNCTION("""COMPUTED_VALUE"""),"")</f>
        <v/>
      </c>
      <c r="CM239" s="218" t="str">
        <f>IFERROR(__xludf.DUMMYFUNCTION("""COMPUTED_VALUE"""),"")</f>
        <v/>
      </c>
      <c r="CN239" s="217">
        <f>IFERROR(__xludf.DUMMYFUNCTION("""COMPUTED_VALUE"""),18.1)</f>
        <v>18.1</v>
      </c>
      <c r="CO239" s="217" t="str">
        <f>IFERROR(__xludf.DUMMYFUNCTION("""COMPUTED_VALUE"""),"")</f>
        <v/>
      </c>
      <c r="CP239" s="218" t="str">
        <f>IFERROR(__xludf.DUMMYFUNCTION("""COMPUTED_VALUE"""),"")</f>
        <v/>
      </c>
      <c r="CQ239" s="217" t="str">
        <f>IFERROR(__xludf.DUMMYFUNCTION("""COMPUTED_VALUE"""),"")</f>
        <v/>
      </c>
      <c r="CR239" s="217" t="str">
        <f>IFERROR(__xludf.DUMMYFUNCTION("""COMPUTED_VALUE"""),"")</f>
        <v/>
      </c>
      <c r="CS239" s="218" t="str">
        <f>IFERROR(__xludf.DUMMYFUNCTION("""COMPUTED_VALUE"""),"#REF!")</f>
        <v>#REF!</v>
      </c>
      <c r="CT239" s="217" t="str">
        <f>IFERROR(__xludf.DUMMYFUNCTION("""COMPUTED_VALUE"""),"#REF!")</f>
        <v>#REF!</v>
      </c>
      <c r="CU239" s="217" t="str">
        <f>IFERROR(__xludf.DUMMYFUNCTION("""COMPUTED_VALUE"""),"#REF!")</f>
        <v>#REF!</v>
      </c>
      <c r="CV239" s="218" t="str">
        <f>IFERROR(__xludf.DUMMYFUNCTION("""COMPUTED_VALUE"""),"#REF!")</f>
        <v>#REF!</v>
      </c>
      <c r="CW239" s="217" t="str">
        <f>IFERROR(__xludf.DUMMYFUNCTION("""COMPUTED_VALUE"""),"#REF!")</f>
        <v>#REF!</v>
      </c>
      <c r="CX239" s="217" t="str">
        <f>IFERROR(__xludf.DUMMYFUNCTION("""COMPUTED_VALUE"""),"#REF!")</f>
        <v>#REF!</v>
      </c>
      <c r="CY239" s="218" t="str">
        <f>IFERROR(__xludf.DUMMYFUNCTION("""COMPUTED_VALUE"""),"#REF!")</f>
        <v>#REF!</v>
      </c>
      <c r="CZ239" s="217" t="str">
        <f>IFERROR(__xludf.DUMMYFUNCTION("""COMPUTED_VALUE"""),"#REF!")</f>
        <v>#REF!</v>
      </c>
      <c r="DA239" s="217" t="str">
        <f>IFERROR(__xludf.DUMMYFUNCTION("""COMPUTED_VALUE"""),"#REF!")</f>
        <v>#REF!</v>
      </c>
      <c r="DB239" s="218" t="str">
        <f>IFERROR(__xludf.DUMMYFUNCTION("""COMPUTED_VALUE"""),"#REF!")</f>
        <v>#REF!</v>
      </c>
      <c r="DC239" s="217" t="str">
        <f>IFERROR(__xludf.DUMMYFUNCTION("""COMPUTED_VALUE"""),"#REF!")</f>
        <v>#REF!</v>
      </c>
      <c r="DD239" s="217" t="str">
        <f>IFERROR(__xludf.DUMMYFUNCTION("""COMPUTED_VALUE"""),"#REF!")</f>
        <v>#REF!</v>
      </c>
      <c r="DE239" s="218" t="str">
        <f>IFERROR(__xludf.DUMMYFUNCTION("""COMPUTED_VALUE"""),"#REF!")</f>
        <v>#REF!</v>
      </c>
      <c r="DF239" s="217" t="str">
        <f>IFERROR(__xludf.DUMMYFUNCTION("""COMPUTED_VALUE"""),"#REF!")</f>
        <v>#REF!</v>
      </c>
      <c r="DG239" s="217" t="str">
        <f>IFERROR(__xludf.DUMMYFUNCTION("""COMPUTED_VALUE"""),"#REF!")</f>
        <v>#REF!</v>
      </c>
      <c r="DH239" s="218" t="str">
        <f>IFERROR(__xludf.DUMMYFUNCTION("""COMPUTED_VALUE"""),"#REF!")</f>
        <v>#REF!</v>
      </c>
      <c r="DI239" s="217" t="str">
        <f>IFERROR(__xludf.DUMMYFUNCTION("""COMPUTED_VALUE"""),"#REF!")</f>
        <v>#REF!</v>
      </c>
      <c r="DJ239" s="217" t="str">
        <f>IFERROR(__xludf.DUMMYFUNCTION("""COMPUTED_VALUE"""),"#REF!")</f>
        <v>#REF!</v>
      </c>
      <c r="DK239" s="218" t="str">
        <f>IFERROR(__xludf.DUMMYFUNCTION("""COMPUTED_VALUE"""),"#REF!")</f>
        <v>#REF!</v>
      </c>
      <c r="DL239" s="217" t="str">
        <f>IFERROR(__xludf.DUMMYFUNCTION("""COMPUTED_VALUE"""),"#REF!")</f>
        <v>#REF!</v>
      </c>
      <c r="DM239" s="217" t="str">
        <f>IFERROR(__xludf.DUMMYFUNCTION("""COMPUTED_VALUE"""),"#REF!")</f>
        <v>#REF!</v>
      </c>
      <c r="DN239" s="218" t="str">
        <f>IFERROR(__xludf.DUMMYFUNCTION("""COMPUTED_VALUE"""),"#REF!")</f>
        <v>#REF!</v>
      </c>
      <c r="DO239" s="217" t="str">
        <f>IFERROR(__xludf.DUMMYFUNCTION("""COMPUTED_VALUE"""),"#REF!")</f>
        <v>#REF!</v>
      </c>
      <c r="DP239" s="217" t="str">
        <f>IFERROR(__xludf.DUMMYFUNCTION("""COMPUTED_VALUE"""),"#REF!")</f>
        <v>#REF!</v>
      </c>
      <c r="DQ239" s="218"/>
      <c r="DR239" s="217"/>
    </row>
    <row r="240">
      <c r="B240" s="180" t="str">
        <f>IFERROR(__xludf.DUMMYFUNCTION("""COMPUTED_VALUE"""),"OLP3")</f>
        <v>OLP3</v>
      </c>
      <c r="C240">
        <f>IFERROR(__xludf.DUMMYFUNCTION("""COMPUTED_VALUE"""),239.0)</f>
        <v>239</v>
      </c>
      <c r="D240" s="178" t="str">
        <f>IFERROR(__xludf.DUMMYFUNCTION("""COMPUTED_VALUE"""),"Interstellar City: South")</f>
        <v>Interstellar City: South</v>
      </c>
      <c r="E240" s="215" t="str">
        <f>IFERROR(__xludf.DUMMYFUNCTION("""COMPUTED_VALUE"""),"星間都市南部")</f>
        <v>星間都市南部</v>
      </c>
      <c r="F240" s="179">
        <f>IFERROR(__xludf.DUMMYFUNCTION("""COMPUTED_VALUE"""),21.0)</f>
        <v>21</v>
      </c>
      <c r="G240" s="83">
        <f>IFERROR(__xludf.DUMMYFUNCTION("""COMPUTED_VALUE"""),65354.0)</f>
        <v>65354</v>
      </c>
      <c r="H240" s="95" t="str">
        <f>IFERROR(__xludf.DUMMYFUNCTION("""COMPUTED_VALUE"""),"")</f>
        <v/>
      </c>
      <c r="I240" s="96" t="str">
        <f>IFERROR(__xludf.DUMMYFUNCTION("""COMPUTED_VALUE"""),"")</f>
        <v/>
      </c>
      <c r="J240" s="97" t="str">
        <f>IFERROR(__xludf.DUMMYFUNCTION("""COMPUTED_VALUE"""),"")</f>
        <v/>
      </c>
      <c r="K240" s="95" t="str">
        <f>IFERROR(__xludf.DUMMYFUNCTION("""COMPUTED_VALUE"""),"")</f>
        <v/>
      </c>
      <c r="L240" s="96" t="str">
        <f>IFERROR(__xludf.DUMMYFUNCTION("""COMPUTED_VALUE"""),"")</f>
        <v/>
      </c>
      <c r="M240" s="97" t="str">
        <f>IFERROR(__xludf.DUMMYFUNCTION("""COMPUTED_VALUE"""),"")</f>
        <v/>
      </c>
      <c r="N240" s="95" t="str">
        <f>IFERROR(__xludf.DUMMYFUNCTION("""COMPUTED_VALUE"""),"")</f>
        <v/>
      </c>
      <c r="O240" s="96" t="str">
        <f>IFERROR(__xludf.DUMMYFUNCTION("""COMPUTED_VALUE"""),"")</f>
        <v/>
      </c>
      <c r="P240" s="97" t="str">
        <f>IFERROR(__xludf.DUMMYFUNCTION("""COMPUTED_VALUE"""),"")</f>
        <v/>
      </c>
      <c r="Q240" s="95" t="str">
        <f>IFERROR(__xludf.DUMMYFUNCTION("""COMPUTED_VALUE"""),"")</f>
        <v/>
      </c>
      <c r="R240" s="96" t="str">
        <f>IFERROR(__xludf.DUMMYFUNCTION("""COMPUTED_VALUE"""),"")</f>
        <v/>
      </c>
      <c r="S240" s="97" t="str">
        <f>IFERROR(__xludf.DUMMYFUNCTION("""COMPUTED_VALUE"""),"")</f>
        <v/>
      </c>
      <c r="T240" s="95" t="str">
        <f>IFERROR(__xludf.DUMMYFUNCTION("""COMPUTED_VALUE"""),"")</f>
        <v/>
      </c>
      <c r="U240" s="96" t="str">
        <f>IFERROR(__xludf.DUMMYFUNCTION("""COMPUTED_VALUE"""),"")</f>
        <v/>
      </c>
      <c r="V240" s="97" t="str">
        <f>IFERROR(__xludf.DUMMYFUNCTION("""COMPUTED_VALUE"""),"")</f>
        <v/>
      </c>
      <c r="W240" s="95" t="str">
        <f>IFERROR(__xludf.DUMMYFUNCTION("""COMPUTED_VALUE"""),"")</f>
        <v/>
      </c>
      <c r="X240" s="96">
        <f>IFERROR(__xludf.DUMMYFUNCTION("""COMPUTED_VALUE"""),20.1)</f>
        <v>20.1</v>
      </c>
      <c r="Y240" s="97" t="str">
        <f>IFERROR(__xludf.DUMMYFUNCTION("""COMPUTED_VALUE"""),"")</f>
        <v/>
      </c>
      <c r="Z240" s="95" t="str">
        <f>IFERROR(__xludf.DUMMYFUNCTION("""COMPUTED_VALUE"""),"")</f>
        <v/>
      </c>
      <c r="AA240" s="96" t="str">
        <f>IFERROR(__xludf.DUMMYFUNCTION("""COMPUTED_VALUE"""),"")</f>
        <v/>
      </c>
      <c r="AB240" s="97" t="str">
        <f>IFERROR(__xludf.DUMMYFUNCTION("""COMPUTED_VALUE"""),"")</f>
        <v/>
      </c>
      <c r="AC240" s="95" t="str">
        <f>IFERROR(__xludf.DUMMYFUNCTION("""COMPUTED_VALUE"""),"")</f>
        <v/>
      </c>
      <c r="AD240" s="96" t="str">
        <f>IFERROR(__xludf.DUMMYFUNCTION("""COMPUTED_VALUE"""),"")</f>
        <v/>
      </c>
      <c r="AE240" s="97" t="str">
        <f>IFERROR(__xludf.DUMMYFUNCTION("""COMPUTED_VALUE"""),"")</f>
        <v/>
      </c>
      <c r="AF240" s="95" t="str">
        <f>IFERROR(__xludf.DUMMYFUNCTION("""COMPUTED_VALUE"""),"")</f>
        <v/>
      </c>
      <c r="AG240" s="96" t="str">
        <f>IFERROR(__xludf.DUMMYFUNCTION("""COMPUTED_VALUE"""),"")</f>
        <v/>
      </c>
      <c r="AH240" s="97" t="str">
        <f>IFERROR(__xludf.DUMMYFUNCTION("""COMPUTED_VALUE"""),"")</f>
        <v/>
      </c>
      <c r="AI240" s="216" t="str">
        <f>IFERROR(__xludf.DUMMYFUNCTION("""COMPUTED_VALUE"""),"")</f>
        <v/>
      </c>
      <c r="AJ240" s="217" t="str">
        <f>IFERROR(__xludf.DUMMYFUNCTION("""COMPUTED_VALUE"""),"")</f>
        <v/>
      </c>
      <c r="AK240" s="218" t="str">
        <f>IFERROR(__xludf.DUMMYFUNCTION("""COMPUTED_VALUE"""),"")</f>
        <v/>
      </c>
      <c r="AL240" s="217" t="str">
        <f>IFERROR(__xludf.DUMMYFUNCTION("""COMPUTED_VALUE"""),"")</f>
        <v/>
      </c>
      <c r="AM240" s="217" t="str">
        <f>IFERROR(__xludf.DUMMYFUNCTION("""COMPUTED_VALUE"""),"")</f>
        <v/>
      </c>
      <c r="AN240" s="218" t="str">
        <f>IFERROR(__xludf.DUMMYFUNCTION("""COMPUTED_VALUE"""),"")</f>
        <v/>
      </c>
      <c r="AO240" s="217" t="str">
        <f>IFERROR(__xludf.DUMMYFUNCTION("""COMPUTED_VALUE"""),"")</f>
        <v/>
      </c>
      <c r="AP240" s="217" t="str">
        <f>IFERROR(__xludf.DUMMYFUNCTION("""COMPUTED_VALUE"""),"")</f>
        <v/>
      </c>
      <c r="AQ240" s="218" t="str">
        <f>IFERROR(__xludf.DUMMYFUNCTION("""COMPUTED_VALUE"""),"")</f>
        <v/>
      </c>
      <c r="AR240" s="217">
        <f>IFERROR(__xludf.DUMMYFUNCTION("""COMPUTED_VALUE"""),25.3)</f>
        <v>25.3</v>
      </c>
      <c r="AS240" s="217" t="str">
        <f>IFERROR(__xludf.DUMMYFUNCTION("""COMPUTED_VALUE"""),"")</f>
        <v/>
      </c>
      <c r="AT240" s="218" t="str">
        <f>IFERROR(__xludf.DUMMYFUNCTION("""COMPUTED_VALUE"""),"")</f>
        <v/>
      </c>
      <c r="AU240" s="217" t="str">
        <f>IFERROR(__xludf.DUMMYFUNCTION("""COMPUTED_VALUE"""),"")</f>
        <v/>
      </c>
      <c r="AV240" s="217" t="str">
        <f>IFERROR(__xludf.DUMMYFUNCTION("""COMPUTED_VALUE"""),"")</f>
        <v/>
      </c>
      <c r="AW240" s="218" t="str">
        <f>IFERROR(__xludf.DUMMYFUNCTION("""COMPUTED_VALUE"""),"")</f>
        <v/>
      </c>
      <c r="AX240" s="217" t="str">
        <f>IFERROR(__xludf.DUMMYFUNCTION("""COMPUTED_VALUE"""),"")</f>
        <v/>
      </c>
      <c r="AY240" s="217" t="str">
        <f>IFERROR(__xludf.DUMMYFUNCTION("""COMPUTED_VALUE"""),"")</f>
        <v/>
      </c>
      <c r="AZ240" s="218" t="str">
        <f>IFERROR(__xludf.DUMMYFUNCTION("""COMPUTED_VALUE"""),"")</f>
        <v/>
      </c>
      <c r="BA240" s="217" t="str">
        <f>IFERROR(__xludf.DUMMYFUNCTION("""COMPUTED_VALUE"""),"")</f>
        <v/>
      </c>
      <c r="BB240" s="217" t="str">
        <f>IFERROR(__xludf.DUMMYFUNCTION("""COMPUTED_VALUE"""),"")</f>
        <v/>
      </c>
      <c r="BC240" s="218" t="str">
        <f>IFERROR(__xludf.DUMMYFUNCTION("""COMPUTED_VALUE"""),"")</f>
        <v/>
      </c>
      <c r="BD240" s="217" t="str">
        <f>IFERROR(__xludf.DUMMYFUNCTION("""COMPUTED_VALUE"""),"")</f>
        <v/>
      </c>
      <c r="BE240" s="217" t="str">
        <f>IFERROR(__xludf.DUMMYFUNCTION("""COMPUTED_VALUE"""),"")</f>
        <v/>
      </c>
      <c r="BF240" s="218" t="str">
        <f>IFERROR(__xludf.DUMMYFUNCTION("""COMPUTED_VALUE"""),"")</f>
        <v/>
      </c>
      <c r="BG240" s="216" t="str">
        <f>IFERROR(__xludf.DUMMYFUNCTION("""COMPUTED_VALUE"""),"")</f>
        <v/>
      </c>
      <c r="BH240" s="217" t="str">
        <f>IFERROR(__xludf.DUMMYFUNCTION("""COMPUTED_VALUE"""),"")</f>
        <v/>
      </c>
      <c r="BI240" s="218" t="str">
        <f>IFERROR(__xludf.DUMMYFUNCTION("""COMPUTED_VALUE"""),"")</f>
        <v/>
      </c>
      <c r="BJ240" s="217" t="str">
        <f>IFERROR(__xludf.DUMMYFUNCTION("""COMPUTED_VALUE"""),"")</f>
        <v/>
      </c>
      <c r="BK240" s="217" t="str">
        <f>IFERROR(__xludf.DUMMYFUNCTION("""COMPUTED_VALUE"""),"")</f>
        <v/>
      </c>
      <c r="BL240" s="218">
        <f>IFERROR(__xludf.DUMMYFUNCTION("""COMPUTED_VALUE"""),15.5)</f>
        <v>15.5</v>
      </c>
      <c r="BM240" s="217" t="str">
        <f>IFERROR(__xludf.DUMMYFUNCTION("""COMPUTED_VALUE"""),"")</f>
        <v/>
      </c>
      <c r="BN240" s="217" t="str">
        <f>IFERROR(__xludf.DUMMYFUNCTION("""COMPUTED_VALUE"""),"")</f>
        <v/>
      </c>
      <c r="BO240" s="218">
        <f>IFERROR(__xludf.DUMMYFUNCTION("""COMPUTED_VALUE"""),33.4)</f>
        <v>33.4</v>
      </c>
      <c r="BP240" s="217" t="str">
        <f>IFERROR(__xludf.DUMMYFUNCTION("""COMPUTED_VALUE"""),"")</f>
        <v/>
      </c>
      <c r="BQ240" s="217" t="str">
        <f>IFERROR(__xludf.DUMMYFUNCTION("""COMPUTED_VALUE"""),"")</f>
        <v/>
      </c>
      <c r="BR240" s="218" t="str">
        <f>IFERROR(__xludf.DUMMYFUNCTION("""COMPUTED_VALUE"""),"")</f>
        <v/>
      </c>
      <c r="BS240" s="217" t="str">
        <f>IFERROR(__xludf.DUMMYFUNCTION("""COMPUTED_VALUE"""),"")</f>
        <v/>
      </c>
      <c r="BT240" s="217" t="str">
        <f>IFERROR(__xludf.DUMMYFUNCTION("""COMPUTED_VALUE"""),"")</f>
        <v/>
      </c>
      <c r="BU240" s="218" t="str">
        <f>IFERROR(__xludf.DUMMYFUNCTION("""COMPUTED_VALUE"""),"")</f>
        <v/>
      </c>
      <c r="BV240" s="217" t="str">
        <f>IFERROR(__xludf.DUMMYFUNCTION("""COMPUTED_VALUE"""),"")</f>
        <v/>
      </c>
      <c r="BW240" s="217" t="str">
        <f>IFERROR(__xludf.DUMMYFUNCTION("""COMPUTED_VALUE"""),"")</f>
        <v/>
      </c>
      <c r="BX240" s="218" t="str">
        <f>IFERROR(__xludf.DUMMYFUNCTION("""COMPUTED_VALUE"""),"")</f>
        <v/>
      </c>
      <c r="BY240" s="217" t="str">
        <f>IFERROR(__xludf.DUMMYFUNCTION("""COMPUTED_VALUE"""),"")</f>
        <v/>
      </c>
      <c r="BZ240" s="217" t="str">
        <f>IFERROR(__xludf.DUMMYFUNCTION("""COMPUTED_VALUE"""),"")</f>
        <v/>
      </c>
      <c r="CA240" s="218" t="str">
        <f>IFERROR(__xludf.DUMMYFUNCTION("""COMPUTED_VALUE"""),"")</f>
        <v/>
      </c>
      <c r="CB240" s="216" t="str">
        <f>IFERROR(__xludf.DUMMYFUNCTION("""COMPUTED_VALUE"""),"")</f>
        <v/>
      </c>
      <c r="CC240" s="217" t="str">
        <f>IFERROR(__xludf.DUMMYFUNCTION("""COMPUTED_VALUE"""),"")</f>
        <v/>
      </c>
      <c r="CD240" s="218" t="str">
        <f>IFERROR(__xludf.DUMMYFUNCTION("""COMPUTED_VALUE"""),"")</f>
        <v/>
      </c>
      <c r="CE240" s="217" t="str">
        <f>IFERROR(__xludf.DUMMYFUNCTION("""COMPUTED_VALUE"""),"")</f>
        <v/>
      </c>
      <c r="CF240" s="217" t="str">
        <f>IFERROR(__xludf.DUMMYFUNCTION("""COMPUTED_VALUE"""),"")</f>
        <v/>
      </c>
      <c r="CG240" s="218" t="str">
        <f>IFERROR(__xludf.DUMMYFUNCTION("""COMPUTED_VALUE"""),"")</f>
        <v/>
      </c>
      <c r="CH240" s="217" t="str">
        <f>IFERROR(__xludf.DUMMYFUNCTION("""COMPUTED_VALUE"""),"")</f>
        <v/>
      </c>
      <c r="CI240" s="217" t="str">
        <f>IFERROR(__xludf.DUMMYFUNCTION("""COMPUTED_VALUE"""),"")</f>
        <v/>
      </c>
      <c r="CJ240" s="218" t="str">
        <f>IFERROR(__xludf.DUMMYFUNCTION("""COMPUTED_VALUE"""),"")</f>
        <v/>
      </c>
      <c r="CK240" s="217" t="str">
        <f>IFERROR(__xludf.DUMMYFUNCTION("""COMPUTED_VALUE"""),"")</f>
        <v/>
      </c>
      <c r="CL240" s="217" t="str">
        <f>IFERROR(__xludf.DUMMYFUNCTION("""COMPUTED_VALUE"""),"")</f>
        <v/>
      </c>
      <c r="CM240" s="218" t="str">
        <f>IFERROR(__xludf.DUMMYFUNCTION("""COMPUTED_VALUE"""),"")</f>
        <v/>
      </c>
      <c r="CN240" s="217">
        <f>IFERROR(__xludf.DUMMYFUNCTION("""COMPUTED_VALUE"""),8.3)</f>
        <v>8.3</v>
      </c>
      <c r="CO240" s="217" t="str">
        <f>IFERROR(__xludf.DUMMYFUNCTION("""COMPUTED_VALUE"""),"")</f>
        <v/>
      </c>
      <c r="CP240" s="218" t="str">
        <f>IFERROR(__xludf.DUMMYFUNCTION("""COMPUTED_VALUE"""),"")</f>
        <v/>
      </c>
      <c r="CQ240" s="217" t="str">
        <f>IFERROR(__xludf.DUMMYFUNCTION("""COMPUTED_VALUE"""),"")</f>
        <v/>
      </c>
      <c r="CR240" s="217" t="str">
        <f>IFERROR(__xludf.DUMMYFUNCTION("""COMPUTED_VALUE"""),"")</f>
        <v/>
      </c>
      <c r="CS240" s="218" t="str">
        <f>IFERROR(__xludf.DUMMYFUNCTION("""COMPUTED_VALUE"""),"#REF!")</f>
        <v>#REF!</v>
      </c>
      <c r="CT240" s="217" t="str">
        <f>IFERROR(__xludf.DUMMYFUNCTION("""COMPUTED_VALUE"""),"#REF!")</f>
        <v>#REF!</v>
      </c>
      <c r="CU240" s="217" t="str">
        <f>IFERROR(__xludf.DUMMYFUNCTION("""COMPUTED_VALUE"""),"#REF!")</f>
        <v>#REF!</v>
      </c>
      <c r="CV240" s="218" t="str">
        <f>IFERROR(__xludf.DUMMYFUNCTION("""COMPUTED_VALUE"""),"#REF!")</f>
        <v>#REF!</v>
      </c>
      <c r="CW240" s="217" t="str">
        <f>IFERROR(__xludf.DUMMYFUNCTION("""COMPUTED_VALUE"""),"#REF!")</f>
        <v>#REF!</v>
      </c>
      <c r="CX240" s="217" t="str">
        <f>IFERROR(__xludf.DUMMYFUNCTION("""COMPUTED_VALUE"""),"#REF!")</f>
        <v>#REF!</v>
      </c>
      <c r="CY240" s="218" t="str">
        <f>IFERROR(__xludf.DUMMYFUNCTION("""COMPUTED_VALUE"""),"#REF!")</f>
        <v>#REF!</v>
      </c>
      <c r="CZ240" s="217" t="str">
        <f>IFERROR(__xludf.DUMMYFUNCTION("""COMPUTED_VALUE"""),"#REF!")</f>
        <v>#REF!</v>
      </c>
      <c r="DA240" s="217" t="str">
        <f>IFERROR(__xludf.DUMMYFUNCTION("""COMPUTED_VALUE"""),"#REF!")</f>
        <v>#REF!</v>
      </c>
      <c r="DB240" s="218" t="str">
        <f>IFERROR(__xludf.DUMMYFUNCTION("""COMPUTED_VALUE"""),"#REF!")</f>
        <v>#REF!</v>
      </c>
      <c r="DC240" s="217" t="str">
        <f>IFERROR(__xludf.DUMMYFUNCTION("""COMPUTED_VALUE"""),"#REF!")</f>
        <v>#REF!</v>
      </c>
      <c r="DD240" s="217" t="str">
        <f>IFERROR(__xludf.DUMMYFUNCTION("""COMPUTED_VALUE"""),"#REF!")</f>
        <v>#REF!</v>
      </c>
      <c r="DE240" s="218" t="str">
        <f>IFERROR(__xludf.DUMMYFUNCTION("""COMPUTED_VALUE"""),"#REF!")</f>
        <v>#REF!</v>
      </c>
      <c r="DF240" s="217" t="str">
        <f>IFERROR(__xludf.DUMMYFUNCTION("""COMPUTED_VALUE"""),"#REF!")</f>
        <v>#REF!</v>
      </c>
      <c r="DG240" s="217" t="str">
        <f>IFERROR(__xludf.DUMMYFUNCTION("""COMPUTED_VALUE"""),"#REF!")</f>
        <v>#REF!</v>
      </c>
      <c r="DH240" s="218" t="str">
        <f>IFERROR(__xludf.DUMMYFUNCTION("""COMPUTED_VALUE"""),"#REF!")</f>
        <v>#REF!</v>
      </c>
      <c r="DI240" s="217" t="str">
        <f>IFERROR(__xludf.DUMMYFUNCTION("""COMPUTED_VALUE"""),"#REF!")</f>
        <v>#REF!</v>
      </c>
      <c r="DJ240" s="217" t="str">
        <f>IFERROR(__xludf.DUMMYFUNCTION("""COMPUTED_VALUE"""),"#REF!")</f>
        <v>#REF!</v>
      </c>
      <c r="DK240" s="218" t="str">
        <f>IFERROR(__xludf.DUMMYFUNCTION("""COMPUTED_VALUE"""),"#REF!")</f>
        <v>#REF!</v>
      </c>
      <c r="DL240" s="217" t="str">
        <f>IFERROR(__xludf.DUMMYFUNCTION("""COMPUTED_VALUE"""),"#REF!")</f>
        <v>#REF!</v>
      </c>
      <c r="DM240" s="217" t="str">
        <f>IFERROR(__xludf.DUMMYFUNCTION("""COMPUTED_VALUE"""),"#REF!")</f>
        <v>#REF!</v>
      </c>
      <c r="DN240" s="218" t="str">
        <f>IFERROR(__xludf.DUMMYFUNCTION("""COMPUTED_VALUE"""),"#REF!")</f>
        <v>#REF!</v>
      </c>
      <c r="DO240" s="217" t="str">
        <f>IFERROR(__xludf.DUMMYFUNCTION("""COMPUTED_VALUE"""),"#REF!")</f>
        <v>#REF!</v>
      </c>
      <c r="DP240" s="217" t="str">
        <f>IFERROR(__xludf.DUMMYFUNCTION("""COMPUTED_VALUE"""),"#REF!")</f>
        <v>#REF!</v>
      </c>
      <c r="DQ240" s="218"/>
      <c r="DR240" s="217"/>
    </row>
    <row r="241">
      <c r="B241" s="180" t="str">
        <f>IFERROR(__xludf.DUMMYFUNCTION("""COMPUTED_VALUE"""),"OLP4")</f>
        <v>OLP4</v>
      </c>
      <c r="C241">
        <f>IFERROR(__xludf.DUMMYFUNCTION("""COMPUTED_VALUE"""),240.0)</f>
        <v>240</v>
      </c>
      <c r="D241" s="178" t="str">
        <f>IFERROR(__xludf.DUMMYFUNCTION("""COMPUTED_VALUE"""),"Interstellar City: East")</f>
        <v>Interstellar City: East</v>
      </c>
      <c r="E241" s="215" t="str">
        <f>IFERROR(__xludf.DUMMYFUNCTION("""COMPUTED_VALUE"""),"星間都市東部")</f>
        <v>星間都市東部</v>
      </c>
      <c r="F241" s="179">
        <f>IFERROR(__xludf.DUMMYFUNCTION("""COMPUTED_VALUE"""),21.0)</f>
        <v>21</v>
      </c>
      <c r="G241" s="83">
        <f>IFERROR(__xludf.DUMMYFUNCTION("""COMPUTED_VALUE"""),3293.0)</f>
        <v>3293</v>
      </c>
      <c r="H241" s="95" t="str">
        <f>IFERROR(__xludf.DUMMYFUNCTION("""COMPUTED_VALUE"""),"")</f>
        <v/>
      </c>
      <c r="I241" s="96" t="str">
        <f>IFERROR(__xludf.DUMMYFUNCTION("""COMPUTED_VALUE"""),"")</f>
        <v/>
      </c>
      <c r="J241" s="97" t="str">
        <f>IFERROR(__xludf.DUMMYFUNCTION("""COMPUTED_VALUE"""),"")</f>
        <v/>
      </c>
      <c r="K241" s="95" t="str">
        <f>IFERROR(__xludf.DUMMYFUNCTION("""COMPUTED_VALUE"""),"")</f>
        <v/>
      </c>
      <c r="L241" s="96" t="str">
        <f>IFERROR(__xludf.DUMMYFUNCTION("""COMPUTED_VALUE"""),"")</f>
        <v/>
      </c>
      <c r="M241" s="97" t="str">
        <f>IFERROR(__xludf.DUMMYFUNCTION("""COMPUTED_VALUE"""),"")</f>
        <v/>
      </c>
      <c r="N241" s="95" t="str">
        <f>IFERROR(__xludf.DUMMYFUNCTION("""COMPUTED_VALUE"""),"")</f>
        <v/>
      </c>
      <c r="O241" s="96" t="str">
        <f>IFERROR(__xludf.DUMMYFUNCTION("""COMPUTED_VALUE"""),"")</f>
        <v/>
      </c>
      <c r="P241" s="97" t="str">
        <f>IFERROR(__xludf.DUMMYFUNCTION("""COMPUTED_VALUE"""),"")</f>
        <v/>
      </c>
      <c r="Q241" s="95" t="str">
        <f>IFERROR(__xludf.DUMMYFUNCTION("""COMPUTED_VALUE"""),"")</f>
        <v/>
      </c>
      <c r="R241" s="96" t="str">
        <f>IFERROR(__xludf.DUMMYFUNCTION("""COMPUTED_VALUE"""),"")</f>
        <v/>
      </c>
      <c r="S241" s="97" t="str">
        <f>IFERROR(__xludf.DUMMYFUNCTION("""COMPUTED_VALUE"""),"")</f>
        <v/>
      </c>
      <c r="T241" s="95" t="str">
        <f>IFERROR(__xludf.DUMMYFUNCTION("""COMPUTED_VALUE"""),"")</f>
        <v/>
      </c>
      <c r="U241" s="96" t="str">
        <f>IFERROR(__xludf.DUMMYFUNCTION("""COMPUTED_VALUE"""),"")</f>
        <v/>
      </c>
      <c r="V241" s="97" t="str">
        <f>IFERROR(__xludf.DUMMYFUNCTION("""COMPUTED_VALUE"""),"")</f>
        <v/>
      </c>
      <c r="W241" s="95" t="str">
        <f>IFERROR(__xludf.DUMMYFUNCTION("""COMPUTED_VALUE"""),"")</f>
        <v/>
      </c>
      <c r="X241" s="96">
        <f>IFERROR(__xludf.DUMMYFUNCTION("""COMPUTED_VALUE"""),19.6)</f>
        <v>19.6</v>
      </c>
      <c r="Y241" s="97" t="str">
        <f>IFERROR(__xludf.DUMMYFUNCTION("""COMPUTED_VALUE"""),"")</f>
        <v/>
      </c>
      <c r="Z241" s="95" t="str">
        <f>IFERROR(__xludf.DUMMYFUNCTION("""COMPUTED_VALUE"""),"")</f>
        <v/>
      </c>
      <c r="AA241" s="96" t="str">
        <f>IFERROR(__xludf.DUMMYFUNCTION("""COMPUTED_VALUE"""),"")</f>
        <v/>
      </c>
      <c r="AB241" s="97">
        <f>IFERROR(__xludf.DUMMYFUNCTION("""COMPUTED_VALUE"""),25.0)</f>
        <v>25</v>
      </c>
      <c r="AC241" s="95" t="str">
        <f>IFERROR(__xludf.DUMMYFUNCTION("""COMPUTED_VALUE"""),"")</f>
        <v/>
      </c>
      <c r="AD241" s="96" t="str">
        <f>IFERROR(__xludf.DUMMYFUNCTION("""COMPUTED_VALUE"""),"")</f>
        <v/>
      </c>
      <c r="AE241" s="97" t="str">
        <f>IFERROR(__xludf.DUMMYFUNCTION("""COMPUTED_VALUE"""),"")</f>
        <v/>
      </c>
      <c r="AF241" s="95" t="str">
        <f>IFERROR(__xludf.DUMMYFUNCTION("""COMPUTED_VALUE"""),"")</f>
        <v/>
      </c>
      <c r="AG241" s="96" t="str">
        <f>IFERROR(__xludf.DUMMYFUNCTION("""COMPUTED_VALUE"""),"")</f>
        <v/>
      </c>
      <c r="AH241" s="97" t="str">
        <f>IFERROR(__xludf.DUMMYFUNCTION("""COMPUTED_VALUE"""),"")</f>
        <v/>
      </c>
      <c r="AI241" s="216" t="str">
        <f>IFERROR(__xludf.DUMMYFUNCTION("""COMPUTED_VALUE"""),"")</f>
        <v/>
      </c>
      <c r="AJ241" s="217" t="str">
        <f>IFERROR(__xludf.DUMMYFUNCTION("""COMPUTED_VALUE"""),"")</f>
        <v/>
      </c>
      <c r="AK241" s="218" t="str">
        <f>IFERROR(__xludf.DUMMYFUNCTION("""COMPUTED_VALUE"""),"")</f>
        <v/>
      </c>
      <c r="AL241" s="217" t="str">
        <f>IFERROR(__xludf.DUMMYFUNCTION("""COMPUTED_VALUE"""),"")</f>
        <v/>
      </c>
      <c r="AM241" s="217" t="str">
        <f>IFERROR(__xludf.DUMMYFUNCTION("""COMPUTED_VALUE"""),"")</f>
        <v/>
      </c>
      <c r="AN241" s="218" t="str">
        <f>IFERROR(__xludf.DUMMYFUNCTION("""COMPUTED_VALUE"""),"")</f>
        <v/>
      </c>
      <c r="AO241" s="217" t="str">
        <f>IFERROR(__xludf.DUMMYFUNCTION("""COMPUTED_VALUE"""),"")</f>
        <v/>
      </c>
      <c r="AP241" s="217" t="str">
        <f>IFERROR(__xludf.DUMMYFUNCTION("""COMPUTED_VALUE"""),"")</f>
        <v/>
      </c>
      <c r="AQ241" s="218" t="str">
        <f>IFERROR(__xludf.DUMMYFUNCTION("""COMPUTED_VALUE"""),"")</f>
        <v/>
      </c>
      <c r="AR241" s="217" t="str">
        <f>IFERROR(__xludf.DUMMYFUNCTION("""COMPUTED_VALUE"""),"")</f>
        <v/>
      </c>
      <c r="AS241" s="217" t="str">
        <f>IFERROR(__xludf.DUMMYFUNCTION("""COMPUTED_VALUE"""),"")</f>
        <v/>
      </c>
      <c r="AT241" s="218" t="str">
        <f>IFERROR(__xludf.DUMMYFUNCTION("""COMPUTED_VALUE"""),"")</f>
        <v/>
      </c>
      <c r="AU241" s="217" t="str">
        <f>IFERROR(__xludf.DUMMYFUNCTION("""COMPUTED_VALUE"""),"")</f>
        <v/>
      </c>
      <c r="AV241" s="217" t="str">
        <f>IFERROR(__xludf.DUMMYFUNCTION("""COMPUTED_VALUE"""),"")</f>
        <v/>
      </c>
      <c r="AW241" s="218" t="str">
        <f>IFERROR(__xludf.DUMMYFUNCTION("""COMPUTED_VALUE"""),"")</f>
        <v/>
      </c>
      <c r="AX241" s="217" t="str">
        <f>IFERROR(__xludf.DUMMYFUNCTION("""COMPUTED_VALUE"""),"")</f>
        <v/>
      </c>
      <c r="AY241" s="217" t="str">
        <f>IFERROR(__xludf.DUMMYFUNCTION("""COMPUTED_VALUE"""),"")</f>
        <v/>
      </c>
      <c r="AZ241" s="218" t="str">
        <f>IFERROR(__xludf.DUMMYFUNCTION("""COMPUTED_VALUE"""),"")</f>
        <v/>
      </c>
      <c r="BA241" s="217" t="str">
        <f>IFERROR(__xludf.DUMMYFUNCTION("""COMPUTED_VALUE"""),"")</f>
        <v/>
      </c>
      <c r="BB241" s="217" t="str">
        <f>IFERROR(__xludf.DUMMYFUNCTION("""COMPUTED_VALUE"""),"")</f>
        <v/>
      </c>
      <c r="BC241" s="218" t="str">
        <f>IFERROR(__xludf.DUMMYFUNCTION("""COMPUTED_VALUE"""),"")</f>
        <v/>
      </c>
      <c r="BD241" s="217" t="str">
        <f>IFERROR(__xludf.DUMMYFUNCTION("""COMPUTED_VALUE"""),"")</f>
        <v/>
      </c>
      <c r="BE241" s="217" t="str">
        <f>IFERROR(__xludf.DUMMYFUNCTION("""COMPUTED_VALUE"""),"")</f>
        <v/>
      </c>
      <c r="BF241" s="218" t="str">
        <f>IFERROR(__xludf.DUMMYFUNCTION("""COMPUTED_VALUE"""),"")</f>
        <v/>
      </c>
      <c r="BG241" s="216" t="str">
        <f>IFERROR(__xludf.DUMMYFUNCTION("""COMPUTED_VALUE"""),"")</f>
        <v/>
      </c>
      <c r="BH241" s="217" t="str">
        <f>IFERROR(__xludf.DUMMYFUNCTION("""COMPUTED_VALUE"""),"")</f>
        <v/>
      </c>
      <c r="BI241" s="218">
        <f>IFERROR(__xludf.DUMMYFUNCTION("""COMPUTED_VALUE"""),5.3)</f>
        <v>5.3</v>
      </c>
      <c r="BJ241" s="217" t="str">
        <f>IFERROR(__xludf.DUMMYFUNCTION("""COMPUTED_VALUE"""),"")</f>
        <v/>
      </c>
      <c r="BK241" s="217" t="str">
        <f>IFERROR(__xludf.DUMMYFUNCTION("""COMPUTED_VALUE"""),"")</f>
        <v/>
      </c>
      <c r="BL241" s="218">
        <f>IFERROR(__xludf.DUMMYFUNCTION("""COMPUTED_VALUE"""),13.7)</f>
        <v>13.7</v>
      </c>
      <c r="BM241" s="217" t="str">
        <f>IFERROR(__xludf.DUMMYFUNCTION("""COMPUTED_VALUE"""),"")</f>
        <v/>
      </c>
      <c r="BN241" s="217" t="str">
        <f>IFERROR(__xludf.DUMMYFUNCTION("""COMPUTED_VALUE"""),"")</f>
        <v/>
      </c>
      <c r="BO241" s="218" t="str">
        <f>IFERROR(__xludf.DUMMYFUNCTION("""COMPUTED_VALUE"""),"")</f>
        <v/>
      </c>
      <c r="BP241" s="217" t="str">
        <f>IFERROR(__xludf.DUMMYFUNCTION("""COMPUTED_VALUE"""),"")</f>
        <v/>
      </c>
      <c r="BQ241" s="217" t="str">
        <f>IFERROR(__xludf.DUMMYFUNCTION("""COMPUTED_VALUE"""),"")</f>
        <v/>
      </c>
      <c r="BR241" s="218" t="str">
        <f>IFERROR(__xludf.DUMMYFUNCTION("""COMPUTED_VALUE"""),"")</f>
        <v/>
      </c>
      <c r="BS241" s="217" t="str">
        <f>IFERROR(__xludf.DUMMYFUNCTION("""COMPUTED_VALUE"""),"")</f>
        <v/>
      </c>
      <c r="BT241" s="217" t="str">
        <f>IFERROR(__xludf.DUMMYFUNCTION("""COMPUTED_VALUE"""),"")</f>
        <v/>
      </c>
      <c r="BU241" s="218" t="str">
        <f>IFERROR(__xludf.DUMMYFUNCTION("""COMPUTED_VALUE"""),"")</f>
        <v/>
      </c>
      <c r="BV241" s="217" t="str">
        <f>IFERROR(__xludf.DUMMYFUNCTION("""COMPUTED_VALUE"""),"")</f>
        <v/>
      </c>
      <c r="BW241" s="217">
        <f>IFERROR(__xludf.DUMMYFUNCTION("""COMPUTED_VALUE"""),20.5)</f>
        <v>20.5</v>
      </c>
      <c r="BX241" s="218" t="str">
        <f>IFERROR(__xludf.DUMMYFUNCTION("""COMPUTED_VALUE"""),"")</f>
        <v/>
      </c>
      <c r="BY241" s="217" t="str">
        <f>IFERROR(__xludf.DUMMYFUNCTION("""COMPUTED_VALUE"""),"")</f>
        <v/>
      </c>
      <c r="BZ241" s="217" t="str">
        <f>IFERROR(__xludf.DUMMYFUNCTION("""COMPUTED_VALUE"""),"")</f>
        <v/>
      </c>
      <c r="CA241" s="218" t="str">
        <f>IFERROR(__xludf.DUMMYFUNCTION("""COMPUTED_VALUE"""),"")</f>
        <v/>
      </c>
      <c r="CB241" s="216" t="str">
        <f>IFERROR(__xludf.DUMMYFUNCTION("""COMPUTED_VALUE"""),"")</f>
        <v/>
      </c>
      <c r="CC241" s="217" t="str">
        <f>IFERROR(__xludf.DUMMYFUNCTION("""COMPUTED_VALUE"""),"")</f>
        <v/>
      </c>
      <c r="CD241" s="218" t="str">
        <f>IFERROR(__xludf.DUMMYFUNCTION("""COMPUTED_VALUE"""),"")</f>
        <v/>
      </c>
      <c r="CE241" s="217" t="str">
        <f>IFERROR(__xludf.DUMMYFUNCTION("""COMPUTED_VALUE"""),"")</f>
        <v/>
      </c>
      <c r="CF241" s="217" t="str">
        <f>IFERROR(__xludf.DUMMYFUNCTION("""COMPUTED_VALUE"""),"")</f>
        <v/>
      </c>
      <c r="CG241" s="218" t="str">
        <f>IFERROR(__xludf.DUMMYFUNCTION("""COMPUTED_VALUE"""),"")</f>
        <v/>
      </c>
      <c r="CH241" s="217" t="str">
        <f>IFERROR(__xludf.DUMMYFUNCTION("""COMPUTED_VALUE"""),"")</f>
        <v/>
      </c>
      <c r="CI241" s="217" t="str">
        <f>IFERROR(__xludf.DUMMYFUNCTION("""COMPUTED_VALUE"""),"")</f>
        <v/>
      </c>
      <c r="CJ241" s="218" t="str">
        <f>IFERROR(__xludf.DUMMYFUNCTION("""COMPUTED_VALUE"""),"")</f>
        <v/>
      </c>
      <c r="CK241" s="217" t="str">
        <f>IFERROR(__xludf.DUMMYFUNCTION("""COMPUTED_VALUE"""),"")</f>
        <v/>
      </c>
      <c r="CL241" s="217" t="str">
        <f>IFERROR(__xludf.DUMMYFUNCTION("""COMPUTED_VALUE"""),"")</f>
        <v/>
      </c>
      <c r="CM241" s="218" t="str">
        <f>IFERROR(__xludf.DUMMYFUNCTION("""COMPUTED_VALUE"""),"")</f>
        <v/>
      </c>
      <c r="CN241" s="217">
        <f>IFERROR(__xludf.DUMMYFUNCTION("""COMPUTED_VALUE"""),5.7)</f>
        <v>5.7</v>
      </c>
      <c r="CO241" s="217" t="str">
        <f>IFERROR(__xludf.DUMMYFUNCTION("""COMPUTED_VALUE"""),"")</f>
        <v/>
      </c>
      <c r="CP241" s="218" t="str">
        <f>IFERROR(__xludf.DUMMYFUNCTION("""COMPUTED_VALUE"""),"")</f>
        <v/>
      </c>
      <c r="CQ241" s="217" t="str">
        <f>IFERROR(__xludf.DUMMYFUNCTION("""COMPUTED_VALUE"""),"")</f>
        <v/>
      </c>
      <c r="CR241" s="217" t="str">
        <f>IFERROR(__xludf.DUMMYFUNCTION("""COMPUTED_VALUE"""),"")</f>
        <v/>
      </c>
      <c r="CS241" s="218" t="str">
        <f>IFERROR(__xludf.DUMMYFUNCTION("""COMPUTED_VALUE"""),"#REF!")</f>
        <v>#REF!</v>
      </c>
      <c r="CT241" s="217" t="str">
        <f>IFERROR(__xludf.DUMMYFUNCTION("""COMPUTED_VALUE"""),"#REF!")</f>
        <v>#REF!</v>
      </c>
      <c r="CU241" s="217" t="str">
        <f>IFERROR(__xludf.DUMMYFUNCTION("""COMPUTED_VALUE"""),"#REF!")</f>
        <v>#REF!</v>
      </c>
      <c r="CV241" s="218" t="str">
        <f>IFERROR(__xludf.DUMMYFUNCTION("""COMPUTED_VALUE"""),"#REF!")</f>
        <v>#REF!</v>
      </c>
      <c r="CW241" s="217" t="str">
        <f>IFERROR(__xludf.DUMMYFUNCTION("""COMPUTED_VALUE"""),"#REF!")</f>
        <v>#REF!</v>
      </c>
      <c r="CX241" s="217" t="str">
        <f>IFERROR(__xludf.DUMMYFUNCTION("""COMPUTED_VALUE"""),"#REF!")</f>
        <v>#REF!</v>
      </c>
      <c r="CY241" s="218" t="str">
        <f>IFERROR(__xludf.DUMMYFUNCTION("""COMPUTED_VALUE"""),"#REF!")</f>
        <v>#REF!</v>
      </c>
      <c r="CZ241" s="217" t="str">
        <f>IFERROR(__xludf.DUMMYFUNCTION("""COMPUTED_VALUE"""),"#REF!")</f>
        <v>#REF!</v>
      </c>
      <c r="DA241" s="217" t="str">
        <f>IFERROR(__xludf.DUMMYFUNCTION("""COMPUTED_VALUE"""),"#REF!")</f>
        <v>#REF!</v>
      </c>
      <c r="DB241" s="218" t="str">
        <f>IFERROR(__xludf.DUMMYFUNCTION("""COMPUTED_VALUE"""),"#REF!")</f>
        <v>#REF!</v>
      </c>
      <c r="DC241" s="217" t="str">
        <f>IFERROR(__xludf.DUMMYFUNCTION("""COMPUTED_VALUE"""),"#REF!")</f>
        <v>#REF!</v>
      </c>
      <c r="DD241" s="217" t="str">
        <f>IFERROR(__xludf.DUMMYFUNCTION("""COMPUTED_VALUE"""),"#REF!")</f>
        <v>#REF!</v>
      </c>
      <c r="DE241" s="218" t="str">
        <f>IFERROR(__xludf.DUMMYFUNCTION("""COMPUTED_VALUE"""),"#REF!")</f>
        <v>#REF!</v>
      </c>
      <c r="DF241" s="217" t="str">
        <f>IFERROR(__xludf.DUMMYFUNCTION("""COMPUTED_VALUE"""),"#REF!")</f>
        <v>#REF!</v>
      </c>
      <c r="DG241" s="217" t="str">
        <f>IFERROR(__xludf.DUMMYFUNCTION("""COMPUTED_VALUE"""),"#REF!")</f>
        <v>#REF!</v>
      </c>
      <c r="DH241" s="218" t="str">
        <f>IFERROR(__xludf.DUMMYFUNCTION("""COMPUTED_VALUE"""),"#REF!")</f>
        <v>#REF!</v>
      </c>
      <c r="DI241" s="217" t="str">
        <f>IFERROR(__xludf.DUMMYFUNCTION("""COMPUTED_VALUE"""),"#REF!")</f>
        <v>#REF!</v>
      </c>
      <c r="DJ241" s="217" t="str">
        <f>IFERROR(__xludf.DUMMYFUNCTION("""COMPUTED_VALUE"""),"#REF!")</f>
        <v>#REF!</v>
      </c>
      <c r="DK241" s="218" t="str">
        <f>IFERROR(__xludf.DUMMYFUNCTION("""COMPUTED_VALUE"""),"#REF!")</f>
        <v>#REF!</v>
      </c>
      <c r="DL241" s="217" t="str">
        <f>IFERROR(__xludf.DUMMYFUNCTION("""COMPUTED_VALUE"""),"#REF!")</f>
        <v>#REF!</v>
      </c>
      <c r="DM241" s="217" t="str">
        <f>IFERROR(__xludf.DUMMYFUNCTION("""COMPUTED_VALUE"""),"#REF!")</f>
        <v>#REF!</v>
      </c>
      <c r="DN241" s="218" t="str">
        <f>IFERROR(__xludf.DUMMYFUNCTION("""COMPUTED_VALUE"""),"#REF!")</f>
        <v>#REF!</v>
      </c>
      <c r="DO241" s="217" t="str">
        <f>IFERROR(__xludf.DUMMYFUNCTION("""COMPUTED_VALUE"""),"#REF!")</f>
        <v>#REF!</v>
      </c>
      <c r="DP241" s="217" t="str">
        <f>IFERROR(__xludf.DUMMYFUNCTION("""COMPUTED_VALUE"""),"#REF!")</f>
        <v>#REF!</v>
      </c>
      <c r="DQ241" s="218"/>
      <c r="DR241" s="217"/>
    </row>
    <row r="242">
      <c r="B242" s="180" t="str">
        <f>IFERROR(__xludf.DUMMYFUNCTION("""COMPUTED_VALUE"""),"OLP5")</f>
        <v>OLP5</v>
      </c>
      <c r="C242">
        <f>IFERROR(__xludf.DUMMYFUNCTION("""COMPUTED_VALUE"""),241.0)</f>
        <v>241</v>
      </c>
      <c r="D242" s="178" t="str">
        <f>IFERROR(__xludf.DUMMYFUNCTION("""COMPUTED_VALUE"""),"Grand Workshop")</f>
        <v>Grand Workshop</v>
      </c>
      <c r="E242" s="215" t="str">
        <f>IFERROR(__xludf.DUMMYFUNCTION("""COMPUTED_VALUE"""),"大工房")</f>
        <v>大工房</v>
      </c>
      <c r="F242" s="179">
        <f>IFERROR(__xludf.DUMMYFUNCTION("""COMPUTED_VALUE"""),21.0)</f>
        <v>21</v>
      </c>
      <c r="G242" s="83">
        <f>IFERROR(__xludf.DUMMYFUNCTION("""COMPUTED_VALUE"""),4719.0)</f>
        <v>4719</v>
      </c>
      <c r="H242" s="95" t="str">
        <f>IFERROR(__xludf.DUMMYFUNCTION("""COMPUTED_VALUE"""),"")</f>
        <v/>
      </c>
      <c r="I242" s="96" t="str">
        <f>IFERROR(__xludf.DUMMYFUNCTION("""COMPUTED_VALUE"""),"")</f>
        <v/>
      </c>
      <c r="J242" s="97" t="str">
        <f>IFERROR(__xludf.DUMMYFUNCTION("""COMPUTED_VALUE"""),"")</f>
        <v/>
      </c>
      <c r="K242" s="95" t="str">
        <f>IFERROR(__xludf.DUMMYFUNCTION("""COMPUTED_VALUE"""),"")</f>
        <v/>
      </c>
      <c r="L242" s="96" t="str">
        <f>IFERROR(__xludf.DUMMYFUNCTION("""COMPUTED_VALUE"""),"")</f>
        <v/>
      </c>
      <c r="M242" s="97" t="str">
        <f>IFERROR(__xludf.DUMMYFUNCTION("""COMPUTED_VALUE"""),"")</f>
        <v/>
      </c>
      <c r="N242" s="95" t="str">
        <f>IFERROR(__xludf.DUMMYFUNCTION("""COMPUTED_VALUE"""),"")</f>
        <v/>
      </c>
      <c r="O242" s="96" t="str">
        <f>IFERROR(__xludf.DUMMYFUNCTION("""COMPUTED_VALUE"""),"")</f>
        <v/>
      </c>
      <c r="P242" s="97" t="str">
        <f>IFERROR(__xludf.DUMMYFUNCTION("""COMPUTED_VALUE"""),"")</f>
        <v/>
      </c>
      <c r="Q242" s="95" t="str">
        <f>IFERROR(__xludf.DUMMYFUNCTION("""COMPUTED_VALUE"""),"")</f>
        <v/>
      </c>
      <c r="R242" s="96" t="str">
        <f>IFERROR(__xludf.DUMMYFUNCTION("""COMPUTED_VALUE"""),"")</f>
        <v/>
      </c>
      <c r="S242" s="97">
        <f>IFERROR(__xludf.DUMMYFUNCTION("""COMPUTED_VALUE"""),10.0)</f>
        <v>10</v>
      </c>
      <c r="T242" s="95" t="str">
        <f>IFERROR(__xludf.DUMMYFUNCTION("""COMPUTED_VALUE"""),"")</f>
        <v/>
      </c>
      <c r="U242" s="96" t="str">
        <f>IFERROR(__xludf.DUMMYFUNCTION("""COMPUTED_VALUE"""),"")</f>
        <v/>
      </c>
      <c r="V242" s="97" t="str">
        <f>IFERROR(__xludf.DUMMYFUNCTION("""COMPUTED_VALUE"""),"")</f>
        <v/>
      </c>
      <c r="W242" s="95" t="str">
        <f>IFERROR(__xludf.DUMMYFUNCTION("""COMPUTED_VALUE"""),"")</f>
        <v/>
      </c>
      <c r="X242" s="96" t="str">
        <f>IFERROR(__xludf.DUMMYFUNCTION("""COMPUTED_VALUE"""),"")</f>
        <v/>
      </c>
      <c r="Y242" s="97" t="str">
        <f>IFERROR(__xludf.DUMMYFUNCTION("""COMPUTED_VALUE"""),"")</f>
        <v/>
      </c>
      <c r="Z242" s="95" t="str">
        <f>IFERROR(__xludf.DUMMYFUNCTION("""COMPUTED_VALUE"""),"")</f>
        <v/>
      </c>
      <c r="AA242" s="96" t="str">
        <f>IFERROR(__xludf.DUMMYFUNCTION("""COMPUTED_VALUE"""),"")</f>
        <v/>
      </c>
      <c r="AB242" s="97" t="str">
        <f>IFERROR(__xludf.DUMMYFUNCTION("""COMPUTED_VALUE"""),"")</f>
        <v/>
      </c>
      <c r="AC242" s="95" t="str">
        <f>IFERROR(__xludf.DUMMYFUNCTION("""COMPUTED_VALUE"""),"")</f>
        <v/>
      </c>
      <c r="AD242" s="96" t="str">
        <f>IFERROR(__xludf.DUMMYFUNCTION("""COMPUTED_VALUE"""),"")</f>
        <v/>
      </c>
      <c r="AE242" s="97" t="str">
        <f>IFERROR(__xludf.DUMMYFUNCTION("""COMPUTED_VALUE"""),"")</f>
        <v/>
      </c>
      <c r="AF242" s="95" t="str">
        <f>IFERROR(__xludf.DUMMYFUNCTION("""COMPUTED_VALUE"""),"")</f>
        <v/>
      </c>
      <c r="AG242" s="96" t="str">
        <f>IFERROR(__xludf.DUMMYFUNCTION("""COMPUTED_VALUE"""),"")</f>
        <v/>
      </c>
      <c r="AH242" s="97" t="str">
        <f>IFERROR(__xludf.DUMMYFUNCTION("""COMPUTED_VALUE"""),"")</f>
        <v/>
      </c>
      <c r="AI242" s="216" t="str">
        <f>IFERROR(__xludf.DUMMYFUNCTION("""COMPUTED_VALUE"""),"")</f>
        <v/>
      </c>
      <c r="AJ242" s="217" t="str">
        <f>IFERROR(__xludf.DUMMYFUNCTION("""COMPUTED_VALUE"""),"")</f>
        <v/>
      </c>
      <c r="AK242" s="218" t="str">
        <f>IFERROR(__xludf.DUMMYFUNCTION("""COMPUTED_VALUE"""),"")</f>
        <v/>
      </c>
      <c r="AL242" s="217" t="str">
        <f>IFERROR(__xludf.DUMMYFUNCTION("""COMPUTED_VALUE"""),"")</f>
        <v/>
      </c>
      <c r="AM242" s="217" t="str">
        <f>IFERROR(__xludf.DUMMYFUNCTION("""COMPUTED_VALUE"""),"")</f>
        <v/>
      </c>
      <c r="AN242" s="218" t="str">
        <f>IFERROR(__xludf.DUMMYFUNCTION("""COMPUTED_VALUE"""),"")</f>
        <v/>
      </c>
      <c r="AO242" s="217" t="str">
        <f>IFERROR(__xludf.DUMMYFUNCTION("""COMPUTED_VALUE"""),"")</f>
        <v/>
      </c>
      <c r="AP242" s="217" t="str">
        <f>IFERROR(__xludf.DUMMYFUNCTION("""COMPUTED_VALUE"""),"")</f>
        <v/>
      </c>
      <c r="AQ242" s="218" t="str">
        <f>IFERROR(__xludf.DUMMYFUNCTION("""COMPUTED_VALUE"""),"")</f>
        <v/>
      </c>
      <c r="AR242" s="217">
        <f>IFERROR(__xludf.DUMMYFUNCTION("""COMPUTED_VALUE"""),18.8)</f>
        <v>18.8</v>
      </c>
      <c r="AS242" s="217" t="str">
        <f>IFERROR(__xludf.DUMMYFUNCTION("""COMPUTED_VALUE"""),"")</f>
        <v/>
      </c>
      <c r="AT242" s="218" t="str">
        <f>IFERROR(__xludf.DUMMYFUNCTION("""COMPUTED_VALUE"""),"")</f>
        <v/>
      </c>
      <c r="AU242" s="217" t="str">
        <f>IFERROR(__xludf.DUMMYFUNCTION("""COMPUTED_VALUE"""),"")</f>
        <v/>
      </c>
      <c r="AV242" s="217" t="str">
        <f>IFERROR(__xludf.DUMMYFUNCTION("""COMPUTED_VALUE"""),"")</f>
        <v/>
      </c>
      <c r="AW242" s="218">
        <f>IFERROR(__xludf.DUMMYFUNCTION("""COMPUTED_VALUE"""),29.9)</f>
        <v>29.9</v>
      </c>
      <c r="AX242" s="217" t="str">
        <f>IFERROR(__xludf.DUMMYFUNCTION("""COMPUTED_VALUE"""),"")</f>
        <v/>
      </c>
      <c r="AY242" s="217" t="str">
        <f>IFERROR(__xludf.DUMMYFUNCTION("""COMPUTED_VALUE"""),"")</f>
        <v/>
      </c>
      <c r="AZ242" s="218" t="str">
        <f>IFERROR(__xludf.DUMMYFUNCTION("""COMPUTED_VALUE"""),"")</f>
        <v/>
      </c>
      <c r="BA242" s="217" t="str">
        <f>IFERROR(__xludf.DUMMYFUNCTION("""COMPUTED_VALUE"""),"")</f>
        <v/>
      </c>
      <c r="BB242" s="217" t="str">
        <f>IFERROR(__xludf.DUMMYFUNCTION("""COMPUTED_VALUE"""),"")</f>
        <v/>
      </c>
      <c r="BC242" s="218" t="str">
        <f>IFERROR(__xludf.DUMMYFUNCTION("""COMPUTED_VALUE"""),"")</f>
        <v/>
      </c>
      <c r="BD242" s="217">
        <f>IFERROR(__xludf.DUMMYFUNCTION("""COMPUTED_VALUE"""),4.1)</f>
        <v>4.1</v>
      </c>
      <c r="BE242" s="217" t="str">
        <f>IFERROR(__xludf.DUMMYFUNCTION("""COMPUTED_VALUE"""),"")</f>
        <v/>
      </c>
      <c r="BF242" s="218" t="str">
        <f>IFERROR(__xludf.DUMMYFUNCTION("""COMPUTED_VALUE"""),"")</f>
        <v/>
      </c>
      <c r="BG242" s="216" t="str">
        <f>IFERROR(__xludf.DUMMYFUNCTION("""COMPUTED_VALUE"""),"")</f>
        <v/>
      </c>
      <c r="BH242" s="217" t="str">
        <f>IFERROR(__xludf.DUMMYFUNCTION("""COMPUTED_VALUE"""),"")</f>
        <v/>
      </c>
      <c r="BI242" s="218" t="str">
        <f>IFERROR(__xludf.DUMMYFUNCTION("""COMPUTED_VALUE"""),"")</f>
        <v/>
      </c>
      <c r="BJ242" s="217" t="str">
        <f>IFERROR(__xludf.DUMMYFUNCTION("""COMPUTED_VALUE"""),"")</f>
        <v/>
      </c>
      <c r="BK242" s="217" t="str">
        <f>IFERROR(__xludf.DUMMYFUNCTION("""COMPUTED_VALUE"""),"")</f>
        <v/>
      </c>
      <c r="BL242" s="218" t="str">
        <f>IFERROR(__xludf.DUMMYFUNCTION("""COMPUTED_VALUE"""),"")</f>
        <v/>
      </c>
      <c r="BM242" s="217" t="str">
        <f>IFERROR(__xludf.DUMMYFUNCTION("""COMPUTED_VALUE"""),"")</f>
        <v/>
      </c>
      <c r="BN242" s="217" t="str">
        <f>IFERROR(__xludf.DUMMYFUNCTION("""COMPUTED_VALUE"""),"")</f>
        <v/>
      </c>
      <c r="BO242" s="218">
        <f>IFERROR(__xludf.DUMMYFUNCTION("""COMPUTED_VALUE"""),31.1)</f>
        <v>31.1</v>
      </c>
      <c r="BP242" s="217" t="str">
        <f>IFERROR(__xludf.DUMMYFUNCTION("""COMPUTED_VALUE"""),"")</f>
        <v/>
      </c>
      <c r="BQ242" s="217" t="str">
        <f>IFERROR(__xludf.DUMMYFUNCTION("""COMPUTED_VALUE"""),"")</f>
        <v/>
      </c>
      <c r="BR242" s="218" t="str">
        <f>IFERROR(__xludf.DUMMYFUNCTION("""COMPUTED_VALUE"""),"")</f>
        <v/>
      </c>
      <c r="BS242" s="217" t="str">
        <f>IFERROR(__xludf.DUMMYFUNCTION("""COMPUTED_VALUE"""),"")</f>
        <v/>
      </c>
      <c r="BT242" s="217" t="str">
        <f>IFERROR(__xludf.DUMMYFUNCTION("""COMPUTED_VALUE"""),"")</f>
        <v/>
      </c>
      <c r="BU242" s="218" t="str">
        <f>IFERROR(__xludf.DUMMYFUNCTION("""COMPUTED_VALUE"""),"")</f>
        <v/>
      </c>
      <c r="BV242" s="217" t="str">
        <f>IFERROR(__xludf.DUMMYFUNCTION("""COMPUTED_VALUE"""),"")</f>
        <v/>
      </c>
      <c r="BW242" s="217" t="str">
        <f>IFERROR(__xludf.DUMMYFUNCTION("""COMPUTED_VALUE"""),"")</f>
        <v/>
      </c>
      <c r="BX242" s="218" t="str">
        <f>IFERROR(__xludf.DUMMYFUNCTION("""COMPUTED_VALUE"""),"")</f>
        <v/>
      </c>
      <c r="BY242" s="217" t="str">
        <f>IFERROR(__xludf.DUMMYFUNCTION("""COMPUTED_VALUE"""),"")</f>
        <v/>
      </c>
      <c r="BZ242" s="217" t="str">
        <f>IFERROR(__xludf.DUMMYFUNCTION("""COMPUTED_VALUE"""),"")</f>
        <v/>
      </c>
      <c r="CA242" s="218" t="str">
        <f>IFERROR(__xludf.DUMMYFUNCTION("""COMPUTED_VALUE"""),"")</f>
        <v/>
      </c>
      <c r="CB242" s="216" t="str">
        <f>IFERROR(__xludf.DUMMYFUNCTION("""COMPUTED_VALUE"""),"")</f>
        <v/>
      </c>
      <c r="CC242" s="217" t="str">
        <f>IFERROR(__xludf.DUMMYFUNCTION("""COMPUTED_VALUE"""),"")</f>
        <v/>
      </c>
      <c r="CD242" s="218" t="str">
        <f>IFERROR(__xludf.DUMMYFUNCTION("""COMPUTED_VALUE"""),"")</f>
        <v/>
      </c>
      <c r="CE242" s="217" t="str">
        <f>IFERROR(__xludf.DUMMYFUNCTION("""COMPUTED_VALUE"""),"")</f>
        <v/>
      </c>
      <c r="CF242" s="217" t="str">
        <f>IFERROR(__xludf.DUMMYFUNCTION("""COMPUTED_VALUE"""),"")</f>
        <v/>
      </c>
      <c r="CG242" s="218" t="str">
        <f>IFERROR(__xludf.DUMMYFUNCTION("""COMPUTED_VALUE"""),"")</f>
        <v/>
      </c>
      <c r="CH242" s="217" t="str">
        <f>IFERROR(__xludf.DUMMYFUNCTION("""COMPUTED_VALUE"""),"")</f>
        <v/>
      </c>
      <c r="CI242" s="217" t="str">
        <f>IFERROR(__xludf.DUMMYFUNCTION("""COMPUTED_VALUE"""),"")</f>
        <v/>
      </c>
      <c r="CJ242" s="218" t="str">
        <f>IFERROR(__xludf.DUMMYFUNCTION("""COMPUTED_VALUE"""),"")</f>
        <v/>
      </c>
      <c r="CK242" s="217" t="str">
        <f>IFERROR(__xludf.DUMMYFUNCTION("""COMPUTED_VALUE"""),"")</f>
        <v/>
      </c>
      <c r="CL242" s="217" t="str">
        <f>IFERROR(__xludf.DUMMYFUNCTION("""COMPUTED_VALUE"""),"")</f>
        <v/>
      </c>
      <c r="CM242" s="218">
        <f>IFERROR(__xludf.DUMMYFUNCTION("""COMPUTED_VALUE"""),4.8)</f>
        <v>4.8</v>
      </c>
      <c r="CN242" s="217" t="str">
        <f>IFERROR(__xludf.DUMMYFUNCTION("""COMPUTED_VALUE"""),"")</f>
        <v/>
      </c>
      <c r="CO242" s="217" t="str">
        <f>IFERROR(__xludf.DUMMYFUNCTION("""COMPUTED_VALUE"""),"")</f>
        <v/>
      </c>
      <c r="CP242" s="218" t="str">
        <f>IFERROR(__xludf.DUMMYFUNCTION("""COMPUTED_VALUE"""),"")</f>
        <v/>
      </c>
      <c r="CQ242" s="217" t="str">
        <f>IFERROR(__xludf.DUMMYFUNCTION("""COMPUTED_VALUE"""),"")</f>
        <v/>
      </c>
      <c r="CR242" s="217" t="str">
        <f>IFERROR(__xludf.DUMMYFUNCTION("""COMPUTED_VALUE"""),"")</f>
        <v/>
      </c>
      <c r="CS242" s="218" t="str">
        <f>IFERROR(__xludf.DUMMYFUNCTION("""COMPUTED_VALUE"""),"#REF!")</f>
        <v>#REF!</v>
      </c>
      <c r="CT242" s="217" t="str">
        <f>IFERROR(__xludf.DUMMYFUNCTION("""COMPUTED_VALUE"""),"#REF!")</f>
        <v>#REF!</v>
      </c>
      <c r="CU242" s="217" t="str">
        <f>IFERROR(__xludf.DUMMYFUNCTION("""COMPUTED_VALUE"""),"#REF!")</f>
        <v>#REF!</v>
      </c>
      <c r="CV242" s="218" t="str">
        <f>IFERROR(__xludf.DUMMYFUNCTION("""COMPUTED_VALUE"""),"#REF!")</f>
        <v>#REF!</v>
      </c>
      <c r="CW242" s="217" t="str">
        <f>IFERROR(__xludf.DUMMYFUNCTION("""COMPUTED_VALUE"""),"#REF!")</f>
        <v>#REF!</v>
      </c>
      <c r="CX242" s="217" t="str">
        <f>IFERROR(__xludf.DUMMYFUNCTION("""COMPUTED_VALUE"""),"#REF!")</f>
        <v>#REF!</v>
      </c>
      <c r="CY242" s="218" t="str">
        <f>IFERROR(__xludf.DUMMYFUNCTION("""COMPUTED_VALUE"""),"#REF!")</f>
        <v>#REF!</v>
      </c>
      <c r="CZ242" s="217" t="str">
        <f>IFERROR(__xludf.DUMMYFUNCTION("""COMPUTED_VALUE"""),"#REF!")</f>
        <v>#REF!</v>
      </c>
      <c r="DA242" s="217" t="str">
        <f>IFERROR(__xludf.DUMMYFUNCTION("""COMPUTED_VALUE"""),"#REF!")</f>
        <v>#REF!</v>
      </c>
      <c r="DB242" s="218" t="str">
        <f>IFERROR(__xludf.DUMMYFUNCTION("""COMPUTED_VALUE"""),"#REF!")</f>
        <v>#REF!</v>
      </c>
      <c r="DC242" s="217" t="str">
        <f>IFERROR(__xludf.DUMMYFUNCTION("""COMPUTED_VALUE"""),"#REF!")</f>
        <v>#REF!</v>
      </c>
      <c r="DD242" s="217" t="str">
        <f>IFERROR(__xludf.DUMMYFUNCTION("""COMPUTED_VALUE"""),"#REF!")</f>
        <v>#REF!</v>
      </c>
      <c r="DE242" s="218" t="str">
        <f>IFERROR(__xludf.DUMMYFUNCTION("""COMPUTED_VALUE"""),"#REF!")</f>
        <v>#REF!</v>
      </c>
      <c r="DF242" s="217" t="str">
        <f>IFERROR(__xludf.DUMMYFUNCTION("""COMPUTED_VALUE"""),"#REF!")</f>
        <v>#REF!</v>
      </c>
      <c r="DG242" s="217" t="str">
        <f>IFERROR(__xludf.DUMMYFUNCTION("""COMPUTED_VALUE"""),"#REF!")</f>
        <v>#REF!</v>
      </c>
      <c r="DH242" s="218" t="str">
        <f>IFERROR(__xludf.DUMMYFUNCTION("""COMPUTED_VALUE"""),"#REF!")</f>
        <v>#REF!</v>
      </c>
      <c r="DI242" s="217" t="str">
        <f>IFERROR(__xludf.DUMMYFUNCTION("""COMPUTED_VALUE"""),"#REF!")</f>
        <v>#REF!</v>
      </c>
      <c r="DJ242" s="217" t="str">
        <f>IFERROR(__xludf.DUMMYFUNCTION("""COMPUTED_VALUE"""),"#REF!")</f>
        <v>#REF!</v>
      </c>
      <c r="DK242" s="218" t="str">
        <f>IFERROR(__xludf.DUMMYFUNCTION("""COMPUTED_VALUE"""),"#REF!")</f>
        <v>#REF!</v>
      </c>
      <c r="DL242" s="217" t="str">
        <f>IFERROR(__xludf.DUMMYFUNCTION("""COMPUTED_VALUE"""),"#REF!")</f>
        <v>#REF!</v>
      </c>
      <c r="DM242" s="217" t="str">
        <f>IFERROR(__xludf.DUMMYFUNCTION("""COMPUTED_VALUE"""),"#REF!")</f>
        <v>#REF!</v>
      </c>
      <c r="DN242" s="218" t="str">
        <f>IFERROR(__xludf.DUMMYFUNCTION("""COMPUTED_VALUE"""),"#REF!")</f>
        <v>#REF!</v>
      </c>
      <c r="DO242" s="217" t="str">
        <f>IFERROR(__xludf.DUMMYFUNCTION("""COMPUTED_VALUE"""),"#REF!")</f>
        <v>#REF!</v>
      </c>
      <c r="DP242" s="217" t="str">
        <f>IFERROR(__xludf.DUMMYFUNCTION("""COMPUTED_VALUE"""),"#REF!")</f>
        <v>#REF!</v>
      </c>
      <c r="DQ242" s="218"/>
      <c r="DR242" s="217"/>
    </row>
    <row r="243">
      <c r="B243" s="180" t="str">
        <f>IFERROR(__xludf.DUMMYFUNCTION("""COMPUTED_VALUE"""),"OLP6")</f>
        <v>OLP6</v>
      </c>
      <c r="C243">
        <f>IFERROR(__xludf.DUMMYFUNCTION("""COMPUTED_VALUE"""),242.0)</f>
        <v>242</v>
      </c>
      <c r="D243" s="178" t="str">
        <f>IFERROR(__xludf.DUMMYFUNCTION("""COMPUTED_VALUE"""),"God Slayers League Base")</f>
        <v>God Slayers League Base</v>
      </c>
      <c r="E243" s="215" t="str">
        <f>IFERROR(__xludf.DUMMYFUNCTION("""COMPUTED_VALUE"""),"破神同盟基地")</f>
        <v>破神同盟基地</v>
      </c>
      <c r="F243" s="179">
        <f>IFERROR(__xludf.DUMMYFUNCTION("""COMPUTED_VALUE"""),21.0)</f>
        <v>21</v>
      </c>
      <c r="G243" s="83">
        <f>IFERROR(__xludf.DUMMYFUNCTION("""COMPUTED_VALUE"""),3244.0)</f>
        <v>3244</v>
      </c>
      <c r="H243" s="95" t="str">
        <f>IFERROR(__xludf.DUMMYFUNCTION("""COMPUTED_VALUE"""),"")</f>
        <v/>
      </c>
      <c r="I243" s="96" t="str">
        <f>IFERROR(__xludf.DUMMYFUNCTION("""COMPUTED_VALUE"""),"")</f>
        <v/>
      </c>
      <c r="J243" s="97" t="str">
        <f>IFERROR(__xludf.DUMMYFUNCTION("""COMPUTED_VALUE"""),"")</f>
        <v/>
      </c>
      <c r="K243" s="95" t="str">
        <f>IFERROR(__xludf.DUMMYFUNCTION("""COMPUTED_VALUE"""),"")</f>
        <v/>
      </c>
      <c r="L243" s="96" t="str">
        <f>IFERROR(__xludf.DUMMYFUNCTION("""COMPUTED_VALUE"""),"")</f>
        <v/>
      </c>
      <c r="M243" s="97" t="str">
        <f>IFERROR(__xludf.DUMMYFUNCTION("""COMPUTED_VALUE"""),"")</f>
        <v/>
      </c>
      <c r="N243" s="95" t="str">
        <f>IFERROR(__xludf.DUMMYFUNCTION("""COMPUTED_VALUE"""),"")</f>
        <v/>
      </c>
      <c r="O243" s="96" t="str">
        <f>IFERROR(__xludf.DUMMYFUNCTION("""COMPUTED_VALUE"""),"")</f>
        <v/>
      </c>
      <c r="P243" s="97" t="str">
        <f>IFERROR(__xludf.DUMMYFUNCTION("""COMPUTED_VALUE"""),"")</f>
        <v/>
      </c>
      <c r="Q243" s="95" t="str">
        <f>IFERROR(__xludf.DUMMYFUNCTION("""COMPUTED_VALUE"""),"")</f>
        <v/>
      </c>
      <c r="R243" s="96" t="str">
        <f>IFERROR(__xludf.DUMMYFUNCTION("""COMPUTED_VALUE"""),"")</f>
        <v/>
      </c>
      <c r="S243" s="97" t="str">
        <f>IFERROR(__xludf.DUMMYFUNCTION("""COMPUTED_VALUE"""),"")</f>
        <v/>
      </c>
      <c r="T243" s="95">
        <f>IFERROR(__xludf.DUMMYFUNCTION("""COMPUTED_VALUE"""),19.9)</f>
        <v>19.9</v>
      </c>
      <c r="U243" s="96" t="str">
        <f>IFERROR(__xludf.DUMMYFUNCTION("""COMPUTED_VALUE"""),"")</f>
        <v/>
      </c>
      <c r="V243" s="97" t="str">
        <f>IFERROR(__xludf.DUMMYFUNCTION("""COMPUTED_VALUE"""),"")</f>
        <v/>
      </c>
      <c r="W243" s="95" t="str">
        <f>IFERROR(__xludf.DUMMYFUNCTION("""COMPUTED_VALUE"""),"")</f>
        <v/>
      </c>
      <c r="X243" s="96" t="str">
        <f>IFERROR(__xludf.DUMMYFUNCTION("""COMPUTED_VALUE"""),"")</f>
        <v/>
      </c>
      <c r="Y243" s="97" t="str">
        <f>IFERROR(__xludf.DUMMYFUNCTION("""COMPUTED_VALUE"""),"")</f>
        <v/>
      </c>
      <c r="Z243" s="95" t="str">
        <f>IFERROR(__xludf.DUMMYFUNCTION("""COMPUTED_VALUE"""),"")</f>
        <v/>
      </c>
      <c r="AA243" s="96" t="str">
        <f>IFERROR(__xludf.DUMMYFUNCTION("""COMPUTED_VALUE"""),"")</f>
        <v/>
      </c>
      <c r="AB243" s="97" t="str">
        <f>IFERROR(__xludf.DUMMYFUNCTION("""COMPUTED_VALUE"""),"")</f>
        <v/>
      </c>
      <c r="AC243" s="95" t="str">
        <f>IFERROR(__xludf.DUMMYFUNCTION("""COMPUTED_VALUE"""),"")</f>
        <v/>
      </c>
      <c r="AD243" s="96" t="str">
        <f>IFERROR(__xludf.DUMMYFUNCTION("""COMPUTED_VALUE"""),"")</f>
        <v/>
      </c>
      <c r="AE243" s="97" t="str">
        <f>IFERROR(__xludf.DUMMYFUNCTION("""COMPUTED_VALUE"""),"")</f>
        <v/>
      </c>
      <c r="AF243" s="95" t="str">
        <f>IFERROR(__xludf.DUMMYFUNCTION("""COMPUTED_VALUE"""),"")</f>
        <v/>
      </c>
      <c r="AG243" s="96" t="str">
        <f>IFERROR(__xludf.DUMMYFUNCTION("""COMPUTED_VALUE"""),"")</f>
        <v/>
      </c>
      <c r="AH243" s="97" t="str">
        <f>IFERROR(__xludf.DUMMYFUNCTION("""COMPUTED_VALUE"""),"")</f>
        <v/>
      </c>
      <c r="AI243" s="216" t="str">
        <f>IFERROR(__xludf.DUMMYFUNCTION("""COMPUTED_VALUE"""),"")</f>
        <v/>
      </c>
      <c r="AJ243" s="217" t="str">
        <f>IFERROR(__xludf.DUMMYFUNCTION("""COMPUTED_VALUE"""),"")</f>
        <v/>
      </c>
      <c r="AK243" s="218" t="str">
        <f>IFERROR(__xludf.DUMMYFUNCTION("""COMPUTED_VALUE"""),"")</f>
        <v/>
      </c>
      <c r="AL243" s="217" t="str">
        <f>IFERROR(__xludf.DUMMYFUNCTION("""COMPUTED_VALUE"""),"")</f>
        <v/>
      </c>
      <c r="AM243" s="217" t="str">
        <f>IFERROR(__xludf.DUMMYFUNCTION("""COMPUTED_VALUE"""),"")</f>
        <v/>
      </c>
      <c r="AN243" s="218" t="str">
        <f>IFERROR(__xludf.DUMMYFUNCTION("""COMPUTED_VALUE"""),"")</f>
        <v/>
      </c>
      <c r="AO243" s="217" t="str">
        <f>IFERROR(__xludf.DUMMYFUNCTION("""COMPUTED_VALUE"""),"")</f>
        <v/>
      </c>
      <c r="AP243" s="217" t="str">
        <f>IFERROR(__xludf.DUMMYFUNCTION("""COMPUTED_VALUE"""),"")</f>
        <v/>
      </c>
      <c r="AQ243" s="218" t="str">
        <f>IFERROR(__xludf.DUMMYFUNCTION("""COMPUTED_VALUE"""),"")</f>
        <v/>
      </c>
      <c r="AR243" s="217">
        <f>IFERROR(__xludf.DUMMYFUNCTION("""COMPUTED_VALUE"""),24.5)</f>
        <v>24.5</v>
      </c>
      <c r="AS243" s="217" t="str">
        <f>IFERROR(__xludf.DUMMYFUNCTION("""COMPUTED_VALUE"""),"")</f>
        <v/>
      </c>
      <c r="AT243" s="218" t="str">
        <f>IFERROR(__xludf.DUMMYFUNCTION("""COMPUTED_VALUE"""),"")</f>
        <v/>
      </c>
      <c r="AU243" s="217" t="str">
        <f>IFERROR(__xludf.DUMMYFUNCTION("""COMPUTED_VALUE"""),"")</f>
        <v/>
      </c>
      <c r="AV243" s="217" t="str">
        <f>IFERROR(__xludf.DUMMYFUNCTION("""COMPUTED_VALUE"""),"")</f>
        <v/>
      </c>
      <c r="AW243" s="218" t="str">
        <f>IFERROR(__xludf.DUMMYFUNCTION("""COMPUTED_VALUE"""),"")</f>
        <v/>
      </c>
      <c r="AX243" s="217" t="str">
        <f>IFERROR(__xludf.DUMMYFUNCTION("""COMPUTED_VALUE"""),"")</f>
        <v/>
      </c>
      <c r="AY243" s="217" t="str">
        <f>IFERROR(__xludf.DUMMYFUNCTION("""COMPUTED_VALUE"""),"")</f>
        <v/>
      </c>
      <c r="AZ243" s="218" t="str">
        <f>IFERROR(__xludf.DUMMYFUNCTION("""COMPUTED_VALUE"""),"")</f>
        <v/>
      </c>
      <c r="BA243" s="217" t="str">
        <f>IFERROR(__xludf.DUMMYFUNCTION("""COMPUTED_VALUE"""),"")</f>
        <v/>
      </c>
      <c r="BB243" s="217" t="str">
        <f>IFERROR(__xludf.DUMMYFUNCTION("""COMPUTED_VALUE"""),"")</f>
        <v/>
      </c>
      <c r="BC243" s="218" t="str">
        <f>IFERROR(__xludf.DUMMYFUNCTION("""COMPUTED_VALUE"""),"")</f>
        <v/>
      </c>
      <c r="BD243" s="217" t="str">
        <f>IFERROR(__xludf.DUMMYFUNCTION("""COMPUTED_VALUE"""),"")</f>
        <v/>
      </c>
      <c r="BE243" s="217" t="str">
        <f>IFERROR(__xludf.DUMMYFUNCTION("""COMPUTED_VALUE"""),"")</f>
        <v/>
      </c>
      <c r="BF243" s="218" t="str">
        <f>IFERROR(__xludf.DUMMYFUNCTION("""COMPUTED_VALUE"""),"")</f>
        <v/>
      </c>
      <c r="BG243" s="216" t="str">
        <f>IFERROR(__xludf.DUMMYFUNCTION("""COMPUTED_VALUE"""),"")</f>
        <v/>
      </c>
      <c r="BH243" s="217" t="str">
        <f>IFERROR(__xludf.DUMMYFUNCTION("""COMPUTED_VALUE"""),"")</f>
        <v/>
      </c>
      <c r="BI243" s="218" t="str">
        <f>IFERROR(__xludf.DUMMYFUNCTION("""COMPUTED_VALUE"""),"")</f>
        <v/>
      </c>
      <c r="BJ243" s="217" t="str">
        <f>IFERROR(__xludf.DUMMYFUNCTION("""COMPUTED_VALUE"""),"")</f>
        <v/>
      </c>
      <c r="BK243" s="217" t="str">
        <f>IFERROR(__xludf.DUMMYFUNCTION("""COMPUTED_VALUE"""),"")</f>
        <v/>
      </c>
      <c r="BL243" s="218">
        <f>IFERROR(__xludf.DUMMYFUNCTION("""COMPUTED_VALUE"""),7.4)</f>
        <v>7.4</v>
      </c>
      <c r="BM243" s="217" t="str">
        <f>IFERROR(__xludf.DUMMYFUNCTION("""COMPUTED_VALUE"""),"")</f>
        <v/>
      </c>
      <c r="BN243" s="217" t="str">
        <f>IFERROR(__xludf.DUMMYFUNCTION("""COMPUTED_VALUE"""),"")</f>
        <v/>
      </c>
      <c r="BO243" s="218">
        <f>IFERROR(__xludf.DUMMYFUNCTION("""COMPUTED_VALUE"""),34.9)</f>
        <v>34.9</v>
      </c>
      <c r="BP243" s="217" t="str">
        <f>IFERROR(__xludf.DUMMYFUNCTION("""COMPUTED_VALUE"""),"")</f>
        <v/>
      </c>
      <c r="BQ243" s="217" t="str">
        <f>IFERROR(__xludf.DUMMYFUNCTION("""COMPUTED_VALUE"""),"")</f>
        <v/>
      </c>
      <c r="BR243" s="218" t="str">
        <f>IFERROR(__xludf.DUMMYFUNCTION("""COMPUTED_VALUE"""),"")</f>
        <v/>
      </c>
      <c r="BS243" s="217" t="str">
        <f>IFERROR(__xludf.DUMMYFUNCTION("""COMPUTED_VALUE"""),"")</f>
        <v/>
      </c>
      <c r="BT243" s="217" t="str">
        <f>IFERROR(__xludf.DUMMYFUNCTION("""COMPUTED_VALUE"""),"")</f>
        <v/>
      </c>
      <c r="BU243" s="218" t="str">
        <f>IFERROR(__xludf.DUMMYFUNCTION("""COMPUTED_VALUE"""),"")</f>
        <v/>
      </c>
      <c r="BV243" s="217" t="str">
        <f>IFERROR(__xludf.DUMMYFUNCTION("""COMPUTED_VALUE"""),"")</f>
        <v/>
      </c>
      <c r="BW243" s="217" t="str">
        <f>IFERROR(__xludf.DUMMYFUNCTION("""COMPUTED_VALUE"""),"")</f>
        <v/>
      </c>
      <c r="BX243" s="218" t="str">
        <f>IFERROR(__xludf.DUMMYFUNCTION("""COMPUTED_VALUE"""),"")</f>
        <v/>
      </c>
      <c r="BY243" s="217" t="str">
        <f>IFERROR(__xludf.DUMMYFUNCTION("""COMPUTED_VALUE"""),"")</f>
        <v/>
      </c>
      <c r="BZ243" s="217" t="str">
        <f>IFERROR(__xludf.DUMMYFUNCTION("""COMPUTED_VALUE"""),"")</f>
        <v/>
      </c>
      <c r="CA243" s="218" t="str">
        <f>IFERROR(__xludf.DUMMYFUNCTION("""COMPUTED_VALUE"""),"")</f>
        <v/>
      </c>
      <c r="CB243" s="216" t="str">
        <f>IFERROR(__xludf.DUMMYFUNCTION("""COMPUTED_VALUE"""),"")</f>
        <v/>
      </c>
      <c r="CC243" s="217" t="str">
        <f>IFERROR(__xludf.DUMMYFUNCTION("""COMPUTED_VALUE"""),"")</f>
        <v/>
      </c>
      <c r="CD243" s="218" t="str">
        <f>IFERROR(__xludf.DUMMYFUNCTION("""COMPUTED_VALUE"""),"")</f>
        <v/>
      </c>
      <c r="CE243" s="217" t="str">
        <f>IFERROR(__xludf.DUMMYFUNCTION("""COMPUTED_VALUE"""),"")</f>
        <v/>
      </c>
      <c r="CF243" s="217" t="str">
        <f>IFERROR(__xludf.DUMMYFUNCTION("""COMPUTED_VALUE"""),"")</f>
        <v/>
      </c>
      <c r="CG243" s="218" t="str">
        <f>IFERROR(__xludf.DUMMYFUNCTION("""COMPUTED_VALUE"""),"")</f>
        <v/>
      </c>
      <c r="CH243" s="217" t="str">
        <f>IFERROR(__xludf.DUMMYFUNCTION("""COMPUTED_VALUE"""),"")</f>
        <v/>
      </c>
      <c r="CI243" s="217" t="str">
        <f>IFERROR(__xludf.DUMMYFUNCTION("""COMPUTED_VALUE"""),"")</f>
        <v/>
      </c>
      <c r="CJ243" s="218" t="str">
        <f>IFERROR(__xludf.DUMMYFUNCTION("""COMPUTED_VALUE"""),"")</f>
        <v/>
      </c>
      <c r="CK243" s="217" t="str">
        <f>IFERROR(__xludf.DUMMYFUNCTION("""COMPUTED_VALUE"""),"")</f>
        <v/>
      </c>
      <c r="CL243" s="217" t="str">
        <f>IFERROR(__xludf.DUMMYFUNCTION("""COMPUTED_VALUE"""),"")</f>
        <v/>
      </c>
      <c r="CM243" s="218" t="str">
        <f>IFERROR(__xludf.DUMMYFUNCTION("""COMPUTED_VALUE"""),"")</f>
        <v/>
      </c>
      <c r="CN243" s="217">
        <f>IFERROR(__xludf.DUMMYFUNCTION("""COMPUTED_VALUE"""),3.6)</f>
        <v>3.6</v>
      </c>
      <c r="CO243" s="217" t="str">
        <f>IFERROR(__xludf.DUMMYFUNCTION("""COMPUTED_VALUE"""),"")</f>
        <v/>
      </c>
      <c r="CP243" s="218" t="str">
        <f>IFERROR(__xludf.DUMMYFUNCTION("""COMPUTED_VALUE"""),"")</f>
        <v/>
      </c>
      <c r="CQ243" s="217" t="str">
        <f>IFERROR(__xludf.DUMMYFUNCTION("""COMPUTED_VALUE"""),"")</f>
        <v/>
      </c>
      <c r="CR243" s="217" t="str">
        <f>IFERROR(__xludf.DUMMYFUNCTION("""COMPUTED_VALUE"""),"")</f>
        <v/>
      </c>
      <c r="CS243" s="218" t="str">
        <f>IFERROR(__xludf.DUMMYFUNCTION("""COMPUTED_VALUE"""),"#REF!")</f>
        <v>#REF!</v>
      </c>
      <c r="CT243" s="217" t="str">
        <f>IFERROR(__xludf.DUMMYFUNCTION("""COMPUTED_VALUE"""),"#REF!")</f>
        <v>#REF!</v>
      </c>
      <c r="CU243" s="217" t="str">
        <f>IFERROR(__xludf.DUMMYFUNCTION("""COMPUTED_VALUE"""),"#REF!")</f>
        <v>#REF!</v>
      </c>
      <c r="CV243" s="218" t="str">
        <f>IFERROR(__xludf.DUMMYFUNCTION("""COMPUTED_VALUE"""),"#REF!")</f>
        <v>#REF!</v>
      </c>
      <c r="CW243" s="217" t="str">
        <f>IFERROR(__xludf.DUMMYFUNCTION("""COMPUTED_VALUE"""),"#REF!")</f>
        <v>#REF!</v>
      </c>
      <c r="CX243" s="217" t="str">
        <f>IFERROR(__xludf.DUMMYFUNCTION("""COMPUTED_VALUE"""),"#REF!")</f>
        <v>#REF!</v>
      </c>
      <c r="CY243" s="218" t="str">
        <f>IFERROR(__xludf.DUMMYFUNCTION("""COMPUTED_VALUE"""),"#REF!")</f>
        <v>#REF!</v>
      </c>
      <c r="CZ243" s="217" t="str">
        <f>IFERROR(__xludf.DUMMYFUNCTION("""COMPUTED_VALUE"""),"#REF!")</f>
        <v>#REF!</v>
      </c>
      <c r="DA243" s="217" t="str">
        <f>IFERROR(__xludf.DUMMYFUNCTION("""COMPUTED_VALUE"""),"#REF!")</f>
        <v>#REF!</v>
      </c>
      <c r="DB243" s="218" t="str">
        <f>IFERROR(__xludf.DUMMYFUNCTION("""COMPUTED_VALUE"""),"#REF!")</f>
        <v>#REF!</v>
      </c>
      <c r="DC243" s="217" t="str">
        <f>IFERROR(__xludf.DUMMYFUNCTION("""COMPUTED_VALUE"""),"#REF!")</f>
        <v>#REF!</v>
      </c>
      <c r="DD243" s="217" t="str">
        <f>IFERROR(__xludf.DUMMYFUNCTION("""COMPUTED_VALUE"""),"#REF!")</f>
        <v>#REF!</v>
      </c>
      <c r="DE243" s="218" t="str">
        <f>IFERROR(__xludf.DUMMYFUNCTION("""COMPUTED_VALUE"""),"#REF!")</f>
        <v>#REF!</v>
      </c>
      <c r="DF243" s="217" t="str">
        <f>IFERROR(__xludf.DUMMYFUNCTION("""COMPUTED_VALUE"""),"#REF!")</f>
        <v>#REF!</v>
      </c>
      <c r="DG243" s="217" t="str">
        <f>IFERROR(__xludf.DUMMYFUNCTION("""COMPUTED_VALUE"""),"#REF!")</f>
        <v>#REF!</v>
      </c>
      <c r="DH243" s="218" t="str">
        <f>IFERROR(__xludf.DUMMYFUNCTION("""COMPUTED_VALUE"""),"#REF!")</f>
        <v>#REF!</v>
      </c>
      <c r="DI243" s="217" t="str">
        <f>IFERROR(__xludf.DUMMYFUNCTION("""COMPUTED_VALUE"""),"#REF!")</f>
        <v>#REF!</v>
      </c>
      <c r="DJ243" s="217" t="str">
        <f>IFERROR(__xludf.DUMMYFUNCTION("""COMPUTED_VALUE"""),"#REF!")</f>
        <v>#REF!</v>
      </c>
      <c r="DK243" s="218" t="str">
        <f>IFERROR(__xludf.DUMMYFUNCTION("""COMPUTED_VALUE"""),"#REF!")</f>
        <v>#REF!</v>
      </c>
      <c r="DL243" s="217" t="str">
        <f>IFERROR(__xludf.DUMMYFUNCTION("""COMPUTED_VALUE"""),"#REF!")</f>
        <v>#REF!</v>
      </c>
      <c r="DM243" s="217" t="str">
        <f>IFERROR(__xludf.DUMMYFUNCTION("""COMPUTED_VALUE"""),"#REF!")</f>
        <v>#REF!</v>
      </c>
      <c r="DN243" s="218" t="str">
        <f>IFERROR(__xludf.DUMMYFUNCTION("""COMPUTED_VALUE"""),"#REF!")</f>
        <v>#REF!</v>
      </c>
      <c r="DO243" s="217" t="str">
        <f>IFERROR(__xludf.DUMMYFUNCTION("""COMPUTED_VALUE"""),"#REF!")</f>
        <v>#REF!</v>
      </c>
      <c r="DP243" s="217" t="str">
        <f>IFERROR(__xludf.DUMMYFUNCTION("""COMPUTED_VALUE"""),"#REF!")</f>
        <v>#REF!</v>
      </c>
      <c r="DQ243" s="218"/>
      <c r="DR243" s="217"/>
    </row>
    <row r="244">
      <c r="B244" s="180" t="str">
        <f>IFERROR(__xludf.DUMMYFUNCTION("""COMPUTED_VALUE"""),"OLP7")</f>
        <v>OLP7</v>
      </c>
      <c r="C244">
        <f>IFERROR(__xludf.DUMMYFUNCTION("""COMPUTED_VALUE"""),243.0)</f>
        <v>243</v>
      </c>
      <c r="D244" s="178" t="str">
        <f>IFERROR(__xludf.DUMMYFUNCTION("""COMPUTED_VALUE"""),"Altar District")</f>
        <v>Altar District</v>
      </c>
      <c r="E244" s="215" t="str">
        <f>IFERROR(__xludf.DUMMYFUNCTION("""COMPUTED_VALUE"""),"祭壇街")</f>
        <v>祭壇街</v>
      </c>
      <c r="F244" s="179">
        <f>IFERROR(__xludf.DUMMYFUNCTION("""COMPUTED_VALUE"""),21.0)</f>
        <v>21</v>
      </c>
      <c r="G244" s="83">
        <f>IFERROR(__xludf.DUMMYFUNCTION("""COMPUTED_VALUE"""),3474.0)</f>
        <v>3474</v>
      </c>
      <c r="H244" s="95" t="str">
        <f>IFERROR(__xludf.DUMMYFUNCTION("""COMPUTED_VALUE"""),"")</f>
        <v/>
      </c>
      <c r="I244" s="96" t="str">
        <f>IFERROR(__xludf.DUMMYFUNCTION("""COMPUTED_VALUE"""),"")</f>
        <v/>
      </c>
      <c r="J244" s="97" t="str">
        <f>IFERROR(__xludf.DUMMYFUNCTION("""COMPUTED_VALUE"""),"")</f>
        <v/>
      </c>
      <c r="K244" s="95" t="str">
        <f>IFERROR(__xludf.DUMMYFUNCTION("""COMPUTED_VALUE"""),"")</f>
        <v/>
      </c>
      <c r="L244" s="96" t="str">
        <f>IFERROR(__xludf.DUMMYFUNCTION("""COMPUTED_VALUE"""),"")</f>
        <v/>
      </c>
      <c r="M244" s="97" t="str">
        <f>IFERROR(__xludf.DUMMYFUNCTION("""COMPUTED_VALUE"""),"")</f>
        <v/>
      </c>
      <c r="N244" s="95" t="str">
        <f>IFERROR(__xludf.DUMMYFUNCTION("""COMPUTED_VALUE"""),"")</f>
        <v/>
      </c>
      <c r="O244" s="96" t="str">
        <f>IFERROR(__xludf.DUMMYFUNCTION("""COMPUTED_VALUE"""),"")</f>
        <v/>
      </c>
      <c r="P244" s="97" t="str">
        <f>IFERROR(__xludf.DUMMYFUNCTION("""COMPUTED_VALUE"""),"")</f>
        <v/>
      </c>
      <c r="Q244" s="95" t="str">
        <f>IFERROR(__xludf.DUMMYFUNCTION("""COMPUTED_VALUE"""),"")</f>
        <v/>
      </c>
      <c r="R244" s="96" t="str">
        <f>IFERROR(__xludf.DUMMYFUNCTION("""COMPUTED_VALUE"""),"")</f>
        <v/>
      </c>
      <c r="S244" s="97" t="str">
        <f>IFERROR(__xludf.DUMMYFUNCTION("""COMPUTED_VALUE"""),"")</f>
        <v/>
      </c>
      <c r="T244" s="95" t="str">
        <f>IFERROR(__xludf.DUMMYFUNCTION("""COMPUTED_VALUE"""),"")</f>
        <v/>
      </c>
      <c r="U244" s="96" t="str">
        <f>IFERROR(__xludf.DUMMYFUNCTION("""COMPUTED_VALUE"""),"")</f>
        <v/>
      </c>
      <c r="V244" s="97" t="str">
        <f>IFERROR(__xludf.DUMMYFUNCTION("""COMPUTED_VALUE"""),"")</f>
        <v/>
      </c>
      <c r="W244" s="95" t="str">
        <f>IFERROR(__xludf.DUMMYFUNCTION("""COMPUTED_VALUE"""),"")</f>
        <v/>
      </c>
      <c r="X244" s="96">
        <f>IFERROR(__xludf.DUMMYFUNCTION("""COMPUTED_VALUE"""),16.2)</f>
        <v>16.2</v>
      </c>
      <c r="Y244" s="97" t="str">
        <f>IFERROR(__xludf.DUMMYFUNCTION("""COMPUTED_VALUE"""),"")</f>
        <v/>
      </c>
      <c r="Z244" s="95" t="str">
        <f>IFERROR(__xludf.DUMMYFUNCTION("""COMPUTED_VALUE"""),"")</f>
        <v/>
      </c>
      <c r="AA244" s="96" t="str">
        <f>IFERROR(__xludf.DUMMYFUNCTION("""COMPUTED_VALUE"""),"")</f>
        <v/>
      </c>
      <c r="AB244" s="97" t="str">
        <f>IFERROR(__xludf.DUMMYFUNCTION("""COMPUTED_VALUE"""),"")</f>
        <v/>
      </c>
      <c r="AC244" s="95">
        <f>IFERROR(__xludf.DUMMYFUNCTION("""COMPUTED_VALUE"""),24.9)</f>
        <v>24.9</v>
      </c>
      <c r="AD244" s="96" t="str">
        <f>IFERROR(__xludf.DUMMYFUNCTION("""COMPUTED_VALUE"""),"")</f>
        <v/>
      </c>
      <c r="AE244" s="97" t="str">
        <f>IFERROR(__xludf.DUMMYFUNCTION("""COMPUTED_VALUE"""),"")</f>
        <v/>
      </c>
      <c r="AF244" s="95" t="str">
        <f>IFERROR(__xludf.DUMMYFUNCTION("""COMPUTED_VALUE"""),"")</f>
        <v/>
      </c>
      <c r="AG244" s="96" t="str">
        <f>IFERROR(__xludf.DUMMYFUNCTION("""COMPUTED_VALUE"""),"")</f>
        <v/>
      </c>
      <c r="AH244" s="97" t="str">
        <f>IFERROR(__xludf.DUMMYFUNCTION("""COMPUTED_VALUE"""),"")</f>
        <v/>
      </c>
      <c r="AI244" s="216" t="str">
        <f>IFERROR(__xludf.DUMMYFUNCTION("""COMPUTED_VALUE"""),"")</f>
        <v/>
      </c>
      <c r="AJ244" s="217" t="str">
        <f>IFERROR(__xludf.DUMMYFUNCTION("""COMPUTED_VALUE"""),"")</f>
        <v/>
      </c>
      <c r="AK244" s="218" t="str">
        <f>IFERROR(__xludf.DUMMYFUNCTION("""COMPUTED_VALUE"""),"")</f>
        <v/>
      </c>
      <c r="AL244" s="217" t="str">
        <f>IFERROR(__xludf.DUMMYFUNCTION("""COMPUTED_VALUE"""),"")</f>
        <v/>
      </c>
      <c r="AM244" s="217" t="str">
        <f>IFERROR(__xludf.DUMMYFUNCTION("""COMPUTED_VALUE"""),"")</f>
        <v/>
      </c>
      <c r="AN244" s="218" t="str">
        <f>IFERROR(__xludf.DUMMYFUNCTION("""COMPUTED_VALUE"""),"")</f>
        <v/>
      </c>
      <c r="AO244" s="217" t="str">
        <f>IFERROR(__xludf.DUMMYFUNCTION("""COMPUTED_VALUE"""),"")</f>
        <v/>
      </c>
      <c r="AP244" s="217" t="str">
        <f>IFERROR(__xludf.DUMMYFUNCTION("""COMPUTED_VALUE"""),"")</f>
        <v/>
      </c>
      <c r="AQ244" s="218" t="str">
        <f>IFERROR(__xludf.DUMMYFUNCTION("""COMPUTED_VALUE"""),"")</f>
        <v/>
      </c>
      <c r="AR244" s="217" t="str">
        <f>IFERROR(__xludf.DUMMYFUNCTION("""COMPUTED_VALUE"""),"")</f>
        <v/>
      </c>
      <c r="AS244" s="217" t="str">
        <f>IFERROR(__xludf.DUMMYFUNCTION("""COMPUTED_VALUE"""),"")</f>
        <v/>
      </c>
      <c r="AT244" s="218" t="str">
        <f>IFERROR(__xludf.DUMMYFUNCTION("""COMPUTED_VALUE"""),"")</f>
        <v/>
      </c>
      <c r="AU244" s="217" t="str">
        <f>IFERROR(__xludf.DUMMYFUNCTION("""COMPUTED_VALUE"""),"")</f>
        <v/>
      </c>
      <c r="AV244" s="217" t="str">
        <f>IFERROR(__xludf.DUMMYFUNCTION("""COMPUTED_VALUE"""),"")</f>
        <v/>
      </c>
      <c r="AW244" s="218" t="str">
        <f>IFERROR(__xludf.DUMMYFUNCTION("""COMPUTED_VALUE"""),"")</f>
        <v/>
      </c>
      <c r="AX244" s="217" t="str">
        <f>IFERROR(__xludf.DUMMYFUNCTION("""COMPUTED_VALUE"""),"")</f>
        <v/>
      </c>
      <c r="AY244" s="217" t="str">
        <f>IFERROR(__xludf.DUMMYFUNCTION("""COMPUTED_VALUE"""),"")</f>
        <v/>
      </c>
      <c r="AZ244" s="218" t="str">
        <f>IFERROR(__xludf.DUMMYFUNCTION("""COMPUTED_VALUE"""),"")</f>
        <v/>
      </c>
      <c r="BA244" s="217" t="str">
        <f>IFERROR(__xludf.DUMMYFUNCTION("""COMPUTED_VALUE"""),"")</f>
        <v/>
      </c>
      <c r="BB244" s="217" t="str">
        <f>IFERROR(__xludf.DUMMYFUNCTION("""COMPUTED_VALUE"""),"")</f>
        <v/>
      </c>
      <c r="BC244" s="218" t="str">
        <f>IFERROR(__xludf.DUMMYFUNCTION("""COMPUTED_VALUE"""),"")</f>
        <v/>
      </c>
      <c r="BD244" s="217" t="str">
        <f>IFERROR(__xludf.DUMMYFUNCTION("""COMPUTED_VALUE"""),"")</f>
        <v/>
      </c>
      <c r="BE244" s="217" t="str">
        <f>IFERROR(__xludf.DUMMYFUNCTION("""COMPUTED_VALUE"""),"")</f>
        <v/>
      </c>
      <c r="BF244" s="218" t="str">
        <f>IFERROR(__xludf.DUMMYFUNCTION("""COMPUTED_VALUE"""),"")</f>
        <v/>
      </c>
      <c r="BG244" s="216" t="str">
        <f>IFERROR(__xludf.DUMMYFUNCTION("""COMPUTED_VALUE"""),"")</f>
        <v/>
      </c>
      <c r="BH244" s="217" t="str">
        <f>IFERROR(__xludf.DUMMYFUNCTION("""COMPUTED_VALUE"""),"")</f>
        <v/>
      </c>
      <c r="BI244" s="218" t="str">
        <f>IFERROR(__xludf.DUMMYFUNCTION("""COMPUTED_VALUE"""),"")</f>
        <v/>
      </c>
      <c r="BJ244" s="217" t="str">
        <f>IFERROR(__xludf.DUMMYFUNCTION("""COMPUTED_VALUE"""),"")</f>
        <v/>
      </c>
      <c r="BK244" s="217" t="str">
        <f>IFERROR(__xludf.DUMMYFUNCTION("""COMPUTED_VALUE"""),"")</f>
        <v/>
      </c>
      <c r="BL244" s="218">
        <f>IFERROR(__xludf.DUMMYFUNCTION("""COMPUTED_VALUE"""),11.0)</f>
        <v>11</v>
      </c>
      <c r="BM244" s="217" t="str">
        <f>IFERROR(__xludf.DUMMYFUNCTION("""COMPUTED_VALUE"""),"")</f>
        <v/>
      </c>
      <c r="BN244" s="217">
        <f>IFERROR(__xludf.DUMMYFUNCTION("""COMPUTED_VALUE"""),47.4)</f>
        <v>47.4</v>
      </c>
      <c r="BO244" s="218" t="str">
        <f>IFERROR(__xludf.DUMMYFUNCTION("""COMPUTED_VALUE"""),"")</f>
        <v/>
      </c>
      <c r="BP244" s="217" t="str">
        <f>IFERROR(__xludf.DUMMYFUNCTION("""COMPUTED_VALUE"""),"")</f>
        <v/>
      </c>
      <c r="BQ244" s="217" t="str">
        <f>IFERROR(__xludf.DUMMYFUNCTION("""COMPUTED_VALUE"""),"")</f>
        <v/>
      </c>
      <c r="BR244" s="218" t="str">
        <f>IFERROR(__xludf.DUMMYFUNCTION("""COMPUTED_VALUE"""),"")</f>
        <v/>
      </c>
      <c r="BS244" s="217" t="str">
        <f>IFERROR(__xludf.DUMMYFUNCTION("""COMPUTED_VALUE"""),"")</f>
        <v/>
      </c>
      <c r="BT244" s="217" t="str">
        <f>IFERROR(__xludf.DUMMYFUNCTION("""COMPUTED_VALUE"""),"")</f>
        <v/>
      </c>
      <c r="BU244" s="218" t="str">
        <f>IFERROR(__xludf.DUMMYFUNCTION("""COMPUTED_VALUE"""),"")</f>
        <v/>
      </c>
      <c r="BV244" s="217" t="str">
        <f>IFERROR(__xludf.DUMMYFUNCTION("""COMPUTED_VALUE"""),"")</f>
        <v/>
      </c>
      <c r="BW244" s="217" t="str">
        <f>IFERROR(__xludf.DUMMYFUNCTION("""COMPUTED_VALUE"""),"")</f>
        <v/>
      </c>
      <c r="BX244" s="218" t="str">
        <f>IFERROR(__xludf.DUMMYFUNCTION("""COMPUTED_VALUE"""),"")</f>
        <v/>
      </c>
      <c r="BY244" s="217" t="str">
        <f>IFERROR(__xludf.DUMMYFUNCTION("""COMPUTED_VALUE"""),"")</f>
        <v/>
      </c>
      <c r="BZ244" s="217" t="str">
        <f>IFERROR(__xludf.DUMMYFUNCTION("""COMPUTED_VALUE"""),"")</f>
        <v/>
      </c>
      <c r="CA244" s="218" t="str">
        <f>IFERROR(__xludf.DUMMYFUNCTION("""COMPUTED_VALUE"""),"")</f>
        <v/>
      </c>
      <c r="CB244" s="216" t="str">
        <f>IFERROR(__xludf.DUMMYFUNCTION("""COMPUTED_VALUE"""),"")</f>
        <v/>
      </c>
      <c r="CC244" s="217" t="str">
        <f>IFERROR(__xludf.DUMMYFUNCTION("""COMPUTED_VALUE"""),"")</f>
        <v/>
      </c>
      <c r="CD244" s="218" t="str">
        <f>IFERROR(__xludf.DUMMYFUNCTION("""COMPUTED_VALUE"""),"")</f>
        <v/>
      </c>
      <c r="CE244" s="217" t="str">
        <f>IFERROR(__xludf.DUMMYFUNCTION("""COMPUTED_VALUE"""),"")</f>
        <v/>
      </c>
      <c r="CF244" s="217" t="str">
        <f>IFERROR(__xludf.DUMMYFUNCTION("""COMPUTED_VALUE"""),"")</f>
        <v/>
      </c>
      <c r="CG244" s="218" t="str">
        <f>IFERROR(__xludf.DUMMYFUNCTION("""COMPUTED_VALUE"""),"")</f>
        <v/>
      </c>
      <c r="CH244" s="217" t="str">
        <f>IFERROR(__xludf.DUMMYFUNCTION("""COMPUTED_VALUE"""),"")</f>
        <v/>
      </c>
      <c r="CI244" s="217" t="str">
        <f>IFERROR(__xludf.DUMMYFUNCTION("""COMPUTED_VALUE"""),"")</f>
        <v/>
      </c>
      <c r="CJ244" s="218" t="str">
        <f>IFERROR(__xludf.DUMMYFUNCTION("""COMPUTED_VALUE"""),"")</f>
        <v/>
      </c>
      <c r="CK244" s="217" t="str">
        <f>IFERROR(__xludf.DUMMYFUNCTION("""COMPUTED_VALUE"""),"")</f>
        <v/>
      </c>
      <c r="CL244" s="217" t="str">
        <f>IFERROR(__xludf.DUMMYFUNCTION("""COMPUTED_VALUE"""),"")</f>
        <v/>
      </c>
      <c r="CM244" s="218" t="str">
        <f>IFERROR(__xludf.DUMMYFUNCTION("""COMPUTED_VALUE"""),"")</f>
        <v/>
      </c>
      <c r="CN244" s="217">
        <f>IFERROR(__xludf.DUMMYFUNCTION("""COMPUTED_VALUE"""),10.7)</f>
        <v>10.7</v>
      </c>
      <c r="CO244" s="217" t="str">
        <f>IFERROR(__xludf.DUMMYFUNCTION("""COMPUTED_VALUE"""),"")</f>
        <v/>
      </c>
      <c r="CP244" s="218" t="str">
        <f>IFERROR(__xludf.DUMMYFUNCTION("""COMPUTED_VALUE"""),"")</f>
        <v/>
      </c>
      <c r="CQ244" s="217" t="str">
        <f>IFERROR(__xludf.DUMMYFUNCTION("""COMPUTED_VALUE"""),"")</f>
        <v/>
      </c>
      <c r="CR244" s="217" t="str">
        <f>IFERROR(__xludf.DUMMYFUNCTION("""COMPUTED_VALUE"""),"")</f>
        <v/>
      </c>
      <c r="CS244" s="218" t="str">
        <f>IFERROR(__xludf.DUMMYFUNCTION("""COMPUTED_VALUE"""),"#REF!")</f>
        <v>#REF!</v>
      </c>
      <c r="CT244" s="217" t="str">
        <f>IFERROR(__xludf.DUMMYFUNCTION("""COMPUTED_VALUE"""),"#REF!")</f>
        <v>#REF!</v>
      </c>
      <c r="CU244" s="217" t="str">
        <f>IFERROR(__xludf.DUMMYFUNCTION("""COMPUTED_VALUE"""),"#REF!")</f>
        <v>#REF!</v>
      </c>
      <c r="CV244" s="218" t="str">
        <f>IFERROR(__xludf.DUMMYFUNCTION("""COMPUTED_VALUE"""),"#REF!")</f>
        <v>#REF!</v>
      </c>
      <c r="CW244" s="217" t="str">
        <f>IFERROR(__xludf.DUMMYFUNCTION("""COMPUTED_VALUE"""),"#REF!")</f>
        <v>#REF!</v>
      </c>
      <c r="CX244" s="217" t="str">
        <f>IFERROR(__xludf.DUMMYFUNCTION("""COMPUTED_VALUE"""),"#REF!")</f>
        <v>#REF!</v>
      </c>
      <c r="CY244" s="218" t="str">
        <f>IFERROR(__xludf.DUMMYFUNCTION("""COMPUTED_VALUE"""),"#REF!")</f>
        <v>#REF!</v>
      </c>
      <c r="CZ244" s="217" t="str">
        <f>IFERROR(__xludf.DUMMYFUNCTION("""COMPUTED_VALUE"""),"#REF!")</f>
        <v>#REF!</v>
      </c>
      <c r="DA244" s="217" t="str">
        <f>IFERROR(__xludf.DUMMYFUNCTION("""COMPUTED_VALUE"""),"#REF!")</f>
        <v>#REF!</v>
      </c>
      <c r="DB244" s="218" t="str">
        <f>IFERROR(__xludf.DUMMYFUNCTION("""COMPUTED_VALUE"""),"#REF!")</f>
        <v>#REF!</v>
      </c>
      <c r="DC244" s="217" t="str">
        <f>IFERROR(__xludf.DUMMYFUNCTION("""COMPUTED_VALUE"""),"#REF!")</f>
        <v>#REF!</v>
      </c>
      <c r="DD244" s="217" t="str">
        <f>IFERROR(__xludf.DUMMYFUNCTION("""COMPUTED_VALUE"""),"#REF!")</f>
        <v>#REF!</v>
      </c>
      <c r="DE244" s="218" t="str">
        <f>IFERROR(__xludf.DUMMYFUNCTION("""COMPUTED_VALUE"""),"#REF!")</f>
        <v>#REF!</v>
      </c>
      <c r="DF244" s="217" t="str">
        <f>IFERROR(__xludf.DUMMYFUNCTION("""COMPUTED_VALUE"""),"#REF!")</f>
        <v>#REF!</v>
      </c>
      <c r="DG244" s="217" t="str">
        <f>IFERROR(__xludf.DUMMYFUNCTION("""COMPUTED_VALUE"""),"#REF!")</f>
        <v>#REF!</v>
      </c>
      <c r="DH244" s="218" t="str">
        <f>IFERROR(__xludf.DUMMYFUNCTION("""COMPUTED_VALUE"""),"#REF!")</f>
        <v>#REF!</v>
      </c>
      <c r="DI244" s="217" t="str">
        <f>IFERROR(__xludf.DUMMYFUNCTION("""COMPUTED_VALUE"""),"#REF!")</f>
        <v>#REF!</v>
      </c>
      <c r="DJ244" s="217" t="str">
        <f>IFERROR(__xludf.DUMMYFUNCTION("""COMPUTED_VALUE"""),"#REF!")</f>
        <v>#REF!</v>
      </c>
      <c r="DK244" s="218" t="str">
        <f>IFERROR(__xludf.DUMMYFUNCTION("""COMPUTED_VALUE"""),"#REF!")</f>
        <v>#REF!</v>
      </c>
      <c r="DL244" s="217" t="str">
        <f>IFERROR(__xludf.DUMMYFUNCTION("""COMPUTED_VALUE"""),"#REF!")</f>
        <v>#REF!</v>
      </c>
      <c r="DM244" s="217" t="str">
        <f>IFERROR(__xludf.DUMMYFUNCTION("""COMPUTED_VALUE"""),"#REF!")</f>
        <v>#REF!</v>
      </c>
      <c r="DN244" s="218" t="str">
        <f>IFERROR(__xludf.DUMMYFUNCTION("""COMPUTED_VALUE"""),"#REF!")</f>
        <v>#REF!</v>
      </c>
      <c r="DO244" s="217" t="str">
        <f>IFERROR(__xludf.DUMMYFUNCTION("""COMPUTED_VALUE"""),"#REF!")</f>
        <v>#REF!</v>
      </c>
      <c r="DP244" s="217" t="str">
        <f>IFERROR(__xludf.DUMMYFUNCTION("""COMPUTED_VALUE"""),"#REF!")</f>
        <v>#REF!</v>
      </c>
      <c r="DQ244" s="218"/>
      <c r="DR244" s="217"/>
    </row>
    <row r="245">
      <c r="B245" s="180" t="str">
        <f>IFERROR(__xludf.DUMMYFUNCTION("""COMPUTED_VALUE"""),"OLP8")</f>
        <v>OLP8</v>
      </c>
      <c r="C245">
        <f>IFERROR(__xludf.DUMMYFUNCTION("""COMPUTED_VALUE"""),244.0)</f>
        <v>244</v>
      </c>
      <c r="D245" s="178" t="str">
        <f>IFERROR(__xludf.DUMMYFUNCTION("""COMPUTED_VALUE"""),"Aerial Garden")</f>
        <v>Aerial Garden</v>
      </c>
      <c r="E245" s="215" t="str">
        <f>IFERROR(__xludf.DUMMYFUNCTION("""COMPUTED_VALUE"""),"空中庭園")</f>
        <v>空中庭園</v>
      </c>
      <c r="F245" s="179">
        <f>IFERROR(__xludf.DUMMYFUNCTION("""COMPUTED_VALUE"""),21.0)</f>
        <v>21</v>
      </c>
      <c r="G245" s="83">
        <f>IFERROR(__xludf.DUMMYFUNCTION("""COMPUTED_VALUE"""),39476.0)</f>
        <v>39476</v>
      </c>
      <c r="H245" s="95" t="str">
        <f>IFERROR(__xludf.DUMMYFUNCTION("""COMPUTED_VALUE"""),"")</f>
        <v/>
      </c>
      <c r="I245" s="96" t="str">
        <f>IFERROR(__xludf.DUMMYFUNCTION("""COMPUTED_VALUE"""),"")</f>
        <v/>
      </c>
      <c r="J245" s="97" t="str">
        <f>IFERROR(__xludf.DUMMYFUNCTION("""COMPUTED_VALUE"""),"")</f>
        <v/>
      </c>
      <c r="K245" s="95" t="str">
        <f>IFERROR(__xludf.DUMMYFUNCTION("""COMPUTED_VALUE"""),"")</f>
        <v/>
      </c>
      <c r="L245" s="96" t="str">
        <f>IFERROR(__xludf.DUMMYFUNCTION("""COMPUTED_VALUE"""),"")</f>
        <v/>
      </c>
      <c r="M245" s="97" t="str">
        <f>IFERROR(__xludf.DUMMYFUNCTION("""COMPUTED_VALUE"""),"")</f>
        <v/>
      </c>
      <c r="N245" s="95" t="str">
        <f>IFERROR(__xludf.DUMMYFUNCTION("""COMPUTED_VALUE"""),"")</f>
        <v/>
      </c>
      <c r="O245" s="96" t="str">
        <f>IFERROR(__xludf.DUMMYFUNCTION("""COMPUTED_VALUE"""),"")</f>
        <v/>
      </c>
      <c r="P245" s="97" t="str">
        <f>IFERROR(__xludf.DUMMYFUNCTION("""COMPUTED_VALUE"""),"")</f>
        <v/>
      </c>
      <c r="Q245" s="95" t="str">
        <f>IFERROR(__xludf.DUMMYFUNCTION("""COMPUTED_VALUE"""),"")</f>
        <v/>
      </c>
      <c r="R245" s="96" t="str">
        <f>IFERROR(__xludf.DUMMYFUNCTION("""COMPUTED_VALUE"""),"")</f>
        <v/>
      </c>
      <c r="S245" s="97" t="str">
        <f>IFERROR(__xludf.DUMMYFUNCTION("""COMPUTED_VALUE"""),"")</f>
        <v/>
      </c>
      <c r="T245" s="95" t="str">
        <f>IFERROR(__xludf.DUMMYFUNCTION("""COMPUTED_VALUE"""),"")</f>
        <v/>
      </c>
      <c r="U245" s="96" t="str">
        <f>IFERROR(__xludf.DUMMYFUNCTION("""COMPUTED_VALUE"""),"")</f>
        <v/>
      </c>
      <c r="V245" s="97" t="str">
        <f>IFERROR(__xludf.DUMMYFUNCTION("""COMPUTED_VALUE"""),"")</f>
        <v/>
      </c>
      <c r="W245" s="95">
        <f>IFERROR(__xludf.DUMMYFUNCTION("""COMPUTED_VALUE"""),12.1)</f>
        <v>12.1</v>
      </c>
      <c r="X245" s="96" t="str">
        <f>IFERROR(__xludf.DUMMYFUNCTION("""COMPUTED_VALUE"""),"")</f>
        <v/>
      </c>
      <c r="Y245" s="97" t="str">
        <f>IFERROR(__xludf.DUMMYFUNCTION("""COMPUTED_VALUE"""),"")</f>
        <v/>
      </c>
      <c r="Z245" s="95" t="str">
        <f>IFERROR(__xludf.DUMMYFUNCTION("""COMPUTED_VALUE"""),"")</f>
        <v/>
      </c>
      <c r="AA245" s="96" t="str">
        <f>IFERROR(__xludf.DUMMYFUNCTION("""COMPUTED_VALUE"""),"")</f>
        <v/>
      </c>
      <c r="AB245" s="97" t="str">
        <f>IFERROR(__xludf.DUMMYFUNCTION("""COMPUTED_VALUE"""),"")</f>
        <v/>
      </c>
      <c r="AC245" s="95" t="str">
        <f>IFERROR(__xludf.DUMMYFUNCTION("""COMPUTED_VALUE"""),"")</f>
        <v/>
      </c>
      <c r="AD245" s="96" t="str">
        <f>IFERROR(__xludf.DUMMYFUNCTION("""COMPUTED_VALUE"""),"")</f>
        <v/>
      </c>
      <c r="AE245" s="97" t="str">
        <f>IFERROR(__xludf.DUMMYFUNCTION("""COMPUTED_VALUE"""),"")</f>
        <v/>
      </c>
      <c r="AF245" s="95" t="str">
        <f>IFERROR(__xludf.DUMMYFUNCTION("""COMPUTED_VALUE"""),"")</f>
        <v/>
      </c>
      <c r="AG245" s="96" t="str">
        <f>IFERROR(__xludf.DUMMYFUNCTION("""COMPUTED_VALUE"""),"")</f>
        <v/>
      </c>
      <c r="AH245" s="97" t="str">
        <f>IFERROR(__xludf.DUMMYFUNCTION("""COMPUTED_VALUE"""),"")</f>
        <v/>
      </c>
      <c r="AI245" s="216" t="str">
        <f>IFERROR(__xludf.DUMMYFUNCTION("""COMPUTED_VALUE"""),"")</f>
        <v/>
      </c>
      <c r="AJ245" s="217" t="str">
        <f>IFERROR(__xludf.DUMMYFUNCTION("""COMPUTED_VALUE"""),"")</f>
        <v/>
      </c>
      <c r="AK245" s="218" t="str">
        <f>IFERROR(__xludf.DUMMYFUNCTION("""COMPUTED_VALUE"""),"")</f>
        <v/>
      </c>
      <c r="AL245" s="217" t="str">
        <f>IFERROR(__xludf.DUMMYFUNCTION("""COMPUTED_VALUE"""),"")</f>
        <v/>
      </c>
      <c r="AM245" s="217" t="str">
        <f>IFERROR(__xludf.DUMMYFUNCTION("""COMPUTED_VALUE"""),"")</f>
        <v/>
      </c>
      <c r="AN245" s="218" t="str">
        <f>IFERROR(__xludf.DUMMYFUNCTION("""COMPUTED_VALUE"""),"")</f>
        <v/>
      </c>
      <c r="AO245" s="217" t="str">
        <f>IFERROR(__xludf.DUMMYFUNCTION("""COMPUTED_VALUE"""),"")</f>
        <v/>
      </c>
      <c r="AP245" s="217" t="str">
        <f>IFERROR(__xludf.DUMMYFUNCTION("""COMPUTED_VALUE"""),"")</f>
        <v/>
      </c>
      <c r="AQ245" s="218" t="str">
        <f>IFERROR(__xludf.DUMMYFUNCTION("""COMPUTED_VALUE"""),"")</f>
        <v/>
      </c>
      <c r="AR245" s="217">
        <f>IFERROR(__xludf.DUMMYFUNCTION("""COMPUTED_VALUE"""),25.2)</f>
        <v>25.2</v>
      </c>
      <c r="AS245" s="217" t="str">
        <f>IFERROR(__xludf.DUMMYFUNCTION("""COMPUTED_VALUE"""),"")</f>
        <v/>
      </c>
      <c r="AT245" s="218" t="str">
        <f>IFERROR(__xludf.DUMMYFUNCTION("""COMPUTED_VALUE"""),"")</f>
        <v/>
      </c>
      <c r="AU245" s="217" t="str">
        <f>IFERROR(__xludf.DUMMYFUNCTION("""COMPUTED_VALUE"""),"")</f>
        <v/>
      </c>
      <c r="AV245" s="217" t="str">
        <f>IFERROR(__xludf.DUMMYFUNCTION("""COMPUTED_VALUE"""),"")</f>
        <v/>
      </c>
      <c r="AW245" s="218" t="str">
        <f>IFERROR(__xludf.DUMMYFUNCTION("""COMPUTED_VALUE"""),"")</f>
        <v/>
      </c>
      <c r="AX245" s="217" t="str">
        <f>IFERROR(__xludf.DUMMYFUNCTION("""COMPUTED_VALUE"""),"")</f>
        <v/>
      </c>
      <c r="AY245" s="217" t="str">
        <f>IFERROR(__xludf.DUMMYFUNCTION("""COMPUTED_VALUE"""),"")</f>
        <v/>
      </c>
      <c r="AZ245" s="218" t="str">
        <f>IFERROR(__xludf.DUMMYFUNCTION("""COMPUTED_VALUE"""),"")</f>
        <v/>
      </c>
      <c r="BA245" s="217" t="str">
        <f>IFERROR(__xludf.DUMMYFUNCTION("""COMPUTED_VALUE"""),"")</f>
        <v/>
      </c>
      <c r="BB245" s="217" t="str">
        <f>IFERROR(__xludf.DUMMYFUNCTION("""COMPUTED_VALUE"""),"")</f>
        <v/>
      </c>
      <c r="BC245" s="218" t="str">
        <f>IFERROR(__xludf.DUMMYFUNCTION("""COMPUTED_VALUE"""),"")</f>
        <v/>
      </c>
      <c r="BD245" s="217" t="str">
        <f>IFERROR(__xludf.DUMMYFUNCTION("""COMPUTED_VALUE"""),"")</f>
        <v/>
      </c>
      <c r="BE245" s="217" t="str">
        <f>IFERROR(__xludf.DUMMYFUNCTION("""COMPUTED_VALUE"""),"")</f>
        <v/>
      </c>
      <c r="BF245" s="218">
        <f>IFERROR(__xludf.DUMMYFUNCTION("""COMPUTED_VALUE"""),4.1)</f>
        <v>4.1</v>
      </c>
      <c r="BG245" s="216" t="str">
        <f>IFERROR(__xludf.DUMMYFUNCTION("""COMPUTED_VALUE"""),"")</f>
        <v/>
      </c>
      <c r="BH245" s="217" t="str">
        <f>IFERROR(__xludf.DUMMYFUNCTION("""COMPUTED_VALUE"""),"")</f>
        <v/>
      </c>
      <c r="BI245" s="218" t="str">
        <f>IFERROR(__xludf.DUMMYFUNCTION("""COMPUTED_VALUE"""),"")</f>
        <v/>
      </c>
      <c r="BJ245" s="217" t="str">
        <f>IFERROR(__xludf.DUMMYFUNCTION("""COMPUTED_VALUE"""),"")</f>
        <v/>
      </c>
      <c r="BK245" s="217" t="str">
        <f>IFERROR(__xludf.DUMMYFUNCTION("""COMPUTED_VALUE"""),"")</f>
        <v/>
      </c>
      <c r="BL245" s="218" t="str">
        <f>IFERROR(__xludf.DUMMYFUNCTION("""COMPUTED_VALUE"""),"")</f>
        <v/>
      </c>
      <c r="BM245" s="217" t="str">
        <f>IFERROR(__xludf.DUMMYFUNCTION("""COMPUTED_VALUE"""),"")</f>
        <v/>
      </c>
      <c r="BN245" s="217" t="str">
        <f>IFERROR(__xludf.DUMMYFUNCTION("""COMPUTED_VALUE"""),"")</f>
        <v/>
      </c>
      <c r="BO245" s="218">
        <f>IFERROR(__xludf.DUMMYFUNCTION("""COMPUTED_VALUE"""),33.8)</f>
        <v>33.8</v>
      </c>
      <c r="BP245" s="217" t="str">
        <f>IFERROR(__xludf.DUMMYFUNCTION("""COMPUTED_VALUE"""),"")</f>
        <v/>
      </c>
      <c r="BQ245" s="217" t="str">
        <f>IFERROR(__xludf.DUMMYFUNCTION("""COMPUTED_VALUE"""),"")</f>
        <v/>
      </c>
      <c r="BR245" s="218" t="str">
        <f>IFERROR(__xludf.DUMMYFUNCTION("""COMPUTED_VALUE"""),"")</f>
        <v/>
      </c>
      <c r="BS245" s="217" t="str">
        <f>IFERROR(__xludf.DUMMYFUNCTION("""COMPUTED_VALUE"""),"")</f>
        <v/>
      </c>
      <c r="BT245" s="217" t="str">
        <f>IFERROR(__xludf.DUMMYFUNCTION("""COMPUTED_VALUE"""),"")</f>
        <v/>
      </c>
      <c r="BU245" s="218" t="str">
        <f>IFERROR(__xludf.DUMMYFUNCTION("""COMPUTED_VALUE"""),"")</f>
        <v/>
      </c>
      <c r="BV245" s="217" t="str">
        <f>IFERROR(__xludf.DUMMYFUNCTION("""COMPUTED_VALUE"""),"")</f>
        <v/>
      </c>
      <c r="BW245" s="217" t="str">
        <f>IFERROR(__xludf.DUMMYFUNCTION("""COMPUTED_VALUE"""),"")</f>
        <v/>
      </c>
      <c r="BX245" s="218" t="str">
        <f>IFERROR(__xludf.DUMMYFUNCTION("""COMPUTED_VALUE"""),"")</f>
        <v/>
      </c>
      <c r="BY245" s="217" t="str">
        <f>IFERROR(__xludf.DUMMYFUNCTION("""COMPUTED_VALUE"""),"")</f>
        <v/>
      </c>
      <c r="BZ245" s="217" t="str">
        <f>IFERROR(__xludf.DUMMYFUNCTION("""COMPUTED_VALUE"""),"")</f>
        <v/>
      </c>
      <c r="CA245" s="218" t="str">
        <f>IFERROR(__xludf.DUMMYFUNCTION("""COMPUTED_VALUE"""),"")</f>
        <v/>
      </c>
      <c r="CB245" s="216" t="str">
        <f>IFERROR(__xludf.DUMMYFUNCTION("""COMPUTED_VALUE"""),"")</f>
        <v/>
      </c>
      <c r="CC245" s="217" t="str">
        <f>IFERROR(__xludf.DUMMYFUNCTION("""COMPUTED_VALUE"""),"")</f>
        <v/>
      </c>
      <c r="CD245" s="218" t="str">
        <f>IFERROR(__xludf.DUMMYFUNCTION("""COMPUTED_VALUE"""),"")</f>
        <v/>
      </c>
      <c r="CE245" s="217" t="str">
        <f>IFERROR(__xludf.DUMMYFUNCTION("""COMPUTED_VALUE"""),"")</f>
        <v/>
      </c>
      <c r="CF245" s="217" t="str">
        <f>IFERROR(__xludf.DUMMYFUNCTION("""COMPUTED_VALUE"""),"")</f>
        <v/>
      </c>
      <c r="CG245" s="218" t="str">
        <f>IFERROR(__xludf.DUMMYFUNCTION("""COMPUTED_VALUE"""),"")</f>
        <v/>
      </c>
      <c r="CH245" s="217" t="str">
        <f>IFERROR(__xludf.DUMMYFUNCTION("""COMPUTED_VALUE"""),"")</f>
        <v/>
      </c>
      <c r="CI245" s="217" t="str">
        <f>IFERROR(__xludf.DUMMYFUNCTION("""COMPUTED_VALUE"""),"")</f>
        <v/>
      </c>
      <c r="CJ245" s="218" t="str">
        <f>IFERROR(__xludf.DUMMYFUNCTION("""COMPUTED_VALUE"""),"")</f>
        <v/>
      </c>
      <c r="CK245" s="217" t="str">
        <f>IFERROR(__xludf.DUMMYFUNCTION("""COMPUTED_VALUE"""),"")</f>
        <v/>
      </c>
      <c r="CL245" s="217" t="str">
        <f>IFERROR(__xludf.DUMMYFUNCTION("""COMPUTED_VALUE"""),"")</f>
        <v/>
      </c>
      <c r="CM245" s="218" t="str">
        <f>IFERROR(__xludf.DUMMYFUNCTION("""COMPUTED_VALUE"""),"")</f>
        <v/>
      </c>
      <c r="CN245" s="217" t="str">
        <f>IFERROR(__xludf.DUMMYFUNCTION("""COMPUTED_VALUE"""),"")</f>
        <v/>
      </c>
      <c r="CO245" s="217">
        <f>IFERROR(__xludf.DUMMYFUNCTION("""COMPUTED_VALUE"""),3.9)</f>
        <v>3.9</v>
      </c>
      <c r="CP245" s="218" t="str">
        <f>IFERROR(__xludf.DUMMYFUNCTION("""COMPUTED_VALUE"""),"")</f>
        <v/>
      </c>
      <c r="CQ245" s="217" t="str">
        <f>IFERROR(__xludf.DUMMYFUNCTION("""COMPUTED_VALUE"""),"")</f>
        <v/>
      </c>
      <c r="CR245" s="217" t="str">
        <f>IFERROR(__xludf.DUMMYFUNCTION("""COMPUTED_VALUE"""),"")</f>
        <v/>
      </c>
      <c r="CS245" s="218" t="str">
        <f>IFERROR(__xludf.DUMMYFUNCTION("""COMPUTED_VALUE"""),"#REF!")</f>
        <v>#REF!</v>
      </c>
      <c r="CT245" s="217" t="str">
        <f>IFERROR(__xludf.DUMMYFUNCTION("""COMPUTED_VALUE"""),"#REF!")</f>
        <v>#REF!</v>
      </c>
      <c r="CU245" s="217" t="str">
        <f>IFERROR(__xludf.DUMMYFUNCTION("""COMPUTED_VALUE"""),"#REF!")</f>
        <v>#REF!</v>
      </c>
      <c r="CV245" s="218" t="str">
        <f>IFERROR(__xludf.DUMMYFUNCTION("""COMPUTED_VALUE"""),"#REF!")</f>
        <v>#REF!</v>
      </c>
      <c r="CW245" s="217" t="str">
        <f>IFERROR(__xludf.DUMMYFUNCTION("""COMPUTED_VALUE"""),"#REF!")</f>
        <v>#REF!</v>
      </c>
      <c r="CX245" s="217" t="str">
        <f>IFERROR(__xludf.DUMMYFUNCTION("""COMPUTED_VALUE"""),"#REF!")</f>
        <v>#REF!</v>
      </c>
      <c r="CY245" s="218" t="str">
        <f>IFERROR(__xludf.DUMMYFUNCTION("""COMPUTED_VALUE"""),"#REF!")</f>
        <v>#REF!</v>
      </c>
      <c r="CZ245" s="217" t="str">
        <f>IFERROR(__xludf.DUMMYFUNCTION("""COMPUTED_VALUE"""),"#REF!")</f>
        <v>#REF!</v>
      </c>
      <c r="DA245" s="217" t="str">
        <f>IFERROR(__xludf.DUMMYFUNCTION("""COMPUTED_VALUE"""),"#REF!")</f>
        <v>#REF!</v>
      </c>
      <c r="DB245" s="218" t="str">
        <f>IFERROR(__xludf.DUMMYFUNCTION("""COMPUTED_VALUE"""),"#REF!")</f>
        <v>#REF!</v>
      </c>
      <c r="DC245" s="217" t="str">
        <f>IFERROR(__xludf.DUMMYFUNCTION("""COMPUTED_VALUE"""),"#REF!")</f>
        <v>#REF!</v>
      </c>
      <c r="DD245" s="217" t="str">
        <f>IFERROR(__xludf.DUMMYFUNCTION("""COMPUTED_VALUE"""),"#REF!")</f>
        <v>#REF!</v>
      </c>
      <c r="DE245" s="218" t="str">
        <f>IFERROR(__xludf.DUMMYFUNCTION("""COMPUTED_VALUE"""),"#REF!")</f>
        <v>#REF!</v>
      </c>
      <c r="DF245" s="217" t="str">
        <f>IFERROR(__xludf.DUMMYFUNCTION("""COMPUTED_VALUE"""),"#REF!")</f>
        <v>#REF!</v>
      </c>
      <c r="DG245" s="217" t="str">
        <f>IFERROR(__xludf.DUMMYFUNCTION("""COMPUTED_VALUE"""),"#REF!")</f>
        <v>#REF!</v>
      </c>
      <c r="DH245" s="218" t="str">
        <f>IFERROR(__xludf.DUMMYFUNCTION("""COMPUTED_VALUE"""),"#REF!")</f>
        <v>#REF!</v>
      </c>
      <c r="DI245" s="217" t="str">
        <f>IFERROR(__xludf.DUMMYFUNCTION("""COMPUTED_VALUE"""),"#REF!")</f>
        <v>#REF!</v>
      </c>
      <c r="DJ245" s="217" t="str">
        <f>IFERROR(__xludf.DUMMYFUNCTION("""COMPUTED_VALUE"""),"#REF!")</f>
        <v>#REF!</v>
      </c>
      <c r="DK245" s="218" t="str">
        <f>IFERROR(__xludf.DUMMYFUNCTION("""COMPUTED_VALUE"""),"#REF!")</f>
        <v>#REF!</v>
      </c>
      <c r="DL245" s="217" t="str">
        <f>IFERROR(__xludf.DUMMYFUNCTION("""COMPUTED_VALUE"""),"#REF!")</f>
        <v>#REF!</v>
      </c>
      <c r="DM245" s="217" t="str">
        <f>IFERROR(__xludf.DUMMYFUNCTION("""COMPUTED_VALUE"""),"#REF!")</f>
        <v>#REF!</v>
      </c>
      <c r="DN245" s="218" t="str">
        <f>IFERROR(__xludf.DUMMYFUNCTION("""COMPUTED_VALUE"""),"#REF!")</f>
        <v>#REF!</v>
      </c>
      <c r="DO245" s="217" t="str">
        <f>IFERROR(__xludf.DUMMYFUNCTION("""COMPUTED_VALUE"""),"#REF!")</f>
        <v>#REF!</v>
      </c>
      <c r="DP245" s="217" t="str">
        <f>IFERROR(__xludf.DUMMYFUNCTION("""COMPUTED_VALUE"""),"#REF!")</f>
        <v>#REF!</v>
      </c>
      <c r="DQ245" s="218"/>
      <c r="DR245" s="217"/>
    </row>
    <row r="246">
      <c r="B246" s="180" t="str">
        <f>IFERROR(__xludf.DUMMYFUNCTION("""COMPUTED_VALUE"""),"OLP9")</f>
        <v>OLP9</v>
      </c>
      <c r="C246">
        <f>IFERROR(__xludf.DUMMYFUNCTION("""COMPUTED_VALUE"""),245.0)</f>
        <v>245</v>
      </c>
      <c r="D246" s="178" t="str">
        <f>IFERROR(__xludf.DUMMYFUNCTION("""COMPUTED_VALUE"""),"Machine God's Cloister")</f>
        <v>Machine God's Cloister</v>
      </c>
      <c r="E246" s="215" t="str">
        <f>IFERROR(__xludf.DUMMYFUNCTION("""COMPUTED_VALUE"""),"機神回廊")</f>
        <v>機神回廊</v>
      </c>
      <c r="F246" s="179">
        <f>IFERROR(__xludf.DUMMYFUNCTION("""COMPUTED_VALUE"""),21.0)</f>
        <v>21</v>
      </c>
      <c r="G246" s="83">
        <f>IFERROR(__xludf.DUMMYFUNCTION("""COMPUTED_VALUE"""),3310.0)</f>
        <v>3310</v>
      </c>
      <c r="H246" s="95" t="str">
        <f>IFERROR(__xludf.DUMMYFUNCTION("""COMPUTED_VALUE"""),"")</f>
        <v/>
      </c>
      <c r="I246" s="96" t="str">
        <f>IFERROR(__xludf.DUMMYFUNCTION("""COMPUTED_VALUE"""),"")</f>
        <v/>
      </c>
      <c r="J246" s="97" t="str">
        <f>IFERROR(__xludf.DUMMYFUNCTION("""COMPUTED_VALUE"""),"")</f>
        <v/>
      </c>
      <c r="K246" s="95" t="str">
        <f>IFERROR(__xludf.DUMMYFUNCTION("""COMPUTED_VALUE"""),"")</f>
        <v/>
      </c>
      <c r="L246" s="96" t="str">
        <f>IFERROR(__xludf.DUMMYFUNCTION("""COMPUTED_VALUE"""),"")</f>
        <v/>
      </c>
      <c r="M246" s="97" t="str">
        <f>IFERROR(__xludf.DUMMYFUNCTION("""COMPUTED_VALUE"""),"")</f>
        <v/>
      </c>
      <c r="N246" s="95" t="str">
        <f>IFERROR(__xludf.DUMMYFUNCTION("""COMPUTED_VALUE"""),"")</f>
        <v/>
      </c>
      <c r="O246" s="96" t="str">
        <f>IFERROR(__xludf.DUMMYFUNCTION("""COMPUTED_VALUE"""),"")</f>
        <v/>
      </c>
      <c r="P246" s="97" t="str">
        <f>IFERROR(__xludf.DUMMYFUNCTION("""COMPUTED_VALUE"""),"")</f>
        <v/>
      </c>
      <c r="Q246" s="95" t="str">
        <f>IFERROR(__xludf.DUMMYFUNCTION("""COMPUTED_VALUE"""),"")</f>
        <v/>
      </c>
      <c r="R246" s="96" t="str">
        <f>IFERROR(__xludf.DUMMYFUNCTION("""COMPUTED_VALUE"""),"")</f>
        <v/>
      </c>
      <c r="S246" s="97" t="str">
        <f>IFERROR(__xludf.DUMMYFUNCTION("""COMPUTED_VALUE"""),"")</f>
        <v/>
      </c>
      <c r="T246" s="95" t="str">
        <f>IFERROR(__xludf.DUMMYFUNCTION("""COMPUTED_VALUE"""),"")</f>
        <v/>
      </c>
      <c r="U246" s="96" t="str">
        <f>IFERROR(__xludf.DUMMYFUNCTION("""COMPUTED_VALUE"""),"")</f>
        <v/>
      </c>
      <c r="V246" s="97" t="str">
        <f>IFERROR(__xludf.DUMMYFUNCTION("""COMPUTED_VALUE"""),"")</f>
        <v/>
      </c>
      <c r="W246" s="95">
        <f>IFERROR(__xludf.DUMMYFUNCTION("""COMPUTED_VALUE"""),12.5)</f>
        <v>12.5</v>
      </c>
      <c r="X246" s="96" t="str">
        <f>IFERROR(__xludf.DUMMYFUNCTION("""COMPUTED_VALUE"""),"")</f>
        <v/>
      </c>
      <c r="Y246" s="97" t="str">
        <f>IFERROR(__xludf.DUMMYFUNCTION("""COMPUTED_VALUE"""),"")</f>
        <v/>
      </c>
      <c r="Z246" s="95" t="str">
        <f>IFERROR(__xludf.DUMMYFUNCTION("""COMPUTED_VALUE"""),"")</f>
        <v/>
      </c>
      <c r="AA246" s="96" t="str">
        <f>IFERROR(__xludf.DUMMYFUNCTION("""COMPUTED_VALUE"""),"")</f>
        <v/>
      </c>
      <c r="AB246" s="97" t="str">
        <f>IFERROR(__xludf.DUMMYFUNCTION("""COMPUTED_VALUE"""),"")</f>
        <v/>
      </c>
      <c r="AC246" s="95">
        <f>IFERROR(__xludf.DUMMYFUNCTION("""COMPUTED_VALUE"""),26.0)</f>
        <v>26</v>
      </c>
      <c r="AD246" s="96" t="str">
        <f>IFERROR(__xludf.DUMMYFUNCTION("""COMPUTED_VALUE"""),"")</f>
        <v/>
      </c>
      <c r="AE246" s="97" t="str">
        <f>IFERROR(__xludf.DUMMYFUNCTION("""COMPUTED_VALUE"""),"")</f>
        <v/>
      </c>
      <c r="AF246" s="95" t="str">
        <f>IFERROR(__xludf.DUMMYFUNCTION("""COMPUTED_VALUE"""),"")</f>
        <v/>
      </c>
      <c r="AG246" s="96" t="str">
        <f>IFERROR(__xludf.DUMMYFUNCTION("""COMPUTED_VALUE"""),"")</f>
        <v/>
      </c>
      <c r="AH246" s="97" t="str">
        <f>IFERROR(__xludf.DUMMYFUNCTION("""COMPUTED_VALUE"""),"")</f>
        <v/>
      </c>
      <c r="AI246" s="216" t="str">
        <f>IFERROR(__xludf.DUMMYFUNCTION("""COMPUTED_VALUE"""),"")</f>
        <v/>
      </c>
      <c r="AJ246" s="217" t="str">
        <f>IFERROR(__xludf.DUMMYFUNCTION("""COMPUTED_VALUE"""),"")</f>
        <v/>
      </c>
      <c r="AK246" s="218" t="str">
        <f>IFERROR(__xludf.DUMMYFUNCTION("""COMPUTED_VALUE"""),"")</f>
        <v/>
      </c>
      <c r="AL246" s="217" t="str">
        <f>IFERROR(__xludf.DUMMYFUNCTION("""COMPUTED_VALUE"""),"")</f>
        <v/>
      </c>
      <c r="AM246" s="217" t="str">
        <f>IFERROR(__xludf.DUMMYFUNCTION("""COMPUTED_VALUE"""),"")</f>
        <v/>
      </c>
      <c r="AN246" s="218" t="str">
        <f>IFERROR(__xludf.DUMMYFUNCTION("""COMPUTED_VALUE"""),"")</f>
        <v/>
      </c>
      <c r="AO246" s="217" t="str">
        <f>IFERROR(__xludf.DUMMYFUNCTION("""COMPUTED_VALUE"""),"")</f>
        <v/>
      </c>
      <c r="AP246" s="217" t="str">
        <f>IFERROR(__xludf.DUMMYFUNCTION("""COMPUTED_VALUE"""),"")</f>
        <v/>
      </c>
      <c r="AQ246" s="218" t="str">
        <f>IFERROR(__xludf.DUMMYFUNCTION("""COMPUTED_VALUE"""),"")</f>
        <v/>
      </c>
      <c r="AR246" s="217" t="str">
        <f>IFERROR(__xludf.DUMMYFUNCTION("""COMPUTED_VALUE"""),"")</f>
        <v/>
      </c>
      <c r="AS246" s="217" t="str">
        <f>IFERROR(__xludf.DUMMYFUNCTION("""COMPUTED_VALUE"""),"")</f>
        <v/>
      </c>
      <c r="AT246" s="218" t="str">
        <f>IFERROR(__xludf.DUMMYFUNCTION("""COMPUTED_VALUE"""),"")</f>
        <v/>
      </c>
      <c r="AU246" s="217" t="str">
        <f>IFERROR(__xludf.DUMMYFUNCTION("""COMPUTED_VALUE"""),"")</f>
        <v/>
      </c>
      <c r="AV246" s="217" t="str">
        <f>IFERROR(__xludf.DUMMYFUNCTION("""COMPUTED_VALUE"""),"")</f>
        <v/>
      </c>
      <c r="AW246" s="218" t="str">
        <f>IFERROR(__xludf.DUMMYFUNCTION("""COMPUTED_VALUE"""),"")</f>
        <v/>
      </c>
      <c r="AX246" s="217" t="str">
        <f>IFERROR(__xludf.DUMMYFUNCTION("""COMPUTED_VALUE"""),"")</f>
        <v/>
      </c>
      <c r="AY246" s="217" t="str">
        <f>IFERROR(__xludf.DUMMYFUNCTION("""COMPUTED_VALUE"""),"")</f>
        <v/>
      </c>
      <c r="AZ246" s="218" t="str">
        <f>IFERROR(__xludf.DUMMYFUNCTION("""COMPUTED_VALUE"""),"")</f>
        <v/>
      </c>
      <c r="BA246" s="217" t="str">
        <f>IFERROR(__xludf.DUMMYFUNCTION("""COMPUTED_VALUE"""),"")</f>
        <v/>
      </c>
      <c r="BB246" s="217" t="str">
        <f>IFERROR(__xludf.DUMMYFUNCTION("""COMPUTED_VALUE"""),"")</f>
        <v/>
      </c>
      <c r="BC246" s="218" t="str">
        <f>IFERROR(__xludf.DUMMYFUNCTION("""COMPUTED_VALUE"""),"")</f>
        <v/>
      </c>
      <c r="BD246" s="217" t="str">
        <f>IFERROR(__xludf.DUMMYFUNCTION("""COMPUTED_VALUE"""),"")</f>
        <v/>
      </c>
      <c r="BE246" s="217" t="str">
        <f>IFERROR(__xludf.DUMMYFUNCTION("""COMPUTED_VALUE"""),"")</f>
        <v/>
      </c>
      <c r="BF246" s="218">
        <f>IFERROR(__xludf.DUMMYFUNCTION("""COMPUTED_VALUE"""),4.5)</f>
        <v>4.5</v>
      </c>
      <c r="BG246" s="216" t="str">
        <f>IFERROR(__xludf.DUMMYFUNCTION("""COMPUTED_VALUE"""),"")</f>
        <v/>
      </c>
      <c r="BH246" s="217" t="str">
        <f>IFERROR(__xludf.DUMMYFUNCTION("""COMPUTED_VALUE"""),"")</f>
        <v/>
      </c>
      <c r="BI246" s="218" t="str">
        <f>IFERROR(__xludf.DUMMYFUNCTION("""COMPUTED_VALUE"""),"")</f>
        <v/>
      </c>
      <c r="BJ246" s="217" t="str">
        <f>IFERROR(__xludf.DUMMYFUNCTION("""COMPUTED_VALUE"""),"")</f>
        <v/>
      </c>
      <c r="BK246" s="217" t="str">
        <f>IFERROR(__xludf.DUMMYFUNCTION("""COMPUTED_VALUE"""),"")</f>
        <v/>
      </c>
      <c r="BL246" s="218" t="str">
        <f>IFERROR(__xludf.DUMMYFUNCTION("""COMPUTED_VALUE"""),"")</f>
        <v/>
      </c>
      <c r="BM246" s="217" t="str">
        <f>IFERROR(__xludf.DUMMYFUNCTION("""COMPUTED_VALUE"""),"")</f>
        <v/>
      </c>
      <c r="BN246" s="217">
        <f>IFERROR(__xludf.DUMMYFUNCTION("""COMPUTED_VALUE"""),55.4)</f>
        <v>55.4</v>
      </c>
      <c r="BO246" s="218" t="str">
        <f>IFERROR(__xludf.DUMMYFUNCTION("""COMPUTED_VALUE"""),"")</f>
        <v/>
      </c>
      <c r="BP246" s="217" t="str">
        <f>IFERROR(__xludf.DUMMYFUNCTION("""COMPUTED_VALUE"""),"")</f>
        <v/>
      </c>
      <c r="BQ246" s="217" t="str">
        <f>IFERROR(__xludf.DUMMYFUNCTION("""COMPUTED_VALUE"""),"")</f>
        <v/>
      </c>
      <c r="BR246" s="218" t="str">
        <f>IFERROR(__xludf.DUMMYFUNCTION("""COMPUTED_VALUE"""),"")</f>
        <v/>
      </c>
      <c r="BS246" s="217" t="str">
        <f>IFERROR(__xludf.DUMMYFUNCTION("""COMPUTED_VALUE"""),"")</f>
        <v/>
      </c>
      <c r="BT246" s="217" t="str">
        <f>IFERROR(__xludf.DUMMYFUNCTION("""COMPUTED_VALUE"""),"")</f>
        <v/>
      </c>
      <c r="BU246" s="218" t="str">
        <f>IFERROR(__xludf.DUMMYFUNCTION("""COMPUTED_VALUE"""),"")</f>
        <v/>
      </c>
      <c r="BV246" s="217" t="str">
        <f>IFERROR(__xludf.DUMMYFUNCTION("""COMPUTED_VALUE"""),"")</f>
        <v/>
      </c>
      <c r="BW246" s="217" t="str">
        <f>IFERROR(__xludf.DUMMYFUNCTION("""COMPUTED_VALUE"""),"")</f>
        <v/>
      </c>
      <c r="BX246" s="218" t="str">
        <f>IFERROR(__xludf.DUMMYFUNCTION("""COMPUTED_VALUE"""),"")</f>
        <v/>
      </c>
      <c r="BY246" s="217" t="str">
        <f>IFERROR(__xludf.DUMMYFUNCTION("""COMPUTED_VALUE"""),"")</f>
        <v/>
      </c>
      <c r="BZ246" s="217" t="str">
        <f>IFERROR(__xludf.DUMMYFUNCTION("""COMPUTED_VALUE"""),"")</f>
        <v/>
      </c>
      <c r="CA246" s="218" t="str">
        <f>IFERROR(__xludf.DUMMYFUNCTION("""COMPUTED_VALUE"""),"")</f>
        <v/>
      </c>
      <c r="CB246" s="216" t="str">
        <f>IFERROR(__xludf.DUMMYFUNCTION("""COMPUTED_VALUE"""),"")</f>
        <v/>
      </c>
      <c r="CC246" s="217" t="str">
        <f>IFERROR(__xludf.DUMMYFUNCTION("""COMPUTED_VALUE"""),"")</f>
        <v/>
      </c>
      <c r="CD246" s="218" t="str">
        <f>IFERROR(__xludf.DUMMYFUNCTION("""COMPUTED_VALUE"""),"")</f>
        <v/>
      </c>
      <c r="CE246" s="217" t="str">
        <f>IFERROR(__xludf.DUMMYFUNCTION("""COMPUTED_VALUE"""),"")</f>
        <v/>
      </c>
      <c r="CF246" s="217" t="str">
        <f>IFERROR(__xludf.DUMMYFUNCTION("""COMPUTED_VALUE"""),"")</f>
        <v/>
      </c>
      <c r="CG246" s="218" t="str">
        <f>IFERROR(__xludf.DUMMYFUNCTION("""COMPUTED_VALUE"""),"")</f>
        <v/>
      </c>
      <c r="CH246" s="217" t="str">
        <f>IFERROR(__xludf.DUMMYFUNCTION("""COMPUTED_VALUE"""),"")</f>
        <v/>
      </c>
      <c r="CI246" s="217" t="str">
        <f>IFERROR(__xludf.DUMMYFUNCTION("""COMPUTED_VALUE"""),"")</f>
        <v/>
      </c>
      <c r="CJ246" s="218" t="str">
        <f>IFERROR(__xludf.DUMMYFUNCTION("""COMPUTED_VALUE"""),"")</f>
        <v/>
      </c>
      <c r="CK246" s="217" t="str">
        <f>IFERROR(__xludf.DUMMYFUNCTION("""COMPUTED_VALUE"""),"")</f>
        <v/>
      </c>
      <c r="CL246" s="217" t="str">
        <f>IFERROR(__xludf.DUMMYFUNCTION("""COMPUTED_VALUE"""),"")</f>
        <v/>
      </c>
      <c r="CM246" s="218" t="str">
        <f>IFERROR(__xludf.DUMMYFUNCTION("""COMPUTED_VALUE"""),"")</f>
        <v/>
      </c>
      <c r="CN246" s="217" t="str">
        <f>IFERROR(__xludf.DUMMYFUNCTION("""COMPUTED_VALUE"""),"")</f>
        <v/>
      </c>
      <c r="CO246" s="217">
        <f>IFERROR(__xludf.DUMMYFUNCTION("""COMPUTED_VALUE"""),3.5)</f>
        <v>3.5</v>
      </c>
      <c r="CP246" s="218" t="str">
        <f>IFERROR(__xludf.DUMMYFUNCTION("""COMPUTED_VALUE"""),"")</f>
        <v/>
      </c>
      <c r="CQ246" s="217" t="str">
        <f>IFERROR(__xludf.DUMMYFUNCTION("""COMPUTED_VALUE"""),"")</f>
        <v/>
      </c>
      <c r="CR246" s="217" t="str">
        <f>IFERROR(__xludf.DUMMYFUNCTION("""COMPUTED_VALUE"""),"")</f>
        <v/>
      </c>
      <c r="CS246" s="218" t="str">
        <f>IFERROR(__xludf.DUMMYFUNCTION("""COMPUTED_VALUE"""),"#REF!")</f>
        <v>#REF!</v>
      </c>
      <c r="CT246" s="217" t="str">
        <f>IFERROR(__xludf.DUMMYFUNCTION("""COMPUTED_VALUE"""),"#REF!")</f>
        <v>#REF!</v>
      </c>
      <c r="CU246" s="217" t="str">
        <f>IFERROR(__xludf.DUMMYFUNCTION("""COMPUTED_VALUE"""),"#REF!")</f>
        <v>#REF!</v>
      </c>
      <c r="CV246" s="218" t="str">
        <f>IFERROR(__xludf.DUMMYFUNCTION("""COMPUTED_VALUE"""),"#REF!")</f>
        <v>#REF!</v>
      </c>
      <c r="CW246" s="217" t="str">
        <f>IFERROR(__xludf.DUMMYFUNCTION("""COMPUTED_VALUE"""),"#REF!")</f>
        <v>#REF!</v>
      </c>
      <c r="CX246" s="217" t="str">
        <f>IFERROR(__xludf.DUMMYFUNCTION("""COMPUTED_VALUE"""),"#REF!")</f>
        <v>#REF!</v>
      </c>
      <c r="CY246" s="218" t="str">
        <f>IFERROR(__xludf.DUMMYFUNCTION("""COMPUTED_VALUE"""),"#REF!")</f>
        <v>#REF!</v>
      </c>
      <c r="CZ246" s="217" t="str">
        <f>IFERROR(__xludf.DUMMYFUNCTION("""COMPUTED_VALUE"""),"#REF!")</f>
        <v>#REF!</v>
      </c>
      <c r="DA246" s="217" t="str">
        <f>IFERROR(__xludf.DUMMYFUNCTION("""COMPUTED_VALUE"""),"#REF!")</f>
        <v>#REF!</v>
      </c>
      <c r="DB246" s="218" t="str">
        <f>IFERROR(__xludf.DUMMYFUNCTION("""COMPUTED_VALUE"""),"#REF!")</f>
        <v>#REF!</v>
      </c>
      <c r="DC246" s="217" t="str">
        <f>IFERROR(__xludf.DUMMYFUNCTION("""COMPUTED_VALUE"""),"#REF!")</f>
        <v>#REF!</v>
      </c>
      <c r="DD246" s="217" t="str">
        <f>IFERROR(__xludf.DUMMYFUNCTION("""COMPUTED_VALUE"""),"#REF!")</f>
        <v>#REF!</v>
      </c>
      <c r="DE246" s="218" t="str">
        <f>IFERROR(__xludf.DUMMYFUNCTION("""COMPUTED_VALUE"""),"#REF!")</f>
        <v>#REF!</v>
      </c>
      <c r="DF246" s="217" t="str">
        <f>IFERROR(__xludf.DUMMYFUNCTION("""COMPUTED_VALUE"""),"#REF!")</f>
        <v>#REF!</v>
      </c>
      <c r="DG246" s="217" t="str">
        <f>IFERROR(__xludf.DUMMYFUNCTION("""COMPUTED_VALUE"""),"#REF!")</f>
        <v>#REF!</v>
      </c>
      <c r="DH246" s="218" t="str">
        <f>IFERROR(__xludf.DUMMYFUNCTION("""COMPUTED_VALUE"""),"#REF!")</f>
        <v>#REF!</v>
      </c>
      <c r="DI246" s="217" t="str">
        <f>IFERROR(__xludf.DUMMYFUNCTION("""COMPUTED_VALUE"""),"#REF!")</f>
        <v>#REF!</v>
      </c>
      <c r="DJ246" s="217" t="str">
        <f>IFERROR(__xludf.DUMMYFUNCTION("""COMPUTED_VALUE"""),"#REF!")</f>
        <v>#REF!</v>
      </c>
      <c r="DK246" s="218" t="str">
        <f>IFERROR(__xludf.DUMMYFUNCTION("""COMPUTED_VALUE"""),"#REF!")</f>
        <v>#REF!</v>
      </c>
      <c r="DL246" s="217" t="str">
        <f>IFERROR(__xludf.DUMMYFUNCTION("""COMPUTED_VALUE"""),"#REF!")</f>
        <v>#REF!</v>
      </c>
      <c r="DM246" s="217" t="str">
        <f>IFERROR(__xludf.DUMMYFUNCTION("""COMPUTED_VALUE"""),"#REF!")</f>
        <v>#REF!</v>
      </c>
      <c r="DN246" s="218" t="str">
        <f>IFERROR(__xludf.DUMMYFUNCTION("""COMPUTED_VALUE"""),"#REF!")</f>
        <v>#REF!</v>
      </c>
      <c r="DO246" s="217" t="str">
        <f>IFERROR(__xludf.DUMMYFUNCTION("""COMPUTED_VALUE"""),"#REF!")</f>
        <v>#REF!</v>
      </c>
      <c r="DP246" s="217" t="str">
        <f>IFERROR(__xludf.DUMMYFUNCTION("""COMPUTED_VALUE"""),"#REF!")</f>
        <v>#REF!</v>
      </c>
      <c r="DQ246" s="218"/>
      <c r="DR246" s="217"/>
    </row>
    <row r="247">
      <c r="B247" s="180" t="str">
        <f>IFERROR(__xludf.DUMMYFUNCTION("""COMPUTED_VALUE"""),"OLP10")</f>
        <v>OLP10</v>
      </c>
      <c r="C247">
        <f>IFERROR(__xludf.DUMMYFUNCTION("""COMPUTED_VALUE"""),246.0)</f>
        <v>246</v>
      </c>
      <c r="D247" s="178" t="str">
        <f>IFERROR(__xludf.DUMMYFUNCTION("""COMPUTED_VALUE"""),"Grand Altar")</f>
        <v>Grand Altar</v>
      </c>
      <c r="E247" s="215" t="str">
        <f>IFERROR(__xludf.DUMMYFUNCTION("""COMPUTED_VALUE"""),"大祭壇")</f>
        <v>大祭壇</v>
      </c>
      <c r="F247" s="179">
        <f>IFERROR(__xludf.DUMMYFUNCTION("""COMPUTED_VALUE"""),21.0)</f>
        <v>21</v>
      </c>
      <c r="G247" s="83">
        <f>IFERROR(__xludf.DUMMYFUNCTION("""COMPUTED_VALUE"""),1624.0)</f>
        <v>1624</v>
      </c>
      <c r="H247" s="95" t="str">
        <f>IFERROR(__xludf.DUMMYFUNCTION("""COMPUTED_VALUE"""),"")</f>
        <v/>
      </c>
      <c r="I247" s="96" t="str">
        <f>IFERROR(__xludf.DUMMYFUNCTION("""COMPUTED_VALUE"""),"")</f>
        <v/>
      </c>
      <c r="J247" s="97" t="str">
        <f>IFERROR(__xludf.DUMMYFUNCTION("""COMPUTED_VALUE"""),"")</f>
        <v/>
      </c>
      <c r="K247" s="95" t="str">
        <f>IFERROR(__xludf.DUMMYFUNCTION("""COMPUTED_VALUE"""),"")</f>
        <v/>
      </c>
      <c r="L247" s="96" t="str">
        <f>IFERROR(__xludf.DUMMYFUNCTION("""COMPUTED_VALUE"""),"")</f>
        <v/>
      </c>
      <c r="M247" s="97" t="str">
        <f>IFERROR(__xludf.DUMMYFUNCTION("""COMPUTED_VALUE"""),"")</f>
        <v/>
      </c>
      <c r="N247" s="95" t="str">
        <f>IFERROR(__xludf.DUMMYFUNCTION("""COMPUTED_VALUE"""),"")</f>
        <v/>
      </c>
      <c r="O247" s="96" t="str">
        <f>IFERROR(__xludf.DUMMYFUNCTION("""COMPUTED_VALUE"""),"")</f>
        <v/>
      </c>
      <c r="P247" s="97" t="str">
        <f>IFERROR(__xludf.DUMMYFUNCTION("""COMPUTED_VALUE"""),"")</f>
        <v/>
      </c>
      <c r="Q247" s="95" t="str">
        <f>IFERROR(__xludf.DUMMYFUNCTION("""COMPUTED_VALUE"""),"")</f>
        <v/>
      </c>
      <c r="R247" s="96" t="str">
        <f>IFERROR(__xludf.DUMMYFUNCTION("""COMPUTED_VALUE"""),"")</f>
        <v/>
      </c>
      <c r="S247" s="97" t="str">
        <f>IFERROR(__xludf.DUMMYFUNCTION("""COMPUTED_VALUE"""),"")</f>
        <v/>
      </c>
      <c r="T247" s="95" t="str">
        <f>IFERROR(__xludf.DUMMYFUNCTION("""COMPUTED_VALUE"""),"")</f>
        <v/>
      </c>
      <c r="U247" s="96" t="str">
        <f>IFERROR(__xludf.DUMMYFUNCTION("""COMPUTED_VALUE"""),"")</f>
        <v/>
      </c>
      <c r="V247" s="97" t="str">
        <f>IFERROR(__xludf.DUMMYFUNCTION("""COMPUTED_VALUE"""),"")</f>
        <v/>
      </c>
      <c r="W247" s="95" t="str">
        <f>IFERROR(__xludf.DUMMYFUNCTION("""COMPUTED_VALUE"""),"")</f>
        <v/>
      </c>
      <c r="X247" s="96" t="str">
        <f>IFERROR(__xludf.DUMMYFUNCTION("""COMPUTED_VALUE"""),"")</f>
        <v/>
      </c>
      <c r="Y247" s="97" t="str">
        <f>IFERROR(__xludf.DUMMYFUNCTION("""COMPUTED_VALUE"""),"")</f>
        <v/>
      </c>
      <c r="Z247" s="95" t="str">
        <f>IFERROR(__xludf.DUMMYFUNCTION("""COMPUTED_VALUE"""),"")</f>
        <v/>
      </c>
      <c r="AA247" s="96" t="str">
        <f>IFERROR(__xludf.DUMMYFUNCTION("""COMPUTED_VALUE"""),"")</f>
        <v/>
      </c>
      <c r="AB247" s="97" t="str">
        <f>IFERROR(__xludf.DUMMYFUNCTION("""COMPUTED_VALUE"""),"")</f>
        <v/>
      </c>
      <c r="AC247" s="95">
        <f>IFERROR(__xludf.DUMMYFUNCTION("""COMPUTED_VALUE"""),21.1)</f>
        <v>21.1</v>
      </c>
      <c r="AD247" s="96" t="str">
        <f>IFERROR(__xludf.DUMMYFUNCTION("""COMPUTED_VALUE"""),"")</f>
        <v/>
      </c>
      <c r="AE247" s="97" t="str">
        <f>IFERROR(__xludf.DUMMYFUNCTION("""COMPUTED_VALUE"""),"")</f>
        <v/>
      </c>
      <c r="AF247" s="95" t="str">
        <f>IFERROR(__xludf.DUMMYFUNCTION("""COMPUTED_VALUE"""),"")</f>
        <v/>
      </c>
      <c r="AG247" s="96" t="str">
        <f>IFERROR(__xludf.DUMMYFUNCTION("""COMPUTED_VALUE"""),"")</f>
        <v/>
      </c>
      <c r="AH247" s="97" t="str">
        <f>IFERROR(__xludf.DUMMYFUNCTION("""COMPUTED_VALUE"""),"")</f>
        <v/>
      </c>
      <c r="AI247" s="216" t="str">
        <f>IFERROR(__xludf.DUMMYFUNCTION("""COMPUTED_VALUE"""),"")</f>
        <v/>
      </c>
      <c r="AJ247" s="217" t="str">
        <f>IFERROR(__xludf.DUMMYFUNCTION("""COMPUTED_VALUE"""),"")</f>
        <v/>
      </c>
      <c r="AK247" s="218" t="str">
        <f>IFERROR(__xludf.DUMMYFUNCTION("""COMPUTED_VALUE"""),"")</f>
        <v/>
      </c>
      <c r="AL247" s="217" t="str">
        <f>IFERROR(__xludf.DUMMYFUNCTION("""COMPUTED_VALUE"""),"")</f>
        <v/>
      </c>
      <c r="AM247" s="217" t="str">
        <f>IFERROR(__xludf.DUMMYFUNCTION("""COMPUTED_VALUE"""),"")</f>
        <v/>
      </c>
      <c r="AN247" s="218" t="str">
        <f>IFERROR(__xludf.DUMMYFUNCTION("""COMPUTED_VALUE"""),"")</f>
        <v/>
      </c>
      <c r="AO247" s="217" t="str">
        <f>IFERROR(__xludf.DUMMYFUNCTION("""COMPUTED_VALUE"""),"")</f>
        <v/>
      </c>
      <c r="AP247" s="217" t="str">
        <f>IFERROR(__xludf.DUMMYFUNCTION("""COMPUTED_VALUE"""),"")</f>
        <v/>
      </c>
      <c r="AQ247" s="218" t="str">
        <f>IFERROR(__xludf.DUMMYFUNCTION("""COMPUTED_VALUE"""),"")</f>
        <v/>
      </c>
      <c r="AR247" s="217">
        <f>IFERROR(__xludf.DUMMYFUNCTION("""COMPUTED_VALUE"""),19.0)</f>
        <v>19</v>
      </c>
      <c r="AS247" s="217" t="str">
        <f>IFERROR(__xludf.DUMMYFUNCTION("""COMPUTED_VALUE"""),"")</f>
        <v/>
      </c>
      <c r="AT247" s="218" t="str">
        <f>IFERROR(__xludf.DUMMYFUNCTION("""COMPUTED_VALUE"""),"")</f>
        <v/>
      </c>
      <c r="AU247" s="217" t="str">
        <f>IFERROR(__xludf.DUMMYFUNCTION("""COMPUTED_VALUE"""),"")</f>
        <v/>
      </c>
      <c r="AV247" s="217" t="str">
        <f>IFERROR(__xludf.DUMMYFUNCTION("""COMPUTED_VALUE"""),"")</f>
        <v/>
      </c>
      <c r="AW247" s="218">
        <f>IFERROR(__xludf.DUMMYFUNCTION("""COMPUTED_VALUE"""),31.8)</f>
        <v>31.8</v>
      </c>
      <c r="AX247" s="217" t="str">
        <f>IFERROR(__xludf.DUMMYFUNCTION("""COMPUTED_VALUE"""),"")</f>
        <v/>
      </c>
      <c r="AY247" s="217" t="str">
        <f>IFERROR(__xludf.DUMMYFUNCTION("""COMPUTED_VALUE"""),"")</f>
        <v/>
      </c>
      <c r="AZ247" s="218" t="str">
        <f>IFERROR(__xludf.DUMMYFUNCTION("""COMPUTED_VALUE"""),"")</f>
        <v/>
      </c>
      <c r="BA247" s="217" t="str">
        <f>IFERROR(__xludf.DUMMYFUNCTION("""COMPUTED_VALUE"""),"")</f>
        <v/>
      </c>
      <c r="BB247" s="217" t="str">
        <f>IFERROR(__xludf.DUMMYFUNCTION("""COMPUTED_VALUE"""),"")</f>
        <v/>
      </c>
      <c r="BC247" s="218" t="str">
        <f>IFERROR(__xludf.DUMMYFUNCTION("""COMPUTED_VALUE"""),"")</f>
        <v/>
      </c>
      <c r="BD247" s="217" t="str">
        <f>IFERROR(__xludf.DUMMYFUNCTION("""COMPUTED_VALUE"""),"")</f>
        <v/>
      </c>
      <c r="BE247" s="217" t="str">
        <f>IFERROR(__xludf.DUMMYFUNCTION("""COMPUTED_VALUE"""),"")</f>
        <v/>
      </c>
      <c r="BF247" s="218" t="str">
        <f>IFERROR(__xludf.DUMMYFUNCTION("""COMPUTED_VALUE"""),"")</f>
        <v/>
      </c>
      <c r="BG247" s="216" t="str">
        <f>IFERROR(__xludf.DUMMYFUNCTION("""COMPUTED_VALUE"""),"")</f>
        <v/>
      </c>
      <c r="BH247" s="217" t="str">
        <f>IFERROR(__xludf.DUMMYFUNCTION("""COMPUTED_VALUE"""),"")</f>
        <v/>
      </c>
      <c r="BI247" s="218" t="str">
        <f>IFERROR(__xludf.DUMMYFUNCTION("""COMPUTED_VALUE"""),"")</f>
        <v/>
      </c>
      <c r="BJ247" s="217" t="str">
        <f>IFERROR(__xludf.DUMMYFUNCTION("""COMPUTED_VALUE"""),"")</f>
        <v/>
      </c>
      <c r="BK247" s="217" t="str">
        <f>IFERROR(__xludf.DUMMYFUNCTION("""COMPUTED_VALUE"""),"")</f>
        <v/>
      </c>
      <c r="BL247" s="218" t="str">
        <f>IFERROR(__xludf.DUMMYFUNCTION("""COMPUTED_VALUE"""),"")</f>
        <v/>
      </c>
      <c r="BM247" s="217" t="str">
        <f>IFERROR(__xludf.DUMMYFUNCTION("""COMPUTED_VALUE"""),"")</f>
        <v/>
      </c>
      <c r="BN247" s="217">
        <f>IFERROR(__xludf.DUMMYFUNCTION("""COMPUTED_VALUE"""),16.0)</f>
        <v>16</v>
      </c>
      <c r="BO247" s="218">
        <f>IFERROR(__xludf.DUMMYFUNCTION("""COMPUTED_VALUE"""),30.1)</f>
        <v>30.1</v>
      </c>
      <c r="BP247" s="217" t="str">
        <f>IFERROR(__xludf.DUMMYFUNCTION("""COMPUTED_VALUE"""),"")</f>
        <v/>
      </c>
      <c r="BQ247" s="217" t="str">
        <f>IFERROR(__xludf.DUMMYFUNCTION("""COMPUTED_VALUE"""),"")</f>
        <v/>
      </c>
      <c r="BR247" s="218" t="str">
        <f>IFERROR(__xludf.DUMMYFUNCTION("""COMPUTED_VALUE"""),"")</f>
        <v/>
      </c>
      <c r="BS247" s="217" t="str">
        <f>IFERROR(__xludf.DUMMYFUNCTION("""COMPUTED_VALUE"""),"")</f>
        <v/>
      </c>
      <c r="BT247" s="217" t="str">
        <f>IFERROR(__xludf.DUMMYFUNCTION("""COMPUTED_VALUE"""),"")</f>
        <v/>
      </c>
      <c r="BU247" s="218" t="str">
        <f>IFERROR(__xludf.DUMMYFUNCTION("""COMPUTED_VALUE"""),"")</f>
        <v/>
      </c>
      <c r="BV247" s="217" t="str">
        <f>IFERROR(__xludf.DUMMYFUNCTION("""COMPUTED_VALUE"""),"")</f>
        <v/>
      </c>
      <c r="BW247" s="217" t="str">
        <f>IFERROR(__xludf.DUMMYFUNCTION("""COMPUTED_VALUE"""),"")</f>
        <v/>
      </c>
      <c r="BX247" s="218" t="str">
        <f>IFERROR(__xludf.DUMMYFUNCTION("""COMPUTED_VALUE"""),"")</f>
        <v/>
      </c>
      <c r="BY247" s="217" t="str">
        <f>IFERROR(__xludf.DUMMYFUNCTION("""COMPUTED_VALUE"""),"")</f>
        <v/>
      </c>
      <c r="BZ247" s="217" t="str">
        <f>IFERROR(__xludf.DUMMYFUNCTION("""COMPUTED_VALUE"""),"")</f>
        <v/>
      </c>
      <c r="CA247" s="218" t="str">
        <f>IFERROR(__xludf.DUMMYFUNCTION("""COMPUTED_VALUE"""),"")</f>
        <v/>
      </c>
      <c r="CB247" s="216" t="str">
        <f>IFERROR(__xludf.DUMMYFUNCTION("""COMPUTED_VALUE"""),"")</f>
        <v/>
      </c>
      <c r="CC247" s="217" t="str">
        <f>IFERROR(__xludf.DUMMYFUNCTION("""COMPUTED_VALUE"""),"")</f>
        <v/>
      </c>
      <c r="CD247" s="218" t="str">
        <f>IFERROR(__xludf.DUMMYFUNCTION("""COMPUTED_VALUE"""),"")</f>
        <v/>
      </c>
      <c r="CE247" s="217" t="str">
        <f>IFERROR(__xludf.DUMMYFUNCTION("""COMPUTED_VALUE"""),"")</f>
        <v/>
      </c>
      <c r="CF247" s="217" t="str">
        <f>IFERROR(__xludf.DUMMYFUNCTION("""COMPUTED_VALUE"""),"")</f>
        <v/>
      </c>
      <c r="CG247" s="218" t="str">
        <f>IFERROR(__xludf.DUMMYFUNCTION("""COMPUTED_VALUE"""),"")</f>
        <v/>
      </c>
      <c r="CH247" s="217" t="str">
        <f>IFERROR(__xludf.DUMMYFUNCTION("""COMPUTED_VALUE"""),"")</f>
        <v/>
      </c>
      <c r="CI247" s="217" t="str">
        <f>IFERROR(__xludf.DUMMYFUNCTION("""COMPUTED_VALUE"""),"")</f>
        <v/>
      </c>
      <c r="CJ247" s="218" t="str">
        <f>IFERROR(__xludf.DUMMYFUNCTION("""COMPUTED_VALUE"""),"")</f>
        <v/>
      </c>
      <c r="CK247" s="217" t="str">
        <f>IFERROR(__xludf.DUMMYFUNCTION("""COMPUTED_VALUE"""),"")</f>
        <v/>
      </c>
      <c r="CL247" s="217" t="str">
        <f>IFERROR(__xludf.DUMMYFUNCTION("""COMPUTED_VALUE"""),"")</f>
        <v/>
      </c>
      <c r="CM247" s="218" t="str">
        <f>IFERROR(__xludf.DUMMYFUNCTION("""COMPUTED_VALUE"""),"")</f>
        <v/>
      </c>
      <c r="CN247" s="217" t="str">
        <f>IFERROR(__xludf.DUMMYFUNCTION("""COMPUTED_VALUE"""),"")</f>
        <v/>
      </c>
      <c r="CO247" s="217" t="str">
        <f>IFERROR(__xludf.DUMMYFUNCTION("""COMPUTED_VALUE"""),"")</f>
        <v/>
      </c>
      <c r="CP247" s="218" t="str">
        <f>IFERROR(__xludf.DUMMYFUNCTION("""COMPUTED_VALUE"""),"")</f>
        <v/>
      </c>
      <c r="CQ247" s="217" t="str">
        <f>IFERROR(__xludf.DUMMYFUNCTION("""COMPUTED_VALUE"""),"")</f>
        <v/>
      </c>
      <c r="CR247" s="217" t="str">
        <f>IFERROR(__xludf.DUMMYFUNCTION("""COMPUTED_VALUE"""),"")</f>
        <v/>
      </c>
      <c r="CS247" s="218" t="str">
        <f>IFERROR(__xludf.DUMMYFUNCTION("""COMPUTED_VALUE"""),"#REF!")</f>
        <v>#REF!</v>
      </c>
      <c r="CT247" s="217" t="str">
        <f>IFERROR(__xludf.DUMMYFUNCTION("""COMPUTED_VALUE"""),"#REF!")</f>
        <v>#REF!</v>
      </c>
      <c r="CU247" s="217" t="str">
        <f>IFERROR(__xludf.DUMMYFUNCTION("""COMPUTED_VALUE"""),"#REF!")</f>
        <v>#REF!</v>
      </c>
      <c r="CV247" s="218" t="str">
        <f>IFERROR(__xludf.DUMMYFUNCTION("""COMPUTED_VALUE"""),"#REF!")</f>
        <v>#REF!</v>
      </c>
      <c r="CW247" s="217" t="str">
        <f>IFERROR(__xludf.DUMMYFUNCTION("""COMPUTED_VALUE"""),"#REF!")</f>
        <v>#REF!</v>
      </c>
      <c r="CX247" s="217" t="str">
        <f>IFERROR(__xludf.DUMMYFUNCTION("""COMPUTED_VALUE"""),"#REF!")</f>
        <v>#REF!</v>
      </c>
      <c r="CY247" s="218" t="str">
        <f>IFERROR(__xludf.DUMMYFUNCTION("""COMPUTED_VALUE"""),"#REF!")</f>
        <v>#REF!</v>
      </c>
      <c r="CZ247" s="217" t="str">
        <f>IFERROR(__xludf.DUMMYFUNCTION("""COMPUTED_VALUE"""),"#REF!")</f>
        <v>#REF!</v>
      </c>
      <c r="DA247" s="217" t="str">
        <f>IFERROR(__xludf.DUMMYFUNCTION("""COMPUTED_VALUE"""),"#REF!")</f>
        <v>#REF!</v>
      </c>
      <c r="DB247" s="218" t="str">
        <f>IFERROR(__xludf.DUMMYFUNCTION("""COMPUTED_VALUE"""),"#REF!")</f>
        <v>#REF!</v>
      </c>
      <c r="DC247" s="217" t="str">
        <f>IFERROR(__xludf.DUMMYFUNCTION("""COMPUTED_VALUE"""),"#REF!")</f>
        <v>#REF!</v>
      </c>
      <c r="DD247" s="217" t="str">
        <f>IFERROR(__xludf.DUMMYFUNCTION("""COMPUTED_VALUE"""),"#REF!")</f>
        <v>#REF!</v>
      </c>
      <c r="DE247" s="218" t="str">
        <f>IFERROR(__xludf.DUMMYFUNCTION("""COMPUTED_VALUE"""),"#REF!")</f>
        <v>#REF!</v>
      </c>
      <c r="DF247" s="217" t="str">
        <f>IFERROR(__xludf.DUMMYFUNCTION("""COMPUTED_VALUE"""),"#REF!")</f>
        <v>#REF!</v>
      </c>
      <c r="DG247" s="217" t="str">
        <f>IFERROR(__xludf.DUMMYFUNCTION("""COMPUTED_VALUE"""),"#REF!")</f>
        <v>#REF!</v>
      </c>
      <c r="DH247" s="218" t="str">
        <f>IFERROR(__xludf.DUMMYFUNCTION("""COMPUTED_VALUE"""),"#REF!")</f>
        <v>#REF!</v>
      </c>
      <c r="DI247" s="217" t="str">
        <f>IFERROR(__xludf.DUMMYFUNCTION("""COMPUTED_VALUE"""),"#REF!")</f>
        <v>#REF!</v>
      </c>
      <c r="DJ247" s="217" t="str">
        <f>IFERROR(__xludf.DUMMYFUNCTION("""COMPUTED_VALUE"""),"#REF!")</f>
        <v>#REF!</v>
      </c>
      <c r="DK247" s="218" t="str">
        <f>IFERROR(__xludf.DUMMYFUNCTION("""COMPUTED_VALUE"""),"#REF!")</f>
        <v>#REF!</v>
      </c>
      <c r="DL247" s="217" t="str">
        <f>IFERROR(__xludf.DUMMYFUNCTION("""COMPUTED_VALUE"""),"#REF!")</f>
        <v>#REF!</v>
      </c>
      <c r="DM247" s="217" t="str">
        <f>IFERROR(__xludf.DUMMYFUNCTION("""COMPUTED_VALUE"""),"#REF!")</f>
        <v>#REF!</v>
      </c>
      <c r="DN247" s="218" t="str">
        <f>IFERROR(__xludf.DUMMYFUNCTION("""COMPUTED_VALUE"""),"#REF!")</f>
        <v>#REF!</v>
      </c>
      <c r="DO247" s="217" t="str">
        <f>IFERROR(__xludf.DUMMYFUNCTION("""COMPUTED_VALUE"""),"#REF!")</f>
        <v>#REF!</v>
      </c>
      <c r="DP247" s="217" t="str">
        <f>IFERROR(__xludf.DUMMYFUNCTION("""COMPUTED_VALUE"""),"#REF!")</f>
        <v>#REF!</v>
      </c>
      <c r="DQ247" s="218"/>
      <c r="DR247" s="217"/>
    </row>
    <row r="248">
      <c r="B248" s="180" t="str">
        <f>IFERROR(__xludf.DUMMYFUNCTION("""COMPUTED_VALUE"""),"OLP11")</f>
        <v>OLP11</v>
      </c>
      <c r="C248">
        <f>IFERROR(__xludf.DUMMYFUNCTION("""COMPUTED_VALUE"""),247.0)</f>
        <v>247</v>
      </c>
      <c r="D248" s="178" t="str">
        <f>IFERROR(__xludf.DUMMYFUNCTION("""COMPUTED_VALUE"""),"Underground Belt Mechanism - Outer Region")</f>
        <v>Underground Belt Mechanism - Outer Region</v>
      </c>
      <c r="E248" s="215" t="str">
        <f>IFERROR(__xludf.DUMMYFUNCTION("""COMPUTED_VALUE"""),"地下機構帯・外周部")</f>
        <v>地下機構帯・外周部</v>
      </c>
      <c r="F248" s="179">
        <f>IFERROR(__xludf.DUMMYFUNCTION("""COMPUTED_VALUE"""),21.0)</f>
        <v>21</v>
      </c>
      <c r="G248" s="83">
        <f>IFERROR(__xludf.DUMMYFUNCTION("""COMPUTED_VALUE"""),8377.0)</f>
        <v>8377</v>
      </c>
      <c r="H248" s="95" t="str">
        <f>IFERROR(__xludf.DUMMYFUNCTION("""COMPUTED_VALUE"""),"")</f>
        <v/>
      </c>
      <c r="I248" s="96" t="str">
        <f>IFERROR(__xludf.DUMMYFUNCTION("""COMPUTED_VALUE"""),"")</f>
        <v/>
      </c>
      <c r="J248" s="97" t="str">
        <f>IFERROR(__xludf.DUMMYFUNCTION("""COMPUTED_VALUE"""),"")</f>
        <v/>
      </c>
      <c r="K248" s="95" t="str">
        <f>IFERROR(__xludf.DUMMYFUNCTION("""COMPUTED_VALUE"""),"")</f>
        <v/>
      </c>
      <c r="L248" s="96" t="str">
        <f>IFERROR(__xludf.DUMMYFUNCTION("""COMPUTED_VALUE"""),"")</f>
        <v/>
      </c>
      <c r="M248" s="97" t="str">
        <f>IFERROR(__xludf.DUMMYFUNCTION("""COMPUTED_VALUE"""),"")</f>
        <v/>
      </c>
      <c r="N248" s="95" t="str">
        <f>IFERROR(__xludf.DUMMYFUNCTION("""COMPUTED_VALUE"""),"")</f>
        <v/>
      </c>
      <c r="O248" s="96" t="str">
        <f>IFERROR(__xludf.DUMMYFUNCTION("""COMPUTED_VALUE"""),"")</f>
        <v/>
      </c>
      <c r="P248" s="97" t="str">
        <f>IFERROR(__xludf.DUMMYFUNCTION("""COMPUTED_VALUE"""),"")</f>
        <v/>
      </c>
      <c r="Q248" s="95" t="str">
        <f>IFERROR(__xludf.DUMMYFUNCTION("""COMPUTED_VALUE"""),"")</f>
        <v/>
      </c>
      <c r="R248" s="96" t="str">
        <f>IFERROR(__xludf.DUMMYFUNCTION("""COMPUTED_VALUE"""),"")</f>
        <v/>
      </c>
      <c r="S248" s="97" t="str">
        <f>IFERROR(__xludf.DUMMYFUNCTION("""COMPUTED_VALUE"""),"")</f>
        <v/>
      </c>
      <c r="T248" s="95" t="str">
        <f>IFERROR(__xludf.DUMMYFUNCTION("""COMPUTED_VALUE"""),"")</f>
        <v/>
      </c>
      <c r="U248" s="96" t="str">
        <f>IFERROR(__xludf.DUMMYFUNCTION("""COMPUTED_VALUE"""),"")</f>
        <v/>
      </c>
      <c r="V248" s="97" t="str">
        <f>IFERROR(__xludf.DUMMYFUNCTION("""COMPUTED_VALUE"""),"")</f>
        <v/>
      </c>
      <c r="W248" s="95" t="str">
        <f>IFERROR(__xludf.DUMMYFUNCTION("""COMPUTED_VALUE"""),"")</f>
        <v/>
      </c>
      <c r="X248" s="96" t="str">
        <f>IFERROR(__xludf.DUMMYFUNCTION("""COMPUTED_VALUE"""),"")</f>
        <v/>
      </c>
      <c r="Y248" s="97" t="str">
        <f>IFERROR(__xludf.DUMMYFUNCTION("""COMPUTED_VALUE"""),"")</f>
        <v/>
      </c>
      <c r="Z248" s="95" t="str">
        <f>IFERROR(__xludf.DUMMYFUNCTION("""COMPUTED_VALUE"""),"")</f>
        <v/>
      </c>
      <c r="AA248" s="96" t="str">
        <f>IFERROR(__xludf.DUMMYFUNCTION("""COMPUTED_VALUE"""),"")</f>
        <v/>
      </c>
      <c r="AB248" s="97" t="str">
        <f>IFERROR(__xludf.DUMMYFUNCTION("""COMPUTED_VALUE"""),"")</f>
        <v/>
      </c>
      <c r="AC248" s="95" t="str">
        <f>IFERROR(__xludf.DUMMYFUNCTION("""COMPUTED_VALUE"""),"")</f>
        <v/>
      </c>
      <c r="AD248" s="96" t="str">
        <f>IFERROR(__xludf.DUMMYFUNCTION("""COMPUTED_VALUE"""),"")</f>
        <v/>
      </c>
      <c r="AE248" s="97" t="str">
        <f>IFERROR(__xludf.DUMMYFUNCTION("""COMPUTED_VALUE"""),"")</f>
        <v/>
      </c>
      <c r="AF248" s="95" t="str">
        <f>IFERROR(__xludf.DUMMYFUNCTION("""COMPUTED_VALUE"""),"")</f>
        <v/>
      </c>
      <c r="AG248" s="96" t="str">
        <f>IFERROR(__xludf.DUMMYFUNCTION("""COMPUTED_VALUE"""),"")</f>
        <v/>
      </c>
      <c r="AH248" s="97" t="str">
        <f>IFERROR(__xludf.DUMMYFUNCTION("""COMPUTED_VALUE"""),"")</f>
        <v/>
      </c>
      <c r="AI248" s="216" t="str">
        <f>IFERROR(__xludf.DUMMYFUNCTION("""COMPUTED_VALUE"""),"")</f>
        <v/>
      </c>
      <c r="AJ248" s="217" t="str">
        <f>IFERROR(__xludf.DUMMYFUNCTION("""COMPUTED_VALUE"""),"")</f>
        <v/>
      </c>
      <c r="AK248" s="218" t="str">
        <f>IFERROR(__xludf.DUMMYFUNCTION("""COMPUTED_VALUE"""),"")</f>
        <v/>
      </c>
      <c r="AL248" s="217" t="str">
        <f>IFERROR(__xludf.DUMMYFUNCTION("""COMPUTED_VALUE"""),"")</f>
        <v/>
      </c>
      <c r="AM248" s="217" t="str">
        <f>IFERROR(__xludf.DUMMYFUNCTION("""COMPUTED_VALUE"""),"")</f>
        <v/>
      </c>
      <c r="AN248" s="218" t="str">
        <f>IFERROR(__xludf.DUMMYFUNCTION("""COMPUTED_VALUE"""),"")</f>
        <v/>
      </c>
      <c r="AO248" s="217" t="str">
        <f>IFERROR(__xludf.DUMMYFUNCTION("""COMPUTED_VALUE"""),"")</f>
        <v/>
      </c>
      <c r="AP248" s="217" t="str">
        <f>IFERROR(__xludf.DUMMYFUNCTION("""COMPUTED_VALUE"""),"")</f>
        <v/>
      </c>
      <c r="AQ248" s="218" t="str">
        <f>IFERROR(__xludf.DUMMYFUNCTION("""COMPUTED_VALUE"""),"")</f>
        <v/>
      </c>
      <c r="AR248" s="217">
        <f>IFERROR(__xludf.DUMMYFUNCTION("""COMPUTED_VALUE"""),39.4)</f>
        <v>39.4</v>
      </c>
      <c r="AS248" s="217" t="str">
        <f>IFERROR(__xludf.DUMMYFUNCTION("""COMPUTED_VALUE"""),"")</f>
        <v/>
      </c>
      <c r="AT248" s="218" t="str">
        <f>IFERROR(__xludf.DUMMYFUNCTION("""COMPUTED_VALUE"""),"")</f>
        <v/>
      </c>
      <c r="AU248" s="217" t="str">
        <f>IFERROR(__xludf.DUMMYFUNCTION("""COMPUTED_VALUE"""),"")</f>
        <v/>
      </c>
      <c r="AV248" s="217" t="str">
        <f>IFERROR(__xludf.DUMMYFUNCTION("""COMPUTED_VALUE"""),"")</f>
        <v/>
      </c>
      <c r="AW248" s="218" t="str">
        <f>IFERROR(__xludf.DUMMYFUNCTION("""COMPUTED_VALUE"""),"")</f>
        <v/>
      </c>
      <c r="AX248" s="217" t="str">
        <f>IFERROR(__xludf.DUMMYFUNCTION("""COMPUTED_VALUE"""),"")</f>
        <v/>
      </c>
      <c r="AY248" s="217" t="str">
        <f>IFERROR(__xludf.DUMMYFUNCTION("""COMPUTED_VALUE"""),"")</f>
        <v/>
      </c>
      <c r="AZ248" s="218" t="str">
        <f>IFERROR(__xludf.DUMMYFUNCTION("""COMPUTED_VALUE"""),"")</f>
        <v/>
      </c>
      <c r="BA248" s="217" t="str">
        <f>IFERROR(__xludf.DUMMYFUNCTION("""COMPUTED_VALUE"""),"")</f>
        <v/>
      </c>
      <c r="BB248" s="217" t="str">
        <f>IFERROR(__xludf.DUMMYFUNCTION("""COMPUTED_VALUE"""),"")</f>
        <v/>
      </c>
      <c r="BC248" s="218" t="str">
        <f>IFERROR(__xludf.DUMMYFUNCTION("""COMPUTED_VALUE"""),"")</f>
        <v/>
      </c>
      <c r="BD248" s="217" t="str">
        <f>IFERROR(__xludf.DUMMYFUNCTION("""COMPUTED_VALUE"""),"")</f>
        <v/>
      </c>
      <c r="BE248" s="217" t="str">
        <f>IFERROR(__xludf.DUMMYFUNCTION("""COMPUTED_VALUE"""),"")</f>
        <v/>
      </c>
      <c r="BF248" s="218" t="str">
        <f>IFERROR(__xludf.DUMMYFUNCTION("""COMPUTED_VALUE"""),"")</f>
        <v/>
      </c>
      <c r="BG248" s="216" t="str">
        <f>IFERROR(__xludf.DUMMYFUNCTION("""COMPUTED_VALUE"""),"")</f>
        <v/>
      </c>
      <c r="BH248" s="217" t="str">
        <f>IFERROR(__xludf.DUMMYFUNCTION("""COMPUTED_VALUE"""),"")</f>
        <v/>
      </c>
      <c r="BI248" s="218" t="str">
        <f>IFERROR(__xludf.DUMMYFUNCTION("""COMPUTED_VALUE"""),"")</f>
        <v/>
      </c>
      <c r="BJ248" s="217" t="str">
        <f>IFERROR(__xludf.DUMMYFUNCTION("""COMPUTED_VALUE"""),"")</f>
        <v/>
      </c>
      <c r="BK248" s="217" t="str">
        <f>IFERROR(__xludf.DUMMYFUNCTION("""COMPUTED_VALUE"""),"")</f>
        <v/>
      </c>
      <c r="BL248" s="218" t="str">
        <f>IFERROR(__xludf.DUMMYFUNCTION("""COMPUTED_VALUE"""),"")</f>
        <v/>
      </c>
      <c r="BM248" s="217" t="str">
        <f>IFERROR(__xludf.DUMMYFUNCTION("""COMPUTED_VALUE"""),"")</f>
        <v/>
      </c>
      <c r="BN248" s="217" t="str">
        <f>IFERROR(__xludf.DUMMYFUNCTION("""COMPUTED_VALUE"""),"")</f>
        <v/>
      </c>
      <c r="BO248" s="218">
        <f>IFERROR(__xludf.DUMMYFUNCTION("""COMPUTED_VALUE"""),43.0)</f>
        <v>43</v>
      </c>
      <c r="BP248" s="217" t="str">
        <f>IFERROR(__xludf.DUMMYFUNCTION("""COMPUTED_VALUE"""),"")</f>
        <v/>
      </c>
      <c r="BQ248" s="217" t="str">
        <f>IFERROR(__xludf.DUMMYFUNCTION("""COMPUTED_VALUE"""),"")</f>
        <v/>
      </c>
      <c r="BR248" s="218" t="str">
        <f>IFERROR(__xludf.DUMMYFUNCTION("""COMPUTED_VALUE"""),"")</f>
        <v/>
      </c>
      <c r="BS248" s="217" t="str">
        <f>IFERROR(__xludf.DUMMYFUNCTION("""COMPUTED_VALUE"""),"")</f>
        <v/>
      </c>
      <c r="BT248" s="217" t="str">
        <f>IFERROR(__xludf.DUMMYFUNCTION("""COMPUTED_VALUE"""),"")</f>
        <v/>
      </c>
      <c r="BU248" s="218" t="str">
        <f>IFERROR(__xludf.DUMMYFUNCTION("""COMPUTED_VALUE"""),"")</f>
        <v/>
      </c>
      <c r="BV248" s="217" t="str">
        <f>IFERROR(__xludf.DUMMYFUNCTION("""COMPUTED_VALUE"""),"")</f>
        <v/>
      </c>
      <c r="BW248" s="217" t="str">
        <f>IFERROR(__xludf.DUMMYFUNCTION("""COMPUTED_VALUE"""),"")</f>
        <v/>
      </c>
      <c r="BX248" s="218" t="str">
        <f>IFERROR(__xludf.DUMMYFUNCTION("""COMPUTED_VALUE"""),"")</f>
        <v/>
      </c>
      <c r="BY248" s="217" t="str">
        <f>IFERROR(__xludf.DUMMYFUNCTION("""COMPUTED_VALUE"""),"")</f>
        <v/>
      </c>
      <c r="BZ248" s="217" t="str">
        <f>IFERROR(__xludf.DUMMYFUNCTION("""COMPUTED_VALUE"""),"")</f>
        <v/>
      </c>
      <c r="CA248" s="218" t="str">
        <f>IFERROR(__xludf.DUMMYFUNCTION("""COMPUTED_VALUE"""),"")</f>
        <v/>
      </c>
      <c r="CB248" s="216" t="str">
        <f>IFERROR(__xludf.DUMMYFUNCTION("""COMPUTED_VALUE"""),"")</f>
        <v/>
      </c>
      <c r="CC248" s="217" t="str">
        <f>IFERROR(__xludf.DUMMYFUNCTION("""COMPUTED_VALUE"""),"")</f>
        <v/>
      </c>
      <c r="CD248" s="218" t="str">
        <f>IFERROR(__xludf.DUMMYFUNCTION("""COMPUTED_VALUE"""),"")</f>
        <v/>
      </c>
      <c r="CE248" s="217" t="str">
        <f>IFERROR(__xludf.DUMMYFUNCTION("""COMPUTED_VALUE"""),"")</f>
        <v/>
      </c>
      <c r="CF248" s="217" t="str">
        <f>IFERROR(__xludf.DUMMYFUNCTION("""COMPUTED_VALUE"""),"")</f>
        <v/>
      </c>
      <c r="CG248" s="218" t="str">
        <f>IFERROR(__xludf.DUMMYFUNCTION("""COMPUTED_VALUE"""),"")</f>
        <v/>
      </c>
      <c r="CH248" s="217" t="str">
        <f>IFERROR(__xludf.DUMMYFUNCTION("""COMPUTED_VALUE"""),"")</f>
        <v/>
      </c>
      <c r="CI248" s="217" t="str">
        <f>IFERROR(__xludf.DUMMYFUNCTION("""COMPUTED_VALUE"""),"")</f>
        <v/>
      </c>
      <c r="CJ248" s="218" t="str">
        <f>IFERROR(__xludf.DUMMYFUNCTION("""COMPUTED_VALUE"""),"")</f>
        <v/>
      </c>
      <c r="CK248" s="217" t="str">
        <f>IFERROR(__xludf.DUMMYFUNCTION("""COMPUTED_VALUE"""),"")</f>
        <v/>
      </c>
      <c r="CL248" s="217" t="str">
        <f>IFERROR(__xludf.DUMMYFUNCTION("""COMPUTED_VALUE"""),"")</f>
        <v/>
      </c>
      <c r="CM248" s="218" t="str">
        <f>IFERROR(__xludf.DUMMYFUNCTION("""COMPUTED_VALUE"""),"")</f>
        <v/>
      </c>
      <c r="CN248" s="217" t="str">
        <f>IFERROR(__xludf.DUMMYFUNCTION("""COMPUTED_VALUE"""),"")</f>
        <v/>
      </c>
      <c r="CO248" s="217" t="str">
        <f>IFERROR(__xludf.DUMMYFUNCTION("""COMPUTED_VALUE"""),"")</f>
        <v/>
      </c>
      <c r="CP248" s="218" t="str">
        <f>IFERROR(__xludf.DUMMYFUNCTION("""COMPUTED_VALUE"""),"")</f>
        <v/>
      </c>
      <c r="CQ248" s="217" t="str">
        <f>IFERROR(__xludf.DUMMYFUNCTION("""COMPUTED_VALUE"""),"")</f>
        <v/>
      </c>
      <c r="CR248" s="217" t="str">
        <f>IFERROR(__xludf.DUMMYFUNCTION("""COMPUTED_VALUE"""),"")</f>
        <v/>
      </c>
      <c r="CS248" s="218" t="str">
        <f>IFERROR(__xludf.DUMMYFUNCTION("""COMPUTED_VALUE"""),"#REF!")</f>
        <v>#REF!</v>
      </c>
      <c r="CT248" s="217" t="str">
        <f>IFERROR(__xludf.DUMMYFUNCTION("""COMPUTED_VALUE"""),"#REF!")</f>
        <v>#REF!</v>
      </c>
      <c r="CU248" s="217" t="str">
        <f>IFERROR(__xludf.DUMMYFUNCTION("""COMPUTED_VALUE"""),"#REF!")</f>
        <v>#REF!</v>
      </c>
      <c r="CV248" s="218" t="str">
        <f>IFERROR(__xludf.DUMMYFUNCTION("""COMPUTED_VALUE"""),"#REF!")</f>
        <v>#REF!</v>
      </c>
      <c r="CW248" s="217" t="str">
        <f>IFERROR(__xludf.DUMMYFUNCTION("""COMPUTED_VALUE"""),"#REF!")</f>
        <v>#REF!</v>
      </c>
      <c r="CX248" s="217" t="str">
        <f>IFERROR(__xludf.DUMMYFUNCTION("""COMPUTED_VALUE"""),"#REF!")</f>
        <v>#REF!</v>
      </c>
      <c r="CY248" s="218" t="str">
        <f>IFERROR(__xludf.DUMMYFUNCTION("""COMPUTED_VALUE"""),"#REF!")</f>
        <v>#REF!</v>
      </c>
      <c r="CZ248" s="217" t="str">
        <f>IFERROR(__xludf.DUMMYFUNCTION("""COMPUTED_VALUE"""),"#REF!")</f>
        <v>#REF!</v>
      </c>
      <c r="DA248" s="217" t="str">
        <f>IFERROR(__xludf.DUMMYFUNCTION("""COMPUTED_VALUE"""),"#REF!")</f>
        <v>#REF!</v>
      </c>
      <c r="DB248" s="218" t="str">
        <f>IFERROR(__xludf.DUMMYFUNCTION("""COMPUTED_VALUE"""),"#REF!")</f>
        <v>#REF!</v>
      </c>
      <c r="DC248" s="217" t="str">
        <f>IFERROR(__xludf.DUMMYFUNCTION("""COMPUTED_VALUE"""),"#REF!")</f>
        <v>#REF!</v>
      </c>
      <c r="DD248" s="217" t="str">
        <f>IFERROR(__xludf.DUMMYFUNCTION("""COMPUTED_VALUE"""),"#REF!")</f>
        <v>#REF!</v>
      </c>
      <c r="DE248" s="218" t="str">
        <f>IFERROR(__xludf.DUMMYFUNCTION("""COMPUTED_VALUE"""),"#REF!")</f>
        <v>#REF!</v>
      </c>
      <c r="DF248" s="217" t="str">
        <f>IFERROR(__xludf.DUMMYFUNCTION("""COMPUTED_VALUE"""),"#REF!")</f>
        <v>#REF!</v>
      </c>
      <c r="DG248" s="217" t="str">
        <f>IFERROR(__xludf.DUMMYFUNCTION("""COMPUTED_VALUE"""),"#REF!")</f>
        <v>#REF!</v>
      </c>
      <c r="DH248" s="218" t="str">
        <f>IFERROR(__xludf.DUMMYFUNCTION("""COMPUTED_VALUE"""),"#REF!")</f>
        <v>#REF!</v>
      </c>
      <c r="DI248" s="217" t="str">
        <f>IFERROR(__xludf.DUMMYFUNCTION("""COMPUTED_VALUE"""),"#REF!")</f>
        <v>#REF!</v>
      </c>
      <c r="DJ248" s="217" t="str">
        <f>IFERROR(__xludf.DUMMYFUNCTION("""COMPUTED_VALUE"""),"#REF!")</f>
        <v>#REF!</v>
      </c>
      <c r="DK248" s="218" t="str">
        <f>IFERROR(__xludf.DUMMYFUNCTION("""COMPUTED_VALUE"""),"#REF!")</f>
        <v>#REF!</v>
      </c>
      <c r="DL248" s="217" t="str">
        <f>IFERROR(__xludf.DUMMYFUNCTION("""COMPUTED_VALUE"""),"#REF!")</f>
        <v>#REF!</v>
      </c>
      <c r="DM248" s="217" t="str">
        <f>IFERROR(__xludf.DUMMYFUNCTION("""COMPUTED_VALUE"""),"#REF!")</f>
        <v>#REF!</v>
      </c>
      <c r="DN248" s="218" t="str">
        <f>IFERROR(__xludf.DUMMYFUNCTION("""COMPUTED_VALUE"""),"#REF!")</f>
        <v>#REF!</v>
      </c>
      <c r="DO248" s="217" t="str">
        <f>IFERROR(__xludf.DUMMYFUNCTION("""COMPUTED_VALUE"""),"#REF!")</f>
        <v>#REF!</v>
      </c>
      <c r="DP248" s="217" t="str">
        <f>IFERROR(__xludf.DUMMYFUNCTION("""COMPUTED_VALUE"""),"#REF!")</f>
        <v>#REF!</v>
      </c>
      <c r="DQ248" s="218"/>
      <c r="DR248" s="217"/>
    </row>
    <row r="249">
      <c r="A249" s="221" t="str">
        <f>IFERROR(__xludf.DUMMYFUNCTION("""COMPUTED_VALUE"""),"Heian-Kyo")</f>
        <v>Heian-Kyo</v>
      </c>
      <c r="B249" s="180" t="str">
        <f>IFERROR(__xludf.DUMMYFUNCTION("""COMPUTED_VALUE"""),"HEA1")</f>
        <v>HEA1</v>
      </c>
      <c r="C249">
        <f>IFERROR(__xludf.DUMMYFUNCTION("""COMPUTED_VALUE"""),250.0)</f>
        <v>250</v>
      </c>
      <c r="D249" s="88" t="str">
        <f>IFERROR(__xludf.DUMMYFUNCTION("""COMPUTED_VALUE"""),"Jō Seven, Bō Four")</f>
        <v>Jō Seven, Bō Four</v>
      </c>
      <c r="E249" s="215" t="str">
        <f>IFERROR(__xludf.DUMMYFUNCTION("""COMPUTED_VALUE"""),"七条四坊")</f>
        <v>七条四坊</v>
      </c>
      <c r="F249" s="179">
        <f>IFERROR(__xludf.DUMMYFUNCTION("""COMPUTED_VALUE"""),21.0)</f>
        <v>21</v>
      </c>
      <c r="G249" s="83">
        <f>IFERROR(__xludf.DUMMYFUNCTION("""COMPUTED_VALUE"""),1250.0)</f>
        <v>1250</v>
      </c>
      <c r="H249" s="95" t="str">
        <f>IFERROR(__xludf.DUMMYFUNCTION("""COMPUTED_VALUE"""),"")</f>
        <v/>
      </c>
      <c r="I249" s="96" t="str">
        <f>IFERROR(__xludf.DUMMYFUNCTION("""COMPUTED_VALUE"""),"")</f>
        <v/>
      </c>
      <c r="J249" s="97" t="str">
        <f>IFERROR(__xludf.DUMMYFUNCTION("""COMPUTED_VALUE"""),"")</f>
        <v/>
      </c>
      <c r="K249" s="95" t="str">
        <f>IFERROR(__xludf.DUMMYFUNCTION("""COMPUTED_VALUE"""),"")</f>
        <v/>
      </c>
      <c r="L249" s="96" t="str">
        <f>IFERROR(__xludf.DUMMYFUNCTION("""COMPUTED_VALUE"""),"")</f>
        <v/>
      </c>
      <c r="M249" s="97" t="str">
        <f>IFERROR(__xludf.DUMMYFUNCTION("""COMPUTED_VALUE"""),"")</f>
        <v/>
      </c>
      <c r="N249" s="95" t="str">
        <f>IFERROR(__xludf.DUMMYFUNCTION("""COMPUTED_VALUE"""),"")</f>
        <v/>
      </c>
      <c r="O249" s="96" t="str">
        <f>IFERROR(__xludf.DUMMYFUNCTION("""COMPUTED_VALUE"""),"")</f>
        <v/>
      </c>
      <c r="P249" s="97" t="str">
        <f>IFERROR(__xludf.DUMMYFUNCTION("""COMPUTED_VALUE"""),"")</f>
        <v/>
      </c>
      <c r="Q249" s="95" t="str">
        <f>IFERROR(__xludf.DUMMYFUNCTION("""COMPUTED_VALUE"""),"")</f>
        <v/>
      </c>
      <c r="R249" s="96" t="str">
        <f>IFERROR(__xludf.DUMMYFUNCTION("""COMPUTED_VALUE"""),"")</f>
        <v/>
      </c>
      <c r="S249" s="97" t="str">
        <f>IFERROR(__xludf.DUMMYFUNCTION("""COMPUTED_VALUE"""),"")</f>
        <v/>
      </c>
      <c r="T249" s="95" t="str">
        <f>IFERROR(__xludf.DUMMYFUNCTION("""COMPUTED_VALUE"""),"")</f>
        <v/>
      </c>
      <c r="U249" s="96">
        <f>IFERROR(__xludf.DUMMYFUNCTION("""COMPUTED_VALUE"""),13.0)</f>
        <v>13</v>
      </c>
      <c r="V249" s="97" t="str">
        <f>IFERROR(__xludf.DUMMYFUNCTION("""COMPUTED_VALUE"""),"")</f>
        <v/>
      </c>
      <c r="W249" s="95" t="str">
        <f>IFERROR(__xludf.DUMMYFUNCTION("""COMPUTED_VALUE"""),"")</f>
        <v/>
      </c>
      <c r="X249" s="96" t="str">
        <f>IFERROR(__xludf.DUMMYFUNCTION("""COMPUTED_VALUE"""),"")</f>
        <v/>
      </c>
      <c r="Y249" s="97" t="str">
        <f>IFERROR(__xludf.DUMMYFUNCTION("""COMPUTED_VALUE"""),"")</f>
        <v/>
      </c>
      <c r="Z249" s="95" t="str">
        <f>IFERROR(__xludf.DUMMYFUNCTION("""COMPUTED_VALUE"""),"")</f>
        <v/>
      </c>
      <c r="AA249" s="96" t="str">
        <f>IFERROR(__xludf.DUMMYFUNCTION("""COMPUTED_VALUE"""),"")</f>
        <v/>
      </c>
      <c r="AB249" s="97" t="str">
        <f>IFERROR(__xludf.DUMMYFUNCTION("""COMPUTED_VALUE"""),"")</f>
        <v/>
      </c>
      <c r="AC249" s="95" t="str">
        <f>IFERROR(__xludf.DUMMYFUNCTION("""COMPUTED_VALUE"""),"")</f>
        <v/>
      </c>
      <c r="AD249" s="96" t="str">
        <f>IFERROR(__xludf.DUMMYFUNCTION("""COMPUTED_VALUE"""),"")</f>
        <v/>
      </c>
      <c r="AE249" s="97" t="str">
        <f>IFERROR(__xludf.DUMMYFUNCTION("""COMPUTED_VALUE"""),"")</f>
        <v/>
      </c>
      <c r="AF249" s="95" t="str">
        <f>IFERROR(__xludf.DUMMYFUNCTION("""COMPUTED_VALUE"""),"")</f>
        <v/>
      </c>
      <c r="AG249" s="96" t="str">
        <f>IFERROR(__xludf.DUMMYFUNCTION("""COMPUTED_VALUE"""),"")</f>
        <v/>
      </c>
      <c r="AH249" s="97" t="str">
        <f>IFERROR(__xludf.DUMMYFUNCTION("""COMPUTED_VALUE"""),"")</f>
        <v/>
      </c>
      <c r="AI249" s="216" t="str">
        <f>IFERROR(__xludf.DUMMYFUNCTION("""COMPUTED_VALUE"""),"")</f>
        <v/>
      </c>
      <c r="AJ249" s="217" t="str">
        <f>IFERROR(__xludf.DUMMYFUNCTION("""COMPUTED_VALUE"""),"")</f>
        <v/>
      </c>
      <c r="AK249" s="218" t="str">
        <f>IFERROR(__xludf.DUMMYFUNCTION("""COMPUTED_VALUE"""),"")</f>
        <v/>
      </c>
      <c r="AL249" s="217" t="str">
        <f>IFERROR(__xludf.DUMMYFUNCTION("""COMPUTED_VALUE"""),"")</f>
        <v/>
      </c>
      <c r="AM249" s="217" t="str">
        <f>IFERROR(__xludf.DUMMYFUNCTION("""COMPUTED_VALUE"""),"")</f>
        <v/>
      </c>
      <c r="AN249" s="218" t="str">
        <f>IFERROR(__xludf.DUMMYFUNCTION("""COMPUTED_VALUE"""),"")</f>
        <v/>
      </c>
      <c r="AO249" s="217" t="str">
        <f>IFERROR(__xludf.DUMMYFUNCTION("""COMPUTED_VALUE"""),"")</f>
        <v/>
      </c>
      <c r="AP249" s="217" t="str">
        <f>IFERROR(__xludf.DUMMYFUNCTION("""COMPUTED_VALUE"""),"")</f>
        <v/>
      </c>
      <c r="AQ249" s="218" t="str">
        <f>IFERROR(__xludf.DUMMYFUNCTION("""COMPUTED_VALUE"""),"")</f>
        <v/>
      </c>
      <c r="AR249" s="217" t="str">
        <f>IFERROR(__xludf.DUMMYFUNCTION("""COMPUTED_VALUE"""),"")</f>
        <v/>
      </c>
      <c r="AS249" s="217">
        <f>IFERROR(__xludf.DUMMYFUNCTION("""COMPUTED_VALUE"""),23.0)</f>
        <v>23</v>
      </c>
      <c r="AT249" s="218" t="str">
        <f>IFERROR(__xludf.DUMMYFUNCTION("""COMPUTED_VALUE"""),"")</f>
        <v/>
      </c>
      <c r="AU249" s="217" t="str">
        <f>IFERROR(__xludf.DUMMYFUNCTION("""COMPUTED_VALUE"""),"")</f>
        <v/>
      </c>
      <c r="AV249" s="217" t="str">
        <f>IFERROR(__xludf.DUMMYFUNCTION("""COMPUTED_VALUE"""),"")</f>
        <v/>
      </c>
      <c r="AW249" s="218" t="str">
        <f>IFERROR(__xludf.DUMMYFUNCTION("""COMPUTED_VALUE"""),"")</f>
        <v/>
      </c>
      <c r="AX249" s="217" t="str">
        <f>IFERROR(__xludf.DUMMYFUNCTION("""COMPUTED_VALUE"""),"")</f>
        <v/>
      </c>
      <c r="AY249" s="217" t="str">
        <f>IFERROR(__xludf.DUMMYFUNCTION("""COMPUTED_VALUE"""),"")</f>
        <v/>
      </c>
      <c r="AZ249" s="218" t="str">
        <f>IFERROR(__xludf.DUMMYFUNCTION("""COMPUTED_VALUE"""),"")</f>
        <v/>
      </c>
      <c r="BA249" s="217" t="str">
        <f>IFERROR(__xludf.DUMMYFUNCTION("""COMPUTED_VALUE"""),"")</f>
        <v/>
      </c>
      <c r="BB249" s="217" t="str">
        <f>IFERROR(__xludf.DUMMYFUNCTION("""COMPUTED_VALUE"""),"")</f>
        <v/>
      </c>
      <c r="BC249" s="218" t="str">
        <f>IFERROR(__xludf.DUMMYFUNCTION("""COMPUTED_VALUE"""),"")</f>
        <v/>
      </c>
      <c r="BD249" s="217" t="str">
        <f>IFERROR(__xludf.DUMMYFUNCTION("""COMPUTED_VALUE"""),"")</f>
        <v/>
      </c>
      <c r="BE249" s="217" t="str">
        <f>IFERROR(__xludf.DUMMYFUNCTION("""COMPUTED_VALUE"""),"")</f>
        <v/>
      </c>
      <c r="BF249" s="218" t="str">
        <f>IFERROR(__xludf.DUMMYFUNCTION("""COMPUTED_VALUE"""),"")</f>
        <v/>
      </c>
      <c r="BG249" s="216" t="str">
        <f>IFERROR(__xludf.DUMMYFUNCTION("""COMPUTED_VALUE"""),"")</f>
        <v/>
      </c>
      <c r="BH249" s="217">
        <f>IFERROR(__xludf.DUMMYFUNCTION("""COMPUTED_VALUE"""),3.0)</f>
        <v>3</v>
      </c>
      <c r="BI249" s="218" t="str">
        <f>IFERROR(__xludf.DUMMYFUNCTION("""COMPUTED_VALUE"""),"")</f>
        <v/>
      </c>
      <c r="BJ249" s="217" t="str">
        <f>IFERROR(__xludf.DUMMYFUNCTION("""COMPUTED_VALUE"""),"")</f>
        <v/>
      </c>
      <c r="BK249" s="217" t="str">
        <f>IFERROR(__xludf.DUMMYFUNCTION("""COMPUTED_VALUE"""),"")</f>
        <v/>
      </c>
      <c r="BL249" s="218">
        <f>IFERROR(__xludf.DUMMYFUNCTION("""COMPUTED_VALUE"""),30.0)</f>
        <v>30</v>
      </c>
      <c r="BM249" s="217" t="str">
        <f>IFERROR(__xludf.DUMMYFUNCTION("""COMPUTED_VALUE"""),"")</f>
        <v/>
      </c>
      <c r="BN249" s="217" t="str">
        <f>IFERROR(__xludf.DUMMYFUNCTION("""COMPUTED_VALUE"""),"")</f>
        <v/>
      </c>
      <c r="BO249" s="218" t="str">
        <f>IFERROR(__xludf.DUMMYFUNCTION("""COMPUTED_VALUE"""),"")</f>
        <v/>
      </c>
      <c r="BP249" s="217" t="str">
        <f>IFERROR(__xludf.DUMMYFUNCTION("""COMPUTED_VALUE"""),"")</f>
        <v/>
      </c>
      <c r="BQ249" s="217" t="str">
        <f>IFERROR(__xludf.DUMMYFUNCTION("""COMPUTED_VALUE"""),"")</f>
        <v/>
      </c>
      <c r="BR249" s="218" t="str">
        <f>IFERROR(__xludf.DUMMYFUNCTION("""COMPUTED_VALUE"""),"")</f>
        <v/>
      </c>
      <c r="BS249" s="217" t="str">
        <f>IFERROR(__xludf.DUMMYFUNCTION("""COMPUTED_VALUE"""),"")</f>
        <v/>
      </c>
      <c r="BT249" s="217" t="str">
        <f>IFERROR(__xludf.DUMMYFUNCTION("""COMPUTED_VALUE"""),"")</f>
        <v/>
      </c>
      <c r="BU249" s="218" t="str">
        <f>IFERROR(__xludf.DUMMYFUNCTION("""COMPUTED_VALUE"""),"")</f>
        <v/>
      </c>
      <c r="BV249" s="217" t="str">
        <f>IFERROR(__xludf.DUMMYFUNCTION("""COMPUTED_VALUE"""),"")</f>
        <v/>
      </c>
      <c r="BW249" s="217" t="str">
        <f>IFERROR(__xludf.DUMMYFUNCTION("""COMPUTED_VALUE"""),"")</f>
        <v/>
      </c>
      <c r="BX249" s="218" t="str">
        <f>IFERROR(__xludf.DUMMYFUNCTION("""COMPUTED_VALUE"""),"")</f>
        <v/>
      </c>
      <c r="BY249" s="217" t="str">
        <f>IFERROR(__xludf.DUMMYFUNCTION("""COMPUTED_VALUE"""),"")</f>
        <v/>
      </c>
      <c r="BZ249" s="217" t="str">
        <f>IFERROR(__xludf.DUMMYFUNCTION("""COMPUTED_VALUE"""),"")</f>
        <v/>
      </c>
      <c r="CA249" s="218" t="str">
        <f>IFERROR(__xludf.DUMMYFUNCTION("""COMPUTED_VALUE"""),"")</f>
        <v/>
      </c>
      <c r="CB249" s="216" t="str">
        <f>IFERROR(__xludf.DUMMYFUNCTION("""COMPUTED_VALUE"""),"")</f>
        <v/>
      </c>
      <c r="CC249" s="217" t="str">
        <f>IFERROR(__xludf.DUMMYFUNCTION("""COMPUTED_VALUE"""),"")</f>
        <v/>
      </c>
      <c r="CD249" s="218" t="str">
        <f>IFERROR(__xludf.DUMMYFUNCTION("""COMPUTED_VALUE"""),"")</f>
        <v/>
      </c>
      <c r="CE249" s="217" t="str">
        <f>IFERROR(__xludf.DUMMYFUNCTION("""COMPUTED_VALUE"""),"")</f>
        <v/>
      </c>
      <c r="CF249" s="217" t="str">
        <f>IFERROR(__xludf.DUMMYFUNCTION("""COMPUTED_VALUE"""),"")</f>
        <v/>
      </c>
      <c r="CG249" s="218" t="str">
        <f>IFERROR(__xludf.DUMMYFUNCTION("""COMPUTED_VALUE"""),"")</f>
        <v/>
      </c>
      <c r="CH249" s="217" t="str">
        <f>IFERROR(__xludf.DUMMYFUNCTION("""COMPUTED_VALUE"""),"")</f>
        <v/>
      </c>
      <c r="CI249" s="217" t="str">
        <f>IFERROR(__xludf.DUMMYFUNCTION("""COMPUTED_VALUE"""),"")</f>
        <v/>
      </c>
      <c r="CJ249" s="218" t="str">
        <f>IFERROR(__xludf.DUMMYFUNCTION("""COMPUTED_VALUE"""),"")</f>
        <v/>
      </c>
      <c r="CK249" s="217" t="str">
        <f>IFERROR(__xludf.DUMMYFUNCTION("""COMPUTED_VALUE"""),"")</f>
        <v/>
      </c>
      <c r="CL249" s="217" t="str">
        <f>IFERROR(__xludf.DUMMYFUNCTION("""COMPUTED_VALUE"""),"")</f>
        <v/>
      </c>
      <c r="CM249" s="218" t="str">
        <f>IFERROR(__xludf.DUMMYFUNCTION("""COMPUTED_VALUE"""),"")</f>
        <v/>
      </c>
      <c r="CN249" s="217" t="str">
        <f>IFERROR(__xludf.DUMMYFUNCTION("""COMPUTED_VALUE"""),"")</f>
        <v/>
      </c>
      <c r="CO249" s="79" t="str">
        <f>IFERROR(__xludf.DUMMYFUNCTION("""COMPUTED_VALUE"""),"")</f>
        <v/>
      </c>
      <c r="CP249" s="255" t="str">
        <f>IFERROR(__xludf.DUMMYFUNCTION("""COMPUTED_VALUE"""),"")</f>
        <v/>
      </c>
      <c r="CQ249" s="217">
        <f>IFERROR(__xludf.DUMMYFUNCTION("""COMPUTED_VALUE"""),4.4)</f>
        <v>4.4</v>
      </c>
      <c r="CR249" s="217" t="str">
        <f>IFERROR(__xludf.DUMMYFUNCTION("""COMPUTED_VALUE"""),"")</f>
        <v/>
      </c>
      <c r="CS249" s="218" t="str">
        <f>IFERROR(__xludf.DUMMYFUNCTION("""COMPUTED_VALUE"""),"#REF!")</f>
        <v>#REF!</v>
      </c>
      <c r="CT249" s="217" t="str">
        <f>IFERROR(__xludf.DUMMYFUNCTION("""COMPUTED_VALUE"""),"#REF!")</f>
        <v>#REF!</v>
      </c>
      <c r="CU249" s="217" t="str">
        <f>IFERROR(__xludf.DUMMYFUNCTION("""COMPUTED_VALUE"""),"#REF!")</f>
        <v>#REF!</v>
      </c>
      <c r="CV249" s="218" t="str">
        <f>IFERROR(__xludf.DUMMYFUNCTION("""COMPUTED_VALUE"""),"#REF!")</f>
        <v>#REF!</v>
      </c>
      <c r="CW249" s="217" t="str">
        <f>IFERROR(__xludf.DUMMYFUNCTION("""COMPUTED_VALUE"""),"#REF!")</f>
        <v>#REF!</v>
      </c>
      <c r="CX249" s="79" t="str">
        <f>IFERROR(__xludf.DUMMYFUNCTION("""COMPUTED_VALUE"""),"#REF!")</f>
        <v>#REF!</v>
      </c>
      <c r="CY249" s="255" t="str">
        <f>IFERROR(__xludf.DUMMYFUNCTION("""COMPUTED_VALUE"""),"#REF!")</f>
        <v>#REF!</v>
      </c>
      <c r="CZ249" s="217" t="str">
        <f>IFERROR(__xludf.DUMMYFUNCTION("""COMPUTED_VALUE"""),"#REF!")</f>
        <v>#REF!</v>
      </c>
      <c r="DA249" s="217" t="str">
        <f>IFERROR(__xludf.DUMMYFUNCTION("""COMPUTED_VALUE"""),"#REF!")</f>
        <v>#REF!</v>
      </c>
      <c r="DB249" s="218" t="str">
        <f>IFERROR(__xludf.DUMMYFUNCTION("""COMPUTED_VALUE"""),"#REF!")</f>
        <v>#REF!</v>
      </c>
      <c r="DC249" s="217" t="str">
        <f>IFERROR(__xludf.DUMMYFUNCTION("""COMPUTED_VALUE"""),"#REF!")</f>
        <v>#REF!</v>
      </c>
      <c r="DD249" s="217" t="str">
        <f>IFERROR(__xludf.DUMMYFUNCTION("""COMPUTED_VALUE"""),"#REF!")</f>
        <v>#REF!</v>
      </c>
      <c r="DE249" s="218" t="str">
        <f>IFERROR(__xludf.DUMMYFUNCTION("""COMPUTED_VALUE"""),"#REF!")</f>
        <v>#REF!</v>
      </c>
      <c r="DF249" s="217" t="str">
        <f>IFERROR(__xludf.DUMMYFUNCTION("""COMPUTED_VALUE"""),"#REF!")</f>
        <v>#REF!</v>
      </c>
      <c r="DG249" s="79" t="str">
        <f>IFERROR(__xludf.DUMMYFUNCTION("""COMPUTED_VALUE"""),"#REF!")</f>
        <v>#REF!</v>
      </c>
      <c r="DH249" s="255" t="str">
        <f>IFERROR(__xludf.DUMMYFUNCTION("""COMPUTED_VALUE"""),"#REF!")</f>
        <v>#REF!</v>
      </c>
      <c r="DI249" s="217" t="str">
        <f>IFERROR(__xludf.DUMMYFUNCTION("""COMPUTED_VALUE"""),"#REF!")</f>
        <v>#REF!</v>
      </c>
      <c r="DJ249" s="217" t="str">
        <f>IFERROR(__xludf.DUMMYFUNCTION("""COMPUTED_VALUE"""),"#REF!")</f>
        <v>#REF!</v>
      </c>
      <c r="DK249" s="218" t="str">
        <f>IFERROR(__xludf.DUMMYFUNCTION("""COMPUTED_VALUE"""),"#REF!")</f>
        <v>#REF!</v>
      </c>
      <c r="DL249" s="217" t="str">
        <f>IFERROR(__xludf.DUMMYFUNCTION("""COMPUTED_VALUE"""),"#REF!")</f>
        <v>#REF!</v>
      </c>
      <c r="DM249" s="217" t="str">
        <f>IFERROR(__xludf.DUMMYFUNCTION("""COMPUTED_VALUE"""),"#REF!")</f>
        <v>#REF!</v>
      </c>
      <c r="DN249" s="218" t="str">
        <f>IFERROR(__xludf.DUMMYFUNCTION("""COMPUTED_VALUE"""),"#REF!")</f>
        <v>#REF!</v>
      </c>
      <c r="DO249" s="217" t="str">
        <f>IFERROR(__xludf.DUMMYFUNCTION("""COMPUTED_VALUE"""),"#REF!")</f>
        <v>#REF!</v>
      </c>
      <c r="DP249" s="79" t="str">
        <f>IFERROR(__xludf.DUMMYFUNCTION("""COMPUTED_VALUE"""),"#REF!")</f>
        <v>#REF!</v>
      </c>
      <c r="DQ249" s="255"/>
      <c r="DR249" s="217"/>
    </row>
    <row r="250">
      <c r="B250" s="180" t="str">
        <f>IFERROR(__xludf.DUMMYFUNCTION("""COMPUTED_VALUE"""),"HEA2")</f>
        <v>HEA2</v>
      </c>
      <c r="C250">
        <f>IFERROR(__xludf.DUMMYFUNCTION("""COMPUTED_VALUE"""),251.0)</f>
        <v>251</v>
      </c>
      <c r="D250" s="88" t="str">
        <f>IFERROR(__xludf.DUMMYFUNCTION("""COMPUTED_VALUE"""),"Jō Seven, Bō Two")</f>
        <v>Jō Seven, Bō Two</v>
      </c>
      <c r="E250" s="215" t="str">
        <f>IFERROR(__xludf.DUMMYFUNCTION("""COMPUTED_VALUE"""),"七条二坊")</f>
        <v>七条二坊</v>
      </c>
      <c r="F250" s="179">
        <f>IFERROR(__xludf.DUMMYFUNCTION("""COMPUTED_VALUE"""),21.0)</f>
        <v>21</v>
      </c>
      <c r="G250" s="83">
        <f>IFERROR(__xludf.DUMMYFUNCTION("""COMPUTED_VALUE"""),1000.0)</f>
        <v>1000</v>
      </c>
      <c r="H250" s="95" t="str">
        <f>IFERROR(__xludf.DUMMYFUNCTION("""COMPUTED_VALUE"""),"")</f>
        <v/>
      </c>
      <c r="I250" s="96" t="str">
        <f>IFERROR(__xludf.DUMMYFUNCTION("""COMPUTED_VALUE"""),"")</f>
        <v/>
      </c>
      <c r="J250" s="97" t="str">
        <f>IFERROR(__xludf.DUMMYFUNCTION("""COMPUTED_VALUE"""),"")</f>
        <v/>
      </c>
      <c r="K250" s="95" t="str">
        <f>IFERROR(__xludf.DUMMYFUNCTION("""COMPUTED_VALUE"""),"")</f>
        <v/>
      </c>
      <c r="L250" s="96" t="str">
        <f>IFERROR(__xludf.DUMMYFUNCTION("""COMPUTED_VALUE"""),"")</f>
        <v/>
      </c>
      <c r="M250" s="97" t="str">
        <f>IFERROR(__xludf.DUMMYFUNCTION("""COMPUTED_VALUE"""),"")</f>
        <v/>
      </c>
      <c r="N250" s="95">
        <f>IFERROR(__xludf.DUMMYFUNCTION("""COMPUTED_VALUE"""),13.9)</f>
        <v>13.9</v>
      </c>
      <c r="O250" s="96" t="str">
        <f>IFERROR(__xludf.DUMMYFUNCTION("""COMPUTED_VALUE"""),"")</f>
        <v/>
      </c>
      <c r="P250" s="97" t="str">
        <f>IFERROR(__xludf.DUMMYFUNCTION("""COMPUTED_VALUE"""),"")</f>
        <v/>
      </c>
      <c r="Q250" s="95" t="str">
        <f>IFERROR(__xludf.DUMMYFUNCTION("""COMPUTED_VALUE"""),"")</f>
        <v/>
      </c>
      <c r="R250" s="96" t="str">
        <f>IFERROR(__xludf.DUMMYFUNCTION("""COMPUTED_VALUE"""),"")</f>
        <v/>
      </c>
      <c r="S250" s="97" t="str">
        <f>IFERROR(__xludf.DUMMYFUNCTION("""COMPUTED_VALUE"""),"")</f>
        <v/>
      </c>
      <c r="T250" s="95" t="str">
        <f>IFERROR(__xludf.DUMMYFUNCTION("""COMPUTED_VALUE"""),"")</f>
        <v/>
      </c>
      <c r="U250" s="96" t="str">
        <f>IFERROR(__xludf.DUMMYFUNCTION("""COMPUTED_VALUE"""),"")</f>
        <v/>
      </c>
      <c r="V250" s="97" t="str">
        <f>IFERROR(__xludf.DUMMYFUNCTION("""COMPUTED_VALUE"""),"")</f>
        <v/>
      </c>
      <c r="W250" s="95" t="str">
        <f>IFERROR(__xludf.DUMMYFUNCTION("""COMPUTED_VALUE"""),"")</f>
        <v/>
      </c>
      <c r="X250" s="96" t="str">
        <f>IFERROR(__xludf.DUMMYFUNCTION("""COMPUTED_VALUE"""),"")</f>
        <v/>
      </c>
      <c r="Y250" s="97" t="str">
        <f>IFERROR(__xludf.DUMMYFUNCTION("""COMPUTED_VALUE"""),"")</f>
        <v/>
      </c>
      <c r="Z250" s="95" t="str">
        <f>IFERROR(__xludf.DUMMYFUNCTION("""COMPUTED_VALUE"""),"")</f>
        <v/>
      </c>
      <c r="AA250" s="96" t="str">
        <f>IFERROR(__xludf.DUMMYFUNCTION("""COMPUTED_VALUE"""),"")</f>
        <v/>
      </c>
      <c r="AB250" s="97" t="str">
        <f>IFERROR(__xludf.DUMMYFUNCTION("""COMPUTED_VALUE"""),"")</f>
        <v/>
      </c>
      <c r="AC250" s="95" t="str">
        <f>IFERROR(__xludf.DUMMYFUNCTION("""COMPUTED_VALUE"""),"")</f>
        <v/>
      </c>
      <c r="AD250" s="96" t="str">
        <f>IFERROR(__xludf.DUMMYFUNCTION("""COMPUTED_VALUE"""),"")</f>
        <v/>
      </c>
      <c r="AE250" s="97" t="str">
        <f>IFERROR(__xludf.DUMMYFUNCTION("""COMPUTED_VALUE"""),"")</f>
        <v/>
      </c>
      <c r="AF250" s="95" t="str">
        <f>IFERROR(__xludf.DUMMYFUNCTION("""COMPUTED_VALUE"""),"")</f>
        <v/>
      </c>
      <c r="AG250" s="96" t="str">
        <f>IFERROR(__xludf.DUMMYFUNCTION("""COMPUTED_VALUE"""),"")</f>
        <v/>
      </c>
      <c r="AH250" s="97" t="str">
        <f>IFERROR(__xludf.DUMMYFUNCTION("""COMPUTED_VALUE"""),"")</f>
        <v/>
      </c>
      <c r="AI250" s="216" t="str">
        <f>IFERROR(__xludf.DUMMYFUNCTION("""COMPUTED_VALUE"""),"")</f>
        <v/>
      </c>
      <c r="AJ250" s="217" t="str">
        <f>IFERROR(__xludf.DUMMYFUNCTION("""COMPUTED_VALUE"""),"")</f>
        <v/>
      </c>
      <c r="AK250" s="218" t="str">
        <f>IFERROR(__xludf.DUMMYFUNCTION("""COMPUTED_VALUE"""),"")</f>
        <v/>
      </c>
      <c r="AL250" s="217" t="str">
        <f>IFERROR(__xludf.DUMMYFUNCTION("""COMPUTED_VALUE"""),"")</f>
        <v/>
      </c>
      <c r="AM250" s="217" t="str">
        <f>IFERROR(__xludf.DUMMYFUNCTION("""COMPUTED_VALUE"""),"")</f>
        <v/>
      </c>
      <c r="AN250" s="218" t="str">
        <f>IFERROR(__xludf.DUMMYFUNCTION("""COMPUTED_VALUE"""),"")</f>
        <v/>
      </c>
      <c r="AO250" s="217" t="str">
        <f>IFERROR(__xludf.DUMMYFUNCTION("""COMPUTED_VALUE"""),"")</f>
        <v/>
      </c>
      <c r="AP250" s="217" t="str">
        <f>IFERROR(__xludf.DUMMYFUNCTION("""COMPUTED_VALUE"""),"")</f>
        <v/>
      </c>
      <c r="AQ250" s="218" t="str">
        <f>IFERROR(__xludf.DUMMYFUNCTION("""COMPUTED_VALUE"""),"")</f>
        <v/>
      </c>
      <c r="AR250" s="217" t="str">
        <f>IFERROR(__xludf.DUMMYFUNCTION("""COMPUTED_VALUE"""),"")</f>
        <v/>
      </c>
      <c r="AS250" s="217">
        <f>IFERROR(__xludf.DUMMYFUNCTION("""COMPUTED_VALUE"""),20.4)</f>
        <v>20.4</v>
      </c>
      <c r="AT250" s="218" t="str">
        <f>IFERROR(__xludf.DUMMYFUNCTION("""COMPUTED_VALUE"""),"")</f>
        <v/>
      </c>
      <c r="AU250" s="217" t="str">
        <f>IFERROR(__xludf.DUMMYFUNCTION("""COMPUTED_VALUE"""),"")</f>
        <v/>
      </c>
      <c r="AV250" s="217" t="str">
        <f>IFERROR(__xludf.DUMMYFUNCTION("""COMPUTED_VALUE"""),"")</f>
        <v/>
      </c>
      <c r="AW250" s="218">
        <f>IFERROR(__xludf.DUMMYFUNCTION("""COMPUTED_VALUE"""),28.5)</f>
        <v>28.5</v>
      </c>
      <c r="AX250" s="217" t="str">
        <f>IFERROR(__xludf.DUMMYFUNCTION("""COMPUTED_VALUE"""),"")</f>
        <v/>
      </c>
      <c r="AY250" s="217" t="str">
        <f>IFERROR(__xludf.DUMMYFUNCTION("""COMPUTED_VALUE"""),"")</f>
        <v/>
      </c>
      <c r="AZ250" s="218" t="str">
        <f>IFERROR(__xludf.DUMMYFUNCTION("""COMPUTED_VALUE"""),"")</f>
        <v/>
      </c>
      <c r="BA250" s="217" t="str">
        <f>IFERROR(__xludf.DUMMYFUNCTION("""COMPUTED_VALUE"""),"")</f>
        <v/>
      </c>
      <c r="BB250" s="217" t="str">
        <f>IFERROR(__xludf.DUMMYFUNCTION("""COMPUTED_VALUE"""),"")</f>
        <v/>
      </c>
      <c r="BC250" s="218" t="str">
        <f>IFERROR(__xludf.DUMMYFUNCTION("""COMPUTED_VALUE"""),"")</f>
        <v/>
      </c>
      <c r="BD250" s="217" t="str">
        <f>IFERROR(__xludf.DUMMYFUNCTION("""COMPUTED_VALUE"""),"")</f>
        <v/>
      </c>
      <c r="BE250" s="217" t="str">
        <f>IFERROR(__xludf.DUMMYFUNCTION("""COMPUTED_VALUE"""),"")</f>
        <v/>
      </c>
      <c r="BF250" s="218" t="str">
        <f>IFERROR(__xludf.DUMMYFUNCTION("""COMPUTED_VALUE"""),"")</f>
        <v/>
      </c>
      <c r="BG250" s="216" t="str">
        <f>IFERROR(__xludf.DUMMYFUNCTION("""COMPUTED_VALUE"""),"")</f>
        <v/>
      </c>
      <c r="BH250" s="217" t="str">
        <f>IFERROR(__xludf.DUMMYFUNCTION("""COMPUTED_VALUE"""),"")</f>
        <v/>
      </c>
      <c r="BI250" s="218" t="str">
        <f>IFERROR(__xludf.DUMMYFUNCTION("""COMPUTED_VALUE"""),"")</f>
        <v/>
      </c>
      <c r="BJ250" s="217" t="str">
        <f>IFERROR(__xludf.DUMMYFUNCTION("""COMPUTED_VALUE"""),"")</f>
        <v/>
      </c>
      <c r="BK250" s="217" t="str">
        <f>IFERROR(__xludf.DUMMYFUNCTION("""COMPUTED_VALUE"""),"")</f>
        <v/>
      </c>
      <c r="BL250" s="218">
        <f>IFERROR(__xludf.DUMMYFUNCTION("""COMPUTED_VALUE"""),25.4)</f>
        <v>25.4</v>
      </c>
      <c r="BM250" s="217" t="str">
        <f>IFERROR(__xludf.DUMMYFUNCTION("""COMPUTED_VALUE"""),"")</f>
        <v/>
      </c>
      <c r="BN250" s="217" t="str">
        <f>IFERROR(__xludf.DUMMYFUNCTION("""COMPUTED_VALUE"""),"")</f>
        <v/>
      </c>
      <c r="BO250" s="218">
        <f>IFERROR(__xludf.DUMMYFUNCTION("""COMPUTED_VALUE"""),8.9)</f>
        <v>8.9</v>
      </c>
      <c r="BP250" s="217" t="str">
        <f>IFERROR(__xludf.DUMMYFUNCTION("""COMPUTED_VALUE"""),"")</f>
        <v/>
      </c>
      <c r="BQ250" s="217" t="str">
        <f>IFERROR(__xludf.DUMMYFUNCTION("""COMPUTED_VALUE"""),"")</f>
        <v/>
      </c>
      <c r="BR250" s="218" t="str">
        <f>IFERROR(__xludf.DUMMYFUNCTION("""COMPUTED_VALUE"""),"")</f>
        <v/>
      </c>
      <c r="BS250" s="217" t="str">
        <f>IFERROR(__xludf.DUMMYFUNCTION("""COMPUTED_VALUE"""),"")</f>
        <v/>
      </c>
      <c r="BT250" s="217" t="str">
        <f>IFERROR(__xludf.DUMMYFUNCTION("""COMPUTED_VALUE"""),"")</f>
        <v/>
      </c>
      <c r="BU250" s="218" t="str">
        <f>IFERROR(__xludf.DUMMYFUNCTION("""COMPUTED_VALUE"""),"")</f>
        <v/>
      </c>
      <c r="BV250" s="217" t="str">
        <f>IFERROR(__xludf.DUMMYFUNCTION("""COMPUTED_VALUE"""),"")</f>
        <v/>
      </c>
      <c r="BW250" s="217" t="str">
        <f>IFERROR(__xludf.DUMMYFUNCTION("""COMPUTED_VALUE"""),"")</f>
        <v/>
      </c>
      <c r="BX250" s="218" t="str">
        <f>IFERROR(__xludf.DUMMYFUNCTION("""COMPUTED_VALUE"""),"")</f>
        <v/>
      </c>
      <c r="BY250" s="217" t="str">
        <f>IFERROR(__xludf.DUMMYFUNCTION("""COMPUTED_VALUE"""),"")</f>
        <v/>
      </c>
      <c r="BZ250" s="217" t="str">
        <f>IFERROR(__xludf.DUMMYFUNCTION("""COMPUTED_VALUE"""),"")</f>
        <v/>
      </c>
      <c r="CA250" s="218" t="str">
        <f>IFERROR(__xludf.DUMMYFUNCTION("""COMPUTED_VALUE"""),"")</f>
        <v/>
      </c>
      <c r="CB250" s="216" t="str">
        <f>IFERROR(__xludf.DUMMYFUNCTION("""COMPUTED_VALUE"""),"")</f>
        <v/>
      </c>
      <c r="CC250" s="217" t="str">
        <f>IFERROR(__xludf.DUMMYFUNCTION("""COMPUTED_VALUE"""),"")</f>
        <v/>
      </c>
      <c r="CD250" s="218" t="str">
        <f>IFERROR(__xludf.DUMMYFUNCTION("""COMPUTED_VALUE"""),"")</f>
        <v/>
      </c>
      <c r="CE250" s="217" t="str">
        <f>IFERROR(__xludf.DUMMYFUNCTION("""COMPUTED_VALUE"""),"")</f>
        <v/>
      </c>
      <c r="CF250" s="217" t="str">
        <f>IFERROR(__xludf.DUMMYFUNCTION("""COMPUTED_VALUE"""),"")</f>
        <v/>
      </c>
      <c r="CG250" s="218" t="str">
        <f>IFERROR(__xludf.DUMMYFUNCTION("""COMPUTED_VALUE"""),"")</f>
        <v/>
      </c>
      <c r="CH250" s="217" t="str">
        <f>IFERROR(__xludf.DUMMYFUNCTION("""COMPUTED_VALUE"""),"")</f>
        <v/>
      </c>
      <c r="CI250" s="217" t="str">
        <f>IFERROR(__xludf.DUMMYFUNCTION("""COMPUTED_VALUE"""),"")</f>
        <v/>
      </c>
      <c r="CJ250" s="218" t="str">
        <f>IFERROR(__xludf.DUMMYFUNCTION("""COMPUTED_VALUE"""),"")</f>
        <v/>
      </c>
      <c r="CK250" s="217" t="str">
        <f>IFERROR(__xludf.DUMMYFUNCTION("""COMPUTED_VALUE"""),"")</f>
        <v/>
      </c>
      <c r="CL250" s="217" t="str">
        <f>IFERROR(__xludf.DUMMYFUNCTION("""COMPUTED_VALUE"""),"")</f>
        <v/>
      </c>
      <c r="CM250" s="218" t="str">
        <f>IFERROR(__xludf.DUMMYFUNCTION("""COMPUTED_VALUE"""),"")</f>
        <v/>
      </c>
      <c r="CN250" s="217" t="str">
        <f>IFERROR(__xludf.DUMMYFUNCTION("""COMPUTED_VALUE"""),"")</f>
        <v/>
      </c>
      <c r="CO250" s="79" t="str">
        <f>IFERROR(__xludf.DUMMYFUNCTION("""COMPUTED_VALUE"""),"")</f>
        <v/>
      </c>
      <c r="CP250" s="255" t="str">
        <f>IFERROR(__xludf.DUMMYFUNCTION("""COMPUTED_VALUE"""),"")</f>
        <v/>
      </c>
      <c r="CQ250" s="217" t="str">
        <f>IFERROR(__xludf.DUMMYFUNCTION("""COMPUTED_VALUE"""),"")</f>
        <v/>
      </c>
      <c r="CR250" s="217" t="str">
        <f>IFERROR(__xludf.DUMMYFUNCTION("""COMPUTED_VALUE"""),"")</f>
        <v/>
      </c>
      <c r="CS250" s="218" t="str">
        <f>IFERROR(__xludf.DUMMYFUNCTION("""COMPUTED_VALUE"""),"#REF!")</f>
        <v>#REF!</v>
      </c>
      <c r="CT250" s="217" t="str">
        <f>IFERROR(__xludf.DUMMYFUNCTION("""COMPUTED_VALUE"""),"#REF!")</f>
        <v>#REF!</v>
      </c>
      <c r="CU250" s="217" t="str">
        <f>IFERROR(__xludf.DUMMYFUNCTION("""COMPUTED_VALUE"""),"#REF!")</f>
        <v>#REF!</v>
      </c>
      <c r="CV250" s="218" t="str">
        <f>IFERROR(__xludf.DUMMYFUNCTION("""COMPUTED_VALUE"""),"#REF!")</f>
        <v>#REF!</v>
      </c>
      <c r="CW250" s="217" t="str">
        <f>IFERROR(__xludf.DUMMYFUNCTION("""COMPUTED_VALUE"""),"#REF!")</f>
        <v>#REF!</v>
      </c>
      <c r="CX250" s="79" t="str">
        <f>IFERROR(__xludf.DUMMYFUNCTION("""COMPUTED_VALUE"""),"#REF!")</f>
        <v>#REF!</v>
      </c>
      <c r="CY250" s="255" t="str">
        <f>IFERROR(__xludf.DUMMYFUNCTION("""COMPUTED_VALUE"""),"#REF!")</f>
        <v>#REF!</v>
      </c>
      <c r="CZ250" s="217" t="str">
        <f>IFERROR(__xludf.DUMMYFUNCTION("""COMPUTED_VALUE"""),"#REF!")</f>
        <v>#REF!</v>
      </c>
      <c r="DA250" s="217" t="str">
        <f>IFERROR(__xludf.DUMMYFUNCTION("""COMPUTED_VALUE"""),"#REF!")</f>
        <v>#REF!</v>
      </c>
      <c r="DB250" s="218" t="str">
        <f>IFERROR(__xludf.DUMMYFUNCTION("""COMPUTED_VALUE"""),"#REF!")</f>
        <v>#REF!</v>
      </c>
      <c r="DC250" s="217" t="str">
        <f>IFERROR(__xludf.DUMMYFUNCTION("""COMPUTED_VALUE"""),"#REF!")</f>
        <v>#REF!</v>
      </c>
      <c r="DD250" s="217" t="str">
        <f>IFERROR(__xludf.DUMMYFUNCTION("""COMPUTED_VALUE"""),"#REF!")</f>
        <v>#REF!</v>
      </c>
      <c r="DE250" s="218" t="str">
        <f>IFERROR(__xludf.DUMMYFUNCTION("""COMPUTED_VALUE"""),"#REF!")</f>
        <v>#REF!</v>
      </c>
      <c r="DF250" s="217" t="str">
        <f>IFERROR(__xludf.DUMMYFUNCTION("""COMPUTED_VALUE"""),"#REF!")</f>
        <v>#REF!</v>
      </c>
      <c r="DG250" s="79" t="str">
        <f>IFERROR(__xludf.DUMMYFUNCTION("""COMPUTED_VALUE"""),"#REF!")</f>
        <v>#REF!</v>
      </c>
      <c r="DH250" s="255" t="str">
        <f>IFERROR(__xludf.DUMMYFUNCTION("""COMPUTED_VALUE"""),"#REF!")</f>
        <v>#REF!</v>
      </c>
      <c r="DI250" s="217" t="str">
        <f>IFERROR(__xludf.DUMMYFUNCTION("""COMPUTED_VALUE"""),"#REF!")</f>
        <v>#REF!</v>
      </c>
      <c r="DJ250" s="217" t="str">
        <f>IFERROR(__xludf.DUMMYFUNCTION("""COMPUTED_VALUE"""),"#REF!")</f>
        <v>#REF!</v>
      </c>
      <c r="DK250" s="218" t="str">
        <f>IFERROR(__xludf.DUMMYFUNCTION("""COMPUTED_VALUE"""),"#REF!")</f>
        <v>#REF!</v>
      </c>
      <c r="DL250" s="217" t="str">
        <f>IFERROR(__xludf.DUMMYFUNCTION("""COMPUTED_VALUE"""),"#REF!")</f>
        <v>#REF!</v>
      </c>
      <c r="DM250" s="217" t="str">
        <f>IFERROR(__xludf.DUMMYFUNCTION("""COMPUTED_VALUE"""),"#REF!")</f>
        <v>#REF!</v>
      </c>
      <c r="DN250" s="218" t="str">
        <f>IFERROR(__xludf.DUMMYFUNCTION("""COMPUTED_VALUE"""),"#REF!")</f>
        <v>#REF!</v>
      </c>
      <c r="DO250" s="217" t="str">
        <f>IFERROR(__xludf.DUMMYFUNCTION("""COMPUTED_VALUE"""),"#REF!")</f>
        <v>#REF!</v>
      </c>
      <c r="DP250" s="79" t="str">
        <f>IFERROR(__xludf.DUMMYFUNCTION("""COMPUTED_VALUE"""),"#REF!")</f>
        <v>#REF!</v>
      </c>
      <c r="DQ250" s="255"/>
      <c r="DR250" s="217"/>
    </row>
    <row r="251">
      <c r="B251" s="180" t="str">
        <f>IFERROR(__xludf.DUMMYFUNCTION("""COMPUTED_VALUE"""),"HEA3")</f>
        <v>HEA3</v>
      </c>
      <c r="C251">
        <f>IFERROR(__xludf.DUMMYFUNCTION("""COMPUTED_VALUE"""),252.0)</f>
        <v>252</v>
      </c>
      <c r="D251" s="88" t="str">
        <f>IFERROR(__xludf.DUMMYFUNCTION("""COMPUTED_VALUE"""),"Jō Six, Main Street")</f>
        <v>Jō Six, Main Street</v>
      </c>
      <c r="E251" s="215" t="str">
        <f>IFERROR(__xludf.DUMMYFUNCTION("""COMPUTED_VALUE"""),"六条大路")</f>
        <v>六条大路</v>
      </c>
      <c r="F251" s="179">
        <f>IFERROR(__xludf.DUMMYFUNCTION("""COMPUTED_VALUE"""),21.0)</f>
        <v>21</v>
      </c>
      <c r="G251" s="83">
        <f>IFERROR(__xludf.DUMMYFUNCTION("""COMPUTED_VALUE"""),1792.0)</f>
        <v>1792</v>
      </c>
      <c r="H251" s="95" t="str">
        <f>IFERROR(__xludf.DUMMYFUNCTION("""COMPUTED_VALUE"""),"")</f>
        <v/>
      </c>
      <c r="I251" s="96" t="str">
        <f>IFERROR(__xludf.DUMMYFUNCTION("""COMPUTED_VALUE"""),"")</f>
        <v/>
      </c>
      <c r="J251" s="97" t="str">
        <f>IFERROR(__xludf.DUMMYFUNCTION("""COMPUTED_VALUE"""),"")</f>
        <v/>
      </c>
      <c r="K251" s="95" t="str">
        <f>IFERROR(__xludf.DUMMYFUNCTION("""COMPUTED_VALUE"""),"")</f>
        <v/>
      </c>
      <c r="L251" s="96" t="str">
        <f>IFERROR(__xludf.DUMMYFUNCTION("""COMPUTED_VALUE"""),"")</f>
        <v/>
      </c>
      <c r="M251" s="97" t="str">
        <f>IFERROR(__xludf.DUMMYFUNCTION("""COMPUTED_VALUE"""),"")</f>
        <v/>
      </c>
      <c r="N251" s="95" t="str">
        <f>IFERROR(__xludf.DUMMYFUNCTION("""COMPUTED_VALUE"""),"")</f>
        <v/>
      </c>
      <c r="O251" s="96" t="str">
        <f>IFERROR(__xludf.DUMMYFUNCTION("""COMPUTED_VALUE"""),"")</f>
        <v/>
      </c>
      <c r="P251" s="97" t="str">
        <f>IFERROR(__xludf.DUMMYFUNCTION("""COMPUTED_VALUE"""),"")</f>
        <v/>
      </c>
      <c r="Q251" s="95" t="str">
        <f>IFERROR(__xludf.DUMMYFUNCTION("""COMPUTED_VALUE"""),"")</f>
        <v/>
      </c>
      <c r="R251" s="96" t="str">
        <f>IFERROR(__xludf.DUMMYFUNCTION("""COMPUTED_VALUE"""),"")</f>
        <v/>
      </c>
      <c r="S251" s="97" t="str">
        <f>IFERROR(__xludf.DUMMYFUNCTION("""COMPUTED_VALUE"""),"")</f>
        <v/>
      </c>
      <c r="T251" s="95" t="str">
        <f>IFERROR(__xludf.DUMMYFUNCTION("""COMPUTED_VALUE"""),"")</f>
        <v/>
      </c>
      <c r="U251" s="96" t="str">
        <f>IFERROR(__xludf.DUMMYFUNCTION("""COMPUTED_VALUE"""),"")</f>
        <v/>
      </c>
      <c r="V251" s="97" t="str">
        <f>IFERROR(__xludf.DUMMYFUNCTION("""COMPUTED_VALUE"""),"")</f>
        <v/>
      </c>
      <c r="W251" s="95" t="str">
        <f>IFERROR(__xludf.DUMMYFUNCTION("""COMPUTED_VALUE"""),"")</f>
        <v/>
      </c>
      <c r="X251" s="96" t="str">
        <f>IFERROR(__xludf.DUMMYFUNCTION("""COMPUTED_VALUE"""),"")</f>
        <v/>
      </c>
      <c r="Y251" s="97" t="str">
        <f>IFERROR(__xludf.DUMMYFUNCTION("""COMPUTED_VALUE"""),"")</f>
        <v/>
      </c>
      <c r="Z251" s="95" t="str">
        <f>IFERROR(__xludf.DUMMYFUNCTION("""COMPUTED_VALUE"""),"")</f>
        <v/>
      </c>
      <c r="AA251" s="96" t="str">
        <f>IFERROR(__xludf.DUMMYFUNCTION("""COMPUTED_VALUE"""),"")</f>
        <v/>
      </c>
      <c r="AB251" s="97" t="str">
        <f>IFERROR(__xludf.DUMMYFUNCTION("""COMPUTED_VALUE"""),"")</f>
        <v/>
      </c>
      <c r="AC251" s="95" t="str">
        <f>IFERROR(__xludf.DUMMYFUNCTION("""COMPUTED_VALUE"""),"")</f>
        <v/>
      </c>
      <c r="AD251" s="96" t="str">
        <f>IFERROR(__xludf.DUMMYFUNCTION("""COMPUTED_VALUE"""),"")</f>
        <v/>
      </c>
      <c r="AE251" s="97" t="str">
        <f>IFERROR(__xludf.DUMMYFUNCTION("""COMPUTED_VALUE"""),"")</f>
        <v/>
      </c>
      <c r="AF251" s="95" t="str">
        <f>IFERROR(__xludf.DUMMYFUNCTION("""COMPUTED_VALUE"""),"")</f>
        <v/>
      </c>
      <c r="AG251" s="96" t="str">
        <f>IFERROR(__xludf.DUMMYFUNCTION("""COMPUTED_VALUE"""),"")</f>
        <v/>
      </c>
      <c r="AH251" s="97" t="str">
        <f>IFERROR(__xludf.DUMMYFUNCTION("""COMPUTED_VALUE"""),"")</f>
        <v/>
      </c>
      <c r="AI251" s="216" t="str">
        <f>IFERROR(__xludf.DUMMYFUNCTION("""COMPUTED_VALUE"""),"")</f>
        <v/>
      </c>
      <c r="AJ251" s="217" t="str">
        <f>IFERROR(__xludf.DUMMYFUNCTION("""COMPUTED_VALUE"""),"")</f>
        <v/>
      </c>
      <c r="AK251" s="218">
        <f>IFERROR(__xludf.DUMMYFUNCTION("""COMPUTED_VALUE"""),27.6)</f>
        <v>27.6</v>
      </c>
      <c r="AL251" s="217" t="str">
        <f>IFERROR(__xludf.DUMMYFUNCTION("""COMPUTED_VALUE"""),"")</f>
        <v/>
      </c>
      <c r="AM251" s="217" t="str">
        <f>IFERROR(__xludf.DUMMYFUNCTION("""COMPUTED_VALUE"""),"")</f>
        <v/>
      </c>
      <c r="AN251" s="218" t="str">
        <f>IFERROR(__xludf.DUMMYFUNCTION("""COMPUTED_VALUE"""),"")</f>
        <v/>
      </c>
      <c r="AO251" s="217" t="str">
        <f>IFERROR(__xludf.DUMMYFUNCTION("""COMPUTED_VALUE"""),"")</f>
        <v/>
      </c>
      <c r="AP251" s="217" t="str">
        <f>IFERROR(__xludf.DUMMYFUNCTION("""COMPUTED_VALUE"""),"")</f>
        <v/>
      </c>
      <c r="AQ251" s="218" t="str">
        <f>IFERROR(__xludf.DUMMYFUNCTION("""COMPUTED_VALUE"""),"")</f>
        <v/>
      </c>
      <c r="AR251" s="217" t="str">
        <f>IFERROR(__xludf.DUMMYFUNCTION("""COMPUTED_VALUE"""),"")</f>
        <v/>
      </c>
      <c r="AS251" s="217">
        <f>IFERROR(__xludf.DUMMYFUNCTION("""COMPUTED_VALUE"""),25.6)</f>
        <v>25.6</v>
      </c>
      <c r="AT251" s="218" t="str">
        <f>IFERROR(__xludf.DUMMYFUNCTION("""COMPUTED_VALUE"""),"")</f>
        <v/>
      </c>
      <c r="AU251" s="217" t="str">
        <f>IFERROR(__xludf.DUMMYFUNCTION("""COMPUTED_VALUE"""),"")</f>
        <v/>
      </c>
      <c r="AV251" s="217" t="str">
        <f>IFERROR(__xludf.DUMMYFUNCTION("""COMPUTED_VALUE"""),"")</f>
        <v/>
      </c>
      <c r="AW251" s="218" t="str">
        <f>IFERROR(__xludf.DUMMYFUNCTION("""COMPUTED_VALUE"""),"")</f>
        <v/>
      </c>
      <c r="AX251" s="217" t="str">
        <f>IFERROR(__xludf.DUMMYFUNCTION("""COMPUTED_VALUE"""),"")</f>
        <v/>
      </c>
      <c r="AY251" s="217" t="str">
        <f>IFERROR(__xludf.DUMMYFUNCTION("""COMPUTED_VALUE"""),"")</f>
        <v/>
      </c>
      <c r="AZ251" s="218" t="str">
        <f>IFERROR(__xludf.DUMMYFUNCTION("""COMPUTED_VALUE"""),"")</f>
        <v/>
      </c>
      <c r="BA251" s="217" t="str">
        <f>IFERROR(__xludf.DUMMYFUNCTION("""COMPUTED_VALUE"""),"")</f>
        <v/>
      </c>
      <c r="BB251" s="217" t="str">
        <f>IFERROR(__xludf.DUMMYFUNCTION("""COMPUTED_VALUE"""),"")</f>
        <v/>
      </c>
      <c r="BC251" s="218" t="str">
        <f>IFERROR(__xludf.DUMMYFUNCTION("""COMPUTED_VALUE"""),"")</f>
        <v/>
      </c>
      <c r="BD251" s="217" t="str">
        <f>IFERROR(__xludf.DUMMYFUNCTION("""COMPUTED_VALUE"""),"")</f>
        <v/>
      </c>
      <c r="BE251" s="217" t="str">
        <f>IFERROR(__xludf.DUMMYFUNCTION("""COMPUTED_VALUE"""),"")</f>
        <v/>
      </c>
      <c r="BF251" s="218" t="str">
        <f>IFERROR(__xludf.DUMMYFUNCTION("""COMPUTED_VALUE"""),"")</f>
        <v/>
      </c>
      <c r="BG251" s="216" t="str">
        <f>IFERROR(__xludf.DUMMYFUNCTION("""COMPUTED_VALUE"""),"")</f>
        <v/>
      </c>
      <c r="BH251" s="217" t="str">
        <f>IFERROR(__xludf.DUMMYFUNCTION("""COMPUTED_VALUE"""),"")</f>
        <v/>
      </c>
      <c r="BI251" s="218" t="str">
        <f>IFERROR(__xludf.DUMMYFUNCTION("""COMPUTED_VALUE"""),"")</f>
        <v/>
      </c>
      <c r="BJ251" s="217">
        <f>IFERROR(__xludf.DUMMYFUNCTION("""COMPUTED_VALUE"""),22.9)</f>
        <v>22.9</v>
      </c>
      <c r="BK251" s="217" t="str">
        <f>IFERROR(__xludf.DUMMYFUNCTION("""COMPUTED_VALUE"""),"")</f>
        <v/>
      </c>
      <c r="BL251" s="218">
        <f>IFERROR(__xludf.DUMMYFUNCTION("""COMPUTED_VALUE"""),18.5)</f>
        <v>18.5</v>
      </c>
      <c r="BM251" s="217" t="str">
        <f>IFERROR(__xludf.DUMMYFUNCTION("""COMPUTED_VALUE"""),"")</f>
        <v/>
      </c>
      <c r="BN251" s="217" t="str">
        <f>IFERROR(__xludf.DUMMYFUNCTION("""COMPUTED_VALUE"""),"")</f>
        <v/>
      </c>
      <c r="BO251" s="218" t="str">
        <f>IFERROR(__xludf.DUMMYFUNCTION("""COMPUTED_VALUE"""),"")</f>
        <v/>
      </c>
      <c r="BP251" s="217" t="str">
        <f>IFERROR(__xludf.DUMMYFUNCTION("""COMPUTED_VALUE"""),"")</f>
        <v/>
      </c>
      <c r="BQ251" s="217" t="str">
        <f>IFERROR(__xludf.DUMMYFUNCTION("""COMPUTED_VALUE"""),"")</f>
        <v/>
      </c>
      <c r="BR251" s="218" t="str">
        <f>IFERROR(__xludf.DUMMYFUNCTION("""COMPUTED_VALUE"""),"")</f>
        <v/>
      </c>
      <c r="BS251" s="217" t="str">
        <f>IFERROR(__xludf.DUMMYFUNCTION("""COMPUTED_VALUE"""),"")</f>
        <v/>
      </c>
      <c r="BT251" s="217" t="str">
        <f>IFERROR(__xludf.DUMMYFUNCTION("""COMPUTED_VALUE"""),"")</f>
        <v/>
      </c>
      <c r="BU251" s="218" t="str">
        <f>IFERROR(__xludf.DUMMYFUNCTION("""COMPUTED_VALUE"""),"")</f>
        <v/>
      </c>
      <c r="BV251" s="217" t="str">
        <f>IFERROR(__xludf.DUMMYFUNCTION("""COMPUTED_VALUE"""),"")</f>
        <v/>
      </c>
      <c r="BW251" s="217" t="str">
        <f>IFERROR(__xludf.DUMMYFUNCTION("""COMPUTED_VALUE"""),"")</f>
        <v/>
      </c>
      <c r="BX251" s="218" t="str">
        <f>IFERROR(__xludf.DUMMYFUNCTION("""COMPUTED_VALUE"""),"")</f>
        <v/>
      </c>
      <c r="BY251" s="217" t="str">
        <f>IFERROR(__xludf.DUMMYFUNCTION("""COMPUTED_VALUE"""),"")</f>
        <v/>
      </c>
      <c r="BZ251" s="217" t="str">
        <f>IFERROR(__xludf.DUMMYFUNCTION("""COMPUTED_VALUE"""),"")</f>
        <v/>
      </c>
      <c r="CA251" s="218" t="str">
        <f>IFERROR(__xludf.DUMMYFUNCTION("""COMPUTED_VALUE"""),"")</f>
        <v/>
      </c>
      <c r="CB251" s="216" t="str">
        <f>IFERROR(__xludf.DUMMYFUNCTION("""COMPUTED_VALUE"""),"")</f>
        <v/>
      </c>
      <c r="CC251" s="217" t="str">
        <f>IFERROR(__xludf.DUMMYFUNCTION("""COMPUTED_VALUE"""),"")</f>
        <v/>
      </c>
      <c r="CD251" s="218" t="str">
        <f>IFERROR(__xludf.DUMMYFUNCTION("""COMPUTED_VALUE"""),"")</f>
        <v/>
      </c>
      <c r="CE251" s="217" t="str">
        <f>IFERROR(__xludf.DUMMYFUNCTION("""COMPUTED_VALUE"""),"")</f>
        <v/>
      </c>
      <c r="CF251" s="217" t="str">
        <f>IFERROR(__xludf.DUMMYFUNCTION("""COMPUTED_VALUE"""),"")</f>
        <v/>
      </c>
      <c r="CG251" s="218" t="str">
        <f>IFERROR(__xludf.DUMMYFUNCTION("""COMPUTED_VALUE"""),"")</f>
        <v/>
      </c>
      <c r="CH251" s="217" t="str">
        <f>IFERROR(__xludf.DUMMYFUNCTION("""COMPUTED_VALUE"""),"")</f>
        <v/>
      </c>
      <c r="CI251" s="217" t="str">
        <f>IFERROR(__xludf.DUMMYFUNCTION("""COMPUTED_VALUE"""),"")</f>
        <v/>
      </c>
      <c r="CJ251" s="218" t="str">
        <f>IFERROR(__xludf.DUMMYFUNCTION("""COMPUTED_VALUE"""),"")</f>
        <v/>
      </c>
      <c r="CK251" s="217" t="str">
        <f>IFERROR(__xludf.DUMMYFUNCTION("""COMPUTED_VALUE"""),"")</f>
        <v/>
      </c>
      <c r="CL251" s="217">
        <f>IFERROR(__xludf.DUMMYFUNCTION("""COMPUTED_VALUE"""),20.5)</f>
        <v>20.5</v>
      </c>
      <c r="CM251" s="218" t="str">
        <f>IFERROR(__xludf.DUMMYFUNCTION("""COMPUTED_VALUE"""),"")</f>
        <v/>
      </c>
      <c r="CN251" s="217" t="str">
        <f>IFERROR(__xludf.DUMMYFUNCTION("""COMPUTED_VALUE"""),"")</f>
        <v/>
      </c>
      <c r="CO251" s="79" t="str">
        <f>IFERROR(__xludf.DUMMYFUNCTION("""COMPUTED_VALUE"""),"")</f>
        <v/>
      </c>
      <c r="CP251" s="255" t="str">
        <f>IFERROR(__xludf.DUMMYFUNCTION("""COMPUTED_VALUE"""),"")</f>
        <v/>
      </c>
      <c r="CQ251" s="217" t="str">
        <f>IFERROR(__xludf.DUMMYFUNCTION("""COMPUTED_VALUE"""),"")</f>
        <v/>
      </c>
      <c r="CR251" s="217" t="str">
        <f>IFERROR(__xludf.DUMMYFUNCTION("""COMPUTED_VALUE"""),"")</f>
        <v/>
      </c>
      <c r="CS251" s="218" t="str">
        <f>IFERROR(__xludf.DUMMYFUNCTION("""COMPUTED_VALUE"""),"#REF!")</f>
        <v>#REF!</v>
      </c>
      <c r="CT251" s="217" t="str">
        <f>IFERROR(__xludf.DUMMYFUNCTION("""COMPUTED_VALUE"""),"#REF!")</f>
        <v>#REF!</v>
      </c>
      <c r="CU251" s="217" t="str">
        <f>IFERROR(__xludf.DUMMYFUNCTION("""COMPUTED_VALUE"""),"#REF!")</f>
        <v>#REF!</v>
      </c>
      <c r="CV251" s="218" t="str">
        <f>IFERROR(__xludf.DUMMYFUNCTION("""COMPUTED_VALUE"""),"#REF!")</f>
        <v>#REF!</v>
      </c>
      <c r="CW251" s="217" t="str">
        <f>IFERROR(__xludf.DUMMYFUNCTION("""COMPUTED_VALUE"""),"#REF!")</f>
        <v>#REF!</v>
      </c>
      <c r="CX251" s="79" t="str">
        <f>IFERROR(__xludf.DUMMYFUNCTION("""COMPUTED_VALUE"""),"#REF!")</f>
        <v>#REF!</v>
      </c>
      <c r="CY251" s="255" t="str">
        <f>IFERROR(__xludf.DUMMYFUNCTION("""COMPUTED_VALUE"""),"#REF!")</f>
        <v>#REF!</v>
      </c>
      <c r="CZ251" s="217" t="str">
        <f>IFERROR(__xludf.DUMMYFUNCTION("""COMPUTED_VALUE"""),"#REF!")</f>
        <v>#REF!</v>
      </c>
      <c r="DA251" s="217" t="str">
        <f>IFERROR(__xludf.DUMMYFUNCTION("""COMPUTED_VALUE"""),"#REF!")</f>
        <v>#REF!</v>
      </c>
      <c r="DB251" s="218" t="str">
        <f>IFERROR(__xludf.DUMMYFUNCTION("""COMPUTED_VALUE"""),"#REF!")</f>
        <v>#REF!</v>
      </c>
      <c r="DC251" s="217" t="str">
        <f>IFERROR(__xludf.DUMMYFUNCTION("""COMPUTED_VALUE"""),"#REF!")</f>
        <v>#REF!</v>
      </c>
      <c r="DD251" s="217" t="str">
        <f>IFERROR(__xludf.DUMMYFUNCTION("""COMPUTED_VALUE"""),"#REF!")</f>
        <v>#REF!</v>
      </c>
      <c r="DE251" s="218" t="str">
        <f>IFERROR(__xludf.DUMMYFUNCTION("""COMPUTED_VALUE"""),"#REF!")</f>
        <v>#REF!</v>
      </c>
      <c r="DF251" s="217" t="str">
        <f>IFERROR(__xludf.DUMMYFUNCTION("""COMPUTED_VALUE"""),"#REF!")</f>
        <v>#REF!</v>
      </c>
      <c r="DG251" s="79" t="str">
        <f>IFERROR(__xludf.DUMMYFUNCTION("""COMPUTED_VALUE"""),"#REF!")</f>
        <v>#REF!</v>
      </c>
      <c r="DH251" s="255" t="str">
        <f>IFERROR(__xludf.DUMMYFUNCTION("""COMPUTED_VALUE"""),"#REF!")</f>
        <v>#REF!</v>
      </c>
      <c r="DI251" s="217" t="str">
        <f>IFERROR(__xludf.DUMMYFUNCTION("""COMPUTED_VALUE"""),"#REF!")</f>
        <v>#REF!</v>
      </c>
      <c r="DJ251" s="217" t="str">
        <f>IFERROR(__xludf.DUMMYFUNCTION("""COMPUTED_VALUE"""),"#REF!")</f>
        <v>#REF!</v>
      </c>
      <c r="DK251" s="218" t="str">
        <f>IFERROR(__xludf.DUMMYFUNCTION("""COMPUTED_VALUE"""),"#REF!")</f>
        <v>#REF!</v>
      </c>
      <c r="DL251" s="217" t="str">
        <f>IFERROR(__xludf.DUMMYFUNCTION("""COMPUTED_VALUE"""),"#REF!")</f>
        <v>#REF!</v>
      </c>
      <c r="DM251" s="217" t="str">
        <f>IFERROR(__xludf.DUMMYFUNCTION("""COMPUTED_VALUE"""),"#REF!")</f>
        <v>#REF!</v>
      </c>
      <c r="DN251" s="218" t="str">
        <f>IFERROR(__xludf.DUMMYFUNCTION("""COMPUTED_VALUE"""),"#REF!")</f>
        <v>#REF!</v>
      </c>
      <c r="DO251" s="217" t="str">
        <f>IFERROR(__xludf.DUMMYFUNCTION("""COMPUTED_VALUE"""),"#REF!")</f>
        <v>#REF!</v>
      </c>
      <c r="DP251" s="79" t="str">
        <f>IFERROR(__xludf.DUMMYFUNCTION("""COMPUTED_VALUE"""),"#REF!")</f>
        <v>#REF!</v>
      </c>
      <c r="DQ251" s="255"/>
      <c r="DR251" s="217"/>
    </row>
    <row r="252">
      <c r="B252" s="180" t="str">
        <f>IFERROR(__xludf.DUMMYFUNCTION("""COMPUTED_VALUE"""),"HEA4")</f>
        <v>HEA4</v>
      </c>
      <c r="C252">
        <f>IFERROR(__xludf.DUMMYFUNCTION("""COMPUTED_VALUE"""),253.0)</f>
        <v>253</v>
      </c>
      <c r="D252" s="88" t="str">
        <f>IFERROR(__xludf.DUMMYFUNCTION("""COMPUTED_VALUE"""),"Aristocrat's Residence")</f>
        <v>Aristocrat's Residence</v>
      </c>
      <c r="E252" s="215" t="str">
        <f>IFERROR(__xludf.DUMMYFUNCTION("""COMPUTED_VALUE"""),"貴族邸")</f>
        <v>貴族邸</v>
      </c>
      <c r="F252" s="179">
        <f>IFERROR(__xludf.DUMMYFUNCTION("""COMPUTED_VALUE"""),21.0)</f>
        <v>21</v>
      </c>
      <c r="G252" s="83">
        <f>IFERROR(__xludf.DUMMYFUNCTION("""COMPUTED_VALUE"""),1400.0)</f>
        <v>1400</v>
      </c>
      <c r="H252" s="95" t="str">
        <f>IFERROR(__xludf.DUMMYFUNCTION("""COMPUTED_VALUE"""),"")</f>
        <v/>
      </c>
      <c r="I252" s="96" t="str">
        <f>IFERROR(__xludf.DUMMYFUNCTION("""COMPUTED_VALUE"""),"")</f>
        <v/>
      </c>
      <c r="J252" s="97" t="str">
        <f>IFERROR(__xludf.DUMMYFUNCTION("""COMPUTED_VALUE"""),"")</f>
        <v/>
      </c>
      <c r="K252" s="95" t="str">
        <f>IFERROR(__xludf.DUMMYFUNCTION("""COMPUTED_VALUE"""),"")</f>
        <v/>
      </c>
      <c r="L252" s="96" t="str">
        <f>IFERROR(__xludf.DUMMYFUNCTION("""COMPUTED_VALUE"""),"")</f>
        <v/>
      </c>
      <c r="M252" s="97" t="str">
        <f>IFERROR(__xludf.DUMMYFUNCTION("""COMPUTED_VALUE"""),"")</f>
        <v/>
      </c>
      <c r="N252" s="95" t="str">
        <f>IFERROR(__xludf.DUMMYFUNCTION("""COMPUTED_VALUE"""),"")</f>
        <v/>
      </c>
      <c r="O252" s="96" t="str">
        <f>IFERROR(__xludf.DUMMYFUNCTION("""COMPUTED_VALUE"""),"")</f>
        <v/>
      </c>
      <c r="P252" s="97" t="str">
        <f>IFERROR(__xludf.DUMMYFUNCTION("""COMPUTED_VALUE"""),"")</f>
        <v/>
      </c>
      <c r="Q252" s="95" t="str">
        <f>IFERROR(__xludf.DUMMYFUNCTION("""COMPUTED_VALUE"""),"")</f>
        <v/>
      </c>
      <c r="R252" s="96" t="str">
        <f>IFERROR(__xludf.DUMMYFUNCTION("""COMPUTED_VALUE"""),"")</f>
        <v/>
      </c>
      <c r="S252" s="97" t="str">
        <f>IFERROR(__xludf.DUMMYFUNCTION("""COMPUTED_VALUE"""),"")</f>
        <v/>
      </c>
      <c r="T252" s="95" t="str">
        <f>IFERROR(__xludf.DUMMYFUNCTION("""COMPUTED_VALUE"""),"")</f>
        <v/>
      </c>
      <c r="U252" s="96">
        <f>IFERROR(__xludf.DUMMYFUNCTION("""COMPUTED_VALUE"""),12.4)</f>
        <v>12.4</v>
      </c>
      <c r="V252" s="97" t="str">
        <f>IFERROR(__xludf.DUMMYFUNCTION("""COMPUTED_VALUE"""),"")</f>
        <v/>
      </c>
      <c r="W252" s="95" t="str">
        <f>IFERROR(__xludf.DUMMYFUNCTION("""COMPUTED_VALUE"""),"")</f>
        <v/>
      </c>
      <c r="X252" s="96" t="str">
        <f>IFERROR(__xludf.DUMMYFUNCTION("""COMPUTED_VALUE"""),"")</f>
        <v/>
      </c>
      <c r="Y252" s="97" t="str">
        <f>IFERROR(__xludf.DUMMYFUNCTION("""COMPUTED_VALUE"""),"")</f>
        <v/>
      </c>
      <c r="Z252" s="95" t="str">
        <f>IFERROR(__xludf.DUMMYFUNCTION("""COMPUTED_VALUE"""),"")</f>
        <v/>
      </c>
      <c r="AA252" s="96" t="str">
        <f>IFERROR(__xludf.DUMMYFUNCTION("""COMPUTED_VALUE"""),"")</f>
        <v/>
      </c>
      <c r="AB252" s="97" t="str">
        <f>IFERROR(__xludf.DUMMYFUNCTION("""COMPUTED_VALUE"""),"")</f>
        <v/>
      </c>
      <c r="AC252" s="95" t="str">
        <f>IFERROR(__xludf.DUMMYFUNCTION("""COMPUTED_VALUE"""),"")</f>
        <v/>
      </c>
      <c r="AD252" s="96" t="str">
        <f>IFERROR(__xludf.DUMMYFUNCTION("""COMPUTED_VALUE"""),"")</f>
        <v/>
      </c>
      <c r="AE252" s="97" t="str">
        <f>IFERROR(__xludf.DUMMYFUNCTION("""COMPUTED_VALUE"""),"")</f>
        <v/>
      </c>
      <c r="AF252" s="95">
        <f>IFERROR(__xludf.DUMMYFUNCTION("""COMPUTED_VALUE"""),24.4)</f>
        <v>24.4</v>
      </c>
      <c r="AG252" s="96" t="str">
        <f>IFERROR(__xludf.DUMMYFUNCTION("""COMPUTED_VALUE"""),"")</f>
        <v/>
      </c>
      <c r="AH252" s="97" t="str">
        <f>IFERROR(__xludf.DUMMYFUNCTION("""COMPUTED_VALUE"""),"")</f>
        <v/>
      </c>
      <c r="AI252" s="216" t="str">
        <f>IFERROR(__xludf.DUMMYFUNCTION("""COMPUTED_VALUE"""),"")</f>
        <v/>
      </c>
      <c r="AJ252" s="217" t="str">
        <f>IFERROR(__xludf.DUMMYFUNCTION("""COMPUTED_VALUE"""),"")</f>
        <v/>
      </c>
      <c r="AK252" s="218" t="str">
        <f>IFERROR(__xludf.DUMMYFUNCTION("""COMPUTED_VALUE"""),"")</f>
        <v/>
      </c>
      <c r="AL252" s="217" t="str">
        <f>IFERROR(__xludf.DUMMYFUNCTION("""COMPUTED_VALUE"""),"")</f>
        <v/>
      </c>
      <c r="AM252" s="217" t="str">
        <f>IFERROR(__xludf.DUMMYFUNCTION("""COMPUTED_VALUE"""),"")</f>
        <v/>
      </c>
      <c r="AN252" s="218" t="str">
        <f>IFERROR(__xludf.DUMMYFUNCTION("""COMPUTED_VALUE"""),"")</f>
        <v/>
      </c>
      <c r="AO252" s="217" t="str">
        <f>IFERROR(__xludf.DUMMYFUNCTION("""COMPUTED_VALUE"""),"")</f>
        <v/>
      </c>
      <c r="AP252" s="217" t="str">
        <f>IFERROR(__xludf.DUMMYFUNCTION("""COMPUTED_VALUE"""),"")</f>
        <v/>
      </c>
      <c r="AQ252" s="218" t="str">
        <f>IFERROR(__xludf.DUMMYFUNCTION("""COMPUTED_VALUE"""),"")</f>
        <v/>
      </c>
      <c r="AR252" s="217" t="str">
        <f>IFERROR(__xludf.DUMMYFUNCTION("""COMPUTED_VALUE"""),"")</f>
        <v/>
      </c>
      <c r="AS252" s="217" t="str">
        <f>IFERROR(__xludf.DUMMYFUNCTION("""COMPUTED_VALUE"""),"")</f>
        <v/>
      </c>
      <c r="AT252" s="218" t="str">
        <f>IFERROR(__xludf.DUMMYFUNCTION("""COMPUTED_VALUE"""),"")</f>
        <v/>
      </c>
      <c r="AU252" s="217" t="str">
        <f>IFERROR(__xludf.DUMMYFUNCTION("""COMPUTED_VALUE"""),"")</f>
        <v/>
      </c>
      <c r="AV252" s="217" t="str">
        <f>IFERROR(__xludf.DUMMYFUNCTION("""COMPUTED_VALUE"""),"")</f>
        <v/>
      </c>
      <c r="AW252" s="218" t="str">
        <f>IFERROR(__xludf.DUMMYFUNCTION("""COMPUTED_VALUE"""),"")</f>
        <v/>
      </c>
      <c r="AX252" s="217" t="str">
        <f>IFERROR(__xludf.DUMMYFUNCTION("""COMPUTED_VALUE"""),"")</f>
        <v/>
      </c>
      <c r="AY252" s="217" t="str">
        <f>IFERROR(__xludf.DUMMYFUNCTION("""COMPUTED_VALUE"""),"")</f>
        <v/>
      </c>
      <c r="AZ252" s="218" t="str">
        <f>IFERROR(__xludf.DUMMYFUNCTION("""COMPUTED_VALUE"""),"")</f>
        <v/>
      </c>
      <c r="BA252" s="217" t="str">
        <f>IFERROR(__xludf.DUMMYFUNCTION("""COMPUTED_VALUE"""),"")</f>
        <v/>
      </c>
      <c r="BB252" s="217" t="str">
        <f>IFERROR(__xludf.DUMMYFUNCTION("""COMPUTED_VALUE"""),"")</f>
        <v/>
      </c>
      <c r="BC252" s="218" t="str">
        <f>IFERROR(__xludf.DUMMYFUNCTION("""COMPUTED_VALUE"""),"")</f>
        <v/>
      </c>
      <c r="BD252" s="217" t="str">
        <f>IFERROR(__xludf.DUMMYFUNCTION("""COMPUTED_VALUE"""),"")</f>
        <v/>
      </c>
      <c r="BE252" s="217" t="str">
        <f>IFERROR(__xludf.DUMMYFUNCTION("""COMPUTED_VALUE"""),"")</f>
        <v/>
      </c>
      <c r="BF252" s="218" t="str">
        <f>IFERROR(__xludf.DUMMYFUNCTION("""COMPUTED_VALUE"""),"")</f>
        <v/>
      </c>
      <c r="BG252" s="216" t="str">
        <f>IFERROR(__xludf.DUMMYFUNCTION("""COMPUTED_VALUE"""),"")</f>
        <v/>
      </c>
      <c r="BH252" s="217">
        <f>IFERROR(__xludf.DUMMYFUNCTION("""COMPUTED_VALUE"""),4.1)</f>
        <v>4.1</v>
      </c>
      <c r="BI252" s="218" t="str">
        <f>IFERROR(__xludf.DUMMYFUNCTION("""COMPUTED_VALUE"""),"")</f>
        <v/>
      </c>
      <c r="BJ252" s="217" t="str">
        <f>IFERROR(__xludf.DUMMYFUNCTION("""COMPUTED_VALUE"""),"")</f>
        <v/>
      </c>
      <c r="BK252" s="217" t="str">
        <f>IFERROR(__xludf.DUMMYFUNCTION("""COMPUTED_VALUE"""),"")</f>
        <v/>
      </c>
      <c r="BL252" s="218" t="str">
        <f>IFERROR(__xludf.DUMMYFUNCTION("""COMPUTED_VALUE"""),"")</f>
        <v/>
      </c>
      <c r="BM252" s="217" t="str">
        <f>IFERROR(__xludf.DUMMYFUNCTION("""COMPUTED_VALUE"""),"")</f>
        <v/>
      </c>
      <c r="BN252" s="217">
        <f>IFERROR(__xludf.DUMMYFUNCTION("""COMPUTED_VALUE"""),43.0)</f>
        <v>43</v>
      </c>
      <c r="BO252" s="218" t="str">
        <f>IFERROR(__xludf.DUMMYFUNCTION("""COMPUTED_VALUE"""),"")</f>
        <v/>
      </c>
      <c r="BP252" s="217" t="str">
        <f>IFERROR(__xludf.DUMMYFUNCTION("""COMPUTED_VALUE"""),"")</f>
        <v/>
      </c>
      <c r="BQ252" s="217" t="str">
        <f>IFERROR(__xludf.DUMMYFUNCTION("""COMPUTED_VALUE"""),"")</f>
        <v/>
      </c>
      <c r="BR252" s="218" t="str">
        <f>IFERROR(__xludf.DUMMYFUNCTION("""COMPUTED_VALUE"""),"")</f>
        <v/>
      </c>
      <c r="BS252" s="217" t="str">
        <f>IFERROR(__xludf.DUMMYFUNCTION("""COMPUTED_VALUE"""),"")</f>
        <v/>
      </c>
      <c r="BT252" s="217" t="str">
        <f>IFERROR(__xludf.DUMMYFUNCTION("""COMPUTED_VALUE"""),"")</f>
        <v/>
      </c>
      <c r="BU252" s="218" t="str">
        <f>IFERROR(__xludf.DUMMYFUNCTION("""COMPUTED_VALUE"""),"")</f>
        <v/>
      </c>
      <c r="BV252" s="217" t="str">
        <f>IFERROR(__xludf.DUMMYFUNCTION("""COMPUTED_VALUE"""),"")</f>
        <v/>
      </c>
      <c r="BW252" s="217" t="str">
        <f>IFERROR(__xludf.DUMMYFUNCTION("""COMPUTED_VALUE"""),"")</f>
        <v/>
      </c>
      <c r="BX252" s="218" t="str">
        <f>IFERROR(__xludf.DUMMYFUNCTION("""COMPUTED_VALUE"""),"")</f>
        <v/>
      </c>
      <c r="BY252" s="217" t="str">
        <f>IFERROR(__xludf.DUMMYFUNCTION("""COMPUTED_VALUE"""),"")</f>
        <v/>
      </c>
      <c r="BZ252" s="217" t="str">
        <f>IFERROR(__xludf.DUMMYFUNCTION("""COMPUTED_VALUE"""),"")</f>
        <v/>
      </c>
      <c r="CA252" s="218" t="str">
        <f>IFERROR(__xludf.DUMMYFUNCTION("""COMPUTED_VALUE"""),"")</f>
        <v/>
      </c>
      <c r="CB252" s="216" t="str">
        <f>IFERROR(__xludf.DUMMYFUNCTION("""COMPUTED_VALUE"""),"")</f>
        <v/>
      </c>
      <c r="CC252" s="217" t="str">
        <f>IFERROR(__xludf.DUMMYFUNCTION("""COMPUTED_VALUE"""),"")</f>
        <v/>
      </c>
      <c r="CD252" s="218" t="str">
        <f>IFERROR(__xludf.DUMMYFUNCTION("""COMPUTED_VALUE"""),"")</f>
        <v/>
      </c>
      <c r="CE252" s="217" t="str">
        <f>IFERROR(__xludf.DUMMYFUNCTION("""COMPUTED_VALUE"""),"")</f>
        <v/>
      </c>
      <c r="CF252" s="217" t="str">
        <f>IFERROR(__xludf.DUMMYFUNCTION("""COMPUTED_VALUE"""),"")</f>
        <v/>
      </c>
      <c r="CG252" s="218" t="str">
        <f>IFERROR(__xludf.DUMMYFUNCTION("""COMPUTED_VALUE"""),"")</f>
        <v/>
      </c>
      <c r="CH252" s="217" t="str">
        <f>IFERROR(__xludf.DUMMYFUNCTION("""COMPUTED_VALUE"""),"")</f>
        <v/>
      </c>
      <c r="CI252" s="217" t="str">
        <f>IFERROR(__xludf.DUMMYFUNCTION("""COMPUTED_VALUE"""),"")</f>
        <v/>
      </c>
      <c r="CJ252" s="218" t="str">
        <f>IFERROR(__xludf.DUMMYFUNCTION("""COMPUTED_VALUE"""),"")</f>
        <v/>
      </c>
      <c r="CK252" s="217" t="str">
        <f>IFERROR(__xludf.DUMMYFUNCTION("""COMPUTED_VALUE"""),"")</f>
        <v/>
      </c>
      <c r="CL252" s="217" t="str">
        <f>IFERROR(__xludf.DUMMYFUNCTION("""COMPUTED_VALUE"""),"")</f>
        <v/>
      </c>
      <c r="CM252" s="218" t="str">
        <f>IFERROR(__xludf.DUMMYFUNCTION("""COMPUTED_VALUE"""),"")</f>
        <v/>
      </c>
      <c r="CN252" s="217" t="str">
        <f>IFERROR(__xludf.DUMMYFUNCTION("""COMPUTED_VALUE"""),"")</f>
        <v/>
      </c>
      <c r="CO252" s="79" t="str">
        <f>IFERROR(__xludf.DUMMYFUNCTION("""COMPUTED_VALUE"""),"")</f>
        <v/>
      </c>
      <c r="CP252" s="255" t="str">
        <f>IFERROR(__xludf.DUMMYFUNCTION("""COMPUTED_VALUE"""),"")</f>
        <v/>
      </c>
      <c r="CQ252" s="217">
        <f>IFERROR(__xludf.DUMMYFUNCTION("""COMPUTED_VALUE"""),6.1)</f>
        <v>6.1</v>
      </c>
      <c r="CR252" s="217" t="str">
        <f>IFERROR(__xludf.DUMMYFUNCTION("""COMPUTED_VALUE"""),"")</f>
        <v/>
      </c>
      <c r="CS252" s="218" t="str">
        <f>IFERROR(__xludf.DUMMYFUNCTION("""COMPUTED_VALUE"""),"#REF!")</f>
        <v>#REF!</v>
      </c>
      <c r="CT252" s="217" t="str">
        <f>IFERROR(__xludf.DUMMYFUNCTION("""COMPUTED_VALUE"""),"#REF!")</f>
        <v>#REF!</v>
      </c>
      <c r="CU252" s="217" t="str">
        <f>IFERROR(__xludf.DUMMYFUNCTION("""COMPUTED_VALUE"""),"#REF!")</f>
        <v>#REF!</v>
      </c>
      <c r="CV252" s="218" t="str">
        <f>IFERROR(__xludf.DUMMYFUNCTION("""COMPUTED_VALUE"""),"#REF!")</f>
        <v>#REF!</v>
      </c>
      <c r="CW252" s="217" t="str">
        <f>IFERROR(__xludf.DUMMYFUNCTION("""COMPUTED_VALUE"""),"#REF!")</f>
        <v>#REF!</v>
      </c>
      <c r="CX252" s="79" t="str">
        <f>IFERROR(__xludf.DUMMYFUNCTION("""COMPUTED_VALUE"""),"#REF!")</f>
        <v>#REF!</v>
      </c>
      <c r="CY252" s="255" t="str">
        <f>IFERROR(__xludf.DUMMYFUNCTION("""COMPUTED_VALUE"""),"#REF!")</f>
        <v>#REF!</v>
      </c>
      <c r="CZ252" s="217" t="str">
        <f>IFERROR(__xludf.DUMMYFUNCTION("""COMPUTED_VALUE"""),"#REF!")</f>
        <v>#REF!</v>
      </c>
      <c r="DA252" s="217" t="str">
        <f>IFERROR(__xludf.DUMMYFUNCTION("""COMPUTED_VALUE"""),"#REF!")</f>
        <v>#REF!</v>
      </c>
      <c r="DB252" s="218" t="str">
        <f>IFERROR(__xludf.DUMMYFUNCTION("""COMPUTED_VALUE"""),"#REF!")</f>
        <v>#REF!</v>
      </c>
      <c r="DC252" s="217" t="str">
        <f>IFERROR(__xludf.DUMMYFUNCTION("""COMPUTED_VALUE"""),"#REF!")</f>
        <v>#REF!</v>
      </c>
      <c r="DD252" s="217" t="str">
        <f>IFERROR(__xludf.DUMMYFUNCTION("""COMPUTED_VALUE"""),"#REF!")</f>
        <v>#REF!</v>
      </c>
      <c r="DE252" s="218" t="str">
        <f>IFERROR(__xludf.DUMMYFUNCTION("""COMPUTED_VALUE"""),"#REF!")</f>
        <v>#REF!</v>
      </c>
      <c r="DF252" s="217" t="str">
        <f>IFERROR(__xludf.DUMMYFUNCTION("""COMPUTED_VALUE"""),"#REF!")</f>
        <v>#REF!</v>
      </c>
      <c r="DG252" s="79" t="str">
        <f>IFERROR(__xludf.DUMMYFUNCTION("""COMPUTED_VALUE"""),"#REF!")</f>
        <v>#REF!</v>
      </c>
      <c r="DH252" s="255" t="str">
        <f>IFERROR(__xludf.DUMMYFUNCTION("""COMPUTED_VALUE"""),"#REF!")</f>
        <v>#REF!</v>
      </c>
      <c r="DI252" s="217" t="str">
        <f>IFERROR(__xludf.DUMMYFUNCTION("""COMPUTED_VALUE"""),"#REF!")</f>
        <v>#REF!</v>
      </c>
      <c r="DJ252" s="217" t="str">
        <f>IFERROR(__xludf.DUMMYFUNCTION("""COMPUTED_VALUE"""),"#REF!")</f>
        <v>#REF!</v>
      </c>
      <c r="DK252" s="218" t="str">
        <f>IFERROR(__xludf.DUMMYFUNCTION("""COMPUTED_VALUE"""),"#REF!")</f>
        <v>#REF!</v>
      </c>
      <c r="DL252" s="217" t="str">
        <f>IFERROR(__xludf.DUMMYFUNCTION("""COMPUTED_VALUE"""),"#REF!")</f>
        <v>#REF!</v>
      </c>
      <c r="DM252" s="217" t="str">
        <f>IFERROR(__xludf.DUMMYFUNCTION("""COMPUTED_VALUE"""),"#REF!")</f>
        <v>#REF!</v>
      </c>
      <c r="DN252" s="218" t="str">
        <f>IFERROR(__xludf.DUMMYFUNCTION("""COMPUTED_VALUE"""),"#REF!")</f>
        <v>#REF!</v>
      </c>
      <c r="DO252" s="217" t="str">
        <f>IFERROR(__xludf.DUMMYFUNCTION("""COMPUTED_VALUE"""),"#REF!")</f>
        <v>#REF!</v>
      </c>
      <c r="DP252" s="79" t="str">
        <f>IFERROR(__xludf.DUMMYFUNCTION("""COMPUTED_VALUE"""),"#REF!")</f>
        <v>#REF!</v>
      </c>
      <c r="DQ252" s="255"/>
      <c r="DR252" s="217"/>
    </row>
    <row r="253">
      <c r="B253" s="180" t="str">
        <f>IFERROR(__xludf.DUMMYFUNCTION("""COMPUTED_VALUE"""),"HEA5")</f>
        <v>HEA5</v>
      </c>
      <c r="C253">
        <f>IFERROR(__xludf.DUMMYFUNCTION("""COMPUTED_VALUE"""),254.0)</f>
        <v>254</v>
      </c>
      <c r="D253" s="88" t="str">
        <f>IFERROR(__xludf.DUMMYFUNCTION("""COMPUTED_VALUE"""),"Suzakumon")</f>
        <v>Suzakumon</v>
      </c>
      <c r="E253" s="215" t="str">
        <f>IFERROR(__xludf.DUMMYFUNCTION("""COMPUTED_VALUE"""),"朱雀門")</f>
        <v>朱雀門</v>
      </c>
      <c r="F253" s="179">
        <f>IFERROR(__xludf.DUMMYFUNCTION("""COMPUTED_VALUE"""),21.0)</f>
        <v>21</v>
      </c>
      <c r="G253" s="83">
        <f>IFERROR(__xludf.DUMMYFUNCTION("""COMPUTED_VALUE"""),11136.0)</f>
        <v>11136</v>
      </c>
      <c r="H253" s="95" t="str">
        <f>IFERROR(__xludf.DUMMYFUNCTION("""COMPUTED_VALUE"""),"")</f>
        <v/>
      </c>
      <c r="I253" s="96" t="str">
        <f>IFERROR(__xludf.DUMMYFUNCTION("""COMPUTED_VALUE"""),"")</f>
        <v/>
      </c>
      <c r="J253" s="97" t="str">
        <f>IFERROR(__xludf.DUMMYFUNCTION("""COMPUTED_VALUE"""),"")</f>
        <v/>
      </c>
      <c r="K253" s="95" t="str">
        <f>IFERROR(__xludf.DUMMYFUNCTION("""COMPUTED_VALUE"""),"")</f>
        <v/>
      </c>
      <c r="L253" s="96" t="str">
        <f>IFERROR(__xludf.DUMMYFUNCTION("""COMPUTED_VALUE"""),"")</f>
        <v/>
      </c>
      <c r="M253" s="97" t="str">
        <f>IFERROR(__xludf.DUMMYFUNCTION("""COMPUTED_VALUE"""),"")</f>
        <v/>
      </c>
      <c r="N253" s="95" t="str">
        <f>IFERROR(__xludf.DUMMYFUNCTION("""COMPUTED_VALUE"""),"")</f>
        <v/>
      </c>
      <c r="O253" s="96" t="str">
        <f>IFERROR(__xludf.DUMMYFUNCTION("""COMPUTED_VALUE"""),"")</f>
        <v/>
      </c>
      <c r="P253" s="97" t="str">
        <f>IFERROR(__xludf.DUMMYFUNCTION("""COMPUTED_VALUE"""),"")</f>
        <v/>
      </c>
      <c r="Q253" s="95" t="str">
        <f>IFERROR(__xludf.DUMMYFUNCTION("""COMPUTED_VALUE"""),"")</f>
        <v/>
      </c>
      <c r="R253" s="96" t="str">
        <f>IFERROR(__xludf.DUMMYFUNCTION("""COMPUTED_VALUE"""),"")</f>
        <v/>
      </c>
      <c r="S253" s="97" t="str">
        <f>IFERROR(__xludf.DUMMYFUNCTION("""COMPUTED_VALUE"""),"")</f>
        <v/>
      </c>
      <c r="T253" s="95" t="str">
        <f>IFERROR(__xludf.DUMMYFUNCTION("""COMPUTED_VALUE"""),"")</f>
        <v/>
      </c>
      <c r="U253" s="96" t="str">
        <f>IFERROR(__xludf.DUMMYFUNCTION("""COMPUTED_VALUE"""),"")</f>
        <v/>
      </c>
      <c r="V253" s="97" t="str">
        <f>IFERROR(__xludf.DUMMYFUNCTION("""COMPUTED_VALUE"""),"")</f>
        <v/>
      </c>
      <c r="W253" s="95" t="str">
        <f>IFERROR(__xludf.DUMMYFUNCTION("""COMPUTED_VALUE"""),"")</f>
        <v/>
      </c>
      <c r="X253" s="96" t="str">
        <f>IFERROR(__xludf.DUMMYFUNCTION("""COMPUTED_VALUE"""),"")</f>
        <v/>
      </c>
      <c r="Y253" s="97">
        <f>IFERROR(__xludf.DUMMYFUNCTION("""COMPUTED_VALUE"""),12.299999900000001)</f>
        <v>12.2999999</v>
      </c>
      <c r="Z253" s="95" t="str">
        <f>IFERROR(__xludf.DUMMYFUNCTION("""COMPUTED_VALUE"""),"")</f>
        <v/>
      </c>
      <c r="AA253" s="96" t="str">
        <f>IFERROR(__xludf.DUMMYFUNCTION("""COMPUTED_VALUE"""),"")</f>
        <v/>
      </c>
      <c r="AB253" s="97" t="str">
        <f>IFERROR(__xludf.DUMMYFUNCTION("""COMPUTED_VALUE"""),"")</f>
        <v/>
      </c>
      <c r="AC253" s="95" t="str">
        <f>IFERROR(__xludf.DUMMYFUNCTION("""COMPUTED_VALUE"""),"")</f>
        <v/>
      </c>
      <c r="AD253" s="96" t="str">
        <f>IFERROR(__xludf.DUMMYFUNCTION("""COMPUTED_VALUE"""),"")</f>
        <v/>
      </c>
      <c r="AE253" s="97" t="str">
        <f>IFERROR(__xludf.DUMMYFUNCTION("""COMPUTED_VALUE"""),"")</f>
        <v/>
      </c>
      <c r="AF253" s="95" t="str">
        <f>IFERROR(__xludf.DUMMYFUNCTION("""COMPUTED_VALUE"""),"")</f>
        <v/>
      </c>
      <c r="AG253" s="96" t="str">
        <f>IFERROR(__xludf.DUMMYFUNCTION("""COMPUTED_VALUE"""),"")</f>
        <v/>
      </c>
      <c r="AH253" s="97" t="str">
        <f>IFERROR(__xludf.DUMMYFUNCTION("""COMPUTED_VALUE"""),"")</f>
        <v/>
      </c>
      <c r="AI253" s="216" t="str">
        <f>IFERROR(__xludf.DUMMYFUNCTION("""COMPUTED_VALUE"""),"")</f>
        <v/>
      </c>
      <c r="AJ253" s="217" t="str">
        <f>IFERROR(__xludf.DUMMYFUNCTION("""COMPUTED_VALUE"""),"")</f>
        <v/>
      </c>
      <c r="AK253" s="218">
        <f>IFERROR(__xludf.DUMMYFUNCTION("""COMPUTED_VALUE"""),25.6)</f>
        <v>25.6</v>
      </c>
      <c r="AL253" s="217" t="str">
        <f>IFERROR(__xludf.DUMMYFUNCTION("""COMPUTED_VALUE"""),"")</f>
        <v/>
      </c>
      <c r="AM253" s="217" t="str">
        <f>IFERROR(__xludf.DUMMYFUNCTION("""COMPUTED_VALUE"""),"")</f>
        <v/>
      </c>
      <c r="AN253" s="218" t="str">
        <f>IFERROR(__xludf.DUMMYFUNCTION("""COMPUTED_VALUE"""),"")</f>
        <v/>
      </c>
      <c r="AO253" s="217" t="str">
        <f>IFERROR(__xludf.DUMMYFUNCTION("""COMPUTED_VALUE"""),"")</f>
        <v/>
      </c>
      <c r="AP253" s="217" t="str">
        <f>IFERROR(__xludf.DUMMYFUNCTION("""COMPUTED_VALUE"""),"")</f>
        <v/>
      </c>
      <c r="AQ253" s="218" t="str">
        <f>IFERROR(__xludf.DUMMYFUNCTION("""COMPUTED_VALUE"""),"")</f>
        <v/>
      </c>
      <c r="AR253" s="217" t="str">
        <f>IFERROR(__xludf.DUMMYFUNCTION("""COMPUTED_VALUE"""),"")</f>
        <v/>
      </c>
      <c r="AS253" s="217" t="str">
        <f>IFERROR(__xludf.DUMMYFUNCTION("""COMPUTED_VALUE"""),"")</f>
        <v/>
      </c>
      <c r="AT253" s="218" t="str">
        <f>IFERROR(__xludf.DUMMYFUNCTION("""COMPUTED_VALUE"""),"")</f>
        <v/>
      </c>
      <c r="AU253" s="217" t="str">
        <f>IFERROR(__xludf.DUMMYFUNCTION("""COMPUTED_VALUE"""),"")</f>
        <v/>
      </c>
      <c r="AV253" s="217" t="str">
        <f>IFERROR(__xludf.DUMMYFUNCTION("""COMPUTED_VALUE"""),"")</f>
        <v/>
      </c>
      <c r="AW253" s="218" t="str">
        <f>IFERROR(__xludf.DUMMYFUNCTION("""COMPUTED_VALUE"""),"")</f>
        <v/>
      </c>
      <c r="AX253" s="217" t="str">
        <f>IFERROR(__xludf.DUMMYFUNCTION("""COMPUTED_VALUE"""),"")</f>
        <v/>
      </c>
      <c r="AY253" s="217" t="str">
        <f>IFERROR(__xludf.DUMMYFUNCTION("""COMPUTED_VALUE"""),"")</f>
        <v/>
      </c>
      <c r="AZ253" s="218" t="str">
        <f>IFERROR(__xludf.DUMMYFUNCTION("""COMPUTED_VALUE"""),"")</f>
        <v/>
      </c>
      <c r="BA253" s="217" t="str">
        <f>IFERROR(__xludf.DUMMYFUNCTION("""COMPUTED_VALUE"""),"")</f>
        <v/>
      </c>
      <c r="BB253" s="217" t="str">
        <f>IFERROR(__xludf.DUMMYFUNCTION("""COMPUTED_VALUE"""),"")</f>
        <v/>
      </c>
      <c r="BC253" s="218" t="str">
        <f>IFERROR(__xludf.DUMMYFUNCTION("""COMPUTED_VALUE"""),"")</f>
        <v/>
      </c>
      <c r="BD253" s="217" t="str">
        <f>IFERROR(__xludf.DUMMYFUNCTION("""COMPUTED_VALUE"""),"")</f>
        <v/>
      </c>
      <c r="BE253" s="217" t="str">
        <f>IFERROR(__xludf.DUMMYFUNCTION("""COMPUTED_VALUE"""),"")</f>
        <v/>
      </c>
      <c r="BF253" s="218" t="str">
        <f>IFERROR(__xludf.DUMMYFUNCTION("""COMPUTED_VALUE"""),"")</f>
        <v/>
      </c>
      <c r="BG253" s="216" t="str">
        <f>IFERROR(__xludf.DUMMYFUNCTION("""COMPUTED_VALUE"""),"")</f>
        <v/>
      </c>
      <c r="BH253" s="217" t="str">
        <f>IFERROR(__xludf.DUMMYFUNCTION("""COMPUTED_VALUE"""),"")</f>
        <v/>
      </c>
      <c r="BI253" s="218">
        <f>IFERROR(__xludf.DUMMYFUNCTION("""COMPUTED_VALUE"""),4.1)</f>
        <v>4.1</v>
      </c>
      <c r="BJ253" s="217">
        <f>IFERROR(__xludf.DUMMYFUNCTION("""COMPUTED_VALUE"""),35.8)</f>
        <v>35.8</v>
      </c>
      <c r="BK253" s="217" t="str">
        <f>IFERROR(__xludf.DUMMYFUNCTION("""COMPUTED_VALUE"""),"")</f>
        <v/>
      </c>
      <c r="BL253" s="218" t="str">
        <f>IFERROR(__xludf.DUMMYFUNCTION("""COMPUTED_VALUE"""),"")</f>
        <v/>
      </c>
      <c r="BM253" s="217" t="str">
        <f>IFERROR(__xludf.DUMMYFUNCTION("""COMPUTED_VALUE"""),"")</f>
        <v/>
      </c>
      <c r="BN253" s="217" t="str">
        <f>IFERROR(__xludf.DUMMYFUNCTION("""COMPUTED_VALUE"""),"")</f>
        <v/>
      </c>
      <c r="BO253" s="218" t="str">
        <f>IFERROR(__xludf.DUMMYFUNCTION("""COMPUTED_VALUE"""),"")</f>
        <v/>
      </c>
      <c r="BP253" s="217" t="str">
        <f>IFERROR(__xludf.DUMMYFUNCTION("""COMPUTED_VALUE"""),"")</f>
        <v/>
      </c>
      <c r="BQ253" s="217" t="str">
        <f>IFERROR(__xludf.DUMMYFUNCTION("""COMPUTED_VALUE"""),"")</f>
        <v/>
      </c>
      <c r="BR253" s="218" t="str">
        <f>IFERROR(__xludf.DUMMYFUNCTION("""COMPUTED_VALUE"""),"")</f>
        <v/>
      </c>
      <c r="BS253" s="217" t="str">
        <f>IFERROR(__xludf.DUMMYFUNCTION("""COMPUTED_VALUE"""),"")</f>
        <v/>
      </c>
      <c r="BT253" s="217" t="str">
        <f>IFERROR(__xludf.DUMMYFUNCTION("""COMPUTED_VALUE"""),"")</f>
        <v/>
      </c>
      <c r="BU253" s="218" t="str">
        <f>IFERROR(__xludf.DUMMYFUNCTION("""COMPUTED_VALUE"""),"")</f>
        <v/>
      </c>
      <c r="BV253" s="217" t="str">
        <f>IFERROR(__xludf.DUMMYFUNCTION("""COMPUTED_VALUE"""),"")</f>
        <v/>
      </c>
      <c r="BW253" s="217" t="str">
        <f>IFERROR(__xludf.DUMMYFUNCTION("""COMPUTED_VALUE"""),"")</f>
        <v/>
      </c>
      <c r="BX253" s="218" t="str">
        <f>IFERROR(__xludf.DUMMYFUNCTION("""COMPUTED_VALUE"""),"")</f>
        <v/>
      </c>
      <c r="BY253" s="217" t="str">
        <f>IFERROR(__xludf.DUMMYFUNCTION("""COMPUTED_VALUE"""),"")</f>
        <v/>
      </c>
      <c r="BZ253" s="217" t="str">
        <f>IFERROR(__xludf.DUMMYFUNCTION("""COMPUTED_VALUE"""),"")</f>
        <v/>
      </c>
      <c r="CA253" s="218" t="str">
        <f>IFERROR(__xludf.DUMMYFUNCTION("""COMPUTED_VALUE"""),"")</f>
        <v/>
      </c>
      <c r="CB253" s="216" t="str">
        <f>IFERROR(__xludf.DUMMYFUNCTION("""COMPUTED_VALUE"""),"")</f>
        <v/>
      </c>
      <c r="CC253" s="217" t="str">
        <f>IFERROR(__xludf.DUMMYFUNCTION("""COMPUTED_VALUE"""),"")</f>
        <v/>
      </c>
      <c r="CD253" s="218" t="str">
        <f>IFERROR(__xludf.DUMMYFUNCTION("""COMPUTED_VALUE"""),"")</f>
        <v/>
      </c>
      <c r="CE253" s="217" t="str">
        <f>IFERROR(__xludf.DUMMYFUNCTION("""COMPUTED_VALUE"""),"")</f>
        <v/>
      </c>
      <c r="CF253" s="217" t="str">
        <f>IFERROR(__xludf.DUMMYFUNCTION("""COMPUTED_VALUE"""),"")</f>
        <v/>
      </c>
      <c r="CG253" s="218" t="str">
        <f>IFERROR(__xludf.DUMMYFUNCTION("""COMPUTED_VALUE"""),"")</f>
        <v/>
      </c>
      <c r="CH253" s="217" t="str">
        <f>IFERROR(__xludf.DUMMYFUNCTION("""COMPUTED_VALUE"""),"")</f>
        <v/>
      </c>
      <c r="CI253" s="217" t="str">
        <f>IFERROR(__xludf.DUMMYFUNCTION("""COMPUTED_VALUE"""),"")</f>
        <v/>
      </c>
      <c r="CJ253" s="218" t="str">
        <f>IFERROR(__xludf.DUMMYFUNCTION("""COMPUTED_VALUE"""),"")</f>
        <v/>
      </c>
      <c r="CK253" s="217" t="str">
        <f>IFERROR(__xludf.DUMMYFUNCTION("""COMPUTED_VALUE"""),"")</f>
        <v/>
      </c>
      <c r="CL253" s="217">
        <f>IFERROR(__xludf.DUMMYFUNCTION("""COMPUTED_VALUE"""),23.6)</f>
        <v>23.6</v>
      </c>
      <c r="CM253" s="218" t="str">
        <f>IFERROR(__xludf.DUMMYFUNCTION("""COMPUTED_VALUE"""),"")</f>
        <v/>
      </c>
      <c r="CN253" s="217" t="str">
        <f>IFERROR(__xludf.DUMMYFUNCTION("""COMPUTED_VALUE"""),"")</f>
        <v/>
      </c>
      <c r="CO253" s="79" t="str">
        <f>IFERROR(__xludf.DUMMYFUNCTION("""COMPUTED_VALUE"""),"")</f>
        <v/>
      </c>
      <c r="CP253" s="255" t="str">
        <f>IFERROR(__xludf.DUMMYFUNCTION("""COMPUTED_VALUE"""),"")</f>
        <v/>
      </c>
      <c r="CQ253" s="217" t="str">
        <f>IFERROR(__xludf.DUMMYFUNCTION("""COMPUTED_VALUE"""),"")</f>
        <v/>
      </c>
      <c r="CR253" s="217">
        <f>IFERROR(__xludf.DUMMYFUNCTION("""COMPUTED_VALUE"""),5.3)</f>
        <v>5.3</v>
      </c>
      <c r="CS253" s="218" t="str">
        <f>IFERROR(__xludf.DUMMYFUNCTION("""COMPUTED_VALUE"""),"#REF!")</f>
        <v>#REF!</v>
      </c>
      <c r="CT253" s="217" t="str">
        <f>IFERROR(__xludf.DUMMYFUNCTION("""COMPUTED_VALUE"""),"#REF!")</f>
        <v>#REF!</v>
      </c>
      <c r="CU253" s="217" t="str">
        <f>IFERROR(__xludf.DUMMYFUNCTION("""COMPUTED_VALUE"""),"#REF!")</f>
        <v>#REF!</v>
      </c>
      <c r="CV253" s="218" t="str">
        <f>IFERROR(__xludf.DUMMYFUNCTION("""COMPUTED_VALUE"""),"#REF!")</f>
        <v>#REF!</v>
      </c>
      <c r="CW253" s="217" t="str">
        <f>IFERROR(__xludf.DUMMYFUNCTION("""COMPUTED_VALUE"""),"#REF!")</f>
        <v>#REF!</v>
      </c>
      <c r="CX253" s="79" t="str">
        <f>IFERROR(__xludf.DUMMYFUNCTION("""COMPUTED_VALUE"""),"#REF!")</f>
        <v>#REF!</v>
      </c>
      <c r="CY253" s="255" t="str">
        <f>IFERROR(__xludf.DUMMYFUNCTION("""COMPUTED_VALUE"""),"#REF!")</f>
        <v>#REF!</v>
      </c>
      <c r="CZ253" s="217" t="str">
        <f>IFERROR(__xludf.DUMMYFUNCTION("""COMPUTED_VALUE"""),"#REF!")</f>
        <v>#REF!</v>
      </c>
      <c r="DA253" s="217" t="str">
        <f>IFERROR(__xludf.DUMMYFUNCTION("""COMPUTED_VALUE"""),"#REF!")</f>
        <v>#REF!</v>
      </c>
      <c r="DB253" s="218" t="str">
        <f>IFERROR(__xludf.DUMMYFUNCTION("""COMPUTED_VALUE"""),"#REF!")</f>
        <v>#REF!</v>
      </c>
      <c r="DC253" s="217" t="str">
        <f>IFERROR(__xludf.DUMMYFUNCTION("""COMPUTED_VALUE"""),"#REF!")</f>
        <v>#REF!</v>
      </c>
      <c r="DD253" s="217" t="str">
        <f>IFERROR(__xludf.DUMMYFUNCTION("""COMPUTED_VALUE"""),"#REF!")</f>
        <v>#REF!</v>
      </c>
      <c r="DE253" s="218" t="str">
        <f>IFERROR(__xludf.DUMMYFUNCTION("""COMPUTED_VALUE"""),"#REF!")</f>
        <v>#REF!</v>
      </c>
      <c r="DF253" s="217" t="str">
        <f>IFERROR(__xludf.DUMMYFUNCTION("""COMPUTED_VALUE"""),"#REF!")</f>
        <v>#REF!</v>
      </c>
      <c r="DG253" s="79" t="str">
        <f>IFERROR(__xludf.DUMMYFUNCTION("""COMPUTED_VALUE"""),"#REF!")</f>
        <v>#REF!</v>
      </c>
      <c r="DH253" s="255" t="str">
        <f>IFERROR(__xludf.DUMMYFUNCTION("""COMPUTED_VALUE"""),"#REF!")</f>
        <v>#REF!</v>
      </c>
      <c r="DI253" s="217" t="str">
        <f>IFERROR(__xludf.DUMMYFUNCTION("""COMPUTED_VALUE"""),"#REF!")</f>
        <v>#REF!</v>
      </c>
      <c r="DJ253" s="217" t="str">
        <f>IFERROR(__xludf.DUMMYFUNCTION("""COMPUTED_VALUE"""),"#REF!")</f>
        <v>#REF!</v>
      </c>
      <c r="DK253" s="218" t="str">
        <f>IFERROR(__xludf.DUMMYFUNCTION("""COMPUTED_VALUE"""),"#REF!")</f>
        <v>#REF!</v>
      </c>
      <c r="DL253" s="217" t="str">
        <f>IFERROR(__xludf.DUMMYFUNCTION("""COMPUTED_VALUE"""),"#REF!")</f>
        <v>#REF!</v>
      </c>
      <c r="DM253" s="217" t="str">
        <f>IFERROR(__xludf.DUMMYFUNCTION("""COMPUTED_VALUE"""),"#REF!")</f>
        <v>#REF!</v>
      </c>
      <c r="DN253" s="218" t="str">
        <f>IFERROR(__xludf.DUMMYFUNCTION("""COMPUTED_VALUE"""),"#REF!")</f>
        <v>#REF!</v>
      </c>
      <c r="DO253" s="217" t="str">
        <f>IFERROR(__xludf.DUMMYFUNCTION("""COMPUTED_VALUE"""),"#REF!")</f>
        <v>#REF!</v>
      </c>
      <c r="DP253" s="79" t="str">
        <f>IFERROR(__xludf.DUMMYFUNCTION("""COMPUTED_VALUE"""),"#REF!")</f>
        <v>#REF!</v>
      </c>
      <c r="DQ253" s="255"/>
      <c r="DR253" s="217"/>
    </row>
    <row r="254">
      <c r="B254" s="180" t="str">
        <f>IFERROR(__xludf.DUMMYFUNCTION("""COMPUTED_VALUE"""),"HEA6")</f>
        <v>HEA6</v>
      </c>
      <c r="C254">
        <f>IFERROR(__xludf.DUMMYFUNCTION("""COMPUTED_VALUE"""),255.0)</f>
        <v>255</v>
      </c>
      <c r="D254" s="88" t="str">
        <f>IFERROR(__xludf.DUMMYFUNCTION("""COMPUTED_VALUE"""),"Heian Imperial Palace")</f>
        <v>Heian Imperial Palace</v>
      </c>
      <c r="E254" s="215" t="str">
        <f>IFERROR(__xludf.DUMMYFUNCTION("""COMPUTED_VALUE"""),"平安宮")</f>
        <v>平安宮</v>
      </c>
      <c r="F254" s="179">
        <f>IFERROR(__xludf.DUMMYFUNCTION("""COMPUTED_VALUE"""),21.0)</f>
        <v>21</v>
      </c>
      <c r="G254" s="83">
        <f>IFERROR(__xludf.DUMMYFUNCTION("""COMPUTED_VALUE"""),4753.0)</f>
        <v>4753</v>
      </c>
      <c r="H254" s="95" t="str">
        <f>IFERROR(__xludf.DUMMYFUNCTION("""COMPUTED_VALUE"""),"")</f>
        <v/>
      </c>
      <c r="I254" s="96" t="str">
        <f>IFERROR(__xludf.DUMMYFUNCTION("""COMPUTED_VALUE"""),"")</f>
        <v/>
      </c>
      <c r="J254" s="97" t="str">
        <f>IFERROR(__xludf.DUMMYFUNCTION("""COMPUTED_VALUE"""),"")</f>
        <v/>
      </c>
      <c r="K254" s="95" t="str">
        <f>IFERROR(__xludf.DUMMYFUNCTION("""COMPUTED_VALUE"""),"")</f>
        <v/>
      </c>
      <c r="L254" s="96" t="str">
        <f>IFERROR(__xludf.DUMMYFUNCTION("""COMPUTED_VALUE"""),"")</f>
        <v/>
      </c>
      <c r="M254" s="97" t="str">
        <f>IFERROR(__xludf.DUMMYFUNCTION("""COMPUTED_VALUE"""),"")</f>
        <v/>
      </c>
      <c r="N254" s="95" t="str">
        <f>IFERROR(__xludf.DUMMYFUNCTION("""COMPUTED_VALUE"""),"")</f>
        <v/>
      </c>
      <c r="O254" s="96" t="str">
        <f>IFERROR(__xludf.DUMMYFUNCTION("""COMPUTED_VALUE"""),"")</f>
        <v/>
      </c>
      <c r="P254" s="97" t="str">
        <f>IFERROR(__xludf.DUMMYFUNCTION("""COMPUTED_VALUE"""),"")</f>
        <v/>
      </c>
      <c r="Q254" s="95" t="str">
        <f>IFERROR(__xludf.DUMMYFUNCTION("""COMPUTED_VALUE"""),"")</f>
        <v/>
      </c>
      <c r="R254" s="96" t="str">
        <f>IFERROR(__xludf.DUMMYFUNCTION("""COMPUTED_VALUE"""),"")</f>
        <v/>
      </c>
      <c r="S254" s="97" t="str">
        <f>IFERROR(__xludf.DUMMYFUNCTION("""COMPUTED_VALUE"""),"")</f>
        <v/>
      </c>
      <c r="T254" s="95" t="str">
        <f>IFERROR(__xludf.DUMMYFUNCTION("""COMPUTED_VALUE"""),"")</f>
        <v/>
      </c>
      <c r="U254" s="96">
        <f>IFERROR(__xludf.DUMMYFUNCTION("""COMPUTED_VALUE"""),11.3)</f>
        <v>11.3</v>
      </c>
      <c r="V254" s="97" t="str">
        <f>IFERROR(__xludf.DUMMYFUNCTION("""COMPUTED_VALUE"""),"")</f>
        <v/>
      </c>
      <c r="W254" s="95" t="str">
        <f>IFERROR(__xludf.DUMMYFUNCTION("""COMPUTED_VALUE"""),"")</f>
        <v/>
      </c>
      <c r="X254" s="96" t="str">
        <f>IFERROR(__xludf.DUMMYFUNCTION("""COMPUTED_VALUE"""),"")</f>
        <v/>
      </c>
      <c r="Y254" s="97" t="str">
        <f>IFERROR(__xludf.DUMMYFUNCTION("""COMPUTED_VALUE"""),"")</f>
        <v/>
      </c>
      <c r="Z254" s="95" t="str">
        <f>IFERROR(__xludf.DUMMYFUNCTION("""COMPUTED_VALUE"""),"")</f>
        <v/>
      </c>
      <c r="AA254" s="96" t="str">
        <f>IFERROR(__xludf.DUMMYFUNCTION("""COMPUTED_VALUE"""),"")</f>
        <v/>
      </c>
      <c r="AB254" s="97" t="str">
        <f>IFERROR(__xludf.DUMMYFUNCTION("""COMPUTED_VALUE"""),"")</f>
        <v/>
      </c>
      <c r="AC254" s="95" t="str">
        <f>IFERROR(__xludf.DUMMYFUNCTION("""COMPUTED_VALUE"""),"")</f>
        <v/>
      </c>
      <c r="AD254" s="96" t="str">
        <f>IFERROR(__xludf.DUMMYFUNCTION("""COMPUTED_VALUE"""),"")</f>
        <v/>
      </c>
      <c r="AE254" s="97" t="str">
        <f>IFERROR(__xludf.DUMMYFUNCTION("""COMPUTED_VALUE"""),"")</f>
        <v/>
      </c>
      <c r="AF254" s="95" t="str">
        <f>IFERROR(__xludf.DUMMYFUNCTION("""COMPUTED_VALUE"""),"")</f>
        <v/>
      </c>
      <c r="AG254" s="96" t="str">
        <f>IFERROR(__xludf.DUMMYFUNCTION("""COMPUTED_VALUE"""),"")</f>
        <v/>
      </c>
      <c r="AH254" s="97" t="str">
        <f>IFERROR(__xludf.DUMMYFUNCTION("""COMPUTED_VALUE"""),"")</f>
        <v/>
      </c>
      <c r="AI254" s="216" t="str">
        <f>IFERROR(__xludf.DUMMYFUNCTION("""COMPUTED_VALUE"""),"")</f>
        <v/>
      </c>
      <c r="AJ254" s="217" t="str">
        <f>IFERROR(__xludf.DUMMYFUNCTION("""COMPUTED_VALUE"""),"")</f>
        <v/>
      </c>
      <c r="AK254" s="218">
        <f>IFERROR(__xludf.DUMMYFUNCTION("""COMPUTED_VALUE"""),24.4)</f>
        <v>24.4</v>
      </c>
      <c r="AL254" s="217" t="str">
        <f>IFERROR(__xludf.DUMMYFUNCTION("""COMPUTED_VALUE"""),"")</f>
        <v/>
      </c>
      <c r="AM254" s="217" t="str">
        <f>IFERROR(__xludf.DUMMYFUNCTION("""COMPUTED_VALUE"""),"")</f>
        <v/>
      </c>
      <c r="AN254" s="218" t="str">
        <f>IFERROR(__xludf.DUMMYFUNCTION("""COMPUTED_VALUE"""),"")</f>
        <v/>
      </c>
      <c r="AO254" s="217" t="str">
        <f>IFERROR(__xludf.DUMMYFUNCTION("""COMPUTED_VALUE"""),"")</f>
        <v/>
      </c>
      <c r="AP254" s="217" t="str">
        <f>IFERROR(__xludf.DUMMYFUNCTION("""COMPUTED_VALUE"""),"")</f>
        <v/>
      </c>
      <c r="AQ254" s="218" t="str">
        <f>IFERROR(__xludf.DUMMYFUNCTION("""COMPUTED_VALUE"""),"")</f>
        <v/>
      </c>
      <c r="AR254" s="217" t="str">
        <f>IFERROR(__xludf.DUMMYFUNCTION("""COMPUTED_VALUE"""),"")</f>
        <v/>
      </c>
      <c r="AS254" s="217" t="str">
        <f>IFERROR(__xludf.DUMMYFUNCTION("""COMPUTED_VALUE"""),"")</f>
        <v/>
      </c>
      <c r="AT254" s="218" t="str">
        <f>IFERROR(__xludf.DUMMYFUNCTION("""COMPUTED_VALUE"""),"")</f>
        <v/>
      </c>
      <c r="AU254" s="217" t="str">
        <f>IFERROR(__xludf.DUMMYFUNCTION("""COMPUTED_VALUE"""),"")</f>
        <v/>
      </c>
      <c r="AV254" s="217" t="str">
        <f>IFERROR(__xludf.DUMMYFUNCTION("""COMPUTED_VALUE"""),"")</f>
        <v/>
      </c>
      <c r="AW254" s="218" t="str">
        <f>IFERROR(__xludf.DUMMYFUNCTION("""COMPUTED_VALUE"""),"")</f>
        <v/>
      </c>
      <c r="AX254" s="217" t="str">
        <f>IFERROR(__xludf.DUMMYFUNCTION("""COMPUTED_VALUE"""),"")</f>
        <v/>
      </c>
      <c r="AY254" s="217" t="str">
        <f>IFERROR(__xludf.DUMMYFUNCTION("""COMPUTED_VALUE"""),"")</f>
        <v/>
      </c>
      <c r="AZ254" s="218" t="str">
        <f>IFERROR(__xludf.DUMMYFUNCTION("""COMPUTED_VALUE"""),"")</f>
        <v/>
      </c>
      <c r="BA254" s="217" t="str">
        <f>IFERROR(__xludf.DUMMYFUNCTION("""COMPUTED_VALUE"""),"")</f>
        <v/>
      </c>
      <c r="BB254" s="217" t="str">
        <f>IFERROR(__xludf.DUMMYFUNCTION("""COMPUTED_VALUE"""),"")</f>
        <v/>
      </c>
      <c r="BC254" s="218" t="str">
        <f>IFERROR(__xludf.DUMMYFUNCTION("""COMPUTED_VALUE"""),"")</f>
        <v/>
      </c>
      <c r="BD254" s="217" t="str">
        <f>IFERROR(__xludf.DUMMYFUNCTION("""COMPUTED_VALUE"""),"")</f>
        <v/>
      </c>
      <c r="BE254" s="217" t="str">
        <f>IFERROR(__xludf.DUMMYFUNCTION("""COMPUTED_VALUE"""),"")</f>
        <v/>
      </c>
      <c r="BF254" s="218" t="str">
        <f>IFERROR(__xludf.DUMMYFUNCTION("""COMPUTED_VALUE"""),"")</f>
        <v/>
      </c>
      <c r="BG254" s="216" t="str">
        <f>IFERROR(__xludf.DUMMYFUNCTION("""COMPUTED_VALUE"""),"")</f>
        <v/>
      </c>
      <c r="BH254" s="217">
        <f>IFERROR(__xludf.DUMMYFUNCTION("""COMPUTED_VALUE"""),3.5)</f>
        <v>3.5</v>
      </c>
      <c r="BI254" s="218" t="str">
        <f>IFERROR(__xludf.DUMMYFUNCTION("""COMPUTED_VALUE"""),"")</f>
        <v/>
      </c>
      <c r="BJ254" s="217">
        <f>IFERROR(__xludf.DUMMYFUNCTION("""COMPUTED_VALUE"""),39.1)</f>
        <v>39.1</v>
      </c>
      <c r="BK254" s="217" t="str">
        <f>IFERROR(__xludf.DUMMYFUNCTION("""COMPUTED_VALUE"""),"")</f>
        <v/>
      </c>
      <c r="BL254" s="218" t="str">
        <f>IFERROR(__xludf.DUMMYFUNCTION("""COMPUTED_VALUE"""),"")</f>
        <v/>
      </c>
      <c r="BM254" s="217" t="str">
        <f>IFERROR(__xludf.DUMMYFUNCTION("""COMPUTED_VALUE"""),"")</f>
        <v/>
      </c>
      <c r="BN254" s="217" t="str">
        <f>IFERROR(__xludf.DUMMYFUNCTION("""COMPUTED_VALUE"""),"")</f>
        <v/>
      </c>
      <c r="BO254" s="218" t="str">
        <f>IFERROR(__xludf.DUMMYFUNCTION("""COMPUTED_VALUE"""),"")</f>
        <v/>
      </c>
      <c r="BP254" s="217" t="str">
        <f>IFERROR(__xludf.DUMMYFUNCTION("""COMPUTED_VALUE"""),"")</f>
        <v/>
      </c>
      <c r="BQ254" s="217" t="str">
        <f>IFERROR(__xludf.DUMMYFUNCTION("""COMPUTED_VALUE"""),"")</f>
        <v/>
      </c>
      <c r="BR254" s="218" t="str">
        <f>IFERROR(__xludf.DUMMYFUNCTION("""COMPUTED_VALUE"""),"")</f>
        <v/>
      </c>
      <c r="BS254" s="217" t="str">
        <f>IFERROR(__xludf.DUMMYFUNCTION("""COMPUTED_VALUE"""),"")</f>
        <v/>
      </c>
      <c r="BT254" s="217" t="str">
        <f>IFERROR(__xludf.DUMMYFUNCTION("""COMPUTED_VALUE"""),"")</f>
        <v/>
      </c>
      <c r="BU254" s="218" t="str">
        <f>IFERROR(__xludf.DUMMYFUNCTION("""COMPUTED_VALUE"""),"")</f>
        <v/>
      </c>
      <c r="BV254" s="217" t="str">
        <f>IFERROR(__xludf.DUMMYFUNCTION("""COMPUTED_VALUE"""),"")</f>
        <v/>
      </c>
      <c r="BW254" s="217" t="str">
        <f>IFERROR(__xludf.DUMMYFUNCTION("""COMPUTED_VALUE"""),"")</f>
        <v/>
      </c>
      <c r="BX254" s="218" t="str">
        <f>IFERROR(__xludf.DUMMYFUNCTION("""COMPUTED_VALUE"""),"")</f>
        <v/>
      </c>
      <c r="BY254" s="217" t="str">
        <f>IFERROR(__xludf.DUMMYFUNCTION("""COMPUTED_VALUE"""),"")</f>
        <v/>
      </c>
      <c r="BZ254" s="217" t="str">
        <f>IFERROR(__xludf.DUMMYFUNCTION("""COMPUTED_VALUE"""),"")</f>
        <v/>
      </c>
      <c r="CA254" s="218" t="str">
        <f>IFERROR(__xludf.DUMMYFUNCTION("""COMPUTED_VALUE"""),"")</f>
        <v/>
      </c>
      <c r="CB254" s="216" t="str">
        <f>IFERROR(__xludf.DUMMYFUNCTION("""COMPUTED_VALUE"""),"")</f>
        <v/>
      </c>
      <c r="CC254" s="217" t="str">
        <f>IFERROR(__xludf.DUMMYFUNCTION("""COMPUTED_VALUE"""),"")</f>
        <v/>
      </c>
      <c r="CD254" s="218" t="str">
        <f>IFERROR(__xludf.DUMMYFUNCTION("""COMPUTED_VALUE"""),"")</f>
        <v/>
      </c>
      <c r="CE254" s="217" t="str">
        <f>IFERROR(__xludf.DUMMYFUNCTION("""COMPUTED_VALUE"""),"")</f>
        <v/>
      </c>
      <c r="CF254" s="217" t="str">
        <f>IFERROR(__xludf.DUMMYFUNCTION("""COMPUTED_VALUE"""),"")</f>
        <v/>
      </c>
      <c r="CG254" s="218" t="str">
        <f>IFERROR(__xludf.DUMMYFUNCTION("""COMPUTED_VALUE"""),"")</f>
        <v/>
      </c>
      <c r="CH254" s="217" t="str">
        <f>IFERROR(__xludf.DUMMYFUNCTION("""COMPUTED_VALUE"""),"")</f>
        <v/>
      </c>
      <c r="CI254" s="217" t="str">
        <f>IFERROR(__xludf.DUMMYFUNCTION("""COMPUTED_VALUE"""),"")</f>
        <v/>
      </c>
      <c r="CJ254" s="218" t="str">
        <f>IFERROR(__xludf.DUMMYFUNCTION("""COMPUTED_VALUE"""),"")</f>
        <v/>
      </c>
      <c r="CK254" s="217" t="str">
        <f>IFERROR(__xludf.DUMMYFUNCTION("""COMPUTED_VALUE"""),"")</f>
        <v/>
      </c>
      <c r="CL254" s="217">
        <f>IFERROR(__xludf.DUMMYFUNCTION("""COMPUTED_VALUE"""),17.8)</f>
        <v>17.8</v>
      </c>
      <c r="CM254" s="218" t="str">
        <f>IFERROR(__xludf.DUMMYFUNCTION("""COMPUTED_VALUE"""),"")</f>
        <v/>
      </c>
      <c r="CN254" s="217" t="str">
        <f>IFERROR(__xludf.DUMMYFUNCTION("""COMPUTED_VALUE"""),"")</f>
        <v/>
      </c>
      <c r="CO254" s="79" t="str">
        <f>IFERROR(__xludf.DUMMYFUNCTION("""COMPUTED_VALUE"""),"")</f>
        <v/>
      </c>
      <c r="CP254" s="255" t="str">
        <f>IFERROR(__xludf.DUMMYFUNCTION("""COMPUTED_VALUE"""),"")</f>
        <v/>
      </c>
      <c r="CQ254" s="217">
        <f>IFERROR(__xludf.DUMMYFUNCTION("""COMPUTED_VALUE"""),3.4)</f>
        <v>3.4</v>
      </c>
      <c r="CR254" s="217" t="str">
        <f>IFERROR(__xludf.DUMMYFUNCTION("""COMPUTED_VALUE"""),"")</f>
        <v/>
      </c>
      <c r="CS254" s="218" t="str">
        <f>IFERROR(__xludf.DUMMYFUNCTION("""COMPUTED_VALUE"""),"#REF!")</f>
        <v>#REF!</v>
      </c>
      <c r="CT254" s="217" t="str">
        <f>IFERROR(__xludf.DUMMYFUNCTION("""COMPUTED_VALUE"""),"#REF!")</f>
        <v>#REF!</v>
      </c>
      <c r="CU254" s="217" t="str">
        <f>IFERROR(__xludf.DUMMYFUNCTION("""COMPUTED_VALUE"""),"#REF!")</f>
        <v>#REF!</v>
      </c>
      <c r="CV254" s="218" t="str">
        <f>IFERROR(__xludf.DUMMYFUNCTION("""COMPUTED_VALUE"""),"#REF!")</f>
        <v>#REF!</v>
      </c>
      <c r="CW254" s="217" t="str">
        <f>IFERROR(__xludf.DUMMYFUNCTION("""COMPUTED_VALUE"""),"#REF!")</f>
        <v>#REF!</v>
      </c>
      <c r="CX254" s="79" t="str">
        <f>IFERROR(__xludf.DUMMYFUNCTION("""COMPUTED_VALUE"""),"#REF!")</f>
        <v>#REF!</v>
      </c>
      <c r="CY254" s="255" t="str">
        <f>IFERROR(__xludf.DUMMYFUNCTION("""COMPUTED_VALUE"""),"#REF!")</f>
        <v>#REF!</v>
      </c>
      <c r="CZ254" s="217" t="str">
        <f>IFERROR(__xludf.DUMMYFUNCTION("""COMPUTED_VALUE"""),"#REF!")</f>
        <v>#REF!</v>
      </c>
      <c r="DA254" s="217" t="str">
        <f>IFERROR(__xludf.DUMMYFUNCTION("""COMPUTED_VALUE"""),"#REF!")</f>
        <v>#REF!</v>
      </c>
      <c r="DB254" s="218" t="str">
        <f>IFERROR(__xludf.DUMMYFUNCTION("""COMPUTED_VALUE"""),"#REF!")</f>
        <v>#REF!</v>
      </c>
      <c r="DC254" s="217" t="str">
        <f>IFERROR(__xludf.DUMMYFUNCTION("""COMPUTED_VALUE"""),"#REF!")</f>
        <v>#REF!</v>
      </c>
      <c r="DD254" s="217" t="str">
        <f>IFERROR(__xludf.DUMMYFUNCTION("""COMPUTED_VALUE"""),"#REF!")</f>
        <v>#REF!</v>
      </c>
      <c r="DE254" s="218" t="str">
        <f>IFERROR(__xludf.DUMMYFUNCTION("""COMPUTED_VALUE"""),"#REF!")</f>
        <v>#REF!</v>
      </c>
      <c r="DF254" s="217" t="str">
        <f>IFERROR(__xludf.DUMMYFUNCTION("""COMPUTED_VALUE"""),"#REF!")</f>
        <v>#REF!</v>
      </c>
      <c r="DG254" s="79" t="str">
        <f>IFERROR(__xludf.DUMMYFUNCTION("""COMPUTED_VALUE"""),"#REF!")</f>
        <v>#REF!</v>
      </c>
      <c r="DH254" s="255" t="str">
        <f>IFERROR(__xludf.DUMMYFUNCTION("""COMPUTED_VALUE"""),"#REF!")</f>
        <v>#REF!</v>
      </c>
      <c r="DI254" s="217" t="str">
        <f>IFERROR(__xludf.DUMMYFUNCTION("""COMPUTED_VALUE"""),"#REF!")</f>
        <v>#REF!</v>
      </c>
      <c r="DJ254" s="217" t="str">
        <f>IFERROR(__xludf.DUMMYFUNCTION("""COMPUTED_VALUE"""),"#REF!")</f>
        <v>#REF!</v>
      </c>
      <c r="DK254" s="218" t="str">
        <f>IFERROR(__xludf.DUMMYFUNCTION("""COMPUTED_VALUE"""),"#REF!")</f>
        <v>#REF!</v>
      </c>
      <c r="DL254" s="217" t="str">
        <f>IFERROR(__xludf.DUMMYFUNCTION("""COMPUTED_VALUE"""),"#REF!")</f>
        <v>#REF!</v>
      </c>
      <c r="DM254" s="217" t="str">
        <f>IFERROR(__xludf.DUMMYFUNCTION("""COMPUTED_VALUE"""),"#REF!")</f>
        <v>#REF!</v>
      </c>
      <c r="DN254" s="218" t="str">
        <f>IFERROR(__xludf.DUMMYFUNCTION("""COMPUTED_VALUE"""),"#REF!")</f>
        <v>#REF!</v>
      </c>
      <c r="DO254" s="217" t="str">
        <f>IFERROR(__xludf.DUMMYFUNCTION("""COMPUTED_VALUE"""),"#REF!")</f>
        <v>#REF!</v>
      </c>
      <c r="DP254" s="79" t="str">
        <f>IFERROR(__xludf.DUMMYFUNCTION("""COMPUTED_VALUE"""),"#REF!")</f>
        <v>#REF!</v>
      </c>
      <c r="DQ254" s="255"/>
      <c r="DR254" s="217"/>
    </row>
    <row r="255">
      <c r="B255" s="180" t="str">
        <f>IFERROR(__xludf.DUMMYFUNCTION("""COMPUTED_VALUE"""),"HEA7")</f>
        <v>HEA7</v>
      </c>
      <c r="C255">
        <f>IFERROR(__xludf.DUMMYFUNCTION("""COMPUTED_VALUE"""),256.0)</f>
        <v>256</v>
      </c>
      <c r="D255" s="88" t="str">
        <f>IFERROR(__xludf.DUMMYFUNCTION("""COMPUTED_VALUE"""),"Suzaku Main Street")</f>
        <v>Suzaku Main Street</v>
      </c>
      <c r="E255" s="215" t="str">
        <f>IFERROR(__xludf.DUMMYFUNCTION("""COMPUTED_VALUE"""),"朱雀大路")</f>
        <v>朱雀大路</v>
      </c>
      <c r="F255" s="179">
        <f>IFERROR(__xludf.DUMMYFUNCTION("""COMPUTED_VALUE"""),21.0)</f>
        <v>21</v>
      </c>
      <c r="G255" s="83">
        <f>IFERROR(__xludf.DUMMYFUNCTION("""COMPUTED_VALUE"""),1655.0)</f>
        <v>1655</v>
      </c>
      <c r="H255" s="95" t="str">
        <f>IFERROR(__xludf.DUMMYFUNCTION("""COMPUTED_VALUE"""),"")</f>
        <v/>
      </c>
      <c r="I255" s="96" t="str">
        <f>IFERROR(__xludf.DUMMYFUNCTION("""COMPUTED_VALUE"""),"")</f>
        <v/>
      </c>
      <c r="J255" s="97" t="str">
        <f>IFERROR(__xludf.DUMMYFUNCTION("""COMPUTED_VALUE"""),"")</f>
        <v/>
      </c>
      <c r="K255" s="95" t="str">
        <f>IFERROR(__xludf.DUMMYFUNCTION("""COMPUTED_VALUE"""),"")</f>
        <v/>
      </c>
      <c r="L255" s="96" t="str">
        <f>IFERROR(__xludf.DUMMYFUNCTION("""COMPUTED_VALUE"""),"")</f>
        <v/>
      </c>
      <c r="M255" s="97" t="str">
        <f>IFERROR(__xludf.DUMMYFUNCTION("""COMPUTED_VALUE"""),"")</f>
        <v/>
      </c>
      <c r="N255" s="95" t="str">
        <f>IFERROR(__xludf.DUMMYFUNCTION("""COMPUTED_VALUE"""),"")</f>
        <v/>
      </c>
      <c r="O255" s="96" t="str">
        <f>IFERROR(__xludf.DUMMYFUNCTION("""COMPUTED_VALUE"""),"")</f>
        <v/>
      </c>
      <c r="P255" s="97" t="str">
        <f>IFERROR(__xludf.DUMMYFUNCTION("""COMPUTED_VALUE"""),"")</f>
        <v/>
      </c>
      <c r="Q255" s="95" t="str">
        <f>IFERROR(__xludf.DUMMYFUNCTION("""COMPUTED_VALUE"""),"")</f>
        <v/>
      </c>
      <c r="R255" s="96" t="str">
        <f>IFERROR(__xludf.DUMMYFUNCTION("""COMPUTED_VALUE"""),"")</f>
        <v/>
      </c>
      <c r="S255" s="97" t="str">
        <f>IFERROR(__xludf.DUMMYFUNCTION("""COMPUTED_VALUE"""),"")</f>
        <v/>
      </c>
      <c r="T255" s="95" t="str">
        <f>IFERROR(__xludf.DUMMYFUNCTION("""COMPUTED_VALUE"""),"")</f>
        <v/>
      </c>
      <c r="U255" s="96" t="str">
        <f>IFERROR(__xludf.DUMMYFUNCTION("""COMPUTED_VALUE"""),"")</f>
        <v/>
      </c>
      <c r="V255" s="97" t="str">
        <f>IFERROR(__xludf.DUMMYFUNCTION("""COMPUTED_VALUE"""),"")</f>
        <v/>
      </c>
      <c r="W255" s="95" t="str">
        <f>IFERROR(__xludf.DUMMYFUNCTION("""COMPUTED_VALUE"""),"")</f>
        <v/>
      </c>
      <c r="X255" s="96" t="str">
        <f>IFERROR(__xludf.DUMMYFUNCTION("""COMPUTED_VALUE"""),"")</f>
        <v/>
      </c>
      <c r="Y255" s="97" t="str">
        <f>IFERROR(__xludf.DUMMYFUNCTION("""COMPUTED_VALUE"""),"")</f>
        <v/>
      </c>
      <c r="Z255" s="95" t="str">
        <f>IFERROR(__xludf.DUMMYFUNCTION("""COMPUTED_VALUE"""),"")</f>
        <v/>
      </c>
      <c r="AA255" s="96">
        <f>IFERROR(__xludf.DUMMYFUNCTION("""COMPUTED_VALUE"""),26.3)</f>
        <v>26.3</v>
      </c>
      <c r="AB255" s="97" t="str">
        <f>IFERROR(__xludf.DUMMYFUNCTION("""COMPUTED_VALUE"""),"")</f>
        <v/>
      </c>
      <c r="AC255" s="95" t="str">
        <f>IFERROR(__xludf.DUMMYFUNCTION("""COMPUTED_VALUE"""),"")</f>
        <v/>
      </c>
      <c r="AD255" s="96" t="str">
        <f>IFERROR(__xludf.DUMMYFUNCTION("""COMPUTED_VALUE"""),"")</f>
        <v/>
      </c>
      <c r="AE255" s="97" t="str">
        <f>IFERROR(__xludf.DUMMYFUNCTION("""COMPUTED_VALUE"""),"")</f>
        <v/>
      </c>
      <c r="AF255" s="95" t="str">
        <f>IFERROR(__xludf.DUMMYFUNCTION("""COMPUTED_VALUE"""),"")</f>
        <v/>
      </c>
      <c r="AG255" s="96" t="str">
        <f>IFERROR(__xludf.DUMMYFUNCTION("""COMPUTED_VALUE"""),"")</f>
        <v/>
      </c>
      <c r="AH255" s="97" t="str">
        <f>IFERROR(__xludf.DUMMYFUNCTION("""COMPUTED_VALUE"""),"")</f>
        <v/>
      </c>
      <c r="AI255" s="216" t="str">
        <f>IFERROR(__xludf.DUMMYFUNCTION("""COMPUTED_VALUE"""),"")</f>
        <v/>
      </c>
      <c r="AJ255" s="217" t="str">
        <f>IFERROR(__xludf.DUMMYFUNCTION("""COMPUTED_VALUE"""),"")</f>
        <v/>
      </c>
      <c r="AK255" s="218" t="str">
        <f>IFERROR(__xludf.DUMMYFUNCTION("""COMPUTED_VALUE"""),"")</f>
        <v/>
      </c>
      <c r="AL255" s="217" t="str">
        <f>IFERROR(__xludf.DUMMYFUNCTION("""COMPUTED_VALUE"""),"")</f>
        <v/>
      </c>
      <c r="AM255" s="217" t="str">
        <f>IFERROR(__xludf.DUMMYFUNCTION("""COMPUTED_VALUE"""),"")</f>
        <v/>
      </c>
      <c r="AN255" s="218" t="str">
        <f>IFERROR(__xludf.DUMMYFUNCTION("""COMPUTED_VALUE"""),"")</f>
        <v/>
      </c>
      <c r="AO255" s="217" t="str">
        <f>IFERROR(__xludf.DUMMYFUNCTION("""COMPUTED_VALUE"""),"")</f>
        <v/>
      </c>
      <c r="AP255" s="217" t="str">
        <f>IFERROR(__xludf.DUMMYFUNCTION("""COMPUTED_VALUE"""),"")</f>
        <v/>
      </c>
      <c r="AQ255" s="218" t="str">
        <f>IFERROR(__xludf.DUMMYFUNCTION("""COMPUTED_VALUE"""),"")</f>
        <v/>
      </c>
      <c r="AR255" s="217" t="str">
        <f>IFERROR(__xludf.DUMMYFUNCTION("""COMPUTED_VALUE"""),"")</f>
        <v/>
      </c>
      <c r="AS255" s="217">
        <f>IFERROR(__xludf.DUMMYFUNCTION("""COMPUTED_VALUE"""),25.7)</f>
        <v>25.7</v>
      </c>
      <c r="AT255" s="218" t="str">
        <f>IFERROR(__xludf.DUMMYFUNCTION("""COMPUTED_VALUE"""),"")</f>
        <v/>
      </c>
      <c r="AU255" s="217" t="str">
        <f>IFERROR(__xludf.DUMMYFUNCTION("""COMPUTED_VALUE"""),"")</f>
        <v/>
      </c>
      <c r="AV255" s="217" t="str">
        <f>IFERROR(__xludf.DUMMYFUNCTION("""COMPUTED_VALUE"""),"")</f>
        <v/>
      </c>
      <c r="AW255" s="218" t="str">
        <f>IFERROR(__xludf.DUMMYFUNCTION("""COMPUTED_VALUE"""),"")</f>
        <v/>
      </c>
      <c r="AX255" s="217" t="str">
        <f>IFERROR(__xludf.DUMMYFUNCTION("""COMPUTED_VALUE"""),"")</f>
        <v/>
      </c>
      <c r="AY255" s="217" t="str">
        <f>IFERROR(__xludf.DUMMYFUNCTION("""COMPUTED_VALUE"""),"")</f>
        <v/>
      </c>
      <c r="AZ255" s="218" t="str">
        <f>IFERROR(__xludf.DUMMYFUNCTION("""COMPUTED_VALUE"""),"")</f>
        <v/>
      </c>
      <c r="BA255" s="217" t="str">
        <f>IFERROR(__xludf.DUMMYFUNCTION("""COMPUTED_VALUE"""),"")</f>
        <v/>
      </c>
      <c r="BB255" s="217" t="str">
        <f>IFERROR(__xludf.DUMMYFUNCTION("""COMPUTED_VALUE"""),"")</f>
        <v/>
      </c>
      <c r="BC255" s="218" t="str">
        <f>IFERROR(__xludf.DUMMYFUNCTION("""COMPUTED_VALUE"""),"")</f>
        <v/>
      </c>
      <c r="BD255" s="217" t="str">
        <f>IFERROR(__xludf.DUMMYFUNCTION("""COMPUTED_VALUE"""),"")</f>
        <v/>
      </c>
      <c r="BE255" s="217" t="str">
        <f>IFERROR(__xludf.DUMMYFUNCTION("""COMPUTED_VALUE"""),"")</f>
        <v/>
      </c>
      <c r="BF255" s="218" t="str">
        <f>IFERROR(__xludf.DUMMYFUNCTION("""COMPUTED_VALUE"""),"")</f>
        <v/>
      </c>
      <c r="BG255" s="216" t="str">
        <f>IFERROR(__xludf.DUMMYFUNCTION("""COMPUTED_VALUE"""),"")</f>
        <v/>
      </c>
      <c r="BH255" s="217" t="str">
        <f>IFERROR(__xludf.DUMMYFUNCTION("""COMPUTED_VALUE"""),"")</f>
        <v/>
      </c>
      <c r="BI255" s="218" t="str">
        <f>IFERROR(__xludf.DUMMYFUNCTION("""COMPUTED_VALUE"""),"")</f>
        <v/>
      </c>
      <c r="BJ255" s="217" t="str">
        <f>IFERROR(__xludf.DUMMYFUNCTION("""COMPUTED_VALUE"""),"")</f>
        <v/>
      </c>
      <c r="BK255" s="217" t="str">
        <f>IFERROR(__xludf.DUMMYFUNCTION("""COMPUTED_VALUE"""),"")</f>
        <v/>
      </c>
      <c r="BL255" s="218">
        <f>IFERROR(__xludf.DUMMYFUNCTION("""COMPUTED_VALUE"""),18.7)</f>
        <v>18.7</v>
      </c>
      <c r="BM255" s="217" t="str">
        <f>IFERROR(__xludf.DUMMYFUNCTION("""COMPUTED_VALUE"""),"")</f>
        <v/>
      </c>
      <c r="BN255" s="217" t="str">
        <f>IFERROR(__xludf.DUMMYFUNCTION("""COMPUTED_VALUE"""),"")</f>
        <v/>
      </c>
      <c r="BO255" s="218" t="str">
        <f>IFERROR(__xludf.DUMMYFUNCTION("""COMPUTED_VALUE"""),"")</f>
        <v/>
      </c>
      <c r="BP255" s="217" t="str">
        <f>IFERROR(__xludf.DUMMYFUNCTION("""COMPUTED_VALUE"""),"")</f>
        <v/>
      </c>
      <c r="BQ255" s="217" t="str">
        <f>IFERROR(__xludf.DUMMYFUNCTION("""COMPUTED_VALUE"""),"")</f>
        <v/>
      </c>
      <c r="BR255" s="218" t="str">
        <f>IFERROR(__xludf.DUMMYFUNCTION("""COMPUTED_VALUE"""),"")</f>
        <v/>
      </c>
      <c r="BS255" s="217" t="str">
        <f>IFERROR(__xludf.DUMMYFUNCTION("""COMPUTED_VALUE"""),"")</f>
        <v/>
      </c>
      <c r="BT255" s="217" t="str">
        <f>IFERROR(__xludf.DUMMYFUNCTION("""COMPUTED_VALUE"""),"")</f>
        <v/>
      </c>
      <c r="BU255" s="218" t="str">
        <f>IFERROR(__xludf.DUMMYFUNCTION("""COMPUTED_VALUE"""),"")</f>
        <v/>
      </c>
      <c r="BV255" s="217">
        <f>IFERROR(__xludf.DUMMYFUNCTION("""COMPUTED_VALUE"""),40.4)</f>
        <v>40.4</v>
      </c>
      <c r="BW255" s="217" t="str">
        <f>IFERROR(__xludf.DUMMYFUNCTION("""COMPUTED_VALUE"""),"")</f>
        <v/>
      </c>
      <c r="BX255" s="218" t="str">
        <f>IFERROR(__xludf.DUMMYFUNCTION("""COMPUTED_VALUE"""),"")</f>
        <v/>
      </c>
      <c r="BY255" s="217" t="str">
        <f>IFERROR(__xludf.DUMMYFUNCTION("""COMPUTED_VALUE"""),"")</f>
        <v/>
      </c>
      <c r="BZ255" s="217" t="str">
        <f>IFERROR(__xludf.DUMMYFUNCTION("""COMPUTED_VALUE"""),"")</f>
        <v/>
      </c>
      <c r="CA255" s="218" t="str">
        <f>IFERROR(__xludf.DUMMYFUNCTION("""COMPUTED_VALUE"""),"")</f>
        <v/>
      </c>
      <c r="CB255" s="216" t="str">
        <f>IFERROR(__xludf.DUMMYFUNCTION("""COMPUTED_VALUE"""),"")</f>
        <v/>
      </c>
      <c r="CC255" s="217" t="str">
        <f>IFERROR(__xludf.DUMMYFUNCTION("""COMPUTED_VALUE"""),"")</f>
        <v/>
      </c>
      <c r="CD255" s="218" t="str">
        <f>IFERROR(__xludf.DUMMYFUNCTION("""COMPUTED_VALUE"""),"")</f>
        <v/>
      </c>
      <c r="CE255" s="217" t="str">
        <f>IFERROR(__xludf.DUMMYFUNCTION("""COMPUTED_VALUE"""),"")</f>
        <v/>
      </c>
      <c r="CF255" s="217" t="str">
        <f>IFERROR(__xludf.DUMMYFUNCTION("""COMPUTED_VALUE"""),"")</f>
        <v/>
      </c>
      <c r="CG255" s="218" t="str">
        <f>IFERROR(__xludf.DUMMYFUNCTION("""COMPUTED_VALUE"""),"")</f>
        <v/>
      </c>
      <c r="CH255" s="217" t="str">
        <f>IFERROR(__xludf.DUMMYFUNCTION("""COMPUTED_VALUE"""),"")</f>
        <v/>
      </c>
      <c r="CI255" s="217" t="str">
        <f>IFERROR(__xludf.DUMMYFUNCTION("""COMPUTED_VALUE"""),"")</f>
        <v/>
      </c>
      <c r="CJ255" s="218" t="str">
        <f>IFERROR(__xludf.DUMMYFUNCTION("""COMPUTED_VALUE"""),"")</f>
        <v/>
      </c>
      <c r="CK255" s="217" t="str">
        <f>IFERROR(__xludf.DUMMYFUNCTION("""COMPUTED_VALUE"""),"")</f>
        <v/>
      </c>
      <c r="CL255" s="217" t="str">
        <f>IFERROR(__xludf.DUMMYFUNCTION("""COMPUTED_VALUE"""),"")</f>
        <v/>
      </c>
      <c r="CM255" s="218" t="str">
        <f>IFERROR(__xludf.DUMMYFUNCTION("""COMPUTED_VALUE"""),"")</f>
        <v/>
      </c>
      <c r="CN255" s="217" t="str">
        <f>IFERROR(__xludf.DUMMYFUNCTION("""COMPUTED_VALUE"""),"")</f>
        <v/>
      </c>
      <c r="CO255" s="79" t="str">
        <f>IFERROR(__xludf.DUMMYFUNCTION("""COMPUTED_VALUE"""),"")</f>
        <v/>
      </c>
      <c r="CP255" s="255" t="str">
        <f>IFERROR(__xludf.DUMMYFUNCTION("""COMPUTED_VALUE"""),"")</f>
        <v/>
      </c>
      <c r="CQ255" s="217" t="str">
        <f>IFERROR(__xludf.DUMMYFUNCTION("""COMPUTED_VALUE"""),"")</f>
        <v/>
      </c>
      <c r="CR255" s="217" t="str">
        <f>IFERROR(__xludf.DUMMYFUNCTION("""COMPUTED_VALUE"""),"")</f>
        <v/>
      </c>
      <c r="CS255" s="218" t="str">
        <f>IFERROR(__xludf.DUMMYFUNCTION("""COMPUTED_VALUE"""),"#REF!")</f>
        <v>#REF!</v>
      </c>
      <c r="CT255" s="217" t="str">
        <f>IFERROR(__xludf.DUMMYFUNCTION("""COMPUTED_VALUE"""),"#REF!")</f>
        <v>#REF!</v>
      </c>
      <c r="CU255" s="217" t="str">
        <f>IFERROR(__xludf.DUMMYFUNCTION("""COMPUTED_VALUE"""),"#REF!")</f>
        <v>#REF!</v>
      </c>
      <c r="CV255" s="218" t="str">
        <f>IFERROR(__xludf.DUMMYFUNCTION("""COMPUTED_VALUE"""),"#REF!")</f>
        <v>#REF!</v>
      </c>
      <c r="CW255" s="217" t="str">
        <f>IFERROR(__xludf.DUMMYFUNCTION("""COMPUTED_VALUE"""),"#REF!")</f>
        <v>#REF!</v>
      </c>
      <c r="CX255" s="79" t="str">
        <f>IFERROR(__xludf.DUMMYFUNCTION("""COMPUTED_VALUE"""),"#REF!")</f>
        <v>#REF!</v>
      </c>
      <c r="CY255" s="255" t="str">
        <f>IFERROR(__xludf.DUMMYFUNCTION("""COMPUTED_VALUE"""),"#REF!")</f>
        <v>#REF!</v>
      </c>
      <c r="CZ255" s="217" t="str">
        <f>IFERROR(__xludf.DUMMYFUNCTION("""COMPUTED_VALUE"""),"#REF!")</f>
        <v>#REF!</v>
      </c>
      <c r="DA255" s="217" t="str">
        <f>IFERROR(__xludf.DUMMYFUNCTION("""COMPUTED_VALUE"""),"#REF!")</f>
        <v>#REF!</v>
      </c>
      <c r="DB255" s="218" t="str">
        <f>IFERROR(__xludf.DUMMYFUNCTION("""COMPUTED_VALUE"""),"#REF!")</f>
        <v>#REF!</v>
      </c>
      <c r="DC255" s="217" t="str">
        <f>IFERROR(__xludf.DUMMYFUNCTION("""COMPUTED_VALUE"""),"#REF!")</f>
        <v>#REF!</v>
      </c>
      <c r="DD255" s="217" t="str">
        <f>IFERROR(__xludf.DUMMYFUNCTION("""COMPUTED_VALUE"""),"#REF!")</f>
        <v>#REF!</v>
      </c>
      <c r="DE255" s="218" t="str">
        <f>IFERROR(__xludf.DUMMYFUNCTION("""COMPUTED_VALUE"""),"#REF!")</f>
        <v>#REF!</v>
      </c>
      <c r="DF255" s="217" t="str">
        <f>IFERROR(__xludf.DUMMYFUNCTION("""COMPUTED_VALUE"""),"#REF!")</f>
        <v>#REF!</v>
      </c>
      <c r="DG255" s="79" t="str">
        <f>IFERROR(__xludf.DUMMYFUNCTION("""COMPUTED_VALUE"""),"#REF!")</f>
        <v>#REF!</v>
      </c>
      <c r="DH255" s="255" t="str">
        <f>IFERROR(__xludf.DUMMYFUNCTION("""COMPUTED_VALUE"""),"#REF!")</f>
        <v>#REF!</v>
      </c>
      <c r="DI255" s="217" t="str">
        <f>IFERROR(__xludf.DUMMYFUNCTION("""COMPUTED_VALUE"""),"#REF!")</f>
        <v>#REF!</v>
      </c>
      <c r="DJ255" s="217" t="str">
        <f>IFERROR(__xludf.DUMMYFUNCTION("""COMPUTED_VALUE"""),"#REF!")</f>
        <v>#REF!</v>
      </c>
      <c r="DK255" s="218" t="str">
        <f>IFERROR(__xludf.DUMMYFUNCTION("""COMPUTED_VALUE"""),"#REF!")</f>
        <v>#REF!</v>
      </c>
      <c r="DL255" s="217" t="str">
        <f>IFERROR(__xludf.DUMMYFUNCTION("""COMPUTED_VALUE"""),"#REF!")</f>
        <v>#REF!</v>
      </c>
      <c r="DM255" s="217" t="str">
        <f>IFERROR(__xludf.DUMMYFUNCTION("""COMPUTED_VALUE"""),"#REF!")</f>
        <v>#REF!</v>
      </c>
      <c r="DN255" s="218" t="str">
        <f>IFERROR(__xludf.DUMMYFUNCTION("""COMPUTED_VALUE"""),"#REF!")</f>
        <v>#REF!</v>
      </c>
      <c r="DO255" s="217" t="str">
        <f>IFERROR(__xludf.DUMMYFUNCTION("""COMPUTED_VALUE"""),"#REF!")</f>
        <v>#REF!</v>
      </c>
      <c r="DP255" s="79" t="str">
        <f>IFERROR(__xludf.DUMMYFUNCTION("""COMPUTED_VALUE"""),"#REF!")</f>
        <v>#REF!</v>
      </c>
      <c r="DQ255" s="255"/>
      <c r="DR255" s="217"/>
    </row>
    <row r="256">
      <c r="B256" s="180" t="str">
        <f>IFERROR(__xludf.DUMMYFUNCTION("""COMPUTED_VALUE"""),"HEA8")</f>
        <v>HEA8</v>
      </c>
      <c r="C256">
        <f>IFERROR(__xludf.DUMMYFUNCTION("""COMPUTED_VALUE"""),257.0)</f>
        <v>257</v>
      </c>
      <c r="D256" s="88" t="str">
        <f>IFERROR(__xludf.DUMMYFUNCTION("""COMPUTED_VALUE"""),"Inari Shrine")</f>
        <v>Inari Shrine</v>
      </c>
      <c r="E256" s="215" t="str">
        <f>IFERROR(__xludf.DUMMYFUNCTION("""COMPUTED_VALUE"""),"稲荷神社")</f>
        <v>稲荷神社</v>
      </c>
      <c r="F256" s="179">
        <f>IFERROR(__xludf.DUMMYFUNCTION("""COMPUTED_VALUE"""),21.0)</f>
        <v>21</v>
      </c>
      <c r="G256" s="83">
        <f>IFERROR(__xludf.DUMMYFUNCTION("""COMPUTED_VALUE"""),1003.0)</f>
        <v>1003</v>
      </c>
      <c r="H256" s="95" t="str">
        <f>IFERROR(__xludf.DUMMYFUNCTION("""COMPUTED_VALUE"""),"")</f>
        <v/>
      </c>
      <c r="I256" s="96" t="str">
        <f>IFERROR(__xludf.DUMMYFUNCTION("""COMPUTED_VALUE"""),"")</f>
        <v/>
      </c>
      <c r="J256" s="97" t="str">
        <f>IFERROR(__xludf.DUMMYFUNCTION("""COMPUTED_VALUE"""),"")</f>
        <v/>
      </c>
      <c r="K256" s="95" t="str">
        <f>IFERROR(__xludf.DUMMYFUNCTION("""COMPUTED_VALUE"""),"")</f>
        <v/>
      </c>
      <c r="L256" s="96" t="str">
        <f>IFERROR(__xludf.DUMMYFUNCTION("""COMPUTED_VALUE"""),"")</f>
        <v/>
      </c>
      <c r="M256" s="97" t="str">
        <f>IFERROR(__xludf.DUMMYFUNCTION("""COMPUTED_VALUE"""),"")</f>
        <v/>
      </c>
      <c r="N256" s="95" t="str">
        <f>IFERROR(__xludf.DUMMYFUNCTION("""COMPUTED_VALUE"""),"")</f>
        <v/>
      </c>
      <c r="O256" s="96" t="str">
        <f>IFERROR(__xludf.DUMMYFUNCTION("""COMPUTED_VALUE"""),"")</f>
        <v/>
      </c>
      <c r="P256" s="97" t="str">
        <f>IFERROR(__xludf.DUMMYFUNCTION("""COMPUTED_VALUE"""),"")</f>
        <v/>
      </c>
      <c r="Q256" s="95" t="str">
        <f>IFERROR(__xludf.DUMMYFUNCTION("""COMPUTED_VALUE"""),"")</f>
        <v/>
      </c>
      <c r="R256" s="96" t="str">
        <f>IFERROR(__xludf.DUMMYFUNCTION("""COMPUTED_VALUE"""),"")</f>
        <v/>
      </c>
      <c r="S256" s="97" t="str">
        <f>IFERROR(__xludf.DUMMYFUNCTION("""COMPUTED_VALUE"""),"")</f>
        <v/>
      </c>
      <c r="T256" s="95" t="str">
        <f>IFERROR(__xludf.DUMMYFUNCTION("""COMPUTED_VALUE"""),"")</f>
        <v/>
      </c>
      <c r="U256" s="96" t="str">
        <f>IFERROR(__xludf.DUMMYFUNCTION("""COMPUTED_VALUE"""),"")</f>
        <v/>
      </c>
      <c r="V256" s="97">
        <f>IFERROR(__xludf.DUMMYFUNCTION("""COMPUTED_VALUE"""),12.8)</f>
        <v>12.8</v>
      </c>
      <c r="W256" s="95" t="str">
        <f>IFERROR(__xludf.DUMMYFUNCTION("""COMPUTED_VALUE"""),"")</f>
        <v/>
      </c>
      <c r="X256" s="96" t="str">
        <f>IFERROR(__xludf.DUMMYFUNCTION("""COMPUTED_VALUE"""),"")</f>
        <v/>
      </c>
      <c r="Y256" s="97" t="str">
        <f>IFERROR(__xludf.DUMMYFUNCTION("""COMPUTED_VALUE"""),"")</f>
        <v/>
      </c>
      <c r="Z256" s="95" t="str">
        <f>IFERROR(__xludf.DUMMYFUNCTION("""COMPUTED_VALUE"""),"")</f>
        <v/>
      </c>
      <c r="AA256" s="96" t="str">
        <f>IFERROR(__xludf.DUMMYFUNCTION("""COMPUTED_VALUE"""),"")</f>
        <v/>
      </c>
      <c r="AB256" s="97" t="str">
        <f>IFERROR(__xludf.DUMMYFUNCTION("""COMPUTED_VALUE"""),"")</f>
        <v/>
      </c>
      <c r="AC256" s="95" t="str">
        <f>IFERROR(__xludf.DUMMYFUNCTION("""COMPUTED_VALUE"""),"")</f>
        <v/>
      </c>
      <c r="AD256" s="96" t="str">
        <f>IFERROR(__xludf.DUMMYFUNCTION("""COMPUTED_VALUE"""),"")</f>
        <v/>
      </c>
      <c r="AE256" s="97">
        <f>IFERROR(__xludf.DUMMYFUNCTION("""COMPUTED_VALUE"""),23.4)</f>
        <v>23.4</v>
      </c>
      <c r="AF256" s="95" t="str">
        <f>IFERROR(__xludf.DUMMYFUNCTION("""COMPUTED_VALUE"""),"")</f>
        <v/>
      </c>
      <c r="AG256" s="96" t="str">
        <f>IFERROR(__xludf.DUMMYFUNCTION("""COMPUTED_VALUE"""),"")</f>
        <v/>
      </c>
      <c r="AH256" s="97" t="str">
        <f>IFERROR(__xludf.DUMMYFUNCTION("""COMPUTED_VALUE"""),"")</f>
        <v/>
      </c>
      <c r="AI256" s="216" t="str">
        <f>IFERROR(__xludf.DUMMYFUNCTION("""COMPUTED_VALUE"""),"")</f>
        <v/>
      </c>
      <c r="AJ256" s="217" t="str">
        <f>IFERROR(__xludf.DUMMYFUNCTION("""COMPUTED_VALUE"""),"")</f>
        <v/>
      </c>
      <c r="AK256" s="218" t="str">
        <f>IFERROR(__xludf.DUMMYFUNCTION("""COMPUTED_VALUE"""),"")</f>
        <v/>
      </c>
      <c r="AL256" s="217" t="str">
        <f>IFERROR(__xludf.DUMMYFUNCTION("""COMPUTED_VALUE"""),"")</f>
        <v/>
      </c>
      <c r="AM256" s="217" t="str">
        <f>IFERROR(__xludf.DUMMYFUNCTION("""COMPUTED_VALUE"""),"")</f>
        <v/>
      </c>
      <c r="AN256" s="218" t="str">
        <f>IFERROR(__xludf.DUMMYFUNCTION("""COMPUTED_VALUE"""),"")</f>
        <v/>
      </c>
      <c r="AO256" s="217" t="str">
        <f>IFERROR(__xludf.DUMMYFUNCTION("""COMPUTED_VALUE"""),"")</f>
        <v/>
      </c>
      <c r="AP256" s="217" t="str">
        <f>IFERROR(__xludf.DUMMYFUNCTION("""COMPUTED_VALUE"""),"")</f>
        <v/>
      </c>
      <c r="AQ256" s="218" t="str">
        <f>IFERROR(__xludf.DUMMYFUNCTION("""COMPUTED_VALUE"""),"")</f>
        <v/>
      </c>
      <c r="AR256" s="217" t="str">
        <f>IFERROR(__xludf.DUMMYFUNCTION("""COMPUTED_VALUE"""),"")</f>
        <v/>
      </c>
      <c r="AS256" s="217" t="str">
        <f>IFERROR(__xludf.DUMMYFUNCTION("""COMPUTED_VALUE"""),"")</f>
        <v/>
      </c>
      <c r="AT256" s="218" t="str">
        <f>IFERROR(__xludf.DUMMYFUNCTION("""COMPUTED_VALUE"""),"")</f>
        <v/>
      </c>
      <c r="AU256" s="217" t="str">
        <f>IFERROR(__xludf.DUMMYFUNCTION("""COMPUTED_VALUE"""),"")</f>
        <v/>
      </c>
      <c r="AV256" s="217" t="str">
        <f>IFERROR(__xludf.DUMMYFUNCTION("""COMPUTED_VALUE"""),"")</f>
        <v/>
      </c>
      <c r="AW256" s="218" t="str">
        <f>IFERROR(__xludf.DUMMYFUNCTION("""COMPUTED_VALUE"""),"")</f>
        <v/>
      </c>
      <c r="AX256" s="217" t="str">
        <f>IFERROR(__xludf.DUMMYFUNCTION("""COMPUTED_VALUE"""),"")</f>
        <v/>
      </c>
      <c r="AY256" s="217" t="str">
        <f>IFERROR(__xludf.DUMMYFUNCTION("""COMPUTED_VALUE"""),"")</f>
        <v/>
      </c>
      <c r="AZ256" s="218" t="str">
        <f>IFERROR(__xludf.DUMMYFUNCTION("""COMPUTED_VALUE"""),"")</f>
        <v/>
      </c>
      <c r="BA256" s="217" t="str">
        <f>IFERROR(__xludf.DUMMYFUNCTION("""COMPUTED_VALUE"""),"")</f>
        <v/>
      </c>
      <c r="BB256" s="217" t="str">
        <f>IFERROR(__xludf.DUMMYFUNCTION("""COMPUTED_VALUE"""),"")</f>
        <v/>
      </c>
      <c r="BC256" s="218" t="str">
        <f>IFERROR(__xludf.DUMMYFUNCTION("""COMPUTED_VALUE"""),"")</f>
        <v/>
      </c>
      <c r="BD256" s="217" t="str">
        <f>IFERROR(__xludf.DUMMYFUNCTION("""COMPUTED_VALUE"""),"")</f>
        <v/>
      </c>
      <c r="BE256" s="217">
        <f>IFERROR(__xludf.DUMMYFUNCTION("""COMPUTED_VALUE"""),2.8)</f>
        <v>2.8</v>
      </c>
      <c r="BF256" s="218" t="str">
        <f>IFERROR(__xludf.DUMMYFUNCTION("""COMPUTED_VALUE"""),"")</f>
        <v/>
      </c>
      <c r="BG256" s="216" t="str">
        <f>IFERROR(__xludf.DUMMYFUNCTION("""COMPUTED_VALUE"""),"")</f>
        <v/>
      </c>
      <c r="BH256" s="217" t="str">
        <f>IFERROR(__xludf.DUMMYFUNCTION("""COMPUTED_VALUE"""),"")</f>
        <v/>
      </c>
      <c r="BI256" s="218" t="str">
        <f>IFERROR(__xludf.DUMMYFUNCTION("""COMPUTED_VALUE"""),"")</f>
        <v/>
      </c>
      <c r="BJ256" s="217">
        <f>IFERROR(__xludf.DUMMYFUNCTION("""COMPUTED_VALUE"""),18.3)</f>
        <v>18.3</v>
      </c>
      <c r="BK256" s="217" t="str">
        <f>IFERROR(__xludf.DUMMYFUNCTION("""COMPUTED_VALUE"""),"")</f>
        <v/>
      </c>
      <c r="BL256" s="218" t="str">
        <f>IFERROR(__xludf.DUMMYFUNCTION("""COMPUTED_VALUE"""),"")</f>
        <v/>
      </c>
      <c r="BM256" s="217" t="str">
        <f>IFERROR(__xludf.DUMMYFUNCTION("""COMPUTED_VALUE"""),"")</f>
        <v/>
      </c>
      <c r="BN256" s="217" t="str">
        <f>IFERROR(__xludf.DUMMYFUNCTION("""COMPUTED_VALUE"""),"")</f>
        <v/>
      </c>
      <c r="BO256" s="218" t="str">
        <f>IFERROR(__xludf.DUMMYFUNCTION("""COMPUTED_VALUE"""),"")</f>
        <v/>
      </c>
      <c r="BP256" s="217" t="str">
        <f>IFERROR(__xludf.DUMMYFUNCTION("""COMPUTED_VALUE"""),"")</f>
        <v/>
      </c>
      <c r="BQ256" s="217">
        <f>IFERROR(__xludf.DUMMYFUNCTION("""COMPUTED_VALUE"""),23.5)</f>
        <v>23.5</v>
      </c>
      <c r="BR256" s="218" t="str">
        <f>IFERROR(__xludf.DUMMYFUNCTION("""COMPUTED_VALUE"""),"")</f>
        <v/>
      </c>
      <c r="BS256" s="217" t="str">
        <f>IFERROR(__xludf.DUMMYFUNCTION("""COMPUTED_VALUE"""),"")</f>
        <v/>
      </c>
      <c r="BT256" s="217" t="str">
        <f>IFERROR(__xludf.DUMMYFUNCTION("""COMPUTED_VALUE"""),"")</f>
        <v/>
      </c>
      <c r="BU256" s="218" t="str">
        <f>IFERROR(__xludf.DUMMYFUNCTION("""COMPUTED_VALUE"""),"")</f>
        <v/>
      </c>
      <c r="BV256" s="217" t="str">
        <f>IFERROR(__xludf.DUMMYFUNCTION("""COMPUTED_VALUE"""),"")</f>
        <v/>
      </c>
      <c r="BW256" s="217" t="str">
        <f>IFERROR(__xludf.DUMMYFUNCTION("""COMPUTED_VALUE"""),"")</f>
        <v/>
      </c>
      <c r="BX256" s="218" t="str">
        <f>IFERROR(__xludf.DUMMYFUNCTION("""COMPUTED_VALUE"""),"")</f>
        <v/>
      </c>
      <c r="BY256" s="217" t="str">
        <f>IFERROR(__xludf.DUMMYFUNCTION("""COMPUTED_VALUE"""),"")</f>
        <v/>
      </c>
      <c r="BZ256" s="217" t="str">
        <f>IFERROR(__xludf.DUMMYFUNCTION("""COMPUTED_VALUE"""),"")</f>
        <v/>
      </c>
      <c r="CA256" s="218" t="str">
        <f>IFERROR(__xludf.DUMMYFUNCTION("""COMPUTED_VALUE"""),"")</f>
        <v/>
      </c>
      <c r="CB256" s="216" t="str">
        <f>IFERROR(__xludf.DUMMYFUNCTION("""COMPUTED_VALUE"""),"")</f>
        <v/>
      </c>
      <c r="CC256" s="217" t="str">
        <f>IFERROR(__xludf.DUMMYFUNCTION("""COMPUTED_VALUE"""),"")</f>
        <v/>
      </c>
      <c r="CD256" s="218" t="str">
        <f>IFERROR(__xludf.DUMMYFUNCTION("""COMPUTED_VALUE"""),"")</f>
        <v/>
      </c>
      <c r="CE256" s="217" t="str">
        <f>IFERROR(__xludf.DUMMYFUNCTION("""COMPUTED_VALUE"""),"")</f>
        <v/>
      </c>
      <c r="CF256" s="217" t="str">
        <f>IFERROR(__xludf.DUMMYFUNCTION("""COMPUTED_VALUE"""),"")</f>
        <v/>
      </c>
      <c r="CG256" s="218" t="str">
        <f>IFERROR(__xludf.DUMMYFUNCTION("""COMPUTED_VALUE"""),"")</f>
        <v/>
      </c>
      <c r="CH256" s="217" t="str">
        <f>IFERROR(__xludf.DUMMYFUNCTION("""COMPUTED_VALUE"""),"")</f>
        <v/>
      </c>
      <c r="CI256" s="217" t="str">
        <f>IFERROR(__xludf.DUMMYFUNCTION("""COMPUTED_VALUE"""),"")</f>
        <v/>
      </c>
      <c r="CJ256" s="218" t="str">
        <f>IFERROR(__xludf.DUMMYFUNCTION("""COMPUTED_VALUE"""),"")</f>
        <v/>
      </c>
      <c r="CK256" s="217" t="str">
        <f>IFERROR(__xludf.DUMMYFUNCTION("""COMPUTED_VALUE"""),"")</f>
        <v/>
      </c>
      <c r="CL256" s="217" t="str">
        <f>IFERROR(__xludf.DUMMYFUNCTION("""COMPUTED_VALUE"""),"")</f>
        <v/>
      </c>
      <c r="CM256" s="218" t="str">
        <f>IFERROR(__xludf.DUMMYFUNCTION("""COMPUTED_VALUE"""),"")</f>
        <v/>
      </c>
      <c r="CN256" s="217">
        <f>IFERROR(__xludf.DUMMYFUNCTION("""COMPUTED_VALUE"""),7.3)</f>
        <v>7.3</v>
      </c>
      <c r="CO256" s="79" t="str">
        <f>IFERROR(__xludf.DUMMYFUNCTION("""COMPUTED_VALUE"""),"")</f>
        <v/>
      </c>
      <c r="CP256" s="255" t="str">
        <f>IFERROR(__xludf.DUMMYFUNCTION("""COMPUTED_VALUE"""),"")</f>
        <v/>
      </c>
      <c r="CQ256" s="217" t="str">
        <f>IFERROR(__xludf.DUMMYFUNCTION("""COMPUTED_VALUE"""),"")</f>
        <v/>
      </c>
      <c r="CR256" s="217" t="str">
        <f>IFERROR(__xludf.DUMMYFUNCTION("""COMPUTED_VALUE"""),"")</f>
        <v/>
      </c>
      <c r="CS256" s="218" t="str">
        <f>IFERROR(__xludf.DUMMYFUNCTION("""COMPUTED_VALUE"""),"#REF!")</f>
        <v>#REF!</v>
      </c>
      <c r="CT256" s="217" t="str">
        <f>IFERROR(__xludf.DUMMYFUNCTION("""COMPUTED_VALUE"""),"#REF!")</f>
        <v>#REF!</v>
      </c>
      <c r="CU256" s="217" t="str">
        <f>IFERROR(__xludf.DUMMYFUNCTION("""COMPUTED_VALUE"""),"#REF!")</f>
        <v>#REF!</v>
      </c>
      <c r="CV256" s="218" t="str">
        <f>IFERROR(__xludf.DUMMYFUNCTION("""COMPUTED_VALUE"""),"#REF!")</f>
        <v>#REF!</v>
      </c>
      <c r="CW256" s="217" t="str">
        <f>IFERROR(__xludf.DUMMYFUNCTION("""COMPUTED_VALUE"""),"#REF!")</f>
        <v>#REF!</v>
      </c>
      <c r="CX256" s="79" t="str">
        <f>IFERROR(__xludf.DUMMYFUNCTION("""COMPUTED_VALUE"""),"#REF!")</f>
        <v>#REF!</v>
      </c>
      <c r="CY256" s="255" t="str">
        <f>IFERROR(__xludf.DUMMYFUNCTION("""COMPUTED_VALUE"""),"#REF!")</f>
        <v>#REF!</v>
      </c>
      <c r="CZ256" s="217" t="str">
        <f>IFERROR(__xludf.DUMMYFUNCTION("""COMPUTED_VALUE"""),"#REF!")</f>
        <v>#REF!</v>
      </c>
      <c r="DA256" s="217" t="str">
        <f>IFERROR(__xludf.DUMMYFUNCTION("""COMPUTED_VALUE"""),"#REF!")</f>
        <v>#REF!</v>
      </c>
      <c r="DB256" s="218" t="str">
        <f>IFERROR(__xludf.DUMMYFUNCTION("""COMPUTED_VALUE"""),"#REF!")</f>
        <v>#REF!</v>
      </c>
      <c r="DC256" s="217" t="str">
        <f>IFERROR(__xludf.DUMMYFUNCTION("""COMPUTED_VALUE"""),"#REF!")</f>
        <v>#REF!</v>
      </c>
      <c r="DD256" s="217" t="str">
        <f>IFERROR(__xludf.DUMMYFUNCTION("""COMPUTED_VALUE"""),"#REF!")</f>
        <v>#REF!</v>
      </c>
      <c r="DE256" s="218" t="str">
        <f>IFERROR(__xludf.DUMMYFUNCTION("""COMPUTED_VALUE"""),"#REF!")</f>
        <v>#REF!</v>
      </c>
      <c r="DF256" s="217" t="str">
        <f>IFERROR(__xludf.DUMMYFUNCTION("""COMPUTED_VALUE"""),"#REF!")</f>
        <v>#REF!</v>
      </c>
      <c r="DG256" s="79" t="str">
        <f>IFERROR(__xludf.DUMMYFUNCTION("""COMPUTED_VALUE"""),"#REF!")</f>
        <v>#REF!</v>
      </c>
      <c r="DH256" s="255" t="str">
        <f>IFERROR(__xludf.DUMMYFUNCTION("""COMPUTED_VALUE"""),"#REF!")</f>
        <v>#REF!</v>
      </c>
      <c r="DI256" s="217" t="str">
        <f>IFERROR(__xludf.DUMMYFUNCTION("""COMPUTED_VALUE"""),"#REF!")</f>
        <v>#REF!</v>
      </c>
      <c r="DJ256" s="217" t="str">
        <f>IFERROR(__xludf.DUMMYFUNCTION("""COMPUTED_VALUE"""),"#REF!")</f>
        <v>#REF!</v>
      </c>
      <c r="DK256" s="218" t="str">
        <f>IFERROR(__xludf.DUMMYFUNCTION("""COMPUTED_VALUE"""),"#REF!")</f>
        <v>#REF!</v>
      </c>
      <c r="DL256" s="217" t="str">
        <f>IFERROR(__xludf.DUMMYFUNCTION("""COMPUTED_VALUE"""),"#REF!")</f>
        <v>#REF!</v>
      </c>
      <c r="DM256" s="217" t="str">
        <f>IFERROR(__xludf.DUMMYFUNCTION("""COMPUTED_VALUE"""),"#REF!")</f>
        <v>#REF!</v>
      </c>
      <c r="DN256" s="218" t="str">
        <f>IFERROR(__xludf.DUMMYFUNCTION("""COMPUTED_VALUE"""),"#REF!")</f>
        <v>#REF!</v>
      </c>
      <c r="DO256" s="217" t="str">
        <f>IFERROR(__xludf.DUMMYFUNCTION("""COMPUTED_VALUE"""),"#REF!")</f>
        <v>#REF!</v>
      </c>
      <c r="DP256" s="79" t="str">
        <f>IFERROR(__xludf.DUMMYFUNCTION("""COMPUTED_VALUE"""),"#REF!")</f>
        <v>#REF!</v>
      </c>
      <c r="DQ256" s="255"/>
      <c r="DR256" s="217"/>
    </row>
    <row r="257">
      <c r="B257" s="180" t="str">
        <f>IFERROR(__xludf.DUMMYFUNCTION("""COMPUTED_VALUE"""),"HEA9")</f>
        <v>HEA9</v>
      </c>
      <c r="C257">
        <f>IFERROR(__xludf.DUMMYFUNCTION("""COMPUTED_VALUE"""),258.0)</f>
        <v>258</v>
      </c>
      <c r="D257" s="88" t="str">
        <f>IFERROR(__xludf.DUMMYFUNCTION("""COMPUTED_VALUE"""),"Imperial Palace Main Street")</f>
        <v>Imperial Palace Main Street</v>
      </c>
      <c r="E257" s="215" t="str">
        <f>IFERROR(__xludf.DUMMYFUNCTION("""COMPUTED_VALUE"""),"大宮大路")</f>
        <v>大宮大路</v>
      </c>
      <c r="F257" s="179">
        <f>IFERROR(__xludf.DUMMYFUNCTION("""COMPUTED_VALUE"""),21.0)</f>
        <v>21</v>
      </c>
      <c r="G257" s="83">
        <f>IFERROR(__xludf.DUMMYFUNCTION("""COMPUTED_VALUE"""),7620.0)</f>
        <v>7620</v>
      </c>
      <c r="H257" s="95" t="str">
        <f>IFERROR(__xludf.DUMMYFUNCTION("""COMPUTED_VALUE"""),"")</f>
        <v/>
      </c>
      <c r="I257" s="96" t="str">
        <f>IFERROR(__xludf.DUMMYFUNCTION("""COMPUTED_VALUE"""),"")</f>
        <v/>
      </c>
      <c r="J257" s="97" t="str">
        <f>IFERROR(__xludf.DUMMYFUNCTION("""COMPUTED_VALUE"""),"")</f>
        <v/>
      </c>
      <c r="K257" s="95" t="str">
        <f>IFERROR(__xludf.DUMMYFUNCTION("""COMPUTED_VALUE"""),"")</f>
        <v/>
      </c>
      <c r="L257" s="96" t="str">
        <f>IFERROR(__xludf.DUMMYFUNCTION("""COMPUTED_VALUE"""),"")</f>
        <v/>
      </c>
      <c r="M257" s="97" t="str">
        <f>IFERROR(__xludf.DUMMYFUNCTION("""COMPUTED_VALUE"""),"")</f>
        <v/>
      </c>
      <c r="N257" s="95" t="str">
        <f>IFERROR(__xludf.DUMMYFUNCTION("""COMPUTED_VALUE"""),"")</f>
        <v/>
      </c>
      <c r="O257" s="96" t="str">
        <f>IFERROR(__xludf.DUMMYFUNCTION("""COMPUTED_VALUE"""),"")</f>
        <v/>
      </c>
      <c r="P257" s="97" t="str">
        <f>IFERROR(__xludf.DUMMYFUNCTION("""COMPUTED_VALUE"""),"")</f>
        <v/>
      </c>
      <c r="Q257" s="95" t="str">
        <f>IFERROR(__xludf.DUMMYFUNCTION("""COMPUTED_VALUE"""),"")</f>
        <v/>
      </c>
      <c r="R257" s="96" t="str">
        <f>IFERROR(__xludf.DUMMYFUNCTION("""COMPUTED_VALUE"""),"")</f>
        <v/>
      </c>
      <c r="S257" s="97" t="str">
        <f>IFERROR(__xludf.DUMMYFUNCTION("""COMPUTED_VALUE"""),"")</f>
        <v/>
      </c>
      <c r="T257" s="95" t="str">
        <f>IFERROR(__xludf.DUMMYFUNCTION("""COMPUTED_VALUE"""),"")</f>
        <v/>
      </c>
      <c r="U257" s="96" t="str">
        <f>IFERROR(__xludf.DUMMYFUNCTION("""COMPUTED_VALUE"""),"")</f>
        <v/>
      </c>
      <c r="V257" s="97" t="str">
        <f>IFERROR(__xludf.DUMMYFUNCTION("""COMPUTED_VALUE"""),"")</f>
        <v/>
      </c>
      <c r="W257" s="95" t="str">
        <f>IFERROR(__xludf.DUMMYFUNCTION("""COMPUTED_VALUE"""),"")</f>
        <v/>
      </c>
      <c r="X257" s="96" t="str">
        <f>IFERROR(__xludf.DUMMYFUNCTION("""COMPUTED_VALUE"""),"")</f>
        <v/>
      </c>
      <c r="Y257" s="97">
        <f>IFERROR(__xludf.DUMMYFUNCTION("""COMPUTED_VALUE"""),10.7)</f>
        <v>10.7</v>
      </c>
      <c r="Z257" s="95" t="str">
        <f>IFERROR(__xludf.DUMMYFUNCTION("""COMPUTED_VALUE"""),"")</f>
        <v/>
      </c>
      <c r="AA257" s="96" t="str">
        <f>IFERROR(__xludf.DUMMYFUNCTION("""COMPUTED_VALUE"""),"")</f>
        <v/>
      </c>
      <c r="AB257" s="97" t="str">
        <f>IFERROR(__xludf.DUMMYFUNCTION("""COMPUTED_VALUE"""),"")</f>
        <v/>
      </c>
      <c r="AC257" s="95" t="str">
        <f>IFERROR(__xludf.DUMMYFUNCTION("""COMPUTED_VALUE"""),"")</f>
        <v/>
      </c>
      <c r="AD257" s="96" t="str">
        <f>IFERROR(__xludf.DUMMYFUNCTION("""COMPUTED_VALUE"""),"")</f>
        <v/>
      </c>
      <c r="AE257" s="97" t="str">
        <f>IFERROR(__xludf.DUMMYFUNCTION("""COMPUTED_VALUE"""),"")</f>
        <v/>
      </c>
      <c r="AF257" s="95" t="str">
        <f>IFERROR(__xludf.DUMMYFUNCTION("""COMPUTED_VALUE"""),"")</f>
        <v/>
      </c>
      <c r="AG257" s="96" t="str">
        <f>IFERROR(__xludf.DUMMYFUNCTION("""COMPUTED_VALUE"""),"")</f>
        <v/>
      </c>
      <c r="AH257" s="97" t="str">
        <f>IFERROR(__xludf.DUMMYFUNCTION("""COMPUTED_VALUE"""),"")</f>
        <v/>
      </c>
      <c r="AI257" s="216" t="str">
        <f>IFERROR(__xludf.DUMMYFUNCTION("""COMPUTED_VALUE"""),"")</f>
        <v/>
      </c>
      <c r="AJ257" s="217" t="str">
        <f>IFERROR(__xludf.DUMMYFUNCTION("""COMPUTED_VALUE"""),"")</f>
        <v/>
      </c>
      <c r="AK257" s="218" t="str">
        <f>IFERROR(__xludf.DUMMYFUNCTION("""COMPUTED_VALUE"""),"")</f>
        <v/>
      </c>
      <c r="AL257" s="217" t="str">
        <f>IFERROR(__xludf.DUMMYFUNCTION("""COMPUTED_VALUE"""),"")</f>
        <v/>
      </c>
      <c r="AM257" s="217" t="str">
        <f>IFERROR(__xludf.DUMMYFUNCTION("""COMPUTED_VALUE"""),"")</f>
        <v/>
      </c>
      <c r="AN257" s="218" t="str">
        <f>IFERROR(__xludf.DUMMYFUNCTION("""COMPUTED_VALUE"""),"")</f>
        <v/>
      </c>
      <c r="AO257" s="217" t="str">
        <f>IFERROR(__xludf.DUMMYFUNCTION("""COMPUTED_VALUE"""),"")</f>
        <v/>
      </c>
      <c r="AP257" s="217" t="str">
        <f>IFERROR(__xludf.DUMMYFUNCTION("""COMPUTED_VALUE"""),"")</f>
        <v/>
      </c>
      <c r="AQ257" s="218" t="str">
        <f>IFERROR(__xludf.DUMMYFUNCTION("""COMPUTED_VALUE"""),"")</f>
        <v/>
      </c>
      <c r="AR257" s="217" t="str">
        <f>IFERROR(__xludf.DUMMYFUNCTION("""COMPUTED_VALUE"""),"")</f>
        <v/>
      </c>
      <c r="AS257" s="217" t="str">
        <f>IFERROR(__xludf.DUMMYFUNCTION("""COMPUTED_VALUE"""),"")</f>
        <v/>
      </c>
      <c r="AT257" s="218" t="str">
        <f>IFERROR(__xludf.DUMMYFUNCTION("""COMPUTED_VALUE"""),"")</f>
        <v/>
      </c>
      <c r="AU257" s="217">
        <f>IFERROR(__xludf.DUMMYFUNCTION("""COMPUTED_VALUE"""),30.6)</f>
        <v>30.6</v>
      </c>
      <c r="AV257" s="217" t="str">
        <f>IFERROR(__xludf.DUMMYFUNCTION("""COMPUTED_VALUE"""),"")</f>
        <v/>
      </c>
      <c r="AW257" s="218">
        <f>IFERROR(__xludf.DUMMYFUNCTION("""COMPUTED_VALUE"""),30.2)</f>
        <v>30.2</v>
      </c>
      <c r="AX257" s="217" t="str">
        <f>IFERROR(__xludf.DUMMYFUNCTION("""COMPUTED_VALUE"""),"")</f>
        <v/>
      </c>
      <c r="AY257" s="217" t="str">
        <f>IFERROR(__xludf.DUMMYFUNCTION("""COMPUTED_VALUE"""),"")</f>
        <v/>
      </c>
      <c r="AZ257" s="218" t="str">
        <f>IFERROR(__xludf.DUMMYFUNCTION("""COMPUTED_VALUE"""),"")</f>
        <v/>
      </c>
      <c r="BA257" s="217" t="str">
        <f>IFERROR(__xludf.DUMMYFUNCTION("""COMPUTED_VALUE"""),"")</f>
        <v/>
      </c>
      <c r="BB257" s="217" t="str">
        <f>IFERROR(__xludf.DUMMYFUNCTION("""COMPUTED_VALUE"""),"")</f>
        <v/>
      </c>
      <c r="BC257" s="218" t="str">
        <f>IFERROR(__xludf.DUMMYFUNCTION("""COMPUTED_VALUE"""),"")</f>
        <v/>
      </c>
      <c r="BD257" s="217" t="str">
        <f>IFERROR(__xludf.DUMMYFUNCTION("""COMPUTED_VALUE"""),"")</f>
        <v/>
      </c>
      <c r="BE257" s="217" t="str">
        <f>IFERROR(__xludf.DUMMYFUNCTION("""COMPUTED_VALUE"""),"")</f>
        <v/>
      </c>
      <c r="BF257" s="218" t="str">
        <f>IFERROR(__xludf.DUMMYFUNCTION("""COMPUTED_VALUE"""),"")</f>
        <v/>
      </c>
      <c r="BG257" s="216" t="str">
        <f>IFERROR(__xludf.DUMMYFUNCTION("""COMPUTED_VALUE"""),"")</f>
        <v/>
      </c>
      <c r="BH257" s="217" t="str">
        <f>IFERROR(__xludf.DUMMYFUNCTION("""COMPUTED_VALUE"""),"")</f>
        <v/>
      </c>
      <c r="BI257" s="218">
        <f>IFERROR(__xludf.DUMMYFUNCTION("""COMPUTED_VALUE"""),4.0)</f>
        <v>4</v>
      </c>
      <c r="BJ257" s="217" t="str">
        <f>IFERROR(__xludf.DUMMYFUNCTION("""COMPUTED_VALUE"""),"")</f>
        <v/>
      </c>
      <c r="BK257" s="217" t="str">
        <f>IFERROR(__xludf.DUMMYFUNCTION("""COMPUTED_VALUE"""),"")</f>
        <v/>
      </c>
      <c r="BL257" s="218" t="str">
        <f>IFERROR(__xludf.DUMMYFUNCTION("""COMPUTED_VALUE"""),"")</f>
        <v/>
      </c>
      <c r="BM257" s="217" t="str">
        <f>IFERROR(__xludf.DUMMYFUNCTION("""COMPUTED_VALUE"""),"")</f>
        <v/>
      </c>
      <c r="BN257" s="217" t="str">
        <f>IFERROR(__xludf.DUMMYFUNCTION("""COMPUTED_VALUE"""),"")</f>
        <v/>
      </c>
      <c r="BO257" s="218" t="str">
        <f>IFERROR(__xludf.DUMMYFUNCTION("""COMPUTED_VALUE"""),"")</f>
        <v/>
      </c>
      <c r="BP257" s="217" t="str">
        <f>IFERROR(__xludf.DUMMYFUNCTION("""COMPUTED_VALUE"""),"")</f>
        <v/>
      </c>
      <c r="BQ257" s="217" t="str">
        <f>IFERROR(__xludf.DUMMYFUNCTION("""COMPUTED_VALUE"""),"")</f>
        <v/>
      </c>
      <c r="BR257" s="218" t="str">
        <f>IFERROR(__xludf.DUMMYFUNCTION("""COMPUTED_VALUE"""),"")</f>
        <v/>
      </c>
      <c r="BS257" s="217" t="str">
        <f>IFERROR(__xludf.DUMMYFUNCTION("""COMPUTED_VALUE"""),"")</f>
        <v/>
      </c>
      <c r="BT257" s="217" t="str">
        <f>IFERROR(__xludf.DUMMYFUNCTION("""COMPUTED_VALUE"""),"")</f>
        <v/>
      </c>
      <c r="BU257" s="218" t="str">
        <f>IFERROR(__xludf.DUMMYFUNCTION("""COMPUTED_VALUE"""),"")</f>
        <v/>
      </c>
      <c r="BV257" s="217" t="str">
        <f>IFERROR(__xludf.DUMMYFUNCTION("""COMPUTED_VALUE"""),"")</f>
        <v/>
      </c>
      <c r="BW257" s="217">
        <f>IFERROR(__xludf.DUMMYFUNCTION("""COMPUTED_VALUE"""),15.1)</f>
        <v>15.1</v>
      </c>
      <c r="BX257" s="218" t="str">
        <f>IFERROR(__xludf.DUMMYFUNCTION("""COMPUTED_VALUE"""),"")</f>
        <v/>
      </c>
      <c r="BY257" s="217" t="str">
        <f>IFERROR(__xludf.DUMMYFUNCTION("""COMPUTED_VALUE"""),"")</f>
        <v/>
      </c>
      <c r="BZ257" s="217" t="str">
        <f>IFERROR(__xludf.DUMMYFUNCTION("""COMPUTED_VALUE"""),"")</f>
        <v/>
      </c>
      <c r="CA257" s="218" t="str">
        <f>IFERROR(__xludf.DUMMYFUNCTION("""COMPUTED_VALUE"""),"")</f>
        <v/>
      </c>
      <c r="CB257" s="216" t="str">
        <f>IFERROR(__xludf.DUMMYFUNCTION("""COMPUTED_VALUE"""),"")</f>
        <v/>
      </c>
      <c r="CC257" s="217" t="str">
        <f>IFERROR(__xludf.DUMMYFUNCTION("""COMPUTED_VALUE"""),"")</f>
        <v/>
      </c>
      <c r="CD257" s="218" t="str">
        <f>IFERROR(__xludf.DUMMYFUNCTION("""COMPUTED_VALUE"""),"")</f>
        <v/>
      </c>
      <c r="CE257" s="217" t="str">
        <f>IFERROR(__xludf.DUMMYFUNCTION("""COMPUTED_VALUE"""),"")</f>
        <v/>
      </c>
      <c r="CF257" s="217" t="str">
        <f>IFERROR(__xludf.DUMMYFUNCTION("""COMPUTED_VALUE"""),"")</f>
        <v/>
      </c>
      <c r="CG257" s="218" t="str">
        <f>IFERROR(__xludf.DUMMYFUNCTION("""COMPUTED_VALUE"""),"")</f>
        <v/>
      </c>
      <c r="CH257" s="217" t="str">
        <f>IFERROR(__xludf.DUMMYFUNCTION("""COMPUTED_VALUE"""),"")</f>
        <v/>
      </c>
      <c r="CI257" s="217" t="str">
        <f>IFERROR(__xludf.DUMMYFUNCTION("""COMPUTED_VALUE"""),"")</f>
        <v/>
      </c>
      <c r="CJ257" s="218" t="str">
        <f>IFERROR(__xludf.DUMMYFUNCTION("""COMPUTED_VALUE"""),"")</f>
        <v/>
      </c>
      <c r="CK257" s="217" t="str">
        <f>IFERROR(__xludf.DUMMYFUNCTION("""COMPUTED_VALUE"""),"")</f>
        <v/>
      </c>
      <c r="CL257" s="217" t="str">
        <f>IFERROR(__xludf.DUMMYFUNCTION("""COMPUTED_VALUE"""),"")</f>
        <v/>
      </c>
      <c r="CM257" s="218" t="str">
        <f>IFERROR(__xludf.DUMMYFUNCTION("""COMPUTED_VALUE"""),"")</f>
        <v/>
      </c>
      <c r="CN257" s="217" t="str">
        <f>IFERROR(__xludf.DUMMYFUNCTION("""COMPUTED_VALUE"""),"")</f>
        <v/>
      </c>
      <c r="CO257" s="79" t="str">
        <f>IFERROR(__xludf.DUMMYFUNCTION("""COMPUTED_VALUE"""),"")</f>
        <v/>
      </c>
      <c r="CP257" s="255" t="str">
        <f>IFERROR(__xludf.DUMMYFUNCTION("""COMPUTED_VALUE"""),"")</f>
        <v/>
      </c>
      <c r="CQ257" s="217" t="str">
        <f>IFERROR(__xludf.DUMMYFUNCTION("""COMPUTED_VALUE"""),"")</f>
        <v/>
      </c>
      <c r="CR257" s="217">
        <f>IFERROR(__xludf.DUMMYFUNCTION("""COMPUTED_VALUE"""),5.3)</f>
        <v>5.3</v>
      </c>
      <c r="CS257" s="218" t="str">
        <f>IFERROR(__xludf.DUMMYFUNCTION("""COMPUTED_VALUE"""),"#REF!")</f>
        <v>#REF!</v>
      </c>
      <c r="CT257" s="217" t="str">
        <f>IFERROR(__xludf.DUMMYFUNCTION("""COMPUTED_VALUE"""),"#REF!")</f>
        <v>#REF!</v>
      </c>
      <c r="CU257" s="217" t="str">
        <f>IFERROR(__xludf.DUMMYFUNCTION("""COMPUTED_VALUE"""),"#REF!")</f>
        <v>#REF!</v>
      </c>
      <c r="CV257" s="218" t="str">
        <f>IFERROR(__xludf.DUMMYFUNCTION("""COMPUTED_VALUE"""),"#REF!")</f>
        <v>#REF!</v>
      </c>
      <c r="CW257" s="217" t="str">
        <f>IFERROR(__xludf.DUMMYFUNCTION("""COMPUTED_VALUE"""),"#REF!")</f>
        <v>#REF!</v>
      </c>
      <c r="CX257" s="79" t="str">
        <f>IFERROR(__xludf.DUMMYFUNCTION("""COMPUTED_VALUE"""),"#REF!")</f>
        <v>#REF!</v>
      </c>
      <c r="CY257" s="255" t="str">
        <f>IFERROR(__xludf.DUMMYFUNCTION("""COMPUTED_VALUE"""),"#REF!")</f>
        <v>#REF!</v>
      </c>
      <c r="CZ257" s="217" t="str">
        <f>IFERROR(__xludf.DUMMYFUNCTION("""COMPUTED_VALUE"""),"#REF!")</f>
        <v>#REF!</v>
      </c>
      <c r="DA257" s="217" t="str">
        <f>IFERROR(__xludf.DUMMYFUNCTION("""COMPUTED_VALUE"""),"#REF!")</f>
        <v>#REF!</v>
      </c>
      <c r="DB257" s="218" t="str">
        <f>IFERROR(__xludf.DUMMYFUNCTION("""COMPUTED_VALUE"""),"#REF!")</f>
        <v>#REF!</v>
      </c>
      <c r="DC257" s="217" t="str">
        <f>IFERROR(__xludf.DUMMYFUNCTION("""COMPUTED_VALUE"""),"#REF!")</f>
        <v>#REF!</v>
      </c>
      <c r="DD257" s="217" t="str">
        <f>IFERROR(__xludf.DUMMYFUNCTION("""COMPUTED_VALUE"""),"#REF!")</f>
        <v>#REF!</v>
      </c>
      <c r="DE257" s="218" t="str">
        <f>IFERROR(__xludf.DUMMYFUNCTION("""COMPUTED_VALUE"""),"#REF!")</f>
        <v>#REF!</v>
      </c>
      <c r="DF257" s="217" t="str">
        <f>IFERROR(__xludf.DUMMYFUNCTION("""COMPUTED_VALUE"""),"#REF!")</f>
        <v>#REF!</v>
      </c>
      <c r="DG257" s="79" t="str">
        <f>IFERROR(__xludf.DUMMYFUNCTION("""COMPUTED_VALUE"""),"#REF!")</f>
        <v>#REF!</v>
      </c>
      <c r="DH257" s="255" t="str">
        <f>IFERROR(__xludf.DUMMYFUNCTION("""COMPUTED_VALUE"""),"#REF!")</f>
        <v>#REF!</v>
      </c>
      <c r="DI257" s="217" t="str">
        <f>IFERROR(__xludf.DUMMYFUNCTION("""COMPUTED_VALUE"""),"#REF!")</f>
        <v>#REF!</v>
      </c>
      <c r="DJ257" s="217" t="str">
        <f>IFERROR(__xludf.DUMMYFUNCTION("""COMPUTED_VALUE"""),"#REF!")</f>
        <v>#REF!</v>
      </c>
      <c r="DK257" s="218" t="str">
        <f>IFERROR(__xludf.DUMMYFUNCTION("""COMPUTED_VALUE"""),"#REF!")</f>
        <v>#REF!</v>
      </c>
      <c r="DL257" s="217" t="str">
        <f>IFERROR(__xludf.DUMMYFUNCTION("""COMPUTED_VALUE"""),"#REF!")</f>
        <v>#REF!</v>
      </c>
      <c r="DM257" s="217" t="str">
        <f>IFERROR(__xludf.DUMMYFUNCTION("""COMPUTED_VALUE"""),"#REF!")</f>
        <v>#REF!</v>
      </c>
      <c r="DN257" s="218" t="str">
        <f>IFERROR(__xludf.DUMMYFUNCTION("""COMPUTED_VALUE"""),"#REF!")</f>
        <v>#REF!</v>
      </c>
      <c r="DO257" s="217" t="str">
        <f>IFERROR(__xludf.DUMMYFUNCTION("""COMPUTED_VALUE"""),"#REF!")</f>
        <v>#REF!</v>
      </c>
      <c r="DP257" s="79" t="str">
        <f>IFERROR(__xludf.DUMMYFUNCTION("""COMPUTED_VALUE"""),"#REF!")</f>
        <v>#REF!</v>
      </c>
      <c r="DQ257" s="255"/>
      <c r="DR257" s="217"/>
    </row>
    <row r="258">
      <c r="B258" s="180" t="str">
        <f>IFERROR(__xludf.DUMMYFUNCTION("""COMPUTED_VALUE"""),"HEA10")</f>
        <v>HEA10</v>
      </c>
      <c r="C258">
        <f>IFERROR(__xludf.DUMMYFUNCTION("""COMPUTED_VALUE"""),259.0)</f>
        <v>259</v>
      </c>
      <c r="D258" s="88" t="str">
        <f>IFERROR(__xludf.DUMMYFUNCTION("""COMPUTED_VALUE"""),"Raikou's Residence")</f>
        <v>Raikou's Residence</v>
      </c>
      <c r="E258" s="215" t="str">
        <f>IFERROR(__xludf.DUMMYFUNCTION("""COMPUTED_VALUE"""),"頼光の屋敷")</f>
        <v>頼光の屋敷</v>
      </c>
      <c r="F258" s="179">
        <f>IFERROR(__xludf.DUMMYFUNCTION("""COMPUTED_VALUE"""),21.0)</f>
        <v>21</v>
      </c>
      <c r="G258" s="83">
        <f>IFERROR(__xludf.DUMMYFUNCTION("""COMPUTED_VALUE"""),1605.0)</f>
        <v>1605</v>
      </c>
      <c r="H258" s="95" t="str">
        <f>IFERROR(__xludf.DUMMYFUNCTION("""COMPUTED_VALUE"""),"")</f>
        <v/>
      </c>
      <c r="I258" s="96" t="str">
        <f>IFERROR(__xludf.DUMMYFUNCTION("""COMPUTED_VALUE"""),"")</f>
        <v/>
      </c>
      <c r="J258" s="97" t="str">
        <f>IFERROR(__xludf.DUMMYFUNCTION("""COMPUTED_VALUE"""),"")</f>
        <v/>
      </c>
      <c r="K258" s="95" t="str">
        <f>IFERROR(__xludf.DUMMYFUNCTION("""COMPUTED_VALUE"""),"")</f>
        <v/>
      </c>
      <c r="L258" s="96" t="str">
        <f>IFERROR(__xludf.DUMMYFUNCTION("""COMPUTED_VALUE"""),"")</f>
        <v/>
      </c>
      <c r="M258" s="97" t="str">
        <f>IFERROR(__xludf.DUMMYFUNCTION("""COMPUTED_VALUE"""),"")</f>
        <v/>
      </c>
      <c r="N258" s="95" t="str">
        <f>IFERROR(__xludf.DUMMYFUNCTION("""COMPUTED_VALUE"""),"")</f>
        <v/>
      </c>
      <c r="O258" s="96" t="str">
        <f>IFERROR(__xludf.DUMMYFUNCTION("""COMPUTED_VALUE"""),"")</f>
        <v/>
      </c>
      <c r="P258" s="97" t="str">
        <f>IFERROR(__xludf.DUMMYFUNCTION("""COMPUTED_VALUE"""),"")</f>
        <v/>
      </c>
      <c r="Q258" s="95" t="str">
        <f>IFERROR(__xludf.DUMMYFUNCTION("""COMPUTED_VALUE"""),"")</f>
        <v/>
      </c>
      <c r="R258" s="96" t="str">
        <f>IFERROR(__xludf.DUMMYFUNCTION("""COMPUTED_VALUE"""),"")</f>
        <v/>
      </c>
      <c r="S258" s="97" t="str">
        <f>IFERROR(__xludf.DUMMYFUNCTION("""COMPUTED_VALUE"""),"")</f>
        <v/>
      </c>
      <c r="T258" s="95" t="str">
        <f>IFERROR(__xludf.DUMMYFUNCTION("""COMPUTED_VALUE"""),"")</f>
        <v/>
      </c>
      <c r="U258" s="96">
        <f>IFERROR(__xludf.DUMMYFUNCTION("""COMPUTED_VALUE"""),12.6)</f>
        <v>12.6</v>
      </c>
      <c r="V258" s="97" t="str">
        <f>IFERROR(__xludf.DUMMYFUNCTION("""COMPUTED_VALUE"""),"")</f>
        <v/>
      </c>
      <c r="W258" s="95" t="str">
        <f>IFERROR(__xludf.DUMMYFUNCTION("""COMPUTED_VALUE"""),"")</f>
        <v/>
      </c>
      <c r="X258" s="96" t="str">
        <f>IFERROR(__xludf.DUMMYFUNCTION("""COMPUTED_VALUE"""),"")</f>
        <v/>
      </c>
      <c r="Y258" s="97" t="str">
        <f>IFERROR(__xludf.DUMMYFUNCTION("""COMPUTED_VALUE"""),"")</f>
        <v/>
      </c>
      <c r="Z258" s="95" t="str">
        <f>IFERROR(__xludf.DUMMYFUNCTION("""COMPUTED_VALUE"""),"")</f>
        <v/>
      </c>
      <c r="AA258" s="96" t="str">
        <f>IFERROR(__xludf.DUMMYFUNCTION("""COMPUTED_VALUE"""),"")</f>
        <v/>
      </c>
      <c r="AB258" s="97" t="str">
        <f>IFERROR(__xludf.DUMMYFUNCTION("""COMPUTED_VALUE"""),"")</f>
        <v/>
      </c>
      <c r="AC258" s="95" t="str">
        <f>IFERROR(__xludf.DUMMYFUNCTION("""COMPUTED_VALUE"""),"")</f>
        <v/>
      </c>
      <c r="AD258" s="96" t="str">
        <f>IFERROR(__xludf.DUMMYFUNCTION("""COMPUTED_VALUE"""),"")</f>
        <v/>
      </c>
      <c r="AE258" s="97" t="str">
        <f>IFERROR(__xludf.DUMMYFUNCTION("""COMPUTED_VALUE"""),"")</f>
        <v/>
      </c>
      <c r="AF258" s="95" t="str">
        <f>IFERROR(__xludf.DUMMYFUNCTION("""COMPUTED_VALUE"""),"")</f>
        <v/>
      </c>
      <c r="AG258" s="96" t="str">
        <f>IFERROR(__xludf.DUMMYFUNCTION("""COMPUTED_VALUE"""),"")</f>
        <v/>
      </c>
      <c r="AH258" s="97" t="str">
        <f>IFERROR(__xludf.DUMMYFUNCTION("""COMPUTED_VALUE"""),"")</f>
        <v/>
      </c>
      <c r="AI258" s="216" t="str">
        <f>IFERROR(__xludf.DUMMYFUNCTION("""COMPUTED_VALUE"""),"")</f>
        <v/>
      </c>
      <c r="AJ258" s="217" t="str">
        <f>IFERROR(__xludf.DUMMYFUNCTION("""COMPUTED_VALUE"""),"")</f>
        <v/>
      </c>
      <c r="AK258" s="218" t="str">
        <f>IFERROR(__xludf.DUMMYFUNCTION("""COMPUTED_VALUE"""),"")</f>
        <v/>
      </c>
      <c r="AL258" s="217" t="str">
        <f>IFERROR(__xludf.DUMMYFUNCTION("""COMPUTED_VALUE"""),"")</f>
        <v/>
      </c>
      <c r="AM258" s="217" t="str">
        <f>IFERROR(__xludf.DUMMYFUNCTION("""COMPUTED_VALUE"""),"")</f>
        <v/>
      </c>
      <c r="AN258" s="218" t="str">
        <f>IFERROR(__xludf.DUMMYFUNCTION("""COMPUTED_VALUE"""),"")</f>
        <v/>
      </c>
      <c r="AO258" s="217" t="str">
        <f>IFERROR(__xludf.DUMMYFUNCTION("""COMPUTED_VALUE"""),"")</f>
        <v/>
      </c>
      <c r="AP258" s="217" t="str">
        <f>IFERROR(__xludf.DUMMYFUNCTION("""COMPUTED_VALUE"""),"")</f>
        <v/>
      </c>
      <c r="AQ258" s="218" t="str">
        <f>IFERROR(__xludf.DUMMYFUNCTION("""COMPUTED_VALUE"""),"")</f>
        <v/>
      </c>
      <c r="AR258" s="217" t="str">
        <f>IFERROR(__xludf.DUMMYFUNCTION("""COMPUTED_VALUE"""),"")</f>
        <v/>
      </c>
      <c r="AS258" s="217" t="str">
        <f>IFERROR(__xludf.DUMMYFUNCTION("""COMPUTED_VALUE"""),"")</f>
        <v/>
      </c>
      <c r="AT258" s="218" t="str">
        <f>IFERROR(__xludf.DUMMYFUNCTION("""COMPUTED_VALUE"""),"")</f>
        <v/>
      </c>
      <c r="AU258" s="217" t="str">
        <f>IFERROR(__xludf.DUMMYFUNCTION("""COMPUTED_VALUE"""),"")</f>
        <v/>
      </c>
      <c r="AV258" s="217">
        <f>IFERROR(__xludf.DUMMYFUNCTION("""COMPUTED_VALUE"""),40.4)</f>
        <v>40.4</v>
      </c>
      <c r="AW258" s="218" t="str">
        <f>IFERROR(__xludf.DUMMYFUNCTION("""COMPUTED_VALUE"""),"")</f>
        <v/>
      </c>
      <c r="AX258" s="217" t="str">
        <f>IFERROR(__xludf.DUMMYFUNCTION("""COMPUTED_VALUE"""),"")</f>
        <v/>
      </c>
      <c r="AY258" s="217" t="str">
        <f>IFERROR(__xludf.DUMMYFUNCTION("""COMPUTED_VALUE"""),"")</f>
        <v/>
      </c>
      <c r="AZ258" s="218" t="str">
        <f>IFERROR(__xludf.DUMMYFUNCTION("""COMPUTED_VALUE"""),"")</f>
        <v/>
      </c>
      <c r="BA258" s="217" t="str">
        <f>IFERROR(__xludf.DUMMYFUNCTION("""COMPUTED_VALUE"""),"")</f>
        <v/>
      </c>
      <c r="BB258" s="217" t="str">
        <f>IFERROR(__xludf.DUMMYFUNCTION("""COMPUTED_VALUE"""),"")</f>
        <v/>
      </c>
      <c r="BC258" s="218" t="str">
        <f>IFERROR(__xludf.DUMMYFUNCTION("""COMPUTED_VALUE"""),"")</f>
        <v/>
      </c>
      <c r="BD258" s="217" t="str">
        <f>IFERROR(__xludf.DUMMYFUNCTION("""COMPUTED_VALUE"""),"")</f>
        <v/>
      </c>
      <c r="BE258" s="217" t="str">
        <f>IFERROR(__xludf.DUMMYFUNCTION("""COMPUTED_VALUE"""),"")</f>
        <v/>
      </c>
      <c r="BF258" s="218" t="str">
        <f>IFERROR(__xludf.DUMMYFUNCTION("""COMPUTED_VALUE"""),"")</f>
        <v/>
      </c>
      <c r="BG258" s="216" t="str">
        <f>IFERROR(__xludf.DUMMYFUNCTION("""COMPUTED_VALUE"""),"")</f>
        <v/>
      </c>
      <c r="BH258" s="217">
        <f>IFERROR(__xludf.DUMMYFUNCTION("""COMPUTED_VALUE"""),3.8)</f>
        <v>3.8</v>
      </c>
      <c r="BI258" s="218" t="str">
        <f>IFERROR(__xludf.DUMMYFUNCTION("""COMPUTED_VALUE"""),"")</f>
        <v/>
      </c>
      <c r="BJ258" s="217" t="str">
        <f>IFERROR(__xludf.DUMMYFUNCTION("""COMPUTED_VALUE"""),"")</f>
        <v/>
      </c>
      <c r="BK258" s="217" t="str">
        <f>IFERROR(__xludf.DUMMYFUNCTION("""COMPUTED_VALUE"""),"")</f>
        <v/>
      </c>
      <c r="BL258" s="218" t="str">
        <f>IFERROR(__xludf.DUMMYFUNCTION("""COMPUTED_VALUE"""),"")</f>
        <v/>
      </c>
      <c r="BM258" s="217" t="str">
        <f>IFERROR(__xludf.DUMMYFUNCTION("""COMPUTED_VALUE"""),"")</f>
        <v/>
      </c>
      <c r="BN258" s="217" t="str">
        <f>IFERROR(__xludf.DUMMYFUNCTION("""COMPUTED_VALUE"""),"")</f>
        <v/>
      </c>
      <c r="BO258" s="218" t="str">
        <f>IFERROR(__xludf.DUMMYFUNCTION("""COMPUTED_VALUE"""),"")</f>
        <v/>
      </c>
      <c r="BP258" s="217" t="str">
        <f>IFERROR(__xludf.DUMMYFUNCTION("""COMPUTED_VALUE"""),"")</f>
        <v/>
      </c>
      <c r="BQ258" s="217" t="str">
        <f>IFERROR(__xludf.DUMMYFUNCTION("""COMPUTED_VALUE"""),"")</f>
        <v/>
      </c>
      <c r="BR258" s="218" t="str">
        <f>IFERROR(__xludf.DUMMYFUNCTION("""COMPUTED_VALUE"""),"")</f>
        <v/>
      </c>
      <c r="BS258" s="217" t="str">
        <f>IFERROR(__xludf.DUMMYFUNCTION("""COMPUTED_VALUE"""),"")</f>
        <v/>
      </c>
      <c r="BT258" s="217" t="str">
        <f>IFERROR(__xludf.DUMMYFUNCTION("""COMPUTED_VALUE"""),"")</f>
        <v/>
      </c>
      <c r="BU258" s="218" t="str">
        <f>IFERROR(__xludf.DUMMYFUNCTION("""COMPUTED_VALUE"""),"")</f>
        <v/>
      </c>
      <c r="BV258" s="217">
        <f>IFERROR(__xludf.DUMMYFUNCTION("""COMPUTED_VALUE"""),37.9)</f>
        <v>37.9</v>
      </c>
      <c r="BW258" s="217" t="str">
        <f>IFERROR(__xludf.DUMMYFUNCTION("""COMPUTED_VALUE"""),"")</f>
        <v/>
      </c>
      <c r="BX258" s="218" t="str">
        <f>IFERROR(__xludf.DUMMYFUNCTION("""COMPUTED_VALUE"""),"")</f>
        <v/>
      </c>
      <c r="BY258" s="217" t="str">
        <f>IFERROR(__xludf.DUMMYFUNCTION("""COMPUTED_VALUE"""),"")</f>
        <v/>
      </c>
      <c r="BZ258" s="217" t="str">
        <f>IFERROR(__xludf.DUMMYFUNCTION("""COMPUTED_VALUE"""),"")</f>
        <v/>
      </c>
      <c r="CA258" s="218" t="str">
        <f>IFERROR(__xludf.DUMMYFUNCTION("""COMPUTED_VALUE"""),"")</f>
        <v/>
      </c>
      <c r="CB258" s="216" t="str">
        <f>IFERROR(__xludf.DUMMYFUNCTION("""COMPUTED_VALUE"""),"")</f>
        <v/>
      </c>
      <c r="CC258" s="217" t="str">
        <f>IFERROR(__xludf.DUMMYFUNCTION("""COMPUTED_VALUE"""),"")</f>
        <v/>
      </c>
      <c r="CD258" s="218" t="str">
        <f>IFERROR(__xludf.DUMMYFUNCTION("""COMPUTED_VALUE"""),"")</f>
        <v/>
      </c>
      <c r="CE258" s="217" t="str">
        <f>IFERROR(__xludf.DUMMYFUNCTION("""COMPUTED_VALUE"""),"")</f>
        <v/>
      </c>
      <c r="CF258" s="217" t="str">
        <f>IFERROR(__xludf.DUMMYFUNCTION("""COMPUTED_VALUE"""),"")</f>
        <v/>
      </c>
      <c r="CG258" s="218" t="str">
        <f>IFERROR(__xludf.DUMMYFUNCTION("""COMPUTED_VALUE"""),"")</f>
        <v/>
      </c>
      <c r="CH258" s="217" t="str">
        <f>IFERROR(__xludf.DUMMYFUNCTION("""COMPUTED_VALUE"""),"")</f>
        <v/>
      </c>
      <c r="CI258" s="217" t="str">
        <f>IFERROR(__xludf.DUMMYFUNCTION("""COMPUTED_VALUE"""),"")</f>
        <v/>
      </c>
      <c r="CJ258" s="218" t="str">
        <f>IFERROR(__xludf.DUMMYFUNCTION("""COMPUTED_VALUE"""),"")</f>
        <v/>
      </c>
      <c r="CK258" s="217" t="str">
        <f>IFERROR(__xludf.DUMMYFUNCTION("""COMPUTED_VALUE"""),"")</f>
        <v/>
      </c>
      <c r="CL258" s="217" t="str">
        <f>IFERROR(__xludf.DUMMYFUNCTION("""COMPUTED_VALUE"""),"")</f>
        <v/>
      </c>
      <c r="CM258" s="218" t="str">
        <f>IFERROR(__xludf.DUMMYFUNCTION("""COMPUTED_VALUE"""),"")</f>
        <v/>
      </c>
      <c r="CN258" s="217" t="str">
        <f>IFERROR(__xludf.DUMMYFUNCTION("""COMPUTED_VALUE"""),"")</f>
        <v/>
      </c>
      <c r="CO258" s="79" t="str">
        <f>IFERROR(__xludf.DUMMYFUNCTION("""COMPUTED_VALUE"""),"")</f>
        <v/>
      </c>
      <c r="CP258" s="255" t="str">
        <f>IFERROR(__xludf.DUMMYFUNCTION("""COMPUTED_VALUE"""),"")</f>
        <v/>
      </c>
      <c r="CQ258" s="217">
        <f>IFERROR(__xludf.DUMMYFUNCTION("""COMPUTED_VALUE"""),4.7)</f>
        <v>4.7</v>
      </c>
      <c r="CR258" s="217" t="str">
        <f>IFERROR(__xludf.DUMMYFUNCTION("""COMPUTED_VALUE"""),"")</f>
        <v/>
      </c>
      <c r="CS258" s="218" t="str">
        <f>IFERROR(__xludf.DUMMYFUNCTION("""COMPUTED_VALUE"""),"#REF!")</f>
        <v>#REF!</v>
      </c>
      <c r="CT258" s="217" t="str">
        <f>IFERROR(__xludf.DUMMYFUNCTION("""COMPUTED_VALUE"""),"#REF!")</f>
        <v>#REF!</v>
      </c>
      <c r="CU258" s="217" t="str">
        <f>IFERROR(__xludf.DUMMYFUNCTION("""COMPUTED_VALUE"""),"#REF!")</f>
        <v>#REF!</v>
      </c>
      <c r="CV258" s="218" t="str">
        <f>IFERROR(__xludf.DUMMYFUNCTION("""COMPUTED_VALUE"""),"#REF!")</f>
        <v>#REF!</v>
      </c>
      <c r="CW258" s="217" t="str">
        <f>IFERROR(__xludf.DUMMYFUNCTION("""COMPUTED_VALUE"""),"#REF!")</f>
        <v>#REF!</v>
      </c>
      <c r="CX258" s="79" t="str">
        <f>IFERROR(__xludf.DUMMYFUNCTION("""COMPUTED_VALUE"""),"#REF!")</f>
        <v>#REF!</v>
      </c>
      <c r="CY258" s="255" t="str">
        <f>IFERROR(__xludf.DUMMYFUNCTION("""COMPUTED_VALUE"""),"#REF!")</f>
        <v>#REF!</v>
      </c>
      <c r="CZ258" s="217" t="str">
        <f>IFERROR(__xludf.DUMMYFUNCTION("""COMPUTED_VALUE"""),"#REF!")</f>
        <v>#REF!</v>
      </c>
      <c r="DA258" s="217" t="str">
        <f>IFERROR(__xludf.DUMMYFUNCTION("""COMPUTED_VALUE"""),"#REF!")</f>
        <v>#REF!</v>
      </c>
      <c r="DB258" s="218" t="str">
        <f>IFERROR(__xludf.DUMMYFUNCTION("""COMPUTED_VALUE"""),"#REF!")</f>
        <v>#REF!</v>
      </c>
      <c r="DC258" s="217" t="str">
        <f>IFERROR(__xludf.DUMMYFUNCTION("""COMPUTED_VALUE"""),"#REF!")</f>
        <v>#REF!</v>
      </c>
      <c r="DD258" s="217" t="str">
        <f>IFERROR(__xludf.DUMMYFUNCTION("""COMPUTED_VALUE"""),"#REF!")</f>
        <v>#REF!</v>
      </c>
      <c r="DE258" s="218" t="str">
        <f>IFERROR(__xludf.DUMMYFUNCTION("""COMPUTED_VALUE"""),"#REF!")</f>
        <v>#REF!</v>
      </c>
      <c r="DF258" s="217" t="str">
        <f>IFERROR(__xludf.DUMMYFUNCTION("""COMPUTED_VALUE"""),"#REF!")</f>
        <v>#REF!</v>
      </c>
      <c r="DG258" s="79" t="str">
        <f>IFERROR(__xludf.DUMMYFUNCTION("""COMPUTED_VALUE"""),"#REF!")</f>
        <v>#REF!</v>
      </c>
      <c r="DH258" s="255" t="str">
        <f>IFERROR(__xludf.DUMMYFUNCTION("""COMPUTED_VALUE"""),"#REF!")</f>
        <v>#REF!</v>
      </c>
      <c r="DI258" s="217" t="str">
        <f>IFERROR(__xludf.DUMMYFUNCTION("""COMPUTED_VALUE"""),"#REF!")</f>
        <v>#REF!</v>
      </c>
      <c r="DJ258" s="217" t="str">
        <f>IFERROR(__xludf.DUMMYFUNCTION("""COMPUTED_VALUE"""),"#REF!")</f>
        <v>#REF!</v>
      </c>
      <c r="DK258" s="218" t="str">
        <f>IFERROR(__xludf.DUMMYFUNCTION("""COMPUTED_VALUE"""),"#REF!")</f>
        <v>#REF!</v>
      </c>
      <c r="DL258" s="217" t="str">
        <f>IFERROR(__xludf.DUMMYFUNCTION("""COMPUTED_VALUE"""),"#REF!")</f>
        <v>#REF!</v>
      </c>
      <c r="DM258" s="217" t="str">
        <f>IFERROR(__xludf.DUMMYFUNCTION("""COMPUTED_VALUE"""),"#REF!")</f>
        <v>#REF!</v>
      </c>
      <c r="DN258" s="218" t="str">
        <f>IFERROR(__xludf.DUMMYFUNCTION("""COMPUTED_VALUE"""),"#REF!")</f>
        <v>#REF!</v>
      </c>
      <c r="DO258" s="217" t="str">
        <f>IFERROR(__xludf.DUMMYFUNCTION("""COMPUTED_VALUE"""),"#REF!")</f>
        <v>#REF!</v>
      </c>
      <c r="DP258" s="79" t="str">
        <f>IFERROR(__xludf.DUMMYFUNCTION("""COMPUTED_VALUE"""),"#REF!")</f>
        <v>#REF!</v>
      </c>
      <c r="DQ258" s="255"/>
      <c r="DR258" s="217"/>
    </row>
    <row r="259">
      <c r="B259" s="180" t="str">
        <f>IFERROR(__xludf.DUMMYFUNCTION("""COMPUTED_VALUE"""),"HEA11")</f>
        <v>HEA11</v>
      </c>
      <c r="C259">
        <f>IFERROR(__xludf.DUMMYFUNCTION("""COMPUTED_VALUE"""),260.0)</f>
        <v>260</v>
      </c>
      <c r="D259" s="88" t="str">
        <f>IFERROR(__xludf.DUMMYFUNCTION("""COMPUTED_VALUE"""),"Gojō Bridge")</f>
        <v>Gojō Bridge</v>
      </c>
      <c r="E259" s="215" t="str">
        <f>IFERROR(__xludf.DUMMYFUNCTION("""COMPUTED_VALUE"""),"五条の橋")</f>
        <v>五条の橋</v>
      </c>
      <c r="F259" s="179">
        <f>IFERROR(__xludf.DUMMYFUNCTION("""COMPUTED_VALUE"""),21.0)</f>
        <v>21</v>
      </c>
      <c r="G259" s="83">
        <f>IFERROR(__xludf.DUMMYFUNCTION("""COMPUTED_VALUE"""),1522.0)</f>
        <v>1522</v>
      </c>
      <c r="H259" s="95" t="str">
        <f>IFERROR(__xludf.DUMMYFUNCTION("""COMPUTED_VALUE"""),"")</f>
        <v/>
      </c>
      <c r="I259" s="96" t="str">
        <f>IFERROR(__xludf.DUMMYFUNCTION("""COMPUTED_VALUE"""),"")</f>
        <v/>
      </c>
      <c r="J259" s="97" t="str">
        <f>IFERROR(__xludf.DUMMYFUNCTION("""COMPUTED_VALUE"""),"")</f>
        <v/>
      </c>
      <c r="K259" s="95" t="str">
        <f>IFERROR(__xludf.DUMMYFUNCTION("""COMPUTED_VALUE"""),"")</f>
        <v/>
      </c>
      <c r="L259" s="96" t="str">
        <f>IFERROR(__xludf.DUMMYFUNCTION("""COMPUTED_VALUE"""),"")</f>
        <v/>
      </c>
      <c r="M259" s="97" t="str">
        <f>IFERROR(__xludf.DUMMYFUNCTION("""COMPUTED_VALUE"""),"")</f>
        <v/>
      </c>
      <c r="N259" s="95" t="str">
        <f>IFERROR(__xludf.DUMMYFUNCTION("""COMPUTED_VALUE"""),"")</f>
        <v/>
      </c>
      <c r="O259" s="96" t="str">
        <f>IFERROR(__xludf.DUMMYFUNCTION("""COMPUTED_VALUE"""),"")</f>
        <v/>
      </c>
      <c r="P259" s="97" t="str">
        <f>IFERROR(__xludf.DUMMYFUNCTION("""COMPUTED_VALUE"""),"")</f>
        <v/>
      </c>
      <c r="Q259" s="95" t="str">
        <f>IFERROR(__xludf.DUMMYFUNCTION("""COMPUTED_VALUE"""),"")</f>
        <v/>
      </c>
      <c r="R259" s="96" t="str">
        <f>IFERROR(__xludf.DUMMYFUNCTION("""COMPUTED_VALUE"""),"")</f>
        <v/>
      </c>
      <c r="S259" s="97" t="str">
        <f>IFERROR(__xludf.DUMMYFUNCTION("""COMPUTED_VALUE"""),"")</f>
        <v/>
      </c>
      <c r="T259" s="95" t="str">
        <f>IFERROR(__xludf.DUMMYFUNCTION("""COMPUTED_VALUE"""),"")</f>
        <v/>
      </c>
      <c r="U259" s="96" t="str">
        <f>IFERROR(__xludf.DUMMYFUNCTION("""COMPUTED_VALUE"""),"")</f>
        <v/>
      </c>
      <c r="V259" s="97" t="str">
        <f>IFERROR(__xludf.DUMMYFUNCTION("""COMPUTED_VALUE"""),"")</f>
        <v/>
      </c>
      <c r="W259" s="95" t="str">
        <f>IFERROR(__xludf.DUMMYFUNCTION("""COMPUTED_VALUE"""),"")</f>
        <v/>
      </c>
      <c r="X259" s="96" t="str">
        <f>IFERROR(__xludf.DUMMYFUNCTION("""COMPUTED_VALUE"""),"")</f>
        <v/>
      </c>
      <c r="Y259" s="97" t="str">
        <f>IFERROR(__xludf.DUMMYFUNCTION("""COMPUTED_VALUE"""),"")</f>
        <v/>
      </c>
      <c r="Z259" s="95" t="str">
        <f>IFERROR(__xludf.DUMMYFUNCTION("""COMPUTED_VALUE"""),"")</f>
        <v/>
      </c>
      <c r="AA259" s="96" t="str">
        <f>IFERROR(__xludf.DUMMYFUNCTION("""COMPUTED_VALUE"""),"")</f>
        <v/>
      </c>
      <c r="AB259" s="97" t="str">
        <f>IFERROR(__xludf.DUMMYFUNCTION("""COMPUTED_VALUE"""),"")</f>
        <v/>
      </c>
      <c r="AC259" s="95" t="str">
        <f>IFERROR(__xludf.DUMMYFUNCTION("""COMPUTED_VALUE"""),"")</f>
        <v/>
      </c>
      <c r="AD259" s="96" t="str">
        <f>IFERROR(__xludf.DUMMYFUNCTION("""COMPUTED_VALUE"""),"")</f>
        <v/>
      </c>
      <c r="AE259" s="97" t="str">
        <f>IFERROR(__xludf.DUMMYFUNCTION("""COMPUTED_VALUE"""),"")</f>
        <v/>
      </c>
      <c r="AF259" s="95" t="str">
        <f>IFERROR(__xludf.DUMMYFUNCTION("""COMPUTED_VALUE"""),"")</f>
        <v/>
      </c>
      <c r="AG259" s="96" t="str">
        <f>IFERROR(__xludf.DUMMYFUNCTION("""COMPUTED_VALUE"""),"")</f>
        <v/>
      </c>
      <c r="AH259" s="97" t="str">
        <f>IFERROR(__xludf.DUMMYFUNCTION("""COMPUTED_VALUE"""),"")</f>
        <v/>
      </c>
      <c r="AI259" s="216" t="str">
        <f>IFERROR(__xludf.DUMMYFUNCTION("""COMPUTED_VALUE"""),"")</f>
        <v/>
      </c>
      <c r="AJ259" s="217" t="str">
        <f>IFERROR(__xludf.DUMMYFUNCTION("""COMPUTED_VALUE"""),"")</f>
        <v/>
      </c>
      <c r="AK259" s="218" t="str">
        <f>IFERROR(__xludf.DUMMYFUNCTION("""COMPUTED_VALUE"""),"")</f>
        <v/>
      </c>
      <c r="AL259" s="217" t="str">
        <f>IFERROR(__xludf.DUMMYFUNCTION("""COMPUTED_VALUE"""),"")</f>
        <v/>
      </c>
      <c r="AM259" s="217" t="str">
        <f>IFERROR(__xludf.DUMMYFUNCTION("""COMPUTED_VALUE"""),"")</f>
        <v/>
      </c>
      <c r="AN259" s="218" t="str">
        <f>IFERROR(__xludf.DUMMYFUNCTION("""COMPUTED_VALUE"""),"")</f>
        <v/>
      </c>
      <c r="AO259" s="217" t="str">
        <f>IFERROR(__xludf.DUMMYFUNCTION("""COMPUTED_VALUE"""),"")</f>
        <v/>
      </c>
      <c r="AP259" s="217" t="str">
        <f>IFERROR(__xludf.DUMMYFUNCTION("""COMPUTED_VALUE"""),"")</f>
        <v/>
      </c>
      <c r="AQ259" s="218" t="str">
        <f>IFERROR(__xludf.DUMMYFUNCTION("""COMPUTED_VALUE"""),"")</f>
        <v/>
      </c>
      <c r="AR259" s="217" t="str">
        <f>IFERROR(__xludf.DUMMYFUNCTION("""COMPUTED_VALUE"""),"")</f>
        <v/>
      </c>
      <c r="AS259" s="217">
        <f>IFERROR(__xludf.DUMMYFUNCTION("""COMPUTED_VALUE"""),40.2)</f>
        <v>40.2</v>
      </c>
      <c r="AT259" s="218" t="str">
        <f>IFERROR(__xludf.DUMMYFUNCTION("""COMPUTED_VALUE"""),"")</f>
        <v/>
      </c>
      <c r="AU259" s="217" t="str">
        <f>IFERROR(__xludf.DUMMYFUNCTION("""COMPUTED_VALUE"""),"")</f>
        <v/>
      </c>
      <c r="AV259" s="217" t="str">
        <f>IFERROR(__xludf.DUMMYFUNCTION("""COMPUTED_VALUE"""),"")</f>
        <v/>
      </c>
      <c r="AW259" s="218" t="str">
        <f>IFERROR(__xludf.DUMMYFUNCTION("""COMPUTED_VALUE"""),"")</f>
        <v/>
      </c>
      <c r="AX259" s="217" t="str">
        <f>IFERROR(__xludf.DUMMYFUNCTION("""COMPUTED_VALUE"""),"")</f>
        <v/>
      </c>
      <c r="AY259" s="217" t="str">
        <f>IFERROR(__xludf.DUMMYFUNCTION("""COMPUTED_VALUE"""),"")</f>
        <v/>
      </c>
      <c r="AZ259" s="218" t="str">
        <f>IFERROR(__xludf.DUMMYFUNCTION("""COMPUTED_VALUE"""),"")</f>
        <v/>
      </c>
      <c r="BA259" s="217" t="str">
        <f>IFERROR(__xludf.DUMMYFUNCTION("""COMPUTED_VALUE"""),"")</f>
        <v/>
      </c>
      <c r="BB259" s="217" t="str">
        <f>IFERROR(__xludf.DUMMYFUNCTION("""COMPUTED_VALUE"""),"")</f>
        <v/>
      </c>
      <c r="BC259" s="218" t="str">
        <f>IFERROR(__xludf.DUMMYFUNCTION("""COMPUTED_VALUE"""),"")</f>
        <v/>
      </c>
      <c r="BD259" s="217" t="str">
        <f>IFERROR(__xludf.DUMMYFUNCTION("""COMPUTED_VALUE"""),"")</f>
        <v/>
      </c>
      <c r="BE259" s="217" t="str">
        <f>IFERROR(__xludf.DUMMYFUNCTION("""COMPUTED_VALUE"""),"")</f>
        <v/>
      </c>
      <c r="BF259" s="218" t="str">
        <f>IFERROR(__xludf.DUMMYFUNCTION("""COMPUTED_VALUE"""),"")</f>
        <v/>
      </c>
      <c r="BG259" s="216" t="str">
        <f>IFERROR(__xludf.DUMMYFUNCTION("""COMPUTED_VALUE"""),"")</f>
        <v/>
      </c>
      <c r="BH259" s="217" t="str">
        <f>IFERROR(__xludf.DUMMYFUNCTION("""COMPUTED_VALUE"""),"")</f>
        <v/>
      </c>
      <c r="BI259" s="218" t="str">
        <f>IFERROR(__xludf.DUMMYFUNCTION("""COMPUTED_VALUE"""),"")</f>
        <v/>
      </c>
      <c r="BJ259" s="217" t="str">
        <f>IFERROR(__xludf.DUMMYFUNCTION("""COMPUTED_VALUE"""),"")</f>
        <v/>
      </c>
      <c r="BK259" s="217" t="str">
        <f>IFERROR(__xludf.DUMMYFUNCTION("""COMPUTED_VALUE"""),"")</f>
        <v/>
      </c>
      <c r="BL259" s="218">
        <f>IFERROR(__xludf.DUMMYFUNCTION("""COMPUTED_VALUE"""),45.2)</f>
        <v>45.2</v>
      </c>
      <c r="BM259" s="217" t="str">
        <f>IFERROR(__xludf.DUMMYFUNCTION("""COMPUTED_VALUE"""),"")</f>
        <v/>
      </c>
      <c r="BN259" s="217" t="str">
        <f>IFERROR(__xludf.DUMMYFUNCTION("""COMPUTED_VALUE"""),"")</f>
        <v/>
      </c>
      <c r="BO259" s="218" t="str">
        <f>IFERROR(__xludf.DUMMYFUNCTION("""COMPUTED_VALUE"""),"")</f>
        <v/>
      </c>
      <c r="BP259" s="217" t="str">
        <f>IFERROR(__xludf.DUMMYFUNCTION("""COMPUTED_VALUE"""),"")</f>
        <v/>
      </c>
      <c r="BQ259" s="217" t="str">
        <f>IFERROR(__xludf.DUMMYFUNCTION("""COMPUTED_VALUE"""),"")</f>
        <v/>
      </c>
      <c r="BR259" s="218" t="str">
        <f>IFERROR(__xludf.DUMMYFUNCTION("""COMPUTED_VALUE"""),"")</f>
        <v/>
      </c>
      <c r="BS259" s="217" t="str">
        <f>IFERROR(__xludf.DUMMYFUNCTION("""COMPUTED_VALUE"""),"")</f>
        <v/>
      </c>
      <c r="BT259" s="217" t="str">
        <f>IFERROR(__xludf.DUMMYFUNCTION("""COMPUTED_VALUE"""),"")</f>
        <v/>
      </c>
      <c r="BU259" s="218" t="str">
        <f>IFERROR(__xludf.DUMMYFUNCTION("""COMPUTED_VALUE"""),"")</f>
        <v/>
      </c>
      <c r="BV259" s="217" t="str">
        <f>IFERROR(__xludf.DUMMYFUNCTION("""COMPUTED_VALUE"""),"")</f>
        <v/>
      </c>
      <c r="BW259" s="217" t="str">
        <f>IFERROR(__xludf.DUMMYFUNCTION("""COMPUTED_VALUE"""),"")</f>
        <v/>
      </c>
      <c r="BX259" s="218" t="str">
        <f>IFERROR(__xludf.DUMMYFUNCTION("""COMPUTED_VALUE"""),"")</f>
        <v/>
      </c>
      <c r="BY259" s="217" t="str">
        <f>IFERROR(__xludf.DUMMYFUNCTION("""COMPUTED_VALUE"""),"")</f>
        <v/>
      </c>
      <c r="BZ259" s="217" t="str">
        <f>IFERROR(__xludf.DUMMYFUNCTION("""COMPUTED_VALUE"""),"")</f>
        <v/>
      </c>
      <c r="CA259" s="218" t="str">
        <f>IFERROR(__xludf.DUMMYFUNCTION("""COMPUTED_VALUE"""),"")</f>
        <v/>
      </c>
      <c r="CB259" s="216" t="str">
        <f>IFERROR(__xludf.DUMMYFUNCTION("""COMPUTED_VALUE"""),"")</f>
        <v/>
      </c>
      <c r="CC259" s="217" t="str">
        <f>IFERROR(__xludf.DUMMYFUNCTION("""COMPUTED_VALUE"""),"")</f>
        <v/>
      </c>
      <c r="CD259" s="218" t="str">
        <f>IFERROR(__xludf.DUMMYFUNCTION("""COMPUTED_VALUE"""),"")</f>
        <v/>
      </c>
      <c r="CE259" s="217" t="str">
        <f>IFERROR(__xludf.DUMMYFUNCTION("""COMPUTED_VALUE"""),"")</f>
        <v/>
      </c>
      <c r="CF259" s="217" t="str">
        <f>IFERROR(__xludf.DUMMYFUNCTION("""COMPUTED_VALUE"""),"")</f>
        <v/>
      </c>
      <c r="CG259" s="218" t="str">
        <f>IFERROR(__xludf.DUMMYFUNCTION("""COMPUTED_VALUE"""),"")</f>
        <v/>
      </c>
      <c r="CH259" s="217" t="str">
        <f>IFERROR(__xludf.DUMMYFUNCTION("""COMPUTED_VALUE"""),"")</f>
        <v/>
      </c>
      <c r="CI259" s="217" t="str">
        <f>IFERROR(__xludf.DUMMYFUNCTION("""COMPUTED_VALUE"""),"")</f>
        <v/>
      </c>
      <c r="CJ259" s="218" t="str">
        <f>IFERROR(__xludf.DUMMYFUNCTION("""COMPUTED_VALUE"""),"")</f>
        <v/>
      </c>
      <c r="CK259" s="217" t="str">
        <f>IFERROR(__xludf.DUMMYFUNCTION("""COMPUTED_VALUE"""),"")</f>
        <v/>
      </c>
      <c r="CL259" s="217" t="str">
        <f>IFERROR(__xludf.DUMMYFUNCTION("""COMPUTED_VALUE"""),"")</f>
        <v/>
      </c>
      <c r="CM259" s="218" t="str">
        <f>IFERROR(__xludf.DUMMYFUNCTION("""COMPUTED_VALUE"""),"")</f>
        <v/>
      </c>
      <c r="CN259" s="217" t="str">
        <f>IFERROR(__xludf.DUMMYFUNCTION("""COMPUTED_VALUE"""),"")</f>
        <v/>
      </c>
      <c r="CO259" s="79" t="str">
        <f>IFERROR(__xludf.DUMMYFUNCTION("""COMPUTED_VALUE"""),"")</f>
        <v/>
      </c>
      <c r="CP259" s="255" t="str">
        <f>IFERROR(__xludf.DUMMYFUNCTION("""COMPUTED_VALUE"""),"")</f>
        <v/>
      </c>
      <c r="CQ259" s="217" t="str">
        <f>IFERROR(__xludf.DUMMYFUNCTION("""COMPUTED_VALUE"""),"")</f>
        <v/>
      </c>
      <c r="CR259" s="217" t="str">
        <f>IFERROR(__xludf.DUMMYFUNCTION("""COMPUTED_VALUE"""),"")</f>
        <v/>
      </c>
      <c r="CS259" s="218" t="str">
        <f>IFERROR(__xludf.DUMMYFUNCTION("""COMPUTED_VALUE"""),"#REF!")</f>
        <v>#REF!</v>
      </c>
      <c r="CT259" s="217" t="str">
        <f>IFERROR(__xludf.DUMMYFUNCTION("""COMPUTED_VALUE"""),"#REF!")</f>
        <v>#REF!</v>
      </c>
      <c r="CU259" s="217" t="str">
        <f>IFERROR(__xludf.DUMMYFUNCTION("""COMPUTED_VALUE"""),"#REF!")</f>
        <v>#REF!</v>
      </c>
      <c r="CV259" s="218" t="str">
        <f>IFERROR(__xludf.DUMMYFUNCTION("""COMPUTED_VALUE"""),"#REF!")</f>
        <v>#REF!</v>
      </c>
      <c r="CW259" s="217" t="str">
        <f>IFERROR(__xludf.DUMMYFUNCTION("""COMPUTED_VALUE"""),"#REF!")</f>
        <v>#REF!</v>
      </c>
      <c r="CX259" s="79" t="str">
        <f>IFERROR(__xludf.DUMMYFUNCTION("""COMPUTED_VALUE"""),"#REF!")</f>
        <v>#REF!</v>
      </c>
      <c r="CY259" s="255" t="str">
        <f>IFERROR(__xludf.DUMMYFUNCTION("""COMPUTED_VALUE"""),"#REF!")</f>
        <v>#REF!</v>
      </c>
      <c r="CZ259" s="217" t="str">
        <f>IFERROR(__xludf.DUMMYFUNCTION("""COMPUTED_VALUE"""),"#REF!")</f>
        <v>#REF!</v>
      </c>
      <c r="DA259" s="217" t="str">
        <f>IFERROR(__xludf.DUMMYFUNCTION("""COMPUTED_VALUE"""),"#REF!")</f>
        <v>#REF!</v>
      </c>
      <c r="DB259" s="218" t="str">
        <f>IFERROR(__xludf.DUMMYFUNCTION("""COMPUTED_VALUE"""),"#REF!")</f>
        <v>#REF!</v>
      </c>
      <c r="DC259" s="217" t="str">
        <f>IFERROR(__xludf.DUMMYFUNCTION("""COMPUTED_VALUE"""),"#REF!")</f>
        <v>#REF!</v>
      </c>
      <c r="DD259" s="217" t="str">
        <f>IFERROR(__xludf.DUMMYFUNCTION("""COMPUTED_VALUE"""),"#REF!")</f>
        <v>#REF!</v>
      </c>
      <c r="DE259" s="218" t="str">
        <f>IFERROR(__xludf.DUMMYFUNCTION("""COMPUTED_VALUE"""),"#REF!")</f>
        <v>#REF!</v>
      </c>
      <c r="DF259" s="217" t="str">
        <f>IFERROR(__xludf.DUMMYFUNCTION("""COMPUTED_VALUE"""),"#REF!")</f>
        <v>#REF!</v>
      </c>
      <c r="DG259" s="79" t="str">
        <f>IFERROR(__xludf.DUMMYFUNCTION("""COMPUTED_VALUE"""),"#REF!")</f>
        <v>#REF!</v>
      </c>
      <c r="DH259" s="255" t="str">
        <f>IFERROR(__xludf.DUMMYFUNCTION("""COMPUTED_VALUE"""),"#REF!")</f>
        <v>#REF!</v>
      </c>
      <c r="DI259" s="217" t="str">
        <f>IFERROR(__xludf.DUMMYFUNCTION("""COMPUTED_VALUE"""),"#REF!")</f>
        <v>#REF!</v>
      </c>
      <c r="DJ259" s="217" t="str">
        <f>IFERROR(__xludf.DUMMYFUNCTION("""COMPUTED_VALUE"""),"#REF!")</f>
        <v>#REF!</v>
      </c>
      <c r="DK259" s="218" t="str">
        <f>IFERROR(__xludf.DUMMYFUNCTION("""COMPUTED_VALUE"""),"#REF!")</f>
        <v>#REF!</v>
      </c>
      <c r="DL259" s="217" t="str">
        <f>IFERROR(__xludf.DUMMYFUNCTION("""COMPUTED_VALUE"""),"#REF!")</f>
        <v>#REF!</v>
      </c>
      <c r="DM259" s="217" t="str">
        <f>IFERROR(__xludf.DUMMYFUNCTION("""COMPUTED_VALUE"""),"#REF!")</f>
        <v>#REF!</v>
      </c>
      <c r="DN259" s="218" t="str">
        <f>IFERROR(__xludf.DUMMYFUNCTION("""COMPUTED_VALUE"""),"#REF!")</f>
        <v>#REF!</v>
      </c>
      <c r="DO259" s="217" t="str">
        <f>IFERROR(__xludf.DUMMYFUNCTION("""COMPUTED_VALUE"""),"#REF!")</f>
        <v>#REF!</v>
      </c>
      <c r="DP259" s="79" t="str">
        <f>IFERROR(__xludf.DUMMYFUNCTION("""COMPUTED_VALUE"""),"#REF!")</f>
        <v>#REF!</v>
      </c>
      <c r="DQ259" s="255"/>
      <c r="DR259" s="217"/>
    </row>
    <row r="260">
      <c r="B260" s="180" t="str">
        <f>IFERROR(__xludf.DUMMYFUNCTION("""COMPUTED_VALUE"""),"HEA12")</f>
        <v>HEA12</v>
      </c>
      <c r="C260">
        <f>IFERROR(__xludf.DUMMYFUNCTION("""COMPUTED_VALUE"""),261.0)</f>
        <v>261</v>
      </c>
      <c r="D260" s="88" t="str">
        <f>IFERROR(__xludf.DUMMYFUNCTION("""COMPUTED_VALUE"""),"Mount Ōe")</f>
        <v>Mount Ōe</v>
      </c>
      <c r="E260" s="215" t="str">
        <f>IFERROR(__xludf.DUMMYFUNCTION("""COMPUTED_VALUE"""),"大江山")</f>
        <v>大江山</v>
      </c>
      <c r="F260" s="179">
        <f>IFERROR(__xludf.DUMMYFUNCTION("""COMPUTED_VALUE"""),21.0)</f>
        <v>21</v>
      </c>
      <c r="G260" s="83">
        <f>IFERROR(__xludf.DUMMYFUNCTION("""COMPUTED_VALUE"""),4207.0)</f>
        <v>4207</v>
      </c>
      <c r="H260" s="95" t="str">
        <f>IFERROR(__xludf.DUMMYFUNCTION("""COMPUTED_VALUE"""),"")</f>
        <v/>
      </c>
      <c r="I260" s="96" t="str">
        <f>IFERROR(__xludf.DUMMYFUNCTION("""COMPUTED_VALUE"""),"")</f>
        <v/>
      </c>
      <c r="J260" s="97" t="str">
        <f>IFERROR(__xludf.DUMMYFUNCTION("""COMPUTED_VALUE"""),"")</f>
        <v/>
      </c>
      <c r="K260" s="95" t="str">
        <f>IFERROR(__xludf.DUMMYFUNCTION("""COMPUTED_VALUE"""),"")</f>
        <v/>
      </c>
      <c r="L260" s="96" t="str">
        <f>IFERROR(__xludf.DUMMYFUNCTION("""COMPUTED_VALUE"""),"")</f>
        <v/>
      </c>
      <c r="M260" s="97" t="str">
        <f>IFERROR(__xludf.DUMMYFUNCTION("""COMPUTED_VALUE"""),"")</f>
        <v/>
      </c>
      <c r="N260" s="95" t="str">
        <f>IFERROR(__xludf.DUMMYFUNCTION("""COMPUTED_VALUE"""),"")</f>
        <v/>
      </c>
      <c r="O260" s="96" t="str">
        <f>IFERROR(__xludf.DUMMYFUNCTION("""COMPUTED_VALUE"""),"")</f>
        <v/>
      </c>
      <c r="P260" s="97" t="str">
        <f>IFERROR(__xludf.DUMMYFUNCTION("""COMPUTED_VALUE"""),"")</f>
        <v/>
      </c>
      <c r="Q260" s="95" t="str">
        <f>IFERROR(__xludf.DUMMYFUNCTION("""COMPUTED_VALUE"""),"")</f>
        <v/>
      </c>
      <c r="R260" s="96" t="str">
        <f>IFERROR(__xludf.DUMMYFUNCTION("""COMPUTED_VALUE"""),"")</f>
        <v/>
      </c>
      <c r="S260" s="97" t="str">
        <f>IFERROR(__xludf.DUMMYFUNCTION("""COMPUTED_VALUE"""),"")</f>
        <v/>
      </c>
      <c r="T260" s="95" t="str">
        <f>IFERROR(__xludf.DUMMYFUNCTION("""COMPUTED_VALUE"""),"")</f>
        <v/>
      </c>
      <c r="U260" s="96" t="str">
        <f>IFERROR(__xludf.DUMMYFUNCTION("""COMPUTED_VALUE"""),"")</f>
        <v/>
      </c>
      <c r="V260" s="97" t="str">
        <f>IFERROR(__xludf.DUMMYFUNCTION("""COMPUTED_VALUE"""),"")</f>
        <v/>
      </c>
      <c r="W260" s="95" t="str">
        <f>IFERROR(__xludf.DUMMYFUNCTION("""COMPUTED_VALUE"""),"")</f>
        <v/>
      </c>
      <c r="X260" s="96" t="str">
        <f>IFERROR(__xludf.DUMMYFUNCTION("""COMPUTED_VALUE"""),"")</f>
        <v/>
      </c>
      <c r="Y260" s="97">
        <f>IFERROR(__xludf.DUMMYFUNCTION("""COMPUTED_VALUE"""),11.3)</f>
        <v>11.3</v>
      </c>
      <c r="Z260" s="95" t="str">
        <f>IFERROR(__xludf.DUMMYFUNCTION("""COMPUTED_VALUE"""),"")</f>
        <v/>
      </c>
      <c r="AA260" s="96" t="str">
        <f>IFERROR(__xludf.DUMMYFUNCTION("""COMPUTED_VALUE"""),"")</f>
        <v/>
      </c>
      <c r="AB260" s="97" t="str">
        <f>IFERROR(__xludf.DUMMYFUNCTION("""COMPUTED_VALUE"""),"")</f>
        <v/>
      </c>
      <c r="AC260" s="95" t="str">
        <f>IFERROR(__xludf.DUMMYFUNCTION("""COMPUTED_VALUE"""),"")</f>
        <v/>
      </c>
      <c r="AD260" s="96" t="str">
        <f>IFERROR(__xludf.DUMMYFUNCTION("""COMPUTED_VALUE"""),"")</f>
        <v/>
      </c>
      <c r="AE260" s="97" t="str">
        <f>IFERROR(__xludf.DUMMYFUNCTION("""COMPUTED_VALUE"""),"")</f>
        <v/>
      </c>
      <c r="AF260" s="95" t="str">
        <f>IFERROR(__xludf.DUMMYFUNCTION("""COMPUTED_VALUE"""),"")</f>
        <v/>
      </c>
      <c r="AG260" s="96" t="str">
        <f>IFERROR(__xludf.DUMMYFUNCTION("""COMPUTED_VALUE"""),"")</f>
        <v/>
      </c>
      <c r="AH260" s="97" t="str">
        <f>IFERROR(__xludf.DUMMYFUNCTION("""COMPUTED_VALUE"""),"")</f>
        <v/>
      </c>
      <c r="AI260" s="216" t="str">
        <f>IFERROR(__xludf.DUMMYFUNCTION("""COMPUTED_VALUE"""),"")</f>
        <v/>
      </c>
      <c r="AJ260" s="217" t="str">
        <f>IFERROR(__xludf.DUMMYFUNCTION("""COMPUTED_VALUE"""),"")</f>
        <v/>
      </c>
      <c r="AK260" s="218" t="str">
        <f>IFERROR(__xludf.DUMMYFUNCTION("""COMPUTED_VALUE"""),"")</f>
        <v/>
      </c>
      <c r="AL260" s="217" t="str">
        <f>IFERROR(__xludf.DUMMYFUNCTION("""COMPUTED_VALUE"""),"")</f>
        <v/>
      </c>
      <c r="AM260" s="217" t="str">
        <f>IFERROR(__xludf.DUMMYFUNCTION("""COMPUTED_VALUE"""),"")</f>
        <v/>
      </c>
      <c r="AN260" s="218" t="str">
        <f>IFERROR(__xludf.DUMMYFUNCTION("""COMPUTED_VALUE"""),"")</f>
        <v/>
      </c>
      <c r="AO260" s="217" t="str">
        <f>IFERROR(__xludf.DUMMYFUNCTION("""COMPUTED_VALUE"""),"")</f>
        <v/>
      </c>
      <c r="AP260" s="217" t="str">
        <f>IFERROR(__xludf.DUMMYFUNCTION("""COMPUTED_VALUE"""),"")</f>
        <v/>
      </c>
      <c r="AQ260" s="218" t="str">
        <f>IFERROR(__xludf.DUMMYFUNCTION("""COMPUTED_VALUE"""),"")</f>
        <v/>
      </c>
      <c r="AR260" s="217" t="str">
        <f>IFERROR(__xludf.DUMMYFUNCTION("""COMPUTED_VALUE"""),"")</f>
        <v/>
      </c>
      <c r="AS260" s="217" t="str">
        <f>IFERROR(__xludf.DUMMYFUNCTION("""COMPUTED_VALUE"""),"")</f>
        <v/>
      </c>
      <c r="AT260" s="218" t="str">
        <f>IFERROR(__xludf.DUMMYFUNCTION("""COMPUTED_VALUE"""),"")</f>
        <v/>
      </c>
      <c r="AU260" s="217">
        <f>IFERROR(__xludf.DUMMYFUNCTION("""COMPUTED_VALUE"""),40.6)</f>
        <v>40.6</v>
      </c>
      <c r="AV260" s="217" t="str">
        <f>IFERROR(__xludf.DUMMYFUNCTION("""COMPUTED_VALUE"""),"")</f>
        <v/>
      </c>
      <c r="AW260" s="218" t="str">
        <f>IFERROR(__xludf.DUMMYFUNCTION("""COMPUTED_VALUE"""),"")</f>
        <v/>
      </c>
      <c r="AX260" s="217" t="str">
        <f>IFERROR(__xludf.DUMMYFUNCTION("""COMPUTED_VALUE"""),"")</f>
        <v/>
      </c>
      <c r="AY260" s="217" t="str">
        <f>IFERROR(__xludf.DUMMYFUNCTION("""COMPUTED_VALUE"""),"")</f>
        <v/>
      </c>
      <c r="AZ260" s="218" t="str">
        <f>IFERROR(__xludf.DUMMYFUNCTION("""COMPUTED_VALUE"""),"")</f>
        <v/>
      </c>
      <c r="BA260" s="217" t="str">
        <f>IFERROR(__xludf.DUMMYFUNCTION("""COMPUTED_VALUE"""),"")</f>
        <v/>
      </c>
      <c r="BB260" s="217" t="str">
        <f>IFERROR(__xludf.DUMMYFUNCTION("""COMPUTED_VALUE"""),"")</f>
        <v/>
      </c>
      <c r="BC260" s="218" t="str">
        <f>IFERROR(__xludf.DUMMYFUNCTION("""COMPUTED_VALUE"""),"")</f>
        <v/>
      </c>
      <c r="BD260" s="217" t="str">
        <f>IFERROR(__xludf.DUMMYFUNCTION("""COMPUTED_VALUE"""),"")</f>
        <v/>
      </c>
      <c r="BE260" s="217" t="str">
        <f>IFERROR(__xludf.DUMMYFUNCTION("""COMPUTED_VALUE"""),"")</f>
        <v/>
      </c>
      <c r="BF260" s="218" t="str">
        <f>IFERROR(__xludf.DUMMYFUNCTION("""COMPUTED_VALUE"""),"")</f>
        <v/>
      </c>
      <c r="BG260" s="216" t="str">
        <f>IFERROR(__xludf.DUMMYFUNCTION("""COMPUTED_VALUE"""),"")</f>
        <v/>
      </c>
      <c r="BH260" s="217" t="str">
        <f>IFERROR(__xludf.DUMMYFUNCTION("""COMPUTED_VALUE"""),"")</f>
        <v/>
      </c>
      <c r="BI260" s="218">
        <f>IFERROR(__xludf.DUMMYFUNCTION("""COMPUTED_VALUE"""),4.3)</f>
        <v>4.3</v>
      </c>
      <c r="BJ260" s="217" t="str">
        <f>IFERROR(__xludf.DUMMYFUNCTION("""COMPUTED_VALUE"""),"")</f>
        <v/>
      </c>
      <c r="BK260" s="217" t="str">
        <f>IFERROR(__xludf.DUMMYFUNCTION("""COMPUTED_VALUE"""),"")</f>
        <v/>
      </c>
      <c r="BL260" s="218" t="str">
        <f>IFERROR(__xludf.DUMMYFUNCTION("""COMPUTED_VALUE"""),"")</f>
        <v/>
      </c>
      <c r="BM260" s="217" t="str">
        <f>IFERROR(__xludf.DUMMYFUNCTION("""COMPUTED_VALUE"""),"")</f>
        <v/>
      </c>
      <c r="BN260" s="217" t="str">
        <f>IFERROR(__xludf.DUMMYFUNCTION("""COMPUTED_VALUE"""),"")</f>
        <v/>
      </c>
      <c r="BO260" s="218" t="str">
        <f>IFERROR(__xludf.DUMMYFUNCTION("""COMPUTED_VALUE"""),"")</f>
        <v/>
      </c>
      <c r="BP260" s="217" t="str">
        <f>IFERROR(__xludf.DUMMYFUNCTION("""COMPUTED_VALUE"""),"")</f>
        <v/>
      </c>
      <c r="BQ260" s="217" t="str">
        <f>IFERROR(__xludf.DUMMYFUNCTION("""COMPUTED_VALUE"""),"")</f>
        <v/>
      </c>
      <c r="BR260" s="218" t="str">
        <f>IFERROR(__xludf.DUMMYFUNCTION("""COMPUTED_VALUE"""),"")</f>
        <v/>
      </c>
      <c r="BS260" s="217" t="str">
        <f>IFERROR(__xludf.DUMMYFUNCTION("""COMPUTED_VALUE"""),"")</f>
        <v/>
      </c>
      <c r="BT260" s="217" t="str">
        <f>IFERROR(__xludf.DUMMYFUNCTION("""COMPUTED_VALUE"""),"")</f>
        <v/>
      </c>
      <c r="BU260" s="218" t="str">
        <f>IFERROR(__xludf.DUMMYFUNCTION("""COMPUTED_VALUE"""),"")</f>
        <v/>
      </c>
      <c r="BV260" s="217" t="str">
        <f>IFERROR(__xludf.DUMMYFUNCTION("""COMPUTED_VALUE"""),"")</f>
        <v/>
      </c>
      <c r="BW260" s="217">
        <f>IFERROR(__xludf.DUMMYFUNCTION("""COMPUTED_VALUE"""),30.5)</f>
        <v>30.5</v>
      </c>
      <c r="BX260" s="218" t="str">
        <f>IFERROR(__xludf.DUMMYFUNCTION("""COMPUTED_VALUE"""),"")</f>
        <v/>
      </c>
      <c r="BY260" s="217" t="str">
        <f>IFERROR(__xludf.DUMMYFUNCTION("""COMPUTED_VALUE"""),"")</f>
        <v/>
      </c>
      <c r="BZ260" s="217" t="str">
        <f>IFERROR(__xludf.DUMMYFUNCTION("""COMPUTED_VALUE"""),"")</f>
        <v/>
      </c>
      <c r="CA260" s="218" t="str">
        <f>IFERROR(__xludf.DUMMYFUNCTION("""COMPUTED_VALUE"""),"")</f>
        <v/>
      </c>
      <c r="CB260" s="216" t="str">
        <f>IFERROR(__xludf.DUMMYFUNCTION("""COMPUTED_VALUE"""),"")</f>
        <v/>
      </c>
      <c r="CC260" s="217" t="str">
        <f>IFERROR(__xludf.DUMMYFUNCTION("""COMPUTED_VALUE"""),"")</f>
        <v/>
      </c>
      <c r="CD260" s="218" t="str">
        <f>IFERROR(__xludf.DUMMYFUNCTION("""COMPUTED_VALUE"""),"")</f>
        <v/>
      </c>
      <c r="CE260" s="217" t="str">
        <f>IFERROR(__xludf.DUMMYFUNCTION("""COMPUTED_VALUE"""),"")</f>
        <v/>
      </c>
      <c r="CF260" s="217" t="str">
        <f>IFERROR(__xludf.DUMMYFUNCTION("""COMPUTED_VALUE"""),"")</f>
        <v/>
      </c>
      <c r="CG260" s="218" t="str">
        <f>IFERROR(__xludf.DUMMYFUNCTION("""COMPUTED_VALUE"""),"")</f>
        <v/>
      </c>
      <c r="CH260" s="217" t="str">
        <f>IFERROR(__xludf.DUMMYFUNCTION("""COMPUTED_VALUE"""),"")</f>
        <v/>
      </c>
      <c r="CI260" s="217" t="str">
        <f>IFERROR(__xludf.DUMMYFUNCTION("""COMPUTED_VALUE"""),"")</f>
        <v/>
      </c>
      <c r="CJ260" s="218" t="str">
        <f>IFERROR(__xludf.DUMMYFUNCTION("""COMPUTED_VALUE"""),"")</f>
        <v/>
      </c>
      <c r="CK260" s="217" t="str">
        <f>IFERROR(__xludf.DUMMYFUNCTION("""COMPUTED_VALUE"""),"")</f>
        <v/>
      </c>
      <c r="CL260" s="217" t="str">
        <f>IFERROR(__xludf.DUMMYFUNCTION("""COMPUTED_VALUE"""),"")</f>
        <v/>
      </c>
      <c r="CM260" s="218" t="str">
        <f>IFERROR(__xludf.DUMMYFUNCTION("""COMPUTED_VALUE"""),"")</f>
        <v/>
      </c>
      <c r="CN260" s="217" t="str">
        <f>IFERROR(__xludf.DUMMYFUNCTION("""COMPUTED_VALUE"""),"")</f>
        <v/>
      </c>
      <c r="CO260" s="79" t="str">
        <f>IFERROR(__xludf.DUMMYFUNCTION("""COMPUTED_VALUE"""),"")</f>
        <v/>
      </c>
      <c r="CP260" s="255" t="str">
        <f>IFERROR(__xludf.DUMMYFUNCTION("""COMPUTED_VALUE"""),"")</f>
        <v/>
      </c>
      <c r="CQ260" s="217" t="str">
        <f>IFERROR(__xludf.DUMMYFUNCTION("""COMPUTED_VALUE"""),"")</f>
        <v/>
      </c>
      <c r="CR260" s="217">
        <f>IFERROR(__xludf.DUMMYFUNCTION("""COMPUTED_VALUE"""),3.0)</f>
        <v>3</v>
      </c>
      <c r="CS260" s="218" t="str">
        <f>IFERROR(__xludf.DUMMYFUNCTION("""COMPUTED_VALUE"""),"#REF!")</f>
        <v>#REF!</v>
      </c>
      <c r="CT260" s="217" t="str">
        <f>IFERROR(__xludf.DUMMYFUNCTION("""COMPUTED_VALUE"""),"#REF!")</f>
        <v>#REF!</v>
      </c>
      <c r="CU260" s="217" t="str">
        <f>IFERROR(__xludf.DUMMYFUNCTION("""COMPUTED_VALUE"""),"#REF!")</f>
        <v>#REF!</v>
      </c>
      <c r="CV260" s="218" t="str">
        <f>IFERROR(__xludf.DUMMYFUNCTION("""COMPUTED_VALUE"""),"#REF!")</f>
        <v>#REF!</v>
      </c>
      <c r="CW260" s="217" t="str">
        <f>IFERROR(__xludf.DUMMYFUNCTION("""COMPUTED_VALUE"""),"#REF!")</f>
        <v>#REF!</v>
      </c>
      <c r="CX260" s="79" t="str">
        <f>IFERROR(__xludf.DUMMYFUNCTION("""COMPUTED_VALUE"""),"#REF!")</f>
        <v>#REF!</v>
      </c>
      <c r="CY260" s="255" t="str">
        <f>IFERROR(__xludf.DUMMYFUNCTION("""COMPUTED_VALUE"""),"#REF!")</f>
        <v>#REF!</v>
      </c>
      <c r="CZ260" s="217" t="str">
        <f>IFERROR(__xludf.DUMMYFUNCTION("""COMPUTED_VALUE"""),"#REF!")</f>
        <v>#REF!</v>
      </c>
      <c r="DA260" s="217" t="str">
        <f>IFERROR(__xludf.DUMMYFUNCTION("""COMPUTED_VALUE"""),"#REF!")</f>
        <v>#REF!</v>
      </c>
      <c r="DB260" s="218" t="str">
        <f>IFERROR(__xludf.DUMMYFUNCTION("""COMPUTED_VALUE"""),"#REF!")</f>
        <v>#REF!</v>
      </c>
      <c r="DC260" s="217" t="str">
        <f>IFERROR(__xludf.DUMMYFUNCTION("""COMPUTED_VALUE"""),"#REF!")</f>
        <v>#REF!</v>
      </c>
      <c r="DD260" s="217" t="str">
        <f>IFERROR(__xludf.DUMMYFUNCTION("""COMPUTED_VALUE"""),"#REF!")</f>
        <v>#REF!</v>
      </c>
      <c r="DE260" s="218" t="str">
        <f>IFERROR(__xludf.DUMMYFUNCTION("""COMPUTED_VALUE"""),"#REF!")</f>
        <v>#REF!</v>
      </c>
      <c r="DF260" s="217" t="str">
        <f>IFERROR(__xludf.DUMMYFUNCTION("""COMPUTED_VALUE"""),"#REF!")</f>
        <v>#REF!</v>
      </c>
      <c r="DG260" s="79" t="str">
        <f>IFERROR(__xludf.DUMMYFUNCTION("""COMPUTED_VALUE"""),"#REF!")</f>
        <v>#REF!</v>
      </c>
      <c r="DH260" s="255" t="str">
        <f>IFERROR(__xludf.DUMMYFUNCTION("""COMPUTED_VALUE"""),"#REF!")</f>
        <v>#REF!</v>
      </c>
      <c r="DI260" s="217" t="str">
        <f>IFERROR(__xludf.DUMMYFUNCTION("""COMPUTED_VALUE"""),"#REF!")</f>
        <v>#REF!</v>
      </c>
      <c r="DJ260" s="217" t="str">
        <f>IFERROR(__xludf.DUMMYFUNCTION("""COMPUTED_VALUE"""),"#REF!")</f>
        <v>#REF!</v>
      </c>
      <c r="DK260" s="218" t="str">
        <f>IFERROR(__xludf.DUMMYFUNCTION("""COMPUTED_VALUE"""),"#REF!")</f>
        <v>#REF!</v>
      </c>
      <c r="DL260" s="217" t="str">
        <f>IFERROR(__xludf.DUMMYFUNCTION("""COMPUTED_VALUE"""),"#REF!")</f>
        <v>#REF!</v>
      </c>
      <c r="DM260" s="217" t="str">
        <f>IFERROR(__xludf.DUMMYFUNCTION("""COMPUTED_VALUE"""),"#REF!")</f>
        <v>#REF!</v>
      </c>
      <c r="DN260" s="218" t="str">
        <f>IFERROR(__xludf.DUMMYFUNCTION("""COMPUTED_VALUE"""),"#REF!")</f>
        <v>#REF!</v>
      </c>
      <c r="DO260" s="217" t="str">
        <f>IFERROR(__xludf.DUMMYFUNCTION("""COMPUTED_VALUE"""),"#REF!")</f>
        <v>#REF!</v>
      </c>
      <c r="DP260" s="79" t="str">
        <f>IFERROR(__xludf.DUMMYFUNCTION("""COMPUTED_VALUE"""),"#REF!")</f>
        <v>#REF!</v>
      </c>
      <c r="DQ260" s="255"/>
      <c r="DR260" s="217"/>
    </row>
    <row r="261">
      <c r="B261" s="180" t="str">
        <f>IFERROR(__xludf.DUMMYFUNCTION("""COMPUTED_VALUE"""),"HEA13")</f>
        <v>HEA13</v>
      </c>
      <c r="C261">
        <f>IFERROR(__xludf.DUMMYFUNCTION("""COMPUTED_VALUE"""),262.0)</f>
        <v>262</v>
      </c>
      <c r="D261" s="88" t="str">
        <f>IFERROR(__xludf.DUMMYFUNCTION("""COMPUTED_VALUE"""),"Jō Three, Bō Three")</f>
        <v>Jō Three, Bō Three</v>
      </c>
      <c r="E261" s="215" t="str">
        <f>IFERROR(__xludf.DUMMYFUNCTION("""COMPUTED_VALUE"""),"三条三坊")</f>
        <v>三条三坊</v>
      </c>
      <c r="F261" s="179">
        <f>IFERROR(__xludf.DUMMYFUNCTION("""COMPUTED_VALUE"""),21.0)</f>
        <v>21</v>
      </c>
      <c r="G261" s="83">
        <f>IFERROR(__xludf.DUMMYFUNCTION("""COMPUTED_VALUE"""),116296.0)</f>
        <v>116296</v>
      </c>
      <c r="H261" s="95" t="str">
        <f>IFERROR(__xludf.DUMMYFUNCTION("""COMPUTED_VALUE"""),"")</f>
        <v/>
      </c>
      <c r="I261" s="96" t="str">
        <f>IFERROR(__xludf.DUMMYFUNCTION("""COMPUTED_VALUE"""),"")</f>
        <v/>
      </c>
      <c r="J261" s="97" t="str">
        <f>IFERROR(__xludf.DUMMYFUNCTION("""COMPUTED_VALUE"""),"")</f>
        <v/>
      </c>
      <c r="K261" s="95" t="str">
        <f>IFERROR(__xludf.DUMMYFUNCTION("""COMPUTED_VALUE"""),"")</f>
        <v/>
      </c>
      <c r="L261" s="96" t="str">
        <f>IFERROR(__xludf.DUMMYFUNCTION("""COMPUTED_VALUE"""),"")</f>
        <v/>
      </c>
      <c r="M261" s="97" t="str">
        <f>IFERROR(__xludf.DUMMYFUNCTION("""COMPUTED_VALUE"""),"")</f>
        <v/>
      </c>
      <c r="N261" s="95" t="str">
        <f>IFERROR(__xludf.DUMMYFUNCTION("""COMPUTED_VALUE"""),"")</f>
        <v/>
      </c>
      <c r="O261" s="96" t="str">
        <f>IFERROR(__xludf.DUMMYFUNCTION("""COMPUTED_VALUE"""),"")</f>
        <v/>
      </c>
      <c r="P261" s="97" t="str">
        <f>IFERROR(__xludf.DUMMYFUNCTION("""COMPUTED_VALUE"""),"")</f>
        <v/>
      </c>
      <c r="Q261" s="95" t="str">
        <f>IFERROR(__xludf.DUMMYFUNCTION("""COMPUTED_VALUE"""),"")</f>
        <v/>
      </c>
      <c r="R261" s="96" t="str">
        <f>IFERROR(__xludf.DUMMYFUNCTION("""COMPUTED_VALUE"""),"")</f>
        <v/>
      </c>
      <c r="S261" s="97" t="str">
        <f>IFERROR(__xludf.DUMMYFUNCTION("""COMPUTED_VALUE"""),"")</f>
        <v/>
      </c>
      <c r="T261" s="95" t="str">
        <f>IFERROR(__xludf.DUMMYFUNCTION("""COMPUTED_VALUE"""),"")</f>
        <v/>
      </c>
      <c r="U261" s="96" t="str">
        <f>IFERROR(__xludf.DUMMYFUNCTION("""COMPUTED_VALUE"""),"")</f>
        <v/>
      </c>
      <c r="V261" s="97" t="str">
        <f>IFERROR(__xludf.DUMMYFUNCTION("""COMPUTED_VALUE"""),"")</f>
        <v/>
      </c>
      <c r="W261" s="95" t="str">
        <f>IFERROR(__xludf.DUMMYFUNCTION("""COMPUTED_VALUE"""),"")</f>
        <v/>
      </c>
      <c r="X261" s="96" t="str">
        <f>IFERROR(__xludf.DUMMYFUNCTION("""COMPUTED_VALUE"""),"")</f>
        <v/>
      </c>
      <c r="Y261" s="97">
        <f>IFERROR(__xludf.DUMMYFUNCTION("""COMPUTED_VALUE"""),12.2)</f>
        <v>12.2</v>
      </c>
      <c r="Z261" s="95" t="str">
        <f>IFERROR(__xludf.DUMMYFUNCTION("""COMPUTED_VALUE"""),"")</f>
        <v/>
      </c>
      <c r="AA261" s="96" t="str">
        <f>IFERROR(__xludf.DUMMYFUNCTION("""COMPUTED_VALUE"""),"")</f>
        <v/>
      </c>
      <c r="AB261" s="97" t="str">
        <f>IFERROR(__xludf.DUMMYFUNCTION("""COMPUTED_VALUE"""),"")</f>
        <v/>
      </c>
      <c r="AC261" s="95" t="str">
        <f>IFERROR(__xludf.DUMMYFUNCTION("""COMPUTED_VALUE"""),"")</f>
        <v/>
      </c>
      <c r="AD261" s="96" t="str">
        <f>IFERROR(__xludf.DUMMYFUNCTION("""COMPUTED_VALUE"""),"")</f>
        <v/>
      </c>
      <c r="AE261" s="97" t="str">
        <f>IFERROR(__xludf.DUMMYFUNCTION("""COMPUTED_VALUE"""),"")</f>
        <v/>
      </c>
      <c r="AF261" s="95" t="str">
        <f>IFERROR(__xludf.DUMMYFUNCTION("""COMPUTED_VALUE"""),"")</f>
        <v/>
      </c>
      <c r="AG261" s="96" t="str">
        <f>IFERROR(__xludf.DUMMYFUNCTION("""COMPUTED_VALUE"""),"")</f>
        <v/>
      </c>
      <c r="AH261" s="97" t="str">
        <f>IFERROR(__xludf.DUMMYFUNCTION("""COMPUTED_VALUE"""),"")</f>
        <v/>
      </c>
      <c r="AI261" s="216" t="str">
        <f>IFERROR(__xludf.DUMMYFUNCTION("""COMPUTED_VALUE"""),"")</f>
        <v/>
      </c>
      <c r="AJ261" s="217" t="str">
        <f>IFERROR(__xludf.DUMMYFUNCTION("""COMPUTED_VALUE"""),"")</f>
        <v/>
      </c>
      <c r="AK261" s="218" t="str">
        <f>IFERROR(__xludf.DUMMYFUNCTION("""COMPUTED_VALUE"""),"")</f>
        <v/>
      </c>
      <c r="AL261" s="217" t="str">
        <f>IFERROR(__xludf.DUMMYFUNCTION("""COMPUTED_VALUE"""),"")</f>
        <v/>
      </c>
      <c r="AM261" s="217" t="str">
        <f>IFERROR(__xludf.DUMMYFUNCTION("""COMPUTED_VALUE"""),"")</f>
        <v/>
      </c>
      <c r="AN261" s="218" t="str">
        <f>IFERROR(__xludf.DUMMYFUNCTION("""COMPUTED_VALUE"""),"")</f>
        <v/>
      </c>
      <c r="AO261" s="217" t="str">
        <f>IFERROR(__xludf.DUMMYFUNCTION("""COMPUTED_VALUE"""),"")</f>
        <v/>
      </c>
      <c r="AP261" s="217" t="str">
        <f>IFERROR(__xludf.DUMMYFUNCTION("""COMPUTED_VALUE"""),"")</f>
        <v/>
      </c>
      <c r="AQ261" s="218" t="str">
        <f>IFERROR(__xludf.DUMMYFUNCTION("""COMPUTED_VALUE"""),"")</f>
        <v/>
      </c>
      <c r="AR261" s="217" t="str">
        <f>IFERROR(__xludf.DUMMYFUNCTION("""COMPUTED_VALUE"""),"")</f>
        <v/>
      </c>
      <c r="AS261" s="217">
        <f>IFERROR(__xludf.DUMMYFUNCTION("""COMPUTED_VALUE"""),25.3)</f>
        <v>25.3</v>
      </c>
      <c r="AT261" s="218" t="str">
        <f>IFERROR(__xludf.DUMMYFUNCTION("""COMPUTED_VALUE"""),"")</f>
        <v/>
      </c>
      <c r="AU261" s="217" t="str">
        <f>IFERROR(__xludf.DUMMYFUNCTION("""COMPUTED_VALUE"""),"")</f>
        <v/>
      </c>
      <c r="AV261" s="217" t="str">
        <f>IFERROR(__xludf.DUMMYFUNCTION("""COMPUTED_VALUE"""),"")</f>
        <v/>
      </c>
      <c r="AW261" s="218" t="str">
        <f>IFERROR(__xludf.DUMMYFUNCTION("""COMPUTED_VALUE"""),"")</f>
        <v/>
      </c>
      <c r="AX261" s="217" t="str">
        <f>IFERROR(__xludf.DUMMYFUNCTION("""COMPUTED_VALUE"""),"")</f>
        <v/>
      </c>
      <c r="AY261" s="217" t="str">
        <f>IFERROR(__xludf.DUMMYFUNCTION("""COMPUTED_VALUE"""),"")</f>
        <v/>
      </c>
      <c r="AZ261" s="218" t="str">
        <f>IFERROR(__xludf.DUMMYFUNCTION("""COMPUTED_VALUE"""),"")</f>
        <v/>
      </c>
      <c r="BA261" s="217" t="str">
        <f>IFERROR(__xludf.DUMMYFUNCTION("""COMPUTED_VALUE"""),"")</f>
        <v/>
      </c>
      <c r="BB261" s="217" t="str">
        <f>IFERROR(__xludf.DUMMYFUNCTION("""COMPUTED_VALUE"""),"")</f>
        <v/>
      </c>
      <c r="BC261" s="218" t="str">
        <f>IFERROR(__xludf.DUMMYFUNCTION("""COMPUTED_VALUE"""),"")</f>
        <v/>
      </c>
      <c r="BD261" s="217" t="str">
        <f>IFERROR(__xludf.DUMMYFUNCTION("""COMPUTED_VALUE"""),"")</f>
        <v/>
      </c>
      <c r="BE261" s="217" t="str">
        <f>IFERROR(__xludf.DUMMYFUNCTION("""COMPUTED_VALUE"""),"")</f>
        <v/>
      </c>
      <c r="BF261" s="218" t="str">
        <f>IFERROR(__xludf.DUMMYFUNCTION("""COMPUTED_VALUE"""),"")</f>
        <v/>
      </c>
      <c r="BG261" s="216" t="str">
        <f>IFERROR(__xludf.DUMMYFUNCTION("""COMPUTED_VALUE"""),"")</f>
        <v/>
      </c>
      <c r="BH261" s="217" t="str">
        <f>IFERROR(__xludf.DUMMYFUNCTION("""COMPUTED_VALUE"""),"")</f>
        <v/>
      </c>
      <c r="BI261" s="218">
        <f>IFERROR(__xludf.DUMMYFUNCTION("""COMPUTED_VALUE"""),4.2)</f>
        <v>4.2</v>
      </c>
      <c r="BJ261" s="217" t="str">
        <f>IFERROR(__xludf.DUMMYFUNCTION("""COMPUTED_VALUE"""),"")</f>
        <v/>
      </c>
      <c r="BK261" s="217" t="str">
        <f>IFERROR(__xludf.DUMMYFUNCTION("""COMPUTED_VALUE"""),"")</f>
        <v/>
      </c>
      <c r="BL261" s="218">
        <f>IFERROR(__xludf.DUMMYFUNCTION("""COMPUTED_VALUE"""),30.3)</f>
        <v>30.3</v>
      </c>
      <c r="BM261" s="217" t="str">
        <f>IFERROR(__xludf.DUMMYFUNCTION("""COMPUTED_VALUE"""),"")</f>
        <v/>
      </c>
      <c r="BN261" s="217" t="str">
        <f>IFERROR(__xludf.DUMMYFUNCTION("""COMPUTED_VALUE"""),"")</f>
        <v/>
      </c>
      <c r="BO261" s="218" t="str">
        <f>IFERROR(__xludf.DUMMYFUNCTION("""COMPUTED_VALUE"""),"")</f>
        <v/>
      </c>
      <c r="BP261" s="217" t="str">
        <f>IFERROR(__xludf.DUMMYFUNCTION("""COMPUTED_VALUE"""),"")</f>
        <v/>
      </c>
      <c r="BQ261" s="217" t="str">
        <f>IFERROR(__xludf.DUMMYFUNCTION("""COMPUTED_VALUE"""),"")</f>
        <v/>
      </c>
      <c r="BR261" s="218" t="str">
        <f>IFERROR(__xludf.DUMMYFUNCTION("""COMPUTED_VALUE"""),"")</f>
        <v/>
      </c>
      <c r="BS261" s="217" t="str">
        <f>IFERROR(__xludf.DUMMYFUNCTION("""COMPUTED_VALUE"""),"")</f>
        <v/>
      </c>
      <c r="BT261" s="217" t="str">
        <f>IFERROR(__xludf.DUMMYFUNCTION("""COMPUTED_VALUE"""),"")</f>
        <v/>
      </c>
      <c r="BU261" s="218" t="str">
        <f>IFERROR(__xludf.DUMMYFUNCTION("""COMPUTED_VALUE"""),"")</f>
        <v/>
      </c>
      <c r="BV261" s="217" t="str">
        <f>IFERROR(__xludf.DUMMYFUNCTION("""COMPUTED_VALUE"""),"")</f>
        <v/>
      </c>
      <c r="BW261" s="217" t="str">
        <f>IFERROR(__xludf.DUMMYFUNCTION("""COMPUTED_VALUE"""),"")</f>
        <v/>
      </c>
      <c r="BX261" s="218" t="str">
        <f>IFERROR(__xludf.DUMMYFUNCTION("""COMPUTED_VALUE"""),"")</f>
        <v/>
      </c>
      <c r="BY261" s="217" t="str">
        <f>IFERROR(__xludf.DUMMYFUNCTION("""COMPUTED_VALUE"""),"")</f>
        <v/>
      </c>
      <c r="BZ261" s="217" t="str">
        <f>IFERROR(__xludf.DUMMYFUNCTION("""COMPUTED_VALUE"""),"")</f>
        <v/>
      </c>
      <c r="CA261" s="218" t="str">
        <f>IFERROR(__xludf.DUMMYFUNCTION("""COMPUTED_VALUE"""),"")</f>
        <v/>
      </c>
      <c r="CB261" s="216" t="str">
        <f>IFERROR(__xludf.DUMMYFUNCTION("""COMPUTED_VALUE"""),"")</f>
        <v/>
      </c>
      <c r="CC261" s="217" t="str">
        <f>IFERROR(__xludf.DUMMYFUNCTION("""COMPUTED_VALUE"""),"")</f>
        <v/>
      </c>
      <c r="CD261" s="218" t="str">
        <f>IFERROR(__xludf.DUMMYFUNCTION("""COMPUTED_VALUE"""),"")</f>
        <v/>
      </c>
      <c r="CE261" s="217" t="str">
        <f>IFERROR(__xludf.DUMMYFUNCTION("""COMPUTED_VALUE"""),"")</f>
        <v/>
      </c>
      <c r="CF261" s="217" t="str">
        <f>IFERROR(__xludf.DUMMYFUNCTION("""COMPUTED_VALUE"""),"")</f>
        <v/>
      </c>
      <c r="CG261" s="218" t="str">
        <f>IFERROR(__xludf.DUMMYFUNCTION("""COMPUTED_VALUE"""),"")</f>
        <v/>
      </c>
      <c r="CH261" s="217" t="str">
        <f>IFERROR(__xludf.DUMMYFUNCTION("""COMPUTED_VALUE"""),"")</f>
        <v/>
      </c>
      <c r="CI261" s="217" t="str">
        <f>IFERROR(__xludf.DUMMYFUNCTION("""COMPUTED_VALUE"""),"")</f>
        <v/>
      </c>
      <c r="CJ261" s="218" t="str">
        <f>IFERROR(__xludf.DUMMYFUNCTION("""COMPUTED_VALUE"""),"")</f>
        <v/>
      </c>
      <c r="CK261" s="217" t="str">
        <f>IFERROR(__xludf.DUMMYFUNCTION("""COMPUTED_VALUE"""),"")</f>
        <v/>
      </c>
      <c r="CL261" s="217" t="str">
        <f>IFERROR(__xludf.DUMMYFUNCTION("""COMPUTED_VALUE"""),"")</f>
        <v/>
      </c>
      <c r="CM261" s="218" t="str">
        <f>IFERROR(__xludf.DUMMYFUNCTION("""COMPUTED_VALUE"""),"")</f>
        <v/>
      </c>
      <c r="CN261" s="217" t="str">
        <f>IFERROR(__xludf.DUMMYFUNCTION("""COMPUTED_VALUE"""),"")</f>
        <v/>
      </c>
      <c r="CO261" s="79" t="str">
        <f>IFERROR(__xludf.DUMMYFUNCTION("""COMPUTED_VALUE"""),"")</f>
        <v/>
      </c>
      <c r="CP261" s="255" t="str">
        <f>IFERROR(__xludf.DUMMYFUNCTION("""COMPUTED_VALUE"""),"")</f>
        <v/>
      </c>
      <c r="CQ261" s="217" t="str">
        <f>IFERROR(__xludf.DUMMYFUNCTION("""COMPUTED_VALUE"""),"")</f>
        <v/>
      </c>
      <c r="CR261" s="217">
        <f>IFERROR(__xludf.DUMMYFUNCTION("""COMPUTED_VALUE"""),8.1)</f>
        <v>8.1</v>
      </c>
      <c r="CS261" s="218" t="str">
        <f>IFERROR(__xludf.DUMMYFUNCTION("""COMPUTED_VALUE"""),"#REF!")</f>
        <v>#REF!</v>
      </c>
      <c r="CT261" s="217" t="str">
        <f>IFERROR(__xludf.DUMMYFUNCTION("""COMPUTED_VALUE"""),"#REF!")</f>
        <v>#REF!</v>
      </c>
      <c r="CU261" s="217" t="str">
        <f>IFERROR(__xludf.DUMMYFUNCTION("""COMPUTED_VALUE"""),"#REF!")</f>
        <v>#REF!</v>
      </c>
      <c r="CV261" s="218" t="str">
        <f>IFERROR(__xludf.DUMMYFUNCTION("""COMPUTED_VALUE"""),"#REF!")</f>
        <v>#REF!</v>
      </c>
      <c r="CW261" s="217" t="str">
        <f>IFERROR(__xludf.DUMMYFUNCTION("""COMPUTED_VALUE"""),"#REF!")</f>
        <v>#REF!</v>
      </c>
      <c r="CX261" s="79" t="str">
        <f>IFERROR(__xludf.DUMMYFUNCTION("""COMPUTED_VALUE"""),"#REF!")</f>
        <v>#REF!</v>
      </c>
      <c r="CY261" s="255" t="str">
        <f>IFERROR(__xludf.DUMMYFUNCTION("""COMPUTED_VALUE"""),"#REF!")</f>
        <v>#REF!</v>
      </c>
      <c r="CZ261" s="217" t="str">
        <f>IFERROR(__xludf.DUMMYFUNCTION("""COMPUTED_VALUE"""),"#REF!")</f>
        <v>#REF!</v>
      </c>
      <c r="DA261" s="217" t="str">
        <f>IFERROR(__xludf.DUMMYFUNCTION("""COMPUTED_VALUE"""),"#REF!")</f>
        <v>#REF!</v>
      </c>
      <c r="DB261" s="218" t="str">
        <f>IFERROR(__xludf.DUMMYFUNCTION("""COMPUTED_VALUE"""),"#REF!")</f>
        <v>#REF!</v>
      </c>
      <c r="DC261" s="217" t="str">
        <f>IFERROR(__xludf.DUMMYFUNCTION("""COMPUTED_VALUE"""),"#REF!")</f>
        <v>#REF!</v>
      </c>
      <c r="DD261" s="217" t="str">
        <f>IFERROR(__xludf.DUMMYFUNCTION("""COMPUTED_VALUE"""),"#REF!")</f>
        <v>#REF!</v>
      </c>
      <c r="DE261" s="218" t="str">
        <f>IFERROR(__xludf.DUMMYFUNCTION("""COMPUTED_VALUE"""),"#REF!")</f>
        <v>#REF!</v>
      </c>
      <c r="DF261" s="217" t="str">
        <f>IFERROR(__xludf.DUMMYFUNCTION("""COMPUTED_VALUE"""),"#REF!")</f>
        <v>#REF!</v>
      </c>
      <c r="DG261" s="79" t="str">
        <f>IFERROR(__xludf.DUMMYFUNCTION("""COMPUTED_VALUE"""),"#REF!")</f>
        <v>#REF!</v>
      </c>
      <c r="DH261" s="255" t="str">
        <f>IFERROR(__xludf.DUMMYFUNCTION("""COMPUTED_VALUE"""),"#REF!")</f>
        <v>#REF!</v>
      </c>
      <c r="DI261" s="217" t="str">
        <f>IFERROR(__xludf.DUMMYFUNCTION("""COMPUTED_VALUE"""),"#REF!")</f>
        <v>#REF!</v>
      </c>
      <c r="DJ261" s="217" t="str">
        <f>IFERROR(__xludf.DUMMYFUNCTION("""COMPUTED_VALUE"""),"#REF!")</f>
        <v>#REF!</v>
      </c>
      <c r="DK261" s="218" t="str">
        <f>IFERROR(__xludf.DUMMYFUNCTION("""COMPUTED_VALUE"""),"#REF!")</f>
        <v>#REF!</v>
      </c>
      <c r="DL261" s="217" t="str">
        <f>IFERROR(__xludf.DUMMYFUNCTION("""COMPUTED_VALUE"""),"#REF!")</f>
        <v>#REF!</v>
      </c>
      <c r="DM261" s="217" t="str">
        <f>IFERROR(__xludf.DUMMYFUNCTION("""COMPUTED_VALUE"""),"#REF!")</f>
        <v>#REF!</v>
      </c>
      <c r="DN261" s="218" t="str">
        <f>IFERROR(__xludf.DUMMYFUNCTION("""COMPUTED_VALUE"""),"#REF!")</f>
        <v>#REF!</v>
      </c>
      <c r="DO261" s="217" t="str">
        <f>IFERROR(__xludf.DUMMYFUNCTION("""COMPUTED_VALUE"""),"#REF!")</f>
        <v>#REF!</v>
      </c>
      <c r="DP261" s="79" t="str">
        <f>IFERROR(__xludf.DUMMYFUNCTION("""COMPUTED_VALUE"""),"#REF!")</f>
        <v>#REF!</v>
      </c>
      <c r="DQ261" s="255"/>
      <c r="DR261" s="217"/>
    </row>
    <row r="262" hidden="1">
      <c r="B262" s="180"/>
      <c r="H262" s="222"/>
      <c r="K262" s="222"/>
      <c r="N262" s="222"/>
      <c r="Q262" s="222"/>
      <c r="T262" s="222"/>
      <c r="W262" s="222"/>
      <c r="Z262" s="222"/>
      <c r="AC262" s="222"/>
      <c r="AF262" s="222"/>
      <c r="AI262" s="222"/>
      <c r="AL262" s="222"/>
      <c r="AO262" s="222"/>
      <c r="AR262" s="222"/>
      <c r="AU262" s="222"/>
      <c r="AX262" s="222"/>
      <c r="BA262" s="222"/>
      <c r="BD262" s="222"/>
      <c r="BG262" s="222"/>
      <c r="BJ262" s="222"/>
      <c r="BM262" s="222"/>
      <c r="BP262" s="222"/>
      <c r="BS262" s="222"/>
      <c r="BV262" s="222"/>
      <c r="BY262" s="222"/>
      <c r="CB262" s="222"/>
      <c r="CE262" s="256"/>
      <c r="CF262" s="256"/>
      <c r="CG262" s="256"/>
      <c r="CH262" s="256"/>
      <c r="CI262" s="256"/>
      <c r="CJ262" s="256"/>
    </row>
  </sheetData>
  <mergeCells count="21">
    <mergeCell ref="A5:A20"/>
    <mergeCell ref="A21:A48"/>
    <mergeCell ref="A49:A56"/>
    <mergeCell ref="A57:A66"/>
    <mergeCell ref="A67:A77"/>
    <mergeCell ref="A78:A89"/>
    <mergeCell ref="A90:A98"/>
    <mergeCell ref="A183:A196"/>
    <mergeCell ref="A197:A207"/>
    <mergeCell ref="A208:A218"/>
    <mergeCell ref="A219:A228"/>
    <mergeCell ref="A229:A237"/>
    <mergeCell ref="A238:A248"/>
    <mergeCell ref="A249:A261"/>
    <mergeCell ref="A99:A112"/>
    <mergeCell ref="A113:A126"/>
    <mergeCell ref="A127:A140"/>
    <mergeCell ref="A141:A150"/>
    <mergeCell ref="A151:A162"/>
    <mergeCell ref="A163:A170"/>
    <mergeCell ref="A172:A182"/>
  </mergeCells>
  <conditionalFormatting sqref="H219:DR261">
    <cfRule type="expression" dxfId="0" priority="1">
      <formula>H219=SMALL(H$5:H262,1)</formula>
    </cfRule>
  </conditionalFormatting>
  <conditionalFormatting sqref="H219:DR261">
    <cfRule type="expression" dxfId="1" priority="2">
      <formula>AND(H219=SMALL(H$5:H262,2),H219&lt;2*SMALL(H$5:H262,1))</formula>
    </cfRule>
  </conditionalFormatting>
  <conditionalFormatting sqref="H219:DR261">
    <cfRule type="expression" dxfId="2" priority="3">
      <formula>AND(H219=SMALL(H$5:H262,3),H219&lt;2*SMALL(H$5:H262,1))</formula>
    </cfRule>
  </conditionalFormatting>
  <conditionalFormatting sqref="H5:DR262">
    <cfRule type="expression" dxfId="0" priority="4">
      <formula>H5=LARGE(H$5:H262,1)</formula>
    </cfRule>
  </conditionalFormatting>
  <conditionalFormatting sqref="H5:DR262">
    <cfRule type="expression" dxfId="1" priority="5">
      <formula>AND(H5=LARGE(H$5:H262,2),H5&gt;0.5*LARGE(H$5:H262,1))</formula>
    </cfRule>
  </conditionalFormatting>
  <conditionalFormatting sqref="H5:DR262">
    <cfRule type="expression" dxfId="2" priority="6">
      <formula>AND(H5=LARGE(H$5:H262,3),H5&gt;0.5*LARGE(H$5:H262,1))</formula>
    </cfRule>
  </conditionalFormatting>
  <hyperlinks>
    <hyperlink r:id="rId1" location="Ember_Gathering_.28Lances.2FKilling.29" ref="D5"/>
    <hyperlink r:id="rId2" location="Ember_Gathering_.28Lances.2FKilling.29" ref="D6"/>
    <hyperlink r:id="rId3" location="Ember_Gathering_.28Lances.2FKilling.29" ref="D7"/>
    <hyperlink r:id="rId4" location="Ember_Gathering_.28Lances.2FKilling.29" ref="D8"/>
    <hyperlink r:id="rId5" location="Ember_Gathering_.28Swords.2FCavalry.29" ref="D9"/>
    <hyperlink r:id="rId6" location="Ember_Gathering_.28Swords.2FCavalry.29" ref="D10"/>
    <hyperlink r:id="rId7" location="Ember_Gathering_.28Swords.2FCavalry.29" ref="D11"/>
    <hyperlink r:id="rId8" location="Ember_Gathering_.28Swords.2FCavalry.29" ref="D12"/>
    <hyperlink r:id="rId9" location="Ember_Gathering_.28Bows.2FSpells.29" ref="D13"/>
    <hyperlink r:id="rId10" location="Ember_Gathering_.28Bows.2FSpells.29" ref="D14"/>
    <hyperlink r:id="rId11" location="Ember_Gathering_.28Bows.2FSpells.29" ref="D15"/>
    <hyperlink r:id="rId12" location="Ember_Gathering_.28Bows.2FSpells.29" ref="D16"/>
    <hyperlink r:id="rId13" location="Ember_Gathering_.28ALL_Class.29" ref="D17"/>
    <hyperlink r:id="rId14" location="Ember_Gathering_.28ALL_Class.29" ref="D18"/>
    <hyperlink r:id="rId15" location="Ember_Gathering_.28ALL_Class.29" ref="D19"/>
    <hyperlink r:id="rId16" location="Ember_Gathering_.28ALL_Class.29" ref="D20"/>
    <hyperlink r:id="rId17" location="Archery_Training_Field" ref="D21"/>
    <hyperlink r:id="rId18" location="Archery_Training_Field" ref="D22"/>
    <hyperlink r:id="rId19" location="Archery_Training_Field" ref="D23"/>
    <hyperlink r:id="rId20" location="Archery_Training_Field" ref="D24"/>
    <hyperlink r:id="rId21" location="Spear_Training_Field" ref="D25"/>
    <hyperlink r:id="rId22" location="Spear_Training_Field" ref="D26"/>
    <hyperlink r:id="rId23" location="Spear_Training_Field" ref="D27"/>
    <hyperlink r:id="rId24" location="Spear_Training_Field" ref="D28"/>
    <hyperlink r:id="rId25" location="Mad_Training_Field" ref="D29"/>
    <hyperlink r:id="rId26" location="Mad_Training_Field" ref="D30"/>
    <hyperlink r:id="rId27" location="Mad_Training_Field" ref="D31"/>
    <hyperlink r:id="rId28" location="Mad_Training_Field" ref="D32"/>
    <hyperlink r:id="rId29" location="Cavalry_Training_Field" ref="D33"/>
    <hyperlink r:id="rId30" location="Cavalry_Training_Field" ref="D34"/>
    <hyperlink r:id="rId31" location="Cavalry_Training_Field" ref="D35"/>
    <hyperlink r:id="rId32" location="Cavalry_Training_Field" ref="D36"/>
    <hyperlink r:id="rId33" location="Magic_Training_Field" ref="D37"/>
    <hyperlink r:id="rId34" location="Magic_Training_Field" ref="D38"/>
    <hyperlink r:id="rId35" location="Magic_Training_Field" ref="D39"/>
    <hyperlink r:id="rId36" location="Magic_Training_Field" ref="D40"/>
    <hyperlink r:id="rId37" location="Killing_Training_Field" ref="D41"/>
    <hyperlink r:id="rId38" location="Killing_Training_Field" ref="D42"/>
    <hyperlink r:id="rId39" location="Killing_Training_Field" ref="D43"/>
    <hyperlink r:id="rId40" location="Killing_Training_Field" ref="D44"/>
    <hyperlink r:id="rId41" location="Sword_Training_Field" ref="D45"/>
    <hyperlink r:id="rId42" location="Sword_Training_Field" ref="D46"/>
    <hyperlink r:id="rId43" location="Sword_Training_Field" ref="D47"/>
    <hyperlink r:id="rId44" location="Sword_Training_Field" ref="D48"/>
    <hyperlink r:id="rId45" location="Unknown_Coordinates_X-A" ref="D49"/>
    <hyperlink r:id="rId46" location="Unknown_Coordinates_X-B" ref="D50"/>
    <hyperlink r:id="rId47" location="Unknown_Coordinates_X-C" ref="D51"/>
    <hyperlink r:id="rId48" location="Unknown_Coordinates_X-D" ref="D52"/>
    <hyperlink r:id="rId49" location="Unknown_Coordinates_X-E" ref="D53"/>
    <hyperlink r:id="rId50" location="Unknown_Coordinates_X-F" ref="D54"/>
    <hyperlink r:id="rId51" location="Unknown_Coordinates_X-G" ref="D55"/>
    <hyperlink r:id="rId52" location="Mobile_Coordinates.2C_Point_0" ref="D56"/>
    <hyperlink r:id="rId53" location="Domr.C3.A9my" ref="D57"/>
    <hyperlink r:id="rId54" location="Vaucouleurs" ref="D58"/>
    <hyperlink r:id="rId55" location="La_Charit.C3.A9" ref="D59"/>
    <hyperlink r:id="rId56" location="Jura" ref="D60"/>
    <hyperlink r:id="rId57" location="Lyon" ref="D61"/>
    <hyperlink r:id="rId58" location="Marseille" ref="D62"/>
    <hyperlink r:id="rId59" location="Thiers" ref="D63"/>
    <hyperlink r:id="rId60" location="Bordeaux" ref="D64"/>
    <hyperlink r:id="rId61" location="Orleans" ref="D65"/>
    <hyperlink r:id="rId62" location="Paris" ref="D66"/>
    <hyperlink r:id="rId63" location="Appia_Road" ref="D67"/>
    <hyperlink r:id="rId64" location="Rome" ref="D68"/>
    <hyperlink r:id="rId65" location="Mt._Etna" ref="D69"/>
    <hyperlink r:id="rId66" location="Florence" ref="D70"/>
    <hyperlink r:id="rId67" location="Mediolanum" ref="D71"/>
    <hyperlink r:id="rId68" location="Germania" ref="D72"/>
    <hyperlink r:id="rId69" location="Massilia" ref="D73"/>
    <hyperlink r:id="rId70" location="Gaul" ref="D74"/>
    <hyperlink r:id="rId71" location="Britannia" ref="D75"/>
    <hyperlink r:id="rId72" location="Shaped_Isle" ref="D76"/>
    <hyperlink r:id="rId73" location="Alliance_Capital" ref="D77"/>
    <hyperlink r:id="rId74" location="Pirate_Ship" ref="D78"/>
    <hyperlink r:id="rId75" location="Pirate_Island" ref="D79"/>
    <hyperlink r:id="rId76" location="King.27s_Abode_Island" ref="D80"/>
    <hyperlink r:id="rId77" location="Mapped_Island" ref="D81"/>
    <hyperlink r:id="rId78" location="Sunken_Rock_Seas" ref="D82"/>
    <hyperlink r:id="rId79" location="Two-Current_Sea" ref="D83"/>
    <hyperlink r:id="rId80" location="Island_of_Wyverns" ref="D84"/>
    <hyperlink r:id="rId81" location="Caldera_Island" ref="D85"/>
    <hyperlink r:id="rId82" location="Stormy_Seas" ref="D86"/>
    <hyperlink r:id="rId83" location="Archipelago" ref="D87"/>
    <hyperlink r:id="rId84" location="Archipelago" ref="D88"/>
    <hyperlink r:id="rId85" location="Bountiful_Sea" ref="D89"/>
    <hyperlink r:id="rId86" location="Old_Street" ref="D90"/>
    <hyperlink r:id="rId87" location="Whitechapel" ref="D91"/>
    <hyperlink r:id="rId88" location="City_Of_London" ref="D92"/>
    <hyperlink r:id="rId89" location="SOHO" ref="D93"/>
    <hyperlink r:id="rId90" location="Westminster_.2F_City_of_Westminster" ref="D94"/>
    <hyperlink r:id="rId91" location="Regent_Park" ref="D95"/>
    <hyperlink r:id="rId92" location="Clerkenwell" ref="D96"/>
    <hyperlink r:id="rId93" location="Southwark_.2F_Borough_of_Southwark" ref="D97"/>
    <hyperlink r:id="rId94" location="Hyde_Park" ref="D98"/>
    <hyperlink r:id="rId95" location="Black_Hills" ref="D99"/>
    <hyperlink r:id="rId96" location="Riverton" ref="D100"/>
    <hyperlink r:id="rId97" location="Denver" ref="D101"/>
    <hyperlink r:id="rId98" location="Deming" ref="D102"/>
    <hyperlink r:id="rId99" location="Dallas" ref="D103"/>
    <hyperlink r:id="rId100" location="Alcatraz" ref="D104"/>
    <hyperlink r:id="rId101" location="Des_Moines" ref="D105"/>
    <hyperlink r:id="rId102" location="Montgomery" ref="D106"/>
    <hyperlink r:id="rId103" location="Lubbock" ref="D107"/>
    <hyperlink r:id="rId104" location="Alexandria" ref="D108"/>
    <hyperlink r:id="rId105" location="Kearney" ref="D109"/>
    <hyperlink r:id="rId106" location="Charlotte" ref="D110"/>
    <hyperlink r:id="rId107" location="Washington" ref="D111"/>
    <hyperlink r:id="rId108" location="Chicago" ref="D112"/>
    <hyperlink r:id="rId109" location="Desert_Sandstorm" ref="D113"/>
    <hyperlink r:id="rId110" location="Dunes_of_Daybreak" ref="D114"/>
    <hyperlink r:id="rId111" location="Wilderness_of_Death" ref="D115"/>
    <hyperlink r:id="rId112" location="Eastern_Village" ref="D116"/>
    <hyperlink r:id="rId113" location="Round_Table_Fortress" ref="D117"/>
    <hyperlink r:id="rId114" location="Evening_Bell_Mausoleum" ref="D118"/>
    <hyperlink r:id="rId115" location="Remnants_of_Western_Village" ref="D119"/>
    <hyperlink r:id="rId116" location="Atlas_Academy" ref="D120"/>
    <hyperlink r:id="rId117" location="Holy_City_Main_Entrance" ref="D121"/>
    <hyperlink r:id="rId118" location="Holy_City_Districts" ref="D122"/>
    <hyperlink r:id="rId119" location="Concealed_Village" ref="D123"/>
    <hyperlink r:id="rId120" location="Sovereign_Castle" ref="D124"/>
    <hyperlink r:id="rId121" location="Vast_Land_of_Nothingness" ref="D125"/>
    <hyperlink r:id="rId122" location="Great_Temple" ref="D126"/>
    <hyperlink r:id="rId123" location="Abolished_Metropolis_Babylon" ref="D127"/>
    <hyperlink r:id="rId124" location="Northern_Hill" ref="D128"/>
    <hyperlink r:id="rId125" location="Black_Cedar_Forest" ref="D129"/>
    <hyperlink r:id="rId126" location="Plateau" ref="D130"/>
    <hyperlink r:id="rId127" location="Marshland.2FBog" ref="D131"/>
    <hyperlink r:id="rId128" location="Ur" ref="D132"/>
    <hyperlink r:id="rId129" location="Eridu" ref="D133"/>
    <hyperlink r:id="rId130" location="Observatory" ref="D134"/>
    <hyperlink r:id="rId131" location="Phragmites_Prairie_.2F_Field_of_Reeds" ref="D135"/>
    <hyperlink r:id="rId132" location="Cuthah" ref="D136"/>
    <hyperlink r:id="rId133" location="Northern_Wall" ref="D137"/>
    <hyperlink r:id="rId134" location="Nippur" ref="D138"/>
    <hyperlink r:id="rId135" location="Mount_Ahv.C4.81z" ref="D139"/>
    <hyperlink r:id="rId136" location="Blood_Fort_Andromeda" ref="D140"/>
    <hyperlink r:id="rId137" location="Yoyogi_2-chome" ref="D141"/>
    <hyperlink r:id="rId138" location="Japan_National_Route_20" ref="D142"/>
    <hyperlink r:id="rId139" location="Shinjuku_Station" ref="D143"/>
    <hyperlink r:id="rId140" location="Shinjuku_4-chome" ref="D144"/>
    <hyperlink r:id="rId141" location="Kabukich.C5.8D" ref="D145"/>
    <hyperlink r:id="rId142" location="Barrel_Tower" ref="D146"/>
    <hyperlink r:id="rId143" location="Party_Hall" ref="D147"/>
    <hyperlink r:id="rId144" location="Tower.27s_Top_Floor" ref="D148"/>
    <hyperlink r:id="rId145" location="Shinjuku_Imperial_Garden" ref="D149"/>
    <hyperlink r:id="rId146" location="Shinjuku_2-chome" ref="D150"/>
    <hyperlink r:id="rId147" location="Underground_Plains" ref="D151"/>
    <hyperlink r:id="rId148" location="Camping_Ground" ref="D152"/>
    <hyperlink r:id="rId149" location="Riverside_Town" ref="D153"/>
    <hyperlink r:id="rId150" location="Peach_Blossom_Shangri-La" ref="D154"/>
    <hyperlink r:id="rId151" location="Ys" ref="D155"/>
    <hyperlink r:id="rId152" location="Northern_Cliffs" ref="D156"/>
    <hyperlink r:id="rId153" location="Nightless_City" ref="D157"/>
    <hyperlink r:id="rId154" location="Foothills_Jungle" ref="D158"/>
    <hyperlink r:id="rId155" location="Dragon_Palace" ref="D159"/>
    <hyperlink r:id="rId156" location="Great_Underground_River" ref="D160"/>
    <hyperlink r:id="rId157" location="El_Dorado" ref="D161"/>
    <hyperlink r:id="rId158" location="Chasm_in_the_Earth" ref="D162"/>
    <hyperlink r:id="rId159" location="Rice_Field" ref="D163"/>
    <hyperlink r:id="rId160" location="Village" ref="D164"/>
    <hyperlink r:id="rId161" location="Monastery" ref="D165"/>
    <hyperlink r:id="rId162" location="Castle_Town" ref="D166"/>
    <hyperlink r:id="rId163" location="Battlefield" ref="D167"/>
    <hyperlink r:id="rId164" location="Toke_Castle" ref="D168"/>
    <hyperlink r:id="rId165" location="Rear_Mountain" ref="D169"/>
    <hyperlink r:id="rId166" location="Arakawa_Prairie" ref="D170"/>
    <hyperlink r:id="rId167" location="Rear_Mountain" ref="D171"/>
    <hyperlink r:id="rId168" location="Quiet_Forest" ref="D172"/>
    <hyperlink r:id="rId169" location="Carter_House" ref="D173"/>
    <hyperlink r:id="rId170" location="Town_Hall" ref="D174"/>
    <hyperlink r:id="rId171" location="Quay" ref="D175"/>
    <hyperlink r:id="rId172" location="Whateley_House" ref="D176"/>
    <hyperlink r:id="rId173" location="Suburb_Mansion" ref="D177"/>
    <hyperlink r:id="rId174" location="Gallow_Hill" ref="D178"/>
    <hyperlink r:id="rId175" location="Meadows" ref="D179"/>
    <hyperlink r:id="rId176" location="Vacant_House" ref="D180"/>
    <hyperlink r:id="rId177" location="Refuge" ref="D181"/>
    <hyperlink r:id="rId178" location="Jail" ref="D182"/>
    <hyperlink r:id="rId179" location="Anchor_Point" ref="D183"/>
    <hyperlink r:id="rId180" location="Yaga_Smolensk" ref="D184"/>
    <hyperlink r:id="rId181" location="Icicles_Grotto" ref="D185"/>
    <hyperlink r:id="rId182" location="Rebellion_Army.27s_Stronghold" ref="D186"/>
    <hyperlink r:id="rId183" location="Yaga_Sychyovka" ref="D187"/>
    <hyperlink r:id="rId184" location="Devastated_Village" ref="D188"/>
    <hyperlink r:id="rId185" location="Yaga_Vyazma" ref="D189"/>
    <hyperlink r:id="rId186" location="Yaga_Demensk" ref="D190"/>
    <hyperlink r:id="rId187" location="Yaga_Tula" ref="D191"/>
    <hyperlink r:id="rId188" location="Trampled_Village" ref="D192"/>
    <hyperlink r:id="rId189" location="Yaga_Moscow" ref="D193"/>
    <hyperlink r:id="rId190" location="Great_Valley_Stronghold" ref="D194"/>
    <hyperlink r:id="rId191" location="Foundation_of_a_Giant_Tree" ref="D195"/>
    <hyperlink r:id="rId192" location="Yaga_Ryazan" ref="D196"/>
    <hyperlink r:id="rId193" location="Landing_Point" ref="D197"/>
    <hyperlink r:id="rId194" location="Knoll_of_Thin_Ice" ref="D198"/>
    <hyperlink r:id="rId195" location="Giants.27_Flower_Patio" ref="D199"/>
    <hyperlink r:id="rId196" location="23rd_Settlement" ref="D200"/>
    <hyperlink r:id="rId197" location="Heroes.27_Cellar" ref="D201"/>
    <hyperlink r:id="rId198" location="Castle_of_Ice_and_Snow" ref="D202"/>
    <hyperlink r:id="rId199" location="Pathway_Towards_The_Peak" ref="D203"/>
    <hyperlink r:id="rId200" location="Ablazed_Mansion" ref="D204"/>
    <hyperlink r:id="rId201" location="67th_Settlement" ref="D205"/>
    <hyperlink r:id="rId202" location="Northern_Boundary" ref="D206"/>
    <hyperlink r:id="rId203" location="Forgotten_Temple" ref="D207"/>
    <hyperlink r:id="rId204" location="Seeding_Point" ref="D208"/>
    <hyperlink r:id="rId205" location="Neighbouring_Village" ref="D209"/>
    <hyperlink r:id="rId206" location="Icy_Cold_Grotto" ref="D210"/>
    <hyperlink r:id="rId207" location="Akuta.27s_Encampment" ref="D211"/>
    <hyperlink r:id="rId208" location="Jing_Yangyuan" ref="D212"/>
    <hyperlink r:id="rId209" location="Shanyang_Knoll" ref="D213"/>
    <hyperlink r:id="rId210" location="Detention_Centre" ref="D214"/>
    <hyperlink r:id="rId211" location="Shiquan_Gorge" ref="D215"/>
    <hyperlink r:id="rId212" location="Dapingyu" ref="D216"/>
    <hyperlink r:id="rId213" location="Xianyang" ref="D217"/>
    <hyperlink r:id="rId214" location="Eight_Gates_Cave" ref="D218"/>
    <hyperlink r:id="rId215" location="Initiate_Point" ref="D219"/>
    <hyperlink r:id="rId216" location="Bich" ref="D220"/>
    <hyperlink r:id="rId217" location="Secluded_Grotto" ref="D221"/>
    <hyperlink r:id="rId218" location="Northern_Sacred_Mountain" ref="D222"/>
    <hyperlink r:id="rId219" location="Western_Fault" ref="D223"/>
    <hyperlink r:id="rId220" location="Dewar" ref="D224"/>
    <hyperlink r:id="rId221" location="Remains_of_the_Divine_Floating_Rock" ref="D225"/>
    <hyperlink r:id="rId222" location="Southern_Street" ref="D226"/>
    <hyperlink r:id="rId223" location="Infinitude_Territory" ref="D227"/>
    <hyperlink r:id="rId224" location="Eastern_Puspavatika" ref="D228"/>
    <hyperlink r:id="rId225" location="Sailing_Point" ref="D229"/>
    <hyperlink r:id="rId226" location="Hestia_Island" ref="D230"/>
    <hyperlink r:id="rId227" location="Hecate_Island" ref="D231"/>
    <hyperlink r:id="rId228" location="Deimos_Island" ref="D232"/>
    <hyperlink r:id="rId229" location="Astraea_Island" ref="D233"/>
    <hyperlink r:id="rId230" location="Tethys_Island" ref="D234"/>
    <hyperlink r:id="rId231" location="Eris_Island" ref="D235"/>
    <hyperlink r:id="rId232" location="Nemesis_Island" ref="D236"/>
    <hyperlink r:id="rId233" location="Thanatos_Island" ref="D237"/>
    <hyperlink r:id="rId234" location="Gliding_Point" ref="D238"/>
    <hyperlink r:id="rId235" location="Interstellar_City:_West" ref="D239"/>
    <hyperlink r:id="rId236" location="Interstellar_City:_South" ref="D240"/>
    <hyperlink r:id="rId237" location="Interstellar_City:_East" ref="D241"/>
    <hyperlink r:id="rId238" location="Grand_Workshop" ref="D242"/>
    <hyperlink r:id="rId239" location="God_Slayers_League_Base" ref="D243"/>
    <hyperlink r:id="rId240" location="Altar_District" ref="D244"/>
    <hyperlink r:id="rId241" location="Aerial_Garden" ref="D245"/>
    <hyperlink r:id="rId242" location="Machine_God.27s_Cloister" ref="D246"/>
    <hyperlink r:id="rId243" location="Grand_Altar" ref="D247"/>
    <hyperlink r:id="rId244" location="Underground_Organization_Region:_Outer_Circumference" ref="D248"/>
    <hyperlink r:id="rId245" location="J.C5.8D_Seven.2C_B.C5.8D_Four" ref="D249"/>
    <hyperlink r:id="rId246" location="J.C5.8D_Seven.2C_B.C5.8D_Two" ref="D250"/>
    <hyperlink r:id="rId247" location="J.C5.8D_Six.2C_Main_Street" ref="D251"/>
    <hyperlink r:id="rId248" location="Aristocrat.27s_Residence" ref="D252"/>
    <hyperlink r:id="rId249" location="Suzakumon" ref="D253"/>
    <hyperlink r:id="rId250" location="Heian_Imperial_Palace" ref="D254"/>
    <hyperlink r:id="rId251" location="Suzaku_Main_Street" ref="D255"/>
    <hyperlink r:id="rId252" location="Inari_Shrine" ref="D256"/>
    <hyperlink r:id="rId253" location="Imperial_Palace_Main_Street" ref="D257"/>
    <hyperlink r:id="rId254" location="Raik.C5.8D.27s_Residence" ref="D258"/>
    <hyperlink r:id="rId255" location="Goj.C5.8D_Bridge" ref="D259"/>
    <hyperlink r:id="rId256" location="Mount_.C5.8Ce" ref="D260"/>
    <hyperlink r:id="rId257" location="J.C5.8D_Three.2C_B.C5.8D_Three" ref="D261"/>
  </hyperlinks>
  <drawing r:id="rId258"/>
  <tableParts count="21">
    <tablePart r:id="rId280"/>
    <tablePart r:id="rId281"/>
    <tablePart r:id="rId282"/>
    <tablePart r:id="rId283"/>
    <tablePart r:id="rId284"/>
    <tablePart r:id="rId285"/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  <tablePart r:id="rId299"/>
    <tablePart r:id="rId30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7.14"/>
    <col customWidth="1" hidden="1" min="2" max="2" width="7.14"/>
    <col customWidth="1" hidden="1" min="3" max="3" width="8.0"/>
    <col customWidth="1" min="4" max="4" width="12.57"/>
    <col customWidth="1" min="5" max="5" width="21.57"/>
    <col customWidth="1" min="6" max="6" width="5.71"/>
    <col customWidth="1" min="7" max="7" width="7.29"/>
    <col customWidth="1" min="8" max="8" width="4.43"/>
    <col customWidth="1" min="9" max="9" width="8.14"/>
    <col customWidth="1" min="10" max="10" width="2.71"/>
    <col customWidth="1" min="11" max="11" width="8.43"/>
    <col customWidth="1" min="12" max="12" width="2.71"/>
    <col customWidth="1" hidden="1" min="13" max="13" width="3.14"/>
    <col customWidth="1" hidden="1" min="14" max="14" width="8.71"/>
    <col customWidth="1" min="15" max="15" width="4.43"/>
    <col customWidth="1" min="16" max="16" width="8.14"/>
    <col customWidth="1" min="17" max="17" width="2.71"/>
    <col customWidth="1" min="18" max="18" width="8.43"/>
    <col customWidth="1" min="19" max="19" width="2.71"/>
    <col customWidth="1" hidden="1" min="20" max="20" width="3.14"/>
    <col customWidth="1" hidden="1" min="21" max="21" width="8.71"/>
    <col customWidth="1" min="22" max="22" width="4.43"/>
    <col customWidth="1" min="23" max="23" width="8.14"/>
    <col customWidth="1" min="24" max="24" width="2.71"/>
    <col customWidth="1" min="25" max="25" width="8.43"/>
    <col customWidth="1" min="26" max="26" width="2.71"/>
    <col customWidth="1" hidden="1" min="27" max="27" width="3.14"/>
    <col customWidth="1" hidden="1" min="28" max="28" width="8.71"/>
    <col customWidth="1" min="29" max="29" width="4.43"/>
    <col customWidth="1" min="30" max="30" width="8.14"/>
    <col customWidth="1" min="31" max="31" width="2.71"/>
    <col customWidth="1" min="32" max="32" width="8.43"/>
    <col customWidth="1" min="33" max="33" width="2.71"/>
    <col customWidth="1" min="34" max="34" width="5.71"/>
    <col customWidth="1" min="35" max="35" width="7.29"/>
    <col customWidth="1" min="36" max="36" width="21.57"/>
  </cols>
  <sheetData>
    <row r="1" ht="16.5" customHeight="1">
      <c r="A1" s="16" t="str">
        <f>IFERROR(__xludf.DUMMYFUNCTION("IMPORTRANGE('Setup Sheet'!C3,'Setup Sheet'!C13&amp;""!""&amp;'Setup Sheet'!F13)"),"#")</f>
        <v>#</v>
      </c>
      <c r="B1" s="16" t="str">
        <f>IFERROR(__xludf.DUMMYFUNCTION("""COMPUTED_VALUE"""),"Item ID")</f>
        <v>Item ID</v>
      </c>
      <c r="C1" s="16" t="str">
        <f>IFERROR(__xludf.DUMMYFUNCTION("""COMPUTED_VALUE"""),"Node ID")</f>
        <v>Node ID</v>
      </c>
      <c r="D1" s="16" t="str">
        <f>IFERROR(__xludf.DUMMYFUNCTION("""COMPUTED_VALUE"""),"Chapter")</f>
        <v>Chapter</v>
      </c>
      <c r="E1" s="17" t="str">
        <f>IFERROR(__xludf.DUMMYFUNCTION("""COMPUTED_VALUE"""),"Node Name")</f>
        <v>Node Name</v>
      </c>
      <c r="F1" s="18" t="str">
        <f>IFERROR(__xludf.DUMMYFUNCTION("""COMPUTED_VALUE"""),"AP")</f>
        <v>AP</v>
      </c>
      <c r="G1" s="18" t="str">
        <f>IFERROR(__xludf.DUMMYFUNCTION("""COMPUTED_VALUE"""),"Runs")</f>
        <v>Runs</v>
      </c>
      <c r="H1" s="18" t="str">
        <f>IFERROR(__xludf.DUMMYFUNCTION("""COMPUTED_VALUE"""),"Mat")</f>
        <v>Mat</v>
      </c>
      <c r="I1" s="19" t="str">
        <f>IFERROR(__xludf.DUMMYFUNCTION("""COMPUTED_VALUE"""),"AP/Drop")</f>
        <v>AP/Drop</v>
      </c>
      <c r="K1" s="19" t="str">
        <f>IFERROR(__xludf.DUMMYFUNCTION("""COMPUTED_VALUE"""),"Droprate")</f>
        <v>Droprate</v>
      </c>
      <c r="M1" s="18" t="str">
        <f>IFERROR(__xludf.DUMMYFUNCTION("""COMPUTED_VALUE"""),"#2")</f>
        <v>#2</v>
      </c>
      <c r="N1" s="18" t="str">
        <f>IFERROR(__xludf.DUMMYFUNCTION("""COMPUTED_VALUE"""),"Item 2 ID")</f>
        <v>Item 2 ID</v>
      </c>
      <c r="O1" s="18" t="str">
        <f>IFERROR(__xludf.DUMMYFUNCTION("""COMPUTED_VALUE"""),"Mat")</f>
        <v>Mat</v>
      </c>
      <c r="P1" s="19" t="str">
        <f>IFERROR(__xludf.DUMMYFUNCTION("""COMPUTED_VALUE"""),"AP/Drop")</f>
        <v>AP/Drop</v>
      </c>
      <c r="R1" s="19" t="str">
        <f>IFERROR(__xludf.DUMMYFUNCTION("""COMPUTED_VALUE"""),"Droprate")</f>
        <v>Droprate</v>
      </c>
      <c r="T1" s="18" t="str">
        <f>IFERROR(__xludf.DUMMYFUNCTION("""COMPUTED_VALUE"""),"#3")</f>
        <v>#3</v>
      </c>
      <c r="U1" s="18" t="str">
        <f>IFERROR(__xludf.DUMMYFUNCTION("""COMPUTED_VALUE"""),"Item 2 ID")</f>
        <v>Item 2 ID</v>
      </c>
      <c r="V1" s="18" t="str">
        <f>IFERROR(__xludf.DUMMYFUNCTION("""COMPUTED_VALUE"""),"Mat")</f>
        <v>Mat</v>
      </c>
      <c r="W1" s="19" t="str">
        <f>IFERROR(__xludf.DUMMYFUNCTION("""COMPUTED_VALUE"""),"AP/Drop")</f>
        <v>AP/Drop</v>
      </c>
      <c r="Y1" s="19" t="str">
        <f>IFERROR(__xludf.DUMMYFUNCTION("""COMPUTED_VALUE"""),"Droprate")</f>
        <v>Droprate</v>
      </c>
      <c r="AA1" s="18" t="str">
        <f>IFERROR(__xludf.DUMMYFUNCTION("""COMPUTED_VALUE"""),"#4")</f>
        <v>#4</v>
      </c>
      <c r="AB1" s="18" t="str">
        <f>IFERROR(__xludf.DUMMYFUNCTION("""COMPUTED_VALUE"""),"Item 3 ID")</f>
        <v>Item 3 ID</v>
      </c>
      <c r="AC1" s="18" t="str">
        <f>IFERROR(__xludf.DUMMYFUNCTION("""COMPUTED_VALUE"""),"Mat")</f>
        <v>Mat</v>
      </c>
      <c r="AD1" s="19" t="str">
        <f>IFERROR(__xludf.DUMMYFUNCTION("""COMPUTED_VALUE"""),"AP/Drop")</f>
        <v>AP/Drop</v>
      </c>
      <c r="AF1" s="19" t="str">
        <f>IFERROR(__xludf.DUMMYFUNCTION("""COMPUTED_VALUE"""),"Droprate")</f>
        <v>Droprate</v>
      </c>
      <c r="AH1" s="18" t="str">
        <f>IFERROR(__xludf.DUMMYFUNCTION("""COMPUTED_VALUE"""),"AP")</f>
        <v>AP</v>
      </c>
      <c r="AI1" s="18" t="str">
        <f>IFERROR(__xludf.DUMMYFUNCTION("""COMPUTED_VALUE"""),"Runs")</f>
        <v>Runs</v>
      </c>
      <c r="AJ1" s="17" t="str">
        <f>IFERROR(__xludf.DUMMYFUNCTION("""COMPUTED_VALUE"""),"Node Name")</f>
        <v>Node Name</v>
      </c>
    </row>
    <row r="2" ht="33.0" customHeight="1">
      <c r="A2" s="20" t="str">
        <f>IFERROR(__xludf.DUMMYFUNCTION("""COMPUTED_VALUE""")," ")</f>
        <v> </v>
      </c>
      <c r="B2" s="21" t="str">
        <f>IFERROR(__xludf.DUMMYFUNCTION("""COMPUTED_VALUE"""),"A301")</f>
        <v>A301</v>
      </c>
      <c r="C2" s="20"/>
      <c r="D2" s="257" t="str">
        <f>IFERROR(__xludf.DUMMYFUNCTION("""COMPUTED_VALUE"""),"")</f>
        <v/>
      </c>
      <c r="E2" s="23" t="str">
        <f>IFERROR(__xludf.DUMMYFUNCTION("""COMPUTED_VALUE"""),"Proof of Hero")</f>
        <v>Proof of Hero</v>
      </c>
      <c r="F2" s="24"/>
      <c r="G2" s="24"/>
      <c r="H2" s="25"/>
      <c r="I2" s="25"/>
      <c r="J2" s="26"/>
      <c r="K2" s="25"/>
      <c r="L2" s="26"/>
      <c r="M2" s="25"/>
      <c r="N2" s="25"/>
      <c r="O2" s="25"/>
      <c r="P2" s="25"/>
      <c r="Q2" s="26"/>
      <c r="R2" s="25"/>
      <c r="S2" s="26"/>
      <c r="T2" s="25"/>
      <c r="U2" s="25"/>
      <c r="V2" s="25"/>
      <c r="W2" s="25"/>
      <c r="X2" s="26"/>
      <c r="Y2" s="25"/>
      <c r="Z2" s="26"/>
      <c r="AA2" s="25"/>
      <c r="AB2" s="25"/>
      <c r="AC2" s="25"/>
      <c r="AD2" s="25"/>
      <c r="AE2" s="26"/>
      <c r="AF2" s="25"/>
      <c r="AG2" s="26"/>
      <c r="AH2" s="24"/>
      <c r="AI2" s="25"/>
      <c r="AJ2" s="23"/>
    </row>
    <row r="3" ht="24.75" customHeight="1">
      <c r="A3" s="28">
        <f>IFERROR(__xludf.DUMMYFUNCTION("""COMPUTED_VALUE"""),1.0)</f>
        <v>1</v>
      </c>
      <c r="B3" s="28" t="str">
        <f>IFERROR(__xludf.DUMMYFUNCTION("""COMPUTED_VALUE"""),"A301")</f>
        <v>A301</v>
      </c>
      <c r="C3" s="28" t="str">
        <f>IFERROR(__xludf.DUMMYFUNCTION("""COMPUTED_VALUE"""),"OKN1")</f>
        <v>OKN1</v>
      </c>
      <c r="D3" s="29" t="str">
        <f>IFERROR(__xludf.DUMMYFUNCTION("""COMPUTED_VALUE"""),"Okeanos")</f>
        <v>Okeanos</v>
      </c>
      <c r="E3" s="30" t="str">
        <f>IFERROR(__xludf.DUMMYFUNCTION("""COMPUTED_VALUE"""),"Pirate Ship")</f>
        <v>Pirate Ship</v>
      </c>
      <c r="F3" s="31">
        <f>IFERROR(__xludf.DUMMYFUNCTION("""COMPUTED_VALUE"""),12.0)</f>
        <v>12</v>
      </c>
      <c r="G3" s="32">
        <f>IFERROR(__xludf.DUMMYFUNCTION("""COMPUTED_VALUE"""),8138.0)</f>
        <v>8138</v>
      </c>
      <c r="H3" s="33" t="str">
        <f>IFERROR(__xludf.DUMMYFUNCTION("""COMPUTED_VALUE"""),"")</f>
        <v/>
      </c>
      <c r="I3" s="34">
        <f>IFERROR(__xludf.DUMMYFUNCTION("""COMPUTED_VALUE"""),20.575900179830533)</f>
        <v>20.57590018</v>
      </c>
      <c r="J3" s="35" t="str">
        <f>IFERROR(__xludf.DUMMYFUNCTION("""COMPUTED_VALUE"""),"AP")</f>
        <v>AP</v>
      </c>
      <c r="K3" s="34">
        <f>IFERROR(__xludf.DUMMYFUNCTION("""COMPUTED_VALUE"""),58.32065618087982)</f>
        <v>58.32065618</v>
      </c>
      <c r="L3" s="35" t="str">
        <f>IFERROR(__xludf.DUMMYFUNCTION("""COMPUTED_VALUE"""),"%")</f>
        <v>%</v>
      </c>
      <c r="M3" s="36">
        <f>IFERROR(__xludf.DUMMYFUNCTION("""COMPUTED_VALUE"""),1.0)</f>
        <v>1</v>
      </c>
      <c r="N3" s="37"/>
      <c r="O3" s="38"/>
      <c r="P3" s="34" t="str">
        <f>IFERROR(__xludf.DUMMYFUNCTION("""COMPUTED_VALUE"""),"")</f>
        <v/>
      </c>
      <c r="Q3" s="35" t="str">
        <f>IFERROR(__xludf.DUMMYFUNCTION("""COMPUTED_VALUE"""),"AP")</f>
        <v>AP</v>
      </c>
      <c r="R3" s="34" t="str">
        <f>IFERROR(__xludf.DUMMYFUNCTION("""COMPUTED_VALUE"""),"")</f>
        <v/>
      </c>
      <c r="S3" s="35" t="str">
        <f>IFERROR(__xludf.DUMMYFUNCTION("""COMPUTED_VALUE"""),"%")</f>
        <v>%</v>
      </c>
      <c r="T3" s="36">
        <f>IFERROR(__xludf.DUMMYFUNCTION("""COMPUTED_VALUE"""),2.0)</f>
        <v>2</v>
      </c>
      <c r="U3" s="37"/>
      <c r="V3" s="38"/>
      <c r="W3" s="34" t="str">
        <f>IFERROR(__xludf.DUMMYFUNCTION("""COMPUTED_VALUE"""),"")</f>
        <v/>
      </c>
      <c r="X3" s="35" t="str">
        <f>IFERROR(__xludf.DUMMYFUNCTION("""COMPUTED_VALUE"""),"AP")</f>
        <v>AP</v>
      </c>
      <c r="Y3" s="34" t="str">
        <f>IFERROR(__xludf.DUMMYFUNCTION("""COMPUTED_VALUE"""),"")</f>
        <v/>
      </c>
      <c r="Z3" s="35" t="str">
        <f>IFERROR(__xludf.DUMMYFUNCTION("""COMPUTED_VALUE"""),"%")</f>
        <v>%</v>
      </c>
      <c r="AA3" s="36">
        <f>IFERROR(__xludf.DUMMYFUNCTION("""COMPUTED_VALUE"""),3.0)</f>
        <v>3</v>
      </c>
      <c r="AB3" s="37"/>
      <c r="AC3" s="38"/>
      <c r="AD3" s="34" t="str">
        <f>IFERROR(__xludf.DUMMYFUNCTION("""COMPUTED_VALUE"""),"")</f>
        <v/>
      </c>
      <c r="AE3" s="35" t="str">
        <f>IFERROR(__xludf.DUMMYFUNCTION("""COMPUTED_VALUE"""),"AP")</f>
        <v>AP</v>
      </c>
      <c r="AF3" s="34" t="str">
        <f>IFERROR(__xludf.DUMMYFUNCTION("""COMPUTED_VALUE"""),"")</f>
        <v/>
      </c>
      <c r="AG3" s="35" t="str">
        <f>IFERROR(__xludf.DUMMYFUNCTION("""COMPUTED_VALUE"""),"%")</f>
        <v>%</v>
      </c>
      <c r="AH3" s="31">
        <f>IFERROR(__xludf.DUMMYFUNCTION("""COMPUTED_VALUE"""),12.0)</f>
        <v>12</v>
      </c>
      <c r="AI3" s="32">
        <f>IFERROR(__xludf.DUMMYFUNCTION("""COMPUTED_VALUE"""),8138.0)</f>
        <v>8138</v>
      </c>
      <c r="AJ3" s="30" t="str">
        <f>IFERROR(__xludf.DUMMYFUNCTION("""COMPUTED_VALUE"""),"Pirate Ship")</f>
        <v>Pirate Ship</v>
      </c>
    </row>
    <row r="4" ht="24.75" customHeight="1">
      <c r="A4" s="40">
        <f>IFERROR(__xludf.DUMMYFUNCTION("""COMPUTED_VALUE"""),2.0)</f>
        <v>2</v>
      </c>
      <c r="B4" s="40" t="str">
        <f>IFERROR(__xludf.DUMMYFUNCTION("""COMPUTED_VALUE"""),"A301")</f>
        <v>A301</v>
      </c>
      <c r="C4" s="40" t="str">
        <f>IFERROR(__xludf.DUMMYFUNCTION("""COMPUTED_VALUE"""),"ORL6")</f>
        <v>ORL6</v>
      </c>
      <c r="D4" s="41" t="str">
        <f>IFERROR(__xludf.DUMMYFUNCTION("""COMPUTED_VALUE"""),"Orleans")</f>
        <v>Orleans</v>
      </c>
      <c r="E4" s="42" t="str">
        <f>IFERROR(__xludf.DUMMYFUNCTION("""COMPUTED_VALUE"""),"Marseille")</f>
        <v>Marseille</v>
      </c>
      <c r="F4" s="43">
        <f>IFERROR(__xludf.DUMMYFUNCTION("""COMPUTED_VALUE"""),7.0)</f>
        <v>7</v>
      </c>
      <c r="G4" s="44">
        <f>IFERROR(__xludf.DUMMYFUNCTION("""COMPUTED_VALUE"""),1785.0)</f>
        <v>1785</v>
      </c>
      <c r="H4" s="33" t="str">
        <f>IFERROR(__xludf.DUMMYFUNCTION("""COMPUTED_VALUE"""),"")</f>
        <v/>
      </c>
      <c r="I4" s="45">
        <f>IFERROR(__xludf.DUMMYFUNCTION("""COMPUTED_VALUE"""),23.63612288135593)</f>
        <v>23.63612288</v>
      </c>
      <c r="J4" s="46" t="str">
        <f>IFERROR(__xludf.DUMMYFUNCTION("""COMPUTED_VALUE"""),"AP")</f>
        <v>AP</v>
      </c>
      <c r="K4" s="47">
        <f>IFERROR(__xludf.DUMMYFUNCTION("""COMPUTED_VALUE"""),29.615686274509805)</f>
        <v>29.61568627</v>
      </c>
      <c r="L4" s="48" t="str">
        <f>IFERROR(__xludf.DUMMYFUNCTION("""COMPUTED_VALUE"""),"%")</f>
        <v>%</v>
      </c>
      <c r="M4" s="49">
        <f>IFERROR(__xludf.DUMMYFUNCTION("""COMPUTED_VALUE"""),1.0)</f>
        <v>1</v>
      </c>
      <c r="N4" s="50"/>
      <c r="O4" s="38"/>
      <c r="P4" s="45" t="str">
        <f>IFERROR(__xludf.DUMMYFUNCTION("""COMPUTED_VALUE"""),"")</f>
        <v/>
      </c>
      <c r="Q4" s="46" t="str">
        <f>IFERROR(__xludf.DUMMYFUNCTION("""COMPUTED_VALUE"""),"AP")</f>
        <v>AP</v>
      </c>
      <c r="R4" s="47" t="str">
        <f>IFERROR(__xludf.DUMMYFUNCTION("""COMPUTED_VALUE"""),"")</f>
        <v/>
      </c>
      <c r="S4" s="48" t="str">
        <f>IFERROR(__xludf.DUMMYFUNCTION("""COMPUTED_VALUE"""),"%")</f>
        <v>%</v>
      </c>
      <c r="T4" s="49">
        <f>IFERROR(__xludf.DUMMYFUNCTION("""COMPUTED_VALUE"""),2.0)</f>
        <v>2</v>
      </c>
      <c r="U4" s="50"/>
      <c r="V4" s="38"/>
      <c r="W4" s="45" t="str">
        <f>IFERROR(__xludf.DUMMYFUNCTION("""COMPUTED_VALUE"""),"")</f>
        <v/>
      </c>
      <c r="X4" s="46" t="str">
        <f>IFERROR(__xludf.DUMMYFUNCTION("""COMPUTED_VALUE"""),"AP")</f>
        <v>AP</v>
      </c>
      <c r="Y4" s="47" t="str">
        <f>IFERROR(__xludf.DUMMYFUNCTION("""COMPUTED_VALUE"""),"")</f>
        <v/>
      </c>
      <c r="Z4" s="48" t="str">
        <f>IFERROR(__xludf.DUMMYFUNCTION("""COMPUTED_VALUE"""),"%")</f>
        <v>%</v>
      </c>
      <c r="AA4" s="49">
        <f>IFERROR(__xludf.DUMMYFUNCTION("""COMPUTED_VALUE"""),3.0)</f>
        <v>3</v>
      </c>
      <c r="AB4" s="50"/>
      <c r="AC4" s="38"/>
      <c r="AD4" s="45" t="str">
        <f>IFERROR(__xludf.DUMMYFUNCTION("""COMPUTED_VALUE"""),"")</f>
        <v/>
      </c>
      <c r="AE4" s="46" t="str">
        <f>IFERROR(__xludf.DUMMYFUNCTION("""COMPUTED_VALUE"""),"AP")</f>
        <v>AP</v>
      </c>
      <c r="AF4" s="47" t="str">
        <f>IFERROR(__xludf.DUMMYFUNCTION("""COMPUTED_VALUE"""),"")</f>
        <v/>
      </c>
      <c r="AG4" s="48" t="str">
        <f>IFERROR(__xludf.DUMMYFUNCTION("""COMPUTED_VALUE"""),"%")</f>
        <v>%</v>
      </c>
      <c r="AH4" s="43">
        <f>IFERROR(__xludf.DUMMYFUNCTION("""COMPUTED_VALUE"""),7.0)</f>
        <v>7</v>
      </c>
      <c r="AI4" s="44">
        <f>IFERROR(__xludf.DUMMYFUNCTION("""COMPUTED_VALUE"""),1785.0)</f>
        <v>1785</v>
      </c>
      <c r="AJ4" s="42" t="str">
        <f>IFERROR(__xludf.DUMMYFUNCTION("""COMPUTED_VALUE"""),"Marseille")</f>
        <v>Marseille</v>
      </c>
    </row>
    <row r="5" ht="24.75" customHeight="1">
      <c r="A5" s="28">
        <f>IFERROR(__xludf.DUMMYFUNCTION("""COMPUTED_VALUE"""),3.0)</f>
        <v>3</v>
      </c>
      <c r="B5" s="28" t="str">
        <f>IFERROR(__xludf.DUMMYFUNCTION("""COMPUTED_VALUE"""),"A301")</f>
        <v>A301</v>
      </c>
      <c r="C5" s="28" t="str">
        <f>IFERROR(__xludf.DUMMYFUNCTION("""COMPUTED_VALUE"""),"OKN2")</f>
        <v>OKN2</v>
      </c>
      <c r="D5" s="29" t="str">
        <f>IFERROR(__xludf.DUMMYFUNCTION("""COMPUTED_VALUE"""),"Okeanos")</f>
        <v>Okeanos</v>
      </c>
      <c r="E5" s="30" t="str">
        <f>IFERROR(__xludf.DUMMYFUNCTION("""COMPUTED_VALUE"""),"Pirate Island")</f>
        <v>Pirate Island</v>
      </c>
      <c r="F5" s="31">
        <f>IFERROR(__xludf.DUMMYFUNCTION("""COMPUTED_VALUE"""),13.0)</f>
        <v>13</v>
      </c>
      <c r="G5" s="32">
        <f>IFERROR(__xludf.DUMMYFUNCTION("""COMPUTED_VALUE"""),1401.0)</f>
        <v>1401</v>
      </c>
      <c r="H5" s="33" t="str">
        <f>IFERROR(__xludf.DUMMYFUNCTION("""COMPUTED_VALUE"""),"")</f>
        <v/>
      </c>
      <c r="I5" s="34">
        <f>IFERROR(__xludf.DUMMYFUNCTION("""COMPUTED_VALUE"""),23.758152882859378)</f>
        <v>23.75815288</v>
      </c>
      <c r="J5" s="35" t="str">
        <f>IFERROR(__xludf.DUMMYFUNCTION("""COMPUTED_VALUE"""),"AP")</f>
        <v>AP</v>
      </c>
      <c r="K5" s="34">
        <f>IFERROR(__xludf.DUMMYFUNCTION("""COMPUTED_VALUE"""),54.7180585296217)</f>
        <v>54.71805853</v>
      </c>
      <c r="L5" s="35" t="str">
        <f>IFERROR(__xludf.DUMMYFUNCTION("""COMPUTED_VALUE"""),"%")</f>
        <v>%</v>
      </c>
      <c r="M5" s="36">
        <f>IFERROR(__xludf.DUMMYFUNCTION("""COMPUTED_VALUE"""),1.0)</f>
        <v>1</v>
      </c>
      <c r="N5" s="37" t="str">
        <f>IFERROR(__xludf.DUMMYFUNCTION("""COMPUTED_VALUE"""),"A304")</f>
        <v>A304</v>
      </c>
      <c r="O5" s="38" t="str">
        <f>IFERROR(__xludf.DUMMYFUNCTION("""COMPUTED_VALUE"""),"")</f>
        <v/>
      </c>
      <c r="P5" s="34">
        <f>IFERROR(__xludf.DUMMYFUNCTION("""COMPUTED_VALUE"""),113.90243902439025)</f>
        <v>113.902439</v>
      </c>
      <c r="Q5" s="35" t="str">
        <f>IFERROR(__xludf.DUMMYFUNCTION("""COMPUTED_VALUE"""),"AP")</f>
        <v>AP</v>
      </c>
      <c r="R5" s="34">
        <f>IFERROR(__xludf.DUMMYFUNCTION("""COMPUTED_VALUE"""),11.413276231263383)</f>
        <v>11.41327623</v>
      </c>
      <c r="S5" s="35" t="str">
        <f>IFERROR(__xludf.DUMMYFUNCTION("""COMPUTED_VALUE"""),"%")</f>
        <v>%</v>
      </c>
      <c r="T5" s="36">
        <f>IFERROR(__xludf.DUMMYFUNCTION("""COMPUTED_VALUE"""),2.0)</f>
        <v>2</v>
      </c>
      <c r="U5" s="37"/>
      <c r="V5" s="38"/>
      <c r="W5" s="34" t="str">
        <f>IFERROR(__xludf.DUMMYFUNCTION("""COMPUTED_VALUE"""),"")</f>
        <v/>
      </c>
      <c r="X5" s="35" t="str">
        <f>IFERROR(__xludf.DUMMYFUNCTION("""COMPUTED_VALUE"""),"AP")</f>
        <v>AP</v>
      </c>
      <c r="Y5" s="34" t="str">
        <f>IFERROR(__xludf.DUMMYFUNCTION("""COMPUTED_VALUE"""),"")</f>
        <v/>
      </c>
      <c r="Z5" s="35" t="str">
        <f>IFERROR(__xludf.DUMMYFUNCTION("""COMPUTED_VALUE"""),"%")</f>
        <v>%</v>
      </c>
      <c r="AA5" s="36">
        <f>IFERROR(__xludf.DUMMYFUNCTION("""COMPUTED_VALUE"""),3.0)</f>
        <v>3</v>
      </c>
      <c r="AB5" s="37"/>
      <c r="AC5" s="38"/>
      <c r="AD5" s="34" t="str">
        <f>IFERROR(__xludf.DUMMYFUNCTION("""COMPUTED_VALUE"""),"")</f>
        <v/>
      </c>
      <c r="AE5" s="35" t="str">
        <f>IFERROR(__xludf.DUMMYFUNCTION("""COMPUTED_VALUE"""),"AP")</f>
        <v>AP</v>
      </c>
      <c r="AF5" s="34" t="str">
        <f>IFERROR(__xludf.DUMMYFUNCTION("""COMPUTED_VALUE"""),"")</f>
        <v/>
      </c>
      <c r="AG5" s="35" t="str">
        <f>IFERROR(__xludf.DUMMYFUNCTION("""COMPUTED_VALUE"""),"%")</f>
        <v>%</v>
      </c>
      <c r="AH5" s="31">
        <f>IFERROR(__xludf.DUMMYFUNCTION("""COMPUTED_VALUE"""),13.0)</f>
        <v>13</v>
      </c>
      <c r="AI5" s="32">
        <f>IFERROR(__xludf.DUMMYFUNCTION("""COMPUTED_VALUE"""),1401.0)</f>
        <v>1401</v>
      </c>
      <c r="AJ5" s="30" t="str">
        <f>IFERROR(__xludf.DUMMYFUNCTION("""COMPUTED_VALUE"""),"Pirate Island")</f>
        <v>Pirate Island</v>
      </c>
    </row>
    <row r="6" ht="24.75" customHeight="1">
      <c r="A6" s="40">
        <f>IFERROR(__xludf.DUMMYFUNCTION("""COMPUTED_VALUE"""),4.0)</f>
        <v>4</v>
      </c>
      <c r="B6" s="40" t="str">
        <f>IFERROR(__xludf.DUMMYFUNCTION("""COMPUTED_VALUE"""),"A301")</f>
        <v>A301</v>
      </c>
      <c r="C6" s="40" t="str">
        <f>IFERROR(__xludf.DUMMYFUNCTION("""COMPUTED_VALUE"""),"SEP5")</f>
        <v>SEP5</v>
      </c>
      <c r="D6" s="41" t="str">
        <f>IFERROR(__xludf.DUMMYFUNCTION("""COMPUTED_VALUE"""),"Septem")</f>
        <v>Septem</v>
      </c>
      <c r="E6" s="42" t="str">
        <f>IFERROR(__xludf.DUMMYFUNCTION("""COMPUTED_VALUE"""),"Mediolanum")</f>
        <v>Mediolanum</v>
      </c>
      <c r="F6" s="43">
        <f>IFERROR(__xludf.DUMMYFUNCTION("""COMPUTED_VALUE"""),9.0)</f>
        <v>9</v>
      </c>
      <c r="G6" s="44">
        <f>IFERROR(__xludf.DUMMYFUNCTION("""COMPUTED_VALUE"""),1138.0)</f>
        <v>1138</v>
      </c>
      <c r="H6" s="33" t="str">
        <f>IFERROR(__xludf.DUMMYFUNCTION("""COMPUTED_VALUE"""),"")</f>
        <v/>
      </c>
      <c r="I6" s="45">
        <f>IFERROR(__xludf.DUMMYFUNCTION("""COMPUTED_VALUE"""),25.56840334268613)</f>
        <v>25.56840334</v>
      </c>
      <c r="J6" s="46" t="str">
        <f>IFERROR(__xludf.DUMMYFUNCTION("""COMPUTED_VALUE"""),"AP")</f>
        <v>AP</v>
      </c>
      <c r="K6" s="47">
        <f>IFERROR(__xludf.DUMMYFUNCTION("""COMPUTED_VALUE"""),35.19969502739584)</f>
        <v>35.19969503</v>
      </c>
      <c r="L6" s="48" t="str">
        <f>IFERROR(__xludf.DUMMYFUNCTION("""COMPUTED_VALUE"""),"%")</f>
        <v>%</v>
      </c>
      <c r="M6" s="49">
        <f>IFERROR(__xludf.DUMMYFUNCTION("""COMPUTED_VALUE"""),1.0)</f>
        <v>1</v>
      </c>
      <c r="N6" s="50"/>
      <c r="O6" s="38"/>
      <c r="P6" s="45" t="str">
        <f>IFERROR(__xludf.DUMMYFUNCTION("""COMPUTED_VALUE"""),"")</f>
        <v/>
      </c>
      <c r="Q6" s="46" t="str">
        <f>IFERROR(__xludf.DUMMYFUNCTION("""COMPUTED_VALUE"""),"AP")</f>
        <v>AP</v>
      </c>
      <c r="R6" s="47" t="str">
        <f>IFERROR(__xludf.DUMMYFUNCTION("""COMPUTED_VALUE"""),"")</f>
        <v/>
      </c>
      <c r="S6" s="48" t="str">
        <f>IFERROR(__xludf.DUMMYFUNCTION("""COMPUTED_VALUE"""),"%")</f>
        <v>%</v>
      </c>
      <c r="T6" s="49">
        <f>IFERROR(__xludf.DUMMYFUNCTION("""COMPUTED_VALUE"""),2.0)</f>
        <v>2</v>
      </c>
      <c r="U6" s="50"/>
      <c r="V6" s="38"/>
      <c r="W6" s="45" t="str">
        <f>IFERROR(__xludf.DUMMYFUNCTION("""COMPUTED_VALUE"""),"")</f>
        <v/>
      </c>
      <c r="X6" s="46" t="str">
        <f>IFERROR(__xludf.DUMMYFUNCTION("""COMPUTED_VALUE"""),"AP")</f>
        <v>AP</v>
      </c>
      <c r="Y6" s="47" t="str">
        <f>IFERROR(__xludf.DUMMYFUNCTION("""COMPUTED_VALUE"""),"")</f>
        <v/>
      </c>
      <c r="Z6" s="48" t="str">
        <f>IFERROR(__xludf.DUMMYFUNCTION("""COMPUTED_VALUE"""),"%")</f>
        <v>%</v>
      </c>
      <c r="AA6" s="49">
        <f>IFERROR(__xludf.DUMMYFUNCTION("""COMPUTED_VALUE"""),3.0)</f>
        <v>3</v>
      </c>
      <c r="AB6" s="50"/>
      <c r="AC6" s="38"/>
      <c r="AD6" s="45" t="str">
        <f>IFERROR(__xludf.DUMMYFUNCTION("""COMPUTED_VALUE"""),"")</f>
        <v/>
      </c>
      <c r="AE6" s="46" t="str">
        <f>IFERROR(__xludf.DUMMYFUNCTION("""COMPUTED_VALUE"""),"AP")</f>
        <v>AP</v>
      </c>
      <c r="AF6" s="47" t="str">
        <f>IFERROR(__xludf.DUMMYFUNCTION("""COMPUTED_VALUE"""),"")</f>
        <v/>
      </c>
      <c r="AG6" s="48" t="str">
        <f>IFERROR(__xludf.DUMMYFUNCTION("""COMPUTED_VALUE"""),"%")</f>
        <v>%</v>
      </c>
      <c r="AH6" s="43">
        <f>IFERROR(__xludf.DUMMYFUNCTION("""COMPUTED_VALUE"""),9.0)</f>
        <v>9</v>
      </c>
      <c r="AI6" s="44">
        <f>IFERROR(__xludf.DUMMYFUNCTION("""COMPUTED_VALUE"""),1138.0)</f>
        <v>1138</v>
      </c>
      <c r="AJ6" s="42" t="str">
        <f>IFERROR(__xludf.DUMMYFUNCTION("""COMPUTED_VALUE"""),"Mediolanum")</f>
        <v>Mediolanum</v>
      </c>
    </row>
    <row r="7" ht="24.75" customHeight="1">
      <c r="A7" s="28">
        <f>IFERROR(__xludf.DUMMYFUNCTION("""COMPUTED_VALUE"""),5.0)</f>
        <v>5</v>
      </c>
      <c r="B7" s="28" t="str">
        <f>IFERROR(__xludf.DUMMYFUNCTION("""COMPUTED_VALUE"""),"A301")</f>
        <v>A301</v>
      </c>
      <c r="C7" s="28" t="str">
        <f>IFERROR(__xludf.DUMMYFUNCTION("""COMPUTED_VALUE"""),"EPU5")</f>
        <v>EPU5</v>
      </c>
      <c r="D7" s="29" t="str">
        <f>IFERROR(__xludf.DUMMYFUNCTION("""COMPUTED_VALUE"""),"E Pluribus Unum")</f>
        <v>E Pluribus Unum</v>
      </c>
      <c r="E7" s="30" t="str">
        <f>IFERROR(__xludf.DUMMYFUNCTION("""COMPUTED_VALUE"""),"Dallas")</f>
        <v>Dallas</v>
      </c>
      <c r="F7" s="31">
        <f>IFERROR(__xludf.DUMMYFUNCTION("""COMPUTED_VALUE"""),17.0)</f>
        <v>17</v>
      </c>
      <c r="G7" s="32">
        <f>IFERROR(__xludf.DUMMYFUNCTION("""COMPUTED_VALUE"""),7907.0)</f>
        <v>7907</v>
      </c>
      <c r="H7" s="33" t="str">
        <f>IFERROR(__xludf.DUMMYFUNCTION("""COMPUTED_VALUE"""),"")</f>
        <v/>
      </c>
      <c r="I7" s="34">
        <f>IFERROR(__xludf.DUMMYFUNCTION("""COMPUTED_VALUE"""),25.594960638077474)</f>
        <v>25.59496064</v>
      </c>
      <c r="J7" s="35" t="str">
        <f>IFERROR(__xludf.DUMMYFUNCTION("""COMPUTED_VALUE"""),"AP")</f>
        <v>AP</v>
      </c>
      <c r="K7" s="34">
        <f>IFERROR(__xludf.DUMMYFUNCTION("""COMPUTED_VALUE"""),66.41932464904517)</f>
        <v>66.41932465</v>
      </c>
      <c r="L7" s="35" t="str">
        <f>IFERROR(__xludf.DUMMYFUNCTION("""COMPUTED_VALUE"""),"%")</f>
        <v>%</v>
      </c>
      <c r="M7" s="36">
        <f>IFERROR(__xludf.DUMMYFUNCTION("""COMPUTED_VALUE"""),1.0)</f>
        <v>1</v>
      </c>
      <c r="N7" s="37"/>
      <c r="O7" s="38"/>
      <c r="P7" s="34" t="str">
        <f>IFERROR(__xludf.DUMMYFUNCTION("""COMPUTED_VALUE"""),"")</f>
        <v/>
      </c>
      <c r="Q7" s="35" t="str">
        <f>IFERROR(__xludf.DUMMYFUNCTION("""COMPUTED_VALUE"""),"AP")</f>
        <v>AP</v>
      </c>
      <c r="R7" s="34" t="str">
        <f>IFERROR(__xludf.DUMMYFUNCTION("""COMPUTED_VALUE"""),"")</f>
        <v/>
      </c>
      <c r="S7" s="35" t="str">
        <f>IFERROR(__xludf.DUMMYFUNCTION("""COMPUTED_VALUE"""),"%")</f>
        <v>%</v>
      </c>
      <c r="T7" s="36">
        <f>IFERROR(__xludf.DUMMYFUNCTION("""COMPUTED_VALUE"""),2.0)</f>
        <v>2</v>
      </c>
      <c r="U7" s="37"/>
      <c r="V7" s="38"/>
      <c r="W7" s="34" t="str">
        <f>IFERROR(__xludf.DUMMYFUNCTION("""COMPUTED_VALUE"""),"")</f>
        <v/>
      </c>
      <c r="X7" s="35" t="str">
        <f>IFERROR(__xludf.DUMMYFUNCTION("""COMPUTED_VALUE"""),"AP")</f>
        <v>AP</v>
      </c>
      <c r="Y7" s="34" t="str">
        <f>IFERROR(__xludf.DUMMYFUNCTION("""COMPUTED_VALUE"""),"")</f>
        <v/>
      </c>
      <c r="Z7" s="35" t="str">
        <f>IFERROR(__xludf.DUMMYFUNCTION("""COMPUTED_VALUE"""),"%")</f>
        <v>%</v>
      </c>
      <c r="AA7" s="36">
        <f>IFERROR(__xludf.DUMMYFUNCTION("""COMPUTED_VALUE"""),3.0)</f>
        <v>3</v>
      </c>
      <c r="AB7" s="37"/>
      <c r="AC7" s="38"/>
      <c r="AD7" s="34" t="str">
        <f>IFERROR(__xludf.DUMMYFUNCTION("""COMPUTED_VALUE"""),"")</f>
        <v/>
      </c>
      <c r="AE7" s="35" t="str">
        <f>IFERROR(__xludf.DUMMYFUNCTION("""COMPUTED_VALUE"""),"AP")</f>
        <v>AP</v>
      </c>
      <c r="AF7" s="34" t="str">
        <f>IFERROR(__xludf.DUMMYFUNCTION("""COMPUTED_VALUE"""),"")</f>
        <v/>
      </c>
      <c r="AG7" s="35" t="str">
        <f>IFERROR(__xludf.DUMMYFUNCTION("""COMPUTED_VALUE"""),"%")</f>
        <v>%</v>
      </c>
      <c r="AH7" s="31">
        <f>IFERROR(__xludf.DUMMYFUNCTION("""COMPUTED_VALUE"""),17.0)</f>
        <v>17</v>
      </c>
      <c r="AI7" s="32">
        <f>IFERROR(__xludf.DUMMYFUNCTION("""COMPUTED_VALUE"""),7907.0)</f>
        <v>7907</v>
      </c>
      <c r="AJ7" s="30" t="str">
        <f>IFERROR(__xludf.DUMMYFUNCTION("""COMPUTED_VALUE"""),"Dallas")</f>
        <v>Dallas</v>
      </c>
    </row>
    <row r="8" ht="24.75" customHeight="1">
      <c r="A8" s="40">
        <f>IFERROR(__xludf.DUMMYFUNCTION("""COMPUTED_VALUE"""),6.0)</f>
        <v>6</v>
      </c>
      <c r="B8" s="40" t="str">
        <f>IFERROR(__xludf.DUMMYFUNCTION("""COMPUTED_VALUE"""),"A301")</f>
        <v>A301</v>
      </c>
      <c r="C8" s="40" t="str">
        <f>IFERROR(__xludf.DUMMYFUNCTION("""COMPUTED_VALUE"""),"SEP1")</f>
        <v>SEP1</v>
      </c>
      <c r="D8" s="41" t="str">
        <f>IFERROR(__xludf.DUMMYFUNCTION("""COMPUTED_VALUE"""),"Septem")</f>
        <v>Septem</v>
      </c>
      <c r="E8" s="42" t="str">
        <f>IFERROR(__xludf.DUMMYFUNCTION("""COMPUTED_VALUE"""),"Appia Road")</f>
        <v>Appia Road</v>
      </c>
      <c r="F8" s="43">
        <f>IFERROR(__xludf.DUMMYFUNCTION("""COMPUTED_VALUE"""),9.0)</f>
        <v>9</v>
      </c>
      <c r="G8" s="44">
        <f>IFERROR(__xludf.DUMMYFUNCTION("""COMPUTED_VALUE"""),1197.0)</f>
        <v>1197</v>
      </c>
      <c r="H8" s="33" t="str">
        <f>IFERROR(__xludf.DUMMYFUNCTION("""COMPUTED_VALUE"""),"")</f>
        <v/>
      </c>
      <c r="I8" s="45">
        <f>IFERROR(__xludf.DUMMYFUNCTION("""COMPUTED_VALUE"""),25.948406676783005)</f>
        <v>25.94840668</v>
      </c>
      <c r="J8" s="46" t="str">
        <f>IFERROR(__xludf.DUMMYFUNCTION("""COMPUTED_VALUE"""),"AP")</f>
        <v>AP</v>
      </c>
      <c r="K8" s="47">
        <f>IFERROR(__xludf.DUMMYFUNCTION("""COMPUTED_VALUE"""),34.68421052631579)</f>
        <v>34.68421053</v>
      </c>
      <c r="L8" s="48" t="str">
        <f>IFERROR(__xludf.DUMMYFUNCTION("""COMPUTED_VALUE"""),"%")</f>
        <v>%</v>
      </c>
      <c r="M8" s="49">
        <f>IFERROR(__xludf.DUMMYFUNCTION("""COMPUTED_VALUE"""),1.0)</f>
        <v>1</v>
      </c>
      <c r="N8" s="50" t="str">
        <f>IFERROR(__xludf.DUMMYFUNCTION("""COMPUTED_VALUE"""),"A304")</f>
        <v>A304</v>
      </c>
      <c r="O8" s="38" t="str">
        <f>IFERROR(__xludf.DUMMYFUNCTION("""COMPUTED_VALUE"""),"")</f>
        <v/>
      </c>
      <c r="P8" s="45">
        <f>IFERROR(__xludf.DUMMYFUNCTION("""COMPUTED_VALUE"""),116.2261301111231)</f>
        <v>116.2261301</v>
      </c>
      <c r="Q8" s="46" t="str">
        <f>IFERROR(__xludf.DUMMYFUNCTION("""COMPUTED_VALUE"""),"AP")</f>
        <v>AP</v>
      </c>
      <c r="R8" s="47">
        <f>IFERROR(__xludf.DUMMYFUNCTION("""COMPUTED_VALUE"""),7.743525480367586)</f>
        <v>7.74352548</v>
      </c>
      <c r="S8" s="48" t="str">
        <f>IFERROR(__xludf.DUMMYFUNCTION("""COMPUTED_VALUE"""),"%")</f>
        <v>%</v>
      </c>
      <c r="T8" s="49">
        <f>IFERROR(__xludf.DUMMYFUNCTION("""COMPUTED_VALUE"""),2.0)</f>
        <v>2</v>
      </c>
      <c r="U8" s="50"/>
      <c r="V8" s="38"/>
      <c r="W8" s="45" t="str">
        <f>IFERROR(__xludf.DUMMYFUNCTION("""COMPUTED_VALUE"""),"")</f>
        <v/>
      </c>
      <c r="X8" s="46" t="str">
        <f>IFERROR(__xludf.DUMMYFUNCTION("""COMPUTED_VALUE"""),"AP")</f>
        <v>AP</v>
      </c>
      <c r="Y8" s="47" t="str">
        <f>IFERROR(__xludf.DUMMYFUNCTION("""COMPUTED_VALUE"""),"")</f>
        <v/>
      </c>
      <c r="Z8" s="48" t="str">
        <f>IFERROR(__xludf.DUMMYFUNCTION("""COMPUTED_VALUE"""),"%")</f>
        <v>%</v>
      </c>
      <c r="AA8" s="49">
        <f>IFERROR(__xludf.DUMMYFUNCTION("""COMPUTED_VALUE"""),3.0)</f>
        <v>3</v>
      </c>
      <c r="AB8" s="50"/>
      <c r="AC8" s="38"/>
      <c r="AD8" s="45" t="str">
        <f>IFERROR(__xludf.DUMMYFUNCTION("""COMPUTED_VALUE"""),"")</f>
        <v/>
      </c>
      <c r="AE8" s="46" t="str">
        <f>IFERROR(__xludf.DUMMYFUNCTION("""COMPUTED_VALUE"""),"AP")</f>
        <v>AP</v>
      </c>
      <c r="AF8" s="47" t="str">
        <f>IFERROR(__xludf.DUMMYFUNCTION("""COMPUTED_VALUE"""),"")</f>
        <v/>
      </c>
      <c r="AG8" s="48" t="str">
        <f>IFERROR(__xludf.DUMMYFUNCTION("""COMPUTED_VALUE"""),"%")</f>
        <v>%</v>
      </c>
      <c r="AH8" s="43">
        <f>IFERROR(__xludf.DUMMYFUNCTION("""COMPUTED_VALUE"""),9.0)</f>
        <v>9</v>
      </c>
      <c r="AI8" s="44">
        <f>IFERROR(__xludf.DUMMYFUNCTION("""COMPUTED_VALUE"""),1197.0)</f>
        <v>1197</v>
      </c>
      <c r="AJ8" s="42" t="str">
        <f>IFERROR(__xludf.DUMMYFUNCTION("""COMPUTED_VALUE"""),"Appia Road")</f>
        <v>Appia Road</v>
      </c>
    </row>
    <row r="9" ht="24.75" customHeight="1">
      <c r="A9" s="28">
        <f>IFERROR(__xludf.DUMMYFUNCTION("""COMPUTED_VALUE"""),7.0)</f>
        <v>7</v>
      </c>
      <c r="B9" s="28" t="str">
        <f>IFERROR(__xludf.DUMMYFUNCTION("""COMPUTED_VALUE"""),"A301")</f>
        <v>A301</v>
      </c>
      <c r="C9" s="28" t="str">
        <f>IFERROR(__xludf.DUMMYFUNCTION("""COMPUTED_VALUE"""),"EPU8")</f>
        <v>EPU8</v>
      </c>
      <c r="D9" s="29" t="str">
        <f>IFERROR(__xludf.DUMMYFUNCTION("""COMPUTED_VALUE"""),"E Pluribus Unum")</f>
        <v>E Pluribus Unum</v>
      </c>
      <c r="E9" s="30" t="str">
        <f>IFERROR(__xludf.DUMMYFUNCTION("""COMPUTED_VALUE"""),"Montgomery")</f>
        <v>Montgomery</v>
      </c>
      <c r="F9" s="31">
        <f>IFERROR(__xludf.DUMMYFUNCTION("""COMPUTED_VALUE"""),18.0)</f>
        <v>18</v>
      </c>
      <c r="G9" s="32">
        <f>IFERROR(__xludf.DUMMYFUNCTION("""COMPUTED_VALUE"""),4543.0)</f>
        <v>4543</v>
      </c>
      <c r="H9" s="33" t="str">
        <f>IFERROR(__xludf.DUMMYFUNCTION("""COMPUTED_VALUE"""),"")</f>
        <v/>
      </c>
      <c r="I9" s="34">
        <f>IFERROR(__xludf.DUMMYFUNCTION("""COMPUTED_VALUE"""),28.788593557472275)</f>
        <v>28.78859356</v>
      </c>
      <c r="J9" s="35" t="str">
        <f>IFERROR(__xludf.DUMMYFUNCTION("""COMPUTED_VALUE"""),"AP")</f>
        <v>AP</v>
      </c>
      <c r="K9" s="34">
        <f>IFERROR(__xludf.DUMMYFUNCTION("""COMPUTED_VALUE"""),62.524763372221)</f>
        <v>62.52476337</v>
      </c>
      <c r="L9" s="35" t="str">
        <f>IFERROR(__xludf.DUMMYFUNCTION("""COMPUTED_VALUE"""),"%")</f>
        <v>%</v>
      </c>
      <c r="M9" s="36">
        <f>IFERROR(__xludf.DUMMYFUNCTION("""COMPUTED_VALUE"""),1.0)</f>
        <v>1</v>
      </c>
      <c r="N9" s="37" t="str">
        <f>IFERROR(__xludf.DUMMYFUNCTION("""COMPUTED_VALUE"""),"A304")</f>
        <v>A304</v>
      </c>
      <c r="O9" s="38" t="str">
        <f>IFERROR(__xludf.DUMMYFUNCTION("""COMPUTED_VALUE"""),"")</f>
        <v/>
      </c>
      <c r="P9" s="34">
        <f>IFERROR(__xludf.DUMMYFUNCTION("""COMPUTED_VALUE"""),116.73061769844803)</f>
        <v>116.7306177</v>
      </c>
      <c r="Q9" s="35" t="str">
        <f>IFERROR(__xludf.DUMMYFUNCTION("""COMPUTED_VALUE"""),"AP")</f>
        <v>AP</v>
      </c>
      <c r="R9" s="34">
        <f>IFERROR(__xludf.DUMMYFUNCTION("""COMPUTED_VALUE"""),15.420118864186662)</f>
        <v>15.42011886</v>
      </c>
      <c r="S9" s="35" t="str">
        <f>IFERROR(__xludf.DUMMYFUNCTION("""COMPUTED_VALUE"""),"%")</f>
        <v>%</v>
      </c>
      <c r="T9" s="36">
        <f>IFERROR(__xludf.DUMMYFUNCTION("""COMPUTED_VALUE"""),2.0)</f>
        <v>2</v>
      </c>
      <c r="U9" s="37"/>
      <c r="V9" s="38"/>
      <c r="W9" s="34" t="str">
        <f>IFERROR(__xludf.DUMMYFUNCTION("""COMPUTED_VALUE"""),"")</f>
        <v/>
      </c>
      <c r="X9" s="35" t="str">
        <f>IFERROR(__xludf.DUMMYFUNCTION("""COMPUTED_VALUE"""),"AP")</f>
        <v>AP</v>
      </c>
      <c r="Y9" s="34" t="str">
        <f>IFERROR(__xludf.DUMMYFUNCTION("""COMPUTED_VALUE"""),"")</f>
        <v/>
      </c>
      <c r="Z9" s="35" t="str">
        <f>IFERROR(__xludf.DUMMYFUNCTION("""COMPUTED_VALUE"""),"%")</f>
        <v>%</v>
      </c>
      <c r="AA9" s="36">
        <f>IFERROR(__xludf.DUMMYFUNCTION("""COMPUTED_VALUE"""),3.0)</f>
        <v>3</v>
      </c>
      <c r="AB9" s="37"/>
      <c r="AC9" s="38"/>
      <c r="AD9" s="34" t="str">
        <f>IFERROR(__xludf.DUMMYFUNCTION("""COMPUTED_VALUE"""),"")</f>
        <v/>
      </c>
      <c r="AE9" s="35" t="str">
        <f>IFERROR(__xludf.DUMMYFUNCTION("""COMPUTED_VALUE"""),"AP")</f>
        <v>AP</v>
      </c>
      <c r="AF9" s="34" t="str">
        <f>IFERROR(__xludf.DUMMYFUNCTION("""COMPUTED_VALUE"""),"")</f>
        <v/>
      </c>
      <c r="AG9" s="35" t="str">
        <f>IFERROR(__xludf.DUMMYFUNCTION("""COMPUTED_VALUE"""),"%")</f>
        <v>%</v>
      </c>
      <c r="AH9" s="31">
        <f>IFERROR(__xludf.DUMMYFUNCTION("""COMPUTED_VALUE"""),18.0)</f>
        <v>18</v>
      </c>
      <c r="AI9" s="32">
        <f>IFERROR(__xludf.DUMMYFUNCTION("""COMPUTED_VALUE"""),4543.0)</f>
        <v>4543</v>
      </c>
      <c r="AJ9" s="30" t="str">
        <f>IFERROR(__xludf.DUMMYFUNCTION("""COMPUTED_VALUE"""),"Montgomery")</f>
        <v>Montgomery</v>
      </c>
    </row>
    <row r="10" ht="24.75" customHeight="1">
      <c r="A10" s="40">
        <f>IFERROR(__xludf.DUMMYFUNCTION("""COMPUTED_VALUE"""),8.0)</f>
        <v>8</v>
      </c>
      <c r="B10" s="40" t="str">
        <f>IFERROR(__xludf.DUMMYFUNCTION("""COMPUTED_VALUE"""),"A301")</f>
        <v>A301</v>
      </c>
      <c r="C10" s="40" t="str">
        <f>IFERROR(__xludf.DUMMYFUNCTION("""COMPUTED_VALUE"""),"SEP4")</f>
        <v>SEP4</v>
      </c>
      <c r="D10" s="41" t="str">
        <f>IFERROR(__xludf.DUMMYFUNCTION("""COMPUTED_VALUE"""),"Septem")</f>
        <v>Septem</v>
      </c>
      <c r="E10" s="42" t="str">
        <f>IFERROR(__xludf.DUMMYFUNCTION("""COMPUTED_VALUE"""),"Florence")</f>
        <v>Florence</v>
      </c>
      <c r="F10" s="43">
        <f>IFERROR(__xludf.DUMMYFUNCTION("""COMPUTED_VALUE"""),9.0)</f>
        <v>9</v>
      </c>
      <c r="G10" s="44">
        <f>IFERROR(__xludf.DUMMYFUNCTION("""COMPUTED_VALUE"""),1187.0)</f>
        <v>1187</v>
      </c>
      <c r="H10" s="33" t="str">
        <f>IFERROR(__xludf.DUMMYFUNCTION("""COMPUTED_VALUE"""),"")</f>
        <v/>
      </c>
      <c r="I10" s="45">
        <f>IFERROR(__xludf.DUMMYFUNCTION("""COMPUTED_VALUE"""),29.24701862741877)</f>
        <v>29.24701863</v>
      </c>
      <c r="J10" s="46" t="str">
        <f>IFERROR(__xludf.DUMMYFUNCTION("""COMPUTED_VALUE"""),"AP")</f>
        <v>AP</v>
      </c>
      <c r="K10" s="47">
        <f>IFERROR(__xludf.DUMMYFUNCTION("""COMPUTED_VALUE"""),30.772367312552657)</f>
        <v>30.77236731</v>
      </c>
      <c r="L10" s="48" t="str">
        <f>IFERROR(__xludf.DUMMYFUNCTION("""COMPUTED_VALUE"""),"%")</f>
        <v>%</v>
      </c>
      <c r="M10" s="49">
        <f>IFERROR(__xludf.DUMMYFUNCTION("""COMPUTED_VALUE"""),1.0)</f>
        <v>1</v>
      </c>
      <c r="N10" s="50"/>
      <c r="O10" s="38"/>
      <c r="P10" s="45" t="str">
        <f>IFERROR(__xludf.DUMMYFUNCTION("""COMPUTED_VALUE"""),"")</f>
        <v/>
      </c>
      <c r="Q10" s="46" t="str">
        <f>IFERROR(__xludf.DUMMYFUNCTION("""COMPUTED_VALUE"""),"AP")</f>
        <v>AP</v>
      </c>
      <c r="R10" s="47" t="str">
        <f>IFERROR(__xludf.DUMMYFUNCTION("""COMPUTED_VALUE"""),"")</f>
        <v/>
      </c>
      <c r="S10" s="48" t="str">
        <f>IFERROR(__xludf.DUMMYFUNCTION("""COMPUTED_VALUE"""),"%")</f>
        <v>%</v>
      </c>
      <c r="T10" s="49">
        <f>IFERROR(__xludf.DUMMYFUNCTION("""COMPUTED_VALUE"""),2.0)</f>
        <v>2</v>
      </c>
      <c r="U10" s="50"/>
      <c r="V10" s="38"/>
      <c r="W10" s="45" t="str">
        <f>IFERROR(__xludf.DUMMYFUNCTION("""COMPUTED_VALUE"""),"")</f>
        <v/>
      </c>
      <c r="X10" s="46" t="str">
        <f>IFERROR(__xludf.DUMMYFUNCTION("""COMPUTED_VALUE"""),"AP")</f>
        <v>AP</v>
      </c>
      <c r="Y10" s="47" t="str">
        <f>IFERROR(__xludf.DUMMYFUNCTION("""COMPUTED_VALUE"""),"")</f>
        <v/>
      </c>
      <c r="Z10" s="48" t="str">
        <f>IFERROR(__xludf.DUMMYFUNCTION("""COMPUTED_VALUE"""),"%")</f>
        <v>%</v>
      </c>
      <c r="AA10" s="49">
        <f>IFERROR(__xludf.DUMMYFUNCTION("""COMPUTED_VALUE"""),3.0)</f>
        <v>3</v>
      </c>
      <c r="AB10" s="50"/>
      <c r="AC10" s="38"/>
      <c r="AD10" s="45" t="str">
        <f>IFERROR(__xludf.DUMMYFUNCTION("""COMPUTED_VALUE"""),"")</f>
        <v/>
      </c>
      <c r="AE10" s="46" t="str">
        <f>IFERROR(__xludf.DUMMYFUNCTION("""COMPUTED_VALUE"""),"AP")</f>
        <v>AP</v>
      </c>
      <c r="AF10" s="47" t="str">
        <f>IFERROR(__xludf.DUMMYFUNCTION("""COMPUTED_VALUE"""),"")</f>
        <v/>
      </c>
      <c r="AG10" s="48" t="str">
        <f>IFERROR(__xludf.DUMMYFUNCTION("""COMPUTED_VALUE"""),"%")</f>
        <v>%</v>
      </c>
      <c r="AH10" s="43">
        <f>IFERROR(__xludf.DUMMYFUNCTION("""COMPUTED_VALUE"""),9.0)</f>
        <v>9</v>
      </c>
      <c r="AI10" s="44">
        <f>IFERROR(__xludf.DUMMYFUNCTION("""COMPUTED_VALUE"""),1187.0)</f>
        <v>1187</v>
      </c>
      <c r="AJ10" s="42" t="str">
        <f>IFERROR(__xludf.DUMMYFUNCTION("""COMPUTED_VALUE"""),"Florence")</f>
        <v>Florence</v>
      </c>
    </row>
    <row r="11" ht="24.75" customHeight="1">
      <c r="A11" s="28">
        <f>IFERROR(__xludf.DUMMYFUNCTION("""COMPUTED_VALUE"""),9.0)</f>
        <v>9</v>
      </c>
      <c r="B11" s="28" t="str">
        <f>IFERROR(__xludf.DUMMYFUNCTION("""COMPUTED_VALUE"""),"A301")</f>
        <v>A301</v>
      </c>
      <c r="C11" s="28" t="str">
        <f>IFERROR(__xludf.DUMMYFUNCTION("""COMPUTED_VALUE"""),"EPU11")</f>
        <v>EPU11</v>
      </c>
      <c r="D11" s="29" t="str">
        <f>IFERROR(__xludf.DUMMYFUNCTION("""COMPUTED_VALUE"""),"E Pluribus Unum")</f>
        <v>E Pluribus Unum</v>
      </c>
      <c r="E11" s="30" t="str">
        <f>IFERROR(__xludf.DUMMYFUNCTION("""COMPUTED_VALUE"""),"Kearney")</f>
        <v>Kearney</v>
      </c>
      <c r="F11" s="31">
        <f>IFERROR(__xludf.DUMMYFUNCTION("""COMPUTED_VALUE"""),18.0)</f>
        <v>18</v>
      </c>
      <c r="G11" s="32">
        <f>IFERROR(__xludf.DUMMYFUNCTION("""COMPUTED_VALUE"""),2611.0)</f>
        <v>2611</v>
      </c>
      <c r="H11" s="33" t="str">
        <f>IFERROR(__xludf.DUMMYFUNCTION("""COMPUTED_VALUE"""),"")</f>
        <v/>
      </c>
      <c r="I11" s="34">
        <f>IFERROR(__xludf.DUMMYFUNCTION("""COMPUTED_VALUE"""),32.84793206479006)</f>
        <v>32.84793206</v>
      </c>
      <c r="J11" s="35" t="str">
        <f>IFERROR(__xludf.DUMMYFUNCTION("""COMPUTED_VALUE"""),"AP")</f>
        <v>AP</v>
      </c>
      <c r="K11" s="34">
        <f>IFERROR(__xludf.DUMMYFUNCTION("""COMPUTED_VALUE"""),54.79797012638836)</f>
        <v>54.79797013</v>
      </c>
      <c r="L11" s="35" t="str">
        <f>IFERROR(__xludf.DUMMYFUNCTION("""COMPUTED_VALUE"""),"%")</f>
        <v>%</v>
      </c>
      <c r="M11" s="36">
        <f>IFERROR(__xludf.DUMMYFUNCTION("""COMPUTED_VALUE"""),1.0)</f>
        <v>1</v>
      </c>
      <c r="N11" s="37" t="str">
        <f>IFERROR(__xludf.DUMMYFUNCTION("""COMPUTED_VALUE"""),"A105")</f>
        <v>A105</v>
      </c>
      <c r="O11" s="38" t="str">
        <f>IFERROR(__xludf.DUMMYFUNCTION("""COMPUTED_VALUE"""),"")</f>
        <v/>
      </c>
      <c r="P11" s="34">
        <f>IFERROR(__xludf.DUMMYFUNCTION("""COMPUTED_VALUE"""),142.2371527147267)</f>
        <v>142.2371527</v>
      </c>
      <c r="Q11" s="35" t="str">
        <f>IFERROR(__xludf.DUMMYFUNCTION("""COMPUTED_VALUE"""),"AP")</f>
        <v>AP</v>
      </c>
      <c r="R11" s="34">
        <f>IFERROR(__xludf.DUMMYFUNCTION("""COMPUTED_VALUE"""),12.654921486020681)</f>
        <v>12.65492149</v>
      </c>
      <c r="S11" s="35" t="str">
        <f>IFERROR(__xludf.DUMMYFUNCTION("""COMPUTED_VALUE"""),"%")</f>
        <v>%</v>
      </c>
      <c r="T11" s="36">
        <f>IFERROR(__xludf.DUMMYFUNCTION("""COMPUTED_VALUE"""),2.0)</f>
        <v>2</v>
      </c>
      <c r="U11" s="37" t="str">
        <f>IFERROR(__xludf.DUMMYFUNCTION("""COMPUTED_VALUE"""),"B113")</f>
        <v>B113</v>
      </c>
      <c r="V11" s="38" t="str">
        <f>IFERROR(__xludf.DUMMYFUNCTION("""COMPUTED_VALUE"""),"")</f>
        <v/>
      </c>
      <c r="W11" s="34">
        <f>IFERROR(__xludf.DUMMYFUNCTION("""COMPUTED_VALUE"""),201.53203984195173)</f>
        <v>201.5320398</v>
      </c>
      <c r="X11" s="35" t="str">
        <f>IFERROR(__xludf.DUMMYFUNCTION("""COMPUTED_VALUE"""),"AP")</f>
        <v>AP</v>
      </c>
      <c r="Y11" s="34">
        <f>IFERROR(__xludf.DUMMYFUNCTION("""COMPUTED_VALUE"""),8.931582300321185)</f>
        <v>8.9315823</v>
      </c>
      <c r="Z11" s="35" t="str">
        <f>IFERROR(__xludf.DUMMYFUNCTION("""COMPUTED_VALUE"""),"%")</f>
        <v>%</v>
      </c>
      <c r="AA11" s="36">
        <f>IFERROR(__xludf.DUMMYFUNCTION("""COMPUTED_VALUE"""),3.0)</f>
        <v>3</v>
      </c>
      <c r="AB11" s="37"/>
      <c r="AC11" s="38"/>
      <c r="AD11" s="34" t="str">
        <f>IFERROR(__xludf.DUMMYFUNCTION("""COMPUTED_VALUE"""),"")</f>
        <v/>
      </c>
      <c r="AE11" s="35" t="str">
        <f>IFERROR(__xludf.DUMMYFUNCTION("""COMPUTED_VALUE"""),"AP")</f>
        <v>AP</v>
      </c>
      <c r="AF11" s="34" t="str">
        <f>IFERROR(__xludf.DUMMYFUNCTION("""COMPUTED_VALUE"""),"")</f>
        <v/>
      </c>
      <c r="AG11" s="35" t="str">
        <f>IFERROR(__xludf.DUMMYFUNCTION("""COMPUTED_VALUE"""),"%")</f>
        <v>%</v>
      </c>
      <c r="AH11" s="31">
        <f>IFERROR(__xludf.DUMMYFUNCTION("""COMPUTED_VALUE"""),18.0)</f>
        <v>18</v>
      </c>
      <c r="AI11" s="32">
        <f>IFERROR(__xludf.DUMMYFUNCTION("""COMPUTED_VALUE"""),2611.0)</f>
        <v>2611</v>
      </c>
      <c r="AJ11" s="30" t="str">
        <f>IFERROR(__xludf.DUMMYFUNCTION("""COMPUTED_VALUE"""),"Kearney")</f>
        <v>Kearney</v>
      </c>
    </row>
    <row r="12" ht="24.75" customHeight="1">
      <c r="A12" s="40">
        <f>IFERROR(__xludf.DUMMYFUNCTION("""COMPUTED_VALUE"""),10.0)</f>
        <v>10</v>
      </c>
      <c r="B12" s="40" t="str">
        <f>IFERROR(__xludf.DUMMYFUNCTION("""COMPUTED_VALUE"""),"A301")</f>
        <v>A301</v>
      </c>
      <c r="C12" s="40" t="str">
        <f>IFERROR(__xludf.DUMMYFUNCTION("""COMPUTED_VALUE"""),"EPU9")</f>
        <v>EPU9</v>
      </c>
      <c r="D12" s="41" t="str">
        <f>IFERROR(__xludf.DUMMYFUNCTION("""COMPUTED_VALUE"""),"E Pluribus Unum")</f>
        <v>E Pluribus Unum</v>
      </c>
      <c r="E12" s="42" t="str">
        <f>IFERROR(__xludf.DUMMYFUNCTION("""COMPUTED_VALUE"""),"Lubbock")</f>
        <v>Lubbock</v>
      </c>
      <c r="F12" s="43">
        <f>IFERROR(__xludf.DUMMYFUNCTION("""COMPUTED_VALUE"""),18.0)</f>
        <v>18</v>
      </c>
      <c r="G12" s="44">
        <f>IFERROR(__xludf.DUMMYFUNCTION("""COMPUTED_VALUE"""),1070.0)</f>
        <v>1070</v>
      </c>
      <c r="H12" s="33" t="str">
        <f>IFERROR(__xludf.DUMMYFUNCTION("""COMPUTED_VALUE"""),"")</f>
        <v/>
      </c>
      <c r="I12" s="45">
        <f>IFERROR(__xludf.DUMMYFUNCTION("""COMPUTED_VALUE"""),33.16658199946617)</f>
        <v>33.166582</v>
      </c>
      <c r="J12" s="46" t="str">
        <f>IFERROR(__xludf.DUMMYFUNCTION("""COMPUTED_VALUE"""),"AP")</f>
        <v>AP</v>
      </c>
      <c r="K12" s="47">
        <f>IFERROR(__xludf.DUMMYFUNCTION("""COMPUTED_VALUE"""),54.271495327102805)</f>
        <v>54.27149533</v>
      </c>
      <c r="L12" s="48" t="str">
        <f>IFERROR(__xludf.DUMMYFUNCTION("""COMPUTED_VALUE"""),"%")</f>
        <v>%</v>
      </c>
      <c r="M12" s="49">
        <f>IFERROR(__xludf.DUMMYFUNCTION("""COMPUTED_VALUE"""),1.0)</f>
        <v>1</v>
      </c>
      <c r="N12" s="50" t="str">
        <f>IFERROR(__xludf.DUMMYFUNCTION("""COMPUTED_VALUE"""),"A107")</f>
        <v>A107</v>
      </c>
      <c r="O12" s="38" t="str">
        <f>IFERROR(__xludf.DUMMYFUNCTION("""COMPUTED_VALUE"""),"")</f>
        <v/>
      </c>
      <c r="P12" s="45">
        <f>IFERROR(__xludf.DUMMYFUNCTION("""COMPUTED_VALUE"""),148.59391274158082)</f>
        <v>148.5939127</v>
      </c>
      <c r="Q12" s="46" t="str">
        <f>IFERROR(__xludf.DUMMYFUNCTION("""COMPUTED_VALUE"""),"AP")</f>
        <v>AP</v>
      </c>
      <c r="R12" s="47">
        <f>IFERROR(__xludf.DUMMYFUNCTION("""COMPUTED_VALUE"""),12.11355140186916)</f>
        <v>12.1135514</v>
      </c>
      <c r="S12" s="48" t="str">
        <f>IFERROR(__xludf.DUMMYFUNCTION("""COMPUTED_VALUE"""),"%")</f>
        <v>%</v>
      </c>
      <c r="T12" s="49">
        <f>IFERROR(__xludf.DUMMYFUNCTION("""COMPUTED_VALUE"""),2.0)</f>
        <v>2</v>
      </c>
      <c r="U12" s="50" t="str">
        <f>IFERROR(__xludf.DUMMYFUNCTION("""COMPUTED_VALUE"""),"B116")</f>
        <v>B116</v>
      </c>
      <c r="V12" s="38" t="str">
        <f>IFERROR(__xludf.DUMMYFUNCTION("""COMPUTED_VALUE"""),"")</f>
        <v/>
      </c>
      <c r="W12" s="45">
        <f>IFERROR(__xludf.DUMMYFUNCTION("""COMPUTED_VALUE"""),213.01775147928996)</f>
        <v>213.0177515</v>
      </c>
      <c r="X12" s="46" t="str">
        <f>IFERROR(__xludf.DUMMYFUNCTION("""COMPUTED_VALUE"""),"AP")</f>
        <v>AP</v>
      </c>
      <c r="Y12" s="47">
        <f>IFERROR(__xludf.DUMMYFUNCTION("""COMPUTED_VALUE"""),8.45)</f>
        <v>8.45</v>
      </c>
      <c r="Z12" s="48" t="str">
        <f>IFERROR(__xludf.DUMMYFUNCTION("""COMPUTED_VALUE"""),"%")</f>
        <v>%</v>
      </c>
      <c r="AA12" s="49">
        <f>IFERROR(__xludf.DUMMYFUNCTION("""COMPUTED_VALUE"""),3.0)</f>
        <v>3</v>
      </c>
      <c r="AB12" s="50"/>
      <c r="AC12" s="38"/>
      <c r="AD12" s="45" t="str">
        <f>IFERROR(__xludf.DUMMYFUNCTION("""COMPUTED_VALUE"""),"")</f>
        <v/>
      </c>
      <c r="AE12" s="46" t="str">
        <f>IFERROR(__xludf.DUMMYFUNCTION("""COMPUTED_VALUE"""),"AP")</f>
        <v>AP</v>
      </c>
      <c r="AF12" s="47" t="str">
        <f>IFERROR(__xludf.DUMMYFUNCTION("""COMPUTED_VALUE"""),"")</f>
        <v/>
      </c>
      <c r="AG12" s="48" t="str">
        <f>IFERROR(__xludf.DUMMYFUNCTION("""COMPUTED_VALUE"""),"%")</f>
        <v>%</v>
      </c>
      <c r="AH12" s="43">
        <f>IFERROR(__xludf.DUMMYFUNCTION("""COMPUTED_VALUE"""),18.0)</f>
        <v>18</v>
      </c>
      <c r="AI12" s="44">
        <f>IFERROR(__xludf.DUMMYFUNCTION("""COMPUTED_VALUE"""),1070.0)</f>
        <v>1070</v>
      </c>
      <c r="AJ12" s="42" t="str">
        <f>IFERROR(__xludf.DUMMYFUNCTION("""COMPUTED_VALUE"""),"Lubbock")</f>
        <v>Lubbock</v>
      </c>
    </row>
    <row r="13" ht="24.75" customHeight="1">
      <c r="A13" s="28">
        <f>IFERROR(__xludf.DUMMYFUNCTION("""COMPUTED_VALUE"""),11.0)</f>
        <v>11</v>
      </c>
      <c r="B13" s="28" t="str">
        <f>IFERROR(__xludf.DUMMYFUNCTION("""COMPUTED_VALUE"""),"A301")</f>
        <v>A301</v>
      </c>
      <c r="C13" s="28" t="str">
        <f>IFERROR(__xludf.DUMMYFUNCTION("""COMPUTED_VALUE"""),"ORL1")</f>
        <v>ORL1</v>
      </c>
      <c r="D13" s="29" t="str">
        <f>IFERROR(__xludf.DUMMYFUNCTION("""COMPUTED_VALUE"""),"Orleans")</f>
        <v>Orleans</v>
      </c>
      <c r="E13" s="30" t="str">
        <f>IFERROR(__xludf.DUMMYFUNCTION("""COMPUTED_VALUE"""),"Domremy")</f>
        <v>Domremy</v>
      </c>
      <c r="F13" s="31">
        <f>IFERROR(__xludf.DUMMYFUNCTION("""COMPUTED_VALUE"""),7.0)</f>
        <v>7</v>
      </c>
      <c r="G13" s="32">
        <f>IFERROR(__xludf.DUMMYFUNCTION("""COMPUTED_VALUE"""),1734.0)</f>
        <v>1734</v>
      </c>
      <c r="H13" s="33" t="str">
        <f>IFERROR(__xludf.DUMMYFUNCTION("""COMPUTED_VALUE"""),"")</f>
        <v/>
      </c>
      <c r="I13" s="34">
        <f>IFERROR(__xludf.DUMMYFUNCTION("""COMPUTED_VALUE"""),33.568220535852554)</f>
        <v>33.56822054</v>
      </c>
      <c r="J13" s="35" t="str">
        <f>IFERROR(__xludf.DUMMYFUNCTION("""COMPUTED_VALUE"""),"AP")</f>
        <v>AP</v>
      </c>
      <c r="K13" s="34">
        <f>IFERROR(__xludf.DUMMYFUNCTION("""COMPUTED_VALUE"""),20.85305651672434)</f>
        <v>20.85305652</v>
      </c>
      <c r="L13" s="35" t="str">
        <f>IFERROR(__xludf.DUMMYFUNCTION("""COMPUTED_VALUE"""),"%")</f>
        <v>%</v>
      </c>
      <c r="M13" s="36">
        <f>IFERROR(__xludf.DUMMYFUNCTION("""COMPUTED_VALUE"""),1.0)</f>
        <v>1</v>
      </c>
      <c r="N13" s="37"/>
      <c r="O13" s="38"/>
      <c r="P13" s="34" t="str">
        <f>IFERROR(__xludf.DUMMYFUNCTION("""COMPUTED_VALUE"""),"")</f>
        <v/>
      </c>
      <c r="Q13" s="35" t="str">
        <f>IFERROR(__xludf.DUMMYFUNCTION("""COMPUTED_VALUE"""),"AP")</f>
        <v>AP</v>
      </c>
      <c r="R13" s="34" t="str">
        <f>IFERROR(__xludf.DUMMYFUNCTION("""COMPUTED_VALUE"""),"")</f>
        <v/>
      </c>
      <c r="S13" s="35" t="str">
        <f>IFERROR(__xludf.DUMMYFUNCTION("""COMPUTED_VALUE"""),"%")</f>
        <v>%</v>
      </c>
      <c r="T13" s="36">
        <f>IFERROR(__xludf.DUMMYFUNCTION("""COMPUTED_VALUE"""),2.0)</f>
        <v>2</v>
      </c>
      <c r="U13" s="37"/>
      <c r="V13" s="38"/>
      <c r="W13" s="34" t="str">
        <f>IFERROR(__xludf.DUMMYFUNCTION("""COMPUTED_VALUE"""),"")</f>
        <v/>
      </c>
      <c r="X13" s="35" t="str">
        <f>IFERROR(__xludf.DUMMYFUNCTION("""COMPUTED_VALUE"""),"AP")</f>
        <v>AP</v>
      </c>
      <c r="Y13" s="34" t="str">
        <f>IFERROR(__xludf.DUMMYFUNCTION("""COMPUTED_VALUE"""),"")</f>
        <v/>
      </c>
      <c r="Z13" s="35" t="str">
        <f>IFERROR(__xludf.DUMMYFUNCTION("""COMPUTED_VALUE"""),"%")</f>
        <v>%</v>
      </c>
      <c r="AA13" s="36">
        <f>IFERROR(__xludf.DUMMYFUNCTION("""COMPUTED_VALUE"""),3.0)</f>
        <v>3</v>
      </c>
      <c r="AB13" s="37"/>
      <c r="AC13" s="38"/>
      <c r="AD13" s="34" t="str">
        <f>IFERROR(__xludf.DUMMYFUNCTION("""COMPUTED_VALUE"""),"")</f>
        <v/>
      </c>
      <c r="AE13" s="35" t="str">
        <f>IFERROR(__xludf.DUMMYFUNCTION("""COMPUTED_VALUE"""),"AP")</f>
        <v>AP</v>
      </c>
      <c r="AF13" s="34" t="str">
        <f>IFERROR(__xludf.DUMMYFUNCTION("""COMPUTED_VALUE"""),"")</f>
        <v/>
      </c>
      <c r="AG13" s="35" t="str">
        <f>IFERROR(__xludf.DUMMYFUNCTION("""COMPUTED_VALUE"""),"%")</f>
        <v>%</v>
      </c>
      <c r="AH13" s="31">
        <f>IFERROR(__xludf.DUMMYFUNCTION("""COMPUTED_VALUE"""),7.0)</f>
        <v>7</v>
      </c>
      <c r="AI13" s="32">
        <f>IFERROR(__xludf.DUMMYFUNCTION("""COMPUTED_VALUE"""),1734.0)</f>
        <v>1734</v>
      </c>
      <c r="AJ13" s="30" t="str">
        <f>IFERROR(__xludf.DUMMYFUNCTION("""COMPUTED_VALUE"""),"Domremy")</f>
        <v>Domremy</v>
      </c>
    </row>
    <row r="14" ht="24.75" customHeight="1">
      <c r="A14" s="40">
        <f>IFERROR(__xludf.DUMMYFUNCTION("""COMPUTED_VALUE"""),12.0)</f>
        <v>12</v>
      </c>
      <c r="B14" s="40" t="str">
        <f>IFERROR(__xludf.DUMMYFUNCTION("""COMPUTED_VALUE"""),"A301")</f>
        <v>A301</v>
      </c>
      <c r="C14" s="40" t="str">
        <f>IFERROR(__xludf.DUMMYFUNCTION("""COMPUTED_VALUE"""),"EPU10")</f>
        <v>EPU10</v>
      </c>
      <c r="D14" s="41" t="str">
        <f>IFERROR(__xludf.DUMMYFUNCTION("""COMPUTED_VALUE"""),"E Pluribus Unum")</f>
        <v>E Pluribus Unum</v>
      </c>
      <c r="E14" s="42" t="str">
        <f>IFERROR(__xludf.DUMMYFUNCTION("""COMPUTED_VALUE"""),"Alexandria")</f>
        <v>Alexandria</v>
      </c>
      <c r="F14" s="43">
        <f>IFERROR(__xludf.DUMMYFUNCTION("""COMPUTED_VALUE"""),18.0)</f>
        <v>18</v>
      </c>
      <c r="G14" s="44">
        <f>IFERROR(__xludf.DUMMYFUNCTION("""COMPUTED_VALUE"""),13074.0)</f>
        <v>13074</v>
      </c>
      <c r="H14" s="33" t="str">
        <f>IFERROR(__xludf.DUMMYFUNCTION("""COMPUTED_VALUE"""),"")</f>
        <v/>
      </c>
      <c r="I14" s="45">
        <f>IFERROR(__xludf.DUMMYFUNCTION("""COMPUTED_VALUE"""),33.74581855391943)</f>
        <v>33.74581855</v>
      </c>
      <c r="J14" s="46" t="str">
        <f>IFERROR(__xludf.DUMMYFUNCTION("""COMPUTED_VALUE"""),"AP")</f>
        <v>AP</v>
      </c>
      <c r="K14" s="47">
        <f>IFERROR(__xludf.DUMMYFUNCTION("""COMPUTED_VALUE"""),53.33994186935904)</f>
        <v>53.33994187</v>
      </c>
      <c r="L14" s="48" t="str">
        <f>IFERROR(__xludf.DUMMYFUNCTION("""COMPUTED_VALUE"""),"%")</f>
        <v>%</v>
      </c>
      <c r="M14" s="49">
        <f>IFERROR(__xludf.DUMMYFUNCTION("""COMPUTED_VALUE"""),1.0)</f>
        <v>1</v>
      </c>
      <c r="N14" s="50" t="str">
        <f>IFERROR(__xludf.DUMMYFUNCTION("""COMPUTED_VALUE"""),"A106")</f>
        <v>A106</v>
      </c>
      <c r="O14" s="38" t="str">
        <f>IFERROR(__xludf.DUMMYFUNCTION("""COMPUTED_VALUE"""),"")</f>
        <v/>
      </c>
      <c r="P14" s="45">
        <f>IFERROR(__xludf.DUMMYFUNCTION("""COMPUTED_VALUE"""),149.2072106800844)</f>
        <v>149.2072107</v>
      </c>
      <c r="Q14" s="46" t="str">
        <f>IFERROR(__xludf.DUMMYFUNCTION("""COMPUTED_VALUE"""),"AP")</f>
        <v>AP</v>
      </c>
      <c r="R14" s="47">
        <f>IFERROR(__xludf.DUMMYFUNCTION("""COMPUTED_VALUE"""),12.063760134618327)</f>
        <v>12.06376013</v>
      </c>
      <c r="S14" s="48" t="str">
        <f>IFERROR(__xludf.DUMMYFUNCTION("""COMPUTED_VALUE"""),"%")</f>
        <v>%</v>
      </c>
      <c r="T14" s="49">
        <f>IFERROR(__xludf.DUMMYFUNCTION("""COMPUTED_VALUE"""),2.0)</f>
        <v>2</v>
      </c>
      <c r="U14" s="50" t="str">
        <f>IFERROR(__xludf.DUMMYFUNCTION("""COMPUTED_VALUE"""),"B112")</f>
        <v>B112</v>
      </c>
      <c r="V14" s="38" t="str">
        <f>IFERROR(__xludf.DUMMYFUNCTION("""COMPUTED_VALUE"""),"")</f>
        <v/>
      </c>
      <c r="W14" s="45">
        <f>IFERROR(__xludf.DUMMYFUNCTION("""COMPUTED_VALUE"""),225.26706742734618)</f>
        <v>225.2670674</v>
      </c>
      <c r="X14" s="46" t="str">
        <f>IFERROR(__xludf.DUMMYFUNCTION("""COMPUTED_VALUE"""),"AP")</f>
        <v>AP</v>
      </c>
      <c r="Y14" s="47">
        <f>IFERROR(__xludf.DUMMYFUNCTION("""COMPUTED_VALUE"""),7.990515527000153)</f>
        <v>7.990515527</v>
      </c>
      <c r="Z14" s="48" t="str">
        <f>IFERROR(__xludf.DUMMYFUNCTION("""COMPUTED_VALUE"""),"%")</f>
        <v>%</v>
      </c>
      <c r="AA14" s="49">
        <f>IFERROR(__xludf.DUMMYFUNCTION("""COMPUTED_VALUE"""),3.0)</f>
        <v>3</v>
      </c>
      <c r="AB14" s="50"/>
      <c r="AC14" s="38"/>
      <c r="AD14" s="45" t="str">
        <f>IFERROR(__xludf.DUMMYFUNCTION("""COMPUTED_VALUE"""),"")</f>
        <v/>
      </c>
      <c r="AE14" s="46" t="str">
        <f>IFERROR(__xludf.DUMMYFUNCTION("""COMPUTED_VALUE"""),"AP")</f>
        <v>AP</v>
      </c>
      <c r="AF14" s="47" t="str">
        <f>IFERROR(__xludf.DUMMYFUNCTION("""COMPUTED_VALUE"""),"")</f>
        <v/>
      </c>
      <c r="AG14" s="48" t="str">
        <f>IFERROR(__xludf.DUMMYFUNCTION("""COMPUTED_VALUE"""),"%")</f>
        <v>%</v>
      </c>
      <c r="AH14" s="43">
        <f>IFERROR(__xludf.DUMMYFUNCTION("""COMPUTED_VALUE"""),18.0)</f>
        <v>18</v>
      </c>
      <c r="AI14" s="44">
        <f>IFERROR(__xludf.DUMMYFUNCTION("""COMPUTED_VALUE"""),13074.0)</f>
        <v>13074</v>
      </c>
      <c r="AJ14" s="42" t="str">
        <f>IFERROR(__xludf.DUMMYFUNCTION("""COMPUTED_VALUE"""),"Alexandria")</f>
        <v>Alexandria</v>
      </c>
    </row>
    <row r="15" ht="24.75" customHeight="1">
      <c r="A15" s="28">
        <f>IFERROR(__xludf.DUMMYFUNCTION("""COMPUTED_VALUE"""),13.0)</f>
        <v>13</v>
      </c>
      <c r="B15" s="28" t="str">
        <f>IFERROR(__xludf.DUMMYFUNCTION("""COMPUTED_VALUE"""),"A301")</f>
        <v>A301</v>
      </c>
      <c r="C15" s="28" t="str">
        <f>IFERROR(__xludf.DUMMYFUNCTION("""COMPUTED_VALUE"""),"EPU6")</f>
        <v>EPU6</v>
      </c>
      <c r="D15" s="29" t="str">
        <f>IFERROR(__xludf.DUMMYFUNCTION("""COMPUTED_VALUE"""),"E Pluribus Unum")</f>
        <v>E Pluribus Unum</v>
      </c>
      <c r="E15" s="30" t="str">
        <f>IFERROR(__xludf.DUMMYFUNCTION("""COMPUTED_VALUE"""),"Alcatraz")</f>
        <v>Alcatraz</v>
      </c>
      <c r="F15" s="31">
        <f>IFERROR(__xludf.DUMMYFUNCTION("""COMPUTED_VALUE"""),18.0)</f>
        <v>18</v>
      </c>
      <c r="G15" s="32">
        <f>IFERROR(__xludf.DUMMYFUNCTION("""COMPUTED_VALUE"""),1254.0)</f>
        <v>1254</v>
      </c>
      <c r="H15" s="33" t="str">
        <f>IFERROR(__xludf.DUMMYFUNCTION("""COMPUTED_VALUE"""),"")</f>
        <v/>
      </c>
      <c r="I15" s="34">
        <f>IFERROR(__xludf.DUMMYFUNCTION("""COMPUTED_VALUE"""),35.25167496993644)</f>
        <v>35.25167497</v>
      </c>
      <c r="J15" s="35" t="str">
        <f>IFERROR(__xludf.DUMMYFUNCTION("""COMPUTED_VALUE"""),"AP")</f>
        <v>AP</v>
      </c>
      <c r="K15" s="34">
        <f>IFERROR(__xludf.DUMMYFUNCTION("""COMPUTED_VALUE"""),51.06140350877193)</f>
        <v>51.06140351</v>
      </c>
      <c r="L15" s="35" t="str">
        <f>IFERROR(__xludf.DUMMYFUNCTION("""COMPUTED_VALUE"""),"%")</f>
        <v>%</v>
      </c>
      <c r="M15" s="36">
        <f>IFERROR(__xludf.DUMMYFUNCTION("""COMPUTED_VALUE"""),1.0)</f>
        <v>1</v>
      </c>
      <c r="N15" s="37" t="str">
        <f>IFERROR(__xludf.DUMMYFUNCTION("""COMPUTED_VALUE"""),"A304")</f>
        <v>A304</v>
      </c>
      <c r="O15" s="38" t="str">
        <f>IFERROR(__xludf.DUMMYFUNCTION("""COMPUTED_VALUE"""),"")</f>
        <v/>
      </c>
      <c r="P15" s="34">
        <f>IFERROR(__xludf.DUMMYFUNCTION("""COMPUTED_VALUE"""),158.14474882645555)</f>
        <v>158.1447488</v>
      </c>
      <c r="Q15" s="35" t="str">
        <f>IFERROR(__xludf.DUMMYFUNCTION("""COMPUTED_VALUE"""),"AP")</f>
        <v>AP</v>
      </c>
      <c r="R15" s="34">
        <f>IFERROR(__xludf.DUMMYFUNCTION("""COMPUTED_VALUE"""),11.381977671451356)</f>
        <v>11.38197767</v>
      </c>
      <c r="S15" s="35" t="str">
        <f>IFERROR(__xludf.DUMMYFUNCTION("""COMPUTED_VALUE"""),"%")</f>
        <v>%</v>
      </c>
      <c r="T15" s="36">
        <f>IFERROR(__xludf.DUMMYFUNCTION("""COMPUTED_VALUE"""),2.0)</f>
        <v>2</v>
      </c>
      <c r="U15" s="37"/>
      <c r="V15" s="38"/>
      <c r="W15" s="34" t="str">
        <f>IFERROR(__xludf.DUMMYFUNCTION("""COMPUTED_VALUE"""),"")</f>
        <v/>
      </c>
      <c r="X15" s="35" t="str">
        <f>IFERROR(__xludf.DUMMYFUNCTION("""COMPUTED_VALUE"""),"AP")</f>
        <v>AP</v>
      </c>
      <c r="Y15" s="34" t="str">
        <f>IFERROR(__xludf.DUMMYFUNCTION("""COMPUTED_VALUE"""),"")</f>
        <v/>
      </c>
      <c r="Z15" s="35" t="str">
        <f>IFERROR(__xludf.DUMMYFUNCTION("""COMPUTED_VALUE"""),"%")</f>
        <v>%</v>
      </c>
      <c r="AA15" s="36">
        <f>IFERROR(__xludf.DUMMYFUNCTION("""COMPUTED_VALUE"""),3.0)</f>
        <v>3</v>
      </c>
      <c r="AB15" s="37"/>
      <c r="AC15" s="38"/>
      <c r="AD15" s="34" t="str">
        <f>IFERROR(__xludf.DUMMYFUNCTION("""COMPUTED_VALUE"""),"")</f>
        <v/>
      </c>
      <c r="AE15" s="35" t="str">
        <f>IFERROR(__xludf.DUMMYFUNCTION("""COMPUTED_VALUE"""),"AP")</f>
        <v>AP</v>
      </c>
      <c r="AF15" s="34" t="str">
        <f>IFERROR(__xludf.DUMMYFUNCTION("""COMPUTED_VALUE"""),"")</f>
        <v/>
      </c>
      <c r="AG15" s="35" t="str">
        <f>IFERROR(__xludf.DUMMYFUNCTION("""COMPUTED_VALUE"""),"%")</f>
        <v>%</v>
      </c>
      <c r="AH15" s="31">
        <f>IFERROR(__xludf.DUMMYFUNCTION("""COMPUTED_VALUE"""),18.0)</f>
        <v>18</v>
      </c>
      <c r="AI15" s="32">
        <f>IFERROR(__xludf.DUMMYFUNCTION("""COMPUTED_VALUE"""),1254.0)</f>
        <v>1254</v>
      </c>
      <c r="AJ15" s="30" t="str">
        <f>IFERROR(__xludf.DUMMYFUNCTION("""COMPUTED_VALUE"""),"Alcatraz")</f>
        <v>Alcatraz</v>
      </c>
    </row>
    <row r="16" ht="24.75" customHeight="1">
      <c r="A16" s="40">
        <f>IFERROR(__xludf.DUMMYFUNCTION("""COMPUTED_VALUE"""),14.0)</f>
        <v>14</v>
      </c>
      <c r="B16" s="40" t="str">
        <f>IFERROR(__xludf.DUMMYFUNCTION("""COMPUTED_VALUE"""),"A301")</f>
        <v>A301</v>
      </c>
      <c r="C16" s="40" t="str">
        <f>IFERROR(__xludf.DUMMYFUNCTION("""COMPUTED_VALUE"""),"ORL5")</f>
        <v>ORL5</v>
      </c>
      <c r="D16" s="41" t="str">
        <f>IFERROR(__xludf.DUMMYFUNCTION("""COMPUTED_VALUE"""),"Orleans")</f>
        <v>Orleans</v>
      </c>
      <c r="E16" s="42" t="str">
        <f>IFERROR(__xludf.DUMMYFUNCTION("""COMPUTED_VALUE"""),"Lyon")</f>
        <v>Lyon</v>
      </c>
      <c r="F16" s="43">
        <f>IFERROR(__xludf.DUMMYFUNCTION("""COMPUTED_VALUE"""),7.0)</f>
        <v>7</v>
      </c>
      <c r="G16" s="44">
        <f>IFERROR(__xludf.DUMMYFUNCTION("""COMPUTED_VALUE"""),1253.0)</f>
        <v>1253</v>
      </c>
      <c r="H16" s="33" t="str">
        <f>IFERROR(__xludf.DUMMYFUNCTION("""COMPUTED_VALUE"""),"")</f>
        <v/>
      </c>
      <c r="I16" s="45">
        <f>IFERROR(__xludf.DUMMYFUNCTION("""COMPUTED_VALUE"""),36.543092601388224)</f>
        <v>36.5430926</v>
      </c>
      <c r="J16" s="46" t="str">
        <f>IFERROR(__xludf.DUMMYFUNCTION("""COMPUTED_VALUE"""),"AP")</f>
        <v>AP</v>
      </c>
      <c r="K16" s="47">
        <f>IFERROR(__xludf.DUMMYFUNCTION("""COMPUTED_VALUE"""),19.15546687948923)</f>
        <v>19.15546688</v>
      </c>
      <c r="L16" s="48" t="str">
        <f>IFERROR(__xludf.DUMMYFUNCTION("""COMPUTED_VALUE"""),"%")</f>
        <v>%</v>
      </c>
      <c r="M16" s="49">
        <f>IFERROR(__xludf.DUMMYFUNCTION("""COMPUTED_VALUE"""),1.0)</f>
        <v>1</v>
      </c>
      <c r="N16" s="50" t="str">
        <f>IFERROR(__xludf.DUMMYFUNCTION("""COMPUTED_VALUE"""),"A304")</f>
        <v>A304</v>
      </c>
      <c r="O16" s="38" t="str">
        <f>IFERROR(__xludf.DUMMYFUNCTION("""COMPUTED_VALUE"""),"")</f>
        <v/>
      </c>
      <c r="P16" s="45">
        <f>IFERROR(__xludf.DUMMYFUNCTION("""COMPUTED_VALUE"""),105.9337898716137)</f>
        <v>105.9337899</v>
      </c>
      <c r="Q16" s="46" t="str">
        <f>IFERROR(__xludf.DUMMYFUNCTION("""COMPUTED_VALUE"""),"AP")</f>
        <v>AP</v>
      </c>
      <c r="R16" s="47">
        <f>IFERROR(__xludf.DUMMYFUNCTION("""COMPUTED_VALUE"""),6.6079010375099765)</f>
        <v>6.607901038</v>
      </c>
      <c r="S16" s="48" t="str">
        <f>IFERROR(__xludf.DUMMYFUNCTION("""COMPUTED_VALUE"""),"%")</f>
        <v>%</v>
      </c>
      <c r="T16" s="49">
        <f>IFERROR(__xludf.DUMMYFUNCTION("""COMPUTED_VALUE"""),2.0)</f>
        <v>2</v>
      </c>
      <c r="U16" s="50"/>
      <c r="V16" s="38"/>
      <c r="W16" s="45" t="str">
        <f>IFERROR(__xludf.DUMMYFUNCTION("""COMPUTED_VALUE"""),"")</f>
        <v/>
      </c>
      <c r="X16" s="46" t="str">
        <f>IFERROR(__xludf.DUMMYFUNCTION("""COMPUTED_VALUE"""),"AP")</f>
        <v>AP</v>
      </c>
      <c r="Y16" s="47" t="str">
        <f>IFERROR(__xludf.DUMMYFUNCTION("""COMPUTED_VALUE"""),"")</f>
        <v/>
      </c>
      <c r="Z16" s="48" t="str">
        <f>IFERROR(__xludf.DUMMYFUNCTION("""COMPUTED_VALUE"""),"%")</f>
        <v>%</v>
      </c>
      <c r="AA16" s="49">
        <f>IFERROR(__xludf.DUMMYFUNCTION("""COMPUTED_VALUE"""),3.0)</f>
        <v>3</v>
      </c>
      <c r="AB16" s="50"/>
      <c r="AC16" s="38"/>
      <c r="AD16" s="45" t="str">
        <f>IFERROR(__xludf.DUMMYFUNCTION("""COMPUTED_VALUE"""),"")</f>
        <v/>
      </c>
      <c r="AE16" s="46" t="str">
        <f>IFERROR(__xludf.DUMMYFUNCTION("""COMPUTED_VALUE"""),"AP")</f>
        <v>AP</v>
      </c>
      <c r="AF16" s="47" t="str">
        <f>IFERROR(__xludf.DUMMYFUNCTION("""COMPUTED_VALUE"""),"")</f>
        <v/>
      </c>
      <c r="AG16" s="48" t="str">
        <f>IFERROR(__xludf.DUMMYFUNCTION("""COMPUTED_VALUE"""),"%")</f>
        <v>%</v>
      </c>
      <c r="AH16" s="43">
        <f>IFERROR(__xludf.DUMMYFUNCTION("""COMPUTED_VALUE"""),7.0)</f>
        <v>7</v>
      </c>
      <c r="AI16" s="44">
        <f>IFERROR(__xludf.DUMMYFUNCTION("""COMPUTED_VALUE"""),1253.0)</f>
        <v>1253</v>
      </c>
      <c r="AJ16" s="42" t="str">
        <f>IFERROR(__xludf.DUMMYFUNCTION("""COMPUTED_VALUE"""),"Lyon")</f>
        <v>Lyon</v>
      </c>
    </row>
    <row r="17" ht="24.75" customHeight="1">
      <c r="A17" s="28">
        <f>IFERROR(__xludf.DUMMYFUNCTION("""COMPUTED_VALUE"""),15.0)</f>
        <v>15</v>
      </c>
      <c r="B17" s="28" t="str">
        <f>IFERROR(__xludf.DUMMYFUNCTION("""COMPUTED_VALUE"""),"A301")</f>
        <v>A301</v>
      </c>
      <c r="C17" s="28" t="str">
        <f>IFERROR(__xludf.DUMMYFUNCTION("""COMPUTED_VALUE"""),"EPU13")</f>
        <v>EPU13</v>
      </c>
      <c r="D17" s="29" t="str">
        <f>IFERROR(__xludf.DUMMYFUNCTION("""COMPUTED_VALUE"""),"E Pluribus Unum")</f>
        <v>E Pluribus Unum</v>
      </c>
      <c r="E17" s="30" t="str">
        <f>IFERROR(__xludf.DUMMYFUNCTION("""COMPUTED_VALUE"""),"Washington")</f>
        <v>Washington</v>
      </c>
      <c r="F17" s="31">
        <f>IFERROR(__xludf.DUMMYFUNCTION("""COMPUTED_VALUE"""),20.0)</f>
        <v>20</v>
      </c>
      <c r="G17" s="32">
        <f>IFERROR(__xludf.DUMMYFUNCTION("""COMPUTED_VALUE"""),1660.0)</f>
        <v>1660</v>
      </c>
      <c r="H17" s="33" t="str">
        <f>IFERROR(__xludf.DUMMYFUNCTION("""COMPUTED_VALUE"""),"")</f>
        <v/>
      </c>
      <c r="I17" s="34">
        <f>IFERROR(__xludf.DUMMYFUNCTION("""COMPUTED_VALUE"""),37.54055114504334)</f>
        <v>37.54055115</v>
      </c>
      <c r="J17" s="35" t="str">
        <f>IFERROR(__xludf.DUMMYFUNCTION("""COMPUTED_VALUE"""),"AP")</f>
        <v>AP</v>
      </c>
      <c r="K17" s="34">
        <f>IFERROR(__xludf.DUMMYFUNCTION("""COMPUTED_VALUE"""),53.275722891566275)</f>
        <v>53.27572289</v>
      </c>
      <c r="L17" s="35" t="str">
        <f>IFERROR(__xludf.DUMMYFUNCTION("""COMPUTED_VALUE"""),"%")</f>
        <v>%</v>
      </c>
      <c r="M17" s="36">
        <f>IFERROR(__xludf.DUMMYFUNCTION("""COMPUTED_VALUE"""),1.0)</f>
        <v>1</v>
      </c>
      <c r="N17" s="37" t="str">
        <f>IFERROR(__xludf.DUMMYFUNCTION("""COMPUTED_VALUE"""),"A104")</f>
        <v>A104</v>
      </c>
      <c r="O17" s="38" t="str">
        <f>IFERROR(__xludf.DUMMYFUNCTION("""COMPUTED_VALUE"""),"")</f>
        <v/>
      </c>
      <c r="P17" s="34">
        <f>IFERROR(__xludf.DUMMYFUNCTION("""COMPUTED_VALUE"""),246.41327662859138)</f>
        <v>246.4132766</v>
      </c>
      <c r="Q17" s="35" t="str">
        <f>IFERROR(__xludf.DUMMYFUNCTION("""COMPUTED_VALUE"""),"AP")</f>
        <v>AP</v>
      </c>
      <c r="R17" s="34">
        <f>IFERROR(__xludf.DUMMYFUNCTION("""COMPUTED_VALUE"""),8.11644578313253)</f>
        <v>8.116445783</v>
      </c>
      <c r="S17" s="35" t="str">
        <f>IFERROR(__xludf.DUMMYFUNCTION("""COMPUTED_VALUE"""),"%")</f>
        <v>%</v>
      </c>
      <c r="T17" s="36">
        <f>IFERROR(__xludf.DUMMYFUNCTION("""COMPUTED_VALUE"""),2.0)</f>
        <v>2</v>
      </c>
      <c r="U17" s="37" t="str">
        <f>IFERROR(__xludf.DUMMYFUNCTION("""COMPUTED_VALUE"""),"B101")</f>
        <v>B101</v>
      </c>
      <c r="V17" s="38" t="str">
        <f>IFERROR(__xludf.DUMMYFUNCTION("""COMPUTED_VALUE"""),"")</f>
        <v/>
      </c>
      <c r="W17" s="34">
        <f>IFERROR(__xludf.DUMMYFUNCTION("""COMPUTED_VALUE"""),630.7949536403709)</f>
        <v>630.7949536</v>
      </c>
      <c r="X17" s="35" t="str">
        <f>IFERROR(__xludf.DUMMYFUNCTION("""COMPUTED_VALUE"""),"AP")</f>
        <v>AP</v>
      </c>
      <c r="Y17" s="34">
        <f>IFERROR(__xludf.DUMMYFUNCTION("""COMPUTED_VALUE"""),3.1706024096385548)</f>
        <v>3.17060241</v>
      </c>
      <c r="Z17" s="35" t="str">
        <f>IFERROR(__xludf.DUMMYFUNCTION("""COMPUTED_VALUE"""),"%")</f>
        <v>%</v>
      </c>
      <c r="AA17" s="36">
        <f>IFERROR(__xludf.DUMMYFUNCTION("""COMPUTED_VALUE"""),3.0)</f>
        <v>3</v>
      </c>
      <c r="AB17" s="37"/>
      <c r="AC17" s="38"/>
      <c r="AD17" s="34" t="str">
        <f>IFERROR(__xludf.DUMMYFUNCTION("""COMPUTED_VALUE"""),"")</f>
        <v/>
      </c>
      <c r="AE17" s="35" t="str">
        <f>IFERROR(__xludf.DUMMYFUNCTION("""COMPUTED_VALUE"""),"AP")</f>
        <v>AP</v>
      </c>
      <c r="AF17" s="34" t="str">
        <f>IFERROR(__xludf.DUMMYFUNCTION("""COMPUTED_VALUE"""),"")</f>
        <v/>
      </c>
      <c r="AG17" s="35" t="str">
        <f>IFERROR(__xludf.DUMMYFUNCTION("""COMPUTED_VALUE"""),"%")</f>
        <v>%</v>
      </c>
      <c r="AH17" s="31">
        <f>IFERROR(__xludf.DUMMYFUNCTION("""COMPUTED_VALUE"""),20.0)</f>
        <v>20</v>
      </c>
      <c r="AI17" s="32">
        <f>IFERROR(__xludf.DUMMYFUNCTION("""COMPUTED_VALUE"""),1660.0)</f>
        <v>1660</v>
      </c>
      <c r="AJ17" s="30" t="str">
        <f>IFERROR(__xludf.DUMMYFUNCTION("""COMPUTED_VALUE"""),"Washington")</f>
        <v>Washington</v>
      </c>
    </row>
    <row r="18" ht="24.75" customHeight="1">
      <c r="A18" s="40">
        <f>IFERROR(__xludf.DUMMYFUNCTION("""COMPUTED_VALUE"""),16.0)</f>
        <v>16</v>
      </c>
      <c r="B18" s="40" t="str">
        <f>IFERROR(__xludf.DUMMYFUNCTION("""COMPUTED_VALUE"""),"A301")</f>
        <v>A301</v>
      </c>
      <c r="C18" s="40" t="str">
        <f>IFERROR(__xludf.DUMMYFUNCTION("""COMPUTED_VALUE"""),"SEP2")</f>
        <v>SEP2</v>
      </c>
      <c r="D18" s="41" t="str">
        <f>IFERROR(__xludf.DUMMYFUNCTION("""COMPUTED_VALUE"""),"Septem")</f>
        <v>Septem</v>
      </c>
      <c r="E18" s="42" t="str">
        <f>IFERROR(__xludf.DUMMYFUNCTION("""COMPUTED_VALUE"""),"Rome")</f>
        <v>Rome</v>
      </c>
      <c r="F18" s="43">
        <f>IFERROR(__xludf.DUMMYFUNCTION("""COMPUTED_VALUE"""),9.0)</f>
        <v>9</v>
      </c>
      <c r="G18" s="44">
        <f>IFERROR(__xludf.DUMMYFUNCTION("""COMPUTED_VALUE"""),1841.0)</f>
        <v>1841</v>
      </c>
      <c r="H18" s="33" t="str">
        <f>IFERROR(__xludf.DUMMYFUNCTION("""COMPUTED_VALUE"""),"")</f>
        <v/>
      </c>
      <c r="I18" s="45">
        <f>IFERROR(__xludf.DUMMYFUNCTION("""COMPUTED_VALUE"""),39.38286159784748)</f>
        <v>39.3828616</v>
      </c>
      <c r="J18" s="46" t="str">
        <f>IFERROR(__xludf.DUMMYFUNCTION("""COMPUTED_VALUE"""),"AP")</f>
        <v>AP</v>
      </c>
      <c r="K18" s="47">
        <f>IFERROR(__xludf.DUMMYFUNCTION("""COMPUTED_VALUE"""),22.85258011950027)</f>
        <v>22.85258012</v>
      </c>
      <c r="L18" s="48" t="str">
        <f>IFERROR(__xludf.DUMMYFUNCTION("""COMPUTED_VALUE"""),"%")</f>
        <v>%</v>
      </c>
      <c r="M18" s="49">
        <f>IFERROR(__xludf.DUMMYFUNCTION("""COMPUTED_VALUE"""),1.0)</f>
        <v>1</v>
      </c>
      <c r="N18" s="50"/>
      <c r="O18" s="38"/>
      <c r="P18" s="45" t="str">
        <f>IFERROR(__xludf.DUMMYFUNCTION("""COMPUTED_VALUE"""),"")</f>
        <v/>
      </c>
      <c r="Q18" s="46" t="str">
        <f>IFERROR(__xludf.DUMMYFUNCTION("""COMPUTED_VALUE"""),"AP")</f>
        <v>AP</v>
      </c>
      <c r="R18" s="47" t="str">
        <f>IFERROR(__xludf.DUMMYFUNCTION("""COMPUTED_VALUE"""),"")</f>
        <v/>
      </c>
      <c r="S18" s="48" t="str">
        <f>IFERROR(__xludf.DUMMYFUNCTION("""COMPUTED_VALUE"""),"%")</f>
        <v>%</v>
      </c>
      <c r="T18" s="49">
        <f>IFERROR(__xludf.DUMMYFUNCTION("""COMPUTED_VALUE"""),2.0)</f>
        <v>2</v>
      </c>
      <c r="U18" s="50"/>
      <c r="V18" s="38"/>
      <c r="W18" s="45" t="str">
        <f>IFERROR(__xludf.DUMMYFUNCTION("""COMPUTED_VALUE"""),"")</f>
        <v/>
      </c>
      <c r="X18" s="46" t="str">
        <f>IFERROR(__xludf.DUMMYFUNCTION("""COMPUTED_VALUE"""),"AP")</f>
        <v>AP</v>
      </c>
      <c r="Y18" s="47" t="str">
        <f>IFERROR(__xludf.DUMMYFUNCTION("""COMPUTED_VALUE"""),"")</f>
        <v/>
      </c>
      <c r="Z18" s="48" t="str">
        <f>IFERROR(__xludf.DUMMYFUNCTION("""COMPUTED_VALUE"""),"%")</f>
        <v>%</v>
      </c>
      <c r="AA18" s="49">
        <f>IFERROR(__xludf.DUMMYFUNCTION("""COMPUTED_VALUE"""),3.0)</f>
        <v>3</v>
      </c>
      <c r="AB18" s="50"/>
      <c r="AC18" s="38"/>
      <c r="AD18" s="45" t="str">
        <f>IFERROR(__xludf.DUMMYFUNCTION("""COMPUTED_VALUE"""),"")</f>
        <v/>
      </c>
      <c r="AE18" s="46" t="str">
        <f>IFERROR(__xludf.DUMMYFUNCTION("""COMPUTED_VALUE"""),"AP")</f>
        <v>AP</v>
      </c>
      <c r="AF18" s="47" t="str">
        <f>IFERROR(__xludf.DUMMYFUNCTION("""COMPUTED_VALUE"""),"")</f>
        <v/>
      </c>
      <c r="AG18" s="48" t="str">
        <f>IFERROR(__xludf.DUMMYFUNCTION("""COMPUTED_VALUE"""),"%")</f>
        <v>%</v>
      </c>
      <c r="AH18" s="43">
        <f>IFERROR(__xludf.DUMMYFUNCTION("""COMPUTED_VALUE"""),9.0)</f>
        <v>9</v>
      </c>
      <c r="AI18" s="44">
        <f>IFERROR(__xludf.DUMMYFUNCTION("""COMPUTED_VALUE"""),1841.0)</f>
        <v>1841</v>
      </c>
      <c r="AJ18" s="42" t="str">
        <f>IFERROR(__xludf.DUMMYFUNCTION("""COMPUTED_VALUE"""),"Rome")</f>
        <v>Rome</v>
      </c>
    </row>
    <row r="19" ht="24.75" customHeight="1">
      <c r="A19" s="28">
        <f>IFERROR(__xludf.DUMMYFUNCTION("""COMPUTED_VALUE"""),17.0)</f>
        <v>17</v>
      </c>
      <c r="B19" s="28" t="str">
        <f>IFERROR(__xludf.DUMMYFUNCTION("""COMPUTED_VALUE"""),"A301")</f>
        <v>A301</v>
      </c>
      <c r="C19" s="28" t="str">
        <f>IFERROR(__xludf.DUMMYFUNCTION("""COMPUTED_VALUE"""),"EPU2")</f>
        <v>EPU2</v>
      </c>
      <c r="D19" s="29" t="str">
        <f>IFERROR(__xludf.DUMMYFUNCTION("""COMPUTED_VALUE"""),"E Pluribus Unum")</f>
        <v>E Pluribus Unum</v>
      </c>
      <c r="E19" s="30" t="str">
        <f>IFERROR(__xludf.DUMMYFUNCTION("""COMPUTED_VALUE"""),"Riverton")</f>
        <v>Riverton</v>
      </c>
      <c r="F19" s="31">
        <f>IFERROR(__xludf.DUMMYFUNCTION("""COMPUTED_VALUE"""),17.0)</f>
        <v>17</v>
      </c>
      <c r="G19" s="32">
        <f>IFERROR(__xludf.DUMMYFUNCTION("""COMPUTED_VALUE"""),1209.0)</f>
        <v>1209</v>
      </c>
      <c r="H19" s="33" t="str">
        <f>IFERROR(__xludf.DUMMYFUNCTION("""COMPUTED_VALUE"""),"")</f>
        <v/>
      </c>
      <c r="I19" s="34">
        <f>IFERROR(__xludf.DUMMYFUNCTION("""COMPUTED_VALUE"""),39.46731699823335)</f>
        <v>39.467317</v>
      </c>
      <c r="J19" s="35" t="str">
        <f>IFERROR(__xludf.DUMMYFUNCTION("""COMPUTED_VALUE"""),"AP")</f>
        <v>AP</v>
      </c>
      <c r="K19" s="34">
        <f>IFERROR(__xludf.DUMMYFUNCTION("""COMPUTED_VALUE"""),43.07361455748553)</f>
        <v>43.07361456</v>
      </c>
      <c r="L19" s="35" t="str">
        <f>IFERROR(__xludf.DUMMYFUNCTION("""COMPUTED_VALUE"""),"%")</f>
        <v>%</v>
      </c>
      <c r="M19" s="36">
        <f>IFERROR(__xludf.DUMMYFUNCTION("""COMPUTED_VALUE"""),1.0)</f>
        <v>1</v>
      </c>
      <c r="N19" s="37" t="str">
        <f>IFERROR(__xludf.DUMMYFUNCTION("""COMPUTED_VALUE"""),"A304")</f>
        <v>A304</v>
      </c>
      <c r="O19" s="38" t="str">
        <f>IFERROR(__xludf.DUMMYFUNCTION("""COMPUTED_VALUE"""),"")</f>
        <v/>
      </c>
      <c r="P19" s="34">
        <f>IFERROR(__xludf.DUMMYFUNCTION("""COMPUTED_VALUE"""),51.48031259392846)</f>
        <v>51.48031259</v>
      </c>
      <c r="Q19" s="35" t="str">
        <f>IFERROR(__xludf.DUMMYFUNCTION("""COMPUTED_VALUE"""),"AP")</f>
        <v>AP</v>
      </c>
      <c r="R19" s="34">
        <f>IFERROR(__xludf.DUMMYFUNCTION("""COMPUTED_VALUE"""),33.022332506203476)</f>
        <v>33.02233251</v>
      </c>
      <c r="S19" s="35" t="str">
        <f>IFERROR(__xludf.DUMMYFUNCTION("""COMPUTED_VALUE"""),"%")</f>
        <v>%</v>
      </c>
      <c r="T19" s="36">
        <f>IFERROR(__xludf.DUMMYFUNCTION("""COMPUTED_VALUE"""),2.0)</f>
        <v>2</v>
      </c>
      <c r="U19" s="37"/>
      <c r="V19" s="38"/>
      <c r="W19" s="34" t="str">
        <f>IFERROR(__xludf.DUMMYFUNCTION("""COMPUTED_VALUE"""),"")</f>
        <v/>
      </c>
      <c r="X19" s="35" t="str">
        <f>IFERROR(__xludf.DUMMYFUNCTION("""COMPUTED_VALUE"""),"AP")</f>
        <v>AP</v>
      </c>
      <c r="Y19" s="34" t="str">
        <f>IFERROR(__xludf.DUMMYFUNCTION("""COMPUTED_VALUE"""),"")</f>
        <v/>
      </c>
      <c r="Z19" s="35" t="str">
        <f>IFERROR(__xludf.DUMMYFUNCTION("""COMPUTED_VALUE"""),"%")</f>
        <v>%</v>
      </c>
      <c r="AA19" s="36">
        <f>IFERROR(__xludf.DUMMYFUNCTION("""COMPUTED_VALUE"""),3.0)</f>
        <v>3</v>
      </c>
      <c r="AB19" s="37"/>
      <c r="AC19" s="38"/>
      <c r="AD19" s="34" t="str">
        <f>IFERROR(__xludf.DUMMYFUNCTION("""COMPUTED_VALUE"""),"")</f>
        <v/>
      </c>
      <c r="AE19" s="35" t="str">
        <f>IFERROR(__xludf.DUMMYFUNCTION("""COMPUTED_VALUE"""),"AP")</f>
        <v>AP</v>
      </c>
      <c r="AF19" s="34" t="str">
        <f>IFERROR(__xludf.DUMMYFUNCTION("""COMPUTED_VALUE"""),"")</f>
        <v/>
      </c>
      <c r="AG19" s="35" t="str">
        <f>IFERROR(__xludf.DUMMYFUNCTION("""COMPUTED_VALUE"""),"%")</f>
        <v>%</v>
      </c>
      <c r="AH19" s="31">
        <f>IFERROR(__xludf.DUMMYFUNCTION("""COMPUTED_VALUE"""),17.0)</f>
        <v>17</v>
      </c>
      <c r="AI19" s="32">
        <f>IFERROR(__xludf.DUMMYFUNCTION("""COMPUTED_VALUE"""),1209.0)</f>
        <v>1209</v>
      </c>
      <c r="AJ19" s="30" t="str">
        <f>IFERROR(__xludf.DUMMYFUNCTION("""COMPUTED_VALUE"""),"Riverton")</f>
        <v>Riverton</v>
      </c>
    </row>
    <row r="20" ht="24.75" customHeight="1">
      <c r="A20" s="40">
        <f>IFERROR(__xludf.DUMMYFUNCTION("""COMPUTED_VALUE"""),18.0)</f>
        <v>18</v>
      </c>
      <c r="B20" s="40" t="str">
        <f>IFERROR(__xludf.DUMMYFUNCTION("""COMPUTED_VALUE"""),"A301")</f>
        <v>A301</v>
      </c>
      <c r="C20" s="40" t="str">
        <f>IFERROR(__xludf.DUMMYFUNCTION("""COMPUTED_VALUE"""),"EPU12")</f>
        <v>EPU12</v>
      </c>
      <c r="D20" s="41" t="str">
        <f>IFERROR(__xludf.DUMMYFUNCTION("""COMPUTED_VALUE"""),"E Pluribus Unum")</f>
        <v>E Pluribus Unum</v>
      </c>
      <c r="E20" s="42" t="str">
        <f>IFERROR(__xludf.DUMMYFUNCTION("""COMPUTED_VALUE"""),"Charlotte")</f>
        <v>Charlotte</v>
      </c>
      <c r="F20" s="43">
        <f>IFERROR(__xludf.DUMMYFUNCTION("""COMPUTED_VALUE"""),20.0)</f>
        <v>20</v>
      </c>
      <c r="G20" s="44">
        <f>IFERROR(__xludf.DUMMYFUNCTION("""COMPUTED_VALUE"""),361282.0)</f>
        <v>361282</v>
      </c>
      <c r="H20" s="33" t="str">
        <f>IFERROR(__xludf.DUMMYFUNCTION("""COMPUTED_VALUE"""),"")</f>
        <v/>
      </c>
      <c r="I20" s="45">
        <f>IFERROR(__xludf.DUMMYFUNCTION("""COMPUTED_VALUE"""),41.57122098112578)</f>
        <v>41.57122098</v>
      </c>
      <c r="J20" s="46" t="str">
        <f>IFERROR(__xludf.DUMMYFUNCTION("""COMPUTED_VALUE"""),"AP")</f>
        <v>AP</v>
      </c>
      <c r="K20" s="47">
        <f>IFERROR(__xludf.DUMMYFUNCTION("""COMPUTED_VALUE"""),48.11020587795684)</f>
        <v>48.11020588</v>
      </c>
      <c r="L20" s="48" t="str">
        <f>IFERROR(__xludf.DUMMYFUNCTION("""COMPUTED_VALUE"""),"%")</f>
        <v>%</v>
      </c>
      <c r="M20" s="49">
        <f>IFERROR(__xludf.DUMMYFUNCTION("""COMPUTED_VALUE"""),1.0)</f>
        <v>1</v>
      </c>
      <c r="N20" s="50" t="str">
        <f>IFERROR(__xludf.DUMMYFUNCTION("""COMPUTED_VALUE"""),"A304")</f>
        <v>A304</v>
      </c>
      <c r="O20" s="38" t="str">
        <f>IFERROR(__xludf.DUMMYFUNCTION("""COMPUTED_VALUE"""),"")</f>
        <v/>
      </c>
      <c r="P20" s="45">
        <f>IFERROR(__xludf.DUMMYFUNCTION("""COMPUTED_VALUE"""),31.15225793899189)</f>
        <v>31.15225794</v>
      </c>
      <c r="Q20" s="46" t="str">
        <f>IFERROR(__xludf.DUMMYFUNCTION("""COMPUTED_VALUE"""),"AP")</f>
        <v>AP</v>
      </c>
      <c r="R20" s="47"/>
      <c r="S20" s="48" t="str">
        <f>IFERROR(__xludf.DUMMYFUNCTION("""COMPUTED_VALUE"""),"%")</f>
        <v>%</v>
      </c>
      <c r="T20" s="49">
        <f>IFERROR(__xludf.DUMMYFUNCTION("""COMPUTED_VALUE"""),2.0)</f>
        <v>2</v>
      </c>
      <c r="U20" s="50"/>
      <c r="V20" s="38"/>
      <c r="W20" s="45" t="str">
        <f>IFERROR(__xludf.DUMMYFUNCTION("""COMPUTED_VALUE"""),"")</f>
        <v/>
      </c>
      <c r="X20" s="46" t="str">
        <f>IFERROR(__xludf.DUMMYFUNCTION("""COMPUTED_VALUE"""),"AP")</f>
        <v>AP</v>
      </c>
      <c r="Y20" s="47" t="str">
        <f>IFERROR(__xludf.DUMMYFUNCTION("""COMPUTED_VALUE"""),"")</f>
        <v/>
      </c>
      <c r="Z20" s="48" t="str">
        <f>IFERROR(__xludf.DUMMYFUNCTION("""COMPUTED_VALUE"""),"%")</f>
        <v>%</v>
      </c>
      <c r="AA20" s="49">
        <f>IFERROR(__xludf.DUMMYFUNCTION("""COMPUTED_VALUE"""),3.0)</f>
        <v>3</v>
      </c>
      <c r="AB20" s="50"/>
      <c r="AC20" s="38"/>
      <c r="AD20" s="45" t="str">
        <f>IFERROR(__xludf.DUMMYFUNCTION("""COMPUTED_VALUE"""),"")</f>
        <v/>
      </c>
      <c r="AE20" s="46" t="str">
        <f>IFERROR(__xludf.DUMMYFUNCTION("""COMPUTED_VALUE"""),"AP")</f>
        <v>AP</v>
      </c>
      <c r="AF20" s="47" t="str">
        <f>IFERROR(__xludf.DUMMYFUNCTION("""COMPUTED_VALUE"""),"")</f>
        <v/>
      </c>
      <c r="AG20" s="48" t="str">
        <f>IFERROR(__xludf.DUMMYFUNCTION("""COMPUTED_VALUE"""),"%")</f>
        <v>%</v>
      </c>
      <c r="AH20" s="43">
        <f>IFERROR(__xludf.DUMMYFUNCTION("""COMPUTED_VALUE"""),20.0)</f>
        <v>20</v>
      </c>
      <c r="AI20" s="44">
        <f>IFERROR(__xludf.DUMMYFUNCTION("""COMPUTED_VALUE"""),361282.0)</f>
        <v>361282</v>
      </c>
      <c r="AJ20" s="42" t="str">
        <f>IFERROR(__xludf.DUMMYFUNCTION("""COMPUTED_VALUE"""),"Charlotte")</f>
        <v>Charlotte</v>
      </c>
    </row>
    <row r="21" ht="24.75" customHeight="1">
      <c r="A21" s="28">
        <f>IFERROR(__xludf.DUMMYFUNCTION("""COMPUTED_VALUE"""),19.0)</f>
        <v>19</v>
      </c>
      <c r="B21" s="28" t="str">
        <f>IFERROR(__xludf.DUMMYFUNCTION("""COMPUTED_VALUE"""),"A301")</f>
        <v>A301</v>
      </c>
      <c r="C21" s="28" t="str">
        <f>IFERROR(__xludf.DUMMYFUNCTION("""COMPUTED_VALUE"""),"CML5")</f>
        <v>CML5</v>
      </c>
      <c r="D21" s="29" t="str">
        <f>IFERROR(__xludf.DUMMYFUNCTION("""COMPUTED_VALUE"""),"Camelot")</f>
        <v>Camelot</v>
      </c>
      <c r="E21" s="30" t="str">
        <f>IFERROR(__xludf.DUMMYFUNCTION("""COMPUTED_VALUE"""),"Fortress of the Round Table")</f>
        <v>Fortress of the Round Table</v>
      </c>
      <c r="F21" s="31">
        <f>IFERROR(__xludf.DUMMYFUNCTION("""COMPUTED_VALUE"""),19.0)</f>
        <v>19</v>
      </c>
      <c r="G21" s="32">
        <f>IFERROR(__xludf.DUMMYFUNCTION("""COMPUTED_VALUE"""),3478.0)</f>
        <v>3478</v>
      </c>
      <c r="H21" s="33" t="str">
        <f>IFERROR(__xludf.DUMMYFUNCTION("""COMPUTED_VALUE"""),"")</f>
        <v/>
      </c>
      <c r="I21" s="34">
        <f>IFERROR(__xludf.DUMMYFUNCTION("""COMPUTED_VALUE"""),43.15398545164359)</f>
        <v>43.15398545</v>
      </c>
      <c r="J21" s="35" t="str">
        <f>IFERROR(__xludf.DUMMYFUNCTION("""COMPUTED_VALUE"""),"AP")</f>
        <v>AP</v>
      </c>
      <c r="K21" s="34">
        <f>IFERROR(__xludf.DUMMYFUNCTION("""COMPUTED_VALUE"""),44.028378378378385)</f>
        <v>44.02837838</v>
      </c>
      <c r="L21" s="35" t="str">
        <f>IFERROR(__xludf.DUMMYFUNCTION("""COMPUTED_VALUE"""),"%")</f>
        <v>%</v>
      </c>
      <c r="M21" s="36">
        <f>IFERROR(__xludf.DUMMYFUNCTION("""COMPUTED_VALUE"""),1.0)</f>
        <v>1</v>
      </c>
      <c r="N21" s="37" t="str">
        <f>IFERROR(__xludf.DUMMYFUNCTION("""COMPUTED_VALUE"""),"A210")</f>
        <v>A210</v>
      </c>
      <c r="O21" s="38" t="str">
        <f>IFERROR(__xludf.DUMMYFUNCTION("""COMPUTED_VALUE"""),"")</f>
        <v/>
      </c>
      <c r="P21" s="34">
        <f>IFERROR(__xludf.DUMMYFUNCTION("""COMPUTED_VALUE"""),104.51266592544208)</f>
        <v>104.5126659</v>
      </c>
      <c r="Q21" s="35" t="str">
        <f>IFERROR(__xludf.DUMMYFUNCTION("""COMPUTED_VALUE"""),"AP")</f>
        <v>AP</v>
      </c>
      <c r="R21" s="34">
        <f>IFERROR(__xludf.DUMMYFUNCTION("""COMPUTED_VALUE"""),18.179614721104084)</f>
        <v>18.17961472</v>
      </c>
      <c r="S21" s="35" t="str">
        <f>IFERROR(__xludf.DUMMYFUNCTION("""COMPUTED_VALUE"""),"%")</f>
        <v>%</v>
      </c>
      <c r="T21" s="36">
        <f>IFERROR(__xludf.DUMMYFUNCTION("""COMPUTED_VALUE"""),2.0)</f>
        <v>2</v>
      </c>
      <c r="U21" s="37" t="str">
        <f>IFERROR(__xludf.DUMMYFUNCTION("""COMPUTED_VALUE"""),"B111")</f>
        <v>B111</v>
      </c>
      <c r="V21" s="38" t="str">
        <f>IFERROR(__xludf.DUMMYFUNCTION("""COMPUTED_VALUE"""),"")</f>
        <v/>
      </c>
      <c r="W21" s="34">
        <f>IFERROR(__xludf.DUMMYFUNCTION("""COMPUTED_VALUE"""),181.34069504511424)</f>
        <v>181.340695</v>
      </c>
      <c r="X21" s="35" t="str">
        <f>IFERROR(__xludf.DUMMYFUNCTION("""COMPUTED_VALUE"""),"AP")</f>
        <v>AP</v>
      </c>
      <c r="Y21" s="34">
        <f>IFERROR(__xludf.DUMMYFUNCTION("""COMPUTED_VALUE"""),10.477515813686027)</f>
        <v>10.47751581</v>
      </c>
      <c r="Z21" s="35" t="str">
        <f>IFERROR(__xludf.DUMMYFUNCTION("""COMPUTED_VALUE"""),"%")</f>
        <v>%</v>
      </c>
      <c r="AA21" s="36">
        <f>IFERROR(__xludf.DUMMYFUNCTION("""COMPUTED_VALUE"""),3.0)</f>
        <v>3</v>
      </c>
      <c r="AB21" s="37" t="str">
        <f>IFERROR(__xludf.DUMMYFUNCTION("""COMPUTED_VALUE"""),"B113")</f>
        <v>B113</v>
      </c>
      <c r="AC21" s="38" t="str">
        <f>IFERROR(__xludf.DUMMYFUNCTION("""COMPUTED_VALUE"""),"")</f>
        <v/>
      </c>
      <c r="AD21" s="34">
        <f>IFERROR(__xludf.DUMMYFUNCTION("""COMPUTED_VALUE"""),199.90622116679017)</f>
        <v>199.9062212</v>
      </c>
      <c r="AE21" s="35" t="str">
        <f>IFERROR(__xludf.DUMMYFUNCTION("""COMPUTED_VALUE"""),"AP")</f>
        <v>AP</v>
      </c>
      <c r="AF21" s="34">
        <f>IFERROR(__xludf.DUMMYFUNCTION("""COMPUTED_VALUE"""),9.504456584243819)</f>
        <v>9.504456584</v>
      </c>
      <c r="AG21" s="35" t="str">
        <f>IFERROR(__xludf.DUMMYFUNCTION("""COMPUTED_VALUE"""),"%")</f>
        <v>%</v>
      </c>
      <c r="AH21" s="31">
        <f>IFERROR(__xludf.DUMMYFUNCTION("""COMPUTED_VALUE"""),19.0)</f>
        <v>19</v>
      </c>
      <c r="AI21" s="32">
        <f>IFERROR(__xludf.DUMMYFUNCTION("""COMPUTED_VALUE"""),3478.0)</f>
        <v>3478</v>
      </c>
      <c r="AJ21" s="30" t="str">
        <f>IFERROR(__xludf.DUMMYFUNCTION("""COMPUTED_VALUE"""),"Fortress of the Round Table")</f>
        <v>Fortress of the Round Table</v>
      </c>
    </row>
    <row r="22" ht="24.75" customHeight="1">
      <c r="A22" s="40">
        <f>IFERROR(__xludf.DUMMYFUNCTION("""COMPUTED_VALUE"""),20.0)</f>
        <v>20</v>
      </c>
      <c r="B22" s="40" t="str">
        <f>IFERROR(__xludf.DUMMYFUNCTION("""COMPUTED_VALUE"""),"A301")</f>
        <v>A301</v>
      </c>
      <c r="C22" s="40" t="str">
        <f>IFERROR(__xludf.DUMMYFUNCTION("""COMPUTED_VALUE"""),"OKN3")</f>
        <v>OKN3</v>
      </c>
      <c r="D22" s="41" t="str">
        <f>IFERROR(__xludf.DUMMYFUNCTION("""COMPUTED_VALUE"""),"Okeanos")</f>
        <v>Okeanos</v>
      </c>
      <c r="E22" s="42" t="str">
        <f>IFERROR(__xludf.DUMMYFUNCTION("""COMPUTED_VALUE"""),"King's Abode Island")</f>
        <v>King's Abode Island</v>
      </c>
      <c r="F22" s="43">
        <f>IFERROR(__xludf.DUMMYFUNCTION("""COMPUTED_VALUE"""),13.0)</f>
        <v>13</v>
      </c>
      <c r="G22" s="44">
        <f>IFERROR(__xludf.DUMMYFUNCTION("""COMPUTED_VALUE"""),1251.0)</f>
        <v>1251</v>
      </c>
      <c r="H22" s="33" t="str">
        <f>IFERROR(__xludf.DUMMYFUNCTION("""COMPUTED_VALUE"""),"")</f>
        <v/>
      </c>
      <c r="I22" s="45">
        <f>IFERROR(__xludf.DUMMYFUNCTION("""COMPUTED_VALUE"""),46.91989890713536)</f>
        <v>46.91989891</v>
      </c>
      <c r="J22" s="46" t="str">
        <f>IFERROR(__xludf.DUMMYFUNCTION("""COMPUTED_VALUE"""),"AP")</f>
        <v>AP</v>
      </c>
      <c r="K22" s="47">
        <f>IFERROR(__xludf.DUMMYFUNCTION("""COMPUTED_VALUE"""),27.70679456434852)</f>
        <v>27.70679456</v>
      </c>
      <c r="L22" s="48" t="str">
        <f>IFERROR(__xludf.DUMMYFUNCTION("""COMPUTED_VALUE"""),"%")</f>
        <v>%</v>
      </c>
      <c r="M22" s="49">
        <f>IFERROR(__xludf.DUMMYFUNCTION("""COMPUTED_VALUE"""),1.0)</f>
        <v>1</v>
      </c>
      <c r="N22" s="50" t="str">
        <f>IFERROR(__xludf.DUMMYFUNCTION("""COMPUTED_VALUE"""),"A304")</f>
        <v>A304</v>
      </c>
      <c r="O22" s="38" t="str">
        <f>IFERROR(__xludf.DUMMYFUNCTION("""COMPUTED_VALUE"""),"")</f>
        <v/>
      </c>
      <c r="P22" s="45">
        <f>IFERROR(__xludf.DUMMYFUNCTION("""COMPUTED_VALUE"""),105.36306623820877)</f>
        <v>105.3630662</v>
      </c>
      <c r="Q22" s="46" t="str">
        <f>IFERROR(__xludf.DUMMYFUNCTION("""COMPUTED_VALUE"""),"AP")</f>
        <v>AP</v>
      </c>
      <c r="R22" s="47"/>
      <c r="S22" s="48" t="str">
        <f>IFERROR(__xludf.DUMMYFUNCTION("""COMPUTED_VALUE"""),"%")</f>
        <v>%</v>
      </c>
      <c r="T22" s="49">
        <f>IFERROR(__xludf.DUMMYFUNCTION("""COMPUTED_VALUE"""),2.0)</f>
        <v>2</v>
      </c>
      <c r="U22" s="50"/>
      <c r="V22" s="38"/>
      <c r="W22" s="45" t="str">
        <f>IFERROR(__xludf.DUMMYFUNCTION("""COMPUTED_VALUE"""),"")</f>
        <v/>
      </c>
      <c r="X22" s="46" t="str">
        <f>IFERROR(__xludf.DUMMYFUNCTION("""COMPUTED_VALUE"""),"AP")</f>
        <v>AP</v>
      </c>
      <c r="Y22" s="47" t="str">
        <f>IFERROR(__xludf.DUMMYFUNCTION("""COMPUTED_VALUE"""),"")</f>
        <v/>
      </c>
      <c r="Z22" s="48" t="str">
        <f>IFERROR(__xludf.DUMMYFUNCTION("""COMPUTED_VALUE"""),"%")</f>
        <v>%</v>
      </c>
      <c r="AA22" s="49">
        <f>IFERROR(__xludf.DUMMYFUNCTION("""COMPUTED_VALUE"""),3.0)</f>
        <v>3</v>
      </c>
      <c r="AB22" s="50"/>
      <c r="AC22" s="38"/>
      <c r="AD22" s="45" t="str">
        <f>IFERROR(__xludf.DUMMYFUNCTION("""COMPUTED_VALUE"""),"")</f>
        <v/>
      </c>
      <c r="AE22" s="46" t="str">
        <f>IFERROR(__xludf.DUMMYFUNCTION("""COMPUTED_VALUE"""),"AP")</f>
        <v>AP</v>
      </c>
      <c r="AF22" s="47" t="str">
        <f>IFERROR(__xludf.DUMMYFUNCTION("""COMPUTED_VALUE"""),"")</f>
        <v/>
      </c>
      <c r="AG22" s="48" t="str">
        <f>IFERROR(__xludf.DUMMYFUNCTION("""COMPUTED_VALUE"""),"%")</f>
        <v>%</v>
      </c>
      <c r="AH22" s="43">
        <f>IFERROR(__xludf.DUMMYFUNCTION("""COMPUTED_VALUE"""),13.0)</f>
        <v>13</v>
      </c>
      <c r="AI22" s="44">
        <f>IFERROR(__xludf.DUMMYFUNCTION("""COMPUTED_VALUE"""),1251.0)</f>
        <v>1251</v>
      </c>
      <c r="AJ22" s="42" t="str">
        <f>IFERROR(__xludf.DUMMYFUNCTION("""COMPUTED_VALUE"""),"King's Abode Island")</f>
        <v>King's Abode Island</v>
      </c>
    </row>
    <row r="23">
      <c r="A23" s="52"/>
      <c r="B23" s="53"/>
      <c r="C23" s="54"/>
      <c r="D23" s="56"/>
      <c r="E23" s="56"/>
      <c r="F23" s="53"/>
      <c r="G23" s="53"/>
      <c r="H23" s="53"/>
      <c r="I23" s="53"/>
      <c r="J23" s="57"/>
      <c r="K23" s="53"/>
      <c r="L23" s="57"/>
      <c r="M23" s="53"/>
      <c r="N23" s="53"/>
      <c r="O23" s="53"/>
      <c r="P23" s="53"/>
      <c r="Q23" s="57"/>
      <c r="R23" s="53"/>
      <c r="S23" s="57"/>
      <c r="T23" s="53"/>
      <c r="U23" s="53"/>
      <c r="V23" s="53"/>
      <c r="W23" s="53"/>
      <c r="X23" s="57"/>
      <c r="Y23" s="53"/>
      <c r="Z23" s="57"/>
      <c r="AA23" s="53"/>
      <c r="AB23" s="53"/>
      <c r="AC23" s="53"/>
      <c r="AD23" s="53"/>
      <c r="AE23" s="57"/>
      <c r="AF23" s="53"/>
      <c r="AG23" s="57"/>
      <c r="AH23" s="53"/>
      <c r="AI23" s="53"/>
      <c r="AJ23" s="56"/>
    </row>
    <row r="24">
      <c r="A24" s="59"/>
      <c r="B24" s="60"/>
      <c r="C24" s="61"/>
      <c r="D24" s="63"/>
      <c r="E24" s="63"/>
      <c r="F24" s="60"/>
      <c r="G24" s="60"/>
      <c r="H24" s="60"/>
      <c r="I24" s="60"/>
      <c r="J24" s="64"/>
      <c r="K24" s="60"/>
      <c r="L24" s="64"/>
      <c r="M24" s="60"/>
      <c r="N24" s="60"/>
      <c r="O24" s="60"/>
      <c r="P24" s="60"/>
      <c r="Q24" s="64"/>
      <c r="R24" s="60"/>
      <c r="S24" s="64"/>
      <c r="T24" s="60"/>
      <c r="U24" s="60"/>
      <c r="V24" s="60"/>
      <c r="W24" s="60"/>
      <c r="X24" s="64"/>
      <c r="Y24" s="60"/>
      <c r="Z24" s="64"/>
      <c r="AA24" s="60"/>
      <c r="AB24" s="60"/>
      <c r="AC24" s="60"/>
      <c r="AD24" s="60"/>
      <c r="AE24" s="64"/>
      <c r="AF24" s="60"/>
      <c r="AG24" s="64"/>
      <c r="AH24" s="60"/>
      <c r="AI24" s="60"/>
      <c r="AJ24" s="63"/>
    </row>
    <row r="25" ht="33.0" customHeight="1">
      <c r="A25" s="24" t="str">
        <f>IFERROR(__xludf.DUMMYFUNCTION("""COMPUTED_VALUE""")," ")</f>
        <v> </v>
      </c>
      <c r="B25" s="21" t="str">
        <f>IFERROR(__xludf.DUMMYFUNCTION("""COMPUTED_VALUE"""),"A302")</f>
        <v>A302</v>
      </c>
      <c r="C25" s="20"/>
      <c r="D25" s="257" t="str">
        <f>IFERROR(__xludf.DUMMYFUNCTION("""COMPUTED_VALUE"""),"")</f>
        <v/>
      </c>
      <c r="E25" s="23" t="str">
        <f>IFERROR(__xludf.DUMMYFUNCTION("""COMPUTED_VALUE"""),"Evil Bone")</f>
        <v>Evil Bone</v>
      </c>
      <c r="F25" s="24"/>
      <c r="G25" s="24"/>
      <c r="H25" s="25"/>
      <c r="I25" s="25"/>
      <c r="J25" s="26"/>
      <c r="K25" s="25"/>
      <c r="L25" s="26"/>
      <c r="M25" s="25"/>
      <c r="N25" s="25"/>
      <c r="O25" s="25"/>
      <c r="P25" s="25"/>
      <c r="Q25" s="26"/>
      <c r="R25" s="25"/>
      <c r="S25" s="26"/>
      <c r="T25" s="25"/>
      <c r="U25" s="25"/>
      <c r="V25" s="25"/>
      <c r="W25" s="25"/>
      <c r="X25" s="26"/>
      <c r="Y25" s="25"/>
      <c r="Z25" s="26"/>
      <c r="AA25" s="25"/>
      <c r="AB25" s="25"/>
      <c r="AC25" s="25"/>
      <c r="AD25" s="25"/>
      <c r="AE25" s="26"/>
      <c r="AF25" s="25"/>
      <c r="AG25" s="26"/>
      <c r="AH25" s="24"/>
      <c r="AI25" s="25"/>
      <c r="AJ25" s="23"/>
    </row>
    <row r="26" ht="24.75" customHeight="1">
      <c r="A26" s="28">
        <f>IFERROR(__xludf.DUMMYFUNCTION("""COMPUTED_VALUE"""),1.0)</f>
        <v>1</v>
      </c>
      <c r="B26" s="28" t="str">
        <f>IFERROR(__xludf.DUMMYFUNCTION("""COMPUTED_VALUE"""),"A302")</f>
        <v>A302</v>
      </c>
      <c r="C26" s="28" t="str">
        <f>IFERROR(__xludf.DUMMYFUNCTION("""COMPUTED_VALUE"""),"FUY3")</f>
        <v>FUY3</v>
      </c>
      <c r="D26" s="29" t="str">
        <f>IFERROR(__xludf.DUMMYFUNCTION("""COMPUTED_VALUE"""),"Fuyuki")</f>
        <v>Fuyuki</v>
      </c>
      <c r="E26" s="30" t="str">
        <f>IFERROR(__xludf.DUMMYFUNCTION("""COMPUTED_VALUE"""),"Unknown Coordinates X-C")</f>
        <v>Unknown Coordinates X-C</v>
      </c>
      <c r="F26" s="31">
        <f>IFERROR(__xludf.DUMMYFUNCTION("""COMPUTED_VALUE"""),4.0)</f>
        <v>4</v>
      </c>
      <c r="G26" s="32">
        <f>IFERROR(__xludf.DUMMYFUNCTION("""COMPUTED_VALUE"""),62808.0)</f>
        <v>62808</v>
      </c>
      <c r="H26" s="33" t="str">
        <f>IFERROR(__xludf.DUMMYFUNCTION("""COMPUTED_VALUE"""),"")</f>
        <v/>
      </c>
      <c r="I26" s="34">
        <f>IFERROR(__xludf.DUMMYFUNCTION("""COMPUTED_VALUE"""),22.328746471774263)</f>
        <v>22.32874647</v>
      </c>
      <c r="J26" s="35" t="str">
        <f>IFERROR(__xludf.DUMMYFUNCTION("""COMPUTED_VALUE"""),"AP")</f>
        <v>AP</v>
      </c>
      <c r="K26" s="34">
        <f>IFERROR(__xludf.DUMMYFUNCTION("""COMPUTED_VALUE"""),17.91412699793244)</f>
        <v>17.914127</v>
      </c>
      <c r="L26" s="35" t="str">
        <f>IFERROR(__xludf.DUMMYFUNCTION("""COMPUTED_VALUE"""),"%")</f>
        <v>%</v>
      </c>
      <c r="M26" s="36">
        <f>IFERROR(__xludf.DUMMYFUNCTION("""COMPUTED_VALUE"""),1.0)</f>
        <v>1</v>
      </c>
      <c r="N26" s="37"/>
      <c r="O26" s="38"/>
      <c r="P26" s="34" t="str">
        <f>IFERROR(__xludf.DUMMYFUNCTION("""COMPUTED_VALUE"""),"")</f>
        <v/>
      </c>
      <c r="Q26" s="35" t="str">
        <f>IFERROR(__xludf.DUMMYFUNCTION("""COMPUTED_VALUE"""),"AP")</f>
        <v>AP</v>
      </c>
      <c r="R26" s="34" t="str">
        <f>IFERROR(__xludf.DUMMYFUNCTION("""COMPUTED_VALUE"""),"")</f>
        <v/>
      </c>
      <c r="S26" s="35" t="str">
        <f>IFERROR(__xludf.DUMMYFUNCTION("""COMPUTED_VALUE"""),"%")</f>
        <v>%</v>
      </c>
      <c r="T26" s="36">
        <f>IFERROR(__xludf.DUMMYFUNCTION("""COMPUTED_VALUE"""),2.0)</f>
        <v>2</v>
      </c>
      <c r="U26" s="37"/>
      <c r="V26" s="38"/>
      <c r="W26" s="34" t="str">
        <f>IFERROR(__xludf.DUMMYFUNCTION("""COMPUTED_VALUE"""),"")</f>
        <v/>
      </c>
      <c r="X26" s="35" t="str">
        <f>IFERROR(__xludf.DUMMYFUNCTION("""COMPUTED_VALUE"""),"AP")</f>
        <v>AP</v>
      </c>
      <c r="Y26" s="34" t="str">
        <f>IFERROR(__xludf.DUMMYFUNCTION("""COMPUTED_VALUE"""),"")</f>
        <v/>
      </c>
      <c r="Z26" s="35" t="str">
        <f>IFERROR(__xludf.DUMMYFUNCTION("""COMPUTED_VALUE"""),"%")</f>
        <v>%</v>
      </c>
      <c r="AA26" s="36">
        <f>IFERROR(__xludf.DUMMYFUNCTION("""COMPUTED_VALUE"""),3.0)</f>
        <v>3</v>
      </c>
      <c r="AB26" s="37"/>
      <c r="AC26" s="38"/>
      <c r="AD26" s="34" t="str">
        <f>IFERROR(__xludf.DUMMYFUNCTION("""COMPUTED_VALUE"""),"")</f>
        <v/>
      </c>
      <c r="AE26" s="35" t="str">
        <f>IFERROR(__xludf.DUMMYFUNCTION("""COMPUTED_VALUE"""),"AP")</f>
        <v>AP</v>
      </c>
      <c r="AF26" s="34" t="str">
        <f>IFERROR(__xludf.DUMMYFUNCTION("""COMPUTED_VALUE"""),"")</f>
        <v/>
      </c>
      <c r="AG26" s="35" t="str">
        <f>IFERROR(__xludf.DUMMYFUNCTION("""COMPUTED_VALUE"""),"%")</f>
        <v>%</v>
      </c>
      <c r="AH26" s="31">
        <f>IFERROR(__xludf.DUMMYFUNCTION("""COMPUTED_VALUE"""),4.0)</f>
        <v>4</v>
      </c>
      <c r="AI26" s="32">
        <f>IFERROR(__xludf.DUMMYFUNCTION("""COMPUTED_VALUE"""),62808.0)</f>
        <v>62808</v>
      </c>
      <c r="AJ26" s="30" t="str">
        <f>IFERROR(__xludf.DUMMYFUNCTION("""COMPUTED_VALUE"""),"Unknown Coordinates X-C")</f>
        <v>Unknown Coordinates X-C</v>
      </c>
    </row>
    <row r="27" ht="24.75" customHeight="1">
      <c r="A27" s="40">
        <f>IFERROR(__xludf.DUMMYFUNCTION("""COMPUTED_VALUE"""),2.0)</f>
        <v>2</v>
      </c>
      <c r="B27" s="40" t="str">
        <f>IFERROR(__xludf.DUMMYFUNCTION("""COMPUTED_VALUE"""),"A302")</f>
        <v>A302</v>
      </c>
      <c r="C27" s="40" t="str">
        <f>IFERROR(__xludf.DUMMYFUNCTION("""COMPUTED_VALUE"""),"FUY7")</f>
        <v>FUY7</v>
      </c>
      <c r="D27" s="41" t="str">
        <f>IFERROR(__xludf.DUMMYFUNCTION("""COMPUTED_VALUE"""),"Fuyuki")</f>
        <v>Fuyuki</v>
      </c>
      <c r="E27" s="42" t="str">
        <f>IFERROR(__xludf.DUMMYFUNCTION("""COMPUTED_VALUE"""),"Unknown Coordinates X-G")</f>
        <v>Unknown Coordinates X-G</v>
      </c>
      <c r="F27" s="43">
        <f>IFERROR(__xludf.DUMMYFUNCTION("""COMPUTED_VALUE"""),15.0)</f>
        <v>15</v>
      </c>
      <c r="G27" s="44">
        <f>IFERROR(__xludf.DUMMYFUNCTION("""COMPUTED_VALUE"""),140046.0)</f>
        <v>140046</v>
      </c>
      <c r="H27" s="33" t="str">
        <f>IFERROR(__xludf.DUMMYFUNCTION("""COMPUTED_VALUE"""),"")</f>
        <v/>
      </c>
      <c r="I27" s="45">
        <f>IFERROR(__xludf.DUMMYFUNCTION("""COMPUTED_VALUE"""),23.46535255002977)</f>
        <v>23.46535255</v>
      </c>
      <c r="J27" s="46" t="str">
        <f>IFERROR(__xludf.DUMMYFUNCTION("""COMPUTED_VALUE"""),"AP")</f>
        <v>AP</v>
      </c>
      <c r="K27" s="47">
        <f>IFERROR(__xludf.DUMMYFUNCTION("""COMPUTED_VALUE"""),63.92403424589063)</f>
        <v>63.92403425</v>
      </c>
      <c r="L27" s="48" t="str">
        <f>IFERROR(__xludf.DUMMYFUNCTION("""COMPUTED_VALUE"""),"%")</f>
        <v>%</v>
      </c>
      <c r="M27" s="49">
        <f>IFERROR(__xludf.DUMMYFUNCTION("""COMPUTED_VALUE"""),1.0)</f>
        <v>1</v>
      </c>
      <c r="N27" s="50"/>
      <c r="O27" s="38"/>
      <c r="P27" s="45" t="str">
        <f>IFERROR(__xludf.DUMMYFUNCTION("""COMPUTED_VALUE"""),"")</f>
        <v/>
      </c>
      <c r="Q27" s="46" t="str">
        <f>IFERROR(__xludf.DUMMYFUNCTION("""COMPUTED_VALUE"""),"AP")</f>
        <v>AP</v>
      </c>
      <c r="R27" s="47" t="str">
        <f>IFERROR(__xludf.DUMMYFUNCTION("""COMPUTED_VALUE"""),"")</f>
        <v/>
      </c>
      <c r="S27" s="48" t="str">
        <f>IFERROR(__xludf.DUMMYFUNCTION("""COMPUTED_VALUE"""),"%")</f>
        <v>%</v>
      </c>
      <c r="T27" s="49">
        <f>IFERROR(__xludf.DUMMYFUNCTION("""COMPUTED_VALUE"""),2.0)</f>
        <v>2</v>
      </c>
      <c r="U27" s="50"/>
      <c r="V27" s="38"/>
      <c r="W27" s="45" t="str">
        <f>IFERROR(__xludf.DUMMYFUNCTION("""COMPUTED_VALUE"""),"")</f>
        <v/>
      </c>
      <c r="X27" s="46" t="str">
        <f>IFERROR(__xludf.DUMMYFUNCTION("""COMPUTED_VALUE"""),"AP")</f>
        <v>AP</v>
      </c>
      <c r="Y27" s="47" t="str">
        <f>IFERROR(__xludf.DUMMYFUNCTION("""COMPUTED_VALUE"""),"")</f>
        <v/>
      </c>
      <c r="Z27" s="48" t="str">
        <f>IFERROR(__xludf.DUMMYFUNCTION("""COMPUTED_VALUE"""),"%")</f>
        <v>%</v>
      </c>
      <c r="AA27" s="49">
        <f>IFERROR(__xludf.DUMMYFUNCTION("""COMPUTED_VALUE"""),3.0)</f>
        <v>3</v>
      </c>
      <c r="AB27" s="50"/>
      <c r="AC27" s="38"/>
      <c r="AD27" s="45" t="str">
        <f>IFERROR(__xludf.DUMMYFUNCTION("""COMPUTED_VALUE"""),"")</f>
        <v/>
      </c>
      <c r="AE27" s="46" t="str">
        <f>IFERROR(__xludf.DUMMYFUNCTION("""COMPUTED_VALUE"""),"AP")</f>
        <v>AP</v>
      </c>
      <c r="AF27" s="47" t="str">
        <f>IFERROR(__xludf.DUMMYFUNCTION("""COMPUTED_VALUE"""),"")</f>
        <v/>
      </c>
      <c r="AG27" s="48" t="str">
        <f>IFERROR(__xludf.DUMMYFUNCTION("""COMPUTED_VALUE"""),"%")</f>
        <v>%</v>
      </c>
      <c r="AH27" s="43">
        <f>IFERROR(__xludf.DUMMYFUNCTION("""COMPUTED_VALUE"""),15.0)</f>
        <v>15</v>
      </c>
      <c r="AI27" s="44">
        <f>IFERROR(__xludf.DUMMYFUNCTION("""COMPUTED_VALUE"""),140046.0)</f>
        <v>140046</v>
      </c>
      <c r="AJ27" s="42" t="str">
        <f>IFERROR(__xludf.DUMMYFUNCTION("""COMPUTED_VALUE"""),"Unknown Coordinates X-G")</f>
        <v>Unknown Coordinates X-G</v>
      </c>
    </row>
    <row r="28" ht="24.75" customHeight="1">
      <c r="A28" s="28">
        <f>IFERROR(__xludf.DUMMYFUNCTION("""COMPUTED_VALUE"""),3.0)</f>
        <v>3</v>
      </c>
      <c r="B28" s="28" t="str">
        <f>IFERROR(__xludf.DUMMYFUNCTION("""COMPUTED_VALUE"""),"A302")</f>
        <v>A302</v>
      </c>
      <c r="C28" s="28" t="str">
        <f>IFERROR(__xludf.DUMMYFUNCTION("""COMPUTED_VALUE"""),"FUY4")</f>
        <v>FUY4</v>
      </c>
      <c r="D28" s="29" t="str">
        <f>IFERROR(__xludf.DUMMYFUNCTION("""COMPUTED_VALUE"""),"Fuyuki")</f>
        <v>Fuyuki</v>
      </c>
      <c r="E28" s="30" t="str">
        <f>IFERROR(__xludf.DUMMYFUNCTION("""COMPUTED_VALUE"""),"Unknown Coordinates X-D")</f>
        <v>Unknown Coordinates X-D</v>
      </c>
      <c r="F28" s="31">
        <f>IFERROR(__xludf.DUMMYFUNCTION("""COMPUTED_VALUE"""),5.0)</f>
        <v>5</v>
      </c>
      <c r="G28" s="32">
        <f>IFERROR(__xludf.DUMMYFUNCTION("""COMPUTED_VALUE"""),2789.0)</f>
        <v>2789</v>
      </c>
      <c r="H28" s="33" t="str">
        <f>IFERROR(__xludf.DUMMYFUNCTION("""COMPUTED_VALUE"""),"")</f>
        <v/>
      </c>
      <c r="I28" s="34">
        <f>IFERROR(__xludf.DUMMYFUNCTION("""COMPUTED_VALUE"""),24.64521145927222)</f>
        <v>24.64521146</v>
      </c>
      <c r="J28" s="35" t="str">
        <f>IFERROR(__xludf.DUMMYFUNCTION("""COMPUTED_VALUE"""),"AP")</f>
        <v>AP</v>
      </c>
      <c r="K28" s="34">
        <f>IFERROR(__xludf.DUMMYFUNCTION("""COMPUTED_VALUE"""),20.287916816063106)</f>
        <v>20.28791682</v>
      </c>
      <c r="L28" s="35" t="str">
        <f>IFERROR(__xludf.DUMMYFUNCTION("""COMPUTED_VALUE"""),"%")</f>
        <v>%</v>
      </c>
      <c r="M28" s="36">
        <f>IFERROR(__xludf.DUMMYFUNCTION("""COMPUTED_VALUE"""),1.0)</f>
        <v>1</v>
      </c>
      <c r="N28" s="37"/>
      <c r="O28" s="38"/>
      <c r="P28" s="34" t="str">
        <f>IFERROR(__xludf.DUMMYFUNCTION("""COMPUTED_VALUE"""),"")</f>
        <v/>
      </c>
      <c r="Q28" s="35" t="str">
        <f>IFERROR(__xludf.DUMMYFUNCTION("""COMPUTED_VALUE"""),"AP")</f>
        <v>AP</v>
      </c>
      <c r="R28" s="34" t="str">
        <f>IFERROR(__xludf.DUMMYFUNCTION("""COMPUTED_VALUE"""),"")</f>
        <v/>
      </c>
      <c r="S28" s="35" t="str">
        <f>IFERROR(__xludf.DUMMYFUNCTION("""COMPUTED_VALUE"""),"%")</f>
        <v>%</v>
      </c>
      <c r="T28" s="36">
        <f>IFERROR(__xludf.DUMMYFUNCTION("""COMPUTED_VALUE"""),2.0)</f>
        <v>2</v>
      </c>
      <c r="U28" s="37"/>
      <c r="V28" s="38"/>
      <c r="W28" s="34" t="str">
        <f>IFERROR(__xludf.DUMMYFUNCTION("""COMPUTED_VALUE"""),"")</f>
        <v/>
      </c>
      <c r="X28" s="35" t="str">
        <f>IFERROR(__xludf.DUMMYFUNCTION("""COMPUTED_VALUE"""),"AP")</f>
        <v>AP</v>
      </c>
      <c r="Y28" s="34" t="str">
        <f>IFERROR(__xludf.DUMMYFUNCTION("""COMPUTED_VALUE"""),"")</f>
        <v/>
      </c>
      <c r="Z28" s="35" t="str">
        <f>IFERROR(__xludf.DUMMYFUNCTION("""COMPUTED_VALUE"""),"%")</f>
        <v>%</v>
      </c>
      <c r="AA28" s="36">
        <f>IFERROR(__xludf.DUMMYFUNCTION("""COMPUTED_VALUE"""),3.0)</f>
        <v>3</v>
      </c>
      <c r="AB28" s="37"/>
      <c r="AC28" s="38"/>
      <c r="AD28" s="34" t="str">
        <f>IFERROR(__xludf.DUMMYFUNCTION("""COMPUTED_VALUE"""),"")</f>
        <v/>
      </c>
      <c r="AE28" s="35" t="str">
        <f>IFERROR(__xludf.DUMMYFUNCTION("""COMPUTED_VALUE"""),"AP")</f>
        <v>AP</v>
      </c>
      <c r="AF28" s="34" t="str">
        <f>IFERROR(__xludf.DUMMYFUNCTION("""COMPUTED_VALUE"""),"")</f>
        <v/>
      </c>
      <c r="AG28" s="35" t="str">
        <f>IFERROR(__xludf.DUMMYFUNCTION("""COMPUTED_VALUE"""),"%")</f>
        <v>%</v>
      </c>
      <c r="AH28" s="31">
        <f>IFERROR(__xludf.DUMMYFUNCTION("""COMPUTED_VALUE"""),5.0)</f>
        <v>5</v>
      </c>
      <c r="AI28" s="32">
        <f>IFERROR(__xludf.DUMMYFUNCTION("""COMPUTED_VALUE"""),2789.0)</f>
        <v>2789</v>
      </c>
      <c r="AJ28" s="30" t="str">
        <f>IFERROR(__xludf.DUMMYFUNCTION("""COMPUTED_VALUE"""),"Unknown Coordinates X-D")</f>
        <v>Unknown Coordinates X-D</v>
      </c>
    </row>
    <row r="29" ht="24.75" customHeight="1">
      <c r="A29" s="40">
        <f>IFERROR(__xludf.DUMMYFUNCTION("""COMPUTED_VALUE"""),4.0)</f>
        <v>4</v>
      </c>
      <c r="B29" s="40" t="str">
        <f>IFERROR(__xludf.DUMMYFUNCTION("""COMPUTED_VALUE"""),"A302")</f>
        <v>A302</v>
      </c>
      <c r="C29" s="40" t="str">
        <f>IFERROR(__xludf.DUMMYFUNCTION("""COMPUTED_VALUE"""),"FUY2")</f>
        <v>FUY2</v>
      </c>
      <c r="D29" s="41" t="str">
        <f>IFERROR(__xludf.DUMMYFUNCTION("""COMPUTED_VALUE"""),"Fuyuki")</f>
        <v>Fuyuki</v>
      </c>
      <c r="E29" s="42" t="str">
        <f>IFERROR(__xludf.DUMMYFUNCTION("""COMPUTED_VALUE"""),"Unknown Coordinates X-B")</f>
        <v>Unknown Coordinates X-B</v>
      </c>
      <c r="F29" s="43">
        <f>IFERROR(__xludf.DUMMYFUNCTION("""COMPUTED_VALUE"""),4.0)</f>
        <v>4</v>
      </c>
      <c r="G29" s="44">
        <f>IFERROR(__xludf.DUMMYFUNCTION("""COMPUTED_VALUE"""),2732.0)</f>
        <v>2732</v>
      </c>
      <c r="H29" s="33" t="str">
        <f>IFERROR(__xludf.DUMMYFUNCTION("""COMPUTED_VALUE"""),"")</f>
        <v/>
      </c>
      <c r="I29" s="45">
        <f>IFERROR(__xludf.DUMMYFUNCTION("""COMPUTED_VALUE"""),28.599693275617504)</f>
        <v>28.59969328</v>
      </c>
      <c r="J29" s="46" t="str">
        <f>IFERROR(__xludf.DUMMYFUNCTION("""COMPUTED_VALUE"""),"AP")</f>
        <v>AP</v>
      </c>
      <c r="K29" s="47">
        <f>IFERROR(__xludf.DUMMYFUNCTION("""COMPUTED_VALUE"""),13.986163982430455)</f>
        <v>13.98616398</v>
      </c>
      <c r="L29" s="48" t="str">
        <f>IFERROR(__xludf.DUMMYFUNCTION("""COMPUTED_VALUE"""),"%")</f>
        <v>%</v>
      </c>
      <c r="M29" s="49">
        <f>IFERROR(__xludf.DUMMYFUNCTION("""COMPUTED_VALUE"""),1.0)</f>
        <v>1</v>
      </c>
      <c r="N29" s="50"/>
      <c r="O29" s="38"/>
      <c r="P29" s="45" t="str">
        <f>IFERROR(__xludf.DUMMYFUNCTION("""COMPUTED_VALUE"""),"")</f>
        <v/>
      </c>
      <c r="Q29" s="46" t="str">
        <f>IFERROR(__xludf.DUMMYFUNCTION("""COMPUTED_VALUE"""),"AP")</f>
        <v>AP</v>
      </c>
      <c r="R29" s="47" t="str">
        <f>IFERROR(__xludf.DUMMYFUNCTION("""COMPUTED_VALUE"""),"")</f>
        <v/>
      </c>
      <c r="S29" s="48" t="str">
        <f>IFERROR(__xludf.DUMMYFUNCTION("""COMPUTED_VALUE"""),"%")</f>
        <v>%</v>
      </c>
      <c r="T29" s="49">
        <f>IFERROR(__xludf.DUMMYFUNCTION("""COMPUTED_VALUE"""),2.0)</f>
        <v>2</v>
      </c>
      <c r="U29" s="50"/>
      <c r="V29" s="38"/>
      <c r="W29" s="45" t="str">
        <f>IFERROR(__xludf.DUMMYFUNCTION("""COMPUTED_VALUE"""),"")</f>
        <v/>
      </c>
      <c r="X29" s="46" t="str">
        <f>IFERROR(__xludf.DUMMYFUNCTION("""COMPUTED_VALUE"""),"AP")</f>
        <v>AP</v>
      </c>
      <c r="Y29" s="47" t="str">
        <f>IFERROR(__xludf.DUMMYFUNCTION("""COMPUTED_VALUE"""),"")</f>
        <v/>
      </c>
      <c r="Z29" s="48" t="str">
        <f>IFERROR(__xludf.DUMMYFUNCTION("""COMPUTED_VALUE"""),"%")</f>
        <v>%</v>
      </c>
      <c r="AA29" s="49">
        <f>IFERROR(__xludf.DUMMYFUNCTION("""COMPUTED_VALUE"""),3.0)</f>
        <v>3</v>
      </c>
      <c r="AB29" s="50"/>
      <c r="AC29" s="38"/>
      <c r="AD29" s="45" t="str">
        <f>IFERROR(__xludf.DUMMYFUNCTION("""COMPUTED_VALUE"""),"")</f>
        <v/>
      </c>
      <c r="AE29" s="46" t="str">
        <f>IFERROR(__xludf.DUMMYFUNCTION("""COMPUTED_VALUE"""),"AP")</f>
        <v>AP</v>
      </c>
      <c r="AF29" s="47" t="str">
        <f>IFERROR(__xludf.DUMMYFUNCTION("""COMPUTED_VALUE"""),"")</f>
        <v/>
      </c>
      <c r="AG29" s="48" t="str">
        <f>IFERROR(__xludf.DUMMYFUNCTION("""COMPUTED_VALUE"""),"%")</f>
        <v>%</v>
      </c>
      <c r="AH29" s="43">
        <f>IFERROR(__xludf.DUMMYFUNCTION("""COMPUTED_VALUE"""),4.0)</f>
        <v>4</v>
      </c>
      <c r="AI29" s="44">
        <f>IFERROR(__xludf.DUMMYFUNCTION("""COMPUTED_VALUE"""),2732.0)</f>
        <v>2732</v>
      </c>
      <c r="AJ29" s="42" t="str">
        <f>IFERROR(__xludf.DUMMYFUNCTION("""COMPUTED_VALUE"""),"Unknown Coordinates X-B")</f>
        <v>Unknown Coordinates X-B</v>
      </c>
    </row>
    <row r="30" ht="24.75" customHeight="1">
      <c r="A30" s="28">
        <f>IFERROR(__xludf.DUMMYFUNCTION("""COMPUTED_VALUE"""),5.0)</f>
        <v>5</v>
      </c>
      <c r="B30" s="28" t="str">
        <f>IFERROR(__xludf.DUMMYFUNCTION("""COMPUTED_VALUE"""),"A302")</f>
        <v>A302</v>
      </c>
      <c r="C30" s="28" t="str">
        <f>IFERROR(__xludf.DUMMYFUNCTION("""COMPUTED_VALUE"""),"CML1")</f>
        <v>CML1</v>
      </c>
      <c r="D30" s="29" t="str">
        <f>IFERROR(__xludf.DUMMYFUNCTION("""COMPUTED_VALUE"""),"Camelot")</f>
        <v>Camelot</v>
      </c>
      <c r="E30" s="30" t="str">
        <f>IFERROR(__xludf.DUMMYFUNCTION("""COMPUTED_VALUE"""),"Sandstorm Desert")</f>
        <v>Sandstorm Desert</v>
      </c>
      <c r="F30" s="31">
        <f>IFERROR(__xludf.DUMMYFUNCTION("""COMPUTED_VALUE"""),19.0)</f>
        <v>19</v>
      </c>
      <c r="G30" s="32">
        <f>IFERROR(__xludf.DUMMYFUNCTION("""COMPUTED_VALUE"""),71029.0)</f>
        <v>71029</v>
      </c>
      <c r="H30" s="33" t="str">
        <f>IFERROR(__xludf.DUMMYFUNCTION("""COMPUTED_VALUE"""),"")</f>
        <v/>
      </c>
      <c r="I30" s="34">
        <f>IFERROR(__xludf.DUMMYFUNCTION("""COMPUTED_VALUE"""),30.16669177668506)</f>
        <v>30.16669178</v>
      </c>
      <c r="J30" s="35" t="str">
        <f>IFERROR(__xludf.DUMMYFUNCTION("""COMPUTED_VALUE"""),"AP")</f>
        <v>AP</v>
      </c>
      <c r="K30" s="34">
        <f>IFERROR(__xludf.DUMMYFUNCTION("""COMPUTED_VALUE"""),62.983372988497656)</f>
        <v>62.98337299</v>
      </c>
      <c r="L30" s="35" t="str">
        <f>IFERROR(__xludf.DUMMYFUNCTION("""COMPUTED_VALUE"""),"%")</f>
        <v>%</v>
      </c>
      <c r="M30" s="36">
        <f>IFERROR(__xludf.DUMMYFUNCTION("""COMPUTED_VALUE"""),1.0)</f>
        <v>1</v>
      </c>
      <c r="N30" s="37" t="str">
        <f>IFERROR(__xludf.DUMMYFUNCTION("""COMPUTED_VALUE"""),"A109")</f>
        <v>A109</v>
      </c>
      <c r="O30" s="38" t="str">
        <f>IFERROR(__xludf.DUMMYFUNCTION("""COMPUTED_VALUE"""),"")</f>
        <v/>
      </c>
      <c r="P30" s="34">
        <f>IFERROR(__xludf.DUMMYFUNCTION("""COMPUTED_VALUE"""),234.61467451942752)</f>
        <v>234.6146745</v>
      </c>
      <c r="Q30" s="35" t="str">
        <f>IFERROR(__xludf.DUMMYFUNCTION("""COMPUTED_VALUE"""),"AP")</f>
        <v>AP</v>
      </c>
      <c r="R30" s="34">
        <f>IFERROR(__xludf.DUMMYFUNCTION("""COMPUTED_VALUE"""),8.098385166622084)</f>
        <v>8.098385167</v>
      </c>
      <c r="S30" s="35" t="str">
        <f>IFERROR(__xludf.DUMMYFUNCTION("""COMPUTED_VALUE"""),"%")</f>
        <v>%</v>
      </c>
      <c r="T30" s="36">
        <f>IFERROR(__xludf.DUMMYFUNCTION("""COMPUTED_VALUE"""),2.0)</f>
        <v>2</v>
      </c>
      <c r="U30" s="37" t="str">
        <f>IFERROR(__xludf.DUMMYFUNCTION("""COMPUTED_VALUE"""),"B105")</f>
        <v>B105</v>
      </c>
      <c r="V30" s="38" t="str">
        <f>IFERROR(__xludf.DUMMYFUNCTION("""COMPUTED_VALUE"""),"")</f>
        <v/>
      </c>
      <c r="W30" s="34">
        <f>IFERROR(__xludf.DUMMYFUNCTION("""COMPUTED_VALUE"""),612.5685510702637)</f>
        <v>612.5685511</v>
      </c>
      <c r="X30" s="35" t="str">
        <f>IFERROR(__xludf.DUMMYFUNCTION("""COMPUTED_VALUE"""),"AP")</f>
        <v>AP</v>
      </c>
      <c r="Y30" s="34">
        <f>IFERROR(__xludf.DUMMYFUNCTION("""COMPUTED_VALUE"""),3.1016936744146757)</f>
        <v>3.101693674</v>
      </c>
      <c r="Z30" s="35" t="str">
        <f>IFERROR(__xludf.DUMMYFUNCTION("""COMPUTED_VALUE"""),"%")</f>
        <v>%</v>
      </c>
      <c r="AA30" s="36">
        <f>IFERROR(__xludf.DUMMYFUNCTION("""COMPUTED_VALUE"""),3.0)</f>
        <v>3</v>
      </c>
      <c r="AB30" s="37"/>
      <c r="AC30" s="38"/>
      <c r="AD30" s="34" t="str">
        <f>IFERROR(__xludf.DUMMYFUNCTION("""COMPUTED_VALUE"""),"")</f>
        <v/>
      </c>
      <c r="AE30" s="35" t="str">
        <f>IFERROR(__xludf.DUMMYFUNCTION("""COMPUTED_VALUE"""),"AP")</f>
        <v>AP</v>
      </c>
      <c r="AF30" s="34" t="str">
        <f>IFERROR(__xludf.DUMMYFUNCTION("""COMPUTED_VALUE"""),"")</f>
        <v/>
      </c>
      <c r="AG30" s="35" t="str">
        <f>IFERROR(__xludf.DUMMYFUNCTION("""COMPUTED_VALUE"""),"%")</f>
        <v>%</v>
      </c>
      <c r="AH30" s="31">
        <f>IFERROR(__xludf.DUMMYFUNCTION("""COMPUTED_VALUE"""),19.0)</f>
        <v>19</v>
      </c>
      <c r="AI30" s="32">
        <f>IFERROR(__xludf.DUMMYFUNCTION("""COMPUTED_VALUE"""),71029.0)</f>
        <v>71029</v>
      </c>
      <c r="AJ30" s="30" t="str">
        <f>IFERROR(__xludf.DUMMYFUNCTION("""COMPUTED_VALUE"""),"Sandstorm Desert")</f>
        <v>Sandstorm Desert</v>
      </c>
    </row>
    <row r="31" ht="24.75" customHeight="1">
      <c r="A31" s="40">
        <f>IFERROR(__xludf.DUMMYFUNCTION("""COMPUTED_VALUE"""),6.0)</f>
        <v>6</v>
      </c>
      <c r="B31" s="40" t="str">
        <f>IFERROR(__xludf.DUMMYFUNCTION("""COMPUTED_VALUE"""),"A302")</f>
        <v>A302</v>
      </c>
      <c r="C31" s="40" t="str">
        <f>IFERROR(__xludf.DUMMYFUNCTION("""COMPUTED_VALUE"""),"FUY5")</f>
        <v>FUY5</v>
      </c>
      <c r="D31" s="41" t="str">
        <f>IFERROR(__xludf.DUMMYFUNCTION("""COMPUTED_VALUE"""),"Fuyuki")</f>
        <v>Fuyuki</v>
      </c>
      <c r="E31" s="42" t="str">
        <f>IFERROR(__xludf.DUMMYFUNCTION("""COMPUTED_VALUE"""),"Unknown Coordinates X-E")</f>
        <v>Unknown Coordinates X-E</v>
      </c>
      <c r="F31" s="43">
        <f>IFERROR(__xludf.DUMMYFUNCTION("""COMPUTED_VALUE"""),5.0)</f>
        <v>5</v>
      </c>
      <c r="G31" s="44">
        <f>IFERROR(__xludf.DUMMYFUNCTION("""COMPUTED_VALUE"""),3585.0)</f>
        <v>3585</v>
      </c>
      <c r="H31" s="33" t="str">
        <f>IFERROR(__xludf.DUMMYFUNCTION("""COMPUTED_VALUE"""),"")</f>
        <v/>
      </c>
      <c r="I31" s="45">
        <f>IFERROR(__xludf.DUMMYFUNCTION("""COMPUTED_VALUE"""),30.248569837493037)</f>
        <v>30.24856984</v>
      </c>
      <c r="J31" s="46" t="str">
        <f>IFERROR(__xludf.DUMMYFUNCTION("""COMPUTED_VALUE"""),"AP")</f>
        <v>AP</v>
      </c>
      <c r="K31" s="47">
        <f>IFERROR(__xludf.DUMMYFUNCTION("""COMPUTED_VALUE"""),16.529707112970712)</f>
        <v>16.52970711</v>
      </c>
      <c r="L31" s="48" t="str">
        <f>IFERROR(__xludf.DUMMYFUNCTION("""COMPUTED_VALUE"""),"%")</f>
        <v>%</v>
      </c>
      <c r="M31" s="49">
        <f>IFERROR(__xludf.DUMMYFUNCTION("""COMPUTED_VALUE"""),1.0)</f>
        <v>1</v>
      </c>
      <c r="N31" s="50" t="str">
        <f>IFERROR(__xludf.DUMMYFUNCTION("""COMPUTED_VALUE"""),"A304")</f>
        <v>A304</v>
      </c>
      <c r="O31" s="38" t="str">
        <f>IFERROR(__xludf.DUMMYFUNCTION("""COMPUTED_VALUE"""),"")</f>
        <v/>
      </c>
      <c r="P31" s="45">
        <f>IFERROR(__xludf.DUMMYFUNCTION("""COMPUTED_VALUE"""),114.59165734377497)</f>
        <v>114.5916573</v>
      </c>
      <c r="Q31" s="46" t="str">
        <f>IFERROR(__xludf.DUMMYFUNCTION("""COMPUTED_VALUE"""),"AP")</f>
        <v>AP</v>
      </c>
      <c r="R31" s="47">
        <f>IFERROR(__xludf.DUMMYFUNCTION("""COMPUTED_VALUE"""),4.363319386331939)</f>
        <v>4.363319386</v>
      </c>
      <c r="S31" s="48" t="str">
        <f>IFERROR(__xludf.DUMMYFUNCTION("""COMPUTED_VALUE"""),"%")</f>
        <v>%</v>
      </c>
      <c r="T31" s="49">
        <f>IFERROR(__xludf.DUMMYFUNCTION("""COMPUTED_VALUE"""),2.0)</f>
        <v>2</v>
      </c>
      <c r="U31" s="50"/>
      <c r="V31" s="38"/>
      <c r="W31" s="45" t="str">
        <f>IFERROR(__xludf.DUMMYFUNCTION("""COMPUTED_VALUE"""),"")</f>
        <v/>
      </c>
      <c r="X31" s="46" t="str">
        <f>IFERROR(__xludf.DUMMYFUNCTION("""COMPUTED_VALUE"""),"AP")</f>
        <v>AP</v>
      </c>
      <c r="Y31" s="47" t="str">
        <f>IFERROR(__xludf.DUMMYFUNCTION("""COMPUTED_VALUE"""),"")</f>
        <v/>
      </c>
      <c r="Z31" s="48" t="str">
        <f>IFERROR(__xludf.DUMMYFUNCTION("""COMPUTED_VALUE"""),"%")</f>
        <v>%</v>
      </c>
      <c r="AA31" s="49">
        <f>IFERROR(__xludf.DUMMYFUNCTION("""COMPUTED_VALUE"""),3.0)</f>
        <v>3</v>
      </c>
      <c r="AB31" s="50"/>
      <c r="AC31" s="38"/>
      <c r="AD31" s="45" t="str">
        <f>IFERROR(__xludf.DUMMYFUNCTION("""COMPUTED_VALUE"""),"")</f>
        <v/>
      </c>
      <c r="AE31" s="46" t="str">
        <f>IFERROR(__xludf.DUMMYFUNCTION("""COMPUTED_VALUE"""),"AP")</f>
        <v>AP</v>
      </c>
      <c r="AF31" s="47" t="str">
        <f>IFERROR(__xludf.DUMMYFUNCTION("""COMPUTED_VALUE"""),"")</f>
        <v/>
      </c>
      <c r="AG31" s="48" t="str">
        <f>IFERROR(__xludf.DUMMYFUNCTION("""COMPUTED_VALUE"""),"%")</f>
        <v>%</v>
      </c>
      <c r="AH31" s="43">
        <f>IFERROR(__xludf.DUMMYFUNCTION("""COMPUTED_VALUE"""),5.0)</f>
        <v>5</v>
      </c>
      <c r="AI31" s="44">
        <f>IFERROR(__xludf.DUMMYFUNCTION("""COMPUTED_VALUE"""),3585.0)</f>
        <v>3585</v>
      </c>
      <c r="AJ31" s="42" t="str">
        <f>IFERROR(__xludf.DUMMYFUNCTION("""COMPUTED_VALUE"""),"Unknown Coordinates X-E")</f>
        <v>Unknown Coordinates X-E</v>
      </c>
    </row>
    <row r="32" ht="24.75" customHeight="1">
      <c r="A32" s="28">
        <f>IFERROR(__xludf.DUMMYFUNCTION("""COMPUTED_VALUE"""),7.0)</f>
        <v>7</v>
      </c>
      <c r="B32" s="28" t="str">
        <f>IFERROR(__xludf.DUMMYFUNCTION("""COMPUTED_VALUE"""),"A302")</f>
        <v>A302</v>
      </c>
      <c r="C32" s="28" t="str">
        <f>IFERROR(__xludf.DUMMYFUNCTION("""COMPUTED_VALUE"""),"SEP6")</f>
        <v>SEP6</v>
      </c>
      <c r="D32" s="29" t="str">
        <f>IFERROR(__xludf.DUMMYFUNCTION("""COMPUTED_VALUE"""),"Septem")</f>
        <v>Septem</v>
      </c>
      <c r="E32" s="30" t="str">
        <f>IFERROR(__xludf.DUMMYFUNCTION("""COMPUTED_VALUE"""),"Germania")</f>
        <v>Germania</v>
      </c>
      <c r="F32" s="31">
        <f>IFERROR(__xludf.DUMMYFUNCTION("""COMPUTED_VALUE"""),15.0)</f>
        <v>15</v>
      </c>
      <c r="G32" s="32">
        <f>IFERROR(__xludf.DUMMYFUNCTION("""COMPUTED_VALUE"""),4301.0)</f>
        <v>4301</v>
      </c>
      <c r="H32" s="33" t="str">
        <f>IFERROR(__xludf.DUMMYFUNCTION("""COMPUTED_VALUE"""),"")</f>
        <v/>
      </c>
      <c r="I32" s="34">
        <f>IFERROR(__xludf.DUMMYFUNCTION("""COMPUTED_VALUE"""),31.507080119259538)</f>
        <v>31.50708012</v>
      </c>
      <c r="J32" s="35" t="str">
        <f>IFERROR(__xludf.DUMMYFUNCTION("""COMPUTED_VALUE"""),"AP")</f>
        <v>AP</v>
      </c>
      <c r="K32" s="34">
        <f>IFERROR(__xludf.DUMMYFUNCTION("""COMPUTED_VALUE"""),47.60834689607068)</f>
        <v>47.6083469</v>
      </c>
      <c r="L32" s="35" t="str">
        <f>IFERROR(__xludf.DUMMYFUNCTION("""COMPUTED_VALUE"""),"%")</f>
        <v>%</v>
      </c>
      <c r="M32" s="36">
        <f>IFERROR(__xludf.DUMMYFUNCTION("""COMPUTED_VALUE"""),1.0)</f>
        <v>1</v>
      </c>
      <c r="N32" s="37" t="str">
        <f>IFERROR(__xludf.DUMMYFUNCTION("""COMPUTED_VALUE"""),"A101")</f>
        <v>A101</v>
      </c>
      <c r="O32" s="38" t="str">
        <f>IFERROR(__xludf.DUMMYFUNCTION("""COMPUTED_VALUE"""),"")</f>
        <v/>
      </c>
      <c r="P32" s="34">
        <f>IFERROR(__xludf.DUMMYFUNCTION("""COMPUTED_VALUE"""),436.70886075949363)</f>
        <v>436.7088608</v>
      </c>
      <c r="Q32" s="35" t="str">
        <f>IFERROR(__xludf.DUMMYFUNCTION("""COMPUTED_VALUE"""),"AP")</f>
        <v>AP</v>
      </c>
      <c r="R32" s="34">
        <f>IFERROR(__xludf.DUMMYFUNCTION("""COMPUTED_VALUE"""),3.4347826086956523)</f>
        <v>3.434782609</v>
      </c>
      <c r="S32" s="35" t="str">
        <f>IFERROR(__xludf.DUMMYFUNCTION("""COMPUTED_VALUE"""),"%")</f>
        <v>%</v>
      </c>
      <c r="T32" s="36">
        <f>IFERROR(__xludf.DUMMYFUNCTION("""COMPUTED_VALUE"""),2.0)</f>
        <v>2</v>
      </c>
      <c r="U32" s="37" t="str">
        <f>IFERROR(__xludf.DUMMYFUNCTION("""COMPUTED_VALUE"""),"B117")</f>
        <v>B117</v>
      </c>
      <c r="V32" s="38" t="str">
        <f>IFERROR(__xludf.DUMMYFUNCTION("""COMPUTED_VALUE"""),"")</f>
        <v/>
      </c>
      <c r="W32" s="34">
        <f>IFERROR(__xludf.DUMMYFUNCTION("""COMPUTED_VALUE"""),187.9221804390822)</f>
        <v>187.9221804</v>
      </c>
      <c r="X32" s="35" t="str">
        <f>IFERROR(__xludf.DUMMYFUNCTION("""COMPUTED_VALUE"""),"AP")</f>
        <v>AP</v>
      </c>
      <c r="Y32" s="34">
        <f>IFERROR(__xludf.DUMMYFUNCTION("""COMPUTED_VALUE"""),7.982027435480122)</f>
        <v>7.982027435</v>
      </c>
      <c r="Z32" s="35" t="str">
        <f>IFERROR(__xludf.DUMMYFUNCTION("""COMPUTED_VALUE"""),"%")</f>
        <v>%</v>
      </c>
      <c r="AA32" s="36">
        <f>IFERROR(__xludf.DUMMYFUNCTION("""COMPUTED_VALUE"""),3.0)</f>
        <v>3</v>
      </c>
      <c r="AB32" s="37"/>
      <c r="AC32" s="38"/>
      <c r="AD32" s="34" t="str">
        <f>IFERROR(__xludf.DUMMYFUNCTION("""COMPUTED_VALUE"""),"")</f>
        <v/>
      </c>
      <c r="AE32" s="35" t="str">
        <f>IFERROR(__xludf.DUMMYFUNCTION("""COMPUTED_VALUE"""),"AP")</f>
        <v>AP</v>
      </c>
      <c r="AF32" s="34" t="str">
        <f>IFERROR(__xludf.DUMMYFUNCTION("""COMPUTED_VALUE"""),"")</f>
        <v/>
      </c>
      <c r="AG32" s="35" t="str">
        <f>IFERROR(__xludf.DUMMYFUNCTION("""COMPUTED_VALUE"""),"%")</f>
        <v>%</v>
      </c>
      <c r="AH32" s="31">
        <f>IFERROR(__xludf.DUMMYFUNCTION("""COMPUTED_VALUE"""),15.0)</f>
        <v>15</v>
      </c>
      <c r="AI32" s="32">
        <f>IFERROR(__xludf.DUMMYFUNCTION("""COMPUTED_VALUE"""),4301.0)</f>
        <v>4301</v>
      </c>
      <c r="AJ32" s="30" t="str">
        <f>IFERROR(__xludf.DUMMYFUNCTION("""COMPUTED_VALUE"""),"Germania")</f>
        <v>Germania</v>
      </c>
    </row>
    <row r="33" ht="24.75" customHeight="1">
      <c r="A33" s="40">
        <f>IFERROR(__xludf.DUMMYFUNCTION("""COMPUTED_VALUE"""),8.0)</f>
        <v>8</v>
      </c>
      <c r="B33" s="40" t="str">
        <f>IFERROR(__xludf.DUMMYFUNCTION("""COMPUTED_VALUE"""),"A302")</f>
        <v>A302</v>
      </c>
      <c r="C33" s="40" t="str">
        <f>IFERROR(__xludf.DUMMYFUNCTION("""COMPUTED_VALUE"""),"FUY6")</f>
        <v>FUY6</v>
      </c>
      <c r="D33" s="41" t="str">
        <f>IFERROR(__xludf.DUMMYFUNCTION("""COMPUTED_VALUE"""),"Fuyuki")</f>
        <v>Fuyuki</v>
      </c>
      <c r="E33" s="42" t="str">
        <f>IFERROR(__xludf.DUMMYFUNCTION("""COMPUTED_VALUE"""),"Unknown Coordinates X-F")</f>
        <v>Unknown Coordinates X-F</v>
      </c>
      <c r="F33" s="43">
        <f>IFERROR(__xludf.DUMMYFUNCTION("""COMPUTED_VALUE"""),6.0)</f>
        <v>6</v>
      </c>
      <c r="G33" s="44">
        <f>IFERROR(__xludf.DUMMYFUNCTION("""COMPUTED_VALUE"""),7789.0)</f>
        <v>7789</v>
      </c>
      <c r="H33" s="33" t="str">
        <f>IFERROR(__xludf.DUMMYFUNCTION("""COMPUTED_VALUE"""),"")</f>
        <v/>
      </c>
      <c r="I33" s="45">
        <f>IFERROR(__xludf.DUMMYFUNCTION("""COMPUTED_VALUE"""),35.08558558558559)</f>
        <v>35.08558559</v>
      </c>
      <c r="J33" s="46" t="str">
        <f>IFERROR(__xludf.DUMMYFUNCTION("""COMPUTED_VALUE"""),"AP")</f>
        <v>AP</v>
      </c>
      <c r="K33" s="47">
        <f>IFERROR(__xludf.DUMMYFUNCTION("""COMPUTED_VALUE"""),17.101039928103734)</f>
        <v>17.10103993</v>
      </c>
      <c r="L33" s="48" t="str">
        <f>IFERROR(__xludf.DUMMYFUNCTION("""COMPUTED_VALUE"""),"%")</f>
        <v>%</v>
      </c>
      <c r="M33" s="49">
        <f>IFERROR(__xludf.DUMMYFUNCTION("""COMPUTED_VALUE"""),1.0)</f>
        <v>1</v>
      </c>
      <c r="N33" s="50" t="str">
        <f>IFERROR(__xludf.DUMMYFUNCTION("""COMPUTED_VALUE"""),"A304")</f>
        <v>A304</v>
      </c>
      <c r="O33" s="38" t="str">
        <f>IFERROR(__xludf.DUMMYFUNCTION("""COMPUTED_VALUE"""),"")</f>
        <v/>
      </c>
      <c r="P33" s="45">
        <f>IFERROR(__xludf.DUMMYFUNCTION("""COMPUTED_VALUE"""),75.29241179313678)</f>
        <v>75.29241179</v>
      </c>
      <c r="Q33" s="46" t="str">
        <f>IFERROR(__xludf.DUMMYFUNCTION("""COMPUTED_VALUE"""),"AP")</f>
        <v>AP</v>
      </c>
      <c r="R33" s="47">
        <f>IFERROR(__xludf.DUMMYFUNCTION("""COMPUTED_VALUE"""),7.968930543073565)</f>
        <v>7.968930543</v>
      </c>
      <c r="S33" s="48" t="str">
        <f>IFERROR(__xludf.DUMMYFUNCTION("""COMPUTED_VALUE"""),"%")</f>
        <v>%</v>
      </c>
      <c r="T33" s="49">
        <f>IFERROR(__xludf.DUMMYFUNCTION("""COMPUTED_VALUE"""),2.0)</f>
        <v>2</v>
      </c>
      <c r="U33" s="50"/>
      <c r="V33" s="38"/>
      <c r="W33" s="45" t="str">
        <f>IFERROR(__xludf.DUMMYFUNCTION("""COMPUTED_VALUE"""),"")</f>
        <v/>
      </c>
      <c r="X33" s="46" t="str">
        <f>IFERROR(__xludf.DUMMYFUNCTION("""COMPUTED_VALUE"""),"AP")</f>
        <v>AP</v>
      </c>
      <c r="Y33" s="47" t="str">
        <f>IFERROR(__xludf.DUMMYFUNCTION("""COMPUTED_VALUE"""),"")</f>
        <v/>
      </c>
      <c r="Z33" s="48" t="str">
        <f>IFERROR(__xludf.DUMMYFUNCTION("""COMPUTED_VALUE"""),"%")</f>
        <v>%</v>
      </c>
      <c r="AA33" s="49">
        <f>IFERROR(__xludf.DUMMYFUNCTION("""COMPUTED_VALUE"""),3.0)</f>
        <v>3</v>
      </c>
      <c r="AB33" s="50"/>
      <c r="AC33" s="38"/>
      <c r="AD33" s="45" t="str">
        <f>IFERROR(__xludf.DUMMYFUNCTION("""COMPUTED_VALUE"""),"")</f>
        <v/>
      </c>
      <c r="AE33" s="46" t="str">
        <f>IFERROR(__xludf.DUMMYFUNCTION("""COMPUTED_VALUE"""),"AP")</f>
        <v>AP</v>
      </c>
      <c r="AF33" s="47" t="str">
        <f>IFERROR(__xludf.DUMMYFUNCTION("""COMPUTED_VALUE"""),"")</f>
        <v/>
      </c>
      <c r="AG33" s="48" t="str">
        <f>IFERROR(__xludf.DUMMYFUNCTION("""COMPUTED_VALUE"""),"%")</f>
        <v>%</v>
      </c>
      <c r="AH33" s="43">
        <f>IFERROR(__xludf.DUMMYFUNCTION("""COMPUTED_VALUE"""),6.0)</f>
        <v>6</v>
      </c>
      <c r="AI33" s="44">
        <f>IFERROR(__xludf.DUMMYFUNCTION("""COMPUTED_VALUE"""),7789.0)</f>
        <v>7789</v>
      </c>
      <c r="AJ33" s="42" t="str">
        <f>IFERROR(__xludf.DUMMYFUNCTION("""COMPUTED_VALUE"""),"Unknown Coordinates X-F")</f>
        <v>Unknown Coordinates X-F</v>
      </c>
    </row>
    <row r="34" ht="24.75" customHeight="1">
      <c r="A34" s="28">
        <f>IFERROR(__xludf.DUMMYFUNCTION("""COMPUTED_VALUE"""),9.0)</f>
        <v>9</v>
      </c>
      <c r="B34" s="28" t="str">
        <f>IFERROR(__xludf.DUMMYFUNCTION("""COMPUTED_VALUE"""),"A302")</f>
        <v>A302</v>
      </c>
      <c r="C34" s="28" t="str">
        <f>IFERROR(__xludf.DUMMYFUNCTION("""COMPUTED_VALUE"""),"TRF5")</f>
        <v>TRF5</v>
      </c>
      <c r="D34" s="29" t="str">
        <f>IFERROR(__xludf.DUMMYFUNCTION("""COMPUTED_VALUE"""),"Chaldea Gate (Tue)")</f>
        <v>Chaldea Gate (Tue)</v>
      </c>
      <c r="E34" s="30" t="str">
        <f>IFERROR(__xludf.DUMMYFUNCTION("""COMPUTED_VALUE"""),"TUE Lancer Training Ground- Nov")</f>
        <v>TUE Lancer Training Ground- Nov</v>
      </c>
      <c r="F34" s="31">
        <f>IFERROR(__xludf.DUMMYFUNCTION("""COMPUTED_VALUE"""),10.0)</f>
        <v>10</v>
      </c>
      <c r="G34" s="32">
        <f>IFERROR(__xludf.DUMMYFUNCTION("""COMPUTED_VALUE"""),2502.0)</f>
        <v>2502</v>
      </c>
      <c r="H34" s="33" t="str">
        <f>IFERROR(__xludf.DUMMYFUNCTION("""COMPUTED_VALUE"""),"")</f>
        <v/>
      </c>
      <c r="I34" s="34">
        <f>IFERROR(__xludf.DUMMYFUNCTION("""COMPUTED_VALUE"""),37.870933075007756)</f>
        <v>37.87093308</v>
      </c>
      <c r="J34" s="35" t="str">
        <f>IFERROR(__xludf.DUMMYFUNCTION("""COMPUTED_VALUE"""),"AP")</f>
        <v>AP</v>
      </c>
      <c r="K34" s="34">
        <f>IFERROR(__xludf.DUMMYFUNCTION("""COMPUTED_VALUE"""),26.405475619504397)</f>
        <v>26.40547562</v>
      </c>
      <c r="L34" s="35" t="str">
        <f>IFERROR(__xludf.DUMMYFUNCTION("""COMPUTED_VALUE"""),"%")</f>
        <v>%</v>
      </c>
      <c r="M34" s="36">
        <f>IFERROR(__xludf.DUMMYFUNCTION("""COMPUTED_VALUE"""),1.0)</f>
        <v>1</v>
      </c>
      <c r="N34" s="37" t="str">
        <f>IFERROR(__xludf.DUMMYFUNCTION("""COMPUTED_VALUE"""),"A208")</f>
        <v>A208</v>
      </c>
      <c r="O34" s="38" t="str">
        <f>IFERROR(__xludf.DUMMYFUNCTION("""COMPUTED_VALUE"""),"")</f>
        <v/>
      </c>
      <c r="P34" s="34">
        <f>IFERROR(__xludf.DUMMYFUNCTION("""COMPUTED_VALUE"""),204.9324672984462)</f>
        <v>204.9324673</v>
      </c>
      <c r="Q34" s="35" t="str">
        <f>IFERROR(__xludf.DUMMYFUNCTION("""COMPUTED_VALUE"""),"AP")</f>
        <v>AP</v>
      </c>
      <c r="R34" s="34">
        <f>IFERROR(__xludf.DUMMYFUNCTION("""COMPUTED_VALUE"""),4.879656274980016)</f>
        <v>4.879656275</v>
      </c>
      <c r="S34" s="35" t="str">
        <f>IFERROR(__xludf.DUMMYFUNCTION("""COMPUTED_VALUE"""),"%")</f>
        <v>%</v>
      </c>
      <c r="T34" s="36">
        <f>IFERROR(__xludf.DUMMYFUNCTION("""COMPUTED_VALUE"""),2.0)</f>
        <v>2</v>
      </c>
      <c r="U34" s="37" t="str">
        <f>IFERROR(__xludf.DUMMYFUNCTION("""COMPUTED_VALUE"""),"A301")</f>
        <v>A301</v>
      </c>
      <c r="V34" s="38" t="str">
        <f>IFERROR(__xludf.DUMMYFUNCTION("""COMPUTED_VALUE"""),"")</f>
        <v/>
      </c>
      <c r="W34" s="34">
        <f>IFERROR(__xludf.DUMMYFUNCTION("""COMPUTED_VALUE"""),79.84452337414913)</f>
        <v>79.84452337</v>
      </c>
      <c r="X34" s="35" t="str">
        <f>IFERROR(__xludf.DUMMYFUNCTION("""COMPUTED_VALUE"""),"AP")</f>
        <v>AP</v>
      </c>
      <c r="Y34" s="34">
        <f>IFERROR(__xludf.DUMMYFUNCTION("""COMPUTED_VALUE"""),12.524340527577937)</f>
        <v>12.52434053</v>
      </c>
      <c r="Z34" s="35" t="str">
        <f>IFERROR(__xludf.DUMMYFUNCTION("""COMPUTED_VALUE"""),"%")</f>
        <v>%</v>
      </c>
      <c r="AA34" s="36">
        <f>IFERROR(__xludf.DUMMYFUNCTION("""COMPUTED_VALUE"""),3.0)</f>
        <v>3</v>
      </c>
      <c r="AB34" s="37" t="str">
        <f>IFERROR(__xludf.DUMMYFUNCTION("""COMPUTED_VALUE"""),"A304")</f>
        <v>A304</v>
      </c>
      <c r="AC34" s="38" t="str">
        <f>IFERROR(__xludf.DUMMYFUNCTION("""COMPUTED_VALUE"""),"")</f>
        <v/>
      </c>
      <c r="AD34" s="34">
        <f>IFERROR(__xludf.DUMMYFUNCTION("""COMPUTED_VALUE"""),182.76914985317103)</f>
        <v>182.7691499</v>
      </c>
      <c r="AE34" s="35" t="str">
        <f>IFERROR(__xludf.DUMMYFUNCTION("""COMPUTED_VALUE"""),"AP")</f>
        <v>AP</v>
      </c>
      <c r="AF34" s="34">
        <f>IFERROR(__xludf.DUMMYFUNCTION("""COMPUTED_VALUE"""),5.471382893685052)</f>
        <v>5.471382894</v>
      </c>
      <c r="AG34" s="35" t="str">
        <f>IFERROR(__xludf.DUMMYFUNCTION("""COMPUTED_VALUE"""),"%")</f>
        <v>%</v>
      </c>
      <c r="AH34" s="31">
        <f>IFERROR(__xludf.DUMMYFUNCTION("""COMPUTED_VALUE"""),10.0)</f>
        <v>10</v>
      </c>
      <c r="AI34" s="32">
        <f>IFERROR(__xludf.DUMMYFUNCTION("""COMPUTED_VALUE"""),2502.0)</f>
        <v>2502</v>
      </c>
      <c r="AJ34" s="30" t="str">
        <f>IFERROR(__xludf.DUMMYFUNCTION("""COMPUTED_VALUE"""),"TUE Lancer Training Ground- Nov")</f>
        <v>TUE Lancer Training Ground- Nov</v>
      </c>
    </row>
    <row r="35" ht="24.75" customHeight="1">
      <c r="A35" s="40">
        <f>IFERROR(__xludf.DUMMYFUNCTION("""COMPUTED_VALUE"""),10.0)</f>
        <v>10</v>
      </c>
      <c r="B35" s="40" t="str">
        <f>IFERROR(__xludf.DUMMYFUNCTION("""COMPUTED_VALUE"""),"A302")</f>
        <v>A302</v>
      </c>
      <c r="C35" s="40" t="str">
        <f>IFERROR(__xludf.DUMMYFUNCTION("""COMPUTED_VALUE"""),"FUY1")</f>
        <v>FUY1</v>
      </c>
      <c r="D35" s="41" t="str">
        <f>IFERROR(__xludf.DUMMYFUNCTION("""COMPUTED_VALUE"""),"Fuyuki")</f>
        <v>Fuyuki</v>
      </c>
      <c r="E35" s="42" t="str">
        <f>IFERROR(__xludf.DUMMYFUNCTION("""COMPUTED_VALUE"""),"Unknown Coordinates X-A")</f>
        <v>Unknown Coordinates X-A</v>
      </c>
      <c r="F35" s="43">
        <f>IFERROR(__xludf.DUMMYFUNCTION("""COMPUTED_VALUE"""),3.0)</f>
        <v>3</v>
      </c>
      <c r="G35" s="44">
        <f>IFERROR(__xludf.DUMMYFUNCTION("""COMPUTED_VALUE"""),636358.0)</f>
        <v>636358</v>
      </c>
      <c r="H35" s="33" t="str">
        <f>IFERROR(__xludf.DUMMYFUNCTION("""COMPUTED_VALUE"""),"")</f>
        <v/>
      </c>
      <c r="I35" s="45">
        <f>IFERROR(__xludf.DUMMYFUNCTION("""COMPUTED_VALUE"""),40.53879514241574)</f>
        <v>40.53879514</v>
      </c>
      <c r="J35" s="46" t="str">
        <f>IFERROR(__xludf.DUMMYFUNCTION("""COMPUTED_VALUE"""),"AP")</f>
        <v>AP</v>
      </c>
      <c r="K35" s="47">
        <f>IFERROR(__xludf.DUMMYFUNCTION("""COMPUTED_VALUE"""),7.400318607054753)</f>
        <v>7.400318607</v>
      </c>
      <c r="L35" s="48" t="str">
        <f>IFERROR(__xludf.DUMMYFUNCTION("""COMPUTED_VALUE"""),"%")</f>
        <v>%</v>
      </c>
      <c r="M35" s="49">
        <f>IFERROR(__xludf.DUMMYFUNCTION("""COMPUTED_VALUE"""),1.0)</f>
        <v>1</v>
      </c>
      <c r="N35" s="50"/>
      <c r="O35" s="38"/>
      <c r="P35" s="45" t="str">
        <f>IFERROR(__xludf.DUMMYFUNCTION("""COMPUTED_VALUE"""),"")</f>
        <v/>
      </c>
      <c r="Q35" s="46" t="str">
        <f>IFERROR(__xludf.DUMMYFUNCTION("""COMPUTED_VALUE"""),"AP")</f>
        <v>AP</v>
      </c>
      <c r="R35" s="47" t="str">
        <f>IFERROR(__xludf.DUMMYFUNCTION("""COMPUTED_VALUE"""),"")</f>
        <v/>
      </c>
      <c r="S35" s="48" t="str">
        <f>IFERROR(__xludf.DUMMYFUNCTION("""COMPUTED_VALUE"""),"%")</f>
        <v>%</v>
      </c>
      <c r="T35" s="49">
        <f>IFERROR(__xludf.DUMMYFUNCTION("""COMPUTED_VALUE"""),2.0)</f>
        <v>2</v>
      </c>
      <c r="U35" s="50"/>
      <c r="V35" s="38"/>
      <c r="W35" s="45" t="str">
        <f>IFERROR(__xludf.DUMMYFUNCTION("""COMPUTED_VALUE"""),"")</f>
        <v/>
      </c>
      <c r="X35" s="46" t="str">
        <f>IFERROR(__xludf.DUMMYFUNCTION("""COMPUTED_VALUE"""),"AP")</f>
        <v>AP</v>
      </c>
      <c r="Y35" s="47" t="str">
        <f>IFERROR(__xludf.DUMMYFUNCTION("""COMPUTED_VALUE"""),"")</f>
        <v/>
      </c>
      <c r="Z35" s="48" t="str">
        <f>IFERROR(__xludf.DUMMYFUNCTION("""COMPUTED_VALUE"""),"%")</f>
        <v>%</v>
      </c>
      <c r="AA35" s="49">
        <f>IFERROR(__xludf.DUMMYFUNCTION("""COMPUTED_VALUE"""),3.0)</f>
        <v>3</v>
      </c>
      <c r="AB35" s="50"/>
      <c r="AC35" s="38"/>
      <c r="AD35" s="45" t="str">
        <f>IFERROR(__xludf.DUMMYFUNCTION("""COMPUTED_VALUE"""),"")</f>
        <v/>
      </c>
      <c r="AE35" s="46" t="str">
        <f>IFERROR(__xludf.DUMMYFUNCTION("""COMPUTED_VALUE"""),"AP")</f>
        <v>AP</v>
      </c>
      <c r="AF35" s="47" t="str">
        <f>IFERROR(__xludf.DUMMYFUNCTION("""COMPUTED_VALUE"""),"")</f>
        <v/>
      </c>
      <c r="AG35" s="48" t="str">
        <f>IFERROR(__xludf.DUMMYFUNCTION("""COMPUTED_VALUE"""),"%")</f>
        <v>%</v>
      </c>
      <c r="AH35" s="43">
        <f>IFERROR(__xludf.DUMMYFUNCTION("""COMPUTED_VALUE"""),3.0)</f>
        <v>3</v>
      </c>
      <c r="AI35" s="44">
        <f>IFERROR(__xludf.DUMMYFUNCTION("""COMPUTED_VALUE"""),636358.0)</f>
        <v>636358</v>
      </c>
      <c r="AJ35" s="42" t="str">
        <f>IFERROR(__xludf.DUMMYFUNCTION("""COMPUTED_VALUE"""),"Unknown Coordinates X-A")</f>
        <v>Unknown Coordinates X-A</v>
      </c>
    </row>
    <row r="36" ht="24.75" customHeight="1">
      <c r="A36" s="28">
        <f>IFERROR(__xludf.DUMMYFUNCTION("""COMPUTED_VALUE"""),11.0)</f>
        <v>11</v>
      </c>
      <c r="B36" s="28" t="str">
        <f>IFERROR(__xludf.DUMMYFUNCTION("""COMPUTED_VALUE"""),"A302")</f>
        <v>A302</v>
      </c>
      <c r="C36" s="28" t="str">
        <f>IFERROR(__xludf.DUMMYFUNCTION("""COMPUTED_VALUE"""),"TRF1")</f>
        <v>TRF1</v>
      </c>
      <c r="D36" s="29" t="str">
        <f>IFERROR(__xludf.DUMMYFUNCTION("""COMPUTED_VALUE"""),"Chaldea Gate (Mon)")</f>
        <v>Chaldea Gate (Mon)</v>
      </c>
      <c r="E36" s="30" t="str">
        <f>IFERROR(__xludf.DUMMYFUNCTION("""COMPUTED_VALUE"""),"MON Archer Training Ground- Nov")</f>
        <v>MON Archer Training Ground- Nov</v>
      </c>
      <c r="F36" s="31">
        <f>IFERROR(__xludf.DUMMYFUNCTION("""COMPUTED_VALUE"""),10.0)</f>
        <v>10</v>
      </c>
      <c r="G36" s="32">
        <f>IFERROR(__xludf.DUMMYFUNCTION("""COMPUTED_VALUE"""),2082.0)</f>
        <v>2082</v>
      </c>
      <c r="H36" s="33" t="str">
        <f>IFERROR(__xludf.DUMMYFUNCTION("""COMPUTED_VALUE"""),"")</f>
        <v/>
      </c>
      <c r="I36" s="34">
        <f>IFERROR(__xludf.DUMMYFUNCTION("""COMPUTED_VALUE"""),42.55667068658913)</f>
        <v>42.55667069</v>
      </c>
      <c r="J36" s="35" t="str">
        <f>IFERROR(__xludf.DUMMYFUNCTION("""COMPUTED_VALUE"""),"AP")</f>
        <v>AP</v>
      </c>
      <c r="K36" s="34">
        <f>IFERROR(__xludf.DUMMYFUNCTION("""COMPUTED_VALUE"""),23.498078770413063)</f>
        <v>23.49807877</v>
      </c>
      <c r="L36" s="35" t="str">
        <f>IFERROR(__xludf.DUMMYFUNCTION("""COMPUTED_VALUE"""),"%")</f>
        <v>%</v>
      </c>
      <c r="M36" s="36">
        <f>IFERROR(__xludf.DUMMYFUNCTION("""COMPUTED_VALUE"""),1.0)</f>
        <v>1</v>
      </c>
      <c r="N36" s="37" t="str">
        <f>IFERROR(__xludf.DUMMYFUNCTION("""COMPUTED_VALUE"""),"A209")</f>
        <v>A209</v>
      </c>
      <c r="O36" s="38" t="str">
        <f>IFERROR(__xludf.DUMMYFUNCTION("""COMPUTED_VALUE"""),"")</f>
        <v/>
      </c>
      <c r="P36" s="34">
        <f>IFERROR(__xludf.DUMMYFUNCTION("""COMPUTED_VALUE"""),196.21147865422674)</f>
        <v>196.2114787</v>
      </c>
      <c r="Q36" s="35" t="str">
        <f>IFERROR(__xludf.DUMMYFUNCTION("""COMPUTED_VALUE"""),"AP")</f>
        <v>AP</v>
      </c>
      <c r="R36" s="34">
        <f>IFERROR(__xludf.DUMMYFUNCTION("""COMPUTED_VALUE"""),5.096541786743516)</f>
        <v>5.096541787</v>
      </c>
      <c r="S36" s="35" t="str">
        <f>IFERROR(__xludf.DUMMYFUNCTION("""COMPUTED_VALUE"""),"%")</f>
        <v>%</v>
      </c>
      <c r="T36" s="36">
        <f>IFERROR(__xludf.DUMMYFUNCTION("""COMPUTED_VALUE"""),2.0)</f>
        <v>2</v>
      </c>
      <c r="U36" s="37" t="str">
        <f>IFERROR(__xludf.DUMMYFUNCTION("""COMPUTED_VALUE"""),"A301")</f>
        <v>A301</v>
      </c>
      <c r="V36" s="38" t="str">
        <f>IFERROR(__xludf.DUMMYFUNCTION("""COMPUTED_VALUE"""),"")</f>
        <v/>
      </c>
      <c r="W36" s="34">
        <f>IFERROR(__xludf.DUMMYFUNCTION("""COMPUTED_VALUE"""),92.99624798999464)</f>
        <v>92.99624799</v>
      </c>
      <c r="X36" s="35" t="str">
        <f>IFERROR(__xludf.DUMMYFUNCTION("""COMPUTED_VALUE"""),"AP")</f>
        <v>AP</v>
      </c>
      <c r="Y36" s="34">
        <f>IFERROR(__xludf.DUMMYFUNCTION("""COMPUTED_VALUE"""),10.75312199807877)</f>
        <v>10.753122</v>
      </c>
      <c r="Z36" s="35" t="str">
        <f>IFERROR(__xludf.DUMMYFUNCTION("""COMPUTED_VALUE"""),"%")</f>
        <v>%</v>
      </c>
      <c r="AA36" s="36">
        <f>IFERROR(__xludf.DUMMYFUNCTION("""COMPUTED_VALUE"""),3.0)</f>
        <v>3</v>
      </c>
      <c r="AB36" s="37" t="str">
        <f>IFERROR(__xludf.DUMMYFUNCTION("""COMPUTED_VALUE"""),"A303")</f>
        <v>A303</v>
      </c>
      <c r="AC36" s="38" t="str">
        <f>IFERROR(__xludf.DUMMYFUNCTION("""COMPUTED_VALUE"""),"")</f>
        <v/>
      </c>
      <c r="AD36" s="34">
        <f>IFERROR(__xludf.DUMMYFUNCTION("""COMPUTED_VALUE"""),268.402733015341)</f>
        <v>268.402733</v>
      </c>
      <c r="AE36" s="35" t="str">
        <f>IFERROR(__xludf.DUMMYFUNCTION("""COMPUTED_VALUE"""),"AP")</f>
        <v>AP</v>
      </c>
      <c r="AF36" s="34">
        <f>IFERROR(__xludf.DUMMYFUNCTION("""COMPUTED_VALUE"""),3.7257444764649374)</f>
        <v>3.725744476</v>
      </c>
      <c r="AG36" s="35" t="str">
        <f>IFERROR(__xludf.DUMMYFUNCTION("""COMPUTED_VALUE"""),"%")</f>
        <v>%</v>
      </c>
      <c r="AH36" s="31">
        <f>IFERROR(__xludf.DUMMYFUNCTION("""COMPUTED_VALUE"""),10.0)</f>
        <v>10</v>
      </c>
      <c r="AI36" s="32">
        <f>IFERROR(__xludf.DUMMYFUNCTION("""COMPUTED_VALUE"""),2082.0)</f>
        <v>2082</v>
      </c>
      <c r="AJ36" s="30" t="str">
        <f>IFERROR(__xludf.DUMMYFUNCTION("""COMPUTED_VALUE"""),"MON Archer Training Ground- Nov")</f>
        <v>MON Archer Training Ground- Nov</v>
      </c>
    </row>
    <row r="37" ht="24.75" customHeight="1">
      <c r="A37" s="40">
        <f>IFERROR(__xludf.DUMMYFUNCTION("""COMPUTED_VALUE"""),12.0)</f>
        <v>12</v>
      </c>
      <c r="B37" s="40" t="str">
        <f>IFERROR(__xludf.DUMMYFUNCTION("""COMPUTED_VALUE"""),"A302")</f>
        <v>A302</v>
      </c>
      <c r="C37" s="40" t="str">
        <f>IFERROR(__xludf.DUMMYFUNCTION("""COMPUTED_VALUE"""),"TRF25")</f>
        <v>TRF25</v>
      </c>
      <c r="D37" s="41" t="str">
        <f>IFERROR(__xludf.DUMMYFUNCTION("""COMPUTED_VALUE"""),"Chaldea Gate (Sun)")</f>
        <v>Chaldea Gate (Sun)</v>
      </c>
      <c r="E37" s="42" t="str">
        <f>IFERROR(__xludf.DUMMYFUNCTION("""COMPUTED_VALUE"""),"SUN Saber Training Ground- Nov")</f>
        <v>SUN Saber Training Ground- Nov</v>
      </c>
      <c r="F37" s="43">
        <f>IFERROR(__xludf.DUMMYFUNCTION("""COMPUTED_VALUE"""),10.0)</f>
        <v>10</v>
      </c>
      <c r="G37" s="44">
        <f>IFERROR(__xludf.DUMMYFUNCTION("""COMPUTED_VALUE"""),29593.0)</f>
        <v>29593</v>
      </c>
      <c r="H37" s="33" t="str">
        <f>IFERROR(__xludf.DUMMYFUNCTION("""COMPUTED_VALUE"""),"")</f>
        <v/>
      </c>
      <c r="I37" s="45">
        <f>IFERROR(__xludf.DUMMYFUNCTION("""COMPUTED_VALUE"""),42.62576314203138)</f>
        <v>42.62576314</v>
      </c>
      <c r="J37" s="46" t="str">
        <f>IFERROR(__xludf.DUMMYFUNCTION("""COMPUTED_VALUE"""),"AP")</f>
        <v>AP</v>
      </c>
      <c r="K37" s="47">
        <f>IFERROR(__xludf.DUMMYFUNCTION("""COMPUTED_VALUE"""),23.45999053830298)</f>
        <v>23.45999054</v>
      </c>
      <c r="L37" s="48" t="str">
        <f>IFERROR(__xludf.DUMMYFUNCTION("""COMPUTED_VALUE"""),"%")</f>
        <v>%</v>
      </c>
      <c r="M37" s="49">
        <f>IFERROR(__xludf.DUMMYFUNCTION("""COMPUTED_VALUE"""),1.0)</f>
        <v>1</v>
      </c>
      <c r="N37" s="50" t="str">
        <f>IFERROR(__xludf.DUMMYFUNCTION("""COMPUTED_VALUE"""),"A206")</f>
        <v>A206</v>
      </c>
      <c r="O37" s="38" t="str">
        <f>IFERROR(__xludf.DUMMYFUNCTION("""COMPUTED_VALUE"""),"")</f>
        <v/>
      </c>
      <c r="P37" s="45">
        <f>IFERROR(__xludf.DUMMYFUNCTION("""COMPUTED_VALUE"""),220.80950302379114)</f>
        <v>220.809503</v>
      </c>
      <c r="Q37" s="46" t="str">
        <f>IFERROR(__xludf.DUMMYFUNCTION("""COMPUTED_VALUE"""),"AP")</f>
        <v>AP</v>
      </c>
      <c r="R37" s="47">
        <f>IFERROR(__xludf.DUMMYFUNCTION("""COMPUTED_VALUE"""),4.528790592369817)</f>
        <v>4.528790592</v>
      </c>
      <c r="S37" s="48" t="str">
        <f>IFERROR(__xludf.DUMMYFUNCTION("""COMPUTED_VALUE"""),"%")</f>
        <v>%</v>
      </c>
      <c r="T37" s="49">
        <f>IFERROR(__xludf.DUMMYFUNCTION("""COMPUTED_VALUE"""),2.0)</f>
        <v>2</v>
      </c>
      <c r="U37" s="50" t="str">
        <f>IFERROR(__xludf.DUMMYFUNCTION("""COMPUTED_VALUE"""),"A211")</f>
        <v>A211</v>
      </c>
      <c r="V37" s="38" t="str">
        <f>IFERROR(__xludf.DUMMYFUNCTION("""COMPUTED_VALUE"""),"")</f>
        <v/>
      </c>
      <c r="W37" s="45">
        <f>IFERROR(__xludf.DUMMYFUNCTION("""COMPUTED_VALUE"""),211.7865631148004)</f>
        <v>211.7865631</v>
      </c>
      <c r="X37" s="46" t="str">
        <f>IFERROR(__xludf.DUMMYFUNCTION("""COMPUTED_VALUE"""),"AP")</f>
        <v>AP</v>
      </c>
      <c r="Y37" s="47">
        <f>IFERROR(__xludf.DUMMYFUNCTION("""COMPUTED_VALUE"""),4.721734869732708)</f>
        <v>4.72173487</v>
      </c>
      <c r="Z37" s="48" t="str">
        <f>IFERROR(__xludf.DUMMYFUNCTION("""COMPUTED_VALUE"""),"%")</f>
        <v>%</v>
      </c>
      <c r="AA37" s="49">
        <f>IFERROR(__xludf.DUMMYFUNCTION("""COMPUTED_VALUE"""),3.0)</f>
        <v>3</v>
      </c>
      <c r="AB37" s="50" t="str">
        <f>IFERROR(__xludf.DUMMYFUNCTION("""COMPUTED_VALUE"""),"A301")</f>
        <v>A301</v>
      </c>
      <c r="AC37" s="38" t="str">
        <f>IFERROR(__xludf.DUMMYFUNCTION("""COMPUTED_VALUE"""),"")</f>
        <v/>
      </c>
      <c r="AD37" s="45">
        <f>IFERROR(__xludf.DUMMYFUNCTION("""COMPUTED_VALUE"""),109.30174750568708)</f>
        <v>109.3017475</v>
      </c>
      <c r="AE37" s="46" t="str">
        <f>IFERROR(__xludf.DUMMYFUNCTION("""COMPUTED_VALUE"""),"AP")</f>
        <v>AP</v>
      </c>
      <c r="AF37" s="47">
        <f>IFERROR(__xludf.DUMMYFUNCTION("""COMPUTED_VALUE"""),9.148984557158787)</f>
        <v>9.148984557</v>
      </c>
      <c r="AG37" s="48" t="str">
        <f>IFERROR(__xludf.DUMMYFUNCTION("""COMPUTED_VALUE"""),"%")</f>
        <v>%</v>
      </c>
      <c r="AH37" s="43">
        <f>IFERROR(__xludf.DUMMYFUNCTION("""COMPUTED_VALUE"""),10.0)</f>
        <v>10</v>
      </c>
      <c r="AI37" s="44">
        <f>IFERROR(__xludf.DUMMYFUNCTION("""COMPUTED_VALUE"""),29593.0)</f>
        <v>29593</v>
      </c>
      <c r="AJ37" s="42" t="str">
        <f>IFERROR(__xludf.DUMMYFUNCTION("""COMPUTED_VALUE"""),"SUN Saber Training Ground- Nov")</f>
        <v>SUN Saber Training Ground- Nov</v>
      </c>
    </row>
    <row r="38" ht="24.75" customHeight="1">
      <c r="A38" s="28">
        <f>IFERROR(__xludf.DUMMYFUNCTION("""COMPUTED_VALUE"""),13.0)</f>
        <v>13</v>
      </c>
      <c r="B38" s="28" t="str">
        <f>IFERROR(__xludf.DUMMYFUNCTION("""COMPUTED_VALUE"""),"A302")</f>
        <v>A302</v>
      </c>
      <c r="C38" s="28" t="str">
        <f>IFERROR(__xludf.DUMMYFUNCTION("""COMPUTED_VALUE"""),"SEP10")</f>
        <v>SEP10</v>
      </c>
      <c r="D38" s="29" t="str">
        <f>IFERROR(__xludf.DUMMYFUNCTION("""COMPUTED_VALUE"""),"Septem")</f>
        <v>Septem</v>
      </c>
      <c r="E38" s="30" t="str">
        <f>IFERROR(__xludf.DUMMYFUNCTION("""COMPUTED_VALUE"""),"Shaped Isle")</f>
        <v>Shaped Isle</v>
      </c>
      <c r="F38" s="31">
        <f>IFERROR(__xludf.DUMMYFUNCTION("""COMPUTED_VALUE"""),9.0)</f>
        <v>9</v>
      </c>
      <c r="G38" s="32">
        <f>IFERROR(__xludf.DUMMYFUNCTION("""COMPUTED_VALUE"""),1170.0)</f>
        <v>1170</v>
      </c>
      <c r="H38" s="33" t="str">
        <f>IFERROR(__xludf.DUMMYFUNCTION("""COMPUTED_VALUE"""),"")</f>
        <v/>
      </c>
      <c r="I38" s="34">
        <f>IFERROR(__xludf.DUMMYFUNCTION("""COMPUTED_VALUE"""),48.27307985000047)</f>
        <v>48.27307985</v>
      </c>
      <c r="J38" s="35" t="str">
        <f>IFERROR(__xludf.DUMMYFUNCTION("""COMPUTED_VALUE"""),"AP")</f>
        <v>AP</v>
      </c>
      <c r="K38" s="34">
        <f>IFERROR(__xludf.DUMMYFUNCTION("""COMPUTED_VALUE"""),18.64393162393162)</f>
        <v>18.64393162</v>
      </c>
      <c r="L38" s="35" t="str">
        <f>IFERROR(__xludf.DUMMYFUNCTION("""COMPUTED_VALUE"""),"%")</f>
        <v>%</v>
      </c>
      <c r="M38" s="36">
        <f>IFERROR(__xludf.DUMMYFUNCTION("""COMPUTED_VALUE"""),1.0)</f>
        <v>1</v>
      </c>
      <c r="N38" s="37" t="str">
        <f>IFERROR(__xludf.DUMMYFUNCTION("""COMPUTED_VALUE"""),"A304")</f>
        <v>A304</v>
      </c>
      <c r="O38" s="38" t="str">
        <f>IFERROR(__xludf.DUMMYFUNCTION("""COMPUTED_VALUE"""),"")</f>
        <v/>
      </c>
      <c r="P38" s="34">
        <f>IFERROR(__xludf.DUMMYFUNCTION("""COMPUTED_VALUE"""),107.99556941253692)</f>
        <v>107.9955694</v>
      </c>
      <c r="Q38" s="35" t="str">
        <f>IFERROR(__xludf.DUMMYFUNCTION("""COMPUTED_VALUE"""),"AP")</f>
        <v>AP</v>
      </c>
      <c r="R38" s="34">
        <f>IFERROR(__xludf.DUMMYFUNCTION("""COMPUTED_VALUE"""),8.333675213675214)</f>
        <v>8.333675214</v>
      </c>
      <c r="S38" s="35" t="str">
        <f>IFERROR(__xludf.DUMMYFUNCTION("""COMPUTED_VALUE"""),"%")</f>
        <v>%</v>
      </c>
      <c r="T38" s="36">
        <f>IFERROR(__xludf.DUMMYFUNCTION("""COMPUTED_VALUE"""),2.0)</f>
        <v>2</v>
      </c>
      <c r="U38" s="37"/>
      <c r="V38" s="38"/>
      <c r="W38" s="34" t="str">
        <f>IFERROR(__xludf.DUMMYFUNCTION("""COMPUTED_VALUE"""),"")</f>
        <v/>
      </c>
      <c r="X38" s="35" t="str">
        <f>IFERROR(__xludf.DUMMYFUNCTION("""COMPUTED_VALUE"""),"AP")</f>
        <v>AP</v>
      </c>
      <c r="Y38" s="34" t="str">
        <f>IFERROR(__xludf.DUMMYFUNCTION("""COMPUTED_VALUE"""),"")</f>
        <v/>
      </c>
      <c r="Z38" s="35" t="str">
        <f>IFERROR(__xludf.DUMMYFUNCTION("""COMPUTED_VALUE"""),"%")</f>
        <v>%</v>
      </c>
      <c r="AA38" s="36">
        <f>IFERROR(__xludf.DUMMYFUNCTION("""COMPUTED_VALUE"""),3.0)</f>
        <v>3</v>
      </c>
      <c r="AB38" s="37"/>
      <c r="AC38" s="38"/>
      <c r="AD38" s="34" t="str">
        <f>IFERROR(__xludf.DUMMYFUNCTION("""COMPUTED_VALUE"""),"")</f>
        <v/>
      </c>
      <c r="AE38" s="35" t="str">
        <f>IFERROR(__xludf.DUMMYFUNCTION("""COMPUTED_VALUE"""),"AP")</f>
        <v>AP</v>
      </c>
      <c r="AF38" s="34" t="str">
        <f>IFERROR(__xludf.DUMMYFUNCTION("""COMPUTED_VALUE"""),"")</f>
        <v/>
      </c>
      <c r="AG38" s="35" t="str">
        <f>IFERROR(__xludf.DUMMYFUNCTION("""COMPUTED_VALUE"""),"%")</f>
        <v>%</v>
      </c>
      <c r="AH38" s="31">
        <f>IFERROR(__xludf.DUMMYFUNCTION("""COMPUTED_VALUE"""),9.0)</f>
        <v>9</v>
      </c>
      <c r="AI38" s="32">
        <f>IFERROR(__xludf.DUMMYFUNCTION("""COMPUTED_VALUE"""),1170.0)</f>
        <v>1170</v>
      </c>
      <c r="AJ38" s="30" t="str">
        <f>IFERROR(__xludf.DUMMYFUNCTION("""COMPUTED_VALUE"""),"Shaped Isle")</f>
        <v>Shaped Isle</v>
      </c>
    </row>
    <row r="39" ht="24.75" customHeight="1">
      <c r="A39" s="40">
        <f>IFERROR(__xludf.DUMMYFUNCTION("""COMPUTED_VALUE"""),14.0)</f>
        <v>14</v>
      </c>
      <c r="B39" s="40" t="str">
        <f>IFERROR(__xludf.DUMMYFUNCTION("""COMPUTED_VALUE"""),"A302")</f>
        <v>A302</v>
      </c>
      <c r="C39" s="40" t="str">
        <f>IFERROR(__xludf.DUMMYFUNCTION("""COMPUTED_VALUE"""),"OKN5")</f>
        <v>OKN5</v>
      </c>
      <c r="D39" s="41" t="str">
        <f>IFERROR(__xludf.DUMMYFUNCTION("""COMPUTED_VALUE"""),"Okeanos")</f>
        <v>Okeanos</v>
      </c>
      <c r="E39" s="42" t="str">
        <f>IFERROR(__xludf.DUMMYFUNCTION("""COMPUTED_VALUE"""),"Sunken Rock Seas")</f>
        <v>Sunken Rock Seas</v>
      </c>
      <c r="F39" s="43">
        <f>IFERROR(__xludf.DUMMYFUNCTION("""COMPUTED_VALUE"""),17.0)</f>
        <v>17</v>
      </c>
      <c r="G39" s="44">
        <f>IFERROR(__xludf.DUMMYFUNCTION("""COMPUTED_VALUE"""),2113.0)</f>
        <v>2113</v>
      </c>
      <c r="H39" s="33" t="str">
        <f>IFERROR(__xludf.DUMMYFUNCTION("""COMPUTED_VALUE"""),"")</f>
        <v/>
      </c>
      <c r="I39" s="45">
        <f>IFERROR(__xludf.DUMMYFUNCTION("""COMPUTED_VALUE"""),48.482010057847475)</f>
        <v>48.48201006</v>
      </c>
      <c r="J39" s="46" t="str">
        <f>IFERROR(__xludf.DUMMYFUNCTION("""COMPUTED_VALUE"""),"AP")</f>
        <v>AP</v>
      </c>
      <c r="K39" s="47">
        <f>IFERROR(__xludf.DUMMYFUNCTION("""COMPUTED_VALUE"""),35.06455276857548)</f>
        <v>35.06455277</v>
      </c>
      <c r="L39" s="48" t="str">
        <f>IFERROR(__xludf.DUMMYFUNCTION("""COMPUTED_VALUE"""),"%")</f>
        <v>%</v>
      </c>
      <c r="M39" s="49">
        <f>IFERROR(__xludf.DUMMYFUNCTION("""COMPUTED_VALUE"""),1.0)</f>
        <v>1</v>
      </c>
      <c r="N39" s="50" t="str">
        <f>IFERROR(__xludf.DUMMYFUNCTION("""COMPUTED_VALUE"""),"A204")</f>
        <v>A204</v>
      </c>
      <c r="O39" s="38" t="str">
        <f>IFERROR(__xludf.DUMMYFUNCTION("""COMPUTED_VALUE"""),"")</f>
        <v/>
      </c>
      <c r="P39" s="45">
        <f>IFERROR(__xludf.DUMMYFUNCTION("""COMPUTED_VALUE"""),105.0045309713818)</f>
        <v>105.004531</v>
      </c>
      <c r="Q39" s="46" t="str">
        <f>IFERROR(__xludf.DUMMYFUNCTION("""COMPUTED_VALUE"""),"AP")</f>
        <v>AP</v>
      </c>
      <c r="R39" s="47">
        <f>IFERROR(__xludf.DUMMYFUNCTION("""COMPUTED_VALUE"""),16.18977756743966)</f>
        <v>16.18977757</v>
      </c>
      <c r="S39" s="48" t="str">
        <f>IFERROR(__xludf.DUMMYFUNCTION("""COMPUTED_VALUE"""),"%")</f>
        <v>%</v>
      </c>
      <c r="T39" s="49">
        <f>IFERROR(__xludf.DUMMYFUNCTION("""COMPUTED_VALUE"""),2.0)</f>
        <v>2</v>
      </c>
      <c r="U39" s="50" t="str">
        <f>IFERROR(__xludf.DUMMYFUNCTION("""COMPUTED_VALUE"""),"B115")</f>
        <v>B115</v>
      </c>
      <c r="V39" s="38" t="str">
        <f>IFERROR(__xludf.DUMMYFUNCTION("""COMPUTED_VALUE"""),"")</f>
        <v/>
      </c>
      <c r="W39" s="45">
        <f>IFERROR(__xludf.DUMMYFUNCTION("""COMPUTED_VALUE"""),77.92988241419708)</f>
        <v>77.92988241</v>
      </c>
      <c r="X39" s="46" t="str">
        <f>IFERROR(__xludf.DUMMYFUNCTION("""COMPUTED_VALUE"""),"AP")</f>
        <v>AP</v>
      </c>
      <c r="Y39" s="47">
        <f>IFERROR(__xludf.DUMMYFUNCTION("""COMPUTED_VALUE"""),21.814481779460483)</f>
        <v>21.81448178</v>
      </c>
      <c r="Z39" s="48" t="str">
        <f>IFERROR(__xludf.DUMMYFUNCTION("""COMPUTED_VALUE"""),"%")</f>
        <v>%</v>
      </c>
      <c r="AA39" s="49">
        <f>IFERROR(__xludf.DUMMYFUNCTION("""COMPUTED_VALUE"""),3.0)</f>
        <v>3</v>
      </c>
      <c r="AB39" s="50"/>
      <c r="AC39" s="38"/>
      <c r="AD39" s="45" t="str">
        <f>IFERROR(__xludf.DUMMYFUNCTION("""COMPUTED_VALUE"""),"")</f>
        <v/>
      </c>
      <c r="AE39" s="46" t="str">
        <f>IFERROR(__xludf.DUMMYFUNCTION("""COMPUTED_VALUE"""),"AP")</f>
        <v>AP</v>
      </c>
      <c r="AF39" s="47" t="str">
        <f>IFERROR(__xludf.DUMMYFUNCTION("""COMPUTED_VALUE"""),"")</f>
        <v/>
      </c>
      <c r="AG39" s="48" t="str">
        <f>IFERROR(__xludf.DUMMYFUNCTION("""COMPUTED_VALUE"""),"%")</f>
        <v>%</v>
      </c>
      <c r="AH39" s="43">
        <f>IFERROR(__xludf.DUMMYFUNCTION("""COMPUTED_VALUE"""),17.0)</f>
        <v>17</v>
      </c>
      <c r="AI39" s="44">
        <f>IFERROR(__xludf.DUMMYFUNCTION("""COMPUTED_VALUE"""),2113.0)</f>
        <v>2113</v>
      </c>
      <c r="AJ39" s="42" t="str">
        <f>IFERROR(__xludf.DUMMYFUNCTION("""COMPUTED_VALUE"""),"Sunken Rock Seas")</f>
        <v>Sunken Rock Seas</v>
      </c>
    </row>
    <row r="40" ht="24.75" customHeight="1">
      <c r="A40" s="28">
        <f>IFERROR(__xludf.DUMMYFUNCTION("""COMPUTED_VALUE"""),15.0)</f>
        <v>15</v>
      </c>
      <c r="B40" s="28" t="str">
        <f>IFERROR(__xludf.DUMMYFUNCTION("""COMPUTED_VALUE"""),"A302")</f>
        <v>A302</v>
      </c>
      <c r="C40" s="28" t="str">
        <f>IFERROR(__xludf.DUMMYFUNCTION("""COMPUTED_VALUE"""),"LDN7")</f>
        <v>LDN7</v>
      </c>
      <c r="D40" s="29" t="str">
        <f>IFERROR(__xludf.DUMMYFUNCTION("""COMPUTED_VALUE"""),"London")</f>
        <v>London</v>
      </c>
      <c r="E40" s="30" t="str">
        <f>IFERROR(__xludf.DUMMYFUNCTION("""COMPUTED_VALUE"""),"Clerkenwell")</f>
        <v>Clerkenwell</v>
      </c>
      <c r="F40" s="31">
        <f>IFERROR(__xludf.DUMMYFUNCTION("""COMPUTED_VALUE"""),18.0)</f>
        <v>18</v>
      </c>
      <c r="G40" s="32">
        <f>IFERROR(__xludf.DUMMYFUNCTION("""COMPUTED_VALUE"""),5274.0)</f>
        <v>5274</v>
      </c>
      <c r="H40" s="33" t="str">
        <f>IFERROR(__xludf.DUMMYFUNCTION("""COMPUTED_VALUE"""),"")</f>
        <v/>
      </c>
      <c r="I40" s="34">
        <f>IFERROR(__xludf.DUMMYFUNCTION("""COMPUTED_VALUE"""),51.62175800656012)</f>
        <v>51.62175801</v>
      </c>
      <c r="J40" s="35" t="str">
        <f>IFERROR(__xludf.DUMMYFUNCTION("""COMPUTED_VALUE"""),"AP")</f>
        <v>AP</v>
      </c>
      <c r="K40" s="34">
        <f>IFERROR(__xludf.DUMMYFUNCTION("""COMPUTED_VALUE"""),34.86901782328403)</f>
        <v>34.86901782</v>
      </c>
      <c r="L40" s="35" t="str">
        <f>IFERROR(__xludf.DUMMYFUNCTION("""COMPUTED_VALUE"""),"%")</f>
        <v>%</v>
      </c>
      <c r="M40" s="36">
        <f>IFERROR(__xludf.DUMMYFUNCTION("""COMPUTED_VALUE"""),1.0)</f>
        <v>1</v>
      </c>
      <c r="N40" s="37" t="str">
        <f>IFERROR(__xludf.DUMMYFUNCTION("""COMPUTED_VALUE"""),"A206")</f>
        <v>A206</v>
      </c>
      <c r="O40" s="38" t="str">
        <f>IFERROR(__xludf.DUMMYFUNCTION("""COMPUTED_VALUE"""),"")</f>
        <v/>
      </c>
      <c r="P40" s="34">
        <f>IFERROR(__xludf.DUMMYFUNCTION("""COMPUTED_VALUE"""),72.34612007998828)</f>
        <v>72.34612008</v>
      </c>
      <c r="Q40" s="35" t="str">
        <f>IFERROR(__xludf.DUMMYFUNCTION("""COMPUTED_VALUE"""),"AP")</f>
        <v>AP</v>
      </c>
      <c r="R40" s="34">
        <f>IFERROR(__xludf.DUMMYFUNCTION("""COMPUTED_VALUE"""),24.880394387561626)</f>
        <v>24.88039439</v>
      </c>
      <c r="S40" s="35" t="str">
        <f>IFERROR(__xludf.DUMMYFUNCTION("""COMPUTED_VALUE"""),"%")</f>
        <v>%</v>
      </c>
      <c r="T40" s="36">
        <f>IFERROR(__xludf.DUMMYFUNCTION("""COMPUTED_VALUE"""),2.0)</f>
        <v>2</v>
      </c>
      <c r="U40" s="37" t="str">
        <f>IFERROR(__xludf.DUMMYFUNCTION("""COMPUTED_VALUE"""),"B106")</f>
        <v>B106</v>
      </c>
      <c r="V40" s="38" t="str">
        <f>IFERROR(__xludf.DUMMYFUNCTION("""COMPUTED_VALUE"""),"")</f>
        <v/>
      </c>
      <c r="W40" s="34">
        <f>IFERROR(__xludf.DUMMYFUNCTION("""COMPUTED_VALUE"""),607.6036866359447)</f>
        <v>607.6036866</v>
      </c>
      <c r="X40" s="35" t="str">
        <f>IFERROR(__xludf.DUMMYFUNCTION("""COMPUTED_VALUE"""),"AP")</f>
        <v>AP</v>
      </c>
      <c r="Y40" s="34">
        <f>IFERROR(__xludf.DUMMYFUNCTION("""COMPUTED_VALUE"""),2.962457337883959)</f>
        <v>2.962457338</v>
      </c>
      <c r="Z40" s="35" t="str">
        <f>IFERROR(__xludf.DUMMYFUNCTION("""COMPUTED_VALUE"""),"%")</f>
        <v>%</v>
      </c>
      <c r="AA40" s="36">
        <f>IFERROR(__xludf.DUMMYFUNCTION("""COMPUTED_VALUE"""),3.0)</f>
        <v>3</v>
      </c>
      <c r="AB40" s="37" t="str">
        <f>IFERROR(__xludf.DUMMYFUNCTION("""COMPUTED_VALUE"""),"B116")</f>
        <v>B116</v>
      </c>
      <c r="AC40" s="38" t="str">
        <f>IFERROR(__xludf.DUMMYFUNCTION("""COMPUTED_VALUE"""),"")</f>
        <v/>
      </c>
      <c r="AD40" s="34">
        <f>IFERROR(__xludf.DUMMYFUNCTION("""COMPUTED_VALUE"""),119.28888084682892)</f>
        <v>119.2888808</v>
      </c>
      <c r="AE40" s="35" t="str">
        <f>IFERROR(__xludf.DUMMYFUNCTION("""COMPUTED_VALUE"""),"AP")</f>
        <v>AP</v>
      </c>
      <c r="AF40" s="34">
        <f>IFERROR(__xludf.DUMMYFUNCTION("""COMPUTED_VALUE"""),15.089419795221842)</f>
        <v>15.0894198</v>
      </c>
      <c r="AG40" s="35" t="str">
        <f>IFERROR(__xludf.DUMMYFUNCTION("""COMPUTED_VALUE"""),"%")</f>
        <v>%</v>
      </c>
      <c r="AH40" s="31">
        <f>IFERROR(__xludf.DUMMYFUNCTION("""COMPUTED_VALUE"""),18.0)</f>
        <v>18</v>
      </c>
      <c r="AI40" s="32">
        <f>IFERROR(__xludf.DUMMYFUNCTION("""COMPUTED_VALUE"""),5274.0)</f>
        <v>5274</v>
      </c>
      <c r="AJ40" s="30" t="str">
        <f>IFERROR(__xludf.DUMMYFUNCTION("""COMPUTED_VALUE"""),"Clerkenwell")</f>
        <v>Clerkenwell</v>
      </c>
    </row>
    <row r="41" ht="24.75" customHeight="1">
      <c r="A41" s="40">
        <f>IFERROR(__xludf.DUMMYFUNCTION("""COMPUTED_VALUE"""),16.0)</f>
        <v>16</v>
      </c>
      <c r="B41" s="40" t="str">
        <f>IFERROR(__xludf.DUMMYFUNCTION("""COMPUTED_VALUE"""),"A302")</f>
        <v>A302</v>
      </c>
      <c r="C41" s="40" t="str">
        <f>IFERROR(__xludf.DUMMYFUNCTION("""COMPUTED_VALUE"""),"SMS5")</f>
        <v>SMS5</v>
      </c>
      <c r="D41" s="41" t="str">
        <f>IFERROR(__xludf.DUMMYFUNCTION("""COMPUTED_VALUE"""),"Shimosa")</f>
        <v>Shimosa</v>
      </c>
      <c r="E41" s="42" t="str">
        <f>IFERROR(__xludf.DUMMYFUNCTION("""COMPUTED_VALUE"""),"Battlefield")</f>
        <v>Battlefield</v>
      </c>
      <c r="F41" s="43">
        <f>IFERROR(__xludf.DUMMYFUNCTION("""COMPUTED_VALUE"""),21.0)</f>
        <v>21</v>
      </c>
      <c r="G41" s="44">
        <f>IFERROR(__xludf.DUMMYFUNCTION("""COMPUTED_VALUE"""),110709.0)</f>
        <v>110709</v>
      </c>
      <c r="H41" s="33" t="str">
        <f>IFERROR(__xludf.DUMMYFUNCTION("""COMPUTED_VALUE"""),"")</f>
        <v/>
      </c>
      <c r="I41" s="45">
        <f>IFERROR(__xludf.DUMMYFUNCTION("""COMPUTED_VALUE"""),52.630541179626036)</f>
        <v>52.63054118</v>
      </c>
      <c r="J41" s="46" t="str">
        <f>IFERROR(__xludf.DUMMYFUNCTION("""COMPUTED_VALUE"""),"AP")</f>
        <v>AP</v>
      </c>
      <c r="K41" s="47">
        <f>IFERROR(__xludf.DUMMYFUNCTION("""COMPUTED_VALUE"""),39.90078674723826)</f>
        <v>39.90078675</v>
      </c>
      <c r="L41" s="48" t="str">
        <f>IFERROR(__xludf.DUMMYFUNCTION("""COMPUTED_VALUE"""),"%")</f>
        <v>%</v>
      </c>
      <c r="M41" s="49">
        <f>IFERROR(__xludf.DUMMYFUNCTION("""COMPUTED_VALUE"""),1.0)</f>
        <v>1</v>
      </c>
      <c r="N41" s="50" t="str">
        <f>IFERROR(__xludf.DUMMYFUNCTION("""COMPUTED_VALUE"""),"A212")</f>
        <v>A212</v>
      </c>
      <c r="O41" s="38" t="str">
        <f>IFERROR(__xludf.DUMMYFUNCTION("""COMPUTED_VALUE"""),"")</f>
        <v/>
      </c>
      <c r="P41" s="45">
        <f>IFERROR(__xludf.DUMMYFUNCTION("""COMPUTED_VALUE"""),83.30136080434045)</f>
        <v>83.3013608</v>
      </c>
      <c r="Q41" s="46" t="str">
        <f>IFERROR(__xludf.DUMMYFUNCTION("""COMPUTED_VALUE"""),"AP")</f>
        <v>AP</v>
      </c>
      <c r="R41" s="47">
        <f>IFERROR(__xludf.DUMMYFUNCTION("""COMPUTED_VALUE"""),25.20967220370521)</f>
        <v>25.2096722</v>
      </c>
      <c r="S41" s="48" t="str">
        <f>IFERROR(__xludf.DUMMYFUNCTION("""COMPUTED_VALUE"""),"%")</f>
        <v>%</v>
      </c>
      <c r="T41" s="49">
        <f>IFERROR(__xludf.DUMMYFUNCTION("""COMPUTED_VALUE"""),2.0)</f>
        <v>2</v>
      </c>
      <c r="U41" s="50" t="str">
        <f>IFERROR(__xludf.DUMMYFUNCTION("""COMPUTED_VALUE"""),"A304")</f>
        <v>A304</v>
      </c>
      <c r="V41" s="38" t="str">
        <f>IFERROR(__xludf.DUMMYFUNCTION("""COMPUTED_VALUE"""),"")</f>
        <v/>
      </c>
      <c r="W41" s="45">
        <f>IFERROR(__xludf.DUMMYFUNCTION("""COMPUTED_VALUE"""),68.41034371409573)</f>
        <v>68.41034371</v>
      </c>
      <c r="X41" s="46" t="str">
        <f>IFERROR(__xludf.DUMMYFUNCTION("""COMPUTED_VALUE"""),"AP")</f>
        <v>AP</v>
      </c>
      <c r="Y41" s="47">
        <f>IFERROR(__xludf.DUMMYFUNCTION("""COMPUTED_VALUE"""),30.697112249229964)</f>
        <v>30.69711225</v>
      </c>
      <c r="Z41" s="48" t="str">
        <f>IFERROR(__xludf.DUMMYFUNCTION("""COMPUTED_VALUE"""),"%")</f>
        <v>%</v>
      </c>
      <c r="AA41" s="49">
        <f>IFERROR(__xludf.DUMMYFUNCTION("""COMPUTED_VALUE"""),3.0)</f>
        <v>3</v>
      </c>
      <c r="AB41" s="50" t="str">
        <f>IFERROR(__xludf.DUMMYFUNCTION("""COMPUTED_VALUE"""),"B111")</f>
        <v>B111</v>
      </c>
      <c r="AC41" s="38" t="str">
        <f>IFERROR(__xludf.DUMMYFUNCTION("""COMPUTED_VALUE"""),"")</f>
        <v/>
      </c>
      <c r="AD41" s="45">
        <f>IFERROR(__xludf.DUMMYFUNCTION("""COMPUTED_VALUE"""),136.3682926885222)</f>
        <v>136.3682927</v>
      </c>
      <c r="AE41" s="46" t="str">
        <f>IFERROR(__xludf.DUMMYFUNCTION("""COMPUTED_VALUE"""),"AP")</f>
        <v>AP</v>
      </c>
      <c r="AF41" s="47">
        <f>IFERROR(__xludf.DUMMYFUNCTION("""COMPUTED_VALUE"""),15.39947416366497)</f>
        <v>15.39947416</v>
      </c>
      <c r="AG41" s="48" t="str">
        <f>IFERROR(__xludf.DUMMYFUNCTION("""COMPUTED_VALUE"""),"%")</f>
        <v>%</v>
      </c>
      <c r="AH41" s="43">
        <f>IFERROR(__xludf.DUMMYFUNCTION("""COMPUTED_VALUE"""),21.0)</f>
        <v>21</v>
      </c>
      <c r="AI41" s="44">
        <f>IFERROR(__xludf.DUMMYFUNCTION("""COMPUTED_VALUE"""),110709.0)</f>
        <v>110709</v>
      </c>
      <c r="AJ41" s="42" t="str">
        <f>IFERROR(__xludf.DUMMYFUNCTION("""COMPUTED_VALUE"""),"Battlefield")</f>
        <v>Battlefield</v>
      </c>
    </row>
    <row r="42" ht="24.75" customHeight="1">
      <c r="A42" s="28">
        <f>IFERROR(__xludf.DUMMYFUNCTION("""COMPUTED_VALUE"""),17.0)</f>
        <v>17</v>
      </c>
      <c r="B42" s="28" t="str">
        <f>IFERROR(__xludf.DUMMYFUNCTION("""COMPUTED_VALUE"""),"A302")</f>
        <v>A302</v>
      </c>
      <c r="C42" s="28" t="str">
        <f>IFERROR(__xludf.DUMMYFUNCTION("""COMPUTED_VALUE"""),"LDN9")</f>
        <v>LDN9</v>
      </c>
      <c r="D42" s="29" t="str">
        <f>IFERROR(__xludf.DUMMYFUNCTION("""COMPUTED_VALUE"""),"London")</f>
        <v>London</v>
      </c>
      <c r="E42" s="30" t="str">
        <f>IFERROR(__xludf.DUMMYFUNCTION("""COMPUTED_VALUE"""),"Hyde Park")</f>
        <v>Hyde Park</v>
      </c>
      <c r="F42" s="31">
        <f>IFERROR(__xludf.DUMMYFUNCTION("""COMPUTED_VALUE"""),20.0)</f>
        <v>20</v>
      </c>
      <c r="G42" s="32">
        <f>IFERROR(__xludf.DUMMYFUNCTION("""COMPUTED_VALUE"""),18120.0)</f>
        <v>18120</v>
      </c>
      <c r="H42" s="33" t="str">
        <f>IFERROR(__xludf.DUMMYFUNCTION("""COMPUTED_VALUE"""),"")</f>
        <v/>
      </c>
      <c r="I42" s="34">
        <f>IFERROR(__xludf.DUMMYFUNCTION("""COMPUTED_VALUE"""),54.415476578371646)</f>
        <v>54.41547658</v>
      </c>
      <c r="J42" s="35" t="str">
        <f>IFERROR(__xludf.DUMMYFUNCTION("""COMPUTED_VALUE"""),"AP")</f>
        <v>AP</v>
      </c>
      <c r="K42" s="34">
        <f>IFERROR(__xludf.DUMMYFUNCTION("""COMPUTED_VALUE"""),36.75424944812362)</f>
        <v>36.75424945</v>
      </c>
      <c r="L42" s="35" t="str">
        <f>IFERROR(__xludf.DUMMYFUNCTION("""COMPUTED_VALUE"""),"%")</f>
        <v>%</v>
      </c>
      <c r="M42" s="36">
        <f>IFERROR(__xludf.DUMMYFUNCTION("""COMPUTED_VALUE"""),1.0)</f>
        <v>1</v>
      </c>
      <c r="N42" s="37" t="str">
        <f>IFERROR(__xludf.DUMMYFUNCTION("""COMPUTED_VALUE"""),"A207")</f>
        <v>A207</v>
      </c>
      <c r="O42" s="38" t="str">
        <f>IFERROR(__xludf.DUMMYFUNCTION("""COMPUTED_VALUE"""),"")</f>
        <v/>
      </c>
      <c r="P42" s="34">
        <f>IFERROR(__xludf.DUMMYFUNCTION("""COMPUTED_VALUE"""),74.34867971598149)</f>
        <v>74.34867972</v>
      </c>
      <c r="Q42" s="35" t="str">
        <f>IFERROR(__xludf.DUMMYFUNCTION("""COMPUTED_VALUE"""),"AP")</f>
        <v>AP</v>
      </c>
      <c r="R42" s="34">
        <f>IFERROR(__xludf.DUMMYFUNCTION("""COMPUTED_VALUE"""),26.900275938189846)</f>
        <v>26.90027594</v>
      </c>
      <c r="S42" s="35" t="str">
        <f>IFERROR(__xludf.DUMMYFUNCTION("""COMPUTED_VALUE"""),"%")</f>
        <v>%</v>
      </c>
      <c r="T42" s="36">
        <f>IFERROR(__xludf.DUMMYFUNCTION("""COMPUTED_VALUE"""),2.0)</f>
        <v>2</v>
      </c>
      <c r="U42" s="37" t="str">
        <f>IFERROR(__xludf.DUMMYFUNCTION("""COMPUTED_VALUE"""),"B105")</f>
        <v>B105</v>
      </c>
      <c r="V42" s="38" t="str">
        <f>IFERROR(__xludf.DUMMYFUNCTION("""COMPUTED_VALUE"""),"")</f>
        <v/>
      </c>
      <c r="W42" s="34">
        <f>IFERROR(__xludf.DUMMYFUNCTION("""COMPUTED_VALUE"""),643.5458952639711)</f>
        <v>643.5458953</v>
      </c>
      <c r="X42" s="35" t="str">
        <f>IFERROR(__xludf.DUMMYFUNCTION("""COMPUTED_VALUE"""),"AP")</f>
        <v>AP</v>
      </c>
      <c r="Y42" s="34">
        <f>IFERROR(__xludf.DUMMYFUNCTION("""COMPUTED_VALUE"""),3.107781456953642)</f>
        <v>3.107781457</v>
      </c>
      <c r="Z42" s="35" t="str">
        <f>IFERROR(__xludf.DUMMYFUNCTION("""COMPUTED_VALUE"""),"%")</f>
        <v>%</v>
      </c>
      <c r="AA42" s="36">
        <f>IFERROR(__xludf.DUMMYFUNCTION("""COMPUTED_VALUE"""),3.0)</f>
        <v>3</v>
      </c>
      <c r="AB42" s="37" t="str">
        <f>IFERROR(__xludf.DUMMYFUNCTION("""COMPUTED_VALUE"""),"B115")</f>
        <v>B115</v>
      </c>
      <c r="AC42" s="38" t="str">
        <f>IFERROR(__xludf.DUMMYFUNCTION("""COMPUTED_VALUE"""),"")</f>
        <v/>
      </c>
      <c r="AD42" s="34">
        <f>IFERROR(__xludf.DUMMYFUNCTION("""COMPUTED_VALUE"""),130.8213516040416)</f>
        <v>130.8213516</v>
      </c>
      <c r="AE42" s="35" t="str">
        <f>IFERROR(__xludf.DUMMYFUNCTION("""COMPUTED_VALUE"""),"AP")</f>
        <v>AP</v>
      </c>
      <c r="AF42" s="34">
        <f>IFERROR(__xludf.DUMMYFUNCTION("""COMPUTED_VALUE"""),15.288024282560706)</f>
        <v>15.28802428</v>
      </c>
      <c r="AG42" s="35" t="str">
        <f>IFERROR(__xludf.DUMMYFUNCTION("""COMPUTED_VALUE"""),"%")</f>
        <v>%</v>
      </c>
      <c r="AH42" s="31">
        <f>IFERROR(__xludf.DUMMYFUNCTION("""COMPUTED_VALUE"""),20.0)</f>
        <v>20</v>
      </c>
      <c r="AI42" s="32">
        <f>IFERROR(__xludf.DUMMYFUNCTION("""COMPUTED_VALUE"""),18120.0)</f>
        <v>18120</v>
      </c>
      <c r="AJ42" s="30" t="str">
        <f>IFERROR(__xludf.DUMMYFUNCTION("""COMPUTED_VALUE"""),"Hyde Park")</f>
        <v>Hyde Park</v>
      </c>
    </row>
    <row r="43" ht="24.75" customHeight="1">
      <c r="A43" s="40">
        <f>IFERROR(__xludf.DUMMYFUNCTION("""COMPUTED_VALUE"""),18.0)</f>
        <v>18</v>
      </c>
      <c r="B43" s="40" t="str">
        <f>IFERROR(__xludf.DUMMYFUNCTION("""COMPUTED_VALUE"""),"A302")</f>
        <v>A302</v>
      </c>
      <c r="C43" s="40" t="str">
        <f>IFERROR(__xludf.DUMMYFUNCTION("""COMPUTED_VALUE"""),"ORL9")</f>
        <v>ORL9</v>
      </c>
      <c r="D43" s="41" t="str">
        <f>IFERROR(__xludf.DUMMYFUNCTION("""COMPUTED_VALUE"""),"Orleans")</f>
        <v>Orleans</v>
      </c>
      <c r="E43" s="42" t="str">
        <f>IFERROR(__xludf.DUMMYFUNCTION("""COMPUTED_VALUE"""),"Orleans")</f>
        <v>Orleans</v>
      </c>
      <c r="F43" s="43">
        <f>IFERROR(__xludf.DUMMYFUNCTION("""COMPUTED_VALUE"""),8.0)</f>
        <v>8</v>
      </c>
      <c r="G43" s="44">
        <f>IFERROR(__xludf.DUMMYFUNCTION("""COMPUTED_VALUE"""),1504.0)</f>
        <v>1504</v>
      </c>
      <c r="H43" s="33" t="str">
        <f>IFERROR(__xludf.DUMMYFUNCTION("""COMPUTED_VALUE"""),"")</f>
        <v/>
      </c>
      <c r="I43" s="45">
        <f>IFERROR(__xludf.DUMMYFUNCTION("""COMPUTED_VALUE"""),62.85326228908739)</f>
        <v>62.85326229</v>
      </c>
      <c r="J43" s="46" t="str">
        <f>IFERROR(__xludf.DUMMYFUNCTION("""COMPUTED_VALUE"""),"AP")</f>
        <v>AP</v>
      </c>
      <c r="K43" s="47">
        <f>IFERROR(__xludf.DUMMYFUNCTION("""COMPUTED_VALUE"""),12.728058510638299)</f>
        <v>12.72805851</v>
      </c>
      <c r="L43" s="48" t="str">
        <f>IFERROR(__xludf.DUMMYFUNCTION("""COMPUTED_VALUE"""),"%")</f>
        <v>%</v>
      </c>
      <c r="M43" s="49">
        <f>IFERROR(__xludf.DUMMYFUNCTION("""COMPUTED_VALUE"""),1.0)</f>
        <v>1</v>
      </c>
      <c r="N43" s="50" t="str">
        <f>IFERROR(__xludf.DUMMYFUNCTION("""COMPUTED_VALUE"""),"A303")</f>
        <v>A303</v>
      </c>
      <c r="O43" s="38" t="str">
        <f>IFERROR(__xludf.DUMMYFUNCTION("""COMPUTED_VALUE"""),"")</f>
        <v/>
      </c>
      <c r="P43" s="45">
        <f>IFERROR(__xludf.DUMMYFUNCTION("""COMPUTED_VALUE"""),76.56135662244282)</f>
        <v>76.56135662</v>
      </c>
      <c r="Q43" s="46" t="str">
        <f>IFERROR(__xludf.DUMMYFUNCTION("""COMPUTED_VALUE"""),"AP")</f>
        <v>AP</v>
      </c>
      <c r="R43" s="47"/>
      <c r="S43" s="48" t="str">
        <f>IFERROR(__xludf.DUMMYFUNCTION("""COMPUTED_VALUE"""),"%")</f>
        <v>%</v>
      </c>
      <c r="T43" s="49">
        <f>IFERROR(__xludf.DUMMYFUNCTION("""COMPUTED_VALUE"""),2.0)</f>
        <v>2</v>
      </c>
      <c r="U43" s="50" t="str">
        <f>IFERROR(__xludf.DUMMYFUNCTION("""COMPUTED_VALUE"""),"A304")</f>
        <v>A304</v>
      </c>
      <c r="V43" s="38" t="str">
        <f>IFERROR(__xludf.DUMMYFUNCTION("""COMPUTED_VALUE"""),"")</f>
        <v/>
      </c>
      <c r="W43" s="45">
        <f>IFERROR(__xludf.DUMMYFUNCTION("""COMPUTED_VALUE"""),92.86243516917757)</f>
        <v>92.86243517</v>
      </c>
      <c r="X43" s="46" t="str">
        <f>IFERROR(__xludf.DUMMYFUNCTION("""COMPUTED_VALUE"""),"AP")</f>
        <v>AP</v>
      </c>
      <c r="Y43" s="47">
        <f>IFERROR(__xludf.DUMMYFUNCTION("""COMPUTED_VALUE"""),8.614893617021277)</f>
        <v>8.614893617</v>
      </c>
      <c r="Z43" s="48" t="str">
        <f>IFERROR(__xludf.DUMMYFUNCTION("""COMPUTED_VALUE"""),"%")</f>
        <v>%</v>
      </c>
      <c r="AA43" s="49">
        <f>IFERROR(__xludf.DUMMYFUNCTION("""COMPUTED_VALUE"""),3.0)</f>
        <v>3</v>
      </c>
      <c r="AB43" s="50" t="str">
        <f>IFERROR(__xludf.DUMMYFUNCTION("""COMPUTED_VALUE"""),"B114")</f>
        <v>B114</v>
      </c>
      <c r="AC43" s="38" t="str">
        <f>IFERROR(__xludf.DUMMYFUNCTION("""COMPUTED_VALUE"""),"")</f>
        <v/>
      </c>
      <c r="AD43" s="45">
        <f>IFERROR(__xludf.DUMMYFUNCTION("""COMPUTED_VALUE"""),141.07268021003114)</f>
        <v>141.0726802</v>
      </c>
      <c r="AE43" s="46" t="str">
        <f>IFERROR(__xludf.DUMMYFUNCTION("""COMPUTED_VALUE"""),"AP")</f>
        <v>AP</v>
      </c>
      <c r="AF43" s="47">
        <f>IFERROR(__xludf.DUMMYFUNCTION("""COMPUTED_VALUE"""),5.670835762168465)</f>
        <v>5.670835762</v>
      </c>
      <c r="AG43" s="48" t="str">
        <f>IFERROR(__xludf.DUMMYFUNCTION("""COMPUTED_VALUE"""),"%")</f>
        <v>%</v>
      </c>
      <c r="AH43" s="43">
        <f>IFERROR(__xludf.DUMMYFUNCTION("""COMPUTED_VALUE"""),8.0)</f>
        <v>8</v>
      </c>
      <c r="AI43" s="44">
        <f>IFERROR(__xludf.DUMMYFUNCTION("""COMPUTED_VALUE"""),1504.0)</f>
        <v>1504</v>
      </c>
      <c r="AJ43" s="42" t="str">
        <f>IFERROR(__xludf.DUMMYFUNCTION("""COMPUTED_VALUE"""),"Orleans")</f>
        <v>Orleans</v>
      </c>
    </row>
    <row r="44" ht="24.75" customHeight="1">
      <c r="A44" s="28">
        <f>IFERROR(__xludf.DUMMYFUNCTION("""COMPUTED_VALUE"""),19.0)</f>
        <v>19</v>
      </c>
      <c r="B44" s="28" t="str">
        <f>IFERROR(__xludf.DUMMYFUNCTION("""COMPUTED_VALUE"""),"A302")</f>
        <v>A302</v>
      </c>
      <c r="C44" s="28" t="str">
        <f>IFERROR(__xludf.DUMMYFUNCTION("""COMPUTED_VALUE"""),"TRF2")</f>
        <v>TRF2</v>
      </c>
      <c r="D44" s="29" t="str">
        <f>IFERROR(__xludf.DUMMYFUNCTION("""COMPUTED_VALUE"""),"Chaldea Gate (Mon)")</f>
        <v>Chaldea Gate (Mon)</v>
      </c>
      <c r="E44" s="30" t="str">
        <f>IFERROR(__xludf.DUMMYFUNCTION("""COMPUTED_VALUE"""),"MON Archer Training Ground- Int")</f>
        <v>MON Archer Training Ground- Int</v>
      </c>
      <c r="F44" s="31">
        <f>IFERROR(__xludf.DUMMYFUNCTION("""COMPUTED_VALUE"""),20.0)</f>
        <v>20</v>
      </c>
      <c r="G44" s="32">
        <f>IFERROR(__xludf.DUMMYFUNCTION("""COMPUTED_VALUE"""),1232.0)</f>
        <v>1232</v>
      </c>
      <c r="H44" s="33" t="str">
        <f>IFERROR(__xludf.DUMMYFUNCTION("""COMPUTED_VALUE"""),"")</f>
        <v/>
      </c>
      <c r="I44" s="34">
        <f>IFERROR(__xludf.DUMMYFUNCTION("""COMPUTED_VALUE"""),65.98291513804462)</f>
        <v>65.98291514</v>
      </c>
      <c r="J44" s="35" t="str">
        <f>IFERROR(__xludf.DUMMYFUNCTION("""COMPUTED_VALUE"""),"AP")</f>
        <v>AP</v>
      </c>
      <c r="K44" s="34">
        <f>IFERROR(__xludf.DUMMYFUNCTION("""COMPUTED_VALUE"""),30.310876623376622)</f>
        <v>30.31087662</v>
      </c>
      <c r="L44" s="35" t="str">
        <f>IFERROR(__xludf.DUMMYFUNCTION("""COMPUTED_VALUE"""),"%")</f>
        <v>%</v>
      </c>
      <c r="M44" s="36">
        <f>IFERROR(__xludf.DUMMYFUNCTION("""COMPUTED_VALUE"""),1.0)</f>
        <v>1</v>
      </c>
      <c r="N44" s="37" t="str">
        <f>IFERROR(__xludf.DUMMYFUNCTION("""COMPUTED_VALUE"""),"A201")</f>
        <v>A201</v>
      </c>
      <c r="O44" s="38" t="str">
        <f>IFERROR(__xludf.DUMMYFUNCTION("""COMPUTED_VALUE"""),"")</f>
        <v/>
      </c>
      <c r="P44" s="34">
        <f>IFERROR(__xludf.DUMMYFUNCTION("""COMPUTED_VALUE"""),135.3652774878314)</f>
        <v>135.3652775</v>
      </c>
      <c r="Q44" s="35" t="str">
        <f>IFERROR(__xludf.DUMMYFUNCTION("""COMPUTED_VALUE"""),"AP")</f>
        <v>AP</v>
      </c>
      <c r="R44" s="34">
        <f>IFERROR(__xludf.DUMMYFUNCTION("""COMPUTED_VALUE"""),14.774837662337662)</f>
        <v>14.77483766</v>
      </c>
      <c r="S44" s="35" t="str">
        <f>IFERROR(__xludf.DUMMYFUNCTION("""COMPUTED_VALUE"""),"%")</f>
        <v>%</v>
      </c>
      <c r="T44" s="36">
        <f>IFERROR(__xludf.DUMMYFUNCTION("""COMPUTED_VALUE"""),2.0)</f>
        <v>2</v>
      </c>
      <c r="U44" s="37" t="str">
        <f>IFERROR(__xludf.DUMMYFUNCTION("""COMPUTED_VALUE"""),"A205")</f>
        <v>A205</v>
      </c>
      <c r="V44" s="38" t="str">
        <f>IFERROR(__xludf.DUMMYFUNCTION("""COMPUTED_VALUE"""),"")</f>
        <v/>
      </c>
      <c r="W44" s="34">
        <f>IFERROR(__xludf.DUMMYFUNCTION("""COMPUTED_VALUE"""),3126.1101243339253)</f>
        <v>3126.110124</v>
      </c>
      <c r="X44" s="35" t="str">
        <f>IFERROR(__xludf.DUMMYFUNCTION("""COMPUTED_VALUE"""),"AP")</f>
        <v>AP</v>
      </c>
      <c r="Y44" s="34">
        <f>IFERROR(__xludf.DUMMYFUNCTION("""COMPUTED_VALUE"""),0.6397727272727273)</f>
        <v>0.6397727273</v>
      </c>
      <c r="Z44" s="35" t="str">
        <f>IFERROR(__xludf.DUMMYFUNCTION("""COMPUTED_VALUE"""),"%")</f>
        <v>%</v>
      </c>
      <c r="AA44" s="36">
        <f>IFERROR(__xludf.DUMMYFUNCTION("""COMPUTED_VALUE"""),3.0)</f>
        <v>3</v>
      </c>
      <c r="AB44" s="37" t="str">
        <f>IFERROR(__xludf.DUMMYFUNCTION("""COMPUTED_VALUE"""),"A209")</f>
        <v>A209</v>
      </c>
      <c r="AC44" s="38" t="str">
        <f>IFERROR(__xludf.DUMMYFUNCTION("""COMPUTED_VALUE"""),"")</f>
        <v/>
      </c>
      <c r="AD44" s="34">
        <f>IFERROR(__xludf.DUMMYFUNCTION("""COMPUTED_VALUE"""),190.8538852398067)</f>
        <v>190.8538852</v>
      </c>
      <c r="AE44" s="35" t="str">
        <f>IFERROR(__xludf.DUMMYFUNCTION("""COMPUTED_VALUE"""),"AP")</f>
        <v>AP</v>
      </c>
      <c r="AF44" s="34">
        <f>IFERROR(__xludf.DUMMYFUNCTION("""COMPUTED_VALUE"""),10.479220779220778)</f>
        <v>10.47922078</v>
      </c>
      <c r="AG44" s="35" t="str">
        <f>IFERROR(__xludf.DUMMYFUNCTION("""COMPUTED_VALUE"""),"%")</f>
        <v>%</v>
      </c>
      <c r="AH44" s="31">
        <f>IFERROR(__xludf.DUMMYFUNCTION("""COMPUTED_VALUE"""),20.0)</f>
        <v>20</v>
      </c>
      <c r="AI44" s="32">
        <f>IFERROR(__xludf.DUMMYFUNCTION("""COMPUTED_VALUE"""),1232.0)</f>
        <v>1232</v>
      </c>
      <c r="AJ44" s="30" t="str">
        <f>IFERROR(__xludf.DUMMYFUNCTION("""COMPUTED_VALUE"""),"MON Archer Training Ground- Int")</f>
        <v>MON Archer Training Ground- Int</v>
      </c>
    </row>
    <row r="45" ht="24.75" customHeight="1">
      <c r="A45" s="40">
        <f>IFERROR(__xludf.DUMMYFUNCTION("""COMPUTED_VALUE"""),20.0)</f>
        <v>20</v>
      </c>
      <c r="B45" s="40" t="str">
        <f>IFERROR(__xludf.DUMMYFUNCTION("""COMPUTED_VALUE"""),"A302")</f>
        <v>A302</v>
      </c>
      <c r="C45" s="40" t="str">
        <f>IFERROR(__xludf.DUMMYFUNCTION("""COMPUTED_VALUE"""),"LDN8")</f>
        <v>LDN8</v>
      </c>
      <c r="D45" s="41" t="str">
        <f>IFERROR(__xludf.DUMMYFUNCTION("""COMPUTED_VALUE"""),"London")</f>
        <v>London</v>
      </c>
      <c r="E45" s="42" t="str">
        <f>IFERROR(__xludf.DUMMYFUNCTION("""COMPUTED_VALUE"""),"Southwark")</f>
        <v>Southwark</v>
      </c>
      <c r="F45" s="43">
        <f>IFERROR(__xludf.DUMMYFUNCTION("""COMPUTED_VALUE"""),19.0)</f>
        <v>19</v>
      </c>
      <c r="G45" s="44">
        <f>IFERROR(__xludf.DUMMYFUNCTION("""COMPUTED_VALUE"""),10119.0)</f>
        <v>10119</v>
      </c>
      <c r="H45" s="33" t="str">
        <f>IFERROR(__xludf.DUMMYFUNCTION("""COMPUTED_VALUE"""),"")</f>
        <v/>
      </c>
      <c r="I45" s="45">
        <f>IFERROR(__xludf.DUMMYFUNCTION("""COMPUTED_VALUE"""),68.479040201397)</f>
        <v>68.4790402</v>
      </c>
      <c r="J45" s="46" t="str">
        <f>IFERROR(__xludf.DUMMYFUNCTION("""COMPUTED_VALUE"""),"AP")</f>
        <v>AP</v>
      </c>
      <c r="K45" s="47">
        <f>IFERROR(__xludf.DUMMYFUNCTION("""COMPUTED_VALUE"""),27.745715979839908)</f>
        <v>27.74571598</v>
      </c>
      <c r="L45" s="48" t="str">
        <f>IFERROR(__xludf.DUMMYFUNCTION("""COMPUTED_VALUE"""),"%")</f>
        <v>%</v>
      </c>
      <c r="M45" s="49">
        <f>IFERROR(__xludf.DUMMYFUNCTION("""COMPUTED_VALUE"""),1.0)</f>
        <v>1</v>
      </c>
      <c r="N45" s="50" t="str">
        <f>IFERROR(__xludf.DUMMYFUNCTION("""COMPUTED_VALUE"""),"A208")</f>
        <v>A208</v>
      </c>
      <c r="O45" s="38" t="str">
        <f>IFERROR(__xludf.DUMMYFUNCTION("""COMPUTED_VALUE"""),"")</f>
        <v/>
      </c>
      <c r="P45" s="45">
        <f>IFERROR(__xludf.DUMMYFUNCTION("""COMPUTED_VALUE"""),62.150574548783545)</f>
        <v>62.15057455</v>
      </c>
      <c r="Q45" s="46" t="str">
        <f>IFERROR(__xludf.DUMMYFUNCTION("""COMPUTED_VALUE"""),"AP")</f>
        <v>AP</v>
      </c>
      <c r="R45" s="47">
        <f>IFERROR(__xludf.DUMMYFUNCTION("""COMPUTED_VALUE"""),30.5709160984287)</f>
        <v>30.5709161</v>
      </c>
      <c r="S45" s="48" t="str">
        <f>IFERROR(__xludf.DUMMYFUNCTION("""COMPUTED_VALUE"""),"%")</f>
        <v>%</v>
      </c>
      <c r="T45" s="49">
        <f>IFERROR(__xludf.DUMMYFUNCTION("""COMPUTED_VALUE"""),2.0)</f>
        <v>2</v>
      </c>
      <c r="U45" s="50" t="str">
        <f>IFERROR(__xludf.DUMMYFUNCTION("""COMPUTED_VALUE"""),"B113")</f>
        <v>B113</v>
      </c>
      <c r="V45" s="38" t="str">
        <f>IFERROR(__xludf.DUMMYFUNCTION("""COMPUTED_VALUE"""),"")</f>
        <v/>
      </c>
      <c r="W45" s="45">
        <f>IFERROR(__xludf.DUMMYFUNCTION("""COMPUTED_VALUE"""),193.07461643365139)</f>
        <v>193.0746164</v>
      </c>
      <c r="X45" s="46" t="str">
        <f>IFERROR(__xludf.DUMMYFUNCTION("""COMPUTED_VALUE"""),"AP")</f>
        <v>AP</v>
      </c>
      <c r="Y45" s="47">
        <f>IFERROR(__xludf.DUMMYFUNCTION("""COMPUTED_VALUE"""),9.84075501531772)</f>
        <v>9.840755015</v>
      </c>
      <c r="Z45" s="48" t="str">
        <f>IFERROR(__xludf.DUMMYFUNCTION("""COMPUTED_VALUE"""),"%")</f>
        <v>%</v>
      </c>
      <c r="AA45" s="49">
        <f>IFERROR(__xludf.DUMMYFUNCTION("""COMPUTED_VALUE"""),3.0)</f>
        <v>3</v>
      </c>
      <c r="AB45" s="50"/>
      <c r="AC45" s="38"/>
      <c r="AD45" s="45" t="str">
        <f>IFERROR(__xludf.DUMMYFUNCTION("""COMPUTED_VALUE"""),"")</f>
        <v/>
      </c>
      <c r="AE45" s="46" t="str">
        <f>IFERROR(__xludf.DUMMYFUNCTION("""COMPUTED_VALUE"""),"AP")</f>
        <v>AP</v>
      </c>
      <c r="AF45" s="47" t="str">
        <f>IFERROR(__xludf.DUMMYFUNCTION("""COMPUTED_VALUE"""),"")</f>
        <v/>
      </c>
      <c r="AG45" s="48" t="str">
        <f>IFERROR(__xludf.DUMMYFUNCTION("""COMPUTED_VALUE"""),"%")</f>
        <v>%</v>
      </c>
      <c r="AH45" s="43">
        <f>IFERROR(__xludf.DUMMYFUNCTION("""COMPUTED_VALUE"""),19.0)</f>
        <v>19</v>
      </c>
      <c r="AI45" s="44">
        <f>IFERROR(__xludf.DUMMYFUNCTION("""COMPUTED_VALUE"""),10119.0)</f>
        <v>10119</v>
      </c>
      <c r="AJ45" s="42" t="str">
        <f>IFERROR(__xludf.DUMMYFUNCTION("""COMPUTED_VALUE"""),"Southwark")</f>
        <v>Southwark</v>
      </c>
    </row>
    <row r="46">
      <c r="A46" s="52"/>
      <c r="B46" s="53"/>
      <c r="C46" s="54"/>
      <c r="D46" s="56"/>
      <c r="E46" s="56"/>
      <c r="F46" s="53"/>
      <c r="G46" s="53"/>
      <c r="H46" s="53"/>
      <c r="I46" s="53"/>
      <c r="J46" s="57"/>
      <c r="K46" s="53"/>
      <c r="L46" s="57"/>
      <c r="M46" s="53"/>
      <c r="N46" s="53"/>
      <c r="O46" s="53"/>
      <c r="P46" s="53"/>
      <c r="Q46" s="57"/>
      <c r="R46" s="53"/>
      <c r="S46" s="57"/>
      <c r="T46" s="53"/>
      <c r="U46" s="53"/>
      <c r="V46" s="53"/>
      <c r="W46" s="53"/>
      <c r="X46" s="57"/>
      <c r="Y46" s="53"/>
      <c r="Z46" s="57"/>
      <c r="AA46" s="53"/>
      <c r="AB46" s="53"/>
      <c r="AC46" s="53"/>
      <c r="AD46" s="53"/>
      <c r="AE46" s="57"/>
      <c r="AF46" s="53"/>
      <c r="AG46" s="57"/>
      <c r="AH46" s="53"/>
      <c r="AI46" s="53"/>
      <c r="AJ46" s="56"/>
    </row>
    <row r="47">
      <c r="A47" s="59"/>
      <c r="B47" s="60"/>
      <c r="C47" s="61"/>
      <c r="D47" s="63"/>
      <c r="E47" s="63"/>
      <c r="F47" s="60"/>
      <c r="G47" s="60"/>
      <c r="H47" s="60"/>
      <c r="I47" s="60"/>
      <c r="J47" s="64"/>
      <c r="K47" s="60"/>
      <c r="L47" s="64"/>
      <c r="M47" s="60"/>
      <c r="N47" s="60"/>
      <c r="O47" s="60"/>
      <c r="P47" s="60"/>
      <c r="Q47" s="64"/>
      <c r="R47" s="60"/>
      <c r="S47" s="64"/>
      <c r="T47" s="60"/>
      <c r="U47" s="60"/>
      <c r="V47" s="60"/>
      <c r="W47" s="60"/>
      <c r="X47" s="64"/>
      <c r="Y47" s="60"/>
      <c r="Z47" s="64"/>
      <c r="AA47" s="60"/>
      <c r="AB47" s="60"/>
      <c r="AC47" s="60"/>
      <c r="AD47" s="60"/>
      <c r="AE47" s="64"/>
      <c r="AF47" s="60"/>
      <c r="AG47" s="64"/>
      <c r="AH47" s="60"/>
      <c r="AI47" s="60"/>
      <c r="AJ47" s="63"/>
    </row>
    <row r="48" ht="33.0" customHeight="1">
      <c r="A48" s="24" t="str">
        <f>IFERROR(__xludf.DUMMYFUNCTION("""COMPUTED_VALUE""")," ")</f>
        <v> </v>
      </c>
      <c r="B48" s="21" t="str">
        <f>IFERROR(__xludf.DUMMYFUNCTION("""COMPUTED_VALUE"""),"A303")</f>
        <v>A303</v>
      </c>
      <c r="C48" s="20"/>
      <c r="D48" s="257" t="str">
        <f>IFERROR(__xludf.DUMMYFUNCTION("""COMPUTED_VALUE"""),"")</f>
        <v/>
      </c>
      <c r="E48" s="23" t="str">
        <f>IFERROR(__xludf.DUMMYFUNCTION("""COMPUTED_VALUE"""),"Dragon Fang")</f>
        <v>Dragon Fang</v>
      </c>
      <c r="F48" s="24"/>
      <c r="G48" s="24"/>
      <c r="H48" s="25"/>
      <c r="I48" s="25"/>
      <c r="J48" s="26"/>
      <c r="K48" s="25"/>
      <c r="L48" s="26"/>
      <c r="M48" s="25"/>
      <c r="N48" s="25"/>
      <c r="O48" s="25"/>
      <c r="P48" s="25"/>
      <c r="Q48" s="26"/>
      <c r="R48" s="25"/>
      <c r="S48" s="26"/>
      <c r="T48" s="25"/>
      <c r="U48" s="25"/>
      <c r="V48" s="25"/>
      <c r="W48" s="25"/>
      <c r="X48" s="26"/>
      <c r="Y48" s="25"/>
      <c r="Z48" s="26"/>
      <c r="AA48" s="25"/>
      <c r="AB48" s="25"/>
      <c r="AC48" s="25"/>
      <c r="AD48" s="25"/>
      <c r="AE48" s="26"/>
      <c r="AF48" s="25"/>
      <c r="AG48" s="26"/>
      <c r="AH48" s="24"/>
      <c r="AI48" s="25"/>
      <c r="AJ48" s="23"/>
    </row>
    <row r="49" ht="24.75" customHeight="1">
      <c r="A49" s="28">
        <f>IFERROR(__xludf.DUMMYFUNCTION("""COMPUTED_VALUE"""),1.0)</f>
        <v>1</v>
      </c>
      <c r="B49" s="28" t="str">
        <f>IFERROR(__xludf.DUMMYFUNCTION("""COMPUTED_VALUE"""),"A303")</f>
        <v>A303</v>
      </c>
      <c r="C49" s="28" t="str">
        <f>IFERROR(__xludf.DUMMYFUNCTION("""COMPUTED_VALUE"""),"EPU4")</f>
        <v>EPU4</v>
      </c>
      <c r="D49" s="29" t="str">
        <f>IFERROR(__xludf.DUMMYFUNCTION("""COMPUTED_VALUE"""),"E Pluribus Unum")</f>
        <v>E Pluribus Unum</v>
      </c>
      <c r="E49" s="30" t="str">
        <f>IFERROR(__xludf.DUMMYFUNCTION("""COMPUTED_VALUE"""),"Deming")</f>
        <v>Deming</v>
      </c>
      <c r="F49" s="31">
        <f>IFERROR(__xludf.DUMMYFUNCTION("""COMPUTED_VALUE"""),17.0)</f>
        <v>17</v>
      </c>
      <c r="G49" s="32">
        <f>IFERROR(__xludf.DUMMYFUNCTION("""COMPUTED_VALUE"""),8782.0)</f>
        <v>8782</v>
      </c>
      <c r="H49" s="33" t="str">
        <f>IFERROR(__xludf.DUMMYFUNCTION("""COMPUTED_VALUE"""),"")</f>
        <v/>
      </c>
      <c r="I49" s="34">
        <f>IFERROR(__xludf.DUMMYFUNCTION("""COMPUTED_VALUE"""),27.46780455865323)</f>
        <v>27.46780456</v>
      </c>
      <c r="J49" s="35" t="str">
        <f>IFERROR(__xludf.DUMMYFUNCTION("""COMPUTED_VALUE"""),"AP")</f>
        <v>AP</v>
      </c>
      <c r="K49" s="34">
        <f>IFERROR(__xludf.DUMMYFUNCTION("""COMPUTED_VALUE"""),61.89063987148714)</f>
        <v>61.89063987</v>
      </c>
      <c r="L49" s="35" t="str">
        <f>IFERROR(__xludf.DUMMYFUNCTION("""COMPUTED_VALUE"""),"%")</f>
        <v>%</v>
      </c>
      <c r="M49" s="36">
        <f>IFERROR(__xludf.DUMMYFUNCTION("""COMPUTED_VALUE"""),1.0)</f>
        <v>1</v>
      </c>
      <c r="N49" s="37" t="str">
        <f>IFERROR(__xludf.DUMMYFUNCTION("""COMPUTED_VALUE"""),"B114")</f>
        <v>B114</v>
      </c>
      <c r="O49" s="38" t="str">
        <f>IFERROR(__xludf.DUMMYFUNCTION("""COMPUTED_VALUE"""),"")</f>
        <v/>
      </c>
      <c r="P49" s="34">
        <f>IFERROR(__xludf.DUMMYFUNCTION("""COMPUTED_VALUE"""),233.67892238530877)</f>
        <v>233.6789224</v>
      </c>
      <c r="Q49" s="35" t="str">
        <f>IFERROR(__xludf.DUMMYFUNCTION("""COMPUTED_VALUE"""),"AP")</f>
        <v>AP</v>
      </c>
      <c r="R49" s="34">
        <f>IFERROR(__xludf.DUMMYFUNCTION("""COMPUTED_VALUE"""),7.274939402523015)</f>
        <v>7.274939403</v>
      </c>
      <c r="S49" s="35" t="str">
        <f>IFERROR(__xludf.DUMMYFUNCTION("""COMPUTED_VALUE"""),"%")</f>
        <v>%</v>
      </c>
      <c r="T49" s="36">
        <f>IFERROR(__xludf.DUMMYFUNCTION("""COMPUTED_VALUE"""),2.0)</f>
        <v>2</v>
      </c>
      <c r="U49" s="37"/>
      <c r="V49" s="38"/>
      <c r="W49" s="34" t="str">
        <f>IFERROR(__xludf.DUMMYFUNCTION("""COMPUTED_VALUE"""),"")</f>
        <v/>
      </c>
      <c r="X49" s="35" t="str">
        <f>IFERROR(__xludf.DUMMYFUNCTION("""COMPUTED_VALUE"""),"AP")</f>
        <v>AP</v>
      </c>
      <c r="Y49" s="34" t="str">
        <f>IFERROR(__xludf.DUMMYFUNCTION("""COMPUTED_VALUE"""),"")</f>
        <v/>
      </c>
      <c r="Z49" s="35" t="str">
        <f>IFERROR(__xludf.DUMMYFUNCTION("""COMPUTED_VALUE"""),"%")</f>
        <v>%</v>
      </c>
      <c r="AA49" s="36">
        <f>IFERROR(__xludf.DUMMYFUNCTION("""COMPUTED_VALUE"""),3.0)</f>
        <v>3</v>
      </c>
      <c r="AB49" s="37"/>
      <c r="AC49" s="38"/>
      <c r="AD49" s="34" t="str">
        <f>IFERROR(__xludf.DUMMYFUNCTION("""COMPUTED_VALUE"""),"")</f>
        <v/>
      </c>
      <c r="AE49" s="35" t="str">
        <f>IFERROR(__xludf.DUMMYFUNCTION("""COMPUTED_VALUE"""),"AP")</f>
        <v>AP</v>
      </c>
      <c r="AF49" s="34" t="str">
        <f>IFERROR(__xludf.DUMMYFUNCTION("""COMPUTED_VALUE"""),"")</f>
        <v/>
      </c>
      <c r="AG49" s="35" t="str">
        <f>IFERROR(__xludf.DUMMYFUNCTION("""COMPUTED_VALUE"""),"%")</f>
        <v>%</v>
      </c>
      <c r="AH49" s="31">
        <f>IFERROR(__xludf.DUMMYFUNCTION("""COMPUTED_VALUE"""),17.0)</f>
        <v>17</v>
      </c>
      <c r="AI49" s="32">
        <f>IFERROR(__xludf.DUMMYFUNCTION("""COMPUTED_VALUE"""),8782.0)</f>
        <v>8782</v>
      </c>
      <c r="AJ49" s="30" t="str">
        <f>IFERROR(__xludf.DUMMYFUNCTION("""COMPUTED_VALUE"""),"Deming")</f>
        <v>Deming</v>
      </c>
    </row>
    <row r="50" ht="24.75" customHeight="1">
      <c r="A50" s="40">
        <f>IFERROR(__xludf.DUMMYFUNCTION("""COMPUTED_VALUE"""),2.0)</f>
        <v>2</v>
      </c>
      <c r="B50" s="40" t="str">
        <f>IFERROR(__xludf.DUMMYFUNCTION("""COMPUTED_VALUE"""),"A303")</f>
        <v>A303</v>
      </c>
      <c r="C50" s="40" t="str">
        <f>IFERROR(__xludf.DUMMYFUNCTION("""COMPUTED_VALUE"""),"OKN7")</f>
        <v>OKN7</v>
      </c>
      <c r="D50" s="41" t="str">
        <f>IFERROR(__xludf.DUMMYFUNCTION("""COMPUTED_VALUE"""),"Okeanos")</f>
        <v>Okeanos</v>
      </c>
      <c r="E50" s="42" t="str">
        <f>IFERROR(__xludf.DUMMYFUNCTION("""COMPUTED_VALUE"""),"Island of Wyverns")</f>
        <v>Island of Wyverns</v>
      </c>
      <c r="F50" s="43">
        <f>IFERROR(__xludf.DUMMYFUNCTION("""COMPUTED_VALUE"""),14.0)</f>
        <v>14</v>
      </c>
      <c r="G50" s="44">
        <f>IFERROR(__xludf.DUMMYFUNCTION("""COMPUTED_VALUE"""),2460.0)</f>
        <v>2460</v>
      </c>
      <c r="H50" s="33" t="str">
        <f>IFERROR(__xludf.DUMMYFUNCTION("""COMPUTED_VALUE"""),"")</f>
        <v/>
      </c>
      <c r="I50" s="45">
        <f>IFERROR(__xludf.DUMMYFUNCTION("""COMPUTED_VALUE"""),27.54616021403463)</f>
        <v>27.54616021</v>
      </c>
      <c r="J50" s="46" t="str">
        <f>IFERROR(__xludf.DUMMYFUNCTION("""COMPUTED_VALUE"""),"AP")</f>
        <v>AP</v>
      </c>
      <c r="K50" s="47">
        <f>IFERROR(__xludf.DUMMYFUNCTION("""COMPUTED_VALUE"""),50.823780487804875)</f>
        <v>50.82378049</v>
      </c>
      <c r="L50" s="48" t="str">
        <f>IFERROR(__xludf.DUMMYFUNCTION("""COMPUTED_VALUE"""),"%")</f>
        <v>%</v>
      </c>
      <c r="M50" s="49">
        <f>IFERROR(__xludf.DUMMYFUNCTION("""COMPUTED_VALUE"""),1.0)</f>
        <v>1</v>
      </c>
      <c r="N50" s="50" t="str">
        <f>IFERROR(__xludf.DUMMYFUNCTION("""COMPUTED_VALUE"""),"B114")</f>
        <v>B114</v>
      </c>
      <c r="O50" s="38" t="str">
        <f>IFERROR(__xludf.DUMMYFUNCTION("""COMPUTED_VALUE"""),"")</f>
        <v/>
      </c>
      <c r="P50" s="45">
        <f>IFERROR(__xludf.DUMMYFUNCTION("""COMPUTED_VALUE"""),288.56304985337243)</f>
        <v>288.5630499</v>
      </c>
      <c r="Q50" s="46" t="str">
        <f>IFERROR(__xludf.DUMMYFUNCTION("""COMPUTED_VALUE"""),"AP")</f>
        <v>AP</v>
      </c>
      <c r="R50" s="47">
        <f>IFERROR(__xludf.DUMMYFUNCTION("""COMPUTED_VALUE"""),4.8516260162601625)</f>
        <v>4.851626016</v>
      </c>
      <c r="S50" s="48" t="str">
        <f>IFERROR(__xludf.DUMMYFUNCTION("""COMPUTED_VALUE"""),"%")</f>
        <v>%</v>
      </c>
      <c r="T50" s="49">
        <f>IFERROR(__xludf.DUMMYFUNCTION("""COMPUTED_VALUE"""),2.0)</f>
        <v>2</v>
      </c>
      <c r="U50" s="50"/>
      <c r="V50" s="38"/>
      <c r="W50" s="45" t="str">
        <f>IFERROR(__xludf.DUMMYFUNCTION("""COMPUTED_VALUE"""),"")</f>
        <v/>
      </c>
      <c r="X50" s="46" t="str">
        <f>IFERROR(__xludf.DUMMYFUNCTION("""COMPUTED_VALUE"""),"AP")</f>
        <v>AP</v>
      </c>
      <c r="Y50" s="47" t="str">
        <f>IFERROR(__xludf.DUMMYFUNCTION("""COMPUTED_VALUE"""),"")</f>
        <v/>
      </c>
      <c r="Z50" s="48" t="str">
        <f>IFERROR(__xludf.DUMMYFUNCTION("""COMPUTED_VALUE"""),"%")</f>
        <v>%</v>
      </c>
      <c r="AA50" s="49">
        <f>IFERROR(__xludf.DUMMYFUNCTION("""COMPUTED_VALUE"""),3.0)</f>
        <v>3</v>
      </c>
      <c r="AB50" s="50"/>
      <c r="AC50" s="38"/>
      <c r="AD50" s="45" t="str">
        <f>IFERROR(__xludf.DUMMYFUNCTION("""COMPUTED_VALUE"""),"")</f>
        <v/>
      </c>
      <c r="AE50" s="46" t="str">
        <f>IFERROR(__xludf.DUMMYFUNCTION("""COMPUTED_VALUE"""),"AP")</f>
        <v>AP</v>
      </c>
      <c r="AF50" s="47" t="str">
        <f>IFERROR(__xludf.DUMMYFUNCTION("""COMPUTED_VALUE"""),"")</f>
        <v/>
      </c>
      <c r="AG50" s="48" t="str">
        <f>IFERROR(__xludf.DUMMYFUNCTION("""COMPUTED_VALUE"""),"%")</f>
        <v>%</v>
      </c>
      <c r="AH50" s="43">
        <f>IFERROR(__xludf.DUMMYFUNCTION("""COMPUTED_VALUE"""),14.0)</f>
        <v>14</v>
      </c>
      <c r="AI50" s="44">
        <f>IFERROR(__xludf.DUMMYFUNCTION("""COMPUTED_VALUE"""),2460.0)</f>
        <v>2460</v>
      </c>
      <c r="AJ50" s="42" t="str">
        <f>IFERROR(__xludf.DUMMYFUNCTION("""COMPUTED_VALUE"""),"Island of Wyverns")</f>
        <v>Island of Wyverns</v>
      </c>
    </row>
    <row r="51" ht="24.75" customHeight="1">
      <c r="A51" s="28">
        <f>IFERROR(__xludf.DUMMYFUNCTION("""COMPUTED_VALUE"""),3.0)</f>
        <v>3</v>
      </c>
      <c r="B51" s="28" t="str">
        <f>IFERROR(__xludf.DUMMYFUNCTION("""COMPUTED_VALUE"""),"A303")</f>
        <v>A303</v>
      </c>
      <c r="C51" s="28" t="str">
        <f>IFERROR(__xludf.DUMMYFUNCTION("""COMPUTED_VALUE"""),"BBL7")</f>
        <v>BBL7</v>
      </c>
      <c r="D51" s="29" t="str">
        <f>IFERROR(__xludf.DUMMYFUNCTION("""COMPUTED_VALUE"""),"Babylonia")</f>
        <v>Babylonia</v>
      </c>
      <c r="E51" s="30" t="str">
        <f>IFERROR(__xludf.DUMMYFUNCTION("""COMPUTED_VALUE"""),"Eridu")</f>
        <v>Eridu</v>
      </c>
      <c r="F51" s="31">
        <f>IFERROR(__xludf.DUMMYFUNCTION("""COMPUTED_VALUE"""),21.0)</f>
        <v>21</v>
      </c>
      <c r="G51" s="32">
        <f>IFERROR(__xludf.DUMMYFUNCTION("""COMPUTED_VALUE"""),16632.0)</f>
        <v>16632</v>
      </c>
      <c r="H51" s="33" t="str">
        <f>IFERROR(__xludf.DUMMYFUNCTION("""COMPUTED_VALUE"""),"")</f>
        <v/>
      </c>
      <c r="I51" s="34">
        <f>IFERROR(__xludf.DUMMYFUNCTION("""COMPUTED_VALUE"""),33.39493358340587)</f>
        <v>33.39493358</v>
      </c>
      <c r="J51" s="35" t="str">
        <f>IFERROR(__xludf.DUMMYFUNCTION("""COMPUTED_VALUE"""),"AP")</f>
        <v>AP</v>
      </c>
      <c r="K51" s="34">
        <f>IFERROR(__xludf.DUMMYFUNCTION("""COMPUTED_VALUE"""),62.88379028379028)</f>
        <v>62.88379028</v>
      </c>
      <c r="L51" s="35" t="str">
        <f>IFERROR(__xludf.DUMMYFUNCTION("""COMPUTED_VALUE"""),"%")</f>
        <v>%</v>
      </c>
      <c r="M51" s="36">
        <f>IFERROR(__xludf.DUMMYFUNCTION("""COMPUTED_VALUE"""),1.0)</f>
        <v>1</v>
      </c>
      <c r="N51" s="37" t="str">
        <f>IFERROR(__xludf.DUMMYFUNCTION("""COMPUTED_VALUE"""),"B114")</f>
        <v>B114</v>
      </c>
      <c r="O51" s="38" t="str">
        <f>IFERROR(__xludf.DUMMYFUNCTION("""COMPUTED_VALUE"""),"")</f>
        <v/>
      </c>
      <c r="P51" s="34">
        <f>IFERROR(__xludf.DUMMYFUNCTION("""COMPUTED_VALUE"""),106.75727002772838)</f>
        <v>106.75727</v>
      </c>
      <c r="Q51" s="35" t="str">
        <f>IFERROR(__xludf.DUMMYFUNCTION("""COMPUTED_VALUE"""),"AP")</f>
        <v>AP</v>
      </c>
      <c r="R51" s="34">
        <f>IFERROR(__xludf.DUMMYFUNCTION("""COMPUTED_VALUE"""),19.670791501642565)</f>
        <v>19.6707915</v>
      </c>
      <c r="S51" s="35" t="str">
        <f>IFERROR(__xludf.DUMMYFUNCTION("""COMPUTED_VALUE"""),"%")</f>
        <v>%</v>
      </c>
      <c r="T51" s="36">
        <f>IFERROR(__xludf.DUMMYFUNCTION("""COMPUTED_VALUE"""),2.0)</f>
        <v>2</v>
      </c>
      <c r="U51" s="37"/>
      <c r="V51" s="38"/>
      <c r="W51" s="34" t="str">
        <f>IFERROR(__xludf.DUMMYFUNCTION("""COMPUTED_VALUE"""),"")</f>
        <v/>
      </c>
      <c r="X51" s="35" t="str">
        <f>IFERROR(__xludf.DUMMYFUNCTION("""COMPUTED_VALUE"""),"AP")</f>
        <v>AP</v>
      </c>
      <c r="Y51" s="34" t="str">
        <f>IFERROR(__xludf.DUMMYFUNCTION("""COMPUTED_VALUE"""),"")</f>
        <v/>
      </c>
      <c r="Z51" s="35" t="str">
        <f>IFERROR(__xludf.DUMMYFUNCTION("""COMPUTED_VALUE"""),"%")</f>
        <v>%</v>
      </c>
      <c r="AA51" s="36">
        <f>IFERROR(__xludf.DUMMYFUNCTION("""COMPUTED_VALUE"""),3.0)</f>
        <v>3</v>
      </c>
      <c r="AB51" s="37"/>
      <c r="AC51" s="38"/>
      <c r="AD51" s="34" t="str">
        <f>IFERROR(__xludf.DUMMYFUNCTION("""COMPUTED_VALUE"""),"")</f>
        <v/>
      </c>
      <c r="AE51" s="35" t="str">
        <f>IFERROR(__xludf.DUMMYFUNCTION("""COMPUTED_VALUE"""),"AP")</f>
        <v>AP</v>
      </c>
      <c r="AF51" s="34" t="str">
        <f>IFERROR(__xludf.DUMMYFUNCTION("""COMPUTED_VALUE"""),"")</f>
        <v/>
      </c>
      <c r="AG51" s="35" t="str">
        <f>IFERROR(__xludf.DUMMYFUNCTION("""COMPUTED_VALUE"""),"%")</f>
        <v>%</v>
      </c>
      <c r="AH51" s="31">
        <f>IFERROR(__xludf.DUMMYFUNCTION("""COMPUTED_VALUE"""),21.0)</f>
        <v>21</v>
      </c>
      <c r="AI51" s="32">
        <f>IFERROR(__xludf.DUMMYFUNCTION("""COMPUTED_VALUE"""),16632.0)</f>
        <v>16632</v>
      </c>
      <c r="AJ51" s="30" t="str">
        <f>IFERROR(__xludf.DUMMYFUNCTION("""COMPUTED_VALUE"""),"Eridu")</f>
        <v>Eridu</v>
      </c>
    </row>
    <row r="52" ht="24.75" customHeight="1">
      <c r="A52" s="40">
        <f>IFERROR(__xludf.DUMMYFUNCTION("""COMPUTED_VALUE"""),4.0)</f>
        <v>4</v>
      </c>
      <c r="B52" s="40" t="str">
        <f>IFERROR(__xludf.DUMMYFUNCTION("""COMPUTED_VALUE"""),"A303")</f>
        <v>A303</v>
      </c>
      <c r="C52" s="40" t="str">
        <f>IFERROR(__xludf.DUMMYFUNCTION("""COMPUTED_VALUE"""),"OKN4")</f>
        <v>OKN4</v>
      </c>
      <c r="D52" s="41" t="str">
        <f>IFERROR(__xludf.DUMMYFUNCTION("""COMPUTED_VALUE"""),"Okeanos")</f>
        <v>Okeanos</v>
      </c>
      <c r="E52" s="42" t="str">
        <f>IFERROR(__xludf.DUMMYFUNCTION("""COMPUTED_VALUE"""),"Mapped Island")</f>
        <v>Mapped Island</v>
      </c>
      <c r="F52" s="43">
        <f>IFERROR(__xludf.DUMMYFUNCTION("""COMPUTED_VALUE"""),13.0)</f>
        <v>13</v>
      </c>
      <c r="G52" s="44">
        <f>IFERROR(__xludf.DUMMYFUNCTION("""COMPUTED_VALUE"""),1932.0)</f>
        <v>1932</v>
      </c>
      <c r="H52" s="33" t="str">
        <f>IFERROR(__xludf.DUMMYFUNCTION("""COMPUTED_VALUE"""),"")</f>
        <v/>
      </c>
      <c r="I52" s="45">
        <f>IFERROR(__xludf.DUMMYFUNCTION("""COMPUTED_VALUE"""),35.40037548415468)</f>
        <v>35.40037548</v>
      </c>
      <c r="J52" s="46" t="str">
        <f>IFERROR(__xludf.DUMMYFUNCTION("""COMPUTED_VALUE"""),"AP")</f>
        <v>AP</v>
      </c>
      <c r="K52" s="47">
        <f>IFERROR(__xludf.DUMMYFUNCTION("""COMPUTED_VALUE"""),36.72277432712215)</f>
        <v>36.72277433</v>
      </c>
      <c r="L52" s="48" t="str">
        <f>IFERROR(__xludf.DUMMYFUNCTION("""COMPUTED_VALUE"""),"%")</f>
        <v>%</v>
      </c>
      <c r="M52" s="49">
        <f>IFERROR(__xludf.DUMMYFUNCTION("""COMPUTED_VALUE"""),1.0)</f>
        <v>1</v>
      </c>
      <c r="N52" s="50" t="str">
        <f>IFERROR(__xludf.DUMMYFUNCTION("""COMPUTED_VALUE"""),"A304")</f>
        <v>A304</v>
      </c>
      <c r="O52" s="38" t="str">
        <f>IFERROR(__xludf.DUMMYFUNCTION("""COMPUTED_VALUE"""),"")</f>
        <v/>
      </c>
      <c r="P52" s="45">
        <f>IFERROR(__xludf.DUMMYFUNCTION("""COMPUTED_VALUE"""),99.92361310035331)</f>
        <v>99.9236131</v>
      </c>
      <c r="Q52" s="46" t="str">
        <f>IFERROR(__xludf.DUMMYFUNCTION("""COMPUTED_VALUE"""),"AP")</f>
        <v>AP</v>
      </c>
      <c r="R52" s="47">
        <f>IFERROR(__xludf.DUMMYFUNCTION("""COMPUTED_VALUE"""),13.009937888198756)</f>
        <v>13.00993789</v>
      </c>
      <c r="S52" s="48" t="str">
        <f>IFERROR(__xludf.DUMMYFUNCTION("""COMPUTED_VALUE"""),"%")</f>
        <v>%</v>
      </c>
      <c r="T52" s="49">
        <f>IFERROR(__xludf.DUMMYFUNCTION("""COMPUTED_VALUE"""),2.0)</f>
        <v>2</v>
      </c>
      <c r="U52" s="50"/>
      <c r="V52" s="38"/>
      <c r="W52" s="45" t="str">
        <f>IFERROR(__xludf.DUMMYFUNCTION("""COMPUTED_VALUE"""),"")</f>
        <v/>
      </c>
      <c r="X52" s="46" t="str">
        <f>IFERROR(__xludf.DUMMYFUNCTION("""COMPUTED_VALUE"""),"AP")</f>
        <v>AP</v>
      </c>
      <c r="Y52" s="47" t="str">
        <f>IFERROR(__xludf.DUMMYFUNCTION("""COMPUTED_VALUE"""),"")</f>
        <v/>
      </c>
      <c r="Z52" s="48" t="str">
        <f>IFERROR(__xludf.DUMMYFUNCTION("""COMPUTED_VALUE"""),"%")</f>
        <v>%</v>
      </c>
      <c r="AA52" s="49">
        <f>IFERROR(__xludf.DUMMYFUNCTION("""COMPUTED_VALUE"""),3.0)</f>
        <v>3</v>
      </c>
      <c r="AB52" s="50"/>
      <c r="AC52" s="38"/>
      <c r="AD52" s="45" t="str">
        <f>IFERROR(__xludf.DUMMYFUNCTION("""COMPUTED_VALUE"""),"")</f>
        <v/>
      </c>
      <c r="AE52" s="46" t="str">
        <f>IFERROR(__xludf.DUMMYFUNCTION("""COMPUTED_VALUE"""),"AP")</f>
        <v>AP</v>
      </c>
      <c r="AF52" s="47" t="str">
        <f>IFERROR(__xludf.DUMMYFUNCTION("""COMPUTED_VALUE"""),"")</f>
        <v/>
      </c>
      <c r="AG52" s="48" t="str">
        <f>IFERROR(__xludf.DUMMYFUNCTION("""COMPUTED_VALUE"""),"%")</f>
        <v>%</v>
      </c>
      <c r="AH52" s="43">
        <f>IFERROR(__xludf.DUMMYFUNCTION("""COMPUTED_VALUE"""),13.0)</f>
        <v>13</v>
      </c>
      <c r="AI52" s="44">
        <f>IFERROR(__xludf.DUMMYFUNCTION("""COMPUTED_VALUE"""),1932.0)</f>
        <v>1932</v>
      </c>
      <c r="AJ52" s="42" t="str">
        <f>IFERROR(__xludf.DUMMYFUNCTION("""COMPUTED_VALUE"""),"Mapped Island")</f>
        <v>Mapped Island</v>
      </c>
    </row>
    <row r="53" ht="24.75" customHeight="1">
      <c r="A53" s="28">
        <f>IFERROR(__xludf.DUMMYFUNCTION("""COMPUTED_VALUE"""),5.0)</f>
        <v>5</v>
      </c>
      <c r="B53" s="28" t="str">
        <f>IFERROR(__xludf.DUMMYFUNCTION("""COMPUTED_VALUE"""),"A303")</f>
        <v>A303</v>
      </c>
      <c r="C53" s="28" t="str">
        <f>IFERROR(__xludf.DUMMYFUNCTION("""COMPUTED_VALUE"""),"AGT8")</f>
        <v>AGT8</v>
      </c>
      <c r="D53" s="29" t="str">
        <f>IFERROR(__xludf.DUMMYFUNCTION("""COMPUTED_VALUE"""),"Agartha")</f>
        <v>Agartha</v>
      </c>
      <c r="E53" s="30" t="str">
        <f>IFERROR(__xludf.DUMMYFUNCTION("""COMPUTED_VALUE"""),"Foothills Jungle")</f>
        <v>Foothills Jungle</v>
      </c>
      <c r="F53" s="31">
        <f>IFERROR(__xludf.DUMMYFUNCTION("""COMPUTED_VALUE"""),21.0)</f>
        <v>21</v>
      </c>
      <c r="G53" s="32">
        <f>IFERROR(__xludf.DUMMYFUNCTION("""COMPUTED_VALUE"""),23183.0)</f>
        <v>23183</v>
      </c>
      <c r="H53" s="33" t="str">
        <f>IFERROR(__xludf.DUMMYFUNCTION("""COMPUTED_VALUE"""),"")</f>
        <v/>
      </c>
      <c r="I53" s="34">
        <f>IFERROR(__xludf.DUMMYFUNCTION("""COMPUTED_VALUE"""),42.50641730839751)</f>
        <v>42.50641731</v>
      </c>
      <c r="J53" s="35" t="str">
        <f>IFERROR(__xludf.DUMMYFUNCTION("""COMPUTED_VALUE"""),"AP")</f>
        <v>AP</v>
      </c>
      <c r="K53" s="34">
        <f>IFERROR(__xludf.DUMMYFUNCTION("""COMPUTED_VALUE"""),49.40430487857482)</f>
        <v>49.40430488</v>
      </c>
      <c r="L53" s="35" t="str">
        <f>IFERROR(__xludf.DUMMYFUNCTION("""COMPUTED_VALUE"""),"%")</f>
        <v>%</v>
      </c>
      <c r="M53" s="36">
        <f>IFERROR(__xludf.DUMMYFUNCTION("""COMPUTED_VALUE"""),1.0)</f>
        <v>1</v>
      </c>
      <c r="N53" s="37" t="str">
        <f>IFERROR(__xludf.DUMMYFUNCTION("""COMPUTED_VALUE"""),"A201")</f>
        <v>A201</v>
      </c>
      <c r="O53" s="38" t="str">
        <f>IFERROR(__xludf.DUMMYFUNCTION("""COMPUTED_VALUE"""),"")</f>
        <v/>
      </c>
      <c r="P53" s="34">
        <f>IFERROR(__xludf.DUMMYFUNCTION("""COMPUTED_VALUE"""),137.24325543371015)</f>
        <v>137.2432554</v>
      </c>
      <c r="Q53" s="35" t="str">
        <f>IFERROR(__xludf.DUMMYFUNCTION("""COMPUTED_VALUE"""),"AP")</f>
        <v>AP</v>
      </c>
      <c r="R53" s="34">
        <f>IFERROR(__xludf.DUMMYFUNCTION("""COMPUTED_VALUE"""),15.301298365181383)</f>
        <v>15.30129837</v>
      </c>
      <c r="S53" s="35" t="str">
        <f>IFERROR(__xludf.DUMMYFUNCTION("""COMPUTED_VALUE"""),"%")</f>
        <v>%</v>
      </c>
      <c r="T53" s="36">
        <f>IFERROR(__xludf.DUMMYFUNCTION("""COMPUTED_VALUE"""),2.0)</f>
        <v>2</v>
      </c>
      <c r="U53" s="37" t="str">
        <f>IFERROR(__xludf.DUMMYFUNCTION("""COMPUTED_VALUE"""),"A205")</f>
        <v>A205</v>
      </c>
      <c r="V53" s="38" t="str">
        <f>IFERROR(__xludf.DUMMYFUNCTION("""COMPUTED_VALUE"""),"")</f>
        <v/>
      </c>
      <c r="W53" s="34">
        <f>IFERROR(__xludf.DUMMYFUNCTION("""COMPUTED_VALUE"""),146.8916513290891)</f>
        <v>146.8916513</v>
      </c>
      <c r="X53" s="35" t="str">
        <f>IFERROR(__xludf.DUMMYFUNCTION("""COMPUTED_VALUE"""),"AP")</f>
        <v>AP</v>
      </c>
      <c r="Y53" s="34">
        <f>IFERROR(__xludf.DUMMYFUNCTION("""COMPUTED_VALUE"""),14.296251563645775)</f>
        <v>14.29625156</v>
      </c>
      <c r="Z53" s="35" t="str">
        <f>IFERROR(__xludf.DUMMYFUNCTION("""COMPUTED_VALUE"""),"%")</f>
        <v>%</v>
      </c>
      <c r="AA53" s="36">
        <f>IFERROR(__xludf.DUMMYFUNCTION("""COMPUTED_VALUE"""),3.0)</f>
        <v>3</v>
      </c>
      <c r="AB53" s="37" t="str">
        <f>IFERROR(__xludf.DUMMYFUNCTION("""COMPUTED_VALUE"""),"B112")</f>
        <v>B112</v>
      </c>
      <c r="AC53" s="38" t="str">
        <f>IFERROR(__xludf.DUMMYFUNCTION("""COMPUTED_VALUE"""),"")</f>
        <v/>
      </c>
      <c r="AD53" s="34">
        <f>IFERROR(__xludf.DUMMYFUNCTION("""COMPUTED_VALUE"""),214.05377720151998)</f>
        <v>214.0537772</v>
      </c>
      <c r="AE53" s="35" t="str">
        <f>IFERROR(__xludf.DUMMYFUNCTION("""COMPUTED_VALUE"""),"AP")</f>
        <v>AP</v>
      </c>
      <c r="AF53" s="34">
        <f>IFERROR(__xludf.DUMMYFUNCTION("""COMPUTED_VALUE"""),9.810618749432132)</f>
        <v>9.810618749</v>
      </c>
      <c r="AG53" s="35" t="str">
        <f>IFERROR(__xludf.DUMMYFUNCTION("""COMPUTED_VALUE"""),"%")</f>
        <v>%</v>
      </c>
      <c r="AH53" s="31">
        <f>IFERROR(__xludf.DUMMYFUNCTION("""COMPUTED_VALUE"""),21.0)</f>
        <v>21</v>
      </c>
      <c r="AI53" s="32">
        <f>IFERROR(__xludf.DUMMYFUNCTION("""COMPUTED_VALUE"""),23183.0)</f>
        <v>23183</v>
      </c>
      <c r="AJ53" s="30" t="str">
        <f>IFERROR(__xludf.DUMMYFUNCTION("""COMPUTED_VALUE"""),"Foothills Jungle")</f>
        <v>Foothills Jungle</v>
      </c>
    </row>
    <row r="54" ht="24.75" customHeight="1">
      <c r="A54" s="40">
        <f>IFERROR(__xludf.DUMMYFUNCTION("""COMPUTED_VALUE"""),6.0)</f>
        <v>6</v>
      </c>
      <c r="B54" s="40" t="str">
        <f>IFERROR(__xludf.DUMMYFUNCTION("""COMPUTED_VALUE"""),"A303")</f>
        <v>A303</v>
      </c>
      <c r="C54" s="40" t="str">
        <f>IFERROR(__xludf.DUMMYFUNCTION("""COMPUTED_VALUE"""),"CML4")</f>
        <v>CML4</v>
      </c>
      <c r="D54" s="41" t="str">
        <f>IFERROR(__xludf.DUMMYFUNCTION("""COMPUTED_VALUE"""),"Camelot")</f>
        <v>Camelot</v>
      </c>
      <c r="E54" s="42" t="str">
        <f>IFERROR(__xludf.DUMMYFUNCTION("""COMPUTED_VALUE"""),"East Village")</f>
        <v>East Village</v>
      </c>
      <c r="F54" s="43">
        <f>IFERROR(__xludf.DUMMYFUNCTION("""COMPUTED_VALUE"""),19.0)</f>
        <v>19</v>
      </c>
      <c r="G54" s="44">
        <f>IFERROR(__xludf.DUMMYFUNCTION("""COMPUTED_VALUE"""),1479.0)</f>
        <v>1479</v>
      </c>
      <c r="H54" s="33" t="str">
        <f>IFERROR(__xludf.DUMMYFUNCTION("""COMPUTED_VALUE"""),"")</f>
        <v/>
      </c>
      <c r="I54" s="45">
        <f>IFERROR(__xludf.DUMMYFUNCTION("""COMPUTED_VALUE"""),45.64518224936651)</f>
        <v>45.64518225</v>
      </c>
      <c r="J54" s="46" t="str">
        <f>IFERROR(__xludf.DUMMYFUNCTION("""COMPUTED_VALUE"""),"AP")</f>
        <v>AP</v>
      </c>
      <c r="K54" s="47">
        <f>IFERROR(__xludf.DUMMYFUNCTION("""COMPUTED_VALUE"""),41.62542258282623)</f>
        <v>41.62542258</v>
      </c>
      <c r="L54" s="48" t="str">
        <f>IFERROR(__xludf.DUMMYFUNCTION("""COMPUTED_VALUE"""),"%")</f>
        <v>%</v>
      </c>
      <c r="M54" s="49">
        <f>IFERROR(__xludf.DUMMYFUNCTION("""COMPUTED_VALUE"""),1.0)</f>
        <v>1</v>
      </c>
      <c r="N54" s="50" t="str">
        <f>IFERROR(__xludf.DUMMYFUNCTION("""COMPUTED_VALUE"""),"A105")</f>
        <v>A105</v>
      </c>
      <c r="O54" s="38" t="str">
        <f>IFERROR(__xludf.DUMMYFUNCTION("""COMPUTED_VALUE"""),"")</f>
        <v/>
      </c>
      <c r="P54" s="45">
        <f>IFERROR(__xludf.DUMMYFUNCTION("""COMPUTED_VALUE"""),117.25360927981305)</f>
        <v>117.2536093</v>
      </c>
      <c r="Q54" s="46" t="str">
        <f>IFERROR(__xludf.DUMMYFUNCTION("""COMPUTED_VALUE"""),"AP")</f>
        <v>AP</v>
      </c>
      <c r="R54" s="47">
        <f>IFERROR(__xludf.DUMMYFUNCTION("""COMPUTED_VALUE"""),16.204192021636242)</f>
        <v>16.20419202</v>
      </c>
      <c r="S54" s="48" t="str">
        <f>IFERROR(__xludf.DUMMYFUNCTION("""COMPUTED_VALUE"""),"%")</f>
        <v>%</v>
      </c>
      <c r="T54" s="49">
        <f>IFERROR(__xludf.DUMMYFUNCTION("""COMPUTED_VALUE"""),2.0)</f>
        <v>2</v>
      </c>
      <c r="U54" s="50" t="str">
        <f>IFERROR(__xludf.DUMMYFUNCTION("""COMPUTED_VALUE"""),"B113")</f>
        <v>B113</v>
      </c>
      <c r="V54" s="38" t="str">
        <f>IFERROR(__xludf.DUMMYFUNCTION("""COMPUTED_VALUE"""),"")</f>
        <v/>
      </c>
      <c r="W54" s="45">
        <f>IFERROR(__xludf.DUMMYFUNCTION("""COMPUTED_VALUE"""),226.87870353156202)</f>
        <v>226.8787035</v>
      </c>
      <c r="X54" s="46" t="str">
        <f>IFERROR(__xludf.DUMMYFUNCTION("""COMPUTED_VALUE"""),"AP")</f>
        <v>AP</v>
      </c>
      <c r="Y54" s="47">
        <f>IFERROR(__xludf.DUMMYFUNCTION("""COMPUTED_VALUE"""),8.37451894084754)</f>
        <v>8.374518941</v>
      </c>
      <c r="Z54" s="48" t="str">
        <f>IFERROR(__xludf.DUMMYFUNCTION("""COMPUTED_VALUE"""),"%")</f>
        <v>%</v>
      </c>
      <c r="AA54" s="49">
        <f>IFERROR(__xludf.DUMMYFUNCTION("""COMPUTED_VALUE"""),3.0)</f>
        <v>3</v>
      </c>
      <c r="AB54" s="50"/>
      <c r="AC54" s="38"/>
      <c r="AD54" s="45" t="str">
        <f>IFERROR(__xludf.DUMMYFUNCTION("""COMPUTED_VALUE"""),"")</f>
        <v/>
      </c>
      <c r="AE54" s="46" t="str">
        <f>IFERROR(__xludf.DUMMYFUNCTION("""COMPUTED_VALUE"""),"AP")</f>
        <v>AP</v>
      </c>
      <c r="AF54" s="47" t="str">
        <f>IFERROR(__xludf.DUMMYFUNCTION("""COMPUTED_VALUE"""),"")</f>
        <v/>
      </c>
      <c r="AG54" s="48" t="str">
        <f>IFERROR(__xludf.DUMMYFUNCTION("""COMPUTED_VALUE"""),"%")</f>
        <v>%</v>
      </c>
      <c r="AH54" s="43">
        <f>IFERROR(__xludf.DUMMYFUNCTION("""COMPUTED_VALUE"""),19.0)</f>
        <v>19</v>
      </c>
      <c r="AI54" s="44">
        <f>IFERROR(__xludf.DUMMYFUNCTION("""COMPUTED_VALUE"""),1479.0)</f>
        <v>1479</v>
      </c>
      <c r="AJ54" s="42" t="str">
        <f>IFERROR(__xludf.DUMMYFUNCTION("""COMPUTED_VALUE"""),"East Village")</f>
        <v>East Village</v>
      </c>
    </row>
    <row r="55" ht="24.75" customHeight="1">
      <c r="A55" s="28">
        <f>IFERROR(__xludf.DUMMYFUNCTION("""COMPUTED_VALUE"""),7.0)</f>
        <v>7</v>
      </c>
      <c r="B55" s="28" t="str">
        <f>IFERROR(__xludf.DUMMYFUNCTION("""COMPUTED_VALUE"""),"A303")</f>
        <v>A303</v>
      </c>
      <c r="C55" s="28" t="str">
        <f>IFERROR(__xludf.DUMMYFUNCTION("""COMPUTED_VALUE"""),"ORL7")</f>
        <v>ORL7</v>
      </c>
      <c r="D55" s="29" t="str">
        <f>IFERROR(__xludf.DUMMYFUNCTION("""COMPUTED_VALUE"""),"Orleans")</f>
        <v>Orleans</v>
      </c>
      <c r="E55" s="30" t="str">
        <f>IFERROR(__xludf.DUMMYFUNCTION("""COMPUTED_VALUE"""),"Thiers")</f>
        <v>Thiers</v>
      </c>
      <c r="F55" s="31">
        <f>IFERROR(__xludf.DUMMYFUNCTION("""COMPUTED_VALUE"""),7.0)</f>
        <v>7</v>
      </c>
      <c r="G55" s="32">
        <f>IFERROR(__xludf.DUMMYFUNCTION("""COMPUTED_VALUE"""),2747.0)</f>
        <v>2747</v>
      </c>
      <c r="H55" s="33" t="str">
        <f>IFERROR(__xludf.DUMMYFUNCTION("""COMPUTED_VALUE"""),"")</f>
        <v/>
      </c>
      <c r="I55" s="34">
        <f>IFERROR(__xludf.DUMMYFUNCTION("""COMPUTED_VALUE"""),50.12577714635768)</f>
        <v>50.12577715</v>
      </c>
      <c r="J55" s="35" t="str">
        <f>IFERROR(__xludf.DUMMYFUNCTION("""COMPUTED_VALUE"""),"AP")</f>
        <v>AP</v>
      </c>
      <c r="K55" s="34">
        <f>IFERROR(__xludf.DUMMYFUNCTION("""COMPUTED_VALUE"""),13.964870768110666)</f>
        <v>13.96487077</v>
      </c>
      <c r="L55" s="35" t="str">
        <f>IFERROR(__xludf.DUMMYFUNCTION("""COMPUTED_VALUE"""),"%")</f>
        <v>%</v>
      </c>
      <c r="M55" s="36">
        <f>IFERROR(__xludf.DUMMYFUNCTION("""COMPUTED_VALUE"""),1.0)</f>
        <v>1</v>
      </c>
      <c r="N55" s="37" t="str">
        <f>IFERROR(__xludf.DUMMYFUNCTION("""COMPUTED_VALUE"""),"A304")</f>
        <v>A304</v>
      </c>
      <c r="O55" s="38" t="str">
        <f>IFERROR(__xludf.DUMMYFUNCTION("""COMPUTED_VALUE"""),"")</f>
        <v/>
      </c>
      <c r="P55" s="34">
        <f>IFERROR(__xludf.DUMMYFUNCTION("""COMPUTED_VALUE"""),78.69449560057295)</f>
        <v>78.6944956</v>
      </c>
      <c r="Q55" s="35" t="str">
        <f>IFERROR(__xludf.DUMMYFUNCTION("""COMPUTED_VALUE"""),"AP")</f>
        <v>AP</v>
      </c>
      <c r="R55" s="34">
        <f>IFERROR(__xludf.DUMMYFUNCTION("""COMPUTED_VALUE"""),8.89515835456862)</f>
        <v>8.895158355</v>
      </c>
      <c r="S55" s="35" t="str">
        <f>IFERROR(__xludf.DUMMYFUNCTION("""COMPUTED_VALUE"""),"%")</f>
        <v>%</v>
      </c>
      <c r="T55" s="36">
        <f>IFERROR(__xludf.DUMMYFUNCTION("""COMPUTED_VALUE"""),2.0)</f>
        <v>2</v>
      </c>
      <c r="U55" s="37"/>
      <c r="V55" s="38"/>
      <c r="W55" s="34" t="str">
        <f>IFERROR(__xludf.DUMMYFUNCTION("""COMPUTED_VALUE"""),"")</f>
        <v/>
      </c>
      <c r="X55" s="35" t="str">
        <f>IFERROR(__xludf.DUMMYFUNCTION("""COMPUTED_VALUE"""),"AP")</f>
        <v>AP</v>
      </c>
      <c r="Y55" s="34" t="str">
        <f>IFERROR(__xludf.DUMMYFUNCTION("""COMPUTED_VALUE"""),"")</f>
        <v/>
      </c>
      <c r="Z55" s="35" t="str">
        <f>IFERROR(__xludf.DUMMYFUNCTION("""COMPUTED_VALUE"""),"%")</f>
        <v>%</v>
      </c>
      <c r="AA55" s="36">
        <f>IFERROR(__xludf.DUMMYFUNCTION("""COMPUTED_VALUE"""),3.0)</f>
        <v>3</v>
      </c>
      <c r="AB55" s="37"/>
      <c r="AC55" s="38"/>
      <c r="AD55" s="34" t="str">
        <f>IFERROR(__xludf.DUMMYFUNCTION("""COMPUTED_VALUE"""),"")</f>
        <v/>
      </c>
      <c r="AE55" s="35" t="str">
        <f>IFERROR(__xludf.DUMMYFUNCTION("""COMPUTED_VALUE"""),"AP")</f>
        <v>AP</v>
      </c>
      <c r="AF55" s="34" t="str">
        <f>IFERROR(__xludf.DUMMYFUNCTION("""COMPUTED_VALUE"""),"")</f>
        <v/>
      </c>
      <c r="AG55" s="35" t="str">
        <f>IFERROR(__xludf.DUMMYFUNCTION("""COMPUTED_VALUE"""),"%")</f>
        <v>%</v>
      </c>
      <c r="AH55" s="31">
        <f>IFERROR(__xludf.DUMMYFUNCTION("""COMPUTED_VALUE"""),7.0)</f>
        <v>7</v>
      </c>
      <c r="AI55" s="32">
        <f>IFERROR(__xludf.DUMMYFUNCTION("""COMPUTED_VALUE"""),2747.0)</f>
        <v>2747</v>
      </c>
      <c r="AJ55" s="30" t="str">
        <f>IFERROR(__xludf.DUMMYFUNCTION("""COMPUTED_VALUE"""),"Thiers")</f>
        <v>Thiers</v>
      </c>
    </row>
    <row r="56" ht="24.75" customHeight="1">
      <c r="A56" s="40">
        <f>IFERROR(__xludf.DUMMYFUNCTION("""COMPUTED_VALUE"""),8.0)</f>
        <v>8</v>
      </c>
      <c r="B56" s="40" t="str">
        <f>IFERROR(__xludf.DUMMYFUNCTION("""COMPUTED_VALUE"""),"A303")</f>
        <v>A303</v>
      </c>
      <c r="C56" s="40" t="str">
        <f>IFERROR(__xludf.DUMMYFUNCTION("""COMPUTED_VALUE"""),"AGT1")</f>
        <v>AGT1</v>
      </c>
      <c r="D56" s="41" t="str">
        <f>IFERROR(__xludf.DUMMYFUNCTION("""COMPUTED_VALUE"""),"Agartha")</f>
        <v>Agartha</v>
      </c>
      <c r="E56" s="42" t="str">
        <f>IFERROR(__xludf.DUMMYFUNCTION("""COMPUTED_VALUE"""),"Underground Plains")</f>
        <v>Underground Plains</v>
      </c>
      <c r="F56" s="43">
        <f>IFERROR(__xludf.DUMMYFUNCTION("""COMPUTED_VALUE"""),20.0)</f>
        <v>20</v>
      </c>
      <c r="G56" s="44">
        <f>IFERROR(__xludf.DUMMYFUNCTION("""COMPUTED_VALUE"""),26982.0)</f>
        <v>26982</v>
      </c>
      <c r="H56" s="33" t="str">
        <f>IFERROR(__xludf.DUMMYFUNCTION("""COMPUTED_VALUE"""),"")</f>
        <v/>
      </c>
      <c r="I56" s="45">
        <f>IFERROR(__xludf.DUMMYFUNCTION("""COMPUTED_VALUE"""),50.1866514890269)</f>
        <v>50.18665149</v>
      </c>
      <c r="J56" s="46" t="str">
        <f>IFERROR(__xludf.DUMMYFUNCTION("""COMPUTED_VALUE"""),"AP")</f>
        <v>AP</v>
      </c>
      <c r="K56" s="47">
        <f>IFERROR(__xludf.DUMMYFUNCTION("""COMPUTED_VALUE"""),39.85123415610407)</f>
        <v>39.85123416</v>
      </c>
      <c r="L56" s="48" t="str">
        <f>IFERROR(__xludf.DUMMYFUNCTION("""COMPUTED_VALUE"""),"%")</f>
        <v>%</v>
      </c>
      <c r="M56" s="49">
        <f>IFERROR(__xludf.DUMMYFUNCTION("""COMPUTED_VALUE"""),1.0)</f>
        <v>1</v>
      </c>
      <c r="N56" s="50" t="str">
        <f>IFERROR(__xludf.DUMMYFUNCTION("""COMPUTED_VALUE"""),"A101")</f>
        <v>A101</v>
      </c>
      <c r="O56" s="38" t="str">
        <f>IFERROR(__xludf.DUMMYFUNCTION("""COMPUTED_VALUE"""),"")</f>
        <v/>
      </c>
      <c r="P56" s="45">
        <f>IFERROR(__xludf.DUMMYFUNCTION("""COMPUTED_VALUE"""),97.66002543973887)</f>
        <v>97.66002544</v>
      </c>
      <c r="Q56" s="46" t="str">
        <f>IFERROR(__xludf.DUMMYFUNCTION("""COMPUTED_VALUE"""),"AP")</f>
        <v>AP</v>
      </c>
      <c r="R56" s="47">
        <f>IFERROR(__xludf.DUMMYFUNCTION("""COMPUTED_VALUE"""),20.479208263509005)</f>
        <v>20.47920826</v>
      </c>
      <c r="S56" s="48" t="str">
        <f>IFERROR(__xludf.DUMMYFUNCTION("""COMPUTED_VALUE"""),"%")</f>
        <v>%</v>
      </c>
      <c r="T56" s="49">
        <f>IFERROR(__xludf.DUMMYFUNCTION("""COMPUTED_VALUE"""),2.0)</f>
        <v>2</v>
      </c>
      <c r="U56" s="50" t="str">
        <f>IFERROR(__xludf.DUMMYFUNCTION("""COMPUTED_VALUE"""),"B107")</f>
        <v>B107</v>
      </c>
      <c r="V56" s="38" t="str">
        <f>IFERROR(__xludf.DUMMYFUNCTION("""COMPUTED_VALUE"""),"")</f>
        <v/>
      </c>
      <c r="W56" s="45">
        <f>IFERROR(__xludf.DUMMYFUNCTION("""COMPUTED_VALUE"""),391.798684420695)</f>
        <v>391.7986844</v>
      </c>
      <c r="X56" s="46" t="str">
        <f>IFERROR(__xludf.DUMMYFUNCTION("""COMPUTED_VALUE"""),"AP")</f>
        <v>AP</v>
      </c>
      <c r="Y56" s="47">
        <f>IFERROR(__xludf.DUMMYFUNCTION("""COMPUTED_VALUE"""),5.104662367504262)</f>
        <v>5.104662368</v>
      </c>
      <c r="Z56" s="48" t="str">
        <f>IFERROR(__xludf.DUMMYFUNCTION("""COMPUTED_VALUE"""),"%")</f>
        <v>%</v>
      </c>
      <c r="AA56" s="49">
        <f>IFERROR(__xludf.DUMMYFUNCTION("""COMPUTED_VALUE"""),3.0)</f>
        <v>3</v>
      </c>
      <c r="AB56" s="50"/>
      <c r="AC56" s="38"/>
      <c r="AD56" s="45" t="str">
        <f>IFERROR(__xludf.DUMMYFUNCTION("""COMPUTED_VALUE"""),"")</f>
        <v/>
      </c>
      <c r="AE56" s="46" t="str">
        <f>IFERROR(__xludf.DUMMYFUNCTION("""COMPUTED_VALUE"""),"AP")</f>
        <v>AP</v>
      </c>
      <c r="AF56" s="47" t="str">
        <f>IFERROR(__xludf.DUMMYFUNCTION("""COMPUTED_VALUE"""),"")</f>
        <v/>
      </c>
      <c r="AG56" s="48" t="str">
        <f>IFERROR(__xludf.DUMMYFUNCTION("""COMPUTED_VALUE"""),"%")</f>
        <v>%</v>
      </c>
      <c r="AH56" s="43">
        <f>IFERROR(__xludf.DUMMYFUNCTION("""COMPUTED_VALUE"""),20.0)</f>
        <v>20</v>
      </c>
      <c r="AI56" s="44">
        <f>IFERROR(__xludf.DUMMYFUNCTION("""COMPUTED_VALUE"""),26982.0)</f>
        <v>26982</v>
      </c>
      <c r="AJ56" s="42" t="str">
        <f>IFERROR(__xludf.DUMMYFUNCTION("""COMPUTED_VALUE"""),"Underground Plains")</f>
        <v>Underground Plains</v>
      </c>
    </row>
    <row r="57" ht="24.75" customHeight="1">
      <c r="A57" s="28">
        <f>IFERROR(__xludf.DUMMYFUNCTION("""COMPUTED_VALUE"""),9.0)</f>
        <v>9</v>
      </c>
      <c r="B57" s="28" t="str">
        <f>IFERROR(__xludf.DUMMYFUNCTION("""COMPUTED_VALUE"""),"A303")</f>
        <v>A303</v>
      </c>
      <c r="C57" s="28" t="str">
        <f>IFERROR(__xludf.DUMMYFUNCTION("""COMPUTED_VALUE"""),"SLM11")</f>
        <v>SLM11</v>
      </c>
      <c r="D57" s="29" t="str">
        <f>IFERROR(__xludf.DUMMYFUNCTION("""COMPUTED_VALUE"""),"Salem")</f>
        <v>Salem</v>
      </c>
      <c r="E57" s="30" t="str">
        <f>IFERROR(__xludf.DUMMYFUNCTION("""COMPUTED_VALUE"""),"Jail")</f>
        <v>Jail</v>
      </c>
      <c r="F57" s="31">
        <f>IFERROR(__xludf.DUMMYFUNCTION("""COMPUTED_VALUE"""),21.0)</f>
        <v>21</v>
      </c>
      <c r="G57" s="32">
        <f>IFERROR(__xludf.DUMMYFUNCTION("""COMPUTED_VALUE"""),2812.0)</f>
        <v>2812</v>
      </c>
      <c r="H57" s="33" t="str">
        <f>IFERROR(__xludf.DUMMYFUNCTION("""COMPUTED_VALUE"""),"")</f>
        <v/>
      </c>
      <c r="I57" s="34">
        <f>IFERROR(__xludf.DUMMYFUNCTION("""COMPUTED_VALUE"""),52.34387745788208)</f>
        <v>52.34387746</v>
      </c>
      <c r="J57" s="35" t="str">
        <f>IFERROR(__xludf.DUMMYFUNCTION("""COMPUTED_VALUE"""),"AP")</f>
        <v>AP</v>
      </c>
      <c r="K57" s="34">
        <f>IFERROR(__xludf.DUMMYFUNCTION("""COMPUTED_VALUE"""),40.11930529391411)</f>
        <v>40.11930529</v>
      </c>
      <c r="L57" s="35" t="str">
        <f>IFERROR(__xludf.DUMMYFUNCTION("""COMPUTED_VALUE"""),"%")</f>
        <v>%</v>
      </c>
      <c r="M57" s="36">
        <f>IFERROR(__xludf.DUMMYFUNCTION("""COMPUTED_VALUE"""),1.0)</f>
        <v>1</v>
      </c>
      <c r="N57" s="37" t="str">
        <f>IFERROR(__xludf.DUMMYFUNCTION("""COMPUTED_VALUE"""),"A108")</f>
        <v>A108</v>
      </c>
      <c r="O57" s="38" t="str">
        <f>IFERROR(__xludf.DUMMYFUNCTION("""COMPUTED_VALUE"""),"")</f>
        <v/>
      </c>
      <c r="P57" s="34">
        <f>IFERROR(__xludf.DUMMYFUNCTION("""COMPUTED_VALUE"""),100.92633737822592)</f>
        <v>100.9263374</v>
      </c>
      <c r="Q57" s="35" t="str">
        <f>IFERROR(__xludf.DUMMYFUNCTION("""COMPUTED_VALUE"""),"AP")</f>
        <v>AP</v>
      </c>
      <c r="R57" s="34">
        <f>IFERROR(__xludf.DUMMYFUNCTION("""COMPUTED_VALUE"""),20.8072546230441)</f>
        <v>20.80725462</v>
      </c>
      <c r="S57" s="35" t="str">
        <f>IFERROR(__xludf.DUMMYFUNCTION("""COMPUTED_VALUE"""),"%")</f>
        <v>%</v>
      </c>
      <c r="T57" s="36">
        <f>IFERROR(__xludf.DUMMYFUNCTION("""COMPUTED_VALUE"""),2.0)</f>
        <v>2</v>
      </c>
      <c r="U57" s="37" t="str">
        <f>IFERROR(__xludf.DUMMYFUNCTION("""COMPUTED_VALUE"""),"B115")</f>
        <v>B115</v>
      </c>
      <c r="V57" s="38" t="str">
        <f>IFERROR(__xludf.DUMMYFUNCTION("""COMPUTED_VALUE"""),"")</f>
        <v/>
      </c>
      <c r="W57" s="34">
        <f>IFERROR(__xludf.DUMMYFUNCTION("""COMPUTED_VALUE"""),277.18304570275217)</f>
        <v>277.1830457</v>
      </c>
      <c r="X57" s="35" t="str">
        <f>IFERROR(__xludf.DUMMYFUNCTION("""COMPUTED_VALUE"""),"AP")</f>
        <v>AP</v>
      </c>
      <c r="Y57" s="34">
        <f>IFERROR(__xludf.DUMMYFUNCTION("""COMPUTED_VALUE"""),7.5762209577999045)</f>
        <v>7.576220958</v>
      </c>
      <c r="Z57" s="35" t="str">
        <f>IFERROR(__xludf.DUMMYFUNCTION("""COMPUTED_VALUE"""),"%")</f>
        <v>%</v>
      </c>
      <c r="AA57" s="36">
        <f>IFERROR(__xludf.DUMMYFUNCTION("""COMPUTED_VALUE"""),3.0)</f>
        <v>3</v>
      </c>
      <c r="AB57" s="37"/>
      <c r="AC57" s="38"/>
      <c r="AD57" s="34" t="str">
        <f>IFERROR(__xludf.DUMMYFUNCTION("""COMPUTED_VALUE"""),"")</f>
        <v/>
      </c>
      <c r="AE57" s="35" t="str">
        <f>IFERROR(__xludf.DUMMYFUNCTION("""COMPUTED_VALUE"""),"AP")</f>
        <v>AP</v>
      </c>
      <c r="AF57" s="34" t="str">
        <f>IFERROR(__xludf.DUMMYFUNCTION("""COMPUTED_VALUE"""),"")</f>
        <v/>
      </c>
      <c r="AG57" s="35" t="str">
        <f>IFERROR(__xludf.DUMMYFUNCTION("""COMPUTED_VALUE"""),"%")</f>
        <v>%</v>
      </c>
      <c r="AH57" s="31">
        <f>IFERROR(__xludf.DUMMYFUNCTION("""COMPUTED_VALUE"""),21.0)</f>
        <v>21</v>
      </c>
      <c r="AI57" s="32">
        <f>IFERROR(__xludf.DUMMYFUNCTION("""COMPUTED_VALUE"""),2812.0)</f>
        <v>2812</v>
      </c>
      <c r="AJ57" s="30" t="str">
        <f>IFERROR(__xludf.DUMMYFUNCTION("""COMPUTED_VALUE"""),"Jail")</f>
        <v>Jail</v>
      </c>
    </row>
    <row r="58" ht="24.75" customHeight="1">
      <c r="A58" s="40">
        <f>IFERROR(__xludf.DUMMYFUNCTION("""COMPUTED_VALUE"""),10.0)</f>
        <v>10</v>
      </c>
      <c r="B58" s="40" t="str">
        <f>IFERROR(__xludf.DUMMYFUNCTION("""COMPUTED_VALUE"""),"A303")</f>
        <v>A303</v>
      </c>
      <c r="C58" s="40" t="str">
        <f>IFERROR(__xludf.DUMMYFUNCTION("""COMPUTED_VALUE"""),"ORL3")</f>
        <v>ORL3</v>
      </c>
      <c r="D58" s="41" t="str">
        <f>IFERROR(__xludf.DUMMYFUNCTION("""COMPUTED_VALUE"""),"Orleans")</f>
        <v>Orleans</v>
      </c>
      <c r="E58" s="42" t="str">
        <f>IFERROR(__xludf.DUMMYFUNCTION("""COMPUTED_VALUE"""),"La Charite")</f>
        <v>La Charite</v>
      </c>
      <c r="F58" s="43">
        <f>IFERROR(__xludf.DUMMYFUNCTION("""COMPUTED_VALUE"""),7.0)</f>
        <v>7</v>
      </c>
      <c r="G58" s="44">
        <f>IFERROR(__xludf.DUMMYFUNCTION("""COMPUTED_VALUE"""),1255.0)</f>
        <v>1255</v>
      </c>
      <c r="H58" s="33" t="str">
        <f>IFERROR(__xludf.DUMMYFUNCTION("""COMPUTED_VALUE"""),"")</f>
        <v/>
      </c>
      <c r="I58" s="45">
        <f>IFERROR(__xludf.DUMMYFUNCTION("""COMPUTED_VALUE"""),59.63209340211784)</f>
        <v>59.6320934</v>
      </c>
      <c r="J58" s="46" t="str">
        <f>IFERROR(__xludf.DUMMYFUNCTION("""COMPUTED_VALUE"""),"AP")</f>
        <v>AP</v>
      </c>
      <c r="K58" s="47">
        <f>IFERROR(__xludf.DUMMYFUNCTION("""COMPUTED_VALUE"""),11.738645418326692)</f>
        <v>11.73864542</v>
      </c>
      <c r="L58" s="48" t="str">
        <f>IFERROR(__xludf.DUMMYFUNCTION("""COMPUTED_VALUE"""),"%")</f>
        <v>%</v>
      </c>
      <c r="M58" s="49">
        <f>IFERROR(__xludf.DUMMYFUNCTION("""COMPUTED_VALUE"""),1.0)</f>
        <v>1</v>
      </c>
      <c r="N58" s="50" t="str">
        <f>IFERROR(__xludf.DUMMYFUNCTION("""COMPUTED_VALUE"""),"A301")</f>
        <v>A301</v>
      </c>
      <c r="O58" s="38" t="str">
        <f>IFERROR(__xludf.DUMMYFUNCTION("""COMPUTED_VALUE"""),"")</f>
        <v/>
      </c>
      <c r="P58" s="45">
        <f>IFERROR(__xludf.DUMMYFUNCTION("""COMPUTED_VALUE"""),118.46008629989213)</f>
        <v>118.4600863</v>
      </c>
      <c r="Q58" s="46" t="str">
        <f>IFERROR(__xludf.DUMMYFUNCTION("""COMPUTED_VALUE"""),"AP")</f>
        <v>AP</v>
      </c>
      <c r="R58" s="47">
        <f>IFERROR(__xludf.DUMMYFUNCTION("""COMPUTED_VALUE"""),5.909163346613546)</f>
        <v>5.909163347</v>
      </c>
      <c r="S58" s="48" t="str">
        <f>IFERROR(__xludf.DUMMYFUNCTION("""COMPUTED_VALUE"""),"%")</f>
        <v>%</v>
      </c>
      <c r="T58" s="49">
        <f>IFERROR(__xludf.DUMMYFUNCTION("""COMPUTED_VALUE"""),2.0)</f>
        <v>2</v>
      </c>
      <c r="U58" s="50"/>
      <c r="V58" s="38"/>
      <c r="W58" s="45" t="str">
        <f>IFERROR(__xludf.DUMMYFUNCTION("""COMPUTED_VALUE"""),"")</f>
        <v/>
      </c>
      <c r="X58" s="46" t="str">
        <f>IFERROR(__xludf.DUMMYFUNCTION("""COMPUTED_VALUE"""),"AP")</f>
        <v>AP</v>
      </c>
      <c r="Y58" s="47" t="str">
        <f>IFERROR(__xludf.DUMMYFUNCTION("""COMPUTED_VALUE"""),"")</f>
        <v/>
      </c>
      <c r="Z58" s="48" t="str">
        <f>IFERROR(__xludf.DUMMYFUNCTION("""COMPUTED_VALUE"""),"%")</f>
        <v>%</v>
      </c>
      <c r="AA58" s="49">
        <f>IFERROR(__xludf.DUMMYFUNCTION("""COMPUTED_VALUE"""),3.0)</f>
        <v>3</v>
      </c>
      <c r="AB58" s="50"/>
      <c r="AC58" s="38"/>
      <c r="AD58" s="45" t="str">
        <f>IFERROR(__xludf.DUMMYFUNCTION("""COMPUTED_VALUE"""),"")</f>
        <v/>
      </c>
      <c r="AE58" s="46" t="str">
        <f>IFERROR(__xludf.DUMMYFUNCTION("""COMPUTED_VALUE"""),"AP")</f>
        <v>AP</v>
      </c>
      <c r="AF58" s="47" t="str">
        <f>IFERROR(__xludf.DUMMYFUNCTION("""COMPUTED_VALUE"""),"")</f>
        <v/>
      </c>
      <c r="AG58" s="48" t="str">
        <f>IFERROR(__xludf.DUMMYFUNCTION("""COMPUTED_VALUE"""),"%")</f>
        <v>%</v>
      </c>
      <c r="AH58" s="43">
        <f>IFERROR(__xludf.DUMMYFUNCTION("""COMPUTED_VALUE"""),7.0)</f>
        <v>7</v>
      </c>
      <c r="AI58" s="44">
        <f>IFERROR(__xludf.DUMMYFUNCTION("""COMPUTED_VALUE"""),1255.0)</f>
        <v>1255</v>
      </c>
      <c r="AJ58" s="42" t="str">
        <f>IFERROR(__xludf.DUMMYFUNCTION("""COMPUTED_VALUE"""),"La Charite")</f>
        <v>La Charite</v>
      </c>
    </row>
    <row r="59" ht="24.75" customHeight="1">
      <c r="A59" s="28">
        <f>IFERROR(__xludf.DUMMYFUNCTION("""COMPUTED_VALUE"""),11.0)</f>
        <v>11</v>
      </c>
      <c r="B59" s="28" t="str">
        <f>IFERROR(__xludf.DUMMYFUNCTION("""COMPUTED_VALUE"""),"A303")</f>
        <v>A303</v>
      </c>
      <c r="C59" s="28" t="str">
        <f>IFERROR(__xludf.DUMMYFUNCTION("""COMPUTED_VALUE"""),"TRF13")</f>
        <v>TRF13</v>
      </c>
      <c r="D59" s="29" t="str">
        <f>IFERROR(__xludf.DUMMYFUNCTION("""COMPUTED_VALUE"""),"Chaldea Gate (Thu)")</f>
        <v>Chaldea Gate (Thu)</v>
      </c>
      <c r="E59" s="30" t="str">
        <f>IFERROR(__xludf.DUMMYFUNCTION("""COMPUTED_VALUE"""),"THU Rider Training Ground- Nov")</f>
        <v>THU Rider Training Ground- Nov</v>
      </c>
      <c r="F59" s="31">
        <f>IFERROR(__xludf.DUMMYFUNCTION("""COMPUTED_VALUE"""),10.0)</f>
        <v>10</v>
      </c>
      <c r="G59" s="32">
        <f>IFERROR(__xludf.DUMMYFUNCTION("""COMPUTED_VALUE"""),1340.0)</f>
        <v>1340</v>
      </c>
      <c r="H59" s="33" t="str">
        <f>IFERROR(__xludf.DUMMYFUNCTION("""COMPUTED_VALUE"""),"")</f>
        <v/>
      </c>
      <c r="I59" s="34">
        <f>IFERROR(__xludf.DUMMYFUNCTION("""COMPUTED_VALUE"""),62.32558139534883)</f>
        <v>62.3255814</v>
      </c>
      <c r="J59" s="35" t="str">
        <f>IFERROR(__xludf.DUMMYFUNCTION("""COMPUTED_VALUE"""),"AP")</f>
        <v>AP</v>
      </c>
      <c r="K59" s="34">
        <f>IFERROR(__xludf.DUMMYFUNCTION("""COMPUTED_VALUE"""),16.044776119402986)</f>
        <v>16.04477612</v>
      </c>
      <c r="L59" s="35" t="str">
        <f>IFERROR(__xludf.DUMMYFUNCTION("""COMPUTED_VALUE"""),"%")</f>
        <v>%</v>
      </c>
      <c r="M59" s="36">
        <f>IFERROR(__xludf.DUMMYFUNCTION("""COMPUTED_VALUE"""),1.0)</f>
        <v>1</v>
      </c>
      <c r="N59" s="37" t="str">
        <f>IFERROR(__xludf.DUMMYFUNCTION("""COMPUTED_VALUE"""),"A209")</f>
        <v>A209</v>
      </c>
      <c r="O59" s="38" t="str">
        <f>IFERROR(__xludf.DUMMYFUNCTION("""COMPUTED_VALUE"""),"")</f>
        <v/>
      </c>
      <c r="P59" s="34">
        <f>IFERROR(__xludf.DUMMYFUNCTION("""COMPUTED_VALUE"""),188.73239436619718)</f>
        <v>188.7323944</v>
      </c>
      <c r="Q59" s="35" t="str">
        <f>IFERROR(__xludf.DUMMYFUNCTION("""COMPUTED_VALUE"""),"AP")</f>
        <v>AP</v>
      </c>
      <c r="R59" s="34">
        <f>IFERROR(__xludf.DUMMYFUNCTION("""COMPUTED_VALUE"""),5.298507462686567)</f>
        <v>5.298507463</v>
      </c>
      <c r="S59" s="35" t="str">
        <f>IFERROR(__xludf.DUMMYFUNCTION("""COMPUTED_VALUE"""),"%")</f>
        <v>%</v>
      </c>
      <c r="T59" s="36">
        <f>IFERROR(__xludf.DUMMYFUNCTION("""COMPUTED_VALUE"""),2.0)</f>
        <v>2</v>
      </c>
      <c r="U59" s="37" t="str">
        <f>IFERROR(__xludf.DUMMYFUNCTION("""COMPUTED_VALUE"""),"A304")</f>
        <v>A304</v>
      </c>
      <c r="V59" s="38" t="str">
        <f>IFERROR(__xludf.DUMMYFUNCTION("""COMPUTED_VALUE"""),"")</f>
        <v/>
      </c>
      <c r="W59" s="34">
        <f>IFERROR(__xludf.DUMMYFUNCTION("""COMPUTED_VALUE"""),235.08771929824562)</f>
        <v>235.0877193</v>
      </c>
      <c r="X59" s="35" t="str">
        <f>IFERROR(__xludf.DUMMYFUNCTION("""COMPUTED_VALUE"""),"AP")</f>
        <v>AP</v>
      </c>
      <c r="Y59" s="34">
        <f>IFERROR(__xludf.DUMMYFUNCTION("""COMPUTED_VALUE"""),4.253731343283582)</f>
        <v>4.253731343</v>
      </c>
      <c r="Z59" s="35" t="str">
        <f>IFERROR(__xludf.DUMMYFUNCTION("""COMPUTED_VALUE"""),"%")</f>
        <v>%</v>
      </c>
      <c r="AA59" s="36">
        <f>IFERROR(__xludf.DUMMYFUNCTION("""COMPUTED_VALUE"""),3.0)</f>
        <v>3</v>
      </c>
      <c r="AB59" s="37"/>
      <c r="AC59" s="38"/>
      <c r="AD59" s="34" t="str">
        <f>IFERROR(__xludf.DUMMYFUNCTION("""COMPUTED_VALUE"""),"")</f>
        <v/>
      </c>
      <c r="AE59" s="35" t="str">
        <f>IFERROR(__xludf.DUMMYFUNCTION("""COMPUTED_VALUE"""),"AP")</f>
        <v>AP</v>
      </c>
      <c r="AF59" s="34" t="str">
        <f>IFERROR(__xludf.DUMMYFUNCTION("""COMPUTED_VALUE"""),"")</f>
        <v/>
      </c>
      <c r="AG59" s="35" t="str">
        <f>IFERROR(__xludf.DUMMYFUNCTION("""COMPUTED_VALUE"""),"%")</f>
        <v>%</v>
      </c>
      <c r="AH59" s="31">
        <f>IFERROR(__xludf.DUMMYFUNCTION("""COMPUTED_VALUE"""),10.0)</f>
        <v>10</v>
      </c>
      <c r="AI59" s="32">
        <f>IFERROR(__xludf.DUMMYFUNCTION("""COMPUTED_VALUE"""),1340.0)</f>
        <v>1340</v>
      </c>
      <c r="AJ59" s="30" t="str">
        <f>IFERROR(__xludf.DUMMYFUNCTION("""COMPUTED_VALUE"""),"THU Rider Training Ground- Nov")</f>
        <v>THU Rider Training Ground- Nov</v>
      </c>
    </row>
    <row r="60" ht="24.75" customHeight="1">
      <c r="A60" s="40">
        <f>IFERROR(__xludf.DUMMYFUNCTION("""COMPUTED_VALUE"""),12.0)</f>
        <v>12</v>
      </c>
      <c r="B60" s="40" t="str">
        <f>IFERROR(__xludf.DUMMYFUNCTION("""COMPUTED_VALUE"""),"A303")</f>
        <v>A303</v>
      </c>
      <c r="C60" s="40" t="str">
        <f>IFERROR(__xludf.DUMMYFUNCTION("""COMPUTED_VALUE"""),"TRF15")</f>
        <v>TRF15</v>
      </c>
      <c r="D60" s="41" t="str">
        <f>IFERROR(__xludf.DUMMYFUNCTION("""COMPUTED_VALUE"""),"Chaldea Gate (Thu)")</f>
        <v>Chaldea Gate (Thu)</v>
      </c>
      <c r="E60" s="42" t="str">
        <f>IFERROR(__xludf.DUMMYFUNCTION("""COMPUTED_VALUE"""),"THU Rider Training Ground- Adv")</f>
        <v>THU Rider Training Ground- Adv</v>
      </c>
      <c r="F60" s="43">
        <f>IFERROR(__xludf.DUMMYFUNCTION("""COMPUTED_VALUE"""),30.0)</f>
        <v>30</v>
      </c>
      <c r="G60" s="44">
        <f>IFERROR(__xludf.DUMMYFUNCTION("""COMPUTED_VALUE"""),2248.0)</f>
        <v>2248</v>
      </c>
      <c r="H60" s="33" t="str">
        <f>IFERROR(__xludf.DUMMYFUNCTION("""COMPUTED_VALUE"""),"")</f>
        <v/>
      </c>
      <c r="I60" s="45">
        <f>IFERROR(__xludf.DUMMYFUNCTION("""COMPUTED_VALUE"""),65.98780634574909)</f>
        <v>65.98780635</v>
      </c>
      <c r="J60" s="46" t="str">
        <f>IFERROR(__xludf.DUMMYFUNCTION("""COMPUTED_VALUE"""),"AP")</f>
        <v>AP</v>
      </c>
      <c r="K60" s="47">
        <f>IFERROR(__xludf.DUMMYFUNCTION("""COMPUTED_VALUE"""),45.462944839857656)</f>
        <v>45.46294484</v>
      </c>
      <c r="L60" s="48" t="str">
        <f>IFERROR(__xludf.DUMMYFUNCTION("""COMPUTED_VALUE"""),"%")</f>
        <v>%</v>
      </c>
      <c r="M60" s="49">
        <f>IFERROR(__xludf.DUMMYFUNCTION("""COMPUTED_VALUE"""),1.0)</f>
        <v>1</v>
      </c>
      <c r="N60" s="50" t="str">
        <f>IFERROR(__xludf.DUMMYFUNCTION("""COMPUTED_VALUE"""),"A103")</f>
        <v>A103</v>
      </c>
      <c r="O60" s="38" t="str">
        <f>IFERROR(__xludf.DUMMYFUNCTION("""COMPUTED_VALUE"""),"")</f>
        <v/>
      </c>
      <c r="P60" s="45">
        <f>IFERROR(__xludf.DUMMYFUNCTION("""COMPUTED_VALUE"""),1015.9839708341494)</f>
        <v>1015.983971</v>
      </c>
      <c r="Q60" s="46" t="str">
        <f>IFERROR(__xludf.DUMMYFUNCTION("""COMPUTED_VALUE"""),"AP")</f>
        <v>AP</v>
      </c>
      <c r="R60" s="47">
        <f>IFERROR(__xludf.DUMMYFUNCTION("""COMPUTED_VALUE"""),2.9528024911032027)</f>
        <v>2.952802491</v>
      </c>
      <c r="S60" s="48" t="str">
        <f>IFERROR(__xludf.DUMMYFUNCTION("""COMPUTED_VALUE"""),"%")</f>
        <v>%</v>
      </c>
      <c r="T60" s="49">
        <f>IFERROR(__xludf.DUMMYFUNCTION("""COMPUTED_VALUE"""),2.0)</f>
        <v>2</v>
      </c>
      <c r="U60" s="50" t="str">
        <f>IFERROR(__xludf.DUMMYFUNCTION("""COMPUTED_VALUE"""),"A209")</f>
        <v>A209</v>
      </c>
      <c r="V60" s="38" t="str">
        <f>IFERROR(__xludf.DUMMYFUNCTION("""COMPUTED_VALUE"""),"")</f>
        <v/>
      </c>
      <c r="W60" s="45">
        <f>IFERROR(__xludf.DUMMYFUNCTION("""COMPUTED_VALUE"""),204.48694818996913)</f>
        <v>204.4869482</v>
      </c>
      <c r="X60" s="46" t="str">
        <f>IFERROR(__xludf.DUMMYFUNCTION("""COMPUTED_VALUE"""),"AP")</f>
        <v>AP</v>
      </c>
      <c r="Y60" s="47">
        <f>IFERROR(__xludf.DUMMYFUNCTION("""COMPUTED_VALUE"""),14.670862989323842)</f>
        <v>14.67086299</v>
      </c>
      <c r="Z60" s="48" t="str">
        <f>IFERROR(__xludf.DUMMYFUNCTION("""COMPUTED_VALUE"""),"%")</f>
        <v>%</v>
      </c>
      <c r="AA60" s="49">
        <f>IFERROR(__xludf.DUMMYFUNCTION("""COMPUTED_VALUE"""),3.0)</f>
        <v>3</v>
      </c>
      <c r="AB60" s="50" t="str">
        <f>IFERROR(__xludf.DUMMYFUNCTION("""COMPUTED_VALUE"""),"A304")</f>
        <v>A304</v>
      </c>
      <c r="AC60" s="38" t="str">
        <f>IFERROR(__xludf.DUMMYFUNCTION("""COMPUTED_VALUE"""),"")</f>
        <v/>
      </c>
      <c r="AD60" s="45">
        <f>IFERROR(__xludf.DUMMYFUNCTION("""COMPUTED_VALUE"""),232.9702672732737)</f>
        <v>232.9702673</v>
      </c>
      <c r="AE60" s="46" t="str">
        <f>IFERROR(__xludf.DUMMYFUNCTION("""COMPUTED_VALUE"""),"AP")</f>
        <v>AP</v>
      </c>
      <c r="AF60" s="47">
        <f>IFERROR(__xludf.DUMMYFUNCTION("""COMPUTED_VALUE"""),12.877179715302491)</f>
        <v>12.87717972</v>
      </c>
      <c r="AG60" s="48" t="str">
        <f>IFERROR(__xludf.DUMMYFUNCTION("""COMPUTED_VALUE"""),"%")</f>
        <v>%</v>
      </c>
      <c r="AH60" s="43">
        <f>IFERROR(__xludf.DUMMYFUNCTION("""COMPUTED_VALUE"""),30.0)</f>
        <v>30</v>
      </c>
      <c r="AI60" s="44">
        <f>IFERROR(__xludf.DUMMYFUNCTION("""COMPUTED_VALUE"""),2248.0)</f>
        <v>2248</v>
      </c>
      <c r="AJ60" s="42" t="str">
        <f>IFERROR(__xludf.DUMMYFUNCTION("""COMPUTED_VALUE"""),"THU Rider Training Ground- Adv")</f>
        <v>THU Rider Training Ground- Adv</v>
      </c>
    </row>
    <row r="61" ht="24.75" customHeight="1">
      <c r="A61" s="28">
        <f>IFERROR(__xludf.DUMMYFUNCTION("""COMPUTED_VALUE"""),13.0)</f>
        <v>13</v>
      </c>
      <c r="B61" s="28" t="str">
        <f>IFERROR(__xludf.DUMMYFUNCTION("""COMPUTED_VALUE"""),"A303")</f>
        <v>A303</v>
      </c>
      <c r="C61" s="28" t="str">
        <f>IFERROR(__xludf.DUMMYFUNCTION("""COMPUTED_VALUE"""),"FUY8")</f>
        <v>FUY8</v>
      </c>
      <c r="D61" s="29" t="str">
        <f>IFERROR(__xludf.DUMMYFUNCTION("""COMPUTED_VALUE"""),"Fuyuki")</f>
        <v>Fuyuki</v>
      </c>
      <c r="E61" s="30" t="str">
        <f>IFERROR(__xludf.DUMMYFUNCTION("""COMPUTED_VALUE"""),"Mobile Coordinate No.0")</f>
        <v>Mobile Coordinate No.0</v>
      </c>
      <c r="F61" s="31">
        <f>IFERROR(__xludf.DUMMYFUNCTION("""COMPUTED_VALUE"""),7.0)</f>
        <v>7</v>
      </c>
      <c r="G61" s="32">
        <f>IFERROR(__xludf.DUMMYFUNCTION("""COMPUTED_VALUE"""),1390.0)</f>
        <v>1390</v>
      </c>
      <c r="H61" s="33" t="str">
        <f>IFERROR(__xludf.DUMMYFUNCTION("""COMPUTED_VALUE"""),"")</f>
        <v/>
      </c>
      <c r="I61" s="34">
        <f>IFERROR(__xludf.DUMMYFUNCTION("""COMPUTED_VALUE"""),66.30233318796336)</f>
        <v>66.30233319</v>
      </c>
      <c r="J61" s="35" t="str">
        <f>IFERROR(__xludf.DUMMYFUNCTION("""COMPUTED_VALUE"""),"AP")</f>
        <v>AP</v>
      </c>
      <c r="K61" s="34">
        <f>IFERROR(__xludf.DUMMYFUNCTION("""COMPUTED_VALUE"""),10.55769784172662)</f>
        <v>10.55769784</v>
      </c>
      <c r="L61" s="35" t="str">
        <f>IFERROR(__xludf.DUMMYFUNCTION("""COMPUTED_VALUE"""),"%")</f>
        <v>%</v>
      </c>
      <c r="M61" s="36">
        <f>IFERROR(__xludf.DUMMYFUNCTION("""COMPUTED_VALUE"""),1.0)</f>
        <v>1</v>
      </c>
      <c r="N61" s="37" t="str">
        <f>IFERROR(__xludf.DUMMYFUNCTION("""COMPUTED_VALUE"""),"A304")</f>
        <v>A304</v>
      </c>
      <c r="O61" s="38" t="str">
        <f>IFERROR(__xludf.DUMMYFUNCTION("""COMPUTED_VALUE"""),"")</f>
        <v/>
      </c>
      <c r="P61" s="34">
        <f>IFERROR(__xludf.DUMMYFUNCTION("""COMPUTED_VALUE"""),76.37602436497222)</f>
        <v>76.37602436</v>
      </c>
      <c r="Q61" s="35" t="str">
        <f>IFERROR(__xludf.DUMMYFUNCTION("""COMPUTED_VALUE"""),"AP")</f>
        <v>AP</v>
      </c>
      <c r="R61" s="34">
        <f>IFERROR(__xludf.DUMMYFUNCTION("""COMPUTED_VALUE"""),9.165179856115106)</f>
        <v>9.165179856</v>
      </c>
      <c r="S61" s="35" t="str">
        <f>IFERROR(__xludf.DUMMYFUNCTION("""COMPUTED_VALUE"""),"%")</f>
        <v>%</v>
      </c>
      <c r="T61" s="36">
        <f>IFERROR(__xludf.DUMMYFUNCTION("""COMPUTED_VALUE"""),2.0)</f>
        <v>2</v>
      </c>
      <c r="U61" s="37"/>
      <c r="V61" s="38"/>
      <c r="W61" s="34" t="str">
        <f>IFERROR(__xludf.DUMMYFUNCTION("""COMPUTED_VALUE"""),"")</f>
        <v/>
      </c>
      <c r="X61" s="35" t="str">
        <f>IFERROR(__xludf.DUMMYFUNCTION("""COMPUTED_VALUE"""),"AP")</f>
        <v>AP</v>
      </c>
      <c r="Y61" s="34" t="str">
        <f>IFERROR(__xludf.DUMMYFUNCTION("""COMPUTED_VALUE"""),"")</f>
        <v/>
      </c>
      <c r="Z61" s="35" t="str">
        <f>IFERROR(__xludf.DUMMYFUNCTION("""COMPUTED_VALUE"""),"%")</f>
        <v>%</v>
      </c>
      <c r="AA61" s="36">
        <f>IFERROR(__xludf.DUMMYFUNCTION("""COMPUTED_VALUE"""),3.0)</f>
        <v>3</v>
      </c>
      <c r="AB61" s="37"/>
      <c r="AC61" s="38"/>
      <c r="AD61" s="34" t="str">
        <f>IFERROR(__xludf.DUMMYFUNCTION("""COMPUTED_VALUE"""),"")</f>
        <v/>
      </c>
      <c r="AE61" s="35" t="str">
        <f>IFERROR(__xludf.DUMMYFUNCTION("""COMPUTED_VALUE"""),"AP")</f>
        <v>AP</v>
      </c>
      <c r="AF61" s="34" t="str">
        <f>IFERROR(__xludf.DUMMYFUNCTION("""COMPUTED_VALUE"""),"")</f>
        <v/>
      </c>
      <c r="AG61" s="35" t="str">
        <f>IFERROR(__xludf.DUMMYFUNCTION("""COMPUTED_VALUE"""),"%")</f>
        <v>%</v>
      </c>
      <c r="AH61" s="31">
        <f>IFERROR(__xludf.DUMMYFUNCTION("""COMPUTED_VALUE"""),7.0)</f>
        <v>7</v>
      </c>
      <c r="AI61" s="32">
        <f>IFERROR(__xludf.DUMMYFUNCTION("""COMPUTED_VALUE"""),1390.0)</f>
        <v>1390</v>
      </c>
      <c r="AJ61" s="30" t="str">
        <f>IFERROR(__xludf.DUMMYFUNCTION("""COMPUTED_VALUE"""),"Mobile Coordinate No.0")</f>
        <v>Mobile Coordinate No.0</v>
      </c>
    </row>
    <row r="62" ht="24.75" customHeight="1">
      <c r="A62" s="40">
        <f>IFERROR(__xludf.DUMMYFUNCTION("""COMPUTED_VALUE"""),14.0)</f>
        <v>14</v>
      </c>
      <c r="B62" s="40" t="str">
        <f>IFERROR(__xludf.DUMMYFUNCTION("""COMPUTED_VALUE"""),"A303")</f>
        <v>A303</v>
      </c>
      <c r="C62" s="40" t="str">
        <f>IFERROR(__xludf.DUMMYFUNCTION("""COMPUTED_VALUE"""),"TRF21")</f>
        <v>TRF21</v>
      </c>
      <c r="D62" s="41" t="str">
        <f>IFERROR(__xludf.DUMMYFUNCTION("""COMPUTED_VALUE"""),"Chaldea Gate (Sat)")</f>
        <v>Chaldea Gate (Sat)</v>
      </c>
      <c r="E62" s="42" t="str">
        <f>IFERROR(__xludf.DUMMYFUNCTION("""COMPUTED_VALUE"""),"SAT Assassin Training Ground- Nov")</f>
        <v>SAT Assassin Training Ground- Nov</v>
      </c>
      <c r="F62" s="43">
        <f>IFERROR(__xludf.DUMMYFUNCTION("""COMPUTED_VALUE"""),10.0)</f>
        <v>10</v>
      </c>
      <c r="G62" s="44">
        <f>IFERROR(__xludf.DUMMYFUNCTION("""COMPUTED_VALUE"""),1540.0)</f>
        <v>1540</v>
      </c>
      <c r="H62" s="33" t="str">
        <f>IFERROR(__xludf.DUMMYFUNCTION("""COMPUTED_VALUE"""),"")</f>
        <v/>
      </c>
      <c r="I62" s="45">
        <f>IFERROR(__xludf.DUMMYFUNCTION("""COMPUTED_VALUE"""),75.67121349109635)</f>
        <v>75.67121349</v>
      </c>
      <c r="J62" s="46" t="str">
        <f>IFERROR(__xludf.DUMMYFUNCTION("""COMPUTED_VALUE"""),"AP")</f>
        <v>AP</v>
      </c>
      <c r="K62" s="47">
        <f>IFERROR(__xludf.DUMMYFUNCTION("""COMPUTED_VALUE"""),13.215064935064936)</f>
        <v>13.21506494</v>
      </c>
      <c r="L62" s="48" t="str">
        <f>IFERROR(__xludf.DUMMYFUNCTION("""COMPUTED_VALUE"""),"%")</f>
        <v>%</v>
      </c>
      <c r="M62" s="49">
        <f>IFERROR(__xludf.DUMMYFUNCTION("""COMPUTED_VALUE"""),1.0)</f>
        <v>1</v>
      </c>
      <c r="N62" s="50" t="str">
        <f>IFERROR(__xludf.DUMMYFUNCTION("""COMPUTED_VALUE"""),"A202")</f>
        <v>A202</v>
      </c>
      <c r="O62" s="38" t="str">
        <f>IFERROR(__xludf.DUMMYFUNCTION("""COMPUTED_VALUE"""),"")</f>
        <v/>
      </c>
      <c r="P62" s="45">
        <f>IFERROR(__xludf.DUMMYFUNCTION("""COMPUTED_VALUE"""),324.5111260957518)</f>
        <v>324.5111261</v>
      </c>
      <c r="Q62" s="46" t="str">
        <f>IFERROR(__xludf.DUMMYFUNCTION("""COMPUTED_VALUE"""),"AP")</f>
        <v>AP</v>
      </c>
      <c r="R62" s="47">
        <f>IFERROR(__xludf.DUMMYFUNCTION("""COMPUTED_VALUE"""),3.0815584415584416)</f>
        <v>3.081558442</v>
      </c>
      <c r="S62" s="48" t="str">
        <f>IFERROR(__xludf.DUMMYFUNCTION("""COMPUTED_VALUE"""),"%")</f>
        <v>%</v>
      </c>
      <c r="T62" s="49">
        <f>IFERROR(__xludf.DUMMYFUNCTION("""COMPUTED_VALUE"""),2.0)</f>
        <v>2</v>
      </c>
      <c r="U62" s="50" t="str">
        <f>IFERROR(__xludf.DUMMYFUNCTION("""COMPUTED_VALUE"""),"A206")</f>
        <v>A206</v>
      </c>
      <c r="V62" s="38" t="str">
        <f>IFERROR(__xludf.DUMMYFUNCTION("""COMPUTED_VALUE"""),"")</f>
        <v/>
      </c>
      <c r="W62" s="45">
        <f>IFERROR(__xludf.DUMMYFUNCTION("""COMPUTED_VALUE"""),115.87311141876842)</f>
        <v>115.8731114</v>
      </c>
      <c r="X62" s="46" t="str">
        <f>IFERROR(__xludf.DUMMYFUNCTION("""COMPUTED_VALUE"""),"AP")</f>
        <v>AP</v>
      </c>
      <c r="Y62" s="47">
        <f>IFERROR(__xludf.DUMMYFUNCTION("""COMPUTED_VALUE"""),8.63012987012987)</f>
        <v>8.63012987</v>
      </c>
      <c r="Z62" s="48" t="str">
        <f>IFERROR(__xludf.DUMMYFUNCTION("""COMPUTED_VALUE"""),"%")</f>
        <v>%</v>
      </c>
      <c r="AA62" s="49">
        <f>IFERROR(__xludf.DUMMYFUNCTION("""COMPUTED_VALUE"""),3.0)</f>
        <v>3</v>
      </c>
      <c r="AB62" s="50" t="str">
        <f>IFERROR(__xludf.DUMMYFUNCTION("""COMPUTED_VALUE"""),"A304")</f>
        <v>A304</v>
      </c>
      <c r="AC62" s="38" t="str">
        <f>IFERROR(__xludf.DUMMYFUNCTION("""COMPUTED_VALUE"""),"")</f>
        <v/>
      </c>
      <c r="AD62" s="45">
        <f>IFERROR(__xludf.DUMMYFUNCTION("""COMPUTED_VALUE"""),84.3410445145461)</f>
        <v>84.34104451</v>
      </c>
      <c r="AE62" s="46" t="str">
        <f>IFERROR(__xludf.DUMMYFUNCTION("""COMPUTED_VALUE"""),"AP")</f>
        <v>AP</v>
      </c>
      <c r="AF62" s="47">
        <f>IFERROR(__xludf.DUMMYFUNCTION("""COMPUTED_VALUE"""),11.856623376623377)</f>
        <v>11.85662338</v>
      </c>
      <c r="AG62" s="48" t="str">
        <f>IFERROR(__xludf.DUMMYFUNCTION("""COMPUTED_VALUE"""),"%")</f>
        <v>%</v>
      </c>
      <c r="AH62" s="43">
        <f>IFERROR(__xludf.DUMMYFUNCTION("""COMPUTED_VALUE"""),10.0)</f>
        <v>10</v>
      </c>
      <c r="AI62" s="44">
        <f>IFERROR(__xludf.DUMMYFUNCTION("""COMPUTED_VALUE"""),1540.0)</f>
        <v>1540</v>
      </c>
      <c r="AJ62" s="42" t="str">
        <f>IFERROR(__xludf.DUMMYFUNCTION("""COMPUTED_VALUE"""),"SAT Assassin Training Ground- Nov")</f>
        <v>SAT Assassin Training Ground- Nov</v>
      </c>
    </row>
    <row r="63" ht="24.75" customHeight="1">
      <c r="A63" s="28">
        <f>IFERROR(__xludf.DUMMYFUNCTION("""COMPUTED_VALUE"""),15.0)</f>
        <v>15</v>
      </c>
      <c r="B63" s="28" t="str">
        <f>IFERROR(__xludf.DUMMYFUNCTION("""COMPUTED_VALUE"""),"A303")</f>
        <v>A303</v>
      </c>
      <c r="C63" s="28" t="str">
        <f>IFERROR(__xludf.DUMMYFUNCTION("""COMPUTED_VALUE"""),"TRF14")</f>
        <v>TRF14</v>
      </c>
      <c r="D63" s="29" t="str">
        <f>IFERROR(__xludf.DUMMYFUNCTION("""COMPUTED_VALUE"""),"Chaldea Gate (Thu)")</f>
        <v>Chaldea Gate (Thu)</v>
      </c>
      <c r="E63" s="30" t="str">
        <f>IFERROR(__xludf.DUMMYFUNCTION("""COMPUTED_VALUE"""),"THU Rider Training Ground- Int")</f>
        <v>THU Rider Training Ground- Int</v>
      </c>
      <c r="F63" s="31">
        <f>IFERROR(__xludf.DUMMYFUNCTION("""COMPUTED_VALUE"""),20.0)</f>
        <v>20</v>
      </c>
      <c r="G63" s="32">
        <f>IFERROR(__xludf.DUMMYFUNCTION("""COMPUTED_VALUE"""),1270.0)</f>
        <v>1270</v>
      </c>
      <c r="H63" s="33" t="str">
        <f>IFERROR(__xludf.DUMMYFUNCTION("""COMPUTED_VALUE"""),"")</f>
        <v/>
      </c>
      <c r="I63" s="34">
        <f>IFERROR(__xludf.DUMMYFUNCTION("""COMPUTED_VALUE"""),76.01695118155479)</f>
        <v>76.01695118</v>
      </c>
      <c r="J63" s="35" t="str">
        <f>IFERROR(__xludf.DUMMYFUNCTION("""COMPUTED_VALUE"""),"AP")</f>
        <v>AP</v>
      </c>
      <c r="K63" s="34">
        <f>IFERROR(__xludf.DUMMYFUNCTION("""COMPUTED_VALUE"""),26.309921259842525)</f>
        <v>26.30992126</v>
      </c>
      <c r="L63" s="35" t="str">
        <f>IFERROR(__xludf.DUMMYFUNCTION("""COMPUTED_VALUE"""),"%")</f>
        <v>%</v>
      </c>
      <c r="M63" s="36">
        <f>IFERROR(__xludf.DUMMYFUNCTION("""COMPUTED_VALUE"""),1.0)</f>
        <v>1</v>
      </c>
      <c r="N63" s="37" t="str">
        <f>IFERROR(__xludf.DUMMYFUNCTION("""COMPUTED_VALUE"""),"A209")</f>
        <v>A209</v>
      </c>
      <c r="O63" s="38" t="str">
        <f>IFERROR(__xludf.DUMMYFUNCTION("""COMPUTED_VALUE"""),"")</f>
        <v/>
      </c>
      <c r="P63" s="34">
        <f>IFERROR(__xludf.DUMMYFUNCTION("""COMPUTED_VALUE"""),183.74374258514422)</f>
        <v>183.7437426</v>
      </c>
      <c r="Q63" s="35" t="str">
        <f>IFERROR(__xludf.DUMMYFUNCTION("""COMPUTED_VALUE"""),"AP")</f>
        <v>AP</v>
      </c>
      <c r="R63" s="34">
        <f>IFERROR(__xludf.DUMMYFUNCTION("""COMPUTED_VALUE"""),10.88472440944882)</f>
        <v>10.88472441</v>
      </c>
      <c r="S63" s="35" t="str">
        <f>IFERROR(__xludf.DUMMYFUNCTION("""COMPUTED_VALUE"""),"%")</f>
        <v>%</v>
      </c>
      <c r="T63" s="36">
        <f>IFERROR(__xludf.DUMMYFUNCTION("""COMPUTED_VALUE"""),2.0)</f>
        <v>2</v>
      </c>
      <c r="U63" s="37" t="str">
        <f>IFERROR(__xludf.DUMMYFUNCTION("""COMPUTED_VALUE"""),"A304")</f>
        <v>A304</v>
      </c>
      <c r="V63" s="38" t="str">
        <f>IFERROR(__xludf.DUMMYFUNCTION("""COMPUTED_VALUE"""),"")</f>
        <v/>
      </c>
      <c r="W63" s="34">
        <f>IFERROR(__xludf.DUMMYFUNCTION("""COMPUTED_VALUE"""),132.8326831156063)</f>
        <v>132.8326831</v>
      </c>
      <c r="X63" s="35" t="str">
        <f>IFERROR(__xludf.DUMMYFUNCTION("""COMPUTED_VALUE"""),"AP")</f>
        <v>AP</v>
      </c>
      <c r="Y63" s="34">
        <f>IFERROR(__xludf.DUMMYFUNCTION("""COMPUTED_VALUE"""),15.056535433070865)</f>
        <v>15.05653543</v>
      </c>
      <c r="Z63" s="35" t="str">
        <f>IFERROR(__xludf.DUMMYFUNCTION("""COMPUTED_VALUE"""),"%")</f>
        <v>%</v>
      </c>
      <c r="AA63" s="36">
        <f>IFERROR(__xludf.DUMMYFUNCTION("""COMPUTED_VALUE"""),3.0)</f>
        <v>3</v>
      </c>
      <c r="AB63" s="37" t="str">
        <f>IFERROR(__xludf.DUMMYFUNCTION("""COMPUTED_VALUE"""),"B114")</f>
        <v>B114</v>
      </c>
      <c r="AC63" s="38" t="str">
        <f>IFERROR(__xludf.DUMMYFUNCTION("""COMPUTED_VALUE"""),"")</f>
        <v/>
      </c>
      <c r="AD63" s="34">
        <f>IFERROR(__xludf.DUMMYFUNCTION("""COMPUTED_VALUE"""),21.538894664629236)</f>
        <v>21.53889466</v>
      </c>
      <c r="AE63" s="35" t="str">
        <f>IFERROR(__xludf.DUMMYFUNCTION("""COMPUTED_VALUE"""),"AP")</f>
        <v>AP</v>
      </c>
      <c r="AF63" s="34">
        <f>IFERROR(__xludf.DUMMYFUNCTION("""COMPUTED_VALUE"""),92.85527559055117)</f>
        <v>92.85527559</v>
      </c>
      <c r="AG63" s="35" t="str">
        <f>IFERROR(__xludf.DUMMYFUNCTION("""COMPUTED_VALUE"""),"%")</f>
        <v>%</v>
      </c>
      <c r="AH63" s="31">
        <f>IFERROR(__xludf.DUMMYFUNCTION("""COMPUTED_VALUE"""),20.0)</f>
        <v>20</v>
      </c>
      <c r="AI63" s="32">
        <f>IFERROR(__xludf.DUMMYFUNCTION("""COMPUTED_VALUE"""),1270.0)</f>
        <v>1270</v>
      </c>
      <c r="AJ63" s="30" t="str">
        <f>IFERROR(__xludf.DUMMYFUNCTION("""COMPUTED_VALUE"""),"THU Rider Training Ground- Int")</f>
        <v>THU Rider Training Ground- Int</v>
      </c>
    </row>
    <row r="64" ht="24.75" customHeight="1">
      <c r="A64" s="40">
        <f>IFERROR(__xludf.DUMMYFUNCTION("""COMPUTED_VALUE"""),16.0)</f>
        <v>16</v>
      </c>
      <c r="B64" s="40" t="str">
        <f>IFERROR(__xludf.DUMMYFUNCTION("""COMPUTED_VALUE"""),"A303")</f>
        <v>A303</v>
      </c>
      <c r="C64" s="40" t="str">
        <f>IFERROR(__xludf.DUMMYFUNCTION("""COMPUTED_VALUE"""),"ORL9")</f>
        <v>ORL9</v>
      </c>
      <c r="D64" s="41" t="str">
        <f>IFERROR(__xludf.DUMMYFUNCTION("""COMPUTED_VALUE"""),"Orleans")</f>
        <v>Orleans</v>
      </c>
      <c r="E64" s="42" t="str">
        <f>IFERROR(__xludf.DUMMYFUNCTION("""COMPUTED_VALUE"""),"Orleans")</f>
        <v>Orleans</v>
      </c>
      <c r="F64" s="43">
        <f>IFERROR(__xludf.DUMMYFUNCTION("""COMPUTED_VALUE"""),8.0)</f>
        <v>8</v>
      </c>
      <c r="G64" s="44">
        <f>IFERROR(__xludf.DUMMYFUNCTION("""COMPUTED_VALUE"""),1504.0)</f>
        <v>1504</v>
      </c>
      <c r="H64" s="33" t="str">
        <f>IFERROR(__xludf.DUMMYFUNCTION("""COMPUTED_VALUE"""),"")</f>
        <v/>
      </c>
      <c r="I64" s="45">
        <f>IFERROR(__xludf.DUMMYFUNCTION("""COMPUTED_VALUE"""),76.56135662244282)</f>
        <v>76.56135662</v>
      </c>
      <c r="J64" s="46" t="str">
        <f>IFERROR(__xludf.DUMMYFUNCTION("""COMPUTED_VALUE"""),"AP")</f>
        <v>AP</v>
      </c>
      <c r="K64" s="47">
        <f>IFERROR(__xludf.DUMMYFUNCTION("""COMPUTED_VALUE"""),10.449135638297872)</f>
        <v>10.44913564</v>
      </c>
      <c r="L64" s="48" t="str">
        <f>IFERROR(__xludf.DUMMYFUNCTION("""COMPUTED_VALUE"""),"%")</f>
        <v>%</v>
      </c>
      <c r="M64" s="49">
        <f>IFERROR(__xludf.DUMMYFUNCTION("""COMPUTED_VALUE"""),1.0)</f>
        <v>1</v>
      </c>
      <c r="N64" s="50" t="str">
        <f>IFERROR(__xludf.DUMMYFUNCTION("""COMPUTED_VALUE"""),"A302")</f>
        <v>A302</v>
      </c>
      <c r="O64" s="38" t="str">
        <f>IFERROR(__xludf.DUMMYFUNCTION("""COMPUTED_VALUE"""),"")</f>
        <v/>
      </c>
      <c r="P64" s="45">
        <f>IFERROR(__xludf.DUMMYFUNCTION("""COMPUTED_VALUE"""),62.85326228908739)</f>
        <v>62.85326229</v>
      </c>
      <c r="Q64" s="46" t="str">
        <f>IFERROR(__xludf.DUMMYFUNCTION("""COMPUTED_VALUE"""),"AP")</f>
        <v>AP</v>
      </c>
      <c r="R64" s="47">
        <f>IFERROR(__xludf.DUMMYFUNCTION("""COMPUTED_VALUE"""),12.728058510638299)</f>
        <v>12.72805851</v>
      </c>
      <c r="S64" s="48" t="str">
        <f>IFERROR(__xludf.DUMMYFUNCTION("""COMPUTED_VALUE"""),"%")</f>
        <v>%</v>
      </c>
      <c r="T64" s="49">
        <f>IFERROR(__xludf.DUMMYFUNCTION("""COMPUTED_VALUE"""),2.0)</f>
        <v>2</v>
      </c>
      <c r="U64" s="50" t="str">
        <f>IFERROR(__xludf.DUMMYFUNCTION("""COMPUTED_VALUE"""),"A304")</f>
        <v>A304</v>
      </c>
      <c r="V64" s="38" t="str">
        <f>IFERROR(__xludf.DUMMYFUNCTION("""COMPUTED_VALUE"""),"")</f>
        <v/>
      </c>
      <c r="W64" s="45">
        <f>IFERROR(__xludf.DUMMYFUNCTION("""COMPUTED_VALUE"""),92.86243516917757)</f>
        <v>92.86243517</v>
      </c>
      <c r="X64" s="46" t="str">
        <f>IFERROR(__xludf.DUMMYFUNCTION("""COMPUTED_VALUE"""),"AP")</f>
        <v>AP</v>
      </c>
      <c r="Y64" s="47">
        <f>IFERROR(__xludf.DUMMYFUNCTION("""COMPUTED_VALUE"""),8.614893617021277)</f>
        <v>8.614893617</v>
      </c>
      <c r="Z64" s="48" t="str">
        <f>IFERROR(__xludf.DUMMYFUNCTION("""COMPUTED_VALUE"""),"%")</f>
        <v>%</v>
      </c>
      <c r="AA64" s="49">
        <f>IFERROR(__xludf.DUMMYFUNCTION("""COMPUTED_VALUE"""),3.0)</f>
        <v>3</v>
      </c>
      <c r="AB64" s="50" t="str">
        <f>IFERROR(__xludf.DUMMYFUNCTION("""COMPUTED_VALUE"""),"B114")</f>
        <v>B114</v>
      </c>
      <c r="AC64" s="38" t="str">
        <f>IFERROR(__xludf.DUMMYFUNCTION("""COMPUTED_VALUE"""),"")</f>
        <v/>
      </c>
      <c r="AD64" s="45">
        <f>IFERROR(__xludf.DUMMYFUNCTION("""COMPUTED_VALUE"""),141.07268021003114)</f>
        <v>141.0726802</v>
      </c>
      <c r="AE64" s="46" t="str">
        <f>IFERROR(__xludf.DUMMYFUNCTION("""COMPUTED_VALUE"""),"AP")</f>
        <v>AP</v>
      </c>
      <c r="AF64" s="47">
        <f>IFERROR(__xludf.DUMMYFUNCTION("""COMPUTED_VALUE"""),5.670835762168465)</f>
        <v>5.670835762</v>
      </c>
      <c r="AG64" s="48" t="str">
        <f>IFERROR(__xludf.DUMMYFUNCTION("""COMPUTED_VALUE"""),"%")</f>
        <v>%</v>
      </c>
      <c r="AH64" s="43">
        <f>IFERROR(__xludf.DUMMYFUNCTION("""COMPUTED_VALUE"""),8.0)</f>
        <v>8</v>
      </c>
      <c r="AI64" s="44">
        <f>IFERROR(__xludf.DUMMYFUNCTION("""COMPUTED_VALUE"""),1504.0)</f>
        <v>1504</v>
      </c>
      <c r="AJ64" s="42" t="str">
        <f>IFERROR(__xludf.DUMMYFUNCTION("""COMPUTED_VALUE"""),"Orleans")</f>
        <v>Orleans</v>
      </c>
    </row>
    <row r="65" ht="24.75" customHeight="1">
      <c r="A65" s="28">
        <f>IFERROR(__xludf.DUMMYFUNCTION("""COMPUTED_VALUE"""),17.0)</f>
        <v>17</v>
      </c>
      <c r="B65" s="28" t="str">
        <f>IFERROR(__xludf.DUMMYFUNCTION("""COMPUTED_VALUE"""),"A303")</f>
        <v>A303</v>
      </c>
      <c r="C65" s="28" t="str">
        <f>IFERROR(__xludf.DUMMYFUNCTION("""COMPUTED_VALUE"""),"ORL2")</f>
        <v>ORL2</v>
      </c>
      <c r="D65" s="29" t="str">
        <f>IFERROR(__xludf.DUMMYFUNCTION("""COMPUTED_VALUE"""),"Orleans")</f>
        <v>Orleans</v>
      </c>
      <c r="E65" s="30" t="str">
        <f>IFERROR(__xludf.DUMMYFUNCTION("""COMPUTED_VALUE"""),"Vaucouleurs")</f>
        <v>Vaucouleurs</v>
      </c>
      <c r="F65" s="31">
        <f>IFERROR(__xludf.DUMMYFUNCTION("""COMPUTED_VALUE"""),7.0)</f>
        <v>7</v>
      </c>
      <c r="G65" s="32">
        <f>IFERROR(__xludf.DUMMYFUNCTION("""COMPUTED_VALUE"""),1215.0)</f>
        <v>1215</v>
      </c>
      <c r="H65" s="33" t="str">
        <f>IFERROR(__xludf.DUMMYFUNCTION("""COMPUTED_VALUE"""),"")</f>
        <v/>
      </c>
      <c r="I65" s="34">
        <f>IFERROR(__xludf.DUMMYFUNCTION("""COMPUTED_VALUE"""),83.19312935284451)</f>
        <v>83.19312935</v>
      </c>
      <c r="J65" s="35" t="str">
        <f>IFERROR(__xludf.DUMMYFUNCTION("""COMPUTED_VALUE"""),"AP")</f>
        <v>AP</v>
      </c>
      <c r="K65" s="34">
        <f>IFERROR(__xludf.DUMMYFUNCTION("""COMPUTED_VALUE"""),8.414156378600824)</f>
        <v>8.414156379</v>
      </c>
      <c r="L65" s="35" t="str">
        <f>IFERROR(__xludf.DUMMYFUNCTION("""COMPUTED_VALUE"""),"%")</f>
        <v>%</v>
      </c>
      <c r="M65" s="36">
        <f>IFERROR(__xludf.DUMMYFUNCTION("""COMPUTED_VALUE"""),1.0)</f>
        <v>1</v>
      </c>
      <c r="N65" s="37" t="str">
        <f>IFERROR(__xludf.DUMMYFUNCTION("""COMPUTED_VALUE"""),"A302")</f>
        <v>A302</v>
      </c>
      <c r="O65" s="38" t="str">
        <f>IFERROR(__xludf.DUMMYFUNCTION("""COMPUTED_VALUE"""),"")</f>
        <v/>
      </c>
      <c r="P65" s="34">
        <f>IFERROR(__xludf.DUMMYFUNCTION("""COMPUTED_VALUE"""),131.28241541121264)</f>
        <v>131.2824154</v>
      </c>
      <c r="Q65" s="35" t="str">
        <f>IFERROR(__xludf.DUMMYFUNCTION("""COMPUTED_VALUE"""),"AP")</f>
        <v>AP</v>
      </c>
      <c r="R65" s="34">
        <f>IFERROR(__xludf.DUMMYFUNCTION("""COMPUTED_VALUE"""),5.33201646090535)</f>
        <v>5.332016461</v>
      </c>
      <c r="S65" s="35" t="str">
        <f>IFERROR(__xludf.DUMMYFUNCTION("""COMPUTED_VALUE"""),"%")</f>
        <v>%</v>
      </c>
      <c r="T65" s="36">
        <f>IFERROR(__xludf.DUMMYFUNCTION("""COMPUTED_VALUE"""),2.0)</f>
        <v>2</v>
      </c>
      <c r="U65" s="37"/>
      <c r="V65" s="38"/>
      <c r="W65" s="34" t="str">
        <f>IFERROR(__xludf.DUMMYFUNCTION("""COMPUTED_VALUE"""),"")</f>
        <v/>
      </c>
      <c r="X65" s="35" t="str">
        <f>IFERROR(__xludf.DUMMYFUNCTION("""COMPUTED_VALUE"""),"AP")</f>
        <v>AP</v>
      </c>
      <c r="Y65" s="34" t="str">
        <f>IFERROR(__xludf.DUMMYFUNCTION("""COMPUTED_VALUE"""),"")</f>
        <v/>
      </c>
      <c r="Z65" s="35" t="str">
        <f>IFERROR(__xludf.DUMMYFUNCTION("""COMPUTED_VALUE"""),"%")</f>
        <v>%</v>
      </c>
      <c r="AA65" s="36">
        <f>IFERROR(__xludf.DUMMYFUNCTION("""COMPUTED_VALUE"""),3.0)</f>
        <v>3</v>
      </c>
      <c r="AB65" s="37"/>
      <c r="AC65" s="38"/>
      <c r="AD65" s="34" t="str">
        <f>IFERROR(__xludf.DUMMYFUNCTION("""COMPUTED_VALUE"""),"")</f>
        <v/>
      </c>
      <c r="AE65" s="35" t="str">
        <f>IFERROR(__xludf.DUMMYFUNCTION("""COMPUTED_VALUE"""),"AP")</f>
        <v>AP</v>
      </c>
      <c r="AF65" s="34" t="str">
        <f>IFERROR(__xludf.DUMMYFUNCTION("""COMPUTED_VALUE"""),"")</f>
        <v/>
      </c>
      <c r="AG65" s="35" t="str">
        <f>IFERROR(__xludf.DUMMYFUNCTION("""COMPUTED_VALUE"""),"%")</f>
        <v>%</v>
      </c>
      <c r="AH65" s="31">
        <f>IFERROR(__xludf.DUMMYFUNCTION("""COMPUTED_VALUE"""),7.0)</f>
        <v>7</v>
      </c>
      <c r="AI65" s="32">
        <f>IFERROR(__xludf.DUMMYFUNCTION("""COMPUTED_VALUE"""),1215.0)</f>
        <v>1215</v>
      </c>
      <c r="AJ65" s="30" t="str">
        <f>IFERROR(__xludf.DUMMYFUNCTION("""COMPUTED_VALUE"""),"Vaucouleurs")</f>
        <v>Vaucouleurs</v>
      </c>
    </row>
    <row r="66" ht="24.75" customHeight="1">
      <c r="A66" s="40">
        <f>IFERROR(__xludf.DUMMYFUNCTION("""COMPUTED_VALUE"""),18.0)</f>
        <v>18</v>
      </c>
      <c r="B66" s="40" t="str">
        <f>IFERROR(__xludf.DUMMYFUNCTION("""COMPUTED_VALUE"""),"A303")</f>
        <v>A303</v>
      </c>
      <c r="C66" s="40" t="str">
        <f>IFERROR(__xludf.DUMMYFUNCTION("""COMPUTED_VALUE"""),"TRF16")</f>
        <v>TRF16</v>
      </c>
      <c r="D66" s="41" t="str">
        <f>IFERROR(__xludf.DUMMYFUNCTION("""COMPUTED_VALUE"""),"Chaldea Gate (Thu)")</f>
        <v>Chaldea Gate (Thu)</v>
      </c>
      <c r="E66" s="42" t="str">
        <f>IFERROR(__xludf.DUMMYFUNCTION("""COMPUTED_VALUE"""),"THU Rider Training Ground- Exp")</f>
        <v>THU Rider Training Ground- Exp</v>
      </c>
      <c r="F66" s="43">
        <f>IFERROR(__xludf.DUMMYFUNCTION("""COMPUTED_VALUE"""),40.0)</f>
        <v>40</v>
      </c>
      <c r="G66" s="44">
        <f>IFERROR(__xludf.DUMMYFUNCTION("""COMPUTED_VALUE"""),4725.0)</f>
        <v>4725</v>
      </c>
      <c r="H66" s="33" t="str">
        <f>IFERROR(__xludf.DUMMYFUNCTION("""COMPUTED_VALUE"""),"")</f>
        <v/>
      </c>
      <c r="I66" s="45">
        <f>IFERROR(__xludf.DUMMYFUNCTION("""COMPUTED_VALUE"""),85.81999415152632)</f>
        <v>85.81999415</v>
      </c>
      <c r="J66" s="46" t="str">
        <f>IFERROR(__xludf.DUMMYFUNCTION("""COMPUTED_VALUE"""),"AP")</f>
        <v>AP</v>
      </c>
      <c r="K66" s="47">
        <f>IFERROR(__xludf.DUMMYFUNCTION("""COMPUTED_VALUE"""),46.60918518518519)</f>
        <v>46.60918519</v>
      </c>
      <c r="L66" s="48" t="str">
        <f>IFERROR(__xludf.DUMMYFUNCTION("""COMPUTED_VALUE"""),"%")</f>
        <v>%</v>
      </c>
      <c r="M66" s="49">
        <f>IFERROR(__xludf.DUMMYFUNCTION("""COMPUTED_VALUE"""),1.0)</f>
        <v>1</v>
      </c>
      <c r="N66" s="50" t="str">
        <f>IFERROR(__xludf.DUMMYFUNCTION("""COMPUTED_VALUE"""),"A103")</f>
        <v>A103</v>
      </c>
      <c r="O66" s="38" t="str">
        <f>IFERROR(__xludf.DUMMYFUNCTION("""COMPUTED_VALUE"""),"")</f>
        <v/>
      </c>
      <c r="P66" s="45">
        <f>IFERROR(__xludf.DUMMYFUNCTION("""COMPUTED_VALUE"""),544.9072792693053)</f>
        <v>544.9072793</v>
      </c>
      <c r="Q66" s="46" t="str">
        <f>IFERROR(__xludf.DUMMYFUNCTION("""COMPUTED_VALUE"""),"AP")</f>
        <v>AP</v>
      </c>
      <c r="R66" s="47">
        <f>IFERROR(__xludf.DUMMYFUNCTION("""COMPUTED_VALUE"""),7.340698412698413)</f>
        <v>7.340698413</v>
      </c>
      <c r="S66" s="48" t="str">
        <f>IFERROR(__xludf.DUMMYFUNCTION("""COMPUTED_VALUE"""),"%")</f>
        <v>%</v>
      </c>
      <c r="T66" s="49">
        <f>IFERROR(__xludf.DUMMYFUNCTION("""COMPUTED_VALUE"""),2.0)</f>
        <v>2</v>
      </c>
      <c r="U66" s="50" t="str">
        <f>IFERROR(__xludf.DUMMYFUNCTION("""COMPUTED_VALUE"""),"A209")</f>
        <v>A209</v>
      </c>
      <c r="V66" s="38" t="str">
        <f>IFERROR(__xludf.DUMMYFUNCTION("""COMPUTED_VALUE"""),"")</f>
        <v/>
      </c>
      <c r="W66" s="45">
        <f>IFERROR(__xludf.DUMMYFUNCTION("""COMPUTED_VALUE"""),206.98990677787904)</f>
        <v>206.9899068</v>
      </c>
      <c r="X66" s="46" t="str">
        <f>IFERROR(__xludf.DUMMYFUNCTION("""COMPUTED_VALUE"""),"AP")</f>
        <v>AP</v>
      </c>
      <c r="Y66" s="47">
        <f>IFERROR(__xludf.DUMMYFUNCTION("""COMPUTED_VALUE"""),19.324613756613754)</f>
        <v>19.32461376</v>
      </c>
      <c r="Z66" s="48" t="str">
        <f>IFERROR(__xludf.DUMMYFUNCTION("""COMPUTED_VALUE"""),"%")</f>
        <v>%</v>
      </c>
      <c r="AA66" s="49">
        <f>IFERROR(__xludf.DUMMYFUNCTION("""COMPUTED_VALUE"""),3.0)</f>
        <v>3</v>
      </c>
      <c r="AB66" s="50" t="str">
        <f>IFERROR(__xludf.DUMMYFUNCTION("""COMPUTED_VALUE"""),"A304")</f>
        <v>A304</v>
      </c>
      <c r="AC66" s="38" t="str">
        <f>IFERROR(__xludf.DUMMYFUNCTION("""COMPUTED_VALUE"""),"")</f>
        <v/>
      </c>
      <c r="AD66" s="45">
        <f>IFERROR(__xludf.DUMMYFUNCTION("""COMPUTED_VALUE"""),242.73340936411546)</f>
        <v>242.7334094</v>
      </c>
      <c r="AE66" s="46" t="str">
        <f>IFERROR(__xludf.DUMMYFUNCTION("""COMPUTED_VALUE"""),"AP")</f>
        <v>AP</v>
      </c>
      <c r="AF66" s="47">
        <f>IFERROR(__xludf.DUMMYFUNCTION("""COMPUTED_VALUE"""),16.47898412698413)</f>
        <v>16.47898413</v>
      </c>
      <c r="AG66" s="48" t="str">
        <f>IFERROR(__xludf.DUMMYFUNCTION("""COMPUTED_VALUE"""),"%")</f>
        <v>%</v>
      </c>
      <c r="AH66" s="43">
        <f>IFERROR(__xludf.DUMMYFUNCTION("""COMPUTED_VALUE"""),40.0)</f>
        <v>40</v>
      </c>
      <c r="AI66" s="44">
        <f>IFERROR(__xludf.DUMMYFUNCTION("""COMPUTED_VALUE"""),4725.0)</f>
        <v>4725</v>
      </c>
      <c r="AJ66" s="42" t="str">
        <f>IFERROR(__xludf.DUMMYFUNCTION("""COMPUTED_VALUE"""),"THU Rider Training Ground- Exp")</f>
        <v>THU Rider Training Ground- Exp</v>
      </c>
    </row>
    <row r="67" ht="24.75" customHeight="1">
      <c r="A67" s="28">
        <f>IFERROR(__xludf.DUMMYFUNCTION("""COMPUTED_VALUE"""),19.0)</f>
        <v>19</v>
      </c>
      <c r="B67" s="28" t="str">
        <f>IFERROR(__xludf.DUMMYFUNCTION("""COMPUTED_VALUE"""),"A303")</f>
        <v>A303</v>
      </c>
      <c r="C67" s="28" t="str">
        <f>IFERROR(__xludf.DUMMYFUNCTION("""COMPUTED_VALUE"""),"TRF22")</f>
        <v>TRF22</v>
      </c>
      <c r="D67" s="29" t="str">
        <f>IFERROR(__xludf.DUMMYFUNCTION("""COMPUTED_VALUE"""),"Chaldea Gate (Sat)")</f>
        <v>Chaldea Gate (Sat)</v>
      </c>
      <c r="E67" s="30" t="str">
        <f>IFERROR(__xludf.DUMMYFUNCTION("""COMPUTED_VALUE"""),"SAT Assassin Training Ground- Int")</f>
        <v>SAT Assassin Training Ground- Int</v>
      </c>
      <c r="F67" s="31">
        <f>IFERROR(__xludf.DUMMYFUNCTION("""COMPUTED_VALUE"""),20.0)</f>
        <v>20</v>
      </c>
      <c r="G67" s="32">
        <f>IFERROR(__xludf.DUMMYFUNCTION("""COMPUTED_VALUE"""),1134.0)</f>
        <v>1134</v>
      </c>
      <c r="H67" s="33" t="str">
        <f>IFERROR(__xludf.DUMMYFUNCTION("""COMPUTED_VALUE"""),"")</f>
        <v/>
      </c>
      <c r="I67" s="34">
        <f>IFERROR(__xludf.DUMMYFUNCTION("""COMPUTED_VALUE"""),113.39999999999999)</f>
        <v>113.4</v>
      </c>
      <c r="J67" s="35" t="str">
        <f>IFERROR(__xludf.DUMMYFUNCTION("""COMPUTED_VALUE"""),"AP")</f>
        <v>AP</v>
      </c>
      <c r="K67" s="34">
        <f>IFERROR(__xludf.DUMMYFUNCTION("""COMPUTED_VALUE"""),17.63668430335097)</f>
        <v>17.6366843</v>
      </c>
      <c r="L67" s="35" t="str">
        <f>IFERROR(__xludf.DUMMYFUNCTION("""COMPUTED_VALUE"""),"%")</f>
        <v>%</v>
      </c>
      <c r="M67" s="36">
        <f>IFERROR(__xludf.DUMMYFUNCTION("""COMPUTED_VALUE"""),1.0)</f>
        <v>1</v>
      </c>
      <c r="N67" s="37" t="str">
        <f>IFERROR(__xludf.DUMMYFUNCTION("""COMPUTED_VALUE"""),"A201")</f>
        <v>A201</v>
      </c>
      <c r="O67" s="38" t="str">
        <f>IFERROR(__xludf.DUMMYFUNCTION("""COMPUTED_VALUE"""),"")</f>
        <v/>
      </c>
      <c r="P67" s="34">
        <f>IFERROR(__xludf.DUMMYFUNCTION("""COMPUTED_VALUE"""),233.81443298969074)</f>
        <v>233.814433</v>
      </c>
      <c r="Q67" s="35" t="str">
        <f>IFERROR(__xludf.DUMMYFUNCTION("""COMPUTED_VALUE"""),"AP")</f>
        <v>AP</v>
      </c>
      <c r="R67" s="34">
        <f>IFERROR(__xludf.DUMMYFUNCTION("""COMPUTED_VALUE"""),8.55379188712522)</f>
        <v>8.553791887</v>
      </c>
      <c r="S67" s="35" t="str">
        <f>IFERROR(__xludf.DUMMYFUNCTION("""COMPUTED_VALUE"""),"%")</f>
        <v>%</v>
      </c>
      <c r="T67" s="36">
        <f>IFERROR(__xludf.DUMMYFUNCTION("""COMPUTED_VALUE"""),2.0)</f>
        <v>2</v>
      </c>
      <c r="U67" s="37" t="str">
        <f>IFERROR(__xludf.DUMMYFUNCTION("""COMPUTED_VALUE"""),"A202")</f>
        <v>A202</v>
      </c>
      <c r="V67" s="38" t="str">
        <f>IFERROR(__xludf.DUMMYFUNCTION("""COMPUTED_VALUE"""),"")</f>
        <v/>
      </c>
      <c r="W67" s="34">
        <f>IFERROR(__xludf.DUMMYFUNCTION("""COMPUTED_VALUE"""),782.0689655172413)</f>
        <v>782.0689655</v>
      </c>
      <c r="X67" s="35" t="str">
        <f>IFERROR(__xludf.DUMMYFUNCTION("""COMPUTED_VALUE"""),"AP")</f>
        <v>AP</v>
      </c>
      <c r="Y67" s="34">
        <f>IFERROR(__xludf.DUMMYFUNCTION("""COMPUTED_VALUE"""),2.557319223985891)</f>
        <v>2.557319224</v>
      </c>
      <c r="Z67" s="35" t="str">
        <f>IFERROR(__xludf.DUMMYFUNCTION("""COMPUTED_VALUE"""),"%")</f>
        <v>%</v>
      </c>
      <c r="AA67" s="36">
        <f>IFERROR(__xludf.DUMMYFUNCTION("""COMPUTED_VALUE"""),3.0)</f>
        <v>3</v>
      </c>
      <c r="AB67" s="37" t="str">
        <f>IFERROR(__xludf.DUMMYFUNCTION("""COMPUTED_VALUE"""),"A206")</f>
        <v>A206</v>
      </c>
      <c r="AC67" s="38" t="str">
        <f>IFERROR(__xludf.DUMMYFUNCTION("""COMPUTED_VALUE"""),"")</f>
        <v/>
      </c>
      <c r="AD67" s="34">
        <f>IFERROR(__xludf.DUMMYFUNCTION("""COMPUTED_VALUE"""),210.0)</f>
        <v>210</v>
      </c>
      <c r="AE67" s="35" t="str">
        <f>IFERROR(__xludf.DUMMYFUNCTION("""COMPUTED_VALUE"""),"AP")</f>
        <v>AP</v>
      </c>
      <c r="AF67" s="34">
        <f>IFERROR(__xludf.DUMMYFUNCTION("""COMPUTED_VALUE"""),9.523809523809524)</f>
        <v>9.523809524</v>
      </c>
      <c r="AG67" s="35" t="str">
        <f>IFERROR(__xludf.DUMMYFUNCTION("""COMPUTED_VALUE"""),"%")</f>
        <v>%</v>
      </c>
      <c r="AH67" s="31">
        <f>IFERROR(__xludf.DUMMYFUNCTION("""COMPUTED_VALUE"""),20.0)</f>
        <v>20</v>
      </c>
      <c r="AI67" s="32">
        <f>IFERROR(__xludf.DUMMYFUNCTION("""COMPUTED_VALUE"""),1134.0)</f>
        <v>1134</v>
      </c>
      <c r="AJ67" s="30" t="str">
        <f>IFERROR(__xludf.DUMMYFUNCTION("""COMPUTED_VALUE"""),"SAT Assassin Training Ground- Int")</f>
        <v>SAT Assassin Training Ground- Int</v>
      </c>
    </row>
    <row r="68" ht="24.75" customHeight="1">
      <c r="A68" s="40">
        <f>IFERROR(__xludf.DUMMYFUNCTION("""COMPUTED_VALUE"""),20.0)</f>
        <v>20</v>
      </c>
      <c r="B68" s="40" t="str">
        <f>IFERROR(__xludf.DUMMYFUNCTION("""COMPUTED_VALUE"""),"A303")</f>
        <v>A303</v>
      </c>
      <c r="C68" s="40" t="str">
        <f>IFERROR(__xludf.DUMMYFUNCTION("""COMPUTED_VALUE"""),"OKN10")</f>
        <v>OKN10</v>
      </c>
      <c r="D68" s="41" t="str">
        <f>IFERROR(__xludf.DUMMYFUNCTION("""COMPUTED_VALUE"""),"Okeanos")</f>
        <v>Okeanos</v>
      </c>
      <c r="E68" s="42" t="str">
        <f>IFERROR(__xludf.DUMMYFUNCTION("""COMPUTED_VALUE"""),"Archipelago (Quiet Bay)")</f>
        <v>Archipelago (Quiet Bay)</v>
      </c>
      <c r="F68" s="43">
        <f>IFERROR(__xludf.DUMMYFUNCTION("""COMPUTED_VALUE"""),15.0)</f>
        <v>15</v>
      </c>
      <c r="G68" s="44">
        <f>IFERROR(__xludf.DUMMYFUNCTION("""COMPUTED_VALUE"""),1230.0)</f>
        <v>1230</v>
      </c>
      <c r="H68" s="33" t="str">
        <f>IFERROR(__xludf.DUMMYFUNCTION("""COMPUTED_VALUE"""),"")</f>
        <v/>
      </c>
      <c r="I68" s="45">
        <f>IFERROR(__xludf.DUMMYFUNCTION("""COMPUTED_VALUE"""),114.69600895188363)</f>
        <v>114.696009</v>
      </c>
      <c r="J68" s="46" t="str">
        <f>IFERROR(__xludf.DUMMYFUNCTION("""COMPUTED_VALUE"""),"AP")</f>
        <v>AP</v>
      </c>
      <c r="K68" s="47">
        <f>IFERROR(__xludf.DUMMYFUNCTION("""COMPUTED_VALUE"""),13.078048780487805)</f>
        <v>13.07804878</v>
      </c>
      <c r="L68" s="48" t="str">
        <f>IFERROR(__xludf.DUMMYFUNCTION("""COMPUTED_VALUE"""),"%")</f>
        <v>%</v>
      </c>
      <c r="M68" s="49">
        <f>IFERROR(__xludf.DUMMYFUNCTION("""COMPUTED_VALUE"""),1.0)</f>
        <v>1</v>
      </c>
      <c r="N68" s="50" t="str">
        <f>IFERROR(__xludf.DUMMYFUNCTION("""COMPUTED_VALUE"""),"A301")</f>
        <v>A301</v>
      </c>
      <c r="O68" s="38" t="str">
        <f>IFERROR(__xludf.DUMMYFUNCTION("""COMPUTED_VALUE"""),"")</f>
        <v/>
      </c>
      <c r="P68" s="45">
        <f>IFERROR(__xludf.DUMMYFUNCTION("""COMPUTED_VALUE"""),83.79507675538196)</f>
        <v>83.79507676</v>
      </c>
      <c r="Q68" s="46" t="str">
        <f>IFERROR(__xludf.DUMMYFUNCTION("""COMPUTED_VALUE"""),"AP")</f>
        <v>AP</v>
      </c>
      <c r="R68" s="47"/>
      <c r="S68" s="48" t="str">
        <f>IFERROR(__xludf.DUMMYFUNCTION("""COMPUTED_VALUE"""),"%")</f>
        <v>%</v>
      </c>
      <c r="T68" s="49">
        <f>IFERROR(__xludf.DUMMYFUNCTION("""COMPUTED_VALUE"""),2.0)</f>
        <v>2</v>
      </c>
      <c r="U68" s="50" t="str">
        <f>IFERROR(__xludf.DUMMYFUNCTION("""COMPUTED_VALUE"""),"A304")</f>
        <v>A304</v>
      </c>
      <c r="V68" s="38" t="str">
        <f>IFERROR(__xludf.DUMMYFUNCTION("""COMPUTED_VALUE"""),"")</f>
        <v/>
      </c>
      <c r="W68" s="45">
        <f>IFERROR(__xludf.DUMMYFUNCTION("""COMPUTED_VALUE"""),60.0)</f>
        <v>60</v>
      </c>
      <c r="X68" s="46" t="str">
        <f>IFERROR(__xludf.DUMMYFUNCTION("""COMPUTED_VALUE"""),"AP")</f>
        <v>AP</v>
      </c>
      <c r="Y68" s="47">
        <f>IFERROR(__xludf.DUMMYFUNCTION("""COMPUTED_VALUE"""),25.0)</f>
        <v>25</v>
      </c>
      <c r="Z68" s="48" t="str">
        <f>IFERROR(__xludf.DUMMYFUNCTION("""COMPUTED_VALUE"""),"%")</f>
        <v>%</v>
      </c>
      <c r="AA68" s="49">
        <f>IFERROR(__xludf.DUMMYFUNCTION("""COMPUTED_VALUE"""),3.0)</f>
        <v>3</v>
      </c>
      <c r="AB68" s="50"/>
      <c r="AC68" s="38"/>
      <c r="AD68" s="45" t="str">
        <f>IFERROR(__xludf.DUMMYFUNCTION("""COMPUTED_VALUE"""),"")</f>
        <v/>
      </c>
      <c r="AE68" s="46" t="str">
        <f>IFERROR(__xludf.DUMMYFUNCTION("""COMPUTED_VALUE"""),"AP")</f>
        <v>AP</v>
      </c>
      <c r="AF68" s="47" t="str">
        <f>IFERROR(__xludf.DUMMYFUNCTION("""COMPUTED_VALUE"""),"")</f>
        <v/>
      </c>
      <c r="AG68" s="48" t="str">
        <f>IFERROR(__xludf.DUMMYFUNCTION("""COMPUTED_VALUE"""),"%")</f>
        <v>%</v>
      </c>
      <c r="AH68" s="43">
        <f>IFERROR(__xludf.DUMMYFUNCTION("""COMPUTED_VALUE"""),15.0)</f>
        <v>15</v>
      </c>
      <c r="AI68" s="44">
        <f>IFERROR(__xludf.DUMMYFUNCTION("""COMPUTED_VALUE"""),1230.0)</f>
        <v>1230</v>
      </c>
      <c r="AJ68" s="42" t="str">
        <f>IFERROR(__xludf.DUMMYFUNCTION("""COMPUTED_VALUE"""),"Archipelago (Quiet Bay)")</f>
        <v>Archipelago (Quiet Bay)</v>
      </c>
    </row>
    <row r="69">
      <c r="A69" s="52"/>
      <c r="B69" s="53"/>
      <c r="C69" s="54"/>
      <c r="D69" s="56"/>
      <c r="E69" s="56"/>
      <c r="F69" s="53"/>
      <c r="G69" s="53"/>
      <c r="H69" s="53"/>
      <c r="I69" s="53"/>
      <c r="J69" s="57"/>
      <c r="K69" s="53"/>
      <c r="L69" s="57"/>
      <c r="M69" s="53"/>
      <c r="N69" s="53"/>
      <c r="O69" s="53"/>
      <c r="P69" s="53"/>
      <c r="Q69" s="57"/>
      <c r="R69" s="53"/>
      <c r="S69" s="57"/>
      <c r="T69" s="53"/>
      <c r="U69" s="53"/>
      <c r="V69" s="53"/>
      <c r="W69" s="53"/>
      <c r="X69" s="57"/>
      <c r="Y69" s="53"/>
      <c r="Z69" s="57"/>
      <c r="AA69" s="53"/>
      <c r="AB69" s="53"/>
      <c r="AC69" s="53"/>
      <c r="AD69" s="53"/>
      <c r="AE69" s="57"/>
      <c r="AF69" s="53"/>
      <c r="AG69" s="57"/>
      <c r="AH69" s="53"/>
      <c r="AI69" s="53"/>
      <c r="AJ69" s="56"/>
    </row>
    <row r="70">
      <c r="A70" s="59"/>
      <c r="B70" s="60"/>
      <c r="C70" s="61"/>
      <c r="D70" s="63"/>
      <c r="E70" s="63"/>
      <c r="F70" s="60"/>
      <c r="G70" s="60"/>
      <c r="H70" s="60"/>
      <c r="I70" s="60"/>
      <c r="J70" s="64"/>
      <c r="K70" s="60"/>
      <c r="L70" s="64"/>
      <c r="M70" s="60"/>
      <c r="N70" s="60"/>
      <c r="O70" s="60"/>
      <c r="P70" s="60"/>
      <c r="Q70" s="64"/>
      <c r="R70" s="60"/>
      <c r="S70" s="64"/>
      <c r="T70" s="60"/>
      <c r="U70" s="60"/>
      <c r="V70" s="60"/>
      <c r="W70" s="60"/>
      <c r="X70" s="64"/>
      <c r="Y70" s="60"/>
      <c r="Z70" s="64"/>
      <c r="AA70" s="60"/>
      <c r="AB70" s="60"/>
      <c r="AC70" s="60"/>
      <c r="AD70" s="60"/>
      <c r="AE70" s="64"/>
      <c r="AF70" s="60"/>
      <c r="AG70" s="64"/>
      <c r="AH70" s="60"/>
      <c r="AI70" s="60"/>
      <c r="AJ70" s="63"/>
    </row>
    <row r="71" ht="33.0" customHeight="1">
      <c r="A71" s="24" t="str">
        <f>IFERROR(__xludf.DUMMYFUNCTION("""COMPUTED_VALUE""")," ")</f>
        <v> </v>
      </c>
      <c r="B71" s="21" t="str">
        <f>IFERROR(__xludf.DUMMYFUNCTION("""COMPUTED_VALUE"""),"A304")</f>
        <v>A304</v>
      </c>
      <c r="C71" s="20"/>
      <c r="D71" s="257" t="str">
        <f>IFERROR(__xludf.DUMMYFUNCTION("""COMPUTED_VALUE"""),"")</f>
        <v/>
      </c>
      <c r="E71" s="23" t="str">
        <f>IFERROR(__xludf.DUMMYFUNCTION("""COMPUTED_VALUE"""),"Void's Dust")</f>
        <v>Void's Dust</v>
      </c>
      <c r="F71" s="24"/>
      <c r="G71" s="24"/>
      <c r="H71" s="25"/>
      <c r="I71" s="25"/>
      <c r="J71" s="26"/>
      <c r="K71" s="25"/>
      <c r="L71" s="26"/>
      <c r="M71" s="25"/>
      <c r="N71" s="25"/>
      <c r="O71" s="25"/>
      <c r="P71" s="25"/>
      <c r="Q71" s="26"/>
      <c r="R71" s="25"/>
      <c r="S71" s="26"/>
      <c r="T71" s="25"/>
      <c r="U71" s="25"/>
      <c r="V71" s="25"/>
      <c r="W71" s="25"/>
      <c r="X71" s="26"/>
      <c r="Y71" s="25"/>
      <c r="Z71" s="26"/>
      <c r="AA71" s="25"/>
      <c r="AB71" s="25"/>
      <c r="AC71" s="25"/>
      <c r="AD71" s="25"/>
      <c r="AE71" s="26"/>
      <c r="AF71" s="25"/>
      <c r="AG71" s="26"/>
      <c r="AH71" s="24"/>
      <c r="AI71" s="25"/>
      <c r="AJ71" s="23"/>
    </row>
    <row r="72" ht="24.75" customHeight="1">
      <c r="A72" s="28">
        <f>IFERROR(__xludf.DUMMYFUNCTION("""COMPUTED_VALUE"""),1.0)</f>
        <v>1</v>
      </c>
      <c r="B72" s="28" t="str">
        <f>IFERROR(__xludf.DUMMYFUNCTION("""COMPUTED_VALUE"""),"A304")</f>
        <v>A304</v>
      </c>
      <c r="C72" s="28" t="str">
        <f>IFERROR(__xludf.DUMMYFUNCTION("""COMPUTED_VALUE"""),"EPU12")</f>
        <v>EPU12</v>
      </c>
      <c r="D72" s="29" t="str">
        <f>IFERROR(__xludf.DUMMYFUNCTION("""COMPUTED_VALUE"""),"E Pluribus Unum")</f>
        <v>E Pluribus Unum</v>
      </c>
      <c r="E72" s="30" t="str">
        <f>IFERROR(__xludf.DUMMYFUNCTION("""COMPUTED_VALUE"""),"Charlotte")</f>
        <v>Charlotte</v>
      </c>
      <c r="F72" s="31">
        <f>IFERROR(__xludf.DUMMYFUNCTION("""COMPUTED_VALUE"""),20.0)</f>
        <v>20</v>
      </c>
      <c r="G72" s="32">
        <f>IFERROR(__xludf.DUMMYFUNCTION("""COMPUTED_VALUE"""),361282.0)</f>
        <v>361282</v>
      </c>
      <c r="H72" s="33" t="str">
        <f>IFERROR(__xludf.DUMMYFUNCTION("""COMPUTED_VALUE"""),"")</f>
        <v/>
      </c>
      <c r="I72" s="34">
        <f>IFERROR(__xludf.DUMMYFUNCTION("""COMPUTED_VALUE"""),31.15225793899189)</f>
        <v>31.15225794</v>
      </c>
      <c r="J72" s="35" t="str">
        <f>IFERROR(__xludf.DUMMYFUNCTION("""COMPUTED_VALUE"""),"AP")</f>
        <v>AP</v>
      </c>
      <c r="K72" s="34">
        <f>IFERROR(__xludf.DUMMYFUNCTION("""COMPUTED_VALUE"""),64.20080380423049)</f>
        <v>64.2008038</v>
      </c>
      <c r="L72" s="35" t="str">
        <f>IFERROR(__xludf.DUMMYFUNCTION("""COMPUTED_VALUE"""),"%")</f>
        <v>%</v>
      </c>
      <c r="M72" s="36">
        <f>IFERROR(__xludf.DUMMYFUNCTION("""COMPUTED_VALUE"""),1.0)</f>
        <v>1</v>
      </c>
      <c r="N72" s="37" t="str">
        <f>IFERROR(__xludf.DUMMYFUNCTION("""COMPUTED_VALUE"""),"A301")</f>
        <v>A301</v>
      </c>
      <c r="O72" s="38" t="str">
        <f>IFERROR(__xludf.DUMMYFUNCTION("""COMPUTED_VALUE"""),"")</f>
        <v/>
      </c>
      <c r="P72" s="34">
        <f>IFERROR(__xludf.DUMMYFUNCTION("""COMPUTED_VALUE"""),41.57122098112578)</f>
        <v>41.57122098</v>
      </c>
      <c r="Q72" s="35" t="str">
        <f>IFERROR(__xludf.DUMMYFUNCTION("""COMPUTED_VALUE"""),"AP")</f>
        <v>AP</v>
      </c>
      <c r="R72" s="34">
        <f>IFERROR(__xludf.DUMMYFUNCTION("""COMPUTED_VALUE"""),48.11020587795684)</f>
        <v>48.11020588</v>
      </c>
      <c r="S72" s="35" t="str">
        <f>IFERROR(__xludf.DUMMYFUNCTION("""COMPUTED_VALUE"""),"%")</f>
        <v>%</v>
      </c>
      <c r="T72" s="36">
        <f>IFERROR(__xludf.DUMMYFUNCTION("""COMPUTED_VALUE"""),2.0)</f>
        <v>2</v>
      </c>
      <c r="U72" s="37"/>
      <c r="V72" s="38"/>
      <c r="W72" s="34" t="str">
        <f>IFERROR(__xludf.DUMMYFUNCTION("""COMPUTED_VALUE"""),"")</f>
        <v/>
      </c>
      <c r="X72" s="35" t="str">
        <f>IFERROR(__xludf.DUMMYFUNCTION("""COMPUTED_VALUE"""),"AP")</f>
        <v>AP</v>
      </c>
      <c r="Y72" s="34" t="str">
        <f>IFERROR(__xludf.DUMMYFUNCTION("""COMPUTED_VALUE"""),"")</f>
        <v/>
      </c>
      <c r="Z72" s="35" t="str">
        <f>IFERROR(__xludf.DUMMYFUNCTION("""COMPUTED_VALUE"""),"%")</f>
        <v>%</v>
      </c>
      <c r="AA72" s="36">
        <f>IFERROR(__xludf.DUMMYFUNCTION("""COMPUTED_VALUE"""),3.0)</f>
        <v>3</v>
      </c>
      <c r="AB72" s="37"/>
      <c r="AC72" s="38"/>
      <c r="AD72" s="34" t="str">
        <f>IFERROR(__xludf.DUMMYFUNCTION("""COMPUTED_VALUE"""),"")</f>
        <v/>
      </c>
      <c r="AE72" s="35" t="str">
        <f>IFERROR(__xludf.DUMMYFUNCTION("""COMPUTED_VALUE"""),"AP")</f>
        <v>AP</v>
      </c>
      <c r="AF72" s="34" t="str">
        <f>IFERROR(__xludf.DUMMYFUNCTION("""COMPUTED_VALUE"""),"")</f>
        <v/>
      </c>
      <c r="AG72" s="35" t="str">
        <f>IFERROR(__xludf.DUMMYFUNCTION("""COMPUTED_VALUE"""),"%")</f>
        <v>%</v>
      </c>
      <c r="AH72" s="31">
        <f>IFERROR(__xludf.DUMMYFUNCTION("""COMPUTED_VALUE"""),20.0)</f>
        <v>20</v>
      </c>
      <c r="AI72" s="32">
        <f>IFERROR(__xludf.DUMMYFUNCTION("""COMPUTED_VALUE"""),361282.0)</f>
        <v>361282</v>
      </c>
      <c r="AJ72" s="30" t="str">
        <f>IFERROR(__xludf.DUMMYFUNCTION("""COMPUTED_VALUE"""),"Charlotte")</f>
        <v>Charlotte</v>
      </c>
    </row>
    <row r="73" ht="24.75" customHeight="1">
      <c r="A73" s="40">
        <f>IFERROR(__xludf.DUMMYFUNCTION("""COMPUTED_VALUE"""),2.0)</f>
        <v>2</v>
      </c>
      <c r="B73" s="40" t="str">
        <f>IFERROR(__xludf.DUMMYFUNCTION("""COMPUTED_VALUE"""),"A304")</f>
        <v>A304</v>
      </c>
      <c r="C73" s="40" t="str">
        <f>IFERROR(__xludf.DUMMYFUNCTION("""COMPUTED_VALUE"""),"CML7")</f>
        <v>CML7</v>
      </c>
      <c r="D73" s="41" t="str">
        <f>IFERROR(__xludf.DUMMYFUNCTION("""COMPUTED_VALUE"""),"Camelot")</f>
        <v>Camelot</v>
      </c>
      <c r="E73" s="42" t="str">
        <f>IFERROR(__xludf.DUMMYFUNCTION("""COMPUTED_VALUE"""),"West Village Ruins")</f>
        <v>West Village Ruins</v>
      </c>
      <c r="F73" s="43">
        <f>IFERROR(__xludf.DUMMYFUNCTION("""COMPUTED_VALUE"""),20.0)</f>
        <v>20</v>
      </c>
      <c r="G73" s="44">
        <f>IFERROR(__xludf.DUMMYFUNCTION("""COMPUTED_VALUE"""),1423.0)</f>
        <v>1423</v>
      </c>
      <c r="H73" s="33" t="str">
        <f>IFERROR(__xludf.DUMMYFUNCTION("""COMPUTED_VALUE"""),"")</f>
        <v/>
      </c>
      <c r="I73" s="45">
        <f>IFERROR(__xludf.DUMMYFUNCTION("""COMPUTED_VALUE"""),42.20861079389562)</f>
        <v>42.20861079</v>
      </c>
      <c r="J73" s="46" t="str">
        <f>IFERROR(__xludf.DUMMYFUNCTION("""COMPUTED_VALUE"""),"AP")</f>
        <v>AP</v>
      </c>
      <c r="K73" s="47">
        <f>IFERROR(__xludf.DUMMYFUNCTION("""COMPUTED_VALUE"""),47.38369641602249)</f>
        <v>47.38369642</v>
      </c>
      <c r="L73" s="48" t="str">
        <f>IFERROR(__xludf.DUMMYFUNCTION("""COMPUTED_VALUE"""),"%")</f>
        <v>%</v>
      </c>
      <c r="M73" s="49">
        <f>IFERROR(__xludf.DUMMYFUNCTION("""COMPUTED_VALUE"""),1.0)</f>
        <v>1</v>
      </c>
      <c r="N73" s="50"/>
      <c r="O73" s="38"/>
      <c r="P73" s="45" t="str">
        <f>IFERROR(__xludf.DUMMYFUNCTION("""COMPUTED_VALUE"""),"")</f>
        <v/>
      </c>
      <c r="Q73" s="46" t="str">
        <f>IFERROR(__xludf.DUMMYFUNCTION("""COMPUTED_VALUE"""),"AP")</f>
        <v>AP</v>
      </c>
      <c r="R73" s="47" t="str">
        <f>IFERROR(__xludf.DUMMYFUNCTION("""COMPUTED_VALUE"""),"")</f>
        <v/>
      </c>
      <c r="S73" s="48" t="str">
        <f>IFERROR(__xludf.DUMMYFUNCTION("""COMPUTED_VALUE"""),"%")</f>
        <v>%</v>
      </c>
      <c r="T73" s="49">
        <f>IFERROR(__xludf.DUMMYFUNCTION("""COMPUTED_VALUE"""),2.0)</f>
        <v>2</v>
      </c>
      <c r="U73" s="50"/>
      <c r="V73" s="38"/>
      <c r="W73" s="45" t="str">
        <f>IFERROR(__xludf.DUMMYFUNCTION("""COMPUTED_VALUE"""),"")</f>
        <v/>
      </c>
      <c r="X73" s="46" t="str">
        <f>IFERROR(__xludf.DUMMYFUNCTION("""COMPUTED_VALUE"""),"AP")</f>
        <v>AP</v>
      </c>
      <c r="Y73" s="47" t="str">
        <f>IFERROR(__xludf.DUMMYFUNCTION("""COMPUTED_VALUE"""),"")</f>
        <v/>
      </c>
      <c r="Z73" s="48" t="str">
        <f>IFERROR(__xludf.DUMMYFUNCTION("""COMPUTED_VALUE"""),"%")</f>
        <v>%</v>
      </c>
      <c r="AA73" s="49">
        <f>IFERROR(__xludf.DUMMYFUNCTION("""COMPUTED_VALUE"""),3.0)</f>
        <v>3</v>
      </c>
      <c r="AB73" s="50"/>
      <c r="AC73" s="38"/>
      <c r="AD73" s="45" t="str">
        <f>IFERROR(__xludf.DUMMYFUNCTION("""COMPUTED_VALUE"""),"")</f>
        <v/>
      </c>
      <c r="AE73" s="46" t="str">
        <f>IFERROR(__xludf.DUMMYFUNCTION("""COMPUTED_VALUE"""),"AP")</f>
        <v>AP</v>
      </c>
      <c r="AF73" s="47" t="str">
        <f>IFERROR(__xludf.DUMMYFUNCTION("""COMPUTED_VALUE"""),"")</f>
        <v/>
      </c>
      <c r="AG73" s="48" t="str">
        <f>IFERROR(__xludf.DUMMYFUNCTION("""COMPUTED_VALUE"""),"%")</f>
        <v>%</v>
      </c>
      <c r="AH73" s="43">
        <f>IFERROR(__xludf.DUMMYFUNCTION("""COMPUTED_VALUE"""),20.0)</f>
        <v>20</v>
      </c>
      <c r="AI73" s="44">
        <f>IFERROR(__xludf.DUMMYFUNCTION("""COMPUTED_VALUE"""),1423.0)</f>
        <v>1423</v>
      </c>
      <c r="AJ73" s="42" t="str">
        <f>IFERROR(__xludf.DUMMYFUNCTION("""COMPUTED_VALUE"""),"West Village Ruins")</f>
        <v>West Village Ruins</v>
      </c>
    </row>
    <row r="74" ht="24.75" customHeight="1">
      <c r="A74" s="28">
        <f>IFERROR(__xludf.DUMMYFUNCTION("""COMPUTED_VALUE"""),3.0)</f>
        <v>3</v>
      </c>
      <c r="B74" s="28" t="str">
        <f>IFERROR(__xludf.DUMMYFUNCTION("""COMPUTED_VALUE"""),"A304")</f>
        <v>A304</v>
      </c>
      <c r="C74" s="28" t="str">
        <f>IFERROR(__xludf.DUMMYFUNCTION("""COMPUTED_VALUE"""),"EPU2")</f>
        <v>EPU2</v>
      </c>
      <c r="D74" s="29" t="str">
        <f>IFERROR(__xludf.DUMMYFUNCTION("""COMPUTED_VALUE"""),"E Pluribus Unum")</f>
        <v>E Pluribus Unum</v>
      </c>
      <c r="E74" s="30" t="str">
        <f>IFERROR(__xludf.DUMMYFUNCTION("""COMPUTED_VALUE"""),"Riverton")</f>
        <v>Riverton</v>
      </c>
      <c r="F74" s="31">
        <f>IFERROR(__xludf.DUMMYFUNCTION("""COMPUTED_VALUE"""),17.0)</f>
        <v>17</v>
      </c>
      <c r="G74" s="32">
        <f>IFERROR(__xludf.DUMMYFUNCTION("""COMPUTED_VALUE"""),1209.0)</f>
        <v>1209</v>
      </c>
      <c r="H74" s="33" t="str">
        <f>IFERROR(__xludf.DUMMYFUNCTION("""COMPUTED_VALUE"""),"")</f>
        <v/>
      </c>
      <c r="I74" s="34">
        <f>IFERROR(__xludf.DUMMYFUNCTION("""COMPUTED_VALUE"""),51.48031259392846)</f>
        <v>51.48031259</v>
      </c>
      <c r="J74" s="35" t="str">
        <f>IFERROR(__xludf.DUMMYFUNCTION("""COMPUTED_VALUE"""),"AP")</f>
        <v>AP</v>
      </c>
      <c r="K74" s="34">
        <f>IFERROR(__xludf.DUMMYFUNCTION("""COMPUTED_VALUE"""),33.022332506203476)</f>
        <v>33.02233251</v>
      </c>
      <c r="L74" s="35" t="str">
        <f>IFERROR(__xludf.DUMMYFUNCTION("""COMPUTED_VALUE"""),"%")</f>
        <v>%</v>
      </c>
      <c r="M74" s="36">
        <f>IFERROR(__xludf.DUMMYFUNCTION("""COMPUTED_VALUE"""),1.0)</f>
        <v>1</v>
      </c>
      <c r="N74" s="37" t="str">
        <f>IFERROR(__xludf.DUMMYFUNCTION("""COMPUTED_VALUE"""),"A301")</f>
        <v>A301</v>
      </c>
      <c r="O74" s="38" t="str">
        <f>IFERROR(__xludf.DUMMYFUNCTION("""COMPUTED_VALUE"""),"")</f>
        <v/>
      </c>
      <c r="P74" s="34">
        <f>IFERROR(__xludf.DUMMYFUNCTION("""COMPUTED_VALUE"""),39.46731699823335)</f>
        <v>39.467317</v>
      </c>
      <c r="Q74" s="35" t="str">
        <f>IFERROR(__xludf.DUMMYFUNCTION("""COMPUTED_VALUE"""),"AP")</f>
        <v>AP</v>
      </c>
      <c r="R74" s="34">
        <f>IFERROR(__xludf.DUMMYFUNCTION("""COMPUTED_VALUE"""),43.07361455748553)</f>
        <v>43.07361456</v>
      </c>
      <c r="S74" s="35" t="str">
        <f>IFERROR(__xludf.DUMMYFUNCTION("""COMPUTED_VALUE"""),"%")</f>
        <v>%</v>
      </c>
      <c r="T74" s="36">
        <f>IFERROR(__xludf.DUMMYFUNCTION("""COMPUTED_VALUE"""),2.0)</f>
        <v>2</v>
      </c>
      <c r="U74" s="37"/>
      <c r="V74" s="38"/>
      <c r="W74" s="34" t="str">
        <f>IFERROR(__xludf.DUMMYFUNCTION("""COMPUTED_VALUE"""),"")</f>
        <v/>
      </c>
      <c r="X74" s="35" t="str">
        <f>IFERROR(__xludf.DUMMYFUNCTION("""COMPUTED_VALUE"""),"AP")</f>
        <v>AP</v>
      </c>
      <c r="Y74" s="34" t="str">
        <f>IFERROR(__xludf.DUMMYFUNCTION("""COMPUTED_VALUE"""),"")</f>
        <v/>
      </c>
      <c r="Z74" s="35" t="str">
        <f>IFERROR(__xludf.DUMMYFUNCTION("""COMPUTED_VALUE"""),"%")</f>
        <v>%</v>
      </c>
      <c r="AA74" s="36">
        <f>IFERROR(__xludf.DUMMYFUNCTION("""COMPUTED_VALUE"""),3.0)</f>
        <v>3</v>
      </c>
      <c r="AB74" s="37"/>
      <c r="AC74" s="38"/>
      <c r="AD74" s="34" t="str">
        <f>IFERROR(__xludf.DUMMYFUNCTION("""COMPUTED_VALUE"""),"")</f>
        <v/>
      </c>
      <c r="AE74" s="35" t="str">
        <f>IFERROR(__xludf.DUMMYFUNCTION("""COMPUTED_VALUE"""),"AP")</f>
        <v>AP</v>
      </c>
      <c r="AF74" s="34" t="str">
        <f>IFERROR(__xludf.DUMMYFUNCTION("""COMPUTED_VALUE"""),"")</f>
        <v/>
      </c>
      <c r="AG74" s="35" t="str">
        <f>IFERROR(__xludf.DUMMYFUNCTION("""COMPUTED_VALUE"""),"%")</f>
        <v>%</v>
      </c>
      <c r="AH74" s="31">
        <f>IFERROR(__xludf.DUMMYFUNCTION("""COMPUTED_VALUE"""),17.0)</f>
        <v>17</v>
      </c>
      <c r="AI74" s="32">
        <f>IFERROR(__xludf.DUMMYFUNCTION("""COMPUTED_VALUE"""),1209.0)</f>
        <v>1209</v>
      </c>
      <c r="AJ74" s="30" t="str">
        <f>IFERROR(__xludf.DUMMYFUNCTION("""COMPUTED_VALUE"""),"Riverton")</f>
        <v>Riverton</v>
      </c>
    </row>
    <row r="75" ht="24.75" customHeight="1">
      <c r="A75" s="40">
        <f>IFERROR(__xludf.DUMMYFUNCTION("""COMPUTED_VALUE"""),4.0)</f>
        <v>4</v>
      </c>
      <c r="B75" s="40" t="str">
        <f>IFERROR(__xludf.DUMMYFUNCTION("""COMPUTED_VALUE"""),"A304")</f>
        <v>A304</v>
      </c>
      <c r="C75" s="40" t="str">
        <f>IFERROR(__xludf.DUMMYFUNCTION("""COMPUTED_VALUE"""),"SEP7")</f>
        <v>SEP7</v>
      </c>
      <c r="D75" s="41" t="str">
        <f>IFERROR(__xludf.DUMMYFUNCTION("""COMPUTED_VALUE"""),"Septem")</f>
        <v>Septem</v>
      </c>
      <c r="E75" s="42" t="str">
        <f>IFERROR(__xludf.DUMMYFUNCTION("""COMPUTED_VALUE"""),"Massilia")</f>
        <v>Massilia</v>
      </c>
      <c r="F75" s="43">
        <f>IFERROR(__xludf.DUMMYFUNCTION("""COMPUTED_VALUE"""),9.0)</f>
        <v>9</v>
      </c>
      <c r="G75" s="44">
        <f>IFERROR(__xludf.DUMMYFUNCTION("""COMPUTED_VALUE"""),1357.0)</f>
        <v>1357</v>
      </c>
      <c r="H75" s="33" t="str">
        <f>IFERROR(__xludf.DUMMYFUNCTION("""COMPUTED_VALUE"""),"")</f>
        <v/>
      </c>
      <c r="I75" s="45">
        <f>IFERROR(__xludf.DUMMYFUNCTION("""COMPUTED_VALUE"""),54.330950357891176)</f>
        <v>54.33095036</v>
      </c>
      <c r="J75" s="46" t="str">
        <f>IFERROR(__xludf.DUMMYFUNCTION("""COMPUTED_VALUE"""),"AP")</f>
        <v>AP</v>
      </c>
      <c r="K75" s="47">
        <f>IFERROR(__xludf.DUMMYFUNCTION("""COMPUTED_VALUE"""),16.565143699336772)</f>
        <v>16.5651437</v>
      </c>
      <c r="L75" s="48" t="str">
        <f>IFERROR(__xludf.DUMMYFUNCTION("""COMPUTED_VALUE"""),"%")</f>
        <v>%</v>
      </c>
      <c r="M75" s="49">
        <f>IFERROR(__xludf.DUMMYFUNCTION("""COMPUTED_VALUE"""),1.0)</f>
        <v>1</v>
      </c>
      <c r="N75" s="50" t="str">
        <f>IFERROR(__xludf.DUMMYFUNCTION("""COMPUTED_VALUE"""),"A301")</f>
        <v>A301</v>
      </c>
      <c r="O75" s="38" t="str">
        <f>IFERROR(__xludf.DUMMYFUNCTION("""COMPUTED_VALUE"""),"")</f>
        <v/>
      </c>
      <c r="P75" s="45">
        <f>IFERROR(__xludf.DUMMYFUNCTION("""COMPUTED_VALUE"""),66.18687101336961)</f>
        <v>66.18687101</v>
      </c>
      <c r="Q75" s="46" t="str">
        <f>IFERROR(__xludf.DUMMYFUNCTION("""COMPUTED_VALUE"""),"AP")</f>
        <v>AP</v>
      </c>
      <c r="R75" s="47">
        <f>IFERROR(__xludf.DUMMYFUNCTION("""COMPUTED_VALUE"""),13.59786293294031)</f>
        <v>13.59786293</v>
      </c>
      <c r="S75" s="48" t="str">
        <f>IFERROR(__xludf.DUMMYFUNCTION("""COMPUTED_VALUE"""),"%")</f>
        <v>%</v>
      </c>
      <c r="T75" s="49">
        <f>IFERROR(__xludf.DUMMYFUNCTION("""COMPUTED_VALUE"""),2.0)</f>
        <v>2</v>
      </c>
      <c r="U75" s="50"/>
      <c r="V75" s="38"/>
      <c r="W75" s="45" t="str">
        <f>IFERROR(__xludf.DUMMYFUNCTION("""COMPUTED_VALUE"""),"")</f>
        <v/>
      </c>
      <c r="X75" s="46" t="str">
        <f>IFERROR(__xludf.DUMMYFUNCTION("""COMPUTED_VALUE"""),"AP")</f>
        <v>AP</v>
      </c>
      <c r="Y75" s="47" t="str">
        <f>IFERROR(__xludf.DUMMYFUNCTION("""COMPUTED_VALUE"""),"")</f>
        <v/>
      </c>
      <c r="Z75" s="48" t="str">
        <f>IFERROR(__xludf.DUMMYFUNCTION("""COMPUTED_VALUE"""),"%")</f>
        <v>%</v>
      </c>
      <c r="AA75" s="49">
        <f>IFERROR(__xludf.DUMMYFUNCTION("""COMPUTED_VALUE"""),3.0)</f>
        <v>3</v>
      </c>
      <c r="AB75" s="50"/>
      <c r="AC75" s="38"/>
      <c r="AD75" s="45" t="str">
        <f>IFERROR(__xludf.DUMMYFUNCTION("""COMPUTED_VALUE"""),"")</f>
        <v/>
      </c>
      <c r="AE75" s="46" t="str">
        <f>IFERROR(__xludf.DUMMYFUNCTION("""COMPUTED_VALUE"""),"AP")</f>
        <v>AP</v>
      </c>
      <c r="AF75" s="47" t="str">
        <f>IFERROR(__xludf.DUMMYFUNCTION("""COMPUTED_VALUE"""),"")</f>
        <v/>
      </c>
      <c r="AG75" s="48" t="str">
        <f>IFERROR(__xludf.DUMMYFUNCTION("""COMPUTED_VALUE"""),"%")</f>
        <v>%</v>
      </c>
      <c r="AH75" s="43">
        <f>IFERROR(__xludf.DUMMYFUNCTION("""COMPUTED_VALUE"""),9.0)</f>
        <v>9</v>
      </c>
      <c r="AI75" s="44">
        <f>IFERROR(__xludf.DUMMYFUNCTION("""COMPUTED_VALUE"""),1357.0)</f>
        <v>1357</v>
      </c>
      <c r="AJ75" s="42" t="str">
        <f>IFERROR(__xludf.DUMMYFUNCTION("""COMPUTED_VALUE"""),"Massilia")</f>
        <v>Massilia</v>
      </c>
    </row>
    <row r="76" ht="24.75" customHeight="1">
      <c r="A76" s="28">
        <f>IFERROR(__xludf.DUMMYFUNCTION("""COMPUTED_VALUE"""),5.0)</f>
        <v>5</v>
      </c>
      <c r="B76" s="28" t="str">
        <f>IFERROR(__xludf.DUMMYFUNCTION("""COMPUTED_VALUE"""),"A304")</f>
        <v>A304</v>
      </c>
      <c r="C76" s="28" t="str">
        <f>IFERROR(__xludf.DUMMYFUNCTION("""COMPUTED_VALUE"""),"OKN10")</f>
        <v>OKN10</v>
      </c>
      <c r="D76" s="29" t="str">
        <f>IFERROR(__xludf.DUMMYFUNCTION("""COMPUTED_VALUE"""),"Okeanos")</f>
        <v>Okeanos</v>
      </c>
      <c r="E76" s="30" t="str">
        <f>IFERROR(__xludf.DUMMYFUNCTION("""COMPUTED_VALUE"""),"Archipelago (Quiet Bay)")</f>
        <v>Archipelago (Quiet Bay)</v>
      </c>
      <c r="F76" s="31">
        <f>IFERROR(__xludf.DUMMYFUNCTION("""COMPUTED_VALUE"""),15.0)</f>
        <v>15</v>
      </c>
      <c r="G76" s="32">
        <f>IFERROR(__xludf.DUMMYFUNCTION("""COMPUTED_VALUE"""),1230.0)</f>
        <v>1230</v>
      </c>
      <c r="H76" s="33" t="str">
        <f>IFERROR(__xludf.DUMMYFUNCTION("""COMPUTED_VALUE"""),"")</f>
        <v/>
      </c>
      <c r="I76" s="34">
        <f>IFERROR(__xludf.DUMMYFUNCTION("""COMPUTED_VALUE"""),60.0)</f>
        <v>60</v>
      </c>
      <c r="J76" s="35" t="str">
        <f>IFERROR(__xludf.DUMMYFUNCTION("""COMPUTED_VALUE"""),"AP")</f>
        <v>AP</v>
      </c>
      <c r="K76" s="34">
        <f>IFERROR(__xludf.DUMMYFUNCTION("""COMPUTED_VALUE"""),25.0)</f>
        <v>25</v>
      </c>
      <c r="L76" s="35" t="str">
        <f>IFERROR(__xludf.DUMMYFUNCTION("""COMPUTED_VALUE"""),"%")</f>
        <v>%</v>
      </c>
      <c r="M76" s="36">
        <f>IFERROR(__xludf.DUMMYFUNCTION("""COMPUTED_VALUE"""),1.0)</f>
        <v>1</v>
      </c>
      <c r="N76" s="37" t="str">
        <f>IFERROR(__xludf.DUMMYFUNCTION("""COMPUTED_VALUE"""),"A301")</f>
        <v>A301</v>
      </c>
      <c r="O76" s="38" t="str">
        <f>IFERROR(__xludf.DUMMYFUNCTION("""COMPUTED_VALUE"""),"")</f>
        <v/>
      </c>
      <c r="P76" s="34">
        <f>IFERROR(__xludf.DUMMYFUNCTION("""COMPUTED_VALUE"""),83.79507675538196)</f>
        <v>83.79507676</v>
      </c>
      <c r="Q76" s="35" t="str">
        <f>IFERROR(__xludf.DUMMYFUNCTION("""COMPUTED_VALUE"""),"AP")</f>
        <v>AP</v>
      </c>
      <c r="R76" s="34">
        <f>IFERROR(__xludf.DUMMYFUNCTION("""COMPUTED_VALUE"""),17.900813008130083)</f>
        <v>17.90081301</v>
      </c>
      <c r="S76" s="35" t="str">
        <f>IFERROR(__xludf.DUMMYFUNCTION("""COMPUTED_VALUE"""),"%")</f>
        <v>%</v>
      </c>
      <c r="T76" s="36">
        <f>IFERROR(__xludf.DUMMYFUNCTION("""COMPUTED_VALUE"""),2.0)</f>
        <v>2</v>
      </c>
      <c r="U76" s="37" t="str">
        <f>IFERROR(__xludf.DUMMYFUNCTION("""COMPUTED_VALUE"""),"A303")</f>
        <v>A303</v>
      </c>
      <c r="V76" s="38" t="str">
        <f>IFERROR(__xludf.DUMMYFUNCTION("""COMPUTED_VALUE"""),"")</f>
        <v/>
      </c>
      <c r="W76" s="34">
        <f>IFERROR(__xludf.DUMMYFUNCTION("""COMPUTED_VALUE"""),114.69600895188363)</f>
        <v>114.696009</v>
      </c>
      <c r="X76" s="35" t="str">
        <f>IFERROR(__xludf.DUMMYFUNCTION("""COMPUTED_VALUE"""),"AP")</f>
        <v>AP</v>
      </c>
      <c r="Y76" s="34">
        <f>IFERROR(__xludf.DUMMYFUNCTION("""COMPUTED_VALUE"""),13.078048780487805)</f>
        <v>13.07804878</v>
      </c>
      <c r="Z76" s="35" t="str">
        <f>IFERROR(__xludf.DUMMYFUNCTION("""COMPUTED_VALUE"""),"%")</f>
        <v>%</v>
      </c>
      <c r="AA76" s="36">
        <f>IFERROR(__xludf.DUMMYFUNCTION("""COMPUTED_VALUE"""),3.0)</f>
        <v>3</v>
      </c>
      <c r="AB76" s="37"/>
      <c r="AC76" s="38"/>
      <c r="AD76" s="34" t="str">
        <f>IFERROR(__xludf.DUMMYFUNCTION("""COMPUTED_VALUE"""),"")</f>
        <v/>
      </c>
      <c r="AE76" s="35" t="str">
        <f>IFERROR(__xludf.DUMMYFUNCTION("""COMPUTED_VALUE"""),"AP")</f>
        <v>AP</v>
      </c>
      <c r="AF76" s="34" t="str">
        <f>IFERROR(__xludf.DUMMYFUNCTION("""COMPUTED_VALUE"""),"")</f>
        <v/>
      </c>
      <c r="AG76" s="35" t="str">
        <f>IFERROR(__xludf.DUMMYFUNCTION("""COMPUTED_VALUE"""),"%")</f>
        <v>%</v>
      </c>
      <c r="AH76" s="31">
        <f>IFERROR(__xludf.DUMMYFUNCTION("""COMPUTED_VALUE"""),15.0)</f>
        <v>15</v>
      </c>
      <c r="AI76" s="32">
        <f>IFERROR(__xludf.DUMMYFUNCTION("""COMPUTED_VALUE"""),1230.0)</f>
        <v>1230</v>
      </c>
      <c r="AJ76" s="30" t="str">
        <f>IFERROR(__xludf.DUMMYFUNCTION("""COMPUTED_VALUE"""),"Archipelago (Quiet Bay)")</f>
        <v>Archipelago (Quiet Bay)</v>
      </c>
    </row>
    <row r="77" ht="24.75" customHeight="1">
      <c r="A77" s="40">
        <f>IFERROR(__xludf.DUMMYFUNCTION("""COMPUTED_VALUE"""),6.0)</f>
        <v>6</v>
      </c>
      <c r="B77" s="40" t="str">
        <f>IFERROR(__xludf.DUMMYFUNCTION("""COMPUTED_VALUE"""),"A304")</f>
        <v>A304</v>
      </c>
      <c r="C77" s="40" t="str">
        <f>IFERROR(__xludf.DUMMYFUNCTION("""COMPUTED_VALUE"""),"GTT1")</f>
        <v>GTT1</v>
      </c>
      <c r="D77" s="41" t="str">
        <f>IFERROR(__xludf.DUMMYFUNCTION("""COMPUTED_VALUE"""),"Götterdämmerung")</f>
        <v>Götterdämmerung</v>
      </c>
      <c r="E77" s="42" t="str">
        <f>IFERROR(__xludf.DUMMYFUNCTION("""COMPUTED_VALUE"""),"Landing Point")</f>
        <v>Landing Point</v>
      </c>
      <c r="F77" s="43">
        <f>IFERROR(__xludf.DUMMYFUNCTION("""COMPUTED_VALUE"""),20.0)</f>
        <v>20</v>
      </c>
      <c r="G77" s="44">
        <f>IFERROR(__xludf.DUMMYFUNCTION("""COMPUTED_VALUE"""),8048.0)</f>
        <v>8048</v>
      </c>
      <c r="H77" s="33" t="str">
        <f>IFERROR(__xludf.DUMMYFUNCTION("""COMPUTED_VALUE"""),"")</f>
        <v/>
      </c>
      <c r="I77" s="45">
        <f>IFERROR(__xludf.DUMMYFUNCTION("""COMPUTED_VALUE"""),64.77868356321395)</f>
        <v>64.77868356</v>
      </c>
      <c r="J77" s="46" t="str">
        <f>IFERROR(__xludf.DUMMYFUNCTION("""COMPUTED_VALUE"""),"AP")</f>
        <v>AP</v>
      </c>
      <c r="K77" s="47">
        <f>IFERROR(__xludf.DUMMYFUNCTION("""COMPUTED_VALUE"""),30.874353876739566)</f>
        <v>30.87435388</v>
      </c>
      <c r="L77" s="48" t="str">
        <f>IFERROR(__xludf.DUMMYFUNCTION("""COMPUTED_VALUE"""),"%")</f>
        <v>%</v>
      </c>
      <c r="M77" s="49">
        <f>IFERROR(__xludf.DUMMYFUNCTION("""COMPUTED_VALUE"""),1.0)</f>
        <v>1</v>
      </c>
      <c r="N77" s="50" t="str">
        <f>IFERROR(__xludf.DUMMYFUNCTION("""COMPUTED_VALUE"""),"A110")</f>
        <v>A110</v>
      </c>
      <c r="O77" s="38" t="str">
        <f>IFERROR(__xludf.DUMMYFUNCTION("""COMPUTED_VALUE"""),"")</f>
        <v/>
      </c>
      <c r="P77" s="45">
        <f>IFERROR(__xludf.DUMMYFUNCTION("""COMPUTED_VALUE"""),165.33883367094123)</f>
        <v>165.3388337</v>
      </c>
      <c r="Q77" s="46" t="str">
        <f>IFERROR(__xludf.DUMMYFUNCTION("""COMPUTED_VALUE"""),"AP")</f>
        <v>AP</v>
      </c>
      <c r="R77" s="47">
        <f>IFERROR(__xludf.DUMMYFUNCTION("""COMPUTED_VALUE"""),12.096371769383696)</f>
        <v>12.09637177</v>
      </c>
      <c r="S77" s="48" t="str">
        <f>IFERROR(__xludf.DUMMYFUNCTION("""COMPUTED_VALUE"""),"%")</f>
        <v>%</v>
      </c>
      <c r="T77" s="49">
        <f>IFERROR(__xludf.DUMMYFUNCTION("""COMPUTED_VALUE"""),2.0)</f>
        <v>2</v>
      </c>
      <c r="U77" s="50" t="str">
        <f>IFERROR(__xludf.DUMMYFUNCTION("""COMPUTED_VALUE"""),"A201")</f>
        <v>A201</v>
      </c>
      <c r="V77" s="38" t="str">
        <f>IFERROR(__xludf.DUMMYFUNCTION("""COMPUTED_VALUE"""),"")</f>
        <v/>
      </c>
      <c r="W77" s="45">
        <f>IFERROR(__xludf.DUMMYFUNCTION("""COMPUTED_VALUE"""),77.23741868861458)</f>
        <v>77.23741869</v>
      </c>
      <c r="X77" s="46" t="str">
        <f>IFERROR(__xludf.DUMMYFUNCTION("""COMPUTED_VALUE"""),"AP")</f>
        <v>AP</v>
      </c>
      <c r="Y77" s="47">
        <f>IFERROR(__xludf.DUMMYFUNCTION("""COMPUTED_VALUE"""),25.894184890656064)</f>
        <v>25.89418489</v>
      </c>
      <c r="Z77" s="48" t="str">
        <f>IFERROR(__xludf.DUMMYFUNCTION("""COMPUTED_VALUE"""),"%")</f>
        <v>%</v>
      </c>
      <c r="AA77" s="49">
        <f>IFERROR(__xludf.DUMMYFUNCTION("""COMPUTED_VALUE"""),3.0)</f>
        <v>3</v>
      </c>
      <c r="AB77" s="50" t="str">
        <f>IFERROR(__xludf.DUMMYFUNCTION("""COMPUTED_VALUE"""),"B116")</f>
        <v>B116</v>
      </c>
      <c r="AC77" s="38" t="str">
        <f>IFERROR(__xludf.DUMMYFUNCTION("""COMPUTED_VALUE"""),"")</f>
        <v/>
      </c>
      <c r="AD77" s="45">
        <f>IFERROR(__xludf.DUMMYFUNCTION("""COMPUTED_VALUE"""),242.79284171403057)</f>
        <v>242.7928417</v>
      </c>
      <c r="AE77" s="46" t="str">
        <f>IFERROR(__xludf.DUMMYFUNCTION("""COMPUTED_VALUE"""),"AP")</f>
        <v>AP</v>
      </c>
      <c r="AF77" s="47">
        <f>IFERROR(__xludf.DUMMYFUNCTION("""COMPUTED_VALUE"""),8.237475149105368)</f>
        <v>8.237475149</v>
      </c>
      <c r="AG77" s="48" t="str">
        <f>IFERROR(__xludf.DUMMYFUNCTION("""COMPUTED_VALUE"""),"%")</f>
        <v>%</v>
      </c>
      <c r="AH77" s="43">
        <f>IFERROR(__xludf.DUMMYFUNCTION("""COMPUTED_VALUE"""),20.0)</f>
        <v>20</v>
      </c>
      <c r="AI77" s="44">
        <f>IFERROR(__xludf.DUMMYFUNCTION("""COMPUTED_VALUE"""),8048.0)</f>
        <v>8048</v>
      </c>
      <c r="AJ77" s="42" t="str">
        <f>IFERROR(__xludf.DUMMYFUNCTION("""COMPUTED_VALUE"""),"Landing Point")</f>
        <v>Landing Point</v>
      </c>
    </row>
    <row r="78" ht="24.75" customHeight="1">
      <c r="A78" s="28">
        <f>IFERROR(__xludf.DUMMYFUNCTION("""COMPUTED_VALUE"""),7.0)</f>
        <v>7</v>
      </c>
      <c r="B78" s="28" t="str">
        <f>IFERROR(__xludf.DUMMYFUNCTION("""COMPUTED_VALUE"""),"A304")</f>
        <v>A304</v>
      </c>
      <c r="C78" s="28" t="str">
        <f>IFERROR(__xludf.DUMMYFUNCTION("""COMPUTED_VALUE"""),"SIN5")</f>
        <v>SIN5</v>
      </c>
      <c r="D78" s="29" t="str">
        <f>IFERROR(__xludf.DUMMYFUNCTION("""COMPUTED_VALUE"""),"SIN")</f>
        <v>SIN</v>
      </c>
      <c r="E78" s="30" t="str">
        <f>IFERROR(__xludf.DUMMYFUNCTION("""COMPUTED_VALUE"""),"Jingyang Field")</f>
        <v>Jingyang Field</v>
      </c>
      <c r="F78" s="31">
        <f>IFERROR(__xludf.DUMMYFUNCTION("""COMPUTED_VALUE"""),21.0)</f>
        <v>21</v>
      </c>
      <c r="G78" s="32">
        <f>IFERROR(__xludf.DUMMYFUNCTION("""COMPUTED_VALUE"""),5897.0)</f>
        <v>5897</v>
      </c>
      <c r="H78" s="33" t="str">
        <f>IFERROR(__xludf.DUMMYFUNCTION("""COMPUTED_VALUE"""),"")</f>
        <v/>
      </c>
      <c r="I78" s="34">
        <f>IFERROR(__xludf.DUMMYFUNCTION("""COMPUTED_VALUE"""),65.4705386012735)</f>
        <v>65.4705386</v>
      </c>
      <c r="J78" s="35" t="str">
        <f>IFERROR(__xludf.DUMMYFUNCTION("""COMPUTED_VALUE"""),"AP")</f>
        <v>AP</v>
      </c>
      <c r="K78" s="34">
        <f>IFERROR(__xludf.DUMMYFUNCTION("""COMPUTED_VALUE"""),32.07549601492284)</f>
        <v>32.07549601</v>
      </c>
      <c r="L78" s="35" t="str">
        <f>IFERROR(__xludf.DUMMYFUNCTION("""COMPUTED_VALUE"""),"%")</f>
        <v>%</v>
      </c>
      <c r="M78" s="36">
        <f>IFERROR(__xludf.DUMMYFUNCTION("""COMPUTED_VALUE"""),1.0)</f>
        <v>1</v>
      </c>
      <c r="N78" s="37" t="str">
        <f>IFERROR(__xludf.DUMMYFUNCTION("""COMPUTED_VALUE"""),"A113")</f>
        <v>A113</v>
      </c>
      <c r="O78" s="38" t="str">
        <f>IFERROR(__xludf.DUMMYFUNCTION("""COMPUTED_VALUE"""),"")</f>
        <v/>
      </c>
      <c r="P78" s="34">
        <f>IFERROR(__xludf.DUMMYFUNCTION("""COMPUTED_VALUE"""),133.47898819096235)</f>
        <v>133.4789882</v>
      </c>
      <c r="Q78" s="35" t="str">
        <f>IFERROR(__xludf.DUMMYFUNCTION("""COMPUTED_VALUE"""),"AP")</f>
        <v>AP</v>
      </c>
      <c r="R78" s="34">
        <f>IFERROR(__xludf.DUMMYFUNCTION("""COMPUTED_VALUE"""),15.732813294895708)</f>
        <v>15.73281329</v>
      </c>
      <c r="S78" s="35" t="str">
        <f>IFERROR(__xludf.DUMMYFUNCTION("""COMPUTED_VALUE"""),"%")</f>
        <v>%</v>
      </c>
      <c r="T78" s="36">
        <f>IFERROR(__xludf.DUMMYFUNCTION("""COMPUTED_VALUE"""),2.0)</f>
        <v>2</v>
      </c>
      <c r="U78" s="37" t="str">
        <f>IFERROR(__xludf.DUMMYFUNCTION("""COMPUTED_VALUE"""),"A214")</f>
        <v>A214</v>
      </c>
      <c r="V78" s="38" t="str">
        <f>IFERROR(__xludf.DUMMYFUNCTION("""COMPUTED_VALUE"""),"")</f>
        <v/>
      </c>
      <c r="W78" s="34">
        <f>IFERROR(__xludf.DUMMYFUNCTION("""COMPUTED_VALUE"""),101.30942992431059)</f>
        <v>101.3094299</v>
      </c>
      <c r="X78" s="35" t="str">
        <f>IFERROR(__xludf.DUMMYFUNCTION("""COMPUTED_VALUE"""),"AP")</f>
        <v>AP</v>
      </c>
      <c r="Y78" s="34">
        <f>IFERROR(__xludf.DUMMYFUNCTION("""COMPUTED_VALUE"""),20.728573851110735)</f>
        <v>20.72857385</v>
      </c>
      <c r="Z78" s="35" t="str">
        <f>IFERROR(__xludf.DUMMYFUNCTION("""COMPUTED_VALUE"""),"%")</f>
        <v>%</v>
      </c>
      <c r="AA78" s="36">
        <f>IFERROR(__xludf.DUMMYFUNCTION("""COMPUTED_VALUE"""),3.0)</f>
        <v>3</v>
      </c>
      <c r="AB78" s="37" t="str">
        <f>IFERROR(__xludf.DUMMYFUNCTION("""COMPUTED_VALUE"""),"B112")</f>
        <v>B112</v>
      </c>
      <c r="AC78" s="38" t="str">
        <f>IFERROR(__xludf.DUMMYFUNCTION("""COMPUTED_VALUE"""),"")</f>
        <v/>
      </c>
      <c r="AD78" s="34">
        <f>IFERROR(__xludf.DUMMYFUNCTION("""COMPUTED_VALUE"""),207.89622396391587)</f>
        <v>207.896224</v>
      </c>
      <c r="AE78" s="35" t="str">
        <f>IFERROR(__xludf.DUMMYFUNCTION("""COMPUTED_VALUE"""),"AP")</f>
        <v>AP</v>
      </c>
      <c r="AF78" s="34">
        <f>IFERROR(__xludf.DUMMYFUNCTION("""COMPUTED_VALUE"""),10.101193566481)</f>
        <v>10.10119357</v>
      </c>
      <c r="AG78" s="35" t="str">
        <f>IFERROR(__xludf.DUMMYFUNCTION("""COMPUTED_VALUE"""),"%")</f>
        <v>%</v>
      </c>
      <c r="AH78" s="31">
        <f>IFERROR(__xludf.DUMMYFUNCTION("""COMPUTED_VALUE"""),21.0)</f>
        <v>21</v>
      </c>
      <c r="AI78" s="32">
        <f>IFERROR(__xludf.DUMMYFUNCTION("""COMPUTED_VALUE"""),5897.0)</f>
        <v>5897</v>
      </c>
      <c r="AJ78" s="30" t="str">
        <f>IFERROR(__xludf.DUMMYFUNCTION("""COMPUTED_VALUE"""),"Jingyang Field")</f>
        <v>Jingyang Field</v>
      </c>
    </row>
    <row r="79" ht="24.75" customHeight="1">
      <c r="A79" s="40">
        <f>IFERROR(__xludf.DUMMYFUNCTION("""COMPUTED_VALUE"""),8.0)</f>
        <v>8</v>
      </c>
      <c r="B79" s="40" t="str">
        <f>IFERROR(__xludf.DUMMYFUNCTION("""COMPUTED_VALUE"""),"A304")</f>
        <v>A304</v>
      </c>
      <c r="C79" s="40" t="str">
        <f>IFERROR(__xludf.DUMMYFUNCTION("""COMPUTED_VALUE"""),"SJK2")</f>
        <v>SJK2</v>
      </c>
      <c r="D79" s="41" t="str">
        <f>IFERROR(__xludf.DUMMYFUNCTION("""COMPUTED_VALUE"""),"Shinjuku")</f>
        <v>Shinjuku</v>
      </c>
      <c r="E79" s="42" t="str">
        <f>IFERROR(__xludf.DUMMYFUNCTION("""COMPUTED_VALUE"""),"Route 20")</f>
        <v>Route 20</v>
      </c>
      <c r="F79" s="43">
        <f>IFERROR(__xludf.DUMMYFUNCTION("""COMPUTED_VALUE"""),20.0)</f>
        <v>20</v>
      </c>
      <c r="G79" s="44">
        <f>IFERROR(__xludf.DUMMYFUNCTION("""COMPUTED_VALUE"""),43200.0)</f>
        <v>43200</v>
      </c>
      <c r="H79" s="33" t="str">
        <f>IFERROR(__xludf.DUMMYFUNCTION("""COMPUTED_VALUE"""),"")</f>
        <v/>
      </c>
      <c r="I79" s="45">
        <f>IFERROR(__xludf.DUMMYFUNCTION("""COMPUTED_VALUE"""),65.99665800256837)</f>
        <v>65.996658</v>
      </c>
      <c r="J79" s="46" t="str">
        <f>IFERROR(__xludf.DUMMYFUNCTION("""COMPUTED_VALUE"""),"AP")</f>
        <v>AP</v>
      </c>
      <c r="K79" s="47">
        <f>IFERROR(__xludf.DUMMYFUNCTION("""COMPUTED_VALUE"""),30.304564814814814)</f>
        <v>30.30456481</v>
      </c>
      <c r="L79" s="48" t="str">
        <f>IFERROR(__xludf.DUMMYFUNCTION("""COMPUTED_VALUE"""),"%")</f>
        <v>%</v>
      </c>
      <c r="M79" s="49">
        <f>IFERROR(__xludf.DUMMYFUNCTION("""COMPUTED_VALUE"""),1.0)</f>
        <v>1</v>
      </c>
      <c r="N79" s="50" t="str">
        <f>IFERROR(__xludf.DUMMYFUNCTION("""COMPUTED_VALUE"""),"A307")</f>
        <v>A307</v>
      </c>
      <c r="O79" s="38" t="str">
        <f>IFERROR(__xludf.DUMMYFUNCTION("""COMPUTED_VALUE"""),"")</f>
        <v/>
      </c>
      <c r="P79" s="45">
        <f>IFERROR(__xludf.DUMMYFUNCTION("""COMPUTED_VALUE"""),50.123347524892864)</f>
        <v>50.12334752</v>
      </c>
      <c r="Q79" s="46" t="str">
        <f>IFERROR(__xludf.DUMMYFUNCTION("""COMPUTED_VALUE"""),"AP")</f>
        <v>AP</v>
      </c>
      <c r="R79" s="47">
        <f>IFERROR(__xludf.DUMMYFUNCTION("""COMPUTED_VALUE"""),39.90156481481481)</f>
        <v>39.90156481</v>
      </c>
      <c r="S79" s="48" t="str">
        <f>IFERROR(__xludf.DUMMYFUNCTION("""COMPUTED_VALUE"""),"%")</f>
        <v>%</v>
      </c>
      <c r="T79" s="49">
        <f>IFERROR(__xludf.DUMMYFUNCTION("""COMPUTED_VALUE"""),2.0)</f>
        <v>2</v>
      </c>
      <c r="U79" s="50" t="str">
        <f>IFERROR(__xludf.DUMMYFUNCTION("""COMPUTED_VALUE"""),"B112")</f>
        <v>B112</v>
      </c>
      <c r="V79" s="38" t="str">
        <f>IFERROR(__xludf.DUMMYFUNCTION("""COMPUTED_VALUE"""),"")</f>
        <v/>
      </c>
      <c r="W79" s="45">
        <f>IFERROR(__xludf.DUMMYFUNCTION("""COMPUTED_VALUE"""),186.92122568401484)</f>
        <v>186.9212257</v>
      </c>
      <c r="X79" s="46" t="str">
        <f>IFERROR(__xludf.DUMMYFUNCTION("""COMPUTED_VALUE"""),"AP")</f>
        <v>AP</v>
      </c>
      <c r="Y79" s="47">
        <f>IFERROR(__xludf.DUMMYFUNCTION("""COMPUTED_VALUE"""),10.699694444444445)</f>
        <v>10.69969444</v>
      </c>
      <c r="Z79" s="48" t="str">
        <f>IFERROR(__xludf.DUMMYFUNCTION("""COMPUTED_VALUE"""),"%")</f>
        <v>%</v>
      </c>
      <c r="AA79" s="49">
        <f>IFERROR(__xludf.DUMMYFUNCTION("""COMPUTED_VALUE"""),3.0)</f>
        <v>3</v>
      </c>
      <c r="AB79" s="50"/>
      <c r="AC79" s="38"/>
      <c r="AD79" s="45" t="str">
        <f>IFERROR(__xludf.DUMMYFUNCTION("""COMPUTED_VALUE"""),"")</f>
        <v/>
      </c>
      <c r="AE79" s="46" t="str">
        <f>IFERROR(__xludf.DUMMYFUNCTION("""COMPUTED_VALUE"""),"AP")</f>
        <v>AP</v>
      </c>
      <c r="AF79" s="47" t="str">
        <f>IFERROR(__xludf.DUMMYFUNCTION("""COMPUTED_VALUE"""),"")</f>
        <v/>
      </c>
      <c r="AG79" s="48" t="str">
        <f>IFERROR(__xludf.DUMMYFUNCTION("""COMPUTED_VALUE"""),"%")</f>
        <v>%</v>
      </c>
      <c r="AH79" s="43">
        <f>IFERROR(__xludf.DUMMYFUNCTION("""COMPUTED_VALUE"""),20.0)</f>
        <v>20</v>
      </c>
      <c r="AI79" s="44">
        <f>IFERROR(__xludf.DUMMYFUNCTION("""COMPUTED_VALUE"""),43200.0)</f>
        <v>43200</v>
      </c>
      <c r="AJ79" s="42" t="str">
        <f>IFERROR(__xludf.DUMMYFUNCTION("""COMPUTED_VALUE"""),"Route 20")</f>
        <v>Route 20</v>
      </c>
    </row>
    <row r="80" ht="24.75" customHeight="1">
      <c r="A80" s="28">
        <f>IFERROR(__xludf.DUMMYFUNCTION("""COMPUTED_VALUE"""),9.0)</f>
        <v>9</v>
      </c>
      <c r="B80" s="28" t="str">
        <f>IFERROR(__xludf.DUMMYFUNCTION("""COMPUTED_VALUE"""),"A304")</f>
        <v>A304</v>
      </c>
      <c r="C80" s="28" t="str">
        <f>IFERROR(__xludf.DUMMYFUNCTION("""COMPUTED_VALUE"""),"AGT5")</f>
        <v>AGT5</v>
      </c>
      <c r="D80" s="29" t="str">
        <f>IFERROR(__xludf.DUMMYFUNCTION("""COMPUTED_VALUE"""),"Agartha")</f>
        <v>Agartha</v>
      </c>
      <c r="E80" s="30" t="str">
        <f>IFERROR(__xludf.DUMMYFUNCTION("""COMPUTED_VALUE"""),"Ys")</f>
        <v>Ys</v>
      </c>
      <c r="F80" s="31">
        <f>IFERROR(__xludf.DUMMYFUNCTION("""COMPUTED_VALUE"""),21.0)</f>
        <v>21</v>
      </c>
      <c r="G80" s="32">
        <f>IFERROR(__xludf.DUMMYFUNCTION("""COMPUTED_VALUE"""),5808.0)</f>
        <v>5808</v>
      </c>
      <c r="H80" s="33" t="str">
        <f>IFERROR(__xludf.DUMMYFUNCTION("""COMPUTED_VALUE"""),"")</f>
        <v/>
      </c>
      <c r="I80" s="34">
        <f>IFERROR(__xludf.DUMMYFUNCTION("""COMPUTED_VALUE"""),67.5205271968751)</f>
        <v>67.5205272</v>
      </c>
      <c r="J80" s="35" t="str">
        <f>IFERROR(__xludf.DUMMYFUNCTION("""COMPUTED_VALUE"""),"AP")</f>
        <v>AP</v>
      </c>
      <c r="K80" s="34">
        <f>IFERROR(__xludf.DUMMYFUNCTION("""COMPUTED_VALUE"""),31.101652892561983)</f>
        <v>31.10165289</v>
      </c>
      <c r="L80" s="35" t="str">
        <f>IFERROR(__xludf.DUMMYFUNCTION("""COMPUTED_VALUE"""),"%")</f>
        <v>%</v>
      </c>
      <c r="M80" s="36">
        <f>IFERROR(__xludf.DUMMYFUNCTION("""COMPUTED_VALUE"""),1.0)</f>
        <v>1</v>
      </c>
      <c r="N80" s="37" t="str">
        <f>IFERROR(__xludf.DUMMYFUNCTION("""COMPUTED_VALUE"""),"A301")</f>
        <v>A301</v>
      </c>
      <c r="O80" s="38" t="str">
        <f>IFERROR(__xludf.DUMMYFUNCTION("""COMPUTED_VALUE"""),"")</f>
        <v/>
      </c>
      <c r="P80" s="34">
        <f>IFERROR(__xludf.DUMMYFUNCTION("""COMPUTED_VALUE"""),56.3995094729794)</f>
        <v>56.39950947</v>
      </c>
      <c r="Q80" s="35" t="str">
        <f>IFERROR(__xludf.DUMMYFUNCTION("""COMPUTED_VALUE"""),"AP")</f>
        <v>AP</v>
      </c>
      <c r="R80" s="34">
        <f>IFERROR(__xludf.DUMMYFUNCTION("""COMPUTED_VALUE"""),37.23436639118457)</f>
        <v>37.23436639</v>
      </c>
      <c r="S80" s="35" t="str">
        <f>IFERROR(__xludf.DUMMYFUNCTION("""COMPUTED_VALUE"""),"%")</f>
        <v>%</v>
      </c>
      <c r="T80" s="36">
        <f>IFERROR(__xludf.DUMMYFUNCTION("""COMPUTED_VALUE"""),2.0)</f>
        <v>2</v>
      </c>
      <c r="U80" s="37"/>
      <c r="V80" s="38"/>
      <c r="W80" s="34" t="str">
        <f>IFERROR(__xludf.DUMMYFUNCTION("""COMPUTED_VALUE"""),"")</f>
        <v/>
      </c>
      <c r="X80" s="35" t="str">
        <f>IFERROR(__xludf.DUMMYFUNCTION("""COMPUTED_VALUE"""),"AP")</f>
        <v>AP</v>
      </c>
      <c r="Y80" s="34" t="str">
        <f>IFERROR(__xludf.DUMMYFUNCTION("""COMPUTED_VALUE"""),"")</f>
        <v/>
      </c>
      <c r="Z80" s="35" t="str">
        <f>IFERROR(__xludf.DUMMYFUNCTION("""COMPUTED_VALUE"""),"%")</f>
        <v>%</v>
      </c>
      <c r="AA80" s="36">
        <f>IFERROR(__xludf.DUMMYFUNCTION("""COMPUTED_VALUE"""),3.0)</f>
        <v>3</v>
      </c>
      <c r="AB80" s="37"/>
      <c r="AC80" s="38"/>
      <c r="AD80" s="34" t="str">
        <f>IFERROR(__xludf.DUMMYFUNCTION("""COMPUTED_VALUE"""),"")</f>
        <v/>
      </c>
      <c r="AE80" s="35" t="str">
        <f>IFERROR(__xludf.DUMMYFUNCTION("""COMPUTED_VALUE"""),"AP")</f>
        <v>AP</v>
      </c>
      <c r="AF80" s="34" t="str">
        <f>IFERROR(__xludf.DUMMYFUNCTION("""COMPUTED_VALUE"""),"")</f>
        <v/>
      </c>
      <c r="AG80" s="35" t="str">
        <f>IFERROR(__xludf.DUMMYFUNCTION("""COMPUTED_VALUE"""),"%")</f>
        <v>%</v>
      </c>
      <c r="AH80" s="31">
        <f>IFERROR(__xludf.DUMMYFUNCTION("""COMPUTED_VALUE"""),21.0)</f>
        <v>21</v>
      </c>
      <c r="AI80" s="32">
        <f>IFERROR(__xludf.DUMMYFUNCTION("""COMPUTED_VALUE"""),5808.0)</f>
        <v>5808</v>
      </c>
      <c r="AJ80" s="30" t="str">
        <f>IFERROR(__xludf.DUMMYFUNCTION("""COMPUTED_VALUE"""),"Ys")</f>
        <v>Ys</v>
      </c>
    </row>
    <row r="81" ht="24.75" customHeight="1">
      <c r="A81" s="40">
        <f>IFERROR(__xludf.DUMMYFUNCTION("""COMPUTED_VALUE"""),10.0)</f>
        <v>10</v>
      </c>
      <c r="B81" s="40" t="str">
        <f>IFERROR(__xludf.DUMMYFUNCTION("""COMPUTED_VALUE"""),"A304")</f>
        <v>A304</v>
      </c>
      <c r="C81" s="40" t="str">
        <f>IFERROR(__xludf.DUMMYFUNCTION("""COMPUTED_VALUE"""),"AGT11")</f>
        <v>AGT11</v>
      </c>
      <c r="D81" s="41" t="str">
        <f>IFERROR(__xludf.DUMMYFUNCTION("""COMPUTED_VALUE"""),"Agartha")</f>
        <v>Agartha</v>
      </c>
      <c r="E81" s="42" t="str">
        <f>IFERROR(__xludf.DUMMYFUNCTION("""COMPUTED_VALUE"""),"El Dorado")</f>
        <v>El Dorado</v>
      </c>
      <c r="F81" s="43">
        <f>IFERROR(__xludf.DUMMYFUNCTION("""COMPUTED_VALUE"""),21.0)</f>
        <v>21</v>
      </c>
      <c r="G81" s="44">
        <f>IFERROR(__xludf.DUMMYFUNCTION("""COMPUTED_VALUE"""),3760.0)</f>
        <v>3760</v>
      </c>
      <c r="H81" s="33" t="str">
        <f>IFERROR(__xludf.DUMMYFUNCTION("""COMPUTED_VALUE"""),"")</f>
        <v/>
      </c>
      <c r="I81" s="45">
        <f>IFERROR(__xludf.DUMMYFUNCTION("""COMPUTED_VALUE"""),68.22164084451065)</f>
        <v>68.22164084</v>
      </c>
      <c r="J81" s="46" t="str">
        <f>IFERROR(__xludf.DUMMYFUNCTION("""COMPUTED_VALUE"""),"AP")</f>
        <v>AP</v>
      </c>
      <c r="K81" s="47">
        <f>IFERROR(__xludf.DUMMYFUNCTION("""COMPUTED_VALUE"""),30.782021276595746)</f>
        <v>30.78202128</v>
      </c>
      <c r="L81" s="48" t="str">
        <f>IFERROR(__xludf.DUMMYFUNCTION("""COMPUTED_VALUE"""),"%")</f>
        <v>%</v>
      </c>
      <c r="M81" s="49">
        <f>IFERROR(__xludf.DUMMYFUNCTION("""COMPUTED_VALUE"""),1.0)</f>
        <v>1</v>
      </c>
      <c r="N81" s="50" t="str">
        <f>IFERROR(__xludf.DUMMYFUNCTION("""COMPUTED_VALUE"""),"A201")</f>
        <v>A201</v>
      </c>
      <c r="O81" s="38" t="str">
        <f>IFERROR(__xludf.DUMMYFUNCTION("""COMPUTED_VALUE"""),"")</f>
        <v/>
      </c>
      <c r="P81" s="45">
        <f>IFERROR(__xludf.DUMMYFUNCTION("""COMPUTED_VALUE"""),61.1133212489532)</f>
        <v>61.11332125</v>
      </c>
      <c r="Q81" s="46" t="str">
        <f>IFERROR(__xludf.DUMMYFUNCTION("""COMPUTED_VALUE"""),"AP")</f>
        <v>AP</v>
      </c>
      <c r="R81" s="47">
        <f>IFERROR(__xludf.DUMMYFUNCTION("""COMPUTED_VALUE"""),34.362393617021276)</f>
        <v>34.36239362</v>
      </c>
      <c r="S81" s="48" t="str">
        <f>IFERROR(__xludf.DUMMYFUNCTION("""COMPUTED_VALUE"""),"%")</f>
        <v>%</v>
      </c>
      <c r="T81" s="49">
        <f>IFERROR(__xludf.DUMMYFUNCTION("""COMPUTED_VALUE"""),2.0)</f>
        <v>2</v>
      </c>
      <c r="U81" s="50"/>
      <c r="V81" s="38"/>
      <c r="W81" s="45" t="str">
        <f>IFERROR(__xludf.DUMMYFUNCTION("""COMPUTED_VALUE"""),"")</f>
        <v/>
      </c>
      <c r="X81" s="46" t="str">
        <f>IFERROR(__xludf.DUMMYFUNCTION("""COMPUTED_VALUE"""),"AP")</f>
        <v>AP</v>
      </c>
      <c r="Y81" s="47" t="str">
        <f>IFERROR(__xludf.DUMMYFUNCTION("""COMPUTED_VALUE"""),"")</f>
        <v/>
      </c>
      <c r="Z81" s="48" t="str">
        <f>IFERROR(__xludf.DUMMYFUNCTION("""COMPUTED_VALUE"""),"%")</f>
        <v>%</v>
      </c>
      <c r="AA81" s="49">
        <f>IFERROR(__xludf.DUMMYFUNCTION("""COMPUTED_VALUE"""),3.0)</f>
        <v>3</v>
      </c>
      <c r="AB81" s="50"/>
      <c r="AC81" s="38"/>
      <c r="AD81" s="45" t="str">
        <f>IFERROR(__xludf.DUMMYFUNCTION("""COMPUTED_VALUE"""),"")</f>
        <v/>
      </c>
      <c r="AE81" s="46" t="str">
        <f>IFERROR(__xludf.DUMMYFUNCTION("""COMPUTED_VALUE"""),"AP")</f>
        <v>AP</v>
      </c>
      <c r="AF81" s="47" t="str">
        <f>IFERROR(__xludf.DUMMYFUNCTION("""COMPUTED_VALUE"""),"")</f>
        <v/>
      </c>
      <c r="AG81" s="48" t="str">
        <f>IFERROR(__xludf.DUMMYFUNCTION("""COMPUTED_VALUE"""),"%")</f>
        <v>%</v>
      </c>
      <c r="AH81" s="43">
        <f>IFERROR(__xludf.DUMMYFUNCTION("""COMPUTED_VALUE"""),21.0)</f>
        <v>21</v>
      </c>
      <c r="AI81" s="44">
        <f>IFERROR(__xludf.DUMMYFUNCTION("""COMPUTED_VALUE"""),3760.0)</f>
        <v>3760</v>
      </c>
      <c r="AJ81" s="42" t="str">
        <f>IFERROR(__xludf.DUMMYFUNCTION("""COMPUTED_VALUE"""),"El Dorado")</f>
        <v>El Dorado</v>
      </c>
    </row>
    <row r="82" ht="24.75" customHeight="1">
      <c r="A82" s="28">
        <f>IFERROR(__xludf.DUMMYFUNCTION("""COMPUTED_VALUE"""),11.0)</f>
        <v>11</v>
      </c>
      <c r="B82" s="28" t="str">
        <f>IFERROR(__xludf.DUMMYFUNCTION("""COMPUTED_VALUE"""),"A304")</f>
        <v>A304</v>
      </c>
      <c r="C82" s="28" t="str">
        <f>IFERROR(__xludf.DUMMYFUNCTION("""COMPUTED_VALUE"""),"SMS5")</f>
        <v>SMS5</v>
      </c>
      <c r="D82" s="29" t="str">
        <f>IFERROR(__xludf.DUMMYFUNCTION("""COMPUTED_VALUE"""),"Shimosa")</f>
        <v>Shimosa</v>
      </c>
      <c r="E82" s="30" t="str">
        <f>IFERROR(__xludf.DUMMYFUNCTION("""COMPUTED_VALUE"""),"Battlefield")</f>
        <v>Battlefield</v>
      </c>
      <c r="F82" s="31">
        <f>IFERROR(__xludf.DUMMYFUNCTION("""COMPUTED_VALUE"""),21.0)</f>
        <v>21</v>
      </c>
      <c r="G82" s="32">
        <f>IFERROR(__xludf.DUMMYFUNCTION("""COMPUTED_VALUE"""),110709.0)</f>
        <v>110709</v>
      </c>
      <c r="H82" s="33" t="str">
        <f>IFERROR(__xludf.DUMMYFUNCTION("""COMPUTED_VALUE"""),"")</f>
        <v/>
      </c>
      <c r="I82" s="34">
        <f>IFERROR(__xludf.DUMMYFUNCTION("""COMPUTED_VALUE"""),68.41034371409573)</f>
        <v>68.41034371</v>
      </c>
      <c r="J82" s="35" t="str">
        <f>IFERROR(__xludf.DUMMYFUNCTION("""COMPUTED_VALUE"""),"AP")</f>
        <v>AP</v>
      </c>
      <c r="K82" s="34">
        <f>IFERROR(__xludf.DUMMYFUNCTION("""COMPUTED_VALUE"""),30.697112249229964)</f>
        <v>30.69711225</v>
      </c>
      <c r="L82" s="35" t="str">
        <f>IFERROR(__xludf.DUMMYFUNCTION("""COMPUTED_VALUE"""),"%")</f>
        <v>%</v>
      </c>
      <c r="M82" s="36">
        <f>IFERROR(__xludf.DUMMYFUNCTION("""COMPUTED_VALUE"""),1.0)</f>
        <v>1</v>
      </c>
      <c r="N82" s="37" t="str">
        <f>IFERROR(__xludf.DUMMYFUNCTION("""COMPUTED_VALUE"""),"A212")</f>
        <v>A212</v>
      </c>
      <c r="O82" s="38" t="str">
        <f>IFERROR(__xludf.DUMMYFUNCTION("""COMPUTED_VALUE"""),"")</f>
        <v/>
      </c>
      <c r="P82" s="34">
        <f>IFERROR(__xludf.DUMMYFUNCTION("""COMPUTED_VALUE"""),83.30136080434045)</f>
        <v>83.3013608</v>
      </c>
      <c r="Q82" s="35" t="str">
        <f>IFERROR(__xludf.DUMMYFUNCTION("""COMPUTED_VALUE"""),"AP")</f>
        <v>AP</v>
      </c>
      <c r="R82" s="34">
        <f>IFERROR(__xludf.DUMMYFUNCTION("""COMPUTED_VALUE"""),25.20967220370521)</f>
        <v>25.2096722</v>
      </c>
      <c r="S82" s="35" t="str">
        <f>IFERROR(__xludf.DUMMYFUNCTION("""COMPUTED_VALUE"""),"%")</f>
        <v>%</v>
      </c>
      <c r="T82" s="36">
        <f>IFERROR(__xludf.DUMMYFUNCTION("""COMPUTED_VALUE"""),2.0)</f>
        <v>2</v>
      </c>
      <c r="U82" s="37" t="str">
        <f>IFERROR(__xludf.DUMMYFUNCTION("""COMPUTED_VALUE"""),"A302")</f>
        <v>A302</v>
      </c>
      <c r="V82" s="38" t="str">
        <f>IFERROR(__xludf.DUMMYFUNCTION("""COMPUTED_VALUE"""),"")</f>
        <v/>
      </c>
      <c r="W82" s="34">
        <f>IFERROR(__xludf.DUMMYFUNCTION("""COMPUTED_VALUE"""),52.630541179626036)</f>
        <v>52.63054118</v>
      </c>
      <c r="X82" s="35" t="str">
        <f>IFERROR(__xludf.DUMMYFUNCTION("""COMPUTED_VALUE"""),"AP")</f>
        <v>AP</v>
      </c>
      <c r="Y82" s="34">
        <f>IFERROR(__xludf.DUMMYFUNCTION("""COMPUTED_VALUE"""),39.90078674723826)</f>
        <v>39.90078675</v>
      </c>
      <c r="Z82" s="35" t="str">
        <f>IFERROR(__xludf.DUMMYFUNCTION("""COMPUTED_VALUE"""),"%")</f>
        <v>%</v>
      </c>
      <c r="AA82" s="36">
        <f>IFERROR(__xludf.DUMMYFUNCTION("""COMPUTED_VALUE"""),3.0)</f>
        <v>3</v>
      </c>
      <c r="AB82" s="37" t="str">
        <f>IFERROR(__xludf.DUMMYFUNCTION("""COMPUTED_VALUE"""),"B111")</f>
        <v>B111</v>
      </c>
      <c r="AC82" s="38" t="str">
        <f>IFERROR(__xludf.DUMMYFUNCTION("""COMPUTED_VALUE"""),"")</f>
        <v/>
      </c>
      <c r="AD82" s="34">
        <f>IFERROR(__xludf.DUMMYFUNCTION("""COMPUTED_VALUE"""),136.3682926885222)</f>
        <v>136.3682927</v>
      </c>
      <c r="AE82" s="35" t="str">
        <f>IFERROR(__xludf.DUMMYFUNCTION("""COMPUTED_VALUE"""),"AP")</f>
        <v>AP</v>
      </c>
      <c r="AF82" s="34">
        <f>IFERROR(__xludf.DUMMYFUNCTION("""COMPUTED_VALUE"""),15.39947416366497)</f>
        <v>15.39947416</v>
      </c>
      <c r="AG82" s="35" t="str">
        <f>IFERROR(__xludf.DUMMYFUNCTION("""COMPUTED_VALUE"""),"%")</f>
        <v>%</v>
      </c>
      <c r="AH82" s="31">
        <f>IFERROR(__xludf.DUMMYFUNCTION("""COMPUTED_VALUE"""),21.0)</f>
        <v>21</v>
      </c>
      <c r="AI82" s="32">
        <f>IFERROR(__xludf.DUMMYFUNCTION("""COMPUTED_VALUE"""),110709.0)</f>
        <v>110709</v>
      </c>
      <c r="AJ82" s="30" t="str">
        <f>IFERROR(__xludf.DUMMYFUNCTION("""COMPUTED_VALUE"""),"Battlefield")</f>
        <v>Battlefield</v>
      </c>
    </row>
    <row r="83" ht="24.75" customHeight="1">
      <c r="A83" s="40">
        <f>IFERROR(__xludf.DUMMYFUNCTION("""COMPUTED_VALUE"""),12.0)</f>
        <v>12</v>
      </c>
      <c r="B83" s="40" t="str">
        <f>IFERROR(__xludf.DUMMYFUNCTION("""COMPUTED_VALUE"""),"A304")</f>
        <v>A304</v>
      </c>
      <c r="C83" s="40" t="str">
        <f>IFERROR(__xludf.DUMMYFUNCTION("""COMPUTED_VALUE"""),"SJK5")</f>
        <v>SJK5</v>
      </c>
      <c r="D83" s="41" t="str">
        <f>IFERROR(__xludf.DUMMYFUNCTION("""COMPUTED_VALUE"""),"Shinjuku")</f>
        <v>Shinjuku</v>
      </c>
      <c r="E83" s="42" t="str">
        <f>IFERROR(__xludf.DUMMYFUNCTION("""COMPUTED_VALUE"""),"Kabukicho")</f>
        <v>Kabukicho</v>
      </c>
      <c r="F83" s="43">
        <f>IFERROR(__xludf.DUMMYFUNCTION("""COMPUTED_VALUE"""),21.0)</f>
        <v>21</v>
      </c>
      <c r="G83" s="44">
        <f>IFERROR(__xludf.DUMMYFUNCTION("""COMPUTED_VALUE"""),8531.0)</f>
        <v>8531</v>
      </c>
      <c r="H83" s="33" t="str">
        <f>IFERROR(__xludf.DUMMYFUNCTION("""COMPUTED_VALUE"""),"")</f>
        <v/>
      </c>
      <c r="I83" s="45">
        <f>IFERROR(__xludf.DUMMYFUNCTION("""COMPUTED_VALUE"""),69.18266438466198)</f>
        <v>69.18266438</v>
      </c>
      <c r="J83" s="46" t="str">
        <f>IFERROR(__xludf.DUMMYFUNCTION("""COMPUTED_VALUE"""),"AP")</f>
        <v>AP</v>
      </c>
      <c r="K83" s="47">
        <f>IFERROR(__xludf.DUMMYFUNCTION("""COMPUTED_VALUE"""),30.354425038096352)</f>
        <v>30.35442504</v>
      </c>
      <c r="L83" s="48" t="str">
        <f>IFERROR(__xludf.DUMMYFUNCTION("""COMPUTED_VALUE"""),"%")</f>
        <v>%</v>
      </c>
      <c r="M83" s="49">
        <f>IFERROR(__xludf.DUMMYFUNCTION("""COMPUTED_VALUE"""),1.0)</f>
        <v>1</v>
      </c>
      <c r="N83" s="50" t="str">
        <f>IFERROR(__xludf.DUMMYFUNCTION("""COMPUTED_VALUE"""),"A206")</f>
        <v>A206</v>
      </c>
      <c r="O83" s="38" t="str">
        <f>IFERROR(__xludf.DUMMYFUNCTION("""COMPUTED_VALUE"""),"")</f>
        <v/>
      </c>
      <c r="P83" s="45">
        <f>IFERROR(__xludf.DUMMYFUNCTION("""COMPUTED_VALUE"""),67.26887272792813)</f>
        <v>67.26887273</v>
      </c>
      <c r="Q83" s="46" t="str">
        <f>IFERROR(__xludf.DUMMYFUNCTION("""COMPUTED_VALUE"""),"AP")</f>
        <v>AP</v>
      </c>
      <c r="R83" s="47">
        <f>IFERROR(__xludf.DUMMYFUNCTION("""COMPUTED_VALUE"""),31.21800492322119)</f>
        <v>31.21800492</v>
      </c>
      <c r="S83" s="48" t="str">
        <f>IFERROR(__xludf.DUMMYFUNCTION("""COMPUTED_VALUE"""),"%")</f>
        <v>%</v>
      </c>
      <c r="T83" s="49">
        <f>IFERROR(__xludf.DUMMYFUNCTION("""COMPUTED_VALUE"""),2.0)</f>
        <v>2</v>
      </c>
      <c r="U83" s="50" t="str">
        <f>IFERROR(__xludf.DUMMYFUNCTION("""COMPUTED_VALUE"""),"B116")</f>
        <v>B116</v>
      </c>
      <c r="V83" s="38" t="str">
        <f>IFERROR(__xludf.DUMMYFUNCTION("""COMPUTED_VALUE"""),"")</f>
        <v/>
      </c>
      <c r="W83" s="45">
        <f>IFERROR(__xludf.DUMMYFUNCTION("""COMPUTED_VALUE"""),57.99347265500825)</f>
        <v>57.99347266</v>
      </c>
      <c r="X83" s="46" t="str">
        <f>IFERROR(__xludf.DUMMYFUNCTION("""COMPUTED_VALUE"""),"AP")</f>
        <v>AP</v>
      </c>
      <c r="Y83" s="47">
        <f>IFERROR(__xludf.DUMMYFUNCTION("""COMPUTED_VALUE"""),36.21097175008792)</f>
        <v>36.21097175</v>
      </c>
      <c r="Z83" s="48" t="str">
        <f>IFERROR(__xludf.DUMMYFUNCTION("""COMPUTED_VALUE"""),"%")</f>
        <v>%</v>
      </c>
      <c r="AA83" s="49">
        <f>IFERROR(__xludf.DUMMYFUNCTION("""COMPUTED_VALUE"""),3.0)</f>
        <v>3</v>
      </c>
      <c r="AB83" s="50"/>
      <c r="AC83" s="38"/>
      <c r="AD83" s="45" t="str">
        <f>IFERROR(__xludf.DUMMYFUNCTION("""COMPUTED_VALUE"""),"")</f>
        <v/>
      </c>
      <c r="AE83" s="46" t="str">
        <f>IFERROR(__xludf.DUMMYFUNCTION("""COMPUTED_VALUE"""),"AP")</f>
        <v>AP</v>
      </c>
      <c r="AF83" s="47" t="str">
        <f>IFERROR(__xludf.DUMMYFUNCTION("""COMPUTED_VALUE"""),"")</f>
        <v/>
      </c>
      <c r="AG83" s="48" t="str">
        <f>IFERROR(__xludf.DUMMYFUNCTION("""COMPUTED_VALUE"""),"%")</f>
        <v>%</v>
      </c>
      <c r="AH83" s="43">
        <f>IFERROR(__xludf.DUMMYFUNCTION("""COMPUTED_VALUE"""),21.0)</f>
        <v>21</v>
      </c>
      <c r="AI83" s="44">
        <f>IFERROR(__xludf.DUMMYFUNCTION("""COMPUTED_VALUE"""),8531.0)</f>
        <v>8531</v>
      </c>
      <c r="AJ83" s="42" t="str">
        <f>IFERROR(__xludf.DUMMYFUNCTION("""COMPUTED_VALUE"""),"Kabukicho")</f>
        <v>Kabukicho</v>
      </c>
    </row>
    <row r="84" ht="24.75" customHeight="1">
      <c r="A84" s="28">
        <f>IFERROR(__xludf.DUMMYFUNCTION("""COMPUTED_VALUE"""),13.0)</f>
        <v>13</v>
      </c>
      <c r="B84" s="28" t="str">
        <f>IFERROR(__xludf.DUMMYFUNCTION("""COMPUTED_VALUE"""),"A304")</f>
        <v>A304</v>
      </c>
      <c r="C84" s="28" t="str">
        <f>IFERROR(__xludf.DUMMYFUNCTION("""COMPUTED_VALUE"""),"SMS2")</f>
        <v>SMS2</v>
      </c>
      <c r="D84" s="29" t="str">
        <f>IFERROR(__xludf.DUMMYFUNCTION("""COMPUTED_VALUE"""),"Shimosa")</f>
        <v>Shimosa</v>
      </c>
      <c r="E84" s="30" t="str">
        <f>IFERROR(__xludf.DUMMYFUNCTION("""COMPUTED_VALUE"""),"Village")</f>
        <v>Village</v>
      </c>
      <c r="F84" s="31">
        <f>IFERROR(__xludf.DUMMYFUNCTION("""COMPUTED_VALUE"""),21.0)</f>
        <v>21</v>
      </c>
      <c r="G84" s="32">
        <f>IFERROR(__xludf.DUMMYFUNCTION("""COMPUTED_VALUE"""),26525.0)</f>
        <v>26525</v>
      </c>
      <c r="H84" s="33" t="str">
        <f>IFERROR(__xludf.DUMMYFUNCTION("""COMPUTED_VALUE"""),"")</f>
        <v/>
      </c>
      <c r="I84" s="34">
        <f>IFERROR(__xludf.DUMMYFUNCTION("""COMPUTED_VALUE"""),69.34060418474793)</f>
        <v>69.34060418</v>
      </c>
      <c r="J84" s="35" t="str">
        <f>IFERROR(__xludf.DUMMYFUNCTION("""COMPUTED_VALUE"""),"AP")</f>
        <v>AP</v>
      </c>
      <c r="K84" s="34">
        <f>IFERROR(__xludf.DUMMYFUNCTION("""COMPUTED_VALUE"""),30.28528557964185)</f>
        <v>30.28528558</v>
      </c>
      <c r="L84" s="35" t="str">
        <f>IFERROR(__xludf.DUMMYFUNCTION("""COMPUTED_VALUE"""),"%")</f>
        <v>%</v>
      </c>
      <c r="M84" s="36">
        <f>IFERROR(__xludf.DUMMYFUNCTION("""COMPUTED_VALUE"""),1.0)</f>
        <v>1</v>
      </c>
      <c r="N84" s="37" t="str">
        <f>IFERROR(__xludf.DUMMYFUNCTION("""COMPUTED_VALUE"""),"A201")</f>
        <v>A201</v>
      </c>
      <c r="O84" s="38" t="str">
        <f>IFERROR(__xludf.DUMMYFUNCTION("""COMPUTED_VALUE"""),"")</f>
        <v/>
      </c>
      <c r="P84" s="34">
        <f>IFERROR(__xludf.DUMMYFUNCTION("""COMPUTED_VALUE"""),59.70226519734946)</f>
        <v>59.7022652</v>
      </c>
      <c r="Q84" s="35" t="str">
        <f>IFERROR(__xludf.DUMMYFUNCTION("""COMPUTED_VALUE"""),"AP")</f>
        <v>AP</v>
      </c>
      <c r="R84" s="34">
        <f>IFERROR(__xludf.DUMMYFUNCTION("""COMPUTED_VALUE"""),35.17454476908577)</f>
        <v>35.17454477</v>
      </c>
      <c r="S84" s="35" t="str">
        <f>IFERROR(__xludf.DUMMYFUNCTION("""COMPUTED_VALUE"""),"%")</f>
        <v>%</v>
      </c>
      <c r="T84" s="36">
        <f>IFERROR(__xludf.DUMMYFUNCTION("""COMPUTED_VALUE"""),2.0)</f>
        <v>2</v>
      </c>
      <c r="U84" s="37" t="str">
        <f>IFERROR(__xludf.DUMMYFUNCTION("""COMPUTED_VALUE"""),"A212")</f>
        <v>A212</v>
      </c>
      <c r="V84" s="38" t="str">
        <f>IFERROR(__xludf.DUMMYFUNCTION("""COMPUTED_VALUE"""),"")</f>
        <v/>
      </c>
      <c r="W84" s="34">
        <f>IFERROR(__xludf.DUMMYFUNCTION("""COMPUTED_VALUE"""),82.72694383255987)</f>
        <v>82.72694383</v>
      </c>
      <c r="X84" s="35" t="str">
        <f>IFERROR(__xludf.DUMMYFUNCTION("""COMPUTED_VALUE"""),"AP")</f>
        <v>AP</v>
      </c>
      <c r="Y84" s="34">
        <f>IFERROR(__xludf.DUMMYFUNCTION("""COMPUTED_VALUE"""),25.38471630537229)</f>
        <v>25.38471631</v>
      </c>
      <c r="Z84" s="35" t="str">
        <f>IFERROR(__xludf.DUMMYFUNCTION("""COMPUTED_VALUE"""),"%")</f>
        <v>%</v>
      </c>
      <c r="AA84" s="36">
        <f>IFERROR(__xludf.DUMMYFUNCTION("""COMPUTED_VALUE"""),3.0)</f>
        <v>3</v>
      </c>
      <c r="AB84" s="37" t="str">
        <f>IFERROR(__xludf.DUMMYFUNCTION("""COMPUTED_VALUE"""),"B111")</f>
        <v>B111</v>
      </c>
      <c r="AC84" s="38" t="str">
        <f>IFERROR(__xludf.DUMMYFUNCTION("""COMPUTED_VALUE"""),"")</f>
        <v/>
      </c>
      <c r="AD84" s="34">
        <f>IFERROR(__xludf.DUMMYFUNCTION("""COMPUTED_VALUE"""),119.44410048651937)</f>
        <v>119.4441005</v>
      </c>
      <c r="AE84" s="35" t="str">
        <f>IFERROR(__xludf.DUMMYFUNCTION("""COMPUTED_VALUE"""),"AP")</f>
        <v>AP</v>
      </c>
      <c r="AF84" s="34">
        <f>IFERROR(__xludf.DUMMYFUNCTION("""COMPUTED_VALUE"""),17.581445977208467)</f>
        <v>17.58144598</v>
      </c>
      <c r="AG84" s="35" t="str">
        <f>IFERROR(__xludf.DUMMYFUNCTION("""COMPUTED_VALUE"""),"%")</f>
        <v>%</v>
      </c>
      <c r="AH84" s="31">
        <f>IFERROR(__xludf.DUMMYFUNCTION("""COMPUTED_VALUE"""),21.0)</f>
        <v>21</v>
      </c>
      <c r="AI84" s="32">
        <f>IFERROR(__xludf.DUMMYFUNCTION("""COMPUTED_VALUE"""),26525.0)</f>
        <v>26525</v>
      </c>
      <c r="AJ84" s="30" t="str">
        <f>IFERROR(__xludf.DUMMYFUNCTION("""COMPUTED_VALUE"""),"Village")</f>
        <v>Village</v>
      </c>
    </row>
    <row r="85" ht="24.75" customHeight="1">
      <c r="A85" s="40">
        <f>IFERROR(__xludf.DUMMYFUNCTION("""COMPUTED_VALUE"""),14.0)</f>
        <v>14</v>
      </c>
      <c r="B85" s="40" t="str">
        <f>IFERROR(__xludf.DUMMYFUNCTION("""COMPUTED_VALUE"""),"A304")</f>
        <v>A304</v>
      </c>
      <c r="C85" s="40" t="str">
        <f>IFERROR(__xludf.DUMMYFUNCTION("""COMPUTED_VALUE"""),"GTT10")</f>
        <v>GTT10</v>
      </c>
      <c r="D85" s="41" t="str">
        <f>IFERROR(__xludf.DUMMYFUNCTION("""COMPUTED_VALUE"""),"Götterdämmerung")</f>
        <v>Götterdämmerung</v>
      </c>
      <c r="E85" s="42" t="str">
        <f>IFERROR(__xludf.DUMMYFUNCTION("""COMPUTED_VALUE"""),"North Boundary")</f>
        <v>North Boundary</v>
      </c>
      <c r="F85" s="43">
        <f>IFERROR(__xludf.DUMMYFUNCTION("""COMPUTED_VALUE"""),21.0)</f>
        <v>21</v>
      </c>
      <c r="G85" s="44">
        <f>IFERROR(__xludf.DUMMYFUNCTION("""COMPUTED_VALUE"""),6309.0)</f>
        <v>6309</v>
      </c>
      <c r="H85" s="33" t="str">
        <f>IFERROR(__xludf.DUMMYFUNCTION("""COMPUTED_VALUE"""),"")</f>
        <v/>
      </c>
      <c r="I85" s="45">
        <f>IFERROR(__xludf.DUMMYFUNCTION("""COMPUTED_VALUE"""),69.5383581811454)</f>
        <v>69.53835818</v>
      </c>
      <c r="J85" s="46" t="str">
        <f>IFERROR(__xludf.DUMMYFUNCTION("""COMPUTED_VALUE"""),"AP")</f>
        <v>AP</v>
      </c>
      <c r="K85" s="47">
        <f>IFERROR(__xludf.DUMMYFUNCTION("""COMPUTED_VALUE"""),30.19915993025836)</f>
        <v>30.19915993</v>
      </c>
      <c r="L85" s="48" t="str">
        <f>IFERROR(__xludf.DUMMYFUNCTION("""COMPUTED_VALUE"""),"%")</f>
        <v>%</v>
      </c>
      <c r="M85" s="49">
        <f>IFERROR(__xludf.DUMMYFUNCTION("""COMPUTED_VALUE"""),1.0)</f>
        <v>1</v>
      </c>
      <c r="N85" s="50" t="str">
        <f>IFERROR(__xludf.DUMMYFUNCTION("""COMPUTED_VALUE"""),"A214")</f>
        <v>A214</v>
      </c>
      <c r="O85" s="38" t="str">
        <f>IFERROR(__xludf.DUMMYFUNCTION("""COMPUTED_VALUE"""),"")</f>
        <v/>
      </c>
      <c r="P85" s="45">
        <f>IFERROR(__xludf.DUMMYFUNCTION("""COMPUTED_VALUE"""),83.44449692961739)</f>
        <v>83.44449693</v>
      </c>
      <c r="Q85" s="46" t="str">
        <f>IFERROR(__xludf.DUMMYFUNCTION("""COMPUTED_VALUE"""),"AP")</f>
        <v>AP</v>
      </c>
      <c r="R85" s="47">
        <f>IFERROR(__xludf.DUMMYFUNCTION("""COMPUTED_VALUE"""),25.16642891107941)</f>
        <v>25.16642891</v>
      </c>
      <c r="S85" s="48" t="str">
        <f>IFERROR(__xludf.DUMMYFUNCTION("""COMPUTED_VALUE"""),"%")</f>
        <v>%</v>
      </c>
      <c r="T85" s="49">
        <f>IFERROR(__xludf.DUMMYFUNCTION("""COMPUTED_VALUE"""),2.0)</f>
        <v>2</v>
      </c>
      <c r="U85" s="50" t="str">
        <f>IFERROR(__xludf.DUMMYFUNCTION("""COMPUTED_VALUE"""),"B117")</f>
        <v>B117</v>
      </c>
      <c r="V85" s="38" t="str">
        <f>IFERROR(__xludf.DUMMYFUNCTION("""COMPUTED_VALUE"""),"")</f>
        <v/>
      </c>
      <c r="W85" s="45">
        <f>IFERROR(__xludf.DUMMYFUNCTION("""COMPUTED_VALUE"""),51.196669496639835)</f>
        <v>51.1966695</v>
      </c>
      <c r="X85" s="46" t="str">
        <f>IFERROR(__xludf.DUMMYFUNCTION("""COMPUTED_VALUE"""),"AP")</f>
        <v>AP</v>
      </c>
      <c r="Y85" s="47">
        <f>IFERROR(__xludf.DUMMYFUNCTION("""COMPUTED_VALUE"""),41.018293194595955)</f>
        <v>41.01829319</v>
      </c>
      <c r="Z85" s="48" t="str">
        <f>IFERROR(__xludf.DUMMYFUNCTION("""COMPUTED_VALUE"""),"%")</f>
        <v>%</v>
      </c>
      <c r="AA85" s="49">
        <f>IFERROR(__xludf.DUMMYFUNCTION("""COMPUTED_VALUE"""),3.0)</f>
        <v>3</v>
      </c>
      <c r="AB85" s="50"/>
      <c r="AC85" s="38"/>
      <c r="AD85" s="45" t="str">
        <f>IFERROR(__xludf.DUMMYFUNCTION("""COMPUTED_VALUE"""),"")</f>
        <v/>
      </c>
      <c r="AE85" s="46" t="str">
        <f>IFERROR(__xludf.DUMMYFUNCTION("""COMPUTED_VALUE"""),"AP")</f>
        <v>AP</v>
      </c>
      <c r="AF85" s="47" t="str">
        <f>IFERROR(__xludf.DUMMYFUNCTION("""COMPUTED_VALUE"""),"")</f>
        <v/>
      </c>
      <c r="AG85" s="48" t="str">
        <f>IFERROR(__xludf.DUMMYFUNCTION("""COMPUTED_VALUE"""),"%")</f>
        <v>%</v>
      </c>
      <c r="AH85" s="43">
        <f>IFERROR(__xludf.DUMMYFUNCTION("""COMPUTED_VALUE"""),21.0)</f>
        <v>21</v>
      </c>
      <c r="AI85" s="44">
        <f>IFERROR(__xludf.DUMMYFUNCTION("""COMPUTED_VALUE"""),6309.0)</f>
        <v>6309</v>
      </c>
      <c r="AJ85" s="42" t="str">
        <f>IFERROR(__xludf.DUMMYFUNCTION("""COMPUTED_VALUE"""),"North Boundary")</f>
        <v>North Boundary</v>
      </c>
    </row>
    <row r="86" ht="24.75" customHeight="1">
      <c r="A86" s="28">
        <f>IFERROR(__xludf.DUMMYFUNCTION("""COMPUTED_VALUE"""),15.0)</f>
        <v>15</v>
      </c>
      <c r="B86" s="28" t="str">
        <f>IFERROR(__xludf.DUMMYFUNCTION("""COMPUTED_VALUE"""),"A304")</f>
        <v>A304</v>
      </c>
      <c r="C86" s="28" t="str">
        <f>IFERROR(__xludf.DUMMYFUNCTION("""COMPUTED_VALUE"""),"ANA13")</f>
        <v>ANA13</v>
      </c>
      <c r="D86" s="29" t="str">
        <f>IFERROR(__xludf.DUMMYFUNCTION("""COMPUTED_VALUE"""),"Anastasia")</f>
        <v>Anastasia</v>
      </c>
      <c r="E86" s="30" t="str">
        <f>IFERROR(__xludf.DUMMYFUNCTION("""COMPUTED_VALUE"""),"Base of the Great Tree")</f>
        <v>Base of the Great Tree</v>
      </c>
      <c r="F86" s="31">
        <f>IFERROR(__xludf.DUMMYFUNCTION("""COMPUTED_VALUE"""),21.0)</f>
        <v>21</v>
      </c>
      <c r="G86" s="32">
        <f>IFERROR(__xludf.DUMMYFUNCTION("""COMPUTED_VALUE"""),13779.0)</f>
        <v>13779</v>
      </c>
      <c r="H86" s="33" t="str">
        <f>IFERROR(__xludf.DUMMYFUNCTION("""COMPUTED_VALUE"""),"")</f>
        <v/>
      </c>
      <c r="I86" s="34">
        <f>IFERROR(__xludf.DUMMYFUNCTION("""COMPUTED_VALUE"""),69.97968511934992)</f>
        <v>69.97968512</v>
      </c>
      <c r="J86" s="35" t="str">
        <f>IFERROR(__xludf.DUMMYFUNCTION("""COMPUTED_VALUE"""),"AP")</f>
        <v>AP</v>
      </c>
      <c r="K86" s="34">
        <f>IFERROR(__xludf.DUMMYFUNCTION("""COMPUTED_VALUE"""),30.008708904855215)</f>
        <v>30.0087089</v>
      </c>
      <c r="L86" s="35" t="str">
        <f>IFERROR(__xludf.DUMMYFUNCTION("""COMPUTED_VALUE"""),"%")</f>
        <v>%</v>
      </c>
      <c r="M86" s="36">
        <f>IFERROR(__xludf.DUMMYFUNCTION("""COMPUTED_VALUE"""),1.0)</f>
        <v>1</v>
      </c>
      <c r="N86" s="37" t="str">
        <f>IFERROR(__xludf.DUMMYFUNCTION("""COMPUTED_VALUE"""),"A213")</f>
        <v>A213</v>
      </c>
      <c r="O86" s="38" t="str">
        <f>IFERROR(__xludf.DUMMYFUNCTION("""COMPUTED_VALUE"""),"")</f>
        <v/>
      </c>
      <c r="P86" s="34">
        <f>IFERROR(__xludf.DUMMYFUNCTION("""COMPUTED_VALUE"""),105.08389018012782)</f>
        <v>105.0838902</v>
      </c>
      <c r="Q86" s="35" t="str">
        <f>IFERROR(__xludf.DUMMYFUNCTION("""COMPUTED_VALUE"""),"AP")</f>
        <v>AP</v>
      </c>
      <c r="R86" s="34">
        <f>IFERROR(__xludf.DUMMYFUNCTION("""COMPUTED_VALUE"""),19.98403367443211)</f>
        <v>19.98403367</v>
      </c>
      <c r="S86" s="35" t="str">
        <f>IFERROR(__xludf.DUMMYFUNCTION("""COMPUTED_VALUE"""),"%")</f>
        <v>%</v>
      </c>
      <c r="T86" s="36">
        <f>IFERROR(__xludf.DUMMYFUNCTION("""COMPUTED_VALUE"""),2.0)</f>
        <v>2</v>
      </c>
      <c r="U86" s="37" t="str">
        <f>IFERROR(__xludf.DUMMYFUNCTION("""COMPUTED_VALUE"""),"A306")</f>
        <v>A306</v>
      </c>
      <c r="V86" s="38" t="str">
        <f>IFERROR(__xludf.DUMMYFUNCTION("""COMPUTED_VALUE"""),"")</f>
        <v/>
      </c>
      <c r="W86" s="34">
        <f>IFERROR(__xludf.DUMMYFUNCTION("""COMPUTED_VALUE"""),71.36839052081643)</f>
        <v>71.36839052</v>
      </c>
      <c r="X86" s="35" t="str">
        <f>IFERROR(__xludf.DUMMYFUNCTION("""COMPUTED_VALUE"""),"AP")</f>
        <v>AP</v>
      </c>
      <c r="Y86" s="34">
        <f>IFERROR(__xludf.DUMMYFUNCTION("""COMPUTED_VALUE"""),29.424791349154507)</f>
        <v>29.42479135</v>
      </c>
      <c r="Z86" s="35" t="str">
        <f>IFERROR(__xludf.DUMMYFUNCTION("""COMPUTED_VALUE"""),"%")</f>
        <v>%</v>
      </c>
      <c r="AA86" s="36">
        <f>IFERROR(__xludf.DUMMYFUNCTION("""COMPUTED_VALUE"""),3.0)</f>
        <v>3</v>
      </c>
      <c r="AB86" s="37" t="str">
        <f>IFERROR(__xludf.DUMMYFUNCTION("""COMPUTED_VALUE"""),"B116")</f>
        <v>B116</v>
      </c>
      <c r="AC86" s="38" t="str">
        <f>IFERROR(__xludf.DUMMYFUNCTION("""COMPUTED_VALUE"""),"")</f>
        <v/>
      </c>
      <c r="AD86" s="34">
        <f>IFERROR(__xludf.DUMMYFUNCTION("""COMPUTED_VALUE"""),107.79888125117796)</f>
        <v>107.7988813</v>
      </c>
      <c r="AE86" s="35" t="str">
        <f>IFERROR(__xludf.DUMMYFUNCTION("""COMPUTED_VALUE"""),"AP")</f>
        <v>AP</v>
      </c>
      <c r="AF86" s="34">
        <f>IFERROR(__xludf.DUMMYFUNCTION("""COMPUTED_VALUE"""),19.480721651525048)</f>
        <v>19.48072165</v>
      </c>
      <c r="AG86" s="35" t="str">
        <f>IFERROR(__xludf.DUMMYFUNCTION("""COMPUTED_VALUE"""),"%")</f>
        <v>%</v>
      </c>
      <c r="AH86" s="31">
        <f>IFERROR(__xludf.DUMMYFUNCTION("""COMPUTED_VALUE"""),21.0)</f>
        <v>21</v>
      </c>
      <c r="AI86" s="32">
        <f>IFERROR(__xludf.DUMMYFUNCTION("""COMPUTED_VALUE"""),13779.0)</f>
        <v>13779</v>
      </c>
      <c r="AJ86" s="30" t="str">
        <f>IFERROR(__xludf.DUMMYFUNCTION("""COMPUTED_VALUE"""),"Base of the Great Tree")</f>
        <v>Base of the Great Tree</v>
      </c>
    </row>
    <row r="87" ht="24.75" customHeight="1">
      <c r="A87" s="40">
        <f>IFERROR(__xludf.DUMMYFUNCTION("""COMPUTED_VALUE"""),16.0)</f>
        <v>16</v>
      </c>
      <c r="B87" s="40" t="str">
        <f>IFERROR(__xludf.DUMMYFUNCTION("""COMPUTED_VALUE"""),"A304")</f>
        <v>A304</v>
      </c>
      <c r="C87" s="40" t="str">
        <f>IFERROR(__xludf.DUMMYFUNCTION("""COMPUTED_VALUE"""),"SMS8")</f>
        <v>SMS8</v>
      </c>
      <c r="D87" s="41" t="str">
        <f>IFERROR(__xludf.DUMMYFUNCTION("""COMPUTED_VALUE"""),"Shimosa")</f>
        <v>Shimosa</v>
      </c>
      <c r="E87" s="42" t="str">
        <f>IFERROR(__xludf.DUMMYFUNCTION("""COMPUTED_VALUE"""),"Arakawa Field")</f>
        <v>Arakawa Field</v>
      </c>
      <c r="F87" s="43">
        <f>IFERROR(__xludf.DUMMYFUNCTION("""COMPUTED_VALUE"""),21.0)</f>
        <v>21</v>
      </c>
      <c r="G87" s="44">
        <f>IFERROR(__xludf.DUMMYFUNCTION("""COMPUTED_VALUE"""),29395.0)</f>
        <v>29395</v>
      </c>
      <c r="H87" s="33" t="str">
        <f>IFERROR(__xludf.DUMMYFUNCTION("""COMPUTED_VALUE"""),"")</f>
        <v/>
      </c>
      <c r="I87" s="45">
        <f>IFERROR(__xludf.DUMMYFUNCTION("""COMPUTED_VALUE"""),70.05560914713726)</f>
        <v>70.05560915</v>
      </c>
      <c r="J87" s="46" t="str">
        <f>IFERROR(__xludf.DUMMYFUNCTION("""COMPUTED_VALUE"""),"AP")</f>
        <v>AP</v>
      </c>
      <c r="K87" s="47">
        <f>IFERROR(__xludf.DUMMYFUNCTION("""COMPUTED_VALUE"""),29.97618642626297)</f>
        <v>29.97618643</v>
      </c>
      <c r="L87" s="48" t="str">
        <f>IFERROR(__xludf.DUMMYFUNCTION("""COMPUTED_VALUE"""),"%")</f>
        <v>%</v>
      </c>
      <c r="M87" s="49">
        <f>IFERROR(__xludf.DUMMYFUNCTION("""COMPUTED_VALUE"""),1.0)</f>
        <v>1</v>
      </c>
      <c r="N87" s="50" t="str">
        <f>IFERROR(__xludf.DUMMYFUNCTION("""COMPUTED_VALUE"""),"A111")</f>
        <v>A111</v>
      </c>
      <c r="O87" s="38" t="str">
        <f>IFERROR(__xludf.DUMMYFUNCTION("""COMPUTED_VALUE"""),"")</f>
        <v/>
      </c>
      <c r="P87" s="45">
        <f>IFERROR(__xludf.DUMMYFUNCTION("""COMPUTED_VALUE"""),170.85740777901563)</f>
        <v>170.8574078</v>
      </c>
      <c r="Q87" s="46" t="str">
        <f>IFERROR(__xludf.DUMMYFUNCTION("""COMPUTED_VALUE"""),"AP")</f>
        <v>AP</v>
      </c>
      <c r="R87" s="47">
        <f>IFERROR(__xludf.DUMMYFUNCTION("""COMPUTED_VALUE"""),12.290950841979928)</f>
        <v>12.29095084</v>
      </c>
      <c r="S87" s="48" t="str">
        <f>IFERROR(__xludf.DUMMYFUNCTION("""COMPUTED_VALUE"""),"%")</f>
        <v>%</v>
      </c>
      <c r="T87" s="49">
        <f>IFERROR(__xludf.DUMMYFUNCTION("""COMPUTED_VALUE"""),2.0)</f>
        <v>2</v>
      </c>
      <c r="U87" s="50" t="str">
        <f>IFERROR(__xludf.DUMMYFUNCTION("""COMPUTED_VALUE"""),"A212")</f>
        <v>A212</v>
      </c>
      <c r="V87" s="38" t="str">
        <f>IFERROR(__xludf.DUMMYFUNCTION("""COMPUTED_VALUE"""),"")</f>
        <v/>
      </c>
      <c r="W87" s="45">
        <f>IFERROR(__xludf.DUMMYFUNCTION("""COMPUTED_VALUE"""),105.52006188007744)</f>
        <v>105.5200619</v>
      </c>
      <c r="X87" s="46" t="str">
        <f>IFERROR(__xludf.DUMMYFUNCTION("""COMPUTED_VALUE"""),"AP")</f>
        <v>AP</v>
      </c>
      <c r="Y87" s="47">
        <f>IFERROR(__xludf.DUMMYFUNCTION("""COMPUTED_VALUE"""),19.90142881442422)</f>
        <v>19.90142881</v>
      </c>
      <c r="Z87" s="48" t="str">
        <f>IFERROR(__xludf.DUMMYFUNCTION("""COMPUTED_VALUE"""),"%")</f>
        <v>%</v>
      </c>
      <c r="AA87" s="49">
        <f>IFERROR(__xludf.DUMMYFUNCTION("""COMPUTED_VALUE"""),3.0)</f>
        <v>3</v>
      </c>
      <c r="AB87" s="50" t="str">
        <f>IFERROR(__xludf.DUMMYFUNCTION("""COMPUTED_VALUE"""),"B107")</f>
        <v>B107</v>
      </c>
      <c r="AC87" s="38" t="str">
        <f>IFERROR(__xludf.DUMMYFUNCTION("""COMPUTED_VALUE"""),"")</f>
        <v/>
      </c>
      <c r="AD87" s="45">
        <f>IFERROR(__xludf.DUMMYFUNCTION("""COMPUTED_VALUE"""),680.3887690066965)</f>
        <v>680.388769</v>
      </c>
      <c r="AE87" s="46" t="str">
        <f>IFERROR(__xludf.DUMMYFUNCTION("""COMPUTED_VALUE"""),"AP")</f>
        <v>AP</v>
      </c>
      <c r="AF87" s="47">
        <f>IFERROR(__xludf.DUMMYFUNCTION("""COMPUTED_VALUE"""),3.0864706997821294)</f>
        <v>3.0864707</v>
      </c>
      <c r="AG87" s="48" t="str">
        <f>IFERROR(__xludf.DUMMYFUNCTION("""COMPUTED_VALUE"""),"%")</f>
        <v>%</v>
      </c>
      <c r="AH87" s="43">
        <f>IFERROR(__xludf.DUMMYFUNCTION("""COMPUTED_VALUE"""),21.0)</f>
        <v>21</v>
      </c>
      <c r="AI87" s="44">
        <f>IFERROR(__xludf.DUMMYFUNCTION("""COMPUTED_VALUE"""),29395.0)</f>
        <v>29395</v>
      </c>
      <c r="AJ87" s="42" t="str">
        <f>IFERROR(__xludf.DUMMYFUNCTION("""COMPUTED_VALUE"""),"Arakawa Field")</f>
        <v>Arakawa Field</v>
      </c>
    </row>
    <row r="88" ht="24.75" customHeight="1">
      <c r="A88" s="28">
        <f>IFERROR(__xludf.DUMMYFUNCTION("""COMPUTED_VALUE"""),17.0)</f>
        <v>17</v>
      </c>
      <c r="B88" s="28" t="str">
        <f>IFERROR(__xludf.DUMMYFUNCTION("""COMPUTED_VALUE"""),"A304")</f>
        <v>A304</v>
      </c>
      <c r="C88" s="28" t="str">
        <f>IFERROR(__xludf.DUMMYFUNCTION("""COMPUTED_VALUE"""),"AGT7")</f>
        <v>AGT7</v>
      </c>
      <c r="D88" s="29" t="str">
        <f>IFERROR(__xludf.DUMMYFUNCTION("""COMPUTED_VALUE"""),"Agartha")</f>
        <v>Agartha</v>
      </c>
      <c r="E88" s="30" t="str">
        <f>IFERROR(__xludf.DUMMYFUNCTION("""COMPUTED_VALUE"""),"Nightless City")</f>
        <v>Nightless City</v>
      </c>
      <c r="F88" s="31">
        <f>IFERROR(__xludf.DUMMYFUNCTION("""COMPUTED_VALUE"""),21.0)</f>
        <v>21</v>
      </c>
      <c r="G88" s="32">
        <f>IFERROR(__xludf.DUMMYFUNCTION("""COMPUTED_VALUE"""),9203.0)</f>
        <v>9203</v>
      </c>
      <c r="H88" s="33" t="str">
        <f>IFERROR(__xludf.DUMMYFUNCTION("""COMPUTED_VALUE"""),"")</f>
        <v/>
      </c>
      <c r="I88" s="34">
        <f>IFERROR(__xludf.DUMMYFUNCTION("""COMPUTED_VALUE"""),70.19470137387124)</f>
        <v>70.19470137</v>
      </c>
      <c r="J88" s="35" t="str">
        <f>IFERROR(__xludf.DUMMYFUNCTION("""COMPUTED_VALUE"""),"AP")</f>
        <v>AP</v>
      </c>
      <c r="K88" s="34">
        <f>IFERROR(__xludf.DUMMYFUNCTION("""COMPUTED_VALUE"""),29.91678800391177)</f>
        <v>29.916788</v>
      </c>
      <c r="L88" s="35" t="str">
        <f>IFERROR(__xludf.DUMMYFUNCTION("""COMPUTED_VALUE"""),"%")</f>
        <v>%</v>
      </c>
      <c r="M88" s="36">
        <f>IFERROR(__xludf.DUMMYFUNCTION("""COMPUTED_VALUE"""),1.0)</f>
        <v>1</v>
      </c>
      <c r="N88" s="37" t="str">
        <f>IFERROR(__xludf.DUMMYFUNCTION("""COMPUTED_VALUE"""),"A305")</f>
        <v>A305</v>
      </c>
      <c r="O88" s="38" t="str">
        <f>IFERROR(__xludf.DUMMYFUNCTION("""COMPUTED_VALUE"""),"")</f>
        <v/>
      </c>
      <c r="P88" s="34">
        <f>IFERROR(__xludf.DUMMYFUNCTION("""COMPUTED_VALUE"""),53.68747739443933)</f>
        <v>53.68747739</v>
      </c>
      <c r="Q88" s="35" t="str">
        <f>IFERROR(__xludf.DUMMYFUNCTION("""COMPUTED_VALUE"""),"AP")</f>
        <v>AP</v>
      </c>
      <c r="R88" s="34">
        <f>IFERROR(__xludf.DUMMYFUNCTION("""COMPUTED_VALUE"""),39.11526676083886)</f>
        <v>39.11526676</v>
      </c>
      <c r="S88" s="35" t="str">
        <f>IFERROR(__xludf.DUMMYFUNCTION("""COMPUTED_VALUE"""),"%")</f>
        <v>%</v>
      </c>
      <c r="T88" s="36">
        <f>IFERROR(__xludf.DUMMYFUNCTION("""COMPUTED_VALUE"""),2.0)</f>
        <v>2</v>
      </c>
      <c r="U88" s="37" t="str">
        <f>IFERROR(__xludf.DUMMYFUNCTION("""COMPUTED_VALUE"""),"B116")</f>
        <v>B116</v>
      </c>
      <c r="V88" s="38" t="str">
        <f>IFERROR(__xludf.DUMMYFUNCTION("""COMPUTED_VALUE"""),"")</f>
        <v/>
      </c>
      <c r="W88" s="34">
        <f>IFERROR(__xludf.DUMMYFUNCTION("""COMPUTED_VALUE"""),59.65614443193267)</f>
        <v>59.65614443</v>
      </c>
      <c r="X88" s="35" t="str">
        <f>IFERROR(__xludf.DUMMYFUNCTION("""COMPUTED_VALUE"""),"AP")</f>
        <v>AP</v>
      </c>
      <c r="Y88" s="34">
        <f>IFERROR(__xludf.DUMMYFUNCTION("""COMPUTED_VALUE"""),35.2017385635119)</f>
        <v>35.20173856</v>
      </c>
      <c r="Z88" s="35" t="str">
        <f>IFERROR(__xludf.DUMMYFUNCTION("""COMPUTED_VALUE"""),"%")</f>
        <v>%</v>
      </c>
      <c r="AA88" s="36">
        <f>IFERROR(__xludf.DUMMYFUNCTION("""COMPUTED_VALUE"""),3.0)</f>
        <v>3</v>
      </c>
      <c r="AB88" s="37"/>
      <c r="AC88" s="38"/>
      <c r="AD88" s="34" t="str">
        <f>IFERROR(__xludf.DUMMYFUNCTION("""COMPUTED_VALUE"""),"")</f>
        <v/>
      </c>
      <c r="AE88" s="35" t="str">
        <f>IFERROR(__xludf.DUMMYFUNCTION("""COMPUTED_VALUE"""),"AP")</f>
        <v>AP</v>
      </c>
      <c r="AF88" s="34" t="str">
        <f>IFERROR(__xludf.DUMMYFUNCTION("""COMPUTED_VALUE"""),"")</f>
        <v/>
      </c>
      <c r="AG88" s="35" t="str">
        <f>IFERROR(__xludf.DUMMYFUNCTION("""COMPUTED_VALUE"""),"%")</f>
        <v>%</v>
      </c>
      <c r="AH88" s="31">
        <f>IFERROR(__xludf.DUMMYFUNCTION("""COMPUTED_VALUE"""),21.0)</f>
        <v>21</v>
      </c>
      <c r="AI88" s="32">
        <f>IFERROR(__xludf.DUMMYFUNCTION("""COMPUTED_VALUE"""),9203.0)</f>
        <v>9203</v>
      </c>
      <c r="AJ88" s="30" t="str">
        <f>IFERROR(__xludf.DUMMYFUNCTION("""COMPUTED_VALUE"""),"Nightless City")</f>
        <v>Nightless City</v>
      </c>
    </row>
    <row r="89" ht="24.75" customHeight="1">
      <c r="A89" s="40">
        <f>IFERROR(__xludf.DUMMYFUNCTION("""COMPUTED_VALUE"""),18.0)</f>
        <v>18</v>
      </c>
      <c r="B89" s="40" t="str">
        <f>IFERROR(__xludf.DUMMYFUNCTION("""COMPUTED_VALUE"""),"A304")</f>
        <v>A304</v>
      </c>
      <c r="C89" s="40" t="str">
        <f>IFERROR(__xludf.DUMMYFUNCTION("""COMPUTED_VALUE"""),"SMS7")</f>
        <v>SMS7</v>
      </c>
      <c r="D89" s="41" t="str">
        <f>IFERROR(__xludf.DUMMYFUNCTION("""COMPUTED_VALUE"""),"Shimosa")</f>
        <v>Shimosa</v>
      </c>
      <c r="E89" s="42" t="str">
        <f>IFERROR(__xludf.DUMMYFUNCTION("""COMPUTED_VALUE"""),"Rear Mountain (Nameless Sacred Mountain)")</f>
        <v>Rear Mountain (Nameless Sacred Mountain)</v>
      </c>
      <c r="F89" s="43">
        <f>IFERROR(__xludf.DUMMYFUNCTION("""COMPUTED_VALUE"""),21.0)</f>
        <v>21</v>
      </c>
      <c r="G89" s="44">
        <f>IFERROR(__xludf.DUMMYFUNCTION("""COMPUTED_VALUE"""),15434.0)</f>
        <v>15434</v>
      </c>
      <c r="H89" s="33" t="str">
        <f>IFERROR(__xludf.DUMMYFUNCTION("""COMPUTED_VALUE"""),"")</f>
        <v/>
      </c>
      <c r="I89" s="45">
        <f>IFERROR(__xludf.DUMMYFUNCTION("""COMPUTED_VALUE"""),70.25940228978097)</f>
        <v>70.25940229</v>
      </c>
      <c r="J89" s="46" t="str">
        <f>IFERROR(__xludf.DUMMYFUNCTION("""COMPUTED_VALUE"""),"AP")</f>
        <v>AP</v>
      </c>
      <c r="K89" s="47">
        <f>IFERROR(__xludf.DUMMYFUNCTION("""COMPUTED_VALUE"""),29.889238045872748)</f>
        <v>29.88923805</v>
      </c>
      <c r="L89" s="48" t="str">
        <f>IFERROR(__xludf.DUMMYFUNCTION("""COMPUTED_VALUE"""),"%")</f>
        <v>%</v>
      </c>
      <c r="M89" s="49">
        <f>IFERROR(__xludf.DUMMYFUNCTION("""COMPUTED_VALUE"""),1.0)</f>
        <v>1</v>
      </c>
      <c r="N89" s="50" t="str">
        <f>IFERROR(__xludf.DUMMYFUNCTION("""COMPUTED_VALUE"""),"A203")</f>
        <v>A203</v>
      </c>
      <c r="O89" s="38" t="str">
        <f>IFERROR(__xludf.DUMMYFUNCTION("""COMPUTED_VALUE"""),"")</f>
        <v/>
      </c>
      <c r="P89" s="45">
        <f>IFERROR(__xludf.DUMMYFUNCTION("""COMPUTED_VALUE"""),86.10023430153173)</f>
        <v>86.1002343</v>
      </c>
      <c r="Q89" s="46" t="str">
        <f>IFERROR(__xludf.DUMMYFUNCTION("""COMPUTED_VALUE"""),"AP")</f>
        <v>AP</v>
      </c>
      <c r="R89" s="47">
        <f>IFERROR(__xludf.DUMMYFUNCTION("""COMPUTED_VALUE"""),24.390177530128287)</f>
        <v>24.39017753</v>
      </c>
      <c r="S89" s="48" t="str">
        <f>IFERROR(__xludf.DUMMYFUNCTION("""COMPUTED_VALUE"""),"%")</f>
        <v>%</v>
      </c>
      <c r="T89" s="49">
        <f>IFERROR(__xludf.DUMMYFUNCTION("""COMPUTED_VALUE"""),2.0)</f>
        <v>2</v>
      </c>
      <c r="U89" s="50" t="str">
        <f>IFERROR(__xludf.DUMMYFUNCTION("""COMPUTED_VALUE"""),"A212")</f>
        <v>A212</v>
      </c>
      <c r="V89" s="38" t="str">
        <f>IFERROR(__xludf.DUMMYFUNCTION("""COMPUTED_VALUE"""),"")</f>
        <v/>
      </c>
      <c r="W89" s="45">
        <f>IFERROR(__xludf.DUMMYFUNCTION("""COMPUTED_VALUE"""),87.14627762190474)</f>
        <v>87.14627762</v>
      </c>
      <c r="X89" s="46" t="str">
        <f>IFERROR(__xludf.DUMMYFUNCTION("""COMPUTED_VALUE"""),"AP")</f>
        <v>AP</v>
      </c>
      <c r="Y89" s="47">
        <f>IFERROR(__xludf.DUMMYFUNCTION("""COMPUTED_VALUE"""),24.097414798496825)</f>
        <v>24.0974148</v>
      </c>
      <c r="Z89" s="48" t="str">
        <f>IFERROR(__xludf.DUMMYFUNCTION("""COMPUTED_VALUE"""),"%")</f>
        <v>%</v>
      </c>
      <c r="AA89" s="49">
        <f>IFERROR(__xludf.DUMMYFUNCTION("""COMPUTED_VALUE"""),3.0)</f>
        <v>3</v>
      </c>
      <c r="AB89" s="50" t="str">
        <f>IFERROR(__xludf.DUMMYFUNCTION("""COMPUTED_VALUE"""),"B111")</f>
        <v>B111</v>
      </c>
      <c r="AC89" s="38" t="str">
        <f>IFERROR(__xludf.DUMMYFUNCTION("""COMPUTED_VALUE"""),"")</f>
        <v/>
      </c>
      <c r="AD89" s="45">
        <f>IFERROR(__xludf.DUMMYFUNCTION("""COMPUTED_VALUE"""),86.4134629612596)</f>
        <v>86.41346296</v>
      </c>
      <c r="AE89" s="46" t="str">
        <f>IFERROR(__xludf.DUMMYFUNCTION("""COMPUTED_VALUE"""),"AP")</f>
        <v>AP</v>
      </c>
      <c r="AF89" s="47">
        <f>IFERROR(__xludf.DUMMYFUNCTION("""COMPUTED_VALUE"""),24.30176882208112)</f>
        <v>24.30176882</v>
      </c>
      <c r="AG89" s="48" t="str">
        <f>IFERROR(__xludf.DUMMYFUNCTION("""COMPUTED_VALUE"""),"%")</f>
        <v>%</v>
      </c>
      <c r="AH89" s="43">
        <f>IFERROR(__xludf.DUMMYFUNCTION("""COMPUTED_VALUE"""),21.0)</f>
        <v>21</v>
      </c>
      <c r="AI89" s="44">
        <f>IFERROR(__xludf.DUMMYFUNCTION("""COMPUTED_VALUE"""),15434.0)</f>
        <v>15434</v>
      </c>
      <c r="AJ89" s="42" t="str">
        <f>IFERROR(__xludf.DUMMYFUNCTION("""COMPUTED_VALUE"""),"Rear Mountain (Nameless Sacred Mountain)")</f>
        <v>Rear Mountain (Nameless Sacred Mountain)</v>
      </c>
    </row>
    <row r="90" ht="24.75" customHeight="1">
      <c r="A90" s="28">
        <f>IFERROR(__xludf.DUMMYFUNCTION("""COMPUTED_VALUE"""),19.0)</f>
        <v>19</v>
      </c>
      <c r="B90" s="28" t="str">
        <f>IFERROR(__xludf.DUMMYFUNCTION("""COMPUTED_VALUE"""),"A304")</f>
        <v>A304</v>
      </c>
      <c r="C90" s="28" t="str">
        <f>IFERROR(__xludf.DUMMYFUNCTION("""COMPUTED_VALUE"""),"SIN10")</f>
        <v>SIN10</v>
      </c>
      <c r="D90" s="29" t="str">
        <f>IFERROR(__xludf.DUMMYFUNCTION("""COMPUTED_VALUE"""),"SIN")</f>
        <v>SIN</v>
      </c>
      <c r="E90" s="30" t="str">
        <f>IFERROR(__xludf.DUMMYFUNCTION("""COMPUTED_VALUE"""),"Xianyang")</f>
        <v>Xianyang</v>
      </c>
      <c r="F90" s="31">
        <f>IFERROR(__xludf.DUMMYFUNCTION("""COMPUTED_VALUE"""),21.0)</f>
        <v>21</v>
      </c>
      <c r="G90" s="32">
        <f>IFERROR(__xludf.DUMMYFUNCTION("""COMPUTED_VALUE"""),10370.0)</f>
        <v>10370</v>
      </c>
      <c r="H90" s="33" t="str">
        <f>IFERROR(__xludf.DUMMYFUNCTION("""COMPUTED_VALUE"""),"")</f>
        <v/>
      </c>
      <c r="I90" s="34">
        <f>IFERROR(__xludf.DUMMYFUNCTION("""COMPUTED_VALUE"""),70.58722856395492)</f>
        <v>70.58722856</v>
      </c>
      <c r="J90" s="35" t="str">
        <f>IFERROR(__xludf.DUMMYFUNCTION("""COMPUTED_VALUE"""),"AP")</f>
        <v>AP</v>
      </c>
      <c r="K90" s="34">
        <f>IFERROR(__xludf.DUMMYFUNCTION("""COMPUTED_VALUE"""),29.750424300867884)</f>
        <v>29.7504243</v>
      </c>
      <c r="L90" s="35" t="str">
        <f>IFERROR(__xludf.DUMMYFUNCTION("""COMPUTED_VALUE"""),"%")</f>
        <v>%</v>
      </c>
      <c r="M90" s="36">
        <f>IFERROR(__xludf.DUMMYFUNCTION("""COMPUTED_VALUE"""),1.0)</f>
        <v>1</v>
      </c>
      <c r="N90" s="37" t="str">
        <f>IFERROR(__xludf.DUMMYFUNCTION("""COMPUTED_VALUE"""),"A113")</f>
        <v>A113</v>
      </c>
      <c r="O90" s="38" t="str">
        <f>IFERROR(__xludf.DUMMYFUNCTION("""COMPUTED_VALUE"""),"")</f>
        <v/>
      </c>
      <c r="P90" s="34">
        <f>IFERROR(__xludf.DUMMYFUNCTION("""COMPUTED_VALUE"""),131.9024368970674)</f>
        <v>131.9024369</v>
      </c>
      <c r="Q90" s="35" t="str">
        <f>IFERROR(__xludf.DUMMYFUNCTION("""COMPUTED_VALUE"""),"AP")</f>
        <v>AP</v>
      </c>
      <c r="R90" s="34">
        <f>IFERROR(__xludf.DUMMYFUNCTION("""COMPUTED_VALUE"""),15.920858244937321)</f>
        <v>15.92085824</v>
      </c>
      <c r="S90" s="35" t="str">
        <f>IFERROR(__xludf.DUMMYFUNCTION("""COMPUTED_VALUE"""),"%")</f>
        <v>%</v>
      </c>
      <c r="T90" s="36">
        <f>IFERROR(__xludf.DUMMYFUNCTION("""COMPUTED_VALUE"""),2.0)</f>
        <v>2</v>
      </c>
      <c r="U90" s="37" t="str">
        <f>IFERROR(__xludf.DUMMYFUNCTION("""COMPUTED_VALUE"""),"A216")</f>
        <v>A216</v>
      </c>
      <c r="V90" s="38" t="str">
        <f>IFERROR(__xludf.DUMMYFUNCTION("""COMPUTED_VALUE"""),"")</f>
        <v/>
      </c>
      <c r="W90" s="34">
        <f>IFERROR(__xludf.DUMMYFUNCTION("""COMPUTED_VALUE"""),105.45389920840572)</f>
        <v>105.4538992</v>
      </c>
      <c r="X90" s="35" t="str">
        <f>IFERROR(__xludf.DUMMYFUNCTION("""COMPUTED_VALUE"""),"AP")</f>
        <v>AP</v>
      </c>
      <c r="Y90" s="34">
        <f>IFERROR(__xludf.DUMMYFUNCTION("""COMPUTED_VALUE"""),19.913915139826422)</f>
        <v>19.91391514</v>
      </c>
      <c r="Z90" s="35" t="str">
        <f>IFERROR(__xludf.DUMMYFUNCTION("""COMPUTED_VALUE"""),"%")</f>
        <v>%</v>
      </c>
      <c r="AA90" s="36">
        <f>IFERROR(__xludf.DUMMYFUNCTION("""COMPUTED_VALUE"""),3.0)</f>
        <v>3</v>
      </c>
      <c r="AB90" s="37" t="str">
        <f>IFERROR(__xludf.DUMMYFUNCTION("""COMPUTED_VALUE"""),"B112")</f>
        <v>B112</v>
      </c>
      <c r="AC90" s="38" t="str">
        <f>IFERROR(__xludf.DUMMYFUNCTION("""COMPUTED_VALUE"""),"")</f>
        <v/>
      </c>
      <c r="AD90" s="34">
        <f>IFERROR(__xludf.DUMMYFUNCTION("""COMPUTED_VALUE"""),137.410899695645)</f>
        <v>137.4108997</v>
      </c>
      <c r="AE90" s="35" t="str">
        <f>IFERROR(__xludf.DUMMYFUNCTION("""COMPUTED_VALUE"""),"AP")</f>
        <v>AP</v>
      </c>
      <c r="AF90" s="34">
        <f>IFERROR(__xludf.DUMMYFUNCTION("""COMPUTED_VALUE"""),15.28263045108754)</f>
        <v>15.28263045</v>
      </c>
      <c r="AG90" s="35" t="str">
        <f>IFERROR(__xludf.DUMMYFUNCTION("""COMPUTED_VALUE"""),"%")</f>
        <v>%</v>
      </c>
      <c r="AH90" s="31">
        <f>IFERROR(__xludf.DUMMYFUNCTION("""COMPUTED_VALUE"""),21.0)</f>
        <v>21</v>
      </c>
      <c r="AI90" s="32">
        <f>IFERROR(__xludf.DUMMYFUNCTION("""COMPUTED_VALUE"""),10370.0)</f>
        <v>10370</v>
      </c>
      <c r="AJ90" s="30" t="str">
        <f>IFERROR(__xludf.DUMMYFUNCTION("""COMPUTED_VALUE"""),"Xianyang")</f>
        <v>Xianyang</v>
      </c>
    </row>
    <row r="91" ht="24.75" customHeight="1">
      <c r="A91" s="40">
        <f>IFERROR(__xludf.DUMMYFUNCTION("""COMPUTED_VALUE"""),20.0)</f>
        <v>20</v>
      </c>
      <c r="B91" s="40" t="str">
        <f>IFERROR(__xludf.DUMMYFUNCTION("""COMPUTED_VALUE"""),"A304")</f>
        <v>A304</v>
      </c>
      <c r="C91" s="40" t="str">
        <f>IFERROR(__xludf.DUMMYFUNCTION("""COMPUTED_VALUE"""),"SIN4")</f>
        <v>SIN4</v>
      </c>
      <c r="D91" s="41" t="str">
        <f>IFERROR(__xludf.DUMMYFUNCTION("""COMPUTED_VALUE"""),"SIN")</f>
        <v>SIN</v>
      </c>
      <c r="E91" s="42" t="str">
        <f>IFERROR(__xludf.DUMMYFUNCTION("""COMPUTED_VALUE"""),"Akuta's Camp")</f>
        <v>Akuta's Camp</v>
      </c>
      <c r="F91" s="43">
        <f>IFERROR(__xludf.DUMMYFUNCTION("""COMPUTED_VALUE"""),21.0)</f>
        <v>21</v>
      </c>
      <c r="G91" s="44">
        <f>IFERROR(__xludf.DUMMYFUNCTION("""COMPUTED_VALUE"""),2532.0)</f>
        <v>2532</v>
      </c>
      <c r="H91" s="33" t="str">
        <f>IFERROR(__xludf.DUMMYFUNCTION("""COMPUTED_VALUE"""),"")</f>
        <v/>
      </c>
      <c r="I91" s="45">
        <f>IFERROR(__xludf.DUMMYFUNCTION("""COMPUTED_VALUE"""),70.74055941078801)</f>
        <v>70.74055941</v>
      </c>
      <c r="J91" s="46" t="str">
        <f>IFERROR(__xludf.DUMMYFUNCTION("""COMPUTED_VALUE"""),"AP")</f>
        <v>AP</v>
      </c>
      <c r="K91" s="47">
        <f>IFERROR(__xludf.DUMMYFUNCTION("""COMPUTED_VALUE"""),29.685939968404426)</f>
        <v>29.68593997</v>
      </c>
      <c r="L91" s="48" t="str">
        <f>IFERROR(__xludf.DUMMYFUNCTION("""COMPUTED_VALUE"""),"%")</f>
        <v>%</v>
      </c>
      <c r="M91" s="49">
        <f>IFERROR(__xludf.DUMMYFUNCTION("""COMPUTED_VALUE"""),1.0)</f>
        <v>1</v>
      </c>
      <c r="N91" s="50" t="str">
        <f>IFERROR(__xludf.DUMMYFUNCTION("""COMPUTED_VALUE"""),"A206")</f>
        <v>A206</v>
      </c>
      <c r="O91" s="38" t="str">
        <f>IFERROR(__xludf.DUMMYFUNCTION("""COMPUTED_VALUE"""),"")</f>
        <v/>
      </c>
      <c r="P91" s="45">
        <f>IFERROR(__xludf.DUMMYFUNCTION("""COMPUTED_VALUE"""),102.47851058088887)</f>
        <v>102.4785106</v>
      </c>
      <c r="Q91" s="46" t="str">
        <f>IFERROR(__xludf.DUMMYFUNCTION("""COMPUTED_VALUE"""),"AP")</f>
        <v>AP</v>
      </c>
      <c r="R91" s="47">
        <f>IFERROR(__xludf.DUMMYFUNCTION("""COMPUTED_VALUE"""),20.492101105845183)</f>
        <v>20.49210111</v>
      </c>
      <c r="S91" s="48" t="str">
        <f>IFERROR(__xludf.DUMMYFUNCTION("""COMPUTED_VALUE"""),"%")</f>
        <v>%</v>
      </c>
      <c r="T91" s="49">
        <f>IFERROR(__xludf.DUMMYFUNCTION("""COMPUTED_VALUE"""),2.0)</f>
        <v>2</v>
      </c>
      <c r="U91" s="50" t="str">
        <f>IFERROR(__xludf.DUMMYFUNCTION("""COMPUTED_VALUE"""),"A214")</f>
        <v>A214</v>
      </c>
      <c r="V91" s="38" t="str">
        <f>IFERROR(__xludf.DUMMYFUNCTION("""COMPUTED_VALUE"""),"")</f>
        <v/>
      </c>
      <c r="W91" s="45">
        <f>IFERROR(__xludf.DUMMYFUNCTION("""COMPUTED_VALUE"""),112.65158769840933)</f>
        <v>112.6515877</v>
      </c>
      <c r="X91" s="46" t="str">
        <f>IFERROR(__xludf.DUMMYFUNCTION("""COMPUTED_VALUE"""),"AP")</f>
        <v>AP</v>
      </c>
      <c r="Y91" s="47">
        <f>IFERROR(__xludf.DUMMYFUNCTION("""COMPUTED_VALUE"""),18.641548183254343)</f>
        <v>18.64154818</v>
      </c>
      <c r="Z91" s="48" t="str">
        <f>IFERROR(__xludf.DUMMYFUNCTION("""COMPUTED_VALUE"""),"%")</f>
        <v>%</v>
      </c>
      <c r="AA91" s="49">
        <f>IFERROR(__xludf.DUMMYFUNCTION("""COMPUTED_VALUE"""),3.0)</f>
        <v>3</v>
      </c>
      <c r="AB91" s="50" t="str">
        <f>IFERROR(__xludf.DUMMYFUNCTION("""COMPUTED_VALUE"""),"B117")</f>
        <v>B117</v>
      </c>
      <c r="AC91" s="38" t="str">
        <f>IFERROR(__xludf.DUMMYFUNCTION("""COMPUTED_VALUE"""),"")</f>
        <v/>
      </c>
      <c r="AD91" s="45">
        <f>IFERROR(__xludf.DUMMYFUNCTION("""COMPUTED_VALUE"""),134.7373831084739)</f>
        <v>134.7373831</v>
      </c>
      <c r="AE91" s="46" t="str">
        <f>IFERROR(__xludf.DUMMYFUNCTION("""COMPUTED_VALUE"""),"AP")</f>
        <v>AP</v>
      </c>
      <c r="AF91" s="47">
        <f>IFERROR(__xludf.DUMMYFUNCTION("""COMPUTED_VALUE"""),15.585874918687855)</f>
        <v>15.58587492</v>
      </c>
      <c r="AG91" s="48" t="str">
        <f>IFERROR(__xludf.DUMMYFUNCTION("""COMPUTED_VALUE"""),"%")</f>
        <v>%</v>
      </c>
      <c r="AH91" s="43">
        <f>IFERROR(__xludf.DUMMYFUNCTION("""COMPUTED_VALUE"""),21.0)</f>
        <v>21</v>
      </c>
      <c r="AI91" s="44">
        <f>IFERROR(__xludf.DUMMYFUNCTION("""COMPUTED_VALUE"""),2532.0)</f>
        <v>2532</v>
      </c>
      <c r="AJ91" s="42" t="str">
        <f>IFERROR(__xludf.DUMMYFUNCTION("""COMPUTED_VALUE"""),"Akuta's Camp")</f>
        <v>Akuta's Camp</v>
      </c>
    </row>
    <row r="92">
      <c r="A92" s="52"/>
      <c r="B92" s="53"/>
      <c r="C92" s="54"/>
      <c r="D92" s="56"/>
      <c r="E92" s="56"/>
      <c r="F92" s="53"/>
      <c r="G92" s="53"/>
      <c r="H92" s="53"/>
      <c r="I92" s="53"/>
      <c r="J92" s="57"/>
      <c r="K92" s="53"/>
      <c r="L92" s="57"/>
      <c r="M92" s="53"/>
      <c r="N92" s="53"/>
      <c r="O92" s="53"/>
      <c r="P92" s="53"/>
      <c r="Q92" s="57"/>
      <c r="R92" s="53"/>
      <c r="S92" s="57"/>
      <c r="T92" s="53"/>
      <c r="U92" s="53"/>
      <c r="V92" s="53"/>
      <c r="W92" s="53"/>
      <c r="X92" s="57"/>
      <c r="Y92" s="53"/>
      <c r="Z92" s="57"/>
      <c r="AA92" s="53"/>
      <c r="AB92" s="53"/>
      <c r="AC92" s="53"/>
      <c r="AD92" s="53"/>
      <c r="AE92" s="57"/>
      <c r="AF92" s="53"/>
      <c r="AG92" s="57"/>
      <c r="AH92" s="53"/>
      <c r="AI92" s="53"/>
      <c r="AJ92" s="56"/>
    </row>
    <row r="93">
      <c r="A93" s="59"/>
      <c r="B93" s="60"/>
      <c r="C93" s="61"/>
      <c r="D93" s="63"/>
      <c r="E93" s="63"/>
      <c r="F93" s="60"/>
      <c r="G93" s="60"/>
      <c r="H93" s="60"/>
      <c r="I93" s="60"/>
      <c r="J93" s="64"/>
      <c r="K93" s="60"/>
      <c r="L93" s="64"/>
      <c r="M93" s="60"/>
      <c r="N93" s="60"/>
      <c r="O93" s="60"/>
      <c r="P93" s="60"/>
      <c r="Q93" s="64"/>
      <c r="R93" s="60"/>
      <c r="S93" s="64"/>
      <c r="T93" s="60"/>
      <c r="U93" s="60"/>
      <c r="V93" s="60"/>
      <c r="W93" s="60"/>
      <c r="X93" s="64"/>
      <c r="Y93" s="60"/>
      <c r="Z93" s="64"/>
      <c r="AA93" s="60"/>
      <c r="AB93" s="60"/>
      <c r="AC93" s="60"/>
      <c r="AD93" s="60"/>
      <c r="AE93" s="64"/>
      <c r="AF93" s="60"/>
      <c r="AG93" s="64"/>
      <c r="AH93" s="60"/>
      <c r="AI93" s="60"/>
      <c r="AJ93" s="63"/>
    </row>
    <row r="94" ht="33.0" customHeight="1">
      <c r="A94" s="24" t="str">
        <f>IFERROR(__xludf.DUMMYFUNCTION("""COMPUTED_VALUE""")," ")</f>
        <v> </v>
      </c>
      <c r="B94" s="21" t="str">
        <f>IFERROR(__xludf.DUMMYFUNCTION("""COMPUTED_VALUE"""),"A305")</f>
        <v>A305</v>
      </c>
      <c r="C94" s="20"/>
      <c r="D94" s="257" t="str">
        <f>IFERROR(__xludf.DUMMYFUNCTION("""COMPUTED_VALUE"""),"")</f>
        <v/>
      </c>
      <c r="E94" s="23" t="str">
        <f>IFERROR(__xludf.DUMMYFUNCTION("""COMPUTED_VALUE"""),"Fool's Chain")</f>
        <v>Fool's Chain</v>
      </c>
      <c r="F94" s="24"/>
      <c r="G94" s="24"/>
      <c r="H94" s="25"/>
      <c r="I94" s="25"/>
      <c r="J94" s="26"/>
      <c r="K94" s="25"/>
      <c r="L94" s="26"/>
      <c r="M94" s="25"/>
      <c r="N94" s="25"/>
      <c r="O94" s="25"/>
      <c r="P94" s="25"/>
      <c r="Q94" s="26"/>
      <c r="R94" s="25"/>
      <c r="S94" s="26"/>
      <c r="T94" s="25"/>
      <c r="U94" s="25"/>
      <c r="V94" s="25"/>
      <c r="W94" s="25"/>
      <c r="X94" s="26"/>
      <c r="Y94" s="25"/>
      <c r="Z94" s="26"/>
      <c r="AA94" s="25"/>
      <c r="AB94" s="25"/>
      <c r="AC94" s="25"/>
      <c r="AD94" s="25"/>
      <c r="AE94" s="26"/>
      <c r="AF94" s="25"/>
      <c r="AG94" s="26"/>
      <c r="AH94" s="24"/>
      <c r="AI94" s="25"/>
      <c r="AJ94" s="23"/>
    </row>
    <row r="95" ht="24.75" customHeight="1">
      <c r="A95" s="28">
        <f>IFERROR(__xludf.DUMMYFUNCTION("""COMPUTED_VALUE"""),1.0)</f>
        <v>1</v>
      </c>
      <c r="B95" s="28" t="str">
        <f>IFERROR(__xludf.DUMMYFUNCTION("""COMPUTED_VALUE"""),"A305")</f>
        <v>A305</v>
      </c>
      <c r="C95" s="28" t="str">
        <f>IFERROR(__xludf.DUMMYFUNCTION("""COMPUTED_VALUE"""),"CML3")</f>
        <v>CML3</v>
      </c>
      <c r="D95" s="29" t="str">
        <f>IFERROR(__xludf.DUMMYFUNCTION("""COMPUTED_VALUE"""),"Camelot")</f>
        <v>Camelot</v>
      </c>
      <c r="E95" s="30" t="str">
        <f>IFERROR(__xludf.DUMMYFUNCTION("""COMPUTED_VALUE"""),"Wastelands of Death")</f>
        <v>Wastelands of Death</v>
      </c>
      <c r="F95" s="31">
        <f>IFERROR(__xludf.DUMMYFUNCTION("""COMPUTED_VALUE"""),19.0)</f>
        <v>19</v>
      </c>
      <c r="G95" s="32">
        <f>IFERROR(__xludf.DUMMYFUNCTION("""COMPUTED_VALUE"""),18321.0)</f>
        <v>18321</v>
      </c>
      <c r="H95" s="33" t="str">
        <f>IFERROR(__xludf.DUMMYFUNCTION("""COMPUTED_VALUE"""),"")</f>
        <v/>
      </c>
      <c r="I95" s="34">
        <f>IFERROR(__xludf.DUMMYFUNCTION("""COMPUTED_VALUE"""),29.111230979590296)</f>
        <v>29.11123098</v>
      </c>
      <c r="J95" s="35" t="str">
        <f>IFERROR(__xludf.DUMMYFUNCTION("""COMPUTED_VALUE"""),"AP")</f>
        <v>AP</v>
      </c>
      <c r="K95" s="34">
        <f>IFERROR(__xludf.DUMMYFUNCTION("""COMPUTED_VALUE"""),65.2669068282299)</f>
        <v>65.26690683</v>
      </c>
      <c r="L95" s="35" t="str">
        <f>IFERROR(__xludf.DUMMYFUNCTION("""COMPUTED_VALUE"""),"%")</f>
        <v>%</v>
      </c>
      <c r="M95" s="36">
        <f>IFERROR(__xludf.DUMMYFUNCTION("""COMPUTED_VALUE"""),1.0)</f>
        <v>1</v>
      </c>
      <c r="N95" s="37"/>
      <c r="O95" s="38"/>
      <c r="P95" s="34" t="str">
        <f>IFERROR(__xludf.DUMMYFUNCTION("""COMPUTED_VALUE"""),"")</f>
        <v/>
      </c>
      <c r="Q95" s="35" t="str">
        <f>IFERROR(__xludf.DUMMYFUNCTION("""COMPUTED_VALUE"""),"AP")</f>
        <v>AP</v>
      </c>
      <c r="R95" s="34" t="str">
        <f>IFERROR(__xludf.DUMMYFUNCTION("""COMPUTED_VALUE"""),"")</f>
        <v/>
      </c>
      <c r="S95" s="35" t="str">
        <f>IFERROR(__xludf.DUMMYFUNCTION("""COMPUTED_VALUE"""),"%")</f>
        <v>%</v>
      </c>
      <c r="T95" s="36">
        <f>IFERROR(__xludf.DUMMYFUNCTION("""COMPUTED_VALUE"""),2.0)</f>
        <v>2</v>
      </c>
      <c r="U95" s="37"/>
      <c r="V95" s="38"/>
      <c r="W95" s="34" t="str">
        <f>IFERROR(__xludf.DUMMYFUNCTION("""COMPUTED_VALUE"""),"")</f>
        <v/>
      </c>
      <c r="X95" s="35" t="str">
        <f>IFERROR(__xludf.DUMMYFUNCTION("""COMPUTED_VALUE"""),"AP")</f>
        <v>AP</v>
      </c>
      <c r="Y95" s="34" t="str">
        <f>IFERROR(__xludf.DUMMYFUNCTION("""COMPUTED_VALUE"""),"")</f>
        <v/>
      </c>
      <c r="Z95" s="35" t="str">
        <f>IFERROR(__xludf.DUMMYFUNCTION("""COMPUTED_VALUE"""),"%")</f>
        <v>%</v>
      </c>
      <c r="AA95" s="36">
        <f>IFERROR(__xludf.DUMMYFUNCTION("""COMPUTED_VALUE"""),3.0)</f>
        <v>3</v>
      </c>
      <c r="AB95" s="37"/>
      <c r="AC95" s="38"/>
      <c r="AD95" s="34" t="str">
        <f>IFERROR(__xludf.DUMMYFUNCTION("""COMPUTED_VALUE"""),"")</f>
        <v/>
      </c>
      <c r="AE95" s="35" t="str">
        <f>IFERROR(__xludf.DUMMYFUNCTION("""COMPUTED_VALUE"""),"AP")</f>
        <v>AP</v>
      </c>
      <c r="AF95" s="34" t="str">
        <f>IFERROR(__xludf.DUMMYFUNCTION("""COMPUTED_VALUE"""),"")</f>
        <v/>
      </c>
      <c r="AG95" s="35" t="str">
        <f>IFERROR(__xludf.DUMMYFUNCTION("""COMPUTED_VALUE"""),"%")</f>
        <v>%</v>
      </c>
      <c r="AH95" s="31">
        <f>IFERROR(__xludf.DUMMYFUNCTION("""COMPUTED_VALUE"""),19.0)</f>
        <v>19</v>
      </c>
      <c r="AI95" s="32">
        <f>IFERROR(__xludf.DUMMYFUNCTION("""COMPUTED_VALUE"""),18321.0)</f>
        <v>18321</v>
      </c>
      <c r="AJ95" s="30" t="str">
        <f>IFERROR(__xludf.DUMMYFUNCTION("""COMPUTED_VALUE"""),"Wastelands of Death")</f>
        <v>Wastelands of Death</v>
      </c>
    </row>
    <row r="96" ht="24.75" customHeight="1">
      <c r="A96" s="40">
        <f>IFERROR(__xludf.DUMMYFUNCTION("""COMPUTED_VALUE"""),2.0)</f>
        <v>2</v>
      </c>
      <c r="B96" s="40" t="str">
        <f>IFERROR(__xludf.DUMMYFUNCTION("""COMPUTED_VALUE"""),"A305")</f>
        <v>A305</v>
      </c>
      <c r="C96" s="40" t="str">
        <f>IFERROR(__xludf.DUMMYFUNCTION("""COMPUTED_VALUE"""),"SLM6")</f>
        <v>SLM6</v>
      </c>
      <c r="D96" s="41" t="str">
        <f>IFERROR(__xludf.DUMMYFUNCTION("""COMPUTED_VALUE"""),"Salem")</f>
        <v>Salem</v>
      </c>
      <c r="E96" s="42" t="str">
        <f>IFERROR(__xludf.DUMMYFUNCTION("""COMPUTED_VALUE"""),"Isolated Mansion")</f>
        <v>Isolated Mansion</v>
      </c>
      <c r="F96" s="43">
        <f>IFERROR(__xludf.DUMMYFUNCTION("""COMPUTED_VALUE"""),21.0)</f>
        <v>21</v>
      </c>
      <c r="G96" s="44">
        <f>IFERROR(__xludf.DUMMYFUNCTION("""COMPUTED_VALUE"""),19638.0)</f>
        <v>19638</v>
      </c>
      <c r="H96" s="33" t="str">
        <f>IFERROR(__xludf.DUMMYFUNCTION("""COMPUTED_VALUE"""),"")</f>
        <v/>
      </c>
      <c r="I96" s="45">
        <f>IFERROR(__xludf.DUMMYFUNCTION("""COMPUTED_VALUE"""),51.44362180820967)</f>
        <v>51.44362181</v>
      </c>
      <c r="J96" s="46" t="str">
        <f>IFERROR(__xludf.DUMMYFUNCTION("""COMPUTED_VALUE"""),"AP")</f>
        <v>AP</v>
      </c>
      <c r="K96" s="47">
        <f>IFERROR(__xludf.DUMMYFUNCTION("""COMPUTED_VALUE"""),40.82138710663)</f>
        <v>40.82138711</v>
      </c>
      <c r="L96" s="48" t="str">
        <f>IFERROR(__xludf.DUMMYFUNCTION("""COMPUTED_VALUE"""),"%")</f>
        <v>%</v>
      </c>
      <c r="M96" s="49">
        <f>IFERROR(__xludf.DUMMYFUNCTION("""COMPUTED_VALUE"""),1.0)</f>
        <v>1</v>
      </c>
      <c r="N96" s="50" t="str">
        <f>IFERROR(__xludf.DUMMYFUNCTION("""COMPUTED_VALUE"""),"A308")</f>
        <v>A308</v>
      </c>
      <c r="O96" s="38" t="str">
        <f>IFERROR(__xludf.DUMMYFUNCTION("""COMPUTED_VALUE"""),"")</f>
        <v/>
      </c>
      <c r="P96" s="45">
        <f>IFERROR(__xludf.DUMMYFUNCTION("""COMPUTED_VALUE"""),51.569307659930026)</f>
        <v>51.56930766</v>
      </c>
      <c r="Q96" s="46" t="str">
        <f>IFERROR(__xludf.DUMMYFUNCTION("""COMPUTED_VALUE"""),"AP")</f>
        <v>AP</v>
      </c>
      <c r="R96" s="47">
        <f>IFERROR(__xludf.DUMMYFUNCTION("""COMPUTED_VALUE"""),40.72189632345453)</f>
        <v>40.72189632</v>
      </c>
      <c r="S96" s="48" t="str">
        <f>IFERROR(__xludf.DUMMYFUNCTION("""COMPUTED_VALUE"""),"%")</f>
        <v>%</v>
      </c>
      <c r="T96" s="49">
        <f>IFERROR(__xludf.DUMMYFUNCTION("""COMPUTED_VALUE"""),2.0)</f>
        <v>2</v>
      </c>
      <c r="U96" s="50"/>
      <c r="V96" s="38"/>
      <c r="W96" s="45" t="str">
        <f>IFERROR(__xludf.DUMMYFUNCTION("""COMPUTED_VALUE"""),"")</f>
        <v/>
      </c>
      <c r="X96" s="46" t="str">
        <f>IFERROR(__xludf.DUMMYFUNCTION("""COMPUTED_VALUE"""),"AP")</f>
        <v>AP</v>
      </c>
      <c r="Y96" s="47" t="str">
        <f>IFERROR(__xludf.DUMMYFUNCTION("""COMPUTED_VALUE"""),"")</f>
        <v/>
      </c>
      <c r="Z96" s="48" t="str">
        <f>IFERROR(__xludf.DUMMYFUNCTION("""COMPUTED_VALUE"""),"%")</f>
        <v>%</v>
      </c>
      <c r="AA96" s="49">
        <f>IFERROR(__xludf.DUMMYFUNCTION("""COMPUTED_VALUE"""),3.0)</f>
        <v>3</v>
      </c>
      <c r="AB96" s="50"/>
      <c r="AC96" s="38"/>
      <c r="AD96" s="45" t="str">
        <f>IFERROR(__xludf.DUMMYFUNCTION("""COMPUTED_VALUE"""),"")</f>
        <v/>
      </c>
      <c r="AE96" s="46" t="str">
        <f>IFERROR(__xludf.DUMMYFUNCTION("""COMPUTED_VALUE"""),"AP")</f>
        <v>AP</v>
      </c>
      <c r="AF96" s="47" t="str">
        <f>IFERROR(__xludf.DUMMYFUNCTION("""COMPUTED_VALUE"""),"")</f>
        <v/>
      </c>
      <c r="AG96" s="48" t="str">
        <f>IFERROR(__xludf.DUMMYFUNCTION("""COMPUTED_VALUE"""),"%")</f>
        <v>%</v>
      </c>
      <c r="AH96" s="43">
        <f>IFERROR(__xludf.DUMMYFUNCTION("""COMPUTED_VALUE"""),21.0)</f>
        <v>21</v>
      </c>
      <c r="AI96" s="44">
        <f>IFERROR(__xludf.DUMMYFUNCTION("""COMPUTED_VALUE"""),19638.0)</f>
        <v>19638</v>
      </c>
      <c r="AJ96" s="42" t="str">
        <f>IFERROR(__xludf.DUMMYFUNCTION("""COMPUTED_VALUE"""),"Isolated Mansion")</f>
        <v>Isolated Mansion</v>
      </c>
    </row>
    <row r="97" ht="24.75" customHeight="1">
      <c r="A97" s="28">
        <f>IFERROR(__xludf.DUMMYFUNCTION("""COMPUTED_VALUE"""),3.0)</f>
        <v>3</v>
      </c>
      <c r="B97" s="28" t="str">
        <f>IFERROR(__xludf.DUMMYFUNCTION("""COMPUTED_VALUE"""),"A305")</f>
        <v>A305</v>
      </c>
      <c r="C97" s="28" t="str">
        <f>IFERROR(__xludf.DUMMYFUNCTION("""COMPUTED_VALUE"""),"CML14")</f>
        <v>CML14</v>
      </c>
      <c r="D97" s="29" t="str">
        <f>IFERROR(__xludf.DUMMYFUNCTION("""COMPUTED_VALUE"""),"Camelot")</f>
        <v>Camelot</v>
      </c>
      <c r="E97" s="30" t="str">
        <f>IFERROR(__xludf.DUMMYFUNCTION("""COMPUTED_VALUE"""),"Great Temple")</f>
        <v>Great Temple</v>
      </c>
      <c r="F97" s="31">
        <f>IFERROR(__xludf.DUMMYFUNCTION("""COMPUTED_VALUE"""),22.0)</f>
        <v>22</v>
      </c>
      <c r="G97" s="32">
        <f>IFERROR(__xludf.DUMMYFUNCTION("""COMPUTED_VALUE"""),43523.0)</f>
        <v>43523</v>
      </c>
      <c r="H97" s="33" t="str">
        <f>IFERROR(__xludf.DUMMYFUNCTION("""COMPUTED_VALUE"""),"")</f>
        <v/>
      </c>
      <c r="I97" s="34">
        <f>IFERROR(__xludf.DUMMYFUNCTION("""COMPUTED_VALUE"""),52.128324922442246)</f>
        <v>52.12832492</v>
      </c>
      <c r="J97" s="35" t="str">
        <f>IFERROR(__xludf.DUMMYFUNCTION("""COMPUTED_VALUE"""),"AP")</f>
        <v>AP</v>
      </c>
      <c r="K97" s="34">
        <f>IFERROR(__xludf.DUMMYFUNCTION("""COMPUTED_VALUE"""),42.203542954300026)</f>
        <v>42.20354295</v>
      </c>
      <c r="L97" s="35" t="str">
        <f>IFERROR(__xludf.DUMMYFUNCTION("""COMPUTED_VALUE"""),"%")</f>
        <v>%</v>
      </c>
      <c r="M97" s="36">
        <f>IFERROR(__xludf.DUMMYFUNCTION("""COMPUTED_VALUE"""),1.0)</f>
        <v>1</v>
      </c>
      <c r="N97" s="37" t="str">
        <f>IFERROR(__xludf.DUMMYFUNCTION("""COMPUTED_VALUE"""),"A109")</f>
        <v>A109</v>
      </c>
      <c r="O97" s="38" t="str">
        <f>IFERROR(__xludf.DUMMYFUNCTION("""COMPUTED_VALUE"""),"")</f>
        <v/>
      </c>
      <c r="P97" s="34">
        <f>IFERROR(__xludf.DUMMYFUNCTION("""COMPUTED_VALUE"""),181.68677131253114)</f>
        <v>181.6867713</v>
      </c>
      <c r="Q97" s="35" t="str">
        <f>IFERROR(__xludf.DUMMYFUNCTION("""COMPUTED_VALUE"""),"AP")</f>
        <v>AP</v>
      </c>
      <c r="R97" s="34">
        <f>IFERROR(__xludf.DUMMYFUNCTION("""COMPUTED_VALUE"""),12.108751694506354)</f>
        <v>12.10875169</v>
      </c>
      <c r="S97" s="35" t="str">
        <f>IFERROR(__xludf.DUMMYFUNCTION("""COMPUTED_VALUE"""),"%")</f>
        <v>%</v>
      </c>
      <c r="T97" s="36">
        <f>IFERROR(__xludf.DUMMYFUNCTION("""COMPUTED_VALUE"""),2.0)</f>
        <v>2</v>
      </c>
      <c r="U97" s="37" t="str">
        <f>IFERROR(__xludf.DUMMYFUNCTION("""COMPUTED_VALUE"""),"B105")</f>
        <v>B105</v>
      </c>
      <c r="V97" s="38" t="str">
        <f>IFERROR(__xludf.DUMMYFUNCTION("""COMPUTED_VALUE"""),"")</f>
        <v/>
      </c>
      <c r="W97" s="34">
        <f>IFERROR(__xludf.DUMMYFUNCTION("""COMPUTED_VALUE"""),361.1703732762002)</f>
        <v>361.1703733</v>
      </c>
      <c r="X97" s="35" t="str">
        <f>IFERROR(__xludf.DUMMYFUNCTION("""COMPUTED_VALUE"""),"AP")</f>
        <v>AP</v>
      </c>
      <c r="Y97" s="34">
        <f>IFERROR(__xludf.DUMMYFUNCTION("""COMPUTED_VALUE"""),6.091308044022701)</f>
        <v>6.091308044</v>
      </c>
      <c r="Z97" s="35" t="str">
        <f>IFERROR(__xludf.DUMMYFUNCTION("""COMPUTED_VALUE"""),"%")</f>
        <v>%</v>
      </c>
      <c r="AA97" s="36">
        <f>IFERROR(__xludf.DUMMYFUNCTION("""COMPUTED_VALUE"""),3.0)</f>
        <v>3</v>
      </c>
      <c r="AB97" s="37"/>
      <c r="AC97" s="38"/>
      <c r="AD97" s="34" t="str">
        <f>IFERROR(__xludf.DUMMYFUNCTION("""COMPUTED_VALUE"""),"")</f>
        <v/>
      </c>
      <c r="AE97" s="35" t="str">
        <f>IFERROR(__xludf.DUMMYFUNCTION("""COMPUTED_VALUE"""),"AP")</f>
        <v>AP</v>
      </c>
      <c r="AF97" s="34" t="str">
        <f>IFERROR(__xludf.DUMMYFUNCTION("""COMPUTED_VALUE"""),"")</f>
        <v/>
      </c>
      <c r="AG97" s="35" t="str">
        <f>IFERROR(__xludf.DUMMYFUNCTION("""COMPUTED_VALUE"""),"%")</f>
        <v>%</v>
      </c>
      <c r="AH97" s="31">
        <f>IFERROR(__xludf.DUMMYFUNCTION("""COMPUTED_VALUE"""),22.0)</f>
        <v>22</v>
      </c>
      <c r="AI97" s="32">
        <f>IFERROR(__xludf.DUMMYFUNCTION("""COMPUTED_VALUE"""),43523.0)</f>
        <v>43523</v>
      </c>
      <c r="AJ97" s="30" t="str">
        <f>IFERROR(__xludf.DUMMYFUNCTION("""COMPUTED_VALUE"""),"Great Temple")</f>
        <v>Great Temple</v>
      </c>
    </row>
    <row r="98" ht="24.75" customHeight="1">
      <c r="A98" s="40">
        <f>IFERROR(__xludf.DUMMYFUNCTION("""COMPUTED_VALUE"""),4.0)</f>
        <v>4</v>
      </c>
      <c r="B98" s="40" t="str">
        <f>IFERROR(__xludf.DUMMYFUNCTION("""COMPUTED_VALUE"""),"A305")</f>
        <v>A305</v>
      </c>
      <c r="C98" s="40" t="str">
        <f>IFERROR(__xludf.DUMMYFUNCTION("""COMPUTED_VALUE"""),"SLM4")</f>
        <v>SLM4</v>
      </c>
      <c r="D98" s="41" t="str">
        <f>IFERROR(__xludf.DUMMYFUNCTION("""COMPUTED_VALUE"""),"Salem")</f>
        <v>Salem</v>
      </c>
      <c r="E98" s="42" t="str">
        <f>IFERROR(__xludf.DUMMYFUNCTION("""COMPUTED_VALUE"""),"Wharf")</f>
        <v>Wharf</v>
      </c>
      <c r="F98" s="43">
        <f>IFERROR(__xludf.DUMMYFUNCTION("""COMPUTED_VALUE"""),21.0)</f>
        <v>21</v>
      </c>
      <c r="G98" s="44">
        <f>IFERROR(__xludf.DUMMYFUNCTION("""COMPUTED_VALUE"""),29590.0)</f>
        <v>29590</v>
      </c>
      <c r="H98" s="33" t="str">
        <f>IFERROR(__xludf.DUMMYFUNCTION("""COMPUTED_VALUE"""),"")</f>
        <v/>
      </c>
      <c r="I98" s="45">
        <f>IFERROR(__xludf.DUMMYFUNCTION("""COMPUTED_VALUE"""),52.590366921464074)</f>
        <v>52.59036692</v>
      </c>
      <c r="J98" s="46" t="str">
        <f>IFERROR(__xludf.DUMMYFUNCTION("""COMPUTED_VALUE"""),"AP")</f>
        <v>AP</v>
      </c>
      <c r="K98" s="47">
        <f>IFERROR(__xludf.DUMMYFUNCTION("""COMPUTED_VALUE"""),39.931267320040554)</f>
        <v>39.93126732</v>
      </c>
      <c r="L98" s="48" t="str">
        <f>IFERROR(__xludf.DUMMYFUNCTION("""COMPUTED_VALUE"""),"%")</f>
        <v>%</v>
      </c>
      <c r="M98" s="49">
        <f>IFERROR(__xludf.DUMMYFUNCTION("""COMPUTED_VALUE"""),1.0)</f>
        <v>1</v>
      </c>
      <c r="N98" s="50" t="str">
        <f>IFERROR(__xludf.DUMMYFUNCTION("""COMPUTED_VALUE"""),"A205")</f>
        <v>A205</v>
      </c>
      <c r="O98" s="38" t="str">
        <f>IFERROR(__xludf.DUMMYFUNCTION("""COMPUTED_VALUE"""),"")</f>
        <v/>
      </c>
      <c r="P98" s="45">
        <f>IFERROR(__xludf.DUMMYFUNCTION("""COMPUTED_VALUE"""),104.45042626343513)</f>
        <v>104.4504263</v>
      </c>
      <c r="Q98" s="46" t="str">
        <f>IFERROR(__xludf.DUMMYFUNCTION("""COMPUTED_VALUE"""),"AP")</f>
        <v>AP</v>
      </c>
      <c r="R98" s="47">
        <f>IFERROR(__xludf.DUMMYFUNCTION("""COMPUTED_VALUE"""),20.10523149712741)</f>
        <v>20.1052315</v>
      </c>
      <c r="S98" s="48" t="str">
        <f>IFERROR(__xludf.DUMMYFUNCTION("""COMPUTED_VALUE"""),"%")</f>
        <v>%</v>
      </c>
      <c r="T98" s="49">
        <f>IFERROR(__xludf.DUMMYFUNCTION("""COMPUTED_VALUE"""),2.0)</f>
        <v>2</v>
      </c>
      <c r="U98" s="50" t="str">
        <f>IFERROR(__xludf.DUMMYFUNCTION("""COMPUTED_VALUE"""),"B115")</f>
        <v>B115</v>
      </c>
      <c r="V98" s="38" t="str">
        <f>IFERROR(__xludf.DUMMYFUNCTION("""COMPUTED_VALUE"""),"")</f>
        <v/>
      </c>
      <c r="W98" s="45">
        <f>IFERROR(__xludf.DUMMYFUNCTION("""COMPUTED_VALUE"""),103.44730722447521)</f>
        <v>103.4473072</v>
      </c>
      <c r="X98" s="46" t="str">
        <f>IFERROR(__xludf.DUMMYFUNCTION("""COMPUTED_VALUE"""),"AP")</f>
        <v>AP</v>
      </c>
      <c r="Y98" s="47">
        <f>IFERROR(__xludf.DUMMYFUNCTION("""COMPUTED_VALUE"""),20.300190080763635)</f>
        <v>20.30019008</v>
      </c>
      <c r="Z98" s="48" t="str">
        <f>IFERROR(__xludf.DUMMYFUNCTION("""COMPUTED_VALUE"""),"%")</f>
        <v>%</v>
      </c>
      <c r="AA98" s="49">
        <f>IFERROR(__xludf.DUMMYFUNCTION("""COMPUTED_VALUE"""),3.0)</f>
        <v>3</v>
      </c>
      <c r="AB98" s="50"/>
      <c r="AC98" s="38"/>
      <c r="AD98" s="45" t="str">
        <f>IFERROR(__xludf.DUMMYFUNCTION("""COMPUTED_VALUE"""),"")</f>
        <v/>
      </c>
      <c r="AE98" s="46" t="str">
        <f>IFERROR(__xludf.DUMMYFUNCTION("""COMPUTED_VALUE"""),"AP")</f>
        <v>AP</v>
      </c>
      <c r="AF98" s="47" t="str">
        <f>IFERROR(__xludf.DUMMYFUNCTION("""COMPUTED_VALUE"""),"")</f>
        <v/>
      </c>
      <c r="AG98" s="48" t="str">
        <f>IFERROR(__xludf.DUMMYFUNCTION("""COMPUTED_VALUE"""),"%")</f>
        <v>%</v>
      </c>
      <c r="AH98" s="43">
        <f>IFERROR(__xludf.DUMMYFUNCTION("""COMPUTED_VALUE"""),21.0)</f>
        <v>21</v>
      </c>
      <c r="AI98" s="44">
        <f>IFERROR(__xludf.DUMMYFUNCTION("""COMPUTED_VALUE"""),29590.0)</f>
        <v>29590</v>
      </c>
      <c r="AJ98" s="42" t="str">
        <f>IFERROR(__xludf.DUMMYFUNCTION("""COMPUTED_VALUE"""),"Wharf")</f>
        <v>Wharf</v>
      </c>
    </row>
    <row r="99" ht="24.75" customHeight="1">
      <c r="A99" s="28">
        <f>IFERROR(__xludf.DUMMYFUNCTION("""COMPUTED_VALUE"""),5.0)</f>
        <v>5</v>
      </c>
      <c r="B99" s="28" t="str">
        <f>IFERROR(__xludf.DUMMYFUNCTION("""COMPUTED_VALUE"""),"A305")</f>
        <v>A305</v>
      </c>
      <c r="C99" s="28" t="str">
        <f>IFERROR(__xludf.DUMMYFUNCTION("""COMPUTED_VALUE"""),"AGT6")</f>
        <v>AGT6</v>
      </c>
      <c r="D99" s="29" t="str">
        <f>IFERROR(__xludf.DUMMYFUNCTION("""COMPUTED_VALUE"""),"Agartha")</f>
        <v>Agartha</v>
      </c>
      <c r="E99" s="30" t="str">
        <f>IFERROR(__xludf.DUMMYFUNCTION("""COMPUTED_VALUE"""),"Northern Cliffs")</f>
        <v>Northern Cliffs</v>
      </c>
      <c r="F99" s="31">
        <f>IFERROR(__xludf.DUMMYFUNCTION("""COMPUTED_VALUE"""),21.0)</f>
        <v>21</v>
      </c>
      <c r="G99" s="32">
        <f>IFERROR(__xludf.DUMMYFUNCTION("""COMPUTED_VALUE"""),2295.0)</f>
        <v>2295</v>
      </c>
      <c r="H99" s="33" t="str">
        <f>IFERROR(__xludf.DUMMYFUNCTION("""COMPUTED_VALUE"""),"")</f>
        <v/>
      </c>
      <c r="I99" s="34">
        <f>IFERROR(__xludf.DUMMYFUNCTION("""COMPUTED_VALUE"""),53.22356215213358)</f>
        <v>53.22356215</v>
      </c>
      <c r="J99" s="35" t="str">
        <f>IFERROR(__xludf.DUMMYFUNCTION("""COMPUTED_VALUE"""),"AP")</f>
        <v>AP</v>
      </c>
      <c r="K99" s="34">
        <f>IFERROR(__xludf.DUMMYFUNCTION("""COMPUTED_VALUE"""),39.4562091503268)</f>
        <v>39.45620915</v>
      </c>
      <c r="L99" s="35" t="str">
        <f>IFERROR(__xludf.DUMMYFUNCTION("""COMPUTED_VALUE"""),"%")</f>
        <v>%</v>
      </c>
      <c r="M99" s="36">
        <f>IFERROR(__xludf.DUMMYFUNCTION("""COMPUTED_VALUE"""),1.0)</f>
        <v>1</v>
      </c>
      <c r="N99" s="37" t="str">
        <f>IFERROR(__xludf.DUMMYFUNCTION("""COMPUTED_VALUE"""),"A107")</f>
        <v>A107</v>
      </c>
      <c r="O99" s="38" t="str">
        <f>IFERROR(__xludf.DUMMYFUNCTION("""COMPUTED_VALUE"""),"")</f>
        <v/>
      </c>
      <c r="P99" s="34">
        <f>IFERROR(__xludf.DUMMYFUNCTION("""COMPUTED_VALUE"""),102.01295402590804)</f>
        <v>102.012954</v>
      </c>
      <c r="Q99" s="35" t="str">
        <f>IFERROR(__xludf.DUMMYFUNCTION("""COMPUTED_VALUE"""),"AP")</f>
        <v>AP</v>
      </c>
      <c r="R99" s="34">
        <f>IFERROR(__xludf.DUMMYFUNCTION("""COMPUTED_VALUE"""),20.58562091503268)</f>
        <v>20.58562092</v>
      </c>
      <c r="S99" s="35" t="str">
        <f>IFERROR(__xludf.DUMMYFUNCTION("""COMPUTED_VALUE"""),"%")</f>
        <v>%</v>
      </c>
      <c r="T99" s="36">
        <f>IFERROR(__xludf.DUMMYFUNCTION("""COMPUTED_VALUE"""),2.0)</f>
        <v>2</v>
      </c>
      <c r="U99" s="37" t="str">
        <f>IFERROR(__xludf.DUMMYFUNCTION("""COMPUTED_VALUE"""),"B116")</f>
        <v>B116</v>
      </c>
      <c r="V99" s="38" t="str">
        <f>IFERROR(__xludf.DUMMYFUNCTION("""COMPUTED_VALUE"""),"")</f>
        <v/>
      </c>
      <c r="W99" s="34">
        <f>IFERROR(__xludf.DUMMYFUNCTION("""COMPUTED_VALUE"""),67.91471732145877)</f>
        <v>67.91471732</v>
      </c>
      <c r="X99" s="35" t="str">
        <f>IFERROR(__xludf.DUMMYFUNCTION("""COMPUTED_VALUE"""),"AP")</f>
        <v>AP</v>
      </c>
      <c r="Y99" s="34">
        <f>IFERROR(__xludf.DUMMYFUNCTION("""COMPUTED_VALUE"""),30.921132897603485)</f>
        <v>30.9211329</v>
      </c>
      <c r="Z99" s="35" t="str">
        <f>IFERROR(__xludf.DUMMYFUNCTION("""COMPUTED_VALUE"""),"%")</f>
        <v>%</v>
      </c>
      <c r="AA99" s="36">
        <f>IFERROR(__xludf.DUMMYFUNCTION("""COMPUTED_VALUE"""),3.0)</f>
        <v>3</v>
      </c>
      <c r="AB99" s="37"/>
      <c r="AC99" s="38"/>
      <c r="AD99" s="34" t="str">
        <f>IFERROR(__xludf.DUMMYFUNCTION("""COMPUTED_VALUE"""),"")</f>
        <v/>
      </c>
      <c r="AE99" s="35" t="str">
        <f>IFERROR(__xludf.DUMMYFUNCTION("""COMPUTED_VALUE"""),"AP")</f>
        <v>AP</v>
      </c>
      <c r="AF99" s="34" t="str">
        <f>IFERROR(__xludf.DUMMYFUNCTION("""COMPUTED_VALUE"""),"")</f>
        <v/>
      </c>
      <c r="AG99" s="35" t="str">
        <f>IFERROR(__xludf.DUMMYFUNCTION("""COMPUTED_VALUE"""),"%")</f>
        <v>%</v>
      </c>
      <c r="AH99" s="31">
        <f>IFERROR(__xludf.DUMMYFUNCTION("""COMPUTED_VALUE"""),21.0)</f>
        <v>21</v>
      </c>
      <c r="AI99" s="32">
        <f>IFERROR(__xludf.DUMMYFUNCTION("""COMPUTED_VALUE"""),2295.0)</f>
        <v>2295</v>
      </c>
      <c r="AJ99" s="30" t="str">
        <f>IFERROR(__xludf.DUMMYFUNCTION("""COMPUTED_VALUE"""),"Northern Cliffs")</f>
        <v>Northern Cliffs</v>
      </c>
    </row>
    <row r="100" ht="24.75" customHeight="1">
      <c r="A100" s="40">
        <f>IFERROR(__xludf.DUMMYFUNCTION("""COMPUTED_VALUE"""),6.0)</f>
        <v>6</v>
      </c>
      <c r="B100" s="40" t="str">
        <f>IFERROR(__xludf.DUMMYFUNCTION("""COMPUTED_VALUE"""),"A305")</f>
        <v>A305</v>
      </c>
      <c r="C100" s="40" t="str">
        <f>IFERROR(__xludf.DUMMYFUNCTION("""COMPUTED_VALUE"""),"AGT7")</f>
        <v>AGT7</v>
      </c>
      <c r="D100" s="41" t="str">
        <f>IFERROR(__xludf.DUMMYFUNCTION("""COMPUTED_VALUE"""),"Agartha")</f>
        <v>Agartha</v>
      </c>
      <c r="E100" s="42" t="str">
        <f>IFERROR(__xludf.DUMMYFUNCTION("""COMPUTED_VALUE"""),"Nightless City")</f>
        <v>Nightless City</v>
      </c>
      <c r="F100" s="43">
        <f>IFERROR(__xludf.DUMMYFUNCTION("""COMPUTED_VALUE"""),21.0)</f>
        <v>21</v>
      </c>
      <c r="G100" s="44">
        <f>IFERROR(__xludf.DUMMYFUNCTION("""COMPUTED_VALUE"""),9203.0)</f>
        <v>9203</v>
      </c>
      <c r="H100" s="33" t="str">
        <f>IFERROR(__xludf.DUMMYFUNCTION("""COMPUTED_VALUE"""),"")</f>
        <v/>
      </c>
      <c r="I100" s="45">
        <f>IFERROR(__xludf.DUMMYFUNCTION("""COMPUTED_VALUE"""),53.68747739443933)</f>
        <v>53.68747739</v>
      </c>
      <c r="J100" s="46" t="str">
        <f>IFERROR(__xludf.DUMMYFUNCTION("""COMPUTED_VALUE"""),"AP")</f>
        <v>AP</v>
      </c>
      <c r="K100" s="47">
        <f>IFERROR(__xludf.DUMMYFUNCTION("""COMPUTED_VALUE"""),39.11526676083886)</f>
        <v>39.11526676</v>
      </c>
      <c r="L100" s="48" t="str">
        <f>IFERROR(__xludf.DUMMYFUNCTION("""COMPUTED_VALUE"""),"%")</f>
        <v>%</v>
      </c>
      <c r="M100" s="49">
        <f>IFERROR(__xludf.DUMMYFUNCTION("""COMPUTED_VALUE"""),1.0)</f>
        <v>1</v>
      </c>
      <c r="N100" s="50" t="str">
        <f>IFERROR(__xludf.DUMMYFUNCTION("""COMPUTED_VALUE"""),"A304")</f>
        <v>A304</v>
      </c>
      <c r="O100" s="38" t="str">
        <f>IFERROR(__xludf.DUMMYFUNCTION("""COMPUTED_VALUE"""),"")</f>
        <v/>
      </c>
      <c r="P100" s="45">
        <f>IFERROR(__xludf.DUMMYFUNCTION("""COMPUTED_VALUE"""),70.19470137387124)</f>
        <v>70.19470137</v>
      </c>
      <c r="Q100" s="46" t="str">
        <f>IFERROR(__xludf.DUMMYFUNCTION("""COMPUTED_VALUE"""),"AP")</f>
        <v>AP</v>
      </c>
      <c r="R100" s="47">
        <f>IFERROR(__xludf.DUMMYFUNCTION("""COMPUTED_VALUE"""),29.91678800391177)</f>
        <v>29.916788</v>
      </c>
      <c r="S100" s="48" t="str">
        <f>IFERROR(__xludf.DUMMYFUNCTION("""COMPUTED_VALUE"""),"%")</f>
        <v>%</v>
      </c>
      <c r="T100" s="49">
        <f>IFERROR(__xludf.DUMMYFUNCTION("""COMPUTED_VALUE"""),2.0)</f>
        <v>2</v>
      </c>
      <c r="U100" s="50" t="str">
        <f>IFERROR(__xludf.DUMMYFUNCTION("""COMPUTED_VALUE"""),"B116")</f>
        <v>B116</v>
      </c>
      <c r="V100" s="38" t="str">
        <f>IFERROR(__xludf.DUMMYFUNCTION("""COMPUTED_VALUE"""),"")</f>
        <v/>
      </c>
      <c r="W100" s="45">
        <f>IFERROR(__xludf.DUMMYFUNCTION("""COMPUTED_VALUE"""),59.65614443193267)</f>
        <v>59.65614443</v>
      </c>
      <c r="X100" s="46" t="str">
        <f>IFERROR(__xludf.DUMMYFUNCTION("""COMPUTED_VALUE"""),"AP")</f>
        <v>AP</v>
      </c>
      <c r="Y100" s="47">
        <f>IFERROR(__xludf.DUMMYFUNCTION("""COMPUTED_VALUE"""),35.2017385635119)</f>
        <v>35.20173856</v>
      </c>
      <c r="Z100" s="48" t="str">
        <f>IFERROR(__xludf.DUMMYFUNCTION("""COMPUTED_VALUE"""),"%")</f>
        <v>%</v>
      </c>
      <c r="AA100" s="49">
        <f>IFERROR(__xludf.DUMMYFUNCTION("""COMPUTED_VALUE"""),3.0)</f>
        <v>3</v>
      </c>
      <c r="AB100" s="50"/>
      <c r="AC100" s="38"/>
      <c r="AD100" s="45" t="str">
        <f>IFERROR(__xludf.DUMMYFUNCTION("""COMPUTED_VALUE"""),"")</f>
        <v/>
      </c>
      <c r="AE100" s="46" t="str">
        <f>IFERROR(__xludf.DUMMYFUNCTION("""COMPUTED_VALUE"""),"AP")</f>
        <v>AP</v>
      </c>
      <c r="AF100" s="47" t="str">
        <f>IFERROR(__xludf.DUMMYFUNCTION("""COMPUTED_VALUE"""),"")</f>
        <v/>
      </c>
      <c r="AG100" s="48" t="str">
        <f>IFERROR(__xludf.DUMMYFUNCTION("""COMPUTED_VALUE"""),"%")</f>
        <v>%</v>
      </c>
      <c r="AH100" s="43">
        <f>IFERROR(__xludf.DUMMYFUNCTION("""COMPUTED_VALUE"""),21.0)</f>
        <v>21</v>
      </c>
      <c r="AI100" s="44">
        <f>IFERROR(__xludf.DUMMYFUNCTION("""COMPUTED_VALUE"""),9203.0)</f>
        <v>9203</v>
      </c>
      <c r="AJ100" s="42" t="str">
        <f>IFERROR(__xludf.DUMMYFUNCTION("""COMPUTED_VALUE"""),"Nightless City")</f>
        <v>Nightless City</v>
      </c>
    </row>
    <row r="101" ht="24.75" customHeight="1">
      <c r="A101" s="28">
        <f>IFERROR(__xludf.DUMMYFUNCTION("""COMPUTED_VALUE"""),7.0)</f>
        <v>7</v>
      </c>
      <c r="B101" s="28" t="str">
        <f>IFERROR(__xludf.DUMMYFUNCTION("""COMPUTED_VALUE"""),"A305")</f>
        <v>A305</v>
      </c>
      <c r="C101" s="28" t="str">
        <f>IFERROR(__xludf.DUMMYFUNCTION("""COMPUTED_VALUE"""),"CML11")</f>
        <v>CML11</v>
      </c>
      <c r="D101" s="29" t="str">
        <f>IFERROR(__xludf.DUMMYFUNCTION("""COMPUTED_VALUE"""),"Camelot")</f>
        <v>Camelot</v>
      </c>
      <c r="E101" s="30" t="str">
        <f>IFERROR(__xludf.DUMMYFUNCTION("""COMPUTED_VALUE"""),"Hidden Village")</f>
        <v>Hidden Village</v>
      </c>
      <c r="F101" s="31">
        <f>IFERROR(__xludf.DUMMYFUNCTION("""COMPUTED_VALUE"""),21.0)</f>
        <v>21</v>
      </c>
      <c r="G101" s="32">
        <f>IFERROR(__xludf.DUMMYFUNCTION("""COMPUTED_VALUE"""),125149.0)</f>
        <v>125149</v>
      </c>
      <c r="H101" s="33" t="str">
        <f>IFERROR(__xludf.DUMMYFUNCTION("""COMPUTED_VALUE"""),"")</f>
        <v/>
      </c>
      <c r="I101" s="34">
        <f>IFERROR(__xludf.DUMMYFUNCTION("""COMPUTED_VALUE"""),69.05537308427226)</f>
        <v>69.05537308</v>
      </c>
      <c r="J101" s="35" t="str">
        <f>IFERROR(__xludf.DUMMYFUNCTION("""COMPUTED_VALUE"""),"AP")</f>
        <v>AP</v>
      </c>
      <c r="K101" s="34">
        <f>IFERROR(__xludf.DUMMYFUNCTION("""COMPUTED_VALUE"""),30.41037802282595)</f>
        <v>30.41037802</v>
      </c>
      <c r="L101" s="35" t="str">
        <f>IFERROR(__xludf.DUMMYFUNCTION("""COMPUTED_VALUE"""),"%")</f>
        <v>%</v>
      </c>
      <c r="M101" s="36">
        <f>IFERROR(__xludf.DUMMYFUNCTION("""COMPUTED_VALUE"""),1.0)</f>
        <v>1</v>
      </c>
      <c r="N101" s="37" t="str">
        <f>IFERROR(__xludf.DUMMYFUNCTION("""COMPUTED_VALUE"""),"A108")</f>
        <v>A108</v>
      </c>
      <c r="O101" s="38" t="str">
        <f>IFERROR(__xludf.DUMMYFUNCTION("""COMPUTED_VALUE"""),"")</f>
        <v/>
      </c>
      <c r="P101" s="34">
        <f>IFERROR(__xludf.DUMMYFUNCTION("""COMPUTED_VALUE"""),130.30308904802249)</f>
        <v>130.303089</v>
      </c>
      <c r="Q101" s="35" t="str">
        <f>IFERROR(__xludf.DUMMYFUNCTION("""COMPUTED_VALUE"""),"AP")</f>
        <v>AP</v>
      </c>
      <c r="R101" s="34">
        <f>IFERROR(__xludf.DUMMYFUNCTION("""COMPUTED_VALUE"""),16.116271804009624)</f>
        <v>16.1162718</v>
      </c>
      <c r="S101" s="35" t="str">
        <f>IFERROR(__xludf.DUMMYFUNCTION("""COMPUTED_VALUE"""),"%")</f>
        <v>%</v>
      </c>
      <c r="T101" s="36">
        <f>IFERROR(__xludf.DUMMYFUNCTION("""COMPUTED_VALUE"""),2.0)</f>
        <v>2</v>
      </c>
      <c r="U101" s="37" t="str">
        <f>IFERROR(__xludf.DUMMYFUNCTION("""COMPUTED_VALUE"""),"B115")</f>
        <v>B115</v>
      </c>
      <c r="V101" s="38" t="str">
        <f>IFERROR(__xludf.DUMMYFUNCTION("""COMPUTED_VALUE"""),"")</f>
        <v/>
      </c>
      <c r="W101" s="34">
        <f>IFERROR(__xludf.DUMMYFUNCTION("""COMPUTED_VALUE"""),265.04870671862074)</f>
        <v>265.0487067</v>
      </c>
      <c r="X101" s="35" t="str">
        <f>IFERROR(__xludf.DUMMYFUNCTION("""COMPUTED_VALUE"""),"AP")</f>
        <v>AP</v>
      </c>
      <c r="Y101" s="34">
        <f>IFERROR(__xludf.DUMMYFUNCTION("""COMPUTED_VALUE"""),7.923072049656851)</f>
        <v>7.92307205</v>
      </c>
      <c r="Z101" s="35" t="str">
        <f>IFERROR(__xludf.DUMMYFUNCTION("""COMPUTED_VALUE"""),"%")</f>
        <v>%</v>
      </c>
      <c r="AA101" s="36">
        <f>IFERROR(__xludf.DUMMYFUNCTION("""COMPUTED_VALUE"""),3.0)</f>
        <v>3</v>
      </c>
      <c r="AB101" s="37"/>
      <c r="AC101" s="38"/>
      <c r="AD101" s="34" t="str">
        <f>IFERROR(__xludf.DUMMYFUNCTION("""COMPUTED_VALUE"""),"")</f>
        <v/>
      </c>
      <c r="AE101" s="35" t="str">
        <f>IFERROR(__xludf.DUMMYFUNCTION("""COMPUTED_VALUE"""),"AP")</f>
        <v>AP</v>
      </c>
      <c r="AF101" s="34" t="str">
        <f>IFERROR(__xludf.DUMMYFUNCTION("""COMPUTED_VALUE"""),"")</f>
        <v/>
      </c>
      <c r="AG101" s="35" t="str">
        <f>IFERROR(__xludf.DUMMYFUNCTION("""COMPUTED_VALUE"""),"%")</f>
        <v>%</v>
      </c>
      <c r="AH101" s="31">
        <f>IFERROR(__xludf.DUMMYFUNCTION("""COMPUTED_VALUE"""),21.0)</f>
        <v>21</v>
      </c>
      <c r="AI101" s="32">
        <f>IFERROR(__xludf.DUMMYFUNCTION("""COMPUTED_VALUE"""),125149.0)</f>
        <v>125149</v>
      </c>
      <c r="AJ101" s="30" t="str">
        <f>IFERROR(__xludf.DUMMYFUNCTION("""COMPUTED_VALUE"""),"Hidden Village")</f>
        <v>Hidden Village</v>
      </c>
    </row>
    <row r="102" ht="24.75" customHeight="1">
      <c r="A102" s="40">
        <f>IFERROR(__xludf.DUMMYFUNCTION("""COMPUTED_VALUE"""),8.0)</f>
        <v>8</v>
      </c>
      <c r="B102" s="40" t="str">
        <f>IFERROR(__xludf.DUMMYFUNCTION("""COMPUTED_VALUE"""),"A305")</f>
        <v>A305</v>
      </c>
      <c r="C102" s="40"/>
      <c r="D102" s="41"/>
      <c r="E102" s="66"/>
      <c r="F102" s="43"/>
      <c r="G102" s="44"/>
      <c r="H102" s="33" t="str">
        <f>IFERROR(__xludf.DUMMYFUNCTION("""COMPUTED_VALUE""")," ")</f>
        <v> </v>
      </c>
      <c r="I102" s="45"/>
      <c r="J102" s="46" t="str">
        <f>IFERROR(__xludf.DUMMYFUNCTION("""COMPUTED_VALUE"""),"AP")</f>
        <v>AP</v>
      </c>
      <c r="K102" s="47"/>
      <c r="L102" s="48" t="str">
        <f>IFERROR(__xludf.DUMMYFUNCTION("""COMPUTED_VALUE"""),"%")</f>
        <v>%</v>
      </c>
      <c r="M102" s="49">
        <f>IFERROR(__xludf.DUMMYFUNCTION("""COMPUTED_VALUE"""),1.0)</f>
        <v>1</v>
      </c>
      <c r="N102" s="50"/>
      <c r="O102" s="38"/>
      <c r="P102" s="45" t="str">
        <f>IFERROR(__xludf.DUMMYFUNCTION("""COMPUTED_VALUE"""),"")</f>
        <v/>
      </c>
      <c r="Q102" s="46" t="str">
        <f>IFERROR(__xludf.DUMMYFUNCTION("""COMPUTED_VALUE"""),"AP")</f>
        <v>AP</v>
      </c>
      <c r="R102" s="47" t="str">
        <f>IFERROR(__xludf.DUMMYFUNCTION("""COMPUTED_VALUE"""),"")</f>
        <v/>
      </c>
      <c r="S102" s="48" t="str">
        <f>IFERROR(__xludf.DUMMYFUNCTION("""COMPUTED_VALUE"""),"%")</f>
        <v>%</v>
      </c>
      <c r="T102" s="49">
        <f>IFERROR(__xludf.DUMMYFUNCTION("""COMPUTED_VALUE"""),2.0)</f>
        <v>2</v>
      </c>
      <c r="U102" s="50"/>
      <c r="V102" s="38"/>
      <c r="W102" s="45" t="str">
        <f>IFERROR(__xludf.DUMMYFUNCTION("""COMPUTED_VALUE"""),"")</f>
        <v/>
      </c>
      <c r="X102" s="46" t="str">
        <f>IFERROR(__xludf.DUMMYFUNCTION("""COMPUTED_VALUE"""),"AP")</f>
        <v>AP</v>
      </c>
      <c r="Y102" s="47" t="str">
        <f>IFERROR(__xludf.DUMMYFUNCTION("""COMPUTED_VALUE"""),"")</f>
        <v/>
      </c>
      <c r="Z102" s="48" t="str">
        <f>IFERROR(__xludf.DUMMYFUNCTION("""COMPUTED_VALUE"""),"%")</f>
        <v>%</v>
      </c>
      <c r="AA102" s="49">
        <f>IFERROR(__xludf.DUMMYFUNCTION("""COMPUTED_VALUE"""),3.0)</f>
        <v>3</v>
      </c>
      <c r="AB102" s="50"/>
      <c r="AC102" s="38"/>
      <c r="AD102" s="45" t="str">
        <f>IFERROR(__xludf.DUMMYFUNCTION("""COMPUTED_VALUE"""),"")</f>
        <v/>
      </c>
      <c r="AE102" s="46" t="str">
        <f>IFERROR(__xludf.DUMMYFUNCTION("""COMPUTED_VALUE"""),"AP")</f>
        <v>AP</v>
      </c>
      <c r="AF102" s="47" t="str">
        <f>IFERROR(__xludf.DUMMYFUNCTION("""COMPUTED_VALUE"""),"")</f>
        <v/>
      </c>
      <c r="AG102" s="48" t="str">
        <f>IFERROR(__xludf.DUMMYFUNCTION("""COMPUTED_VALUE"""),"%")</f>
        <v>%</v>
      </c>
      <c r="AH102" s="43"/>
      <c r="AI102" s="44"/>
      <c r="AJ102" s="66"/>
    </row>
    <row r="103" ht="24.75" hidden="1" customHeight="1">
      <c r="A103" s="28">
        <f>IFERROR(__xludf.DUMMYFUNCTION("""COMPUTED_VALUE"""),9.0)</f>
        <v>9</v>
      </c>
      <c r="B103" s="28" t="str">
        <f>IFERROR(__xludf.DUMMYFUNCTION("""COMPUTED_VALUE"""),"A305")</f>
        <v>A305</v>
      </c>
      <c r="C103" s="28"/>
      <c r="D103" s="29"/>
      <c r="E103" s="67"/>
      <c r="F103" s="31"/>
      <c r="G103" s="32"/>
      <c r="H103" s="33" t="str">
        <f>IFERROR(__xludf.DUMMYFUNCTION("""COMPUTED_VALUE""")," ")</f>
        <v> </v>
      </c>
      <c r="I103" s="34"/>
      <c r="J103" s="35" t="str">
        <f>IFERROR(__xludf.DUMMYFUNCTION("""COMPUTED_VALUE"""),"AP")</f>
        <v>AP</v>
      </c>
      <c r="K103" s="34"/>
      <c r="L103" s="35" t="str">
        <f>IFERROR(__xludf.DUMMYFUNCTION("""COMPUTED_VALUE"""),"%")</f>
        <v>%</v>
      </c>
      <c r="M103" s="36">
        <f>IFERROR(__xludf.DUMMYFUNCTION("""COMPUTED_VALUE"""),1.0)</f>
        <v>1</v>
      </c>
      <c r="N103" s="37"/>
      <c r="O103" s="38"/>
      <c r="P103" s="34" t="str">
        <f>IFERROR(__xludf.DUMMYFUNCTION("""COMPUTED_VALUE"""),"")</f>
        <v/>
      </c>
      <c r="Q103" s="35" t="str">
        <f>IFERROR(__xludf.DUMMYFUNCTION("""COMPUTED_VALUE"""),"AP")</f>
        <v>AP</v>
      </c>
      <c r="R103" s="34" t="str">
        <f>IFERROR(__xludf.DUMMYFUNCTION("""COMPUTED_VALUE"""),"")</f>
        <v/>
      </c>
      <c r="S103" s="35" t="str">
        <f>IFERROR(__xludf.DUMMYFUNCTION("""COMPUTED_VALUE"""),"%")</f>
        <v>%</v>
      </c>
      <c r="T103" s="36">
        <f>IFERROR(__xludf.DUMMYFUNCTION("""COMPUTED_VALUE"""),2.0)</f>
        <v>2</v>
      </c>
      <c r="U103" s="37"/>
      <c r="V103" s="38"/>
      <c r="W103" s="34" t="str">
        <f>IFERROR(__xludf.DUMMYFUNCTION("""COMPUTED_VALUE"""),"")</f>
        <v/>
      </c>
      <c r="X103" s="35" t="str">
        <f>IFERROR(__xludf.DUMMYFUNCTION("""COMPUTED_VALUE"""),"AP")</f>
        <v>AP</v>
      </c>
      <c r="Y103" s="34" t="str">
        <f>IFERROR(__xludf.DUMMYFUNCTION("""COMPUTED_VALUE"""),"")</f>
        <v/>
      </c>
      <c r="Z103" s="35" t="str">
        <f>IFERROR(__xludf.DUMMYFUNCTION("""COMPUTED_VALUE"""),"%")</f>
        <v>%</v>
      </c>
      <c r="AA103" s="36">
        <f>IFERROR(__xludf.DUMMYFUNCTION("""COMPUTED_VALUE"""),3.0)</f>
        <v>3</v>
      </c>
      <c r="AB103" s="37"/>
      <c r="AC103" s="38"/>
      <c r="AD103" s="34" t="str">
        <f>IFERROR(__xludf.DUMMYFUNCTION("""COMPUTED_VALUE"""),"")</f>
        <v/>
      </c>
      <c r="AE103" s="35" t="str">
        <f>IFERROR(__xludf.DUMMYFUNCTION("""COMPUTED_VALUE"""),"AP")</f>
        <v>AP</v>
      </c>
      <c r="AF103" s="34" t="str">
        <f>IFERROR(__xludf.DUMMYFUNCTION("""COMPUTED_VALUE"""),"")</f>
        <v/>
      </c>
      <c r="AG103" s="35" t="str">
        <f>IFERROR(__xludf.DUMMYFUNCTION("""COMPUTED_VALUE"""),"%")</f>
        <v>%</v>
      </c>
      <c r="AH103" s="31"/>
      <c r="AI103" s="32"/>
      <c r="AJ103" s="67"/>
    </row>
    <row r="104" ht="24.75" hidden="1" customHeight="1">
      <c r="A104" s="40">
        <f>IFERROR(__xludf.DUMMYFUNCTION("""COMPUTED_VALUE"""),10.0)</f>
        <v>10</v>
      </c>
      <c r="B104" s="40" t="str">
        <f>IFERROR(__xludf.DUMMYFUNCTION("""COMPUTED_VALUE"""),"A305")</f>
        <v>A305</v>
      </c>
      <c r="C104" s="40"/>
      <c r="D104" s="41"/>
      <c r="E104" s="66"/>
      <c r="F104" s="43"/>
      <c r="G104" s="44"/>
      <c r="H104" s="33" t="str">
        <f>IFERROR(__xludf.DUMMYFUNCTION("""COMPUTED_VALUE""")," ")</f>
        <v> </v>
      </c>
      <c r="I104" s="45"/>
      <c r="J104" s="46" t="str">
        <f>IFERROR(__xludf.DUMMYFUNCTION("""COMPUTED_VALUE"""),"AP")</f>
        <v>AP</v>
      </c>
      <c r="K104" s="47"/>
      <c r="L104" s="48" t="str">
        <f>IFERROR(__xludf.DUMMYFUNCTION("""COMPUTED_VALUE"""),"%")</f>
        <v>%</v>
      </c>
      <c r="M104" s="49">
        <f>IFERROR(__xludf.DUMMYFUNCTION("""COMPUTED_VALUE"""),1.0)</f>
        <v>1</v>
      </c>
      <c r="N104" s="50"/>
      <c r="O104" s="38"/>
      <c r="P104" s="45" t="str">
        <f>IFERROR(__xludf.DUMMYFUNCTION("""COMPUTED_VALUE"""),"")</f>
        <v/>
      </c>
      <c r="Q104" s="46" t="str">
        <f>IFERROR(__xludf.DUMMYFUNCTION("""COMPUTED_VALUE"""),"AP")</f>
        <v>AP</v>
      </c>
      <c r="R104" s="47" t="str">
        <f>IFERROR(__xludf.DUMMYFUNCTION("""COMPUTED_VALUE"""),"")</f>
        <v/>
      </c>
      <c r="S104" s="48" t="str">
        <f>IFERROR(__xludf.DUMMYFUNCTION("""COMPUTED_VALUE"""),"%")</f>
        <v>%</v>
      </c>
      <c r="T104" s="49">
        <f>IFERROR(__xludf.DUMMYFUNCTION("""COMPUTED_VALUE"""),2.0)</f>
        <v>2</v>
      </c>
      <c r="U104" s="50"/>
      <c r="V104" s="38"/>
      <c r="W104" s="45" t="str">
        <f>IFERROR(__xludf.DUMMYFUNCTION("""COMPUTED_VALUE"""),"")</f>
        <v/>
      </c>
      <c r="X104" s="46" t="str">
        <f>IFERROR(__xludf.DUMMYFUNCTION("""COMPUTED_VALUE"""),"AP")</f>
        <v>AP</v>
      </c>
      <c r="Y104" s="47" t="str">
        <f>IFERROR(__xludf.DUMMYFUNCTION("""COMPUTED_VALUE"""),"")</f>
        <v/>
      </c>
      <c r="Z104" s="48" t="str">
        <f>IFERROR(__xludf.DUMMYFUNCTION("""COMPUTED_VALUE"""),"%")</f>
        <v>%</v>
      </c>
      <c r="AA104" s="49">
        <f>IFERROR(__xludf.DUMMYFUNCTION("""COMPUTED_VALUE"""),3.0)</f>
        <v>3</v>
      </c>
      <c r="AB104" s="50"/>
      <c r="AC104" s="38"/>
      <c r="AD104" s="45" t="str">
        <f>IFERROR(__xludf.DUMMYFUNCTION("""COMPUTED_VALUE"""),"")</f>
        <v/>
      </c>
      <c r="AE104" s="46" t="str">
        <f>IFERROR(__xludf.DUMMYFUNCTION("""COMPUTED_VALUE"""),"AP")</f>
        <v>AP</v>
      </c>
      <c r="AF104" s="47" t="str">
        <f>IFERROR(__xludf.DUMMYFUNCTION("""COMPUTED_VALUE"""),"")</f>
        <v/>
      </c>
      <c r="AG104" s="48" t="str">
        <f>IFERROR(__xludf.DUMMYFUNCTION("""COMPUTED_VALUE"""),"%")</f>
        <v>%</v>
      </c>
      <c r="AH104" s="43"/>
      <c r="AI104" s="44"/>
      <c r="AJ104" s="66"/>
    </row>
    <row r="105" ht="24.75" hidden="1" customHeight="1">
      <c r="A105" s="28">
        <f>IFERROR(__xludf.DUMMYFUNCTION("""COMPUTED_VALUE"""),11.0)</f>
        <v>11</v>
      </c>
      <c r="B105" s="28" t="str">
        <f>IFERROR(__xludf.DUMMYFUNCTION("""COMPUTED_VALUE"""),"A305")</f>
        <v>A305</v>
      </c>
      <c r="C105" s="28"/>
      <c r="D105" s="29"/>
      <c r="E105" s="67"/>
      <c r="F105" s="31"/>
      <c r="G105" s="32"/>
      <c r="H105" s="33" t="str">
        <f>IFERROR(__xludf.DUMMYFUNCTION("""COMPUTED_VALUE""")," ")</f>
        <v> </v>
      </c>
      <c r="I105" s="34"/>
      <c r="J105" s="35" t="str">
        <f>IFERROR(__xludf.DUMMYFUNCTION("""COMPUTED_VALUE"""),"AP")</f>
        <v>AP</v>
      </c>
      <c r="K105" s="34"/>
      <c r="L105" s="35" t="str">
        <f>IFERROR(__xludf.DUMMYFUNCTION("""COMPUTED_VALUE"""),"%")</f>
        <v>%</v>
      </c>
      <c r="M105" s="36">
        <f>IFERROR(__xludf.DUMMYFUNCTION("""COMPUTED_VALUE"""),1.0)</f>
        <v>1</v>
      </c>
      <c r="N105" s="37"/>
      <c r="O105" s="38"/>
      <c r="P105" s="34" t="str">
        <f>IFERROR(__xludf.DUMMYFUNCTION("""COMPUTED_VALUE"""),"")</f>
        <v/>
      </c>
      <c r="Q105" s="35" t="str">
        <f>IFERROR(__xludf.DUMMYFUNCTION("""COMPUTED_VALUE"""),"AP")</f>
        <v>AP</v>
      </c>
      <c r="R105" s="34" t="str">
        <f>IFERROR(__xludf.DUMMYFUNCTION("""COMPUTED_VALUE"""),"")</f>
        <v/>
      </c>
      <c r="S105" s="35" t="str">
        <f>IFERROR(__xludf.DUMMYFUNCTION("""COMPUTED_VALUE"""),"%")</f>
        <v>%</v>
      </c>
      <c r="T105" s="36">
        <f>IFERROR(__xludf.DUMMYFUNCTION("""COMPUTED_VALUE"""),2.0)</f>
        <v>2</v>
      </c>
      <c r="U105" s="37"/>
      <c r="V105" s="38"/>
      <c r="W105" s="34" t="str">
        <f>IFERROR(__xludf.DUMMYFUNCTION("""COMPUTED_VALUE"""),"")</f>
        <v/>
      </c>
      <c r="X105" s="35" t="str">
        <f>IFERROR(__xludf.DUMMYFUNCTION("""COMPUTED_VALUE"""),"AP")</f>
        <v>AP</v>
      </c>
      <c r="Y105" s="34" t="str">
        <f>IFERROR(__xludf.DUMMYFUNCTION("""COMPUTED_VALUE"""),"")</f>
        <v/>
      </c>
      <c r="Z105" s="35" t="str">
        <f>IFERROR(__xludf.DUMMYFUNCTION("""COMPUTED_VALUE"""),"%")</f>
        <v>%</v>
      </c>
      <c r="AA105" s="36">
        <f>IFERROR(__xludf.DUMMYFUNCTION("""COMPUTED_VALUE"""),3.0)</f>
        <v>3</v>
      </c>
      <c r="AB105" s="37"/>
      <c r="AC105" s="38"/>
      <c r="AD105" s="34" t="str">
        <f>IFERROR(__xludf.DUMMYFUNCTION("""COMPUTED_VALUE"""),"")</f>
        <v/>
      </c>
      <c r="AE105" s="35" t="str">
        <f>IFERROR(__xludf.DUMMYFUNCTION("""COMPUTED_VALUE"""),"AP")</f>
        <v>AP</v>
      </c>
      <c r="AF105" s="34" t="str">
        <f>IFERROR(__xludf.DUMMYFUNCTION("""COMPUTED_VALUE"""),"")</f>
        <v/>
      </c>
      <c r="AG105" s="35" t="str">
        <f>IFERROR(__xludf.DUMMYFUNCTION("""COMPUTED_VALUE"""),"%")</f>
        <v>%</v>
      </c>
      <c r="AH105" s="31"/>
      <c r="AI105" s="32"/>
      <c r="AJ105" s="67"/>
    </row>
    <row r="106" ht="24.75" hidden="1" customHeight="1">
      <c r="A106" s="40">
        <f>IFERROR(__xludf.DUMMYFUNCTION("""COMPUTED_VALUE"""),12.0)</f>
        <v>12</v>
      </c>
      <c r="B106" s="40" t="str">
        <f>IFERROR(__xludf.DUMMYFUNCTION("""COMPUTED_VALUE"""),"A305")</f>
        <v>A305</v>
      </c>
      <c r="C106" s="40"/>
      <c r="D106" s="41"/>
      <c r="E106" s="66"/>
      <c r="F106" s="43"/>
      <c r="G106" s="44"/>
      <c r="H106" s="33" t="str">
        <f>IFERROR(__xludf.DUMMYFUNCTION("""COMPUTED_VALUE""")," ")</f>
        <v> </v>
      </c>
      <c r="I106" s="45"/>
      <c r="J106" s="46" t="str">
        <f>IFERROR(__xludf.DUMMYFUNCTION("""COMPUTED_VALUE"""),"AP")</f>
        <v>AP</v>
      </c>
      <c r="K106" s="47"/>
      <c r="L106" s="48" t="str">
        <f>IFERROR(__xludf.DUMMYFUNCTION("""COMPUTED_VALUE"""),"%")</f>
        <v>%</v>
      </c>
      <c r="M106" s="49">
        <f>IFERROR(__xludf.DUMMYFUNCTION("""COMPUTED_VALUE"""),1.0)</f>
        <v>1</v>
      </c>
      <c r="N106" s="50"/>
      <c r="O106" s="38"/>
      <c r="P106" s="45" t="str">
        <f>IFERROR(__xludf.DUMMYFUNCTION("""COMPUTED_VALUE"""),"")</f>
        <v/>
      </c>
      <c r="Q106" s="46" t="str">
        <f>IFERROR(__xludf.DUMMYFUNCTION("""COMPUTED_VALUE"""),"AP")</f>
        <v>AP</v>
      </c>
      <c r="R106" s="47" t="str">
        <f>IFERROR(__xludf.DUMMYFUNCTION("""COMPUTED_VALUE"""),"")</f>
        <v/>
      </c>
      <c r="S106" s="48" t="str">
        <f>IFERROR(__xludf.DUMMYFUNCTION("""COMPUTED_VALUE"""),"%")</f>
        <v>%</v>
      </c>
      <c r="T106" s="49">
        <f>IFERROR(__xludf.DUMMYFUNCTION("""COMPUTED_VALUE"""),2.0)</f>
        <v>2</v>
      </c>
      <c r="U106" s="50"/>
      <c r="V106" s="38"/>
      <c r="W106" s="45" t="str">
        <f>IFERROR(__xludf.DUMMYFUNCTION("""COMPUTED_VALUE"""),"")</f>
        <v/>
      </c>
      <c r="X106" s="46" t="str">
        <f>IFERROR(__xludf.DUMMYFUNCTION("""COMPUTED_VALUE"""),"AP")</f>
        <v>AP</v>
      </c>
      <c r="Y106" s="47" t="str">
        <f>IFERROR(__xludf.DUMMYFUNCTION("""COMPUTED_VALUE"""),"")</f>
        <v/>
      </c>
      <c r="Z106" s="48" t="str">
        <f>IFERROR(__xludf.DUMMYFUNCTION("""COMPUTED_VALUE"""),"%")</f>
        <v>%</v>
      </c>
      <c r="AA106" s="49">
        <f>IFERROR(__xludf.DUMMYFUNCTION("""COMPUTED_VALUE"""),3.0)</f>
        <v>3</v>
      </c>
      <c r="AB106" s="50"/>
      <c r="AC106" s="38"/>
      <c r="AD106" s="45" t="str">
        <f>IFERROR(__xludf.DUMMYFUNCTION("""COMPUTED_VALUE"""),"")</f>
        <v/>
      </c>
      <c r="AE106" s="46" t="str">
        <f>IFERROR(__xludf.DUMMYFUNCTION("""COMPUTED_VALUE"""),"AP")</f>
        <v>AP</v>
      </c>
      <c r="AF106" s="47" t="str">
        <f>IFERROR(__xludf.DUMMYFUNCTION("""COMPUTED_VALUE"""),"")</f>
        <v/>
      </c>
      <c r="AG106" s="48" t="str">
        <f>IFERROR(__xludf.DUMMYFUNCTION("""COMPUTED_VALUE"""),"%")</f>
        <v>%</v>
      </c>
      <c r="AH106" s="43"/>
      <c r="AI106" s="44"/>
      <c r="AJ106" s="66"/>
    </row>
    <row r="107" ht="24.75" hidden="1" customHeight="1">
      <c r="A107" s="28">
        <f>IFERROR(__xludf.DUMMYFUNCTION("""COMPUTED_VALUE"""),13.0)</f>
        <v>13</v>
      </c>
      <c r="B107" s="28" t="str">
        <f>IFERROR(__xludf.DUMMYFUNCTION("""COMPUTED_VALUE"""),"A305")</f>
        <v>A305</v>
      </c>
      <c r="C107" s="28"/>
      <c r="D107" s="29"/>
      <c r="E107" s="67"/>
      <c r="F107" s="31"/>
      <c r="G107" s="32"/>
      <c r="H107" s="33" t="str">
        <f>IFERROR(__xludf.DUMMYFUNCTION("""COMPUTED_VALUE""")," ")</f>
        <v> </v>
      </c>
      <c r="I107" s="34"/>
      <c r="J107" s="35" t="str">
        <f>IFERROR(__xludf.DUMMYFUNCTION("""COMPUTED_VALUE"""),"AP")</f>
        <v>AP</v>
      </c>
      <c r="K107" s="34"/>
      <c r="L107" s="35" t="str">
        <f>IFERROR(__xludf.DUMMYFUNCTION("""COMPUTED_VALUE"""),"%")</f>
        <v>%</v>
      </c>
      <c r="M107" s="36">
        <f>IFERROR(__xludf.DUMMYFUNCTION("""COMPUTED_VALUE"""),1.0)</f>
        <v>1</v>
      </c>
      <c r="N107" s="37"/>
      <c r="O107" s="38"/>
      <c r="P107" s="34" t="str">
        <f>IFERROR(__xludf.DUMMYFUNCTION("""COMPUTED_VALUE"""),"")</f>
        <v/>
      </c>
      <c r="Q107" s="35" t="str">
        <f>IFERROR(__xludf.DUMMYFUNCTION("""COMPUTED_VALUE"""),"AP")</f>
        <v>AP</v>
      </c>
      <c r="R107" s="34" t="str">
        <f>IFERROR(__xludf.DUMMYFUNCTION("""COMPUTED_VALUE"""),"")</f>
        <v/>
      </c>
      <c r="S107" s="35" t="str">
        <f>IFERROR(__xludf.DUMMYFUNCTION("""COMPUTED_VALUE"""),"%")</f>
        <v>%</v>
      </c>
      <c r="T107" s="36">
        <f>IFERROR(__xludf.DUMMYFUNCTION("""COMPUTED_VALUE"""),2.0)</f>
        <v>2</v>
      </c>
      <c r="U107" s="37"/>
      <c r="V107" s="38"/>
      <c r="W107" s="34" t="str">
        <f>IFERROR(__xludf.DUMMYFUNCTION("""COMPUTED_VALUE"""),"")</f>
        <v/>
      </c>
      <c r="X107" s="35" t="str">
        <f>IFERROR(__xludf.DUMMYFUNCTION("""COMPUTED_VALUE"""),"AP")</f>
        <v>AP</v>
      </c>
      <c r="Y107" s="34" t="str">
        <f>IFERROR(__xludf.DUMMYFUNCTION("""COMPUTED_VALUE"""),"")</f>
        <v/>
      </c>
      <c r="Z107" s="35" t="str">
        <f>IFERROR(__xludf.DUMMYFUNCTION("""COMPUTED_VALUE"""),"%")</f>
        <v>%</v>
      </c>
      <c r="AA107" s="36">
        <f>IFERROR(__xludf.DUMMYFUNCTION("""COMPUTED_VALUE"""),3.0)</f>
        <v>3</v>
      </c>
      <c r="AB107" s="37"/>
      <c r="AC107" s="38"/>
      <c r="AD107" s="34" t="str">
        <f>IFERROR(__xludf.DUMMYFUNCTION("""COMPUTED_VALUE"""),"")</f>
        <v/>
      </c>
      <c r="AE107" s="35" t="str">
        <f>IFERROR(__xludf.DUMMYFUNCTION("""COMPUTED_VALUE"""),"AP")</f>
        <v>AP</v>
      </c>
      <c r="AF107" s="34" t="str">
        <f>IFERROR(__xludf.DUMMYFUNCTION("""COMPUTED_VALUE"""),"")</f>
        <v/>
      </c>
      <c r="AG107" s="35" t="str">
        <f>IFERROR(__xludf.DUMMYFUNCTION("""COMPUTED_VALUE"""),"%")</f>
        <v>%</v>
      </c>
      <c r="AH107" s="31"/>
      <c r="AI107" s="32"/>
      <c r="AJ107" s="67"/>
    </row>
    <row r="108" ht="24.75" hidden="1" customHeight="1">
      <c r="A108" s="40">
        <f>IFERROR(__xludf.DUMMYFUNCTION("""COMPUTED_VALUE"""),14.0)</f>
        <v>14</v>
      </c>
      <c r="B108" s="40" t="str">
        <f>IFERROR(__xludf.DUMMYFUNCTION("""COMPUTED_VALUE"""),"A305")</f>
        <v>A305</v>
      </c>
      <c r="C108" s="40"/>
      <c r="D108" s="41"/>
      <c r="E108" s="66"/>
      <c r="F108" s="43"/>
      <c r="G108" s="44"/>
      <c r="H108" s="33" t="str">
        <f>IFERROR(__xludf.DUMMYFUNCTION("""COMPUTED_VALUE""")," ")</f>
        <v> </v>
      </c>
      <c r="I108" s="45"/>
      <c r="J108" s="46" t="str">
        <f>IFERROR(__xludf.DUMMYFUNCTION("""COMPUTED_VALUE"""),"AP")</f>
        <v>AP</v>
      </c>
      <c r="K108" s="47"/>
      <c r="L108" s="48" t="str">
        <f>IFERROR(__xludf.DUMMYFUNCTION("""COMPUTED_VALUE"""),"%")</f>
        <v>%</v>
      </c>
      <c r="M108" s="49">
        <f>IFERROR(__xludf.DUMMYFUNCTION("""COMPUTED_VALUE"""),1.0)</f>
        <v>1</v>
      </c>
      <c r="N108" s="50"/>
      <c r="O108" s="38"/>
      <c r="P108" s="45" t="str">
        <f>IFERROR(__xludf.DUMMYFUNCTION("""COMPUTED_VALUE"""),"")</f>
        <v/>
      </c>
      <c r="Q108" s="46" t="str">
        <f>IFERROR(__xludf.DUMMYFUNCTION("""COMPUTED_VALUE"""),"AP")</f>
        <v>AP</v>
      </c>
      <c r="R108" s="47" t="str">
        <f>IFERROR(__xludf.DUMMYFUNCTION("""COMPUTED_VALUE"""),"")</f>
        <v/>
      </c>
      <c r="S108" s="48" t="str">
        <f>IFERROR(__xludf.DUMMYFUNCTION("""COMPUTED_VALUE"""),"%")</f>
        <v>%</v>
      </c>
      <c r="T108" s="49">
        <f>IFERROR(__xludf.DUMMYFUNCTION("""COMPUTED_VALUE"""),2.0)</f>
        <v>2</v>
      </c>
      <c r="U108" s="50"/>
      <c r="V108" s="38"/>
      <c r="W108" s="45" t="str">
        <f>IFERROR(__xludf.DUMMYFUNCTION("""COMPUTED_VALUE"""),"")</f>
        <v/>
      </c>
      <c r="X108" s="46" t="str">
        <f>IFERROR(__xludf.DUMMYFUNCTION("""COMPUTED_VALUE"""),"AP")</f>
        <v>AP</v>
      </c>
      <c r="Y108" s="47" t="str">
        <f>IFERROR(__xludf.DUMMYFUNCTION("""COMPUTED_VALUE"""),"")</f>
        <v/>
      </c>
      <c r="Z108" s="48" t="str">
        <f>IFERROR(__xludf.DUMMYFUNCTION("""COMPUTED_VALUE"""),"%")</f>
        <v>%</v>
      </c>
      <c r="AA108" s="49">
        <f>IFERROR(__xludf.DUMMYFUNCTION("""COMPUTED_VALUE"""),3.0)</f>
        <v>3</v>
      </c>
      <c r="AB108" s="50"/>
      <c r="AC108" s="38"/>
      <c r="AD108" s="45" t="str">
        <f>IFERROR(__xludf.DUMMYFUNCTION("""COMPUTED_VALUE"""),"")</f>
        <v/>
      </c>
      <c r="AE108" s="46" t="str">
        <f>IFERROR(__xludf.DUMMYFUNCTION("""COMPUTED_VALUE"""),"AP")</f>
        <v>AP</v>
      </c>
      <c r="AF108" s="47" t="str">
        <f>IFERROR(__xludf.DUMMYFUNCTION("""COMPUTED_VALUE"""),"")</f>
        <v/>
      </c>
      <c r="AG108" s="48" t="str">
        <f>IFERROR(__xludf.DUMMYFUNCTION("""COMPUTED_VALUE"""),"%")</f>
        <v>%</v>
      </c>
      <c r="AH108" s="43"/>
      <c r="AI108" s="44"/>
      <c r="AJ108" s="66"/>
    </row>
    <row r="109" ht="24.75" hidden="1" customHeight="1">
      <c r="A109" s="28">
        <f>IFERROR(__xludf.DUMMYFUNCTION("""COMPUTED_VALUE"""),15.0)</f>
        <v>15</v>
      </c>
      <c r="B109" s="28" t="str">
        <f>IFERROR(__xludf.DUMMYFUNCTION("""COMPUTED_VALUE"""),"A305")</f>
        <v>A305</v>
      </c>
      <c r="C109" s="28"/>
      <c r="D109" s="29"/>
      <c r="E109" s="67"/>
      <c r="F109" s="31"/>
      <c r="G109" s="32"/>
      <c r="H109" s="33" t="str">
        <f>IFERROR(__xludf.DUMMYFUNCTION("""COMPUTED_VALUE""")," ")</f>
        <v> </v>
      </c>
      <c r="I109" s="34"/>
      <c r="J109" s="35" t="str">
        <f>IFERROR(__xludf.DUMMYFUNCTION("""COMPUTED_VALUE"""),"AP")</f>
        <v>AP</v>
      </c>
      <c r="K109" s="34"/>
      <c r="L109" s="35" t="str">
        <f>IFERROR(__xludf.DUMMYFUNCTION("""COMPUTED_VALUE"""),"%")</f>
        <v>%</v>
      </c>
      <c r="M109" s="36">
        <f>IFERROR(__xludf.DUMMYFUNCTION("""COMPUTED_VALUE"""),1.0)</f>
        <v>1</v>
      </c>
      <c r="N109" s="37"/>
      <c r="O109" s="38"/>
      <c r="P109" s="34" t="str">
        <f>IFERROR(__xludf.DUMMYFUNCTION("""COMPUTED_VALUE"""),"")</f>
        <v/>
      </c>
      <c r="Q109" s="35" t="str">
        <f>IFERROR(__xludf.DUMMYFUNCTION("""COMPUTED_VALUE"""),"AP")</f>
        <v>AP</v>
      </c>
      <c r="R109" s="34" t="str">
        <f>IFERROR(__xludf.DUMMYFUNCTION("""COMPUTED_VALUE"""),"")</f>
        <v/>
      </c>
      <c r="S109" s="35" t="str">
        <f>IFERROR(__xludf.DUMMYFUNCTION("""COMPUTED_VALUE"""),"%")</f>
        <v>%</v>
      </c>
      <c r="T109" s="36">
        <f>IFERROR(__xludf.DUMMYFUNCTION("""COMPUTED_VALUE"""),2.0)</f>
        <v>2</v>
      </c>
      <c r="U109" s="37"/>
      <c r="V109" s="38"/>
      <c r="W109" s="34" t="str">
        <f>IFERROR(__xludf.DUMMYFUNCTION("""COMPUTED_VALUE"""),"")</f>
        <v/>
      </c>
      <c r="X109" s="35" t="str">
        <f>IFERROR(__xludf.DUMMYFUNCTION("""COMPUTED_VALUE"""),"AP")</f>
        <v>AP</v>
      </c>
      <c r="Y109" s="34" t="str">
        <f>IFERROR(__xludf.DUMMYFUNCTION("""COMPUTED_VALUE"""),"")</f>
        <v/>
      </c>
      <c r="Z109" s="35" t="str">
        <f>IFERROR(__xludf.DUMMYFUNCTION("""COMPUTED_VALUE"""),"%")</f>
        <v>%</v>
      </c>
      <c r="AA109" s="36">
        <f>IFERROR(__xludf.DUMMYFUNCTION("""COMPUTED_VALUE"""),3.0)</f>
        <v>3</v>
      </c>
      <c r="AB109" s="37"/>
      <c r="AC109" s="38"/>
      <c r="AD109" s="34" t="str">
        <f>IFERROR(__xludf.DUMMYFUNCTION("""COMPUTED_VALUE"""),"")</f>
        <v/>
      </c>
      <c r="AE109" s="35" t="str">
        <f>IFERROR(__xludf.DUMMYFUNCTION("""COMPUTED_VALUE"""),"AP")</f>
        <v>AP</v>
      </c>
      <c r="AF109" s="34" t="str">
        <f>IFERROR(__xludf.DUMMYFUNCTION("""COMPUTED_VALUE"""),"")</f>
        <v/>
      </c>
      <c r="AG109" s="35" t="str">
        <f>IFERROR(__xludf.DUMMYFUNCTION("""COMPUTED_VALUE"""),"%")</f>
        <v>%</v>
      </c>
      <c r="AH109" s="31"/>
      <c r="AI109" s="32"/>
      <c r="AJ109" s="67"/>
    </row>
    <row r="110" ht="24.75" hidden="1" customHeight="1">
      <c r="A110" s="40">
        <f>IFERROR(__xludf.DUMMYFUNCTION("""COMPUTED_VALUE"""),16.0)</f>
        <v>16</v>
      </c>
      <c r="B110" s="40" t="str">
        <f>IFERROR(__xludf.DUMMYFUNCTION("""COMPUTED_VALUE"""),"A305")</f>
        <v>A305</v>
      </c>
      <c r="C110" s="40"/>
      <c r="D110" s="41"/>
      <c r="E110" s="66"/>
      <c r="F110" s="43"/>
      <c r="G110" s="44"/>
      <c r="H110" s="33" t="str">
        <f>IFERROR(__xludf.DUMMYFUNCTION("""COMPUTED_VALUE""")," ")</f>
        <v> </v>
      </c>
      <c r="I110" s="45"/>
      <c r="J110" s="46" t="str">
        <f>IFERROR(__xludf.DUMMYFUNCTION("""COMPUTED_VALUE"""),"AP")</f>
        <v>AP</v>
      </c>
      <c r="K110" s="47"/>
      <c r="L110" s="48" t="str">
        <f>IFERROR(__xludf.DUMMYFUNCTION("""COMPUTED_VALUE"""),"%")</f>
        <v>%</v>
      </c>
      <c r="M110" s="49">
        <f>IFERROR(__xludf.DUMMYFUNCTION("""COMPUTED_VALUE"""),1.0)</f>
        <v>1</v>
      </c>
      <c r="N110" s="50"/>
      <c r="O110" s="38"/>
      <c r="P110" s="45" t="str">
        <f>IFERROR(__xludf.DUMMYFUNCTION("""COMPUTED_VALUE"""),"")</f>
        <v/>
      </c>
      <c r="Q110" s="46" t="str">
        <f>IFERROR(__xludf.DUMMYFUNCTION("""COMPUTED_VALUE"""),"AP")</f>
        <v>AP</v>
      </c>
      <c r="R110" s="47" t="str">
        <f>IFERROR(__xludf.DUMMYFUNCTION("""COMPUTED_VALUE"""),"")</f>
        <v/>
      </c>
      <c r="S110" s="48" t="str">
        <f>IFERROR(__xludf.DUMMYFUNCTION("""COMPUTED_VALUE"""),"%")</f>
        <v>%</v>
      </c>
      <c r="T110" s="49">
        <f>IFERROR(__xludf.DUMMYFUNCTION("""COMPUTED_VALUE"""),2.0)</f>
        <v>2</v>
      </c>
      <c r="U110" s="50"/>
      <c r="V110" s="38"/>
      <c r="W110" s="45" t="str">
        <f>IFERROR(__xludf.DUMMYFUNCTION("""COMPUTED_VALUE"""),"")</f>
        <v/>
      </c>
      <c r="X110" s="46" t="str">
        <f>IFERROR(__xludf.DUMMYFUNCTION("""COMPUTED_VALUE"""),"AP")</f>
        <v>AP</v>
      </c>
      <c r="Y110" s="47" t="str">
        <f>IFERROR(__xludf.DUMMYFUNCTION("""COMPUTED_VALUE"""),"")</f>
        <v/>
      </c>
      <c r="Z110" s="48" t="str">
        <f>IFERROR(__xludf.DUMMYFUNCTION("""COMPUTED_VALUE"""),"%")</f>
        <v>%</v>
      </c>
      <c r="AA110" s="49">
        <f>IFERROR(__xludf.DUMMYFUNCTION("""COMPUTED_VALUE"""),3.0)</f>
        <v>3</v>
      </c>
      <c r="AB110" s="50"/>
      <c r="AC110" s="38"/>
      <c r="AD110" s="45" t="str">
        <f>IFERROR(__xludf.DUMMYFUNCTION("""COMPUTED_VALUE"""),"")</f>
        <v/>
      </c>
      <c r="AE110" s="46" t="str">
        <f>IFERROR(__xludf.DUMMYFUNCTION("""COMPUTED_VALUE"""),"AP")</f>
        <v>AP</v>
      </c>
      <c r="AF110" s="47" t="str">
        <f>IFERROR(__xludf.DUMMYFUNCTION("""COMPUTED_VALUE"""),"")</f>
        <v/>
      </c>
      <c r="AG110" s="48" t="str">
        <f>IFERROR(__xludf.DUMMYFUNCTION("""COMPUTED_VALUE"""),"%")</f>
        <v>%</v>
      </c>
      <c r="AH110" s="43"/>
      <c r="AI110" s="44"/>
      <c r="AJ110" s="66"/>
    </row>
    <row r="111" ht="24.75" hidden="1" customHeight="1">
      <c r="A111" s="28">
        <f>IFERROR(__xludf.DUMMYFUNCTION("""COMPUTED_VALUE"""),17.0)</f>
        <v>17</v>
      </c>
      <c r="B111" s="28" t="str">
        <f>IFERROR(__xludf.DUMMYFUNCTION("""COMPUTED_VALUE"""),"A305")</f>
        <v>A305</v>
      </c>
      <c r="C111" s="28"/>
      <c r="D111" s="29"/>
      <c r="E111" s="67"/>
      <c r="F111" s="31"/>
      <c r="G111" s="32"/>
      <c r="H111" s="33" t="str">
        <f>IFERROR(__xludf.DUMMYFUNCTION("""COMPUTED_VALUE""")," ")</f>
        <v> </v>
      </c>
      <c r="I111" s="34"/>
      <c r="J111" s="35" t="str">
        <f>IFERROR(__xludf.DUMMYFUNCTION("""COMPUTED_VALUE"""),"AP")</f>
        <v>AP</v>
      </c>
      <c r="K111" s="34"/>
      <c r="L111" s="35" t="str">
        <f>IFERROR(__xludf.DUMMYFUNCTION("""COMPUTED_VALUE"""),"%")</f>
        <v>%</v>
      </c>
      <c r="M111" s="36">
        <f>IFERROR(__xludf.DUMMYFUNCTION("""COMPUTED_VALUE"""),1.0)</f>
        <v>1</v>
      </c>
      <c r="N111" s="37"/>
      <c r="O111" s="38"/>
      <c r="P111" s="34" t="str">
        <f>IFERROR(__xludf.DUMMYFUNCTION("""COMPUTED_VALUE"""),"")</f>
        <v/>
      </c>
      <c r="Q111" s="35" t="str">
        <f>IFERROR(__xludf.DUMMYFUNCTION("""COMPUTED_VALUE"""),"AP")</f>
        <v>AP</v>
      </c>
      <c r="R111" s="34" t="str">
        <f>IFERROR(__xludf.DUMMYFUNCTION("""COMPUTED_VALUE"""),"")</f>
        <v/>
      </c>
      <c r="S111" s="35" t="str">
        <f>IFERROR(__xludf.DUMMYFUNCTION("""COMPUTED_VALUE"""),"%")</f>
        <v>%</v>
      </c>
      <c r="T111" s="36">
        <f>IFERROR(__xludf.DUMMYFUNCTION("""COMPUTED_VALUE"""),2.0)</f>
        <v>2</v>
      </c>
      <c r="U111" s="37"/>
      <c r="V111" s="38"/>
      <c r="W111" s="34" t="str">
        <f>IFERROR(__xludf.DUMMYFUNCTION("""COMPUTED_VALUE"""),"")</f>
        <v/>
      </c>
      <c r="X111" s="35" t="str">
        <f>IFERROR(__xludf.DUMMYFUNCTION("""COMPUTED_VALUE"""),"AP")</f>
        <v>AP</v>
      </c>
      <c r="Y111" s="34" t="str">
        <f>IFERROR(__xludf.DUMMYFUNCTION("""COMPUTED_VALUE"""),"")</f>
        <v/>
      </c>
      <c r="Z111" s="35" t="str">
        <f>IFERROR(__xludf.DUMMYFUNCTION("""COMPUTED_VALUE"""),"%")</f>
        <v>%</v>
      </c>
      <c r="AA111" s="36">
        <f>IFERROR(__xludf.DUMMYFUNCTION("""COMPUTED_VALUE"""),3.0)</f>
        <v>3</v>
      </c>
      <c r="AB111" s="37"/>
      <c r="AC111" s="38"/>
      <c r="AD111" s="34" t="str">
        <f>IFERROR(__xludf.DUMMYFUNCTION("""COMPUTED_VALUE"""),"")</f>
        <v/>
      </c>
      <c r="AE111" s="35" t="str">
        <f>IFERROR(__xludf.DUMMYFUNCTION("""COMPUTED_VALUE"""),"AP")</f>
        <v>AP</v>
      </c>
      <c r="AF111" s="34" t="str">
        <f>IFERROR(__xludf.DUMMYFUNCTION("""COMPUTED_VALUE"""),"")</f>
        <v/>
      </c>
      <c r="AG111" s="35" t="str">
        <f>IFERROR(__xludf.DUMMYFUNCTION("""COMPUTED_VALUE"""),"%")</f>
        <v>%</v>
      </c>
      <c r="AH111" s="31"/>
      <c r="AI111" s="32"/>
      <c r="AJ111" s="67"/>
    </row>
    <row r="112" ht="24.75" hidden="1" customHeight="1">
      <c r="A112" s="40">
        <f>IFERROR(__xludf.DUMMYFUNCTION("""COMPUTED_VALUE"""),18.0)</f>
        <v>18</v>
      </c>
      <c r="B112" s="40" t="str">
        <f>IFERROR(__xludf.DUMMYFUNCTION("""COMPUTED_VALUE"""),"A305")</f>
        <v>A305</v>
      </c>
      <c r="C112" s="40"/>
      <c r="D112" s="41"/>
      <c r="E112" s="66"/>
      <c r="F112" s="43"/>
      <c r="G112" s="44"/>
      <c r="H112" s="33" t="str">
        <f>IFERROR(__xludf.DUMMYFUNCTION("""COMPUTED_VALUE""")," ")</f>
        <v> </v>
      </c>
      <c r="I112" s="45"/>
      <c r="J112" s="46" t="str">
        <f>IFERROR(__xludf.DUMMYFUNCTION("""COMPUTED_VALUE"""),"AP")</f>
        <v>AP</v>
      </c>
      <c r="K112" s="47"/>
      <c r="L112" s="48" t="str">
        <f>IFERROR(__xludf.DUMMYFUNCTION("""COMPUTED_VALUE"""),"%")</f>
        <v>%</v>
      </c>
      <c r="M112" s="49">
        <f>IFERROR(__xludf.DUMMYFUNCTION("""COMPUTED_VALUE"""),1.0)</f>
        <v>1</v>
      </c>
      <c r="N112" s="50"/>
      <c r="O112" s="38"/>
      <c r="P112" s="45" t="str">
        <f>IFERROR(__xludf.DUMMYFUNCTION("""COMPUTED_VALUE"""),"")</f>
        <v/>
      </c>
      <c r="Q112" s="46" t="str">
        <f>IFERROR(__xludf.DUMMYFUNCTION("""COMPUTED_VALUE"""),"AP")</f>
        <v>AP</v>
      </c>
      <c r="R112" s="47" t="str">
        <f>IFERROR(__xludf.DUMMYFUNCTION("""COMPUTED_VALUE"""),"")</f>
        <v/>
      </c>
      <c r="S112" s="48" t="str">
        <f>IFERROR(__xludf.DUMMYFUNCTION("""COMPUTED_VALUE"""),"%")</f>
        <v>%</v>
      </c>
      <c r="T112" s="49">
        <f>IFERROR(__xludf.DUMMYFUNCTION("""COMPUTED_VALUE"""),2.0)</f>
        <v>2</v>
      </c>
      <c r="U112" s="50"/>
      <c r="V112" s="38"/>
      <c r="W112" s="45" t="str">
        <f>IFERROR(__xludf.DUMMYFUNCTION("""COMPUTED_VALUE"""),"")</f>
        <v/>
      </c>
      <c r="X112" s="46" t="str">
        <f>IFERROR(__xludf.DUMMYFUNCTION("""COMPUTED_VALUE"""),"AP")</f>
        <v>AP</v>
      </c>
      <c r="Y112" s="47" t="str">
        <f>IFERROR(__xludf.DUMMYFUNCTION("""COMPUTED_VALUE"""),"")</f>
        <v/>
      </c>
      <c r="Z112" s="48" t="str">
        <f>IFERROR(__xludf.DUMMYFUNCTION("""COMPUTED_VALUE"""),"%")</f>
        <v>%</v>
      </c>
      <c r="AA112" s="49">
        <f>IFERROR(__xludf.DUMMYFUNCTION("""COMPUTED_VALUE"""),3.0)</f>
        <v>3</v>
      </c>
      <c r="AB112" s="50"/>
      <c r="AC112" s="38"/>
      <c r="AD112" s="45" t="str">
        <f>IFERROR(__xludf.DUMMYFUNCTION("""COMPUTED_VALUE"""),"")</f>
        <v/>
      </c>
      <c r="AE112" s="46" t="str">
        <f>IFERROR(__xludf.DUMMYFUNCTION("""COMPUTED_VALUE"""),"AP")</f>
        <v>AP</v>
      </c>
      <c r="AF112" s="47" t="str">
        <f>IFERROR(__xludf.DUMMYFUNCTION("""COMPUTED_VALUE"""),"")</f>
        <v/>
      </c>
      <c r="AG112" s="48" t="str">
        <f>IFERROR(__xludf.DUMMYFUNCTION("""COMPUTED_VALUE"""),"%")</f>
        <v>%</v>
      </c>
      <c r="AH112" s="43"/>
      <c r="AI112" s="44"/>
      <c r="AJ112" s="66"/>
    </row>
    <row r="113" ht="24.75" hidden="1" customHeight="1">
      <c r="A113" s="28">
        <f>IFERROR(__xludf.DUMMYFUNCTION("""COMPUTED_VALUE"""),19.0)</f>
        <v>19</v>
      </c>
      <c r="B113" s="28" t="str">
        <f>IFERROR(__xludf.DUMMYFUNCTION("""COMPUTED_VALUE"""),"A305")</f>
        <v>A305</v>
      </c>
      <c r="C113" s="28"/>
      <c r="D113" s="29"/>
      <c r="E113" s="67"/>
      <c r="F113" s="31"/>
      <c r="G113" s="32"/>
      <c r="H113" s="33" t="str">
        <f>IFERROR(__xludf.DUMMYFUNCTION("""COMPUTED_VALUE""")," ")</f>
        <v> </v>
      </c>
      <c r="I113" s="34"/>
      <c r="J113" s="35" t="str">
        <f>IFERROR(__xludf.DUMMYFUNCTION("""COMPUTED_VALUE"""),"AP")</f>
        <v>AP</v>
      </c>
      <c r="K113" s="34"/>
      <c r="L113" s="35" t="str">
        <f>IFERROR(__xludf.DUMMYFUNCTION("""COMPUTED_VALUE"""),"%")</f>
        <v>%</v>
      </c>
      <c r="M113" s="36">
        <f>IFERROR(__xludf.DUMMYFUNCTION("""COMPUTED_VALUE"""),1.0)</f>
        <v>1</v>
      </c>
      <c r="N113" s="37"/>
      <c r="O113" s="38"/>
      <c r="P113" s="34" t="str">
        <f>IFERROR(__xludf.DUMMYFUNCTION("""COMPUTED_VALUE"""),"")</f>
        <v/>
      </c>
      <c r="Q113" s="35" t="str">
        <f>IFERROR(__xludf.DUMMYFUNCTION("""COMPUTED_VALUE"""),"AP")</f>
        <v>AP</v>
      </c>
      <c r="R113" s="34" t="str">
        <f>IFERROR(__xludf.DUMMYFUNCTION("""COMPUTED_VALUE"""),"")</f>
        <v/>
      </c>
      <c r="S113" s="35" t="str">
        <f>IFERROR(__xludf.DUMMYFUNCTION("""COMPUTED_VALUE"""),"%")</f>
        <v>%</v>
      </c>
      <c r="T113" s="36">
        <f>IFERROR(__xludf.DUMMYFUNCTION("""COMPUTED_VALUE"""),2.0)</f>
        <v>2</v>
      </c>
      <c r="U113" s="37"/>
      <c r="V113" s="38"/>
      <c r="W113" s="34" t="str">
        <f>IFERROR(__xludf.DUMMYFUNCTION("""COMPUTED_VALUE"""),"")</f>
        <v/>
      </c>
      <c r="X113" s="35" t="str">
        <f>IFERROR(__xludf.DUMMYFUNCTION("""COMPUTED_VALUE"""),"AP")</f>
        <v>AP</v>
      </c>
      <c r="Y113" s="34" t="str">
        <f>IFERROR(__xludf.DUMMYFUNCTION("""COMPUTED_VALUE"""),"")</f>
        <v/>
      </c>
      <c r="Z113" s="35" t="str">
        <f>IFERROR(__xludf.DUMMYFUNCTION("""COMPUTED_VALUE"""),"%")</f>
        <v>%</v>
      </c>
      <c r="AA113" s="36">
        <f>IFERROR(__xludf.DUMMYFUNCTION("""COMPUTED_VALUE"""),3.0)</f>
        <v>3</v>
      </c>
      <c r="AB113" s="37"/>
      <c r="AC113" s="38"/>
      <c r="AD113" s="34" t="str">
        <f>IFERROR(__xludf.DUMMYFUNCTION("""COMPUTED_VALUE"""),"")</f>
        <v/>
      </c>
      <c r="AE113" s="35" t="str">
        <f>IFERROR(__xludf.DUMMYFUNCTION("""COMPUTED_VALUE"""),"AP")</f>
        <v>AP</v>
      </c>
      <c r="AF113" s="34" t="str">
        <f>IFERROR(__xludf.DUMMYFUNCTION("""COMPUTED_VALUE"""),"")</f>
        <v/>
      </c>
      <c r="AG113" s="35" t="str">
        <f>IFERROR(__xludf.DUMMYFUNCTION("""COMPUTED_VALUE"""),"%")</f>
        <v>%</v>
      </c>
      <c r="AH113" s="31"/>
      <c r="AI113" s="32"/>
      <c r="AJ113" s="67"/>
    </row>
    <row r="114" ht="24.75" hidden="1" customHeight="1">
      <c r="A114" s="40">
        <f>IFERROR(__xludf.DUMMYFUNCTION("""COMPUTED_VALUE"""),20.0)</f>
        <v>20</v>
      </c>
      <c r="B114" s="40" t="str">
        <f>IFERROR(__xludf.DUMMYFUNCTION("""COMPUTED_VALUE"""),"A305")</f>
        <v>A305</v>
      </c>
      <c r="C114" s="40"/>
      <c r="D114" s="41"/>
      <c r="E114" s="66"/>
      <c r="F114" s="43"/>
      <c r="G114" s="44"/>
      <c r="H114" s="33" t="str">
        <f>IFERROR(__xludf.DUMMYFUNCTION("""COMPUTED_VALUE""")," ")</f>
        <v> </v>
      </c>
      <c r="I114" s="45"/>
      <c r="J114" s="46" t="str">
        <f>IFERROR(__xludf.DUMMYFUNCTION("""COMPUTED_VALUE"""),"AP")</f>
        <v>AP</v>
      </c>
      <c r="K114" s="47"/>
      <c r="L114" s="48" t="str">
        <f>IFERROR(__xludf.DUMMYFUNCTION("""COMPUTED_VALUE"""),"%")</f>
        <v>%</v>
      </c>
      <c r="M114" s="49">
        <f>IFERROR(__xludf.DUMMYFUNCTION("""COMPUTED_VALUE"""),1.0)</f>
        <v>1</v>
      </c>
      <c r="N114" s="50"/>
      <c r="O114" s="38"/>
      <c r="P114" s="45" t="str">
        <f>IFERROR(__xludf.DUMMYFUNCTION("""COMPUTED_VALUE"""),"")</f>
        <v/>
      </c>
      <c r="Q114" s="46" t="str">
        <f>IFERROR(__xludf.DUMMYFUNCTION("""COMPUTED_VALUE"""),"AP")</f>
        <v>AP</v>
      </c>
      <c r="R114" s="47" t="str">
        <f>IFERROR(__xludf.DUMMYFUNCTION("""COMPUTED_VALUE"""),"")</f>
        <v/>
      </c>
      <c r="S114" s="48" t="str">
        <f>IFERROR(__xludf.DUMMYFUNCTION("""COMPUTED_VALUE"""),"%")</f>
        <v>%</v>
      </c>
      <c r="T114" s="49">
        <f>IFERROR(__xludf.DUMMYFUNCTION("""COMPUTED_VALUE"""),2.0)</f>
        <v>2</v>
      </c>
      <c r="U114" s="50"/>
      <c r="V114" s="38"/>
      <c r="W114" s="45" t="str">
        <f>IFERROR(__xludf.DUMMYFUNCTION("""COMPUTED_VALUE"""),"")</f>
        <v/>
      </c>
      <c r="X114" s="46" t="str">
        <f>IFERROR(__xludf.DUMMYFUNCTION("""COMPUTED_VALUE"""),"AP")</f>
        <v>AP</v>
      </c>
      <c r="Y114" s="47" t="str">
        <f>IFERROR(__xludf.DUMMYFUNCTION("""COMPUTED_VALUE"""),"")</f>
        <v/>
      </c>
      <c r="Z114" s="48" t="str">
        <f>IFERROR(__xludf.DUMMYFUNCTION("""COMPUTED_VALUE"""),"%")</f>
        <v>%</v>
      </c>
      <c r="AA114" s="49">
        <f>IFERROR(__xludf.DUMMYFUNCTION("""COMPUTED_VALUE"""),3.0)</f>
        <v>3</v>
      </c>
      <c r="AB114" s="50"/>
      <c r="AC114" s="38"/>
      <c r="AD114" s="45" t="str">
        <f>IFERROR(__xludf.DUMMYFUNCTION("""COMPUTED_VALUE"""),"")</f>
        <v/>
      </c>
      <c r="AE114" s="46" t="str">
        <f>IFERROR(__xludf.DUMMYFUNCTION("""COMPUTED_VALUE"""),"AP")</f>
        <v>AP</v>
      </c>
      <c r="AF114" s="47" t="str">
        <f>IFERROR(__xludf.DUMMYFUNCTION("""COMPUTED_VALUE"""),"")</f>
        <v/>
      </c>
      <c r="AG114" s="48" t="str">
        <f>IFERROR(__xludf.DUMMYFUNCTION("""COMPUTED_VALUE"""),"%")</f>
        <v>%</v>
      </c>
      <c r="AH114" s="43"/>
      <c r="AI114" s="44"/>
      <c r="AJ114" s="66"/>
    </row>
    <row r="115">
      <c r="A115" s="52"/>
      <c r="B115" s="53"/>
      <c r="C115" s="54"/>
      <c r="D115" s="56"/>
      <c r="E115" s="56"/>
      <c r="F115" s="53"/>
      <c r="G115" s="53"/>
      <c r="H115" s="53"/>
      <c r="I115" s="53"/>
      <c r="J115" s="57"/>
      <c r="K115" s="53"/>
      <c r="L115" s="57"/>
      <c r="M115" s="53"/>
      <c r="N115" s="53"/>
      <c r="O115" s="53"/>
      <c r="P115" s="53"/>
      <c r="Q115" s="57"/>
      <c r="R115" s="53"/>
      <c r="S115" s="57"/>
      <c r="T115" s="53"/>
      <c r="U115" s="53"/>
      <c r="V115" s="53"/>
      <c r="W115" s="53"/>
      <c r="X115" s="57"/>
      <c r="Y115" s="53"/>
      <c r="Z115" s="57"/>
      <c r="AA115" s="53"/>
      <c r="AB115" s="53"/>
      <c r="AC115" s="53"/>
      <c r="AD115" s="53"/>
      <c r="AE115" s="57"/>
      <c r="AF115" s="53"/>
      <c r="AG115" s="57"/>
      <c r="AH115" s="53"/>
      <c r="AI115" s="53"/>
      <c r="AJ115" s="56"/>
    </row>
    <row r="116">
      <c r="A116" s="59"/>
      <c r="B116" s="60"/>
      <c r="C116" s="61"/>
      <c r="D116" s="63"/>
      <c r="E116" s="63"/>
      <c r="F116" s="60"/>
      <c r="G116" s="60"/>
      <c r="H116" s="60"/>
      <c r="I116" s="60"/>
      <c r="J116" s="64"/>
      <c r="K116" s="60"/>
      <c r="L116" s="64"/>
      <c r="M116" s="60"/>
      <c r="N116" s="60"/>
      <c r="O116" s="60"/>
      <c r="P116" s="60"/>
      <c r="Q116" s="64"/>
      <c r="R116" s="60"/>
      <c r="S116" s="64"/>
      <c r="T116" s="60"/>
      <c r="U116" s="60"/>
      <c r="V116" s="60"/>
      <c r="W116" s="60"/>
      <c r="X116" s="64"/>
      <c r="Y116" s="60"/>
      <c r="Z116" s="64"/>
      <c r="AA116" s="60"/>
      <c r="AB116" s="60"/>
      <c r="AC116" s="60"/>
      <c r="AD116" s="60"/>
      <c r="AE116" s="64"/>
      <c r="AF116" s="60"/>
      <c r="AG116" s="64"/>
      <c r="AH116" s="60"/>
      <c r="AI116" s="60"/>
      <c r="AJ116" s="63"/>
    </row>
    <row r="117" ht="33.0" customHeight="1">
      <c r="A117" s="24" t="str">
        <f>IFERROR(__xludf.DUMMYFUNCTION("""COMPUTED_VALUE""")," ")</f>
        <v> </v>
      </c>
      <c r="B117" s="21" t="str">
        <f>IFERROR(__xludf.DUMMYFUNCTION("""COMPUTED_VALUE"""),"A306")</f>
        <v>A306</v>
      </c>
      <c r="C117" s="20"/>
      <c r="D117" s="257" t="str">
        <f>IFERROR(__xludf.DUMMYFUNCTION("""COMPUTED_VALUE"""),"")</f>
        <v/>
      </c>
      <c r="E117" s="23" t="str">
        <f>IFERROR(__xludf.DUMMYFUNCTION("""COMPUTED_VALUE"""),"Deadly Poisonous Needle")</f>
        <v>Deadly Poisonous Needle</v>
      </c>
      <c r="F117" s="24"/>
      <c r="G117" s="24"/>
      <c r="H117" s="25"/>
      <c r="I117" s="25"/>
      <c r="J117" s="26"/>
      <c r="K117" s="25"/>
      <c r="L117" s="26"/>
      <c r="M117" s="25"/>
      <c r="N117" s="25"/>
      <c r="O117" s="25"/>
      <c r="P117" s="25"/>
      <c r="Q117" s="26"/>
      <c r="R117" s="25"/>
      <c r="S117" s="26"/>
      <c r="T117" s="25"/>
      <c r="U117" s="25"/>
      <c r="V117" s="25"/>
      <c r="W117" s="25"/>
      <c r="X117" s="26"/>
      <c r="Y117" s="25"/>
      <c r="Z117" s="26"/>
      <c r="AA117" s="25"/>
      <c r="AB117" s="25"/>
      <c r="AC117" s="25"/>
      <c r="AD117" s="25"/>
      <c r="AE117" s="26"/>
      <c r="AF117" s="25"/>
      <c r="AG117" s="26"/>
      <c r="AH117" s="24"/>
      <c r="AI117" s="25"/>
      <c r="AJ117" s="23"/>
    </row>
    <row r="118" ht="24.75" customHeight="1">
      <c r="A118" s="28">
        <f>IFERROR(__xludf.DUMMYFUNCTION("""COMPUTED_VALUE"""),1.0)</f>
        <v>1</v>
      </c>
      <c r="B118" s="28" t="str">
        <f>IFERROR(__xludf.DUMMYFUNCTION("""COMPUTED_VALUE"""),"A306")</f>
        <v>A306</v>
      </c>
      <c r="C118" s="28" t="str">
        <f>IFERROR(__xludf.DUMMYFUNCTION("""COMPUTED_VALUE"""),"BBL9")</f>
        <v>BBL9</v>
      </c>
      <c r="D118" s="29" t="str">
        <f>IFERROR(__xludf.DUMMYFUNCTION("""COMPUTED_VALUE"""),"Babylonia")</f>
        <v>Babylonia</v>
      </c>
      <c r="E118" s="30" t="str">
        <f>IFERROR(__xludf.DUMMYFUNCTION("""COMPUTED_VALUE"""),"Field of Reeds")</f>
        <v>Field of Reeds</v>
      </c>
      <c r="F118" s="31">
        <f>IFERROR(__xludf.DUMMYFUNCTION("""COMPUTED_VALUE"""),21.0)</f>
        <v>21</v>
      </c>
      <c r="G118" s="32">
        <f>IFERROR(__xludf.DUMMYFUNCTION("""COMPUTED_VALUE"""),24289.0)</f>
        <v>24289</v>
      </c>
      <c r="H118" s="33" t="str">
        <f>IFERROR(__xludf.DUMMYFUNCTION("""COMPUTED_VALUE"""),"")</f>
        <v/>
      </c>
      <c r="I118" s="34">
        <f>IFERROR(__xludf.DUMMYFUNCTION("""COMPUTED_VALUE"""),33.65226526959603)</f>
        <v>33.65226527</v>
      </c>
      <c r="J118" s="35" t="str">
        <f>IFERROR(__xludf.DUMMYFUNCTION("""COMPUTED_VALUE"""),"AP")</f>
        <v>AP</v>
      </c>
      <c r="K118" s="34">
        <f>IFERROR(__xludf.DUMMYFUNCTION("""COMPUTED_VALUE"""),62.40293136810902)</f>
        <v>62.40293137</v>
      </c>
      <c r="L118" s="35" t="str">
        <f>IFERROR(__xludf.DUMMYFUNCTION("""COMPUTED_VALUE"""),"%")</f>
        <v>%</v>
      </c>
      <c r="M118" s="36">
        <f>IFERROR(__xludf.DUMMYFUNCTION("""COMPUTED_VALUE"""),1.0)</f>
        <v>1</v>
      </c>
      <c r="N118" s="37"/>
      <c r="O118" s="38"/>
      <c r="P118" s="34" t="str">
        <f>IFERROR(__xludf.DUMMYFUNCTION("""COMPUTED_VALUE"""),"")</f>
        <v/>
      </c>
      <c r="Q118" s="35" t="str">
        <f>IFERROR(__xludf.DUMMYFUNCTION("""COMPUTED_VALUE"""),"AP")</f>
        <v>AP</v>
      </c>
      <c r="R118" s="34" t="str">
        <f>IFERROR(__xludf.DUMMYFUNCTION("""COMPUTED_VALUE"""),"")</f>
        <v/>
      </c>
      <c r="S118" s="35" t="str">
        <f>IFERROR(__xludf.DUMMYFUNCTION("""COMPUTED_VALUE"""),"%")</f>
        <v>%</v>
      </c>
      <c r="T118" s="36">
        <f>IFERROR(__xludf.DUMMYFUNCTION("""COMPUTED_VALUE"""),2.0)</f>
        <v>2</v>
      </c>
      <c r="U118" s="37"/>
      <c r="V118" s="38"/>
      <c r="W118" s="34" t="str">
        <f>IFERROR(__xludf.DUMMYFUNCTION("""COMPUTED_VALUE"""),"")</f>
        <v/>
      </c>
      <c r="X118" s="35" t="str">
        <f>IFERROR(__xludf.DUMMYFUNCTION("""COMPUTED_VALUE"""),"AP")</f>
        <v>AP</v>
      </c>
      <c r="Y118" s="34" t="str">
        <f>IFERROR(__xludf.DUMMYFUNCTION("""COMPUTED_VALUE"""),"")</f>
        <v/>
      </c>
      <c r="Z118" s="35" t="str">
        <f>IFERROR(__xludf.DUMMYFUNCTION("""COMPUTED_VALUE"""),"%")</f>
        <v>%</v>
      </c>
      <c r="AA118" s="36">
        <f>IFERROR(__xludf.DUMMYFUNCTION("""COMPUTED_VALUE"""),3.0)</f>
        <v>3</v>
      </c>
      <c r="AB118" s="37"/>
      <c r="AC118" s="38"/>
      <c r="AD118" s="34" t="str">
        <f>IFERROR(__xludf.DUMMYFUNCTION("""COMPUTED_VALUE"""),"")</f>
        <v/>
      </c>
      <c r="AE118" s="35" t="str">
        <f>IFERROR(__xludf.DUMMYFUNCTION("""COMPUTED_VALUE"""),"AP")</f>
        <v>AP</v>
      </c>
      <c r="AF118" s="34" t="str">
        <f>IFERROR(__xludf.DUMMYFUNCTION("""COMPUTED_VALUE"""),"")</f>
        <v/>
      </c>
      <c r="AG118" s="35" t="str">
        <f>IFERROR(__xludf.DUMMYFUNCTION("""COMPUTED_VALUE"""),"%")</f>
        <v>%</v>
      </c>
      <c r="AH118" s="31">
        <f>IFERROR(__xludf.DUMMYFUNCTION("""COMPUTED_VALUE"""),21.0)</f>
        <v>21</v>
      </c>
      <c r="AI118" s="32">
        <f>IFERROR(__xludf.DUMMYFUNCTION("""COMPUTED_VALUE"""),24289.0)</f>
        <v>24289</v>
      </c>
      <c r="AJ118" s="30" t="str">
        <f>IFERROR(__xludf.DUMMYFUNCTION("""COMPUTED_VALUE"""),"Field of Reeds")</f>
        <v>Field of Reeds</v>
      </c>
    </row>
    <row r="119" ht="24.75" customHeight="1">
      <c r="A119" s="40">
        <f>IFERROR(__xludf.DUMMYFUNCTION("""COMPUTED_VALUE"""),2.0)</f>
        <v>2</v>
      </c>
      <c r="B119" s="40" t="str">
        <f>IFERROR(__xludf.DUMMYFUNCTION("""COMPUTED_VALUE"""),"A306")</f>
        <v>A306</v>
      </c>
      <c r="C119" s="40" t="str">
        <f>IFERROR(__xludf.DUMMYFUNCTION("""COMPUTED_VALUE"""),"BBL4")</f>
        <v>BBL4</v>
      </c>
      <c r="D119" s="41" t="str">
        <f>IFERROR(__xludf.DUMMYFUNCTION("""COMPUTED_VALUE"""),"Babylonia")</f>
        <v>Babylonia</v>
      </c>
      <c r="E119" s="42" t="str">
        <f>IFERROR(__xludf.DUMMYFUNCTION("""COMPUTED_VALUE"""),"Plateau")</f>
        <v>Plateau</v>
      </c>
      <c r="F119" s="43">
        <f>IFERROR(__xludf.DUMMYFUNCTION("""COMPUTED_VALUE"""),20.0)</f>
        <v>20</v>
      </c>
      <c r="G119" s="44">
        <f>IFERROR(__xludf.DUMMYFUNCTION("""COMPUTED_VALUE"""),13489.0)</f>
        <v>13489</v>
      </c>
      <c r="H119" s="33" t="str">
        <f>IFERROR(__xludf.DUMMYFUNCTION("""COMPUTED_VALUE"""),"")</f>
        <v/>
      </c>
      <c r="I119" s="45">
        <f>IFERROR(__xludf.DUMMYFUNCTION("""COMPUTED_VALUE"""),40.46091063294974)</f>
        <v>40.46091063</v>
      </c>
      <c r="J119" s="46" t="str">
        <f>IFERROR(__xludf.DUMMYFUNCTION("""COMPUTED_VALUE"""),"AP")</f>
        <v>AP</v>
      </c>
      <c r="K119" s="47">
        <f>IFERROR(__xludf.DUMMYFUNCTION("""COMPUTED_VALUE"""),49.43042479057009)</f>
        <v>49.43042479</v>
      </c>
      <c r="L119" s="48" t="str">
        <f>IFERROR(__xludf.DUMMYFUNCTION("""COMPUTED_VALUE"""),"%")</f>
        <v>%</v>
      </c>
      <c r="M119" s="49">
        <f>IFERROR(__xludf.DUMMYFUNCTION("""COMPUTED_VALUE"""),1.0)</f>
        <v>1</v>
      </c>
      <c r="N119" s="50" t="str">
        <f>IFERROR(__xludf.DUMMYFUNCTION("""COMPUTED_VALUE"""),"A201")</f>
        <v>A201</v>
      </c>
      <c r="O119" s="38" t="str">
        <f>IFERROR(__xludf.DUMMYFUNCTION("""COMPUTED_VALUE"""),"")</f>
        <v/>
      </c>
      <c r="P119" s="45">
        <f>IFERROR(__xludf.DUMMYFUNCTION("""COMPUTED_VALUE"""),78.68816119143524)</f>
        <v>78.68816119</v>
      </c>
      <c r="Q119" s="46" t="str">
        <f>IFERROR(__xludf.DUMMYFUNCTION("""COMPUTED_VALUE"""),"AP")</f>
        <v>AP</v>
      </c>
      <c r="R119" s="47">
        <f>IFERROR(__xludf.DUMMYFUNCTION("""COMPUTED_VALUE"""),25.416784046259917)</f>
        <v>25.41678405</v>
      </c>
      <c r="S119" s="48" t="str">
        <f>IFERROR(__xludf.DUMMYFUNCTION("""COMPUTED_VALUE"""),"%")</f>
        <v>%</v>
      </c>
      <c r="T119" s="49">
        <f>IFERROR(__xludf.DUMMYFUNCTION("""COMPUTED_VALUE"""),2.0)</f>
        <v>2</v>
      </c>
      <c r="U119" s="50"/>
      <c r="V119" s="38"/>
      <c r="W119" s="45" t="str">
        <f>IFERROR(__xludf.DUMMYFUNCTION("""COMPUTED_VALUE"""),"")</f>
        <v/>
      </c>
      <c r="X119" s="46" t="str">
        <f>IFERROR(__xludf.DUMMYFUNCTION("""COMPUTED_VALUE"""),"AP")</f>
        <v>AP</v>
      </c>
      <c r="Y119" s="47" t="str">
        <f>IFERROR(__xludf.DUMMYFUNCTION("""COMPUTED_VALUE"""),"")</f>
        <v/>
      </c>
      <c r="Z119" s="48" t="str">
        <f>IFERROR(__xludf.DUMMYFUNCTION("""COMPUTED_VALUE"""),"%")</f>
        <v>%</v>
      </c>
      <c r="AA119" s="49">
        <f>IFERROR(__xludf.DUMMYFUNCTION("""COMPUTED_VALUE"""),3.0)</f>
        <v>3</v>
      </c>
      <c r="AB119" s="50"/>
      <c r="AC119" s="38"/>
      <c r="AD119" s="45" t="str">
        <f>IFERROR(__xludf.DUMMYFUNCTION("""COMPUTED_VALUE"""),"")</f>
        <v/>
      </c>
      <c r="AE119" s="46" t="str">
        <f>IFERROR(__xludf.DUMMYFUNCTION("""COMPUTED_VALUE"""),"AP")</f>
        <v>AP</v>
      </c>
      <c r="AF119" s="47" t="str">
        <f>IFERROR(__xludf.DUMMYFUNCTION("""COMPUTED_VALUE"""),"")</f>
        <v/>
      </c>
      <c r="AG119" s="48" t="str">
        <f>IFERROR(__xludf.DUMMYFUNCTION("""COMPUTED_VALUE"""),"%")</f>
        <v>%</v>
      </c>
      <c r="AH119" s="43">
        <f>IFERROR(__xludf.DUMMYFUNCTION("""COMPUTED_VALUE"""),20.0)</f>
        <v>20</v>
      </c>
      <c r="AI119" s="44">
        <f>IFERROR(__xludf.DUMMYFUNCTION("""COMPUTED_VALUE"""),13489.0)</f>
        <v>13489</v>
      </c>
      <c r="AJ119" s="42" t="str">
        <f>IFERROR(__xludf.DUMMYFUNCTION("""COMPUTED_VALUE"""),"Plateau")</f>
        <v>Plateau</v>
      </c>
    </row>
    <row r="120" ht="24.75" customHeight="1">
      <c r="A120" s="28">
        <f>IFERROR(__xludf.DUMMYFUNCTION("""COMPUTED_VALUE"""),3.0)</f>
        <v>3</v>
      </c>
      <c r="B120" s="28" t="str">
        <f>IFERROR(__xludf.DUMMYFUNCTION("""COMPUTED_VALUE"""),"A306")</f>
        <v>A306</v>
      </c>
      <c r="C120" s="28" t="str">
        <f>IFERROR(__xludf.DUMMYFUNCTION("""COMPUTED_VALUE"""),"ANA1")</f>
        <v>ANA1</v>
      </c>
      <c r="D120" s="29" t="str">
        <f>IFERROR(__xludf.DUMMYFUNCTION("""COMPUTED_VALUE"""),"Anastasia")</f>
        <v>Anastasia</v>
      </c>
      <c r="E120" s="30" t="str">
        <f>IFERROR(__xludf.DUMMYFUNCTION("""COMPUTED_VALUE"""),"Anchor Point")</f>
        <v>Anchor Point</v>
      </c>
      <c r="F120" s="31">
        <f>IFERROR(__xludf.DUMMYFUNCTION("""COMPUTED_VALUE"""),20.0)</f>
        <v>20</v>
      </c>
      <c r="G120" s="32">
        <f>IFERROR(__xludf.DUMMYFUNCTION("""COMPUTED_VALUE"""),2691.0)</f>
        <v>2691</v>
      </c>
      <c r="H120" s="33" t="str">
        <f>IFERROR(__xludf.DUMMYFUNCTION("""COMPUTED_VALUE"""),"")</f>
        <v/>
      </c>
      <c r="I120" s="34">
        <f>IFERROR(__xludf.DUMMYFUNCTION("""COMPUTED_VALUE"""),48.50291630318017)</f>
        <v>48.5029163</v>
      </c>
      <c r="J120" s="35" t="str">
        <f>IFERROR(__xludf.DUMMYFUNCTION("""COMPUTED_VALUE"""),"AP")</f>
        <v>AP</v>
      </c>
      <c r="K120" s="34">
        <f>IFERROR(__xludf.DUMMYFUNCTION("""COMPUTED_VALUE"""),41.23463396506875)</f>
        <v>41.23463397</v>
      </c>
      <c r="L120" s="35" t="str">
        <f>IFERROR(__xludf.DUMMYFUNCTION("""COMPUTED_VALUE"""),"%")</f>
        <v>%</v>
      </c>
      <c r="M120" s="36">
        <f>IFERROR(__xludf.DUMMYFUNCTION("""COMPUTED_VALUE"""),1.0)</f>
        <v>1</v>
      </c>
      <c r="N120" s="37" t="str">
        <f>IFERROR(__xludf.DUMMYFUNCTION("""COMPUTED_VALUE"""),"A105")</f>
        <v>A105</v>
      </c>
      <c r="O120" s="38" t="str">
        <f>IFERROR(__xludf.DUMMYFUNCTION("""COMPUTED_VALUE"""),"")</f>
        <v/>
      </c>
      <c r="P120" s="34">
        <f>IFERROR(__xludf.DUMMYFUNCTION("""COMPUTED_VALUE"""),98.7508440243079)</f>
        <v>98.75084402</v>
      </c>
      <c r="Q120" s="35" t="str">
        <f>IFERROR(__xludf.DUMMYFUNCTION("""COMPUTED_VALUE"""),"AP")</f>
        <v>AP</v>
      </c>
      <c r="R120" s="34">
        <f>IFERROR(__xludf.DUMMYFUNCTION("""COMPUTED_VALUE"""),20.252991452991452)</f>
        <v>20.25299145</v>
      </c>
      <c r="S120" s="35" t="str">
        <f>IFERROR(__xludf.DUMMYFUNCTION("""COMPUTED_VALUE"""),"%")</f>
        <v>%</v>
      </c>
      <c r="T120" s="36">
        <f>IFERROR(__xludf.DUMMYFUNCTION("""COMPUTED_VALUE"""),2.0)</f>
        <v>2</v>
      </c>
      <c r="U120" s="37" t="str">
        <f>IFERROR(__xludf.DUMMYFUNCTION("""COMPUTED_VALUE"""),"B113")</f>
        <v>B113</v>
      </c>
      <c r="V120" s="38" t="str">
        <f>IFERROR(__xludf.DUMMYFUNCTION("""COMPUTED_VALUE"""),"")</f>
        <v/>
      </c>
      <c r="W120" s="34">
        <f>IFERROR(__xludf.DUMMYFUNCTION("""COMPUTED_VALUE"""),270.43504768540697)</f>
        <v>270.4350477</v>
      </c>
      <c r="X120" s="35" t="str">
        <f>IFERROR(__xludf.DUMMYFUNCTION("""COMPUTED_VALUE"""),"AP")</f>
        <v>AP</v>
      </c>
      <c r="Y120" s="34">
        <f>IFERROR(__xludf.DUMMYFUNCTION("""COMPUTED_VALUE"""),7.39549114331723)</f>
        <v>7.395491143</v>
      </c>
      <c r="Z120" s="35" t="str">
        <f>IFERROR(__xludf.DUMMYFUNCTION("""COMPUTED_VALUE"""),"%")</f>
        <v>%</v>
      </c>
      <c r="AA120" s="36">
        <f>IFERROR(__xludf.DUMMYFUNCTION("""COMPUTED_VALUE"""),3.0)</f>
        <v>3</v>
      </c>
      <c r="AB120" s="37"/>
      <c r="AC120" s="38"/>
      <c r="AD120" s="34" t="str">
        <f>IFERROR(__xludf.DUMMYFUNCTION("""COMPUTED_VALUE"""),"")</f>
        <v/>
      </c>
      <c r="AE120" s="35" t="str">
        <f>IFERROR(__xludf.DUMMYFUNCTION("""COMPUTED_VALUE"""),"AP")</f>
        <v>AP</v>
      </c>
      <c r="AF120" s="34" t="str">
        <f>IFERROR(__xludf.DUMMYFUNCTION("""COMPUTED_VALUE"""),"")</f>
        <v/>
      </c>
      <c r="AG120" s="35" t="str">
        <f>IFERROR(__xludf.DUMMYFUNCTION("""COMPUTED_VALUE"""),"%")</f>
        <v>%</v>
      </c>
      <c r="AH120" s="31">
        <f>IFERROR(__xludf.DUMMYFUNCTION("""COMPUTED_VALUE"""),20.0)</f>
        <v>20</v>
      </c>
      <c r="AI120" s="32">
        <f>IFERROR(__xludf.DUMMYFUNCTION("""COMPUTED_VALUE"""),2691.0)</f>
        <v>2691</v>
      </c>
      <c r="AJ120" s="30" t="str">
        <f>IFERROR(__xludf.DUMMYFUNCTION("""COMPUTED_VALUE"""),"Anchor Point")</f>
        <v>Anchor Point</v>
      </c>
    </row>
    <row r="121" ht="24.75" customHeight="1">
      <c r="A121" s="40">
        <f>IFERROR(__xludf.DUMMYFUNCTION("""COMPUTED_VALUE"""),4.0)</f>
        <v>4</v>
      </c>
      <c r="B121" s="40" t="str">
        <f>IFERROR(__xludf.DUMMYFUNCTION("""COMPUTED_VALUE"""),"A306")</f>
        <v>A306</v>
      </c>
      <c r="C121" s="40" t="str">
        <f>IFERROR(__xludf.DUMMYFUNCTION("""COMPUTED_VALUE"""),"SIN2")</f>
        <v>SIN2</v>
      </c>
      <c r="D121" s="41" t="str">
        <f>IFERROR(__xludf.DUMMYFUNCTION("""COMPUTED_VALUE"""),"SIN")</f>
        <v>SIN</v>
      </c>
      <c r="E121" s="42" t="str">
        <f>IFERROR(__xludf.DUMMYFUNCTION("""COMPUTED_VALUE"""),"Neighboring Village")</f>
        <v>Neighboring Village</v>
      </c>
      <c r="F121" s="43">
        <f>IFERROR(__xludf.DUMMYFUNCTION("""COMPUTED_VALUE"""),20.0)</f>
        <v>20</v>
      </c>
      <c r="G121" s="44">
        <f>IFERROR(__xludf.DUMMYFUNCTION("""COMPUTED_VALUE"""),8056.0)</f>
        <v>8056</v>
      </c>
      <c r="H121" s="33" t="str">
        <f>IFERROR(__xludf.DUMMYFUNCTION("""COMPUTED_VALUE"""),"")</f>
        <v/>
      </c>
      <c r="I121" s="45">
        <f>IFERROR(__xludf.DUMMYFUNCTION("""COMPUTED_VALUE"""),49.431575536412225)</f>
        <v>49.43157554</v>
      </c>
      <c r="J121" s="46" t="str">
        <f>IFERROR(__xludf.DUMMYFUNCTION("""COMPUTED_VALUE"""),"AP")</f>
        <v>AP</v>
      </c>
      <c r="K121" s="47">
        <f>IFERROR(__xludf.DUMMYFUNCTION("""COMPUTED_VALUE"""),40.45996872033267)</f>
        <v>40.45996872</v>
      </c>
      <c r="L121" s="48" t="str">
        <f>IFERROR(__xludf.DUMMYFUNCTION("""COMPUTED_VALUE"""),"%")</f>
        <v>%</v>
      </c>
      <c r="M121" s="49">
        <f>IFERROR(__xludf.DUMMYFUNCTION("""COMPUTED_VALUE"""),1.0)</f>
        <v>1</v>
      </c>
      <c r="N121" s="50" t="str">
        <f>IFERROR(__xludf.DUMMYFUNCTION("""COMPUTED_VALUE"""),"A214")</f>
        <v>A214</v>
      </c>
      <c r="O121" s="38" t="str">
        <f>IFERROR(__xludf.DUMMYFUNCTION("""COMPUTED_VALUE"""),"")</f>
        <v/>
      </c>
      <c r="P121" s="45">
        <f>IFERROR(__xludf.DUMMYFUNCTION("""COMPUTED_VALUE"""),77.87988072468119)</f>
        <v>77.87988072</v>
      </c>
      <c r="Q121" s="46" t="str">
        <f>IFERROR(__xludf.DUMMYFUNCTION("""COMPUTED_VALUE"""),"AP")</f>
        <v>AP</v>
      </c>
      <c r="R121" s="47">
        <f>IFERROR(__xludf.DUMMYFUNCTION("""COMPUTED_VALUE"""),25.680573485600792)</f>
        <v>25.68057349</v>
      </c>
      <c r="S121" s="48" t="str">
        <f>IFERROR(__xludf.DUMMYFUNCTION("""COMPUTED_VALUE"""),"%")</f>
        <v>%</v>
      </c>
      <c r="T121" s="49">
        <f>IFERROR(__xludf.DUMMYFUNCTION("""COMPUTED_VALUE"""),2.0)</f>
        <v>2</v>
      </c>
      <c r="U121" s="50" t="str">
        <f>IFERROR(__xludf.DUMMYFUNCTION("""COMPUTED_VALUE"""),"B117")</f>
        <v>B117</v>
      </c>
      <c r="V121" s="38" t="str">
        <f>IFERROR(__xludf.DUMMYFUNCTION("""COMPUTED_VALUE"""),"")</f>
        <v/>
      </c>
      <c r="W121" s="45">
        <f>IFERROR(__xludf.DUMMYFUNCTION("""COMPUTED_VALUE"""),143.20919012241112)</f>
        <v>143.2091901</v>
      </c>
      <c r="X121" s="46" t="str">
        <f>IFERROR(__xludf.DUMMYFUNCTION("""COMPUTED_VALUE"""),"AP")</f>
        <v>AP</v>
      </c>
      <c r="Y121" s="47">
        <f>IFERROR(__xludf.DUMMYFUNCTION("""COMPUTED_VALUE"""),13.965584179970973)</f>
        <v>13.96558418</v>
      </c>
      <c r="Z121" s="48" t="str">
        <f>IFERROR(__xludf.DUMMYFUNCTION("""COMPUTED_VALUE"""),"%")</f>
        <v>%</v>
      </c>
      <c r="AA121" s="49">
        <f>IFERROR(__xludf.DUMMYFUNCTION("""COMPUTED_VALUE"""),3.0)</f>
        <v>3</v>
      </c>
      <c r="AB121" s="50"/>
      <c r="AC121" s="38"/>
      <c r="AD121" s="45" t="str">
        <f>IFERROR(__xludf.DUMMYFUNCTION("""COMPUTED_VALUE"""),"")</f>
        <v/>
      </c>
      <c r="AE121" s="46" t="str">
        <f>IFERROR(__xludf.DUMMYFUNCTION("""COMPUTED_VALUE"""),"AP")</f>
        <v>AP</v>
      </c>
      <c r="AF121" s="47" t="str">
        <f>IFERROR(__xludf.DUMMYFUNCTION("""COMPUTED_VALUE"""),"")</f>
        <v/>
      </c>
      <c r="AG121" s="48" t="str">
        <f>IFERROR(__xludf.DUMMYFUNCTION("""COMPUTED_VALUE"""),"%")</f>
        <v>%</v>
      </c>
      <c r="AH121" s="43">
        <f>IFERROR(__xludf.DUMMYFUNCTION("""COMPUTED_VALUE"""),20.0)</f>
        <v>20</v>
      </c>
      <c r="AI121" s="44">
        <f>IFERROR(__xludf.DUMMYFUNCTION("""COMPUTED_VALUE"""),8056.0)</f>
        <v>8056</v>
      </c>
      <c r="AJ121" s="42" t="str">
        <f>IFERROR(__xludf.DUMMYFUNCTION("""COMPUTED_VALUE"""),"Neighboring Village")</f>
        <v>Neighboring Village</v>
      </c>
    </row>
    <row r="122" ht="24.75" customHeight="1">
      <c r="A122" s="28">
        <f>IFERROR(__xludf.DUMMYFUNCTION("""COMPUTED_VALUE"""),5.0)</f>
        <v>5</v>
      </c>
      <c r="B122" s="28" t="str">
        <f>IFERROR(__xludf.DUMMYFUNCTION("""COMPUTED_VALUE"""),"A306")</f>
        <v>A306</v>
      </c>
      <c r="C122" s="28" t="str">
        <f>IFERROR(__xludf.DUMMYFUNCTION("""COMPUTED_VALUE"""),"ANA3")</f>
        <v>ANA3</v>
      </c>
      <c r="D122" s="29" t="str">
        <f>IFERROR(__xludf.DUMMYFUNCTION("""COMPUTED_VALUE"""),"Anastasia")</f>
        <v>Anastasia</v>
      </c>
      <c r="E122" s="30" t="str">
        <f>IFERROR(__xludf.DUMMYFUNCTION("""COMPUTED_VALUE"""),"Icy Cavern")</f>
        <v>Icy Cavern</v>
      </c>
      <c r="F122" s="31">
        <f>IFERROR(__xludf.DUMMYFUNCTION("""COMPUTED_VALUE"""),20.0)</f>
        <v>20</v>
      </c>
      <c r="G122" s="32">
        <f>IFERROR(__xludf.DUMMYFUNCTION("""COMPUTED_VALUE"""),59617.0)</f>
        <v>59617</v>
      </c>
      <c r="H122" s="33" t="str">
        <f>IFERROR(__xludf.DUMMYFUNCTION("""COMPUTED_VALUE"""),"")</f>
        <v/>
      </c>
      <c r="I122" s="34">
        <f>IFERROR(__xludf.DUMMYFUNCTION("""COMPUTED_VALUE"""),49.531999156684265)</f>
        <v>49.53199916</v>
      </c>
      <c r="J122" s="35" t="str">
        <f>IFERROR(__xludf.DUMMYFUNCTION("""COMPUTED_VALUE"""),"AP")</f>
        <v>AP</v>
      </c>
      <c r="K122" s="34">
        <f>IFERROR(__xludf.DUMMYFUNCTION("""COMPUTED_VALUE"""),40.37793818241441)</f>
        <v>40.37793818</v>
      </c>
      <c r="L122" s="35" t="str">
        <f>IFERROR(__xludf.DUMMYFUNCTION("""COMPUTED_VALUE"""),"%")</f>
        <v>%</v>
      </c>
      <c r="M122" s="36">
        <f>IFERROR(__xludf.DUMMYFUNCTION("""COMPUTED_VALUE"""),1.0)</f>
        <v>1</v>
      </c>
      <c r="N122" s="37" t="str">
        <f>IFERROR(__xludf.DUMMYFUNCTION("""COMPUTED_VALUE"""),"A211")</f>
        <v>A211</v>
      </c>
      <c r="O122" s="38" t="str">
        <f>IFERROR(__xludf.DUMMYFUNCTION("""COMPUTED_VALUE"""),"")</f>
        <v/>
      </c>
      <c r="P122" s="34">
        <f>IFERROR(__xludf.DUMMYFUNCTION("""COMPUTED_VALUE"""),79.37551942188493)</f>
        <v>79.37551942</v>
      </c>
      <c r="Q122" s="35" t="str">
        <f>IFERROR(__xludf.DUMMYFUNCTION("""COMPUTED_VALUE"""),"AP")</f>
        <v>AP</v>
      </c>
      <c r="R122" s="34">
        <f>IFERROR(__xludf.DUMMYFUNCTION("""COMPUTED_VALUE"""),25.196685509166848)</f>
        <v>25.19668551</v>
      </c>
      <c r="S122" s="35" t="str">
        <f>IFERROR(__xludf.DUMMYFUNCTION("""COMPUTED_VALUE"""),"%")</f>
        <v>%</v>
      </c>
      <c r="T122" s="36">
        <f>IFERROR(__xludf.DUMMYFUNCTION("""COMPUTED_VALUE"""),2.0)</f>
        <v>2</v>
      </c>
      <c r="U122" s="37"/>
      <c r="V122" s="38"/>
      <c r="W122" s="34" t="str">
        <f>IFERROR(__xludf.DUMMYFUNCTION("""COMPUTED_VALUE"""),"")</f>
        <v/>
      </c>
      <c r="X122" s="35" t="str">
        <f>IFERROR(__xludf.DUMMYFUNCTION("""COMPUTED_VALUE"""),"AP")</f>
        <v>AP</v>
      </c>
      <c r="Y122" s="34" t="str">
        <f>IFERROR(__xludf.DUMMYFUNCTION("""COMPUTED_VALUE"""),"")</f>
        <v/>
      </c>
      <c r="Z122" s="35" t="str">
        <f>IFERROR(__xludf.DUMMYFUNCTION("""COMPUTED_VALUE"""),"%")</f>
        <v>%</v>
      </c>
      <c r="AA122" s="36">
        <f>IFERROR(__xludf.DUMMYFUNCTION("""COMPUTED_VALUE"""),3.0)</f>
        <v>3</v>
      </c>
      <c r="AB122" s="37"/>
      <c r="AC122" s="38"/>
      <c r="AD122" s="34" t="str">
        <f>IFERROR(__xludf.DUMMYFUNCTION("""COMPUTED_VALUE"""),"")</f>
        <v/>
      </c>
      <c r="AE122" s="35" t="str">
        <f>IFERROR(__xludf.DUMMYFUNCTION("""COMPUTED_VALUE"""),"AP")</f>
        <v>AP</v>
      </c>
      <c r="AF122" s="34" t="str">
        <f>IFERROR(__xludf.DUMMYFUNCTION("""COMPUTED_VALUE"""),"")</f>
        <v/>
      </c>
      <c r="AG122" s="35" t="str">
        <f>IFERROR(__xludf.DUMMYFUNCTION("""COMPUTED_VALUE"""),"%")</f>
        <v>%</v>
      </c>
      <c r="AH122" s="31">
        <f>IFERROR(__xludf.DUMMYFUNCTION("""COMPUTED_VALUE"""),20.0)</f>
        <v>20</v>
      </c>
      <c r="AI122" s="32">
        <f>IFERROR(__xludf.DUMMYFUNCTION("""COMPUTED_VALUE"""),59617.0)</f>
        <v>59617</v>
      </c>
      <c r="AJ122" s="30" t="str">
        <f>IFERROR(__xludf.DUMMYFUNCTION("""COMPUTED_VALUE"""),"Icy Cavern")</f>
        <v>Icy Cavern</v>
      </c>
    </row>
    <row r="123" ht="24.75" customHeight="1">
      <c r="A123" s="40">
        <f>IFERROR(__xludf.DUMMYFUNCTION("""COMPUTED_VALUE"""),6.0)</f>
        <v>6</v>
      </c>
      <c r="B123" s="40" t="str">
        <f>IFERROR(__xludf.DUMMYFUNCTION("""COMPUTED_VALUE"""),"A306")</f>
        <v>A306</v>
      </c>
      <c r="C123" s="40" t="str">
        <f>IFERROR(__xludf.DUMMYFUNCTION("""COMPUTED_VALUE"""),"SIN1")</f>
        <v>SIN1</v>
      </c>
      <c r="D123" s="41" t="str">
        <f>IFERROR(__xludf.DUMMYFUNCTION("""COMPUTED_VALUE"""),"SIN")</f>
        <v>SIN</v>
      </c>
      <c r="E123" s="42" t="str">
        <f>IFERROR(__xludf.DUMMYFUNCTION("""COMPUTED_VALUE"""),"Seeding Point")</f>
        <v>Seeding Point</v>
      </c>
      <c r="F123" s="43">
        <f>IFERROR(__xludf.DUMMYFUNCTION("""COMPUTED_VALUE"""),20.0)</f>
        <v>20</v>
      </c>
      <c r="G123" s="44">
        <f>IFERROR(__xludf.DUMMYFUNCTION("""COMPUTED_VALUE"""),13302.0)</f>
        <v>13302</v>
      </c>
      <c r="H123" s="33" t="str">
        <f>IFERROR(__xludf.DUMMYFUNCTION("""COMPUTED_VALUE"""),"")</f>
        <v/>
      </c>
      <c r="I123" s="45">
        <f>IFERROR(__xludf.DUMMYFUNCTION("""COMPUTED_VALUE"""),50.77641885392332)</f>
        <v>50.77641885</v>
      </c>
      <c r="J123" s="46" t="str">
        <f>IFERROR(__xludf.DUMMYFUNCTION("""COMPUTED_VALUE"""),"AP")</f>
        <v>AP</v>
      </c>
      <c r="K123" s="47">
        <f>IFERROR(__xludf.DUMMYFUNCTION("""COMPUTED_VALUE"""),39.38836265223275)</f>
        <v>39.38836265</v>
      </c>
      <c r="L123" s="48" t="str">
        <f>IFERROR(__xludf.DUMMYFUNCTION("""COMPUTED_VALUE"""),"%")</f>
        <v>%</v>
      </c>
      <c r="M123" s="49">
        <f>IFERROR(__xludf.DUMMYFUNCTION("""COMPUTED_VALUE"""),1.0)</f>
        <v>1</v>
      </c>
      <c r="N123" s="50" t="str">
        <f>IFERROR(__xludf.DUMMYFUNCTION("""COMPUTED_VALUE"""),"A206")</f>
        <v>A206</v>
      </c>
      <c r="O123" s="38" t="str">
        <f>IFERROR(__xludf.DUMMYFUNCTION("""COMPUTED_VALUE"""),"")</f>
        <v/>
      </c>
      <c r="P123" s="45">
        <f>IFERROR(__xludf.DUMMYFUNCTION("""COMPUTED_VALUE"""),66.38950305196069)</f>
        <v>66.38950305</v>
      </c>
      <c r="Q123" s="46" t="str">
        <f>IFERROR(__xludf.DUMMYFUNCTION("""COMPUTED_VALUE"""),"AP")</f>
        <v>AP</v>
      </c>
      <c r="R123" s="47">
        <f>IFERROR(__xludf.DUMMYFUNCTION("""COMPUTED_VALUE"""),30.12524432416178)</f>
        <v>30.12524432</v>
      </c>
      <c r="S123" s="48" t="str">
        <f>IFERROR(__xludf.DUMMYFUNCTION("""COMPUTED_VALUE"""),"%")</f>
        <v>%</v>
      </c>
      <c r="T123" s="49">
        <f>IFERROR(__xludf.DUMMYFUNCTION("""COMPUTED_VALUE"""),2.0)</f>
        <v>2</v>
      </c>
      <c r="U123" s="50"/>
      <c r="V123" s="38"/>
      <c r="W123" s="45" t="str">
        <f>IFERROR(__xludf.DUMMYFUNCTION("""COMPUTED_VALUE"""),"")</f>
        <v/>
      </c>
      <c r="X123" s="46" t="str">
        <f>IFERROR(__xludf.DUMMYFUNCTION("""COMPUTED_VALUE"""),"AP")</f>
        <v>AP</v>
      </c>
      <c r="Y123" s="47" t="str">
        <f>IFERROR(__xludf.DUMMYFUNCTION("""COMPUTED_VALUE"""),"")</f>
        <v/>
      </c>
      <c r="Z123" s="48" t="str">
        <f>IFERROR(__xludf.DUMMYFUNCTION("""COMPUTED_VALUE"""),"%")</f>
        <v>%</v>
      </c>
      <c r="AA123" s="49">
        <f>IFERROR(__xludf.DUMMYFUNCTION("""COMPUTED_VALUE"""),3.0)</f>
        <v>3</v>
      </c>
      <c r="AB123" s="50"/>
      <c r="AC123" s="38"/>
      <c r="AD123" s="45" t="str">
        <f>IFERROR(__xludf.DUMMYFUNCTION("""COMPUTED_VALUE"""),"")</f>
        <v/>
      </c>
      <c r="AE123" s="46" t="str">
        <f>IFERROR(__xludf.DUMMYFUNCTION("""COMPUTED_VALUE"""),"AP")</f>
        <v>AP</v>
      </c>
      <c r="AF123" s="47" t="str">
        <f>IFERROR(__xludf.DUMMYFUNCTION("""COMPUTED_VALUE"""),"")</f>
        <v/>
      </c>
      <c r="AG123" s="48" t="str">
        <f>IFERROR(__xludf.DUMMYFUNCTION("""COMPUTED_VALUE"""),"%")</f>
        <v>%</v>
      </c>
      <c r="AH123" s="43">
        <f>IFERROR(__xludf.DUMMYFUNCTION("""COMPUTED_VALUE"""),20.0)</f>
        <v>20</v>
      </c>
      <c r="AI123" s="44">
        <f>IFERROR(__xludf.DUMMYFUNCTION("""COMPUTED_VALUE"""),13302.0)</f>
        <v>13302</v>
      </c>
      <c r="AJ123" s="42" t="str">
        <f>IFERROR(__xludf.DUMMYFUNCTION("""COMPUTED_VALUE"""),"Seeding Point")</f>
        <v>Seeding Point</v>
      </c>
    </row>
    <row r="124" ht="24.75" customHeight="1">
      <c r="A124" s="28">
        <f>IFERROR(__xludf.DUMMYFUNCTION("""COMPUTED_VALUE"""),7.0)</f>
        <v>7</v>
      </c>
      <c r="B124" s="28" t="str">
        <f>IFERROR(__xludf.DUMMYFUNCTION("""COMPUTED_VALUE"""),"A306")</f>
        <v>A306</v>
      </c>
      <c r="C124" s="28" t="str">
        <f>IFERROR(__xludf.DUMMYFUNCTION("""COMPUTED_VALUE"""),"BBL11")</f>
        <v>BBL11</v>
      </c>
      <c r="D124" s="29" t="str">
        <f>IFERROR(__xludf.DUMMYFUNCTION("""COMPUTED_VALUE"""),"Babylonia")</f>
        <v>Babylonia</v>
      </c>
      <c r="E124" s="30" t="str">
        <f>IFERROR(__xludf.DUMMYFUNCTION("""COMPUTED_VALUE"""),"Northern Wall")</f>
        <v>Northern Wall</v>
      </c>
      <c r="F124" s="31">
        <f>IFERROR(__xludf.DUMMYFUNCTION("""COMPUTED_VALUE"""),21.0)</f>
        <v>21</v>
      </c>
      <c r="G124" s="32">
        <f>IFERROR(__xludf.DUMMYFUNCTION("""COMPUTED_VALUE"""),6058.0)</f>
        <v>6058</v>
      </c>
      <c r="H124" s="33" t="str">
        <f>IFERROR(__xludf.DUMMYFUNCTION("""COMPUTED_VALUE"""),"")</f>
        <v/>
      </c>
      <c r="I124" s="34">
        <f>IFERROR(__xludf.DUMMYFUNCTION("""COMPUTED_VALUE"""),50.857824520556925)</f>
        <v>50.85782452</v>
      </c>
      <c r="J124" s="35" t="str">
        <f>IFERROR(__xludf.DUMMYFUNCTION("""COMPUTED_VALUE"""),"AP")</f>
        <v>AP</v>
      </c>
      <c r="K124" s="34">
        <f>IFERROR(__xludf.DUMMYFUNCTION("""COMPUTED_VALUE"""),41.291581379993396)</f>
        <v>41.29158138</v>
      </c>
      <c r="L124" s="35" t="str">
        <f>IFERROR(__xludf.DUMMYFUNCTION("""COMPUTED_VALUE"""),"%")</f>
        <v>%</v>
      </c>
      <c r="M124" s="36">
        <f>IFERROR(__xludf.DUMMYFUNCTION("""COMPUTED_VALUE"""),1.0)</f>
        <v>1</v>
      </c>
      <c r="N124" s="37" t="str">
        <f>IFERROR(__xludf.DUMMYFUNCTION("""COMPUTED_VALUE"""),"A110")</f>
        <v>A110</v>
      </c>
      <c r="O124" s="38" t="str">
        <f>IFERROR(__xludf.DUMMYFUNCTION("""COMPUTED_VALUE"""),"")</f>
        <v/>
      </c>
      <c r="P124" s="34">
        <f>IFERROR(__xludf.DUMMYFUNCTION("""COMPUTED_VALUE"""),165.58634262151693)</f>
        <v>165.5863426</v>
      </c>
      <c r="Q124" s="35" t="str">
        <f>IFERROR(__xludf.DUMMYFUNCTION("""COMPUTED_VALUE"""),"AP")</f>
        <v>AP</v>
      </c>
      <c r="R124" s="34">
        <f>IFERROR(__xludf.DUMMYFUNCTION("""COMPUTED_VALUE"""),12.68220534829977)</f>
        <v>12.68220535</v>
      </c>
      <c r="S124" s="35" t="str">
        <f>IFERROR(__xludf.DUMMYFUNCTION("""COMPUTED_VALUE"""),"%")</f>
        <v>%</v>
      </c>
      <c r="T124" s="36">
        <f>IFERROR(__xludf.DUMMYFUNCTION("""COMPUTED_VALUE"""),2.0)</f>
        <v>2</v>
      </c>
      <c r="U124" s="37" t="str">
        <f>IFERROR(__xludf.DUMMYFUNCTION("""COMPUTED_VALUE"""),"B114")</f>
        <v>B114</v>
      </c>
      <c r="V124" s="38" t="str">
        <f>IFERROR(__xludf.DUMMYFUNCTION("""COMPUTED_VALUE"""),"")</f>
        <v/>
      </c>
      <c r="W124" s="34">
        <f>IFERROR(__xludf.DUMMYFUNCTION("""COMPUTED_VALUE"""),271.8984030366242)</f>
        <v>271.898403</v>
      </c>
      <c r="X124" s="35" t="str">
        <f>IFERROR(__xludf.DUMMYFUNCTION("""COMPUTED_VALUE"""),"AP")</f>
        <v>AP</v>
      </c>
      <c r="Y124" s="34">
        <f>IFERROR(__xludf.DUMMYFUNCTION("""COMPUTED_VALUE"""),7.723473093430174)</f>
        <v>7.723473093</v>
      </c>
      <c r="Z124" s="35" t="str">
        <f>IFERROR(__xludf.DUMMYFUNCTION("""COMPUTED_VALUE"""),"%")</f>
        <v>%</v>
      </c>
      <c r="AA124" s="36">
        <f>IFERROR(__xludf.DUMMYFUNCTION("""COMPUTED_VALUE"""),3.0)</f>
        <v>3</v>
      </c>
      <c r="AB124" s="37"/>
      <c r="AC124" s="38"/>
      <c r="AD124" s="34" t="str">
        <f>IFERROR(__xludf.DUMMYFUNCTION("""COMPUTED_VALUE"""),"")</f>
        <v/>
      </c>
      <c r="AE124" s="35" t="str">
        <f>IFERROR(__xludf.DUMMYFUNCTION("""COMPUTED_VALUE"""),"AP")</f>
        <v>AP</v>
      </c>
      <c r="AF124" s="34" t="str">
        <f>IFERROR(__xludf.DUMMYFUNCTION("""COMPUTED_VALUE"""),"")</f>
        <v/>
      </c>
      <c r="AG124" s="35" t="str">
        <f>IFERROR(__xludf.DUMMYFUNCTION("""COMPUTED_VALUE"""),"%")</f>
        <v>%</v>
      </c>
      <c r="AH124" s="31">
        <f>IFERROR(__xludf.DUMMYFUNCTION("""COMPUTED_VALUE"""),21.0)</f>
        <v>21</v>
      </c>
      <c r="AI124" s="32">
        <f>IFERROR(__xludf.DUMMYFUNCTION("""COMPUTED_VALUE"""),6058.0)</f>
        <v>6058</v>
      </c>
      <c r="AJ124" s="30" t="str">
        <f>IFERROR(__xludf.DUMMYFUNCTION("""COMPUTED_VALUE"""),"Northern Wall")</f>
        <v>Northern Wall</v>
      </c>
    </row>
    <row r="125" ht="24.75" customHeight="1">
      <c r="A125" s="40">
        <f>IFERROR(__xludf.DUMMYFUNCTION("""COMPUTED_VALUE"""),8.0)</f>
        <v>8</v>
      </c>
      <c r="B125" s="40" t="str">
        <f>IFERROR(__xludf.DUMMYFUNCTION("""COMPUTED_VALUE"""),"A306")</f>
        <v>A306</v>
      </c>
      <c r="C125" s="40" t="str">
        <f>IFERROR(__xludf.DUMMYFUNCTION("""COMPUTED_VALUE"""),"ANA7")</f>
        <v>ANA7</v>
      </c>
      <c r="D125" s="41" t="str">
        <f>IFERROR(__xludf.DUMMYFUNCTION("""COMPUTED_VALUE"""),"Anastasia")</f>
        <v>Anastasia</v>
      </c>
      <c r="E125" s="42" t="str">
        <f>IFERROR(__xludf.DUMMYFUNCTION("""COMPUTED_VALUE"""),"Yaga Vyazma")</f>
        <v>Yaga Vyazma</v>
      </c>
      <c r="F125" s="43">
        <f>IFERROR(__xludf.DUMMYFUNCTION("""COMPUTED_VALUE"""),21.0)</f>
        <v>21</v>
      </c>
      <c r="G125" s="44">
        <f>IFERROR(__xludf.DUMMYFUNCTION("""COMPUTED_VALUE"""),52485.0)</f>
        <v>52485</v>
      </c>
      <c r="H125" s="33" t="str">
        <f>IFERROR(__xludf.DUMMYFUNCTION("""COMPUTED_VALUE"""),"")</f>
        <v/>
      </c>
      <c r="I125" s="45">
        <f>IFERROR(__xludf.DUMMYFUNCTION("""COMPUTED_VALUE"""),51.85224215072592)</f>
        <v>51.85224215</v>
      </c>
      <c r="J125" s="46" t="str">
        <f>IFERROR(__xludf.DUMMYFUNCTION("""COMPUTED_VALUE"""),"AP")</f>
        <v>AP</v>
      </c>
      <c r="K125" s="47">
        <f>IFERROR(__xludf.DUMMYFUNCTION("""COMPUTED_VALUE"""),40.49969515099552)</f>
        <v>40.49969515</v>
      </c>
      <c r="L125" s="48" t="str">
        <f>IFERROR(__xludf.DUMMYFUNCTION("""COMPUTED_VALUE"""),"%")</f>
        <v>%</v>
      </c>
      <c r="M125" s="49">
        <f>IFERROR(__xludf.DUMMYFUNCTION("""COMPUTED_VALUE"""),1.0)</f>
        <v>1</v>
      </c>
      <c r="N125" s="50" t="str">
        <f>IFERROR(__xludf.DUMMYFUNCTION("""COMPUTED_VALUE"""),"A309")</f>
        <v>A309</v>
      </c>
      <c r="O125" s="38" t="str">
        <f>IFERROR(__xludf.DUMMYFUNCTION("""COMPUTED_VALUE"""),"")</f>
        <v/>
      </c>
      <c r="P125" s="45">
        <f>IFERROR(__xludf.DUMMYFUNCTION("""COMPUTED_VALUE"""),52.64346434818293)</f>
        <v>52.64346435</v>
      </c>
      <c r="Q125" s="46" t="str">
        <f>IFERROR(__xludf.DUMMYFUNCTION("""COMPUTED_VALUE"""),"AP")</f>
        <v>AP</v>
      </c>
      <c r="R125" s="47">
        <f>IFERROR(__xludf.DUMMYFUNCTION("""COMPUTED_VALUE"""),39.89099171191769)</f>
        <v>39.89099171</v>
      </c>
      <c r="S125" s="48" t="str">
        <f>IFERROR(__xludf.DUMMYFUNCTION("""COMPUTED_VALUE"""),"%")</f>
        <v>%</v>
      </c>
      <c r="T125" s="49">
        <f>IFERROR(__xludf.DUMMYFUNCTION("""COMPUTED_VALUE"""),2.0)</f>
        <v>2</v>
      </c>
      <c r="U125" s="50"/>
      <c r="V125" s="38"/>
      <c r="W125" s="45" t="str">
        <f>IFERROR(__xludf.DUMMYFUNCTION("""COMPUTED_VALUE"""),"")</f>
        <v/>
      </c>
      <c r="X125" s="46" t="str">
        <f>IFERROR(__xludf.DUMMYFUNCTION("""COMPUTED_VALUE"""),"AP")</f>
        <v>AP</v>
      </c>
      <c r="Y125" s="47" t="str">
        <f>IFERROR(__xludf.DUMMYFUNCTION("""COMPUTED_VALUE"""),"")</f>
        <v/>
      </c>
      <c r="Z125" s="48" t="str">
        <f>IFERROR(__xludf.DUMMYFUNCTION("""COMPUTED_VALUE"""),"%")</f>
        <v>%</v>
      </c>
      <c r="AA125" s="49">
        <f>IFERROR(__xludf.DUMMYFUNCTION("""COMPUTED_VALUE"""),3.0)</f>
        <v>3</v>
      </c>
      <c r="AB125" s="50"/>
      <c r="AC125" s="38"/>
      <c r="AD125" s="45" t="str">
        <f>IFERROR(__xludf.DUMMYFUNCTION("""COMPUTED_VALUE"""),"")</f>
        <v/>
      </c>
      <c r="AE125" s="46" t="str">
        <f>IFERROR(__xludf.DUMMYFUNCTION("""COMPUTED_VALUE"""),"AP")</f>
        <v>AP</v>
      </c>
      <c r="AF125" s="47" t="str">
        <f>IFERROR(__xludf.DUMMYFUNCTION("""COMPUTED_VALUE"""),"")</f>
        <v/>
      </c>
      <c r="AG125" s="48" t="str">
        <f>IFERROR(__xludf.DUMMYFUNCTION("""COMPUTED_VALUE"""),"%")</f>
        <v>%</v>
      </c>
      <c r="AH125" s="43">
        <f>IFERROR(__xludf.DUMMYFUNCTION("""COMPUTED_VALUE"""),21.0)</f>
        <v>21</v>
      </c>
      <c r="AI125" s="44">
        <f>IFERROR(__xludf.DUMMYFUNCTION("""COMPUTED_VALUE"""),52485.0)</f>
        <v>52485</v>
      </c>
      <c r="AJ125" s="42" t="str">
        <f>IFERROR(__xludf.DUMMYFUNCTION("""COMPUTED_VALUE"""),"Yaga Vyazma")</f>
        <v>Yaga Vyazma</v>
      </c>
    </row>
    <row r="126" ht="24.75" customHeight="1">
      <c r="A126" s="28">
        <f>IFERROR(__xludf.DUMMYFUNCTION("""COMPUTED_VALUE"""),9.0)</f>
        <v>9</v>
      </c>
      <c r="B126" s="28" t="str">
        <f>IFERROR(__xludf.DUMMYFUNCTION("""COMPUTED_VALUE"""),"A306")</f>
        <v>A306</v>
      </c>
      <c r="C126" s="28" t="str">
        <f>IFERROR(__xludf.DUMMYFUNCTION("""COMPUTED_VALUE"""),"BBL5")</f>
        <v>BBL5</v>
      </c>
      <c r="D126" s="29" t="str">
        <f>IFERROR(__xludf.DUMMYFUNCTION("""COMPUTED_VALUE"""),"Babylonia")</f>
        <v>Babylonia</v>
      </c>
      <c r="E126" s="30" t="str">
        <f>IFERROR(__xludf.DUMMYFUNCTION("""COMPUTED_VALUE"""),"Bog")</f>
        <v>Bog</v>
      </c>
      <c r="F126" s="31">
        <f>IFERROR(__xludf.DUMMYFUNCTION("""COMPUTED_VALUE"""),21.0)</f>
        <v>21</v>
      </c>
      <c r="G126" s="32">
        <f>IFERROR(__xludf.DUMMYFUNCTION("""COMPUTED_VALUE"""),1941.0)</f>
        <v>1941</v>
      </c>
      <c r="H126" s="33" t="str">
        <f>IFERROR(__xludf.DUMMYFUNCTION("""COMPUTED_VALUE"""),"")</f>
        <v/>
      </c>
      <c r="I126" s="34">
        <f>IFERROR(__xludf.DUMMYFUNCTION("""COMPUTED_VALUE"""),53.755542250344874)</f>
        <v>53.75554225</v>
      </c>
      <c r="J126" s="35" t="str">
        <f>IFERROR(__xludf.DUMMYFUNCTION("""COMPUTED_VALUE"""),"AP")</f>
        <v>AP</v>
      </c>
      <c r="K126" s="34">
        <f>IFERROR(__xludf.DUMMYFUNCTION("""COMPUTED_VALUE"""),39.0657393096342)</f>
        <v>39.06573931</v>
      </c>
      <c r="L126" s="35" t="str">
        <f>IFERROR(__xludf.DUMMYFUNCTION("""COMPUTED_VALUE"""),"%")</f>
        <v>%</v>
      </c>
      <c r="M126" s="36">
        <f>IFERROR(__xludf.DUMMYFUNCTION("""COMPUTED_VALUE"""),1.0)</f>
        <v>1</v>
      </c>
      <c r="N126" s="37" t="str">
        <f>IFERROR(__xludf.DUMMYFUNCTION("""COMPUTED_VALUE"""),"A204")</f>
        <v>A204</v>
      </c>
      <c r="O126" s="38" t="str">
        <f>IFERROR(__xludf.DUMMYFUNCTION("""COMPUTED_VALUE"""),"")</f>
        <v/>
      </c>
      <c r="P126" s="34">
        <f>IFERROR(__xludf.DUMMYFUNCTION("""COMPUTED_VALUE"""),84.07710316519012)</f>
        <v>84.07710317</v>
      </c>
      <c r="Q126" s="35" t="str">
        <f>IFERROR(__xludf.DUMMYFUNCTION("""COMPUTED_VALUE"""),"AP")</f>
        <v>AP</v>
      </c>
      <c r="R126" s="34">
        <f>IFERROR(__xludf.DUMMYFUNCTION("""COMPUTED_VALUE"""),24.977073673364245)</f>
        <v>24.97707367</v>
      </c>
      <c r="S126" s="35" t="str">
        <f>IFERROR(__xludf.DUMMYFUNCTION("""COMPUTED_VALUE"""),"%")</f>
        <v>%</v>
      </c>
      <c r="T126" s="36">
        <f>IFERROR(__xludf.DUMMYFUNCTION("""COMPUTED_VALUE"""),2.0)</f>
        <v>2</v>
      </c>
      <c r="U126" s="37" t="str">
        <f>IFERROR(__xludf.DUMMYFUNCTION("""COMPUTED_VALUE"""),"B112")</f>
        <v>B112</v>
      </c>
      <c r="V126" s="38" t="str">
        <f>IFERROR(__xludf.DUMMYFUNCTION("""COMPUTED_VALUE"""),"")</f>
        <v/>
      </c>
      <c r="W126" s="34">
        <f>IFERROR(__xludf.DUMMYFUNCTION("""COMPUTED_VALUE"""),126.36170305108284)</f>
        <v>126.3617031</v>
      </c>
      <c r="X126" s="35" t="str">
        <f>IFERROR(__xludf.DUMMYFUNCTION("""COMPUTED_VALUE"""),"AP")</f>
        <v>AP</v>
      </c>
      <c r="Y126" s="34">
        <f>IFERROR(__xludf.DUMMYFUNCTION("""COMPUTED_VALUE"""),16.618959299330243)</f>
        <v>16.6189593</v>
      </c>
      <c r="Z126" s="35" t="str">
        <f>IFERROR(__xludf.DUMMYFUNCTION("""COMPUTED_VALUE"""),"%")</f>
        <v>%</v>
      </c>
      <c r="AA126" s="36">
        <f>IFERROR(__xludf.DUMMYFUNCTION("""COMPUTED_VALUE"""),3.0)</f>
        <v>3</v>
      </c>
      <c r="AB126" s="37"/>
      <c r="AC126" s="38"/>
      <c r="AD126" s="34" t="str">
        <f>IFERROR(__xludf.DUMMYFUNCTION("""COMPUTED_VALUE"""),"")</f>
        <v/>
      </c>
      <c r="AE126" s="35" t="str">
        <f>IFERROR(__xludf.DUMMYFUNCTION("""COMPUTED_VALUE"""),"AP")</f>
        <v>AP</v>
      </c>
      <c r="AF126" s="34" t="str">
        <f>IFERROR(__xludf.DUMMYFUNCTION("""COMPUTED_VALUE"""),"")</f>
        <v/>
      </c>
      <c r="AG126" s="35" t="str">
        <f>IFERROR(__xludf.DUMMYFUNCTION("""COMPUTED_VALUE"""),"%")</f>
        <v>%</v>
      </c>
      <c r="AH126" s="31">
        <f>IFERROR(__xludf.DUMMYFUNCTION("""COMPUTED_VALUE"""),21.0)</f>
        <v>21</v>
      </c>
      <c r="AI126" s="32">
        <f>IFERROR(__xludf.DUMMYFUNCTION("""COMPUTED_VALUE"""),1941.0)</f>
        <v>1941</v>
      </c>
      <c r="AJ126" s="30" t="str">
        <f>IFERROR(__xludf.DUMMYFUNCTION("""COMPUTED_VALUE"""),"Bog")</f>
        <v>Bog</v>
      </c>
    </row>
    <row r="127" ht="24.75" customHeight="1">
      <c r="A127" s="40">
        <f>IFERROR(__xludf.DUMMYFUNCTION("""COMPUTED_VALUE"""),10.0)</f>
        <v>10</v>
      </c>
      <c r="B127" s="40" t="str">
        <f>IFERROR(__xludf.DUMMYFUNCTION("""COMPUTED_VALUE"""),"A306")</f>
        <v>A306</v>
      </c>
      <c r="C127" s="40" t="str">
        <f>IFERROR(__xludf.DUMMYFUNCTION("""COMPUTED_VALUE"""),"SIN6")</f>
        <v>SIN6</v>
      </c>
      <c r="D127" s="41" t="str">
        <f>IFERROR(__xludf.DUMMYFUNCTION("""COMPUTED_VALUE"""),"SIN")</f>
        <v>SIN</v>
      </c>
      <c r="E127" s="42" t="str">
        <f>IFERROR(__xludf.DUMMYFUNCTION("""COMPUTED_VALUE"""),"Shanyang Hill")</f>
        <v>Shanyang Hill</v>
      </c>
      <c r="F127" s="43">
        <f>IFERROR(__xludf.DUMMYFUNCTION("""COMPUTED_VALUE"""),21.0)</f>
        <v>21</v>
      </c>
      <c r="G127" s="44">
        <f>IFERROR(__xludf.DUMMYFUNCTION("""COMPUTED_VALUE"""),5512.0)</f>
        <v>5512</v>
      </c>
      <c r="H127" s="33" t="str">
        <f>IFERROR(__xludf.DUMMYFUNCTION("""COMPUTED_VALUE"""),"")</f>
        <v/>
      </c>
      <c r="I127" s="45">
        <f>IFERROR(__xludf.DUMMYFUNCTION("""COMPUTED_VALUE"""),69.63100117122433)</f>
        <v>69.63100117</v>
      </c>
      <c r="J127" s="46" t="str">
        <f>IFERROR(__xludf.DUMMYFUNCTION("""COMPUTED_VALUE"""),"AP")</f>
        <v>AP</v>
      </c>
      <c r="K127" s="47">
        <f>IFERROR(__xludf.DUMMYFUNCTION("""COMPUTED_VALUE"""),30.15898040638607)</f>
        <v>30.15898041</v>
      </c>
      <c r="L127" s="48" t="str">
        <f>IFERROR(__xludf.DUMMYFUNCTION("""COMPUTED_VALUE"""),"%")</f>
        <v>%</v>
      </c>
      <c r="M127" s="49">
        <f>IFERROR(__xludf.DUMMYFUNCTION("""COMPUTED_VALUE"""),1.0)</f>
        <v>1</v>
      </c>
      <c r="N127" s="50" t="str">
        <f>IFERROR(__xludf.DUMMYFUNCTION("""COMPUTED_VALUE"""),"A113")</f>
        <v>A113</v>
      </c>
      <c r="O127" s="38" t="str">
        <f>IFERROR(__xludf.DUMMYFUNCTION("""COMPUTED_VALUE"""),"")</f>
        <v/>
      </c>
      <c r="P127" s="45">
        <f>IFERROR(__xludf.DUMMYFUNCTION("""COMPUTED_VALUE"""),137.57463963792645)</f>
        <v>137.5746396</v>
      </c>
      <c r="Q127" s="46" t="str">
        <f>IFERROR(__xludf.DUMMYFUNCTION("""COMPUTED_VALUE"""),"AP")</f>
        <v>AP</v>
      </c>
      <c r="R127" s="47">
        <f>IFERROR(__xludf.DUMMYFUNCTION("""COMPUTED_VALUE"""),15.264441219158199)</f>
        <v>15.26444122</v>
      </c>
      <c r="S127" s="48" t="str">
        <f>IFERROR(__xludf.DUMMYFUNCTION("""COMPUTED_VALUE"""),"%")</f>
        <v>%</v>
      </c>
      <c r="T127" s="49">
        <f>IFERROR(__xludf.DUMMYFUNCTION("""COMPUTED_VALUE"""),2.0)</f>
        <v>2</v>
      </c>
      <c r="U127" s="50" t="str">
        <f>IFERROR(__xludf.DUMMYFUNCTION("""COMPUTED_VALUE"""),"A304")</f>
        <v>A304</v>
      </c>
      <c r="V127" s="38" t="str">
        <f>IFERROR(__xludf.DUMMYFUNCTION("""COMPUTED_VALUE"""),"")</f>
        <v/>
      </c>
      <c r="W127" s="45">
        <f>IFERROR(__xludf.DUMMYFUNCTION("""COMPUTED_VALUE"""),71.88690072512911)</f>
        <v>71.88690073</v>
      </c>
      <c r="X127" s="46" t="str">
        <f>IFERROR(__xludf.DUMMYFUNCTION("""COMPUTED_VALUE"""),"AP")</f>
        <v>AP</v>
      </c>
      <c r="Y127" s="47">
        <f>IFERROR(__xludf.DUMMYFUNCTION("""COMPUTED_VALUE"""),29.21255442670537)</f>
        <v>29.21255443</v>
      </c>
      <c r="Z127" s="48" t="str">
        <f>IFERROR(__xludf.DUMMYFUNCTION("""COMPUTED_VALUE"""),"%")</f>
        <v>%</v>
      </c>
      <c r="AA127" s="49">
        <f>IFERROR(__xludf.DUMMYFUNCTION("""COMPUTED_VALUE"""),3.0)</f>
        <v>3</v>
      </c>
      <c r="AB127" s="50" t="str">
        <f>IFERROR(__xludf.DUMMYFUNCTION("""COMPUTED_VALUE"""),"B112")</f>
        <v>B112</v>
      </c>
      <c r="AC127" s="38" t="str">
        <f>IFERROR(__xludf.DUMMYFUNCTION("""COMPUTED_VALUE"""),"")</f>
        <v/>
      </c>
      <c r="AD127" s="45">
        <f>IFERROR(__xludf.DUMMYFUNCTION("""COMPUTED_VALUE"""),171.9114956989798)</f>
        <v>171.9114957</v>
      </c>
      <c r="AE127" s="46" t="str">
        <f>IFERROR(__xludf.DUMMYFUNCTION("""COMPUTED_VALUE"""),"AP")</f>
        <v>AP</v>
      </c>
      <c r="AF127" s="47">
        <f>IFERROR(__xludf.DUMMYFUNCTION("""COMPUTED_VALUE"""),12.215587977182974)</f>
        <v>12.21558798</v>
      </c>
      <c r="AG127" s="48" t="str">
        <f>IFERROR(__xludf.DUMMYFUNCTION("""COMPUTED_VALUE"""),"%")</f>
        <v>%</v>
      </c>
      <c r="AH127" s="43">
        <f>IFERROR(__xludf.DUMMYFUNCTION("""COMPUTED_VALUE"""),21.0)</f>
        <v>21</v>
      </c>
      <c r="AI127" s="44">
        <f>IFERROR(__xludf.DUMMYFUNCTION("""COMPUTED_VALUE"""),5512.0)</f>
        <v>5512</v>
      </c>
      <c r="AJ127" s="42" t="str">
        <f>IFERROR(__xludf.DUMMYFUNCTION("""COMPUTED_VALUE"""),"Shanyang Hill")</f>
        <v>Shanyang Hill</v>
      </c>
    </row>
    <row r="128" ht="24.75" customHeight="1">
      <c r="A128" s="28">
        <f>IFERROR(__xludf.DUMMYFUNCTION("""COMPUTED_VALUE"""),11.0)</f>
        <v>11</v>
      </c>
      <c r="B128" s="28" t="str">
        <f>IFERROR(__xludf.DUMMYFUNCTION("""COMPUTED_VALUE"""),"A306")</f>
        <v>A306</v>
      </c>
      <c r="C128" s="28" t="str">
        <f>IFERROR(__xludf.DUMMYFUNCTION("""COMPUTED_VALUE"""),"BBL12")</f>
        <v>BBL12</v>
      </c>
      <c r="D128" s="29" t="str">
        <f>IFERROR(__xludf.DUMMYFUNCTION("""COMPUTED_VALUE"""),"Babylonia")</f>
        <v>Babylonia</v>
      </c>
      <c r="E128" s="30" t="str">
        <f>IFERROR(__xludf.DUMMYFUNCTION("""COMPUTED_VALUE"""),"Nippur")</f>
        <v>Nippur</v>
      </c>
      <c r="F128" s="31">
        <f>IFERROR(__xludf.DUMMYFUNCTION("""COMPUTED_VALUE"""),21.0)</f>
        <v>21</v>
      </c>
      <c r="G128" s="32">
        <f>IFERROR(__xludf.DUMMYFUNCTION("""COMPUTED_VALUE"""),70296.0)</f>
        <v>70296</v>
      </c>
      <c r="H128" s="33" t="str">
        <f>IFERROR(__xludf.DUMMYFUNCTION("""COMPUTED_VALUE"""),"")</f>
        <v/>
      </c>
      <c r="I128" s="34">
        <f>IFERROR(__xludf.DUMMYFUNCTION("""COMPUTED_VALUE"""),69.92473296544537)</f>
        <v>69.92473297</v>
      </c>
      <c r="J128" s="35" t="str">
        <f>IFERROR(__xludf.DUMMYFUNCTION("""COMPUTED_VALUE"""),"AP")</f>
        <v>AP</v>
      </c>
      <c r="K128" s="34">
        <f>IFERROR(__xludf.DUMMYFUNCTION("""COMPUTED_VALUE"""),30.03229202230568)</f>
        <v>30.03229202</v>
      </c>
      <c r="L128" s="35" t="str">
        <f>IFERROR(__xludf.DUMMYFUNCTION("""COMPUTED_VALUE"""),"%")</f>
        <v>%</v>
      </c>
      <c r="M128" s="36">
        <f>IFERROR(__xludf.DUMMYFUNCTION("""COMPUTED_VALUE"""),1.0)</f>
        <v>1</v>
      </c>
      <c r="N128" s="37" t="str">
        <f>IFERROR(__xludf.DUMMYFUNCTION("""COMPUTED_VALUE"""),"A103")</f>
        <v>A103</v>
      </c>
      <c r="O128" s="38" t="str">
        <f>IFERROR(__xludf.DUMMYFUNCTION("""COMPUTED_VALUE"""),"")</f>
        <v/>
      </c>
      <c r="P128" s="34">
        <f>IFERROR(__xludf.DUMMYFUNCTION("""COMPUTED_VALUE"""),173.70404385267673)</f>
        <v>173.7040439</v>
      </c>
      <c r="Q128" s="35" t="str">
        <f>IFERROR(__xludf.DUMMYFUNCTION("""COMPUTED_VALUE"""),"AP")</f>
        <v>AP</v>
      </c>
      <c r="R128" s="34">
        <f>IFERROR(__xludf.DUMMYFUNCTION("""COMPUTED_VALUE"""),12.089528564925459)</f>
        <v>12.08952856</v>
      </c>
      <c r="S128" s="35" t="str">
        <f>IFERROR(__xludf.DUMMYFUNCTION("""COMPUTED_VALUE"""),"%")</f>
        <v>%</v>
      </c>
      <c r="T128" s="36">
        <f>IFERROR(__xludf.DUMMYFUNCTION("""COMPUTED_VALUE"""),2.0)</f>
        <v>2</v>
      </c>
      <c r="U128" s="37" t="str">
        <f>IFERROR(__xludf.DUMMYFUNCTION("""COMPUTED_VALUE"""),"B104")</f>
        <v>B104</v>
      </c>
      <c r="V128" s="38" t="str">
        <f>IFERROR(__xludf.DUMMYFUNCTION("""COMPUTED_VALUE"""),"")</f>
        <v/>
      </c>
      <c r="W128" s="34">
        <f>IFERROR(__xludf.DUMMYFUNCTION("""COMPUTED_VALUE"""),656.8667236223836)</f>
        <v>656.8667236</v>
      </c>
      <c r="X128" s="35" t="str">
        <f>IFERROR(__xludf.DUMMYFUNCTION("""COMPUTED_VALUE"""),"AP")</f>
        <v>AP</v>
      </c>
      <c r="Y128" s="34">
        <f>IFERROR(__xludf.DUMMYFUNCTION("""COMPUTED_VALUE"""),3.196995561625128)</f>
        <v>3.196995562</v>
      </c>
      <c r="Z128" s="35" t="str">
        <f>IFERROR(__xludf.DUMMYFUNCTION("""COMPUTED_VALUE"""),"%")</f>
        <v>%</v>
      </c>
      <c r="AA128" s="36">
        <f>IFERROR(__xludf.DUMMYFUNCTION("""COMPUTED_VALUE"""),3.0)</f>
        <v>3</v>
      </c>
      <c r="AB128" s="37"/>
      <c r="AC128" s="38"/>
      <c r="AD128" s="34" t="str">
        <f>IFERROR(__xludf.DUMMYFUNCTION("""COMPUTED_VALUE"""),"")</f>
        <v/>
      </c>
      <c r="AE128" s="35" t="str">
        <f>IFERROR(__xludf.DUMMYFUNCTION("""COMPUTED_VALUE"""),"AP")</f>
        <v>AP</v>
      </c>
      <c r="AF128" s="34" t="str">
        <f>IFERROR(__xludf.DUMMYFUNCTION("""COMPUTED_VALUE"""),"")</f>
        <v/>
      </c>
      <c r="AG128" s="35" t="str">
        <f>IFERROR(__xludf.DUMMYFUNCTION("""COMPUTED_VALUE"""),"%")</f>
        <v>%</v>
      </c>
      <c r="AH128" s="31">
        <f>IFERROR(__xludf.DUMMYFUNCTION("""COMPUTED_VALUE"""),21.0)</f>
        <v>21</v>
      </c>
      <c r="AI128" s="32">
        <f>IFERROR(__xludf.DUMMYFUNCTION("""COMPUTED_VALUE"""),70296.0)</f>
        <v>70296</v>
      </c>
      <c r="AJ128" s="30" t="str">
        <f>IFERROR(__xludf.DUMMYFUNCTION("""COMPUTED_VALUE"""),"Nippur")</f>
        <v>Nippur</v>
      </c>
    </row>
    <row r="129" ht="24.75" customHeight="1">
      <c r="A129" s="40">
        <f>IFERROR(__xludf.DUMMYFUNCTION("""COMPUTED_VALUE"""),12.0)</f>
        <v>12</v>
      </c>
      <c r="B129" s="40" t="str">
        <f>IFERROR(__xludf.DUMMYFUNCTION("""COMPUTED_VALUE"""),"A306")</f>
        <v>A306</v>
      </c>
      <c r="C129" s="40" t="str">
        <f>IFERROR(__xludf.DUMMYFUNCTION("""COMPUTED_VALUE"""),"ANA13")</f>
        <v>ANA13</v>
      </c>
      <c r="D129" s="41" t="str">
        <f>IFERROR(__xludf.DUMMYFUNCTION("""COMPUTED_VALUE"""),"Anastasia")</f>
        <v>Anastasia</v>
      </c>
      <c r="E129" s="42" t="str">
        <f>IFERROR(__xludf.DUMMYFUNCTION("""COMPUTED_VALUE"""),"Base of the Great Tree")</f>
        <v>Base of the Great Tree</v>
      </c>
      <c r="F129" s="43">
        <f>IFERROR(__xludf.DUMMYFUNCTION("""COMPUTED_VALUE"""),21.0)</f>
        <v>21</v>
      </c>
      <c r="G129" s="44">
        <f>IFERROR(__xludf.DUMMYFUNCTION("""COMPUTED_VALUE"""),13779.0)</f>
        <v>13779</v>
      </c>
      <c r="H129" s="33" t="str">
        <f>IFERROR(__xludf.DUMMYFUNCTION("""COMPUTED_VALUE"""),"")</f>
        <v/>
      </c>
      <c r="I129" s="45">
        <f>IFERROR(__xludf.DUMMYFUNCTION("""COMPUTED_VALUE"""),71.36839052081643)</f>
        <v>71.36839052</v>
      </c>
      <c r="J129" s="46" t="str">
        <f>IFERROR(__xludf.DUMMYFUNCTION("""COMPUTED_VALUE"""),"AP")</f>
        <v>AP</v>
      </c>
      <c r="K129" s="47">
        <f>IFERROR(__xludf.DUMMYFUNCTION("""COMPUTED_VALUE"""),29.424791349154507)</f>
        <v>29.42479135</v>
      </c>
      <c r="L129" s="48" t="str">
        <f>IFERROR(__xludf.DUMMYFUNCTION("""COMPUTED_VALUE"""),"%")</f>
        <v>%</v>
      </c>
      <c r="M129" s="49">
        <f>IFERROR(__xludf.DUMMYFUNCTION("""COMPUTED_VALUE"""),1.0)</f>
        <v>1</v>
      </c>
      <c r="N129" s="50" t="str">
        <f>IFERROR(__xludf.DUMMYFUNCTION("""COMPUTED_VALUE"""),"A213")</f>
        <v>A213</v>
      </c>
      <c r="O129" s="38" t="str">
        <f>IFERROR(__xludf.DUMMYFUNCTION("""COMPUTED_VALUE"""),"")</f>
        <v/>
      </c>
      <c r="P129" s="45">
        <f>IFERROR(__xludf.DUMMYFUNCTION("""COMPUTED_VALUE"""),105.08389018012782)</f>
        <v>105.0838902</v>
      </c>
      <c r="Q129" s="46" t="str">
        <f>IFERROR(__xludf.DUMMYFUNCTION("""COMPUTED_VALUE"""),"AP")</f>
        <v>AP</v>
      </c>
      <c r="R129" s="47">
        <f>IFERROR(__xludf.DUMMYFUNCTION("""COMPUTED_VALUE"""),19.98403367443211)</f>
        <v>19.98403367</v>
      </c>
      <c r="S129" s="48" t="str">
        <f>IFERROR(__xludf.DUMMYFUNCTION("""COMPUTED_VALUE"""),"%")</f>
        <v>%</v>
      </c>
      <c r="T129" s="49">
        <f>IFERROR(__xludf.DUMMYFUNCTION("""COMPUTED_VALUE"""),2.0)</f>
        <v>2</v>
      </c>
      <c r="U129" s="50" t="str">
        <f>IFERROR(__xludf.DUMMYFUNCTION("""COMPUTED_VALUE"""),"A304")</f>
        <v>A304</v>
      </c>
      <c r="V129" s="38" t="str">
        <f>IFERROR(__xludf.DUMMYFUNCTION("""COMPUTED_VALUE"""),"")</f>
        <v/>
      </c>
      <c r="W129" s="45">
        <f>IFERROR(__xludf.DUMMYFUNCTION("""COMPUTED_VALUE"""),69.97968511934992)</f>
        <v>69.97968512</v>
      </c>
      <c r="X129" s="46" t="str">
        <f>IFERROR(__xludf.DUMMYFUNCTION("""COMPUTED_VALUE"""),"AP")</f>
        <v>AP</v>
      </c>
      <c r="Y129" s="47">
        <f>IFERROR(__xludf.DUMMYFUNCTION("""COMPUTED_VALUE"""),30.008708904855215)</f>
        <v>30.0087089</v>
      </c>
      <c r="Z129" s="48" t="str">
        <f>IFERROR(__xludf.DUMMYFUNCTION("""COMPUTED_VALUE"""),"%")</f>
        <v>%</v>
      </c>
      <c r="AA129" s="49">
        <f>IFERROR(__xludf.DUMMYFUNCTION("""COMPUTED_VALUE"""),3.0)</f>
        <v>3</v>
      </c>
      <c r="AB129" s="50" t="str">
        <f>IFERROR(__xludf.DUMMYFUNCTION("""COMPUTED_VALUE"""),"B116")</f>
        <v>B116</v>
      </c>
      <c r="AC129" s="38" t="str">
        <f>IFERROR(__xludf.DUMMYFUNCTION("""COMPUTED_VALUE"""),"")</f>
        <v/>
      </c>
      <c r="AD129" s="45">
        <f>IFERROR(__xludf.DUMMYFUNCTION("""COMPUTED_VALUE"""),107.79888125117796)</f>
        <v>107.7988813</v>
      </c>
      <c r="AE129" s="46" t="str">
        <f>IFERROR(__xludf.DUMMYFUNCTION("""COMPUTED_VALUE"""),"AP")</f>
        <v>AP</v>
      </c>
      <c r="AF129" s="47">
        <f>IFERROR(__xludf.DUMMYFUNCTION("""COMPUTED_VALUE"""),19.480721651525048)</f>
        <v>19.48072165</v>
      </c>
      <c r="AG129" s="48" t="str">
        <f>IFERROR(__xludf.DUMMYFUNCTION("""COMPUTED_VALUE"""),"%")</f>
        <v>%</v>
      </c>
      <c r="AH129" s="43">
        <f>IFERROR(__xludf.DUMMYFUNCTION("""COMPUTED_VALUE"""),21.0)</f>
        <v>21</v>
      </c>
      <c r="AI129" s="44">
        <f>IFERROR(__xludf.DUMMYFUNCTION("""COMPUTED_VALUE"""),13779.0)</f>
        <v>13779</v>
      </c>
      <c r="AJ129" s="42" t="str">
        <f>IFERROR(__xludf.DUMMYFUNCTION("""COMPUTED_VALUE"""),"Base of the Great Tree")</f>
        <v>Base of the Great Tree</v>
      </c>
    </row>
    <row r="130" ht="24.75" customHeight="1">
      <c r="A130" s="28">
        <f>IFERROR(__xludf.DUMMYFUNCTION("""COMPUTED_VALUE"""),13.0)</f>
        <v>13</v>
      </c>
      <c r="B130" s="28" t="str">
        <f>IFERROR(__xludf.DUMMYFUNCTION("""COMPUTED_VALUE"""),"A306")</f>
        <v>A306</v>
      </c>
      <c r="C130" s="28"/>
      <c r="D130" s="29"/>
      <c r="E130" s="67"/>
      <c r="F130" s="31"/>
      <c r="G130" s="32"/>
      <c r="H130" s="33" t="str">
        <f>IFERROR(__xludf.DUMMYFUNCTION("""COMPUTED_VALUE""")," ")</f>
        <v> </v>
      </c>
      <c r="I130" s="34"/>
      <c r="J130" s="35" t="str">
        <f>IFERROR(__xludf.DUMMYFUNCTION("""COMPUTED_VALUE"""),"AP")</f>
        <v>AP</v>
      </c>
      <c r="K130" s="34"/>
      <c r="L130" s="35" t="str">
        <f>IFERROR(__xludf.DUMMYFUNCTION("""COMPUTED_VALUE"""),"%")</f>
        <v>%</v>
      </c>
      <c r="M130" s="36">
        <f>IFERROR(__xludf.DUMMYFUNCTION("""COMPUTED_VALUE"""),1.0)</f>
        <v>1</v>
      </c>
      <c r="N130" s="37"/>
      <c r="O130" s="38"/>
      <c r="P130" s="34" t="str">
        <f>IFERROR(__xludf.DUMMYFUNCTION("""COMPUTED_VALUE"""),"")</f>
        <v/>
      </c>
      <c r="Q130" s="35" t="str">
        <f>IFERROR(__xludf.DUMMYFUNCTION("""COMPUTED_VALUE"""),"AP")</f>
        <v>AP</v>
      </c>
      <c r="R130" s="34" t="str">
        <f>IFERROR(__xludf.DUMMYFUNCTION("""COMPUTED_VALUE"""),"")</f>
        <v/>
      </c>
      <c r="S130" s="35" t="str">
        <f>IFERROR(__xludf.DUMMYFUNCTION("""COMPUTED_VALUE"""),"%")</f>
        <v>%</v>
      </c>
      <c r="T130" s="36">
        <f>IFERROR(__xludf.DUMMYFUNCTION("""COMPUTED_VALUE"""),2.0)</f>
        <v>2</v>
      </c>
      <c r="U130" s="37"/>
      <c r="V130" s="38"/>
      <c r="W130" s="34" t="str">
        <f>IFERROR(__xludf.DUMMYFUNCTION("""COMPUTED_VALUE"""),"")</f>
        <v/>
      </c>
      <c r="X130" s="35" t="str">
        <f>IFERROR(__xludf.DUMMYFUNCTION("""COMPUTED_VALUE"""),"AP")</f>
        <v>AP</v>
      </c>
      <c r="Y130" s="34" t="str">
        <f>IFERROR(__xludf.DUMMYFUNCTION("""COMPUTED_VALUE"""),"")</f>
        <v/>
      </c>
      <c r="Z130" s="35" t="str">
        <f>IFERROR(__xludf.DUMMYFUNCTION("""COMPUTED_VALUE"""),"%")</f>
        <v>%</v>
      </c>
      <c r="AA130" s="36">
        <f>IFERROR(__xludf.DUMMYFUNCTION("""COMPUTED_VALUE"""),3.0)</f>
        <v>3</v>
      </c>
      <c r="AB130" s="37"/>
      <c r="AC130" s="38"/>
      <c r="AD130" s="34" t="str">
        <f>IFERROR(__xludf.DUMMYFUNCTION("""COMPUTED_VALUE"""),"")</f>
        <v/>
      </c>
      <c r="AE130" s="35" t="str">
        <f>IFERROR(__xludf.DUMMYFUNCTION("""COMPUTED_VALUE"""),"AP")</f>
        <v>AP</v>
      </c>
      <c r="AF130" s="34" t="str">
        <f>IFERROR(__xludf.DUMMYFUNCTION("""COMPUTED_VALUE"""),"")</f>
        <v/>
      </c>
      <c r="AG130" s="35" t="str">
        <f>IFERROR(__xludf.DUMMYFUNCTION("""COMPUTED_VALUE"""),"%")</f>
        <v>%</v>
      </c>
      <c r="AH130" s="31"/>
      <c r="AI130" s="32"/>
      <c r="AJ130" s="67"/>
    </row>
    <row r="131" ht="24.75" hidden="1" customHeight="1">
      <c r="A131" s="40">
        <f>IFERROR(__xludf.DUMMYFUNCTION("""COMPUTED_VALUE"""),14.0)</f>
        <v>14</v>
      </c>
      <c r="B131" s="40" t="str">
        <f>IFERROR(__xludf.DUMMYFUNCTION("""COMPUTED_VALUE"""),"A306")</f>
        <v>A306</v>
      </c>
      <c r="C131" s="40"/>
      <c r="D131" s="41"/>
      <c r="E131" s="66"/>
      <c r="F131" s="43"/>
      <c r="G131" s="44"/>
      <c r="H131" s="33" t="str">
        <f>IFERROR(__xludf.DUMMYFUNCTION("""COMPUTED_VALUE""")," ")</f>
        <v> </v>
      </c>
      <c r="I131" s="45"/>
      <c r="J131" s="46" t="str">
        <f>IFERROR(__xludf.DUMMYFUNCTION("""COMPUTED_VALUE"""),"AP")</f>
        <v>AP</v>
      </c>
      <c r="K131" s="47"/>
      <c r="L131" s="48" t="str">
        <f>IFERROR(__xludf.DUMMYFUNCTION("""COMPUTED_VALUE"""),"%")</f>
        <v>%</v>
      </c>
      <c r="M131" s="49">
        <f>IFERROR(__xludf.DUMMYFUNCTION("""COMPUTED_VALUE"""),1.0)</f>
        <v>1</v>
      </c>
      <c r="N131" s="50"/>
      <c r="O131" s="38"/>
      <c r="P131" s="45" t="str">
        <f>IFERROR(__xludf.DUMMYFUNCTION("""COMPUTED_VALUE"""),"")</f>
        <v/>
      </c>
      <c r="Q131" s="46" t="str">
        <f>IFERROR(__xludf.DUMMYFUNCTION("""COMPUTED_VALUE"""),"AP")</f>
        <v>AP</v>
      </c>
      <c r="R131" s="47" t="str">
        <f>IFERROR(__xludf.DUMMYFUNCTION("""COMPUTED_VALUE"""),"")</f>
        <v/>
      </c>
      <c r="S131" s="48" t="str">
        <f>IFERROR(__xludf.DUMMYFUNCTION("""COMPUTED_VALUE"""),"%")</f>
        <v>%</v>
      </c>
      <c r="T131" s="49">
        <f>IFERROR(__xludf.DUMMYFUNCTION("""COMPUTED_VALUE"""),2.0)</f>
        <v>2</v>
      </c>
      <c r="U131" s="50"/>
      <c r="V131" s="38"/>
      <c r="W131" s="45" t="str">
        <f>IFERROR(__xludf.DUMMYFUNCTION("""COMPUTED_VALUE"""),"")</f>
        <v/>
      </c>
      <c r="X131" s="46" t="str">
        <f>IFERROR(__xludf.DUMMYFUNCTION("""COMPUTED_VALUE"""),"AP")</f>
        <v>AP</v>
      </c>
      <c r="Y131" s="47" t="str">
        <f>IFERROR(__xludf.DUMMYFUNCTION("""COMPUTED_VALUE"""),"")</f>
        <v/>
      </c>
      <c r="Z131" s="48" t="str">
        <f>IFERROR(__xludf.DUMMYFUNCTION("""COMPUTED_VALUE"""),"%")</f>
        <v>%</v>
      </c>
      <c r="AA131" s="49">
        <f>IFERROR(__xludf.DUMMYFUNCTION("""COMPUTED_VALUE"""),3.0)</f>
        <v>3</v>
      </c>
      <c r="AB131" s="50"/>
      <c r="AC131" s="38"/>
      <c r="AD131" s="45" t="str">
        <f>IFERROR(__xludf.DUMMYFUNCTION("""COMPUTED_VALUE"""),"")</f>
        <v/>
      </c>
      <c r="AE131" s="46" t="str">
        <f>IFERROR(__xludf.DUMMYFUNCTION("""COMPUTED_VALUE"""),"AP")</f>
        <v>AP</v>
      </c>
      <c r="AF131" s="47" t="str">
        <f>IFERROR(__xludf.DUMMYFUNCTION("""COMPUTED_VALUE"""),"")</f>
        <v/>
      </c>
      <c r="AG131" s="48" t="str">
        <f>IFERROR(__xludf.DUMMYFUNCTION("""COMPUTED_VALUE"""),"%")</f>
        <v>%</v>
      </c>
      <c r="AH131" s="43"/>
      <c r="AI131" s="44"/>
      <c r="AJ131" s="66"/>
    </row>
    <row r="132" ht="24.75" hidden="1" customHeight="1">
      <c r="A132" s="28">
        <f>IFERROR(__xludf.DUMMYFUNCTION("""COMPUTED_VALUE"""),15.0)</f>
        <v>15</v>
      </c>
      <c r="B132" s="28" t="str">
        <f>IFERROR(__xludf.DUMMYFUNCTION("""COMPUTED_VALUE"""),"A306")</f>
        <v>A306</v>
      </c>
      <c r="C132" s="28"/>
      <c r="D132" s="29"/>
      <c r="E132" s="67"/>
      <c r="F132" s="31"/>
      <c r="G132" s="32"/>
      <c r="H132" s="33" t="str">
        <f>IFERROR(__xludf.DUMMYFUNCTION("""COMPUTED_VALUE""")," ")</f>
        <v> </v>
      </c>
      <c r="I132" s="34"/>
      <c r="J132" s="35" t="str">
        <f>IFERROR(__xludf.DUMMYFUNCTION("""COMPUTED_VALUE"""),"AP")</f>
        <v>AP</v>
      </c>
      <c r="K132" s="34"/>
      <c r="L132" s="35" t="str">
        <f>IFERROR(__xludf.DUMMYFUNCTION("""COMPUTED_VALUE"""),"%")</f>
        <v>%</v>
      </c>
      <c r="M132" s="36">
        <f>IFERROR(__xludf.DUMMYFUNCTION("""COMPUTED_VALUE"""),1.0)</f>
        <v>1</v>
      </c>
      <c r="N132" s="37"/>
      <c r="O132" s="38"/>
      <c r="P132" s="34" t="str">
        <f>IFERROR(__xludf.DUMMYFUNCTION("""COMPUTED_VALUE"""),"")</f>
        <v/>
      </c>
      <c r="Q132" s="35" t="str">
        <f>IFERROR(__xludf.DUMMYFUNCTION("""COMPUTED_VALUE"""),"AP")</f>
        <v>AP</v>
      </c>
      <c r="R132" s="34" t="str">
        <f>IFERROR(__xludf.DUMMYFUNCTION("""COMPUTED_VALUE"""),"")</f>
        <v/>
      </c>
      <c r="S132" s="35" t="str">
        <f>IFERROR(__xludf.DUMMYFUNCTION("""COMPUTED_VALUE"""),"%")</f>
        <v>%</v>
      </c>
      <c r="T132" s="36">
        <f>IFERROR(__xludf.DUMMYFUNCTION("""COMPUTED_VALUE"""),2.0)</f>
        <v>2</v>
      </c>
      <c r="U132" s="37"/>
      <c r="V132" s="38"/>
      <c r="W132" s="34" t="str">
        <f>IFERROR(__xludf.DUMMYFUNCTION("""COMPUTED_VALUE"""),"")</f>
        <v/>
      </c>
      <c r="X132" s="35" t="str">
        <f>IFERROR(__xludf.DUMMYFUNCTION("""COMPUTED_VALUE"""),"AP")</f>
        <v>AP</v>
      </c>
      <c r="Y132" s="34" t="str">
        <f>IFERROR(__xludf.DUMMYFUNCTION("""COMPUTED_VALUE"""),"")</f>
        <v/>
      </c>
      <c r="Z132" s="35" t="str">
        <f>IFERROR(__xludf.DUMMYFUNCTION("""COMPUTED_VALUE"""),"%")</f>
        <v>%</v>
      </c>
      <c r="AA132" s="36">
        <f>IFERROR(__xludf.DUMMYFUNCTION("""COMPUTED_VALUE"""),3.0)</f>
        <v>3</v>
      </c>
      <c r="AB132" s="37"/>
      <c r="AC132" s="38"/>
      <c r="AD132" s="34" t="str">
        <f>IFERROR(__xludf.DUMMYFUNCTION("""COMPUTED_VALUE"""),"")</f>
        <v/>
      </c>
      <c r="AE132" s="35" t="str">
        <f>IFERROR(__xludf.DUMMYFUNCTION("""COMPUTED_VALUE"""),"AP")</f>
        <v>AP</v>
      </c>
      <c r="AF132" s="34" t="str">
        <f>IFERROR(__xludf.DUMMYFUNCTION("""COMPUTED_VALUE"""),"")</f>
        <v/>
      </c>
      <c r="AG132" s="35" t="str">
        <f>IFERROR(__xludf.DUMMYFUNCTION("""COMPUTED_VALUE"""),"%")</f>
        <v>%</v>
      </c>
      <c r="AH132" s="31"/>
      <c r="AI132" s="32"/>
      <c r="AJ132" s="67"/>
    </row>
    <row r="133" ht="24.75" hidden="1" customHeight="1">
      <c r="A133" s="40">
        <f>IFERROR(__xludf.DUMMYFUNCTION("""COMPUTED_VALUE"""),16.0)</f>
        <v>16</v>
      </c>
      <c r="B133" s="40" t="str">
        <f>IFERROR(__xludf.DUMMYFUNCTION("""COMPUTED_VALUE"""),"A306")</f>
        <v>A306</v>
      </c>
      <c r="C133" s="40"/>
      <c r="D133" s="41"/>
      <c r="E133" s="66"/>
      <c r="F133" s="43"/>
      <c r="G133" s="44"/>
      <c r="H133" s="33" t="str">
        <f>IFERROR(__xludf.DUMMYFUNCTION("""COMPUTED_VALUE""")," ")</f>
        <v> </v>
      </c>
      <c r="I133" s="45"/>
      <c r="J133" s="46" t="str">
        <f>IFERROR(__xludf.DUMMYFUNCTION("""COMPUTED_VALUE"""),"AP")</f>
        <v>AP</v>
      </c>
      <c r="K133" s="47"/>
      <c r="L133" s="48" t="str">
        <f>IFERROR(__xludf.DUMMYFUNCTION("""COMPUTED_VALUE"""),"%")</f>
        <v>%</v>
      </c>
      <c r="M133" s="49">
        <f>IFERROR(__xludf.DUMMYFUNCTION("""COMPUTED_VALUE"""),1.0)</f>
        <v>1</v>
      </c>
      <c r="N133" s="50"/>
      <c r="O133" s="38"/>
      <c r="P133" s="45" t="str">
        <f>IFERROR(__xludf.DUMMYFUNCTION("""COMPUTED_VALUE"""),"")</f>
        <v/>
      </c>
      <c r="Q133" s="46" t="str">
        <f>IFERROR(__xludf.DUMMYFUNCTION("""COMPUTED_VALUE"""),"AP")</f>
        <v>AP</v>
      </c>
      <c r="R133" s="47" t="str">
        <f>IFERROR(__xludf.DUMMYFUNCTION("""COMPUTED_VALUE"""),"")</f>
        <v/>
      </c>
      <c r="S133" s="48" t="str">
        <f>IFERROR(__xludf.DUMMYFUNCTION("""COMPUTED_VALUE"""),"%")</f>
        <v>%</v>
      </c>
      <c r="T133" s="49">
        <f>IFERROR(__xludf.DUMMYFUNCTION("""COMPUTED_VALUE"""),2.0)</f>
        <v>2</v>
      </c>
      <c r="U133" s="50"/>
      <c r="V133" s="38"/>
      <c r="W133" s="45" t="str">
        <f>IFERROR(__xludf.DUMMYFUNCTION("""COMPUTED_VALUE"""),"")</f>
        <v/>
      </c>
      <c r="X133" s="46" t="str">
        <f>IFERROR(__xludf.DUMMYFUNCTION("""COMPUTED_VALUE"""),"AP")</f>
        <v>AP</v>
      </c>
      <c r="Y133" s="47" t="str">
        <f>IFERROR(__xludf.DUMMYFUNCTION("""COMPUTED_VALUE"""),"")</f>
        <v/>
      </c>
      <c r="Z133" s="48" t="str">
        <f>IFERROR(__xludf.DUMMYFUNCTION("""COMPUTED_VALUE"""),"%")</f>
        <v>%</v>
      </c>
      <c r="AA133" s="49">
        <f>IFERROR(__xludf.DUMMYFUNCTION("""COMPUTED_VALUE"""),3.0)</f>
        <v>3</v>
      </c>
      <c r="AB133" s="50"/>
      <c r="AC133" s="38"/>
      <c r="AD133" s="45" t="str">
        <f>IFERROR(__xludf.DUMMYFUNCTION("""COMPUTED_VALUE"""),"")</f>
        <v/>
      </c>
      <c r="AE133" s="46" t="str">
        <f>IFERROR(__xludf.DUMMYFUNCTION("""COMPUTED_VALUE"""),"AP")</f>
        <v>AP</v>
      </c>
      <c r="AF133" s="47" t="str">
        <f>IFERROR(__xludf.DUMMYFUNCTION("""COMPUTED_VALUE"""),"")</f>
        <v/>
      </c>
      <c r="AG133" s="48" t="str">
        <f>IFERROR(__xludf.DUMMYFUNCTION("""COMPUTED_VALUE"""),"%")</f>
        <v>%</v>
      </c>
      <c r="AH133" s="43"/>
      <c r="AI133" s="44"/>
      <c r="AJ133" s="66"/>
    </row>
    <row r="134" ht="24.75" hidden="1" customHeight="1">
      <c r="A134" s="28">
        <f>IFERROR(__xludf.DUMMYFUNCTION("""COMPUTED_VALUE"""),17.0)</f>
        <v>17</v>
      </c>
      <c r="B134" s="28" t="str">
        <f>IFERROR(__xludf.DUMMYFUNCTION("""COMPUTED_VALUE"""),"A306")</f>
        <v>A306</v>
      </c>
      <c r="C134" s="28"/>
      <c r="D134" s="29"/>
      <c r="E134" s="67"/>
      <c r="F134" s="31"/>
      <c r="G134" s="32"/>
      <c r="H134" s="33" t="str">
        <f>IFERROR(__xludf.DUMMYFUNCTION("""COMPUTED_VALUE""")," ")</f>
        <v> </v>
      </c>
      <c r="I134" s="34"/>
      <c r="J134" s="35" t="str">
        <f>IFERROR(__xludf.DUMMYFUNCTION("""COMPUTED_VALUE"""),"AP")</f>
        <v>AP</v>
      </c>
      <c r="K134" s="34"/>
      <c r="L134" s="35" t="str">
        <f>IFERROR(__xludf.DUMMYFUNCTION("""COMPUTED_VALUE"""),"%")</f>
        <v>%</v>
      </c>
      <c r="M134" s="36">
        <f>IFERROR(__xludf.DUMMYFUNCTION("""COMPUTED_VALUE"""),1.0)</f>
        <v>1</v>
      </c>
      <c r="N134" s="37"/>
      <c r="O134" s="38"/>
      <c r="P134" s="34" t="str">
        <f>IFERROR(__xludf.DUMMYFUNCTION("""COMPUTED_VALUE"""),"")</f>
        <v/>
      </c>
      <c r="Q134" s="35" t="str">
        <f>IFERROR(__xludf.DUMMYFUNCTION("""COMPUTED_VALUE"""),"AP")</f>
        <v>AP</v>
      </c>
      <c r="R134" s="34" t="str">
        <f>IFERROR(__xludf.DUMMYFUNCTION("""COMPUTED_VALUE"""),"")</f>
        <v/>
      </c>
      <c r="S134" s="35" t="str">
        <f>IFERROR(__xludf.DUMMYFUNCTION("""COMPUTED_VALUE"""),"%")</f>
        <v>%</v>
      </c>
      <c r="T134" s="36">
        <f>IFERROR(__xludf.DUMMYFUNCTION("""COMPUTED_VALUE"""),2.0)</f>
        <v>2</v>
      </c>
      <c r="U134" s="37"/>
      <c r="V134" s="38"/>
      <c r="W134" s="34" t="str">
        <f>IFERROR(__xludf.DUMMYFUNCTION("""COMPUTED_VALUE"""),"")</f>
        <v/>
      </c>
      <c r="X134" s="35" t="str">
        <f>IFERROR(__xludf.DUMMYFUNCTION("""COMPUTED_VALUE"""),"AP")</f>
        <v>AP</v>
      </c>
      <c r="Y134" s="34" t="str">
        <f>IFERROR(__xludf.DUMMYFUNCTION("""COMPUTED_VALUE"""),"")</f>
        <v/>
      </c>
      <c r="Z134" s="35" t="str">
        <f>IFERROR(__xludf.DUMMYFUNCTION("""COMPUTED_VALUE"""),"%")</f>
        <v>%</v>
      </c>
      <c r="AA134" s="36">
        <f>IFERROR(__xludf.DUMMYFUNCTION("""COMPUTED_VALUE"""),3.0)</f>
        <v>3</v>
      </c>
      <c r="AB134" s="37"/>
      <c r="AC134" s="38"/>
      <c r="AD134" s="34" t="str">
        <f>IFERROR(__xludf.DUMMYFUNCTION("""COMPUTED_VALUE"""),"")</f>
        <v/>
      </c>
      <c r="AE134" s="35" t="str">
        <f>IFERROR(__xludf.DUMMYFUNCTION("""COMPUTED_VALUE"""),"AP")</f>
        <v>AP</v>
      </c>
      <c r="AF134" s="34" t="str">
        <f>IFERROR(__xludf.DUMMYFUNCTION("""COMPUTED_VALUE"""),"")</f>
        <v/>
      </c>
      <c r="AG134" s="35" t="str">
        <f>IFERROR(__xludf.DUMMYFUNCTION("""COMPUTED_VALUE"""),"%")</f>
        <v>%</v>
      </c>
      <c r="AH134" s="31"/>
      <c r="AI134" s="32"/>
      <c r="AJ134" s="67"/>
    </row>
    <row r="135" ht="24.75" hidden="1" customHeight="1">
      <c r="A135" s="40">
        <f>IFERROR(__xludf.DUMMYFUNCTION("""COMPUTED_VALUE"""),18.0)</f>
        <v>18</v>
      </c>
      <c r="B135" s="40" t="str">
        <f>IFERROR(__xludf.DUMMYFUNCTION("""COMPUTED_VALUE"""),"A306")</f>
        <v>A306</v>
      </c>
      <c r="C135" s="40"/>
      <c r="D135" s="41"/>
      <c r="E135" s="66"/>
      <c r="F135" s="43"/>
      <c r="G135" s="44"/>
      <c r="H135" s="33" t="str">
        <f>IFERROR(__xludf.DUMMYFUNCTION("""COMPUTED_VALUE""")," ")</f>
        <v> </v>
      </c>
      <c r="I135" s="45"/>
      <c r="J135" s="46" t="str">
        <f>IFERROR(__xludf.DUMMYFUNCTION("""COMPUTED_VALUE"""),"AP")</f>
        <v>AP</v>
      </c>
      <c r="K135" s="47"/>
      <c r="L135" s="48" t="str">
        <f>IFERROR(__xludf.DUMMYFUNCTION("""COMPUTED_VALUE"""),"%")</f>
        <v>%</v>
      </c>
      <c r="M135" s="49">
        <f>IFERROR(__xludf.DUMMYFUNCTION("""COMPUTED_VALUE"""),1.0)</f>
        <v>1</v>
      </c>
      <c r="N135" s="50"/>
      <c r="O135" s="38"/>
      <c r="P135" s="45" t="str">
        <f>IFERROR(__xludf.DUMMYFUNCTION("""COMPUTED_VALUE"""),"")</f>
        <v/>
      </c>
      <c r="Q135" s="46" t="str">
        <f>IFERROR(__xludf.DUMMYFUNCTION("""COMPUTED_VALUE"""),"AP")</f>
        <v>AP</v>
      </c>
      <c r="R135" s="47" t="str">
        <f>IFERROR(__xludf.DUMMYFUNCTION("""COMPUTED_VALUE"""),"")</f>
        <v/>
      </c>
      <c r="S135" s="48" t="str">
        <f>IFERROR(__xludf.DUMMYFUNCTION("""COMPUTED_VALUE"""),"%")</f>
        <v>%</v>
      </c>
      <c r="T135" s="49">
        <f>IFERROR(__xludf.DUMMYFUNCTION("""COMPUTED_VALUE"""),2.0)</f>
        <v>2</v>
      </c>
      <c r="U135" s="50"/>
      <c r="V135" s="38"/>
      <c r="W135" s="45" t="str">
        <f>IFERROR(__xludf.DUMMYFUNCTION("""COMPUTED_VALUE"""),"")</f>
        <v/>
      </c>
      <c r="X135" s="46" t="str">
        <f>IFERROR(__xludf.DUMMYFUNCTION("""COMPUTED_VALUE"""),"AP")</f>
        <v>AP</v>
      </c>
      <c r="Y135" s="47" t="str">
        <f>IFERROR(__xludf.DUMMYFUNCTION("""COMPUTED_VALUE"""),"")</f>
        <v/>
      </c>
      <c r="Z135" s="48" t="str">
        <f>IFERROR(__xludf.DUMMYFUNCTION("""COMPUTED_VALUE"""),"%")</f>
        <v>%</v>
      </c>
      <c r="AA135" s="49">
        <f>IFERROR(__xludf.DUMMYFUNCTION("""COMPUTED_VALUE"""),3.0)</f>
        <v>3</v>
      </c>
      <c r="AB135" s="50"/>
      <c r="AC135" s="38"/>
      <c r="AD135" s="45" t="str">
        <f>IFERROR(__xludf.DUMMYFUNCTION("""COMPUTED_VALUE"""),"")</f>
        <v/>
      </c>
      <c r="AE135" s="46" t="str">
        <f>IFERROR(__xludf.DUMMYFUNCTION("""COMPUTED_VALUE"""),"AP")</f>
        <v>AP</v>
      </c>
      <c r="AF135" s="47" t="str">
        <f>IFERROR(__xludf.DUMMYFUNCTION("""COMPUTED_VALUE"""),"")</f>
        <v/>
      </c>
      <c r="AG135" s="48" t="str">
        <f>IFERROR(__xludf.DUMMYFUNCTION("""COMPUTED_VALUE"""),"%")</f>
        <v>%</v>
      </c>
      <c r="AH135" s="43"/>
      <c r="AI135" s="44"/>
      <c r="AJ135" s="66"/>
    </row>
    <row r="136" ht="24.75" hidden="1" customHeight="1">
      <c r="A136" s="28">
        <f>IFERROR(__xludf.DUMMYFUNCTION("""COMPUTED_VALUE"""),19.0)</f>
        <v>19</v>
      </c>
      <c r="B136" s="28" t="str">
        <f>IFERROR(__xludf.DUMMYFUNCTION("""COMPUTED_VALUE"""),"A306")</f>
        <v>A306</v>
      </c>
      <c r="C136" s="28"/>
      <c r="D136" s="29"/>
      <c r="E136" s="67"/>
      <c r="F136" s="31"/>
      <c r="G136" s="32"/>
      <c r="H136" s="33" t="str">
        <f>IFERROR(__xludf.DUMMYFUNCTION("""COMPUTED_VALUE""")," ")</f>
        <v> </v>
      </c>
      <c r="I136" s="34"/>
      <c r="J136" s="35" t="str">
        <f>IFERROR(__xludf.DUMMYFUNCTION("""COMPUTED_VALUE"""),"AP")</f>
        <v>AP</v>
      </c>
      <c r="K136" s="34"/>
      <c r="L136" s="35" t="str">
        <f>IFERROR(__xludf.DUMMYFUNCTION("""COMPUTED_VALUE"""),"%")</f>
        <v>%</v>
      </c>
      <c r="M136" s="36">
        <f>IFERROR(__xludf.DUMMYFUNCTION("""COMPUTED_VALUE"""),1.0)</f>
        <v>1</v>
      </c>
      <c r="N136" s="37"/>
      <c r="O136" s="38"/>
      <c r="P136" s="34" t="str">
        <f>IFERROR(__xludf.DUMMYFUNCTION("""COMPUTED_VALUE"""),"")</f>
        <v/>
      </c>
      <c r="Q136" s="35" t="str">
        <f>IFERROR(__xludf.DUMMYFUNCTION("""COMPUTED_VALUE"""),"AP")</f>
        <v>AP</v>
      </c>
      <c r="R136" s="34" t="str">
        <f>IFERROR(__xludf.DUMMYFUNCTION("""COMPUTED_VALUE"""),"")</f>
        <v/>
      </c>
      <c r="S136" s="35" t="str">
        <f>IFERROR(__xludf.DUMMYFUNCTION("""COMPUTED_VALUE"""),"%")</f>
        <v>%</v>
      </c>
      <c r="T136" s="36">
        <f>IFERROR(__xludf.DUMMYFUNCTION("""COMPUTED_VALUE"""),2.0)</f>
        <v>2</v>
      </c>
      <c r="U136" s="37"/>
      <c r="V136" s="38"/>
      <c r="W136" s="34" t="str">
        <f>IFERROR(__xludf.DUMMYFUNCTION("""COMPUTED_VALUE"""),"")</f>
        <v/>
      </c>
      <c r="X136" s="35" t="str">
        <f>IFERROR(__xludf.DUMMYFUNCTION("""COMPUTED_VALUE"""),"AP")</f>
        <v>AP</v>
      </c>
      <c r="Y136" s="34" t="str">
        <f>IFERROR(__xludf.DUMMYFUNCTION("""COMPUTED_VALUE"""),"")</f>
        <v/>
      </c>
      <c r="Z136" s="35" t="str">
        <f>IFERROR(__xludf.DUMMYFUNCTION("""COMPUTED_VALUE"""),"%")</f>
        <v>%</v>
      </c>
      <c r="AA136" s="36">
        <f>IFERROR(__xludf.DUMMYFUNCTION("""COMPUTED_VALUE"""),3.0)</f>
        <v>3</v>
      </c>
      <c r="AB136" s="37"/>
      <c r="AC136" s="38"/>
      <c r="AD136" s="34" t="str">
        <f>IFERROR(__xludf.DUMMYFUNCTION("""COMPUTED_VALUE"""),"")</f>
        <v/>
      </c>
      <c r="AE136" s="35" t="str">
        <f>IFERROR(__xludf.DUMMYFUNCTION("""COMPUTED_VALUE"""),"AP")</f>
        <v>AP</v>
      </c>
      <c r="AF136" s="34" t="str">
        <f>IFERROR(__xludf.DUMMYFUNCTION("""COMPUTED_VALUE"""),"")</f>
        <v/>
      </c>
      <c r="AG136" s="35" t="str">
        <f>IFERROR(__xludf.DUMMYFUNCTION("""COMPUTED_VALUE"""),"%")</f>
        <v>%</v>
      </c>
      <c r="AH136" s="31"/>
      <c r="AI136" s="32"/>
      <c r="AJ136" s="67"/>
    </row>
    <row r="137" ht="24.75" hidden="1" customHeight="1">
      <c r="A137" s="40">
        <f>IFERROR(__xludf.DUMMYFUNCTION("""COMPUTED_VALUE"""),20.0)</f>
        <v>20</v>
      </c>
      <c r="B137" s="40" t="str">
        <f>IFERROR(__xludf.DUMMYFUNCTION("""COMPUTED_VALUE"""),"A306")</f>
        <v>A306</v>
      </c>
      <c r="C137" s="40"/>
      <c r="D137" s="41"/>
      <c r="E137" s="66"/>
      <c r="F137" s="43"/>
      <c r="G137" s="44"/>
      <c r="H137" s="33" t="str">
        <f>IFERROR(__xludf.DUMMYFUNCTION("""COMPUTED_VALUE""")," ")</f>
        <v> </v>
      </c>
      <c r="I137" s="45"/>
      <c r="J137" s="46" t="str">
        <f>IFERROR(__xludf.DUMMYFUNCTION("""COMPUTED_VALUE"""),"AP")</f>
        <v>AP</v>
      </c>
      <c r="K137" s="47"/>
      <c r="L137" s="48" t="str">
        <f>IFERROR(__xludf.DUMMYFUNCTION("""COMPUTED_VALUE"""),"%")</f>
        <v>%</v>
      </c>
      <c r="M137" s="49">
        <f>IFERROR(__xludf.DUMMYFUNCTION("""COMPUTED_VALUE"""),1.0)</f>
        <v>1</v>
      </c>
      <c r="N137" s="50"/>
      <c r="O137" s="38"/>
      <c r="P137" s="45" t="str">
        <f>IFERROR(__xludf.DUMMYFUNCTION("""COMPUTED_VALUE"""),"")</f>
        <v/>
      </c>
      <c r="Q137" s="46" t="str">
        <f>IFERROR(__xludf.DUMMYFUNCTION("""COMPUTED_VALUE"""),"AP")</f>
        <v>AP</v>
      </c>
      <c r="R137" s="47" t="str">
        <f>IFERROR(__xludf.DUMMYFUNCTION("""COMPUTED_VALUE"""),"")</f>
        <v/>
      </c>
      <c r="S137" s="48" t="str">
        <f>IFERROR(__xludf.DUMMYFUNCTION("""COMPUTED_VALUE"""),"%")</f>
        <v>%</v>
      </c>
      <c r="T137" s="49">
        <f>IFERROR(__xludf.DUMMYFUNCTION("""COMPUTED_VALUE"""),2.0)</f>
        <v>2</v>
      </c>
      <c r="U137" s="50"/>
      <c r="V137" s="38"/>
      <c r="W137" s="45" t="str">
        <f>IFERROR(__xludf.DUMMYFUNCTION("""COMPUTED_VALUE"""),"")</f>
        <v/>
      </c>
      <c r="X137" s="46" t="str">
        <f>IFERROR(__xludf.DUMMYFUNCTION("""COMPUTED_VALUE"""),"AP")</f>
        <v>AP</v>
      </c>
      <c r="Y137" s="47" t="str">
        <f>IFERROR(__xludf.DUMMYFUNCTION("""COMPUTED_VALUE"""),"")</f>
        <v/>
      </c>
      <c r="Z137" s="48" t="str">
        <f>IFERROR(__xludf.DUMMYFUNCTION("""COMPUTED_VALUE"""),"%")</f>
        <v>%</v>
      </c>
      <c r="AA137" s="49">
        <f>IFERROR(__xludf.DUMMYFUNCTION("""COMPUTED_VALUE"""),3.0)</f>
        <v>3</v>
      </c>
      <c r="AB137" s="50"/>
      <c r="AC137" s="38"/>
      <c r="AD137" s="45" t="str">
        <f>IFERROR(__xludf.DUMMYFUNCTION("""COMPUTED_VALUE"""),"")</f>
        <v/>
      </c>
      <c r="AE137" s="46" t="str">
        <f>IFERROR(__xludf.DUMMYFUNCTION("""COMPUTED_VALUE"""),"AP")</f>
        <v>AP</v>
      </c>
      <c r="AF137" s="47" t="str">
        <f>IFERROR(__xludf.DUMMYFUNCTION("""COMPUTED_VALUE"""),"")</f>
        <v/>
      </c>
      <c r="AG137" s="48" t="str">
        <f>IFERROR(__xludf.DUMMYFUNCTION("""COMPUTED_VALUE"""),"%")</f>
        <v>%</v>
      </c>
      <c r="AH137" s="43"/>
      <c r="AI137" s="44"/>
      <c r="AJ137" s="66"/>
    </row>
    <row r="138" hidden="1">
      <c r="A138" s="56"/>
      <c r="B138" s="53"/>
      <c r="C138" s="54"/>
      <c r="D138" s="56"/>
      <c r="E138" s="56"/>
      <c r="F138" s="53"/>
      <c r="G138" s="53"/>
      <c r="H138" s="53"/>
      <c r="I138" s="53"/>
      <c r="J138" s="57"/>
      <c r="K138" s="53"/>
      <c r="L138" s="57"/>
      <c r="M138" s="53"/>
      <c r="N138" s="53"/>
      <c r="O138" s="53"/>
      <c r="P138" s="53"/>
      <c r="Q138" s="57"/>
      <c r="R138" s="53"/>
      <c r="S138" s="57"/>
      <c r="T138" s="53"/>
      <c r="U138" s="53"/>
      <c r="V138" s="53"/>
      <c r="W138" s="53"/>
      <c r="X138" s="57"/>
      <c r="Y138" s="53"/>
      <c r="Z138" s="57"/>
      <c r="AA138" s="53"/>
      <c r="AB138" s="53"/>
      <c r="AC138" s="53"/>
      <c r="AD138" s="53"/>
      <c r="AE138" s="57"/>
      <c r="AF138" s="53"/>
      <c r="AG138" s="57"/>
      <c r="AH138" s="53"/>
      <c r="AI138" s="53"/>
      <c r="AJ138" s="56"/>
    </row>
    <row r="139">
      <c r="A139" s="63"/>
      <c r="B139" s="60"/>
      <c r="C139" s="61"/>
      <c r="D139" s="63"/>
      <c r="E139" s="63"/>
      <c r="F139" s="60"/>
      <c r="G139" s="60"/>
      <c r="H139" s="60"/>
      <c r="I139" s="60"/>
      <c r="J139" s="64"/>
      <c r="K139" s="60"/>
      <c r="L139" s="64"/>
      <c r="M139" s="60"/>
      <c r="N139" s="60"/>
      <c r="O139" s="60"/>
      <c r="P139" s="60"/>
      <c r="Q139" s="64"/>
      <c r="R139" s="60"/>
      <c r="S139" s="64"/>
      <c r="T139" s="60"/>
      <c r="U139" s="60"/>
      <c r="V139" s="60"/>
      <c r="W139" s="60"/>
      <c r="X139" s="64"/>
      <c r="Y139" s="60"/>
      <c r="Z139" s="64"/>
      <c r="AA139" s="60"/>
      <c r="AB139" s="60"/>
      <c r="AC139" s="60"/>
      <c r="AD139" s="60"/>
      <c r="AE139" s="64"/>
      <c r="AF139" s="60"/>
      <c r="AG139" s="64"/>
      <c r="AH139" s="60"/>
      <c r="AI139" s="60"/>
      <c r="AJ139" s="63"/>
    </row>
    <row r="140" ht="33.0" customHeight="1">
      <c r="A140" s="24" t="str">
        <f>IFERROR(__xludf.DUMMYFUNCTION("""COMPUTED_VALUE""")," ")</f>
        <v> </v>
      </c>
      <c r="B140" s="21" t="str">
        <f>IFERROR(__xludf.DUMMYFUNCTION("""COMPUTED_VALUE"""),"A307")</f>
        <v>A307</v>
      </c>
      <c r="C140" s="20"/>
      <c r="D140" s="257" t="str">
        <f>IFERROR(__xludf.DUMMYFUNCTION("""COMPUTED_VALUE"""),"")</f>
        <v/>
      </c>
      <c r="E140" s="23" t="str">
        <f>IFERROR(__xludf.DUMMYFUNCTION("""COMPUTED_VALUE"""),"Mystic Spinal Fluid")</f>
        <v>Mystic Spinal Fluid</v>
      </c>
      <c r="F140" s="24"/>
      <c r="G140" s="24"/>
      <c r="H140" s="25"/>
      <c r="I140" s="25"/>
      <c r="J140" s="26"/>
      <c r="K140" s="25"/>
      <c r="L140" s="26"/>
      <c r="M140" s="25"/>
      <c r="N140" s="25"/>
      <c r="O140" s="25"/>
      <c r="P140" s="25"/>
      <c r="Q140" s="26"/>
      <c r="R140" s="25"/>
      <c r="S140" s="26"/>
      <c r="T140" s="25"/>
      <c r="U140" s="25"/>
      <c r="V140" s="25"/>
      <c r="W140" s="25"/>
      <c r="X140" s="26"/>
      <c r="Y140" s="25"/>
      <c r="Z140" s="26"/>
      <c r="AA140" s="25"/>
      <c r="AB140" s="25"/>
      <c r="AC140" s="25"/>
      <c r="AD140" s="25"/>
      <c r="AE140" s="26"/>
      <c r="AF140" s="25"/>
      <c r="AG140" s="26"/>
      <c r="AH140" s="24"/>
      <c r="AI140" s="25"/>
      <c r="AJ140" s="23"/>
    </row>
    <row r="141" ht="24.75" customHeight="1">
      <c r="A141" s="28">
        <f>IFERROR(__xludf.DUMMYFUNCTION("""COMPUTED_VALUE"""),1.0)</f>
        <v>1</v>
      </c>
      <c r="B141" s="28" t="str">
        <f>IFERROR(__xludf.DUMMYFUNCTION("""COMPUTED_VALUE"""),"A307")</f>
        <v>A307</v>
      </c>
      <c r="C141" s="28" t="str">
        <f>IFERROR(__xludf.DUMMYFUNCTION("""COMPUTED_VALUE"""),"SJK3")</f>
        <v>SJK3</v>
      </c>
      <c r="D141" s="29" t="str">
        <f>IFERROR(__xludf.DUMMYFUNCTION("""COMPUTED_VALUE"""),"Shinjuku")</f>
        <v>Shinjuku</v>
      </c>
      <c r="E141" s="30" t="str">
        <f>IFERROR(__xludf.DUMMYFUNCTION("""COMPUTED_VALUE"""),"Shinjuku Station")</f>
        <v>Shinjuku Station</v>
      </c>
      <c r="F141" s="31">
        <f>IFERROR(__xludf.DUMMYFUNCTION("""COMPUTED_VALUE"""),21.0)</f>
        <v>21</v>
      </c>
      <c r="G141" s="32">
        <f>IFERROR(__xludf.DUMMYFUNCTION("""COMPUTED_VALUE"""),63612.0)</f>
        <v>63612</v>
      </c>
      <c r="H141" s="33" t="str">
        <f>IFERROR(__xludf.DUMMYFUNCTION("""COMPUTED_VALUE"""),"")</f>
        <v/>
      </c>
      <c r="I141" s="34">
        <f>IFERROR(__xludf.DUMMYFUNCTION("""COMPUTED_VALUE"""),32.05261818642942)</f>
        <v>32.05261819</v>
      </c>
      <c r="J141" s="35" t="str">
        <f>IFERROR(__xludf.DUMMYFUNCTION("""COMPUTED_VALUE"""),"AP")</f>
        <v>AP</v>
      </c>
      <c r="K141" s="34">
        <f>IFERROR(__xludf.DUMMYFUNCTION("""COMPUTED_VALUE"""),65.51726875432308)</f>
        <v>65.51726875</v>
      </c>
      <c r="L141" s="35" t="str">
        <f>IFERROR(__xludf.DUMMYFUNCTION("""COMPUTED_VALUE"""),"%")</f>
        <v>%</v>
      </c>
      <c r="M141" s="36">
        <f>IFERROR(__xludf.DUMMYFUNCTION("""COMPUTED_VALUE"""),1.0)</f>
        <v>1</v>
      </c>
      <c r="N141" s="37" t="str">
        <f>IFERROR(__xludf.DUMMYFUNCTION("""COMPUTED_VALUE"""),"B112")</f>
        <v>B112</v>
      </c>
      <c r="O141" s="38" t="str">
        <f>IFERROR(__xludf.DUMMYFUNCTION("""COMPUTED_VALUE"""),"")</f>
        <v/>
      </c>
      <c r="P141" s="34">
        <f>IFERROR(__xludf.DUMMYFUNCTION("""COMPUTED_VALUE"""),83.2796984242683)</f>
        <v>83.27969842</v>
      </c>
      <c r="Q141" s="35" t="str">
        <f>IFERROR(__xludf.DUMMYFUNCTION("""COMPUTED_VALUE"""),"AP")</f>
        <v>AP</v>
      </c>
      <c r="R141" s="34">
        <f>IFERROR(__xludf.DUMMYFUNCTION("""COMPUTED_VALUE"""),25.216229642205874)</f>
        <v>25.21622964</v>
      </c>
      <c r="S141" s="35" t="str">
        <f>IFERROR(__xludf.DUMMYFUNCTION("""COMPUTED_VALUE"""),"%")</f>
        <v>%</v>
      </c>
      <c r="T141" s="36">
        <f>IFERROR(__xludf.DUMMYFUNCTION("""COMPUTED_VALUE"""),2.0)</f>
        <v>2</v>
      </c>
      <c r="U141" s="37"/>
      <c r="V141" s="38"/>
      <c r="W141" s="34" t="str">
        <f>IFERROR(__xludf.DUMMYFUNCTION("""COMPUTED_VALUE"""),"")</f>
        <v/>
      </c>
      <c r="X141" s="35" t="str">
        <f>IFERROR(__xludf.DUMMYFUNCTION("""COMPUTED_VALUE"""),"AP")</f>
        <v>AP</v>
      </c>
      <c r="Y141" s="34" t="str">
        <f>IFERROR(__xludf.DUMMYFUNCTION("""COMPUTED_VALUE"""),"")</f>
        <v/>
      </c>
      <c r="Z141" s="35" t="str">
        <f>IFERROR(__xludf.DUMMYFUNCTION("""COMPUTED_VALUE"""),"%")</f>
        <v>%</v>
      </c>
      <c r="AA141" s="36">
        <f>IFERROR(__xludf.DUMMYFUNCTION("""COMPUTED_VALUE"""),3.0)</f>
        <v>3</v>
      </c>
      <c r="AB141" s="37"/>
      <c r="AC141" s="38"/>
      <c r="AD141" s="34" t="str">
        <f>IFERROR(__xludf.DUMMYFUNCTION("""COMPUTED_VALUE"""),"")</f>
        <v/>
      </c>
      <c r="AE141" s="35" t="str">
        <f>IFERROR(__xludf.DUMMYFUNCTION("""COMPUTED_VALUE"""),"AP")</f>
        <v>AP</v>
      </c>
      <c r="AF141" s="34" t="str">
        <f>IFERROR(__xludf.DUMMYFUNCTION("""COMPUTED_VALUE"""),"")</f>
        <v/>
      </c>
      <c r="AG141" s="35" t="str">
        <f>IFERROR(__xludf.DUMMYFUNCTION("""COMPUTED_VALUE"""),"%")</f>
        <v>%</v>
      </c>
      <c r="AH141" s="31">
        <f>IFERROR(__xludf.DUMMYFUNCTION("""COMPUTED_VALUE"""),21.0)</f>
        <v>21</v>
      </c>
      <c r="AI141" s="32">
        <f>IFERROR(__xludf.DUMMYFUNCTION("""COMPUTED_VALUE"""),63612.0)</f>
        <v>63612</v>
      </c>
      <c r="AJ141" s="30" t="str">
        <f>IFERROR(__xludf.DUMMYFUNCTION("""COMPUTED_VALUE"""),"Shinjuku Station")</f>
        <v>Shinjuku Station</v>
      </c>
    </row>
    <row r="142" ht="24.75" customHeight="1">
      <c r="A142" s="40">
        <f>IFERROR(__xludf.DUMMYFUNCTION("""COMPUTED_VALUE"""),2.0)</f>
        <v>2</v>
      </c>
      <c r="B142" s="40" t="str">
        <f>IFERROR(__xludf.DUMMYFUNCTION("""COMPUTED_VALUE"""),"A307")</f>
        <v>A307</v>
      </c>
      <c r="C142" s="40" t="str">
        <f>IFERROR(__xludf.DUMMYFUNCTION("""COMPUTED_VALUE"""),"SJK1")</f>
        <v>SJK1</v>
      </c>
      <c r="D142" s="41" t="str">
        <f>IFERROR(__xludf.DUMMYFUNCTION("""COMPUTED_VALUE"""),"Shinjuku")</f>
        <v>Shinjuku</v>
      </c>
      <c r="E142" s="42" t="str">
        <f>IFERROR(__xludf.DUMMYFUNCTION("""COMPUTED_VALUE"""),"Yoyogi 2-Chome")</f>
        <v>Yoyogi 2-Chome</v>
      </c>
      <c r="F142" s="43">
        <f>IFERROR(__xludf.DUMMYFUNCTION("""COMPUTED_VALUE"""),20.0)</f>
        <v>20</v>
      </c>
      <c r="G142" s="44">
        <f>IFERROR(__xludf.DUMMYFUNCTION("""COMPUTED_VALUE"""),1156.0)</f>
        <v>1156</v>
      </c>
      <c r="H142" s="33" t="str">
        <f>IFERROR(__xludf.DUMMYFUNCTION("""COMPUTED_VALUE"""),"")</f>
        <v/>
      </c>
      <c r="I142" s="45">
        <f>IFERROR(__xludf.DUMMYFUNCTION("""COMPUTED_VALUE"""),49.374911906785634)</f>
        <v>49.37491191</v>
      </c>
      <c r="J142" s="46" t="str">
        <f>IFERROR(__xludf.DUMMYFUNCTION("""COMPUTED_VALUE"""),"AP")</f>
        <v>AP</v>
      </c>
      <c r="K142" s="47">
        <f>IFERROR(__xludf.DUMMYFUNCTION("""COMPUTED_VALUE"""),40.50640138408305)</f>
        <v>40.50640138</v>
      </c>
      <c r="L142" s="48" t="str">
        <f>IFERROR(__xludf.DUMMYFUNCTION("""COMPUTED_VALUE"""),"%")</f>
        <v>%</v>
      </c>
      <c r="M142" s="49">
        <f>IFERROR(__xludf.DUMMYFUNCTION("""COMPUTED_VALUE"""),1.0)</f>
        <v>1</v>
      </c>
      <c r="N142" s="50"/>
      <c r="O142" s="38"/>
      <c r="P142" s="45" t="str">
        <f>IFERROR(__xludf.DUMMYFUNCTION("""COMPUTED_VALUE"""),"")</f>
        <v/>
      </c>
      <c r="Q142" s="46" t="str">
        <f>IFERROR(__xludf.DUMMYFUNCTION("""COMPUTED_VALUE"""),"AP")</f>
        <v>AP</v>
      </c>
      <c r="R142" s="47" t="str">
        <f>IFERROR(__xludf.DUMMYFUNCTION("""COMPUTED_VALUE"""),"")</f>
        <v/>
      </c>
      <c r="S142" s="48" t="str">
        <f>IFERROR(__xludf.DUMMYFUNCTION("""COMPUTED_VALUE"""),"%")</f>
        <v>%</v>
      </c>
      <c r="T142" s="49">
        <f>IFERROR(__xludf.DUMMYFUNCTION("""COMPUTED_VALUE"""),2.0)</f>
        <v>2</v>
      </c>
      <c r="U142" s="50"/>
      <c r="V142" s="38"/>
      <c r="W142" s="45" t="str">
        <f>IFERROR(__xludf.DUMMYFUNCTION("""COMPUTED_VALUE"""),"")</f>
        <v/>
      </c>
      <c r="X142" s="46" t="str">
        <f>IFERROR(__xludf.DUMMYFUNCTION("""COMPUTED_VALUE"""),"AP")</f>
        <v>AP</v>
      </c>
      <c r="Y142" s="47" t="str">
        <f>IFERROR(__xludf.DUMMYFUNCTION("""COMPUTED_VALUE"""),"")</f>
        <v/>
      </c>
      <c r="Z142" s="48" t="str">
        <f>IFERROR(__xludf.DUMMYFUNCTION("""COMPUTED_VALUE"""),"%")</f>
        <v>%</v>
      </c>
      <c r="AA142" s="49">
        <f>IFERROR(__xludf.DUMMYFUNCTION("""COMPUTED_VALUE"""),3.0)</f>
        <v>3</v>
      </c>
      <c r="AB142" s="50"/>
      <c r="AC142" s="38"/>
      <c r="AD142" s="45" t="str">
        <f>IFERROR(__xludf.DUMMYFUNCTION("""COMPUTED_VALUE"""),"")</f>
        <v/>
      </c>
      <c r="AE142" s="46" t="str">
        <f>IFERROR(__xludf.DUMMYFUNCTION("""COMPUTED_VALUE"""),"AP")</f>
        <v>AP</v>
      </c>
      <c r="AF142" s="47" t="str">
        <f>IFERROR(__xludf.DUMMYFUNCTION("""COMPUTED_VALUE"""),"")</f>
        <v/>
      </c>
      <c r="AG142" s="48" t="str">
        <f>IFERROR(__xludf.DUMMYFUNCTION("""COMPUTED_VALUE"""),"%")</f>
        <v>%</v>
      </c>
      <c r="AH142" s="43">
        <f>IFERROR(__xludf.DUMMYFUNCTION("""COMPUTED_VALUE"""),20.0)</f>
        <v>20</v>
      </c>
      <c r="AI142" s="44">
        <f>IFERROR(__xludf.DUMMYFUNCTION("""COMPUTED_VALUE"""),1156.0)</f>
        <v>1156</v>
      </c>
      <c r="AJ142" s="42" t="str">
        <f>IFERROR(__xludf.DUMMYFUNCTION("""COMPUTED_VALUE"""),"Yoyogi 2-Chome")</f>
        <v>Yoyogi 2-Chome</v>
      </c>
    </row>
    <row r="143" ht="24.75" customHeight="1">
      <c r="A143" s="28">
        <f>IFERROR(__xludf.DUMMYFUNCTION("""COMPUTED_VALUE"""),3.0)</f>
        <v>3</v>
      </c>
      <c r="B143" s="28" t="str">
        <f>IFERROR(__xludf.DUMMYFUNCTION("""COMPUTED_VALUE"""),"A307")</f>
        <v>A307</v>
      </c>
      <c r="C143" s="28" t="str">
        <f>IFERROR(__xludf.DUMMYFUNCTION("""COMPUTED_VALUE"""),"SJK2")</f>
        <v>SJK2</v>
      </c>
      <c r="D143" s="29" t="str">
        <f>IFERROR(__xludf.DUMMYFUNCTION("""COMPUTED_VALUE"""),"Shinjuku")</f>
        <v>Shinjuku</v>
      </c>
      <c r="E143" s="30" t="str">
        <f>IFERROR(__xludf.DUMMYFUNCTION("""COMPUTED_VALUE"""),"Route 20")</f>
        <v>Route 20</v>
      </c>
      <c r="F143" s="31">
        <f>IFERROR(__xludf.DUMMYFUNCTION("""COMPUTED_VALUE"""),20.0)</f>
        <v>20</v>
      </c>
      <c r="G143" s="32">
        <f>IFERROR(__xludf.DUMMYFUNCTION("""COMPUTED_VALUE"""),43200.0)</f>
        <v>43200</v>
      </c>
      <c r="H143" s="33" t="str">
        <f>IFERROR(__xludf.DUMMYFUNCTION("""COMPUTED_VALUE"""),"")</f>
        <v/>
      </c>
      <c r="I143" s="34">
        <f>IFERROR(__xludf.DUMMYFUNCTION("""COMPUTED_VALUE"""),50.123347524892864)</f>
        <v>50.12334752</v>
      </c>
      <c r="J143" s="35" t="str">
        <f>IFERROR(__xludf.DUMMYFUNCTION("""COMPUTED_VALUE"""),"AP")</f>
        <v>AP</v>
      </c>
      <c r="K143" s="34">
        <f>IFERROR(__xludf.DUMMYFUNCTION("""COMPUTED_VALUE"""),39.90156481481481)</f>
        <v>39.90156481</v>
      </c>
      <c r="L143" s="35" t="str">
        <f>IFERROR(__xludf.DUMMYFUNCTION("""COMPUTED_VALUE"""),"%")</f>
        <v>%</v>
      </c>
      <c r="M143" s="36">
        <f>IFERROR(__xludf.DUMMYFUNCTION("""COMPUTED_VALUE"""),1.0)</f>
        <v>1</v>
      </c>
      <c r="N143" s="37" t="str">
        <f>IFERROR(__xludf.DUMMYFUNCTION("""COMPUTED_VALUE"""),"A304")</f>
        <v>A304</v>
      </c>
      <c r="O143" s="38" t="str">
        <f>IFERROR(__xludf.DUMMYFUNCTION("""COMPUTED_VALUE"""),"")</f>
        <v/>
      </c>
      <c r="P143" s="34">
        <f>IFERROR(__xludf.DUMMYFUNCTION("""COMPUTED_VALUE"""),65.99665800256837)</f>
        <v>65.996658</v>
      </c>
      <c r="Q143" s="35" t="str">
        <f>IFERROR(__xludf.DUMMYFUNCTION("""COMPUTED_VALUE"""),"AP")</f>
        <v>AP</v>
      </c>
      <c r="R143" s="34">
        <f>IFERROR(__xludf.DUMMYFUNCTION("""COMPUTED_VALUE"""),30.304564814814814)</f>
        <v>30.30456481</v>
      </c>
      <c r="S143" s="35" t="str">
        <f>IFERROR(__xludf.DUMMYFUNCTION("""COMPUTED_VALUE"""),"%")</f>
        <v>%</v>
      </c>
      <c r="T143" s="36">
        <f>IFERROR(__xludf.DUMMYFUNCTION("""COMPUTED_VALUE"""),2.0)</f>
        <v>2</v>
      </c>
      <c r="U143" s="37" t="str">
        <f>IFERROR(__xludf.DUMMYFUNCTION("""COMPUTED_VALUE"""),"B112")</f>
        <v>B112</v>
      </c>
      <c r="V143" s="38" t="str">
        <f>IFERROR(__xludf.DUMMYFUNCTION("""COMPUTED_VALUE"""),"")</f>
        <v/>
      </c>
      <c r="W143" s="34">
        <f>IFERROR(__xludf.DUMMYFUNCTION("""COMPUTED_VALUE"""),186.92122568401484)</f>
        <v>186.9212257</v>
      </c>
      <c r="X143" s="35" t="str">
        <f>IFERROR(__xludf.DUMMYFUNCTION("""COMPUTED_VALUE"""),"AP")</f>
        <v>AP</v>
      </c>
      <c r="Y143" s="34">
        <f>IFERROR(__xludf.DUMMYFUNCTION("""COMPUTED_VALUE"""),10.699694444444445)</f>
        <v>10.69969444</v>
      </c>
      <c r="Z143" s="35" t="str">
        <f>IFERROR(__xludf.DUMMYFUNCTION("""COMPUTED_VALUE"""),"%")</f>
        <v>%</v>
      </c>
      <c r="AA143" s="36">
        <f>IFERROR(__xludf.DUMMYFUNCTION("""COMPUTED_VALUE"""),3.0)</f>
        <v>3</v>
      </c>
      <c r="AB143" s="37"/>
      <c r="AC143" s="38"/>
      <c r="AD143" s="34" t="str">
        <f>IFERROR(__xludf.DUMMYFUNCTION("""COMPUTED_VALUE"""),"")</f>
        <v/>
      </c>
      <c r="AE143" s="35" t="str">
        <f>IFERROR(__xludf.DUMMYFUNCTION("""COMPUTED_VALUE"""),"AP")</f>
        <v>AP</v>
      </c>
      <c r="AF143" s="34" t="str">
        <f>IFERROR(__xludf.DUMMYFUNCTION("""COMPUTED_VALUE"""),"")</f>
        <v/>
      </c>
      <c r="AG143" s="35" t="str">
        <f>IFERROR(__xludf.DUMMYFUNCTION("""COMPUTED_VALUE"""),"%")</f>
        <v>%</v>
      </c>
      <c r="AH143" s="31">
        <f>IFERROR(__xludf.DUMMYFUNCTION("""COMPUTED_VALUE"""),20.0)</f>
        <v>20</v>
      </c>
      <c r="AI143" s="32">
        <f>IFERROR(__xludf.DUMMYFUNCTION("""COMPUTED_VALUE"""),43200.0)</f>
        <v>43200</v>
      </c>
      <c r="AJ143" s="30" t="str">
        <f>IFERROR(__xludf.DUMMYFUNCTION("""COMPUTED_VALUE"""),"Route 20")</f>
        <v>Route 20</v>
      </c>
    </row>
    <row r="144" ht="24.75" customHeight="1">
      <c r="A144" s="40">
        <f>IFERROR(__xludf.DUMMYFUNCTION("""COMPUTED_VALUE"""),4.0)</f>
        <v>4</v>
      </c>
      <c r="B144" s="40" t="str">
        <f>IFERROR(__xludf.DUMMYFUNCTION("""COMPUTED_VALUE"""),"A307")</f>
        <v>A307</v>
      </c>
      <c r="C144" s="40" t="str">
        <f>IFERROR(__xludf.DUMMYFUNCTION("""COMPUTED_VALUE"""),"SJK4")</f>
        <v>SJK4</v>
      </c>
      <c r="D144" s="41" t="str">
        <f>IFERROR(__xludf.DUMMYFUNCTION("""COMPUTED_VALUE"""),"Shinjuku")</f>
        <v>Shinjuku</v>
      </c>
      <c r="E144" s="42" t="str">
        <f>IFERROR(__xludf.DUMMYFUNCTION("""COMPUTED_VALUE"""),"Shinjuku 4-Chome")</f>
        <v>Shinjuku 4-Chome</v>
      </c>
      <c r="F144" s="43">
        <f>IFERROR(__xludf.DUMMYFUNCTION("""COMPUTED_VALUE"""),21.0)</f>
        <v>21</v>
      </c>
      <c r="G144" s="44">
        <f>IFERROR(__xludf.DUMMYFUNCTION("""COMPUTED_VALUE"""),50704.0)</f>
        <v>50704</v>
      </c>
      <c r="H144" s="33" t="str">
        <f>IFERROR(__xludf.DUMMYFUNCTION("""COMPUTED_VALUE"""),"")</f>
        <v/>
      </c>
      <c r="I144" s="45">
        <f>IFERROR(__xludf.DUMMYFUNCTION("""COMPUTED_VALUE"""),51.721183270996264)</f>
        <v>51.72118327</v>
      </c>
      <c r="J144" s="46" t="str">
        <f>IFERROR(__xludf.DUMMYFUNCTION("""COMPUTED_VALUE"""),"AP")</f>
        <v>AP</v>
      </c>
      <c r="K144" s="47">
        <f>IFERROR(__xludf.DUMMYFUNCTION("""COMPUTED_VALUE"""),40.602319343641526)</f>
        <v>40.60231934</v>
      </c>
      <c r="L144" s="48" t="str">
        <f>IFERROR(__xludf.DUMMYFUNCTION("""COMPUTED_VALUE"""),"%")</f>
        <v>%</v>
      </c>
      <c r="M144" s="49">
        <f>IFERROR(__xludf.DUMMYFUNCTION("""COMPUTED_VALUE"""),1.0)</f>
        <v>1</v>
      </c>
      <c r="N144" s="50" t="str">
        <f>IFERROR(__xludf.DUMMYFUNCTION("""COMPUTED_VALUE"""),"A101")</f>
        <v>A101</v>
      </c>
      <c r="O144" s="38" t="str">
        <f>IFERROR(__xludf.DUMMYFUNCTION("""COMPUTED_VALUE"""),"")</f>
        <v/>
      </c>
      <c r="P144" s="45">
        <f>IFERROR(__xludf.DUMMYFUNCTION("""COMPUTED_VALUE"""),115.74997282313294)</f>
        <v>115.7499728</v>
      </c>
      <c r="Q144" s="46" t="str">
        <f>IFERROR(__xludf.DUMMYFUNCTION("""COMPUTED_VALUE"""),"AP")</f>
        <v>AP</v>
      </c>
      <c r="R144" s="47">
        <f>IFERROR(__xludf.DUMMYFUNCTION("""COMPUTED_VALUE"""),18.142552855790473)</f>
        <v>18.14255286</v>
      </c>
      <c r="S144" s="48" t="str">
        <f>IFERROR(__xludf.DUMMYFUNCTION("""COMPUTED_VALUE"""),"%")</f>
        <v>%</v>
      </c>
      <c r="T144" s="49">
        <f>IFERROR(__xludf.DUMMYFUNCTION("""COMPUTED_VALUE"""),2.0)</f>
        <v>2</v>
      </c>
      <c r="U144" s="50" t="str">
        <f>IFERROR(__xludf.DUMMYFUNCTION("""COMPUTED_VALUE"""),"B107")</f>
        <v>B107</v>
      </c>
      <c r="V144" s="38" t="str">
        <f>IFERROR(__xludf.DUMMYFUNCTION("""COMPUTED_VALUE"""),"")</f>
        <v/>
      </c>
      <c r="W144" s="45">
        <f>IFERROR(__xludf.DUMMYFUNCTION("""COMPUTED_VALUE"""),413.02715283165253)</f>
        <v>413.0271528</v>
      </c>
      <c r="X144" s="46" t="str">
        <f>IFERROR(__xludf.DUMMYFUNCTION("""COMPUTED_VALUE"""),"AP")</f>
        <v>AP</v>
      </c>
      <c r="Y144" s="47">
        <f>IFERROR(__xludf.DUMMYFUNCTION("""COMPUTED_VALUE"""),5.084411486273272)</f>
        <v>5.084411486</v>
      </c>
      <c r="Z144" s="48" t="str">
        <f>IFERROR(__xludf.DUMMYFUNCTION("""COMPUTED_VALUE"""),"%")</f>
        <v>%</v>
      </c>
      <c r="AA144" s="49">
        <f>IFERROR(__xludf.DUMMYFUNCTION("""COMPUTED_VALUE"""),3.0)</f>
        <v>3</v>
      </c>
      <c r="AB144" s="50"/>
      <c r="AC144" s="38"/>
      <c r="AD144" s="45" t="str">
        <f>IFERROR(__xludf.DUMMYFUNCTION("""COMPUTED_VALUE"""),"")</f>
        <v/>
      </c>
      <c r="AE144" s="46" t="str">
        <f>IFERROR(__xludf.DUMMYFUNCTION("""COMPUTED_VALUE"""),"AP")</f>
        <v>AP</v>
      </c>
      <c r="AF144" s="47" t="str">
        <f>IFERROR(__xludf.DUMMYFUNCTION("""COMPUTED_VALUE"""),"")</f>
        <v/>
      </c>
      <c r="AG144" s="48" t="str">
        <f>IFERROR(__xludf.DUMMYFUNCTION("""COMPUTED_VALUE"""),"%")</f>
        <v>%</v>
      </c>
      <c r="AH144" s="43">
        <f>IFERROR(__xludf.DUMMYFUNCTION("""COMPUTED_VALUE"""),21.0)</f>
        <v>21</v>
      </c>
      <c r="AI144" s="44">
        <f>IFERROR(__xludf.DUMMYFUNCTION("""COMPUTED_VALUE"""),50704.0)</f>
        <v>50704</v>
      </c>
      <c r="AJ144" s="42" t="str">
        <f>IFERROR(__xludf.DUMMYFUNCTION("""COMPUTED_VALUE"""),"Shinjuku 4-Chome")</f>
        <v>Shinjuku 4-Chome</v>
      </c>
    </row>
    <row r="145" ht="24.75" customHeight="1">
      <c r="A145" s="28">
        <f>IFERROR(__xludf.DUMMYFUNCTION("""COMPUTED_VALUE"""),5.0)</f>
        <v>5</v>
      </c>
      <c r="B145" s="28" t="str">
        <f>IFERROR(__xludf.DUMMYFUNCTION("""COMPUTED_VALUE"""),"A307")</f>
        <v>A307</v>
      </c>
      <c r="C145" s="28" t="str">
        <f>IFERROR(__xludf.DUMMYFUNCTION("""COMPUTED_VALUE"""),"SJK9")</f>
        <v>SJK9</v>
      </c>
      <c r="D145" s="29" t="str">
        <f>IFERROR(__xludf.DUMMYFUNCTION("""COMPUTED_VALUE"""),"Shinjuku")</f>
        <v>Shinjuku</v>
      </c>
      <c r="E145" s="30" t="str">
        <f>IFERROR(__xludf.DUMMYFUNCTION("""COMPUTED_VALUE"""),"Shinjuku Gyoen")</f>
        <v>Shinjuku Gyoen</v>
      </c>
      <c r="F145" s="31">
        <f>IFERROR(__xludf.DUMMYFUNCTION("""COMPUTED_VALUE"""),21.0)</f>
        <v>21</v>
      </c>
      <c r="G145" s="32">
        <f>IFERROR(__xludf.DUMMYFUNCTION("""COMPUTED_VALUE"""),62147.0)</f>
        <v>62147</v>
      </c>
      <c r="H145" s="33" t="str">
        <f>IFERROR(__xludf.DUMMYFUNCTION("""COMPUTED_VALUE"""),"")</f>
        <v/>
      </c>
      <c r="I145" s="34">
        <f>IFERROR(__xludf.DUMMYFUNCTION("""COMPUTED_VALUE"""),69.4193366507004)</f>
        <v>69.41933665</v>
      </c>
      <c r="J145" s="35" t="str">
        <f>IFERROR(__xludf.DUMMYFUNCTION("""COMPUTED_VALUE"""),"AP")</f>
        <v>AP</v>
      </c>
      <c r="K145" s="34">
        <f>IFERROR(__xludf.DUMMYFUNCTION("""COMPUTED_VALUE"""),30.250937293835584)</f>
        <v>30.25093729</v>
      </c>
      <c r="L145" s="35" t="str">
        <f>IFERROR(__xludf.DUMMYFUNCTION("""COMPUTED_VALUE"""),"%")</f>
        <v>%</v>
      </c>
      <c r="M145" s="36">
        <f>IFERROR(__xludf.DUMMYFUNCTION("""COMPUTED_VALUE"""),1.0)</f>
        <v>1</v>
      </c>
      <c r="N145" s="37" t="str">
        <f>IFERROR(__xludf.DUMMYFUNCTION("""COMPUTED_VALUE"""),"A102")</f>
        <v>A102</v>
      </c>
      <c r="O145" s="38" t="str">
        <f>IFERROR(__xludf.DUMMYFUNCTION("""COMPUTED_VALUE"""),"")</f>
        <v/>
      </c>
      <c r="P145" s="34">
        <f>IFERROR(__xludf.DUMMYFUNCTION("""COMPUTED_VALUE"""),175.27356970185335)</f>
        <v>175.2735697</v>
      </c>
      <c r="Q145" s="35" t="str">
        <f>IFERROR(__xludf.DUMMYFUNCTION("""COMPUTED_VALUE"""),"AP")</f>
        <v>AP</v>
      </c>
      <c r="R145" s="34">
        <f>IFERROR(__xludf.DUMMYFUNCTION("""COMPUTED_VALUE"""),11.98127021416963)</f>
        <v>11.98127021</v>
      </c>
      <c r="S145" s="35" t="str">
        <f>IFERROR(__xludf.DUMMYFUNCTION("""COMPUTED_VALUE"""),"%")</f>
        <v>%</v>
      </c>
      <c r="T145" s="36">
        <f>IFERROR(__xludf.DUMMYFUNCTION("""COMPUTED_VALUE"""),2.0)</f>
        <v>2</v>
      </c>
      <c r="U145" s="37" t="str">
        <f>IFERROR(__xludf.DUMMYFUNCTION("""COMPUTED_VALUE"""),"B105")</f>
        <v>B105</v>
      </c>
      <c r="V145" s="38" t="str">
        <f>IFERROR(__xludf.DUMMYFUNCTION("""COMPUTED_VALUE"""),"")</f>
        <v/>
      </c>
      <c r="W145" s="34">
        <f>IFERROR(__xludf.DUMMYFUNCTION("""COMPUTED_VALUE"""),470.5802124421522)</f>
        <v>470.5802124</v>
      </c>
      <c r="X145" s="35" t="str">
        <f>IFERROR(__xludf.DUMMYFUNCTION("""COMPUTED_VALUE"""),"AP")</f>
        <v>AP</v>
      </c>
      <c r="Y145" s="34">
        <f>IFERROR(__xludf.DUMMYFUNCTION("""COMPUTED_VALUE"""),4.462576080497967)</f>
        <v>4.46257608</v>
      </c>
      <c r="Z145" s="35" t="str">
        <f>IFERROR(__xludf.DUMMYFUNCTION("""COMPUTED_VALUE"""),"%")</f>
        <v>%</v>
      </c>
      <c r="AA145" s="36">
        <f>IFERROR(__xludf.DUMMYFUNCTION("""COMPUTED_VALUE"""),3.0)</f>
        <v>3</v>
      </c>
      <c r="AB145" s="37"/>
      <c r="AC145" s="38"/>
      <c r="AD145" s="34" t="str">
        <f>IFERROR(__xludf.DUMMYFUNCTION("""COMPUTED_VALUE"""),"")</f>
        <v/>
      </c>
      <c r="AE145" s="35" t="str">
        <f>IFERROR(__xludf.DUMMYFUNCTION("""COMPUTED_VALUE"""),"AP")</f>
        <v>AP</v>
      </c>
      <c r="AF145" s="34" t="str">
        <f>IFERROR(__xludf.DUMMYFUNCTION("""COMPUTED_VALUE"""),"")</f>
        <v/>
      </c>
      <c r="AG145" s="35" t="str">
        <f>IFERROR(__xludf.DUMMYFUNCTION("""COMPUTED_VALUE"""),"%")</f>
        <v>%</v>
      </c>
      <c r="AH145" s="31">
        <f>IFERROR(__xludf.DUMMYFUNCTION("""COMPUTED_VALUE"""),21.0)</f>
        <v>21</v>
      </c>
      <c r="AI145" s="32">
        <f>IFERROR(__xludf.DUMMYFUNCTION("""COMPUTED_VALUE"""),62147.0)</f>
        <v>62147</v>
      </c>
      <c r="AJ145" s="30" t="str">
        <f>IFERROR(__xludf.DUMMYFUNCTION("""COMPUTED_VALUE"""),"Shinjuku Gyoen")</f>
        <v>Shinjuku Gyoen</v>
      </c>
    </row>
    <row r="146" ht="24.75" customHeight="1">
      <c r="A146" s="40">
        <f>IFERROR(__xludf.DUMMYFUNCTION("""COMPUTED_VALUE"""),6.0)</f>
        <v>6</v>
      </c>
      <c r="B146" s="40" t="str">
        <f>IFERROR(__xludf.DUMMYFUNCTION("""COMPUTED_VALUE"""),"A307")</f>
        <v>A307</v>
      </c>
      <c r="C146" s="40" t="str">
        <f>IFERROR(__xludf.DUMMYFUNCTION("""COMPUTED_VALUE"""),"SJK7")</f>
        <v>SJK7</v>
      </c>
      <c r="D146" s="41" t="str">
        <f>IFERROR(__xludf.DUMMYFUNCTION("""COMPUTED_VALUE"""),"Shinjuku")</f>
        <v>Shinjuku</v>
      </c>
      <c r="E146" s="42" t="str">
        <f>IFERROR(__xludf.DUMMYFUNCTION("""COMPUTED_VALUE"""),"Party Hall")</f>
        <v>Party Hall</v>
      </c>
      <c r="F146" s="43">
        <f>IFERROR(__xludf.DUMMYFUNCTION("""COMPUTED_VALUE"""),21.0)</f>
        <v>21</v>
      </c>
      <c r="G146" s="44">
        <f>IFERROR(__xludf.DUMMYFUNCTION("""COMPUTED_VALUE"""),2858.0)</f>
        <v>2858</v>
      </c>
      <c r="H146" s="33" t="str">
        <f>IFERROR(__xludf.DUMMYFUNCTION("""COMPUTED_VALUE"""),"")</f>
        <v/>
      </c>
      <c r="I146" s="45">
        <f>IFERROR(__xludf.DUMMYFUNCTION("""COMPUTED_VALUE"""),72.89434946730212)</f>
        <v>72.89434947</v>
      </c>
      <c r="J146" s="46" t="str">
        <f>IFERROR(__xludf.DUMMYFUNCTION("""COMPUTED_VALUE"""),"AP")</f>
        <v>AP</v>
      </c>
      <c r="K146" s="47">
        <f>IFERROR(__xludf.DUMMYFUNCTION("""COMPUTED_VALUE"""),28.808817354793558)</f>
        <v>28.80881735</v>
      </c>
      <c r="L146" s="48" t="str">
        <f>IFERROR(__xludf.DUMMYFUNCTION("""COMPUTED_VALUE"""),"%")</f>
        <v>%</v>
      </c>
      <c r="M146" s="49">
        <f>IFERROR(__xludf.DUMMYFUNCTION("""COMPUTED_VALUE"""),1.0)</f>
        <v>1</v>
      </c>
      <c r="N146" s="50" t="str">
        <f>IFERROR(__xludf.DUMMYFUNCTION("""COMPUTED_VALUE"""),"A206")</f>
        <v>A206</v>
      </c>
      <c r="O146" s="38" t="str">
        <f>IFERROR(__xludf.DUMMYFUNCTION("""COMPUTED_VALUE"""),"")</f>
        <v/>
      </c>
      <c r="P146" s="45">
        <f>IFERROR(__xludf.DUMMYFUNCTION("""COMPUTED_VALUE"""),107.29225510736734)</f>
        <v>107.2922551</v>
      </c>
      <c r="Q146" s="46" t="str">
        <f>IFERROR(__xludf.DUMMYFUNCTION("""COMPUTED_VALUE"""),"AP")</f>
        <v>AP</v>
      </c>
      <c r="R146" s="47">
        <f>IFERROR(__xludf.DUMMYFUNCTION("""COMPUTED_VALUE"""),19.572708187543736)</f>
        <v>19.57270819</v>
      </c>
      <c r="S146" s="48" t="str">
        <f>IFERROR(__xludf.DUMMYFUNCTION("""COMPUTED_VALUE"""),"%")</f>
        <v>%</v>
      </c>
      <c r="T146" s="49">
        <f>IFERROR(__xludf.DUMMYFUNCTION("""COMPUTED_VALUE"""),2.0)</f>
        <v>2</v>
      </c>
      <c r="U146" s="50" t="str">
        <f>IFERROR(__xludf.DUMMYFUNCTION("""COMPUTED_VALUE"""),"A304")</f>
        <v>A304</v>
      </c>
      <c r="V146" s="38" t="str">
        <f>IFERROR(__xludf.DUMMYFUNCTION("""COMPUTED_VALUE"""),"")</f>
        <v/>
      </c>
      <c r="W146" s="45">
        <f>IFERROR(__xludf.DUMMYFUNCTION("""COMPUTED_VALUE"""),73.86539853199628)</f>
        <v>73.86539853</v>
      </c>
      <c r="X146" s="46" t="str">
        <f>IFERROR(__xludf.DUMMYFUNCTION("""COMPUTED_VALUE"""),"AP")</f>
        <v>AP</v>
      </c>
      <c r="Y146" s="47">
        <f>IFERROR(__xludf.DUMMYFUNCTION("""COMPUTED_VALUE"""),28.430090972708186)</f>
        <v>28.43009097</v>
      </c>
      <c r="Z146" s="48" t="str">
        <f>IFERROR(__xludf.DUMMYFUNCTION("""COMPUTED_VALUE"""),"%")</f>
        <v>%</v>
      </c>
      <c r="AA146" s="49">
        <f>IFERROR(__xludf.DUMMYFUNCTION("""COMPUTED_VALUE"""),3.0)</f>
        <v>3</v>
      </c>
      <c r="AB146" s="50" t="str">
        <f>IFERROR(__xludf.DUMMYFUNCTION("""COMPUTED_VALUE"""),"B112")</f>
        <v>B112</v>
      </c>
      <c r="AC146" s="38" t="str">
        <f>IFERROR(__xludf.DUMMYFUNCTION("""COMPUTED_VALUE"""),"")</f>
        <v/>
      </c>
      <c r="AD146" s="45">
        <f>IFERROR(__xludf.DUMMYFUNCTION("""COMPUTED_VALUE"""),194.33866956792042)</f>
        <v>194.3386696</v>
      </c>
      <c r="AE146" s="46" t="str">
        <f>IFERROR(__xludf.DUMMYFUNCTION("""COMPUTED_VALUE"""),"AP")</f>
        <v>AP</v>
      </c>
      <c r="AF146" s="47">
        <f>IFERROR(__xludf.DUMMYFUNCTION("""COMPUTED_VALUE"""),10.805878236529042)</f>
        <v>10.80587824</v>
      </c>
      <c r="AG146" s="48" t="str">
        <f>IFERROR(__xludf.DUMMYFUNCTION("""COMPUTED_VALUE"""),"%")</f>
        <v>%</v>
      </c>
      <c r="AH146" s="43">
        <f>IFERROR(__xludf.DUMMYFUNCTION("""COMPUTED_VALUE"""),21.0)</f>
        <v>21</v>
      </c>
      <c r="AI146" s="44">
        <f>IFERROR(__xludf.DUMMYFUNCTION("""COMPUTED_VALUE"""),2858.0)</f>
        <v>2858</v>
      </c>
      <c r="AJ146" s="42" t="str">
        <f>IFERROR(__xludf.DUMMYFUNCTION("""COMPUTED_VALUE"""),"Party Hall")</f>
        <v>Party Hall</v>
      </c>
    </row>
    <row r="147" ht="24.75" customHeight="1">
      <c r="A147" s="28">
        <f>IFERROR(__xludf.DUMMYFUNCTION("""COMPUTED_VALUE"""),7.0)</f>
        <v>7</v>
      </c>
      <c r="B147" s="28" t="str">
        <f>IFERROR(__xludf.DUMMYFUNCTION("""COMPUTED_VALUE"""),"A307")</f>
        <v>A307</v>
      </c>
      <c r="C147" s="28"/>
      <c r="D147" s="29"/>
      <c r="E147" s="67"/>
      <c r="F147" s="31"/>
      <c r="G147" s="32"/>
      <c r="H147" s="33" t="str">
        <f>IFERROR(__xludf.DUMMYFUNCTION("""COMPUTED_VALUE""")," ")</f>
        <v> </v>
      </c>
      <c r="I147" s="34"/>
      <c r="J147" s="35" t="str">
        <f>IFERROR(__xludf.DUMMYFUNCTION("""COMPUTED_VALUE"""),"AP")</f>
        <v>AP</v>
      </c>
      <c r="K147" s="34"/>
      <c r="L147" s="35" t="str">
        <f>IFERROR(__xludf.DUMMYFUNCTION("""COMPUTED_VALUE"""),"%")</f>
        <v>%</v>
      </c>
      <c r="M147" s="36">
        <f>IFERROR(__xludf.DUMMYFUNCTION("""COMPUTED_VALUE"""),1.0)</f>
        <v>1</v>
      </c>
      <c r="N147" s="37"/>
      <c r="O147" s="38"/>
      <c r="P147" s="34" t="str">
        <f>IFERROR(__xludf.DUMMYFUNCTION("""COMPUTED_VALUE"""),"")</f>
        <v/>
      </c>
      <c r="Q147" s="35" t="str">
        <f>IFERROR(__xludf.DUMMYFUNCTION("""COMPUTED_VALUE"""),"AP")</f>
        <v>AP</v>
      </c>
      <c r="R147" s="34" t="str">
        <f>IFERROR(__xludf.DUMMYFUNCTION("""COMPUTED_VALUE"""),"")</f>
        <v/>
      </c>
      <c r="S147" s="35" t="str">
        <f>IFERROR(__xludf.DUMMYFUNCTION("""COMPUTED_VALUE"""),"%")</f>
        <v>%</v>
      </c>
      <c r="T147" s="36">
        <f>IFERROR(__xludf.DUMMYFUNCTION("""COMPUTED_VALUE"""),2.0)</f>
        <v>2</v>
      </c>
      <c r="U147" s="37"/>
      <c r="V147" s="38"/>
      <c r="W147" s="34" t="str">
        <f>IFERROR(__xludf.DUMMYFUNCTION("""COMPUTED_VALUE"""),"")</f>
        <v/>
      </c>
      <c r="X147" s="35" t="str">
        <f>IFERROR(__xludf.DUMMYFUNCTION("""COMPUTED_VALUE"""),"AP")</f>
        <v>AP</v>
      </c>
      <c r="Y147" s="34" t="str">
        <f>IFERROR(__xludf.DUMMYFUNCTION("""COMPUTED_VALUE"""),"")</f>
        <v/>
      </c>
      <c r="Z147" s="35" t="str">
        <f>IFERROR(__xludf.DUMMYFUNCTION("""COMPUTED_VALUE"""),"%")</f>
        <v>%</v>
      </c>
      <c r="AA147" s="36">
        <f>IFERROR(__xludf.DUMMYFUNCTION("""COMPUTED_VALUE"""),3.0)</f>
        <v>3</v>
      </c>
      <c r="AB147" s="37"/>
      <c r="AC147" s="38"/>
      <c r="AD147" s="34" t="str">
        <f>IFERROR(__xludf.DUMMYFUNCTION("""COMPUTED_VALUE"""),"")</f>
        <v/>
      </c>
      <c r="AE147" s="35" t="str">
        <f>IFERROR(__xludf.DUMMYFUNCTION("""COMPUTED_VALUE"""),"AP")</f>
        <v>AP</v>
      </c>
      <c r="AF147" s="34" t="str">
        <f>IFERROR(__xludf.DUMMYFUNCTION("""COMPUTED_VALUE"""),"")</f>
        <v/>
      </c>
      <c r="AG147" s="35" t="str">
        <f>IFERROR(__xludf.DUMMYFUNCTION("""COMPUTED_VALUE"""),"%")</f>
        <v>%</v>
      </c>
      <c r="AH147" s="31"/>
      <c r="AI147" s="32"/>
      <c r="AJ147" s="67"/>
    </row>
    <row r="148" ht="24.75" hidden="1" customHeight="1">
      <c r="A148" s="40">
        <f>IFERROR(__xludf.DUMMYFUNCTION("""COMPUTED_VALUE"""),8.0)</f>
        <v>8</v>
      </c>
      <c r="B148" s="40" t="str">
        <f>IFERROR(__xludf.DUMMYFUNCTION("""COMPUTED_VALUE"""),"A307")</f>
        <v>A307</v>
      </c>
      <c r="C148" s="40"/>
      <c r="D148" s="41"/>
      <c r="E148" s="66"/>
      <c r="F148" s="43"/>
      <c r="G148" s="44"/>
      <c r="H148" s="33" t="str">
        <f>IFERROR(__xludf.DUMMYFUNCTION("""COMPUTED_VALUE""")," ")</f>
        <v> </v>
      </c>
      <c r="I148" s="45"/>
      <c r="J148" s="46" t="str">
        <f>IFERROR(__xludf.DUMMYFUNCTION("""COMPUTED_VALUE"""),"AP")</f>
        <v>AP</v>
      </c>
      <c r="K148" s="47"/>
      <c r="L148" s="48" t="str">
        <f>IFERROR(__xludf.DUMMYFUNCTION("""COMPUTED_VALUE"""),"%")</f>
        <v>%</v>
      </c>
      <c r="M148" s="49">
        <f>IFERROR(__xludf.DUMMYFUNCTION("""COMPUTED_VALUE"""),1.0)</f>
        <v>1</v>
      </c>
      <c r="N148" s="50"/>
      <c r="O148" s="38"/>
      <c r="P148" s="45" t="str">
        <f>IFERROR(__xludf.DUMMYFUNCTION("""COMPUTED_VALUE"""),"")</f>
        <v/>
      </c>
      <c r="Q148" s="46" t="str">
        <f>IFERROR(__xludf.DUMMYFUNCTION("""COMPUTED_VALUE"""),"AP")</f>
        <v>AP</v>
      </c>
      <c r="R148" s="47" t="str">
        <f>IFERROR(__xludf.DUMMYFUNCTION("""COMPUTED_VALUE"""),"")</f>
        <v/>
      </c>
      <c r="S148" s="48" t="str">
        <f>IFERROR(__xludf.DUMMYFUNCTION("""COMPUTED_VALUE"""),"%")</f>
        <v>%</v>
      </c>
      <c r="T148" s="49">
        <f>IFERROR(__xludf.DUMMYFUNCTION("""COMPUTED_VALUE"""),2.0)</f>
        <v>2</v>
      </c>
      <c r="U148" s="50"/>
      <c r="V148" s="38"/>
      <c r="W148" s="45" t="str">
        <f>IFERROR(__xludf.DUMMYFUNCTION("""COMPUTED_VALUE"""),"")</f>
        <v/>
      </c>
      <c r="X148" s="46" t="str">
        <f>IFERROR(__xludf.DUMMYFUNCTION("""COMPUTED_VALUE"""),"AP")</f>
        <v>AP</v>
      </c>
      <c r="Y148" s="47" t="str">
        <f>IFERROR(__xludf.DUMMYFUNCTION("""COMPUTED_VALUE"""),"")</f>
        <v/>
      </c>
      <c r="Z148" s="48" t="str">
        <f>IFERROR(__xludf.DUMMYFUNCTION("""COMPUTED_VALUE"""),"%")</f>
        <v>%</v>
      </c>
      <c r="AA148" s="49">
        <f>IFERROR(__xludf.DUMMYFUNCTION("""COMPUTED_VALUE"""),3.0)</f>
        <v>3</v>
      </c>
      <c r="AB148" s="50"/>
      <c r="AC148" s="38"/>
      <c r="AD148" s="45" t="str">
        <f>IFERROR(__xludf.DUMMYFUNCTION("""COMPUTED_VALUE"""),"")</f>
        <v/>
      </c>
      <c r="AE148" s="46" t="str">
        <f>IFERROR(__xludf.DUMMYFUNCTION("""COMPUTED_VALUE"""),"AP")</f>
        <v>AP</v>
      </c>
      <c r="AF148" s="47" t="str">
        <f>IFERROR(__xludf.DUMMYFUNCTION("""COMPUTED_VALUE"""),"")</f>
        <v/>
      </c>
      <c r="AG148" s="48" t="str">
        <f>IFERROR(__xludf.DUMMYFUNCTION("""COMPUTED_VALUE"""),"%")</f>
        <v>%</v>
      </c>
      <c r="AH148" s="43"/>
      <c r="AI148" s="44"/>
      <c r="AJ148" s="66"/>
    </row>
    <row r="149" ht="24.75" hidden="1" customHeight="1">
      <c r="A149" s="28">
        <f>IFERROR(__xludf.DUMMYFUNCTION("""COMPUTED_VALUE"""),9.0)</f>
        <v>9</v>
      </c>
      <c r="B149" s="28" t="str">
        <f>IFERROR(__xludf.DUMMYFUNCTION("""COMPUTED_VALUE"""),"A307")</f>
        <v>A307</v>
      </c>
      <c r="C149" s="28"/>
      <c r="D149" s="29"/>
      <c r="E149" s="67"/>
      <c r="F149" s="31"/>
      <c r="G149" s="32"/>
      <c r="H149" s="33" t="str">
        <f>IFERROR(__xludf.DUMMYFUNCTION("""COMPUTED_VALUE""")," ")</f>
        <v> </v>
      </c>
      <c r="I149" s="34"/>
      <c r="J149" s="35" t="str">
        <f>IFERROR(__xludf.DUMMYFUNCTION("""COMPUTED_VALUE"""),"AP")</f>
        <v>AP</v>
      </c>
      <c r="K149" s="34"/>
      <c r="L149" s="35" t="str">
        <f>IFERROR(__xludf.DUMMYFUNCTION("""COMPUTED_VALUE"""),"%")</f>
        <v>%</v>
      </c>
      <c r="M149" s="36">
        <f>IFERROR(__xludf.DUMMYFUNCTION("""COMPUTED_VALUE"""),1.0)</f>
        <v>1</v>
      </c>
      <c r="N149" s="37"/>
      <c r="O149" s="38"/>
      <c r="P149" s="34" t="str">
        <f>IFERROR(__xludf.DUMMYFUNCTION("""COMPUTED_VALUE"""),"")</f>
        <v/>
      </c>
      <c r="Q149" s="35" t="str">
        <f>IFERROR(__xludf.DUMMYFUNCTION("""COMPUTED_VALUE"""),"AP")</f>
        <v>AP</v>
      </c>
      <c r="R149" s="34" t="str">
        <f>IFERROR(__xludf.DUMMYFUNCTION("""COMPUTED_VALUE"""),"")</f>
        <v/>
      </c>
      <c r="S149" s="35" t="str">
        <f>IFERROR(__xludf.DUMMYFUNCTION("""COMPUTED_VALUE"""),"%")</f>
        <v>%</v>
      </c>
      <c r="T149" s="36">
        <f>IFERROR(__xludf.DUMMYFUNCTION("""COMPUTED_VALUE"""),2.0)</f>
        <v>2</v>
      </c>
      <c r="U149" s="37"/>
      <c r="V149" s="38"/>
      <c r="W149" s="34" t="str">
        <f>IFERROR(__xludf.DUMMYFUNCTION("""COMPUTED_VALUE"""),"")</f>
        <v/>
      </c>
      <c r="X149" s="35" t="str">
        <f>IFERROR(__xludf.DUMMYFUNCTION("""COMPUTED_VALUE"""),"AP")</f>
        <v>AP</v>
      </c>
      <c r="Y149" s="34" t="str">
        <f>IFERROR(__xludf.DUMMYFUNCTION("""COMPUTED_VALUE"""),"")</f>
        <v/>
      </c>
      <c r="Z149" s="35" t="str">
        <f>IFERROR(__xludf.DUMMYFUNCTION("""COMPUTED_VALUE"""),"%")</f>
        <v>%</v>
      </c>
      <c r="AA149" s="36">
        <f>IFERROR(__xludf.DUMMYFUNCTION("""COMPUTED_VALUE"""),3.0)</f>
        <v>3</v>
      </c>
      <c r="AB149" s="37"/>
      <c r="AC149" s="38"/>
      <c r="AD149" s="34" t="str">
        <f>IFERROR(__xludf.DUMMYFUNCTION("""COMPUTED_VALUE"""),"")</f>
        <v/>
      </c>
      <c r="AE149" s="35" t="str">
        <f>IFERROR(__xludf.DUMMYFUNCTION("""COMPUTED_VALUE"""),"AP")</f>
        <v>AP</v>
      </c>
      <c r="AF149" s="34" t="str">
        <f>IFERROR(__xludf.DUMMYFUNCTION("""COMPUTED_VALUE"""),"")</f>
        <v/>
      </c>
      <c r="AG149" s="35" t="str">
        <f>IFERROR(__xludf.DUMMYFUNCTION("""COMPUTED_VALUE"""),"%")</f>
        <v>%</v>
      </c>
      <c r="AH149" s="31"/>
      <c r="AI149" s="32"/>
      <c r="AJ149" s="67"/>
    </row>
    <row r="150" ht="24.75" hidden="1" customHeight="1">
      <c r="A150" s="40">
        <f>IFERROR(__xludf.DUMMYFUNCTION("""COMPUTED_VALUE"""),10.0)</f>
        <v>10</v>
      </c>
      <c r="B150" s="40" t="str">
        <f>IFERROR(__xludf.DUMMYFUNCTION("""COMPUTED_VALUE"""),"A307")</f>
        <v>A307</v>
      </c>
      <c r="C150" s="40"/>
      <c r="D150" s="41"/>
      <c r="E150" s="66"/>
      <c r="F150" s="43"/>
      <c r="G150" s="44"/>
      <c r="H150" s="33" t="str">
        <f>IFERROR(__xludf.DUMMYFUNCTION("""COMPUTED_VALUE""")," ")</f>
        <v> </v>
      </c>
      <c r="I150" s="45"/>
      <c r="J150" s="46" t="str">
        <f>IFERROR(__xludf.DUMMYFUNCTION("""COMPUTED_VALUE"""),"AP")</f>
        <v>AP</v>
      </c>
      <c r="K150" s="47"/>
      <c r="L150" s="48" t="str">
        <f>IFERROR(__xludf.DUMMYFUNCTION("""COMPUTED_VALUE"""),"%")</f>
        <v>%</v>
      </c>
      <c r="M150" s="49">
        <f>IFERROR(__xludf.DUMMYFUNCTION("""COMPUTED_VALUE"""),1.0)</f>
        <v>1</v>
      </c>
      <c r="N150" s="50"/>
      <c r="O150" s="38"/>
      <c r="P150" s="45" t="str">
        <f>IFERROR(__xludf.DUMMYFUNCTION("""COMPUTED_VALUE"""),"")</f>
        <v/>
      </c>
      <c r="Q150" s="46" t="str">
        <f>IFERROR(__xludf.DUMMYFUNCTION("""COMPUTED_VALUE"""),"AP")</f>
        <v>AP</v>
      </c>
      <c r="R150" s="47" t="str">
        <f>IFERROR(__xludf.DUMMYFUNCTION("""COMPUTED_VALUE"""),"")</f>
        <v/>
      </c>
      <c r="S150" s="48" t="str">
        <f>IFERROR(__xludf.DUMMYFUNCTION("""COMPUTED_VALUE"""),"%")</f>
        <v>%</v>
      </c>
      <c r="T150" s="49">
        <f>IFERROR(__xludf.DUMMYFUNCTION("""COMPUTED_VALUE"""),2.0)</f>
        <v>2</v>
      </c>
      <c r="U150" s="50"/>
      <c r="V150" s="38"/>
      <c r="W150" s="45" t="str">
        <f>IFERROR(__xludf.DUMMYFUNCTION("""COMPUTED_VALUE"""),"")</f>
        <v/>
      </c>
      <c r="X150" s="46" t="str">
        <f>IFERROR(__xludf.DUMMYFUNCTION("""COMPUTED_VALUE"""),"AP")</f>
        <v>AP</v>
      </c>
      <c r="Y150" s="47" t="str">
        <f>IFERROR(__xludf.DUMMYFUNCTION("""COMPUTED_VALUE"""),"")</f>
        <v/>
      </c>
      <c r="Z150" s="48" t="str">
        <f>IFERROR(__xludf.DUMMYFUNCTION("""COMPUTED_VALUE"""),"%")</f>
        <v>%</v>
      </c>
      <c r="AA150" s="49">
        <f>IFERROR(__xludf.DUMMYFUNCTION("""COMPUTED_VALUE"""),3.0)</f>
        <v>3</v>
      </c>
      <c r="AB150" s="50"/>
      <c r="AC150" s="38"/>
      <c r="AD150" s="45" t="str">
        <f>IFERROR(__xludf.DUMMYFUNCTION("""COMPUTED_VALUE"""),"")</f>
        <v/>
      </c>
      <c r="AE150" s="46" t="str">
        <f>IFERROR(__xludf.DUMMYFUNCTION("""COMPUTED_VALUE"""),"AP")</f>
        <v>AP</v>
      </c>
      <c r="AF150" s="47" t="str">
        <f>IFERROR(__xludf.DUMMYFUNCTION("""COMPUTED_VALUE"""),"")</f>
        <v/>
      </c>
      <c r="AG150" s="48" t="str">
        <f>IFERROR(__xludf.DUMMYFUNCTION("""COMPUTED_VALUE"""),"%")</f>
        <v>%</v>
      </c>
      <c r="AH150" s="43"/>
      <c r="AI150" s="44"/>
      <c r="AJ150" s="66"/>
    </row>
    <row r="151" ht="24.75" hidden="1" customHeight="1">
      <c r="A151" s="28">
        <f>IFERROR(__xludf.DUMMYFUNCTION("""COMPUTED_VALUE"""),11.0)</f>
        <v>11</v>
      </c>
      <c r="B151" s="28" t="str">
        <f>IFERROR(__xludf.DUMMYFUNCTION("""COMPUTED_VALUE"""),"A307")</f>
        <v>A307</v>
      </c>
      <c r="C151" s="28"/>
      <c r="D151" s="29"/>
      <c r="E151" s="67"/>
      <c r="F151" s="31"/>
      <c r="G151" s="32"/>
      <c r="H151" s="33" t="str">
        <f>IFERROR(__xludf.DUMMYFUNCTION("""COMPUTED_VALUE""")," ")</f>
        <v> </v>
      </c>
      <c r="I151" s="34"/>
      <c r="J151" s="35" t="str">
        <f>IFERROR(__xludf.DUMMYFUNCTION("""COMPUTED_VALUE"""),"AP")</f>
        <v>AP</v>
      </c>
      <c r="K151" s="34"/>
      <c r="L151" s="35" t="str">
        <f>IFERROR(__xludf.DUMMYFUNCTION("""COMPUTED_VALUE"""),"%")</f>
        <v>%</v>
      </c>
      <c r="M151" s="36">
        <f>IFERROR(__xludf.DUMMYFUNCTION("""COMPUTED_VALUE"""),1.0)</f>
        <v>1</v>
      </c>
      <c r="N151" s="37"/>
      <c r="O151" s="38"/>
      <c r="P151" s="34" t="str">
        <f>IFERROR(__xludf.DUMMYFUNCTION("""COMPUTED_VALUE"""),"")</f>
        <v/>
      </c>
      <c r="Q151" s="35" t="str">
        <f>IFERROR(__xludf.DUMMYFUNCTION("""COMPUTED_VALUE"""),"AP")</f>
        <v>AP</v>
      </c>
      <c r="R151" s="34" t="str">
        <f>IFERROR(__xludf.DUMMYFUNCTION("""COMPUTED_VALUE"""),"")</f>
        <v/>
      </c>
      <c r="S151" s="35" t="str">
        <f>IFERROR(__xludf.DUMMYFUNCTION("""COMPUTED_VALUE"""),"%")</f>
        <v>%</v>
      </c>
      <c r="T151" s="36">
        <f>IFERROR(__xludf.DUMMYFUNCTION("""COMPUTED_VALUE"""),2.0)</f>
        <v>2</v>
      </c>
      <c r="U151" s="37"/>
      <c r="V151" s="38"/>
      <c r="W151" s="34" t="str">
        <f>IFERROR(__xludf.DUMMYFUNCTION("""COMPUTED_VALUE"""),"")</f>
        <v/>
      </c>
      <c r="X151" s="35" t="str">
        <f>IFERROR(__xludf.DUMMYFUNCTION("""COMPUTED_VALUE"""),"AP")</f>
        <v>AP</v>
      </c>
      <c r="Y151" s="34" t="str">
        <f>IFERROR(__xludf.DUMMYFUNCTION("""COMPUTED_VALUE"""),"")</f>
        <v/>
      </c>
      <c r="Z151" s="35" t="str">
        <f>IFERROR(__xludf.DUMMYFUNCTION("""COMPUTED_VALUE"""),"%")</f>
        <v>%</v>
      </c>
      <c r="AA151" s="36">
        <f>IFERROR(__xludf.DUMMYFUNCTION("""COMPUTED_VALUE"""),3.0)</f>
        <v>3</v>
      </c>
      <c r="AB151" s="37"/>
      <c r="AC151" s="38"/>
      <c r="AD151" s="34" t="str">
        <f>IFERROR(__xludf.DUMMYFUNCTION("""COMPUTED_VALUE"""),"")</f>
        <v/>
      </c>
      <c r="AE151" s="35" t="str">
        <f>IFERROR(__xludf.DUMMYFUNCTION("""COMPUTED_VALUE"""),"AP")</f>
        <v>AP</v>
      </c>
      <c r="AF151" s="34" t="str">
        <f>IFERROR(__xludf.DUMMYFUNCTION("""COMPUTED_VALUE"""),"")</f>
        <v/>
      </c>
      <c r="AG151" s="35" t="str">
        <f>IFERROR(__xludf.DUMMYFUNCTION("""COMPUTED_VALUE"""),"%")</f>
        <v>%</v>
      </c>
      <c r="AH151" s="31"/>
      <c r="AI151" s="32"/>
      <c r="AJ151" s="67"/>
    </row>
    <row r="152" ht="24.75" hidden="1" customHeight="1">
      <c r="A152" s="40">
        <f>IFERROR(__xludf.DUMMYFUNCTION("""COMPUTED_VALUE"""),12.0)</f>
        <v>12</v>
      </c>
      <c r="B152" s="40" t="str">
        <f>IFERROR(__xludf.DUMMYFUNCTION("""COMPUTED_VALUE"""),"A307")</f>
        <v>A307</v>
      </c>
      <c r="C152" s="40"/>
      <c r="D152" s="41"/>
      <c r="E152" s="66"/>
      <c r="F152" s="43"/>
      <c r="G152" s="44"/>
      <c r="H152" s="33" t="str">
        <f>IFERROR(__xludf.DUMMYFUNCTION("""COMPUTED_VALUE""")," ")</f>
        <v> </v>
      </c>
      <c r="I152" s="45"/>
      <c r="J152" s="46" t="str">
        <f>IFERROR(__xludf.DUMMYFUNCTION("""COMPUTED_VALUE"""),"AP")</f>
        <v>AP</v>
      </c>
      <c r="K152" s="47"/>
      <c r="L152" s="48" t="str">
        <f>IFERROR(__xludf.DUMMYFUNCTION("""COMPUTED_VALUE"""),"%")</f>
        <v>%</v>
      </c>
      <c r="M152" s="49">
        <f>IFERROR(__xludf.DUMMYFUNCTION("""COMPUTED_VALUE"""),1.0)</f>
        <v>1</v>
      </c>
      <c r="N152" s="50"/>
      <c r="O152" s="38"/>
      <c r="P152" s="45" t="str">
        <f>IFERROR(__xludf.DUMMYFUNCTION("""COMPUTED_VALUE"""),"")</f>
        <v/>
      </c>
      <c r="Q152" s="46" t="str">
        <f>IFERROR(__xludf.DUMMYFUNCTION("""COMPUTED_VALUE"""),"AP")</f>
        <v>AP</v>
      </c>
      <c r="R152" s="47" t="str">
        <f>IFERROR(__xludf.DUMMYFUNCTION("""COMPUTED_VALUE"""),"")</f>
        <v/>
      </c>
      <c r="S152" s="48" t="str">
        <f>IFERROR(__xludf.DUMMYFUNCTION("""COMPUTED_VALUE"""),"%")</f>
        <v>%</v>
      </c>
      <c r="T152" s="49">
        <f>IFERROR(__xludf.DUMMYFUNCTION("""COMPUTED_VALUE"""),2.0)</f>
        <v>2</v>
      </c>
      <c r="U152" s="50"/>
      <c r="V152" s="38"/>
      <c r="W152" s="45" t="str">
        <f>IFERROR(__xludf.DUMMYFUNCTION("""COMPUTED_VALUE"""),"")</f>
        <v/>
      </c>
      <c r="X152" s="46" t="str">
        <f>IFERROR(__xludf.DUMMYFUNCTION("""COMPUTED_VALUE"""),"AP")</f>
        <v>AP</v>
      </c>
      <c r="Y152" s="47" t="str">
        <f>IFERROR(__xludf.DUMMYFUNCTION("""COMPUTED_VALUE"""),"")</f>
        <v/>
      </c>
      <c r="Z152" s="48" t="str">
        <f>IFERROR(__xludf.DUMMYFUNCTION("""COMPUTED_VALUE"""),"%")</f>
        <v>%</v>
      </c>
      <c r="AA152" s="49">
        <f>IFERROR(__xludf.DUMMYFUNCTION("""COMPUTED_VALUE"""),3.0)</f>
        <v>3</v>
      </c>
      <c r="AB152" s="50"/>
      <c r="AC152" s="38"/>
      <c r="AD152" s="45" t="str">
        <f>IFERROR(__xludf.DUMMYFUNCTION("""COMPUTED_VALUE"""),"")</f>
        <v/>
      </c>
      <c r="AE152" s="46" t="str">
        <f>IFERROR(__xludf.DUMMYFUNCTION("""COMPUTED_VALUE"""),"AP")</f>
        <v>AP</v>
      </c>
      <c r="AF152" s="47" t="str">
        <f>IFERROR(__xludf.DUMMYFUNCTION("""COMPUTED_VALUE"""),"")</f>
        <v/>
      </c>
      <c r="AG152" s="48" t="str">
        <f>IFERROR(__xludf.DUMMYFUNCTION("""COMPUTED_VALUE"""),"%")</f>
        <v>%</v>
      </c>
      <c r="AH152" s="43"/>
      <c r="AI152" s="44"/>
      <c r="AJ152" s="66"/>
    </row>
    <row r="153" ht="24.75" hidden="1" customHeight="1">
      <c r="A153" s="28">
        <f>IFERROR(__xludf.DUMMYFUNCTION("""COMPUTED_VALUE"""),13.0)</f>
        <v>13</v>
      </c>
      <c r="B153" s="28" t="str">
        <f>IFERROR(__xludf.DUMMYFUNCTION("""COMPUTED_VALUE"""),"A307")</f>
        <v>A307</v>
      </c>
      <c r="C153" s="28"/>
      <c r="D153" s="29"/>
      <c r="E153" s="67"/>
      <c r="F153" s="31"/>
      <c r="G153" s="32"/>
      <c r="H153" s="33" t="str">
        <f>IFERROR(__xludf.DUMMYFUNCTION("""COMPUTED_VALUE""")," ")</f>
        <v> </v>
      </c>
      <c r="I153" s="34"/>
      <c r="J153" s="35" t="str">
        <f>IFERROR(__xludf.DUMMYFUNCTION("""COMPUTED_VALUE"""),"AP")</f>
        <v>AP</v>
      </c>
      <c r="K153" s="34"/>
      <c r="L153" s="35" t="str">
        <f>IFERROR(__xludf.DUMMYFUNCTION("""COMPUTED_VALUE"""),"%")</f>
        <v>%</v>
      </c>
      <c r="M153" s="36">
        <f>IFERROR(__xludf.DUMMYFUNCTION("""COMPUTED_VALUE"""),1.0)</f>
        <v>1</v>
      </c>
      <c r="N153" s="37"/>
      <c r="O153" s="38"/>
      <c r="P153" s="34" t="str">
        <f>IFERROR(__xludf.DUMMYFUNCTION("""COMPUTED_VALUE"""),"")</f>
        <v/>
      </c>
      <c r="Q153" s="35" t="str">
        <f>IFERROR(__xludf.DUMMYFUNCTION("""COMPUTED_VALUE"""),"AP")</f>
        <v>AP</v>
      </c>
      <c r="R153" s="34" t="str">
        <f>IFERROR(__xludf.DUMMYFUNCTION("""COMPUTED_VALUE"""),"")</f>
        <v/>
      </c>
      <c r="S153" s="35" t="str">
        <f>IFERROR(__xludf.DUMMYFUNCTION("""COMPUTED_VALUE"""),"%")</f>
        <v>%</v>
      </c>
      <c r="T153" s="36">
        <f>IFERROR(__xludf.DUMMYFUNCTION("""COMPUTED_VALUE"""),2.0)</f>
        <v>2</v>
      </c>
      <c r="U153" s="37"/>
      <c r="V153" s="38"/>
      <c r="W153" s="34" t="str">
        <f>IFERROR(__xludf.DUMMYFUNCTION("""COMPUTED_VALUE"""),"")</f>
        <v/>
      </c>
      <c r="X153" s="35" t="str">
        <f>IFERROR(__xludf.DUMMYFUNCTION("""COMPUTED_VALUE"""),"AP")</f>
        <v>AP</v>
      </c>
      <c r="Y153" s="34" t="str">
        <f>IFERROR(__xludf.DUMMYFUNCTION("""COMPUTED_VALUE"""),"")</f>
        <v/>
      </c>
      <c r="Z153" s="35" t="str">
        <f>IFERROR(__xludf.DUMMYFUNCTION("""COMPUTED_VALUE"""),"%")</f>
        <v>%</v>
      </c>
      <c r="AA153" s="36">
        <f>IFERROR(__xludf.DUMMYFUNCTION("""COMPUTED_VALUE"""),3.0)</f>
        <v>3</v>
      </c>
      <c r="AB153" s="37"/>
      <c r="AC153" s="38"/>
      <c r="AD153" s="34" t="str">
        <f>IFERROR(__xludf.DUMMYFUNCTION("""COMPUTED_VALUE"""),"")</f>
        <v/>
      </c>
      <c r="AE153" s="35" t="str">
        <f>IFERROR(__xludf.DUMMYFUNCTION("""COMPUTED_VALUE"""),"AP")</f>
        <v>AP</v>
      </c>
      <c r="AF153" s="34" t="str">
        <f>IFERROR(__xludf.DUMMYFUNCTION("""COMPUTED_VALUE"""),"")</f>
        <v/>
      </c>
      <c r="AG153" s="35" t="str">
        <f>IFERROR(__xludf.DUMMYFUNCTION("""COMPUTED_VALUE"""),"%")</f>
        <v>%</v>
      </c>
      <c r="AH153" s="31"/>
      <c r="AI153" s="32"/>
      <c r="AJ153" s="67"/>
    </row>
    <row r="154" ht="24.75" hidden="1" customHeight="1">
      <c r="A154" s="40">
        <f>IFERROR(__xludf.DUMMYFUNCTION("""COMPUTED_VALUE"""),14.0)</f>
        <v>14</v>
      </c>
      <c r="B154" s="40" t="str">
        <f>IFERROR(__xludf.DUMMYFUNCTION("""COMPUTED_VALUE"""),"A307")</f>
        <v>A307</v>
      </c>
      <c r="C154" s="40"/>
      <c r="D154" s="41"/>
      <c r="E154" s="66"/>
      <c r="F154" s="43"/>
      <c r="G154" s="44"/>
      <c r="H154" s="33" t="str">
        <f>IFERROR(__xludf.DUMMYFUNCTION("""COMPUTED_VALUE""")," ")</f>
        <v> </v>
      </c>
      <c r="I154" s="45"/>
      <c r="J154" s="46" t="str">
        <f>IFERROR(__xludf.DUMMYFUNCTION("""COMPUTED_VALUE"""),"AP")</f>
        <v>AP</v>
      </c>
      <c r="K154" s="47"/>
      <c r="L154" s="48" t="str">
        <f>IFERROR(__xludf.DUMMYFUNCTION("""COMPUTED_VALUE"""),"%")</f>
        <v>%</v>
      </c>
      <c r="M154" s="49">
        <f>IFERROR(__xludf.DUMMYFUNCTION("""COMPUTED_VALUE"""),1.0)</f>
        <v>1</v>
      </c>
      <c r="N154" s="50"/>
      <c r="O154" s="38"/>
      <c r="P154" s="45" t="str">
        <f>IFERROR(__xludf.DUMMYFUNCTION("""COMPUTED_VALUE"""),"")</f>
        <v/>
      </c>
      <c r="Q154" s="46" t="str">
        <f>IFERROR(__xludf.DUMMYFUNCTION("""COMPUTED_VALUE"""),"AP")</f>
        <v>AP</v>
      </c>
      <c r="R154" s="47" t="str">
        <f>IFERROR(__xludf.DUMMYFUNCTION("""COMPUTED_VALUE"""),"")</f>
        <v/>
      </c>
      <c r="S154" s="48" t="str">
        <f>IFERROR(__xludf.DUMMYFUNCTION("""COMPUTED_VALUE"""),"%")</f>
        <v>%</v>
      </c>
      <c r="T154" s="49">
        <f>IFERROR(__xludf.DUMMYFUNCTION("""COMPUTED_VALUE"""),2.0)</f>
        <v>2</v>
      </c>
      <c r="U154" s="50"/>
      <c r="V154" s="38"/>
      <c r="W154" s="45" t="str">
        <f>IFERROR(__xludf.DUMMYFUNCTION("""COMPUTED_VALUE"""),"")</f>
        <v/>
      </c>
      <c r="X154" s="46" t="str">
        <f>IFERROR(__xludf.DUMMYFUNCTION("""COMPUTED_VALUE"""),"AP")</f>
        <v>AP</v>
      </c>
      <c r="Y154" s="47" t="str">
        <f>IFERROR(__xludf.DUMMYFUNCTION("""COMPUTED_VALUE"""),"")</f>
        <v/>
      </c>
      <c r="Z154" s="48" t="str">
        <f>IFERROR(__xludf.DUMMYFUNCTION("""COMPUTED_VALUE"""),"%")</f>
        <v>%</v>
      </c>
      <c r="AA154" s="49">
        <f>IFERROR(__xludf.DUMMYFUNCTION("""COMPUTED_VALUE"""),3.0)</f>
        <v>3</v>
      </c>
      <c r="AB154" s="50"/>
      <c r="AC154" s="38"/>
      <c r="AD154" s="45" t="str">
        <f>IFERROR(__xludf.DUMMYFUNCTION("""COMPUTED_VALUE"""),"")</f>
        <v/>
      </c>
      <c r="AE154" s="46" t="str">
        <f>IFERROR(__xludf.DUMMYFUNCTION("""COMPUTED_VALUE"""),"AP")</f>
        <v>AP</v>
      </c>
      <c r="AF154" s="47" t="str">
        <f>IFERROR(__xludf.DUMMYFUNCTION("""COMPUTED_VALUE"""),"")</f>
        <v/>
      </c>
      <c r="AG154" s="48" t="str">
        <f>IFERROR(__xludf.DUMMYFUNCTION("""COMPUTED_VALUE"""),"%")</f>
        <v>%</v>
      </c>
      <c r="AH154" s="43"/>
      <c r="AI154" s="44"/>
      <c r="AJ154" s="66"/>
    </row>
    <row r="155" ht="24.75" hidden="1" customHeight="1">
      <c r="A155" s="28">
        <f>IFERROR(__xludf.DUMMYFUNCTION("""COMPUTED_VALUE"""),15.0)</f>
        <v>15</v>
      </c>
      <c r="B155" s="28" t="str">
        <f>IFERROR(__xludf.DUMMYFUNCTION("""COMPUTED_VALUE"""),"A307")</f>
        <v>A307</v>
      </c>
      <c r="C155" s="28"/>
      <c r="D155" s="29"/>
      <c r="E155" s="67"/>
      <c r="F155" s="31"/>
      <c r="G155" s="32"/>
      <c r="H155" s="33" t="str">
        <f>IFERROR(__xludf.DUMMYFUNCTION("""COMPUTED_VALUE""")," ")</f>
        <v> </v>
      </c>
      <c r="I155" s="34"/>
      <c r="J155" s="35" t="str">
        <f>IFERROR(__xludf.DUMMYFUNCTION("""COMPUTED_VALUE"""),"AP")</f>
        <v>AP</v>
      </c>
      <c r="K155" s="34"/>
      <c r="L155" s="35" t="str">
        <f>IFERROR(__xludf.DUMMYFUNCTION("""COMPUTED_VALUE"""),"%")</f>
        <v>%</v>
      </c>
      <c r="M155" s="36">
        <f>IFERROR(__xludf.DUMMYFUNCTION("""COMPUTED_VALUE"""),1.0)</f>
        <v>1</v>
      </c>
      <c r="N155" s="37"/>
      <c r="O155" s="38"/>
      <c r="P155" s="34" t="str">
        <f>IFERROR(__xludf.DUMMYFUNCTION("""COMPUTED_VALUE"""),"")</f>
        <v/>
      </c>
      <c r="Q155" s="35" t="str">
        <f>IFERROR(__xludf.DUMMYFUNCTION("""COMPUTED_VALUE"""),"AP")</f>
        <v>AP</v>
      </c>
      <c r="R155" s="34" t="str">
        <f>IFERROR(__xludf.DUMMYFUNCTION("""COMPUTED_VALUE"""),"")</f>
        <v/>
      </c>
      <c r="S155" s="35" t="str">
        <f>IFERROR(__xludf.DUMMYFUNCTION("""COMPUTED_VALUE"""),"%")</f>
        <v>%</v>
      </c>
      <c r="T155" s="36">
        <f>IFERROR(__xludf.DUMMYFUNCTION("""COMPUTED_VALUE"""),2.0)</f>
        <v>2</v>
      </c>
      <c r="U155" s="37"/>
      <c r="V155" s="38"/>
      <c r="W155" s="34" t="str">
        <f>IFERROR(__xludf.DUMMYFUNCTION("""COMPUTED_VALUE"""),"")</f>
        <v/>
      </c>
      <c r="X155" s="35" t="str">
        <f>IFERROR(__xludf.DUMMYFUNCTION("""COMPUTED_VALUE"""),"AP")</f>
        <v>AP</v>
      </c>
      <c r="Y155" s="34" t="str">
        <f>IFERROR(__xludf.DUMMYFUNCTION("""COMPUTED_VALUE"""),"")</f>
        <v/>
      </c>
      <c r="Z155" s="35" t="str">
        <f>IFERROR(__xludf.DUMMYFUNCTION("""COMPUTED_VALUE"""),"%")</f>
        <v>%</v>
      </c>
      <c r="AA155" s="36">
        <f>IFERROR(__xludf.DUMMYFUNCTION("""COMPUTED_VALUE"""),3.0)</f>
        <v>3</v>
      </c>
      <c r="AB155" s="37"/>
      <c r="AC155" s="38"/>
      <c r="AD155" s="34" t="str">
        <f>IFERROR(__xludf.DUMMYFUNCTION("""COMPUTED_VALUE"""),"")</f>
        <v/>
      </c>
      <c r="AE155" s="35" t="str">
        <f>IFERROR(__xludf.DUMMYFUNCTION("""COMPUTED_VALUE"""),"AP")</f>
        <v>AP</v>
      </c>
      <c r="AF155" s="34" t="str">
        <f>IFERROR(__xludf.DUMMYFUNCTION("""COMPUTED_VALUE"""),"")</f>
        <v/>
      </c>
      <c r="AG155" s="35" t="str">
        <f>IFERROR(__xludf.DUMMYFUNCTION("""COMPUTED_VALUE"""),"%")</f>
        <v>%</v>
      </c>
      <c r="AH155" s="31"/>
      <c r="AI155" s="32"/>
      <c r="AJ155" s="67"/>
    </row>
    <row r="156" ht="24.75" hidden="1" customHeight="1">
      <c r="A156" s="40">
        <f>IFERROR(__xludf.DUMMYFUNCTION("""COMPUTED_VALUE"""),16.0)</f>
        <v>16</v>
      </c>
      <c r="B156" s="40" t="str">
        <f>IFERROR(__xludf.DUMMYFUNCTION("""COMPUTED_VALUE"""),"A307")</f>
        <v>A307</v>
      </c>
      <c r="C156" s="40"/>
      <c r="D156" s="41"/>
      <c r="E156" s="66"/>
      <c r="F156" s="43"/>
      <c r="G156" s="44"/>
      <c r="H156" s="33" t="str">
        <f>IFERROR(__xludf.DUMMYFUNCTION("""COMPUTED_VALUE""")," ")</f>
        <v> </v>
      </c>
      <c r="I156" s="45"/>
      <c r="J156" s="46" t="str">
        <f>IFERROR(__xludf.DUMMYFUNCTION("""COMPUTED_VALUE"""),"AP")</f>
        <v>AP</v>
      </c>
      <c r="K156" s="47"/>
      <c r="L156" s="48" t="str">
        <f>IFERROR(__xludf.DUMMYFUNCTION("""COMPUTED_VALUE"""),"%")</f>
        <v>%</v>
      </c>
      <c r="M156" s="49">
        <f>IFERROR(__xludf.DUMMYFUNCTION("""COMPUTED_VALUE"""),1.0)</f>
        <v>1</v>
      </c>
      <c r="N156" s="50"/>
      <c r="O156" s="38"/>
      <c r="P156" s="45" t="str">
        <f>IFERROR(__xludf.DUMMYFUNCTION("""COMPUTED_VALUE"""),"")</f>
        <v/>
      </c>
      <c r="Q156" s="46" t="str">
        <f>IFERROR(__xludf.DUMMYFUNCTION("""COMPUTED_VALUE"""),"AP")</f>
        <v>AP</v>
      </c>
      <c r="R156" s="47" t="str">
        <f>IFERROR(__xludf.DUMMYFUNCTION("""COMPUTED_VALUE"""),"")</f>
        <v/>
      </c>
      <c r="S156" s="48" t="str">
        <f>IFERROR(__xludf.DUMMYFUNCTION("""COMPUTED_VALUE"""),"%")</f>
        <v>%</v>
      </c>
      <c r="T156" s="49">
        <f>IFERROR(__xludf.DUMMYFUNCTION("""COMPUTED_VALUE"""),2.0)</f>
        <v>2</v>
      </c>
      <c r="U156" s="50"/>
      <c r="V156" s="38"/>
      <c r="W156" s="45" t="str">
        <f>IFERROR(__xludf.DUMMYFUNCTION("""COMPUTED_VALUE"""),"")</f>
        <v/>
      </c>
      <c r="X156" s="46" t="str">
        <f>IFERROR(__xludf.DUMMYFUNCTION("""COMPUTED_VALUE"""),"AP")</f>
        <v>AP</v>
      </c>
      <c r="Y156" s="47" t="str">
        <f>IFERROR(__xludf.DUMMYFUNCTION("""COMPUTED_VALUE"""),"")</f>
        <v/>
      </c>
      <c r="Z156" s="48" t="str">
        <f>IFERROR(__xludf.DUMMYFUNCTION("""COMPUTED_VALUE"""),"%")</f>
        <v>%</v>
      </c>
      <c r="AA156" s="49">
        <f>IFERROR(__xludf.DUMMYFUNCTION("""COMPUTED_VALUE"""),3.0)</f>
        <v>3</v>
      </c>
      <c r="AB156" s="50"/>
      <c r="AC156" s="38"/>
      <c r="AD156" s="45" t="str">
        <f>IFERROR(__xludf.DUMMYFUNCTION("""COMPUTED_VALUE"""),"")</f>
        <v/>
      </c>
      <c r="AE156" s="46" t="str">
        <f>IFERROR(__xludf.DUMMYFUNCTION("""COMPUTED_VALUE"""),"AP")</f>
        <v>AP</v>
      </c>
      <c r="AF156" s="47" t="str">
        <f>IFERROR(__xludf.DUMMYFUNCTION("""COMPUTED_VALUE"""),"")</f>
        <v/>
      </c>
      <c r="AG156" s="48" t="str">
        <f>IFERROR(__xludf.DUMMYFUNCTION("""COMPUTED_VALUE"""),"%")</f>
        <v>%</v>
      </c>
      <c r="AH156" s="43"/>
      <c r="AI156" s="44"/>
      <c r="AJ156" s="66"/>
    </row>
    <row r="157" ht="24.75" hidden="1" customHeight="1">
      <c r="A157" s="28">
        <f>IFERROR(__xludf.DUMMYFUNCTION("""COMPUTED_VALUE"""),17.0)</f>
        <v>17</v>
      </c>
      <c r="B157" s="28" t="str">
        <f>IFERROR(__xludf.DUMMYFUNCTION("""COMPUTED_VALUE"""),"A307")</f>
        <v>A307</v>
      </c>
      <c r="C157" s="28"/>
      <c r="D157" s="29"/>
      <c r="E157" s="67"/>
      <c r="F157" s="31"/>
      <c r="G157" s="32"/>
      <c r="H157" s="33" t="str">
        <f>IFERROR(__xludf.DUMMYFUNCTION("""COMPUTED_VALUE""")," ")</f>
        <v> </v>
      </c>
      <c r="I157" s="34"/>
      <c r="J157" s="35" t="str">
        <f>IFERROR(__xludf.DUMMYFUNCTION("""COMPUTED_VALUE"""),"AP")</f>
        <v>AP</v>
      </c>
      <c r="K157" s="34"/>
      <c r="L157" s="35" t="str">
        <f>IFERROR(__xludf.DUMMYFUNCTION("""COMPUTED_VALUE"""),"%")</f>
        <v>%</v>
      </c>
      <c r="M157" s="36">
        <f>IFERROR(__xludf.DUMMYFUNCTION("""COMPUTED_VALUE"""),1.0)</f>
        <v>1</v>
      </c>
      <c r="N157" s="37"/>
      <c r="O157" s="38"/>
      <c r="P157" s="34" t="str">
        <f>IFERROR(__xludf.DUMMYFUNCTION("""COMPUTED_VALUE"""),"")</f>
        <v/>
      </c>
      <c r="Q157" s="35" t="str">
        <f>IFERROR(__xludf.DUMMYFUNCTION("""COMPUTED_VALUE"""),"AP")</f>
        <v>AP</v>
      </c>
      <c r="R157" s="34" t="str">
        <f>IFERROR(__xludf.DUMMYFUNCTION("""COMPUTED_VALUE"""),"")</f>
        <v/>
      </c>
      <c r="S157" s="35" t="str">
        <f>IFERROR(__xludf.DUMMYFUNCTION("""COMPUTED_VALUE"""),"%")</f>
        <v>%</v>
      </c>
      <c r="T157" s="36">
        <f>IFERROR(__xludf.DUMMYFUNCTION("""COMPUTED_VALUE"""),2.0)</f>
        <v>2</v>
      </c>
      <c r="U157" s="37"/>
      <c r="V157" s="38"/>
      <c r="W157" s="34" t="str">
        <f>IFERROR(__xludf.DUMMYFUNCTION("""COMPUTED_VALUE"""),"")</f>
        <v/>
      </c>
      <c r="X157" s="35" t="str">
        <f>IFERROR(__xludf.DUMMYFUNCTION("""COMPUTED_VALUE"""),"AP")</f>
        <v>AP</v>
      </c>
      <c r="Y157" s="34" t="str">
        <f>IFERROR(__xludf.DUMMYFUNCTION("""COMPUTED_VALUE"""),"")</f>
        <v/>
      </c>
      <c r="Z157" s="35" t="str">
        <f>IFERROR(__xludf.DUMMYFUNCTION("""COMPUTED_VALUE"""),"%")</f>
        <v>%</v>
      </c>
      <c r="AA157" s="36">
        <f>IFERROR(__xludf.DUMMYFUNCTION("""COMPUTED_VALUE"""),3.0)</f>
        <v>3</v>
      </c>
      <c r="AB157" s="37"/>
      <c r="AC157" s="38"/>
      <c r="AD157" s="34" t="str">
        <f>IFERROR(__xludf.DUMMYFUNCTION("""COMPUTED_VALUE"""),"")</f>
        <v/>
      </c>
      <c r="AE157" s="35" t="str">
        <f>IFERROR(__xludf.DUMMYFUNCTION("""COMPUTED_VALUE"""),"AP")</f>
        <v>AP</v>
      </c>
      <c r="AF157" s="34" t="str">
        <f>IFERROR(__xludf.DUMMYFUNCTION("""COMPUTED_VALUE"""),"")</f>
        <v/>
      </c>
      <c r="AG157" s="35" t="str">
        <f>IFERROR(__xludf.DUMMYFUNCTION("""COMPUTED_VALUE"""),"%")</f>
        <v>%</v>
      </c>
      <c r="AH157" s="31"/>
      <c r="AI157" s="32"/>
      <c r="AJ157" s="67"/>
    </row>
    <row r="158" ht="24.75" hidden="1" customHeight="1">
      <c r="A158" s="40">
        <f>IFERROR(__xludf.DUMMYFUNCTION("""COMPUTED_VALUE"""),18.0)</f>
        <v>18</v>
      </c>
      <c r="B158" s="40" t="str">
        <f>IFERROR(__xludf.DUMMYFUNCTION("""COMPUTED_VALUE"""),"A307")</f>
        <v>A307</v>
      </c>
      <c r="C158" s="40"/>
      <c r="D158" s="41"/>
      <c r="E158" s="66"/>
      <c r="F158" s="43"/>
      <c r="G158" s="44"/>
      <c r="H158" s="33" t="str">
        <f>IFERROR(__xludf.DUMMYFUNCTION("""COMPUTED_VALUE""")," ")</f>
        <v> </v>
      </c>
      <c r="I158" s="45"/>
      <c r="J158" s="46" t="str">
        <f>IFERROR(__xludf.DUMMYFUNCTION("""COMPUTED_VALUE"""),"AP")</f>
        <v>AP</v>
      </c>
      <c r="K158" s="47"/>
      <c r="L158" s="48" t="str">
        <f>IFERROR(__xludf.DUMMYFUNCTION("""COMPUTED_VALUE"""),"%")</f>
        <v>%</v>
      </c>
      <c r="M158" s="49">
        <f>IFERROR(__xludf.DUMMYFUNCTION("""COMPUTED_VALUE"""),1.0)</f>
        <v>1</v>
      </c>
      <c r="N158" s="50"/>
      <c r="O158" s="38"/>
      <c r="P158" s="45" t="str">
        <f>IFERROR(__xludf.DUMMYFUNCTION("""COMPUTED_VALUE"""),"")</f>
        <v/>
      </c>
      <c r="Q158" s="46" t="str">
        <f>IFERROR(__xludf.DUMMYFUNCTION("""COMPUTED_VALUE"""),"AP")</f>
        <v>AP</v>
      </c>
      <c r="R158" s="47" t="str">
        <f>IFERROR(__xludf.DUMMYFUNCTION("""COMPUTED_VALUE"""),"")</f>
        <v/>
      </c>
      <c r="S158" s="48" t="str">
        <f>IFERROR(__xludf.DUMMYFUNCTION("""COMPUTED_VALUE"""),"%")</f>
        <v>%</v>
      </c>
      <c r="T158" s="49">
        <f>IFERROR(__xludf.DUMMYFUNCTION("""COMPUTED_VALUE"""),2.0)</f>
        <v>2</v>
      </c>
      <c r="U158" s="50"/>
      <c r="V158" s="38"/>
      <c r="W158" s="45" t="str">
        <f>IFERROR(__xludf.DUMMYFUNCTION("""COMPUTED_VALUE"""),"")</f>
        <v/>
      </c>
      <c r="X158" s="46" t="str">
        <f>IFERROR(__xludf.DUMMYFUNCTION("""COMPUTED_VALUE"""),"AP")</f>
        <v>AP</v>
      </c>
      <c r="Y158" s="47" t="str">
        <f>IFERROR(__xludf.DUMMYFUNCTION("""COMPUTED_VALUE"""),"")</f>
        <v/>
      </c>
      <c r="Z158" s="48" t="str">
        <f>IFERROR(__xludf.DUMMYFUNCTION("""COMPUTED_VALUE"""),"%")</f>
        <v>%</v>
      </c>
      <c r="AA158" s="49">
        <f>IFERROR(__xludf.DUMMYFUNCTION("""COMPUTED_VALUE"""),3.0)</f>
        <v>3</v>
      </c>
      <c r="AB158" s="50"/>
      <c r="AC158" s="38"/>
      <c r="AD158" s="45" t="str">
        <f>IFERROR(__xludf.DUMMYFUNCTION("""COMPUTED_VALUE"""),"")</f>
        <v/>
      </c>
      <c r="AE158" s="46" t="str">
        <f>IFERROR(__xludf.DUMMYFUNCTION("""COMPUTED_VALUE"""),"AP")</f>
        <v>AP</v>
      </c>
      <c r="AF158" s="47" t="str">
        <f>IFERROR(__xludf.DUMMYFUNCTION("""COMPUTED_VALUE"""),"")</f>
        <v/>
      </c>
      <c r="AG158" s="48" t="str">
        <f>IFERROR(__xludf.DUMMYFUNCTION("""COMPUTED_VALUE"""),"%")</f>
        <v>%</v>
      </c>
      <c r="AH158" s="43"/>
      <c r="AI158" s="44"/>
      <c r="AJ158" s="66"/>
    </row>
    <row r="159" ht="24.75" hidden="1" customHeight="1">
      <c r="A159" s="28">
        <f>IFERROR(__xludf.DUMMYFUNCTION("""COMPUTED_VALUE"""),19.0)</f>
        <v>19</v>
      </c>
      <c r="B159" s="28" t="str">
        <f>IFERROR(__xludf.DUMMYFUNCTION("""COMPUTED_VALUE"""),"A307")</f>
        <v>A307</v>
      </c>
      <c r="C159" s="28"/>
      <c r="D159" s="29"/>
      <c r="E159" s="67"/>
      <c r="F159" s="31"/>
      <c r="G159" s="32"/>
      <c r="H159" s="33" t="str">
        <f>IFERROR(__xludf.DUMMYFUNCTION("""COMPUTED_VALUE""")," ")</f>
        <v> </v>
      </c>
      <c r="I159" s="34"/>
      <c r="J159" s="35" t="str">
        <f>IFERROR(__xludf.DUMMYFUNCTION("""COMPUTED_VALUE"""),"AP")</f>
        <v>AP</v>
      </c>
      <c r="K159" s="34"/>
      <c r="L159" s="35" t="str">
        <f>IFERROR(__xludf.DUMMYFUNCTION("""COMPUTED_VALUE"""),"%")</f>
        <v>%</v>
      </c>
      <c r="M159" s="36">
        <f>IFERROR(__xludf.DUMMYFUNCTION("""COMPUTED_VALUE"""),1.0)</f>
        <v>1</v>
      </c>
      <c r="N159" s="37"/>
      <c r="O159" s="38"/>
      <c r="P159" s="34" t="str">
        <f>IFERROR(__xludf.DUMMYFUNCTION("""COMPUTED_VALUE"""),"")</f>
        <v/>
      </c>
      <c r="Q159" s="35" t="str">
        <f>IFERROR(__xludf.DUMMYFUNCTION("""COMPUTED_VALUE"""),"AP")</f>
        <v>AP</v>
      </c>
      <c r="R159" s="34" t="str">
        <f>IFERROR(__xludf.DUMMYFUNCTION("""COMPUTED_VALUE"""),"")</f>
        <v/>
      </c>
      <c r="S159" s="35" t="str">
        <f>IFERROR(__xludf.DUMMYFUNCTION("""COMPUTED_VALUE"""),"%")</f>
        <v>%</v>
      </c>
      <c r="T159" s="36">
        <f>IFERROR(__xludf.DUMMYFUNCTION("""COMPUTED_VALUE"""),2.0)</f>
        <v>2</v>
      </c>
      <c r="U159" s="37"/>
      <c r="V159" s="38"/>
      <c r="W159" s="34" t="str">
        <f>IFERROR(__xludf.DUMMYFUNCTION("""COMPUTED_VALUE"""),"")</f>
        <v/>
      </c>
      <c r="X159" s="35" t="str">
        <f>IFERROR(__xludf.DUMMYFUNCTION("""COMPUTED_VALUE"""),"AP")</f>
        <v>AP</v>
      </c>
      <c r="Y159" s="34" t="str">
        <f>IFERROR(__xludf.DUMMYFUNCTION("""COMPUTED_VALUE"""),"")</f>
        <v/>
      </c>
      <c r="Z159" s="35" t="str">
        <f>IFERROR(__xludf.DUMMYFUNCTION("""COMPUTED_VALUE"""),"%")</f>
        <v>%</v>
      </c>
      <c r="AA159" s="36">
        <f>IFERROR(__xludf.DUMMYFUNCTION("""COMPUTED_VALUE"""),3.0)</f>
        <v>3</v>
      </c>
      <c r="AB159" s="37"/>
      <c r="AC159" s="38"/>
      <c r="AD159" s="34" t="str">
        <f>IFERROR(__xludf.DUMMYFUNCTION("""COMPUTED_VALUE"""),"")</f>
        <v/>
      </c>
      <c r="AE159" s="35" t="str">
        <f>IFERROR(__xludf.DUMMYFUNCTION("""COMPUTED_VALUE"""),"AP")</f>
        <v>AP</v>
      </c>
      <c r="AF159" s="34" t="str">
        <f>IFERROR(__xludf.DUMMYFUNCTION("""COMPUTED_VALUE"""),"")</f>
        <v/>
      </c>
      <c r="AG159" s="35" t="str">
        <f>IFERROR(__xludf.DUMMYFUNCTION("""COMPUTED_VALUE"""),"%")</f>
        <v>%</v>
      </c>
      <c r="AH159" s="31"/>
      <c r="AI159" s="32"/>
      <c r="AJ159" s="67"/>
    </row>
    <row r="160" ht="24.75" hidden="1" customHeight="1">
      <c r="A160" s="40">
        <f>IFERROR(__xludf.DUMMYFUNCTION("""COMPUTED_VALUE"""),20.0)</f>
        <v>20</v>
      </c>
      <c r="B160" s="40" t="str">
        <f>IFERROR(__xludf.DUMMYFUNCTION("""COMPUTED_VALUE"""),"A307")</f>
        <v>A307</v>
      </c>
      <c r="C160" s="40"/>
      <c r="D160" s="41"/>
      <c r="E160" s="66"/>
      <c r="F160" s="43"/>
      <c r="G160" s="44"/>
      <c r="H160" s="33" t="str">
        <f>IFERROR(__xludf.DUMMYFUNCTION("""COMPUTED_VALUE""")," ")</f>
        <v> </v>
      </c>
      <c r="I160" s="45"/>
      <c r="J160" s="46" t="str">
        <f>IFERROR(__xludf.DUMMYFUNCTION("""COMPUTED_VALUE"""),"AP")</f>
        <v>AP</v>
      </c>
      <c r="K160" s="47"/>
      <c r="L160" s="48" t="str">
        <f>IFERROR(__xludf.DUMMYFUNCTION("""COMPUTED_VALUE"""),"%")</f>
        <v>%</v>
      </c>
      <c r="M160" s="49">
        <f>IFERROR(__xludf.DUMMYFUNCTION("""COMPUTED_VALUE"""),1.0)</f>
        <v>1</v>
      </c>
      <c r="N160" s="50"/>
      <c r="O160" s="38"/>
      <c r="P160" s="45" t="str">
        <f>IFERROR(__xludf.DUMMYFUNCTION("""COMPUTED_VALUE"""),"")</f>
        <v/>
      </c>
      <c r="Q160" s="46" t="str">
        <f>IFERROR(__xludf.DUMMYFUNCTION("""COMPUTED_VALUE"""),"AP")</f>
        <v>AP</v>
      </c>
      <c r="R160" s="47" t="str">
        <f>IFERROR(__xludf.DUMMYFUNCTION("""COMPUTED_VALUE"""),"")</f>
        <v/>
      </c>
      <c r="S160" s="48" t="str">
        <f>IFERROR(__xludf.DUMMYFUNCTION("""COMPUTED_VALUE"""),"%")</f>
        <v>%</v>
      </c>
      <c r="T160" s="49">
        <f>IFERROR(__xludf.DUMMYFUNCTION("""COMPUTED_VALUE"""),2.0)</f>
        <v>2</v>
      </c>
      <c r="U160" s="50"/>
      <c r="V160" s="38"/>
      <c r="W160" s="45" t="str">
        <f>IFERROR(__xludf.DUMMYFUNCTION("""COMPUTED_VALUE"""),"")</f>
        <v/>
      </c>
      <c r="X160" s="46" t="str">
        <f>IFERROR(__xludf.DUMMYFUNCTION("""COMPUTED_VALUE"""),"AP")</f>
        <v>AP</v>
      </c>
      <c r="Y160" s="47" t="str">
        <f>IFERROR(__xludf.DUMMYFUNCTION("""COMPUTED_VALUE"""),"")</f>
        <v/>
      </c>
      <c r="Z160" s="48" t="str">
        <f>IFERROR(__xludf.DUMMYFUNCTION("""COMPUTED_VALUE"""),"%")</f>
        <v>%</v>
      </c>
      <c r="AA160" s="49">
        <f>IFERROR(__xludf.DUMMYFUNCTION("""COMPUTED_VALUE"""),3.0)</f>
        <v>3</v>
      </c>
      <c r="AB160" s="50"/>
      <c r="AC160" s="38"/>
      <c r="AD160" s="45" t="str">
        <f>IFERROR(__xludf.DUMMYFUNCTION("""COMPUTED_VALUE"""),"")</f>
        <v/>
      </c>
      <c r="AE160" s="46" t="str">
        <f>IFERROR(__xludf.DUMMYFUNCTION("""COMPUTED_VALUE"""),"AP")</f>
        <v>AP</v>
      </c>
      <c r="AF160" s="47" t="str">
        <f>IFERROR(__xludf.DUMMYFUNCTION("""COMPUTED_VALUE"""),"")</f>
        <v/>
      </c>
      <c r="AG160" s="48" t="str">
        <f>IFERROR(__xludf.DUMMYFUNCTION("""COMPUTED_VALUE"""),"%")</f>
        <v>%</v>
      </c>
      <c r="AH160" s="43"/>
      <c r="AI160" s="44"/>
      <c r="AJ160" s="66"/>
    </row>
    <row r="161">
      <c r="A161" s="52"/>
      <c r="B161" s="53"/>
      <c r="C161" s="54"/>
      <c r="D161" s="56"/>
      <c r="E161" s="56"/>
      <c r="F161" s="53"/>
      <c r="G161" s="53"/>
      <c r="H161" s="53"/>
      <c r="I161" s="53"/>
      <c r="J161" s="57"/>
      <c r="K161" s="53"/>
      <c r="L161" s="57"/>
      <c r="M161" s="53"/>
      <c r="N161" s="53"/>
      <c r="O161" s="53"/>
      <c r="P161" s="53"/>
      <c r="Q161" s="57"/>
      <c r="R161" s="53"/>
      <c r="S161" s="57"/>
      <c r="T161" s="53"/>
      <c r="U161" s="53"/>
      <c r="V161" s="53"/>
      <c r="W161" s="53"/>
      <c r="X161" s="57"/>
      <c r="Y161" s="53"/>
      <c r="Z161" s="57"/>
      <c r="AA161" s="53"/>
      <c r="AB161" s="53"/>
      <c r="AC161" s="53"/>
      <c r="AD161" s="53"/>
      <c r="AE161" s="57"/>
      <c r="AF161" s="53"/>
      <c r="AG161" s="57"/>
      <c r="AH161" s="53"/>
      <c r="AI161" s="53"/>
      <c r="AJ161" s="56"/>
    </row>
    <row r="162">
      <c r="A162" s="59"/>
      <c r="B162" s="60"/>
      <c r="C162" s="61"/>
      <c r="D162" s="63"/>
      <c r="E162" s="63"/>
      <c r="F162" s="60"/>
      <c r="G162" s="60"/>
      <c r="H162" s="60"/>
      <c r="I162" s="60"/>
      <c r="J162" s="64"/>
      <c r="K162" s="60"/>
      <c r="L162" s="64"/>
      <c r="M162" s="60"/>
      <c r="N162" s="60"/>
      <c r="O162" s="60"/>
      <c r="P162" s="60"/>
      <c r="Q162" s="64"/>
      <c r="R162" s="60"/>
      <c r="S162" s="64"/>
      <c r="T162" s="60"/>
      <c r="U162" s="60"/>
      <c r="V162" s="60"/>
      <c r="W162" s="60"/>
      <c r="X162" s="64"/>
      <c r="Y162" s="60"/>
      <c r="Z162" s="64"/>
      <c r="AA162" s="60"/>
      <c r="AB162" s="60"/>
      <c r="AC162" s="60"/>
      <c r="AD162" s="60"/>
      <c r="AE162" s="64"/>
      <c r="AF162" s="60"/>
      <c r="AG162" s="64"/>
      <c r="AH162" s="60"/>
      <c r="AI162" s="60"/>
      <c r="AJ162" s="63"/>
    </row>
    <row r="163" ht="33.0" customHeight="1">
      <c r="A163" s="20" t="str">
        <f>IFERROR(__xludf.DUMMYFUNCTION("""COMPUTED_VALUE""")," ")</f>
        <v> </v>
      </c>
      <c r="B163" s="21" t="str">
        <f>IFERROR(__xludf.DUMMYFUNCTION("""COMPUTED_VALUE"""),"A308")</f>
        <v>A308</v>
      </c>
      <c r="C163" s="20"/>
      <c r="D163" s="257" t="str">
        <f>IFERROR(__xludf.DUMMYFUNCTION("""COMPUTED_VALUE"""),"")</f>
        <v/>
      </c>
      <c r="E163" s="23" t="str">
        <f>IFERROR(__xludf.DUMMYFUNCTION("""COMPUTED_VALUE"""),"Stake of Wailing Night")</f>
        <v>Stake of Wailing Night</v>
      </c>
      <c r="F163" s="24"/>
      <c r="G163" s="24"/>
      <c r="H163" s="25"/>
      <c r="I163" s="25"/>
      <c r="J163" s="26"/>
      <c r="K163" s="25"/>
      <c r="L163" s="26"/>
      <c r="M163" s="25"/>
      <c r="N163" s="25"/>
      <c r="O163" s="25"/>
      <c r="P163" s="25"/>
      <c r="Q163" s="26"/>
      <c r="R163" s="25"/>
      <c r="S163" s="26"/>
      <c r="T163" s="25"/>
      <c r="U163" s="25"/>
      <c r="V163" s="25"/>
      <c r="W163" s="25"/>
      <c r="X163" s="26"/>
      <c r="Y163" s="25"/>
      <c r="Z163" s="26"/>
      <c r="AA163" s="25"/>
      <c r="AB163" s="25"/>
      <c r="AC163" s="25"/>
      <c r="AD163" s="25"/>
      <c r="AE163" s="26"/>
      <c r="AF163" s="25"/>
      <c r="AG163" s="26"/>
      <c r="AH163" s="24"/>
      <c r="AI163" s="25"/>
      <c r="AJ163" s="23"/>
    </row>
    <row r="164" ht="24.75" customHeight="1">
      <c r="A164" s="28">
        <f>IFERROR(__xludf.DUMMYFUNCTION("""COMPUTED_VALUE"""),1.0)</f>
        <v>1</v>
      </c>
      <c r="B164" s="28" t="str">
        <f>IFERROR(__xludf.DUMMYFUNCTION("""COMPUTED_VALUE"""),"A308")</f>
        <v>A308</v>
      </c>
      <c r="C164" s="28" t="str">
        <f>IFERROR(__xludf.DUMMYFUNCTION("""COMPUTED_VALUE"""),"SLM7")</f>
        <v>SLM7</v>
      </c>
      <c r="D164" s="29" t="str">
        <f>IFERROR(__xludf.DUMMYFUNCTION("""COMPUTED_VALUE"""),"Salem")</f>
        <v>Salem</v>
      </c>
      <c r="E164" s="30" t="str">
        <f>IFERROR(__xludf.DUMMYFUNCTION("""COMPUTED_VALUE"""),"Gallows Hill")</f>
        <v>Gallows Hill</v>
      </c>
      <c r="F164" s="31">
        <f>IFERROR(__xludf.DUMMYFUNCTION("""COMPUTED_VALUE"""),21.0)</f>
        <v>21</v>
      </c>
      <c r="G164" s="32">
        <f>IFERROR(__xludf.DUMMYFUNCTION("""COMPUTED_VALUE"""),36089.0)</f>
        <v>36089</v>
      </c>
      <c r="H164" s="33" t="str">
        <f>IFERROR(__xludf.DUMMYFUNCTION("""COMPUTED_VALUE"""),"")</f>
        <v/>
      </c>
      <c r="I164" s="34">
        <f>IFERROR(__xludf.DUMMYFUNCTION("""COMPUTED_VALUE"""),31.109339825335603)</f>
        <v>31.10933983</v>
      </c>
      <c r="J164" s="35" t="str">
        <f>IFERROR(__xludf.DUMMYFUNCTION("""COMPUTED_VALUE"""),"AP")</f>
        <v>AP</v>
      </c>
      <c r="K164" s="34">
        <f>IFERROR(__xludf.DUMMYFUNCTION("""COMPUTED_VALUE"""),67.5038432763446)</f>
        <v>67.50384328</v>
      </c>
      <c r="L164" s="35" t="str">
        <f>IFERROR(__xludf.DUMMYFUNCTION("""COMPUTED_VALUE"""),"%")</f>
        <v>%</v>
      </c>
      <c r="M164" s="36">
        <f>IFERROR(__xludf.DUMMYFUNCTION("""COMPUTED_VALUE"""),1.0)</f>
        <v>1</v>
      </c>
      <c r="N164" s="37" t="str">
        <f>IFERROR(__xludf.DUMMYFUNCTION("""COMPUTED_VALUE"""),"B116")</f>
        <v>B116</v>
      </c>
      <c r="O164" s="38" t="str">
        <f>IFERROR(__xludf.DUMMYFUNCTION("""COMPUTED_VALUE"""),"")</f>
        <v/>
      </c>
      <c r="P164" s="34">
        <f>IFERROR(__xludf.DUMMYFUNCTION("""COMPUTED_VALUE"""),137.56443785743124)</f>
        <v>137.5644379</v>
      </c>
      <c r="Q164" s="35" t="str">
        <f>IFERROR(__xludf.DUMMYFUNCTION("""COMPUTED_VALUE"""),"AP")</f>
        <v>AP</v>
      </c>
      <c r="R164" s="34">
        <f>IFERROR(__xludf.DUMMYFUNCTION("""COMPUTED_VALUE"""),15.265573230316933)</f>
        <v>15.26557323</v>
      </c>
      <c r="S164" s="35" t="str">
        <f>IFERROR(__xludf.DUMMYFUNCTION("""COMPUTED_VALUE"""),"%")</f>
        <v>%</v>
      </c>
      <c r="T164" s="36">
        <f>IFERROR(__xludf.DUMMYFUNCTION("""COMPUTED_VALUE"""),2.0)</f>
        <v>2</v>
      </c>
      <c r="U164" s="37"/>
      <c r="V164" s="38"/>
      <c r="W164" s="34" t="str">
        <f>IFERROR(__xludf.DUMMYFUNCTION("""COMPUTED_VALUE"""),"")</f>
        <v/>
      </c>
      <c r="X164" s="35" t="str">
        <f>IFERROR(__xludf.DUMMYFUNCTION("""COMPUTED_VALUE"""),"AP")</f>
        <v>AP</v>
      </c>
      <c r="Y164" s="34" t="str">
        <f>IFERROR(__xludf.DUMMYFUNCTION("""COMPUTED_VALUE"""),"")</f>
        <v/>
      </c>
      <c r="Z164" s="35" t="str">
        <f>IFERROR(__xludf.DUMMYFUNCTION("""COMPUTED_VALUE"""),"%")</f>
        <v>%</v>
      </c>
      <c r="AA164" s="36">
        <f>IFERROR(__xludf.DUMMYFUNCTION("""COMPUTED_VALUE"""),3.0)</f>
        <v>3</v>
      </c>
      <c r="AB164" s="37"/>
      <c r="AC164" s="38"/>
      <c r="AD164" s="34" t="str">
        <f>IFERROR(__xludf.DUMMYFUNCTION("""COMPUTED_VALUE"""),"")</f>
        <v/>
      </c>
      <c r="AE164" s="35" t="str">
        <f>IFERROR(__xludf.DUMMYFUNCTION("""COMPUTED_VALUE"""),"AP")</f>
        <v>AP</v>
      </c>
      <c r="AF164" s="34" t="str">
        <f>IFERROR(__xludf.DUMMYFUNCTION("""COMPUTED_VALUE"""),"")</f>
        <v/>
      </c>
      <c r="AG164" s="35" t="str">
        <f>IFERROR(__xludf.DUMMYFUNCTION("""COMPUTED_VALUE"""),"%")</f>
        <v>%</v>
      </c>
      <c r="AH164" s="31">
        <f>IFERROR(__xludf.DUMMYFUNCTION("""COMPUTED_VALUE"""),21.0)</f>
        <v>21</v>
      </c>
      <c r="AI164" s="32">
        <f>IFERROR(__xludf.DUMMYFUNCTION("""COMPUTED_VALUE"""),36089.0)</f>
        <v>36089</v>
      </c>
      <c r="AJ164" s="30" t="str">
        <f>IFERROR(__xludf.DUMMYFUNCTION("""COMPUTED_VALUE"""),"Gallows Hill")</f>
        <v>Gallows Hill</v>
      </c>
    </row>
    <row r="165" ht="24.75" customHeight="1">
      <c r="A165" s="40">
        <f>IFERROR(__xludf.DUMMYFUNCTION("""COMPUTED_VALUE"""),2.0)</f>
        <v>2</v>
      </c>
      <c r="B165" s="40" t="str">
        <f>IFERROR(__xludf.DUMMYFUNCTION("""COMPUTED_VALUE"""),"A308")</f>
        <v>A308</v>
      </c>
      <c r="C165" s="40" t="str">
        <f>IFERROR(__xludf.DUMMYFUNCTION("""COMPUTED_VALUE"""),"SLM2")</f>
        <v>SLM2</v>
      </c>
      <c r="D165" s="41" t="str">
        <f>IFERROR(__xludf.DUMMYFUNCTION("""COMPUTED_VALUE"""),"Salem")</f>
        <v>Salem</v>
      </c>
      <c r="E165" s="42" t="str">
        <f>IFERROR(__xludf.DUMMYFUNCTION("""COMPUTED_VALUE"""),"Carter Residence")</f>
        <v>Carter Residence</v>
      </c>
      <c r="F165" s="43">
        <f>IFERROR(__xludf.DUMMYFUNCTION("""COMPUTED_VALUE"""),20.0)</f>
        <v>20</v>
      </c>
      <c r="G165" s="44">
        <f>IFERROR(__xludf.DUMMYFUNCTION("""COMPUTED_VALUE"""),122981.0)</f>
        <v>122981</v>
      </c>
      <c r="H165" s="33" t="str">
        <f>IFERROR(__xludf.DUMMYFUNCTION("""COMPUTED_VALUE"""),"")</f>
        <v/>
      </c>
      <c r="I165" s="45">
        <f>IFERROR(__xludf.DUMMYFUNCTION("""COMPUTED_VALUE"""),49.990650710546)</f>
        <v>49.99065071</v>
      </c>
      <c r="J165" s="46" t="str">
        <f>IFERROR(__xludf.DUMMYFUNCTION("""COMPUTED_VALUE"""),"AP")</f>
        <v>AP</v>
      </c>
      <c r="K165" s="47">
        <f>IFERROR(__xludf.DUMMYFUNCTION("""COMPUTED_VALUE"""),40.007480830372174)</f>
        <v>40.00748083</v>
      </c>
      <c r="L165" s="48" t="str">
        <f>IFERROR(__xludf.DUMMYFUNCTION("""COMPUTED_VALUE"""),"%")</f>
        <v>%</v>
      </c>
      <c r="M165" s="49">
        <f>IFERROR(__xludf.DUMMYFUNCTION("""COMPUTED_VALUE"""),1.0)</f>
        <v>1</v>
      </c>
      <c r="N165" s="50" t="str">
        <f>IFERROR(__xludf.DUMMYFUNCTION("""COMPUTED_VALUE"""),"A102")</f>
        <v>A102</v>
      </c>
      <c r="O165" s="38" t="str">
        <f>IFERROR(__xludf.DUMMYFUNCTION("""COMPUTED_VALUE"""),"")</f>
        <v/>
      </c>
      <c r="P165" s="45">
        <f>IFERROR(__xludf.DUMMYFUNCTION("""COMPUTED_VALUE"""),162.64765696303664)</f>
        <v>162.647657</v>
      </c>
      <c r="Q165" s="46" t="str">
        <f>IFERROR(__xludf.DUMMYFUNCTION("""COMPUTED_VALUE"""),"AP")</f>
        <v>AP</v>
      </c>
      <c r="R165" s="47">
        <f>IFERROR(__xludf.DUMMYFUNCTION("""COMPUTED_VALUE"""),12.296518974475733)</f>
        <v>12.29651897</v>
      </c>
      <c r="S165" s="48" t="str">
        <f>IFERROR(__xludf.DUMMYFUNCTION("""COMPUTED_VALUE"""),"%")</f>
        <v>%</v>
      </c>
      <c r="T165" s="49">
        <f>IFERROR(__xludf.DUMMYFUNCTION("""COMPUTED_VALUE"""),2.0)</f>
        <v>2</v>
      </c>
      <c r="U165" s="50" t="str">
        <f>IFERROR(__xludf.DUMMYFUNCTION("""COMPUTED_VALUE"""),"B105")</f>
        <v>B105</v>
      </c>
      <c r="V165" s="38" t="str">
        <f>IFERROR(__xludf.DUMMYFUNCTION("""COMPUTED_VALUE"""),"")</f>
        <v/>
      </c>
      <c r="W165" s="45">
        <f>IFERROR(__xludf.DUMMYFUNCTION("""COMPUTED_VALUE"""),455.6451935153025)</f>
        <v>455.6451935</v>
      </c>
      <c r="X165" s="46" t="str">
        <f>IFERROR(__xludf.DUMMYFUNCTION("""COMPUTED_VALUE"""),"AP")</f>
        <v>AP</v>
      </c>
      <c r="Y165" s="47">
        <f>IFERROR(__xludf.DUMMYFUNCTION("""COMPUTED_VALUE"""),4.389380220539584)</f>
        <v>4.389380221</v>
      </c>
      <c r="Z165" s="48" t="str">
        <f>IFERROR(__xludf.DUMMYFUNCTION("""COMPUTED_VALUE"""),"%")</f>
        <v>%</v>
      </c>
      <c r="AA165" s="49">
        <f>IFERROR(__xludf.DUMMYFUNCTION("""COMPUTED_VALUE"""),3.0)</f>
        <v>3</v>
      </c>
      <c r="AB165" s="50" t="str">
        <f>IFERROR(__xludf.DUMMYFUNCTION("""COMPUTED_VALUE"""),"B116")</f>
        <v>B116</v>
      </c>
      <c r="AC165" s="38" t="str">
        <f>IFERROR(__xludf.DUMMYFUNCTION("""COMPUTED_VALUE"""),"")</f>
        <v/>
      </c>
      <c r="AD165" s="45">
        <f>IFERROR(__xludf.DUMMYFUNCTION("""COMPUTED_VALUE"""),80.35242912087588)</f>
        <v>80.35242912</v>
      </c>
      <c r="AE165" s="46" t="str">
        <f>IFERROR(__xludf.DUMMYFUNCTION("""COMPUTED_VALUE"""),"AP")</f>
        <v>AP</v>
      </c>
      <c r="AF165" s="47">
        <f>IFERROR(__xludf.DUMMYFUNCTION("""COMPUTED_VALUE"""),24.890348952504688)</f>
        <v>24.89034895</v>
      </c>
      <c r="AG165" s="48" t="str">
        <f>IFERROR(__xludf.DUMMYFUNCTION("""COMPUTED_VALUE"""),"%")</f>
        <v>%</v>
      </c>
      <c r="AH165" s="43">
        <f>IFERROR(__xludf.DUMMYFUNCTION("""COMPUTED_VALUE"""),20.0)</f>
        <v>20</v>
      </c>
      <c r="AI165" s="44">
        <f>IFERROR(__xludf.DUMMYFUNCTION("""COMPUTED_VALUE"""),122981.0)</f>
        <v>122981</v>
      </c>
      <c r="AJ165" s="42" t="str">
        <f>IFERROR(__xludf.DUMMYFUNCTION("""COMPUTED_VALUE"""),"Carter Residence")</f>
        <v>Carter Residence</v>
      </c>
    </row>
    <row r="166" ht="24.75" customHeight="1">
      <c r="A166" s="28">
        <f>IFERROR(__xludf.DUMMYFUNCTION("""COMPUTED_VALUE"""),3.0)</f>
        <v>3</v>
      </c>
      <c r="B166" s="28" t="str">
        <f>IFERROR(__xludf.DUMMYFUNCTION("""COMPUTED_VALUE"""),"A308")</f>
        <v>A308</v>
      </c>
      <c r="C166" s="28" t="str">
        <f>IFERROR(__xludf.DUMMYFUNCTION("""COMPUTED_VALUE"""),"SLM6")</f>
        <v>SLM6</v>
      </c>
      <c r="D166" s="29" t="str">
        <f>IFERROR(__xludf.DUMMYFUNCTION("""COMPUTED_VALUE"""),"Salem")</f>
        <v>Salem</v>
      </c>
      <c r="E166" s="30" t="str">
        <f>IFERROR(__xludf.DUMMYFUNCTION("""COMPUTED_VALUE"""),"Isolated Mansion")</f>
        <v>Isolated Mansion</v>
      </c>
      <c r="F166" s="31">
        <f>IFERROR(__xludf.DUMMYFUNCTION("""COMPUTED_VALUE"""),21.0)</f>
        <v>21</v>
      </c>
      <c r="G166" s="32">
        <f>IFERROR(__xludf.DUMMYFUNCTION("""COMPUTED_VALUE"""),19638.0)</f>
        <v>19638</v>
      </c>
      <c r="H166" s="33" t="str">
        <f>IFERROR(__xludf.DUMMYFUNCTION("""COMPUTED_VALUE"""),"")</f>
        <v/>
      </c>
      <c r="I166" s="34">
        <f>IFERROR(__xludf.DUMMYFUNCTION("""COMPUTED_VALUE"""),51.569307659930026)</f>
        <v>51.56930766</v>
      </c>
      <c r="J166" s="35" t="str">
        <f>IFERROR(__xludf.DUMMYFUNCTION("""COMPUTED_VALUE"""),"AP")</f>
        <v>AP</v>
      </c>
      <c r="K166" s="34">
        <f>IFERROR(__xludf.DUMMYFUNCTION("""COMPUTED_VALUE"""),40.72189632345453)</f>
        <v>40.72189632</v>
      </c>
      <c r="L166" s="35" t="str">
        <f>IFERROR(__xludf.DUMMYFUNCTION("""COMPUTED_VALUE"""),"%")</f>
        <v>%</v>
      </c>
      <c r="M166" s="36">
        <f>IFERROR(__xludf.DUMMYFUNCTION("""COMPUTED_VALUE"""),1.0)</f>
        <v>1</v>
      </c>
      <c r="N166" s="37" t="str">
        <f>IFERROR(__xludf.DUMMYFUNCTION("""COMPUTED_VALUE"""),"A305")</f>
        <v>A305</v>
      </c>
      <c r="O166" s="38" t="str">
        <f>IFERROR(__xludf.DUMMYFUNCTION("""COMPUTED_VALUE"""),"")</f>
        <v/>
      </c>
      <c r="P166" s="34">
        <f>IFERROR(__xludf.DUMMYFUNCTION("""COMPUTED_VALUE"""),51.44362180820967)</f>
        <v>51.44362181</v>
      </c>
      <c r="Q166" s="35" t="str">
        <f>IFERROR(__xludf.DUMMYFUNCTION("""COMPUTED_VALUE"""),"AP")</f>
        <v>AP</v>
      </c>
      <c r="R166" s="34">
        <f>IFERROR(__xludf.DUMMYFUNCTION("""COMPUTED_VALUE"""),40.82138710663)</f>
        <v>40.82138711</v>
      </c>
      <c r="S166" s="35" t="str">
        <f>IFERROR(__xludf.DUMMYFUNCTION("""COMPUTED_VALUE"""),"%")</f>
        <v>%</v>
      </c>
      <c r="T166" s="36">
        <f>IFERROR(__xludf.DUMMYFUNCTION("""COMPUTED_VALUE"""),2.0)</f>
        <v>2</v>
      </c>
      <c r="U166" s="37"/>
      <c r="V166" s="38"/>
      <c r="W166" s="34" t="str">
        <f>IFERROR(__xludf.DUMMYFUNCTION("""COMPUTED_VALUE"""),"")</f>
        <v/>
      </c>
      <c r="X166" s="35" t="str">
        <f>IFERROR(__xludf.DUMMYFUNCTION("""COMPUTED_VALUE"""),"AP")</f>
        <v>AP</v>
      </c>
      <c r="Y166" s="34" t="str">
        <f>IFERROR(__xludf.DUMMYFUNCTION("""COMPUTED_VALUE"""),"")</f>
        <v/>
      </c>
      <c r="Z166" s="35" t="str">
        <f>IFERROR(__xludf.DUMMYFUNCTION("""COMPUTED_VALUE"""),"%")</f>
        <v>%</v>
      </c>
      <c r="AA166" s="36">
        <f>IFERROR(__xludf.DUMMYFUNCTION("""COMPUTED_VALUE"""),3.0)</f>
        <v>3</v>
      </c>
      <c r="AB166" s="37"/>
      <c r="AC166" s="38"/>
      <c r="AD166" s="34" t="str">
        <f>IFERROR(__xludf.DUMMYFUNCTION("""COMPUTED_VALUE"""),"")</f>
        <v/>
      </c>
      <c r="AE166" s="35" t="str">
        <f>IFERROR(__xludf.DUMMYFUNCTION("""COMPUTED_VALUE"""),"AP")</f>
        <v>AP</v>
      </c>
      <c r="AF166" s="34" t="str">
        <f>IFERROR(__xludf.DUMMYFUNCTION("""COMPUTED_VALUE"""),"")</f>
        <v/>
      </c>
      <c r="AG166" s="35" t="str">
        <f>IFERROR(__xludf.DUMMYFUNCTION("""COMPUTED_VALUE"""),"%")</f>
        <v>%</v>
      </c>
      <c r="AH166" s="31">
        <f>IFERROR(__xludf.DUMMYFUNCTION("""COMPUTED_VALUE"""),21.0)</f>
        <v>21</v>
      </c>
      <c r="AI166" s="32">
        <f>IFERROR(__xludf.DUMMYFUNCTION("""COMPUTED_VALUE"""),19638.0)</f>
        <v>19638</v>
      </c>
      <c r="AJ166" s="30" t="str">
        <f>IFERROR(__xludf.DUMMYFUNCTION("""COMPUTED_VALUE"""),"Isolated Mansion")</f>
        <v>Isolated Mansion</v>
      </c>
    </row>
    <row r="167" ht="24.75" customHeight="1">
      <c r="A167" s="40">
        <f>IFERROR(__xludf.DUMMYFUNCTION("""COMPUTED_VALUE"""),4.0)</f>
        <v>4</v>
      </c>
      <c r="B167" s="40" t="str">
        <f>IFERROR(__xludf.DUMMYFUNCTION("""COMPUTED_VALUE"""),"A308")</f>
        <v>A308</v>
      </c>
      <c r="C167" s="40" t="str">
        <f>IFERROR(__xludf.DUMMYFUNCTION("""COMPUTED_VALUE"""),"SLM9")</f>
        <v>SLM9</v>
      </c>
      <c r="D167" s="41" t="str">
        <f>IFERROR(__xludf.DUMMYFUNCTION("""COMPUTED_VALUE"""),"Salem")</f>
        <v>Salem</v>
      </c>
      <c r="E167" s="42" t="str">
        <f>IFERROR(__xludf.DUMMYFUNCTION("""COMPUTED_VALUE"""),"Empty House")</f>
        <v>Empty House</v>
      </c>
      <c r="F167" s="43">
        <f>IFERROR(__xludf.DUMMYFUNCTION("""COMPUTED_VALUE"""),21.0)</f>
        <v>21</v>
      </c>
      <c r="G167" s="44">
        <f>IFERROR(__xludf.DUMMYFUNCTION("""COMPUTED_VALUE"""),18786.0)</f>
        <v>18786</v>
      </c>
      <c r="H167" s="33" t="str">
        <f>IFERROR(__xludf.DUMMYFUNCTION("""COMPUTED_VALUE"""),"")</f>
        <v/>
      </c>
      <c r="I167" s="45">
        <f>IFERROR(__xludf.DUMMYFUNCTION("""COMPUTED_VALUE"""),52.037545606356794)</f>
        <v>52.03754561</v>
      </c>
      <c r="J167" s="46" t="str">
        <f>IFERROR(__xludf.DUMMYFUNCTION("""COMPUTED_VALUE"""),"AP")</f>
        <v>AP</v>
      </c>
      <c r="K167" s="47">
        <f>IFERROR(__xludf.DUMMYFUNCTION("""COMPUTED_VALUE"""),40.35547748323219)</f>
        <v>40.35547748</v>
      </c>
      <c r="L167" s="48" t="str">
        <f>IFERROR(__xludf.DUMMYFUNCTION("""COMPUTED_VALUE"""),"%")</f>
        <v>%</v>
      </c>
      <c r="M167" s="49">
        <f>IFERROR(__xludf.DUMMYFUNCTION("""COMPUTED_VALUE"""),1.0)</f>
        <v>1</v>
      </c>
      <c r="N167" s="50" t="str">
        <f>IFERROR(__xludf.DUMMYFUNCTION("""COMPUTED_VALUE"""),"A205")</f>
        <v>A205</v>
      </c>
      <c r="O167" s="38" t="str">
        <f>IFERROR(__xludf.DUMMYFUNCTION("""COMPUTED_VALUE"""),"")</f>
        <v/>
      </c>
      <c r="P167" s="45">
        <f>IFERROR(__xludf.DUMMYFUNCTION("""COMPUTED_VALUE"""),101.8382755337845)</f>
        <v>101.8382755</v>
      </c>
      <c r="Q167" s="46" t="str">
        <f>IFERROR(__xludf.DUMMYFUNCTION("""COMPUTED_VALUE"""),"AP")</f>
        <v>AP</v>
      </c>
      <c r="R167" s="47">
        <f>IFERROR(__xludf.DUMMYFUNCTION("""COMPUTED_VALUE"""),20.62093048014479)</f>
        <v>20.62093048</v>
      </c>
      <c r="S167" s="48" t="str">
        <f>IFERROR(__xludf.DUMMYFUNCTION("""COMPUTED_VALUE"""),"%")</f>
        <v>%</v>
      </c>
      <c r="T167" s="49">
        <f>IFERROR(__xludf.DUMMYFUNCTION("""COMPUTED_VALUE"""),2.0)</f>
        <v>2</v>
      </c>
      <c r="U167" s="50" t="str">
        <f>IFERROR(__xludf.DUMMYFUNCTION("""COMPUTED_VALUE"""),"B115")</f>
        <v>B115</v>
      </c>
      <c r="V167" s="38" t="str">
        <f>IFERROR(__xludf.DUMMYFUNCTION("""COMPUTED_VALUE"""),"")</f>
        <v/>
      </c>
      <c r="W167" s="45">
        <f>IFERROR(__xludf.DUMMYFUNCTION("""COMPUTED_VALUE"""),139.5060613725891)</f>
        <v>139.5060614</v>
      </c>
      <c r="X167" s="46" t="str">
        <f>IFERROR(__xludf.DUMMYFUNCTION("""COMPUTED_VALUE"""),"AP")</f>
        <v>AP</v>
      </c>
      <c r="Y167" s="47">
        <f>IFERROR(__xludf.DUMMYFUNCTION("""COMPUTED_VALUE"""),15.053109372727366)</f>
        <v>15.05310937</v>
      </c>
      <c r="Z167" s="48" t="str">
        <f>IFERROR(__xludf.DUMMYFUNCTION("""COMPUTED_VALUE"""),"%")</f>
        <v>%</v>
      </c>
      <c r="AA167" s="49">
        <f>IFERROR(__xludf.DUMMYFUNCTION("""COMPUTED_VALUE"""),3.0)</f>
        <v>3</v>
      </c>
      <c r="AB167" s="50"/>
      <c r="AC167" s="38"/>
      <c r="AD167" s="45" t="str">
        <f>IFERROR(__xludf.DUMMYFUNCTION("""COMPUTED_VALUE"""),"")</f>
        <v/>
      </c>
      <c r="AE167" s="46" t="str">
        <f>IFERROR(__xludf.DUMMYFUNCTION("""COMPUTED_VALUE"""),"AP")</f>
        <v>AP</v>
      </c>
      <c r="AF167" s="47" t="str">
        <f>IFERROR(__xludf.DUMMYFUNCTION("""COMPUTED_VALUE"""),"")</f>
        <v/>
      </c>
      <c r="AG167" s="48" t="str">
        <f>IFERROR(__xludf.DUMMYFUNCTION("""COMPUTED_VALUE"""),"%")</f>
        <v>%</v>
      </c>
      <c r="AH167" s="43">
        <f>IFERROR(__xludf.DUMMYFUNCTION("""COMPUTED_VALUE"""),21.0)</f>
        <v>21</v>
      </c>
      <c r="AI167" s="44">
        <f>IFERROR(__xludf.DUMMYFUNCTION("""COMPUTED_VALUE"""),18786.0)</f>
        <v>18786</v>
      </c>
      <c r="AJ167" s="42" t="str">
        <f>IFERROR(__xludf.DUMMYFUNCTION("""COMPUTED_VALUE"""),"Empty House")</f>
        <v>Empty House</v>
      </c>
    </row>
    <row r="168" ht="24.75" customHeight="1">
      <c r="A168" s="28">
        <f>IFERROR(__xludf.DUMMYFUNCTION("""COMPUTED_VALUE"""),5.0)</f>
        <v>5</v>
      </c>
      <c r="B168" s="28" t="str">
        <f>IFERROR(__xludf.DUMMYFUNCTION("""COMPUTED_VALUE"""),"A308")</f>
        <v>A308</v>
      </c>
      <c r="C168" s="28" t="str">
        <f>IFERROR(__xludf.DUMMYFUNCTION("""COMPUTED_VALUE"""),"SLM8")</f>
        <v>SLM8</v>
      </c>
      <c r="D168" s="29" t="str">
        <f>IFERROR(__xludf.DUMMYFUNCTION("""COMPUTED_VALUE"""),"Salem")</f>
        <v>Salem</v>
      </c>
      <c r="E168" s="30" t="str">
        <f>IFERROR(__xludf.DUMMYFUNCTION("""COMPUTED_VALUE"""),"Meadow")</f>
        <v>Meadow</v>
      </c>
      <c r="F168" s="31">
        <f>IFERROR(__xludf.DUMMYFUNCTION("""COMPUTED_VALUE"""),21.0)</f>
        <v>21</v>
      </c>
      <c r="G168" s="32">
        <f>IFERROR(__xludf.DUMMYFUNCTION("""COMPUTED_VALUE"""),18206.0)</f>
        <v>18206</v>
      </c>
      <c r="H168" s="33" t="str">
        <f>IFERROR(__xludf.DUMMYFUNCTION("""COMPUTED_VALUE"""),"")</f>
        <v/>
      </c>
      <c r="I168" s="34">
        <f>IFERROR(__xludf.DUMMYFUNCTION("""COMPUTED_VALUE"""),52.408207913334266)</f>
        <v>52.40820791</v>
      </c>
      <c r="J168" s="35" t="str">
        <f>IFERROR(__xludf.DUMMYFUNCTION("""COMPUTED_VALUE"""),"AP")</f>
        <v>AP</v>
      </c>
      <c r="K168" s="34">
        <f>IFERROR(__xludf.DUMMYFUNCTION("""COMPUTED_VALUE"""),40.07005932110293)</f>
        <v>40.07005932</v>
      </c>
      <c r="L168" s="35" t="str">
        <f>IFERROR(__xludf.DUMMYFUNCTION("""COMPUTED_VALUE"""),"%")</f>
        <v>%</v>
      </c>
      <c r="M168" s="36">
        <f>IFERROR(__xludf.DUMMYFUNCTION("""COMPUTED_VALUE"""),1.0)</f>
        <v>1</v>
      </c>
      <c r="N168" s="37" t="str">
        <f>IFERROR(__xludf.DUMMYFUNCTION("""COMPUTED_VALUE"""),"A201")</f>
        <v>A201</v>
      </c>
      <c r="O168" s="38" t="str">
        <f>IFERROR(__xludf.DUMMYFUNCTION("""COMPUTED_VALUE"""),"")</f>
        <v/>
      </c>
      <c r="P168" s="34">
        <f>IFERROR(__xludf.DUMMYFUNCTION("""COMPUTED_VALUE"""),59.89374009639056)</f>
        <v>59.8937401</v>
      </c>
      <c r="Q168" s="35" t="str">
        <f>IFERROR(__xludf.DUMMYFUNCTION("""COMPUTED_VALUE"""),"AP")</f>
        <v>AP</v>
      </c>
      <c r="R168" s="34">
        <f>IFERROR(__xludf.DUMMYFUNCTION("""COMPUTED_VALUE"""),35.062094913764696)</f>
        <v>35.06209491</v>
      </c>
      <c r="S168" s="35" t="str">
        <f>IFERROR(__xludf.DUMMYFUNCTION("""COMPUTED_VALUE"""),"%")</f>
        <v>%</v>
      </c>
      <c r="T168" s="36">
        <f>IFERROR(__xludf.DUMMYFUNCTION("""COMPUTED_VALUE"""),2.0)</f>
        <v>2</v>
      </c>
      <c r="U168" s="37"/>
      <c r="V168" s="38"/>
      <c r="W168" s="34" t="str">
        <f>IFERROR(__xludf.DUMMYFUNCTION("""COMPUTED_VALUE"""),"")</f>
        <v/>
      </c>
      <c r="X168" s="35" t="str">
        <f>IFERROR(__xludf.DUMMYFUNCTION("""COMPUTED_VALUE"""),"AP")</f>
        <v>AP</v>
      </c>
      <c r="Y168" s="34" t="str">
        <f>IFERROR(__xludf.DUMMYFUNCTION("""COMPUTED_VALUE"""),"")</f>
        <v/>
      </c>
      <c r="Z168" s="35" t="str">
        <f>IFERROR(__xludf.DUMMYFUNCTION("""COMPUTED_VALUE"""),"%")</f>
        <v>%</v>
      </c>
      <c r="AA168" s="36">
        <f>IFERROR(__xludf.DUMMYFUNCTION("""COMPUTED_VALUE"""),3.0)</f>
        <v>3</v>
      </c>
      <c r="AB168" s="37"/>
      <c r="AC168" s="38"/>
      <c r="AD168" s="34" t="str">
        <f>IFERROR(__xludf.DUMMYFUNCTION("""COMPUTED_VALUE"""),"")</f>
        <v/>
      </c>
      <c r="AE168" s="35" t="str">
        <f>IFERROR(__xludf.DUMMYFUNCTION("""COMPUTED_VALUE"""),"AP")</f>
        <v>AP</v>
      </c>
      <c r="AF168" s="34" t="str">
        <f>IFERROR(__xludf.DUMMYFUNCTION("""COMPUTED_VALUE"""),"")</f>
        <v/>
      </c>
      <c r="AG168" s="35" t="str">
        <f>IFERROR(__xludf.DUMMYFUNCTION("""COMPUTED_VALUE"""),"%")</f>
        <v>%</v>
      </c>
      <c r="AH168" s="31">
        <f>IFERROR(__xludf.DUMMYFUNCTION("""COMPUTED_VALUE"""),21.0)</f>
        <v>21</v>
      </c>
      <c r="AI168" s="32">
        <f>IFERROR(__xludf.DUMMYFUNCTION("""COMPUTED_VALUE"""),18206.0)</f>
        <v>18206</v>
      </c>
      <c r="AJ168" s="30" t="str">
        <f>IFERROR(__xludf.DUMMYFUNCTION("""COMPUTED_VALUE"""),"Meadow")</f>
        <v>Meadow</v>
      </c>
    </row>
    <row r="169" ht="24.75" customHeight="1">
      <c r="A169" s="40">
        <f>IFERROR(__xludf.DUMMYFUNCTION("""COMPUTED_VALUE"""),6.0)</f>
        <v>6</v>
      </c>
      <c r="B169" s="40" t="str">
        <f>IFERROR(__xludf.DUMMYFUNCTION("""COMPUTED_VALUE"""),"A308")</f>
        <v>A308</v>
      </c>
      <c r="C169" s="40"/>
      <c r="D169" s="41"/>
      <c r="E169" s="66"/>
      <c r="F169" s="43"/>
      <c r="G169" s="44"/>
      <c r="H169" s="33" t="str">
        <f>IFERROR(__xludf.DUMMYFUNCTION("""COMPUTED_VALUE""")," ")</f>
        <v> </v>
      </c>
      <c r="I169" s="45"/>
      <c r="J169" s="46" t="str">
        <f>IFERROR(__xludf.DUMMYFUNCTION("""COMPUTED_VALUE"""),"AP")</f>
        <v>AP</v>
      </c>
      <c r="K169" s="47"/>
      <c r="L169" s="48" t="str">
        <f>IFERROR(__xludf.DUMMYFUNCTION("""COMPUTED_VALUE"""),"%")</f>
        <v>%</v>
      </c>
      <c r="M169" s="49">
        <f>IFERROR(__xludf.DUMMYFUNCTION("""COMPUTED_VALUE"""),1.0)</f>
        <v>1</v>
      </c>
      <c r="N169" s="50"/>
      <c r="O169" s="38"/>
      <c r="P169" s="45" t="str">
        <f>IFERROR(__xludf.DUMMYFUNCTION("""COMPUTED_VALUE"""),"")</f>
        <v/>
      </c>
      <c r="Q169" s="46" t="str">
        <f>IFERROR(__xludf.DUMMYFUNCTION("""COMPUTED_VALUE"""),"AP")</f>
        <v>AP</v>
      </c>
      <c r="R169" s="47" t="str">
        <f>IFERROR(__xludf.DUMMYFUNCTION("""COMPUTED_VALUE"""),"")</f>
        <v/>
      </c>
      <c r="S169" s="48" t="str">
        <f>IFERROR(__xludf.DUMMYFUNCTION("""COMPUTED_VALUE"""),"%")</f>
        <v>%</v>
      </c>
      <c r="T169" s="49">
        <f>IFERROR(__xludf.DUMMYFUNCTION("""COMPUTED_VALUE"""),2.0)</f>
        <v>2</v>
      </c>
      <c r="U169" s="50"/>
      <c r="V169" s="38"/>
      <c r="W169" s="45" t="str">
        <f>IFERROR(__xludf.DUMMYFUNCTION("""COMPUTED_VALUE"""),"")</f>
        <v/>
      </c>
      <c r="X169" s="46" t="str">
        <f>IFERROR(__xludf.DUMMYFUNCTION("""COMPUTED_VALUE"""),"AP")</f>
        <v>AP</v>
      </c>
      <c r="Y169" s="47" t="str">
        <f>IFERROR(__xludf.DUMMYFUNCTION("""COMPUTED_VALUE"""),"")</f>
        <v/>
      </c>
      <c r="Z169" s="48" t="str">
        <f>IFERROR(__xludf.DUMMYFUNCTION("""COMPUTED_VALUE"""),"%")</f>
        <v>%</v>
      </c>
      <c r="AA169" s="49">
        <f>IFERROR(__xludf.DUMMYFUNCTION("""COMPUTED_VALUE"""),3.0)</f>
        <v>3</v>
      </c>
      <c r="AB169" s="50"/>
      <c r="AC169" s="38"/>
      <c r="AD169" s="45" t="str">
        <f>IFERROR(__xludf.DUMMYFUNCTION("""COMPUTED_VALUE"""),"")</f>
        <v/>
      </c>
      <c r="AE169" s="46" t="str">
        <f>IFERROR(__xludf.DUMMYFUNCTION("""COMPUTED_VALUE"""),"AP")</f>
        <v>AP</v>
      </c>
      <c r="AF169" s="47" t="str">
        <f>IFERROR(__xludf.DUMMYFUNCTION("""COMPUTED_VALUE"""),"")</f>
        <v/>
      </c>
      <c r="AG169" s="48" t="str">
        <f>IFERROR(__xludf.DUMMYFUNCTION("""COMPUTED_VALUE"""),"%")</f>
        <v>%</v>
      </c>
      <c r="AH169" s="43"/>
      <c r="AI169" s="44"/>
      <c r="AJ169" s="66"/>
    </row>
    <row r="170" ht="24.75" hidden="1" customHeight="1">
      <c r="A170" s="28">
        <f>IFERROR(__xludf.DUMMYFUNCTION("""COMPUTED_VALUE"""),7.0)</f>
        <v>7</v>
      </c>
      <c r="B170" s="28" t="str">
        <f>IFERROR(__xludf.DUMMYFUNCTION("""COMPUTED_VALUE"""),"A308")</f>
        <v>A308</v>
      </c>
      <c r="C170" s="28"/>
      <c r="D170" s="29"/>
      <c r="E170" s="67"/>
      <c r="F170" s="31"/>
      <c r="G170" s="32"/>
      <c r="H170" s="33" t="str">
        <f>IFERROR(__xludf.DUMMYFUNCTION("""COMPUTED_VALUE""")," ")</f>
        <v> </v>
      </c>
      <c r="I170" s="34"/>
      <c r="J170" s="35" t="str">
        <f>IFERROR(__xludf.DUMMYFUNCTION("""COMPUTED_VALUE"""),"AP")</f>
        <v>AP</v>
      </c>
      <c r="K170" s="34"/>
      <c r="L170" s="35" t="str">
        <f>IFERROR(__xludf.DUMMYFUNCTION("""COMPUTED_VALUE"""),"%")</f>
        <v>%</v>
      </c>
      <c r="M170" s="36">
        <f>IFERROR(__xludf.DUMMYFUNCTION("""COMPUTED_VALUE"""),1.0)</f>
        <v>1</v>
      </c>
      <c r="N170" s="37"/>
      <c r="O170" s="38"/>
      <c r="P170" s="34" t="str">
        <f>IFERROR(__xludf.DUMMYFUNCTION("""COMPUTED_VALUE"""),"")</f>
        <v/>
      </c>
      <c r="Q170" s="35" t="str">
        <f>IFERROR(__xludf.DUMMYFUNCTION("""COMPUTED_VALUE"""),"AP")</f>
        <v>AP</v>
      </c>
      <c r="R170" s="34" t="str">
        <f>IFERROR(__xludf.DUMMYFUNCTION("""COMPUTED_VALUE"""),"")</f>
        <v/>
      </c>
      <c r="S170" s="35" t="str">
        <f>IFERROR(__xludf.DUMMYFUNCTION("""COMPUTED_VALUE"""),"%")</f>
        <v>%</v>
      </c>
      <c r="T170" s="36">
        <f>IFERROR(__xludf.DUMMYFUNCTION("""COMPUTED_VALUE"""),2.0)</f>
        <v>2</v>
      </c>
      <c r="U170" s="37"/>
      <c r="V170" s="38"/>
      <c r="W170" s="34" t="str">
        <f>IFERROR(__xludf.DUMMYFUNCTION("""COMPUTED_VALUE"""),"")</f>
        <v/>
      </c>
      <c r="X170" s="35" t="str">
        <f>IFERROR(__xludf.DUMMYFUNCTION("""COMPUTED_VALUE"""),"AP")</f>
        <v>AP</v>
      </c>
      <c r="Y170" s="34" t="str">
        <f>IFERROR(__xludf.DUMMYFUNCTION("""COMPUTED_VALUE"""),"")</f>
        <v/>
      </c>
      <c r="Z170" s="35" t="str">
        <f>IFERROR(__xludf.DUMMYFUNCTION("""COMPUTED_VALUE"""),"%")</f>
        <v>%</v>
      </c>
      <c r="AA170" s="36">
        <f>IFERROR(__xludf.DUMMYFUNCTION("""COMPUTED_VALUE"""),3.0)</f>
        <v>3</v>
      </c>
      <c r="AB170" s="37"/>
      <c r="AC170" s="38"/>
      <c r="AD170" s="34" t="str">
        <f>IFERROR(__xludf.DUMMYFUNCTION("""COMPUTED_VALUE"""),"")</f>
        <v/>
      </c>
      <c r="AE170" s="35" t="str">
        <f>IFERROR(__xludf.DUMMYFUNCTION("""COMPUTED_VALUE"""),"AP")</f>
        <v>AP</v>
      </c>
      <c r="AF170" s="34" t="str">
        <f>IFERROR(__xludf.DUMMYFUNCTION("""COMPUTED_VALUE"""),"")</f>
        <v/>
      </c>
      <c r="AG170" s="35" t="str">
        <f>IFERROR(__xludf.DUMMYFUNCTION("""COMPUTED_VALUE"""),"%")</f>
        <v>%</v>
      </c>
      <c r="AH170" s="31"/>
      <c r="AI170" s="32"/>
      <c r="AJ170" s="67"/>
    </row>
    <row r="171" ht="24.75" hidden="1" customHeight="1">
      <c r="A171" s="40">
        <f>IFERROR(__xludf.DUMMYFUNCTION("""COMPUTED_VALUE"""),8.0)</f>
        <v>8</v>
      </c>
      <c r="B171" s="40" t="str">
        <f>IFERROR(__xludf.DUMMYFUNCTION("""COMPUTED_VALUE"""),"A308")</f>
        <v>A308</v>
      </c>
      <c r="C171" s="40"/>
      <c r="D171" s="41"/>
      <c r="E171" s="66"/>
      <c r="F171" s="43"/>
      <c r="G171" s="44"/>
      <c r="H171" s="33" t="str">
        <f>IFERROR(__xludf.DUMMYFUNCTION("""COMPUTED_VALUE""")," ")</f>
        <v> </v>
      </c>
      <c r="I171" s="45"/>
      <c r="J171" s="46" t="str">
        <f>IFERROR(__xludf.DUMMYFUNCTION("""COMPUTED_VALUE"""),"AP")</f>
        <v>AP</v>
      </c>
      <c r="K171" s="47"/>
      <c r="L171" s="48" t="str">
        <f>IFERROR(__xludf.DUMMYFUNCTION("""COMPUTED_VALUE"""),"%")</f>
        <v>%</v>
      </c>
      <c r="M171" s="49">
        <f>IFERROR(__xludf.DUMMYFUNCTION("""COMPUTED_VALUE"""),1.0)</f>
        <v>1</v>
      </c>
      <c r="N171" s="50"/>
      <c r="O171" s="38"/>
      <c r="P171" s="45" t="str">
        <f>IFERROR(__xludf.DUMMYFUNCTION("""COMPUTED_VALUE"""),"")</f>
        <v/>
      </c>
      <c r="Q171" s="46" t="str">
        <f>IFERROR(__xludf.DUMMYFUNCTION("""COMPUTED_VALUE"""),"AP")</f>
        <v>AP</v>
      </c>
      <c r="R171" s="47" t="str">
        <f>IFERROR(__xludf.DUMMYFUNCTION("""COMPUTED_VALUE"""),"")</f>
        <v/>
      </c>
      <c r="S171" s="48" t="str">
        <f>IFERROR(__xludf.DUMMYFUNCTION("""COMPUTED_VALUE"""),"%")</f>
        <v>%</v>
      </c>
      <c r="T171" s="49">
        <f>IFERROR(__xludf.DUMMYFUNCTION("""COMPUTED_VALUE"""),2.0)</f>
        <v>2</v>
      </c>
      <c r="U171" s="50"/>
      <c r="V171" s="38"/>
      <c r="W171" s="45" t="str">
        <f>IFERROR(__xludf.DUMMYFUNCTION("""COMPUTED_VALUE"""),"")</f>
        <v/>
      </c>
      <c r="X171" s="46" t="str">
        <f>IFERROR(__xludf.DUMMYFUNCTION("""COMPUTED_VALUE"""),"AP")</f>
        <v>AP</v>
      </c>
      <c r="Y171" s="47" t="str">
        <f>IFERROR(__xludf.DUMMYFUNCTION("""COMPUTED_VALUE"""),"")</f>
        <v/>
      </c>
      <c r="Z171" s="48" t="str">
        <f>IFERROR(__xludf.DUMMYFUNCTION("""COMPUTED_VALUE"""),"%")</f>
        <v>%</v>
      </c>
      <c r="AA171" s="49">
        <f>IFERROR(__xludf.DUMMYFUNCTION("""COMPUTED_VALUE"""),3.0)</f>
        <v>3</v>
      </c>
      <c r="AB171" s="50"/>
      <c r="AC171" s="38"/>
      <c r="AD171" s="45" t="str">
        <f>IFERROR(__xludf.DUMMYFUNCTION("""COMPUTED_VALUE"""),"")</f>
        <v/>
      </c>
      <c r="AE171" s="46" t="str">
        <f>IFERROR(__xludf.DUMMYFUNCTION("""COMPUTED_VALUE"""),"AP")</f>
        <v>AP</v>
      </c>
      <c r="AF171" s="47" t="str">
        <f>IFERROR(__xludf.DUMMYFUNCTION("""COMPUTED_VALUE"""),"")</f>
        <v/>
      </c>
      <c r="AG171" s="48" t="str">
        <f>IFERROR(__xludf.DUMMYFUNCTION("""COMPUTED_VALUE"""),"%")</f>
        <v>%</v>
      </c>
      <c r="AH171" s="43"/>
      <c r="AI171" s="44"/>
      <c r="AJ171" s="66"/>
    </row>
    <row r="172" ht="24.75" hidden="1" customHeight="1">
      <c r="A172" s="28">
        <f>IFERROR(__xludf.DUMMYFUNCTION("""COMPUTED_VALUE"""),9.0)</f>
        <v>9</v>
      </c>
      <c r="B172" s="28" t="str">
        <f>IFERROR(__xludf.DUMMYFUNCTION("""COMPUTED_VALUE"""),"A308")</f>
        <v>A308</v>
      </c>
      <c r="C172" s="28"/>
      <c r="D172" s="29"/>
      <c r="E172" s="67"/>
      <c r="F172" s="31"/>
      <c r="G172" s="32"/>
      <c r="H172" s="33" t="str">
        <f>IFERROR(__xludf.DUMMYFUNCTION("""COMPUTED_VALUE""")," ")</f>
        <v> </v>
      </c>
      <c r="I172" s="34"/>
      <c r="J172" s="35" t="str">
        <f>IFERROR(__xludf.DUMMYFUNCTION("""COMPUTED_VALUE"""),"AP")</f>
        <v>AP</v>
      </c>
      <c r="K172" s="34"/>
      <c r="L172" s="35" t="str">
        <f>IFERROR(__xludf.DUMMYFUNCTION("""COMPUTED_VALUE"""),"%")</f>
        <v>%</v>
      </c>
      <c r="M172" s="36">
        <f>IFERROR(__xludf.DUMMYFUNCTION("""COMPUTED_VALUE"""),1.0)</f>
        <v>1</v>
      </c>
      <c r="N172" s="37"/>
      <c r="O172" s="38"/>
      <c r="P172" s="34" t="str">
        <f>IFERROR(__xludf.DUMMYFUNCTION("""COMPUTED_VALUE"""),"")</f>
        <v/>
      </c>
      <c r="Q172" s="35" t="str">
        <f>IFERROR(__xludf.DUMMYFUNCTION("""COMPUTED_VALUE"""),"AP")</f>
        <v>AP</v>
      </c>
      <c r="R172" s="34" t="str">
        <f>IFERROR(__xludf.DUMMYFUNCTION("""COMPUTED_VALUE"""),"")</f>
        <v/>
      </c>
      <c r="S172" s="35" t="str">
        <f>IFERROR(__xludf.DUMMYFUNCTION("""COMPUTED_VALUE"""),"%")</f>
        <v>%</v>
      </c>
      <c r="T172" s="36">
        <f>IFERROR(__xludf.DUMMYFUNCTION("""COMPUTED_VALUE"""),2.0)</f>
        <v>2</v>
      </c>
      <c r="U172" s="37"/>
      <c r="V172" s="38"/>
      <c r="W172" s="34" t="str">
        <f>IFERROR(__xludf.DUMMYFUNCTION("""COMPUTED_VALUE"""),"")</f>
        <v/>
      </c>
      <c r="X172" s="35" t="str">
        <f>IFERROR(__xludf.DUMMYFUNCTION("""COMPUTED_VALUE"""),"AP")</f>
        <v>AP</v>
      </c>
      <c r="Y172" s="34" t="str">
        <f>IFERROR(__xludf.DUMMYFUNCTION("""COMPUTED_VALUE"""),"")</f>
        <v/>
      </c>
      <c r="Z172" s="35" t="str">
        <f>IFERROR(__xludf.DUMMYFUNCTION("""COMPUTED_VALUE"""),"%")</f>
        <v>%</v>
      </c>
      <c r="AA172" s="36">
        <f>IFERROR(__xludf.DUMMYFUNCTION("""COMPUTED_VALUE"""),3.0)</f>
        <v>3</v>
      </c>
      <c r="AB172" s="37"/>
      <c r="AC172" s="38"/>
      <c r="AD172" s="34" t="str">
        <f>IFERROR(__xludf.DUMMYFUNCTION("""COMPUTED_VALUE"""),"")</f>
        <v/>
      </c>
      <c r="AE172" s="35" t="str">
        <f>IFERROR(__xludf.DUMMYFUNCTION("""COMPUTED_VALUE"""),"AP")</f>
        <v>AP</v>
      </c>
      <c r="AF172" s="34" t="str">
        <f>IFERROR(__xludf.DUMMYFUNCTION("""COMPUTED_VALUE"""),"")</f>
        <v/>
      </c>
      <c r="AG172" s="35" t="str">
        <f>IFERROR(__xludf.DUMMYFUNCTION("""COMPUTED_VALUE"""),"%")</f>
        <v>%</v>
      </c>
      <c r="AH172" s="31"/>
      <c r="AI172" s="32"/>
      <c r="AJ172" s="67"/>
    </row>
    <row r="173" ht="24.75" hidden="1" customHeight="1">
      <c r="A173" s="40">
        <f>IFERROR(__xludf.DUMMYFUNCTION("""COMPUTED_VALUE"""),10.0)</f>
        <v>10</v>
      </c>
      <c r="B173" s="40" t="str">
        <f>IFERROR(__xludf.DUMMYFUNCTION("""COMPUTED_VALUE"""),"A308")</f>
        <v>A308</v>
      </c>
      <c r="C173" s="40"/>
      <c r="D173" s="41"/>
      <c r="E173" s="66"/>
      <c r="F173" s="43"/>
      <c r="G173" s="44"/>
      <c r="H173" s="33" t="str">
        <f>IFERROR(__xludf.DUMMYFUNCTION("""COMPUTED_VALUE""")," ")</f>
        <v> </v>
      </c>
      <c r="I173" s="45"/>
      <c r="J173" s="46" t="str">
        <f>IFERROR(__xludf.DUMMYFUNCTION("""COMPUTED_VALUE"""),"AP")</f>
        <v>AP</v>
      </c>
      <c r="K173" s="47"/>
      <c r="L173" s="48" t="str">
        <f>IFERROR(__xludf.DUMMYFUNCTION("""COMPUTED_VALUE"""),"%")</f>
        <v>%</v>
      </c>
      <c r="M173" s="49">
        <f>IFERROR(__xludf.DUMMYFUNCTION("""COMPUTED_VALUE"""),1.0)</f>
        <v>1</v>
      </c>
      <c r="N173" s="50"/>
      <c r="O173" s="38"/>
      <c r="P173" s="45" t="str">
        <f>IFERROR(__xludf.DUMMYFUNCTION("""COMPUTED_VALUE"""),"")</f>
        <v/>
      </c>
      <c r="Q173" s="46" t="str">
        <f>IFERROR(__xludf.DUMMYFUNCTION("""COMPUTED_VALUE"""),"AP")</f>
        <v>AP</v>
      </c>
      <c r="R173" s="47" t="str">
        <f>IFERROR(__xludf.DUMMYFUNCTION("""COMPUTED_VALUE"""),"")</f>
        <v/>
      </c>
      <c r="S173" s="48" t="str">
        <f>IFERROR(__xludf.DUMMYFUNCTION("""COMPUTED_VALUE"""),"%")</f>
        <v>%</v>
      </c>
      <c r="T173" s="49">
        <f>IFERROR(__xludf.DUMMYFUNCTION("""COMPUTED_VALUE"""),2.0)</f>
        <v>2</v>
      </c>
      <c r="U173" s="50"/>
      <c r="V173" s="38"/>
      <c r="W173" s="45" t="str">
        <f>IFERROR(__xludf.DUMMYFUNCTION("""COMPUTED_VALUE"""),"")</f>
        <v/>
      </c>
      <c r="X173" s="46" t="str">
        <f>IFERROR(__xludf.DUMMYFUNCTION("""COMPUTED_VALUE"""),"AP")</f>
        <v>AP</v>
      </c>
      <c r="Y173" s="47" t="str">
        <f>IFERROR(__xludf.DUMMYFUNCTION("""COMPUTED_VALUE"""),"")</f>
        <v/>
      </c>
      <c r="Z173" s="48" t="str">
        <f>IFERROR(__xludf.DUMMYFUNCTION("""COMPUTED_VALUE"""),"%")</f>
        <v>%</v>
      </c>
      <c r="AA173" s="49">
        <f>IFERROR(__xludf.DUMMYFUNCTION("""COMPUTED_VALUE"""),3.0)</f>
        <v>3</v>
      </c>
      <c r="AB173" s="50"/>
      <c r="AC173" s="38"/>
      <c r="AD173" s="45" t="str">
        <f>IFERROR(__xludf.DUMMYFUNCTION("""COMPUTED_VALUE"""),"")</f>
        <v/>
      </c>
      <c r="AE173" s="46" t="str">
        <f>IFERROR(__xludf.DUMMYFUNCTION("""COMPUTED_VALUE"""),"AP")</f>
        <v>AP</v>
      </c>
      <c r="AF173" s="47" t="str">
        <f>IFERROR(__xludf.DUMMYFUNCTION("""COMPUTED_VALUE"""),"")</f>
        <v/>
      </c>
      <c r="AG173" s="48" t="str">
        <f>IFERROR(__xludf.DUMMYFUNCTION("""COMPUTED_VALUE"""),"%")</f>
        <v>%</v>
      </c>
      <c r="AH173" s="43"/>
      <c r="AI173" s="44"/>
      <c r="AJ173" s="66"/>
    </row>
    <row r="174" ht="24.75" hidden="1" customHeight="1">
      <c r="A174" s="28">
        <f>IFERROR(__xludf.DUMMYFUNCTION("""COMPUTED_VALUE"""),11.0)</f>
        <v>11</v>
      </c>
      <c r="B174" s="28" t="str">
        <f>IFERROR(__xludf.DUMMYFUNCTION("""COMPUTED_VALUE"""),"A308")</f>
        <v>A308</v>
      </c>
      <c r="C174" s="28"/>
      <c r="D174" s="29"/>
      <c r="E174" s="67"/>
      <c r="F174" s="31"/>
      <c r="G174" s="32"/>
      <c r="H174" s="33" t="str">
        <f>IFERROR(__xludf.DUMMYFUNCTION("""COMPUTED_VALUE""")," ")</f>
        <v> </v>
      </c>
      <c r="I174" s="34"/>
      <c r="J174" s="35" t="str">
        <f>IFERROR(__xludf.DUMMYFUNCTION("""COMPUTED_VALUE"""),"AP")</f>
        <v>AP</v>
      </c>
      <c r="K174" s="34"/>
      <c r="L174" s="35" t="str">
        <f>IFERROR(__xludf.DUMMYFUNCTION("""COMPUTED_VALUE"""),"%")</f>
        <v>%</v>
      </c>
      <c r="M174" s="36">
        <f>IFERROR(__xludf.DUMMYFUNCTION("""COMPUTED_VALUE"""),1.0)</f>
        <v>1</v>
      </c>
      <c r="N174" s="37"/>
      <c r="O174" s="38"/>
      <c r="P174" s="34" t="str">
        <f>IFERROR(__xludf.DUMMYFUNCTION("""COMPUTED_VALUE"""),"")</f>
        <v/>
      </c>
      <c r="Q174" s="35" t="str">
        <f>IFERROR(__xludf.DUMMYFUNCTION("""COMPUTED_VALUE"""),"AP")</f>
        <v>AP</v>
      </c>
      <c r="R174" s="34" t="str">
        <f>IFERROR(__xludf.DUMMYFUNCTION("""COMPUTED_VALUE"""),"")</f>
        <v/>
      </c>
      <c r="S174" s="35" t="str">
        <f>IFERROR(__xludf.DUMMYFUNCTION("""COMPUTED_VALUE"""),"%")</f>
        <v>%</v>
      </c>
      <c r="T174" s="36">
        <f>IFERROR(__xludf.DUMMYFUNCTION("""COMPUTED_VALUE"""),2.0)</f>
        <v>2</v>
      </c>
      <c r="U174" s="37"/>
      <c r="V174" s="38"/>
      <c r="W174" s="34" t="str">
        <f>IFERROR(__xludf.DUMMYFUNCTION("""COMPUTED_VALUE"""),"")</f>
        <v/>
      </c>
      <c r="X174" s="35" t="str">
        <f>IFERROR(__xludf.DUMMYFUNCTION("""COMPUTED_VALUE"""),"AP")</f>
        <v>AP</v>
      </c>
      <c r="Y174" s="34" t="str">
        <f>IFERROR(__xludf.DUMMYFUNCTION("""COMPUTED_VALUE"""),"")</f>
        <v/>
      </c>
      <c r="Z174" s="35" t="str">
        <f>IFERROR(__xludf.DUMMYFUNCTION("""COMPUTED_VALUE"""),"%")</f>
        <v>%</v>
      </c>
      <c r="AA174" s="36">
        <f>IFERROR(__xludf.DUMMYFUNCTION("""COMPUTED_VALUE"""),3.0)</f>
        <v>3</v>
      </c>
      <c r="AB174" s="37"/>
      <c r="AC174" s="38"/>
      <c r="AD174" s="34" t="str">
        <f>IFERROR(__xludf.DUMMYFUNCTION("""COMPUTED_VALUE"""),"")</f>
        <v/>
      </c>
      <c r="AE174" s="35" t="str">
        <f>IFERROR(__xludf.DUMMYFUNCTION("""COMPUTED_VALUE"""),"AP")</f>
        <v>AP</v>
      </c>
      <c r="AF174" s="34" t="str">
        <f>IFERROR(__xludf.DUMMYFUNCTION("""COMPUTED_VALUE"""),"")</f>
        <v/>
      </c>
      <c r="AG174" s="35" t="str">
        <f>IFERROR(__xludf.DUMMYFUNCTION("""COMPUTED_VALUE"""),"%")</f>
        <v>%</v>
      </c>
      <c r="AH174" s="31"/>
      <c r="AI174" s="32"/>
      <c r="AJ174" s="67"/>
    </row>
    <row r="175" ht="24.75" hidden="1" customHeight="1">
      <c r="A175" s="40">
        <f>IFERROR(__xludf.DUMMYFUNCTION("""COMPUTED_VALUE"""),12.0)</f>
        <v>12</v>
      </c>
      <c r="B175" s="40" t="str">
        <f>IFERROR(__xludf.DUMMYFUNCTION("""COMPUTED_VALUE"""),"A308")</f>
        <v>A308</v>
      </c>
      <c r="C175" s="40"/>
      <c r="D175" s="41"/>
      <c r="E175" s="66"/>
      <c r="F175" s="43"/>
      <c r="G175" s="44"/>
      <c r="H175" s="33" t="str">
        <f>IFERROR(__xludf.DUMMYFUNCTION("""COMPUTED_VALUE""")," ")</f>
        <v> </v>
      </c>
      <c r="I175" s="45"/>
      <c r="J175" s="46" t="str">
        <f>IFERROR(__xludf.DUMMYFUNCTION("""COMPUTED_VALUE"""),"AP")</f>
        <v>AP</v>
      </c>
      <c r="K175" s="47"/>
      <c r="L175" s="48" t="str">
        <f>IFERROR(__xludf.DUMMYFUNCTION("""COMPUTED_VALUE"""),"%")</f>
        <v>%</v>
      </c>
      <c r="M175" s="49">
        <f>IFERROR(__xludf.DUMMYFUNCTION("""COMPUTED_VALUE"""),1.0)</f>
        <v>1</v>
      </c>
      <c r="N175" s="50"/>
      <c r="O175" s="38"/>
      <c r="P175" s="45" t="str">
        <f>IFERROR(__xludf.DUMMYFUNCTION("""COMPUTED_VALUE"""),"")</f>
        <v/>
      </c>
      <c r="Q175" s="46" t="str">
        <f>IFERROR(__xludf.DUMMYFUNCTION("""COMPUTED_VALUE"""),"AP")</f>
        <v>AP</v>
      </c>
      <c r="R175" s="47" t="str">
        <f>IFERROR(__xludf.DUMMYFUNCTION("""COMPUTED_VALUE"""),"")</f>
        <v/>
      </c>
      <c r="S175" s="48" t="str">
        <f>IFERROR(__xludf.DUMMYFUNCTION("""COMPUTED_VALUE"""),"%")</f>
        <v>%</v>
      </c>
      <c r="T175" s="49">
        <f>IFERROR(__xludf.DUMMYFUNCTION("""COMPUTED_VALUE"""),2.0)</f>
        <v>2</v>
      </c>
      <c r="U175" s="50"/>
      <c r="V175" s="38"/>
      <c r="W175" s="45" t="str">
        <f>IFERROR(__xludf.DUMMYFUNCTION("""COMPUTED_VALUE"""),"")</f>
        <v/>
      </c>
      <c r="X175" s="46" t="str">
        <f>IFERROR(__xludf.DUMMYFUNCTION("""COMPUTED_VALUE"""),"AP")</f>
        <v>AP</v>
      </c>
      <c r="Y175" s="47" t="str">
        <f>IFERROR(__xludf.DUMMYFUNCTION("""COMPUTED_VALUE"""),"")</f>
        <v/>
      </c>
      <c r="Z175" s="48" t="str">
        <f>IFERROR(__xludf.DUMMYFUNCTION("""COMPUTED_VALUE"""),"%")</f>
        <v>%</v>
      </c>
      <c r="AA175" s="49">
        <f>IFERROR(__xludf.DUMMYFUNCTION("""COMPUTED_VALUE"""),3.0)</f>
        <v>3</v>
      </c>
      <c r="AB175" s="50"/>
      <c r="AC175" s="38"/>
      <c r="AD175" s="45" t="str">
        <f>IFERROR(__xludf.DUMMYFUNCTION("""COMPUTED_VALUE"""),"")</f>
        <v/>
      </c>
      <c r="AE175" s="46" t="str">
        <f>IFERROR(__xludf.DUMMYFUNCTION("""COMPUTED_VALUE"""),"AP")</f>
        <v>AP</v>
      </c>
      <c r="AF175" s="47" t="str">
        <f>IFERROR(__xludf.DUMMYFUNCTION("""COMPUTED_VALUE"""),"")</f>
        <v/>
      </c>
      <c r="AG175" s="48" t="str">
        <f>IFERROR(__xludf.DUMMYFUNCTION("""COMPUTED_VALUE"""),"%")</f>
        <v>%</v>
      </c>
      <c r="AH175" s="43"/>
      <c r="AI175" s="44"/>
      <c r="AJ175" s="66"/>
    </row>
    <row r="176" ht="24.75" hidden="1" customHeight="1">
      <c r="A176" s="28">
        <f>IFERROR(__xludf.DUMMYFUNCTION("""COMPUTED_VALUE"""),13.0)</f>
        <v>13</v>
      </c>
      <c r="B176" s="28" t="str">
        <f>IFERROR(__xludf.DUMMYFUNCTION("""COMPUTED_VALUE"""),"A308")</f>
        <v>A308</v>
      </c>
      <c r="C176" s="28"/>
      <c r="D176" s="29"/>
      <c r="E176" s="67"/>
      <c r="F176" s="31"/>
      <c r="G176" s="32"/>
      <c r="H176" s="33" t="str">
        <f>IFERROR(__xludf.DUMMYFUNCTION("""COMPUTED_VALUE""")," ")</f>
        <v> </v>
      </c>
      <c r="I176" s="34"/>
      <c r="J176" s="35" t="str">
        <f>IFERROR(__xludf.DUMMYFUNCTION("""COMPUTED_VALUE"""),"AP")</f>
        <v>AP</v>
      </c>
      <c r="K176" s="34"/>
      <c r="L176" s="35" t="str">
        <f>IFERROR(__xludf.DUMMYFUNCTION("""COMPUTED_VALUE"""),"%")</f>
        <v>%</v>
      </c>
      <c r="M176" s="36">
        <f>IFERROR(__xludf.DUMMYFUNCTION("""COMPUTED_VALUE"""),1.0)</f>
        <v>1</v>
      </c>
      <c r="N176" s="37"/>
      <c r="O176" s="38"/>
      <c r="P176" s="34" t="str">
        <f>IFERROR(__xludf.DUMMYFUNCTION("""COMPUTED_VALUE"""),"")</f>
        <v/>
      </c>
      <c r="Q176" s="35" t="str">
        <f>IFERROR(__xludf.DUMMYFUNCTION("""COMPUTED_VALUE"""),"AP")</f>
        <v>AP</v>
      </c>
      <c r="R176" s="34" t="str">
        <f>IFERROR(__xludf.DUMMYFUNCTION("""COMPUTED_VALUE"""),"")</f>
        <v/>
      </c>
      <c r="S176" s="35" t="str">
        <f>IFERROR(__xludf.DUMMYFUNCTION("""COMPUTED_VALUE"""),"%")</f>
        <v>%</v>
      </c>
      <c r="T176" s="36">
        <f>IFERROR(__xludf.DUMMYFUNCTION("""COMPUTED_VALUE"""),2.0)</f>
        <v>2</v>
      </c>
      <c r="U176" s="37"/>
      <c r="V176" s="38"/>
      <c r="W176" s="34" t="str">
        <f>IFERROR(__xludf.DUMMYFUNCTION("""COMPUTED_VALUE"""),"")</f>
        <v/>
      </c>
      <c r="X176" s="35" t="str">
        <f>IFERROR(__xludf.DUMMYFUNCTION("""COMPUTED_VALUE"""),"AP")</f>
        <v>AP</v>
      </c>
      <c r="Y176" s="34" t="str">
        <f>IFERROR(__xludf.DUMMYFUNCTION("""COMPUTED_VALUE"""),"")</f>
        <v/>
      </c>
      <c r="Z176" s="35" t="str">
        <f>IFERROR(__xludf.DUMMYFUNCTION("""COMPUTED_VALUE"""),"%")</f>
        <v>%</v>
      </c>
      <c r="AA176" s="36">
        <f>IFERROR(__xludf.DUMMYFUNCTION("""COMPUTED_VALUE"""),3.0)</f>
        <v>3</v>
      </c>
      <c r="AB176" s="37"/>
      <c r="AC176" s="38"/>
      <c r="AD176" s="34" t="str">
        <f>IFERROR(__xludf.DUMMYFUNCTION("""COMPUTED_VALUE"""),"")</f>
        <v/>
      </c>
      <c r="AE176" s="35" t="str">
        <f>IFERROR(__xludf.DUMMYFUNCTION("""COMPUTED_VALUE"""),"AP")</f>
        <v>AP</v>
      </c>
      <c r="AF176" s="34" t="str">
        <f>IFERROR(__xludf.DUMMYFUNCTION("""COMPUTED_VALUE"""),"")</f>
        <v/>
      </c>
      <c r="AG176" s="35" t="str">
        <f>IFERROR(__xludf.DUMMYFUNCTION("""COMPUTED_VALUE"""),"%")</f>
        <v>%</v>
      </c>
      <c r="AH176" s="31"/>
      <c r="AI176" s="32"/>
      <c r="AJ176" s="67"/>
    </row>
    <row r="177" ht="24.75" hidden="1" customHeight="1">
      <c r="A177" s="40">
        <f>IFERROR(__xludf.DUMMYFUNCTION("""COMPUTED_VALUE"""),14.0)</f>
        <v>14</v>
      </c>
      <c r="B177" s="40" t="str">
        <f>IFERROR(__xludf.DUMMYFUNCTION("""COMPUTED_VALUE"""),"A308")</f>
        <v>A308</v>
      </c>
      <c r="C177" s="40"/>
      <c r="D177" s="41"/>
      <c r="E177" s="66"/>
      <c r="F177" s="43"/>
      <c r="G177" s="44"/>
      <c r="H177" s="33" t="str">
        <f>IFERROR(__xludf.DUMMYFUNCTION("""COMPUTED_VALUE""")," ")</f>
        <v> </v>
      </c>
      <c r="I177" s="45"/>
      <c r="J177" s="46" t="str">
        <f>IFERROR(__xludf.DUMMYFUNCTION("""COMPUTED_VALUE"""),"AP")</f>
        <v>AP</v>
      </c>
      <c r="K177" s="47"/>
      <c r="L177" s="48" t="str">
        <f>IFERROR(__xludf.DUMMYFUNCTION("""COMPUTED_VALUE"""),"%")</f>
        <v>%</v>
      </c>
      <c r="M177" s="49">
        <f>IFERROR(__xludf.DUMMYFUNCTION("""COMPUTED_VALUE"""),1.0)</f>
        <v>1</v>
      </c>
      <c r="N177" s="50"/>
      <c r="O177" s="38"/>
      <c r="P177" s="45" t="str">
        <f>IFERROR(__xludf.DUMMYFUNCTION("""COMPUTED_VALUE"""),"")</f>
        <v/>
      </c>
      <c r="Q177" s="46" t="str">
        <f>IFERROR(__xludf.DUMMYFUNCTION("""COMPUTED_VALUE"""),"AP")</f>
        <v>AP</v>
      </c>
      <c r="R177" s="47" t="str">
        <f>IFERROR(__xludf.DUMMYFUNCTION("""COMPUTED_VALUE"""),"")</f>
        <v/>
      </c>
      <c r="S177" s="48" t="str">
        <f>IFERROR(__xludf.DUMMYFUNCTION("""COMPUTED_VALUE"""),"%")</f>
        <v>%</v>
      </c>
      <c r="T177" s="49">
        <f>IFERROR(__xludf.DUMMYFUNCTION("""COMPUTED_VALUE"""),2.0)</f>
        <v>2</v>
      </c>
      <c r="U177" s="50"/>
      <c r="V177" s="38"/>
      <c r="W177" s="45" t="str">
        <f>IFERROR(__xludf.DUMMYFUNCTION("""COMPUTED_VALUE"""),"")</f>
        <v/>
      </c>
      <c r="X177" s="46" t="str">
        <f>IFERROR(__xludf.DUMMYFUNCTION("""COMPUTED_VALUE"""),"AP")</f>
        <v>AP</v>
      </c>
      <c r="Y177" s="47" t="str">
        <f>IFERROR(__xludf.DUMMYFUNCTION("""COMPUTED_VALUE"""),"")</f>
        <v/>
      </c>
      <c r="Z177" s="48" t="str">
        <f>IFERROR(__xludf.DUMMYFUNCTION("""COMPUTED_VALUE"""),"%")</f>
        <v>%</v>
      </c>
      <c r="AA177" s="49">
        <f>IFERROR(__xludf.DUMMYFUNCTION("""COMPUTED_VALUE"""),3.0)</f>
        <v>3</v>
      </c>
      <c r="AB177" s="50"/>
      <c r="AC177" s="38"/>
      <c r="AD177" s="45" t="str">
        <f>IFERROR(__xludf.DUMMYFUNCTION("""COMPUTED_VALUE"""),"")</f>
        <v/>
      </c>
      <c r="AE177" s="46" t="str">
        <f>IFERROR(__xludf.DUMMYFUNCTION("""COMPUTED_VALUE"""),"AP")</f>
        <v>AP</v>
      </c>
      <c r="AF177" s="47" t="str">
        <f>IFERROR(__xludf.DUMMYFUNCTION("""COMPUTED_VALUE"""),"")</f>
        <v/>
      </c>
      <c r="AG177" s="48" t="str">
        <f>IFERROR(__xludf.DUMMYFUNCTION("""COMPUTED_VALUE"""),"%")</f>
        <v>%</v>
      </c>
      <c r="AH177" s="43"/>
      <c r="AI177" s="44"/>
      <c r="AJ177" s="66"/>
    </row>
    <row r="178" ht="24.75" hidden="1" customHeight="1">
      <c r="A178" s="28">
        <f>IFERROR(__xludf.DUMMYFUNCTION("""COMPUTED_VALUE"""),15.0)</f>
        <v>15</v>
      </c>
      <c r="B178" s="28" t="str">
        <f>IFERROR(__xludf.DUMMYFUNCTION("""COMPUTED_VALUE"""),"A308")</f>
        <v>A308</v>
      </c>
      <c r="C178" s="28"/>
      <c r="D178" s="29"/>
      <c r="E178" s="67"/>
      <c r="F178" s="31"/>
      <c r="G178" s="32"/>
      <c r="H178" s="33" t="str">
        <f>IFERROR(__xludf.DUMMYFUNCTION("""COMPUTED_VALUE""")," ")</f>
        <v> </v>
      </c>
      <c r="I178" s="34"/>
      <c r="J178" s="35" t="str">
        <f>IFERROR(__xludf.DUMMYFUNCTION("""COMPUTED_VALUE"""),"AP")</f>
        <v>AP</v>
      </c>
      <c r="K178" s="34"/>
      <c r="L178" s="35" t="str">
        <f>IFERROR(__xludf.DUMMYFUNCTION("""COMPUTED_VALUE"""),"%")</f>
        <v>%</v>
      </c>
      <c r="M178" s="36">
        <f>IFERROR(__xludf.DUMMYFUNCTION("""COMPUTED_VALUE"""),1.0)</f>
        <v>1</v>
      </c>
      <c r="N178" s="37"/>
      <c r="O178" s="38"/>
      <c r="P178" s="34" t="str">
        <f>IFERROR(__xludf.DUMMYFUNCTION("""COMPUTED_VALUE"""),"")</f>
        <v/>
      </c>
      <c r="Q178" s="35" t="str">
        <f>IFERROR(__xludf.DUMMYFUNCTION("""COMPUTED_VALUE"""),"AP")</f>
        <v>AP</v>
      </c>
      <c r="R178" s="34" t="str">
        <f>IFERROR(__xludf.DUMMYFUNCTION("""COMPUTED_VALUE"""),"")</f>
        <v/>
      </c>
      <c r="S178" s="35" t="str">
        <f>IFERROR(__xludf.DUMMYFUNCTION("""COMPUTED_VALUE"""),"%")</f>
        <v>%</v>
      </c>
      <c r="T178" s="36">
        <f>IFERROR(__xludf.DUMMYFUNCTION("""COMPUTED_VALUE"""),2.0)</f>
        <v>2</v>
      </c>
      <c r="U178" s="37"/>
      <c r="V178" s="38"/>
      <c r="W178" s="34" t="str">
        <f>IFERROR(__xludf.DUMMYFUNCTION("""COMPUTED_VALUE"""),"")</f>
        <v/>
      </c>
      <c r="X178" s="35" t="str">
        <f>IFERROR(__xludf.DUMMYFUNCTION("""COMPUTED_VALUE"""),"AP")</f>
        <v>AP</v>
      </c>
      <c r="Y178" s="34" t="str">
        <f>IFERROR(__xludf.DUMMYFUNCTION("""COMPUTED_VALUE"""),"")</f>
        <v/>
      </c>
      <c r="Z178" s="35" t="str">
        <f>IFERROR(__xludf.DUMMYFUNCTION("""COMPUTED_VALUE"""),"%")</f>
        <v>%</v>
      </c>
      <c r="AA178" s="36">
        <f>IFERROR(__xludf.DUMMYFUNCTION("""COMPUTED_VALUE"""),3.0)</f>
        <v>3</v>
      </c>
      <c r="AB178" s="37"/>
      <c r="AC178" s="38"/>
      <c r="AD178" s="34" t="str">
        <f>IFERROR(__xludf.DUMMYFUNCTION("""COMPUTED_VALUE"""),"")</f>
        <v/>
      </c>
      <c r="AE178" s="35" t="str">
        <f>IFERROR(__xludf.DUMMYFUNCTION("""COMPUTED_VALUE"""),"AP")</f>
        <v>AP</v>
      </c>
      <c r="AF178" s="34" t="str">
        <f>IFERROR(__xludf.DUMMYFUNCTION("""COMPUTED_VALUE"""),"")</f>
        <v/>
      </c>
      <c r="AG178" s="35" t="str">
        <f>IFERROR(__xludf.DUMMYFUNCTION("""COMPUTED_VALUE"""),"%")</f>
        <v>%</v>
      </c>
      <c r="AH178" s="31"/>
      <c r="AI178" s="32"/>
      <c r="AJ178" s="67"/>
    </row>
    <row r="179" ht="24.75" hidden="1" customHeight="1">
      <c r="A179" s="40">
        <f>IFERROR(__xludf.DUMMYFUNCTION("""COMPUTED_VALUE"""),16.0)</f>
        <v>16</v>
      </c>
      <c r="B179" s="40" t="str">
        <f>IFERROR(__xludf.DUMMYFUNCTION("""COMPUTED_VALUE"""),"A308")</f>
        <v>A308</v>
      </c>
      <c r="C179" s="40"/>
      <c r="D179" s="41"/>
      <c r="E179" s="66"/>
      <c r="F179" s="43"/>
      <c r="G179" s="44"/>
      <c r="H179" s="33" t="str">
        <f>IFERROR(__xludf.DUMMYFUNCTION("""COMPUTED_VALUE""")," ")</f>
        <v> </v>
      </c>
      <c r="I179" s="45"/>
      <c r="J179" s="46" t="str">
        <f>IFERROR(__xludf.DUMMYFUNCTION("""COMPUTED_VALUE"""),"AP")</f>
        <v>AP</v>
      </c>
      <c r="K179" s="47"/>
      <c r="L179" s="48" t="str">
        <f>IFERROR(__xludf.DUMMYFUNCTION("""COMPUTED_VALUE"""),"%")</f>
        <v>%</v>
      </c>
      <c r="M179" s="49">
        <f>IFERROR(__xludf.DUMMYFUNCTION("""COMPUTED_VALUE"""),1.0)</f>
        <v>1</v>
      </c>
      <c r="N179" s="50"/>
      <c r="O179" s="38"/>
      <c r="P179" s="45" t="str">
        <f>IFERROR(__xludf.DUMMYFUNCTION("""COMPUTED_VALUE"""),"")</f>
        <v/>
      </c>
      <c r="Q179" s="46" t="str">
        <f>IFERROR(__xludf.DUMMYFUNCTION("""COMPUTED_VALUE"""),"AP")</f>
        <v>AP</v>
      </c>
      <c r="R179" s="47" t="str">
        <f>IFERROR(__xludf.DUMMYFUNCTION("""COMPUTED_VALUE"""),"")</f>
        <v/>
      </c>
      <c r="S179" s="48" t="str">
        <f>IFERROR(__xludf.DUMMYFUNCTION("""COMPUTED_VALUE"""),"%")</f>
        <v>%</v>
      </c>
      <c r="T179" s="49">
        <f>IFERROR(__xludf.DUMMYFUNCTION("""COMPUTED_VALUE"""),2.0)</f>
        <v>2</v>
      </c>
      <c r="U179" s="50"/>
      <c r="V179" s="38"/>
      <c r="W179" s="45" t="str">
        <f>IFERROR(__xludf.DUMMYFUNCTION("""COMPUTED_VALUE"""),"")</f>
        <v/>
      </c>
      <c r="X179" s="46" t="str">
        <f>IFERROR(__xludf.DUMMYFUNCTION("""COMPUTED_VALUE"""),"AP")</f>
        <v>AP</v>
      </c>
      <c r="Y179" s="47" t="str">
        <f>IFERROR(__xludf.DUMMYFUNCTION("""COMPUTED_VALUE"""),"")</f>
        <v/>
      </c>
      <c r="Z179" s="48" t="str">
        <f>IFERROR(__xludf.DUMMYFUNCTION("""COMPUTED_VALUE"""),"%")</f>
        <v>%</v>
      </c>
      <c r="AA179" s="49">
        <f>IFERROR(__xludf.DUMMYFUNCTION("""COMPUTED_VALUE"""),3.0)</f>
        <v>3</v>
      </c>
      <c r="AB179" s="50"/>
      <c r="AC179" s="38"/>
      <c r="AD179" s="45" t="str">
        <f>IFERROR(__xludf.DUMMYFUNCTION("""COMPUTED_VALUE"""),"")</f>
        <v/>
      </c>
      <c r="AE179" s="46" t="str">
        <f>IFERROR(__xludf.DUMMYFUNCTION("""COMPUTED_VALUE"""),"AP")</f>
        <v>AP</v>
      </c>
      <c r="AF179" s="47" t="str">
        <f>IFERROR(__xludf.DUMMYFUNCTION("""COMPUTED_VALUE"""),"")</f>
        <v/>
      </c>
      <c r="AG179" s="48" t="str">
        <f>IFERROR(__xludf.DUMMYFUNCTION("""COMPUTED_VALUE"""),"%")</f>
        <v>%</v>
      </c>
      <c r="AH179" s="43"/>
      <c r="AI179" s="44"/>
      <c r="AJ179" s="66"/>
    </row>
    <row r="180" ht="24.75" hidden="1" customHeight="1">
      <c r="A180" s="28">
        <f>IFERROR(__xludf.DUMMYFUNCTION("""COMPUTED_VALUE"""),17.0)</f>
        <v>17</v>
      </c>
      <c r="B180" s="28" t="str">
        <f>IFERROR(__xludf.DUMMYFUNCTION("""COMPUTED_VALUE"""),"A308")</f>
        <v>A308</v>
      </c>
      <c r="C180" s="28"/>
      <c r="D180" s="29"/>
      <c r="E180" s="67"/>
      <c r="F180" s="31"/>
      <c r="G180" s="32"/>
      <c r="H180" s="33" t="str">
        <f>IFERROR(__xludf.DUMMYFUNCTION("""COMPUTED_VALUE""")," ")</f>
        <v> </v>
      </c>
      <c r="I180" s="34"/>
      <c r="J180" s="35" t="str">
        <f>IFERROR(__xludf.DUMMYFUNCTION("""COMPUTED_VALUE"""),"AP")</f>
        <v>AP</v>
      </c>
      <c r="K180" s="34"/>
      <c r="L180" s="35" t="str">
        <f>IFERROR(__xludf.DUMMYFUNCTION("""COMPUTED_VALUE"""),"%")</f>
        <v>%</v>
      </c>
      <c r="M180" s="36">
        <f>IFERROR(__xludf.DUMMYFUNCTION("""COMPUTED_VALUE"""),1.0)</f>
        <v>1</v>
      </c>
      <c r="N180" s="37"/>
      <c r="O180" s="38"/>
      <c r="P180" s="34" t="str">
        <f>IFERROR(__xludf.DUMMYFUNCTION("""COMPUTED_VALUE"""),"")</f>
        <v/>
      </c>
      <c r="Q180" s="35" t="str">
        <f>IFERROR(__xludf.DUMMYFUNCTION("""COMPUTED_VALUE"""),"AP")</f>
        <v>AP</v>
      </c>
      <c r="R180" s="34" t="str">
        <f>IFERROR(__xludf.DUMMYFUNCTION("""COMPUTED_VALUE"""),"")</f>
        <v/>
      </c>
      <c r="S180" s="35" t="str">
        <f>IFERROR(__xludf.DUMMYFUNCTION("""COMPUTED_VALUE"""),"%")</f>
        <v>%</v>
      </c>
      <c r="T180" s="36">
        <f>IFERROR(__xludf.DUMMYFUNCTION("""COMPUTED_VALUE"""),2.0)</f>
        <v>2</v>
      </c>
      <c r="U180" s="37"/>
      <c r="V180" s="38"/>
      <c r="W180" s="34" t="str">
        <f>IFERROR(__xludf.DUMMYFUNCTION("""COMPUTED_VALUE"""),"")</f>
        <v/>
      </c>
      <c r="X180" s="35" t="str">
        <f>IFERROR(__xludf.DUMMYFUNCTION("""COMPUTED_VALUE"""),"AP")</f>
        <v>AP</v>
      </c>
      <c r="Y180" s="34" t="str">
        <f>IFERROR(__xludf.DUMMYFUNCTION("""COMPUTED_VALUE"""),"")</f>
        <v/>
      </c>
      <c r="Z180" s="35" t="str">
        <f>IFERROR(__xludf.DUMMYFUNCTION("""COMPUTED_VALUE"""),"%")</f>
        <v>%</v>
      </c>
      <c r="AA180" s="36">
        <f>IFERROR(__xludf.DUMMYFUNCTION("""COMPUTED_VALUE"""),3.0)</f>
        <v>3</v>
      </c>
      <c r="AB180" s="37"/>
      <c r="AC180" s="38"/>
      <c r="AD180" s="34" t="str">
        <f>IFERROR(__xludf.DUMMYFUNCTION("""COMPUTED_VALUE"""),"")</f>
        <v/>
      </c>
      <c r="AE180" s="35" t="str">
        <f>IFERROR(__xludf.DUMMYFUNCTION("""COMPUTED_VALUE"""),"AP")</f>
        <v>AP</v>
      </c>
      <c r="AF180" s="34" t="str">
        <f>IFERROR(__xludf.DUMMYFUNCTION("""COMPUTED_VALUE"""),"")</f>
        <v/>
      </c>
      <c r="AG180" s="35" t="str">
        <f>IFERROR(__xludf.DUMMYFUNCTION("""COMPUTED_VALUE"""),"%")</f>
        <v>%</v>
      </c>
      <c r="AH180" s="31"/>
      <c r="AI180" s="32"/>
      <c r="AJ180" s="67"/>
    </row>
    <row r="181" ht="24.75" hidden="1" customHeight="1">
      <c r="A181" s="40">
        <f>IFERROR(__xludf.DUMMYFUNCTION("""COMPUTED_VALUE"""),18.0)</f>
        <v>18</v>
      </c>
      <c r="B181" s="40" t="str">
        <f>IFERROR(__xludf.DUMMYFUNCTION("""COMPUTED_VALUE"""),"A308")</f>
        <v>A308</v>
      </c>
      <c r="C181" s="40"/>
      <c r="D181" s="41"/>
      <c r="E181" s="66"/>
      <c r="F181" s="43"/>
      <c r="G181" s="44"/>
      <c r="H181" s="33" t="str">
        <f>IFERROR(__xludf.DUMMYFUNCTION("""COMPUTED_VALUE""")," ")</f>
        <v> </v>
      </c>
      <c r="I181" s="45"/>
      <c r="J181" s="46" t="str">
        <f>IFERROR(__xludf.DUMMYFUNCTION("""COMPUTED_VALUE"""),"AP")</f>
        <v>AP</v>
      </c>
      <c r="K181" s="47"/>
      <c r="L181" s="48" t="str">
        <f>IFERROR(__xludf.DUMMYFUNCTION("""COMPUTED_VALUE"""),"%")</f>
        <v>%</v>
      </c>
      <c r="M181" s="49">
        <f>IFERROR(__xludf.DUMMYFUNCTION("""COMPUTED_VALUE"""),1.0)</f>
        <v>1</v>
      </c>
      <c r="N181" s="50"/>
      <c r="O181" s="38"/>
      <c r="P181" s="45" t="str">
        <f>IFERROR(__xludf.DUMMYFUNCTION("""COMPUTED_VALUE"""),"")</f>
        <v/>
      </c>
      <c r="Q181" s="46" t="str">
        <f>IFERROR(__xludf.DUMMYFUNCTION("""COMPUTED_VALUE"""),"AP")</f>
        <v>AP</v>
      </c>
      <c r="R181" s="47" t="str">
        <f>IFERROR(__xludf.DUMMYFUNCTION("""COMPUTED_VALUE"""),"")</f>
        <v/>
      </c>
      <c r="S181" s="48" t="str">
        <f>IFERROR(__xludf.DUMMYFUNCTION("""COMPUTED_VALUE"""),"%")</f>
        <v>%</v>
      </c>
      <c r="T181" s="49">
        <f>IFERROR(__xludf.DUMMYFUNCTION("""COMPUTED_VALUE"""),2.0)</f>
        <v>2</v>
      </c>
      <c r="U181" s="50"/>
      <c r="V181" s="38"/>
      <c r="W181" s="45" t="str">
        <f>IFERROR(__xludf.DUMMYFUNCTION("""COMPUTED_VALUE"""),"")</f>
        <v/>
      </c>
      <c r="X181" s="46" t="str">
        <f>IFERROR(__xludf.DUMMYFUNCTION("""COMPUTED_VALUE"""),"AP")</f>
        <v>AP</v>
      </c>
      <c r="Y181" s="47" t="str">
        <f>IFERROR(__xludf.DUMMYFUNCTION("""COMPUTED_VALUE"""),"")</f>
        <v/>
      </c>
      <c r="Z181" s="48" t="str">
        <f>IFERROR(__xludf.DUMMYFUNCTION("""COMPUTED_VALUE"""),"%")</f>
        <v>%</v>
      </c>
      <c r="AA181" s="49">
        <f>IFERROR(__xludf.DUMMYFUNCTION("""COMPUTED_VALUE"""),3.0)</f>
        <v>3</v>
      </c>
      <c r="AB181" s="50"/>
      <c r="AC181" s="38"/>
      <c r="AD181" s="45" t="str">
        <f>IFERROR(__xludf.DUMMYFUNCTION("""COMPUTED_VALUE"""),"")</f>
        <v/>
      </c>
      <c r="AE181" s="46" t="str">
        <f>IFERROR(__xludf.DUMMYFUNCTION("""COMPUTED_VALUE"""),"AP")</f>
        <v>AP</v>
      </c>
      <c r="AF181" s="47" t="str">
        <f>IFERROR(__xludf.DUMMYFUNCTION("""COMPUTED_VALUE"""),"")</f>
        <v/>
      </c>
      <c r="AG181" s="48" t="str">
        <f>IFERROR(__xludf.DUMMYFUNCTION("""COMPUTED_VALUE"""),"%")</f>
        <v>%</v>
      </c>
      <c r="AH181" s="43"/>
      <c r="AI181" s="44"/>
      <c r="AJ181" s="66"/>
    </row>
    <row r="182" ht="24.75" hidden="1" customHeight="1">
      <c r="A182" s="28">
        <f>IFERROR(__xludf.DUMMYFUNCTION("""COMPUTED_VALUE"""),19.0)</f>
        <v>19</v>
      </c>
      <c r="B182" s="28" t="str">
        <f>IFERROR(__xludf.DUMMYFUNCTION("""COMPUTED_VALUE"""),"A308")</f>
        <v>A308</v>
      </c>
      <c r="C182" s="28"/>
      <c r="D182" s="29"/>
      <c r="E182" s="67"/>
      <c r="F182" s="31"/>
      <c r="G182" s="32"/>
      <c r="H182" s="33" t="str">
        <f>IFERROR(__xludf.DUMMYFUNCTION("""COMPUTED_VALUE""")," ")</f>
        <v> </v>
      </c>
      <c r="I182" s="34"/>
      <c r="J182" s="35" t="str">
        <f>IFERROR(__xludf.DUMMYFUNCTION("""COMPUTED_VALUE"""),"AP")</f>
        <v>AP</v>
      </c>
      <c r="K182" s="34"/>
      <c r="L182" s="35" t="str">
        <f>IFERROR(__xludf.DUMMYFUNCTION("""COMPUTED_VALUE"""),"%")</f>
        <v>%</v>
      </c>
      <c r="M182" s="36">
        <f>IFERROR(__xludf.DUMMYFUNCTION("""COMPUTED_VALUE"""),1.0)</f>
        <v>1</v>
      </c>
      <c r="N182" s="37"/>
      <c r="O182" s="38"/>
      <c r="P182" s="34" t="str">
        <f>IFERROR(__xludf.DUMMYFUNCTION("""COMPUTED_VALUE"""),"")</f>
        <v/>
      </c>
      <c r="Q182" s="35" t="str">
        <f>IFERROR(__xludf.DUMMYFUNCTION("""COMPUTED_VALUE"""),"AP")</f>
        <v>AP</v>
      </c>
      <c r="R182" s="34" t="str">
        <f>IFERROR(__xludf.DUMMYFUNCTION("""COMPUTED_VALUE"""),"")</f>
        <v/>
      </c>
      <c r="S182" s="35" t="str">
        <f>IFERROR(__xludf.DUMMYFUNCTION("""COMPUTED_VALUE"""),"%")</f>
        <v>%</v>
      </c>
      <c r="T182" s="36">
        <f>IFERROR(__xludf.DUMMYFUNCTION("""COMPUTED_VALUE"""),2.0)</f>
        <v>2</v>
      </c>
      <c r="U182" s="37"/>
      <c r="V182" s="38"/>
      <c r="W182" s="34" t="str">
        <f>IFERROR(__xludf.DUMMYFUNCTION("""COMPUTED_VALUE"""),"")</f>
        <v/>
      </c>
      <c r="X182" s="35" t="str">
        <f>IFERROR(__xludf.DUMMYFUNCTION("""COMPUTED_VALUE"""),"AP")</f>
        <v>AP</v>
      </c>
      <c r="Y182" s="34" t="str">
        <f>IFERROR(__xludf.DUMMYFUNCTION("""COMPUTED_VALUE"""),"")</f>
        <v/>
      </c>
      <c r="Z182" s="35" t="str">
        <f>IFERROR(__xludf.DUMMYFUNCTION("""COMPUTED_VALUE"""),"%")</f>
        <v>%</v>
      </c>
      <c r="AA182" s="36">
        <f>IFERROR(__xludf.DUMMYFUNCTION("""COMPUTED_VALUE"""),3.0)</f>
        <v>3</v>
      </c>
      <c r="AB182" s="37"/>
      <c r="AC182" s="38"/>
      <c r="AD182" s="34" t="str">
        <f>IFERROR(__xludf.DUMMYFUNCTION("""COMPUTED_VALUE"""),"")</f>
        <v/>
      </c>
      <c r="AE182" s="35" t="str">
        <f>IFERROR(__xludf.DUMMYFUNCTION("""COMPUTED_VALUE"""),"AP")</f>
        <v>AP</v>
      </c>
      <c r="AF182" s="34" t="str">
        <f>IFERROR(__xludf.DUMMYFUNCTION("""COMPUTED_VALUE"""),"")</f>
        <v/>
      </c>
      <c r="AG182" s="35" t="str">
        <f>IFERROR(__xludf.DUMMYFUNCTION("""COMPUTED_VALUE"""),"%")</f>
        <v>%</v>
      </c>
      <c r="AH182" s="31"/>
      <c r="AI182" s="32"/>
      <c r="AJ182" s="67"/>
    </row>
    <row r="183" ht="24.75" hidden="1" customHeight="1">
      <c r="A183" s="40">
        <f>IFERROR(__xludf.DUMMYFUNCTION("""COMPUTED_VALUE"""),20.0)</f>
        <v>20</v>
      </c>
      <c r="B183" s="40" t="str">
        <f>IFERROR(__xludf.DUMMYFUNCTION("""COMPUTED_VALUE"""),"A308")</f>
        <v>A308</v>
      </c>
      <c r="C183" s="40"/>
      <c r="D183" s="41"/>
      <c r="E183" s="66"/>
      <c r="F183" s="43"/>
      <c r="G183" s="44"/>
      <c r="H183" s="33" t="str">
        <f>IFERROR(__xludf.DUMMYFUNCTION("""COMPUTED_VALUE""")," ")</f>
        <v> </v>
      </c>
      <c r="I183" s="45"/>
      <c r="J183" s="46" t="str">
        <f>IFERROR(__xludf.DUMMYFUNCTION("""COMPUTED_VALUE"""),"AP")</f>
        <v>AP</v>
      </c>
      <c r="K183" s="47"/>
      <c r="L183" s="48" t="str">
        <f>IFERROR(__xludf.DUMMYFUNCTION("""COMPUTED_VALUE"""),"%")</f>
        <v>%</v>
      </c>
      <c r="M183" s="49">
        <f>IFERROR(__xludf.DUMMYFUNCTION("""COMPUTED_VALUE"""),1.0)</f>
        <v>1</v>
      </c>
      <c r="N183" s="50"/>
      <c r="O183" s="38"/>
      <c r="P183" s="45" t="str">
        <f>IFERROR(__xludf.DUMMYFUNCTION("""COMPUTED_VALUE"""),"")</f>
        <v/>
      </c>
      <c r="Q183" s="46" t="str">
        <f>IFERROR(__xludf.DUMMYFUNCTION("""COMPUTED_VALUE"""),"AP")</f>
        <v>AP</v>
      </c>
      <c r="R183" s="47" t="str">
        <f>IFERROR(__xludf.DUMMYFUNCTION("""COMPUTED_VALUE"""),"")</f>
        <v/>
      </c>
      <c r="S183" s="48" t="str">
        <f>IFERROR(__xludf.DUMMYFUNCTION("""COMPUTED_VALUE"""),"%")</f>
        <v>%</v>
      </c>
      <c r="T183" s="49">
        <f>IFERROR(__xludf.DUMMYFUNCTION("""COMPUTED_VALUE"""),2.0)</f>
        <v>2</v>
      </c>
      <c r="U183" s="50"/>
      <c r="V183" s="38"/>
      <c r="W183" s="45" t="str">
        <f>IFERROR(__xludf.DUMMYFUNCTION("""COMPUTED_VALUE"""),"")</f>
        <v/>
      </c>
      <c r="X183" s="46" t="str">
        <f>IFERROR(__xludf.DUMMYFUNCTION("""COMPUTED_VALUE"""),"AP")</f>
        <v>AP</v>
      </c>
      <c r="Y183" s="47" t="str">
        <f>IFERROR(__xludf.DUMMYFUNCTION("""COMPUTED_VALUE"""),"")</f>
        <v/>
      </c>
      <c r="Z183" s="48" t="str">
        <f>IFERROR(__xludf.DUMMYFUNCTION("""COMPUTED_VALUE"""),"%")</f>
        <v>%</v>
      </c>
      <c r="AA183" s="49">
        <f>IFERROR(__xludf.DUMMYFUNCTION("""COMPUTED_VALUE"""),3.0)</f>
        <v>3</v>
      </c>
      <c r="AB183" s="50"/>
      <c r="AC183" s="38"/>
      <c r="AD183" s="45" t="str">
        <f>IFERROR(__xludf.DUMMYFUNCTION("""COMPUTED_VALUE"""),"")</f>
        <v/>
      </c>
      <c r="AE183" s="46" t="str">
        <f>IFERROR(__xludf.DUMMYFUNCTION("""COMPUTED_VALUE"""),"AP")</f>
        <v>AP</v>
      </c>
      <c r="AF183" s="47" t="str">
        <f>IFERROR(__xludf.DUMMYFUNCTION("""COMPUTED_VALUE"""),"")</f>
        <v/>
      </c>
      <c r="AG183" s="48" t="str">
        <f>IFERROR(__xludf.DUMMYFUNCTION("""COMPUTED_VALUE"""),"%")</f>
        <v>%</v>
      </c>
      <c r="AH183" s="43"/>
      <c r="AI183" s="44"/>
      <c r="AJ183" s="66"/>
    </row>
    <row r="184">
      <c r="A184" s="52"/>
      <c r="B184" s="53"/>
      <c r="C184" s="54"/>
      <c r="D184" s="56"/>
      <c r="E184" s="56"/>
      <c r="F184" s="53"/>
      <c r="G184" s="53"/>
      <c r="H184" s="53"/>
      <c r="I184" s="53"/>
      <c r="J184" s="57"/>
      <c r="K184" s="53"/>
      <c r="L184" s="57"/>
      <c r="M184" s="53"/>
      <c r="N184" s="53"/>
      <c r="O184" s="53"/>
      <c r="P184" s="53"/>
      <c r="Q184" s="57"/>
      <c r="R184" s="53"/>
      <c r="S184" s="57"/>
      <c r="T184" s="53"/>
      <c r="U184" s="53"/>
      <c r="V184" s="53"/>
      <c r="W184" s="53"/>
      <c r="X184" s="57"/>
      <c r="Y184" s="53"/>
      <c r="Z184" s="57"/>
      <c r="AA184" s="53"/>
      <c r="AB184" s="53"/>
      <c r="AC184" s="53"/>
      <c r="AD184" s="53"/>
      <c r="AE184" s="57"/>
      <c r="AF184" s="53"/>
      <c r="AG184" s="57"/>
      <c r="AH184" s="53"/>
      <c r="AI184" s="53"/>
      <c r="AJ184" s="56"/>
    </row>
    <row r="185">
      <c r="A185" s="59"/>
      <c r="B185" s="60"/>
      <c r="C185" s="61"/>
      <c r="D185" s="63"/>
      <c r="E185" s="63"/>
      <c r="F185" s="60"/>
      <c r="G185" s="60"/>
      <c r="H185" s="60"/>
      <c r="I185" s="60"/>
      <c r="J185" s="64"/>
      <c r="K185" s="60"/>
      <c r="L185" s="64"/>
      <c r="M185" s="60"/>
      <c r="N185" s="60"/>
      <c r="O185" s="60"/>
      <c r="P185" s="60"/>
      <c r="Q185" s="64"/>
      <c r="R185" s="60"/>
      <c r="S185" s="64"/>
      <c r="T185" s="60"/>
      <c r="U185" s="60"/>
      <c r="V185" s="60"/>
      <c r="W185" s="60"/>
      <c r="X185" s="64"/>
      <c r="Y185" s="60"/>
      <c r="Z185" s="64"/>
      <c r="AA185" s="60"/>
      <c r="AB185" s="60"/>
      <c r="AC185" s="60"/>
      <c r="AD185" s="60"/>
      <c r="AE185" s="64"/>
      <c r="AF185" s="60"/>
      <c r="AG185" s="64"/>
      <c r="AH185" s="60"/>
      <c r="AI185" s="60"/>
      <c r="AJ185" s="63"/>
    </row>
    <row r="186" ht="33.0" customHeight="1">
      <c r="A186" s="20" t="str">
        <f>IFERROR(__xludf.DUMMYFUNCTION("""COMPUTED_VALUE""")," ")</f>
        <v> </v>
      </c>
      <c r="B186" s="21" t="str">
        <f>IFERROR(__xludf.DUMMYFUNCTION("""COMPUTED_VALUE"""),"A309")</f>
        <v>A309</v>
      </c>
      <c r="C186" s="20"/>
      <c r="D186" s="257" t="str">
        <f>IFERROR(__xludf.DUMMYFUNCTION("""COMPUTED_VALUE"""),"")</f>
        <v/>
      </c>
      <c r="E186" s="23" t="str">
        <f>IFERROR(__xludf.DUMMYFUNCTION("""COMPUTED_VALUE"""),"Mystic Gunpowder")</f>
        <v>Mystic Gunpowder</v>
      </c>
      <c r="F186" s="24"/>
      <c r="G186" s="24"/>
      <c r="H186" s="25"/>
      <c r="I186" s="25"/>
      <c r="J186" s="26"/>
      <c r="K186" s="25"/>
      <c r="L186" s="26"/>
      <c r="M186" s="25"/>
      <c r="N186" s="25"/>
      <c r="O186" s="25"/>
      <c r="P186" s="25"/>
      <c r="Q186" s="26"/>
      <c r="R186" s="25"/>
      <c r="S186" s="26"/>
      <c r="T186" s="25"/>
      <c r="U186" s="25"/>
      <c r="V186" s="25"/>
      <c r="W186" s="25"/>
      <c r="X186" s="26"/>
      <c r="Y186" s="25"/>
      <c r="Z186" s="26"/>
      <c r="AA186" s="25"/>
      <c r="AB186" s="25"/>
      <c r="AC186" s="25"/>
      <c r="AD186" s="25"/>
      <c r="AE186" s="26"/>
      <c r="AF186" s="25"/>
      <c r="AG186" s="26"/>
      <c r="AH186" s="24"/>
      <c r="AI186" s="25"/>
      <c r="AJ186" s="23"/>
    </row>
    <row r="187" ht="24.75" customHeight="1">
      <c r="A187" s="28">
        <f>IFERROR(__xludf.DUMMYFUNCTION("""COMPUTED_VALUE"""),1.0)</f>
        <v>1</v>
      </c>
      <c r="B187" s="28" t="str">
        <f>IFERROR(__xludf.DUMMYFUNCTION("""COMPUTED_VALUE"""),"A309")</f>
        <v>A309</v>
      </c>
      <c r="C187" s="28" t="str">
        <f>IFERROR(__xludf.DUMMYFUNCTION("""COMPUTED_VALUE"""),"ANA2")</f>
        <v>ANA2</v>
      </c>
      <c r="D187" s="29" t="str">
        <f>IFERROR(__xludf.DUMMYFUNCTION("""COMPUTED_VALUE"""),"Anastasia")</f>
        <v>Anastasia</v>
      </c>
      <c r="E187" s="30" t="str">
        <f>IFERROR(__xludf.DUMMYFUNCTION("""COMPUTED_VALUE"""),"Yaga Smolensk")</f>
        <v>Yaga Smolensk</v>
      </c>
      <c r="F187" s="31">
        <f>IFERROR(__xludf.DUMMYFUNCTION("""COMPUTED_VALUE"""),20.0)</f>
        <v>20</v>
      </c>
      <c r="G187" s="32">
        <f>IFERROR(__xludf.DUMMYFUNCTION("""COMPUTED_VALUE"""),44484.0)</f>
        <v>44484</v>
      </c>
      <c r="H187" s="33" t="str">
        <f>IFERROR(__xludf.DUMMYFUNCTION("""COMPUTED_VALUE"""),"")</f>
        <v/>
      </c>
      <c r="I187" s="34">
        <f>IFERROR(__xludf.DUMMYFUNCTION("""COMPUTED_VALUE"""),30.482983006990995)</f>
        <v>30.48298301</v>
      </c>
      <c r="J187" s="35" t="str">
        <f>IFERROR(__xludf.DUMMYFUNCTION("""COMPUTED_VALUE"""),"AP")</f>
        <v>AP</v>
      </c>
      <c r="K187" s="34">
        <f>IFERROR(__xludf.DUMMYFUNCTION("""COMPUTED_VALUE"""),65.61037676467943)</f>
        <v>65.61037676</v>
      </c>
      <c r="L187" s="35" t="str">
        <f>IFERROR(__xludf.DUMMYFUNCTION("""COMPUTED_VALUE"""),"%")</f>
        <v>%</v>
      </c>
      <c r="M187" s="36">
        <f>IFERROR(__xludf.DUMMYFUNCTION("""COMPUTED_VALUE"""),1.0)</f>
        <v>1</v>
      </c>
      <c r="N187" s="37"/>
      <c r="O187" s="38"/>
      <c r="P187" s="34" t="str">
        <f>IFERROR(__xludf.DUMMYFUNCTION("""COMPUTED_VALUE"""),"")</f>
        <v/>
      </c>
      <c r="Q187" s="35" t="str">
        <f>IFERROR(__xludf.DUMMYFUNCTION("""COMPUTED_VALUE"""),"AP")</f>
        <v>AP</v>
      </c>
      <c r="R187" s="34" t="str">
        <f>IFERROR(__xludf.DUMMYFUNCTION("""COMPUTED_VALUE"""),"")</f>
        <v/>
      </c>
      <c r="S187" s="35" t="str">
        <f>IFERROR(__xludf.DUMMYFUNCTION("""COMPUTED_VALUE"""),"%")</f>
        <v>%</v>
      </c>
      <c r="T187" s="36">
        <f>IFERROR(__xludf.DUMMYFUNCTION("""COMPUTED_VALUE"""),2.0)</f>
        <v>2</v>
      </c>
      <c r="U187" s="37"/>
      <c r="V187" s="38"/>
      <c r="W187" s="34" t="str">
        <f>IFERROR(__xludf.DUMMYFUNCTION("""COMPUTED_VALUE"""),"")</f>
        <v/>
      </c>
      <c r="X187" s="35" t="str">
        <f>IFERROR(__xludf.DUMMYFUNCTION("""COMPUTED_VALUE"""),"AP")</f>
        <v>AP</v>
      </c>
      <c r="Y187" s="34" t="str">
        <f>IFERROR(__xludf.DUMMYFUNCTION("""COMPUTED_VALUE"""),"")</f>
        <v/>
      </c>
      <c r="Z187" s="35" t="str">
        <f>IFERROR(__xludf.DUMMYFUNCTION("""COMPUTED_VALUE"""),"%")</f>
        <v>%</v>
      </c>
      <c r="AA187" s="36">
        <f>IFERROR(__xludf.DUMMYFUNCTION("""COMPUTED_VALUE"""),3.0)</f>
        <v>3</v>
      </c>
      <c r="AB187" s="37"/>
      <c r="AC187" s="38"/>
      <c r="AD187" s="34" t="str">
        <f>IFERROR(__xludf.DUMMYFUNCTION("""COMPUTED_VALUE"""),"")</f>
        <v/>
      </c>
      <c r="AE187" s="35" t="str">
        <f>IFERROR(__xludf.DUMMYFUNCTION("""COMPUTED_VALUE"""),"AP")</f>
        <v>AP</v>
      </c>
      <c r="AF187" s="34" t="str">
        <f>IFERROR(__xludf.DUMMYFUNCTION("""COMPUTED_VALUE"""),"")</f>
        <v/>
      </c>
      <c r="AG187" s="35" t="str">
        <f>IFERROR(__xludf.DUMMYFUNCTION("""COMPUTED_VALUE"""),"%")</f>
        <v>%</v>
      </c>
      <c r="AH187" s="31">
        <f>IFERROR(__xludf.DUMMYFUNCTION("""COMPUTED_VALUE"""),20.0)</f>
        <v>20</v>
      </c>
      <c r="AI187" s="32">
        <f>IFERROR(__xludf.DUMMYFUNCTION("""COMPUTED_VALUE"""),44484.0)</f>
        <v>44484</v>
      </c>
      <c r="AJ187" s="30" t="str">
        <f>IFERROR(__xludf.DUMMYFUNCTION("""COMPUTED_VALUE"""),"Yaga Smolensk")</f>
        <v>Yaga Smolensk</v>
      </c>
    </row>
    <row r="188" ht="24.75" customHeight="1">
      <c r="A188" s="40">
        <f>IFERROR(__xludf.DUMMYFUNCTION("""COMPUTED_VALUE"""),2.0)</f>
        <v>2</v>
      </c>
      <c r="B188" s="40" t="str">
        <f>IFERROR(__xludf.DUMMYFUNCTION("""COMPUTED_VALUE"""),"A309")</f>
        <v>A309</v>
      </c>
      <c r="C188" s="40" t="str">
        <f>IFERROR(__xludf.DUMMYFUNCTION("""COMPUTED_VALUE"""),"ANA4")</f>
        <v>ANA4</v>
      </c>
      <c r="D188" s="41" t="str">
        <f>IFERROR(__xludf.DUMMYFUNCTION("""COMPUTED_VALUE"""),"Anastasia")</f>
        <v>Anastasia</v>
      </c>
      <c r="E188" s="42" t="str">
        <f>IFERROR(__xludf.DUMMYFUNCTION("""COMPUTED_VALUE"""),"Rebel Stronghold")</f>
        <v>Rebel Stronghold</v>
      </c>
      <c r="F188" s="43">
        <f>IFERROR(__xludf.DUMMYFUNCTION("""COMPUTED_VALUE"""),21.0)</f>
        <v>21</v>
      </c>
      <c r="G188" s="44">
        <f>IFERROR(__xludf.DUMMYFUNCTION("""COMPUTED_VALUE"""),3108.0)</f>
        <v>3108</v>
      </c>
      <c r="H188" s="33" t="str">
        <f>IFERROR(__xludf.DUMMYFUNCTION("""COMPUTED_VALUE"""),"")</f>
        <v/>
      </c>
      <c r="I188" s="45">
        <f>IFERROR(__xludf.DUMMYFUNCTION("""COMPUTED_VALUE"""),50.55694123843902)</f>
        <v>50.55694124</v>
      </c>
      <c r="J188" s="46" t="str">
        <f>IFERROR(__xludf.DUMMYFUNCTION("""COMPUTED_VALUE"""),"AP")</f>
        <v>AP</v>
      </c>
      <c r="K188" s="47">
        <f>IFERROR(__xludf.DUMMYFUNCTION("""COMPUTED_VALUE"""),41.537323037323034)</f>
        <v>41.53732304</v>
      </c>
      <c r="L188" s="48" t="str">
        <f>IFERROR(__xludf.DUMMYFUNCTION("""COMPUTED_VALUE"""),"%")</f>
        <v>%</v>
      </c>
      <c r="M188" s="49">
        <f>IFERROR(__xludf.DUMMYFUNCTION("""COMPUTED_VALUE"""),1.0)</f>
        <v>1</v>
      </c>
      <c r="N188" s="50" t="str">
        <f>IFERROR(__xludf.DUMMYFUNCTION("""COMPUTED_VALUE"""),"A105")</f>
        <v>A105</v>
      </c>
      <c r="O188" s="38" t="str">
        <f>IFERROR(__xludf.DUMMYFUNCTION("""COMPUTED_VALUE"""),"")</f>
        <v/>
      </c>
      <c r="P188" s="45">
        <f>IFERROR(__xludf.DUMMYFUNCTION("""COMPUTED_VALUE"""),96.07701706092767)</f>
        <v>96.07701706</v>
      </c>
      <c r="Q188" s="46" t="str">
        <f>IFERROR(__xludf.DUMMYFUNCTION("""COMPUTED_VALUE"""),"AP")</f>
        <v>AP</v>
      </c>
      <c r="R188" s="47">
        <f>IFERROR(__xludf.DUMMYFUNCTION("""COMPUTED_VALUE"""),21.857464607464607)</f>
        <v>21.85746461</v>
      </c>
      <c r="S188" s="48" t="str">
        <f>IFERROR(__xludf.DUMMYFUNCTION("""COMPUTED_VALUE"""),"%")</f>
        <v>%</v>
      </c>
      <c r="T188" s="49">
        <f>IFERROR(__xludf.DUMMYFUNCTION("""COMPUTED_VALUE"""),2.0)</f>
        <v>2</v>
      </c>
      <c r="U188" s="50" t="str">
        <f>IFERROR(__xludf.DUMMYFUNCTION("""COMPUTED_VALUE"""),"B113")</f>
        <v>B113</v>
      </c>
      <c r="V188" s="38" t="str">
        <f>IFERROR(__xludf.DUMMYFUNCTION("""COMPUTED_VALUE"""),"")</f>
        <v/>
      </c>
      <c r="W188" s="45">
        <f>IFERROR(__xludf.DUMMYFUNCTION("""COMPUTED_VALUE"""),258.15412085117924)</f>
        <v>258.1541209</v>
      </c>
      <c r="X188" s="46" t="str">
        <f>IFERROR(__xludf.DUMMYFUNCTION("""COMPUTED_VALUE"""),"AP")</f>
        <v>AP</v>
      </c>
      <c r="Y188" s="47">
        <f>IFERROR(__xludf.DUMMYFUNCTION("""COMPUTED_VALUE"""),8.134675491818347)</f>
        <v>8.134675492</v>
      </c>
      <c r="Z188" s="48" t="str">
        <f>IFERROR(__xludf.DUMMYFUNCTION("""COMPUTED_VALUE"""),"%")</f>
        <v>%</v>
      </c>
      <c r="AA188" s="49">
        <f>IFERROR(__xludf.DUMMYFUNCTION("""COMPUTED_VALUE"""),3.0)</f>
        <v>3</v>
      </c>
      <c r="AB188" s="50"/>
      <c r="AC188" s="38"/>
      <c r="AD188" s="45" t="str">
        <f>IFERROR(__xludf.DUMMYFUNCTION("""COMPUTED_VALUE"""),"")</f>
        <v/>
      </c>
      <c r="AE188" s="46" t="str">
        <f>IFERROR(__xludf.DUMMYFUNCTION("""COMPUTED_VALUE"""),"AP")</f>
        <v>AP</v>
      </c>
      <c r="AF188" s="47" t="str">
        <f>IFERROR(__xludf.DUMMYFUNCTION("""COMPUTED_VALUE"""),"")</f>
        <v/>
      </c>
      <c r="AG188" s="48" t="str">
        <f>IFERROR(__xludf.DUMMYFUNCTION("""COMPUTED_VALUE"""),"%")</f>
        <v>%</v>
      </c>
      <c r="AH188" s="43">
        <f>IFERROR(__xludf.DUMMYFUNCTION("""COMPUTED_VALUE"""),21.0)</f>
        <v>21</v>
      </c>
      <c r="AI188" s="44">
        <f>IFERROR(__xludf.DUMMYFUNCTION("""COMPUTED_VALUE"""),3108.0)</f>
        <v>3108</v>
      </c>
      <c r="AJ188" s="42" t="str">
        <f>IFERROR(__xludf.DUMMYFUNCTION("""COMPUTED_VALUE"""),"Rebel Stronghold")</f>
        <v>Rebel Stronghold</v>
      </c>
    </row>
    <row r="189" ht="24.75" customHeight="1">
      <c r="A189" s="28">
        <f>IFERROR(__xludf.DUMMYFUNCTION("""COMPUTED_VALUE"""),3.0)</f>
        <v>3</v>
      </c>
      <c r="B189" s="28" t="str">
        <f>IFERROR(__xludf.DUMMYFUNCTION("""COMPUTED_VALUE"""),"A309")</f>
        <v>A309</v>
      </c>
      <c r="C189" s="28" t="str">
        <f>IFERROR(__xludf.DUMMYFUNCTION("""COMPUTED_VALUE"""),"ANA5")</f>
        <v>ANA5</v>
      </c>
      <c r="D189" s="29" t="str">
        <f>IFERROR(__xludf.DUMMYFUNCTION("""COMPUTED_VALUE"""),"Anastasia")</f>
        <v>Anastasia</v>
      </c>
      <c r="E189" s="30" t="str">
        <f>IFERROR(__xludf.DUMMYFUNCTION("""COMPUTED_VALUE"""),"Yaga Sychyovka")</f>
        <v>Yaga Sychyovka</v>
      </c>
      <c r="F189" s="31">
        <f>IFERROR(__xludf.DUMMYFUNCTION("""COMPUTED_VALUE"""),21.0)</f>
        <v>21</v>
      </c>
      <c r="G189" s="32">
        <f>IFERROR(__xludf.DUMMYFUNCTION("""COMPUTED_VALUE"""),15922.0)</f>
        <v>15922</v>
      </c>
      <c r="H189" s="33" t="str">
        <f>IFERROR(__xludf.DUMMYFUNCTION("""COMPUTED_VALUE"""),"")</f>
        <v/>
      </c>
      <c r="I189" s="34">
        <f>IFERROR(__xludf.DUMMYFUNCTION("""COMPUTED_VALUE"""),50.73741496268313)</f>
        <v>50.73741496</v>
      </c>
      <c r="J189" s="35" t="str">
        <f>IFERROR(__xludf.DUMMYFUNCTION("""COMPUTED_VALUE"""),"AP")</f>
        <v>AP</v>
      </c>
      <c r="K189" s="34">
        <f>IFERROR(__xludf.DUMMYFUNCTION("""COMPUTED_VALUE"""),41.389574174098726)</f>
        <v>41.38957417</v>
      </c>
      <c r="L189" s="35" t="str">
        <f>IFERROR(__xludf.DUMMYFUNCTION("""COMPUTED_VALUE"""),"%")</f>
        <v>%</v>
      </c>
      <c r="M189" s="36">
        <f>IFERROR(__xludf.DUMMYFUNCTION("""COMPUTED_VALUE"""),1.0)</f>
        <v>1</v>
      </c>
      <c r="N189" s="37" t="str">
        <f>IFERROR(__xludf.DUMMYFUNCTION("""COMPUTED_VALUE"""),"A201")</f>
        <v>A201</v>
      </c>
      <c r="O189" s="38" t="str">
        <f>IFERROR(__xludf.DUMMYFUNCTION("""COMPUTED_VALUE"""),"")</f>
        <v/>
      </c>
      <c r="P189" s="34">
        <f>IFERROR(__xludf.DUMMYFUNCTION("""COMPUTED_VALUE"""),84.7873583504753)</f>
        <v>84.78735835</v>
      </c>
      <c r="Q189" s="35" t="str">
        <f>IFERROR(__xludf.DUMMYFUNCTION("""COMPUTED_VALUE"""),"AP")</f>
        <v>AP</v>
      </c>
      <c r="R189" s="34">
        <f>IFERROR(__xludf.DUMMYFUNCTION("""COMPUTED_VALUE"""),24.767843235774404)</f>
        <v>24.76784324</v>
      </c>
      <c r="S189" s="35" t="str">
        <f>IFERROR(__xludf.DUMMYFUNCTION("""COMPUTED_VALUE"""),"%")</f>
        <v>%</v>
      </c>
      <c r="T189" s="36">
        <f>IFERROR(__xludf.DUMMYFUNCTION("""COMPUTED_VALUE"""),2.0)</f>
        <v>2</v>
      </c>
      <c r="U189" s="37" t="str">
        <f>IFERROR(__xludf.DUMMYFUNCTION("""COMPUTED_VALUE"""),"B117")</f>
        <v>B117</v>
      </c>
      <c r="V189" s="38" t="str">
        <f>IFERROR(__xludf.DUMMYFUNCTION("""COMPUTED_VALUE"""),"")</f>
        <v/>
      </c>
      <c r="W189" s="34">
        <f>IFERROR(__xludf.DUMMYFUNCTION("""COMPUTED_VALUE"""),102.99466468114846)</f>
        <v>102.9946647</v>
      </c>
      <c r="X189" s="35" t="str">
        <f>IFERROR(__xludf.DUMMYFUNCTION("""COMPUTED_VALUE"""),"AP")</f>
        <v>AP</v>
      </c>
      <c r="Y189" s="34">
        <f>IFERROR(__xludf.DUMMYFUNCTION("""COMPUTED_VALUE"""),20.38940566971302)</f>
        <v>20.38940567</v>
      </c>
      <c r="Z189" s="35" t="str">
        <f>IFERROR(__xludf.DUMMYFUNCTION("""COMPUTED_VALUE"""),"%")</f>
        <v>%</v>
      </c>
      <c r="AA189" s="36">
        <f>IFERROR(__xludf.DUMMYFUNCTION("""COMPUTED_VALUE"""),3.0)</f>
        <v>3</v>
      </c>
      <c r="AB189" s="37"/>
      <c r="AC189" s="38"/>
      <c r="AD189" s="34" t="str">
        <f>IFERROR(__xludf.DUMMYFUNCTION("""COMPUTED_VALUE"""),"")</f>
        <v/>
      </c>
      <c r="AE189" s="35" t="str">
        <f>IFERROR(__xludf.DUMMYFUNCTION("""COMPUTED_VALUE"""),"AP")</f>
        <v>AP</v>
      </c>
      <c r="AF189" s="34" t="str">
        <f>IFERROR(__xludf.DUMMYFUNCTION("""COMPUTED_VALUE"""),"")</f>
        <v/>
      </c>
      <c r="AG189" s="35" t="str">
        <f>IFERROR(__xludf.DUMMYFUNCTION("""COMPUTED_VALUE"""),"%")</f>
        <v>%</v>
      </c>
      <c r="AH189" s="31">
        <f>IFERROR(__xludf.DUMMYFUNCTION("""COMPUTED_VALUE"""),21.0)</f>
        <v>21</v>
      </c>
      <c r="AI189" s="32">
        <f>IFERROR(__xludf.DUMMYFUNCTION("""COMPUTED_VALUE"""),15922.0)</f>
        <v>15922</v>
      </c>
      <c r="AJ189" s="30" t="str">
        <f>IFERROR(__xludf.DUMMYFUNCTION("""COMPUTED_VALUE"""),"Yaga Sychyovka")</f>
        <v>Yaga Sychyovka</v>
      </c>
    </row>
    <row r="190" ht="24.75" customHeight="1">
      <c r="A190" s="40">
        <f>IFERROR(__xludf.DUMMYFUNCTION("""COMPUTED_VALUE"""),4.0)</f>
        <v>4</v>
      </c>
      <c r="B190" s="40" t="str">
        <f>IFERROR(__xludf.DUMMYFUNCTION("""COMPUTED_VALUE"""),"A309")</f>
        <v>A309</v>
      </c>
      <c r="C190" s="40" t="str">
        <f>IFERROR(__xludf.DUMMYFUNCTION("""COMPUTED_VALUE"""),"ANA6")</f>
        <v>ANA6</v>
      </c>
      <c r="D190" s="41" t="str">
        <f>IFERROR(__xludf.DUMMYFUNCTION("""COMPUTED_VALUE"""),"Anastasia")</f>
        <v>Anastasia</v>
      </c>
      <c r="E190" s="42" t="str">
        <f>IFERROR(__xludf.DUMMYFUNCTION("""COMPUTED_VALUE"""),"Burned Village")</f>
        <v>Burned Village</v>
      </c>
      <c r="F190" s="43">
        <f>IFERROR(__xludf.DUMMYFUNCTION("""COMPUTED_VALUE"""),21.0)</f>
        <v>21</v>
      </c>
      <c r="G190" s="44">
        <f>IFERROR(__xludf.DUMMYFUNCTION("""COMPUTED_VALUE"""),92374.0)</f>
        <v>92374</v>
      </c>
      <c r="H190" s="33" t="str">
        <f>IFERROR(__xludf.DUMMYFUNCTION("""COMPUTED_VALUE"""),"")</f>
        <v/>
      </c>
      <c r="I190" s="45">
        <f>IFERROR(__xludf.DUMMYFUNCTION("""COMPUTED_VALUE"""),51.928685519661634)</f>
        <v>51.92868552</v>
      </c>
      <c r="J190" s="46" t="str">
        <f>IFERROR(__xludf.DUMMYFUNCTION("""COMPUTED_VALUE"""),"AP")</f>
        <v>AP</v>
      </c>
      <c r="K190" s="47">
        <f>IFERROR(__xludf.DUMMYFUNCTION("""COMPUTED_VALUE"""),40.4400762119211)</f>
        <v>40.44007621</v>
      </c>
      <c r="L190" s="48" t="str">
        <f>IFERROR(__xludf.DUMMYFUNCTION("""COMPUTED_VALUE"""),"%")</f>
        <v>%</v>
      </c>
      <c r="M190" s="49">
        <f>IFERROR(__xludf.DUMMYFUNCTION("""COMPUTED_VALUE"""),1.0)</f>
        <v>1</v>
      </c>
      <c r="N190" s="50" t="str">
        <f>IFERROR(__xludf.DUMMYFUNCTION("""COMPUTED_VALUE"""),"A211")</f>
        <v>A211</v>
      </c>
      <c r="O190" s="38" t="str">
        <f>IFERROR(__xludf.DUMMYFUNCTION("""COMPUTED_VALUE"""),"")</f>
        <v/>
      </c>
      <c r="P190" s="45">
        <f>IFERROR(__xludf.DUMMYFUNCTION("""COMPUTED_VALUE"""),84.36212497397732)</f>
        <v>84.36212497</v>
      </c>
      <c r="Q190" s="46" t="str">
        <f>IFERROR(__xludf.DUMMYFUNCTION("""COMPUTED_VALUE"""),"AP")</f>
        <v>AP</v>
      </c>
      <c r="R190" s="47">
        <f>IFERROR(__xludf.DUMMYFUNCTION("""COMPUTED_VALUE"""),24.892687336263453)</f>
        <v>24.89268734</v>
      </c>
      <c r="S190" s="48" t="str">
        <f>IFERROR(__xludf.DUMMYFUNCTION("""COMPUTED_VALUE"""),"%")</f>
        <v>%</v>
      </c>
      <c r="T190" s="49">
        <f>IFERROR(__xludf.DUMMYFUNCTION("""COMPUTED_VALUE"""),2.0)</f>
        <v>2</v>
      </c>
      <c r="U190" s="50"/>
      <c r="V190" s="38"/>
      <c r="W190" s="45" t="str">
        <f>IFERROR(__xludf.DUMMYFUNCTION("""COMPUTED_VALUE"""),"")</f>
        <v/>
      </c>
      <c r="X190" s="46" t="str">
        <f>IFERROR(__xludf.DUMMYFUNCTION("""COMPUTED_VALUE"""),"AP")</f>
        <v>AP</v>
      </c>
      <c r="Y190" s="47" t="str">
        <f>IFERROR(__xludf.DUMMYFUNCTION("""COMPUTED_VALUE"""),"")</f>
        <v/>
      </c>
      <c r="Z190" s="48" t="str">
        <f>IFERROR(__xludf.DUMMYFUNCTION("""COMPUTED_VALUE"""),"%")</f>
        <v>%</v>
      </c>
      <c r="AA190" s="49">
        <f>IFERROR(__xludf.DUMMYFUNCTION("""COMPUTED_VALUE"""),3.0)</f>
        <v>3</v>
      </c>
      <c r="AB190" s="50"/>
      <c r="AC190" s="38"/>
      <c r="AD190" s="45" t="str">
        <f>IFERROR(__xludf.DUMMYFUNCTION("""COMPUTED_VALUE"""),"")</f>
        <v/>
      </c>
      <c r="AE190" s="46" t="str">
        <f>IFERROR(__xludf.DUMMYFUNCTION("""COMPUTED_VALUE"""),"AP")</f>
        <v>AP</v>
      </c>
      <c r="AF190" s="47" t="str">
        <f>IFERROR(__xludf.DUMMYFUNCTION("""COMPUTED_VALUE"""),"")</f>
        <v/>
      </c>
      <c r="AG190" s="48" t="str">
        <f>IFERROR(__xludf.DUMMYFUNCTION("""COMPUTED_VALUE"""),"%")</f>
        <v>%</v>
      </c>
      <c r="AH190" s="43">
        <f>IFERROR(__xludf.DUMMYFUNCTION("""COMPUTED_VALUE"""),21.0)</f>
        <v>21</v>
      </c>
      <c r="AI190" s="44">
        <f>IFERROR(__xludf.DUMMYFUNCTION("""COMPUTED_VALUE"""),92374.0)</f>
        <v>92374</v>
      </c>
      <c r="AJ190" s="42" t="str">
        <f>IFERROR(__xludf.DUMMYFUNCTION("""COMPUTED_VALUE"""),"Burned Village")</f>
        <v>Burned Village</v>
      </c>
    </row>
    <row r="191" ht="24.75" customHeight="1">
      <c r="A191" s="28">
        <f>IFERROR(__xludf.DUMMYFUNCTION("""COMPUTED_VALUE"""),5.0)</f>
        <v>5</v>
      </c>
      <c r="B191" s="28" t="str">
        <f>IFERROR(__xludf.DUMMYFUNCTION("""COMPUTED_VALUE"""),"A309")</f>
        <v>A309</v>
      </c>
      <c r="C191" s="28" t="str">
        <f>IFERROR(__xludf.DUMMYFUNCTION("""COMPUTED_VALUE"""),"ANA7")</f>
        <v>ANA7</v>
      </c>
      <c r="D191" s="29" t="str">
        <f>IFERROR(__xludf.DUMMYFUNCTION("""COMPUTED_VALUE"""),"Anastasia")</f>
        <v>Anastasia</v>
      </c>
      <c r="E191" s="30" t="str">
        <f>IFERROR(__xludf.DUMMYFUNCTION("""COMPUTED_VALUE"""),"Yaga Vyazma")</f>
        <v>Yaga Vyazma</v>
      </c>
      <c r="F191" s="31">
        <f>IFERROR(__xludf.DUMMYFUNCTION("""COMPUTED_VALUE"""),21.0)</f>
        <v>21</v>
      </c>
      <c r="G191" s="32">
        <f>IFERROR(__xludf.DUMMYFUNCTION("""COMPUTED_VALUE"""),52485.0)</f>
        <v>52485</v>
      </c>
      <c r="H191" s="33" t="str">
        <f>IFERROR(__xludf.DUMMYFUNCTION("""COMPUTED_VALUE"""),"")</f>
        <v/>
      </c>
      <c r="I191" s="34">
        <f>IFERROR(__xludf.DUMMYFUNCTION("""COMPUTED_VALUE"""),52.64346434818293)</f>
        <v>52.64346435</v>
      </c>
      <c r="J191" s="35" t="str">
        <f>IFERROR(__xludf.DUMMYFUNCTION("""COMPUTED_VALUE"""),"AP")</f>
        <v>AP</v>
      </c>
      <c r="K191" s="34">
        <f>IFERROR(__xludf.DUMMYFUNCTION("""COMPUTED_VALUE"""),39.89099171191769)</f>
        <v>39.89099171</v>
      </c>
      <c r="L191" s="35" t="str">
        <f>IFERROR(__xludf.DUMMYFUNCTION("""COMPUTED_VALUE"""),"%")</f>
        <v>%</v>
      </c>
      <c r="M191" s="36">
        <f>IFERROR(__xludf.DUMMYFUNCTION("""COMPUTED_VALUE"""),1.0)</f>
        <v>1</v>
      </c>
      <c r="N191" s="37" t="str">
        <f>IFERROR(__xludf.DUMMYFUNCTION("""COMPUTED_VALUE"""),"A306")</f>
        <v>A306</v>
      </c>
      <c r="O191" s="38" t="str">
        <f>IFERROR(__xludf.DUMMYFUNCTION("""COMPUTED_VALUE"""),"")</f>
        <v/>
      </c>
      <c r="P191" s="34">
        <f>IFERROR(__xludf.DUMMYFUNCTION("""COMPUTED_VALUE"""),51.85224215072592)</f>
        <v>51.85224215</v>
      </c>
      <c r="Q191" s="35" t="str">
        <f>IFERROR(__xludf.DUMMYFUNCTION("""COMPUTED_VALUE"""),"AP")</f>
        <v>AP</v>
      </c>
      <c r="R191" s="34">
        <f>IFERROR(__xludf.DUMMYFUNCTION("""COMPUTED_VALUE"""),40.49969515099552)</f>
        <v>40.49969515</v>
      </c>
      <c r="S191" s="35" t="str">
        <f>IFERROR(__xludf.DUMMYFUNCTION("""COMPUTED_VALUE"""),"%")</f>
        <v>%</v>
      </c>
      <c r="T191" s="36">
        <f>IFERROR(__xludf.DUMMYFUNCTION("""COMPUTED_VALUE"""),2.0)</f>
        <v>2</v>
      </c>
      <c r="U191" s="37"/>
      <c r="V191" s="38"/>
      <c r="W191" s="34" t="str">
        <f>IFERROR(__xludf.DUMMYFUNCTION("""COMPUTED_VALUE"""),"")</f>
        <v/>
      </c>
      <c r="X191" s="35" t="str">
        <f>IFERROR(__xludf.DUMMYFUNCTION("""COMPUTED_VALUE"""),"AP")</f>
        <v>AP</v>
      </c>
      <c r="Y191" s="34" t="str">
        <f>IFERROR(__xludf.DUMMYFUNCTION("""COMPUTED_VALUE"""),"")</f>
        <v/>
      </c>
      <c r="Z191" s="35" t="str">
        <f>IFERROR(__xludf.DUMMYFUNCTION("""COMPUTED_VALUE"""),"%")</f>
        <v>%</v>
      </c>
      <c r="AA191" s="36">
        <f>IFERROR(__xludf.DUMMYFUNCTION("""COMPUTED_VALUE"""),3.0)</f>
        <v>3</v>
      </c>
      <c r="AB191" s="37"/>
      <c r="AC191" s="38"/>
      <c r="AD191" s="34" t="str">
        <f>IFERROR(__xludf.DUMMYFUNCTION("""COMPUTED_VALUE"""),"")</f>
        <v/>
      </c>
      <c r="AE191" s="35" t="str">
        <f>IFERROR(__xludf.DUMMYFUNCTION("""COMPUTED_VALUE"""),"AP")</f>
        <v>AP</v>
      </c>
      <c r="AF191" s="34" t="str">
        <f>IFERROR(__xludf.DUMMYFUNCTION("""COMPUTED_VALUE"""),"")</f>
        <v/>
      </c>
      <c r="AG191" s="35" t="str">
        <f>IFERROR(__xludf.DUMMYFUNCTION("""COMPUTED_VALUE"""),"%")</f>
        <v>%</v>
      </c>
      <c r="AH191" s="31">
        <f>IFERROR(__xludf.DUMMYFUNCTION("""COMPUTED_VALUE"""),21.0)</f>
        <v>21</v>
      </c>
      <c r="AI191" s="32">
        <f>IFERROR(__xludf.DUMMYFUNCTION("""COMPUTED_VALUE"""),52485.0)</f>
        <v>52485</v>
      </c>
      <c r="AJ191" s="30" t="str">
        <f>IFERROR(__xludf.DUMMYFUNCTION("""COMPUTED_VALUE"""),"Yaga Vyazma")</f>
        <v>Yaga Vyazma</v>
      </c>
    </row>
    <row r="192" ht="24.75" customHeight="1">
      <c r="A192" s="40">
        <f>IFERROR(__xludf.DUMMYFUNCTION("""COMPUTED_VALUE"""),6.0)</f>
        <v>6</v>
      </c>
      <c r="B192" s="40" t="str">
        <f>IFERROR(__xludf.DUMMYFUNCTION("""COMPUTED_VALUE"""),"A309")</f>
        <v>A309</v>
      </c>
      <c r="C192" s="40" t="str">
        <f>IFERROR(__xludf.DUMMYFUNCTION("""COMPUTED_VALUE"""),"ANA9")</f>
        <v>ANA9</v>
      </c>
      <c r="D192" s="41" t="str">
        <f>IFERROR(__xludf.DUMMYFUNCTION("""COMPUTED_VALUE"""),"Anastasia")</f>
        <v>Anastasia</v>
      </c>
      <c r="E192" s="42" t="str">
        <f>IFERROR(__xludf.DUMMYFUNCTION("""COMPUTED_VALUE"""),"Yaga Tula")</f>
        <v>Yaga Tula</v>
      </c>
      <c r="F192" s="43">
        <f>IFERROR(__xludf.DUMMYFUNCTION("""COMPUTED_VALUE"""),21.0)</f>
        <v>21</v>
      </c>
      <c r="G192" s="44">
        <f>IFERROR(__xludf.DUMMYFUNCTION("""COMPUTED_VALUE"""),32754.0)</f>
        <v>32754</v>
      </c>
      <c r="H192" s="33" t="str">
        <f>IFERROR(__xludf.DUMMYFUNCTION("""COMPUTED_VALUE"""),"")</f>
        <v/>
      </c>
      <c r="I192" s="45">
        <f>IFERROR(__xludf.DUMMYFUNCTION("""COMPUTED_VALUE"""),69.4865482793484)</f>
        <v>69.48654828</v>
      </c>
      <c r="J192" s="46" t="str">
        <f>IFERROR(__xludf.DUMMYFUNCTION("""COMPUTED_VALUE"""),"AP")</f>
        <v>AP</v>
      </c>
      <c r="K192" s="47">
        <f>IFERROR(__xludf.DUMMYFUNCTION("""COMPUTED_VALUE"""),30.221676741771994)</f>
        <v>30.22167674</v>
      </c>
      <c r="L192" s="48" t="str">
        <f>IFERROR(__xludf.DUMMYFUNCTION("""COMPUTED_VALUE"""),"%")</f>
        <v>%</v>
      </c>
      <c r="M192" s="49">
        <f>IFERROR(__xludf.DUMMYFUNCTION("""COMPUTED_VALUE"""),1.0)</f>
        <v>1</v>
      </c>
      <c r="N192" s="50" t="str">
        <f>IFERROR(__xludf.DUMMYFUNCTION("""COMPUTED_VALUE"""),"A213")</f>
        <v>A213</v>
      </c>
      <c r="O192" s="38" t="str">
        <f>IFERROR(__xludf.DUMMYFUNCTION("""COMPUTED_VALUE"""),"")</f>
        <v/>
      </c>
      <c r="P192" s="45">
        <f>IFERROR(__xludf.DUMMYFUNCTION("""COMPUTED_VALUE"""),103.97453943883735)</f>
        <v>103.9745394</v>
      </c>
      <c r="Q192" s="46" t="str">
        <f>IFERROR(__xludf.DUMMYFUNCTION("""COMPUTED_VALUE"""),"AP")</f>
        <v>AP</v>
      </c>
      <c r="R192" s="47">
        <f>IFERROR(__xludf.DUMMYFUNCTION("""COMPUTED_VALUE"""),20.19725224400073)</f>
        <v>20.19725224</v>
      </c>
      <c r="S192" s="48" t="str">
        <f>IFERROR(__xludf.DUMMYFUNCTION("""COMPUTED_VALUE"""),"%")</f>
        <v>%</v>
      </c>
      <c r="T192" s="49">
        <f>IFERROR(__xludf.DUMMYFUNCTION("""COMPUTED_VALUE"""),2.0)</f>
        <v>2</v>
      </c>
      <c r="U192" s="50" t="str">
        <f>IFERROR(__xludf.DUMMYFUNCTION("""COMPUTED_VALUE"""),"A304")</f>
        <v>A304</v>
      </c>
      <c r="V192" s="38" t="str">
        <f>IFERROR(__xludf.DUMMYFUNCTION("""COMPUTED_VALUE"""),"")</f>
        <v/>
      </c>
      <c r="W192" s="45">
        <f>IFERROR(__xludf.DUMMYFUNCTION("""COMPUTED_VALUE"""),70.93277662415447)</f>
        <v>70.93277662</v>
      </c>
      <c r="X192" s="46" t="str">
        <f>IFERROR(__xludf.DUMMYFUNCTION("""COMPUTED_VALUE"""),"AP")</f>
        <v>AP</v>
      </c>
      <c r="Y192" s="47">
        <f>IFERROR(__xludf.DUMMYFUNCTION("""COMPUTED_VALUE"""),29.605495511998534)</f>
        <v>29.60549551</v>
      </c>
      <c r="Z192" s="48" t="str">
        <f>IFERROR(__xludf.DUMMYFUNCTION("""COMPUTED_VALUE"""),"%")</f>
        <v>%</v>
      </c>
      <c r="AA192" s="49">
        <f>IFERROR(__xludf.DUMMYFUNCTION("""COMPUTED_VALUE"""),3.0)</f>
        <v>3</v>
      </c>
      <c r="AB192" s="50" t="str">
        <f>IFERROR(__xludf.DUMMYFUNCTION("""COMPUTED_VALUE"""),"B116")</f>
        <v>B116</v>
      </c>
      <c r="AC192" s="38" t="str">
        <f>IFERROR(__xludf.DUMMYFUNCTION("""COMPUTED_VALUE"""),"")</f>
        <v/>
      </c>
      <c r="AD192" s="45">
        <f>IFERROR(__xludf.DUMMYFUNCTION("""COMPUTED_VALUE"""),84.28033163068231)</f>
        <v>84.28033163</v>
      </c>
      <c r="AE192" s="46" t="str">
        <f>IFERROR(__xludf.DUMMYFUNCTION("""COMPUTED_VALUE"""),"AP")</f>
        <v>AP</v>
      </c>
      <c r="AF192" s="47">
        <f>IFERROR(__xludf.DUMMYFUNCTION("""COMPUTED_VALUE"""),24.916845477094608)</f>
        <v>24.91684548</v>
      </c>
      <c r="AG192" s="48" t="str">
        <f>IFERROR(__xludf.DUMMYFUNCTION("""COMPUTED_VALUE"""),"%")</f>
        <v>%</v>
      </c>
      <c r="AH192" s="43">
        <f>IFERROR(__xludf.DUMMYFUNCTION("""COMPUTED_VALUE"""),21.0)</f>
        <v>21</v>
      </c>
      <c r="AI192" s="44">
        <f>IFERROR(__xludf.DUMMYFUNCTION("""COMPUTED_VALUE"""),32754.0)</f>
        <v>32754</v>
      </c>
      <c r="AJ192" s="42" t="str">
        <f>IFERROR(__xludf.DUMMYFUNCTION("""COMPUTED_VALUE"""),"Yaga Tula")</f>
        <v>Yaga Tula</v>
      </c>
    </row>
    <row r="193" ht="24.75" customHeight="1">
      <c r="A193" s="28">
        <f>IFERROR(__xludf.DUMMYFUNCTION("""COMPUTED_VALUE"""),7.0)</f>
        <v>7</v>
      </c>
      <c r="B193" s="28" t="str">
        <f>IFERROR(__xludf.DUMMYFUNCTION("""COMPUTED_VALUE"""),"A309")</f>
        <v>A309</v>
      </c>
      <c r="C193" s="28" t="str">
        <f>IFERROR(__xludf.DUMMYFUNCTION("""COMPUTED_VALUE"""),"ANA12")</f>
        <v>ANA12</v>
      </c>
      <c r="D193" s="29" t="str">
        <f>IFERROR(__xludf.DUMMYFUNCTION("""COMPUTED_VALUE"""),"Anastasia")</f>
        <v>Anastasia</v>
      </c>
      <c r="E193" s="30" t="str">
        <f>IFERROR(__xludf.DUMMYFUNCTION("""COMPUTED_VALUE"""),"Strath Stronghold")</f>
        <v>Strath Stronghold</v>
      </c>
      <c r="F193" s="31">
        <f>IFERROR(__xludf.DUMMYFUNCTION("""COMPUTED_VALUE"""),21.0)</f>
        <v>21</v>
      </c>
      <c r="G193" s="32">
        <f>IFERROR(__xludf.DUMMYFUNCTION("""COMPUTED_VALUE"""),14226.0)</f>
        <v>14226</v>
      </c>
      <c r="H193" s="33" t="str">
        <f>IFERROR(__xludf.DUMMYFUNCTION("""COMPUTED_VALUE"""),"")</f>
        <v/>
      </c>
      <c r="I193" s="34">
        <f>IFERROR(__xludf.DUMMYFUNCTION("""COMPUTED_VALUE"""),73.61893344143243)</f>
        <v>73.61893344</v>
      </c>
      <c r="J193" s="35" t="str">
        <f>IFERROR(__xludf.DUMMYFUNCTION("""COMPUTED_VALUE"""),"AP")</f>
        <v>AP</v>
      </c>
      <c r="K193" s="34">
        <f>IFERROR(__xludf.DUMMYFUNCTION("""COMPUTED_VALUE"""),28.525270631238577)</f>
        <v>28.52527063</v>
      </c>
      <c r="L193" s="35" t="str">
        <f>IFERROR(__xludf.DUMMYFUNCTION("""COMPUTED_VALUE"""),"%")</f>
        <v>%</v>
      </c>
      <c r="M193" s="36">
        <f>IFERROR(__xludf.DUMMYFUNCTION("""COMPUTED_VALUE"""),1.0)</f>
        <v>1</v>
      </c>
      <c r="N193" s="37" t="str">
        <f>IFERROR(__xludf.DUMMYFUNCTION("""COMPUTED_VALUE"""),"A112")</f>
        <v>A112</v>
      </c>
      <c r="O193" s="38" t="str">
        <f>IFERROR(__xludf.DUMMYFUNCTION("""COMPUTED_VALUE"""),"")</f>
        <v/>
      </c>
      <c r="P193" s="34">
        <f>IFERROR(__xludf.DUMMYFUNCTION("""COMPUTED_VALUE"""),207.96899114718974)</f>
        <v>207.9689911</v>
      </c>
      <c r="Q193" s="35" t="str">
        <f>IFERROR(__xludf.DUMMYFUNCTION("""COMPUTED_VALUE"""),"AP")</f>
        <v>AP</v>
      </c>
      <c r="R193" s="34">
        <f>IFERROR(__xludf.DUMMYFUNCTION("""COMPUTED_VALUE"""),10.097659215520876)</f>
        <v>10.09765922</v>
      </c>
      <c r="S193" s="35" t="str">
        <f>IFERROR(__xludf.DUMMYFUNCTION("""COMPUTED_VALUE"""),"%")</f>
        <v>%</v>
      </c>
      <c r="T193" s="36">
        <f>IFERROR(__xludf.DUMMYFUNCTION("""COMPUTED_VALUE"""),2.0)</f>
        <v>2</v>
      </c>
      <c r="U193" s="37" t="str">
        <f>IFERROR(__xludf.DUMMYFUNCTION("""COMPUTED_VALUE"""),"A304")</f>
        <v>A304</v>
      </c>
      <c r="V193" s="38" t="str">
        <f>IFERROR(__xludf.DUMMYFUNCTION("""COMPUTED_VALUE"""),"")</f>
        <v/>
      </c>
      <c r="W193" s="34">
        <f>IFERROR(__xludf.DUMMYFUNCTION("""COMPUTED_VALUE"""),71.19891037396908)</f>
        <v>71.19891037</v>
      </c>
      <c r="X193" s="35" t="str">
        <f>IFERROR(__xludf.DUMMYFUNCTION("""COMPUTED_VALUE"""),"AP")</f>
        <v>AP</v>
      </c>
      <c r="Y193" s="34">
        <f>IFERROR(__xludf.DUMMYFUNCTION("""COMPUTED_VALUE"""),29.49483340362716)</f>
        <v>29.4948334</v>
      </c>
      <c r="Z193" s="35" t="str">
        <f>IFERROR(__xludf.DUMMYFUNCTION("""COMPUTED_VALUE"""),"%")</f>
        <v>%</v>
      </c>
      <c r="AA193" s="36">
        <f>IFERROR(__xludf.DUMMYFUNCTION("""COMPUTED_VALUE"""),3.0)</f>
        <v>3</v>
      </c>
      <c r="AB193" s="37" t="str">
        <f>IFERROR(__xludf.DUMMYFUNCTION("""COMPUTED_VALUE"""),"B106")</f>
        <v>B106</v>
      </c>
      <c r="AC193" s="38" t="str">
        <f>IFERROR(__xludf.DUMMYFUNCTION("""COMPUTED_VALUE"""),"")</f>
        <v/>
      </c>
      <c r="AD193" s="34">
        <f>IFERROR(__xludf.DUMMYFUNCTION("""COMPUTED_VALUE"""),512.4173903497864)</f>
        <v>512.4173903</v>
      </c>
      <c r="AE193" s="35" t="str">
        <f>IFERROR(__xludf.DUMMYFUNCTION("""COMPUTED_VALUE"""),"AP")</f>
        <v>AP</v>
      </c>
      <c r="AF193" s="34">
        <f>IFERROR(__xludf.DUMMYFUNCTION("""COMPUTED_VALUE"""),4.098221566146492)</f>
        <v>4.098221566</v>
      </c>
      <c r="AG193" s="35" t="str">
        <f>IFERROR(__xludf.DUMMYFUNCTION("""COMPUTED_VALUE"""),"%")</f>
        <v>%</v>
      </c>
      <c r="AH193" s="31">
        <f>IFERROR(__xludf.DUMMYFUNCTION("""COMPUTED_VALUE"""),21.0)</f>
        <v>21</v>
      </c>
      <c r="AI193" s="32">
        <f>IFERROR(__xludf.DUMMYFUNCTION("""COMPUTED_VALUE"""),14226.0)</f>
        <v>14226</v>
      </c>
      <c r="AJ193" s="30" t="str">
        <f>IFERROR(__xludf.DUMMYFUNCTION("""COMPUTED_VALUE"""),"Strath Stronghold")</f>
        <v>Strath Stronghold</v>
      </c>
    </row>
    <row r="194" ht="24.75" customHeight="1">
      <c r="A194" s="40">
        <f>IFERROR(__xludf.DUMMYFUNCTION("""COMPUTED_VALUE"""),8.0)</f>
        <v>8</v>
      </c>
      <c r="B194" s="40" t="str">
        <f>IFERROR(__xludf.DUMMYFUNCTION("""COMPUTED_VALUE"""),"A309")</f>
        <v>A309</v>
      </c>
      <c r="C194" s="40"/>
      <c r="D194" s="41"/>
      <c r="E194" s="66"/>
      <c r="F194" s="43"/>
      <c r="G194" s="44"/>
      <c r="H194" s="33" t="str">
        <f>IFERROR(__xludf.DUMMYFUNCTION("""COMPUTED_VALUE""")," ")</f>
        <v> </v>
      </c>
      <c r="I194" s="45"/>
      <c r="J194" s="46" t="str">
        <f>IFERROR(__xludf.DUMMYFUNCTION("""COMPUTED_VALUE"""),"AP")</f>
        <v>AP</v>
      </c>
      <c r="K194" s="47"/>
      <c r="L194" s="48" t="str">
        <f>IFERROR(__xludf.DUMMYFUNCTION("""COMPUTED_VALUE"""),"%")</f>
        <v>%</v>
      </c>
      <c r="M194" s="49">
        <f>IFERROR(__xludf.DUMMYFUNCTION("""COMPUTED_VALUE"""),1.0)</f>
        <v>1</v>
      </c>
      <c r="N194" s="50"/>
      <c r="O194" s="38"/>
      <c r="P194" s="45" t="str">
        <f>IFERROR(__xludf.DUMMYFUNCTION("""COMPUTED_VALUE"""),"")</f>
        <v/>
      </c>
      <c r="Q194" s="46" t="str">
        <f>IFERROR(__xludf.DUMMYFUNCTION("""COMPUTED_VALUE"""),"AP")</f>
        <v>AP</v>
      </c>
      <c r="R194" s="47" t="str">
        <f>IFERROR(__xludf.DUMMYFUNCTION("""COMPUTED_VALUE"""),"")</f>
        <v/>
      </c>
      <c r="S194" s="48" t="str">
        <f>IFERROR(__xludf.DUMMYFUNCTION("""COMPUTED_VALUE"""),"%")</f>
        <v>%</v>
      </c>
      <c r="T194" s="49">
        <f>IFERROR(__xludf.DUMMYFUNCTION("""COMPUTED_VALUE"""),2.0)</f>
        <v>2</v>
      </c>
      <c r="U194" s="50"/>
      <c r="V194" s="38"/>
      <c r="W194" s="45" t="str">
        <f>IFERROR(__xludf.DUMMYFUNCTION("""COMPUTED_VALUE"""),"")</f>
        <v/>
      </c>
      <c r="X194" s="46" t="str">
        <f>IFERROR(__xludf.DUMMYFUNCTION("""COMPUTED_VALUE"""),"AP")</f>
        <v>AP</v>
      </c>
      <c r="Y194" s="47" t="str">
        <f>IFERROR(__xludf.DUMMYFUNCTION("""COMPUTED_VALUE"""),"")</f>
        <v/>
      </c>
      <c r="Z194" s="48" t="str">
        <f>IFERROR(__xludf.DUMMYFUNCTION("""COMPUTED_VALUE"""),"%")</f>
        <v>%</v>
      </c>
      <c r="AA194" s="49">
        <f>IFERROR(__xludf.DUMMYFUNCTION("""COMPUTED_VALUE"""),3.0)</f>
        <v>3</v>
      </c>
      <c r="AB194" s="50"/>
      <c r="AC194" s="38"/>
      <c r="AD194" s="45" t="str">
        <f>IFERROR(__xludf.DUMMYFUNCTION("""COMPUTED_VALUE"""),"")</f>
        <v/>
      </c>
      <c r="AE194" s="46" t="str">
        <f>IFERROR(__xludf.DUMMYFUNCTION("""COMPUTED_VALUE"""),"AP")</f>
        <v>AP</v>
      </c>
      <c r="AF194" s="47" t="str">
        <f>IFERROR(__xludf.DUMMYFUNCTION("""COMPUTED_VALUE"""),"")</f>
        <v/>
      </c>
      <c r="AG194" s="48" t="str">
        <f>IFERROR(__xludf.DUMMYFUNCTION("""COMPUTED_VALUE"""),"%")</f>
        <v>%</v>
      </c>
      <c r="AH194" s="43"/>
      <c r="AI194" s="44"/>
      <c r="AJ194" s="66"/>
    </row>
    <row r="195" ht="24.75" hidden="1" customHeight="1">
      <c r="A195" s="28">
        <f>IFERROR(__xludf.DUMMYFUNCTION("""COMPUTED_VALUE"""),9.0)</f>
        <v>9</v>
      </c>
      <c r="B195" s="28" t="str">
        <f>IFERROR(__xludf.DUMMYFUNCTION("""COMPUTED_VALUE"""),"A309")</f>
        <v>A309</v>
      </c>
      <c r="C195" s="28"/>
      <c r="D195" s="29"/>
      <c r="E195" s="67"/>
      <c r="F195" s="31"/>
      <c r="G195" s="32"/>
      <c r="H195" s="33" t="str">
        <f>IFERROR(__xludf.DUMMYFUNCTION("""COMPUTED_VALUE""")," ")</f>
        <v> </v>
      </c>
      <c r="I195" s="34"/>
      <c r="J195" s="35" t="str">
        <f>IFERROR(__xludf.DUMMYFUNCTION("""COMPUTED_VALUE"""),"AP")</f>
        <v>AP</v>
      </c>
      <c r="K195" s="34"/>
      <c r="L195" s="35" t="str">
        <f>IFERROR(__xludf.DUMMYFUNCTION("""COMPUTED_VALUE"""),"%")</f>
        <v>%</v>
      </c>
      <c r="M195" s="36">
        <f>IFERROR(__xludf.DUMMYFUNCTION("""COMPUTED_VALUE"""),1.0)</f>
        <v>1</v>
      </c>
      <c r="N195" s="37"/>
      <c r="O195" s="38"/>
      <c r="P195" s="34" t="str">
        <f>IFERROR(__xludf.DUMMYFUNCTION("""COMPUTED_VALUE"""),"")</f>
        <v/>
      </c>
      <c r="Q195" s="35" t="str">
        <f>IFERROR(__xludf.DUMMYFUNCTION("""COMPUTED_VALUE"""),"AP")</f>
        <v>AP</v>
      </c>
      <c r="R195" s="34" t="str">
        <f>IFERROR(__xludf.DUMMYFUNCTION("""COMPUTED_VALUE"""),"")</f>
        <v/>
      </c>
      <c r="S195" s="35" t="str">
        <f>IFERROR(__xludf.DUMMYFUNCTION("""COMPUTED_VALUE"""),"%")</f>
        <v>%</v>
      </c>
      <c r="T195" s="36">
        <f>IFERROR(__xludf.DUMMYFUNCTION("""COMPUTED_VALUE"""),2.0)</f>
        <v>2</v>
      </c>
      <c r="U195" s="37"/>
      <c r="V195" s="38"/>
      <c r="W195" s="34" t="str">
        <f>IFERROR(__xludf.DUMMYFUNCTION("""COMPUTED_VALUE"""),"")</f>
        <v/>
      </c>
      <c r="X195" s="35" t="str">
        <f>IFERROR(__xludf.DUMMYFUNCTION("""COMPUTED_VALUE"""),"AP")</f>
        <v>AP</v>
      </c>
      <c r="Y195" s="34" t="str">
        <f>IFERROR(__xludf.DUMMYFUNCTION("""COMPUTED_VALUE"""),"")</f>
        <v/>
      </c>
      <c r="Z195" s="35" t="str">
        <f>IFERROR(__xludf.DUMMYFUNCTION("""COMPUTED_VALUE"""),"%")</f>
        <v>%</v>
      </c>
      <c r="AA195" s="36">
        <f>IFERROR(__xludf.DUMMYFUNCTION("""COMPUTED_VALUE"""),3.0)</f>
        <v>3</v>
      </c>
      <c r="AB195" s="37"/>
      <c r="AC195" s="38"/>
      <c r="AD195" s="34" t="str">
        <f>IFERROR(__xludf.DUMMYFUNCTION("""COMPUTED_VALUE"""),"")</f>
        <v/>
      </c>
      <c r="AE195" s="35" t="str">
        <f>IFERROR(__xludf.DUMMYFUNCTION("""COMPUTED_VALUE"""),"AP")</f>
        <v>AP</v>
      </c>
      <c r="AF195" s="34" t="str">
        <f>IFERROR(__xludf.DUMMYFUNCTION("""COMPUTED_VALUE"""),"")</f>
        <v/>
      </c>
      <c r="AG195" s="35" t="str">
        <f>IFERROR(__xludf.DUMMYFUNCTION("""COMPUTED_VALUE"""),"%")</f>
        <v>%</v>
      </c>
      <c r="AH195" s="31"/>
      <c r="AI195" s="32"/>
      <c r="AJ195" s="67"/>
    </row>
    <row r="196" ht="24.75" hidden="1" customHeight="1">
      <c r="A196" s="40">
        <f>IFERROR(__xludf.DUMMYFUNCTION("""COMPUTED_VALUE"""),10.0)</f>
        <v>10</v>
      </c>
      <c r="B196" s="40" t="str">
        <f>IFERROR(__xludf.DUMMYFUNCTION("""COMPUTED_VALUE"""),"A309")</f>
        <v>A309</v>
      </c>
      <c r="C196" s="40"/>
      <c r="D196" s="41"/>
      <c r="E196" s="66"/>
      <c r="F196" s="43"/>
      <c r="G196" s="44"/>
      <c r="H196" s="33" t="str">
        <f>IFERROR(__xludf.DUMMYFUNCTION("""COMPUTED_VALUE""")," ")</f>
        <v> </v>
      </c>
      <c r="I196" s="45"/>
      <c r="J196" s="46" t="str">
        <f>IFERROR(__xludf.DUMMYFUNCTION("""COMPUTED_VALUE"""),"AP")</f>
        <v>AP</v>
      </c>
      <c r="K196" s="47"/>
      <c r="L196" s="48" t="str">
        <f>IFERROR(__xludf.DUMMYFUNCTION("""COMPUTED_VALUE"""),"%")</f>
        <v>%</v>
      </c>
      <c r="M196" s="49">
        <f>IFERROR(__xludf.DUMMYFUNCTION("""COMPUTED_VALUE"""),1.0)</f>
        <v>1</v>
      </c>
      <c r="N196" s="50"/>
      <c r="O196" s="38"/>
      <c r="P196" s="45" t="str">
        <f>IFERROR(__xludf.DUMMYFUNCTION("""COMPUTED_VALUE"""),"")</f>
        <v/>
      </c>
      <c r="Q196" s="46" t="str">
        <f>IFERROR(__xludf.DUMMYFUNCTION("""COMPUTED_VALUE"""),"AP")</f>
        <v>AP</v>
      </c>
      <c r="R196" s="47" t="str">
        <f>IFERROR(__xludf.DUMMYFUNCTION("""COMPUTED_VALUE"""),"")</f>
        <v/>
      </c>
      <c r="S196" s="48" t="str">
        <f>IFERROR(__xludf.DUMMYFUNCTION("""COMPUTED_VALUE"""),"%")</f>
        <v>%</v>
      </c>
      <c r="T196" s="49">
        <f>IFERROR(__xludf.DUMMYFUNCTION("""COMPUTED_VALUE"""),2.0)</f>
        <v>2</v>
      </c>
      <c r="U196" s="50"/>
      <c r="V196" s="38"/>
      <c r="W196" s="45" t="str">
        <f>IFERROR(__xludf.DUMMYFUNCTION("""COMPUTED_VALUE"""),"")</f>
        <v/>
      </c>
      <c r="X196" s="46" t="str">
        <f>IFERROR(__xludf.DUMMYFUNCTION("""COMPUTED_VALUE"""),"AP")</f>
        <v>AP</v>
      </c>
      <c r="Y196" s="47" t="str">
        <f>IFERROR(__xludf.DUMMYFUNCTION("""COMPUTED_VALUE"""),"")</f>
        <v/>
      </c>
      <c r="Z196" s="48" t="str">
        <f>IFERROR(__xludf.DUMMYFUNCTION("""COMPUTED_VALUE"""),"%")</f>
        <v>%</v>
      </c>
      <c r="AA196" s="49">
        <f>IFERROR(__xludf.DUMMYFUNCTION("""COMPUTED_VALUE"""),3.0)</f>
        <v>3</v>
      </c>
      <c r="AB196" s="50"/>
      <c r="AC196" s="38"/>
      <c r="AD196" s="45" t="str">
        <f>IFERROR(__xludf.DUMMYFUNCTION("""COMPUTED_VALUE"""),"")</f>
        <v/>
      </c>
      <c r="AE196" s="46" t="str">
        <f>IFERROR(__xludf.DUMMYFUNCTION("""COMPUTED_VALUE"""),"AP")</f>
        <v>AP</v>
      </c>
      <c r="AF196" s="47" t="str">
        <f>IFERROR(__xludf.DUMMYFUNCTION("""COMPUTED_VALUE"""),"")</f>
        <v/>
      </c>
      <c r="AG196" s="48" t="str">
        <f>IFERROR(__xludf.DUMMYFUNCTION("""COMPUTED_VALUE"""),"%")</f>
        <v>%</v>
      </c>
      <c r="AH196" s="43"/>
      <c r="AI196" s="44"/>
      <c r="AJ196" s="66"/>
    </row>
    <row r="197" ht="24.75" hidden="1" customHeight="1">
      <c r="A197" s="28">
        <f>IFERROR(__xludf.DUMMYFUNCTION("""COMPUTED_VALUE"""),11.0)</f>
        <v>11</v>
      </c>
      <c r="B197" s="28" t="str">
        <f>IFERROR(__xludf.DUMMYFUNCTION("""COMPUTED_VALUE"""),"A309")</f>
        <v>A309</v>
      </c>
      <c r="C197" s="28"/>
      <c r="D197" s="29"/>
      <c r="E197" s="67"/>
      <c r="F197" s="31"/>
      <c r="G197" s="32"/>
      <c r="H197" s="33" t="str">
        <f>IFERROR(__xludf.DUMMYFUNCTION("""COMPUTED_VALUE""")," ")</f>
        <v> </v>
      </c>
      <c r="I197" s="34"/>
      <c r="J197" s="35" t="str">
        <f>IFERROR(__xludf.DUMMYFUNCTION("""COMPUTED_VALUE"""),"AP")</f>
        <v>AP</v>
      </c>
      <c r="K197" s="34"/>
      <c r="L197" s="35" t="str">
        <f>IFERROR(__xludf.DUMMYFUNCTION("""COMPUTED_VALUE"""),"%")</f>
        <v>%</v>
      </c>
      <c r="M197" s="36">
        <f>IFERROR(__xludf.DUMMYFUNCTION("""COMPUTED_VALUE"""),1.0)</f>
        <v>1</v>
      </c>
      <c r="N197" s="37"/>
      <c r="O197" s="38"/>
      <c r="P197" s="34" t="str">
        <f>IFERROR(__xludf.DUMMYFUNCTION("""COMPUTED_VALUE"""),"")</f>
        <v/>
      </c>
      <c r="Q197" s="35" t="str">
        <f>IFERROR(__xludf.DUMMYFUNCTION("""COMPUTED_VALUE"""),"AP")</f>
        <v>AP</v>
      </c>
      <c r="R197" s="34" t="str">
        <f>IFERROR(__xludf.DUMMYFUNCTION("""COMPUTED_VALUE"""),"")</f>
        <v/>
      </c>
      <c r="S197" s="35" t="str">
        <f>IFERROR(__xludf.DUMMYFUNCTION("""COMPUTED_VALUE"""),"%")</f>
        <v>%</v>
      </c>
      <c r="T197" s="36">
        <f>IFERROR(__xludf.DUMMYFUNCTION("""COMPUTED_VALUE"""),2.0)</f>
        <v>2</v>
      </c>
      <c r="U197" s="37"/>
      <c r="V197" s="38"/>
      <c r="W197" s="34" t="str">
        <f>IFERROR(__xludf.DUMMYFUNCTION("""COMPUTED_VALUE"""),"")</f>
        <v/>
      </c>
      <c r="X197" s="35" t="str">
        <f>IFERROR(__xludf.DUMMYFUNCTION("""COMPUTED_VALUE"""),"AP")</f>
        <v>AP</v>
      </c>
      <c r="Y197" s="34" t="str">
        <f>IFERROR(__xludf.DUMMYFUNCTION("""COMPUTED_VALUE"""),"")</f>
        <v/>
      </c>
      <c r="Z197" s="35" t="str">
        <f>IFERROR(__xludf.DUMMYFUNCTION("""COMPUTED_VALUE"""),"%")</f>
        <v>%</v>
      </c>
      <c r="AA197" s="36">
        <f>IFERROR(__xludf.DUMMYFUNCTION("""COMPUTED_VALUE"""),3.0)</f>
        <v>3</v>
      </c>
      <c r="AB197" s="37"/>
      <c r="AC197" s="38"/>
      <c r="AD197" s="34" t="str">
        <f>IFERROR(__xludf.DUMMYFUNCTION("""COMPUTED_VALUE"""),"")</f>
        <v/>
      </c>
      <c r="AE197" s="35" t="str">
        <f>IFERROR(__xludf.DUMMYFUNCTION("""COMPUTED_VALUE"""),"AP")</f>
        <v>AP</v>
      </c>
      <c r="AF197" s="34" t="str">
        <f>IFERROR(__xludf.DUMMYFUNCTION("""COMPUTED_VALUE"""),"")</f>
        <v/>
      </c>
      <c r="AG197" s="35" t="str">
        <f>IFERROR(__xludf.DUMMYFUNCTION("""COMPUTED_VALUE"""),"%")</f>
        <v>%</v>
      </c>
      <c r="AH197" s="31"/>
      <c r="AI197" s="32"/>
      <c r="AJ197" s="67"/>
    </row>
    <row r="198" ht="24.75" hidden="1" customHeight="1">
      <c r="A198" s="40">
        <f>IFERROR(__xludf.DUMMYFUNCTION("""COMPUTED_VALUE"""),12.0)</f>
        <v>12</v>
      </c>
      <c r="B198" s="40" t="str">
        <f>IFERROR(__xludf.DUMMYFUNCTION("""COMPUTED_VALUE"""),"A309")</f>
        <v>A309</v>
      </c>
      <c r="C198" s="40"/>
      <c r="D198" s="41"/>
      <c r="E198" s="66"/>
      <c r="F198" s="43"/>
      <c r="G198" s="44"/>
      <c r="H198" s="33" t="str">
        <f>IFERROR(__xludf.DUMMYFUNCTION("""COMPUTED_VALUE""")," ")</f>
        <v> </v>
      </c>
      <c r="I198" s="45"/>
      <c r="J198" s="46" t="str">
        <f>IFERROR(__xludf.DUMMYFUNCTION("""COMPUTED_VALUE"""),"AP")</f>
        <v>AP</v>
      </c>
      <c r="K198" s="47"/>
      <c r="L198" s="48" t="str">
        <f>IFERROR(__xludf.DUMMYFUNCTION("""COMPUTED_VALUE"""),"%")</f>
        <v>%</v>
      </c>
      <c r="M198" s="49">
        <f>IFERROR(__xludf.DUMMYFUNCTION("""COMPUTED_VALUE"""),1.0)</f>
        <v>1</v>
      </c>
      <c r="N198" s="50"/>
      <c r="O198" s="38"/>
      <c r="P198" s="45" t="str">
        <f>IFERROR(__xludf.DUMMYFUNCTION("""COMPUTED_VALUE"""),"")</f>
        <v/>
      </c>
      <c r="Q198" s="46" t="str">
        <f>IFERROR(__xludf.DUMMYFUNCTION("""COMPUTED_VALUE"""),"AP")</f>
        <v>AP</v>
      </c>
      <c r="R198" s="47" t="str">
        <f>IFERROR(__xludf.DUMMYFUNCTION("""COMPUTED_VALUE"""),"")</f>
        <v/>
      </c>
      <c r="S198" s="48" t="str">
        <f>IFERROR(__xludf.DUMMYFUNCTION("""COMPUTED_VALUE"""),"%")</f>
        <v>%</v>
      </c>
      <c r="T198" s="49">
        <f>IFERROR(__xludf.DUMMYFUNCTION("""COMPUTED_VALUE"""),2.0)</f>
        <v>2</v>
      </c>
      <c r="U198" s="50"/>
      <c r="V198" s="38"/>
      <c r="W198" s="45" t="str">
        <f>IFERROR(__xludf.DUMMYFUNCTION("""COMPUTED_VALUE"""),"")</f>
        <v/>
      </c>
      <c r="X198" s="46" t="str">
        <f>IFERROR(__xludf.DUMMYFUNCTION("""COMPUTED_VALUE"""),"AP")</f>
        <v>AP</v>
      </c>
      <c r="Y198" s="47" t="str">
        <f>IFERROR(__xludf.DUMMYFUNCTION("""COMPUTED_VALUE"""),"")</f>
        <v/>
      </c>
      <c r="Z198" s="48" t="str">
        <f>IFERROR(__xludf.DUMMYFUNCTION("""COMPUTED_VALUE"""),"%")</f>
        <v>%</v>
      </c>
      <c r="AA198" s="49">
        <f>IFERROR(__xludf.DUMMYFUNCTION("""COMPUTED_VALUE"""),3.0)</f>
        <v>3</v>
      </c>
      <c r="AB198" s="50"/>
      <c r="AC198" s="38"/>
      <c r="AD198" s="45" t="str">
        <f>IFERROR(__xludf.DUMMYFUNCTION("""COMPUTED_VALUE"""),"")</f>
        <v/>
      </c>
      <c r="AE198" s="46" t="str">
        <f>IFERROR(__xludf.DUMMYFUNCTION("""COMPUTED_VALUE"""),"AP")</f>
        <v>AP</v>
      </c>
      <c r="AF198" s="47" t="str">
        <f>IFERROR(__xludf.DUMMYFUNCTION("""COMPUTED_VALUE"""),"")</f>
        <v/>
      </c>
      <c r="AG198" s="48" t="str">
        <f>IFERROR(__xludf.DUMMYFUNCTION("""COMPUTED_VALUE"""),"%")</f>
        <v>%</v>
      </c>
      <c r="AH198" s="43"/>
      <c r="AI198" s="44"/>
      <c r="AJ198" s="66"/>
    </row>
    <row r="199" ht="24.75" hidden="1" customHeight="1">
      <c r="A199" s="28">
        <f>IFERROR(__xludf.DUMMYFUNCTION("""COMPUTED_VALUE"""),13.0)</f>
        <v>13</v>
      </c>
      <c r="B199" s="28" t="str">
        <f>IFERROR(__xludf.DUMMYFUNCTION("""COMPUTED_VALUE"""),"A309")</f>
        <v>A309</v>
      </c>
      <c r="C199" s="28"/>
      <c r="D199" s="29"/>
      <c r="E199" s="67"/>
      <c r="F199" s="31"/>
      <c r="G199" s="32"/>
      <c r="H199" s="33" t="str">
        <f>IFERROR(__xludf.DUMMYFUNCTION("""COMPUTED_VALUE""")," ")</f>
        <v> </v>
      </c>
      <c r="I199" s="34"/>
      <c r="J199" s="35" t="str">
        <f>IFERROR(__xludf.DUMMYFUNCTION("""COMPUTED_VALUE"""),"AP")</f>
        <v>AP</v>
      </c>
      <c r="K199" s="34"/>
      <c r="L199" s="35" t="str">
        <f>IFERROR(__xludf.DUMMYFUNCTION("""COMPUTED_VALUE"""),"%")</f>
        <v>%</v>
      </c>
      <c r="M199" s="36">
        <f>IFERROR(__xludf.DUMMYFUNCTION("""COMPUTED_VALUE"""),1.0)</f>
        <v>1</v>
      </c>
      <c r="N199" s="37"/>
      <c r="O199" s="38"/>
      <c r="P199" s="34" t="str">
        <f>IFERROR(__xludf.DUMMYFUNCTION("""COMPUTED_VALUE"""),"")</f>
        <v/>
      </c>
      <c r="Q199" s="35" t="str">
        <f>IFERROR(__xludf.DUMMYFUNCTION("""COMPUTED_VALUE"""),"AP")</f>
        <v>AP</v>
      </c>
      <c r="R199" s="34" t="str">
        <f>IFERROR(__xludf.DUMMYFUNCTION("""COMPUTED_VALUE"""),"")</f>
        <v/>
      </c>
      <c r="S199" s="35" t="str">
        <f>IFERROR(__xludf.DUMMYFUNCTION("""COMPUTED_VALUE"""),"%")</f>
        <v>%</v>
      </c>
      <c r="T199" s="36">
        <f>IFERROR(__xludf.DUMMYFUNCTION("""COMPUTED_VALUE"""),2.0)</f>
        <v>2</v>
      </c>
      <c r="U199" s="37"/>
      <c r="V199" s="38"/>
      <c r="W199" s="34" t="str">
        <f>IFERROR(__xludf.DUMMYFUNCTION("""COMPUTED_VALUE"""),"")</f>
        <v/>
      </c>
      <c r="X199" s="35" t="str">
        <f>IFERROR(__xludf.DUMMYFUNCTION("""COMPUTED_VALUE"""),"AP")</f>
        <v>AP</v>
      </c>
      <c r="Y199" s="34" t="str">
        <f>IFERROR(__xludf.DUMMYFUNCTION("""COMPUTED_VALUE"""),"")</f>
        <v/>
      </c>
      <c r="Z199" s="35" t="str">
        <f>IFERROR(__xludf.DUMMYFUNCTION("""COMPUTED_VALUE"""),"%")</f>
        <v>%</v>
      </c>
      <c r="AA199" s="36">
        <f>IFERROR(__xludf.DUMMYFUNCTION("""COMPUTED_VALUE"""),3.0)</f>
        <v>3</v>
      </c>
      <c r="AB199" s="37"/>
      <c r="AC199" s="38"/>
      <c r="AD199" s="34" t="str">
        <f>IFERROR(__xludf.DUMMYFUNCTION("""COMPUTED_VALUE"""),"")</f>
        <v/>
      </c>
      <c r="AE199" s="35" t="str">
        <f>IFERROR(__xludf.DUMMYFUNCTION("""COMPUTED_VALUE"""),"AP")</f>
        <v>AP</v>
      </c>
      <c r="AF199" s="34" t="str">
        <f>IFERROR(__xludf.DUMMYFUNCTION("""COMPUTED_VALUE"""),"")</f>
        <v/>
      </c>
      <c r="AG199" s="35" t="str">
        <f>IFERROR(__xludf.DUMMYFUNCTION("""COMPUTED_VALUE"""),"%")</f>
        <v>%</v>
      </c>
      <c r="AH199" s="31"/>
      <c r="AI199" s="32"/>
      <c r="AJ199" s="67"/>
    </row>
    <row r="200" ht="24.75" hidden="1" customHeight="1">
      <c r="A200" s="40">
        <f>IFERROR(__xludf.DUMMYFUNCTION("""COMPUTED_VALUE"""),14.0)</f>
        <v>14</v>
      </c>
      <c r="B200" s="40" t="str">
        <f>IFERROR(__xludf.DUMMYFUNCTION("""COMPUTED_VALUE"""),"A309")</f>
        <v>A309</v>
      </c>
      <c r="C200" s="40"/>
      <c r="D200" s="41"/>
      <c r="E200" s="66"/>
      <c r="F200" s="43"/>
      <c r="G200" s="44"/>
      <c r="H200" s="33" t="str">
        <f>IFERROR(__xludf.DUMMYFUNCTION("""COMPUTED_VALUE""")," ")</f>
        <v> </v>
      </c>
      <c r="I200" s="45"/>
      <c r="J200" s="46" t="str">
        <f>IFERROR(__xludf.DUMMYFUNCTION("""COMPUTED_VALUE"""),"AP")</f>
        <v>AP</v>
      </c>
      <c r="K200" s="47"/>
      <c r="L200" s="48" t="str">
        <f>IFERROR(__xludf.DUMMYFUNCTION("""COMPUTED_VALUE"""),"%")</f>
        <v>%</v>
      </c>
      <c r="M200" s="49">
        <f>IFERROR(__xludf.DUMMYFUNCTION("""COMPUTED_VALUE"""),1.0)</f>
        <v>1</v>
      </c>
      <c r="N200" s="50"/>
      <c r="O200" s="38"/>
      <c r="P200" s="45" t="str">
        <f>IFERROR(__xludf.DUMMYFUNCTION("""COMPUTED_VALUE"""),"")</f>
        <v/>
      </c>
      <c r="Q200" s="46" t="str">
        <f>IFERROR(__xludf.DUMMYFUNCTION("""COMPUTED_VALUE"""),"AP")</f>
        <v>AP</v>
      </c>
      <c r="R200" s="47" t="str">
        <f>IFERROR(__xludf.DUMMYFUNCTION("""COMPUTED_VALUE"""),"")</f>
        <v/>
      </c>
      <c r="S200" s="48" t="str">
        <f>IFERROR(__xludf.DUMMYFUNCTION("""COMPUTED_VALUE"""),"%")</f>
        <v>%</v>
      </c>
      <c r="T200" s="49">
        <f>IFERROR(__xludf.DUMMYFUNCTION("""COMPUTED_VALUE"""),2.0)</f>
        <v>2</v>
      </c>
      <c r="U200" s="50"/>
      <c r="V200" s="38"/>
      <c r="W200" s="45" t="str">
        <f>IFERROR(__xludf.DUMMYFUNCTION("""COMPUTED_VALUE"""),"")</f>
        <v/>
      </c>
      <c r="X200" s="46" t="str">
        <f>IFERROR(__xludf.DUMMYFUNCTION("""COMPUTED_VALUE"""),"AP")</f>
        <v>AP</v>
      </c>
      <c r="Y200" s="47" t="str">
        <f>IFERROR(__xludf.DUMMYFUNCTION("""COMPUTED_VALUE"""),"")</f>
        <v/>
      </c>
      <c r="Z200" s="48" t="str">
        <f>IFERROR(__xludf.DUMMYFUNCTION("""COMPUTED_VALUE"""),"%")</f>
        <v>%</v>
      </c>
      <c r="AA200" s="49">
        <f>IFERROR(__xludf.DUMMYFUNCTION("""COMPUTED_VALUE"""),3.0)</f>
        <v>3</v>
      </c>
      <c r="AB200" s="50"/>
      <c r="AC200" s="38"/>
      <c r="AD200" s="45" t="str">
        <f>IFERROR(__xludf.DUMMYFUNCTION("""COMPUTED_VALUE"""),"")</f>
        <v/>
      </c>
      <c r="AE200" s="46" t="str">
        <f>IFERROR(__xludf.DUMMYFUNCTION("""COMPUTED_VALUE"""),"AP")</f>
        <v>AP</v>
      </c>
      <c r="AF200" s="47" t="str">
        <f>IFERROR(__xludf.DUMMYFUNCTION("""COMPUTED_VALUE"""),"")</f>
        <v/>
      </c>
      <c r="AG200" s="48" t="str">
        <f>IFERROR(__xludf.DUMMYFUNCTION("""COMPUTED_VALUE"""),"%")</f>
        <v>%</v>
      </c>
      <c r="AH200" s="43"/>
      <c r="AI200" s="44"/>
      <c r="AJ200" s="66"/>
    </row>
    <row r="201" ht="24.75" hidden="1" customHeight="1">
      <c r="A201" s="28">
        <f>IFERROR(__xludf.DUMMYFUNCTION("""COMPUTED_VALUE"""),15.0)</f>
        <v>15</v>
      </c>
      <c r="B201" s="28" t="str">
        <f>IFERROR(__xludf.DUMMYFUNCTION("""COMPUTED_VALUE"""),"A309")</f>
        <v>A309</v>
      </c>
      <c r="C201" s="28"/>
      <c r="D201" s="29"/>
      <c r="E201" s="67"/>
      <c r="F201" s="31"/>
      <c r="G201" s="32"/>
      <c r="H201" s="33" t="str">
        <f>IFERROR(__xludf.DUMMYFUNCTION("""COMPUTED_VALUE""")," ")</f>
        <v> </v>
      </c>
      <c r="I201" s="34"/>
      <c r="J201" s="35" t="str">
        <f>IFERROR(__xludf.DUMMYFUNCTION("""COMPUTED_VALUE"""),"AP")</f>
        <v>AP</v>
      </c>
      <c r="K201" s="34"/>
      <c r="L201" s="35" t="str">
        <f>IFERROR(__xludf.DUMMYFUNCTION("""COMPUTED_VALUE"""),"%")</f>
        <v>%</v>
      </c>
      <c r="M201" s="36">
        <f>IFERROR(__xludf.DUMMYFUNCTION("""COMPUTED_VALUE"""),1.0)</f>
        <v>1</v>
      </c>
      <c r="N201" s="37"/>
      <c r="O201" s="38"/>
      <c r="P201" s="34" t="str">
        <f>IFERROR(__xludf.DUMMYFUNCTION("""COMPUTED_VALUE"""),"")</f>
        <v/>
      </c>
      <c r="Q201" s="35" t="str">
        <f>IFERROR(__xludf.DUMMYFUNCTION("""COMPUTED_VALUE"""),"AP")</f>
        <v>AP</v>
      </c>
      <c r="R201" s="34" t="str">
        <f>IFERROR(__xludf.DUMMYFUNCTION("""COMPUTED_VALUE"""),"")</f>
        <v/>
      </c>
      <c r="S201" s="35" t="str">
        <f>IFERROR(__xludf.DUMMYFUNCTION("""COMPUTED_VALUE"""),"%")</f>
        <v>%</v>
      </c>
      <c r="T201" s="36">
        <f>IFERROR(__xludf.DUMMYFUNCTION("""COMPUTED_VALUE"""),2.0)</f>
        <v>2</v>
      </c>
      <c r="U201" s="37"/>
      <c r="V201" s="38"/>
      <c r="W201" s="34" t="str">
        <f>IFERROR(__xludf.DUMMYFUNCTION("""COMPUTED_VALUE"""),"")</f>
        <v/>
      </c>
      <c r="X201" s="35" t="str">
        <f>IFERROR(__xludf.DUMMYFUNCTION("""COMPUTED_VALUE"""),"AP")</f>
        <v>AP</v>
      </c>
      <c r="Y201" s="34" t="str">
        <f>IFERROR(__xludf.DUMMYFUNCTION("""COMPUTED_VALUE"""),"")</f>
        <v/>
      </c>
      <c r="Z201" s="35" t="str">
        <f>IFERROR(__xludf.DUMMYFUNCTION("""COMPUTED_VALUE"""),"%")</f>
        <v>%</v>
      </c>
      <c r="AA201" s="36">
        <f>IFERROR(__xludf.DUMMYFUNCTION("""COMPUTED_VALUE"""),3.0)</f>
        <v>3</v>
      </c>
      <c r="AB201" s="37"/>
      <c r="AC201" s="38"/>
      <c r="AD201" s="34" t="str">
        <f>IFERROR(__xludf.DUMMYFUNCTION("""COMPUTED_VALUE"""),"")</f>
        <v/>
      </c>
      <c r="AE201" s="35" t="str">
        <f>IFERROR(__xludf.DUMMYFUNCTION("""COMPUTED_VALUE"""),"AP")</f>
        <v>AP</v>
      </c>
      <c r="AF201" s="34" t="str">
        <f>IFERROR(__xludf.DUMMYFUNCTION("""COMPUTED_VALUE"""),"")</f>
        <v/>
      </c>
      <c r="AG201" s="35" t="str">
        <f>IFERROR(__xludf.DUMMYFUNCTION("""COMPUTED_VALUE"""),"%")</f>
        <v>%</v>
      </c>
      <c r="AH201" s="31"/>
      <c r="AI201" s="32"/>
      <c r="AJ201" s="67"/>
    </row>
    <row r="202" ht="24.75" hidden="1" customHeight="1">
      <c r="A202" s="40">
        <f>IFERROR(__xludf.DUMMYFUNCTION("""COMPUTED_VALUE"""),16.0)</f>
        <v>16</v>
      </c>
      <c r="B202" s="40" t="str">
        <f>IFERROR(__xludf.DUMMYFUNCTION("""COMPUTED_VALUE"""),"A309")</f>
        <v>A309</v>
      </c>
      <c r="C202" s="40"/>
      <c r="D202" s="41"/>
      <c r="E202" s="66"/>
      <c r="F202" s="43"/>
      <c r="G202" s="44"/>
      <c r="H202" s="33" t="str">
        <f>IFERROR(__xludf.DUMMYFUNCTION("""COMPUTED_VALUE""")," ")</f>
        <v> </v>
      </c>
      <c r="I202" s="45"/>
      <c r="J202" s="46" t="str">
        <f>IFERROR(__xludf.DUMMYFUNCTION("""COMPUTED_VALUE"""),"AP")</f>
        <v>AP</v>
      </c>
      <c r="K202" s="47"/>
      <c r="L202" s="48" t="str">
        <f>IFERROR(__xludf.DUMMYFUNCTION("""COMPUTED_VALUE"""),"%")</f>
        <v>%</v>
      </c>
      <c r="M202" s="49">
        <f>IFERROR(__xludf.DUMMYFUNCTION("""COMPUTED_VALUE"""),1.0)</f>
        <v>1</v>
      </c>
      <c r="N202" s="50"/>
      <c r="O202" s="38"/>
      <c r="P202" s="45" t="str">
        <f>IFERROR(__xludf.DUMMYFUNCTION("""COMPUTED_VALUE"""),"")</f>
        <v/>
      </c>
      <c r="Q202" s="46" t="str">
        <f>IFERROR(__xludf.DUMMYFUNCTION("""COMPUTED_VALUE"""),"AP")</f>
        <v>AP</v>
      </c>
      <c r="R202" s="47" t="str">
        <f>IFERROR(__xludf.DUMMYFUNCTION("""COMPUTED_VALUE"""),"")</f>
        <v/>
      </c>
      <c r="S202" s="48" t="str">
        <f>IFERROR(__xludf.DUMMYFUNCTION("""COMPUTED_VALUE"""),"%")</f>
        <v>%</v>
      </c>
      <c r="T202" s="49">
        <f>IFERROR(__xludf.DUMMYFUNCTION("""COMPUTED_VALUE"""),2.0)</f>
        <v>2</v>
      </c>
      <c r="U202" s="50"/>
      <c r="V202" s="38"/>
      <c r="W202" s="45" t="str">
        <f>IFERROR(__xludf.DUMMYFUNCTION("""COMPUTED_VALUE"""),"")</f>
        <v/>
      </c>
      <c r="X202" s="46" t="str">
        <f>IFERROR(__xludf.DUMMYFUNCTION("""COMPUTED_VALUE"""),"AP")</f>
        <v>AP</v>
      </c>
      <c r="Y202" s="47" t="str">
        <f>IFERROR(__xludf.DUMMYFUNCTION("""COMPUTED_VALUE"""),"")</f>
        <v/>
      </c>
      <c r="Z202" s="48" t="str">
        <f>IFERROR(__xludf.DUMMYFUNCTION("""COMPUTED_VALUE"""),"%")</f>
        <v>%</v>
      </c>
      <c r="AA202" s="49">
        <f>IFERROR(__xludf.DUMMYFUNCTION("""COMPUTED_VALUE"""),3.0)</f>
        <v>3</v>
      </c>
      <c r="AB202" s="50"/>
      <c r="AC202" s="38"/>
      <c r="AD202" s="45" t="str">
        <f>IFERROR(__xludf.DUMMYFUNCTION("""COMPUTED_VALUE"""),"")</f>
        <v/>
      </c>
      <c r="AE202" s="46" t="str">
        <f>IFERROR(__xludf.DUMMYFUNCTION("""COMPUTED_VALUE"""),"AP")</f>
        <v>AP</v>
      </c>
      <c r="AF202" s="47" t="str">
        <f>IFERROR(__xludf.DUMMYFUNCTION("""COMPUTED_VALUE"""),"")</f>
        <v/>
      </c>
      <c r="AG202" s="48" t="str">
        <f>IFERROR(__xludf.DUMMYFUNCTION("""COMPUTED_VALUE"""),"%")</f>
        <v>%</v>
      </c>
      <c r="AH202" s="43"/>
      <c r="AI202" s="44"/>
      <c r="AJ202" s="66"/>
    </row>
    <row r="203" ht="24.75" hidden="1" customHeight="1">
      <c r="A203" s="28">
        <f>IFERROR(__xludf.DUMMYFUNCTION("""COMPUTED_VALUE"""),17.0)</f>
        <v>17</v>
      </c>
      <c r="B203" s="28" t="str">
        <f>IFERROR(__xludf.DUMMYFUNCTION("""COMPUTED_VALUE"""),"A309")</f>
        <v>A309</v>
      </c>
      <c r="C203" s="28"/>
      <c r="D203" s="29"/>
      <c r="E203" s="67"/>
      <c r="F203" s="31"/>
      <c r="G203" s="32"/>
      <c r="H203" s="33" t="str">
        <f>IFERROR(__xludf.DUMMYFUNCTION("""COMPUTED_VALUE""")," ")</f>
        <v> </v>
      </c>
      <c r="I203" s="34"/>
      <c r="J203" s="35" t="str">
        <f>IFERROR(__xludf.DUMMYFUNCTION("""COMPUTED_VALUE"""),"AP")</f>
        <v>AP</v>
      </c>
      <c r="K203" s="34"/>
      <c r="L203" s="35" t="str">
        <f>IFERROR(__xludf.DUMMYFUNCTION("""COMPUTED_VALUE"""),"%")</f>
        <v>%</v>
      </c>
      <c r="M203" s="36">
        <f>IFERROR(__xludf.DUMMYFUNCTION("""COMPUTED_VALUE"""),1.0)</f>
        <v>1</v>
      </c>
      <c r="N203" s="37"/>
      <c r="O203" s="38"/>
      <c r="P203" s="34" t="str">
        <f>IFERROR(__xludf.DUMMYFUNCTION("""COMPUTED_VALUE"""),"")</f>
        <v/>
      </c>
      <c r="Q203" s="35" t="str">
        <f>IFERROR(__xludf.DUMMYFUNCTION("""COMPUTED_VALUE"""),"AP")</f>
        <v>AP</v>
      </c>
      <c r="R203" s="34" t="str">
        <f>IFERROR(__xludf.DUMMYFUNCTION("""COMPUTED_VALUE"""),"")</f>
        <v/>
      </c>
      <c r="S203" s="35" t="str">
        <f>IFERROR(__xludf.DUMMYFUNCTION("""COMPUTED_VALUE"""),"%")</f>
        <v>%</v>
      </c>
      <c r="T203" s="36">
        <f>IFERROR(__xludf.DUMMYFUNCTION("""COMPUTED_VALUE"""),2.0)</f>
        <v>2</v>
      </c>
      <c r="U203" s="37"/>
      <c r="V203" s="38"/>
      <c r="W203" s="34" t="str">
        <f>IFERROR(__xludf.DUMMYFUNCTION("""COMPUTED_VALUE"""),"")</f>
        <v/>
      </c>
      <c r="X203" s="35" t="str">
        <f>IFERROR(__xludf.DUMMYFUNCTION("""COMPUTED_VALUE"""),"AP")</f>
        <v>AP</v>
      </c>
      <c r="Y203" s="34" t="str">
        <f>IFERROR(__xludf.DUMMYFUNCTION("""COMPUTED_VALUE"""),"")</f>
        <v/>
      </c>
      <c r="Z203" s="35" t="str">
        <f>IFERROR(__xludf.DUMMYFUNCTION("""COMPUTED_VALUE"""),"%")</f>
        <v>%</v>
      </c>
      <c r="AA203" s="36">
        <f>IFERROR(__xludf.DUMMYFUNCTION("""COMPUTED_VALUE"""),3.0)</f>
        <v>3</v>
      </c>
      <c r="AB203" s="37"/>
      <c r="AC203" s="38"/>
      <c r="AD203" s="34" t="str">
        <f>IFERROR(__xludf.DUMMYFUNCTION("""COMPUTED_VALUE"""),"")</f>
        <v/>
      </c>
      <c r="AE203" s="35" t="str">
        <f>IFERROR(__xludf.DUMMYFUNCTION("""COMPUTED_VALUE"""),"AP")</f>
        <v>AP</v>
      </c>
      <c r="AF203" s="34" t="str">
        <f>IFERROR(__xludf.DUMMYFUNCTION("""COMPUTED_VALUE"""),"")</f>
        <v/>
      </c>
      <c r="AG203" s="35" t="str">
        <f>IFERROR(__xludf.DUMMYFUNCTION("""COMPUTED_VALUE"""),"%")</f>
        <v>%</v>
      </c>
      <c r="AH203" s="31"/>
      <c r="AI203" s="32"/>
      <c r="AJ203" s="67"/>
    </row>
    <row r="204" ht="24.75" hidden="1" customHeight="1">
      <c r="A204" s="40">
        <f>IFERROR(__xludf.DUMMYFUNCTION("""COMPUTED_VALUE"""),18.0)</f>
        <v>18</v>
      </c>
      <c r="B204" s="40" t="str">
        <f>IFERROR(__xludf.DUMMYFUNCTION("""COMPUTED_VALUE"""),"A309")</f>
        <v>A309</v>
      </c>
      <c r="C204" s="40"/>
      <c r="D204" s="41"/>
      <c r="E204" s="66"/>
      <c r="F204" s="43"/>
      <c r="G204" s="44"/>
      <c r="H204" s="33" t="str">
        <f>IFERROR(__xludf.DUMMYFUNCTION("""COMPUTED_VALUE""")," ")</f>
        <v> </v>
      </c>
      <c r="I204" s="45"/>
      <c r="J204" s="46" t="str">
        <f>IFERROR(__xludf.DUMMYFUNCTION("""COMPUTED_VALUE"""),"AP")</f>
        <v>AP</v>
      </c>
      <c r="K204" s="47"/>
      <c r="L204" s="48" t="str">
        <f>IFERROR(__xludf.DUMMYFUNCTION("""COMPUTED_VALUE"""),"%")</f>
        <v>%</v>
      </c>
      <c r="M204" s="49">
        <f>IFERROR(__xludf.DUMMYFUNCTION("""COMPUTED_VALUE"""),1.0)</f>
        <v>1</v>
      </c>
      <c r="N204" s="50"/>
      <c r="O204" s="38"/>
      <c r="P204" s="45" t="str">
        <f>IFERROR(__xludf.DUMMYFUNCTION("""COMPUTED_VALUE"""),"")</f>
        <v/>
      </c>
      <c r="Q204" s="46" t="str">
        <f>IFERROR(__xludf.DUMMYFUNCTION("""COMPUTED_VALUE"""),"AP")</f>
        <v>AP</v>
      </c>
      <c r="R204" s="47" t="str">
        <f>IFERROR(__xludf.DUMMYFUNCTION("""COMPUTED_VALUE"""),"")</f>
        <v/>
      </c>
      <c r="S204" s="48" t="str">
        <f>IFERROR(__xludf.DUMMYFUNCTION("""COMPUTED_VALUE"""),"%")</f>
        <v>%</v>
      </c>
      <c r="T204" s="49">
        <f>IFERROR(__xludf.DUMMYFUNCTION("""COMPUTED_VALUE"""),2.0)</f>
        <v>2</v>
      </c>
      <c r="U204" s="50"/>
      <c r="V204" s="38"/>
      <c r="W204" s="45" t="str">
        <f>IFERROR(__xludf.DUMMYFUNCTION("""COMPUTED_VALUE"""),"")</f>
        <v/>
      </c>
      <c r="X204" s="46" t="str">
        <f>IFERROR(__xludf.DUMMYFUNCTION("""COMPUTED_VALUE"""),"AP")</f>
        <v>AP</v>
      </c>
      <c r="Y204" s="47" t="str">
        <f>IFERROR(__xludf.DUMMYFUNCTION("""COMPUTED_VALUE"""),"")</f>
        <v/>
      </c>
      <c r="Z204" s="48" t="str">
        <f>IFERROR(__xludf.DUMMYFUNCTION("""COMPUTED_VALUE"""),"%")</f>
        <v>%</v>
      </c>
      <c r="AA204" s="49">
        <f>IFERROR(__xludf.DUMMYFUNCTION("""COMPUTED_VALUE"""),3.0)</f>
        <v>3</v>
      </c>
      <c r="AB204" s="50"/>
      <c r="AC204" s="38"/>
      <c r="AD204" s="45" t="str">
        <f>IFERROR(__xludf.DUMMYFUNCTION("""COMPUTED_VALUE"""),"")</f>
        <v/>
      </c>
      <c r="AE204" s="46" t="str">
        <f>IFERROR(__xludf.DUMMYFUNCTION("""COMPUTED_VALUE"""),"AP")</f>
        <v>AP</v>
      </c>
      <c r="AF204" s="47" t="str">
        <f>IFERROR(__xludf.DUMMYFUNCTION("""COMPUTED_VALUE"""),"")</f>
        <v/>
      </c>
      <c r="AG204" s="48" t="str">
        <f>IFERROR(__xludf.DUMMYFUNCTION("""COMPUTED_VALUE"""),"%")</f>
        <v>%</v>
      </c>
      <c r="AH204" s="43"/>
      <c r="AI204" s="44"/>
      <c r="AJ204" s="66"/>
    </row>
    <row r="205" ht="24.75" hidden="1" customHeight="1">
      <c r="A205" s="28">
        <f>IFERROR(__xludf.DUMMYFUNCTION("""COMPUTED_VALUE"""),19.0)</f>
        <v>19</v>
      </c>
      <c r="B205" s="28" t="str">
        <f>IFERROR(__xludf.DUMMYFUNCTION("""COMPUTED_VALUE"""),"A309")</f>
        <v>A309</v>
      </c>
      <c r="C205" s="28"/>
      <c r="D205" s="29"/>
      <c r="E205" s="67"/>
      <c r="F205" s="31"/>
      <c r="G205" s="32"/>
      <c r="H205" s="33" t="str">
        <f>IFERROR(__xludf.DUMMYFUNCTION("""COMPUTED_VALUE""")," ")</f>
        <v> </v>
      </c>
      <c r="I205" s="34"/>
      <c r="J205" s="35" t="str">
        <f>IFERROR(__xludf.DUMMYFUNCTION("""COMPUTED_VALUE"""),"AP")</f>
        <v>AP</v>
      </c>
      <c r="K205" s="34"/>
      <c r="L205" s="35" t="str">
        <f>IFERROR(__xludf.DUMMYFUNCTION("""COMPUTED_VALUE"""),"%")</f>
        <v>%</v>
      </c>
      <c r="M205" s="36">
        <f>IFERROR(__xludf.DUMMYFUNCTION("""COMPUTED_VALUE"""),1.0)</f>
        <v>1</v>
      </c>
      <c r="N205" s="37"/>
      <c r="O205" s="38"/>
      <c r="P205" s="34" t="str">
        <f>IFERROR(__xludf.DUMMYFUNCTION("""COMPUTED_VALUE"""),"")</f>
        <v/>
      </c>
      <c r="Q205" s="35" t="str">
        <f>IFERROR(__xludf.DUMMYFUNCTION("""COMPUTED_VALUE"""),"AP")</f>
        <v>AP</v>
      </c>
      <c r="R205" s="34" t="str">
        <f>IFERROR(__xludf.DUMMYFUNCTION("""COMPUTED_VALUE"""),"")</f>
        <v/>
      </c>
      <c r="S205" s="35" t="str">
        <f>IFERROR(__xludf.DUMMYFUNCTION("""COMPUTED_VALUE"""),"%")</f>
        <v>%</v>
      </c>
      <c r="T205" s="36">
        <f>IFERROR(__xludf.DUMMYFUNCTION("""COMPUTED_VALUE"""),2.0)</f>
        <v>2</v>
      </c>
      <c r="U205" s="37"/>
      <c r="V205" s="38"/>
      <c r="W205" s="34" t="str">
        <f>IFERROR(__xludf.DUMMYFUNCTION("""COMPUTED_VALUE"""),"")</f>
        <v/>
      </c>
      <c r="X205" s="35" t="str">
        <f>IFERROR(__xludf.DUMMYFUNCTION("""COMPUTED_VALUE"""),"AP")</f>
        <v>AP</v>
      </c>
      <c r="Y205" s="34" t="str">
        <f>IFERROR(__xludf.DUMMYFUNCTION("""COMPUTED_VALUE"""),"")</f>
        <v/>
      </c>
      <c r="Z205" s="35" t="str">
        <f>IFERROR(__xludf.DUMMYFUNCTION("""COMPUTED_VALUE"""),"%")</f>
        <v>%</v>
      </c>
      <c r="AA205" s="36">
        <f>IFERROR(__xludf.DUMMYFUNCTION("""COMPUTED_VALUE"""),3.0)</f>
        <v>3</v>
      </c>
      <c r="AB205" s="37"/>
      <c r="AC205" s="38"/>
      <c r="AD205" s="34" t="str">
        <f>IFERROR(__xludf.DUMMYFUNCTION("""COMPUTED_VALUE"""),"")</f>
        <v/>
      </c>
      <c r="AE205" s="35" t="str">
        <f>IFERROR(__xludf.DUMMYFUNCTION("""COMPUTED_VALUE"""),"AP")</f>
        <v>AP</v>
      </c>
      <c r="AF205" s="34" t="str">
        <f>IFERROR(__xludf.DUMMYFUNCTION("""COMPUTED_VALUE"""),"")</f>
        <v/>
      </c>
      <c r="AG205" s="35" t="str">
        <f>IFERROR(__xludf.DUMMYFUNCTION("""COMPUTED_VALUE"""),"%")</f>
        <v>%</v>
      </c>
      <c r="AH205" s="31"/>
      <c r="AI205" s="32"/>
      <c r="AJ205" s="67"/>
    </row>
    <row r="206" ht="24.75" hidden="1" customHeight="1">
      <c r="A206" s="40">
        <f>IFERROR(__xludf.DUMMYFUNCTION("""COMPUTED_VALUE"""),20.0)</f>
        <v>20</v>
      </c>
      <c r="B206" s="40" t="str">
        <f>IFERROR(__xludf.DUMMYFUNCTION("""COMPUTED_VALUE"""),"A309")</f>
        <v>A309</v>
      </c>
      <c r="C206" s="40"/>
      <c r="D206" s="41"/>
      <c r="E206" s="66"/>
      <c r="F206" s="43"/>
      <c r="G206" s="44"/>
      <c r="H206" s="33" t="str">
        <f>IFERROR(__xludf.DUMMYFUNCTION("""COMPUTED_VALUE""")," ")</f>
        <v> </v>
      </c>
      <c r="I206" s="45"/>
      <c r="J206" s="46" t="str">
        <f>IFERROR(__xludf.DUMMYFUNCTION("""COMPUTED_VALUE"""),"AP")</f>
        <v>AP</v>
      </c>
      <c r="K206" s="47"/>
      <c r="L206" s="48" t="str">
        <f>IFERROR(__xludf.DUMMYFUNCTION("""COMPUTED_VALUE"""),"%")</f>
        <v>%</v>
      </c>
      <c r="M206" s="49">
        <f>IFERROR(__xludf.DUMMYFUNCTION("""COMPUTED_VALUE"""),1.0)</f>
        <v>1</v>
      </c>
      <c r="N206" s="50"/>
      <c r="O206" s="38"/>
      <c r="P206" s="45" t="str">
        <f>IFERROR(__xludf.DUMMYFUNCTION("""COMPUTED_VALUE"""),"")</f>
        <v/>
      </c>
      <c r="Q206" s="46" t="str">
        <f>IFERROR(__xludf.DUMMYFUNCTION("""COMPUTED_VALUE"""),"AP")</f>
        <v>AP</v>
      </c>
      <c r="R206" s="47" t="str">
        <f>IFERROR(__xludf.DUMMYFUNCTION("""COMPUTED_VALUE"""),"")</f>
        <v/>
      </c>
      <c r="S206" s="48" t="str">
        <f>IFERROR(__xludf.DUMMYFUNCTION("""COMPUTED_VALUE"""),"%")</f>
        <v>%</v>
      </c>
      <c r="T206" s="49">
        <f>IFERROR(__xludf.DUMMYFUNCTION("""COMPUTED_VALUE"""),2.0)</f>
        <v>2</v>
      </c>
      <c r="U206" s="50"/>
      <c r="V206" s="38"/>
      <c r="W206" s="45" t="str">
        <f>IFERROR(__xludf.DUMMYFUNCTION("""COMPUTED_VALUE"""),"")</f>
        <v/>
      </c>
      <c r="X206" s="46" t="str">
        <f>IFERROR(__xludf.DUMMYFUNCTION("""COMPUTED_VALUE"""),"AP")</f>
        <v>AP</v>
      </c>
      <c r="Y206" s="47" t="str">
        <f>IFERROR(__xludf.DUMMYFUNCTION("""COMPUTED_VALUE"""),"")</f>
        <v/>
      </c>
      <c r="Z206" s="48" t="str">
        <f>IFERROR(__xludf.DUMMYFUNCTION("""COMPUTED_VALUE"""),"%")</f>
        <v>%</v>
      </c>
      <c r="AA206" s="49">
        <f>IFERROR(__xludf.DUMMYFUNCTION("""COMPUTED_VALUE"""),3.0)</f>
        <v>3</v>
      </c>
      <c r="AB206" s="50"/>
      <c r="AC206" s="38"/>
      <c r="AD206" s="45" t="str">
        <f>IFERROR(__xludf.DUMMYFUNCTION("""COMPUTED_VALUE"""),"")</f>
        <v/>
      </c>
      <c r="AE206" s="46" t="str">
        <f>IFERROR(__xludf.DUMMYFUNCTION("""COMPUTED_VALUE"""),"AP")</f>
        <v>AP</v>
      </c>
      <c r="AF206" s="47" t="str">
        <f>IFERROR(__xludf.DUMMYFUNCTION("""COMPUTED_VALUE"""),"")</f>
        <v/>
      </c>
      <c r="AG206" s="48" t="str">
        <f>IFERROR(__xludf.DUMMYFUNCTION("""COMPUTED_VALUE"""),"%")</f>
        <v>%</v>
      </c>
      <c r="AH206" s="43"/>
      <c r="AI206" s="44"/>
      <c r="AJ206" s="66"/>
    </row>
    <row r="207">
      <c r="A207" s="52"/>
      <c r="B207" s="53"/>
      <c r="C207" s="54"/>
      <c r="D207" s="56"/>
      <c r="E207" s="56"/>
      <c r="F207" s="53"/>
      <c r="G207" s="53"/>
      <c r="H207" s="53"/>
      <c r="I207" s="53"/>
      <c r="J207" s="57"/>
      <c r="K207" s="53"/>
      <c r="L207" s="57"/>
      <c r="M207" s="53"/>
      <c r="N207" s="53"/>
      <c r="O207" s="53"/>
      <c r="P207" s="53"/>
      <c r="Q207" s="57"/>
      <c r="R207" s="53"/>
      <c r="S207" s="57"/>
      <c r="T207" s="53"/>
      <c r="U207" s="53"/>
      <c r="V207" s="53"/>
      <c r="W207" s="53"/>
      <c r="X207" s="57"/>
      <c r="Y207" s="53"/>
      <c r="Z207" s="57"/>
      <c r="AA207" s="53"/>
      <c r="AB207" s="53"/>
      <c r="AC207" s="53"/>
      <c r="AD207" s="53"/>
      <c r="AE207" s="57"/>
      <c r="AF207" s="53"/>
      <c r="AG207" s="57"/>
      <c r="AH207" s="53"/>
      <c r="AI207" s="53"/>
      <c r="AJ207" s="56"/>
    </row>
    <row r="208">
      <c r="A208" s="59"/>
      <c r="B208" s="60"/>
      <c r="C208" s="61"/>
      <c r="D208" s="63"/>
      <c r="E208" s="63"/>
      <c r="F208" s="60"/>
      <c r="G208" s="60"/>
      <c r="H208" s="60"/>
      <c r="I208" s="60"/>
      <c r="J208" s="64"/>
      <c r="K208" s="60"/>
      <c r="L208" s="64"/>
      <c r="M208" s="60"/>
      <c r="N208" s="60"/>
      <c r="O208" s="60"/>
      <c r="P208" s="60"/>
      <c r="Q208" s="64"/>
      <c r="R208" s="60"/>
      <c r="S208" s="64"/>
      <c r="T208" s="60"/>
      <c r="U208" s="60"/>
      <c r="V208" s="60"/>
      <c r="W208" s="60"/>
      <c r="X208" s="64"/>
      <c r="Y208" s="60"/>
      <c r="Z208" s="64"/>
      <c r="AA208" s="60"/>
      <c r="AB208" s="60"/>
      <c r="AC208" s="60"/>
      <c r="AD208" s="60"/>
      <c r="AE208" s="64"/>
      <c r="AF208" s="60"/>
      <c r="AG208" s="64"/>
      <c r="AH208" s="60"/>
      <c r="AI208" s="60"/>
      <c r="AJ208" s="63"/>
    </row>
    <row r="209" ht="33.0" customHeight="1">
      <c r="A209" s="20" t="str">
        <f>IFERROR(__xludf.DUMMYFUNCTION("""COMPUTED_VALUE""")," ")</f>
        <v> </v>
      </c>
      <c r="B209" s="21" t="str">
        <f>IFERROR(__xludf.DUMMYFUNCTION("""COMPUTED_VALUE"""),"A201")</f>
        <v>A201</v>
      </c>
      <c r="C209" s="20"/>
      <c r="D209" s="257" t="str">
        <f>IFERROR(__xludf.DUMMYFUNCTION("""COMPUTED_VALUE"""),"")</f>
        <v/>
      </c>
      <c r="E209" s="23" t="str">
        <f>IFERROR(__xludf.DUMMYFUNCTION("""COMPUTED_VALUE"""),"Seed of Yggdrasil")</f>
        <v>Seed of Yggdrasil</v>
      </c>
      <c r="F209" s="24"/>
      <c r="G209" s="24"/>
      <c r="H209" s="25"/>
      <c r="I209" s="25"/>
      <c r="J209" s="26"/>
      <c r="K209" s="25"/>
      <c r="L209" s="26"/>
      <c r="M209" s="25"/>
      <c r="N209" s="25"/>
      <c r="O209" s="25"/>
      <c r="P209" s="25"/>
      <c r="Q209" s="26"/>
      <c r="R209" s="25"/>
      <c r="S209" s="26"/>
      <c r="T209" s="25"/>
      <c r="U209" s="25"/>
      <c r="V209" s="25"/>
      <c r="W209" s="25"/>
      <c r="X209" s="26"/>
      <c r="Y209" s="25"/>
      <c r="Z209" s="26"/>
      <c r="AA209" s="25"/>
      <c r="AB209" s="25"/>
      <c r="AC209" s="25"/>
      <c r="AD209" s="25"/>
      <c r="AE209" s="26"/>
      <c r="AF209" s="25"/>
      <c r="AG209" s="26"/>
      <c r="AH209" s="24"/>
      <c r="AI209" s="25"/>
      <c r="AJ209" s="23"/>
    </row>
    <row r="210" ht="24.75" customHeight="1">
      <c r="A210" s="28">
        <f>IFERROR(__xludf.DUMMYFUNCTION("""COMPUTED_VALUE"""),1.0)</f>
        <v>1</v>
      </c>
      <c r="B210" s="28" t="str">
        <f>IFERROR(__xludf.DUMMYFUNCTION("""COMPUTED_VALUE"""),"A201")</f>
        <v>A201</v>
      </c>
      <c r="C210" s="28" t="str">
        <f>IFERROR(__xludf.DUMMYFUNCTION("""COMPUTED_VALUE"""),"BBL1")</f>
        <v>BBL1</v>
      </c>
      <c r="D210" s="29" t="str">
        <f>IFERROR(__xludf.DUMMYFUNCTION("""COMPUTED_VALUE"""),"Babylonia")</f>
        <v>Babylonia</v>
      </c>
      <c r="E210" s="30" t="str">
        <f>IFERROR(__xludf.DUMMYFUNCTION("""COMPUTED_VALUE"""),"Fallen Babylon")</f>
        <v>Fallen Babylon</v>
      </c>
      <c r="F210" s="31">
        <f>IFERROR(__xludf.DUMMYFUNCTION("""COMPUTED_VALUE"""),20.0)</f>
        <v>20</v>
      </c>
      <c r="G210" s="32">
        <f>IFERROR(__xludf.DUMMYFUNCTION("""COMPUTED_VALUE"""),14026.0)</f>
        <v>14026</v>
      </c>
      <c r="H210" s="33" t="str">
        <f>IFERROR(__xludf.DUMMYFUNCTION("""COMPUTED_VALUE"""),"")</f>
        <v/>
      </c>
      <c r="I210" s="34">
        <f>IFERROR(__xludf.DUMMYFUNCTION("""COMPUTED_VALUE"""),40.39434744092334)</f>
        <v>40.39434744</v>
      </c>
      <c r="J210" s="35" t="str">
        <f>IFERROR(__xludf.DUMMYFUNCTION("""COMPUTED_VALUE"""),"AP")</f>
        <v>AP</v>
      </c>
      <c r="K210" s="34">
        <f>IFERROR(__xludf.DUMMYFUNCTION("""COMPUTED_VALUE"""),49.51187794096678)</f>
        <v>49.51187794</v>
      </c>
      <c r="L210" s="35" t="str">
        <f>IFERROR(__xludf.DUMMYFUNCTION("""COMPUTED_VALUE"""),"%")</f>
        <v>%</v>
      </c>
      <c r="M210" s="36">
        <f>IFERROR(__xludf.DUMMYFUNCTION("""COMPUTED_VALUE"""),1.0)</f>
        <v>1</v>
      </c>
      <c r="N210" s="37"/>
      <c r="O210" s="38"/>
      <c r="P210" s="34" t="str">
        <f>IFERROR(__xludf.DUMMYFUNCTION("""COMPUTED_VALUE"""),"")</f>
        <v/>
      </c>
      <c r="Q210" s="35" t="str">
        <f>IFERROR(__xludf.DUMMYFUNCTION("""COMPUTED_VALUE"""),"AP")</f>
        <v>AP</v>
      </c>
      <c r="R210" s="34" t="str">
        <f>IFERROR(__xludf.DUMMYFUNCTION("""COMPUTED_VALUE"""),"")</f>
        <v/>
      </c>
      <c r="S210" s="35" t="str">
        <f>IFERROR(__xludf.DUMMYFUNCTION("""COMPUTED_VALUE"""),"%")</f>
        <v>%</v>
      </c>
      <c r="T210" s="36">
        <f>IFERROR(__xludf.DUMMYFUNCTION("""COMPUTED_VALUE"""),2.0)</f>
        <v>2</v>
      </c>
      <c r="U210" s="37"/>
      <c r="V210" s="38"/>
      <c r="W210" s="34" t="str">
        <f>IFERROR(__xludf.DUMMYFUNCTION("""COMPUTED_VALUE"""),"")</f>
        <v/>
      </c>
      <c r="X210" s="35" t="str">
        <f>IFERROR(__xludf.DUMMYFUNCTION("""COMPUTED_VALUE"""),"AP")</f>
        <v>AP</v>
      </c>
      <c r="Y210" s="34" t="str">
        <f>IFERROR(__xludf.DUMMYFUNCTION("""COMPUTED_VALUE"""),"")</f>
        <v/>
      </c>
      <c r="Z210" s="35" t="str">
        <f>IFERROR(__xludf.DUMMYFUNCTION("""COMPUTED_VALUE"""),"%")</f>
        <v>%</v>
      </c>
      <c r="AA210" s="36">
        <f>IFERROR(__xludf.DUMMYFUNCTION("""COMPUTED_VALUE"""),3.0)</f>
        <v>3</v>
      </c>
      <c r="AB210" s="37"/>
      <c r="AC210" s="38"/>
      <c r="AD210" s="34" t="str">
        <f>IFERROR(__xludf.DUMMYFUNCTION("""COMPUTED_VALUE"""),"")</f>
        <v/>
      </c>
      <c r="AE210" s="35" t="str">
        <f>IFERROR(__xludf.DUMMYFUNCTION("""COMPUTED_VALUE"""),"AP")</f>
        <v>AP</v>
      </c>
      <c r="AF210" s="34" t="str">
        <f>IFERROR(__xludf.DUMMYFUNCTION("""COMPUTED_VALUE"""),"")</f>
        <v/>
      </c>
      <c r="AG210" s="35" t="str">
        <f>IFERROR(__xludf.DUMMYFUNCTION("""COMPUTED_VALUE"""),"%")</f>
        <v>%</v>
      </c>
      <c r="AH210" s="31">
        <f>IFERROR(__xludf.DUMMYFUNCTION("""COMPUTED_VALUE"""),20.0)</f>
        <v>20</v>
      </c>
      <c r="AI210" s="32">
        <f>IFERROR(__xludf.DUMMYFUNCTION("""COMPUTED_VALUE"""),14026.0)</f>
        <v>14026</v>
      </c>
      <c r="AJ210" s="30" t="str">
        <f>IFERROR(__xludf.DUMMYFUNCTION("""COMPUTED_VALUE"""),"Fallen Babylon")</f>
        <v>Fallen Babylon</v>
      </c>
    </row>
    <row r="211" ht="24.75" customHeight="1">
      <c r="A211" s="40">
        <f>IFERROR(__xludf.DUMMYFUNCTION("""COMPUTED_VALUE"""),2.0)</f>
        <v>2</v>
      </c>
      <c r="B211" s="40" t="str">
        <f>IFERROR(__xludf.DUMMYFUNCTION("""COMPUTED_VALUE"""),"A201")</f>
        <v>A201</v>
      </c>
      <c r="C211" s="40" t="str">
        <f>IFERROR(__xludf.DUMMYFUNCTION("""COMPUTED_VALUE"""),"SLM1")</f>
        <v>SLM1</v>
      </c>
      <c r="D211" s="41" t="str">
        <f>IFERROR(__xludf.DUMMYFUNCTION("""COMPUTED_VALUE"""),"Salem")</f>
        <v>Salem</v>
      </c>
      <c r="E211" s="42" t="str">
        <f>IFERROR(__xludf.DUMMYFUNCTION("""COMPUTED_VALUE"""),"Quiet Forest")</f>
        <v>Quiet Forest</v>
      </c>
      <c r="F211" s="43">
        <f>IFERROR(__xludf.DUMMYFUNCTION("""COMPUTED_VALUE"""),20.0)</f>
        <v>20</v>
      </c>
      <c r="G211" s="44">
        <f>IFERROR(__xludf.DUMMYFUNCTION("""COMPUTED_VALUE"""),3643.0)</f>
        <v>3643</v>
      </c>
      <c r="H211" s="33" t="str">
        <f>IFERROR(__xludf.DUMMYFUNCTION("""COMPUTED_VALUE"""),"")</f>
        <v/>
      </c>
      <c r="I211" s="45">
        <f>IFERROR(__xludf.DUMMYFUNCTION("""COMPUTED_VALUE"""),41.28686266309897)</f>
        <v>41.28686266</v>
      </c>
      <c r="J211" s="46" t="str">
        <f>IFERROR(__xludf.DUMMYFUNCTION("""COMPUTED_VALUE"""),"AP")</f>
        <v>AP</v>
      </c>
      <c r="K211" s="47">
        <f>IFERROR(__xludf.DUMMYFUNCTION("""COMPUTED_VALUE"""),48.44155915454296)</f>
        <v>48.44155915</v>
      </c>
      <c r="L211" s="48" t="str">
        <f>IFERROR(__xludf.DUMMYFUNCTION("""COMPUTED_VALUE"""),"%")</f>
        <v>%</v>
      </c>
      <c r="M211" s="49">
        <f>IFERROR(__xludf.DUMMYFUNCTION("""COMPUTED_VALUE"""),1.0)</f>
        <v>1</v>
      </c>
      <c r="N211" s="50"/>
      <c r="O211" s="38"/>
      <c r="P211" s="45" t="str">
        <f>IFERROR(__xludf.DUMMYFUNCTION("""COMPUTED_VALUE"""),"")</f>
        <v/>
      </c>
      <c r="Q211" s="46" t="str">
        <f>IFERROR(__xludf.DUMMYFUNCTION("""COMPUTED_VALUE"""),"AP")</f>
        <v>AP</v>
      </c>
      <c r="R211" s="47" t="str">
        <f>IFERROR(__xludf.DUMMYFUNCTION("""COMPUTED_VALUE"""),"")</f>
        <v/>
      </c>
      <c r="S211" s="48" t="str">
        <f>IFERROR(__xludf.DUMMYFUNCTION("""COMPUTED_VALUE"""),"%")</f>
        <v>%</v>
      </c>
      <c r="T211" s="49">
        <f>IFERROR(__xludf.DUMMYFUNCTION("""COMPUTED_VALUE"""),2.0)</f>
        <v>2</v>
      </c>
      <c r="U211" s="50"/>
      <c r="V211" s="38"/>
      <c r="W211" s="45" t="str">
        <f>IFERROR(__xludf.DUMMYFUNCTION("""COMPUTED_VALUE"""),"")</f>
        <v/>
      </c>
      <c r="X211" s="46" t="str">
        <f>IFERROR(__xludf.DUMMYFUNCTION("""COMPUTED_VALUE"""),"AP")</f>
        <v>AP</v>
      </c>
      <c r="Y211" s="47" t="str">
        <f>IFERROR(__xludf.DUMMYFUNCTION("""COMPUTED_VALUE"""),"")</f>
        <v/>
      </c>
      <c r="Z211" s="48" t="str">
        <f>IFERROR(__xludf.DUMMYFUNCTION("""COMPUTED_VALUE"""),"%")</f>
        <v>%</v>
      </c>
      <c r="AA211" s="49">
        <f>IFERROR(__xludf.DUMMYFUNCTION("""COMPUTED_VALUE"""),3.0)</f>
        <v>3</v>
      </c>
      <c r="AB211" s="50"/>
      <c r="AC211" s="38"/>
      <c r="AD211" s="45" t="str">
        <f>IFERROR(__xludf.DUMMYFUNCTION("""COMPUTED_VALUE"""),"")</f>
        <v/>
      </c>
      <c r="AE211" s="46" t="str">
        <f>IFERROR(__xludf.DUMMYFUNCTION("""COMPUTED_VALUE"""),"AP")</f>
        <v>AP</v>
      </c>
      <c r="AF211" s="47" t="str">
        <f>IFERROR(__xludf.DUMMYFUNCTION("""COMPUTED_VALUE"""),"")</f>
        <v/>
      </c>
      <c r="AG211" s="48" t="str">
        <f>IFERROR(__xludf.DUMMYFUNCTION("""COMPUTED_VALUE"""),"%")</f>
        <v>%</v>
      </c>
      <c r="AH211" s="43">
        <f>IFERROR(__xludf.DUMMYFUNCTION("""COMPUTED_VALUE"""),20.0)</f>
        <v>20</v>
      </c>
      <c r="AI211" s="44">
        <f>IFERROR(__xludf.DUMMYFUNCTION("""COMPUTED_VALUE"""),3643.0)</f>
        <v>3643</v>
      </c>
      <c r="AJ211" s="42" t="str">
        <f>IFERROR(__xludf.DUMMYFUNCTION("""COMPUTED_VALUE"""),"Quiet Forest")</f>
        <v>Quiet Forest</v>
      </c>
    </row>
    <row r="212" ht="24.75" customHeight="1">
      <c r="A212" s="28">
        <f>IFERROR(__xludf.DUMMYFUNCTION("""COMPUTED_VALUE"""),3.0)</f>
        <v>3</v>
      </c>
      <c r="B212" s="28" t="str">
        <f>IFERROR(__xludf.DUMMYFUNCTION("""COMPUTED_VALUE"""),"A201")</f>
        <v>A201</v>
      </c>
      <c r="C212" s="28" t="str">
        <f>IFERROR(__xludf.DUMMYFUNCTION("""COMPUTED_VALUE"""),"SLM10")</f>
        <v>SLM10</v>
      </c>
      <c r="D212" s="29" t="str">
        <f>IFERROR(__xludf.DUMMYFUNCTION("""COMPUTED_VALUE"""),"Salem")</f>
        <v>Salem</v>
      </c>
      <c r="E212" s="30" t="str">
        <f>IFERROR(__xludf.DUMMYFUNCTION("""COMPUTED_VALUE"""),"Hideout")</f>
        <v>Hideout</v>
      </c>
      <c r="F212" s="31">
        <f>IFERROR(__xludf.DUMMYFUNCTION("""COMPUTED_VALUE"""),21.0)</f>
        <v>21</v>
      </c>
      <c r="G212" s="32">
        <f>IFERROR(__xludf.DUMMYFUNCTION("""COMPUTED_VALUE"""),10642.0)</f>
        <v>10642</v>
      </c>
      <c r="H212" s="33" t="str">
        <f>IFERROR(__xludf.DUMMYFUNCTION("""COMPUTED_VALUE"""),"")</f>
        <v/>
      </c>
      <c r="I212" s="34">
        <f>IFERROR(__xludf.DUMMYFUNCTION("""COMPUTED_VALUE"""),46.65946640237396)</f>
        <v>46.6594664</v>
      </c>
      <c r="J212" s="35" t="str">
        <f>IFERROR(__xludf.DUMMYFUNCTION("""COMPUTED_VALUE"""),"AP")</f>
        <v>AP</v>
      </c>
      <c r="K212" s="34">
        <f>IFERROR(__xludf.DUMMYFUNCTION("""COMPUTED_VALUE"""),45.00694418342417)</f>
        <v>45.00694418</v>
      </c>
      <c r="L212" s="35" t="str">
        <f>IFERROR(__xludf.DUMMYFUNCTION("""COMPUTED_VALUE"""),"%")</f>
        <v>%</v>
      </c>
      <c r="M212" s="36">
        <f>IFERROR(__xludf.DUMMYFUNCTION("""COMPUTED_VALUE"""),1.0)</f>
        <v>1</v>
      </c>
      <c r="N212" s="37" t="str">
        <f>IFERROR(__xludf.DUMMYFUNCTION("""COMPUTED_VALUE"""),"A205")</f>
        <v>A205</v>
      </c>
      <c r="O212" s="38" t="str">
        <f>IFERROR(__xludf.DUMMYFUNCTION("""COMPUTED_VALUE"""),"")</f>
        <v/>
      </c>
      <c r="P212" s="34">
        <f>IFERROR(__xludf.DUMMYFUNCTION("""COMPUTED_VALUE"""),139.99561499671125)</f>
        <v>139.995615</v>
      </c>
      <c r="Q212" s="35" t="str">
        <f>IFERROR(__xludf.DUMMYFUNCTION("""COMPUTED_VALUE"""),"AP")</f>
        <v>AP</v>
      </c>
      <c r="R212" s="34">
        <f>IFERROR(__xludf.DUMMYFUNCTION("""COMPUTED_VALUE"""),15.0004698364969)</f>
        <v>15.00046984</v>
      </c>
      <c r="S212" s="35" t="str">
        <f>IFERROR(__xludf.DUMMYFUNCTION("""COMPUTED_VALUE"""),"%")</f>
        <v>%</v>
      </c>
      <c r="T212" s="36">
        <f>IFERROR(__xludf.DUMMYFUNCTION("""COMPUTED_VALUE"""),2.0)</f>
        <v>2</v>
      </c>
      <c r="U212" s="37" t="str">
        <f>IFERROR(__xludf.DUMMYFUNCTION("""COMPUTED_VALUE"""),"B115")</f>
        <v>B115</v>
      </c>
      <c r="V212" s="38" t="str">
        <f>IFERROR(__xludf.DUMMYFUNCTION("""COMPUTED_VALUE"""),"")</f>
        <v/>
      </c>
      <c r="W212" s="34">
        <f>IFERROR(__xludf.DUMMYFUNCTION("""COMPUTED_VALUE"""),138.03126242999062)</f>
        <v>138.0312624</v>
      </c>
      <c r="X212" s="35" t="str">
        <f>IFERROR(__xludf.DUMMYFUNCTION("""COMPUTED_VALUE"""),"AP")</f>
        <v>AP</v>
      </c>
      <c r="Y212" s="34">
        <f>IFERROR(__xludf.DUMMYFUNCTION("""COMPUTED_VALUE"""),15.213944747227963)</f>
        <v>15.21394475</v>
      </c>
      <c r="Z212" s="35" t="str">
        <f>IFERROR(__xludf.DUMMYFUNCTION("""COMPUTED_VALUE"""),"%")</f>
        <v>%</v>
      </c>
      <c r="AA212" s="36">
        <f>IFERROR(__xludf.DUMMYFUNCTION("""COMPUTED_VALUE"""),3.0)</f>
        <v>3</v>
      </c>
      <c r="AB212" s="37"/>
      <c r="AC212" s="38"/>
      <c r="AD212" s="34" t="str">
        <f>IFERROR(__xludf.DUMMYFUNCTION("""COMPUTED_VALUE"""),"")</f>
        <v/>
      </c>
      <c r="AE212" s="35" t="str">
        <f>IFERROR(__xludf.DUMMYFUNCTION("""COMPUTED_VALUE"""),"AP")</f>
        <v>AP</v>
      </c>
      <c r="AF212" s="34" t="str">
        <f>IFERROR(__xludf.DUMMYFUNCTION("""COMPUTED_VALUE"""),"")</f>
        <v/>
      </c>
      <c r="AG212" s="35" t="str">
        <f>IFERROR(__xludf.DUMMYFUNCTION("""COMPUTED_VALUE"""),"%")</f>
        <v>%</v>
      </c>
      <c r="AH212" s="31">
        <f>IFERROR(__xludf.DUMMYFUNCTION("""COMPUTED_VALUE"""),21.0)</f>
        <v>21</v>
      </c>
      <c r="AI212" s="32">
        <f>IFERROR(__xludf.DUMMYFUNCTION("""COMPUTED_VALUE"""),10642.0)</f>
        <v>10642</v>
      </c>
      <c r="AJ212" s="30" t="str">
        <f>IFERROR(__xludf.DUMMYFUNCTION("""COMPUTED_VALUE"""),"Hideout")</f>
        <v>Hideout</v>
      </c>
    </row>
    <row r="213" ht="24.75" customHeight="1">
      <c r="A213" s="40">
        <f>IFERROR(__xludf.DUMMYFUNCTION("""COMPUTED_VALUE"""),4.0)</f>
        <v>4</v>
      </c>
      <c r="B213" s="40" t="str">
        <f>IFERROR(__xludf.DUMMYFUNCTION("""COMPUTED_VALUE"""),"A201")</f>
        <v>A201</v>
      </c>
      <c r="C213" s="40" t="str">
        <f>IFERROR(__xludf.DUMMYFUNCTION("""COMPUTED_VALUE"""),"SMS1")</f>
        <v>SMS1</v>
      </c>
      <c r="D213" s="41" t="str">
        <f>IFERROR(__xludf.DUMMYFUNCTION("""COMPUTED_VALUE"""),"Shimosa")</f>
        <v>Shimosa</v>
      </c>
      <c r="E213" s="42" t="str">
        <f>IFERROR(__xludf.DUMMYFUNCTION("""COMPUTED_VALUE"""),"Rice Field")</f>
        <v>Rice Field</v>
      </c>
      <c r="F213" s="43">
        <f>IFERROR(__xludf.DUMMYFUNCTION("""COMPUTED_VALUE"""),20.0)</f>
        <v>20</v>
      </c>
      <c r="G213" s="44">
        <f>IFERROR(__xludf.DUMMYFUNCTION("""COMPUTED_VALUE"""),49669.0)</f>
        <v>49669</v>
      </c>
      <c r="H213" s="33" t="str">
        <f>IFERROR(__xludf.DUMMYFUNCTION("""COMPUTED_VALUE"""),"")</f>
        <v/>
      </c>
      <c r="I213" s="45">
        <f>IFERROR(__xludf.DUMMYFUNCTION("""COMPUTED_VALUE"""),50.26818164475094)</f>
        <v>50.26818164</v>
      </c>
      <c r="J213" s="46" t="str">
        <f>IFERROR(__xludf.DUMMYFUNCTION("""COMPUTED_VALUE"""),"AP")</f>
        <v>AP</v>
      </c>
      <c r="K213" s="47">
        <f>IFERROR(__xludf.DUMMYFUNCTION("""COMPUTED_VALUE"""),39.7865992872818)</f>
        <v>39.78659929</v>
      </c>
      <c r="L213" s="48" t="str">
        <f>IFERROR(__xludf.DUMMYFUNCTION("""COMPUTED_VALUE"""),"%")</f>
        <v>%</v>
      </c>
      <c r="M213" s="49">
        <f>IFERROR(__xludf.DUMMYFUNCTION("""COMPUTED_VALUE"""),1.0)</f>
        <v>1</v>
      </c>
      <c r="N213" s="50" t="str">
        <f>IFERROR(__xludf.DUMMYFUNCTION("""COMPUTED_VALUE"""),"A202")</f>
        <v>A202</v>
      </c>
      <c r="O213" s="38" t="str">
        <f>IFERROR(__xludf.DUMMYFUNCTION("""COMPUTED_VALUE"""),"")</f>
        <v/>
      </c>
      <c r="P213" s="45">
        <f>IFERROR(__xludf.DUMMYFUNCTION("""COMPUTED_VALUE"""),77.76925052779485)</f>
        <v>77.76925053</v>
      </c>
      <c r="Q213" s="46" t="str">
        <f>IFERROR(__xludf.DUMMYFUNCTION("""COMPUTED_VALUE"""),"AP")</f>
        <v>AP</v>
      </c>
      <c r="R213" s="47">
        <f>IFERROR(__xludf.DUMMYFUNCTION("""COMPUTED_VALUE"""),25.717105236666733)</f>
        <v>25.71710524</v>
      </c>
      <c r="S213" s="48" t="str">
        <f>IFERROR(__xludf.DUMMYFUNCTION("""COMPUTED_VALUE"""),"%")</f>
        <v>%</v>
      </c>
      <c r="T213" s="49">
        <f>IFERROR(__xludf.DUMMYFUNCTION("""COMPUTED_VALUE"""),2.0)</f>
        <v>2</v>
      </c>
      <c r="U213" s="50"/>
      <c r="V213" s="38"/>
      <c r="W213" s="45" t="str">
        <f>IFERROR(__xludf.DUMMYFUNCTION("""COMPUTED_VALUE"""),"")</f>
        <v/>
      </c>
      <c r="X213" s="46" t="str">
        <f>IFERROR(__xludf.DUMMYFUNCTION("""COMPUTED_VALUE"""),"AP")</f>
        <v>AP</v>
      </c>
      <c r="Y213" s="47" t="str">
        <f>IFERROR(__xludf.DUMMYFUNCTION("""COMPUTED_VALUE"""),"")</f>
        <v/>
      </c>
      <c r="Z213" s="48" t="str">
        <f>IFERROR(__xludf.DUMMYFUNCTION("""COMPUTED_VALUE"""),"%")</f>
        <v>%</v>
      </c>
      <c r="AA213" s="49">
        <f>IFERROR(__xludf.DUMMYFUNCTION("""COMPUTED_VALUE"""),3.0)</f>
        <v>3</v>
      </c>
      <c r="AB213" s="50"/>
      <c r="AC213" s="38"/>
      <c r="AD213" s="45" t="str">
        <f>IFERROR(__xludf.DUMMYFUNCTION("""COMPUTED_VALUE"""),"")</f>
        <v/>
      </c>
      <c r="AE213" s="46" t="str">
        <f>IFERROR(__xludf.DUMMYFUNCTION("""COMPUTED_VALUE"""),"AP")</f>
        <v>AP</v>
      </c>
      <c r="AF213" s="47" t="str">
        <f>IFERROR(__xludf.DUMMYFUNCTION("""COMPUTED_VALUE"""),"")</f>
        <v/>
      </c>
      <c r="AG213" s="48" t="str">
        <f>IFERROR(__xludf.DUMMYFUNCTION("""COMPUTED_VALUE"""),"%")</f>
        <v>%</v>
      </c>
      <c r="AH213" s="43">
        <f>IFERROR(__xludf.DUMMYFUNCTION("""COMPUTED_VALUE"""),20.0)</f>
        <v>20</v>
      </c>
      <c r="AI213" s="44">
        <f>IFERROR(__xludf.DUMMYFUNCTION("""COMPUTED_VALUE"""),49669.0)</f>
        <v>49669</v>
      </c>
      <c r="AJ213" s="42" t="str">
        <f>IFERROR(__xludf.DUMMYFUNCTION("""COMPUTED_VALUE"""),"Rice Field")</f>
        <v>Rice Field</v>
      </c>
    </row>
    <row r="214" ht="24.75" customHeight="1">
      <c r="A214" s="28">
        <f>IFERROR(__xludf.DUMMYFUNCTION("""COMPUTED_VALUE"""),5.0)</f>
        <v>5</v>
      </c>
      <c r="B214" s="28" t="str">
        <f>IFERROR(__xludf.DUMMYFUNCTION("""COMPUTED_VALUE"""),"A201")</f>
        <v>A201</v>
      </c>
      <c r="C214" s="28" t="str">
        <f>IFERROR(__xludf.DUMMYFUNCTION("""COMPUTED_VALUE"""),"AGT3")</f>
        <v>AGT3</v>
      </c>
      <c r="D214" s="29" t="str">
        <f>IFERROR(__xludf.DUMMYFUNCTION("""COMPUTED_VALUE"""),"Agartha")</f>
        <v>Agartha</v>
      </c>
      <c r="E214" s="30" t="str">
        <f>IFERROR(__xludf.DUMMYFUNCTION("""COMPUTED_VALUE"""),"Riverside Town")</f>
        <v>Riverside Town</v>
      </c>
      <c r="F214" s="31">
        <f>IFERROR(__xludf.DUMMYFUNCTION("""COMPUTED_VALUE"""),20.0)</f>
        <v>20</v>
      </c>
      <c r="G214" s="32">
        <f>IFERROR(__xludf.DUMMYFUNCTION("""COMPUTED_VALUE"""),20803.0)</f>
        <v>20803</v>
      </c>
      <c r="H214" s="33" t="str">
        <f>IFERROR(__xludf.DUMMYFUNCTION("""COMPUTED_VALUE"""),"")</f>
        <v/>
      </c>
      <c r="I214" s="34">
        <f>IFERROR(__xludf.DUMMYFUNCTION("""COMPUTED_VALUE"""),50.59959166180608)</f>
        <v>50.59959166</v>
      </c>
      <c r="J214" s="35" t="str">
        <f>IFERROR(__xludf.DUMMYFUNCTION("""COMPUTED_VALUE"""),"AP")</f>
        <v>AP</v>
      </c>
      <c r="K214" s="34">
        <f>IFERROR(__xludf.DUMMYFUNCTION("""COMPUTED_VALUE"""),39.526010671537755)</f>
        <v>39.52601067</v>
      </c>
      <c r="L214" s="35" t="str">
        <f>IFERROR(__xludf.DUMMYFUNCTION("""COMPUTED_VALUE"""),"%")</f>
        <v>%</v>
      </c>
      <c r="M214" s="36">
        <f>IFERROR(__xludf.DUMMYFUNCTION("""COMPUTED_VALUE"""),1.0)</f>
        <v>1</v>
      </c>
      <c r="N214" s="37" t="str">
        <f>IFERROR(__xludf.DUMMYFUNCTION("""COMPUTED_VALUE"""),"A205")</f>
        <v>A205</v>
      </c>
      <c r="O214" s="38" t="str">
        <f>IFERROR(__xludf.DUMMYFUNCTION("""COMPUTED_VALUE"""),"")</f>
        <v/>
      </c>
      <c r="P214" s="34">
        <f>IFERROR(__xludf.DUMMYFUNCTION("""COMPUTED_VALUE"""),97.54142028508166)</f>
        <v>97.54142029</v>
      </c>
      <c r="Q214" s="35" t="str">
        <f>IFERROR(__xludf.DUMMYFUNCTION("""COMPUTED_VALUE"""),"AP")</f>
        <v>AP</v>
      </c>
      <c r="R214" s="34">
        <f>IFERROR(__xludf.DUMMYFUNCTION("""COMPUTED_VALUE"""),20.504109886391387)</f>
        <v>20.50410989</v>
      </c>
      <c r="S214" s="35" t="str">
        <f>IFERROR(__xludf.DUMMYFUNCTION("""COMPUTED_VALUE"""),"%")</f>
        <v>%</v>
      </c>
      <c r="T214" s="36">
        <f>IFERROR(__xludf.DUMMYFUNCTION("""COMPUTED_VALUE"""),2.0)</f>
        <v>2</v>
      </c>
      <c r="U214" s="37" t="str">
        <f>IFERROR(__xludf.DUMMYFUNCTION("""COMPUTED_VALUE"""),"B101")</f>
        <v>B101</v>
      </c>
      <c r="V214" s="38" t="str">
        <f>IFERROR(__xludf.DUMMYFUNCTION("""COMPUTED_VALUE"""),"")</f>
        <v/>
      </c>
      <c r="W214" s="34">
        <f>IFERROR(__xludf.DUMMYFUNCTION("""COMPUTED_VALUE"""),584.882955932051)</f>
        <v>584.8829559</v>
      </c>
      <c r="X214" s="35" t="str">
        <f>IFERROR(__xludf.DUMMYFUNCTION("""COMPUTED_VALUE"""),"AP")</f>
        <v>AP</v>
      </c>
      <c r="Y214" s="34">
        <f>IFERROR(__xludf.DUMMYFUNCTION("""COMPUTED_VALUE"""),3.419487573907609)</f>
        <v>3.419487574</v>
      </c>
      <c r="Z214" s="35" t="str">
        <f>IFERROR(__xludf.DUMMYFUNCTION("""COMPUTED_VALUE"""),"%")</f>
        <v>%</v>
      </c>
      <c r="AA214" s="36">
        <f>IFERROR(__xludf.DUMMYFUNCTION("""COMPUTED_VALUE"""),3.0)</f>
        <v>3</v>
      </c>
      <c r="AB214" s="37" t="str">
        <f>IFERROR(__xludf.DUMMYFUNCTION("""COMPUTED_VALUE"""),"B111")</f>
        <v>B111</v>
      </c>
      <c r="AC214" s="38" t="str">
        <f>IFERROR(__xludf.DUMMYFUNCTION("""COMPUTED_VALUE"""),"")</f>
        <v/>
      </c>
      <c r="AD214" s="34">
        <f>IFERROR(__xludf.DUMMYFUNCTION("""COMPUTED_VALUE"""),134.57033941119732)</f>
        <v>134.5703394</v>
      </c>
      <c r="AE214" s="35" t="str">
        <f>IFERROR(__xludf.DUMMYFUNCTION("""COMPUTED_VALUE"""),"AP")</f>
        <v>AP</v>
      </c>
      <c r="AF214" s="34">
        <f>IFERROR(__xludf.DUMMYFUNCTION("""COMPUTED_VALUE"""),14.862116040955634)</f>
        <v>14.86211604</v>
      </c>
      <c r="AG214" s="35" t="str">
        <f>IFERROR(__xludf.DUMMYFUNCTION("""COMPUTED_VALUE"""),"%")</f>
        <v>%</v>
      </c>
      <c r="AH214" s="31">
        <f>IFERROR(__xludf.DUMMYFUNCTION("""COMPUTED_VALUE"""),20.0)</f>
        <v>20</v>
      </c>
      <c r="AI214" s="32">
        <f>IFERROR(__xludf.DUMMYFUNCTION("""COMPUTED_VALUE"""),20803.0)</f>
        <v>20803</v>
      </c>
      <c r="AJ214" s="30" t="str">
        <f>IFERROR(__xludf.DUMMYFUNCTION("""COMPUTED_VALUE"""),"Riverside Town")</f>
        <v>Riverside Town</v>
      </c>
    </row>
    <row r="215" ht="24.75" customHeight="1">
      <c r="A215" s="40">
        <f>IFERROR(__xludf.DUMMYFUNCTION("""COMPUTED_VALUE"""),6.0)</f>
        <v>6</v>
      </c>
      <c r="B215" s="40" t="str">
        <f>IFERROR(__xludf.DUMMYFUNCTION("""COMPUTED_VALUE"""),"A201")</f>
        <v>A201</v>
      </c>
      <c r="C215" s="40" t="str">
        <f>IFERROR(__xludf.DUMMYFUNCTION("""COMPUTED_VALUE"""),"BBL3")</f>
        <v>BBL3</v>
      </c>
      <c r="D215" s="41" t="str">
        <f>IFERROR(__xludf.DUMMYFUNCTION("""COMPUTED_VALUE"""),"Babylonia")</f>
        <v>Babylonia</v>
      </c>
      <c r="E215" s="42" t="str">
        <f>IFERROR(__xludf.DUMMYFUNCTION("""COMPUTED_VALUE"""),"Black Cedar Forest")</f>
        <v>Black Cedar Forest</v>
      </c>
      <c r="F215" s="43">
        <f>IFERROR(__xludf.DUMMYFUNCTION("""COMPUTED_VALUE"""),20.0)</f>
        <v>20</v>
      </c>
      <c r="G215" s="44">
        <f>IFERROR(__xludf.DUMMYFUNCTION("""COMPUTED_VALUE"""),1979.0)</f>
        <v>1979</v>
      </c>
      <c r="H215" s="33" t="str">
        <f>IFERROR(__xludf.DUMMYFUNCTION("""COMPUTED_VALUE"""),"")</f>
        <v/>
      </c>
      <c r="I215" s="45">
        <f>IFERROR(__xludf.DUMMYFUNCTION("""COMPUTED_VALUE"""),58.60612773115216)</f>
        <v>58.60612773</v>
      </c>
      <c r="J215" s="46" t="str">
        <f>IFERROR(__xludf.DUMMYFUNCTION("""COMPUTED_VALUE"""),"AP")</f>
        <v>AP</v>
      </c>
      <c r="K215" s="47">
        <f>IFERROR(__xludf.DUMMYFUNCTION("""COMPUTED_VALUE"""),34.126124305204655)</f>
        <v>34.12612431</v>
      </c>
      <c r="L215" s="48" t="str">
        <f>IFERROR(__xludf.DUMMYFUNCTION("""COMPUTED_VALUE"""),"%")</f>
        <v>%</v>
      </c>
      <c r="M215" s="49">
        <f>IFERROR(__xludf.DUMMYFUNCTION("""COMPUTED_VALUE"""),1.0)</f>
        <v>1</v>
      </c>
      <c r="N215" s="50" t="str">
        <f>IFERROR(__xludf.DUMMYFUNCTION("""COMPUTED_VALUE"""),"A110")</f>
        <v>A110</v>
      </c>
      <c r="O215" s="38" t="str">
        <f>IFERROR(__xludf.DUMMYFUNCTION("""COMPUTED_VALUE"""),"")</f>
        <v/>
      </c>
      <c r="P215" s="45">
        <f>IFERROR(__xludf.DUMMYFUNCTION("""COMPUTED_VALUE"""),151.74751177020872)</f>
        <v>151.7475118</v>
      </c>
      <c r="Q215" s="46" t="str">
        <f>IFERROR(__xludf.DUMMYFUNCTION("""COMPUTED_VALUE"""),"AP")</f>
        <v>AP</v>
      </c>
      <c r="R215" s="47">
        <f>IFERROR(__xludf.DUMMYFUNCTION("""COMPUTED_VALUE"""),13.17978777160182)</f>
        <v>13.17978777</v>
      </c>
      <c r="S215" s="48" t="str">
        <f>IFERROR(__xludf.DUMMYFUNCTION("""COMPUTED_VALUE"""),"%")</f>
        <v>%</v>
      </c>
      <c r="T215" s="49">
        <f>IFERROR(__xludf.DUMMYFUNCTION("""COMPUTED_VALUE"""),2.0)</f>
        <v>2</v>
      </c>
      <c r="U215" s="50" t="str">
        <f>IFERROR(__xludf.DUMMYFUNCTION("""COMPUTED_VALUE"""),"B114")</f>
        <v>B114</v>
      </c>
      <c r="V215" s="38" t="str">
        <f>IFERROR(__xludf.DUMMYFUNCTION("""COMPUTED_VALUE"""),"")</f>
        <v/>
      </c>
      <c r="W215" s="45">
        <f>IFERROR(__xludf.DUMMYFUNCTION("""COMPUTED_VALUE"""),227.76447840898632)</f>
        <v>227.7644784</v>
      </c>
      <c r="X215" s="46" t="str">
        <f>IFERROR(__xludf.DUMMYFUNCTION("""COMPUTED_VALUE"""),"AP")</f>
        <v>AP</v>
      </c>
      <c r="Y215" s="47">
        <f>IFERROR(__xludf.DUMMYFUNCTION("""COMPUTED_VALUE"""),8.781000505305709)</f>
        <v>8.781000505</v>
      </c>
      <c r="Z215" s="48" t="str">
        <f>IFERROR(__xludf.DUMMYFUNCTION("""COMPUTED_VALUE"""),"%")</f>
        <v>%</v>
      </c>
      <c r="AA215" s="49">
        <f>IFERROR(__xludf.DUMMYFUNCTION("""COMPUTED_VALUE"""),3.0)</f>
        <v>3</v>
      </c>
      <c r="AB215" s="50"/>
      <c r="AC215" s="38"/>
      <c r="AD215" s="45" t="str">
        <f>IFERROR(__xludf.DUMMYFUNCTION("""COMPUTED_VALUE"""),"")</f>
        <v/>
      </c>
      <c r="AE215" s="46" t="str">
        <f>IFERROR(__xludf.DUMMYFUNCTION("""COMPUTED_VALUE"""),"AP")</f>
        <v>AP</v>
      </c>
      <c r="AF215" s="47" t="str">
        <f>IFERROR(__xludf.DUMMYFUNCTION("""COMPUTED_VALUE"""),"")</f>
        <v/>
      </c>
      <c r="AG215" s="48" t="str">
        <f>IFERROR(__xludf.DUMMYFUNCTION("""COMPUTED_VALUE"""),"%")</f>
        <v>%</v>
      </c>
      <c r="AH215" s="43">
        <f>IFERROR(__xludf.DUMMYFUNCTION("""COMPUTED_VALUE"""),20.0)</f>
        <v>20</v>
      </c>
      <c r="AI215" s="44">
        <f>IFERROR(__xludf.DUMMYFUNCTION("""COMPUTED_VALUE"""),1979.0)</f>
        <v>1979</v>
      </c>
      <c r="AJ215" s="42" t="str">
        <f>IFERROR(__xludf.DUMMYFUNCTION("""COMPUTED_VALUE"""),"Black Cedar Forest")</f>
        <v>Black Cedar Forest</v>
      </c>
    </row>
    <row r="216" ht="24.75" customHeight="1">
      <c r="A216" s="28">
        <f>IFERROR(__xludf.DUMMYFUNCTION("""COMPUTED_VALUE"""),7.0)</f>
        <v>7</v>
      </c>
      <c r="B216" s="28" t="str">
        <f>IFERROR(__xludf.DUMMYFUNCTION("""COMPUTED_VALUE"""),"A201")</f>
        <v>A201</v>
      </c>
      <c r="C216" s="28" t="str">
        <f>IFERROR(__xludf.DUMMYFUNCTION("""COMPUTED_VALUE"""),"SMS2")</f>
        <v>SMS2</v>
      </c>
      <c r="D216" s="29" t="str">
        <f>IFERROR(__xludf.DUMMYFUNCTION("""COMPUTED_VALUE"""),"Shimosa")</f>
        <v>Shimosa</v>
      </c>
      <c r="E216" s="30" t="str">
        <f>IFERROR(__xludf.DUMMYFUNCTION("""COMPUTED_VALUE"""),"Village")</f>
        <v>Village</v>
      </c>
      <c r="F216" s="31">
        <f>IFERROR(__xludf.DUMMYFUNCTION("""COMPUTED_VALUE"""),21.0)</f>
        <v>21</v>
      </c>
      <c r="G216" s="32">
        <f>IFERROR(__xludf.DUMMYFUNCTION("""COMPUTED_VALUE"""),26525.0)</f>
        <v>26525</v>
      </c>
      <c r="H216" s="33" t="str">
        <f>IFERROR(__xludf.DUMMYFUNCTION("""COMPUTED_VALUE"""),"")</f>
        <v/>
      </c>
      <c r="I216" s="34">
        <f>IFERROR(__xludf.DUMMYFUNCTION("""COMPUTED_VALUE"""),59.70226519734946)</f>
        <v>59.7022652</v>
      </c>
      <c r="J216" s="35" t="str">
        <f>IFERROR(__xludf.DUMMYFUNCTION("""COMPUTED_VALUE"""),"AP")</f>
        <v>AP</v>
      </c>
      <c r="K216" s="34">
        <f>IFERROR(__xludf.DUMMYFUNCTION("""COMPUTED_VALUE"""),35.17454476908577)</f>
        <v>35.17454477</v>
      </c>
      <c r="L216" s="35" t="str">
        <f>IFERROR(__xludf.DUMMYFUNCTION("""COMPUTED_VALUE"""),"%")</f>
        <v>%</v>
      </c>
      <c r="M216" s="36">
        <f>IFERROR(__xludf.DUMMYFUNCTION("""COMPUTED_VALUE"""),1.0)</f>
        <v>1</v>
      </c>
      <c r="N216" s="37" t="str">
        <f>IFERROR(__xludf.DUMMYFUNCTION("""COMPUTED_VALUE"""),"A212")</f>
        <v>A212</v>
      </c>
      <c r="O216" s="38" t="str">
        <f>IFERROR(__xludf.DUMMYFUNCTION("""COMPUTED_VALUE"""),"")</f>
        <v/>
      </c>
      <c r="P216" s="34">
        <f>IFERROR(__xludf.DUMMYFUNCTION("""COMPUTED_VALUE"""),82.72694383255987)</f>
        <v>82.72694383</v>
      </c>
      <c r="Q216" s="35" t="str">
        <f>IFERROR(__xludf.DUMMYFUNCTION("""COMPUTED_VALUE"""),"AP")</f>
        <v>AP</v>
      </c>
      <c r="R216" s="34">
        <f>IFERROR(__xludf.DUMMYFUNCTION("""COMPUTED_VALUE"""),25.38471630537229)</f>
        <v>25.38471631</v>
      </c>
      <c r="S216" s="35" t="str">
        <f>IFERROR(__xludf.DUMMYFUNCTION("""COMPUTED_VALUE"""),"%")</f>
        <v>%</v>
      </c>
      <c r="T216" s="36">
        <f>IFERROR(__xludf.DUMMYFUNCTION("""COMPUTED_VALUE"""),2.0)</f>
        <v>2</v>
      </c>
      <c r="U216" s="37" t="str">
        <f>IFERROR(__xludf.DUMMYFUNCTION("""COMPUTED_VALUE"""),"A304")</f>
        <v>A304</v>
      </c>
      <c r="V216" s="38" t="str">
        <f>IFERROR(__xludf.DUMMYFUNCTION("""COMPUTED_VALUE"""),"")</f>
        <v/>
      </c>
      <c r="W216" s="34">
        <f>IFERROR(__xludf.DUMMYFUNCTION("""COMPUTED_VALUE"""),69.34060418474793)</f>
        <v>69.34060418</v>
      </c>
      <c r="X216" s="35" t="str">
        <f>IFERROR(__xludf.DUMMYFUNCTION("""COMPUTED_VALUE"""),"AP")</f>
        <v>AP</v>
      </c>
      <c r="Y216" s="34">
        <f>IFERROR(__xludf.DUMMYFUNCTION("""COMPUTED_VALUE"""),30.28528557964185)</f>
        <v>30.28528558</v>
      </c>
      <c r="Z216" s="35" t="str">
        <f>IFERROR(__xludf.DUMMYFUNCTION("""COMPUTED_VALUE"""),"%")</f>
        <v>%</v>
      </c>
      <c r="AA216" s="36">
        <f>IFERROR(__xludf.DUMMYFUNCTION("""COMPUTED_VALUE"""),3.0)</f>
        <v>3</v>
      </c>
      <c r="AB216" s="37" t="str">
        <f>IFERROR(__xludf.DUMMYFUNCTION("""COMPUTED_VALUE"""),"B111")</f>
        <v>B111</v>
      </c>
      <c r="AC216" s="38" t="str">
        <f>IFERROR(__xludf.DUMMYFUNCTION("""COMPUTED_VALUE"""),"")</f>
        <v/>
      </c>
      <c r="AD216" s="34">
        <f>IFERROR(__xludf.DUMMYFUNCTION("""COMPUTED_VALUE"""),119.44410048651937)</f>
        <v>119.4441005</v>
      </c>
      <c r="AE216" s="35" t="str">
        <f>IFERROR(__xludf.DUMMYFUNCTION("""COMPUTED_VALUE"""),"AP")</f>
        <v>AP</v>
      </c>
      <c r="AF216" s="34">
        <f>IFERROR(__xludf.DUMMYFUNCTION("""COMPUTED_VALUE"""),17.581445977208467)</f>
        <v>17.58144598</v>
      </c>
      <c r="AG216" s="35" t="str">
        <f>IFERROR(__xludf.DUMMYFUNCTION("""COMPUTED_VALUE"""),"%")</f>
        <v>%</v>
      </c>
      <c r="AH216" s="31">
        <f>IFERROR(__xludf.DUMMYFUNCTION("""COMPUTED_VALUE"""),21.0)</f>
        <v>21</v>
      </c>
      <c r="AI216" s="32">
        <f>IFERROR(__xludf.DUMMYFUNCTION("""COMPUTED_VALUE"""),26525.0)</f>
        <v>26525</v>
      </c>
      <c r="AJ216" s="30" t="str">
        <f>IFERROR(__xludf.DUMMYFUNCTION("""COMPUTED_VALUE"""),"Village")</f>
        <v>Village</v>
      </c>
    </row>
    <row r="217" ht="24.75" customHeight="1">
      <c r="A217" s="40">
        <f>IFERROR(__xludf.DUMMYFUNCTION("""COMPUTED_VALUE"""),8.0)</f>
        <v>8</v>
      </c>
      <c r="B217" s="40" t="str">
        <f>IFERROR(__xludf.DUMMYFUNCTION("""COMPUTED_VALUE"""),"A201")</f>
        <v>A201</v>
      </c>
      <c r="C217" s="40" t="str">
        <f>IFERROR(__xludf.DUMMYFUNCTION("""COMPUTED_VALUE"""),"OKN12")</f>
        <v>OKN12</v>
      </c>
      <c r="D217" s="41" t="str">
        <f>IFERROR(__xludf.DUMMYFUNCTION("""COMPUTED_VALUE"""),"Okeanos")</f>
        <v>Okeanos</v>
      </c>
      <c r="E217" s="42" t="str">
        <f>IFERROR(__xludf.DUMMYFUNCTION("""COMPUTED_VALUE"""),"Bountiful Sea")</f>
        <v>Bountiful Sea</v>
      </c>
      <c r="F217" s="43">
        <f>IFERROR(__xludf.DUMMYFUNCTION("""COMPUTED_VALUE"""),18.0)</f>
        <v>18</v>
      </c>
      <c r="G217" s="44">
        <f>IFERROR(__xludf.DUMMYFUNCTION("""COMPUTED_VALUE"""),19412.0)</f>
        <v>19412</v>
      </c>
      <c r="H217" s="33" t="str">
        <f>IFERROR(__xludf.DUMMYFUNCTION("""COMPUTED_VALUE"""),"")</f>
        <v/>
      </c>
      <c r="I217" s="45">
        <f>IFERROR(__xludf.DUMMYFUNCTION("""COMPUTED_VALUE"""),59.72208453689302)</f>
        <v>59.72208454</v>
      </c>
      <c r="J217" s="46" t="str">
        <f>IFERROR(__xludf.DUMMYFUNCTION("""COMPUTED_VALUE"""),"AP")</f>
        <v>AP</v>
      </c>
      <c r="K217" s="47">
        <f>IFERROR(__xludf.DUMMYFUNCTION("""COMPUTED_VALUE"""),30.139604368431897)</f>
        <v>30.13960437</v>
      </c>
      <c r="L217" s="48" t="str">
        <f>IFERROR(__xludf.DUMMYFUNCTION("""COMPUTED_VALUE"""),"%")</f>
        <v>%</v>
      </c>
      <c r="M217" s="49">
        <f>IFERROR(__xludf.DUMMYFUNCTION("""COMPUTED_VALUE"""),1.0)</f>
        <v>1</v>
      </c>
      <c r="N217" s="50" t="str">
        <f>IFERROR(__xludf.DUMMYFUNCTION("""COMPUTED_VALUE"""),"A205")</f>
        <v>A205</v>
      </c>
      <c r="O217" s="38" t="str">
        <f>IFERROR(__xludf.DUMMYFUNCTION("""COMPUTED_VALUE"""),"")</f>
        <v/>
      </c>
      <c r="P217" s="45">
        <f>IFERROR(__xludf.DUMMYFUNCTION("""COMPUTED_VALUE"""),190.65578439749748)</f>
        <v>190.6557844</v>
      </c>
      <c r="Q217" s="46" t="str">
        <f>IFERROR(__xludf.DUMMYFUNCTION("""COMPUTED_VALUE"""),"AP")</f>
        <v>AP</v>
      </c>
      <c r="R217" s="47">
        <f>IFERROR(__xludf.DUMMYFUNCTION("""COMPUTED_VALUE"""),9.4410982897177)</f>
        <v>9.44109829</v>
      </c>
      <c r="S217" s="48" t="str">
        <f>IFERROR(__xludf.DUMMYFUNCTION("""COMPUTED_VALUE"""),"%")</f>
        <v>%</v>
      </c>
      <c r="T217" s="49">
        <f>IFERROR(__xludf.DUMMYFUNCTION("""COMPUTED_VALUE"""),2.0)</f>
        <v>2</v>
      </c>
      <c r="U217" s="50" t="str">
        <f>IFERROR(__xludf.DUMMYFUNCTION("""COMPUTED_VALUE"""),"B112")</f>
        <v>B112</v>
      </c>
      <c r="V217" s="38" t="str">
        <f>IFERROR(__xludf.DUMMYFUNCTION("""COMPUTED_VALUE"""),"")</f>
        <v/>
      </c>
      <c r="W217" s="45">
        <f>IFERROR(__xludf.DUMMYFUNCTION("""COMPUTED_VALUE"""),181.52423502519608)</f>
        <v>181.524235</v>
      </c>
      <c r="X217" s="46" t="str">
        <f>IFERROR(__xludf.DUMMYFUNCTION("""COMPUTED_VALUE"""),"AP")</f>
        <v>AP</v>
      </c>
      <c r="Y217" s="47">
        <f>IFERROR(__xludf.DUMMYFUNCTION("""COMPUTED_VALUE"""),9.916031320832476)</f>
        <v>9.916031321</v>
      </c>
      <c r="Z217" s="48" t="str">
        <f>IFERROR(__xludf.DUMMYFUNCTION("""COMPUTED_VALUE"""),"%")</f>
        <v>%</v>
      </c>
      <c r="AA217" s="49">
        <f>IFERROR(__xludf.DUMMYFUNCTION("""COMPUTED_VALUE"""),3.0)</f>
        <v>3</v>
      </c>
      <c r="AB217" s="50" t="str">
        <f>IFERROR(__xludf.DUMMYFUNCTION("""COMPUTED_VALUE"""),"B113")</f>
        <v>B113</v>
      </c>
      <c r="AC217" s="38" t="str">
        <f>IFERROR(__xludf.DUMMYFUNCTION("""COMPUTED_VALUE"""),"")</f>
        <v/>
      </c>
      <c r="AD217" s="45">
        <f>IFERROR(__xludf.DUMMYFUNCTION("""COMPUTED_VALUE"""),356.1293952294708)</f>
        <v>356.1293952</v>
      </c>
      <c r="AE217" s="46" t="str">
        <f>IFERROR(__xludf.DUMMYFUNCTION("""COMPUTED_VALUE"""),"AP")</f>
        <v>AP</v>
      </c>
      <c r="AF217" s="47">
        <f>IFERROR(__xludf.DUMMYFUNCTION("""COMPUTED_VALUE"""),5.054342674634246)</f>
        <v>5.054342675</v>
      </c>
      <c r="AG217" s="48" t="str">
        <f>IFERROR(__xludf.DUMMYFUNCTION("""COMPUTED_VALUE"""),"%")</f>
        <v>%</v>
      </c>
      <c r="AH217" s="43">
        <f>IFERROR(__xludf.DUMMYFUNCTION("""COMPUTED_VALUE"""),18.0)</f>
        <v>18</v>
      </c>
      <c r="AI217" s="44">
        <f>IFERROR(__xludf.DUMMYFUNCTION("""COMPUTED_VALUE"""),19412.0)</f>
        <v>19412</v>
      </c>
      <c r="AJ217" s="42" t="str">
        <f>IFERROR(__xludf.DUMMYFUNCTION("""COMPUTED_VALUE"""),"Bountiful Sea")</f>
        <v>Bountiful Sea</v>
      </c>
    </row>
    <row r="218" ht="24.75" customHeight="1">
      <c r="A218" s="28">
        <f>IFERROR(__xludf.DUMMYFUNCTION("""COMPUTED_VALUE"""),9.0)</f>
        <v>9</v>
      </c>
      <c r="B218" s="28" t="str">
        <f>IFERROR(__xludf.DUMMYFUNCTION("""COMPUTED_VALUE"""),"A201")</f>
        <v>A201</v>
      </c>
      <c r="C218" s="28" t="str">
        <f>IFERROR(__xludf.DUMMYFUNCTION("""COMPUTED_VALUE"""),"SLM8")</f>
        <v>SLM8</v>
      </c>
      <c r="D218" s="29" t="str">
        <f>IFERROR(__xludf.DUMMYFUNCTION("""COMPUTED_VALUE"""),"Salem")</f>
        <v>Salem</v>
      </c>
      <c r="E218" s="30" t="str">
        <f>IFERROR(__xludf.DUMMYFUNCTION("""COMPUTED_VALUE"""),"Meadow")</f>
        <v>Meadow</v>
      </c>
      <c r="F218" s="31">
        <f>IFERROR(__xludf.DUMMYFUNCTION("""COMPUTED_VALUE"""),21.0)</f>
        <v>21</v>
      </c>
      <c r="G218" s="32">
        <f>IFERROR(__xludf.DUMMYFUNCTION("""COMPUTED_VALUE"""),18206.0)</f>
        <v>18206</v>
      </c>
      <c r="H218" s="33" t="str">
        <f>IFERROR(__xludf.DUMMYFUNCTION("""COMPUTED_VALUE"""),"")</f>
        <v/>
      </c>
      <c r="I218" s="34">
        <f>IFERROR(__xludf.DUMMYFUNCTION("""COMPUTED_VALUE"""),59.89374009639056)</f>
        <v>59.8937401</v>
      </c>
      <c r="J218" s="35" t="str">
        <f>IFERROR(__xludf.DUMMYFUNCTION("""COMPUTED_VALUE"""),"AP")</f>
        <v>AP</v>
      </c>
      <c r="K218" s="34">
        <f>IFERROR(__xludf.DUMMYFUNCTION("""COMPUTED_VALUE"""),35.062094913764696)</f>
        <v>35.06209491</v>
      </c>
      <c r="L218" s="35" t="str">
        <f>IFERROR(__xludf.DUMMYFUNCTION("""COMPUTED_VALUE"""),"%")</f>
        <v>%</v>
      </c>
      <c r="M218" s="36">
        <f>IFERROR(__xludf.DUMMYFUNCTION("""COMPUTED_VALUE"""),1.0)</f>
        <v>1</v>
      </c>
      <c r="N218" s="37" t="str">
        <f>IFERROR(__xludf.DUMMYFUNCTION("""COMPUTED_VALUE"""),"A308")</f>
        <v>A308</v>
      </c>
      <c r="O218" s="38" t="str">
        <f>IFERROR(__xludf.DUMMYFUNCTION("""COMPUTED_VALUE"""),"")</f>
        <v/>
      </c>
      <c r="P218" s="34">
        <f>IFERROR(__xludf.DUMMYFUNCTION("""COMPUTED_VALUE"""),52.408207913334266)</f>
        <v>52.40820791</v>
      </c>
      <c r="Q218" s="35" t="str">
        <f>IFERROR(__xludf.DUMMYFUNCTION("""COMPUTED_VALUE"""),"AP")</f>
        <v>AP</v>
      </c>
      <c r="R218" s="34">
        <f>IFERROR(__xludf.DUMMYFUNCTION("""COMPUTED_VALUE"""),40.07005932110293)</f>
        <v>40.07005932</v>
      </c>
      <c r="S218" s="35" t="str">
        <f>IFERROR(__xludf.DUMMYFUNCTION("""COMPUTED_VALUE"""),"%")</f>
        <v>%</v>
      </c>
      <c r="T218" s="36">
        <f>IFERROR(__xludf.DUMMYFUNCTION("""COMPUTED_VALUE"""),2.0)</f>
        <v>2</v>
      </c>
      <c r="U218" s="37"/>
      <c r="V218" s="38"/>
      <c r="W218" s="34" t="str">
        <f>IFERROR(__xludf.DUMMYFUNCTION("""COMPUTED_VALUE"""),"")</f>
        <v/>
      </c>
      <c r="X218" s="35" t="str">
        <f>IFERROR(__xludf.DUMMYFUNCTION("""COMPUTED_VALUE"""),"AP")</f>
        <v>AP</v>
      </c>
      <c r="Y218" s="34" t="str">
        <f>IFERROR(__xludf.DUMMYFUNCTION("""COMPUTED_VALUE"""),"")</f>
        <v/>
      </c>
      <c r="Z218" s="35" t="str">
        <f>IFERROR(__xludf.DUMMYFUNCTION("""COMPUTED_VALUE"""),"%")</f>
        <v>%</v>
      </c>
      <c r="AA218" s="36">
        <f>IFERROR(__xludf.DUMMYFUNCTION("""COMPUTED_VALUE"""),3.0)</f>
        <v>3</v>
      </c>
      <c r="AB218" s="37"/>
      <c r="AC218" s="38"/>
      <c r="AD218" s="34" t="str">
        <f>IFERROR(__xludf.DUMMYFUNCTION("""COMPUTED_VALUE"""),"")</f>
        <v/>
      </c>
      <c r="AE218" s="35" t="str">
        <f>IFERROR(__xludf.DUMMYFUNCTION("""COMPUTED_VALUE"""),"AP")</f>
        <v>AP</v>
      </c>
      <c r="AF218" s="34" t="str">
        <f>IFERROR(__xludf.DUMMYFUNCTION("""COMPUTED_VALUE"""),"")</f>
        <v/>
      </c>
      <c r="AG218" s="35" t="str">
        <f>IFERROR(__xludf.DUMMYFUNCTION("""COMPUTED_VALUE"""),"%")</f>
        <v>%</v>
      </c>
      <c r="AH218" s="31">
        <f>IFERROR(__xludf.DUMMYFUNCTION("""COMPUTED_VALUE"""),21.0)</f>
        <v>21</v>
      </c>
      <c r="AI218" s="32">
        <f>IFERROR(__xludf.DUMMYFUNCTION("""COMPUTED_VALUE"""),18206.0)</f>
        <v>18206</v>
      </c>
      <c r="AJ218" s="30" t="str">
        <f>IFERROR(__xludf.DUMMYFUNCTION("""COMPUTED_VALUE"""),"Meadow")</f>
        <v>Meadow</v>
      </c>
    </row>
    <row r="219" ht="24.75" customHeight="1">
      <c r="A219" s="40">
        <f>IFERROR(__xludf.DUMMYFUNCTION("""COMPUTED_VALUE"""),10.0)</f>
        <v>10</v>
      </c>
      <c r="B219" s="40" t="str">
        <f>IFERROR(__xludf.DUMMYFUNCTION("""COMPUTED_VALUE"""),"A201")</f>
        <v>A201</v>
      </c>
      <c r="C219" s="40" t="str">
        <f>IFERROR(__xludf.DUMMYFUNCTION("""COMPUTED_VALUE"""),"SIN3")</f>
        <v>SIN3</v>
      </c>
      <c r="D219" s="41" t="str">
        <f>IFERROR(__xludf.DUMMYFUNCTION("""COMPUTED_VALUE"""),"SIN")</f>
        <v>SIN</v>
      </c>
      <c r="E219" s="42" t="str">
        <f>IFERROR(__xludf.DUMMYFUNCTION("""COMPUTED_VALUE"""),"Icy Cave")</f>
        <v>Icy Cave</v>
      </c>
      <c r="F219" s="43">
        <f>IFERROR(__xludf.DUMMYFUNCTION("""COMPUTED_VALUE"""),20.0)</f>
        <v>20</v>
      </c>
      <c r="G219" s="44">
        <f>IFERROR(__xludf.DUMMYFUNCTION("""COMPUTED_VALUE"""),1927.0)</f>
        <v>1927</v>
      </c>
      <c r="H219" s="33" t="str">
        <f>IFERROR(__xludf.DUMMYFUNCTION("""COMPUTED_VALUE"""),"")</f>
        <v/>
      </c>
      <c r="I219" s="45">
        <f>IFERROR(__xludf.DUMMYFUNCTION("""COMPUTED_VALUE"""),60.14732505150134)</f>
        <v>60.14732505</v>
      </c>
      <c r="J219" s="46" t="str">
        <f>IFERROR(__xludf.DUMMYFUNCTION("""COMPUTED_VALUE"""),"AP")</f>
        <v>AP</v>
      </c>
      <c r="K219" s="47">
        <f>IFERROR(__xludf.DUMMYFUNCTION("""COMPUTED_VALUE"""),33.251686559418786)</f>
        <v>33.25168656</v>
      </c>
      <c r="L219" s="48" t="str">
        <f>IFERROR(__xludf.DUMMYFUNCTION("""COMPUTED_VALUE"""),"%")</f>
        <v>%</v>
      </c>
      <c r="M219" s="49">
        <f>IFERROR(__xludf.DUMMYFUNCTION("""COMPUTED_VALUE"""),1.0)</f>
        <v>1</v>
      </c>
      <c r="N219" s="50" t="str">
        <f>IFERROR(__xludf.DUMMYFUNCTION("""COMPUTED_VALUE"""),"A112")</f>
        <v>A112</v>
      </c>
      <c r="O219" s="38" t="str">
        <f>IFERROR(__xludf.DUMMYFUNCTION("""COMPUTED_VALUE"""),"")</f>
        <v/>
      </c>
      <c r="P219" s="45">
        <f>IFERROR(__xludf.DUMMYFUNCTION("""COMPUTED_VALUE"""),196.5604471826676)</f>
        <v>196.5604472</v>
      </c>
      <c r="Q219" s="46" t="str">
        <f>IFERROR(__xludf.DUMMYFUNCTION("""COMPUTED_VALUE"""),"AP")</f>
        <v>AP</v>
      </c>
      <c r="R219" s="47">
        <f>IFERROR(__xludf.DUMMYFUNCTION("""COMPUTED_VALUE"""),10.17498702646601)</f>
        <v>10.17498703</v>
      </c>
      <c r="S219" s="48" t="str">
        <f>IFERROR(__xludf.DUMMYFUNCTION("""COMPUTED_VALUE"""),"%")</f>
        <v>%</v>
      </c>
      <c r="T219" s="49">
        <f>IFERROR(__xludf.DUMMYFUNCTION("""COMPUTED_VALUE"""),2.0)</f>
        <v>2</v>
      </c>
      <c r="U219" s="50" t="str">
        <f>IFERROR(__xludf.DUMMYFUNCTION("""COMPUTED_VALUE"""),"B106")</f>
        <v>B106</v>
      </c>
      <c r="V219" s="38" t="str">
        <f>IFERROR(__xludf.DUMMYFUNCTION("""COMPUTED_VALUE"""),"")</f>
        <v/>
      </c>
      <c r="W219" s="45">
        <f>IFERROR(__xludf.DUMMYFUNCTION("""COMPUTED_VALUE"""),553.4422286097448)</f>
        <v>553.4422286</v>
      </c>
      <c r="X219" s="46" t="str">
        <f>IFERROR(__xludf.DUMMYFUNCTION("""COMPUTED_VALUE"""),"AP")</f>
        <v>AP</v>
      </c>
      <c r="Y219" s="47">
        <f>IFERROR(__xludf.DUMMYFUNCTION("""COMPUTED_VALUE"""),3.613746650710102)</f>
        <v>3.613746651</v>
      </c>
      <c r="Z219" s="48" t="str">
        <f>IFERROR(__xludf.DUMMYFUNCTION("""COMPUTED_VALUE"""),"%")</f>
        <v>%</v>
      </c>
      <c r="AA219" s="49">
        <f>IFERROR(__xludf.DUMMYFUNCTION("""COMPUTED_VALUE"""),3.0)</f>
        <v>3</v>
      </c>
      <c r="AB219" s="50"/>
      <c r="AC219" s="38"/>
      <c r="AD219" s="45" t="str">
        <f>IFERROR(__xludf.DUMMYFUNCTION("""COMPUTED_VALUE"""),"")</f>
        <v/>
      </c>
      <c r="AE219" s="46" t="str">
        <f>IFERROR(__xludf.DUMMYFUNCTION("""COMPUTED_VALUE"""),"AP")</f>
        <v>AP</v>
      </c>
      <c r="AF219" s="47" t="str">
        <f>IFERROR(__xludf.DUMMYFUNCTION("""COMPUTED_VALUE"""),"")</f>
        <v/>
      </c>
      <c r="AG219" s="48" t="str">
        <f>IFERROR(__xludf.DUMMYFUNCTION("""COMPUTED_VALUE"""),"%")</f>
        <v>%</v>
      </c>
      <c r="AH219" s="43">
        <f>IFERROR(__xludf.DUMMYFUNCTION("""COMPUTED_VALUE"""),20.0)</f>
        <v>20</v>
      </c>
      <c r="AI219" s="44">
        <f>IFERROR(__xludf.DUMMYFUNCTION("""COMPUTED_VALUE"""),1927.0)</f>
        <v>1927</v>
      </c>
      <c r="AJ219" s="42" t="str">
        <f>IFERROR(__xludf.DUMMYFUNCTION("""COMPUTED_VALUE"""),"Icy Cave")</f>
        <v>Icy Cave</v>
      </c>
    </row>
    <row r="220" ht="24.75" customHeight="1">
      <c r="A220" s="28">
        <f>IFERROR(__xludf.DUMMYFUNCTION("""COMPUTED_VALUE"""),11.0)</f>
        <v>11</v>
      </c>
      <c r="B220" s="28" t="str">
        <f>IFERROR(__xludf.DUMMYFUNCTION("""COMPUTED_VALUE"""),"A201")</f>
        <v>A201</v>
      </c>
      <c r="C220" s="28" t="str">
        <f>IFERROR(__xludf.DUMMYFUNCTION("""COMPUTED_VALUE"""),"AGT11")</f>
        <v>AGT11</v>
      </c>
      <c r="D220" s="29" t="str">
        <f>IFERROR(__xludf.DUMMYFUNCTION("""COMPUTED_VALUE"""),"Agartha")</f>
        <v>Agartha</v>
      </c>
      <c r="E220" s="30" t="str">
        <f>IFERROR(__xludf.DUMMYFUNCTION("""COMPUTED_VALUE"""),"El Dorado")</f>
        <v>El Dorado</v>
      </c>
      <c r="F220" s="31">
        <f>IFERROR(__xludf.DUMMYFUNCTION("""COMPUTED_VALUE"""),21.0)</f>
        <v>21</v>
      </c>
      <c r="G220" s="32">
        <f>IFERROR(__xludf.DUMMYFUNCTION("""COMPUTED_VALUE"""),3760.0)</f>
        <v>3760</v>
      </c>
      <c r="H220" s="33" t="str">
        <f>IFERROR(__xludf.DUMMYFUNCTION("""COMPUTED_VALUE"""),"")</f>
        <v/>
      </c>
      <c r="I220" s="34">
        <f>IFERROR(__xludf.DUMMYFUNCTION("""COMPUTED_VALUE"""),61.1133212489532)</f>
        <v>61.11332125</v>
      </c>
      <c r="J220" s="35" t="str">
        <f>IFERROR(__xludf.DUMMYFUNCTION("""COMPUTED_VALUE"""),"AP")</f>
        <v>AP</v>
      </c>
      <c r="K220" s="34">
        <f>IFERROR(__xludf.DUMMYFUNCTION("""COMPUTED_VALUE"""),34.362393617021276)</f>
        <v>34.36239362</v>
      </c>
      <c r="L220" s="35" t="str">
        <f>IFERROR(__xludf.DUMMYFUNCTION("""COMPUTED_VALUE"""),"%")</f>
        <v>%</v>
      </c>
      <c r="M220" s="36">
        <f>IFERROR(__xludf.DUMMYFUNCTION("""COMPUTED_VALUE"""),1.0)</f>
        <v>1</v>
      </c>
      <c r="N220" s="37" t="str">
        <f>IFERROR(__xludf.DUMMYFUNCTION("""COMPUTED_VALUE"""),"A304")</f>
        <v>A304</v>
      </c>
      <c r="O220" s="38" t="str">
        <f>IFERROR(__xludf.DUMMYFUNCTION("""COMPUTED_VALUE"""),"")</f>
        <v/>
      </c>
      <c r="P220" s="34">
        <f>IFERROR(__xludf.DUMMYFUNCTION("""COMPUTED_VALUE"""),68.22164084451065)</f>
        <v>68.22164084</v>
      </c>
      <c r="Q220" s="35" t="str">
        <f>IFERROR(__xludf.DUMMYFUNCTION("""COMPUTED_VALUE"""),"AP")</f>
        <v>AP</v>
      </c>
      <c r="R220" s="34">
        <f>IFERROR(__xludf.DUMMYFUNCTION("""COMPUTED_VALUE"""),30.782021276595746)</f>
        <v>30.78202128</v>
      </c>
      <c r="S220" s="35" t="str">
        <f>IFERROR(__xludf.DUMMYFUNCTION("""COMPUTED_VALUE"""),"%")</f>
        <v>%</v>
      </c>
      <c r="T220" s="36">
        <f>IFERROR(__xludf.DUMMYFUNCTION("""COMPUTED_VALUE"""),2.0)</f>
        <v>2</v>
      </c>
      <c r="U220" s="37"/>
      <c r="V220" s="38"/>
      <c r="W220" s="34" t="str">
        <f>IFERROR(__xludf.DUMMYFUNCTION("""COMPUTED_VALUE"""),"")</f>
        <v/>
      </c>
      <c r="X220" s="35" t="str">
        <f>IFERROR(__xludf.DUMMYFUNCTION("""COMPUTED_VALUE"""),"AP")</f>
        <v>AP</v>
      </c>
      <c r="Y220" s="34" t="str">
        <f>IFERROR(__xludf.DUMMYFUNCTION("""COMPUTED_VALUE"""),"")</f>
        <v/>
      </c>
      <c r="Z220" s="35" t="str">
        <f>IFERROR(__xludf.DUMMYFUNCTION("""COMPUTED_VALUE"""),"%")</f>
        <v>%</v>
      </c>
      <c r="AA220" s="36">
        <f>IFERROR(__xludf.DUMMYFUNCTION("""COMPUTED_VALUE"""),3.0)</f>
        <v>3</v>
      </c>
      <c r="AB220" s="37"/>
      <c r="AC220" s="38"/>
      <c r="AD220" s="34" t="str">
        <f>IFERROR(__xludf.DUMMYFUNCTION("""COMPUTED_VALUE"""),"")</f>
        <v/>
      </c>
      <c r="AE220" s="35" t="str">
        <f>IFERROR(__xludf.DUMMYFUNCTION("""COMPUTED_VALUE"""),"AP")</f>
        <v>AP</v>
      </c>
      <c r="AF220" s="34" t="str">
        <f>IFERROR(__xludf.DUMMYFUNCTION("""COMPUTED_VALUE"""),"")</f>
        <v/>
      </c>
      <c r="AG220" s="35" t="str">
        <f>IFERROR(__xludf.DUMMYFUNCTION("""COMPUTED_VALUE"""),"%")</f>
        <v>%</v>
      </c>
      <c r="AH220" s="31">
        <f>IFERROR(__xludf.DUMMYFUNCTION("""COMPUTED_VALUE"""),21.0)</f>
        <v>21</v>
      </c>
      <c r="AI220" s="32">
        <f>IFERROR(__xludf.DUMMYFUNCTION("""COMPUTED_VALUE"""),3760.0)</f>
        <v>3760</v>
      </c>
      <c r="AJ220" s="30" t="str">
        <f>IFERROR(__xludf.DUMMYFUNCTION("""COMPUTED_VALUE"""),"El Dorado")</f>
        <v>El Dorado</v>
      </c>
    </row>
    <row r="221" ht="24.75" customHeight="1">
      <c r="A221" s="40">
        <f>IFERROR(__xludf.DUMMYFUNCTION("""COMPUTED_VALUE"""),12.0)</f>
        <v>12</v>
      </c>
      <c r="B221" s="40" t="str">
        <f>IFERROR(__xludf.DUMMYFUNCTION("""COMPUTED_VALUE"""),"A201")</f>
        <v>A201</v>
      </c>
      <c r="C221" s="40" t="str">
        <f>IFERROR(__xludf.DUMMYFUNCTION("""COMPUTED_VALUE"""),"GTT1")</f>
        <v>GTT1</v>
      </c>
      <c r="D221" s="41" t="str">
        <f>IFERROR(__xludf.DUMMYFUNCTION("""COMPUTED_VALUE"""),"Götterdämmerung")</f>
        <v>Götterdämmerung</v>
      </c>
      <c r="E221" s="42" t="str">
        <f>IFERROR(__xludf.DUMMYFUNCTION("""COMPUTED_VALUE"""),"Landing Point")</f>
        <v>Landing Point</v>
      </c>
      <c r="F221" s="43">
        <f>IFERROR(__xludf.DUMMYFUNCTION("""COMPUTED_VALUE"""),20.0)</f>
        <v>20</v>
      </c>
      <c r="G221" s="44">
        <f>IFERROR(__xludf.DUMMYFUNCTION("""COMPUTED_VALUE"""),8048.0)</f>
        <v>8048</v>
      </c>
      <c r="H221" s="33" t="str">
        <f>IFERROR(__xludf.DUMMYFUNCTION("""COMPUTED_VALUE"""),"")</f>
        <v/>
      </c>
      <c r="I221" s="45">
        <f>IFERROR(__xludf.DUMMYFUNCTION("""COMPUTED_VALUE"""),77.23741868861458)</f>
        <v>77.23741869</v>
      </c>
      <c r="J221" s="46" t="str">
        <f>IFERROR(__xludf.DUMMYFUNCTION("""COMPUTED_VALUE"""),"AP")</f>
        <v>AP</v>
      </c>
      <c r="K221" s="47">
        <f>IFERROR(__xludf.DUMMYFUNCTION("""COMPUTED_VALUE"""),25.894184890656064)</f>
        <v>25.89418489</v>
      </c>
      <c r="L221" s="48" t="str">
        <f>IFERROR(__xludf.DUMMYFUNCTION("""COMPUTED_VALUE"""),"%")</f>
        <v>%</v>
      </c>
      <c r="M221" s="49">
        <f>IFERROR(__xludf.DUMMYFUNCTION("""COMPUTED_VALUE"""),1.0)</f>
        <v>1</v>
      </c>
      <c r="N221" s="50" t="str">
        <f>IFERROR(__xludf.DUMMYFUNCTION("""COMPUTED_VALUE"""),"A110")</f>
        <v>A110</v>
      </c>
      <c r="O221" s="38" t="str">
        <f>IFERROR(__xludf.DUMMYFUNCTION("""COMPUTED_VALUE"""),"")</f>
        <v/>
      </c>
      <c r="P221" s="45">
        <f>IFERROR(__xludf.DUMMYFUNCTION("""COMPUTED_VALUE"""),165.33883367094123)</f>
        <v>165.3388337</v>
      </c>
      <c r="Q221" s="46" t="str">
        <f>IFERROR(__xludf.DUMMYFUNCTION("""COMPUTED_VALUE"""),"AP")</f>
        <v>AP</v>
      </c>
      <c r="R221" s="47">
        <f>IFERROR(__xludf.DUMMYFUNCTION("""COMPUTED_VALUE"""),12.096371769383696)</f>
        <v>12.09637177</v>
      </c>
      <c r="S221" s="48" t="str">
        <f>IFERROR(__xludf.DUMMYFUNCTION("""COMPUTED_VALUE"""),"%")</f>
        <v>%</v>
      </c>
      <c r="T221" s="49">
        <f>IFERROR(__xludf.DUMMYFUNCTION("""COMPUTED_VALUE"""),2.0)</f>
        <v>2</v>
      </c>
      <c r="U221" s="50" t="str">
        <f>IFERROR(__xludf.DUMMYFUNCTION("""COMPUTED_VALUE"""),"A304")</f>
        <v>A304</v>
      </c>
      <c r="V221" s="38" t="str">
        <f>IFERROR(__xludf.DUMMYFUNCTION("""COMPUTED_VALUE"""),"")</f>
        <v/>
      </c>
      <c r="W221" s="45">
        <f>IFERROR(__xludf.DUMMYFUNCTION("""COMPUTED_VALUE"""),64.77868356321395)</f>
        <v>64.77868356</v>
      </c>
      <c r="X221" s="46" t="str">
        <f>IFERROR(__xludf.DUMMYFUNCTION("""COMPUTED_VALUE"""),"AP")</f>
        <v>AP</v>
      </c>
      <c r="Y221" s="47">
        <f>IFERROR(__xludf.DUMMYFUNCTION("""COMPUTED_VALUE"""),30.874353876739566)</f>
        <v>30.87435388</v>
      </c>
      <c r="Z221" s="48" t="str">
        <f>IFERROR(__xludf.DUMMYFUNCTION("""COMPUTED_VALUE"""),"%")</f>
        <v>%</v>
      </c>
      <c r="AA221" s="49">
        <f>IFERROR(__xludf.DUMMYFUNCTION("""COMPUTED_VALUE"""),3.0)</f>
        <v>3</v>
      </c>
      <c r="AB221" s="50" t="str">
        <f>IFERROR(__xludf.DUMMYFUNCTION("""COMPUTED_VALUE"""),"B116")</f>
        <v>B116</v>
      </c>
      <c r="AC221" s="38" t="str">
        <f>IFERROR(__xludf.DUMMYFUNCTION("""COMPUTED_VALUE"""),"")</f>
        <v/>
      </c>
      <c r="AD221" s="45">
        <f>IFERROR(__xludf.DUMMYFUNCTION("""COMPUTED_VALUE"""),242.79284171403057)</f>
        <v>242.7928417</v>
      </c>
      <c r="AE221" s="46" t="str">
        <f>IFERROR(__xludf.DUMMYFUNCTION("""COMPUTED_VALUE"""),"AP")</f>
        <v>AP</v>
      </c>
      <c r="AF221" s="47">
        <f>IFERROR(__xludf.DUMMYFUNCTION("""COMPUTED_VALUE"""),8.237475149105368)</f>
        <v>8.237475149</v>
      </c>
      <c r="AG221" s="48" t="str">
        <f>IFERROR(__xludf.DUMMYFUNCTION("""COMPUTED_VALUE"""),"%")</f>
        <v>%</v>
      </c>
      <c r="AH221" s="43">
        <f>IFERROR(__xludf.DUMMYFUNCTION("""COMPUTED_VALUE"""),20.0)</f>
        <v>20</v>
      </c>
      <c r="AI221" s="44">
        <f>IFERROR(__xludf.DUMMYFUNCTION("""COMPUTED_VALUE"""),8048.0)</f>
        <v>8048</v>
      </c>
      <c r="AJ221" s="42" t="str">
        <f>IFERROR(__xludf.DUMMYFUNCTION("""COMPUTED_VALUE"""),"Landing Point")</f>
        <v>Landing Point</v>
      </c>
    </row>
    <row r="222" ht="24.75" customHeight="1">
      <c r="A222" s="28">
        <f>IFERROR(__xludf.DUMMYFUNCTION("""COMPUTED_VALUE"""),13.0)</f>
        <v>13</v>
      </c>
      <c r="B222" s="28" t="str">
        <f>IFERROR(__xludf.DUMMYFUNCTION("""COMPUTED_VALUE"""),"A201")</f>
        <v>A201</v>
      </c>
      <c r="C222" s="28" t="str">
        <f>IFERROR(__xludf.DUMMYFUNCTION("""COMPUTED_VALUE"""),"GTT2")</f>
        <v>GTT2</v>
      </c>
      <c r="D222" s="29" t="str">
        <f>IFERROR(__xludf.DUMMYFUNCTION("""COMPUTED_VALUE"""),"Götterdämmerung")</f>
        <v>Götterdämmerung</v>
      </c>
      <c r="E222" s="30" t="str">
        <f>IFERROR(__xludf.DUMMYFUNCTION("""COMPUTED_VALUE"""),"Thin Ice Hill")</f>
        <v>Thin Ice Hill</v>
      </c>
      <c r="F222" s="31">
        <f>IFERROR(__xludf.DUMMYFUNCTION("""COMPUTED_VALUE"""),20.0)</f>
        <v>20</v>
      </c>
      <c r="G222" s="32">
        <f>IFERROR(__xludf.DUMMYFUNCTION("""COMPUTED_VALUE"""),4230.0)</f>
        <v>4230</v>
      </c>
      <c r="H222" s="33" t="str">
        <f>IFERROR(__xludf.DUMMYFUNCTION("""COMPUTED_VALUE"""),"")</f>
        <v/>
      </c>
      <c r="I222" s="34">
        <f>IFERROR(__xludf.DUMMYFUNCTION("""COMPUTED_VALUE"""),78.34058709139734)</f>
        <v>78.34058709</v>
      </c>
      <c r="J222" s="35" t="str">
        <f>IFERROR(__xludf.DUMMYFUNCTION("""COMPUTED_VALUE"""),"AP")</f>
        <v>AP</v>
      </c>
      <c r="K222" s="34">
        <f>IFERROR(__xludf.DUMMYFUNCTION("""COMPUTED_VALUE"""),25.52955082742317)</f>
        <v>25.52955083</v>
      </c>
      <c r="L222" s="35" t="str">
        <f>IFERROR(__xludf.DUMMYFUNCTION("""COMPUTED_VALUE"""),"%")</f>
        <v>%</v>
      </c>
      <c r="M222" s="36">
        <f>IFERROR(__xludf.DUMMYFUNCTION("""COMPUTED_VALUE"""),1.0)</f>
        <v>1</v>
      </c>
      <c r="N222" s="37" t="str">
        <f>IFERROR(__xludf.DUMMYFUNCTION("""COMPUTED_VALUE"""),"A214")</f>
        <v>A214</v>
      </c>
      <c r="O222" s="38" t="str">
        <f>IFERROR(__xludf.DUMMYFUNCTION("""COMPUTED_VALUE"""),"")</f>
        <v/>
      </c>
      <c r="P222" s="34">
        <f>IFERROR(__xludf.DUMMYFUNCTION("""COMPUTED_VALUE"""),79.57260294587934)</f>
        <v>79.57260295</v>
      </c>
      <c r="Q222" s="35" t="str">
        <f>IFERROR(__xludf.DUMMYFUNCTION("""COMPUTED_VALUE"""),"AP")</f>
        <v>AP</v>
      </c>
      <c r="R222" s="34">
        <f>IFERROR(__xludf.DUMMYFUNCTION("""COMPUTED_VALUE"""),25.134278959810874)</f>
        <v>25.13427896</v>
      </c>
      <c r="S222" s="35" t="str">
        <f>IFERROR(__xludf.DUMMYFUNCTION("""COMPUTED_VALUE"""),"%")</f>
        <v>%</v>
      </c>
      <c r="T222" s="36">
        <f>IFERROR(__xludf.DUMMYFUNCTION("""COMPUTED_VALUE"""),2.0)</f>
        <v>2</v>
      </c>
      <c r="U222" s="37" t="str">
        <f>IFERROR(__xludf.DUMMYFUNCTION("""COMPUTED_VALUE"""),"B117")</f>
        <v>B117</v>
      </c>
      <c r="V222" s="38" t="str">
        <f>IFERROR(__xludf.DUMMYFUNCTION("""COMPUTED_VALUE"""),"")</f>
        <v/>
      </c>
      <c r="W222" s="34">
        <f>IFERROR(__xludf.DUMMYFUNCTION("""COMPUTED_VALUE"""),81.75980358894323)</f>
        <v>81.75980359</v>
      </c>
      <c r="X222" s="35" t="str">
        <f>IFERROR(__xludf.DUMMYFUNCTION("""COMPUTED_VALUE"""),"AP")</f>
        <v>AP</v>
      </c>
      <c r="Y222" s="34">
        <f>IFERROR(__xludf.DUMMYFUNCTION("""COMPUTED_VALUE"""),24.461898294854386)</f>
        <v>24.46189829</v>
      </c>
      <c r="Z222" s="35" t="str">
        <f>IFERROR(__xludf.DUMMYFUNCTION("""COMPUTED_VALUE"""),"%")</f>
        <v>%</v>
      </c>
      <c r="AA222" s="36">
        <f>IFERROR(__xludf.DUMMYFUNCTION("""COMPUTED_VALUE"""),3.0)</f>
        <v>3</v>
      </c>
      <c r="AB222" s="37"/>
      <c r="AC222" s="38"/>
      <c r="AD222" s="34" t="str">
        <f>IFERROR(__xludf.DUMMYFUNCTION("""COMPUTED_VALUE"""),"")</f>
        <v/>
      </c>
      <c r="AE222" s="35" t="str">
        <f>IFERROR(__xludf.DUMMYFUNCTION("""COMPUTED_VALUE"""),"AP")</f>
        <v>AP</v>
      </c>
      <c r="AF222" s="34" t="str">
        <f>IFERROR(__xludf.DUMMYFUNCTION("""COMPUTED_VALUE"""),"")</f>
        <v/>
      </c>
      <c r="AG222" s="35" t="str">
        <f>IFERROR(__xludf.DUMMYFUNCTION("""COMPUTED_VALUE"""),"%")</f>
        <v>%</v>
      </c>
      <c r="AH222" s="31">
        <f>IFERROR(__xludf.DUMMYFUNCTION("""COMPUTED_VALUE"""),20.0)</f>
        <v>20</v>
      </c>
      <c r="AI222" s="32">
        <f>IFERROR(__xludf.DUMMYFUNCTION("""COMPUTED_VALUE"""),4230.0)</f>
        <v>4230</v>
      </c>
      <c r="AJ222" s="30" t="str">
        <f>IFERROR(__xludf.DUMMYFUNCTION("""COMPUTED_VALUE"""),"Thin Ice Hill")</f>
        <v>Thin Ice Hill</v>
      </c>
    </row>
    <row r="223" ht="24.75" customHeight="1">
      <c r="A223" s="40">
        <f>IFERROR(__xludf.DUMMYFUNCTION("""COMPUTED_VALUE"""),14.0)</f>
        <v>14</v>
      </c>
      <c r="B223" s="40" t="str">
        <f>IFERROR(__xludf.DUMMYFUNCTION("""COMPUTED_VALUE"""),"A201")</f>
        <v>A201</v>
      </c>
      <c r="C223" s="40" t="str">
        <f>IFERROR(__xludf.DUMMYFUNCTION("""COMPUTED_VALUE"""),"BBL4")</f>
        <v>BBL4</v>
      </c>
      <c r="D223" s="41" t="str">
        <f>IFERROR(__xludf.DUMMYFUNCTION("""COMPUTED_VALUE"""),"Babylonia")</f>
        <v>Babylonia</v>
      </c>
      <c r="E223" s="42" t="str">
        <f>IFERROR(__xludf.DUMMYFUNCTION("""COMPUTED_VALUE"""),"Plateau")</f>
        <v>Plateau</v>
      </c>
      <c r="F223" s="43">
        <f>IFERROR(__xludf.DUMMYFUNCTION("""COMPUTED_VALUE"""),20.0)</f>
        <v>20</v>
      </c>
      <c r="G223" s="44">
        <f>IFERROR(__xludf.DUMMYFUNCTION("""COMPUTED_VALUE"""),13489.0)</f>
        <v>13489</v>
      </c>
      <c r="H223" s="33" t="str">
        <f>IFERROR(__xludf.DUMMYFUNCTION("""COMPUTED_VALUE"""),"")</f>
        <v/>
      </c>
      <c r="I223" s="45">
        <f>IFERROR(__xludf.DUMMYFUNCTION("""COMPUTED_VALUE"""),78.68816119143524)</f>
        <v>78.68816119</v>
      </c>
      <c r="J223" s="46" t="str">
        <f>IFERROR(__xludf.DUMMYFUNCTION("""COMPUTED_VALUE"""),"AP")</f>
        <v>AP</v>
      </c>
      <c r="K223" s="47">
        <f>IFERROR(__xludf.DUMMYFUNCTION("""COMPUTED_VALUE"""),25.416784046259917)</f>
        <v>25.41678405</v>
      </c>
      <c r="L223" s="48" t="str">
        <f>IFERROR(__xludf.DUMMYFUNCTION("""COMPUTED_VALUE"""),"%")</f>
        <v>%</v>
      </c>
      <c r="M223" s="49">
        <f>IFERROR(__xludf.DUMMYFUNCTION("""COMPUTED_VALUE"""),1.0)</f>
        <v>1</v>
      </c>
      <c r="N223" s="50" t="str">
        <f>IFERROR(__xludf.DUMMYFUNCTION("""COMPUTED_VALUE"""),"A306")</f>
        <v>A306</v>
      </c>
      <c r="O223" s="38" t="str">
        <f>IFERROR(__xludf.DUMMYFUNCTION("""COMPUTED_VALUE"""),"")</f>
        <v/>
      </c>
      <c r="P223" s="45">
        <f>IFERROR(__xludf.DUMMYFUNCTION("""COMPUTED_VALUE"""),40.46091063294974)</f>
        <v>40.46091063</v>
      </c>
      <c r="Q223" s="46" t="str">
        <f>IFERROR(__xludf.DUMMYFUNCTION("""COMPUTED_VALUE"""),"AP")</f>
        <v>AP</v>
      </c>
      <c r="R223" s="47">
        <f>IFERROR(__xludf.DUMMYFUNCTION("""COMPUTED_VALUE"""),49.43042479057009)</f>
        <v>49.43042479</v>
      </c>
      <c r="S223" s="48" t="str">
        <f>IFERROR(__xludf.DUMMYFUNCTION("""COMPUTED_VALUE"""),"%")</f>
        <v>%</v>
      </c>
      <c r="T223" s="49">
        <f>IFERROR(__xludf.DUMMYFUNCTION("""COMPUTED_VALUE"""),2.0)</f>
        <v>2</v>
      </c>
      <c r="U223" s="50"/>
      <c r="V223" s="38"/>
      <c r="W223" s="45" t="str">
        <f>IFERROR(__xludf.DUMMYFUNCTION("""COMPUTED_VALUE"""),"")</f>
        <v/>
      </c>
      <c r="X223" s="46" t="str">
        <f>IFERROR(__xludf.DUMMYFUNCTION("""COMPUTED_VALUE"""),"AP")</f>
        <v>AP</v>
      </c>
      <c r="Y223" s="47" t="str">
        <f>IFERROR(__xludf.DUMMYFUNCTION("""COMPUTED_VALUE"""),"")</f>
        <v/>
      </c>
      <c r="Z223" s="48" t="str">
        <f>IFERROR(__xludf.DUMMYFUNCTION("""COMPUTED_VALUE"""),"%")</f>
        <v>%</v>
      </c>
      <c r="AA223" s="49">
        <f>IFERROR(__xludf.DUMMYFUNCTION("""COMPUTED_VALUE"""),3.0)</f>
        <v>3</v>
      </c>
      <c r="AB223" s="50"/>
      <c r="AC223" s="38"/>
      <c r="AD223" s="45" t="str">
        <f>IFERROR(__xludf.DUMMYFUNCTION("""COMPUTED_VALUE"""),"")</f>
        <v/>
      </c>
      <c r="AE223" s="46" t="str">
        <f>IFERROR(__xludf.DUMMYFUNCTION("""COMPUTED_VALUE"""),"AP")</f>
        <v>AP</v>
      </c>
      <c r="AF223" s="47" t="str">
        <f>IFERROR(__xludf.DUMMYFUNCTION("""COMPUTED_VALUE"""),"")</f>
        <v/>
      </c>
      <c r="AG223" s="48" t="str">
        <f>IFERROR(__xludf.DUMMYFUNCTION("""COMPUTED_VALUE"""),"%")</f>
        <v>%</v>
      </c>
      <c r="AH223" s="43">
        <f>IFERROR(__xludf.DUMMYFUNCTION("""COMPUTED_VALUE"""),20.0)</f>
        <v>20</v>
      </c>
      <c r="AI223" s="44">
        <f>IFERROR(__xludf.DUMMYFUNCTION("""COMPUTED_VALUE"""),13489.0)</f>
        <v>13489</v>
      </c>
      <c r="AJ223" s="42" t="str">
        <f>IFERROR(__xludf.DUMMYFUNCTION("""COMPUTED_VALUE"""),"Plateau")</f>
        <v>Plateau</v>
      </c>
    </row>
    <row r="224" ht="24.75" customHeight="1">
      <c r="A224" s="28">
        <f>IFERROR(__xludf.DUMMYFUNCTION("""COMPUTED_VALUE"""),15.0)</f>
        <v>15</v>
      </c>
      <c r="B224" s="28" t="str">
        <f>IFERROR(__xludf.DUMMYFUNCTION("""COMPUTED_VALUE"""),"A201")</f>
        <v>A201</v>
      </c>
      <c r="C224" s="28" t="str">
        <f>IFERROR(__xludf.DUMMYFUNCTION("""COMPUTED_VALUE"""),"ORL8")</f>
        <v>ORL8</v>
      </c>
      <c r="D224" s="29" t="str">
        <f>IFERROR(__xludf.DUMMYFUNCTION("""COMPUTED_VALUE"""),"Orleans")</f>
        <v>Orleans</v>
      </c>
      <c r="E224" s="30" t="str">
        <f>IFERROR(__xludf.DUMMYFUNCTION("""COMPUTED_VALUE"""),"Bordeaux")</f>
        <v>Bordeaux</v>
      </c>
      <c r="F224" s="31">
        <f>IFERROR(__xludf.DUMMYFUNCTION("""COMPUTED_VALUE"""),7.0)</f>
        <v>7</v>
      </c>
      <c r="G224" s="32">
        <f>IFERROR(__xludf.DUMMYFUNCTION("""COMPUTED_VALUE"""),1752.0)</f>
        <v>1752</v>
      </c>
      <c r="H224" s="33" t="str">
        <f>IFERROR(__xludf.DUMMYFUNCTION("""COMPUTED_VALUE"""),"")</f>
        <v/>
      </c>
      <c r="I224" s="34">
        <f>IFERROR(__xludf.DUMMYFUNCTION("""COMPUTED_VALUE"""),79.91606988094695)</f>
        <v>79.91606988</v>
      </c>
      <c r="J224" s="35" t="str">
        <f>IFERROR(__xludf.DUMMYFUNCTION("""COMPUTED_VALUE"""),"AP")</f>
        <v>AP</v>
      </c>
      <c r="K224" s="34">
        <f>IFERROR(__xludf.DUMMYFUNCTION("""COMPUTED_VALUE"""),8.759189497716894)</f>
        <v>8.759189498</v>
      </c>
      <c r="L224" s="35" t="str">
        <f>IFERROR(__xludf.DUMMYFUNCTION("""COMPUTED_VALUE"""),"%")</f>
        <v>%</v>
      </c>
      <c r="M224" s="36">
        <f>IFERROR(__xludf.DUMMYFUNCTION("""COMPUTED_VALUE"""),1.0)</f>
        <v>1</v>
      </c>
      <c r="N224" s="37"/>
      <c r="O224" s="38"/>
      <c r="P224" s="34" t="str">
        <f>IFERROR(__xludf.DUMMYFUNCTION("""COMPUTED_VALUE"""),"")</f>
        <v/>
      </c>
      <c r="Q224" s="35" t="str">
        <f>IFERROR(__xludf.DUMMYFUNCTION("""COMPUTED_VALUE"""),"AP")</f>
        <v>AP</v>
      </c>
      <c r="R224" s="34" t="str">
        <f>IFERROR(__xludf.DUMMYFUNCTION("""COMPUTED_VALUE"""),"")</f>
        <v/>
      </c>
      <c r="S224" s="35" t="str">
        <f>IFERROR(__xludf.DUMMYFUNCTION("""COMPUTED_VALUE"""),"%")</f>
        <v>%</v>
      </c>
      <c r="T224" s="36">
        <f>IFERROR(__xludf.DUMMYFUNCTION("""COMPUTED_VALUE"""),2.0)</f>
        <v>2</v>
      </c>
      <c r="U224" s="37"/>
      <c r="V224" s="38"/>
      <c r="W224" s="34" t="str">
        <f>IFERROR(__xludf.DUMMYFUNCTION("""COMPUTED_VALUE"""),"")</f>
        <v/>
      </c>
      <c r="X224" s="35" t="str">
        <f>IFERROR(__xludf.DUMMYFUNCTION("""COMPUTED_VALUE"""),"AP")</f>
        <v>AP</v>
      </c>
      <c r="Y224" s="34" t="str">
        <f>IFERROR(__xludf.DUMMYFUNCTION("""COMPUTED_VALUE"""),"")</f>
        <v/>
      </c>
      <c r="Z224" s="35" t="str">
        <f>IFERROR(__xludf.DUMMYFUNCTION("""COMPUTED_VALUE"""),"%")</f>
        <v>%</v>
      </c>
      <c r="AA224" s="36">
        <f>IFERROR(__xludf.DUMMYFUNCTION("""COMPUTED_VALUE"""),3.0)</f>
        <v>3</v>
      </c>
      <c r="AB224" s="37"/>
      <c r="AC224" s="38"/>
      <c r="AD224" s="34" t="str">
        <f>IFERROR(__xludf.DUMMYFUNCTION("""COMPUTED_VALUE"""),"")</f>
        <v/>
      </c>
      <c r="AE224" s="35" t="str">
        <f>IFERROR(__xludf.DUMMYFUNCTION("""COMPUTED_VALUE"""),"AP")</f>
        <v>AP</v>
      </c>
      <c r="AF224" s="34" t="str">
        <f>IFERROR(__xludf.DUMMYFUNCTION("""COMPUTED_VALUE"""),"")</f>
        <v/>
      </c>
      <c r="AG224" s="35" t="str">
        <f>IFERROR(__xludf.DUMMYFUNCTION("""COMPUTED_VALUE"""),"%")</f>
        <v>%</v>
      </c>
      <c r="AH224" s="31">
        <f>IFERROR(__xludf.DUMMYFUNCTION("""COMPUTED_VALUE"""),7.0)</f>
        <v>7</v>
      </c>
      <c r="AI224" s="32">
        <f>IFERROR(__xludf.DUMMYFUNCTION("""COMPUTED_VALUE"""),1752.0)</f>
        <v>1752</v>
      </c>
      <c r="AJ224" s="30" t="str">
        <f>IFERROR(__xludf.DUMMYFUNCTION("""COMPUTED_VALUE"""),"Bordeaux")</f>
        <v>Bordeaux</v>
      </c>
    </row>
    <row r="225" ht="24.75" customHeight="1">
      <c r="A225" s="40">
        <f>IFERROR(__xludf.DUMMYFUNCTION("""COMPUTED_VALUE"""),16.0)</f>
        <v>16</v>
      </c>
      <c r="B225" s="40" t="str">
        <f>IFERROR(__xludf.DUMMYFUNCTION("""COMPUTED_VALUE"""),"A201")</f>
        <v>A201</v>
      </c>
      <c r="C225" s="40" t="str">
        <f>IFERROR(__xludf.DUMMYFUNCTION("""COMPUTED_VALUE"""),"BBL2")</f>
        <v>BBL2</v>
      </c>
      <c r="D225" s="41" t="str">
        <f>IFERROR(__xludf.DUMMYFUNCTION("""COMPUTED_VALUE"""),"Babylonia")</f>
        <v>Babylonia</v>
      </c>
      <c r="E225" s="42" t="str">
        <f>IFERROR(__xludf.DUMMYFUNCTION("""COMPUTED_VALUE"""),"Northern Hill")</f>
        <v>Northern Hill</v>
      </c>
      <c r="F225" s="43">
        <f>IFERROR(__xludf.DUMMYFUNCTION("""COMPUTED_VALUE"""),20.0)</f>
        <v>20</v>
      </c>
      <c r="G225" s="44">
        <f>IFERROR(__xludf.DUMMYFUNCTION("""COMPUTED_VALUE"""),14225.0)</f>
        <v>14225</v>
      </c>
      <c r="H225" s="33" t="str">
        <f>IFERROR(__xludf.DUMMYFUNCTION("""COMPUTED_VALUE"""),"")</f>
        <v/>
      </c>
      <c r="I225" s="45">
        <f>IFERROR(__xludf.DUMMYFUNCTION("""COMPUTED_VALUE"""),80.23995837111474)</f>
        <v>80.23995837</v>
      </c>
      <c r="J225" s="46" t="str">
        <f>IFERROR(__xludf.DUMMYFUNCTION("""COMPUTED_VALUE"""),"AP")</f>
        <v>AP</v>
      </c>
      <c r="K225" s="47">
        <f>IFERROR(__xludf.DUMMYFUNCTION("""COMPUTED_VALUE"""),24.92523725834798)</f>
        <v>24.92523726</v>
      </c>
      <c r="L225" s="48" t="str">
        <f>IFERROR(__xludf.DUMMYFUNCTION("""COMPUTED_VALUE"""),"%")</f>
        <v>%</v>
      </c>
      <c r="M225" s="49">
        <f>IFERROR(__xludf.DUMMYFUNCTION("""COMPUTED_VALUE"""),1.0)</f>
        <v>1</v>
      </c>
      <c r="N225" s="50" t="str">
        <f>IFERROR(__xludf.DUMMYFUNCTION("""COMPUTED_VALUE"""),"A107")</f>
        <v>A107</v>
      </c>
      <c r="O225" s="38" t="str">
        <f>IFERROR(__xludf.DUMMYFUNCTION("""COMPUTED_VALUE"""),"")</f>
        <v/>
      </c>
      <c r="P225" s="45">
        <f>IFERROR(__xludf.DUMMYFUNCTION("""COMPUTED_VALUE"""),113.12599531988413)</f>
        <v>113.1259953</v>
      </c>
      <c r="Q225" s="46" t="str">
        <f>IFERROR(__xludf.DUMMYFUNCTION("""COMPUTED_VALUE"""),"AP")</f>
        <v>AP</v>
      </c>
      <c r="R225" s="47">
        <f>IFERROR(__xludf.DUMMYFUNCTION("""COMPUTED_VALUE"""),17.67940246045694)</f>
        <v>17.67940246</v>
      </c>
      <c r="S225" s="48" t="str">
        <f>IFERROR(__xludf.DUMMYFUNCTION("""COMPUTED_VALUE"""),"%")</f>
        <v>%</v>
      </c>
      <c r="T225" s="49">
        <f>IFERROR(__xludf.DUMMYFUNCTION("""COMPUTED_VALUE"""),2.0)</f>
        <v>2</v>
      </c>
      <c r="U225" s="50" t="str">
        <f>IFERROR(__xludf.DUMMYFUNCTION("""COMPUTED_VALUE"""),"B116")</f>
        <v>B116</v>
      </c>
      <c r="V225" s="38" t="str">
        <f>IFERROR(__xludf.DUMMYFUNCTION("""COMPUTED_VALUE"""),"")</f>
        <v/>
      </c>
      <c r="W225" s="45">
        <f>IFERROR(__xludf.DUMMYFUNCTION("""COMPUTED_VALUE"""),249.3618353929243)</f>
        <v>249.3618354</v>
      </c>
      <c r="X225" s="46" t="str">
        <f>IFERROR(__xludf.DUMMYFUNCTION("""COMPUTED_VALUE"""),"AP")</f>
        <v>AP</v>
      </c>
      <c r="Y225" s="47">
        <f>IFERROR(__xludf.DUMMYFUNCTION("""COMPUTED_VALUE"""),8.020473529353685)</f>
        <v>8.020473529</v>
      </c>
      <c r="Z225" s="48" t="str">
        <f>IFERROR(__xludf.DUMMYFUNCTION("""COMPUTED_VALUE"""),"%")</f>
        <v>%</v>
      </c>
      <c r="AA225" s="49">
        <f>IFERROR(__xludf.DUMMYFUNCTION("""COMPUTED_VALUE"""),3.0)</f>
        <v>3</v>
      </c>
      <c r="AB225" s="50"/>
      <c r="AC225" s="38"/>
      <c r="AD225" s="45" t="str">
        <f>IFERROR(__xludf.DUMMYFUNCTION("""COMPUTED_VALUE"""),"")</f>
        <v/>
      </c>
      <c r="AE225" s="46" t="str">
        <f>IFERROR(__xludf.DUMMYFUNCTION("""COMPUTED_VALUE"""),"AP")</f>
        <v>AP</v>
      </c>
      <c r="AF225" s="47" t="str">
        <f>IFERROR(__xludf.DUMMYFUNCTION("""COMPUTED_VALUE"""),"")</f>
        <v/>
      </c>
      <c r="AG225" s="48" t="str">
        <f>IFERROR(__xludf.DUMMYFUNCTION("""COMPUTED_VALUE"""),"%")</f>
        <v>%</v>
      </c>
      <c r="AH225" s="43">
        <f>IFERROR(__xludf.DUMMYFUNCTION("""COMPUTED_VALUE"""),20.0)</f>
        <v>20</v>
      </c>
      <c r="AI225" s="44">
        <f>IFERROR(__xludf.DUMMYFUNCTION("""COMPUTED_VALUE"""),14225.0)</f>
        <v>14225</v>
      </c>
      <c r="AJ225" s="42" t="str">
        <f>IFERROR(__xludf.DUMMYFUNCTION("""COMPUTED_VALUE"""),"Northern Hill")</f>
        <v>Northern Hill</v>
      </c>
    </row>
    <row r="226" ht="24.75" customHeight="1">
      <c r="A226" s="28">
        <f>IFERROR(__xludf.DUMMYFUNCTION("""COMPUTED_VALUE"""),17.0)</f>
        <v>17</v>
      </c>
      <c r="B226" s="28" t="str">
        <f>IFERROR(__xludf.DUMMYFUNCTION("""COMPUTED_VALUE"""),"A201")</f>
        <v>A201</v>
      </c>
      <c r="C226" s="28" t="str">
        <f>IFERROR(__xludf.DUMMYFUNCTION("""COMPUTED_VALUE"""),"GTT4")</f>
        <v>GTT4</v>
      </c>
      <c r="D226" s="29" t="str">
        <f>IFERROR(__xludf.DUMMYFUNCTION("""COMPUTED_VALUE"""),"Götterdämmerung")</f>
        <v>Götterdämmerung</v>
      </c>
      <c r="E226" s="30" t="str">
        <f>IFERROR(__xludf.DUMMYFUNCTION("""COMPUTED_VALUE"""),"Village 23")</f>
        <v>Village 23</v>
      </c>
      <c r="F226" s="31">
        <f>IFERROR(__xludf.DUMMYFUNCTION("""COMPUTED_VALUE"""),21.0)</f>
        <v>21</v>
      </c>
      <c r="G226" s="32">
        <f>IFERROR(__xludf.DUMMYFUNCTION("""COMPUTED_VALUE"""),1330.0)</f>
        <v>1330</v>
      </c>
      <c r="H226" s="33" t="str">
        <f>IFERROR(__xludf.DUMMYFUNCTION("""COMPUTED_VALUE"""),"")</f>
        <v/>
      </c>
      <c r="I226" s="34">
        <f>IFERROR(__xludf.DUMMYFUNCTION("""COMPUTED_VALUE"""),82.34080188679246)</f>
        <v>82.34080189</v>
      </c>
      <c r="J226" s="35" t="str">
        <f>IFERROR(__xludf.DUMMYFUNCTION("""COMPUTED_VALUE"""),"AP")</f>
        <v>AP</v>
      </c>
      <c r="K226" s="34">
        <f>IFERROR(__xludf.DUMMYFUNCTION("""COMPUTED_VALUE"""),25.50375939849624)</f>
        <v>25.5037594</v>
      </c>
      <c r="L226" s="35" t="str">
        <f>IFERROR(__xludf.DUMMYFUNCTION("""COMPUTED_VALUE"""),"%")</f>
        <v>%</v>
      </c>
      <c r="M226" s="36">
        <f>IFERROR(__xludf.DUMMYFUNCTION("""COMPUTED_VALUE"""),1.0)</f>
        <v>1</v>
      </c>
      <c r="N226" s="37" t="str">
        <f>IFERROR(__xludf.DUMMYFUNCTION("""COMPUTED_VALUE"""),"A215")</f>
        <v>A215</v>
      </c>
      <c r="O226" s="38" t="str">
        <f>IFERROR(__xludf.DUMMYFUNCTION("""COMPUTED_VALUE"""),"")</f>
        <v/>
      </c>
      <c r="P226" s="34">
        <f>IFERROR(__xludf.DUMMYFUNCTION("""COMPUTED_VALUE"""),87.06359102244389)</f>
        <v>87.06359102</v>
      </c>
      <c r="Q226" s="35" t="str">
        <f>IFERROR(__xludf.DUMMYFUNCTION("""COMPUTED_VALUE"""),"AP")</f>
        <v>AP</v>
      </c>
      <c r="R226" s="34">
        <f>IFERROR(__xludf.DUMMYFUNCTION("""COMPUTED_VALUE"""),24.1203007518797)</f>
        <v>24.12030075</v>
      </c>
      <c r="S226" s="35" t="str">
        <f>IFERROR(__xludf.DUMMYFUNCTION("""COMPUTED_VALUE"""),"%")</f>
        <v>%</v>
      </c>
      <c r="T226" s="36">
        <f>IFERROR(__xludf.DUMMYFUNCTION("""COMPUTED_VALUE"""),2.0)</f>
        <v>2</v>
      </c>
      <c r="U226" s="37" t="str">
        <f>IFERROR(__xludf.DUMMYFUNCTION("""COMPUTED_VALUE"""),"B114")</f>
        <v>B114</v>
      </c>
      <c r="V226" s="38" t="str">
        <f>IFERROR(__xludf.DUMMYFUNCTION("""COMPUTED_VALUE"""),"")</f>
        <v/>
      </c>
      <c r="W226" s="34">
        <f>IFERROR(__xludf.DUMMYFUNCTION("""COMPUTED_VALUE"""),85.01596024081782)</f>
        <v>85.01596024</v>
      </c>
      <c r="X226" s="35" t="str">
        <f>IFERROR(__xludf.DUMMYFUNCTION("""COMPUTED_VALUE"""),"AP")</f>
        <v>AP</v>
      </c>
      <c r="Y226" s="34">
        <f>IFERROR(__xludf.DUMMYFUNCTION("""COMPUTED_VALUE"""),24.701244261095216)</f>
        <v>24.70124426</v>
      </c>
      <c r="Z226" s="35" t="str">
        <f>IFERROR(__xludf.DUMMYFUNCTION("""COMPUTED_VALUE"""),"%")</f>
        <v>%</v>
      </c>
      <c r="AA226" s="36">
        <f>IFERROR(__xludf.DUMMYFUNCTION("""COMPUTED_VALUE"""),3.0)</f>
        <v>3</v>
      </c>
      <c r="AB226" s="37"/>
      <c r="AC226" s="38"/>
      <c r="AD226" s="34" t="str">
        <f>IFERROR(__xludf.DUMMYFUNCTION("""COMPUTED_VALUE"""),"")</f>
        <v/>
      </c>
      <c r="AE226" s="35" t="str">
        <f>IFERROR(__xludf.DUMMYFUNCTION("""COMPUTED_VALUE"""),"AP")</f>
        <v>AP</v>
      </c>
      <c r="AF226" s="34" t="str">
        <f>IFERROR(__xludf.DUMMYFUNCTION("""COMPUTED_VALUE"""),"")</f>
        <v/>
      </c>
      <c r="AG226" s="35" t="str">
        <f>IFERROR(__xludf.DUMMYFUNCTION("""COMPUTED_VALUE"""),"%")</f>
        <v>%</v>
      </c>
      <c r="AH226" s="31">
        <f>IFERROR(__xludf.DUMMYFUNCTION("""COMPUTED_VALUE"""),21.0)</f>
        <v>21</v>
      </c>
      <c r="AI226" s="32">
        <f>IFERROR(__xludf.DUMMYFUNCTION("""COMPUTED_VALUE"""),1330.0)</f>
        <v>1330</v>
      </c>
      <c r="AJ226" s="30" t="str">
        <f>IFERROR(__xludf.DUMMYFUNCTION("""COMPUTED_VALUE"""),"Village 23")</f>
        <v>Village 23</v>
      </c>
    </row>
    <row r="227" ht="24.75" customHeight="1">
      <c r="A227" s="40">
        <f>IFERROR(__xludf.DUMMYFUNCTION("""COMPUTED_VALUE"""),18.0)</f>
        <v>18</v>
      </c>
      <c r="B227" s="40" t="str">
        <f>IFERROR(__xludf.DUMMYFUNCTION("""COMPUTED_VALUE"""),"A201")</f>
        <v>A201</v>
      </c>
      <c r="C227" s="40" t="str">
        <f>IFERROR(__xludf.DUMMYFUNCTION("""COMPUTED_VALUE"""),"BBL13")</f>
        <v>BBL13</v>
      </c>
      <c r="D227" s="41" t="str">
        <f>IFERROR(__xludf.DUMMYFUNCTION("""COMPUTED_VALUE"""),"Babylonia")</f>
        <v>Babylonia</v>
      </c>
      <c r="E227" s="42" t="str">
        <f>IFERROR(__xludf.DUMMYFUNCTION("""COMPUTED_VALUE"""),"Mt. Ebih")</f>
        <v>Mt. Ebih</v>
      </c>
      <c r="F227" s="43">
        <f>IFERROR(__xludf.DUMMYFUNCTION("""COMPUTED_VALUE"""),21.0)</f>
        <v>21</v>
      </c>
      <c r="G227" s="44">
        <f>IFERROR(__xludf.DUMMYFUNCTION("""COMPUTED_VALUE"""),31195.0)</f>
        <v>31195</v>
      </c>
      <c r="H227" s="33" t="str">
        <f>IFERROR(__xludf.DUMMYFUNCTION("""COMPUTED_VALUE"""),"")</f>
        <v/>
      </c>
      <c r="I227" s="45">
        <f>IFERROR(__xludf.DUMMYFUNCTION("""COMPUTED_VALUE"""),82.5281184805942)</f>
        <v>82.52811848</v>
      </c>
      <c r="J227" s="46" t="str">
        <f>IFERROR(__xludf.DUMMYFUNCTION("""COMPUTED_VALUE"""),"AP")</f>
        <v>AP</v>
      </c>
      <c r="K227" s="47">
        <f>IFERROR(__xludf.DUMMYFUNCTION("""COMPUTED_VALUE"""),25.44587273601539)</f>
        <v>25.44587274</v>
      </c>
      <c r="L227" s="48" t="str">
        <f>IFERROR(__xludf.DUMMYFUNCTION("""COMPUTED_VALUE"""),"%")</f>
        <v>%</v>
      </c>
      <c r="M227" s="49">
        <f>IFERROR(__xludf.DUMMYFUNCTION("""COMPUTED_VALUE"""),1.0)</f>
        <v>1</v>
      </c>
      <c r="N227" s="50" t="str">
        <f>IFERROR(__xludf.DUMMYFUNCTION("""COMPUTED_VALUE"""),"A111")</f>
        <v>A111</v>
      </c>
      <c r="O227" s="38" t="str">
        <f>IFERROR(__xludf.DUMMYFUNCTION("""COMPUTED_VALUE"""),"")</f>
        <v/>
      </c>
      <c r="P227" s="45">
        <f>IFERROR(__xludf.DUMMYFUNCTION("""COMPUTED_VALUE"""),179.86955864555875)</f>
        <v>179.8695586</v>
      </c>
      <c r="Q227" s="46" t="str">
        <f>IFERROR(__xludf.DUMMYFUNCTION("""COMPUTED_VALUE"""),"AP")</f>
        <v>AP</v>
      </c>
      <c r="R227" s="47">
        <f>IFERROR(__xludf.DUMMYFUNCTION("""COMPUTED_VALUE"""),11.675127330123418)</f>
        <v>11.67512733</v>
      </c>
      <c r="S227" s="48" t="str">
        <f>IFERROR(__xludf.DUMMYFUNCTION("""COMPUTED_VALUE"""),"%")</f>
        <v>%</v>
      </c>
      <c r="T227" s="49">
        <f>IFERROR(__xludf.DUMMYFUNCTION("""COMPUTED_VALUE"""),2.0)</f>
        <v>2</v>
      </c>
      <c r="U227" s="50" t="str">
        <f>IFERROR(__xludf.DUMMYFUNCTION("""COMPUTED_VALUE"""),"B107")</f>
        <v>B107</v>
      </c>
      <c r="V227" s="38" t="str">
        <f>IFERROR(__xludf.DUMMYFUNCTION("""COMPUTED_VALUE"""),"")</f>
        <v/>
      </c>
      <c r="W227" s="45">
        <f>IFERROR(__xludf.DUMMYFUNCTION("""COMPUTED_VALUE"""),672.0334915351689)</f>
        <v>672.0334915</v>
      </c>
      <c r="X227" s="46" t="str">
        <f>IFERROR(__xludf.DUMMYFUNCTION("""COMPUTED_VALUE"""),"AP")</f>
        <v>AP</v>
      </c>
      <c r="Y227" s="47">
        <f>IFERROR(__xludf.DUMMYFUNCTION("""COMPUTED_VALUE"""),3.1248442621555013)</f>
        <v>3.124844262</v>
      </c>
      <c r="Z227" s="48" t="str">
        <f>IFERROR(__xludf.DUMMYFUNCTION("""COMPUTED_VALUE"""),"%")</f>
        <v>%</v>
      </c>
      <c r="AA227" s="49">
        <f>IFERROR(__xludf.DUMMYFUNCTION("""COMPUTED_VALUE"""),3.0)</f>
        <v>3</v>
      </c>
      <c r="AB227" s="50" t="str">
        <f>IFERROR(__xludf.DUMMYFUNCTION("""COMPUTED_VALUE"""),"B117")</f>
        <v>B117</v>
      </c>
      <c r="AC227" s="38" t="str">
        <f>IFERROR(__xludf.DUMMYFUNCTION("""COMPUTED_VALUE"""),"")</f>
        <v/>
      </c>
      <c r="AD227" s="45">
        <f>IFERROR(__xludf.DUMMYFUNCTION("""COMPUTED_VALUE"""),86.6136258910945)</f>
        <v>86.61362589</v>
      </c>
      <c r="AE227" s="46" t="str">
        <f>IFERROR(__xludf.DUMMYFUNCTION("""COMPUTED_VALUE"""),"AP")</f>
        <v>AP</v>
      </c>
      <c r="AF227" s="47">
        <f>IFERROR(__xludf.DUMMYFUNCTION("""COMPUTED_VALUE"""),24.245607759689914)</f>
        <v>24.24560776</v>
      </c>
      <c r="AG227" s="48" t="str">
        <f>IFERROR(__xludf.DUMMYFUNCTION("""COMPUTED_VALUE"""),"%")</f>
        <v>%</v>
      </c>
      <c r="AH227" s="43">
        <f>IFERROR(__xludf.DUMMYFUNCTION("""COMPUTED_VALUE"""),21.0)</f>
        <v>21</v>
      </c>
      <c r="AI227" s="44">
        <f>IFERROR(__xludf.DUMMYFUNCTION("""COMPUTED_VALUE"""),31195.0)</f>
        <v>31195</v>
      </c>
      <c r="AJ227" s="42" t="str">
        <f>IFERROR(__xludf.DUMMYFUNCTION("""COMPUTED_VALUE"""),"Mt. Ebih")</f>
        <v>Mt. Ebih</v>
      </c>
    </row>
    <row r="228" ht="24.75" customHeight="1">
      <c r="A228" s="28">
        <f>IFERROR(__xludf.DUMMYFUNCTION("""COMPUTED_VALUE"""),19.0)</f>
        <v>19</v>
      </c>
      <c r="B228" s="28" t="str">
        <f>IFERROR(__xludf.DUMMYFUNCTION("""COMPUTED_VALUE"""),"A201")</f>
        <v>A201</v>
      </c>
      <c r="C228" s="28" t="str">
        <f>IFERROR(__xludf.DUMMYFUNCTION("""COMPUTED_VALUE"""),"AGT10")</f>
        <v>AGT10</v>
      </c>
      <c r="D228" s="29" t="str">
        <f>IFERROR(__xludf.DUMMYFUNCTION("""COMPUTED_VALUE"""),"Agartha")</f>
        <v>Agartha</v>
      </c>
      <c r="E228" s="30" t="str">
        <f>IFERROR(__xludf.DUMMYFUNCTION("""COMPUTED_VALUE"""),"Great Underground River")</f>
        <v>Great Underground River</v>
      </c>
      <c r="F228" s="31">
        <f>IFERROR(__xludf.DUMMYFUNCTION("""COMPUTED_VALUE"""),21.0)</f>
        <v>21</v>
      </c>
      <c r="G228" s="32">
        <f>IFERROR(__xludf.DUMMYFUNCTION("""COMPUTED_VALUE"""),55848.0)</f>
        <v>55848</v>
      </c>
      <c r="H228" s="33" t="str">
        <f>IFERROR(__xludf.DUMMYFUNCTION("""COMPUTED_VALUE"""),"")</f>
        <v/>
      </c>
      <c r="I228" s="34">
        <f>IFERROR(__xludf.DUMMYFUNCTION("""COMPUTED_VALUE"""),82.89894971111737)</f>
        <v>82.89894971</v>
      </c>
      <c r="J228" s="35" t="str">
        <f>IFERROR(__xludf.DUMMYFUNCTION("""COMPUTED_VALUE"""),"AP")</f>
        <v>AP</v>
      </c>
      <c r="K228" s="34">
        <f>IFERROR(__xludf.DUMMYFUNCTION("""COMPUTED_VALUE"""),25.332045910328034)</f>
        <v>25.33204591</v>
      </c>
      <c r="L228" s="35" t="str">
        <f>IFERROR(__xludf.DUMMYFUNCTION("""COMPUTED_VALUE"""),"%")</f>
        <v>%</v>
      </c>
      <c r="M228" s="36">
        <f>IFERROR(__xludf.DUMMYFUNCTION("""COMPUTED_VALUE"""),1.0)</f>
        <v>1</v>
      </c>
      <c r="N228" s="37" t="str">
        <f>IFERROR(__xludf.DUMMYFUNCTION("""COMPUTED_VALUE"""),"A205")</f>
        <v>A205</v>
      </c>
      <c r="O228" s="38" t="str">
        <f>IFERROR(__xludf.DUMMYFUNCTION("""COMPUTED_VALUE"""),"")</f>
        <v/>
      </c>
      <c r="P228" s="34">
        <f>IFERROR(__xludf.DUMMYFUNCTION("""COMPUTED_VALUE"""),69.46399487978985)</f>
        <v>69.46399488</v>
      </c>
      <c r="Q228" s="35" t="str">
        <f>IFERROR(__xludf.DUMMYFUNCTION("""COMPUTED_VALUE"""),"AP")</f>
        <v>AP</v>
      </c>
      <c r="R228" s="34">
        <f>IFERROR(__xludf.DUMMYFUNCTION("""COMPUTED_VALUE"""),30.231489041684572)</f>
        <v>30.23148904</v>
      </c>
      <c r="S228" s="35" t="str">
        <f>IFERROR(__xludf.DUMMYFUNCTION("""COMPUTED_VALUE"""),"%")</f>
        <v>%</v>
      </c>
      <c r="T228" s="36">
        <f>IFERROR(__xludf.DUMMYFUNCTION("""COMPUTED_VALUE"""),2.0)</f>
        <v>2</v>
      </c>
      <c r="U228" s="37" t="str">
        <f>IFERROR(__xludf.DUMMYFUNCTION("""COMPUTED_VALUE"""),"B103")</f>
        <v>B103</v>
      </c>
      <c r="V228" s="38" t="str">
        <f>IFERROR(__xludf.DUMMYFUNCTION("""COMPUTED_VALUE"""),"")</f>
        <v/>
      </c>
      <c r="W228" s="34">
        <f>IFERROR(__xludf.DUMMYFUNCTION("""COMPUTED_VALUE"""),657.0412184302859)</f>
        <v>657.0412184</v>
      </c>
      <c r="X228" s="35" t="str">
        <f>IFERROR(__xludf.DUMMYFUNCTION("""COMPUTED_VALUE"""),"AP")</f>
        <v>AP</v>
      </c>
      <c r="Y228" s="34">
        <f>IFERROR(__xludf.DUMMYFUNCTION("""COMPUTED_VALUE"""),3.1961465142431043)</f>
        <v>3.196146514</v>
      </c>
      <c r="Z228" s="35" t="str">
        <f>IFERROR(__xludf.DUMMYFUNCTION("""COMPUTED_VALUE"""),"%")</f>
        <v>%</v>
      </c>
      <c r="AA228" s="36">
        <f>IFERROR(__xludf.DUMMYFUNCTION("""COMPUTED_VALUE"""),3.0)</f>
        <v>3</v>
      </c>
      <c r="AB228" s="37" t="str">
        <f>IFERROR(__xludf.DUMMYFUNCTION("""COMPUTED_VALUE"""),"B113")</f>
        <v>B113</v>
      </c>
      <c r="AC228" s="38" t="str">
        <f>IFERROR(__xludf.DUMMYFUNCTION("""COMPUTED_VALUE"""),"")</f>
        <v/>
      </c>
      <c r="AD228" s="34">
        <f>IFERROR(__xludf.DUMMYFUNCTION("""COMPUTED_VALUE"""),143.58634188480394)</f>
        <v>143.5863419</v>
      </c>
      <c r="AE228" s="35" t="str">
        <f>IFERROR(__xludf.DUMMYFUNCTION("""COMPUTED_VALUE"""),"AP")</f>
        <v>AP</v>
      </c>
      <c r="AF228" s="34">
        <f>IFERROR(__xludf.DUMMYFUNCTION("""COMPUTED_VALUE"""),14.625346480968101)</f>
        <v>14.62534648</v>
      </c>
      <c r="AG228" s="35" t="str">
        <f>IFERROR(__xludf.DUMMYFUNCTION("""COMPUTED_VALUE"""),"%")</f>
        <v>%</v>
      </c>
      <c r="AH228" s="31">
        <f>IFERROR(__xludf.DUMMYFUNCTION("""COMPUTED_VALUE"""),21.0)</f>
        <v>21</v>
      </c>
      <c r="AI228" s="32">
        <f>IFERROR(__xludf.DUMMYFUNCTION("""COMPUTED_VALUE"""),55848.0)</f>
        <v>55848</v>
      </c>
      <c r="AJ228" s="30" t="str">
        <f>IFERROR(__xludf.DUMMYFUNCTION("""COMPUTED_VALUE"""),"Great Underground River")</f>
        <v>Great Underground River</v>
      </c>
    </row>
    <row r="229" ht="24.75" customHeight="1">
      <c r="A229" s="40">
        <f>IFERROR(__xludf.DUMMYFUNCTION("""COMPUTED_VALUE"""),20.0)</f>
        <v>20</v>
      </c>
      <c r="B229" s="40" t="str">
        <f>IFERROR(__xludf.DUMMYFUNCTION("""COMPUTED_VALUE"""),"A201")</f>
        <v>A201</v>
      </c>
      <c r="C229" s="40" t="str">
        <f>IFERROR(__xludf.DUMMYFUNCTION("""COMPUTED_VALUE"""),"ANA5")</f>
        <v>ANA5</v>
      </c>
      <c r="D229" s="41" t="str">
        <f>IFERROR(__xludf.DUMMYFUNCTION("""COMPUTED_VALUE"""),"Anastasia")</f>
        <v>Anastasia</v>
      </c>
      <c r="E229" s="42" t="str">
        <f>IFERROR(__xludf.DUMMYFUNCTION("""COMPUTED_VALUE"""),"Yaga Sychyovka")</f>
        <v>Yaga Sychyovka</v>
      </c>
      <c r="F229" s="43">
        <f>IFERROR(__xludf.DUMMYFUNCTION("""COMPUTED_VALUE"""),21.0)</f>
        <v>21</v>
      </c>
      <c r="G229" s="44">
        <f>IFERROR(__xludf.DUMMYFUNCTION("""COMPUTED_VALUE"""),15922.0)</f>
        <v>15922</v>
      </c>
      <c r="H229" s="33" t="str">
        <f>IFERROR(__xludf.DUMMYFUNCTION("""COMPUTED_VALUE"""),"")</f>
        <v/>
      </c>
      <c r="I229" s="45">
        <f>IFERROR(__xludf.DUMMYFUNCTION("""COMPUTED_VALUE"""),84.7873583504753)</f>
        <v>84.78735835</v>
      </c>
      <c r="J229" s="46" t="str">
        <f>IFERROR(__xludf.DUMMYFUNCTION("""COMPUTED_VALUE"""),"AP")</f>
        <v>AP</v>
      </c>
      <c r="K229" s="47">
        <f>IFERROR(__xludf.DUMMYFUNCTION("""COMPUTED_VALUE"""),24.767843235774404)</f>
        <v>24.76784324</v>
      </c>
      <c r="L229" s="48" t="str">
        <f>IFERROR(__xludf.DUMMYFUNCTION("""COMPUTED_VALUE"""),"%")</f>
        <v>%</v>
      </c>
      <c r="M229" s="49">
        <f>IFERROR(__xludf.DUMMYFUNCTION("""COMPUTED_VALUE"""),1.0)</f>
        <v>1</v>
      </c>
      <c r="N229" s="50" t="str">
        <f>IFERROR(__xludf.DUMMYFUNCTION("""COMPUTED_VALUE"""),"A309")</f>
        <v>A309</v>
      </c>
      <c r="O229" s="38" t="str">
        <f>IFERROR(__xludf.DUMMYFUNCTION("""COMPUTED_VALUE"""),"")</f>
        <v/>
      </c>
      <c r="P229" s="45">
        <f>IFERROR(__xludf.DUMMYFUNCTION("""COMPUTED_VALUE"""),50.73741496268313)</f>
        <v>50.73741496</v>
      </c>
      <c r="Q229" s="46" t="str">
        <f>IFERROR(__xludf.DUMMYFUNCTION("""COMPUTED_VALUE"""),"AP")</f>
        <v>AP</v>
      </c>
      <c r="R229" s="47"/>
      <c r="S229" s="48" t="str">
        <f>IFERROR(__xludf.DUMMYFUNCTION("""COMPUTED_VALUE"""),"%")</f>
        <v>%</v>
      </c>
      <c r="T229" s="49">
        <f>IFERROR(__xludf.DUMMYFUNCTION("""COMPUTED_VALUE"""),2.0)</f>
        <v>2</v>
      </c>
      <c r="U229" s="50" t="str">
        <f>IFERROR(__xludf.DUMMYFUNCTION("""COMPUTED_VALUE"""),"B117")</f>
        <v>B117</v>
      </c>
      <c r="V229" s="38" t="str">
        <f>IFERROR(__xludf.DUMMYFUNCTION("""COMPUTED_VALUE"""),"")</f>
        <v/>
      </c>
      <c r="W229" s="45">
        <f>IFERROR(__xludf.DUMMYFUNCTION("""COMPUTED_VALUE"""),102.99466468114846)</f>
        <v>102.9946647</v>
      </c>
      <c r="X229" s="46" t="str">
        <f>IFERROR(__xludf.DUMMYFUNCTION("""COMPUTED_VALUE"""),"AP")</f>
        <v>AP</v>
      </c>
      <c r="Y229" s="47">
        <f>IFERROR(__xludf.DUMMYFUNCTION("""COMPUTED_VALUE"""),20.38940566971302)</f>
        <v>20.38940567</v>
      </c>
      <c r="Z229" s="48" t="str">
        <f>IFERROR(__xludf.DUMMYFUNCTION("""COMPUTED_VALUE"""),"%")</f>
        <v>%</v>
      </c>
      <c r="AA229" s="49">
        <f>IFERROR(__xludf.DUMMYFUNCTION("""COMPUTED_VALUE"""),3.0)</f>
        <v>3</v>
      </c>
      <c r="AB229" s="50"/>
      <c r="AC229" s="38"/>
      <c r="AD229" s="45" t="str">
        <f>IFERROR(__xludf.DUMMYFUNCTION("""COMPUTED_VALUE"""),"")</f>
        <v/>
      </c>
      <c r="AE229" s="46" t="str">
        <f>IFERROR(__xludf.DUMMYFUNCTION("""COMPUTED_VALUE"""),"AP")</f>
        <v>AP</v>
      </c>
      <c r="AF229" s="47" t="str">
        <f>IFERROR(__xludf.DUMMYFUNCTION("""COMPUTED_VALUE"""),"")</f>
        <v/>
      </c>
      <c r="AG229" s="48" t="str">
        <f>IFERROR(__xludf.DUMMYFUNCTION("""COMPUTED_VALUE"""),"%")</f>
        <v>%</v>
      </c>
      <c r="AH229" s="43">
        <f>IFERROR(__xludf.DUMMYFUNCTION("""COMPUTED_VALUE"""),21.0)</f>
        <v>21</v>
      </c>
      <c r="AI229" s="44">
        <f>IFERROR(__xludf.DUMMYFUNCTION("""COMPUTED_VALUE"""),15922.0)</f>
        <v>15922</v>
      </c>
      <c r="AJ229" s="42" t="str">
        <f>IFERROR(__xludf.DUMMYFUNCTION("""COMPUTED_VALUE"""),"Yaga Sychyovka")</f>
        <v>Yaga Sychyovka</v>
      </c>
    </row>
    <row r="230">
      <c r="A230" s="52"/>
      <c r="B230" s="53"/>
      <c r="C230" s="54"/>
      <c r="D230" s="56"/>
      <c r="E230" s="56"/>
      <c r="F230" s="53"/>
      <c r="G230" s="53"/>
      <c r="H230" s="53"/>
      <c r="I230" s="53"/>
      <c r="J230" s="57"/>
      <c r="K230" s="53"/>
      <c r="L230" s="57"/>
      <c r="M230" s="53"/>
      <c r="N230" s="53"/>
      <c r="O230" s="53"/>
      <c r="P230" s="53"/>
      <c r="Q230" s="57"/>
      <c r="R230" s="53"/>
      <c r="S230" s="57"/>
      <c r="T230" s="53"/>
      <c r="U230" s="53"/>
      <c r="V230" s="53"/>
      <c r="W230" s="53"/>
      <c r="X230" s="57"/>
      <c r="Y230" s="53"/>
      <c r="Z230" s="57"/>
      <c r="AA230" s="53"/>
      <c r="AB230" s="53"/>
      <c r="AC230" s="53"/>
      <c r="AD230" s="53"/>
      <c r="AE230" s="57"/>
      <c r="AF230" s="53"/>
      <c r="AG230" s="57"/>
      <c r="AH230" s="53"/>
      <c r="AI230" s="53"/>
      <c r="AJ230" s="56"/>
    </row>
    <row r="231">
      <c r="A231" s="59"/>
      <c r="B231" s="60"/>
      <c r="C231" s="61"/>
      <c r="D231" s="63"/>
      <c r="E231" s="63"/>
      <c r="F231" s="60"/>
      <c r="G231" s="60"/>
      <c r="H231" s="60"/>
      <c r="I231" s="60"/>
      <c r="J231" s="64"/>
      <c r="K231" s="60"/>
      <c r="L231" s="64"/>
      <c r="M231" s="60"/>
      <c r="N231" s="60"/>
      <c r="O231" s="60"/>
      <c r="P231" s="60"/>
      <c r="Q231" s="64"/>
      <c r="R231" s="60"/>
      <c r="S231" s="64"/>
      <c r="T231" s="60"/>
      <c r="U231" s="60"/>
      <c r="V231" s="60"/>
      <c r="W231" s="60"/>
      <c r="X231" s="64"/>
      <c r="Y231" s="60"/>
      <c r="Z231" s="64"/>
      <c r="AA231" s="60"/>
      <c r="AB231" s="60"/>
      <c r="AC231" s="60"/>
      <c r="AD231" s="60"/>
      <c r="AE231" s="64"/>
      <c r="AF231" s="60"/>
      <c r="AG231" s="64"/>
      <c r="AH231" s="60"/>
      <c r="AI231" s="60"/>
      <c r="AJ231" s="63"/>
    </row>
    <row r="232" ht="33.0" customHeight="1">
      <c r="A232" s="20" t="str">
        <f>IFERROR(__xludf.DUMMYFUNCTION("""COMPUTED_VALUE""")," ")</f>
        <v> </v>
      </c>
      <c r="B232" s="21" t="str">
        <f>IFERROR(__xludf.DUMMYFUNCTION("""COMPUTED_VALUE"""),"A202")</f>
        <v>A202</v>
      </c>
      <c r="C232" s="20"/>
      <c r="D232" s="257" t="str">
        <f>IFERROR(__xludf.DUMMYFUNCTION("""COMPUTED_VALUE"""),"")</f>
        <v/>
      </c>
      <c r="E232" s="23" t="str">
        <f>IFERROR(__xludf.DUMMYFUNCTION("""COMPUTED_VALUE"""),"Ghost Lantern")</f>
        <v>Ghost Lantern</v>
      </c>
      <c r="F232" s="24"/>
      <c r="G232" s="24"/>
      <c r="H232" s="25"/>
      <c r="I232" s="25"/>
      <c r="J232" s="26"/>
      <c r="K232" s="25"/>
      <c r="L232" s="26"/>
      <c r="M232" s="25"/>
      <c r="N232" s="25"/>
      <c r="O232" s="25"/>
      <c r="P232" s="25"/>
      <c r="Q232" s="26"/>
      <c r="R232" s="25"/>
      <c r="S232" s="26"/>
      <c r="T232" s="25"/>
      <c r="U232" s="25"/>
      <c r="V232" s="25"/>
      <c r="W232" s="25"/>
      <c r="X232" s="26"/>
      <c r="Y232" s="25"/>
      <c r="Z232" s="26"/>
      <c r="AA232" s="25"/>
      <c r="AB232" s="25"/>
      <c r="AC232" s="25"/>
      <c r="AD232" s="25"/>
      <c r="AE232" s="26"/>
      <c r="AF232" s="25"/>
      <c r="AG232" s="26"/>
      <c r="AH232" s="24"/>
      <c r="AI232" s="25"/>
      <c r="AJ232" s="23"/>
    </row>
    <row r="233" ht="24.75" customHeight="1">
      <c r="A233" s="28">
        <f>IFERROR(__xludf.DUMMYFUNCTION("""COMPUTED_VALUE"""),1.0)</f>
        <v>1</v>
      </c>
      <c r="B233" s="28" t="str">
        <f>IFERROR(__xludf.DUMMYFUNCTION("""COMPUTED_VALUE"""),"A202")</f>
        <v>A202</v>
      </c>
      <c r="C233" s="28" t="str">
        <f>IFERROR(__xludf.DUMMYFUNCTION("""COMPUTED_VALUE"""),"BBL10")</f>
        <v>BBL10</v>
      </c>
      <c r="D233" s="29" t="str">
        <f>IFERROR(__xludf.DUMMYFUNCTION("""COMPUTED_VALUE"""),"Babylonia")</f>
        <v>Babylonia</v>
      </c>
      <c r="E233" s="30" t="str">
        <f>IFERROR(__xludf.DUMMYFUNCTION("""COMPUTED_VALUE"""),"Kutha")</f>
        <v>Kutha</v>
      </c>
      <c r="F233" s="31">
        <f>IFERROR(__xludf.DUMMYFUNCTION("""COMPUTED_VALUE"""),21.0)</f>
        <v>21</v>
      </c>
      <c r="G233" s="32">
        <f>IFERROR(__xludf.DUMMYFUNCTION("""COMPUTED_VALUE"""),14180.0)</f>
        <v>14180</v>
      </c>
      <c r="H233" s="33" t="str">
        <f>IFERROR(__xludf.DUMMYFUNCTION("""COMPUTED_VALUE"""),"")</f>
        <v/>
      </c>
      <c r="I233" s="34">
        <f>IFERROR(__xludf.DUMMYFUNCTION("""COMPUTED_VALUE"""),52.17234077519499)</f>
        <v>52.17234078</v>
      </c>
      <c r="J233" s="35" t="str">
        <f>IFERROR(__xludf.DUMMYFUNCTION("""COMPUTED_VALUE"""),"AP")</f>
        <v>AP</v>
      </c>
      <c r="K233" s="34">
        <f>IFERROR(__xludf.DUMMYFUNCTION("""COMPUTED_VALUE"""),40.25121297602257)</f>
        <v>40.25121298</v>
      </c>
      <c r="L233" s="35" t="str">
        <f>IFERROR(__xludf.DUMMYFUNCTION("""COMPUTED_VALUE"""),"%")</f>
        <v>%</v>
      </c>
      <c r="M233" s="36">
        <f>IFERROR(__xludf.DUMMYFUNCTION("""COMPUTED_VALUE"""),1.0)</f>
        <v>1</v>
      </c>
      <c r="N233" s="37" t="str">
        <f>IFERROR(__xludf.DUMMYFUNCTION("""COMPUTED_VALUE"""),"B116")</f>
        <v>B116</v>
      </c>
      <c r="O233" s="38" t="str">
        <f>IFERROR(__xludf.DUMMYFUNCTION("""COMPUTED_VALUE"""),"")</f>
        <v/>
      </c>
      <c r="P233" s="34">
        <f>IFERROR(__xludf.DUMMYFUNCTION("""COMPUTED_VALUE"""),173.78039172661073)</f>
        <v>173.7803917</v>
      </c>
      <c r="Q233" s="35" t="str">
        <f>IFERROR(__xludf.DUMMYFUNCTION("""COMPUTED_VALUE"""),"AP")</f>
        <v>AP</v>
      </c>
      <c r="R233" s="34">
        <f>IFERROR(__xludf.DUMMYFUNCTION("""COMPUTED_VALUE"""),12.084217207334273)</f>
        <v>12.08421721</v>
      </c>
      <c r="S233" s="35" t="str">
        <f>IFERROR(__xludf.DUMMYFUNCTION("""COMPUTED_VALUE"""),"%")</f>
        <v>%</v>
      </c>
      <c r="T233" s="36">
        <f>IFERROR(__xludf.DUMMYFUNCTION("""COMPUTED_VALUE"""),2.0)</f>
        <v>2</v>
      </c>
      <c r="U233" s="37"/>
      <c r="V233" s="38"/>
      <c r="W233" s="34" t="str">
        <f>IFERROR(__xludf.DUMMYFUNCTION("""COMPUTED_VALUE"""),"")</f>
        <v/>
      </c>
      <c r="X233" s="35" t="str">
        <f>IFERROR(__xludf.DUMMYFUNCTION("""COMPUTED_VALUE"""),"AP")</f>
        <v>AP</v>
      </c>
      <c r="Y233" s="34" t="str">
        <f>IFERROR(__xludf.DUMMYFUNCTION("""COMPUTED_VALUE"""),"")</f>
        <v/>
      </c>
      <c r="Z233" s="35" t="str">
        <f>IFERROR(__xludf.DUMMYFUNCTION("""COMPUTED_VALUE"""),"%")</f>
        <v>%</v>
      </c>
      <c r="AA233" s="36">
        <f>IFERROR(__xludf.DUMMYFUNCTION("""COMPUTED_VALUE"""),3.0)</f>
        <v>3</v>
      </c>
      <c r="AB233" s="37"/>
      <c r="AC233" s="38"/>
      <c r="AD233" s="34" t="str">
        <f>IFERROR(__xludf.DUMMYFUNCTION("""COMPUTED_VALUE"""),"")</f>
        <v/>
      </c>
      <c r="AE233" s="35" t="str">
        <f>IFERROR(__xludf.DUMMYFUNCTION("""COMPUTED_VALUE"""),"AP")</f>
        <v>AP</v>
      </c>
      <c r="AF233" s="34" t="str">
        <f>IFERROR(__xludf.DUMMYFUNCTION("""COMPUTED_VALUE"""),"")</f>
        <v/>
      </c>
      <c r="AG233" s="35" t="str">
        <f>IFERROR(__xludf.DUMMYFUNCTION("""COMPUTED_VALUE"""),"%")</f>
        <v>%</v>
      </c>
      <c r="AH233" s="31">
        <f>IFERROR(__xludf.DUMMYFUNCTION("""COMPUTED_VALUE"""),21.0)</f>
        <v>21</v>
      </c>
      <c r="AI233" s="32">
        <f>IFERROR(__xludf.DUMMYFUNCTION("""COMPUTED_VALUE"""),14180.0)</f>
        <v>14180</v>
      </c>
      <c r="AJ233" s="30" t="str">
        <f>IFERROR(__xludf.DUMMYFUNCTION("""COMPUTED_VALUE"""),"Kutha")</f>
        <v>Kutha</v>
      </c>
    </row>
    <row r="234" ht="24.75" customHeight="1">
      <c r="A234" s="40">
        <f>IFERROR(__xludf.DUMMYFUNCTION("""COMPUTED_VALUE"""),2.0)</f>
        <v>2</v>
      </c>
      <c r="B234" s="40" t="str">
        <f>IFERROR(__xludf.DUMMYFUNCTION("""COMPUTED_VALUE"""),"A202")</f>
        <v>A202</v>
      </c>
      <c r="C234" s="40" t="str">
        <f>IFERROR(__xludf.DUMMYFUNCTION("""COMPUTED_VALUE"""),"CML6")</f>
        <v>CML6</v>
      </c>
      <c r="D234" s="41" t="str">
        <f>IFERROR(__xludf.DUMMYFUNCTION("""COMPUTED_VALUE"""),"Camelot")</f>
        <v>Camelot</v>
      </c>
      <c r="E234" s="42" t="str">
        <f>IFERROR(__xludf.DUMMYFUNCTION("""COMPUTED_VALUE"""),"Mausoleum of the Evening Bell")</f>
        <v>Mausoleum of the Evening Bell</v>
      </c>
      <c r="F234" s="43">
        <f>IFERROR(__xludf.DUMMYFUNCTION("""COMPUTED_VALUE"""),19.0)</f>
        <v>19</v>
      </c>
      <c r="G234" s="44">
        <f>IFERROR(__xludf.DUMMYFUNCTION("""COMPUTED_VALUE"""),2820.0)</f>
        <v>2820</v>
      </c>
      <c r="H234" s="33" t="str">
        <f>IFERROR(__xludf.DUMMYFUNCTION("""COMPUTED_VALUE"""),"")</f>
        <v/>
      </c>
      <c r="I234" s="45">
        <f>IFERROR(__xludf.DUMMYFUNCTION("""COMPUTED_VALUE"""),59.121910527076565)</f>
        <v>59.12191053</v>
      </c>
      <c r="J234" s="46" t="str">
        <f>IFERROR(__xludf.DUMMYFUNCTION("""COMPUTED_VALUE"""),"AP")</f>
        <v>AP</v>
      </c>
      <c r="K234" s="47">
        <f>IFERROR(__xludf.DUMMYFUNCTION("""COMPUTED_VALUE"""),32.13698581560284)</f>
        <v>32.13698582</v>
      </c>
      <c r="L234" s="48" t="str">
        <f>IFERROR(__xludf.DUMMYFUNCTION("""COMPUTED_VALUE"""),"%")</f>
        <v>%</v>
      </c>
      <c r="M234" s="49">
        <f>IFERROR(__xludf.DUMMYFUNCTION("""COMPUTED_VALUE"""),1.0)</f>
        <v>1</v>
      </c>
      <c r="N234" s="50" t="str">
        <f>IFERROR(__xludf.DUMMYFUNCTION("""COMPUTED_VALUE"""),"B116")</f>
        <v>B116</v>
      </c>
      <c r="O234" s="38" t="str">
        <f>IFERROR(__xludf.DUMMYFUNCTION("""COMPUTED_VALUE"""),"")</f>
        <v/>
      </c>
      <c r="P234" s="45">
        <f>IFERROR(__xludf.DUMMYFUNCTION("""COMPUTED_VALUE"""),817.4577026686565)</f>
        <v>817.4577027</v>
      </c>
      <c r="Q234" s="46" t="str">
        <f>IFERROR(__xludf.DUMMYFUNCTION("""COMPUTED_VALUE"""),"AP")</f>
        <v>AP</v>
      </c>
      <c r="R234" s="47">
        <f>IFERROR(__xludf.DUMMYFUNCTION("""COMPUTED_VALUE"""),2.324279279279279)</f>
        <v>2.324279279</v>
      </c>
      <c r="S234" s="48" t="str">
        <f>IFERROR(__xludf.DUMMYFUNCTION("""COMPUTED_VALUE"""),"%")</f>
        <v>%</v>
      </c>
      <c r="T234" s="49">
        <f>IFERROR(__xludf.DUMMYFUNCTION("""COMPUTED_VALUE"""),2.0)</f>
        <v>2</v>
      </c>
      <c r="U234" s="50"/>
      <c r="V234" s="38"/>
      <c r="W234" s="45" t="str">
        <f>IFERROR(__xludf.DUMMYFUNCTION("""COMPUTED_VALUE"""),"")</f>
        <v/>
      </c>
      <c r="X234" s="46" t="str">
        <f>IFERROR(__xludf.DUMMYFUNCTION("""COMPUTED_VALUE"""),"AP")</f>
        <v>AP</v>
      </c>
      <c r="Y234" s="47" t="str">
        <f>IFERROR(__xludf.DUMMYFUNCTION("""COMPUTED_VALUE"""),"")</f>
        <v/>
      </c>
      <c r="Z234" s="48" t="str">
        <f>IFERROR(__xludf.DUMMYFUNCTION("""COMPUTED_VALUE"""),"%")</f>
        <v>%</v>
      </c>
      <c r="AA234" s="49">
        <f>IFERROR(__xludf.DUMMYFUNCTION("""COMPUTED_VALUE"""),3.0)</f>
        <v>3</v>
      </c>
      <c r="AB234" s="50"/>
      <c r="AC234" s="38"/>
      <c r="AD234" s="45" t="str">
        <f>IFERROR(__xludf.DUMMYFUNCTION("""COMPUTED_VALUE"""),"")</f>
        <v/>
      </c>
      <c r="AE234" s="46" t="str">
        <f>IFERROR(__xludf.DUMMYFUNCTION("""COMPUTED_VALUE"""),"AP")</f>
        <v>AP</v>
      </c>
      <c r="AF234" s="47" t="str">
        <f>IFERROR(__xludf.DUMMYFUNCTION("""COMPUTED_VALUE"""),"")</f>
        <v/>
      </c>
      <c r="AG234" s="48" t="str">
        <f>IFERROR(__xludf.DUMMYFUNCTION("""COMPUTED_VALUE"""),"%")</f>
        <v>%</v>
      </c>
      <c r="AH234" s="43">
        <f>IFERROR(__xludf.DUMMYFUNCTION("""COMPUTED_VALUE"""),19.0)</f>
        <v>19</v>
      </c>
      <c r="AI234" s="44">
        <f>IFERROR(__xludf.DUMMYFUNCTION("""COMPUTED_VALUE"""),2820.0)</f>
        <v>2820</v>
      </c>
      <c r="AJ234" s="42" t="str">
        <f>IFERROR(__xludf.DUMMYFUNCTION("""COMPUTED_VALUE"""),"Mausoleum of the Evening Bell")</f>
        <v>Mausoleum of the Evening Bell</v>
      </c>
    </row>
    <row r="235" ht="24.75" customHeight="1">
      <c r="A235" s="28">
        <f>IFERROR(__xludf.DUMMYFUNCTION("""COMPUTED_VALUE"""),3.0)</f>
        <v>3</v>
      </c>
      <c r="B235" s="28" t="str">
        <f>IFERROR(__xludf.DUMMYFUNCTION("""COMPUTED_VALUE"""),"A202")</f>
        <v>A202</v>
      </c>
      <c r="C235" s="28" t="str">
        <f>IFERROR(__xludf.DUMMYFUNCTION("""COMPUTED_VALUE"""),"OKN9")</f>
        <v>OKN9</v>
      </c>
      <c r="D235" s="29" t="str">
        <f>IFERROR(__xludf.DUMMYFUNCTION("""COMPUTED_VALUE"""),"Okeanos")</f>
        <v>Okeanos</v>
      </c>
      <c r="E235" s="30" t="str">
        <f>IFERROR(__xludf.DUMMYFUNCTION("""COMPUTED_VALUE"""),"Stormy Seas")</f>
        <v>Stormy Seas</v>
      </c>
      <c r="F235" s="31">
        <f>IFERROR(__xludf.DUMMYFUNCTION("""COMPUTED_VALUE"""),15.0)</f>
        <v>15</v>
      </c>
      <c r="G235" s="32">
        <f>IFERROR(__xludf.DUMMYFUNCTION("""COMPUTED_VALUE"""),2815.0)</f>
        <v>2815</v>
      </c>
      <c r="H235" s="33" t="str">
        <f>IFERROR(__xludf.DUMMYFUNCTION("""COMPUTED_VALUE"""),"")</f>
        <v/>
      </c>
      <c r="I235" s="34">
        <f>IFERROR(__xludf.DUMMYFUNCTION("""COMPUTED_VALUE"""),73.09536586632505)</f>
        <v>73.09536587</v>
      </c>
      <c r="J235" s="35" t="str">
        <f>IFERROR(__xludf.DUMMYFUNCTION("""COMPUTED_VALUE"""),"AP")</f>
        <v>AP</v>
      </c>
      <c r="K235" s="34">
        <f>IFERROR(__xludf.DUMMYFUNCTION("""COMPUTED_VALUE"""),20.52113676731794)</f>
        <v>20.52113677</v>
      </c>
      <c r="L235" s="35" t="str">
        <f>IFERROR(__xludf.DUMMYFUNCTION("""COMPUTED_VALUE"""),"%")</f>
        <v>%</v>
      </c>
      <c r="M235" s="36">
        <f>IFERROR(__xludf.DUMMYFUNCTION("""COMPUTED_VALUE"""),1.0)</f>
        <v>1</v>
      </c>
      <c r="N235" s="37"/>
      <c r="O235" s="38"/>
      <c r="P235" s="34" t="str">
        <f>IFERROR(__xludf.DUMMYFUNCTION("""COMPUTED_VALUE"""),"")</f>
        <v/>
      </c>
      <c r="Q235" s="35" t="str">
        <f>IFERROR(__xludf.DUMMYFUNCTION("""COMPUTED_VALUE"""),"AP")</f>
        <v>AP</v>
      </c>
      <c r="R235" s="34" t="str">
        <f>IFERROR(__xludf.DUMMYFUNCTION("""COMPUTED_VALUE"""),"")</f>
        <v/>
      </c>
      <c r="S235" s="35" t="str">
        <f>IFERROR(__xludf.DUMMYFUNCTION("""COMPUTED_VALUE"""),"%")</f>
        <v>%</v>
      </c>
      <c r="T235" s="36">
        <f>IFERROR(__xludf.DUMMYFUNCTION("""COMPUTED_VALUE"""),2.0)</f>
        <v>2</v>
      </c>
      <c r="U235" s="37"/>
      <c r="V235" s="38"/>
      <c r="W235" s="34" t="str">
        <f>IFERROR(__xludf.DUMMYFUNCTION("""COMPUTED_VALUE"""),"")</f>
        <v/>
      </c>
      <c r="X235" s="35" t="str">
        <f>IFERROR(__xludf.DUMMYFUNCTION("""COMPUTED_VALUE"""),"AP")</f>
        <v>AP</v>
      </c>
      <c r="Y235" s="34" t="str">
        <f>IFERROR(__xludf.DUMMYFUNCTION("""COMPUTED_VALUE"""),"")</f>
        <v/>
      </c>
      <c r="Z235" s="35" t="str">
        <f>IFERROR(__xludf.DUMMYFUNCTION("""COMPUTED_VALUE"""),"%")</f>
        <v>%</v>
      </c>
      <c r="AA235" s="36">
        <f>IFERROR(__xludf.DUMMYFUNCTION("""COMPUTED_VALUE"""),3.0)</f>
        <v>3</v>
      </c>
      <c r="AB235" s="37"/>
      <c r="AC235" s="38"/>
      <c r="AD235" s="34" t="str">
        <f>IFERROR(__xludf.DUMMYFUNCTION("""COMPUTED_VALUE"""),"")</f>
        <v/>
      </c>
      <c r="AE235" s="35" t="str">
        <f>IFERROR(__xludf.DUMMYFUNCTION("""COMPUTED_VALUE"""),"AP")</f>
        <v>AP</v>
      </c>
      <c r="AF235" s="34" t="str">
        <f>IFERROR(__xludf.DUMMYFUNCTION("""COMPUTED_VALUE"""),"")</f>
        <v/>
      </c>
      <c r="AG235" s="35" t="str">
        <f>IFERROR(__xludf.DUMMYFUNCTION("""COMPUTED_VALUE"""),"%")</f>
        <v>%</v>
      </c>
      <c r="AH235" s="31">
        <f>IFERROR(__xludf.DUMMYFUNCTION("""COMPUTED_VALUE"""),15.0)</f>
        <v>15</v>
      </c>
      <c r="AI235" s="32">
        <f>IFERROR(__xludf.DUMMYFUNCTION("""COMPUTED_VALUE"""),2815.0)</f>
        <v>2815</v>
      </c>
      <c r="AJ235" s="30" t="str">
        <f>IFERROR(__xludf.DUMMYFUNCTION("""COMPUTED_VALUE"""),"Stormy Seas")</f>
        <v>Stormy Seas</v>
      </c>
    </row>
    <row r="236" ht="24.75" customHeight="1">
      <c r="A236" s="40">
        <f>IFERROR(__xludf.DUMMYFUNCTION("""COMPUTED_VALUE"""),4.0)</f>
        <v>4</v>
      </c>
      <c r="B236" s="40" t="str">
        <f>IFERROR(__xludf.DUMMYFUNCTION("""COMPUTED_VALUE"""),"A202")</f>
        <v>A202</v>
      </c>
      <c r="C236" s="40" t="str">
        <f>IFERROR(__xludf.DUMMYFUNCTION("""COMPUTED_VALUE"""),"SMS1")</f>
        <v>SMS1</v>
      </c>
      <c r="D236" s="41" t="str">
        <f>IFERROR(__xludf.DUMMYFUNCTION("""COMPUTED_VALUE"""),"Shimosa")</f>
        <v>Shimosa</v>
      </c>
      <c r="E236" s="42" t="str">
        <f>IFERROR(__xludf.DUMMYFUNCTION("""COMPUTED_VALUE"""),"Rice Field")</f>
        <v>Rice Field</v>
      </c>
      <c r="F236" s="43">
        <f>IFERROR(__xludf.DUMMYFUNCTION("""COMPUTED_VALUE"""),20.0)</f>
        <v>20</v>
      </c>
      <c r="G236" s="44">
        <f>IFERROR(__xludf.DUMMYFUNCTION("""COMPUTED_VALUE"""),49669.0)</f>
        <v>49669</v>
      </c>
      <c r="H236" s="33" t="str">
        <f>IFERROR(__xludf.DUMMYFUNCTION("""COMPUTED_VALUE"""),"")</f>
        <v/>
      </c>
      <c r="I236" s="45">
        <f>IFERROR(__xludf.DUMMYFUNCTION("""COMPUTED_VALUE"""),77.76925052779485)</f>
        <v>77.76925053</v>
      </c>
      <c r="J236" s="46" t="str">
        <f>IFERROR(__xludf.DUMMYFUNCTION("""COMPUTED_VALUE"""),"AP")</f>
        <v>AP</v>
      </c>
      <c r="K236" s="47">
        <f>IFERROR(__xludf.DUMMYFUNCTION("""COMPUTED_VALUE"""),25.717105236666733)</f>
        <v>25.71710524</v>
      </c>
      <c r="L236" s="48" t="str">
        <f>IFERROR(__xludf.DUMMYFUNCTION("""COMPUTED_VALUE"""),"%")</f>
        <v>%</v>
      </c>
      <c r="M236" s="49">
        <f>IFERROR(__xludf.DUMMYFUNCTION("""COMPUTED_VALUE"""),1.0)</f>
        <v>1</v>
      </c>
      <c r="N236" s="50" t="str">
        <f>IFERROR(__xludf.DUMMYFUNCTION("""COMPUTED_VALUE"""),"A201")</f>
        <v>A201</v>
      </c>
      <c r="O236" s="38" t="str">
        <f>IFERROR(__xludf.DUMMYFUNCTION("""COMPUTED_VALUE"""),"")</f>
        <v/>
      </c>
      <c r="P236" s="45">
        <f>IFERROR(__xludf.DUMMYFUNCTION("""COMPUTED_VALUE"""),50.26818164475094)</f>
        <v>50.26818164</v>
      </c>
      <c r="Q236" s="46" t="str">
        <f>IFERROR(__xludf.DUMMYFUNCTION("""COMPUTED_VALUE"""),"AP")</f>
        <v>AP</v>
      </c>
      <c r="R236" s="47">
        <f>IFERROR(__xludf.DUMMYFUNCTION("""COMPUTED_VALUE"""),39.7865992872818)</f>
        <v>39.78659929</v>
      </c>
      <c r="S236" s="48" t="str">
        <f>IFERROR(__xludf.DUMMYFUNCTION("""COMPUTED_VALUE"""),"%")</f>
        <v>%</v>
      </c>
      <c r="T236" s="49">
        <f>IFERROR(__xludf.DUMMYFUNCTION("""COMPUTED_VALUE"""),2.0)</f>
        <v>2</v>
      </c>
      <c r="U236" s="50"/>
      <c r="V236" s="38"/>
      <c r="W236" s="45" t="str">
        <f>IFERROR(__xludf.DUMMYFUNCTION("""COMPUTED_VALUE"""),"")</f>
        <v/>
      </c>
      <c r="X236" s="46" t="str">
        <f>IFERROR(__xludf.DUMMYFUNCTION("""COMPUTED_VALUE"""),"AP")</f>
        <v>AP</v>
      </c>
      <c r="Y236" s="47" t="str">
        <f>IFERROR(__xludf.DUMMYFUNCTION("""COMPUTED_VALUE"""),"")</f>
        <v/>
      </c>
      <c r="Z236" s="48" t="str">
        <f>IFERROR(__xludf.DUMMYFUNCTION("""COMPUTED_VALUE"""),"%")</f>
        <v>%</v>
      </c>
      <c r="AA236" s="49">
        <f>IFERROR(__xludf.DUMMYFUNCTION("""COMPUTED_VALUE"""),3.0)</f>
        <v>3</v>
      </c>
      <c r="AB236" s="50"/>
      <c r="AC236" s="38"/>
      <c r="AD236" s="45" t="str">
        <f>IFERROR(__xludf.DUMMYFUNCTION("""COMPUTED_VALUE"""),"")</f>
        <v/>
      </c>
      <c r="AE236" s="46" t="str">
        <f>IFERROR(__xludf.DUMMYFUNCTION("""COMPUTED_VALUE"""),"AP")</f>
        <v>AP</v>
      </c>
      <c r="AF236" s="47" t="str">
        <f>IFERROR(__xludf.DUMMYFUNCTION("""COMPUTED_VALUE"""),"")</f>
        <v/>
      </c>
      <c r="AG236" s="48" t="str">
        <f>IFERROR(__xludf.DUMMYFUNCTION("""COMPUTED_VALUE"""),"%")</f>
        <v>%</v>
      </c>
      <c r="AH236" s="43">
        <f>IFERROR(__xludf.DUMMYFUNCTION("""COMPUTED_VALUE"""),20.0)</f>
        <v>20</v>
      </c>
      <c r="AI236" s="44">
        <f>IFERROR(__xludf.DUMMYFUNCTION("""COMPUTED_VALUE"""),49669.0)</f>
        <v>49669</v>
      </c>
      <c r="AJ236" s="42" t="str">
        <f>IFERROR(__xludf.DUMMYFUNCTION("""COMPUTED_VALUE"""),"Rice Field")</f>
        <v>Rice Field</v>
      </c>
    </row>
    <row r="237" ht="24.75" customHeight="1">
      <c r="A237" s="28">
        <f>IFERROR(__xludf.DUMMYFUNCTION("""COMPUTED_VALUE"""),5.0)</f>
        <v>5</v>
      </c>
      <c r="B237" s="28" t="str">
        <f>IFERROR(__xludf.DUMMYFUNCTION("""COMPUTED_VALUE"""),"A202")</f>
        <v>A202</v>
      </c>
      <c r="C237" s="28" t="str">
        <f>IFERROR(__xludf.DUMMYFUNCTION("""COMPUTED_VALUE"""),"SMS3")</f>
        <v>SMS3</v>
      </c>
      <c r="D237" s="29" t="str">
        <f>IFERROR(__xludf.DUMMYFUNCTION("""COMPUTED_VALUE"""),"Shimosa")</f>
        <v>Shimosa</v>
      </c>
      <c r="E237" s="30" t="str">
        <f>IFERROR(__xludf.DUMMYFUNCTION("""COMPUTED_VALUE"""),"Monastery")</f>
        <v>Monastery</v>
      </c>
      <c r="F237" s="31">
        <f>IFERROR(__xludf.DUMMYFUNCTION("""COMPUTED_VALUE"""),21.0)</f>
        <v>21</v>
      </c>
      <c r="G237" s="32">
        <f>IFERROR(__xludf.DUMMYFUNCTION("""COMPUTED_VALUE"""),10342.0)</f>
        <v>10342</v>
      </c>
      <c r="H237" s="33" t="str">
        <f>IFERROR(__xludf.DUMMYFUNCTION("""COMPUTED_VALUE"""),"")</f>
        <v/>
      </c>
      <c r="I237" s="34">
        <f>IFERROR(__xludf.DUMMYFUNCTION("""COMPUTED_VALUE"""),83.35201105311637)</f>
        <v>83.35201105</v>
      </c>
      <c r="J237" s="35" t="str">
        <f>IFERROR(__xludf.DUMMYFUNCTION("""COMPUTED_VALUE"""),"AP")</f>
        <v>AP</v>
      </c>
      <c r="K237" s="34">
        <f>IFERROR(__xludf.DUMMYFUNCTION("""COMPUTED_VALUE"""),25.194353123187003)</f>
        <v>25.19435312</v>
      </c>
      <c r="L237" s="35" t="str">
        <f>IFERROR(__xludf.DUMMYFUNCTION("""COMPUTED_VALUE"""),"%")</f>
        <v>%</v>
      </c>
      <c r="M237" s="36">
        <f>IFERROR(__xludf.DUMMYFUNCTION("""COMPUTED_VALUE"""),1.0)</f>
        <v>1</v>
      </c>
      <c r="N237" s="37" t="str">
        <f>IFERROR(__xludf.DUMMYFUNCTION("""COMPUTED_VALUE"""),"A212")</f>
        <v>A212</v>
      </c>
      <c r="O237" s="38" t="str">
        <f>IFERROR(__xludf.DUMMYFUNCTION("""COMPUTED_VALUE"""),"")</f>
        <v/>
      </c>
      <c r="P237" s="34">
        <f>IFERROR(__xludf.DUMMYFUNCTION("""COMPUTED_VALUE"""),83.41603933015824)</f>
        <v>83.41603933</v>
      </c>
      <c r="Q237" s="35" t="str">
        <f>IFERROR(__xludf.DUMMYFUNCTION("""COMPUTED_VALUE"""),"AP")</f>
        <v>AP</v>
      </c>
      <c r="R237" s="34">
        <f>IFERROR(__xludf.DUMMYFUNCTION("""COMPUTED_VALUE"""),25.175014503964416)</f>
        <v>25.1750145</v>
      </c>
      <c r="S237" s="35" t="str">
        <f>IFERROR(__xludf.DUMMYFUNCTION("""COMPUTED_VALUE"""),"%")</f>
        <v>%</v>
      </c>
      <c r="T237" s="36">
        <f>IFERROR(__xludf.DUMMYFUNCTION("""COMPUTED_VALUE"""),2.0)</f>
        <v>2</v>
      </c>
      <c r="U237" s="37" t="str">
        <f>IFERROR(__xludf.DUMMYFUNCTION("""COMPUTED_VALUE"""),"B111")</f>
        <v>B111</v>
      </c>
      <c r="V237" s="38" t="str">
        <f>IFERROR(__xludf.DUMMYFUNCTION("""COMPUTED_VALUE"""),"")</f>
        <v/>
      </c>
      <c r="W237" s="34">
        <f>IFERROR(__xludf.DUMMYFUNCTION("""COMPUTED_VALUE"""),101.04308179026705)</f>
        <v>101.0430818</v>
      </c>
      <c r="X237" s="35" t="str">
        <f>IFERROR(__xludf.DUMMYFUNCTION("""COMPUTED_VALUE"""),"AP")</f>
        <v>AP</v>
      </c>
      <c r="Y237" s="34">
        <f>IFERROR(__xludf.DUMMYFUNCTION("""COMPUTED_VALUE"""),20.783214078514796)</f>
        <v>20.78321408</v>
      </c>
      <c r="Z237" s="35" t="str">
        <f>IFERROR(__xludf.DUMMYFUNCTION("""COMPUTED_VALUE"""),"%")</f>
        <v>%</v>
      </c>
      <c r="AA237" s="36">
        <f>IFERROR(__xludf.DUMMYFUNCTION("""COMPUTED_VALUE"""),3.0)</f>
        <v>3</v>
      </c>
      <c r="AB237" s="37"/>
      <c r="AC237" s="38"/>
      <c r="AD237" s="34" t="str">
        <f>IFERROR(__xludf.DUMMYFUNCTION("""COMPUTED_VALUE"""),"")</f>
        <v/>
      </c>
      <c r="AE237" s="35" t="str">
        <f>IFERROR(__xludf.DUMMYFUNCTION("""COMPUTED_VALUE"""),"AP")</f>
        <v>AP</v>
      </c>
      <c r="AF237" s="34" t="str">
        <f>IFERROR(__xludf.DUMMYFUNCTION("""COMPUTED_VALUE"""),"")</f>
        <v/>
      </c>
      <c r="AG237" s="35" t="str">
        <f>IFERROR(__xludf.DUMMYFUNCTION("""COMPUTED_VALUE"""),"%")</f>
        <v>%</v>
      </c>
      <c r="AH237" s="31">
        <f>IFERROR(__xludf.DUMMYFUNCTION("""COMPUTED_VALUE"""),21.0)</f>
        <v>21</v>
      </c>
      <c r="AI237" s="32">
        <f>IFERROR(__xludf.DUMMYFUNCTION("""COMPUTED_VALUE"""),10342.0)</f>
        <v>10342</v>
      </c>
      <c r="AJ237" s="30" t="str">
        <f>IFERROR(__xludf.DUMMYFUNCTION("""COMPUTED_VALUE"""),"Monastery")</f>
        <v>Monastery</v>
      </c>
    </row>
    <row r="238" ht="24.75" customHeight="1">
      <c r="A238" s="40">
        <f>IFERROR(__xludf.DUMMYFUNCTION("""COMPUTED_VALUE"""),6.0)</f>
        <v>6</v>
      </c>
      <c r="B238" s="40" t="str">
        <f>IFERROR(__xludf.DUMMYFUNCTION("""COMPUTED_VALUE"""),"A202")</f>
        <v>A202</v>
      </c>
      <c r="C238" s="40" t="str">
        <f>IFERROR(__xludf.DUMMYFUNCTION("""COMPUTED_VALUE"""),"SEP3")</f>
        <v>SEP3</v>
      </c>
      <c r="D238" s="41" t="str">
        <f>IFERROR(__xludf.DUMMYFUNCTION("""COMPUTED_VALUE"""),"Septem")</f>
        <v>Septem</v>
      </c>
      <c r="E238" s="42" t="str">
        <f>IFERROR(__xludf.DUMMYFUNCTION("""COMPUTED_VALUE"""),"Mt. Etna")</f>
        <v>Mt. Etna</v>
      </c>
      <c r="F238" s="43">
        <f>IFERROR(__xludf.DUMMYFUNCTION("""COMPUTED_VALUE"""),9.0)</f>
        <v>9</v>
      </c>
      <c r="G238" s="44">
        <f>IFERROR(__xludf.DUMMYFUNCTION("""COMPUTED_VALUE"""),1499.0)</f>
        <v>1499</v>
      </c>
      <c r="H238" s="33" t="str">
        <f>IFERROR(__xludf.DUMMYFUNCTION("""COMPUTED_VALUE"""),"")</f>
        <v/>
      </c>
      <c r="I238" s="45">
        <f>IFERROR(__xludf.DUMMYFUNCTION("""COMPUTED_VALUE"""),105.92475110706322)</f>
        <v>105.9247511</v>
      </c>
      <c r="J238" s="46" t="str">
        <f>IFERROR(__xludf.DUMMYFUNCTION("""COMPUTED_VALUE"""),"AP")</f>
        <v>AP</v>
      </c>
      <c r="K238" s="47">
        <f>IFERROR(__xludf.DUMMYFUNCTION("""COMPUTED_VALUE"""),8.496597731821215)</f>
        <v>8.496597732</v>
      </c>
      <c r="L238" s="48" t="str">
        <f>IFERROR(__xludf.DUMMYFUNCTION("""COMPUTED_VALUE"""),"%")</f>
        <v>%</v>
      </c>
      <c r="M238" s="49">
        <f>IFERROR(__xludf.DUMMYFUNCTION("""COMPUTED_VALUE"""),1.0)</f>
        <v>1</v>
      </c>
      <c r="N238" s="50"/>
      <c r="O238" s="38"/>
      <c r="P238" s="45" t="str">
        <f>IFERROR(__xludf.DUMMYFUNCTION("""COMPUTED_VALUE"""),"")</f>
        <v/>
      </c>
      <c r="Q238" s="46" t="str">
        <f>IFERROR(__xludf.DUMMYFUNCTION("""COMPUTED_VALUE"""),"AP")</f>
        <v>AP</v>
      </c>
      <c r="R238" s="47" t="str">
        <f>IFERROR(__xludf.DUMMYFUNCTION("""COMPUTED_VALUE"""),"")</f>
        <v/>
      </c>
      <c r="S238" s="48" t="str">
        <f>IFERROR(__xludf.DUMMYFUNCTION("""COMPUTED_VALUE"""),"%")</f>
        <v>%</v>
      </c>
      <c r="T238" s="49">
        <f>IFERROR(__xludf.DUMMYFUNCTION("""COMPUTED_VALUE"""),2.0)</f>
        <v>2</v>
      </c>
      <c r="U238" s="50"/>
      <c r="V238" s="38"/>
      <c r="W238" s="45" t="str">
        <f>IFERROR(__xludf.DUMMYFUNCTION("""COMPUTED_VALUE"""),"")</f>
        <v/>
      </c>
      <c r="X238" s="46" t="str">
        <f>IFERROR(__xludf.DUMMYFUNCTION("""COMPUTED_VALUE"""),"AP")</f>
        <v>AP</v>
      </c>
      <c r="Y238" s="47" t="str">
        <f>IFERROR(__xludf.DUMMYFUNCTION("""COMPUTED_VALUE"""),"")</f>
        <v/>
      </c>
      <c r="Z238" s="48" t="str">
        <f>IFERROR(__xludf.DUMMYFUNCTION("""COMPUTED_VALUE"""),"%")</f>
        <v>%</v>
      </c>
      <c r="AA238" s="49">
        <f>IFERROR(__xludf.DUMMYFUNCTION("""COMPUTED_VALUE"""),3.0)</f>
        <v>3</v>
      </c>
      <c r="AB238" s="50"/>
      <c r="AC238" s="38"/>
      <c r="AD238" s="45" t="str">
        <f>IFERROR(__xludf.DUMMYFUNCTION("""COMPUTED_VALUE"""),"")</f>
        <v/>
      </c>
      <c r="AE238" s="46" t="str">
        <f>IFERROR(__xludf.DUMMYFUNCTION("""COMPUTED_VALUE"""),"AP")</f>
        <v>AP</v>
      </c>
      <c r="AF238" s="47" t="str">
        <f>IFERROR(__xludf.DUMMYFUNCTION("""COMPUTED_VALUE"""),"")</f>
        <v/>
      </c>
      <c r="AG238" s="48" t="str">
        <f>IFERROR(__xludf.DUMMYFUNCTION("""COMPUTED_VALUE"""),"%")</f>
        <v>%</v>
      </c>
      <c r="AH238" s="43">
        <f>IFERROR(__xludf.DUMMYFUNCTION("""COMPUTED_VALUE"""),9.0)</f>
        <v>9</v>
      </c>
      <c r="AI238" s="44">
        <f>IFERROR(__xludf.DUMMYFUNCTION("""COMPUTED_VALUE"""),1499.0)</f>
        <v>1499</v>
      </c>
      <c r="AJ238" s="42" t="str">
        <f>IFERROR(__xludf.DUMMYFUNCTION("""COMPUTED_VALUE"""),"Mt. Etna")</f>
        <v>Mt. Etna</v>
      </c>
    </row>
    <row r="239" ht="24.75" customHeight="1">
      <c r="A239" s="28">
        <f>IFERROR(__xludf.DUMMYFUNCTION("""COMPUTED_VALUE"""),7.0)</f>
        <v>7</v>
      </c>
      <c r="B239" s="28" t="str">
        <f>IFERROR(__xludf.DUMMYFUNCTION("""COMPUTED_VALUE"""),"A202")</f>
        <v>A202</v>
      </c>
      <c r="C239" s="28" t="str">
        <f>IFERROR(__xludf.DUMMYFUNCTION("""COMPUTED_VALUE"""),"TRF23")</f>
        <v>TRF23</v>
      </c>
      <c r="D239" s="29" t="str">
        <f>IFERROR(__xludf.DUMMYFUNCTION("""COMPUTED_VALUE"""),"Chaldea Gate (Sat)")</f>
        <v>Chaldea Gate (Sat)</v>
      </c>
      <c r="E239" s="30" t="str">
        <f>IFERROR(__xludf.DUMMYFUNCTION("""COMPUTED_VALUE"""),"SAT Assassin Training Ground- Adv")</f>
        <v>SAT Assassin Training Ground- Adv</v>
      </c>
      <c r="F239" s="31">
        <f>IFERROR(__xludf.DUMMYFUNCTION("""COMPUTED_VALUE"""),30.0)</f>
        <v>30</v>
      </c>
      <c r="G239" s="32">
        <f>IFERROR(__xludf.DUMMYFUNCTION("""COMPUTED_VALUE"""),1445.0)</f>
        <v>1445</v>
      </c>
      <c r="H239" s="33" t="str">
        <f>IFERROR(__xludf.DUMMYFUNCTION("""COMPUTED_VALUE"""),"")</f>
        <v/>
      </c>
      <c r="I239" s="34">
        <f>IFERROR(__xludf.DUMMYFUNCTION("""COMPUTED_VALUE"""),177.19263107554087)</f>
        <v>177.1926311</v>
      </c>
      <c r="J239" s="35" t="str">
        <f>IFERROR(__xludf.DUMMYFUNCTION("""COMPUTED_VALUE"""),"AP")</f>
        <v>AP</v>
      </c>
      <c r="K239" s="34">
        <f>IFERROR(__xludf.DUMMYFUNCTION("""COMPUTED_VALUE"""),16.930726643598618)</f>
        <v>16.93072664</v>
      </c>
      <c r="L239" s="35" t="str">
        <f>IFERROR(__xludf.DUMMYFUNCTION("""COMPUTED_VALUE"""),"%")</f>
        <v>%</v>
      </c>
      <c r="M239" s="36">
        <f>IFERROR(__xludf.DUMMYFUNCTION("""COMPUTED_VALUE"""),1.0)</f>
        <v>1</v>
      </c>
      <c r="N239" s="37" t="str">
        <f>IFERROR(__xludf.DUMMYFUNCTION("""COMPUTED_VALUE"""),"A107")</f>
        <v>A107</v>
      </c>
      <c r="O239" s="38" t="str">
        <f>IFERROR(__xludf.DUMMYFUNCTION("""COMPUTED_VALUE"""),"")</f>
        <v/>
      </c>
      <c r="P239" s="34">
        <f>IFERROR(__xludf.DUMMYFUNCTION("""COMPUTED_VALUE"""),520.2145660078482)</f>
        <v>520.214566</v>
      </c>
      <c r="Q239" s="35" t="str">
        <f>IFERROR(__xludf.DUMMYFUNCTION("""COMPUTED_VALUE"""),"AP")</f>
        <v>AP</v>
      </c>
      <c r="R239" s="34">
        <f>IFERROR(__xludf.DUMMYFUNCTION("""COMPUTED_VALUE"""),5.766851211072664)</f>
        <v>5.766851211</v>
      </c>
      <c r="S239" s="35" t="str">
        <f>IFERROR(__xludf.DUMMYFUNCTION("""COMPUTED_VALUE"""),"%")</f>
        <v>%</v>
      </c>
      <c r="T239" s="36">
        <f>IFERROR(__xludf.DUMMYFUNCTION("""COMPUTED_VALUE"""),2.0)</f>
        <v>2</v>
      </c>
      <c r="U239" s="37" t="str">
        <f>IFERROR(__xludf.DUMMYFUNCTION("""COMPUTED_VALUE"""),"A201")</f>
        <v>A201</v>
      </c>
      <c r="V239" s="38" t="str">
        <f>IFERROR(__xludf.DUMMYFUNCTION("""COMPUTED_VALUE"""),"")</f>
        <v/>
      </c>
      <c r="W239" s="34">
        <f>IFERROR(__xludf.DUMMYFUNCTION("""COMPUTED_VALUE"""),186.36824818145865)</f>
        <v>186.3682482</v>
      </c>
      <c r="X239" s="35" t="str">
        <f>IFERROR(__xludf.DUMMYFUNCTION("""COMPUTED_VALUE"""),"AP")</f>
        <v>AP</v>
      </c>
      <c r="Y239" s="34">
        <f>IFERROR(__xludf.DUMMYFUNCTION("""COMPUTED_VALUE"""),16.097162629757783)</f>
        <v>16.09716263</v>
      </c>
      <c r="Z239" s="35" t="str">
        <f>IFERROR(__xludf.DUMMYFUNCTION("""COMPUTED_VALUE"""),"%")</f>
        <v>%</v>
      </c>
      <c r="AA239" s="36">
        <f>IFERROR(__xludf.DUMMYFUNCTION("""COMPUTED_VALUE"""),3.0)</f>
        <v>3</v>
      </c>
      <c r="AB239" s="37" t="str">
        <f>IFERROR(__xludf.DUMMYFUNCTION("""COMPUTED_VALUE"""),"A206")</f>
        <v>A206</v>
      </c>
      <c r="AC239" s="38" t="str">
        <f>IFERROR(__xludf.DUMMYFUNCTION("""COMPUTED_VALUE"""),"")</f>
        <v/>
      </c>
      <c r="AD239" s="34">
        <f>IFERROR(__xludf.DUMMYFUNCTION("""COMPUTED_VALUE"""),185.07370928698592)</f>
        <v>185.0737093</v>
      </c>
      <c r="AE239" s="35" t="str">
        <f>IFERROR(__xludf.DUMMYFUNCTION("""COMPUTED_VALUE"""),"AP")</f>
        <v>AP</v>
      </c>
      <c r="AF239" s="34">
        <f>IFERROR(__xludf.DUMMYFUNCTION("""COMPUTED_VALUE"""),16.20975778546713)</f>
        <v>16.20975779</v>
      </c>
      <c r="AG239" s="35" t="str">
        <f>IFERROR(__xludf.DUMMYFUNCTION("""COMPUTED_VALUE"""),"%")</f>
        <v>%</v>
      </c>
      <c r="AH239" s="31">
        <f>IFERROR(__xludf.DUMMYFUNCTION("""COMPUTED_VALUE"""),30.0)</f>
        <v>30</v>
      </c>
      <c r="AI239" s="32">
        <f>IFERROR(__xludf.DUMMYFUNCTION("""COMPUTED_VALUE"""),1445.0)</f>
        <v>1445</v>
      </c>
      <c r="AJ239" s="30" t="str">
        <f>IFERROR(__xludf.DUMMYFUNCTION("""COMPUTED_VALUE"""),"SAT Assassin Training Ground- Adv")</f>
        <v>SAT Assassin Training Ground- Adv</v>
      </c>
    </row>
    <row r="240" ht="24.75" customHeight="1">
      <c r="A240" s="40">
        <f>IFERROR(__xludf.DUMMYFUNCTION("""COMPUTED_VALUE"""),8.0)</f>
        <v>8</v>
      </c>
      <c r="B240" s="40" t="str">
        <f>IFERROR(__xludf.DUMMYFUNCTION("""COMPUTED_VALUE"""),"A202")</f>
        <v>A202</v>
      </c>
      <c r="C240" s="40" t="str">
        <f>IFERROR(__xludf.DUMMYFUNCTION("""COMPUTED_VALUE"""),"TRF24")</f>
        <v>TRF24</v>
      </c>
      <c r="D240" s="41" t="str">
        <f>IFERROR(__xludf.DUMMYFUNCTION("""COMPUTED_VALUE"""),"Chaldea Gate (Sat)")</f>
        <v>Chaldea Gate (Sat)</v>
      </c>
      <c r="E240" s="42" t="str">
        <f>IFERROR(__xludf.DUMMYFUNCTION("""COMPUTED_VALUE"""),"SAT Assassin Training Ground- Exp")</f>
        <v>SAT Assassin Training Ground- Exp</v>
      </c>
      <c r="F240" s="43">
        <f>IFERROR(__xludf.DUMMYFUNCTION("""COMPUTED_VALUE"""),40.0)</f>
        <v>40</v>
      </c>
      <c r="G240" s="44">
        <f>IFERROR(__xludf.DUMMYFUNCTION("""COMPUTED_VALUE"""),7508.0)</f>
        <v>7508</v>
      </c>
      <c r="H240" s="33" t="str">
        <f>IFERROR(__xludf.DUMMYFUNCTION("""COMPUTED_VALUE"""),"")</f>
        <v/>
      </c>
      <c r="I240" s="45">
        <f>IFERROR(__xludf.DUMMYFUNCTION("""COMPUTED_VALUE"""),215.08192013575655)</f>
        <v>215.0819201</v>
      </c>
      <c r="J240" s="46" t="str">
        <f>IFERROR(__xludf.DUMMYFUNCTION("""COMPUTED_VALUE"""),"AP")</f>
        <v>AP</v>
      </c>
      <c r="K240" s="47">
        <f>IFERROR(__xludf.DUMMYFUNCTION("""COMPUTED_VALUE"""),18.597565046263576)</f>
        <v>18.59756505</v>
      </c>
      <c r="L240" s="48" t="str">
        <f>IFERROR(__xludf.DUMMYFUNCTION("""COMPUTED_VALUE"""),"%")</f>
        <v>%</v>
      </c>
      <c r="M240" s="49">
        <f>IFERROR(__xludf.DUMMYFUNCTION("""COMPUTED_VALUE"""),1.0)</f>
        <v>1</v>
      </c>
      <c r="N240" s="50" t="str">
        <f>IFERROR(__xludf.DUMMYFUNCTION("""COMPUTED_VALUE"""),"A107")</f>
        <v>A107</v>
      </c>
      <c r="O240" s="38" t="str">
        <f>IFERROR(__xludf.DUMMYFUNCTION("""COMPUTED_VALUE"""),"")</f>
        <v/>
      </c>
      <c r="P240" s="45">
        <f>IFERROR(__xludf.DUMMYFUNCTION("""COMPUTED_VALUE"""),332.8005152685394)</f>
        <v>332.8005153</v>
      </c>
      <c r="Q240" s="46" t="str">
        <f>IFERROR(__xludf.DUMMYFUNCTION("""COMPUTED_VALUE"""),"AP")</f>
        <v>AP</v>
      </c>
      <c r="R240" s="47">
        <f>IFERROR(__xludf.DUMMYFUNCTION("""COMPUTED_VALUE"""),12.019212160090461)</f>
        <v>12.01921216</v>
      </c>
      <c r="S240" s="48" t="str">
        <f>IFERROR(__xludf.DUMMYFUNCTION("""COMPUTED_VALUE"""),"%")</f>
        <v>%</v>
      </c>
      <c r="T240" s="49">
        <f>IFERROR(__xludf.DUMMYFUNCTION("""COMPUTED_VALUE"""),2.0)</f>
        <v>2</v>
      </c>
      <c r="U240" s="50" t="str">
        <f>IFERROR(__xludf.DUMMYFUNCTION("""COMPUTED_VALUE"""),"A201")</f>
        <v>A201</v>
      </c>
      <c r="V240" s="38" t="str">
        <f>IFERROR(__xludf.DUMMYFUNCTION("""COMPUTED_VALUE"""),"")</f>
        <v/>
      </c>
      <c r="W240" s="45">
        <f>IFERROR(__xludf.DUMMYFUNCTION("""COMPUTED_VALUE"""),126.78968204211094)</f>
        <v>126.789682</v>
      </c>
      <c r="X240" s="46" t="str">
        <f>IFERROR(__xludf.DUMMYFUNCTION("""COMPUTED_VALUE"""),"AP")</f>
        <v>AP</v>
      </c>
      <c r="Y240" s="47">
        <f>IFERROR(__xludf.DUMMYFUNCTION("""COMPUTED_VALUE"""),31.548308470964308)</f>
        <v>31.54830847</v>
      </c>
      <c r="Z240" s="48" t="str">
        <f>IFERROR(__xludf.DUMMYFUNCTION("""COMPUTED_VALUE"""),"%")</f>
        <v>%</v>
      </c>
      <c r="AA240" s="49">
        <f>IFERROR(__xludf.DUMMYFUNCTION("""COMPUTED_VALUE"""),3.0)</f>
        <v>3</v>
      </c>
      <c r="AB240" s="50" t="str">
        <f>IFERROR(__xludf.DUMMYFUNCTION("""COMPUTED_VALUE"""),"A206")</f>
        <v>A206</v>
      </c>
      <c r="AC240" s="38" t="str">
        <f>IFERROR(__xludf.DUMMYFUNCTION("""COMPUTED_VALUE"""),"")</f>
        <v/>
      </c>
      <c r="AD240" s="45">
        <f>IFERROR(__xludf.DUMMYFUNCTION("""COMPUTED_VALUE"""),4463.76659780647)</f>
        <v>4463.766598</v>
      </c>
      <c r="AE240" s="46" t="str">
        <f>IFERROR(__xludf.DUMMYFUNCTION("""COMPUTED_VALUE"""),"AP")</f>
        <v>AP</v>
      </c>
      <c r="AF240" s="47">
        <f>IFERROR(__xludf.DUMMYFUNCTION("""COMPUTED_VALUE"""),0.8961042008705453)</f>
        <v>0.8961042009</v>
      </c>
      <c r="AG240" s="48" t="str">
        <f>IFERROR(__xludf.DUMMYFUNCTION("""COMPUTED_VALUE"""),"%")</f>
        <v>%</v>
      </c>
      <c r="AH240" s="43">
        <f>IFERROR(__xludf.DUMMYFUNCTION("""COMPUTED_VALUE"""),40.0)</f>
        <v>40</v>
      </c>
      <c r="AI240" s="44">
        <f>IFERROR(__xludf.DUMMYFUNCTION("""COMPUTED_VALUE"""),7508.0)</f>
        <v>7508</v>
      </c>
      <c r="AJ240" s="42" t="str">
        <f>IFERROR(__xludf.DUMMYFUNCTION("""COMPUTED_VALUE"""),"SAT Assassin Training Ground- Exp")</f>
        <v>SAT Assassin Training Ground- Exp</v>
      </c>
    </row>
    <row r="241" ht="24.75" customHeight="1">
      <c r="A241" s="28">
        <f>IFERROR(__xludf.DUMMYFUNCTION("""COMPUTED_VALUE"""),9.0)</f>
        <v>9</v>
      </c>
      <c r="B241" s="28" t="str">
        <f>IFERROR(__xludf.DUMMYFUNCTION("""COMPUTED_VALUE"""),"A202")</f>
        <v>A202</v>
      </c>
      <c r="C241" s="28" t="str">
        <f>IFERROR(__xludf.DUMMYFUNCTION("""COMPUTED_VALUE"""),"TRF21")</f>
        <v>TRF21</v>
      </c>
      <c r="D241" s="29" t="str">
        <f>IFERROR(__xludf.DUMMYFUNCTION("""COMPUTED_VALUE"""),"Chaldea Gate (Sat)")</f>
        <v>Chaldea Gate (Sat)</v>
      </c>
      <c r="E241" s="30" t="str">
        <f>IFERROR(__xludf.DUMMYFUNCTION("""COMPUTED_VALUE"""),"SAT Assassin Training Ground- Nov")</f>
        <v>SAT Assassin Training Ground- Nov</v>
      </c>
      <c r="F241" s="31">
        <f>IFERROR(__xludf.DUMMYFUNCTION("""COMPUTED_VALUE"""),10.0)</f>
        <v>10</v>
      </c>
      <c r="G241" s="32">
        <f>IFERROR(__xludf.DUMMYFUNCTION("""COMPUTED_VALUE"""),1540.0)</f>
        <v>1540</v>
      </c>
      <c r="H241" s="33" t="str">
        <f>IFERROR(__xludf.DUMMYFUNCTION("""COMPUTED_VALUE"""),"")</f>
        <v/>
      </c>
      <c r="I241" s="34">
        <f>IFERROR(__xludf.DUMMYFUNCTION("""COMPUTED_VALUE"""),324.5111260957518)</f>
        <v>324.5111261</v>
      </c>
      <c r="J241" s="35" t="str">
        <f>IFERROR(__xludf.DUMMYFUNCTION("""COMPUTED_VALUE"""),"AP")</f>
        <v>AP</v>
      </c>
      <c r="K241" s="34">
        <f>IFERROR(__xludf.DUMMYFUNCTION("""COMPUTED_VALUE"""),3.0815584415584416)</f>
        <v>3.081558442</v>
      </c>
      <c r="L241" s="35" t="str">
        <f>IFERROR(__xludf.DUMMYFUNCTION("""COMPUTED_VALUE"""),"%")</f>
        <v>%</v>
      </c>
      <c r="M241" s="36">
        <f>IFERROR(__xludf.DUMMYFUNCTION("""COMPUTED_VALUE"""),1.0)</f>
        <v>1</v>
      </c>
      <c r="N241" s="37" t="str">
        <f>IFERROR(__xludf.DUMMYFUNCTION("""COMPUTED_VALUE"""),"A206")</f>
        <v>A206</v>
      </c>
      <c r="O241" s="38" t="str">
        <f>IFERROR(__xludf.DUMMYFUNCTION("""COMPUTED_VALUE"""),"")</f>
        <v/>
      </c>
      <c r="P241" s="34">
        <f>IFERROR(__xludf.DUMMYFUNCTION("""COMPUTED_VALUE"""),115.87311141876842)</f>
        <v>115.8731114</v>
      </c>
      <c r="Q241" s="35" t="str">
        <f>IFERROR(__xludf.DUMMYFUNCTION("""COMPUTED_VALUE"""),"AP")</f>
        <v>AP</v>
      </c>
      <c r="R241" s="34">
        <f>IFERROR(__xludf.DUMMYFUNCTION("""COMPUTED_VALUE"""),8.63012987012987)</f>
        <v>8.63012987</v>
      </c>
      <c r="S241" s="35" t="str">
        <f>IFERROR(__xludf.DUMMYFUNCTION("""COMPUTED_VALUE"""),"%")</f>
        <v>%</v>
      </c>
      <c r="T241" s="36">
        <f>IFERROR(__xludf.DUMMYFUNCTION("""COMPUTED_VALUE"""),2.0)</f>
        <v>2</v>
      </c>
      <c r="U241" s="37" t="str">
        <f>IFERROR(__xludf.DUMMYFUNCTION("""COMPUTED_VALUE"""),"A303")</f>
        <v>A303</v>
      </c>
      <c r="V241" s="38" t="str">
        <f>IFERROR(__xludf.DUMMYFUNCTION("""COMPUTED_VALUE"""),"")</f>
        <v/>
      </c>
      <c r="W241" s="34">
        <f>IFERROR(__xludf.DUMMYFUNCTION("""COMPUTED_VALUE"""),75.67121349109635)</f>
        <v>75.67121349</v>
      </c>
      <c r="X241" s="35" t="str">
        <f>IFERROR(__xludf.DUMMYFUNCTION("""COMPUTED_VALUE"""),"AP")</f>
        <v>AP</v>
      </c>
      <c r="Y241" s="34">
        <f>IFERROR(__xludf.DUMMYFUNCTION("""COMPUTED_VALUE"""),13.215064935064936)</f>
        <v>13.21506494</v>
      </c>
      <c r="Z241" s="35" t="str">
        <f>IFERROR(__xludf.DUMMYFUNCTION("""COMPUTED_VALUE"""),"%")</f>
        <v>%</v>
      </c>
      <c r="AA241" s="36">
        <f>IFERROR(__xludf.DUMMYFUNCTION("""COMPUTED_VALUE"""),3.0)</f>
        <v>3</v>
      </c>
      <c r="AB241" s="37" t="str">
        <f>IFERROR(__xludf.DUMMYFUNCTION("""COMPUTED_VALUE"""),"A304")</f>
        <v>A304</v>
      </c>
      <c r="AC241" s="38" t="str">
        <f>IFERROR(__xludf.DUMMYFUNCTION("""COMPUTED_VALUE"""),"")</f>
        <v/>
      </c>
      <c r="AD241" s="34">
        <f>IFERROR(__xludf.DUMMYFUNCTION("""COMPUTED_VALUE"""),84.3410445145461)</f>
        <v>84.34104451</v>
      </c>
      <c r="AE241" s="35" t="str">
        <f>IFERROR(__xludf.DUMMYFUNCTION("""COMPUTED_VALUE"""),"AP")</f>
        <v>AP</v>
      </c>
      <c r="AF241" s="34">
        <f>IFERROR(__xludf.DUMMYFUNCTION("""COMPUTED_VALUE"""),11.856623376623377)</f>
        <v>11.85662338</v>
      </c>
      <c r="AG241" s="35" t="str">
        <f>IFERROR(__xludf.DUMMYFUNCTION("""COMPUTED_VALUE"""),"%")</f>
        <v>%</v>
      </c>
      <c r="AH241" s="31">
        <f>IFERROR(__xludf.DUMMYFUNCTION("""COMPUTED_VALUE"""),10.0)</f>
        <v>10</v>
      </c>
      <c r="AI241" s="32">
        <f>IFERROR(__xludf.DUMMYFUNCTION("""COMPUTED_VALUE"""),1540.0)</f>
        <v>1540</v>
      </c>
      <c r="AJ241" s="30" t="str">
        <f>IFERROR(__xludf.DUMMYFUNCTION("""COMPUTED_VALUE"""),"SAT Assassin Training Ground- Nov")</f>
        <v>SAT Assassin Training Ground- Nov</v>
      </c>
    </row>
    <row r="242" ht="24.75" customHeight="1">
      <c r="A242" s="40">
        <f>IFERROR(__xludf.DUMMYFUNCTION("""COMPUTED_VALUE"""),10.0)</f>
        <v>10</v>
      </c>
      <c r="B242" s="40" t="str">
        <f>IFERROR(__xludf.DUMMYFUNCTION("""COMPUTED_VALUE"""),"A202")</f>
        <v>A202</v>
      </c>
      <c r="C242" s="40" t="str">
        <f>IFERROR(__xludf.DUMMYFUNCTION("""COMPUTED_VALUE"""),"TRF22")</f>
        <v>TRF22</v>
      </c>
      <c r="D242" s="41" t="str">
        <f>IFERROR(__xludf.DUMMYFUNCTION("""COMPUTED_VALUE"""),"Chaldea Gate (Sat)")</f>
        <v>Chaldea Gate (Sat)</v>
      </c>
      <c r="E242" s="42" t="str">
        <f>IFERROR(__xludf.DUMMYFUNCTION("""COMPUTED_VALUE"""),"SAT Assassin Training Ground- Int")</f>
        <v>SAT Assassin Training Ground- Int</v>
      </c>
      <c r="F242" s="43">
        <f>IFERROR(__xludf.DUMMYFUNCTION("""COMPUTED_VALUE"""),20.0)</f>
        <v>20</v>
      </c>
      <c r="G242" s="44">
        <f>IFERROR(__xludf.DUMMYFUNCTION("""COMPUTED_VALUE"""),1134.0)</f>
        <v>1134</v>
      </c>
      <c r="H242" s="33" t="str">
        <f>IFERROR(__xludf.DUMMYFUNCTION("""COMPUTED_VALUE"""),"")</f>
        <v/>
      </c>
      <c r="I242" s="45">
        <f>IFERROR(__xludf.DUMMYFUNCTION("""COMPUTED_VALUE"""),782.0689655172413)</f>
        <v>782.0689655</v>
      </c>
      <c r="J242" s="46" t="str">
        <f>IFERROR(__xludf.DUMMYFUNCTION("""COMPUTED_VALUE"""),"AP")</f>
        <v>AP</v>
      </c>
      <c r="K242" s="47">
        <f>IFERROR(__xludf.DUMMYFUNCTION("""COMPUTED_VALUE"""),2.557319223985891)</f>
        <v>2.557319224</v>
      </c>
      <c r="L242" s="48" t="str">
        <f>IFERROR(__xludf.DUMMYFUNCTION("""COMPUTED_VALUE"""),"%")</f>
        <v>%</v>
      </c>
      <c r="M242" s="49">
        <f>IFERROR(__xludf.DUMMYFUNCTION("""COMPUTED_VALUE"""),1.0)</f>
        <v>1</v>
      </c>
      <c r="N242" s="50" t="str">
        <f>IFERROR(__xludf.DUMMYFUNCTION("""COMPUTED_VALUE"""),"A201")</f>
        <v>A201</v>
      </c>
      <c r="O242" s="38" t="str">
        <f>IFERROR(__xludf.DUMMYFUNCTION("""COMPUTED_VALUE"""),"")</f>
        <v/>
      </c>
      <c r="P242" s="45">
        <f>IFERROR(__xludf.DUMMYFUNCTION("""COMPUTED_VALUE"""),233.81443298969074)</f>
        <v>233.814433</v>
      </c>
      <c r="Q242" s="46" t="str">
        <f>IFERROR(__xludf.DUMMYFUNCTION("""COMPUTED_VALUE"""),"AP")</f>
        <v>AP</v>
      </c>
      <c r="R242" s="47">
        <f>IFERROR(__xludf.DUMMYFUNCTION("""COMPUTED_VALUE"""),8.55379188712522)</f>
        <v>8.553791887</v>
      </c>
      <c r="S242" s="48" t="str">
        <f>IFERROR(__xludf.DUMMYFUNCTION("""COMPUTED_VALUE"""),"%")</f>
        <v>%</v>
      </c>
      <c r="T242" s="49">
        <f>IFERROR(__xludf.DUMMYFUNCTION("""COMPUTED_VALUE"""),2.0)</f>
        <v>2</v>
      </c>
      <c r="U242" s="50" t="str">
        <f>IFERROR(__xludf.DUMMYFUNCTION("""COMPUTED_VALUE"""),"A206")</f>
        <v>A206</v>
      </c>
      <c r="V242" s="38" t="str">
        <f>IFERROR(__xludf.DUMMYFUNCTION("""COMPUTED_VALUE"""),"")</f>
        <v/>
      </c>
      <c r="W242" s="45">
        <f>IFERROR(__xludf.DUMMYFUNCTION("""COMPUTED_VALUE"""),210.0)</f>
        <v>210</v>
      </c>
      <c r="X242" s="46" t="str">
        <f>IFERROR(__xludf.DUMMYFUNCTION("""COMPUTED_VALUE"""),"AP")</f>
        <v>AP</v>
      </c>
      <c r="Y242" s="47">
        <f>IFERROR(__xludf.DUMMYFUNCTION("""COMPUTED_VALUE"""),9.523809523809524)</f>
        <v>9.523809524</v>
      </c>
      <c r="Z242" s="48" t="str">
        <f>IFERROR(__xludf.DUMMYFUNCTION("""COMPUTED_VALUE"""),"%")</f>
        <v>%</v>
      </c>
      <c r="AA242" s="49">
        <f>IFERROR(__xludf.DUMMYFUNCTION("""COMPUTED_VALUE"""),3.0)</f>
        <v>3</v>
      </c>
      <c r="AB242" s="50" t="str">
        <f>IFERROR(__xludf.DUMMYFUNCTION("""COMPUTED_VALUE"""),"A303")</f>
        <v>A303</v>
      </c>
      <c r="AC242" s="38" t="str">
        <f>IFERROR(__xludf.DUMMYFUNCTION("""COMPUTED_VALUE"""),"")</f>
        <v/>
      </c>
      <c r="AD242" s="45">
        <f>IFERROR(__xludf.DUMMYFUNCTION("""COMPUTED_VALUE"""),113.39999999999999)</f>
        <v>113.4</v>
      </c>
      <c r="AE242" s="46" t="str">
        <f>IFERROR(__xludf.DUMMYFUNCTION("""COMPUTED_VALUE"""),"AP")</f>
        <v>AP</v>
      </c>
      <c r="AF242" s="47">
        <f>IFERROR(__xludf.DUMMYFUNCTION("""COMPUTED_VALUE"""),17.63668430335097)</f>
        <v>17.6366843</v>
      </c>
      <c r="AG242" s="48" t="str">
        <f>IFERROR(__xludf.DUMMYFUNCTION("""COMPUTED_VALUE"""),"%")</f>
        <v>%</v>
      </c>
      <c r="AH242" s="43">
        <f>IFERROR(__xludf.DUMMYFUNCTION("""COMPUTED_VALUE"""),20.0)</f>
        <v>20</v>
      </c>
      <c r="AI242" s="44">
        <f>IFERROR(__xludf.DUMMYFUNCTION("""COMPUTED_VALUE"""),1134.0)</f>
        <v>1134</v>
      </c>
      <c r="AJ242" s="42" t="str">
        <f>IFERROR(__xludf.DUMMYFUNCTION("""COMPUTED_VALUE"""),"SAT Assassin Training Ground- Int")</f>
        <v>SAT Assassin Training Ground- Int</v>
      </c>
    </row>
    <row r="243" ht="24.75" customHeight="1">
      <c r="A243" s="28">
        <f>IFERROR(__xludf.DUMMYFUNCTION("""COMPUTED_VALUE"""),11.0)</f>
        <v>11</v>
      </c>
      <c r="B243" s="28" t="str">
        <f>IFERROR(__xludf.DUMMYFUNCTION("""COMPUTED_VALUE"""),"A202")</f>
        <v>A202</v>
      </c>
      <c r="C243" s="28"/>
      <c r="D243" s="29"/>
      <c r="E243" s="67"/>
      <c r="F243" s="31"/>
      <c r="G243" s="32"/>
      <c r="H243" s="33" t="str">
        <f>IFERROR(__xludf.DUMMYFUNCTION("""COMPUTED_VALUE""")," ")</f>
        <v> </v>
      </c>
      <c r="I243" s="34"/>
      <c r="J243" s="35" t="str">
        <f>IFERROR(__xludf.DUMMYFUNCTION("""COMPUTED_VALUE"""),"AP")</f>
        <v>AP</v>
      </c>
      <c r="K243" s="34"/>
      <c r="L243" s="35" t="str">
        <f>IFERROR(__xludf.DUMMYFUNCTION("""COMPUTED_VALUE"""),"%")</f>
        <v>%</v>
      </c>
      <c r="M243" s="36">
        <f>IFERROR(__xludf.DUMMYFUNCTION("""COMPUTED_VALUE"""),1.0)</f>
        <v>1</v>
      </c>
      <c r="N243" s="37"/>
      <c r="O243" s="38"/>
      <c r="P243" s="34" t="str">
        <f>IFERROR(__xludf.DUMMYFUNCTION("""COMPUTED_VALUE"""),"")</f>
        <v/>
      </c>
      <c r="Q243" s="35" t="str">
        <f>IFERROR(__xludf.DUMMYFUNCTION("""COMPUTED_VALUE"""),"AP")</f>
        <v>AP</v>
      </c>
      <c r="R243" s="34" t="str">
        <f>IFERROR(__xludf.DUMMYFUNCTION("""COMPUTED_VALUE"""),"")</f>
        <v/>
      </c>
      <c r="S243" s="35" t="str">
        <f>IFERROR(__xludf.DUMMYFUNCTION("""COMPUTED_VALUE"""),"%")</f>
        <v>%</v>
      </c>
      <c r="T243" s="36">
        <f>IFERROR(__xludf.DUMMYFUNCTION("""COMPUTED_VALUE"""),2.0)</f>
        <v>2</v>
      </c>
      <c r="U243" s="37"/>
      <c r="V243" s="38"/>
      <c r="W243" s="34" t="str">
        <f>IFERROR(__xludf.DUMMYFUNCTION("""COMPUTED_VALUE"""),"")</f>
        <v/>
      </c>
      <c r="X243" s="35" t="str">
        <f>IFERROR(__xludf.DUMMYFUNCTION("""COMPUTED_VALUE"""),"AP")</f>
        <v>AP</v>
      </c>
      <c r="Y243" s="34" t="str">
        <f>IFERROR(__xludf.DUMMYFUNCTION("""COMPUTED_VALUE"""),"")</f>
        <v/>
      </c>
      <c r="Z243" s="35" t="str">
        <f>IFERROR(__xludf.DUMMYFUNCTION("""COMPUTED_VALUE"""),"%")</f>
        <v>%</v>
      </c>
      <c r="AA243" s="36">
        <f>IFERROR(__xludf.DUMMYFUNCTION("""COMPUTED_VALUE"""),3.0)</f>
        <v>3</v>
      </c>
      <c r="AB243" s="37"/>
      <c r="AC243" s="38"/>
      <c r="AD243" s="34" t="str">
        <f>IFERROR(__xludf.DUMMYFUNCTION("""COMPUTED_VALUE"""),"")</f>
        <v/>
      </c>
      <c r="AE243" s="35" t="str">
        <f>IFERROR(__xludf.DUMMYFUNCTION("""COMPUTED_VALUE"""),"AP")</f>
        <v>AP</v>
      </c>
      <c r="AF243" s="34" t="str">
        <f>IFERROR(__xludf.DUMMYFUNCTION("""COMPUTED_VALUE"""),"")</f>
        <v/>
      </c>
      <c r="AG243" s="35" t="str">
        <f>IFERROR(__xludf.DUMMYFUNCTION("""COMPUTED_VALUE"""),"%")</f>
        <v>%</v>
      </c>
      <c r="AH243" s="31"/>
      <c r="AI243" s="32"/>
      <c r="AJ243" s="67"/>
    </row>
    <row r="244" ht="24.75" hidden="1" customHeight="1">
      <c r="A244" s="40">
        <f>IFERROR(__xludf.DUMMYFUNCTION("""COMPUTED_VALUE"""),12.0)</f>
        <v>12</v>
      </c>
      <c r="B244" s="40" t="str">
        <f>IFERROR(__xludf.DUMMYFUNCTION("""COMPUTED_VALUE"""),"A202")</f>
        <v>A202</v>
      </c>
      <c r="C244" s="40"/>
      <c r="D244" s="41"/>
      <c r="E244" s="66"/>
      <c r="F244" s="43"/>
      <c r="G244" s="44"/>
      <c r="H244" s="33" t="str">
        <f>IFERROR(__xludf.DUMMYFUNCTION("""COMPUTED_VALUE""")," ")</f>
        <v> </v>
      </c>
      <c r="I244" s="45"/>
      <c r="J244" s="46" t="str">
        <f>IFERROR(__xludf.DUMMYFUNCTION("""COMPUTED_VALUE"""),"AP")</f>
        <v>AP</v>
      </c>
      <c r="K244" s="47"/>
      <c r="L244" s="48" t="str">
        <f>IFERROR(__xludf.DUMMYFUNCTION("""COMPUTED_VALUE"""),"%")</f>
        <v>%</v>
      </c>
      <c r="M244" s="49">
        <f>IFERROR(__xludf.DUMMYFUNCTION("""COMPUTED_VALUE"""),1.0)</f>
        <v>1</v>
      </c>
      <c r="N244" s="50"/>
      <c r="O244" s="38"/>
      <c r="P244" s="45" t="str">
        <f>IFERROR(__xludf.DUMMYFUNCTION("""COMPUTED_VALUE"""),"")</f>
        <v/>
      </c>
      <c r="Q244" s="46" t="str">
        <f>IFERROR(__xludf.DUMMYFUNCTION("""COMPUTED_VALUE"""),"AP")</f>
        <v>AP</v>
      </c>
      <c r="R244" s="47" t="str">
        <f>IFERROR(__xludf.DUMMYFUNCTION("""COMPUTED_VALUE"""),"")</f>
        <v/>
      </c>
      <c r="S244" s="48" t="str">
        <f>IFERROR(__xludf.DUMMYFUNCTION("""COMPUTED_VALUE"""),"%")</f>
        <v>%</v>
      </c>
      <c r="T244" s="49">
        <f>IFERROR(__xludf.DUMMYFUNCTION("""COMPUTED_VALUE"""),2.0)</f>
        <v>2</v>
      </c>
      <c r="U244" s="50"/>
      <c r="V244" s="38"/>
      <c r="W244" s="45" t="str">
        <f>IFERROR(__xludf.DUMMYFUNCTION("""COMPUTED_VALUE"""),"")</f>
        <v/>
      </c>
      <c r="X244" s="46" t="str">
        <f>IFERROR(__xludf.DUMMYFUNCTION("""COMPUTED_VALUE"""),"AP")</f>
        <v>AP</v>
      </c>
      <c r="Y244" s="47" t="str">
        <f>IFERROR(__xludf.DUMMYFUNCTION("""COMPUTED_VALUE"""),"")</f>
        <v/>
      </c>
      <c r="Z244" s="48" t="str">
        <f>IFERROR(__xludf.DUMMYFUNCTION("""COMPUTED_VALUE"""),"%")</f>
        <v>%</v>
      </c>
      <c r="AA244" s="49">
        <f>IFERROR(__xludf.DUMMYFUNCTION("""COMPUTED_VALUE"""),3.0)</f>
        <v>3</v>
      </c>
      <c r="AB244" s="50"/>
      <c r="AC244" s="38"/>
      <c r="AD244" s="45" t="str">
        <f>IFERROR(__xludf.DUMMYFUNCTION("""COMPUTED_VALUE"""),"")</f>
        <v/>
      </c>
      <c r="AE244" s="46" t="str">
        <f>IFERROR(__xludf.DUMMYFUNCTION("""COMPUTED_VALUE"""),"AP")</f>
        <v>AP</v>
      </c>
      <c r="AF244" s="47" t="str">
        <f>IFERROR(__xludf.DUMMYFUNCTION("""COMPUTED_VALUE"""),"")</f>
        <v/>
      </c>
      <c r="AG244" s="48" t="str">
        <f>IFERROR(__xludf.DUMMYFUNCTION("""COMPUTED_VALUE"""),"%")</f>
        <v>%</v>
      </c>
      <c r="AH244" s="43"/>
      <c r="AI244" s="44"/>
      <c r="AJ244" s="66"/>
    </row>
    <row r="245" ht="24.75" hidden="1" customHeight="1">
      <c r="A245" s="28">
        <f>IFERROR(__xludf.DUMMYFUNCTION("""COMPUTED_VALUE"""),13.0)</f>
        <v>13</v>
      </c>
      <c r="B245" s="28" t="str">
        <f>IFERROR(__xludf.DUMMYFUNCTION("""COMPUTED_VALUE"""),"A202")</f>
        <v>A202</v>
      </c>
      <c r="C245" s="28"/>
      <c r="D245" s="29"/>
      <c r="E245" s="67"/>
      <c r="F245" s="31"/>
      <c r="G245" s="32"/>
      <c r="H245" s="33" t="str">
        <f>IFERROR(__xludf.DUMMYFUNCTION("""COMPUTED_VALUE""")," ")</f>
        <v> </v>
      </c>
      <c r="I245" s="34"/>
      <c r="J245" s="35" t="str">
        <f>IFERROR(__xludf.DUMMYFUNCTION("""COMPUTED_VALUE"""),"AP")</f>
        <v>AP</v>
      </c>
      <c r="K245" s="34"/>
      <c r="L245" s="35" t="str">
        <f>IFERROR(__xludf.DUMMYFUNCTION("""COMPUTED_VALUE"""),"%")</f>
        <v>%</v>
      </c>
      <c r="M245" s="36">
        <f>IFERROR(__xludf.DUMMYFUNCTION("""COMPUTED_VALUE"""),1.0)</f>
        <v>1</v>
      </c>
      <c r="N245" s="37"/>
      <c r="O245" s="38"/>
      <c r="P245" s="34" t="str">
        <f>IFERROR(__xludf.DUMMYFUNCTION("""COMPUTED_VALUE"""),"")</f>
        <v/>
      </c>
      <c r="Q245" s="35" t="str">
        <f>IFERROR(__xludf.DUMMYFUNCTION("""COMPUTED_VALUE"""),"AP")</f>
        <v>AP</v>
      </c>
      <c r="R245" s="34" t="str">
        <f>IFERROR(__xludf.DUMMYFUNCTION("""COMPUTED_VALUE"""),"")</f>
        <v/>
      </c>
      <c r="S245" s="35" t="str">
        <f>IFERROR(__xludf.DUMMYFUNCTION("""COMPUTED_VALUE"""),"%")</f>
        <v>%</v>
      </c>
      <c r="T245" s="36">
        <f>IFERROR(__xludf.DUMMYFUNCTION("""COMPUTED_VALUE"""),2.0)</f>
        <v>2</v>
      </c>
      <c r="U245" s="37"/>
      <c r="V245" s="38"/>
      <c r="W245" s="34" t="str">
        <f>IFERROR(__xludf.DUMMYFUNCTION("""COMPUTED_VALUE"""),"")</f>
        <v/>
      </c>
      <c r="X245" s="35" t="str">
        <f>IFERROR(__xludf.DUMMYFUNCTION("""COMPUTED_VALUE"""),"AP")</f>
        <v>AP</v>
      </c>
      <c r="Y245" s="34" t="str">
        <f>IFERROR(__xludf.DUMMYFUNCTION("""COMPUTED_VALUE"""),"")</f>
        <v/>
      </c>
      <c r="Z245" s="35" t="str">
        <f>IFERROR(__xludf.DUMMYFUNCTION("""COMPUTED_VALUE"""),"%")</f>
        <v>%</v>
      </c>
      <c r="AA245" s="36">
        <f>IFERROR(__xludf.DUMMYFUNCTION("""COMPUTED_VALUE"""),3.0)</f>
        <v>3</v>
      </c>
      <c r="AB245" s="37"/>
      <c r="AC245" s="38"/>
      <c r="AD245" s="34" t="str">
        <f>IFERROR(__xludf.DUMMYFUNCTION("""COMPUTED_VALUE"""),"")</f>
        <v/>
      </c>
      <c r="AE245" s="35" t="str">
        <f>IFERROR(__xludf.DUMMYFUNCTION("""COMPUTED_VALUE"""),"AP")</f>
        <v>AP</v>
      </c>
      <c r="AF245" s="34" t="str">
        <f>IFERROR(__xludf.DUMMYFUNCTION("""COMPUTED_VALUE"""),"")</f>
        <v/>
      </c>
      <c r="AG245" s="35" t="str">
        <f>IFERROR(__xludf.DUMMYFUNCTION("""COMPUTED_VALUE"""),"%")</f>
        <v>%</v>
      </c>
      <c r="AH245" s="31"/>
      <c r="AI245" s="32"/>
      <c r="AJ245" s="67"/>
    </row>
    <row r="246" ht="24.75" hidden="1" customHeight="1">
      <c r="A246" s="40">
        <f>IFERROR(__xludf.DUMMYFUNCTION("""COMPUTED_VALUE"""),14.0)</f>
        <v>14</v>
      </c>
      <c r="B246" s="40" t="str">
        <f>IFERROR(__xludf.DUMMYFUNCTION("""COMPUTED_VALUE"""),"A202")</f>
        <v>A202</v>
      </c>
      <c r="C246" s="40"/>
      <c r="D246" s="41"/>
      <c r="E246" s="66"/>
      <c r="F246" s="43"/>
      <c r="G246" s="44"/>
      <c r="H246" s="33" t="str">
        <f>IFERROR(__xludf.DUMMYFUNCTION("""COMPUTED_VALUE""")," ")</f>
        <v> </v>
      </c>
      <c r="I246" s="45"/>
      <c r="J246" s="46" t="str">
        <f>IFERROR(__xludf.DUMMYFUNCTION("""COMPUTED_VALUE"""),"AP")</f>
        <v>AP</v>
      </c>
      <c r="K246" s="47"/>
      <c r="L246" s="48" t="str">
        <f>IFERROR(__xludf.DUMMYFUNCTION("""COMPUTED_VALUE"""),"%")</f>
        <v>%</v>
      </c>
      <c r="M246" s="49">
        <f>IFERROR(__xludf.DUMMYFUNCTION("""COMPUTED_VALUE"""),1.0)</f>
        <v>1</v>
      </c>
      <c r="N246" s="50"/>
      <c r="O246" s="38"/>
      <c r="P246" s="45" t="str">
        <f>IFERROR(__xludf.DUMMYFUNCTION("""COMPUTED_VALUE"""),"")</f>
        <v/>
      </c>
      <c r="Q246" s="46" t="str">
        <f>IFERROR(__xludf.DUMMYFUNCTION("""COMPUTED_VALUE"""),"AP")</f>
        <v>AP</v>
      </c>
      <c r="R246" s="47" t="str">
        <f>IFERROR(__xludf.DUMMYFUNCTION("""COMPUTED_VALUE"""),"")</f>
        <v/>
      </c>
      <c r="S246" s="48" t="str">
        <f>IFERROR(__xludf.DUMMYFUNCTION("""COMPUTED_VALUE"""),"%")</f>
        <v>%</v>
      </c>
      <c r="T246" s="49">
        <f>IFERROR(__xludf.DUMMYFUNCTION("""COMPUTED_VALUE"""),2.0)</f>
        <v>2</v>
      </c>
      <c r="U246" s="50"/>
      <c r="V246" s="38"/>
      <c r="W246" s="45" t="str">
        <f>IFERROR(__xludf.DUMMYFUNCTION("""COMPUTED_VALUE"""),"")</f>
        <v/>
      </c>
      <c r="X246" s="46" t="str">
        <f>IFERROR(__xludf.DUMMYFUNCTION("""COMPUTED_VALUE"""),"AP")</f>
        <v>AP</v>
      </c>
      <c r="Y246" s="47" t="str">
        <f>IFERROR(__xludf.DUMMYFUNCTION("""COMPUTED_VALUE"""),"")</f>
        <v/>
      </c>
      <c r="Z246" s="48" t="str">
        <f>IFERROR(__xludf.DUMMYFUNCTION("""COMPUTED_VALUE"""),"%")</f>
        <v>%</v>
      </c>
      <c r="AA246" s="49">
        <f>IFERROR(__xludf.DUMMYFUNCTION("""COMPUTED_VALUE"""),3.0)</f>
        <v>3</v>
      </c>
      <c r="AB246" s="50"/>
      <c r="AC246" s="38"/>
      <c r="AD246" s="45" t="str">
        <f>IFERROR(__xludf.DUMMYFUNCTION("""COMPUTED_VALUE"""),"")</f>
        <v/>
      </c>
      <c r="AE246" s="46" t="str">
        <f>IFERROR(__xludf.DUMMYFUNCTION("""COMPUTED_VALUE"""),"AP")</f>
        <v>AP</v>
      </c>
      <c r="AF246" s="47" t="str">
        <f>IFERROR(__xludf.DUMMYFUNCTION("""COMPUTED_VALUE"""),"")</f>
        <v/>
      </c>
      <c r="AG246" s="48" t="str">
        <f>IFERROR(__xludf.DUMMYFUNCTION("""COMPUTED_VALUE"""),"%")</f>
        <v>%</v>
      </c>
      <c r="AH246" s="43"/>
      <c r="AI246" s="44"/>
      <c r="AJ246" s="66"/>
    </row>
    <row r="247" ht="24.75" hidden="1" customHeight="1">
      <c r="A247" s="28">
        <f>IFERROR(__xludf.DUMMYFUNCTION("""COMPUTED_VALUE"""),15.0)</f>
        <v>15</v>
      </c>
      <c r="B247" s="28" t="str">
        <f>IFERROR(__xludf.DUMMYFUNCTION("""COMPUTED_VALUE"""),"A202")</f>
        <v>A202</v>
      </c>
      <c r="C247" s="28"/>
      <c r="D247" s="29"/>
      <c r="E247" s="67"/>
      <c r="F247" s="31"/>
      <c r="G247" s="32"/>
      <c r="H247" s="33" t="str">
        <f>IFERROR(__xludf.DUMMYFUNCTION("""COMPUTED_VALUE""")," ")</f>
        <v> </v>
      </c>
      <c r="I247" s="34"/>
      <c r="J247" s="35" t="str">
        <f>IFERROR(__xludf.DUMMYFUNCTION("""COMPUTED_VALUE"""),"AP")</f>
        <v>AP</v>
      </c>
      <c r="K247" s="34"/>
      <c r="L247" s="35" t="str">
        <f>IFERROR(__xludf.DUMMYFUNCTION("""COMPUTED_VALUE"""),"%")</f>
        <v>%</v>
      </c>
      <c r="M247" s="36">
        <f>IFERROR(__xludf.DUMMYFUNCTION("""COMPUTED_VALUE"""),1.0)</f>
        <v>1</v>
      </c>
      <c r="N247" s="37"/>
      <c r="O247" s="38"/>
      <c r="P247" s="34" t="str">
        <f>IFERROR(__xludf.DUMMYFUNCTION("""COMPUTED_VALUE"""),"")</f>
        <v/>
      </c>
      <c r="Q247" s="35" t="str">
        <f>IFERROR(__xludf.DUMMYFUNCTION("""COMPUTED_VALUE"""),"AP")</f>
        <v>AP</v>
      </c>
      <c r="R247" s="34" t="str">
        <f>IFERROR(__xludf.DUMMYFUNCTION("""COMPUTED_VALUE"""),"")</f>
        <v/>
      </c>
      <c r="S247" s="35" t="str">
        <f>IFERROR(__xludf.DUMMYFUNCTION("""COMPUTED_VALUE"""),"%")</f>
        <v>%</v>
      </c>
      <c r="T247" s="36">
        <f>IFERROR(__xludf.DUMMYFUNCTION("""COMPUTED_VALUE"""),2.0)</f>
        <v>2</v>
      </c>
      <c r="U247" s="37"/>
      <c r="V247" s="38"/>
      <c r="W247" s="34" t="str">
        <f>IFERROR(__xludf.DUMMYFUNCTION("""COMPUTED_VALUE"""),"")</f>
        <v/>
      </c>
      <c r="X247" s="35" t="str">
        <f>IFERROR(__xludf.DUMMYFUNCTION("""COMPUTED_VALUE"""),"AP")</f>
        <v>AP</v>
      </c>
      <c r="Y247" s="34" t="str">
        <f>IFERROR(__xludf.DUMMYFUNCTION("""COMPUTED_VALUE"""),"")</f>
        <v/>
      </c>
      <c r="Z247" s="35" t="str">
        <f>IFERROR(__xludf.DUMMYFUNCTION("""COMPUTED_VALUE"""),"%")</f>
        <v>%</v>
      </c>
      <c r="AA247" s="36">
        <f>IFERROR(__xludf.DUMMYFUNCTION("""COMPUTED_VALUE"""),3.0)</f>
        <v>3</v>
      </c>
      <c r="AB247" s="37"/>
      <c r="AC247" s="38"/>
      <c r="AD247" s="34" t="str">
        <f>IFERROR(__xludf.DUMMYFUNCTION("""COMPUTED_VALUE"""),"")</f>
        <v/>
      </c>
      <c r="AE247" s="35" t="str">
        <f>IFERROR(__xludf.DUMMYFUNCTION("""COMPUTED_VALUE"""),"AP")</f>
        <v>AP</v>
      </c>
      <c r="AF247" s="34" t="str">
        <f>IFERROR(__xludf.DUMMYFUNCTION("""COMPUTED_VALUE"""),"")</f>
        <v/>
      </c>
      <c r="AG247" s="35" t="str">
        <f>IFERROR(__xludf.DUMMYFUNCTION("""COMPUTED_VALUE"""),"%")</f>
        <v>%</v>
      </c>
      <c r="AH247" s="31"/>
      <c r="AI247" s="32"/>
      <c r="AJ247" s="67"/>
    </row>
    <row r="248" ht="24.75" hidden="1" customHeight="1">
      <c r="A248" s="40">
        <f>IFERROR(__xludf.DUMMYFUNCTION("""COMPUTED_VALUE"""),16.0)</f>
        <v>16</v>
      </c>
      <c r="B248" s="40" t="str">
        <f>IFERROR(__xludf.DUMMYFUNCTION("""COMPUTED_VALUE"""),"A202")</f>
        <v>A202</v>
      </c>
      <c r="C248" s="40"/>
      <c r="D248" s="41"/>
      <c r="E248" s="66"/>
      <c r="F248" s="43"/>
      <c r="G248" s="44"/>
      <c r="H248" s="33" t="str">
        <f>IFERROR(__xludf.DUMMYFUNCTION("""COMPUTED_VALUE""")," ")</f>
        <v> </v>
      </c>
      <c r="I248" s="45"/>
      <c r="J248" s="46" t="str">
        <f>IFERROR(__xludf.DUMMYFUNCTION("""COMPUTED_VALUE"""),"AP")</f>
        <v>AP</v>
      </c>
      <c r="K248" s="47"/>
      <c r="L248" s="48" t="str">
        <f>IFERROR(__xludf.DUMMYFUNCTION("""COMPUTED_VALUE"""),"%")</f>
        <v>%</v>
      </c>
      <c r="M248" s="49">
        <f>IFERROR(__xludf.DUMMYFUNCTION("""COMPUTED_VALUE"""),1.0)</f>
        <v>1</v>
      </c>
      <c r="N248" s="50"/>
      <c r="O248" s="38"/>
      <c r="P248" s="45" t="str">
        <f>IFERROR(__xludf.DUMMYFUNCTION("""COMPUTED_VALUE"""),"")</f>
        <v/>
      </c>
      <c r="Q248" s="46" t="str">
        <f>IFERROR(__xludf.DUMMYFUNCTION("""COMPUTED_VALUE"""),"AP")</f>
        <v>AP</v>
      </c>
      <c r="R248" s="47" t="str">
        <f>IFERROR(__xludf.DUMMYFUNCTION("""COMPUTED_VALUE"""),"")</f>
        <v/>
      </c>
      <c r="S248" s="48" t="str">
        <f>IFERROR(__xludf.DUMMYFUNCTION("""COMPUTED_VALUE"""),"%")</f>
        <v>%</v>
      </c>
      <c r="T248" s="49">
        <f>IFERROR(__xludf.DUMMYFUNCTION("""COMPUTED_VALUE"""),2.0)</f>
        <v>2</v>
      </c>
      <c r="U248" s="50"/>
      <c r="V248" s="38"/>
      <c r="W248" s="45" t="str">
        <f>IFERROR(__xludf.DUMMYFUNCTION("""COMPUTED_VALUE"""),"")</f>
        <v/>
      </c>
      <c r="X248" s="46" t="str">
        <f>IFERROR(__xludf.DUMMYFUNCTION("""COMPUTED_VALUE"""),"AP")</f>
        <v>AP</v>
      </c>
      <c r="Y248" s="47" t="str">
        <f>IFERROR(__xludf.DUMMYFUNCTION("""COMPUTED_VALUE"""),"")</f>
        <v/>
      </c>
      <c r="Z248" s="48" t="str">
        <f>IFERROR(__xludf.DUMMYFUNCTION("""COMPUTED_VALUE"""),"%")</f>
        <v>%</v>
      </c>
      <c r="AA248" s="49">
        <f>IFERROR(__xludf.DUMMYFUNCTION("""COMPUTED_VALUE"""),3.0)</f>
        <v>3</v>
      </c>
      <c r="AB248" s="50"/>
      <c r="AC248" s="38"/>
      <c r="AD248" s="45" t="str">
        <f>IFERROR(__xludf.DUMMYFUNCTION("""COMPUTED_VALUE"""),"")</f>
        <v/>
      </c>
      <c r="AE248" s="46" t="str">
        <f>IFERROR(__xludf.DUMMYFUNCTION("""COMPUTED_VALUE"""),"AP")</f>
        <v>AP</v>
      </c>
      <c r="AF248" s="47" t="str">
        <f>IFERROR(__xludf.DUMMYFUNCTION("""COMPUTED_VALUE"""),"")</f>
        <v/>
      </c>
      <c r="AG248" s="48" t="str">
        <f>IFERROR(__xludf.DUMMYFUNCTION("""COMPUTED_VALUE"""),"%")</f>
        <v>%</v>
      </c>
      <c r="AH248" s="43"/>
      <c r="AI248" s="44"/>
      <c r="AJ248" s="66"/>
    </row>
    <row r="249" ht="24.75" hidden="1" customHeight="1">
      <c r="A249" s="28">
        <f>IFERROR(__xludf.DUMMYFUNCTION("""COMPUTED_VALUE"""),17.0)</f>
        <v>17</v>
      </c>
      <c r="B249" s="28" t="str">
        <f>IFERROR(__xludf.DUMMYFUNCTION("""COMPUTED_VALUE"""),"A202")</f>
        <v>A202</v>
      </c>
      <c r="C249" s="28"/>
      <c r="D249" s="29"/>
      <c r="E249" s="67"/>
      <c r="F249" s="31"/>
      <c r="G249" s="32"/>
      <c r="H249" s="33" t="str">
        <f>IFERROR(__xludf.DUMMYFUNCTION("""COMPUTED_VALUE""")," ")</f>
        <v> </v>
      </c>
      <c r="I249" s="34"/>
      <c r="J249" s="35" t="str">
        <f>IFERROR(__xludf.DUMMYFUNCTION("""COMPUTED_VALUE"""),"AP")</f>
        <v>AP</v>
      </c>
      <c r="K249" s="34"/>
      <c r="L249" s="35" t="str">
        <f>IFERROR(__xludf.DUMMYFUNCTION("""COMPUTED_VALUE"""),"%")</f>
        <v>%</v>
      </c>
      <c r="M249" s="36">
        <f>IFERROR(__xludf.DUMMYFUNCTION("""COMPUTED_VALUE"""),1.0)</f>
        <v>1</v>
      </c>
      <c r="N249" s="37"/>
      <c r="O249" s="38"/>
      <c r="P249" s="34" t="str">
        <f>IFERROR(__xludf.DUMMYFUNCTION("""COMPUTED_VALUE"""),"")</f>
        <v/>
      </c>
      <c r="Q249" s="35" t="str">
        <f>IFERROR(__xludf.DUMMYFUNCTION("""COMPUTED_VALUE"""),"AP")</f>
        <v>AP</v>
      </c>
      <c r="R249" s="34" t="str">
        <f>IFERROR(__xludf.DUMMYFUNCTION("""COMPUTED_VALUE"""),"")</f>
        <v/>
      </c>
      <c r="S249" s="35" t="str">
        <f>IFERROR(__xludf.DUMMYFUNCTION("""COMPUTED_VALUE"""),"%")</f>
        <v>%</v>
      </c>
      <c r="T249" s="36">
        <f>IFERROR(__xludf.DUMMYFUNCTION("""COMPUTED_VALUE"""),2.0)</f>
        <v>2</v>
      </c>
      <c r="U249" s="37"/>
      <c r="V249" s="38"/>
      <c r="W249" s="34" t="str">
        <f>IFERROR(__xludf.DUMMYFUNCTION("""COMPUTED_VALUE"""),"")</f>
        <v/>
      </c>
      <c r="X249" s="35" t="str">
        <f>IFERROR(__xludf.DUMMYFUNCTION("""COMPUTED_VALUE"""),"AP")</f>
        <v>AP</v>
      </c>
      <c r="Y249" s="34" t="str">
        <f>IFERROR(__xludf.DUMMYFUNCTION("""COMPUTED_VALUE"""),"")</f>
        <v/>
      </c>
      <c r="Z249" s="35" t="str">
        <f>IFERROR(__xludf.DUMMYFUNCTION("""COMPUTED_VALUE"""),"%")</f>
        <v>%</v>
      </c>
      <c r="AA249" s="36">
        <f>IFERROR(__xludf.DUMMYFUNCTION("""COMPUTED_VALUE"""),3.0)</f>
        <v>3</v>
      </c>
      <c r="AB249" s="37"/>
      <c r="AC249" s="38"/>
      <c r="AD249" s="34" t="str">
        <f>IFERROR(__xludf.DUMMYFUNCTION("""COMPUTED_VALUE"""),"")</f>
        <v/>
      </c>
      <c r="AE249" s="35" t="str">
        <f>IFERROR(__xludf.DUMMYFUNCTION("""COMPUTED_VALUE"""),"AP")</f>
        <v>AP</v>
      </c>
      <c r="AF249" s="34" t="str">
        <f>IFERROR(__xludf.DUMMYFUNCTION("""COMPUTED_VALUE"""),"")</f>
        <v/>
      </c>
      <c r="AG249" s="35" t="str">
        <f>IFERROR(__xludf.DUMMYFUNCTION("""COMPUTED_VALUE"""),"%")</f>
        <v>%</v>
      </c>
      <c r="AH249" s="31"/>
      <c r="AI249" s="32"/>
      <c r="AJ249" s="67"/>
    </row>
    <row r="250" ht="24.75" hidden="1" customHeight="1">
      <c r="A250" s="40">
        <f>IFERROR(__xludf.DUMMYFUNCTION("""COMPUTED_VALUE"""),18.0)</f>
        <v>18</v>
      </c>
      <c r="B250" s="40" t="str">
        <f>IFERROR(__xludf.DUMMYFUNCTION("""COMPUTED_VALUE"""),"A202")</f>
        <v>A202</v>
      </c>
      <c r="C250" s="40"/>
      <c r="D250" s="41"/>
      <c r="E250" s="66"/>
      <c r="F250" s="43"/>
      <c r="G250" s="44"/>
      <c r="H250" s="33" t="str">
        <f>IFERROR(__xludf.DUMMYFUNCTION("""COMPUTED_VALUE""")," ")</f>
        <v> </v>
      </c>
      <c r="I250" s="45"/>
      <c r="J250" s="46" t="str">
        <f>IFERROR(__xludf.DUMMYFUNCTION("""COMPUTED_VALUE"""),"AP")</f>
        <v>AP</v>
      </c>
      <c r="K250" s="47"/>
      <c r="L250" s="48" t="str">
        <f>IFERROR(__xludf.DUMMYFUNCTION("""COMPUTED_VALUE"""),"%")</f>
        <v>%</v>
      </c>
      <c r="M250" s="49">
        <f>IFERROR(__xludf.DUMMYFUNCTION("""COMPUTED_VALUE"""),1.0)</f>
        <v>1</v>
      </c>
      <c r="N250" s="50"/>
      <c r="O250" s="38"/>
      <c r="P250" s="45" t="str">
        <f>IFERROR(__xludf.DUMMYFUNCTION("""COMPUTED_VALUE"""),"")</f>
        <v/>
      </c>
      <c r="Q250" s="46" t="str">
        <f>IFERROR(__xludf.DUMMYFUNCTION("""COMPUTED_VALUE"""),"AP")</f>
        <v>AP</v>
      </c>
      <c r="R250" s="47" t="str">
        <f>IFERROR(__xludf.DUMMYFUNCTION("""COMPUTED_VALUE"""),"")</f>
        <v/>
      </c>
      <c r="S250" s="48" t="str">
        <f>IFERROR(__xludf.DUMMYFUNCTION("""COMPUTED_VALUE"""),"%")</f>
        <v>%</v>
      </c>
      <c r="T250" s="49">
        <f>IFERROR(__xludf.DUMMYFUNCTION("""COMPUTED_VALUE"""),2.0)</f>
        <v>2</v>
      </c>
      <c r="U250" s="50"/>
      <c r="V250" s="38"/>
      <c r="W250" s="45" t="str">
        <f>IFERROR(__xludf.DUMMYFUNCTION("""COMPUTED_VALUE"""),"")</f>
        <v/>
      </c>
      <c r="X250" s="46" t="str">
        <f>IFERROR(__xludf.DUMMYFUNCTION("""COMPUTED_VALUE"""),"AP")</f>
        <v>AP</v>
      </c>
      <c r="Y250" s="47" t="str">
        <f>IFERROR(__xludf.DUMMYFUNCTION("""COMPUTED_VALUE"""),"")</f>
        <v/>
      </c>
      <c r="Z250" s="48" t="str">
        <f>IFERROR(__xludf.DUMMYFUNCTION("""COMPUTED_VALUE"""),"%")</f>
        <v>%</v>
      </c>
      <c r="AA250" s="49">
        <f>IFERROR(__xludf.DUMMYFUNCTION("""COMPUTED_VALUE"""),3.0)</f>
        <v>3</v>
      </c>
      <c r="AB250" s="50"/>
      <c r="AC250" s="38"/>
      <c r="AD250" s="45" t="str">
        <f>IFERROR(__xludf.DUMMYFUNCTION("""COMPUTED_VALUE"""),"")</f>
        <v/>
      </c>
      <c r="AE250" s="46" t="str">
        <f>IFERROR(__xludf.DUMMYFUNCTION("""COMPUTED_VALUE"""),"AP")</f>
        <v>AP</v>
      </c>
      <c r="AF250" s="47" t="str">
        <f>IFERROR(__xludf.DUMMYFUNCTION("""COMPUTED_VALUE"""),"")</f>
        <v/>
      </c>
      <c r="AG250" s="48" t="str">
        <f>IFERROR(__xludf.DUMMYFUNCTION("""COMPUTED_VALUE"""),"%")</f>
        <v>%</v>
      </c>
      <c r="AH250" s="43"/>
      <c r="AI250" s="44"/>
      <c r="AJ250" s="66"/>
    </row>
    <row r="251" ht="24.75" hidden="1" customHeight="1">
      <c r="A251" s="28">
        <f>IFERROR(__xludf.DUMMYFUNCTION("""COMPUTED_VALUE"""),19.0)</f>
        <v>19</v>
      </c>
      <c r="B251" s="28" t="str">
        <f>IFERROR(__xludf.DUMMYFUNCTION("""COMPUTED_VALUE"""),"A202")</f>
        <v>A202</v>
      </c>
      <c r="C251" s="28"/>
      <c r="D251" s="29"/>
      <c r="E251" s="67"/>
      <c r="F251" s="31"/>
      <c r="G251" s="32"/>
      <c r="H251" s="33" t="str">
        <f>IFERROR(__xludf.DUMMYFUNCTION("""COMPUTED_VALUE""")," ")</f>
        <v> </v>
      </c>
      <c r="I251" s="34"/>
      <c r="J251" s="35" t="str">
        <f>IFERROR(__xludf.DUMMYFUNCTION("""COMPUTED_VALUE"""),"AP")</f>
        <v>AP</v>
      </c>
      <c r="K251" s="34"/>
      <c r="L251" s="35" t="str">
        <f>IFERROR(__xludf.DUMMYFUNCTION("""COMPUTED_VALUE"""),"%")</f>
        <v>%</v>
      </c>
      <c r="M251" s="36">
        <f>IFERROR(__xludf.DUMMYFUNCTION("""COMPUTED_VALUE"""),1.0)</f>
        <v>1</v>
      </c>
      <c r="N251" s="37"/>
      <c r="O251" s="38"/>
      <c r="P251" s="34" t="str">
        <f>IFERROR(__xludf.DUMMYFUNCTION("""COMPUTED_VALUE"""),"")</f>
        <v/>
      </c>
      <c r="Q251" s="35" t="str">
        <f>IFERROR(__xludf.DUMMYFUNCTION("""COMPUTED_VALUE"""),"AP")</f>
        <v>AP</v>
      </c>
      <c r="R251" s="34" t="str">
        <f>IFERROR(__xludf.DUMMYFUNCTION("""COMPUTED_VALUE"""),"")</f>
        <v/>
      </c>
      <c r="S251" s="35" t="str">
        <f>IFERROR(__xludf.DUMMYFUNCTION("""COMPUTED_VALUE"""),"%")</f>
        <v>%</v>
      </c>
      <c r="T251" s="36">
        <f>IFERROR(__xludf.DUMMYFUNCTION("""COMPUTED_VALUE"""),2.0)</f>
        <v>2</v>
      </c>
      <c r="U251" s="37"/>
      <c r="V251" s="38"/>
      <c r="W251" s="34" t="str">
        <f>IFERROR(__xludf.DUMMYFUNCTION("""COMPUTED_VALUE"""),"")</f>
        <v/>
      </c>
      <c r="X251" s="35" t="str">
        <f>IFERROR(__xludf.DUMMYFUNCTION("""COMPUTED_VALUE"""),"AP")</f>
        <v>AP</v>
      </c>
      <c r="Y251" s="34" t="str">
        <f>IFERROR(__xludf.DUMMYFUNCTION("""COMPUTED_VALUE"""),"")</f>
        <v/>
      </c>
      <c r="Z251" s="35" t="str">
        <f>IFERROR(__xludf.DUMMYFUNCTION("""COMPUTED_VALUE"""),"%")</f>
        <v>%</v>
      </c>
      <c r="AA251" s="36">
        <f>IFERROR(__xludf.DUMMYFUNCTION("""COMPUTED_VALUE"""),3.0)</f>
        <v>3</v>
      </c>
      <c r="AB251" s="37"/>
      <c r="AC251" s="38"/>
      <c r="AD251" s="34" t="str">
        <f>IFERROR(__xludf.DUMMYFUNCTION("""COMPUTED_VALUE"""),"")</f>
        <v/>
      </c>
      <c r="AE251" s="35" t="str">
        <f>IFERROR(__xludf.DUMMYFUNCTION("""COMPUTED_VALUE"""),"AP")</f>
        <v>AP</v>
      </c>
      <c r="AF251" s="34" t="str">
        <f>IFERROR(__xludf.DUMMYFUNCTION("""COMPUTED_VALUE"""),"")</f>
        <v/>
      </c>
      <c r="AG251" s="35" t="str">
        <f>IFERROR(__xludf.DUMMYFUNCTION("""COMPUTED_VALUE"""),"%")</f>
        <v>%</v>
      </c>
      <c r="AH251" s="31"/>
      <c r="AI251" s="32"/>
      <c r="AJ251" s="67"/>
    </row>
    <row r="252" ht="24.75" hidden="1" customHeight="1">
      <c r="A252" s="40">
        <f>IFERROR(__xludf.DUMMYFUNCTION("""COMPUTED_VALUE"""),20.0)</f>
        <v>20</v>
      </c>
      <c r="B252" s="40" t="str">
        <f>IFERROR(__xludf.DUMMYFUNCTION("""COMPUTED_VALUE"""),"A202")</f>
        <v>A202</v>
      </c>
      <c r="C252" s="40"/>
      <c r="D252" s="41"/>
      <c r="E252" s="66"/>
      <c r="F252" s="43"/>
      <c r="G252" s="44"/>
      <c r="H252" s="33" t="str">
        <f>IFERROR(__xludf.DUMMYFUNCTION("""COMPUTED_VALUE""")," ")</f>
        <v> </v>
      </c>
      <c r="I252" s="45"/>
      <c r="J252" s="46" t="str">
        <f>IFERROR(__xludf.DUMMYFUNCTION("""COMPUTED_VALUE"""),"AP")</f>
        <v>AP</v>
      </c>
      <c r="K252" s="47"/>
      <c r="L252" s="48" t="str">
        <f>IFERROR(__xludf.DUMMYFUNCTION("""COMPUTED_VALUE"""),"%")</f>
        <v>%</v>
      </c>
      <c r="M252" s="49">
        <f>IFERROR(__xludf.DUMMYFUNCTION("""COMPUTED_VALUE"""),1.0)</f>
        <v>1</v>
      </c>
      <c r="N252" s="50"/>
      <c r="O252" s="38"/>
      <c r="P252" s="45" t="str">
        <f>IFERROR(__xludf.DUMMYFUNCTION("""COMPUTED_VALUE"""),"")</f>
        <v/>
      </c>
      <c r="Q252" s="46" t="str">
        <f>IFERROR(__xludf.DUMMYFUNCTION("""COMPUTED_VALUE"""),"AP")</f>
        <v>AP</v>
      </c>
      <c r="R252" s="47" t="str">
        <f>IFERROR(__xludf.DUMMYFUNCTION("""COMPUTED_VALUE"""),"")</f>
        <v/>
      </c>
      <c r="S252" s="48" t="str">
        <f>IFERROR(__xludf.DUMMYFUNCTION("""COMPUTED_VALUE"""),"%")</f>
        <v>%</v>
      </c>
      <c r="T252" s="49">
        <f>IFERROR(__xludf.DUMMYFUNCTION("""COMPUTED_VALUE"""),2.0)</f>
        <v>2</v>
      </c>
      <c r="U252" s="50"/>
      <c r="V252" s="38"/>
      <c r="W252" s="45" t="str">
        <f>IFERROR(__xludf.DUMMYFUNCTION("""COMPUTED_VALUE"""),"")</f>
        <v/>
      </c>
      <c r="X252" s="46" t="str">
        <f>IFERROR(__xludf.DUMMYFUNCTION("""COMPUTED_VALUE"""),"AP")</f>
        <v>AP</v>
      </c>
      <c r="Y252" s="47" t="str">
        <f>IFERROR(__xludf.DUMMYFUNCTION("""COMPUTED_VALUE"""),"")</f>
        <v/>
      </c>
      <c r="Z252" s="48" t="str">
        <f>IFERROR(__xludf.DUMMYFUNCTION("""COMPUTED_VALUE"""),"%")</f>
        <v>%</v>
      </c>
      <c r="AA252" s="49">
        <f>IFERROR(__xludf.DUMMYFUNCTION("""COMPUTED_VALUE"""),3.0)</f>
        <v>3</v>
      </c>
      <c r="AB252" s="50"/>
      <c r="AC252" s="38"/>
      <c r="AD252" s="45" t="str">
        <f>IFERROR(__xludf.DUMMYFUNCTION("""COMPUTED_VALUE"""),"")</f>
        <v/>
      </c>
      <c r="AE252" s="46" t="str">
        <f>IFERROR(__xludf.DUMMYFUNCTION("""COMPUTED_VALUE"""),"AP")</f>
        <v>AP</v>
      </c>
      <c r="AF252" s="47" t="str">
        <f>IFERROR(__xludf.DUMMYFUNCTION("""COMPUTED_VALUE"""),"")</f>
        <v/>
      </c>
      <c r="AG252" s="48" t="str">
        <f>IFERROR(__xludf.DUMMYFUNCTION("""COMPUTED_VALUE"""),"%")</f>
        <v>%</v>
      </c>
      <c r="AH252" s="43"/>
      <c r="AI252" s="44"/>
      <c r="AJ252" s="66"/>
    </row>
    <row r="253">
      <c r="A253" s="52"/>
      <c r="B253" s="53"/>
      <c r="C253" s="54"/>
      <c r="D253" s="56"/>
      <c r="E253" s="56"/>
      <c r="F253" s="53"/>
      <c r="G253" s="53"/>
      <c r="H253" s="53"/>
      <c r="I253" s="53"/>
      <c r="J253" s="57"/>
      <c r="K253" s="53"/>
      <c r="L253" s="57"/>
      <c r="M253" s="53"/>
      <c r="N253" s="53"/>
      <c r="O253" s="53"/>
      <c r="P253" s="53"/>
      <c r="Q253" s="57"/>
      <c r="R253" s="53"/>
      <c r="S253" s="57"/>
      <c r="T253" s="53"/>
      <c r="U253" s="53"/>
      <c r="V253" s="53"/>
      <c r="W253" s="53"/>
      <c r="X253" s="57"/>
      <c r="Y253" s="53"/>
      <c r="Z253" s="57"/>
      <c r="AA253" s="53"/>
      <c r="AB253" s="53"/>
      <c r="AC253" s="53"/>
      <c r="AD253" s="53"/>
      <c r="AE253" s="57"/>
      <c r="AF253" s="53"/>
      <c r="AG253" s="57"/>
      <c r="AH253" s="53"/>
      <c r="AI253" s="53"/>
      <c r="AJ253" s="56"/>
    </row>
    <row r="254">
      <c r="A254" s="59"/>
      <c r="B254" s="60"/>
      <c r="C254" s="61"/>
      <c r="D254" s="63"/>
      <c r="E254" s="63"/>
      <c r="F254" s="60"/>
      <c r="G254" s="60"/>
      <c r="H254" s="60"/>
      <c r="I254" s="60"/>
      <c r="J254" s="64"/>
      <c r="K254" s="60"/>
      <c r="L254" s="64"/>
      <c r="M254" s="60"/>
      <c r="N254" s="60"/>
      <c r="O254" s="60"/>
      <c r="P254" s="60"/>
      <c r="Q254" s="64"/>
      <c r="R254" s="60"/>
      <c r="S254" s="64"/>
      <c r="T254" s="60"/>
      <c r="U254" s="60"/>
      <c r="V254" s="60"/>
      <c r="W254" s="60"/>
      <c r="X254" s="64"/>
      <c r="Y254" s="60"/>
      <c r="Z254" s="64"/>
      <c r="AA254" s="60"/>
      <c r="AB254" s="60"/>
      <c r="AC254" s="60"/>
      <c r="AD254" s="60"/>
      <c r="AE254" s="64"/>
      <c r="AF254" s="60"/>
      <c r="AG254" s="64"/>
      <c r="AH254" s="60"/>
      <c r="AI254" s="60"/>
      <c r="AJ254" s="63"/>
    </row>
    <row r="255" ht="33.0" customHeight="1">
      <c r="A255" s="20" t="str">
        <f>IFERROR(__xludf.DUMMYFUNCTION("""COMPUTED_VALUE""")," ")</f>
        <v> </v>
      </c>
      <c r="B255" s="21" t="str">
        <f>IFERROR(__xludf.DUMMYFUNCTION("""COMPUTED_VALUE"""),"A203")</f>
        <v>A203</v>
      </c>
      <c r="C255" s="20"/>
      <c r="D255" s="257" t="str">
        <f>IFERROR(__xludf.DUMMYFUNCTION("""COMPUTED_VALUE"""),"")</f>
        <v/>
      </c>
      <c r="E255" s="23" t="str">
        <f>IFERROR(__xludf.DUMMYFUNCTION("""COMPUTED_VALUE"""),"Octuplet Crystal")</f>
        <v>Octuplet Crystal</v>
      </c>
      <c r="F255" s="24"/>
      <c r="G255" s="24"/>
      <c r="H255" s="25"/>
      <c r="I255" s="25"/>
      <c r="J255" s="26"/>
      <c r="K255" s="25"/>
      <c r="L255" s="26"/>
      <c r="M255" s="25"/>
      <c r="N255" s="25"/>
      <c r="O255" s="25"/>
      <c r="P255" s="25"/>
      <c r="Q255" s="26"/>
      <c r="R255" s="25"/>
      <c r="S255" s="26"/>
      <c r="T255" s="25"/>
      <c r="U255" s="25"/>
      <c r="V255" s="25"/>
      <c r="W255" s="25"/>
      <c r="X255" s="26"/>
      <c r="Y255" s="25"/>
      <c r="Z255" s="26"/>
      <c r="AA255" s="25"/>
      <c r="AB255" s="25"/>
      <c r="AC255" s="25"/>
      <c r="AD255" s="25"/>
      <c r="AE255" s="26"/>
      <c r="AF255" s="25"/>
      <c r="AG255" s="26"/>
      <c r="AH255" s="24"/>
      <c r="AI255" s="25"/>
      <c r="AJ255" s="23"/>
    </row>
    <row r="256" ht="24.75" customHeight="1">
      <c r="A256" s="28">
        <f>IFERROR(__xludf.DUMMYFUNCTION("""COMPUTED_VALUE"""),1.0)</f>
        <v>1</v>
      </c>
      <c r="B256" s="28" t="str">
        <f>IFERROR(__xludf.DUMMYFUNCTION("""COMPUTED_VALUE"""),"A203")</f>
        <v>A203</v>
      </c>
      <c r="C256" s="28" t="str">
        <f>IFERROR(__xludf.DUMMYFUNCTION("""COMPUTED_VALUE"""),"AGT4")</f>
        <v>AGT4</v>
      </c>
      <c r="D256" s="29" t="str">
        <f>IFERROR(__xludf.DUMMYFUNCTION("""COMPUTED_VALUE"""),"Agartha")</f>
        <v>Agartha</v>
      </c>
      <c r="E256" s="30" t="str">
        <f>IFERROR(__xludf.DUMMYFUNCTION("""COMPUTED_VALUE"""),"Peach Blossom Shangri-La")</f>
        <v>Peach Blossom Shangri-La</v>
      </c>
      <c r="F256" s="31">
        <f>IFERROR(__xludf.DUMMYFUNCTION("""COMPUTED_VALUE"""),21.0)</f>
        <v>21</v>
      </c>
      <c r="G256" s="32">
        <f>IFERROR(__xludf.DUMMYFUNCTION("""COMPUTED_VALUE"""),20526.0)</f>
        <v>20526</v>
      </c>
      <c r="H256" s="33" t="str">
        <f>IFERROR(__xludf.DUMMYFUNCTION("""COMPUTED_VALUE"""),"")</f>
        <v/>
      </c>
      <c r="I256" s="34">
        <f>IFERROR(__xludf.DUMMYFUNCTION("""COMPUTED_VALUE"""),52.11854385446476)</f>
        <v>52.11854385</v>
      </c>
      <c r="J256" s="35" t="str">
        <f>IFERROR(__xludf.DUMMYFUNCTION("""COMPUTED_VALUE"""),"AP")</f>
        <v>AP</v>
      </c>
      <c r="K256" s="34">
        <f>IFERROR(__xludf.DUMMYFUNCTION("""COMPUTED_VALUE"""),40.292760401442074)</f>
        <v>40.2927604</v>
      </c>
      <c r="L256" s="35" t="str">
        <f>IFERROR(__xludf.DUMMYFUNCTION("""COMPUTED_VALUE"""),"%")</f>
        <v>%</v>
      </c>
      <c r="M256" s="36">
        <f>IFERROR(__xludf.DUMMYFUNCTION("""COMPUTED_VALUE"""),1.0)</f>
        <v>1</v>
      </c>
      <c r="N256" s="37" t="str">
        <f>IFERROR(__xludf.DUMMYFUNCTION("""COMPUTED_VALUE"""),"B107")</f>
        <v>B107</v>
      </c>
      <c r="O256" s="38" t="str">
        <f>IFERROR(__xludf.DUMMYFUNCTION("""COMPUTED_VALUE"""),"")</f>
        <v/>
      </c>
      <c r="P256" s="34">
        <f>IFERROR(__xludf.DUMMYFUNCTION("""COMPUTED_VALUE"""),561.7888785492536)</f>
        <v>561.7888785</v>
      </c>
      <c r="Q256" s="35" t="str">
        <f>IFERROR(__xludf.DUMMYFUNCTION("""COMPUTED_VALUE"""),"AP")</f>
        <v>AP</v>
      </c>
      <c r="R256" s="34">
        <f>IFERROR(__xludf.DUMMYFUNCTION("""COMPUTED_VALUE"""),3.7380590470622623)</f>
        <v>3.738059047</v>
      </c>
      <c r="S256" s="35" t="str">
        <f>IFERROR(__xludf.DUMMYFUNCTION("""COMPUTED_VALUE"""),"%")</f>
        <v>%</v>
      </c>
      <c r="T256" s="36">
        <f>IFERROR(__xludf.DUMMYFUNCTION("""COMPUTED_VALUE"""),2.0)</f>
        <v>2</v>
      </c>
      <c r="U256" s="37" t="str">
        <f>IFERROR(__xludf.DUMMYFUNCTION("""COMPUTED_VALUE"""),"B117")</f>
        <v>B117</v>
      </c>
      <c r="V256" s="38" t="str">
        <f>IFERROR(__xludf.DUMMYFUNCTION("""COMPUTED_VALUE"""),"")</f>
        <v/>
      </c>
      <c r="W256" s="34">
        <f>IFERROR(__xludf.DUMMYFUNCTION("""COMPUTED_VALUE"""),225.59396582223627)</f>
        <v>225.5939658</v>
      </c>
      <c r="X256" s="35" t="str">
        <f>IFERROR(__xludf.DUMMYFUNCTION("""COMPUTED_VALUE"""),"AP")</f>
        <v>AP</v>
      </c>
      <c r="Y256" s="34">
        <f>IFERROR(__xludf.DUMMYFUNCTION("""COMPUTED_VALUE"""),9.308759621942901)</f>
        <v>9.308759622</v>
      </c>
      <c r="Z256" s="35" t="str">
        <f>IFERROR(__xludf.DUMMYFUNCTION("""COMPUTED_VALUE"""),"%")</f>
        <v>%</v>
      </c>
      <c r="AA256" s="36">
        <f>IFERROR(__xludf.DUMMYFUNCTION("""COMPUTED_VALUE"""),3.0)</f>
        <v>3</v>
      </c>
      <c r="AB256" s="37"/>
      <c r="AC256" s="38"/>
      <c r="AD256" s="34" t="str">
        <f>IFERROR(__xludf.DUMMYFUNCTION("""COMPUTED_VALUE"""),"")</f>
        <v/>
      </c>
      <c r="AE256" s="35" t="str">
        <f>IFERROR(__xludf.DUMMYFUNCTION("""COMPUTED_VALUE"""),"AP")</f>
        <v>AP</v>
      </c>
      <c r="AF256" s="34" t="str">
        <f>IFERROR(__xludf.DUMMYFUNCTION("""COMPUTED_VALUE"""),"")</f>
        <v/>
      </c>
      <c r="AG256" s="35" t="str">
        <f>IFERROR(__xludf.DUMMYFUNCTION("""COMPUTED_VALUE"""),"%")</f>
        <v>%</v>
      </c>
      <c r="AH256" s="31">
        <f>IFERROR(__xludf.DUMMYFUNCTION("""COMPUTED_VALUE"""),21.0)</f>
        <v>21</v>
      </c>
      <c r="AI256" s="32">
        <f>IFERROR(__xludf.DUMMYFUNCTION("""COMPUTED_VALUE"""),20526.0)</f>
        <v>20526</v>
      </c>
      <c r="AJ256" s="30" t="str">
        <f>IFERROR(__xludf.DUMMYFUNCTION("""COMPUTED_VALUE"""),"Peach Blossom Shangri-La")</f>
        <v>Peach Blossom Shangri-La</v>
      </c>
    </row>
    <row r="257" ht="24.75" customHeight="1">
      <c r="A257" s="40">
        <f>IFERROR(__xludf.DUMMYFUNCTION("""COMPUTED_VALUE"""),2.0)</f>
        <v>2</v>
      </c>
      <c r="B257" s="40" t="str">
        <f>IFERROR(__xludf.DUMMYFUNCTION("""COMPUTED_VALUE"""),"A203")</f>
        <v>A203</v>
      </c>
      <c r="C257" s="40" t="str">
        <f>IFERROR(__xludf.DUMMYFUNCTION("""COMPUTED_VALUE"""),"CML10")</f>
        <v>CML10</v>
      </c>
      <c r="D257" s="41" t="str">
        <f>IFERROR(__xludf.DUMMYFUNCTION("""COMPUTED_VALUE"""),"Camelot")</f>
        <v>Camelot</v>
      </c>
      <c r="E257" s="42" t="str">
        <f>IFERROR(__xludf.DUMMYFUNCTION("""COMPUTED_VALUE"""),"Holy City")</f>
        <v>Holy City</v>
      </c>
      <c r="F257" s="43">
        <f>IFERROR(__xludf.DUMMYFUNCTION("""COMPUTED_VALUE"""),20.0)</f>
        <v>20</v>
      </c>
      <c r="G257" s="44">
        <f>IFERROR(__xludf.DUMMYFUNCTION("""COMPUTED_VALUE"""),31633.0)</f>
        <v>31633</v>
      </c>
      <c r="H257" s="33" t="str">
        <f>IFERROR(__xludf.DUMMYFUNCTION("""COMPUTED_VALUE"""),"")</f>
        <v/>
      </c>
      <c r="I257" s="45">
        <f>IFERROR(__xludf.DUMMYFUNCTION("""COMPUTED_VALUE"""),72.82546361109596)</f>
        <v>72.82546361</v>
      </c>
      <c r="J257" s="46" t="str">
        <f>IFERROR(__xludf.DUMMYFUNCTION("""COMPUTED_VALUE"""),"AP")</f>
        <v>AP</v>
      </c>
      <c r="K257" s="47">
        <f>IFERROR(__xludf.DUMMYFUNCTION("""COMPUTED_VALUE"""),27.46292163247242)</f>
        <v>27.46292163</v>
      </c>
      <c r="L257" s="48" t="str">
        <f>IFERROR(__xludf.DUMMYFUNCTION("""COMPUTED_VALUE"""),"%")</f>
        <v>%</v>
      </c>
      <c r="M257" s="49">
        <f>IFERROR(__xludf.DUMMYFUNCTION("""COMPUTED_VALUE"""),1.0)</f>
        <v>1</v>
      </c>
      <c r="N257" s="50" t="str">
        <f>IFERROR(__xludf.DUMMYFUNCTION("""COMPUTED_VALUE"""),"A104")</f>
        <v>A104</v>
      </c>
      <c r="O257" s="38" t="str">
        <f>IFERROR(__xludf.DUMMYFUNCTION("""COMPUTED_VALUE"""),"")</f>
        <v/>
      </c>
      <c r="P257" s="45">
        <f>IFERROR(__xludf.DUMMYFUNCTION("""COMPUTED_VALUE"""),167.03982595287633)</f>
        <v>167.039826</v>
      </c>
      <c r="Q257" s="46" t="str">
        <f>IFERROR(__xludf.DUMMYFUNCTION("""COMPUTED_VALUE"""),"AP")</f>
        <v>AP</v>
      </c>
      <c r="R257" s="47">
        <f>IFERROR(__xludf.DUMMYFUNCTION("""COMPUTED_VALUE"""),11.973192552081686)</f>
        <v>11.97319255</v>
      </c>
      <c r="S257" s="48" t="str">
        <f>IFERROR(__xludf.DUMMYFUNCTION("""COMPUTED_VALUE"""),"%")</f>
        <v>%</v>
      </c>
      <c r="T257" s="49">
        <f>IFERROR(__xludf.DUMMYFUNCTION("""COMPUTED_VALUE"""),2.0)</f>
        <v>2</v>
      </c>
      <c r="U257" s="50" t="str">
        <f>IFERROR(__xludf.DUMMYFUNCTION("""COMPUTED_VALUE"""),"A301")</f>
        <v>A301</v>
      </c>
      <c r="V257" s="38" t="str">
        <f>IFERROR(__xludf.DUMMYFUNCTION("""COMPUTED_VALUE"""),"")</f>
        <v/>
      </c>
      <c r="W257" s="45">
        <f>IFERROR(__xludf.DUMMYFUNCTION("""COMPUTED_VALUE"""),55.93226242845354)</f>
        <v>55.93226243</v>
      </c>
      <c r="X257" s="46" t="str">
        <f>IFERROR(__xludf.DUMMYFUNCTION("""COMPUTED_VALUE"""),"AP")</f>
        <v>AP</v>
      </c>
      <c r="Y257" s="47">
        <f>IFERROR(__xludf.DUMMYFUNCTION("""COMPUTED_VALUE"""),35.7575380140992)</f>
        <v>35.75753801</v>
      </c>
      <c r="Z257" s="48" t="str">
        <f>IFERROR(__xludf.DUMMYFUNCTION("""COMPUTED_VALUE"""),"%")</f>
        <v>%</v>
      </c>
      <c r="AA257" s="49">
        <f>IFERROR(__xludf.DUMMYFUNCTION("""COMPUTED_VALUE"""),3.0)</f>
        <v>3</v>
      </c>
      <c r="AB257" s="50" t="str">
        <f>IFERROR(__xludf.DUMMYFUNCTION("""COMPUTED_VALUE"""),"B101")</f>
        <v>B101</v>
      </c>
      <c r="AC257" s="38" t="str">
        <f>IFERROR(__xludf.DUMMYFUNCTION("""COMPUTED_VALUE"""),"")</f>
        <v/>
      </c>
      <c r="AD257" s="45">
        <f>IFERROR(__xludf.DUMMYFUNCTION("""COMPUTED_VALUE"""),608.944577073889)</f>
        <v>608.9445771</v>
      </c>
      <c r="AE257" s="46" t="str">
        <f>IFERROR(__xludf.DUMMYFUNCTION("""COMPUTED_VALUE"""),"AP")</f>
        <v>AP</v>
      </c>
      <c r="AF257" s="47">
        <f>IFERROR(__xludf.DUMMYFUNCTION("""COMPUTED_VALUE"""),3.2843711485377445)</f>
        <v>3.284371149</v>
      </c>
      <c r="AG257" s="48" t="str">
        <f>IFERROR(__xludf.DUMMYFUNCTION("""COMPUTED_VALUE"""),"%")</f>
        <v>%</v>
      </c>
      <c r="AH257" s="43">
        <f>IFERROR(__xludf.DUMMYFUNCTION("""COMPUTED_VALUE"""),20.0)</f>
        <v>20</v>
      </c>
      <c r="AI257" s="44">
        <f>IFERROR(__xludf.DUMMYFUNCTION("""COMPUTED_VALUE"""),31633.0)</f>
        <v>31633</v>
      </c>
      <c r="AJ257" s="42" t="str">
        <f>IFERROR(__xludf.DUMMYFUNCTION("""COMPUTED_VALUE"""),"Holy City")</f>
        <v>Holy City</v>
      </c>
    </row>
    <row r="258" ht="24.75" customHeight="1">
      <c r="A258" s="28">
        <f>IFERROR(__xludf.DUMMYFUNCTION("""COMPUTED_VALUE"""),3.0)</f>
        <v>3</v>
      </c>
      <c r="B258" s="28" t="str">
        <f>IFERROR(__xludf.DUMMYFUNCTION("""COMPUTED_VALUE"""),"A203")</f>
        <v>A203</v>
      </c>
      <c r="C258" s="28" t="str">
        <f>IFERROR(__xludf.DUMMYFUNCTION("""COMPUTED_VALUE"""),"GTT5")</f>
        <v>GTT5</v>
      </c>
      <c r="D258" s="29" t="str">
        <f>IFERROR(__xludf.DUMMYFUNCTION("""COMPUTED_VALUE"""),"Götterdämmerung")</f>
        <v>Götterdämmerung</v>
      </c>
      <c r="E258" s="30" t="str">
        <f>IFERROR(__xludf.DUMMYFUNCTION("""COMPUTED_VALUE"""),"Hero's Lair")</f>
        <v>Hero's Lair</v>
      </c>
      <c r="F258" s="31">
        <f>IFERROR(__xludf.DUMMYFUNCTION("""COMPUTED_VALUE"""),21.0)</f>
        <v>21</v>
      </c>
      <c r="G258" s="32">
        <f>IFERROR(__xludf.DUMMYFUNCTION("""COMPUTED_VALUE"""),8573.0)</f>
        <v>8573</v>
      </c>
      <c r="H258" s="33" t="str">
        <f>IFERROR(__xludf.DUMMYFUNCTION("""COMPUTED_VALUE"""),"")</f>
        <v/>
      </c>
      <c r="I258" s="34">
        <f>IFERROR(__xludf.DUMMYFUNCTION("""COMPUTED_VALUE"""),84.56414235736645)</f>
        <v>84.56414236</v>
      </c>
      <c r="J258" s="35" t="str">
        <f>IFERROR(__xludf.DUMMYFUNCTION("""COMPUTED_VALUE"""),"AP")</f>
        <v>AP</v>
      </c>
      <c r="K258" s="34">
        <f>IFERROR(__xludf.DUMMYFUNCTION("""COMPUTED_VALUE"""),24.833220576227692)</f>
        <v>24.83322058</v>
      </c>
      <c r="L258" s="35" t="str">
        <f>IFERROR(__xludf.DUMMYFUNCTION("""COMPUTED_VALUE"""),"%")</f>
        <v>%</v>
      </c>
      <c r="M258" s="36">
        <f>IFERROR(__xludf.DUMMYFUNCTION("""COMPUTED_VALUE"""),1.0)</f>
        <v>1</v>
      </c>
      <c r="N258" s="37" t="str">
        <f>IFERROR(__xludf.DUMMYFUNCTION("""COMPUTED_VALUE"""),"A214")</f>
        <v>A214</v>
      </c>
      <c r="O258" s="38" t="str">
        <f>IFERROR(__xludf.DUMMYFUNCTION("""COMPUTED_VALUE"""),"")</f>
        <v/>
      </c>
      <c r="P258" s="34">
        <f>IFERROR(__xludf.DUMMYFUNCTION("""COMPUTED_VALUE"""),82.23899387157718)</f>
        <v>82.23899387</v>
      </c>
      <c r="Q258" s="35" t="str">
        <f>IFERROR(__xludf.DUMMYFUNCTION("""COMPUTED_VALUE"""),"AP")</f>
        <v>AP</v>
      </c>
      <c r="R258" s="34">
        <f>IFERROR(__xludf.DUMMYFUNCTION("""COMPUTED_VALUE"""),25.535331855826435)</f>
        <v>25.53533186</v>
      </c>
      <c r="S258" s="35" t="str">
        <f>IFERROR(__xludf.DUMMYFUNCTION("""COMPUTED_VALUE"""),"%")</f>
        <v>%</v>
      </c>
      <c r="T258" s="36">
        <f>IFERROR(__xludf.DUMMYFUNCTION("""COMPUTED_VALUE"""),2.0)</f>
        <v>2</v>
      </c>
      <c r="U258" s="37" t="str">
        <f>IFERROR(__xludf.DUMMYFUNCTION("""COMPUTED_VALUE"""),"B107")</f>
        <v>B107</v>
      </c>
      <c r="V258" s="38" t="str">
        <f>IFERROR(__xludf.DUMMYFUNCTION("""COMPUTED_VALUE"""),"")</f>
        <v/>
      </c>
      <c r="W258" s="34">
        <f>IFERROR(__xludf.DUMMYFUNCTION("""COMPUTED_VALUE"""),429.9385695097771)</f>
        <v>429.9385695</v>
      </c>
      <c r="X258" s="35" t="str">
        <f>IFERROR(__xludf.DUMMYFUNCTION("""COMPUTED_VALUE"""),"AP")</f>
        <v>AP</v>
      </c>
      <c r="Y258" s="34">
        <f>IFERROR(__xludf.DUMMYFUNCTION("""COMPUTED_VALUE"""),4.884418726132093)</f>
        <v>4.884418726</v>
      </c>
      <c r="Z258" s="35" t="str">
        <f>IFERROR(__xludf.DUMMYFUNCTION("""COMPUTED_VALUE"""),"%")</f>
        <v>%</v>
      </c>
      <c r="AA258" s="36">
        <f>IFERROR(__xludf.DUMMYFUNCTION("""COMPUTED_VALUE"""),3.0)</f>
        <v>3</v>
      </c>
      <c r="AB258" s="37" t="str">
        <f>IFERROR(__xludf.DUMMYFUNCTION("""COMPUTED_VALUE"""),"B117")</f>
        <v>B117</v>
      </c>
      <c r="AC258" s="38" t="str">
        <f>IFERROR(__xludf.DUMMYFUNCTION("""COMPUTED_VALUE"""),"")</f>
        <v/>
      </c>
      <c r="AD258" s="34">
        <f>IFERROR(__xludf.DUMMYFUNCTION("""COMPUTED_VALUE"""),67.34395216762566)</f>
        <v>67.34395217</v>
      </c>
      <c r="AE258" s="35" t="str">
        <f>IFERROR(__xludf.DUMMYFUNCTION("""COMPUTED_VALUE"""),"AP")</f>
        <v>AP</v>
      </c>
      <c r="AF258" s="34">
        <f>IFERROR(__xludf.DUMMYFUNCTION("""COMPUTED_VALUE"""),31.183201050821843)</f>
        <v>31.18320105</v>
      </c>
      <c r="AG258" s="35" t="str">
        <f>IFERROR(__xludf.DUMMYFUNCTION("""COMPUTED_VALUE"""),"%")</f>
        <v>%</v>
      </c>
      <c r="AH258" s="31">
        <f>IFERROR(__xludf.DUMMYFUNCTION("""COMPUTED_VALUE"""),21.0)</f>
        <v>21</v>
      </c>
      <c r="AI258" s="32">
        <f>IFERROR(__xludf.DUMMYFUNCTION("""COMPUTED_VALUE"""),8573.0)</f>
        <v>8573</v>
      </c>
      <c r="AJ258" s="30" t="str">
        <f>IFERROR(__xludf.DUMMYFUNCTION("""COMPUTED_VALUE"""),"Hero's Lair")</f>
        <v>Hero's Lair</v>
      </c>
    </row>
    <row r="259" ht="24.75" customHeight="1">
      <c r="A259" s="40">
        <f>IFERROR(__xludf.DUMMYFUNCTION("""COMPUTED_VALUE"""),4.0)</f>
        <v>4</v>
      </c>
      <c r="B259" s="40" t="str">
        <f>IFERROR(__xludf.DUMMYFUNCTION("""COMPUTED_VALUE"""),"A203")</f>
        <v>A203</v>
      </c>
      <c r="C259" s="40" t="str">
        <f>IFERROR(__xludf.DUMMYFUNCTION("""COMPUTED_VALUE"""),"SMS7")</f>
        <v>SMS7</v>
      </c>
      <c r="D259" s="41" t="str">
        <f>IFERROR(__xludf.DUMMYFUNCTION("""COMPUTED_VALUE"""),"Shimosa")</f>
        <v>Shimosa</v>
      </c>
      <c r="E259" s="42" t="str">
        <f>IFERROR(__xludf.DUMMYFUNCTION("""COMPUTED_VALUE"""),"Rear Mountain (Nameless Sacred Mountain)")</f>
        <v>Rear Mountain (Nameless Sacred Mountain)</v>
      </c>
      <c r="F259" s="43">
        <f>IFERROR(__xludf.DUMMYFUNCTION("""COMPUTED_VALUE"""),21.0)</f>
        <v>21</v>
      </c>
      <c r="G259" s="44">
        <f>IFERROR(__xludf.DUMMYFUNCTION("""COMPUTED_VALUE"""),15434.0)</f>
        <v>15434</v>
      </c>
      <c r="H259" s="33" t="str">
        <f>IFERROR(__xludf.DUMMYFUNCTION("""COMPUTED_VALUE"""),"")</f>
        <v/>
      </c>
      <c r="I259" s="45">
        <f>IFERROR(__xludf.DUMMYFUNCTION("""COMPUTED_VALUE"""),86.10023430153173)</f>
        <v>86.1002343</v>
      </c>
      <c r="J259" s="46" t="str">
        <f>IFERROR(__xludf.DUMMYFUNCTION("""COMPUTED_VALUE"""),"AP")</f>
        <v>AP</v>
      </c>
      <c r="K259" s="47">
        <f>IFERROR(__xludf.DUMMYFUNCTION("""COMPUTED_VALUE"""),24.390177530128287)</f>
        <v>24.39017753</v>
      </c>
      <c r="L259" s="48" t="str">
        <f>IFERROR(__xludf.DUMMYFUNCTION("""COMPUTED_VALUE"""),"%")</f>
        <v>%</v>
      </c>
      <c r="M259" s="49">
        <f>IFERROR(__xludf.DUMMYFUNCTION("""COMPUTED_VALUE"""),1.0)</f>
        <v>1</v>
      </c>
      <c r="N259" s="50" t="str">
        <f>IFERROR(__xludf.DUMMYFUNCTION("""COMPUTED_VALUE"""),"A212")</f>
        <v>A212</v>
      </c>
      <c r="O259" s="38" t="str">
        <f>IFERROR(__xludf.DUMMYFUNCTION("""COMPUTED_VALUE"""),"")</f>
        <v/>
      </c>
      <c r="P259" s="45">
        <f>IFERROR(__xludf.DUMMYFUNCTION("""COMPUTED_VALUE"""),87.14627762190474)</f>
        <v>87.14627762</v>
      </c>
      <c r="Q259" s="46" t="str">
        <f>IFERROR(__xludf.DUMMYFUNCTION("""COMPUTED_VALUE"""),"AP")</f>
        <v>AP</v>
      </c>
      <c r="R259" s="47">
        <f>IFERROR(__xludf.DUMMYFUNCTION("""COMPUTED_VALUE"""),24.097414798496825)</f>
        <v>24.0974148</v>
      </c>
      <c r="S259" s="48" t="str">
        <f>IFERROR(__xludf.DUMMYFUNCTION("""COMPUTED_VALUE"""),"%")</f>
        <v>%</v>
      </c>
      <c r="T259" s="49">
        <f>IFERROR(__xludf.DUMMYFUNCTION("""COMPUTED_VALUE"""),2.0)</f>
        <v>2</v>
      </c>
      <c r="U259" s="50" t="str">
        <f>IFERROR(__xludf.DUMMYFUNCTION("""COMPUTED_VALUE"""),"A304")</f>
        <v>A304</v>
      </c>
      <c r="V259" s="38" t="str">
        <f>IFERROR(__xludf.DUMMYFUNCTION("""COMPUTED_VALUE"""),"")</f>
        <v/>
      </c>
      <c r="W259" s="45">
        <f>IFERROR(__xludf.DUMMYFUNCTION("""COMPUTED_VALUE"""),70.25940228978097)</f>
        <v>70.25940229</v>
      </c>
      <c r="X259" s="46" t="str">
        <f>IFERROR(__xludf.DUMMYFUNCTION("""COMPUTED_VALUE"""),"AP")</f>
        <v>AP</v>
      </c>
      <c r="Y259" s="47">
        <f>IFERROR(__xludf.DUMMYFUNCTION("""COMPUTED_VALUE"""),29.889238045872748)</f>
        <v>29.88923805</v>
      </c>
      <c r="Z259" s="48" t="str">
        <f>IFERROR(__xludf.DUMMYFUNCTION("""COMPUTED_VALUE"""),"%")</f>
        <v>%</v>
      </c>
      <c r="AA259" s="49">
        <f>IFERROR(__xludf.DUMMYFUNCTION("""COMPUTED_VALUE"""),3.0)</f>
        <v>3</v>
      </c>
      <c r="AB259" s="50" t="str">
        <f>IFERROR(__xludf.DUMMYFUNCTION("""COMPUTED_VALUE"""),"B111")</f>
        <v>B111</v>
      </c>
      <c r="AC259" s="38" t="str">
        <f>IFERROR(__xludf.DUMMYFUNCTION("""COMPUTED_VALUE"""),"")</f>
        <v/>
      </c>
      <c r="AD259" s="45">
        <f>IFERROR(__xludf.DUMMYFUNCTION("""COMPUTED_VALUE"""),86.4134629612596)</f>
        <v>86.41346296</v>
      </c>
      <c r="AE259" s="46" t="str">
        <f>IFERROR(__xludf.DUMMYFUNCTION("""COMPUTED_VALUE"""),"AP")</f>
        <v>AP</v>
      </c>
      <c r="AF259" s="47">
        <f>IFERROR(__xludf.DUMMYFUNCTION("""COMPUTED_VALUE"""),24.30176882208112)</f>
        <v>24.30176882</v>
      </c>
      <c r="AG259" s="48" t="str">
        <f>IFERROR(__xludf.DUMMYFUNCTION("""COMPUTED_VALUE"""),"%")</f>
        <v>%</v>
      </c>
      <c r="AH259" s="43">
        <f>IFERROR(__xludf.DUMMYFUNCTION("""COMPUTED_VALUE"""),21.0)</f>
        <v>21</v>
      </c>
      <c r="AI259" s="44">
        <f>IFERROR(__xludf.DUMMYFUNCTION("""COMPUTED_VALUE"""),15434.0)</f>
        <v>15434</v>
      </c>
      <c r="AJ259" s="42" t="str">
        <f>IFERROR(__xludf.DUMMYFUNCTION("""COMPUTED_VALUE"""),"Rear Mountain (Nameless Sacred Mountain)")</f>
        <v>Rear Mountain (Nameless Sacred Mountain)</v>
      </c>
    </row>
    <row r="260" ht="24.75" customHeight="1">
      <c r="A260" s="28">
        <f>IFERROR(__xludf.DUMMYFUNCTION("""COMPUTED_VALUE"""),5.0)</f>
        <v>5</v>
      </c>
      <c r="B260" s="28" t="str">
        <f>IFERROR(__xludf.DUMMYFUNCTION("""COMPUTED_VALUE"""),"A203")</f>
        <v>A203</v>
      </c>
      <c r="C260" s="28" t="str">
        <f>IFERROR(__xludf.DUMMYFUNCTION("""COMPUTED_VALUE"""),"OKN6")</f>
        <v>OKN6</v>
      </c>
      <c r="D260" s="29" t="str">
        <f>IFERROR(__xludf.DUMMYFUNCTION("""COMPUTED_VALUE"""),"Okeanos")</f>
        <v>Okeanos</v>
      </c>
      <c r="E260" s="30" t="str">
        <f>IFERROR(__xludf.DUMMYFUNCTION("""COMPUTED_VALUE"""),"Two-Current Sea")</f>
        <v>Two-Current Sea</v>
      </c>
      <c r="F260" s="31">
        <f>IFERROR(__xludf.DUMMYFUNCTION("""COMPUTED_VALUE"""),14.0)</f>
        <v>14</v>
      </c>
      <c r="G260" s="32">
        <f>IFERROR(__xludf.DUMMYFUNCTION("""COMPUTED_VALUE"""),1835.0)</f>
        <v>1835</v>
      </c>
      <c r="H260" s="33" t="str">
        <f>IFERROR(__xludf.DUMMYFUNCTION("""COMPUTED_VALUE"""),"")</f>
        <v/>
      </c>
      <c r="I260" s="34">
        <f>IFERROR(__xludf.DUMMYFUNCTION("""COMPUTED_VALUE"""),111.81719260065289)</f>
        <v>111.8171926</v>
      </c>
      <c r="J260" s="35" t="str">
        <f>IFERROR(__xludf.DUMMYFUNCTION("""COMPUTED_VALUE"""),"AP")</f>
        <v>AP</v>
      </c>
      <c r="K260" s="34">
        <f>IFERROR(__xludf.DUMMYFUNCTION("""COMPUTED_VALUE"""),12.520435967302452)</f>
        <v>12.52043597</v>
      </c>
      <c r="L260" s="35" t="str">
        <f>IFERROR(__xludf.DUMMYFUNCTION("""COMPUTED_VALUE"""),"%")</f>
        <v>%</v>
      </c>
      <c r="M260" s="36">
        <f>IFERROR(__xludf.DUMMYFUNCTION("""COMPUTED_VALUE"""),1.0)</f>
        <v>1</v>
      </c>
      <c r="N260" s="37" t="str">
        <f>IFERROR(__xludf.DUMMYFUNCTION("""COMPUTED_VALUE"""),"A301")</f>
        <v>A301</v>
      </c>
      <c r="O260" s="38" t="str">
        <f>IFERROR(__xludf.DUMMYFUNCTION("""COMPUTED_VALUE"""),"")</f>
        <v/>
      </c>
      <c r="P260" s="34">
        <f>IFERROR(__xludf.DUMMYFUNCTION("""COMPUTED_VALUE"""),54.169741697416974)</f>
        <v>54.1697417</v>
      </c>
      <c r="Q260" s="35" t="str">
        <f>IFERROR(__xludf.DUMMYFUNCTION("""COMPUTED_VALUE"""),"AP")</f>
        <v>AP</v>
      </c>
      <c r="R260" s="34">
        <f>IFERROR(__xludf.DUMMYFUNCTION("""COMPUTED_VALUE"""),25.844686648501362)</f>
        <v>25.84468665</v>
      </c>
      <c r="S260" s="35" t="str">
        <f>IFERROR(__xludf.DUMMYFUNCTION("""COMPUTED_VALUE"""),"%")</f>
        <v>%</v>
      </c>
      <c r="T260" s="36">
        <f>IFERROR(__xludf.DUMMYFUNCTION("""COMPUTED_VALUE"""),2.0)</f>
        <v>2</v>
      </c>
      <c r="U260" s="37" t="str">
        <f>IFERROR(__xludf.DUMMYFUNCTION("""COMPUTED_VALUE"""),"B117")</f>
        <v>B117</v>
      </c>
      <c r="V260" s="38" t="str">
        <f>IFERROR(__xludf.DUMMYFUNCTION("""COMPUTED_VALUE"""),"")</f>
        <v/>
      </c>
      <c r="W260" s="34">
        <f>IFERROR(__xludf.DUMMYFUNCTION("""COMPUTED_VALUE"""),281.5342465753424)</f>
        <v>281.5342466</v>
      </c>
      <c r="X260" s="35" t="str">
        <f>IFERROR(__xludf.DUMMYFUNCTION("""COMPUTED_VALUE"""),"AP")</f>
        <v>AP</v>
      </c>
      <c r="Y260" s="34">
        <f>IFERROR(__xludf.DUMMYFUNCTION("""COMPUTED_VALUE"""),4.9727520435967305)</f>
        <v>4.972752044</v>
      </c>
      <c r="Z260" s="35" t="str">
        <f>IFERROR(__xludf.DUMMYFUNCTION("""COMPUTED_VALUE"""),"%")</f>
        <v>%</v>
      </c>
      <c r="AA260" s="36">
        <f>IFERROR(__xludf.DUMMYFUNCTION("""COMPUTED_VALUE"""),3.0)</f>
        <v>3</v>
      </c>
      <c r="AB260" s="37"/>
      <c r="AC260" s="38"/>
      <c r="AD260" s="34" t="str">
        <f>IFERROR(__xludf.DUMMYFUNCTION("""COMPUTED_VALUE"""),"")</f>
        <v/>
      </c>
      <c r="AE260" s="35" t="str">
        <f>IFERROR(__xludf.DUMMYFUNCTION("""COMPUTED_VALUE"""),"AP")</f>
        <v>AP</v>
      </c>
      <c r="AF260" s="34" t="str">
        <f>IFERROR(__xludf.DUMMYFUNCTION("""COMPUTED_VALUE"""),"")</f>
        <v/>
      </c>
      <c r="AG260" s="35" t="str">
        <f>IFERROR(__xludf.DUMMYFUNCTION("""COMPUTED_VALUE"""),"%")</f>
        <v>%</v>
      </c>
      <c r="AH260" s="31">
        <f>IFERROR(__xludf.DUMMYFUNCTION("""COMPUTED_VALUE"""),14.0)</f>
        <v>14</v>
      </c>
      <c r="AI260" s="32">
        <f>IFERROR(__xludf.DUMMYFUNCTION("""COMPUTED_VALUE"""),1835.0)</f>
        <v>1835</v>
      </c>
      <c r="AJ260" s="30" t="str">
        <f>IFERROR(__xludf.DUMMYFUNCTION("""COMPUTED_VALUE"""),"Two-Current Sea")</f>
        <v>Two-Current Sea</v>
      </c>
    </row>
    <row r="261" ht="24.75" customHeight="1">
      <c r="A261" s="40">
        <f>IFERROR(__xludf.DUMMYFUNCTION("""COMPUTED_VALUE"""),6.0)</f>
        <v>6</v>
      </c>
      <c r="B261" s="40" t="str">
        <f>IFERROR(__xludf.DUMMYFUNCTION("""COMPUTED_VALUE"""),"A203")</f>
        <v>A203</v>
      </c>
      <c r="C261" s="40" t="str">
        <f>IFERROR(__xludf.DUMMYFUNCTION("""COMPUTED_VALUE"""),"TRF10")</f>
        <v>TRF10</v>
      </c>
      <c r="D261" s="41" t="str">
        <f>IFERROR(__xludf.DUMMYFUNCTION("""COMPUTED_VALUE"""),"Chaldea Gate (Wed)")</f>
        <v>Chaldea Gate (Wed)</v>
      </c>
      <c r="E261" s="42" t="str">
        <f>IFERROR(__xludf.DUMMYFUNCTION("""COMPUTED_VALUE"""),"WED Berserker Training Ground- Int")</f>
        <v>WED Berserker Training Ground- Int</v>
      </c>
      <c r="F261" s="43">
        <f>IFERROR(__xludf.DUMMYFUNCTION("""COMPUTED_VALUE"""),20.0)</f>
        <v>20</v>
      </c>
      <c r="G261" s="44">
        <f>IFERROR(__xludf.DUMMYFUNCTION("""COMPUTED_VALUE"""),1173.0)</f>
        <v>1173</v>
      </c>
      <c r="H261" s="33" t="str">
        <f>IFERROR(__xludf.DUMMYFUNCTION("""COMPUTED_VALUE"""),"")</f>
        <v/>
      </c>
      <c r="I261" s="45">
        <f>IFERROR(__xludf.DUMMYFUNCTION("""COMPUTED_VALUE"""),168.67019440929485)</f>
        <v>168.6701944</v>
      </c>
      <c r="J261" s="46" t="str">
        <f>IFERROR(__xludf.DUMMYFUNCTION("""COMPUTED_VALUE"""),"AP")</f>
        <v>AP</v>
      </c>
      <c r="K261" s="47">
        <f>IFERROR(__xludf.DUMMYFUNCTION("""COMPUTED_VALUE"""),11.857459505541346)</f>
        <v>11.85745951</v>
      </c>
      <c r="L261" s="48" t="str">
        <f>IFERROR(__xludf.DUMMYFUNCTION("""COMPUTED_VALUE"""),"%")</f>
        <v>%</v>
      </c>
      <c r="M261" s="49">
        <f>IFERROR(__xludf.DUMMYFUNCTION("""COMPUTED_VALUE"""),1.0)</f>
        <v>1</v>
      </c>
      <c r="N261" s="50" t="str">
        <f>IFERROR(__xludf.DUMMYFUNCTION("""COMPUTED_VALUE"""),"A101")</f>
        <v>A101</v>
      </c>
      <c r="O261" s="38" t="str">
        <f>IFERROR(__xludf.DUMMYFUNCTION("""COMPUTED_VALUE"""),"")</f>
        <v/>
      </c>
      <c r="P261" s="45">
        <f>IFERROR(__xludf.DUMMYFUNCTION("""COMPUTED_VALUE"""),678.1522807423253)</f>
        <v>678.1522807</v>
      </c>
      <c r="Q261" s="46" t="str">
        <f>IFERROR(__xludf.DUMMYFUNCTION("""COMPUTED_VALUE"""),"AP")</f>
        <v>AP</v>
      </c>
      <c r="R261" s="47">
        <f>IFERROR(__xludf.DUMMYFUNCTION("""COMPUTED_VALUE"""),2.9491901108269394)</f>
        <v>2.949190111</v>
      </c>
      <c r="S261" s="48" t="str">
        <f>IFERROR(__xludf.DUMMYFUNCTION("""COMPUTED_VALUE"""),"%")</f>
        <v>%</v>
      </c>
      <c r="T261" s="49">
        <f>IFERROR(__xludf.DUMMYFUNCTION("""COMPUTED_VALUE"""),2.0)</f>
        <v>2</v>
      </c>
      <c r="U261" s="50" t="str">
        <f>IFERROR(__xludf.DUMMYFUNCTION("""COMPUTED_VALUE"""),"A301")</f>
        <v>A301</v>
      </c>
      <c r="V261" s="38" t="str">
        <f>IFERROR(__xludf.DUMMYFUNCTION("""COMPUTED_VALUE"""),"")</f>
        <v/>
      </c>
      <c r="W261" s="45">
        <f>IFERROR(__xludf.DUMMYFUNCTION("""COMPUTED_VALUE"""),304.35910742086145)</f>
        <v>304.3591074</v>
      </c>
      <c r="X261" s="46" t="str">
        <f>IFERROR(__xludf.DUMMYFUNCTION("""COMPUTED_VALUE"""),"AP")</f>
        <v>AP</v>
      </c>
      <c r="Y261" s="47">
        <f>IFERROR(__xludf.DUMMYFUNCTION("""COMPUTED_VALUE"""),6.5711849957374255)</f>
        <v>6.571184996</v>
      </c>
      <c r="Z261" s="48" t="str">
        <f>IFERROR(__xludf.DUMMYFUNCTION("""COMPUTED_VALUE"""),"%")</f>
        <v>%</v>
      </c>
      <c r="AA261" s="49">
        <f>IFERROR(__xludf.DUMMYFUNCTION("""COMPUTED_VALUE"""),3.0)</f>
        <v>3</v>
      </c>
      <c r="AB261" s="50" t="str">
        <f>IFERROR(__xludf.DUMMYFUNCTION("""COMPUTED_VALUE"""),"A304")</f>
        <v>A304</v>
      </c>
      <c r="AC261" s="38" t="str">
        <f>IFERROR(__xludf.DUMMYFUNCTION("""COMPUTED_VALUE"""),"")</f>
        <v/>
      </c>
      <c r="AD261" s="45">
        <f>IFERROR(__xludf.DUMMYFUNCTION("""COMPUTED_VALUE"""),107.40774654335684)</f>
        <v>107.4077465</v>
      </c>
      <c r="AE261" s="46" t="str">
        <f>IFERROR(__xludf.DUMMYFUNCTION("""COMPUTED_VALUE"""),"AP")</f>
        <v>AP</v>
      </c>
      <c r="AF261" s="47">
        <f>IFERROR(__xludf.DUMMYFUNCTION("""COMPUTED_VALUE"""),18.62063086104007)</f>
        <v>18.62063086</v>
      </c>
      <c r="AG261" s="48" t="str">
        <f>IFERROR(__xludf.DUMMYFUNCTION("""COMPUTED_VALUE"""),"%")</f>
        <v>%</v>
      </c>
      <c r="AH261" s="43">
        <f>IFERROR(__xludf.DUMMYFUNCTION("""COMPUTED_VALUE"""),20.0)</f>
        <v>20</v>
      </c>
      <c r="AI261" s="44">
        <f>IFERROR(__xludf.DUMMYFUNCTION("""COMPUTED_VALUE"""),1173.0)</f>
        <v>1173</v>
      </c>
      <c r="AJ261" s="42" t="str">
        <f>IFERROR(__xludf.DUMMYFUNCTION("""COMPUTED_VALUE"""),"WED Berserker Training Ground- Int")</f>
        <v>WED Berserker Training Ground- Int</v>
      </c>
    </row>
    <row r="262" ht="24.75" customHeight="1">
      <c r="A262" s="28">
        <f>IFERROR(__xludf.DUMMYFUNCTION("""COMPUTED_VALUE"""),7.0)</f>
        <v>7</v>
      </c>
      <c r="B262" s="28" t="str">
        <f>IFERROR(__xludf.DUMMYFUNCTION("""COMPUTED_VALUE"""),"A203")</f>
        <v>A203</v>
      </c>
      <c r="C262" s="28" t="str">
        <f>IFERROR(__xludf.DUMMYFUNCTION("""COMPUTED_VALUE"""),"SEP8")</f>
        <v>SEP8</v>
      </c>
      <c r="D262" s="29" t="str">
        <f>IFERROR(__xludf.DUMMYFUNCTION("""COMPUTED_VALUE"""),"Septem")</f>
        <v>Septem</v>
      </c>
      <c r="E262" s="30" t="str">
        <f>IFERROR(__xludf.DUMMYFUNCTION("""COMPUTED_VALUE"""),"Gaul")</f>
        <v>Gaul</v>
      </c>
      <c r="F262" s="31">
        <f>IFERROR(__xludf.DUMMYFUNCTION("""COMPUTED_VALUE"""),9.0)</f>
        <v>9</v>
      </c>
      <c r="G262" s="32">
        <f>IFERROR(__xludf.DUMMYFUNCTION("""COMPUTED_VALUE"""),2916.0)</f>
        <v>2916</v>
      </c>
      <c r="H262" s="33" t="str">
        <f>IFERROR(__xludf.DUMMYFUNCTION("""COMPUTED_VALUE"""),"")</f>
        <v/>
      </c>
      <c r="I262" s="34">
        <f>IFERROR(__xludf.DUMMYFUNCTION("""COMPUTED_VALUE"""),171.03753910323252)</f>
        <v>171.0375391</v>
      </c>
      <c r="J262" s="35" t="str">
        <f>IFERROR(__xludf.DUMMYFUNCTION("""COMPUTED_VALUE"""),"AP")</f>
        <v>AP</v>
      </c>
      <c r="K262" s="34">
        <f>IFERROR(__xludf.DUMMYFUNCTION("""COMPUTED_VALUE"""),5.262002743484225)</f>
        <v>5.262002743</v>
      </c>
      <c r="L262" s="35" t="str">
        <f>IFERROR(__xludf.DUMMYFUNCTION("""COMPUTED_VALUE"""),"%")</f>
        <v>%</v>
      </c>
      <c r="M262" s="36">
        <f>IFERROR(__xludf.DUMMYFUNCTION("""COMPUTED_VALUE"""),1.0)</f>
        <v>1</v>
      </c>
      <c r="N262" s="37" t="str">
        <f>IFERROR(__xludf.DUMMYFUNCTION("""COMPUTED_VALUE"""),"A301")</f>
        <v>A301</v>
      </c>
      <c r="O262" s="38" t="str">
        <f>IFERROR(__xludf.DUMMYFUNCTION("""COMPUTED_VALUE"""),"")</f>
        <v/>
      </c>
      <c r="P262" s="34">
        <f>IFERROR(__xludf.DUMMYFUNCTION("""COMPUTED_VALUE"""),59.12941600576785)</f>
        <v>59.12941601</v>
      </c>
      <c r="Q262" s="35" t="str">
        <f>IFERROR(__xludf.DUMMYFUNCTION("""COMPUTED_VALUE"""),"AP")</f>
        <v>AP</v>
      </c>
      <c r="R262" s="34">
        <f>IFERROR(__xludf.DUMMYFUNCTION("""COMPUTED_VALUE"""),15.220850480109739)</f>
        <v>15.22085048</v>
      </c>
      <c r="S262" s="35" t="str">
        <f>IFERROR(__xludf.DUMMYFUNCTION("""COMPUTED_VALUE"""),"%")</f>
        <v>%</v>
      </c>
      <c r="T262" s="36">
        <f>IFERROR(__xludf.DUMMYFUNCTION("""COMPUTED_VALUE"""),2.0)</f>
        <v>2</v>
      </c>
      <c r="U262" s="37" t="str">
        <f>IFERROR(__xludf.DUMMYFUNCTION("""COMPUTED_VALUE"""),"A304")</f>
        <v>A304</v>
      </c>
      <c r="V262" s="38" t="str">
        <f>IFERROR(__xludf.DUMMYFUNCTION("""COMPUTED_VALUE"""),"")</f>
        <v/>
      </c>
      <c r="W262" s="34">
        <f>IFERROR(__xludf.DUMMYFUNCTION("""COMPUTED_VALUE"""),116.8269230769231)</f>
        <v>116.8269231</v>
      </c>
      <c r="X262" s="35" t="str">
        <f>IFERROR(__xludf.DUMMYFUNCTION("""COMPUTED_VALUE"""),"AP")</f>
        <v>AP</v>
      </c>
      <c r="Y262" s="34">
        <f>IFERROR(__xludf.DUMMYFUNCTION("""COMPUTED_VALUE"""),7.703703703703703)</f>
        <v>7.703703704</v>
      </c>
      <c r="Z262" s="35" t="str">
        <f>IFERROR(__xludf.DUMMYFUNCTION("""COMPUTED_VALUE"""),"%")</f>
        <v>%</v>
      </c>
      <c r="AA262" s="36">
        <f>IFERROR(__xludf.DUMMYFUNCTION("""COMPUTED_VALUE"""),3.0)</f>
        <v>3</v>
      </c>
      <c r="AB262" s="37"/>
      <c r="AC262" s="38"/>
      <c r="AD262" s="34" t="str">
        <f>IFERROR(__xludf.DUMMYFUNCTION("""COMPUTED_VALUE"""),"")</f>
        <v/>
      </c>
      <c r="AE262" s="35" t="str">
        <f>IFERROR(__xludf.DUMMYFUNCTION("""COMPUTED_VALUE"""),"AP")</f>
        <v>AP</v>
      </c>
      <c r="AF262" s="34" t="str">
        <f>IFERROR(__xludf.DUMMYFUNCTION("""COMPUTED_VALUE"""),"")</f>
        <v/>
      </c>
      <c r="AG262" s="35" t="str">
        <f>IFERROR(__xludf.DUMMYFUNCTION("""COMPUTED_VALUE"""),"%")</f>
        <v>%</v>
      </c>
      <c r="AH262" s="31">
        <f>IFERROR(__xludf.DUMMYFUNCTION("""COMPUTED_VALUE"""),9.0)</f>
        <v>9</v>
      </c>
      <c r="AI262" s="32">
        <f>IFERROR(__xludf.DUMMYFUNCTION("""COMPUTED_VALUE"""),2916.0)</f>
        <v>2916</v>
      </c>
      <c r="AJ262" s="30" t="str">
        <f>IFERROR(__xludf.DUMMYFUNCTION("""COMPUTED_VALUE"""),"Gaul")</f>
        <v>Gaul</v>
      </c>
    </row>
    <row r="263" ht="24.75" customHeight="1">
      <c r="A263" s="40">
        <f>IFERROR(__xludf.DUMMYFUNCTION("""COMPUTED_VALUE"""),8.0)</f>
        <v>8</v>
      </c>
      <c r="B263" s="40" t="str">
        <f>IFERROR(__xludf.DUMMYFUNCTION("""COMPUTED_VALUE"""),"A203")</f>
        <v>A203</v>
      </c>
      <c r="C263" s="40" t="str">
        <f>IFERROR(__xludf.DUMMYFUNCTION("""COMPUTED_VALUE"""),"TRF9")</f>
        <v>TRF9</v>
      </c>
      <c r="D263" s="41" t="str">
        <f>IFERROR(__xludf.DUMMYFUNCTION("""COMPUTED_VALUE"""),"Chaldea Gate (Wed)")</f>
        <v>Chaldea Gate (Wed)</v>
      </c>
      <c r="E263" s="42" t="str">
        <f>IFERROR(__xludf.DUMMYFUNCTION("""COMPUTED_VALUE"""),"WED Berserker Training Ground- Nov")</f>
        <v>WED Berserker Training Ground- Nov</v>
      </c>
      <c r="F263" s="43">
        <f>IFERROR(__xludf.DUMMYFUNCTION("""COMPUTED_VALUE"""),10.0)</f>
        <v>10</v>
      </c>
      <c r="G263" s="44">
        <f>IFERROR(__xludf.DUMMYFUNCTION("""COMPUTED_VALUE"""),1331.0)</f>
        <v>1331</v>
      </c>
      <c r="H263" s="33" t="str">
        <f>IFERROR(__xludf.DUMMYFUNCTION("""COMPUTED_VALUE"""),"")</f>
        <v/>
      </c>
      <c r="I263" s="45">
        <f>IFERROR(__xludf.DUMMYFUNCTION("""COMPUTED_VALUE"""),192.8985507246377)</f>
        <v>192.8985507</v>
      </c>
      <c r="J263" s="46" t="str">
        <f>IFERROR(__xludf.DUMMYFUNCTION("""COMPUTED_VALUE"""),"AP")</f>
        <v>AP</v>
      </c>
      <c r="K263" s="47">
        <f>IFERROR(__xludf.DUMMYFUNCTION("""COMPUTED_VALUE"""),5.184072126220887)</f>
        <v>5.184072126</v>
      </c>
      <c r="L263" s="48" t="str">
        <f>IFERROR(__xludf.DUMMYFUNCTION("""COMPUTED_VALUE"""),"%")</f>
        <v>%</v>
      </c>
      <c r="M263" s="49">
        <f>IFERROR(__xludf.DUMMYFUNCTION("""COMPUTED_VALUE"""),1.0)</f>
        <v>1</v>
      </c>
      <c r="N263" s="50" t="str">
        <f>IFERROR(__xludf.DUMMYFUNCTION("""COMPUTED_VALUE"""),"A301")</f>
        <v>A301</v>
      </c>
      <c r="O263" s="38" t="str">
        <f>IFERROR(__xludf.DUMMYFUNCTION("""COMPUTED_VALUE"""),"")</f>
        <v/>
      </c>
      <c r="P263" s="45">
        <f>IFERROR(__xludf.DUMMYFUNCTION("""COMPUTED_VALUE"""),86.42857142857143)</f>
        <v>86.42857143</v>
      </c>
      <c r="Q263" s="46" t="str">
        <f>IFERROR(__xludf.DUMMYFUNCTION("""COMPUTED_VALUE"""),"AP")</f>
        <v>AP</v>
      </c>
      <c r="R263" s="47">
        <f>IFERROR(__xludf.DUMMYFUNCTION("""COMPUTED_VALUE"""),11.570247933884298)</f>
        <v>11.57024793</v>
      </c>
      <c r="S263" s="48" t="str">
        <f>IFERROR(__xludf.DUMMYFUNCTION("""COMPUTED_VALUE"""),"%")</f>
        <v>%</v>
      </c>
      <c r="T263" s="49">
        <f>IFERROR(__xludf.DUMMYFUNCTION("""COMPUTED_VALUE"""),2.0)</f>
        <v>2</v>
      </c>
      <c r="U263" s="50" t="str">
        <f>IFERROR(__xludf.DUMMYFUNCTION("""COMPUTED_VALUE"""),"A304")</f>
        <v>A304</v>
      </c>
      <c r="V263" s="38" t="str">
        <f>IFERROR(__xludf.DUMMYFUNCTION("""COMPUTED_VALUE"""),"")</f>
        <v/>
      </c>
      <c r="W263" s="45">
        <f>IFERROR(__xludf.DUMMYFUNCTION("""COMPUTED_VALUE"""),271.6326530612245)</f>
        <v>271.6326531</v>
      </c>
      <c r="X263" s="46" t="str">
        <f>IFERROR(__xludf.DUMMYFUNCTION("""COMPUTED_VALUE"""),"AP")</f>
        <v>AP</v>
      </c>
      <c r="Y263" s="47">
        <f>IFERROR(__xludf.DUMMYFUNCTION("""COMPUTED_VALUE"""),3.681442524417731)</f>
        <v>3.681442524</v>
      </c>
      <c r="Z263" s="48" t="str">
        <f>IFERROR(__xludf.DUMMYFUNCTION("""COMPUTED_VALUE"""),"%")</f>
        <v>%</v>
      </c>
      <c r="AA263" s="49">
        <f>IFERROR(__xludf.DUMMYFUNCTION("""COMPUTED_VALUE"""),3.0)</f>
        <v>3</v>
      </c>
      <c r="AB263" s="50"/>
      <c r="AC263" s="38"/>
      <c r="AD263" s="45" t="str">
        <f>IFERROR(__xludf.DUMMYFUNCTION("""COMPUTED_VALUE"""),"")</f>
        <v/>
      </c>
      <c r="AE263" s="46" t="str">
        <f>IFERROR(__xludf.DUMMYFUNCTION("""COMPUTED_VALUE"""),"AP")</f>
        <v>AP</v>
      </c>
      <c r="AF263" s="47" t="str">
        <f>IFERROR(__xludf.DUMMYFUNCTION("""COMPUTED_VALUE"""),"")</f>
        <v/>
      </c>
      <c r="AG263" s="48" t="str">
        <f>IFERROR(__xludf.DUMMYFUNCTION("""COMPUTED_VALUE"""),"%")</f>
        <v>%</v>
      </c>
      <c r="AH263" s="43">
        <f>IFERROR(__xludf.DUMMYFUNCTION("""COMPUTED_VALUE"""),10.0)</f>
        <v>10</v>
      </c>
      <c r="AI263" s="44">
        <f>IFERROR(__xludf.DUMMYFUNCTION("""COMPUTED_VALUE"""),1331.0)</f>
        <v>1331</v>
      </c>
      <c r="AJ263" s="42" t="str">
        <f>IFERROR(__xludf.DUMMYFUNCTION("""COMPUTED_VALUE"""),"WED Berserker Training Ground- Nov")</f>
        <v>WED Berserker Training Ground- Nov</v>
      </c>
    </row>
    <row r="264" ht="24.75" customHeight="1">
      <c r="A264" s="28">
        <f>IFERROR(__xludf.DUMMYFUNCTION("""COMPUTED_VALUE"""),9.0)</f>
        <v>9</v>
      </c>
      <c r="B264" s="28" t="str">
        <f>IFERROR(__xludf.DUMMYFUNCTION("""COMPUTED_VALUE"""),"A203")</f>
        <v>A203</v>
      </c>
      <c r="C264" s="28" t="str">
        <f>IFERROR(__xludf.DUMMYFUNCTION("""COMPUTED_VALUE"""),"TRF11")</f>
        <v>TRF11</v>
      </c>
      <c r="D264" s="29" t="str">
        <f>IFERROR(__xludf.DUMMYFUNCTION("""COMPUTED_VALUE"""),"Chaldea Gate (Wed)")</f>
        <v>Chaldea Gate (Wed)</v>
      </c>
      <c r="E264" s="30" t="str">
        <f>IFERROR(__xludf.DUMMYFUNCTION("""COMPUTED_VALUE"""),"WED Berserker Training Ground- Adv")</f>
        <v>WED Berserker Training Ground- Adv</v>
      </c>
      <c r="F264" s="31">
        <f>IFERROR(__xludf.DUMMYFUNCTION("""COMPUTED_VALUE"""),30.0)</f>
        <v>30</v>
      </c>
      <c r="G264" s="32">
        <f>IFERROR(__xludf.DUMMYFUNCTION("""COMPUTED_VALUE"""),1103.0)</f>
        <v>1103</v>
      </c>
      <c r="H264" s="33" t="str">
        <f>IFERROR(__xludf.DUMMYFUNCTION("""COMPUTED_VALUE"""),"")</f>
        <v/>
      </c>
      <c r="I264" s="34">
        <f>IFERROR(__xludf.DUMMYFUNCTION("""COMPUTED_VALUE"""),228.20689655172416)</f>
        <v>228.2068966</v>
      </c>
      <c r="J264" s="35" t="str">
        <f>IFERROR(__xludf.DUMMYFUNCTION("""COMPUTED_VALUE"""),"AP")</f>
        <v>AP</v>
      </c>
      <c r="K264" s="34">
        <f>IFERROR(__xludf.DUMMYFUNCTION("""COMPUTED_VALUE"""),13.14596554850408)</f>
        <v>13.14596555</v>
      </c>
      <c r="L264" s="35" t="str">
        <f>IFERROR(__xludf.DUMMYFUNCTION("""COMPUTED_VALUE"""),"%")</f>
        <v>%</v>
      </c>
      <c r="M264" s="36">
        <f>IFERROR(__xludf.DUMMYFUNCTION("""COMPUTED_VALUE"""),1.0)</f>
        <v>1</v>
      </c>
      <c r="N264" s="37" t="str">
        <f>IFERROR(__xludf.DUMMYFUNCTION("""COMPUTED_VALUE"""),"A101")</f>
        <v>A101</v>
      </c>
      <c r="O264" s="38" t="str">
        <f>IFERROR(__xludf.DUMMYFUNCTION("""COMPUTED_VALUE"""),"")</f>
        <v/>
      </c>
      <c r="P264" s="34">
        <f>IFERROR(__xludf.DUMMYFUNCTION("""COMPUTED_VALUE"""),389.29411764705884)</f>
        <v>389.2941176</v>
      </c>
      <c r="Q264" s="35" t="str">
        <f>IFERROR(__xludf.DUMMYFUNCTION("""COMPUTED_VALUE"""),"AP")</f>
        <v>AP</v>
      </c>
      <c r="R264" s="34">
        <f>IFERROR(__xludf.DUMMYFUNCTION("""COMPUTED_VALUE"""),7.70625566636446)</f>
        <v>7.706255666</v>
      </c>
      <c r="S264" s="35" t="str">
        <f>IFERROR(__xludf.DUMMYFUNCTION("""COMPUTED_VALUE"""),"%")</f>
        <v>%</v>
      </c>
      <c r="T264" s="36">
        <f>IFERROR(__xludf.DUMMYFUNCTION("""COMPUTED_VALUE"""),2.0)</f>
        <v>2</v>
      </c>
      <c r="U264" s="37" t="str">
        <f>IFERROR(__xludf.DUMMYFUNCTION("""COMPUTED_VALUE"""),"A301")</f>
        <v>A301</v>
      </c>
      <c r="V264" s="38" t="str">
        <f>IFERROR(__xludf.DUMMYFUNCTION("""COMPUTED_VALUE"""),"")</f>
        <v/>
      </c>
      <c r="W264" s="34">
        <f>IFERROR(__xludf.DUMMYFUNCTION("""COMPUTED_VALUE"""),213.48387096774195)</f>
        <v>213.483871</v>
      </c>
      <c r="X264" s="35" t="str">
        <f>IFERROR(__xludf.DUMMYFUNCTION("""COMPUTED_VALUE"""),"AP")</f>
        <v>AP</v>
      </c>
      <c r="Y264" s="34">
        <f>IFERROR(__xludf.DUMMYFUNCTION("""COMPUTED_VALUE"""),14.052583862194016)</f>
        <v>14.05258386</v>
      </c>
      <c r="Z264" s="35" t="str">
        <f>IFERROR(__xludf.DUMMYFUNCTION("""COMPUTED_VALUE"""),"%")</f>
        <v>%</v>
      </c>
      <c r="AA264" s="36">
        <f>IFERROR(__xludf.DUMMYFUNCTION("""COMPUTED_VALUE"""),3.0)</f>
        <v>3</v>
      </c>
      <c r="AB264" s="37" t="str">
        <f>IFERROR(__xludf.DUMMYFUNCTION("""COMPUTED_VALUE"""),"A304")</f>
        <v>A304</v>
      </c>
      <c r="AC264" s="38" t="str">
        <f>IFERROR(__xludf.DUMMYFUNCTION("""COMPUTED_VALUE"""),"")</f>
        <v/>
      </c>
      <c r="AD264" s="34">
        <f>IFERROR(__xludf.DUMMYFUNCTION("""COMPUTED_VALUE"""),149.05405405405406)</f>
        <v>149.0540541</v>
      </c>
      <c r="AE264" s="35" t="str">
        <f>IFERROR(__xludf.DUMMYFUNCTION("""COMPUTED_VALUE"""),"AP")</f>
        <v>AP</v>
      </c>
      <c r="AF264" s="34">
        <f>IFERROR(__xludf.DUMMYFUNCTION("""COMPUTED_VALUE"""),20.12692656391659)</f>
        <v>20.12692656</v>
      </c>
      <c r="AG264" s="35" t="str">
        <f>IFERROR(__xludf.DUMMYFUNCTION("""COMPUTED_VALUE"""),"%")</f>
        <v>%</v>
      </c>
      <c r="AH264" s="31">
        <f>IFERROR(__xludf.DUMMYFUNCTION("""COMPUTED_VALUE"""),30.0)</f>
        <v>30</v>
      </c>
      <c r="AI264" s="32">
        <f>IFERROR(__xludf.DUMMYFUNCTION("""COMPUTED_VALUE"""),1103.0)</f>
        <v>1103</v>
      </c>
      <c r="AJ264" s="30" t="str">
        <f>IFERROR(__xludf.DUMMYFUNCTION("""COMPUTED_VALUE"""),"WED Berserker Training Ground- Adv")</f>
        <v>WED Berserker Training Ground- Adv</v>
      </c>
    </row>
    <row r="265" ht="24.75" customHeight="1">
      <c r="A265" s="40">
        <f>IFERROR(__xludf.DUMMYFUNCTION("""COMPUTED_VALUE"""),10.0)</f>
        <v>10</v>
      </c>
      <c r="B265" s="40" t="str">
        <f>IFERROR(__xludf.DUMMYFUNCTION("""COMPUTED_VALUE"""),"A203")</f>
        <v>A203</v>
      </c>
      <c r="C265" s="40" t="str">
        <f>IFERROR(__xludf.DUMMYFUNCTION("""COMPUTED_VALUE"""),"TRF12")</f>
        <v>TRF12</v>
      </c>
      <c r="D265" s="41" t="str">
        <f>IFERROR(__xludf.DUMMYFUNCTION("""COMPUTED_VALUE"""),"Chaldea Gate (Wed)")</f>
        <v>Chaldea Gate (Wed)</v>
      </c>
      <c r="E265" s="42" t="str">
        <f>IFERROR(__xludf.DUMMYFUNCTION("""COMPUTED_VALUE"""),"WED Berserker Training Ground- Exp")</f>
        <v>WED Berserker Training Ground- Exp</v>
      </c>
      <c r="F265" s="43">
        <f>IFERROR(__xludf.DUMMYFUNCTION("""COMPUTED_VALUE"""),40.0)</f>
        <v>40</v>
      </c>
      <c r="G265" s="44">
        <f>IFERROR(__xludf.DUMMYFUNCTION("""COMPUTED_VALUE"""),3737.0)</f>
        <v>3737</v>
      </c>
      <c r="H265" s="33" t="str">
        <f>IFERROR(__xludf.DUMMYFUNCTION("""COMPUTED_VALUE"""),"")</f>
        <v/>
      </c>
      <c r="I265" s="45">
        <f>IFERROR(__xludf.DUMMYFUNCTION("""COMPUTED_VALUE"""),252.6002720674592)</f>
        <v>252.6002721</v>
      </c>
      <c r="J265" s="46" t="str">
        <f>IFERROR(__xludf.DUMMYFUNCTION("""COMPUTED_VALUE"""),"AP")</f>
        <v>AP</v>
      </c>
      <c r="K265" s="47">
        <f>IFERROR(__xludf.DUMMYFUNCTION("""COMPUTED_VALUE"""),15.835295691731336)</f>
        <v>15.83529569</v>
      </c>
      <c r="L265" s="48" t="str">
        <f>IFERROR(__xludf.DUMMYFUNCTION("""COMPUTED_VALUE"""),"%")</f>
        <v>%</v>
      </c>
      <c r="M265" s="49">
        <f>IFERROR(__xludf.DUMMYFUNCTION("""COMPUTED_VALUE"""),1.0)</f>
        <v>1</v>
      </c>
      <c r="N265" s="50" t="str">
        <f>IFERROR(__xludf.DUMMYFUNCTION("""COMPUTED_VALUE"""),"A101")</f>
        <v>A101</v>
      </c>
      <c r="O265" s="38" t="str">
        <f>IFERROR(__xludf.DUMMYFUNCTION("""COMPUTED_VALUE"""),"")</f>
        <v/>
      </c>
      <c r="P265" s="45">
        <f>IFERROR(__xludf.DUMMYFUNCTION("""COMPUTED_VALUE"""),491.8885122906316)</f>
        <v>491.8885123</v>
      </c>
      <c r="Q265" s="46" t="str">
        <f>IFERROR(__xludf.DUMMYFUNCTION("""COMPUTED_VALUE"""),"AP")</f>
        <v>AP</v>
      </c>
      <c r="R265" s="47">
        <f>IFERROR(__xludf.DUMMYFUNCTION("""COMPUTED_VALUE"""),8.13192400321113)</f>
        <v>8.131924003</v>
      </c>
      <c r="S265" s="48" t="str">
        <f>IFERROR(__xludf.DUMMYFUNCTION("""COMPUTED_VALUE"""),"%")</f>
        <v>%</v>
      </c>
      <c r="T265" s="49">
        <f>IFERROR(__xludf.DUMMYFUNCTION("""COMPUTED_VALUE"""),2.0)</f>
        <v>2</v>
      </c>
      <c r="U265" s="50" t="str">
        <f>IFERROR(__xludf.DUMMYFUNCTION("""COMPUTED_VALUE"""),"A301")</f>
        <v>A301</v>
      </c>
      <c r="V265" s="38" t="str">
        <f>IFERROR(__xludf.DUMMYFUNCTION("""COMPUTED_VALUE"""),"")</f>
        <v/>
      </c>
      <c r="W265" s="45">
        <f>IFERROR(__xludf.DUMMYFUNCTION("""COMPUTED_VALUE"""),174.17445410267763)</f>
        <v>174.1744541</v>
      </c>
      <c r="X265" s="46" t="str">
        <f>IFERROR(__xludf.DUMMYFUNCTION("""COMPUTED_VALUE"""),"AP")</f>
        <v>AP</v>
      </c>
      <c r="Y265" s="47">
        <f>IFERROR(__xludf.DUMMYFUNCTION("""COMPUTED_VALUE"""),22.965480331816966)</f>
        <v>22.96548033</v>
      </c>
      <c r="Z265" s="48" t="str">
        <f>IFERROR(__xludf.DUMMYFUNCTION("""COMPUTED_VALUE"""),"%")</f>
        <v>%</v>
      </c>
      <c r="AA265" s="49">
        <f>IFERROR(__xludf.DUMMYFUNCTION("""COMPUTED_VALUE"""),3.0)</f>
        <v>3</v>
      </c>
      <c r="AB265" s="50" t="str">
        <f>IFERROR(__xludf.DUMMYFUNCTION("""COMPUTED_VALUE"""),"A304")</f>
        <v>A304</v>
      </c>
      <c r="AC265" s="38" t="str">
        <f>IFERROR(__xludf.DUMMYFUNCTION("""COMPUTED_VALUE"""),"")</f>
        <v/>
      </c>
      <c r="AD265" s="45">
        <f>IFERROR(__xludf.DUMMYFUNCTION("""COMPUTED_VALUE"""),170.93293843875608)</f>
        <v>170.9329384</v>
      </c>
      <c r="AE265" s="46" t="str">
        <f>IFERROR(__xludf.DUMMYFUNCTION("""COMPUTED_VALUE"""),"AP")</f>
        <v>AP</v>
      </c>
      <c r="AF265" s="47">
        <f>IFERROR(__xludf.DUMMYFUNCTION("""COMPUTED_VALUE"""),23.400990099009903)</f>
        <v>23.4009901</v>
      </c>
      <c r="AG265" s="48" t="str">
        <f>IFERROR(__xludf.DUMMYFUNCTION("""COMPUTED_VALUE"""),"%")</f>
        <v>%</v>
      </c>
      <c r="AH265" s="43">
        <f>IFERROR(__xludf.DUMMYFUNCTION("""COMPUTED_VALUE"""),40.0)</f>
        <v>40</v>
      </c>
      <c r="AI265" s="44">
        <f>IFERROR(__xludf.DUMMYFUNCTION("""COMPUTED_VALUE"""),3737.0)</f>
        <v>3737</v>
      </c>
      <c r="AJ265" s="42" t="str">
        <f>IFERROR(__xludf.DUMMYFUNCTION("""COMPUTED_VALUE"""),"WED Berserker Training Ground- Exp")</f>
        <v>WED Berserker Training Ground- Exp</v>
      </c>
    </row>
    <row r="266" ht="24.75" customHeight="1">
      <c r="A266" s="28">
        <f>IFERROR(__xludf.DUMMYFUNCTION("""COMPUTED_VALUE"""),11.0)</f>
        <v>11</v>
      </c>
      <c r="B266" s="28" t="str">
        <f>IFERROR(__xludf.DUMMYFUNCTION("""COMPUTED_VALUE"""),"A203")</f>
        <v>A203</v>
      </c>
      <c r="C266" s="28" t="str">
        <f>IFERROR(__xludf.DUMMYFUNCTION("""COMPUTED_VALUE"""),"SEP11")</f>
        <v>SEP11</v>
      </c>
      <c r="D266" s="29" t="str">
        <f>IFERROR(__xludf.DUMMYFUNCTION("""COMPUTED_VALUE"""),"Septem")</f>
        <v>Septem</v>
      </c>
      <c r="E266" s="30" t="str">
        <f>IFERROR(__xludf.DUMMYFUNCTION("""COMPUTED_VALUE"""),"Alliance Capital")</f>
        <v>Alliance Capital</v>
      </c>
      <c r="F266" s="31">
        <f>IFERROR(__xludf.DUMMYFUNCTION("""COMPUTED_VALUE"""),10.0)</f>
        <v>10</v>
      </c>
      <c r="G266" s="32">
        <f>IFERROR(__xludf.DUMMYFUNCTION("""COMPUTED_VALUE"""),1380.0)</f>
        <v>1380</v>
      </c>
      <c r="H266" s="33" t="str">
        <f>IFERROR(__xludf.DUMMYFUNCTION("""COMPUTED_VALUE"""),"")</f>
        <v/>
      </c>
      <c r="I266" s="34">
        <f>IFERROR(__xludf.DUMMYFUNCTION("""COMPUTED_VALUE"""),413.4831460674157)</f>
        <v>413.4831461</v>
      </c>
      <c r="J266" s="35" t="str">
        <f>IFERROR(__xludf.DUMMYFUNCTION("""COMPUTED_VALUE"""),"AP")</f>
        <v>AP</v>
      </c>
      <c r="K266" s="34">
        <f>IFERROR(__xludf.DUMMYFUNCTION("""COMPUTED_VALUE"""),2.4184782608695654)</f>
        <v>2.418478261</v>
      </c>
      <c r="L266" s="35" t="str">
        <f>IFERROR(__xludf.DUMMYFUNCTION("""COMPUTED_VALUE"""),"%")</f>
        <v>%</v>
      </c>
      <c r="M266" s="36">
        <f>IFERROR(__xludf.DUMMYFUNCTION("""COMPUTED_VALUE"""),1.0)</f>
        <v>1</v>
      </c>
      <c r="N266" s="37" t="str">
        <f>IFERROR(__xludf.DUMMYFUNCTION("""COMPUTED_VALUE"""),"A301")</f>
        <v>A301</v>
      </c>
      <c r="O266" s="38" t="str">
        <f>IFERROR(__xludf.DUMMYFUNCTION("""COMPUTED_VALUE"""),"")</f>
        <v/>
      </c>
      <c r="P266" s="34">
        <f>IFERROR(__xludf.DUMMYFUNCTION("""COMPUTED_VALUE"""),57.27788279773156)</f>
        <v>57.2778828</v>
      </c>
      <c r="Q266" s="35" t="str">
        <f>IFERROR(__xludf.DUMMYFUNCTION("""COMPUTED_VALUE"""),"AP")</f>
        <v>AP</v>
      </c>
      <c r="R266" s="34">
        <f>IFERROR(__xludf.DUMMYFUNCTION("""COMPUTED_VALUE"""),17.45874587458746)</f>
        <v>17.45874587</v>
      </c>
      <c r="S266" s="35" t="str">
        <f>IFERROR(__xludf.DUMMYFUNCTION("""COMPUTED_VALUE"""),"%")</f>
        <v>%</v>
      </c>
      <c r="T266" s="36">
        <f>IFERROR(__xludf.DUMMYFUNCTION("""COMPUTED_VALUE"""),2.0)</f>
        <v>2</v>
      </c>
      <c r="U266" s="37" t="str">
        <f>IFERROR(__xludf.DUMMYFUNCTION("""COMPUTED_VALUE"""),"A304")</f>
        <v>A304</v>
      </c>
      <c r="V266" s="38" t="str">
        <f>IFERROR(__xludf.DUMMYFUNCTION("""COMPUTED_VALUE"""),"")</f>
        <v/>
      </c>
      <c r="W266" s="34">
        <f>IFERROR(__xludf.DUMMYFUNCTION("""COMPUTED_VALUE"""),124.40033380488478)</f>
        <v>124.4003338</v>
      </c>
      <c r="X266" s="35" t="str">
        <f>IFERROR(__xludf.DUMMYFUNCTION("""COMPUTED_VALUE"""),"AP")</f>
        <v>AP</v>
      </c>
      <c r="Y266" s="34">
        <f>IFERROR(__xludf.DUMMYFUNCTION("""COMPUTED_VALUE"""),8.038563638972594)</f>
        <v>8.038563639</v>
      </c>
      <c r="Z266" s="35" t="str">
        <f>IFERROR(__xludf.DUMMYFUNCTION("""COMPUTED_VALUE"""),"%")</f>
        <v>%</v>
      </c>
      <c r="AA266" s="36">
        <f>IFERROR(__xludf.DUMMYFUNCTION("""COMPUTED_VALUE"""),3.0)</f>
        <v>3</v>
      </c>
      <c r="AB266" s="37"/>
      <c r="AC266" s="38"/>
      <c r="AD266" s="34" t="str">
        <f>IFERROR(__xludf.DUMMYFUNCTION("""COMPUTED_VALUE"""),"")</f>
        <v/>
      </c>
      <c r="AE266" s="35" t="str">
        <f>IFERROR(__xludf.DUMMYFUNCTION("""COMPUTED_VALUE"""),"AP")</f>
        <v>AP</v>
      </c>
      <c r="AF266" s="34" t="str">
        <f>IFERROR(__xludf.DUMMYFUNCTION("""COMPUTED_VALUE"""),"")</f>
        <v/>
      </c>
      <c r="AG266" s="35" t="str">
        <f>IFERROR(__xludf.DUMMYFUNCTION("""COMPUTED_VALUE"""),"%")</f>
        <v>%</v>
      </c>
      <c r="AH266" s="31">
        <f>IFERROR(__xludf.DUMMYFUNCTION("""COMPUTED_VALUE"""),10.0)</f>
        <v>10</v>
      </c>
      <c r="AI266" s="32">
        <f>IFERROR(__xludf.DUMMYFUNCTION("""COMPUTED_VALUE"""),1380.0)</f>
        <v>1380</v>
      </c>
      <c r="AJ266" s="30" t="str">
        <f>IFERROR(__xludf.DUMMYFUNCTION("""COMPUTED_VALUE"""),"Alliance Capital")</f>
        <v>Alliance Capital</v>
      </c>
    </row>
    <row r="267" ht="24.75" customHeight="1">
      <c r="A267" s="40">
        <f>IFERROR(__xludf.DUMMYFUNCTION("""COMPUTED_VALUE"""),12.0)</f>
        <v>12</v>
      </c>
      <c r="B267" s="40" t="str">
        <f>IFERROR(__xludf.DUMMYFUNCTION("""COMPUTED_VALUE"""),"A203")</f>
        <v>A203</v>
      </c>
      <c r="C267" s="40"/>
      <c r="D267" s="41"/>
      <c r="E267" s="66"/>
      <c r="F267" s="43"/>
      <c r="G267" s="44"/>
      <c r="H267" s="33" t="str">
        <f>IFERROR(__xludf.DUMMYFUNCTION("""COMPUTED_VALUE""")," ")</f>
        <v> </v>
      </c>
      <c r="I267" s="45"/>
      <c r="J267" s="46" t="str">
        <f>IFERROR(__xludf.DUMMYFUNCTION("""COMPUTED_VALUE"""),"AP")</f>
        <v>AP</v>
      </c>
      <c r="K267" s="47"/>
      <c r="L267" s="48" t="str">
        <f>IFERROR(__xludf.DUMMYFUNCTION("""COMPUTED_VALUE"""),"%")</f>
        <v>%</v>
      </c>
      <c r="M267" s="49">
        <f>IFERROR(__xludf.DUMMYFUNCTION("""COMPUTED_VALUE"""),1.0)</f>
        <v>1</v>
      </c>
      <c r="N267" s="50"/>
      <c r="O267" s="38"/>
      <c r="P267" s="45" t="str">
        <f>IFERROR(__xludf.DUMMYFUNCTION("""COMPUTED_VALUE"""),"")</f>
        <v/>
      </c>
      <c r="Q267" s="46" t="str">
        <f>IFERROR(__xludf.DUMMYFUNCTION("""COMPUTED_VALUE"""),"AP")</f>
        <v>AP</v>
      </c>
      <c r="R267" s="47" t="str">
        <f>IFERROR(__xludf.DUMMYFUNCTION("""COMPUTED_VALUE"""),"")</f>
        <v/>
      </c>
      <c r="S267" s="48" t="str">
        <f>IFERROR(__xludf.DUMMYFUNCTION("""COMPUTED_VALUE"""),"%")</f>
        <v>%</v>
      </c>
      <c r="T267" s="49">
        <f>IFERROR(__xludf.DUMMYFUNCTION("""COMPUTED_VALUE"""),2.0)</f>
        <v>2</v>
      </c>
      <c r="U267" s="50"/>
      <c r="V267" s="38"/>
      <c r="W267" s="45" t="str">
        <f>IFERROR(__xludf.DUMMYFUNCTION("""COMPUTED_VALUE"""),"")</f>
        <v/>
      </c>
      <c r="X267" s="46" t="str">
        <f>IFERROR(__xludf.DUMMYFUNCTION("""COMPUTED_VALUE"""),"AP")</f>
        <v>AP</v>
      </c>
      <c r="Y267" s="47" t="str">
        <f>IFERROR(__xludf.DUMMYFUNCTION("""COMPUTED_VALUE"""),"")</f>
        <v/>
      </c>
      <c r="Z267" s="48" t="str">
        <f>IFERROR(__xludf.DUMMYFUNCTION("""COMPUTED_VALUE"""),"%")</f>
        <v>%</v>
      </c>
      <c r="AA267" s="49">
        <f>IFERROR(__xludf.DUMMYFUNCTION("""COMPUTED_VALUE"""),3.0)</f>
        <v>3</v>
      </c>
      <c r="AB267" s="50"/>
      <c r="AC267" s="38"/>
      <c r="AD267" s="45" t="str">
        <f>IFERROR(__xludf.DUMMYFUNCTION("""COMPUTED_VALUE"""),"")</f>
        <v/>
      </c>
      <c r="AE267" s="46" t="str">
        <f>IFERROR(__xludf.DUMMYFUNCTION("""COMPUTED_VALUE"""),"AP")</f>
        <v>AP</v>
      </c>
      <c r="AF267" s="47" t="str">
        <f>IFERROR(__xludf.DUMMYFUNCTION("""COMPUTED_VALUE"""),"")</f>
        <v/>
      </c>
      <c r="AG267" s="48" t="str">
        <f>IFERROR(__xludf.DUMMYFUNCTION("""COMPUTED_VALUE"""),"%")</f>
        <v>%</v>
      </c>
      <c r="AH267" s="43"/>
      <c r="AI267" s="44"/>
      <c r="AJ267" s="66"/>
    </row>
    <row r="268" ht="24.75" hidden="1" customHeight="1">
      <c r="A268" s="28">
        <f>IFERROR(__xludf.DUMMYFUNCTION("""COMPUTED_VALUE"""),13.0)</f>
        <v>13</v>
      </c>
      <c r="B268" s="28" t="str">
        <f>IFERROR(__xludf.DUMMYFUNCTION("""COMPUTED_VALUE"""),"A203")</f>
        <v>A203</v>
      </c>
      <c r="C268" s="28"/>
      <c r="D268" s="29"/>
      <c r="E268" s="67"/>
      <c r="F268" s="31"/>
      <c r="G268" s="32"/>
      <c r="H268" s="33" t="str">
        <f>IFERROR(__xludf.DUMMYFUNCTION("""COMPUTED_VALUE""")," ")</f>
        <v> </v>
      </c>
      <c r="I268" s="34"/>
      <c r="J268" s="35" t="str">
        <f>IFERROR(__xludf.DUMMYFUNCTION("""COMPUTED_VALUE"""),"AP")</f>
        <v>AP</v>
      </c>
      <c r="K268" s="34"/>
      <c r="L268" s="35" t="str">
        <f>IFERROR(__xludf.DUMMYFUNCTION("""COMPUTED_VALUE"""),"%")</f>
        <v>%</v>
      </c>
      <c r="M268" s="36">
        <f>IFERROR(__xludf.DUMMYFUNCTION("""COMPUTED_VALUE"""),1.0)</f>
        <v>1</v>
      </c>
      <c r="N268" s="37"/>
      <c r="O268" s="38"/>
      <c r="P268" s="34" t="str">
        <f>IFERROR(__xludf.DUMMYFUNCTION("""COMPUTED_VALUE"""),"")</f>
        <v/>
      </c>
      <c r="Q268" s="35" t="str">
        <f>IFERROR(__xludf.DUMMYFUNCTION("""COMPUTED_VALUE"""),"AP")</f>
        <v>AP</v>
      </c>
      <c r="R268" s="34" t="str">
        <f>IFERROR(__xludf.DUMMYFUNCTION("""COMPUTED_VALUE"""),"")</f>
        <v/>
      </c>
      <c r="S268" s="35" t="str">
        <f>IFERROR(__xludf.DUMMYFUNCTION("""COMPUTED_VALUE"""),"%")</f>
        <v>%</v>
      </c>
      <c r="T268" s="36">
        <f>IFERROR(__xludf.DUMMYFUNCTION("""COMPUTED_VALUE"""),2.0)</f>
        <v>2</v>
      </c>
      <c r="U268" s="37"/>
      <c r="V268" s="38"/>
      <c r="W268" s="34" t="str">
        <f>IFERROR(__xludf.DUMMYFUNCTION("""COMPUTED_VALUE"""),"")</f>
        <v/>
      </c>
      <c r="X268" s="35" t="str">
        <f>IFERROR(__xludf.DUMMYFUNCTION("""COMPUTED_VALUE"""),"AP")</f>
        <v>AP</v>
      </c>
      <c r="Y268" s="34" t="str">
        <f>IFERROR(__xludf.DUMMYFUNCTION("""COMPUTED_VALUE"""),"")</f>
        <v/>
      </c>
      <c r="Z268" s="35" t="str">
        <f>IFERROR(__xludf.DUMMYFUNCTION("""COMPUTED_VALUE"""),"%")</f>
        <v>%</v>
      </c>
      <c r="AA268" s="36">
        <f>IFERROR(__xludf.DUMMYFUNCTION("""COMPUTED_VALUE"""),3.0)</f>
        <v>3</v>
      </c>
      <c r="AB268" s="37"/>
      <c r="AC268" s="38"/>
      <c r="AD268" s="34" t="str">
        <f>IFERROR(__xludf.DUMMYFUNCTION("""COMPUTED_VALUE"""),"")</f>
        <v/>
      </c>
      <c r="AE268" s="35" t="str">
        <f>IFERROR(__xludf.DUMMYFUNCTION("""COMPUTED_VALUE"""),"AP")</f>
        <v>AP</v>
      </c>
      <c r="AF268" s="34" t="str">
        <f>IFERROR(__xludf.DUMMYFUNCTION("""COMPUTED_VALUE"""),"")</f>
        <v/>
      </c>
      <c r="AG268" s="35" t="str">
        <f>IFERROR(__xludf.DUMMYFUNCTION("""COMPUTED_VALUE"""),"%")</f>
        <v>%</v>
      </c>
      <c r="AH268" s="31"/>
      <c r="AI268" s="32"/>
      <c r="AJ268" s="67"/>
    </row>
    <row r="269" ht="24.75" hidden="1" customHeight="1">
      <c r="A269" s="40">
        <f>IFERROR(__xludf.DUMMYFUNCTION("""COMPUTED_VALUE"""),14.0)</f>
        <v>14</v>
      </c>
      <c r="B269" s="40" t="str">
        <f>IFERROR(__xludf.DUMMYFUNCTION("""COMPUTED_VALUE"""),"A203")</f>
        <v>A203</v>
      </c>
      <c r="C269" s="40"/>
      <c r="D269" s="41"/>
      <c r="E269" s="66"/>
      <c r="F269" s="43"/>
      <c r="G269" s="44"/>
      <c r="H269" s="33" t="str">
        <f>IFERROR(__xludf.DUMMYFUNCTION("""COMPUTED_VALUE""")," ")</f>
        <v> </v>
      </c>
      <c r="I269" s="45"/>
      <c r="J269" s="46" t="str">
        <f>IFERROR(__xludf.DUMMYFUNCTION("""COMPUTED_VALUE"""),"AP")</f>
        <v>AP</v>
      </c>
      <c r="K269" s="47"/>
      <c r="L269" s="48" t="str">
        <f>IFERROR(__xludf.DUMMYFUNCTION("""COMPUTED_VALUE"""),"%")</f>
        <v>%</v>
      </c>
      <c r="M269" s="49">
        <f>IFERROR(__xludf.DUMMYFUNCTION("""COMPUTED_VALUE"""),1.0)</f>
        <v>1</v>
      </c>
      <c r="N269" s="50"/>
      <c r="O269" s="38"/>
      <c r="P269" s="45" t="str">
        <f>IFERROR(__xludf.DUMMYFUNCTION("""COMPUTED_VALUE"""),"")</f>
        <v/>
      </c>
      <c r="Q269" s="46" t="str">
        <f>IFERROR(__xludf.DUMMYFUNCTION("""COMPUTED_VALUE"""),"AP")</f>
        <v>AP</v>
      </c>
      <c r="R269" s="47" t="str">
        <f>IFERROR(__xludf.DUMMYFUNCTION("""COMPUTED_VALUE"""),"")</f>
        <v/>
      </c>
      <c r="S269" s="48" t="str">
        <f>IFERROR(__xludf.DUMMYFUNCTION("""COMPUTED_VALUE"""),"%")</f>
        <v>%</v>
      </c>
      <c r="T269" s="49">
        <f>IFERROR(__xludf.DUMMYFUNCTION("""COMPUTED_VALUE"""),2.0)</f>
        <v>2</v>
      </c>
      <c r="U269" s="50"/>
      <c r="V269" s="38"/>
      <c r="W269" s="45" t="str">
        <f>IFERROR(__xludf.DUMMYFUNCTION("""COMPUTED_VALUE"""),"")</f>
        <v/>
      </c>
      <c r="X269" s="46" t="str">
        <f>IFERROR(__xludf.DUMMYFUNCTION("""COMPUTED_VALUE"""),"AP")</f>
        <v>AP</v>
      </c>
      <c r="Y269" s="47" t="str">
        <f>IFERROR(__xludf.DUMMYFUNCTION("""COMPUTED_VALUE"""),"")</f>
        <v/>
      </c>
      <c r="Z269" s="48" t="str">
        <f>IFERROR(__xludf.DUMMYFUNCTION("""COMPUTED_VALUE"""),"%")</f>
        <v>%</v>
      </c>
      <c r="AA269" s="49">
        <f>IFERROR(__xludf.DUMMYFUNCTION("""COMPUTED_VALUE"""),3.0)</f>
        <v>3</v>
      </c>
      <c r="AB269" s="50"/>
      <c r="AC269" s="38"/>
      <c r="AD269" s="45" t="str">
        <f>IFERROR(__xludf.DUMMYFUNCTION("""COMPUTED_VALUE"""),"")</f>
        <v/>
      </c>
      <c r="AE269" s="46" t="str">
        <f>IFERROR(__xludf.DUMMYFUNCTION("""COMPUTED_VALUE"""),"AP")</f>
        <v>AP</v>
      </c>
      <c r="AF269" s="47" t="str">
        <f>IFERROR(__xludf.DUMMYFUNCTION("""COMPUTED_VALUE"""),"")</f>
        <v/>
      </c>
      <c r="AG269" s="48" t="str">
        <f>IFERROR(__xludf.DUMMYFUNCTION("""COMPUTED_VALUE"""),"%")</f>
        <v>%</v>
      </c>
      <c r="AH269" s="43"/>
      <c r="AI269" s="44"/>
      <c r="AJ269" s="66"/>
    </row>
    <row r="270" ht="24.75" hidden="1" customHeight="1">
      <c r="A270" s="28">
        <f>IFERROR(__xludf.DUMMYFUNCTION("""COMPUTED_VALUE"""),15.0)</f>
        <v>15</v>
      </c>
      <c r="B270" s="28" t="str">
        <f>IFERROR(__xludf.DUMMYFUNCTION("""COMPUTED_VALUE"""),"A203")</f>
        <v>A203</v>
      </c>
      <c r="C270" s="28"/>
      <c r="D270" s="29"/>
      <c r="E270" s="67"/>
      <c r="F270" s="31"/>
      <c r="G270" s="32"/>
      <c r="H270" s="33" t="str">
        <f>IFERROR(__xludf.DUMMYFUNCTION("""COMPUTED_VALUE""")," ")</f>
        <v> </v>
      </c>
      <c r="I270" s="34"/>
      <c r="J270" s="35" t="str">
        <f>IFERROR(__xludf.DUMMYFUNCTION("""COMPUTED_VALUE"""),"AP")</f>
        <v>AP</v>
      </c>
      <c r="K270" s="34"/>
      <c r="L270" s="35" t="str">
        <f>IFERROR(__xludf.DUMMYFUNCTION("""COMPUTED_VALUE"""),"%")</f>
        <v>%</v>
      </c>
      <c r="M270" s="36">
        <f>IFERROR(__xludf.DUMMYFUNCTION("""COMPUTED_VALUE"""),1.0)</f>
        <v>1</v>
      </c>
      <c r="N270" s="37"/>
      <c r="O270" s="38"/>
      <c r="P270" s="34" t="str">
        <f>IFERROR(__xludf.DUMMYFUNCTION("""COMPUTED_VALUE"""),"")</f>
        <v/>
      </c>
      <c r="Q270" s="35" t="str">
        <f>IFERROR(__xludf.DUMMYFUNCTION("""COMPUTED_VALUE"""),"AP")</f>
        <v>AP</v>
      </c>
      <c r="R270" s="34" t="str">
        <f>IFERROR(__xludf.DUMMYFUNCTION("""COMPUTED_VALUE"""),"")</f>
        <v/>
      </c>
      <c r="S270" s="35" t="str">
        <f>IFERROR(__xludf.DUMMYFUNCTION("""COMPUTED_VALUE"""),"%")</f>
        <v>%</v>
      </c>
      <c r="T270" s="36">
        <f>IFERROR(__xludf.DUMMYFUNCTION("""COMPUTED_VALUE"""),2.0)</f>
        <v>2</v>
      </c>
      <c r="U270" s="37"/>
      <c r="V270" s="38"/>
      <c r="W270" s="34" t="str">
        <f>IFERROR(__xludf.DUMMYFUNCTION("""COMPUTED_VALUE"""),"")</f>
        <v/>
      </c>
      <c r="X270" s="35" t="str">
        <f>IFERROR(__xludf.DUMMYFUNCTION("""COMPUTED_VALUE"""),"AP")</f>
        <v>AP</v>
      </c>
      <c r="Y270" s="34" t="str">
        <f>IFERROR(__xludf.DUMMYFUNCTION("""COMPUTED_VALUE"""),"")</f>
        <v/>
      </c>
      <c r="Z270" s="35" t="str">
        <f>IFERROR(__xludf.DUMMYFUNCTION("""COMPUTED_VALUE"""),"%")</f>
        <v>%</v>
      </c>
      <c r="AA270" s="36">
        <f>IFERROR(__xludf.DUMMYFUNCTION("""COMPUTED_VALUE"""),3.0)</f>
        <v>3</v>
      </c>
      <c r="AB270" s="37"/>
      <c r="AC270" s="38"/>
      <c r="AD270" s="34" t="str">
        <f>IFERROR(__xludf.DUMMYFUNCTION("""COMPUTED_VALUE"""),"")</f>
        <v/>
      </c>
      <c r="AE270" s="35" t="str">
        <f>IFERROR(__xludf.DUMMYFUNCTION("""COMPUTED_VALUE"""),"AP")</f>
        <v>AP</v>
      </c>
      <c r="AF270" s="34" t="str">
        <f>IFERROR(__xludf.DUMMYFUNCTION("""COMPUTED_VALUE"""),"")</f>
        <v/>
      </c>
      <c r="AG270" s="35" t="str">
        <f>IFERROR(__xludf.DUMMYFUNCTION("""COMPUTED_VALUE"""),"%")</f>
        <v>%</v>
      </c>
      <c r="AH270" s="31"/>
      <c r="AI270" s="32"/>
      <c r="AJ270" s="67"/>
    </row>
    <row r="271" ht="24.75" hidden="1" customHeight="1">
      <c r="A271" s="40">
        <f>IFERROR(__xludf.DUMMYFUNCTION("""COMPUTED_VALUE"""),16.0)</f>
        <v>16</v>
      </c>
      <c r="B271" s="40" t="str">
        <f>IFERROR(__xludf.DUMMYFUNCTION("""COMPUTED_VALUE"""),"A203")</f>
        <v>A203</v>
      </c>
      <c r="C271" s="40"/>
      <c r="D271" s="41"/>
      <c r="E271" s="66"/>
      <c r="F271" s="43"/>
      <c r="G271" s="44"/>
      <c r="H271" s="33" t="str">
        <f>IFERROR(__xludf.DUMMYFUNCTION("""COMPUTED_VALUE""")," ")</f>
        <v> </v>
      </c>
      <c r="I271" s="45"/>
      <c r="J271" s="46" t="str">
        <f>IFERROR(__xludf.DUMMYFUNCTION("""COMPUTED_VALUE"""),"AP")</f>
        <v>AP</v>
      </c>
      <c r="K271" s="47"/>
      <c r="L271" s="48" t="str">
        <f>IFERROR(__xludf.DUMMYFUNCTION("""COMPUTED_VALUE"""),"%")</f>
        <v>%</v>
      </c>
      <c r="M271" s="49">
        <f>IFERROR(__xludf.DUMMYFUNCTION("""COMPUTED_VALUE"""),1.0)</f>
        <v>1</v>
      </c>
      <c r="N271" s="50"/>
      <c r="O271" s="38"/>
      <c r="P271" s="45" t="str">
        <f>IFERROR(__xludf.DUMMYFUNCTION("""COMPUTED_VALUE"""),"")</f>
        <v/>
      </c>
      <c r="Q271" s="46" t="str">
        <f>IFERROR(__xludf.DUMMYFUNCTION("""COMPUTED_VALUE"""),"AP")</f>
        <v>AP</v>
      </c>
      <c r="R271" s="47" t="str">
        <f>IFERROR(__xludf.DUMMYFUNCTION("""COMPUTED_VALUE"""),"")</f>
        <v/>
      </c>
      <c r="S271" s="48" t="str">
        <f>IFERROR(__xludf.DUMMYFUNCTION("""COMPUTED_VALUE"""),"%")</f>
        <v>%</v>
      </c>
      <c r="T271" s="49">
        <f>IFERROR(__xludf.DUMMYFUNCTION("""COMPUTED_VALUE"""),2.0)</f>
        <v>2</v>
      </c>
      <c r="U271" s="50"/>
      <c r="V271" s="38"/>
      <c r="W271" s="45" t="str">
        <f>IFERROR(__xludf.DUMMYFUNCTION("""COMPUTED_VALUE"""),"")</f>
        <v/>
      </c>
      <c r="X271" s="46" t="str">
        <f>IFERROR(__xludf.DUMMYFUNCTION("""COMPUTED_VALUE"""),"AP")</f>
        <v>AP</v>
      </c>
      <c r="Y271" s="47" t="str">
        <f>IFERROR(__xludf.DUMMYFUNCTION("""COMPUTED_VALUE"""),"")</f>
        <v/>
      </c>
      <c r="Z271" s="48" t="str">
        <f>IFERROR(__xludf.DUMMYFUNCTION("""COMPUTED_VALUE"""),"%")</f>
        <v>%</v>
      </c>
      <c r="AA271" s="49">
        <f>IFERROR(__xludf.DUMMYFUNCTION("""COMPUTED_VALUE"""),3.0)</f>
        <v>3</v>
      </c>
      <c r="AB271" s="50"/>
      <c r="AC271" s="38"/>
      <c r="AD271" s="45" t="str">
        <f>IFERROR(__xludf.DUMMYFUNCTION("""COMPUTED_VALUE"""),"")</f>
        <v/>
      </c>
      <c r="AE271" s="46" t="str">
        <f>IFERROR(__xludf.DUMMYFUNCTION("""COMPUTED_VALUE"""),"AP")</f>
        <v>AP</v>
      </c>
      <c r="AF271" s="47" t="str">
        <f>IFERROR(__xludf.DUMMYFUNCTION("""COMPUTED_VALUE"""),"")</f>
        <v/>
      </c>
      <c r="AG271" s="48" t="str">
        <f>IFERROR(__xludf.DUMMYFUNCTION("""COMPUTED_VALUE"""),"%")</f>
        <v>%</v>
      </c>
      <c r="AH271" s="43"/>
      <c r="AI271" s="44"/>
      <c r="AJ271" s="66"/>
    </row>
    <row r="272" ht="24.75" hidden="1" customHeight="1">
      <c r="A272" s="28">
        <f>IFERROR(__xludf.DUMMYFUNCTION("""COMPUTED_VALUE"""),17.0)</f>
        <v>17</v>
      </c>
      <c r="B272" s="28" t="str">
        <f>IFERROR(__xludf.DUMMYFUNCTION("""COMPUTED_VALUE"""),"A203")</f>
        <v>A203</v>
      </c>
      <c r="C272" s="28"/>
      <c r="D272" s="29"/>
      <c r="E272" s="67"/>
      <c r="F272" s="31"/>
      <c r="G272" s="32"/>
      <c r="H272" s="33" t="str">
        <f>IFERROR(__xludf.DUMMYFUNCTION("""COMPUTED_VALUE""")," ")</f>
        <v> </v>
      </c>
      <c r="I272" s="34"/>
      <c r="J272" s="35" t="str">
        <f>IFERROR(__xludf.DUMMYFUNCTION("""COMPUTED_VALUE"""),"AP")</f>
        <v>AP</v>
      </c>
      <c r="K272" s="34"/>
      <c r="L272" s="35" t="str">
        <f>IFERROR(__xludf.DUMMYFUNCTION("""COMPUTED_VALUE"""),"%")</f>
        <v>%</v>
      </c>
      <c r="M272" s="36">
        <f>IFERROR(__xludf.DUMMYFUNCTION("""COMPUTED_VALUE"""),1.0)</f>
        <v>1</v>
      </c>
      <c r="N272" s="37"/>
      <c r="O272" s="38"/>
      <c r="P272" s="34" t="str">
        <f>IFERROR(__xludf.DUMMYFUNCTION("""COMPUTED_VALUE"""),"")</f>
        <v/>
      </c>
      <c r="Q272" s="35" t="str">
        <f>IFERROR(__xludf.DUMMYFUNCTION("""COMPUTED_VALUE"""),"AP")</f>
        <v>AP</v>
      </c>
      <c r="R272" s="34" t="str">
        <f>IFERROR(__xludf.DUMMYFUNCTION("""COMPUTED_VALUE"""),"")</f>
        <v/>
      </c>
      <c r="S272" s="35" t="str">
        <f>IFERROR(__xludf.DUMMYFUNCTION("""COMPUTED_VALUE"""),"%")</f>
        <v>%</v>
      </c>
      <c r="T272" s="36">
        <f>IFERROR(__xludf.DUMMYFUNCTION("""COMPUTED_VALUE"""),2.0)</f>
        <v>2</v>
      </c>
      <c r="U272" s="37"/>
      <c r="V272" s="38"/>
      <c r="W272" s="34" t="str">
        <f>IFERROR(__xludf.DUMMYFUNCTION("""COMPUTED_VALUE"""),"")</f>
        <v/>
      </c>
      <c r="X272" s="35" t="str">
        <f>IFERROR(__xludf.DUMMYFUNCTION("""COMPUTED_VALUE"""),"AP")</f>
        <v>AP</v>
      </c>
      <c r="Y272" s="34" t="str">
        <f>IFERROR(__xludf.DUMMYFUNCTION("""COMPUTED_VALUE"""),"")</f>
        <v/>
      </c>
      <c r="Z272" s="35" t="str">
        <f>IFERROR(__xludf.DUMMYFUNCTION("""COMPUTED_VALUE"""),"%")</f>
        <v>%</v>
      </c>
      <c r="AA272" s="36">
        <f>IFERROR(__xludf.DUMMYFUNCTION("""COMPUTED_VALUE"""),3.0)</f>
        <v>3</v>
      </c>
      <c r="AB272" s="37"/>
      <c r="AC272" s="38"/>
      <c r="AD272" s="34" t="str">
        <f>IFERROR(__xludf.DUMMYFUNCTION("""COMPUTED_VALUE"""),"")</f>
        <v/>
      </c>
      <c r="AE272" s="35" t="str">
        <f>IFERROR(__xludf.DUMMYFUNCTION("""COMPUTED_VALUE"""),"AP")</f>
        <v>AP</v>
      </c>
      <c r="AF272" s="34" t="str">
        <f>IFERROR(__xludf.DUMMYFUNCTION("""COMPUTED_VALUE"""),"")</f>
        <v/>
      </c>
      <c r="AG272" s="35" t="str">
        <f>IFERROR(__xludf.DUMMYFUNCTION("""COMPUTED_VALUE"""),"%")</f>
        <v>%</v>
      </c>
      <c r="AH272" s="31"/>
      <c r="AI272" s="32"/>
      <c r="AJ272" s="67"/>
    </row>
    <row r="273" ht="24.75" hidden="1" customHeight="1">
      <c r="A273" s="40">
        <f>IFERROR(__xludf.DUMMYFUNCTION("""COMPUTED_VALUE"""),18.0)</f>
        <v>18</v>
      </c>
      <c r="B273" s="40" t="str">
        <f>IFERROR(__xludf.DUMMYFUNCTION("""COMPUTED_VALUE"""),"A203")</f>
        <v>A203</v>
      </c>
      <c r="C273" s="40"/>
      <c r="D273" s="41"/>
      <c r="E273" s="66"/>
      <c r="F273" s="43"/>
      <c r="G273" s="44"/>
      <c r="H273" s="33" t="str">
        <f>IFERROR(__xludf.DUMMYFUNCTION("""COMPUTED_VALUE""")," ")</f>
        <v> </v>
      </c>
      <c r="I273" s="45"/>
      <c r="J273" s="46" t="str">
        <f>IFERROR(__xludf.DUMMYFUNCTION("""COMPUTED_VALUE"""),"AP")</f>
        <v>AP</v>
      </c>
      <c r="K273" s="47"/>
      <c r="L273" s="48" t="str">
        <f>IFERROR(__xludf.DUMMYFUNCTION("""COMPUTED_VALUE"""),"%")</f>
        <v>%</v>
      </c>
      <c r="M273" s="49">
        <f>IFERROR(__xludf.DUMMYFUNCTION("""COMPUTED_VALUE"""),1.0)</f>
        <v>1</v>
      </c>
      <c r="N273" s="50"/>
      <c r="O273" s="38"/>
      <c r="P273" s="45" t="str">
        <f>IFERROR(__xludf.DUMMYFUNCTION("""COMPUTED_VALUE"""),"")</f>
        <v/>
      </c>
      <c r="Q273" s="46" t="str">
        <f>IFERROR(__xludf.DUMMYFUNCTION("""COMPUTED_VALUE"""),"AP")</f>
        <v>AP</v>
      </c>
      <c r="R273" s="47" t="str">
        <f>IFERROR(__xludf.DUMMYFUNCTION("""COMPUTED_VALUE"""),"")</f>
        <v/>
      </c>
      <c r="S273" s="48" t="str">
        <f>IFERROR(__xludf.DUMMYFUNCTION("""COMPUTED_VALUE"""),"%")</f>
        <v>%</v>
      </c>
      <c r="T273" s="49">
        <f>IFERROR(__xludf.DUMMYFUNCTION("""COMPUTED_VALUE"""),2.0)</f>
        <v>2</v>
      </c>
      <c r="U273" s="50"/>
      <c r="V273" s="38"/>
      <c r="W273" s="45" t="str">
        <f>IFERROR(__xludf.DUMMYFUNCTION("""COMPUTED_VALUE"""),"")</f>
        <v/>
      </c>
      <c r="X273" s="46" t="str">
        <f>IFERROR(__xludf.DUMMYFUNCTION("""COMPUTED_VALUE"""),"AP")</f>
        <v>AP</v>
      </c>
      <c r="Y273" s="47" t="str">
        <f>IFERROR(__xludf.DUMMYFUNCTION("""COMPUTED_VALUE"""),"")</f>
        <v/>
      </c>
      <c r="Z273" s="48" t="str">
        <f>IFERROR(__xludf.DUMMYFUNCTION("""COMPUTED_VALUE"""),"%")</f>
        <v>%</v>
      </c>
      <c r="AA273" s="49">
        <f>IFERROR(__xludf.DUMMYFUNCTION("""COMPUTED_VALUE"""),3.0)</f>
        <v>3</v>
      </c>
      <c r="AB273" s="50"/>
      <c r="AC273" s="38"/>
      <c r="AD273" s="45" t="str">
        <f>IFERROR(__xludf.DUMMYFUNCTION("""COMPUTED_VALUE"""),"")</f>
        <v/>
      </c>
      <c r="AE273" s="46" t="str">
        <f>IFERROR(__xludf.DUMMYFUNCTION("""COMPUTED_VALUE"""),"AP")</f>
        <v>AP</v>
      </c>
      <c r="AF273" s="47" t="str">
        <f>IFERROR(__xludf.DUMMYFUNCTION("""COMPUTED_VALUE"""),"")</f>
        <v/>
      </c>
      <c r="AG273" s="48" t="str">
        <f>IFERROR(__xludf.DUMMYFUNCTION("""COMPUTED_VALUE"""),"%")</f>
        <v>%</v>
      </c>
      <c r="AH273" s="43"/>
      <c r="AI273" s="44"/>
      <c r="AJ273" s="66"/>
    </row>
    <row r="274" ht="24.75" hidden="1" customHeight="1">
      <c r="A274" s="28">
        <f>IFERROR(__xludf.DUMMYFUNCTION("""COMPUTED_VALUE"""),19.0)</f>
        <v>19</v>
      </c>
      <c r="B274" s="28" t="str">
        <f>IFERROR(__xludf.DUMMYFUNCTION("""COMPUTED_VALUE"""),"A203")</f>
        <v>A203</v>
      </c>
      <c r="C274" s="28"/>
      <c r="D274" s="29"/>
      <c r="E274" s="67"/>
      <c r="F274" s="31"/>
      <c r="G274" s="32"/>
      <c r="H274" s="33" t="str">
        <f>IFERROR(__xludf.DUMMYFUNCTION("""COMPUTED_VALUE""")," ")</f>
        <v> </v>
      </c>
      <c r="I274" s="34"/>
      <c r="J274" s="35" t="str">
        <f>IFERROR(__xludf.DUMMYFUNCTION("""COMPUTED_VALUE"""),"AP")</f>
        <v>AP</v>
      </c>
      <c r="K274" s="34"/>
      <c r="L274" s="35" t="str">
        <f>IFERROR(__xludf.DUMMYFUNCTION("""COMPUTED_VALUE"""),"%")</f>
        <v>%</v>
      </c>
      <c r="M274" s="36">
        <f>IFERROR(__xludf.DUMMYFUNCTION("""COMPUTED_VALUE"""),1.0)</f>
        <v>1</v>
      </c>
      <c r="N274" s="37"/>
      <c r="O274" s="38"/>
      <c r="P274" s="34" t="str">
        <f>IFERROR(__xludf.DUMMYFUNCTION("""COMPUTED_VALUE"""),"")</f>
        <v/>
      </c>
      <c r="Q274" s="35" t="str">
        <f>IFERROR(__xludf.DUMMYFUNCTION("""COMPUTED_VALUE"""),"AP")</f>
        <v>AP</v>
      </c>
      <c r="R274" s="34" t="str">
        <f>IFERROR(__xludf.DUMMYFUNCTION("""COMPUTED_VALUE"""),"")</f>
        <v/>
      </c>
      <c r="S274" s="35" t="str">
        <f>IFERROR(__xludf.DUMMYFUNCTION("""COMPUTED_VALUE"""),"%")</f>
        <v>%</v>
      </c>
      <c r="T274" s="36">
        <f>IFERROR(__xludf.DUMMYFUNCTION("""COMPUTED_VALUE"""),2.0)</f>
        <v>2</v>
      </c>
      <c r="U274" s="37"/>
      <c r="V274" s="38"/>
      <c r="W274" s="34" t="str">
        <f>IFERROR(__xludf.DUMMYFUNCTION("""COMPUTED_VALUE"""),"")</f>
        <v/>
      </c>
      <c r="X274" s="35" t="str">
        <f>IFERROR(__xludf.DUMMYFUNCTION("""COMPUTED_VALUE"""),"AP")</f>
        <v>AP</v>
      </c>
      <c r="Y274" s="34" t="str">
        <f>IFERROR(__xludf.DUMMYFUNCTION("""COMPUTED_VALUE"""),"")</f>
        <v/>
      </c>
      <c r="Z274" s="35" t="str">
        <f>IFERROR(__xludf.DUMMYFUNCTION("""COMPUTED_VALUE"""),"%")</f>
        <v>%</v>
      </c>
      <c r="AA274" s="36">
        <f>IFERROR(__xludf.DUMMYFUNCTION("""COMPUTED_VALUE"""),3.0)</f>
        <v>3</v>
      </c>
      <c r="AB274" s="37"/>
      <c r="AC274" s="38"/>
      <c r="AD274" s="34" t="str">
        <f>IFERROR(__xludf.DUMMYFUNCTION("""COMPUTED_VALUE"""),"")</f>
        <v/>
      </c>
      <c r="AE274" s="35" t="str">
        <f>IFERROR(__xludf.DUMMYFUNCTION("""COMPUTED_VALUE"""),"AP")</f>
        <v>AP</v>
      </c>
      <c r="AF274" s="34" t="str">
        <f>IFERROR(__xludf.DUMMYFUNCTION("""COMPUTED_VALUE"""),"")</f>
        <v/>
      </c>
      <c r="AG274" s="35" t="str">
        <f>IFERROR(__xludf.DUMMYFUNCTION("""COMPUTED_VALUE"""),"%")</f>
        <v>%</v>
      </c>
      <c r="AH274" s="31"/>
      <c r="AI274" s="32"/>
      <c r="AJ274" s="67"/>
    </row>
    <row r="275" ht="24.75" hidden="1" customHeight="1">
      <c r="A275" s="40">
        <f>IFERROR(__xludf.DUMMYFUNCTION("""COMPUTED_VALUE"""),20.0)</f>
        <v>20</v>
      </c>
      <c r="B275" s="40" t="str">
        <f>IFERROR(__xludf.DUMMYFUNCTION("""COMPUTED_VALUE"""),"A203")</f>
        <v>A203</v>
      </c>
      <c r="C275" s="40"/>
      <c r="D275" s="41"/>
      <c r="E275" s="66"/>
      <c r="F275" s="43"/>
      <c r="G275" s="44"/>
      <c r="H275" s="33" t="str">
        <f>IFERROR(__xludf.DUMMYFUNCTION("""COMPUTED_VALUE""")," ")</f>
        <v> </v>
      </c>
      <c r="I275" s="45"/>
      <c r="J275" s="46" t="str">
        <f>IFERROR(__xludf.DUMMYFUNCTION("""COMPUTED_VALUE"""),"AP")</f>
        <v>AP</v>
      </c>
      <c r="K275" s="47"/>
      <c r="L275" s="48" t="str">
        <f>IFERROR(__xludf.DUMMYFUNCTION("""COMPUTED_VALUE"""),"%")</f>
        <v>%</v>
      </c>
      <c r="M275" s="49">
        <f>IFERROR(__xludf.DUMMYFUNCTION("""COMPUTED_VALUE"""),1.0)</f>
        <v>1</v>
      </c>
      <c r="N275" s="50"/>
      <c r="O275" s="38"/>
      <c r="P275" s="45" t="str">
        <f>IFERROR(__xludf.DUMMYFUNCTION("""COMPUTED_VALUE"""),"")</f>
        <v/>
      </c>
      <c r="Q275" s="46" t="str">
        <f>IFERROR(__xludf.DUMMYFUNCTION("""COMPUTED_VALUE"""),"AP")</f>
        <v>AP</v>
      </c>
      <c r="R275" s="47" t="str">
        <f>IFERROR(__xludf.DUMMYFUNCTION("""COMPUTED_VALUE"""),"")</f>
        <v/>
      </c>
      <c r="S275" s="48" t="str">
        <f>IFERROR(__xludf.DUMMYFUNCTION("""COMPUTED_VALUE"""),"%")</f>
        <v>%</v>
      </c>
      <c r="T275" s="49">
        <f>IFERROR(__xludf.DUMMYFUNCTION("""COMPUTED_VALUE"""),2.0)</f>
        <v>2</v>
      </c>
      <c r="U275" s="50"/>
      <c r="V275" s="38"/>
      <c r="W275" s="45" t="str">
        <f>IFERROR(__xludf.DUMMYFUNCTION("""COMPUTED_VALUE"""),"")</f>
        <v/>
      </c>
      <c r="X275" s="46" t="str">
        <f>IFERROR(__xludf.DUMMYFUNCTION("""COMPUTED_VALUE"""),"AP")</f>
        <v>AP</v>
      </c>
      <c r="Y275" s="47" t="str">
        <f>IFERROR(__xludf.DUMMYFUNCTION("""COMPUTED_VALUE"""),"")</f>
        <v/>
      </c>
      <c r="Z275" s="48" t="str">
        <f>IFERROR(__xludf.DUMMYFUNCTION("""COMPUTED_VALUE"""),"%")</f>
        <v>%</v>
      </c>
      <c r="AA275" s="49">
        <f>IFERROR(__xludf.DUMMYFUNCTION("""COMPUTED_VALUE"""),3.0)</f>
        <v>3</v>
      </c>
      <c r="AB275" s="50"/>
      <c r="AC275" s="38"/>
      <c r="AD275" s="45" t="str">
        <f>IFERROR(__xludf.DUMMYFUNCTION("""COMPUTED_VALUE"""),"")</f>
        <v/>
      </c>
      <c r="AE275" s="46" t="str">
        <f>IFERROR(__xludf.DUMMYFUNCTION("""COMPUTED_VALUE"""),"AP")</f>
        <v>AP</v>
      </c>
      <c r="AF275" s="47" t="str">
        <f>IFERROR(__xludf.DUMMYFUNCTION("""COMPUTED_VALUE"""),"")</f>
        <v/>
      </c>
      <c r="AG275" s="48" t="str">
        <f>IFERROR(__xludf.DUMMYFUNCTION("""COMPUTED_VALUE"""),"%")</f>
        <v>%</v>
      </c>
      <c r="AH275" s="43"/>
      <c r="AI275" s="44"/>
      <c r="AJ275" s="66"/>
    </row>
    <row r="276">
      <c r="A276" s="52"/>
      <c r="B276" s="53"/>
      <c r="C276" s="54"/>
      <c r="D276" s="56"/>
      <c r="E276" s="56"/>
      <c r="F276" s="53"/>
      <c r="G276" s="53"/>
      <c r="H276" s="53"/>
      <c r="I276" s="53"/>
      <c r="J276" s="57"/>
      <c r="K276" s="53"/>
      <c r="L276" s="57"/>
      <c r="M276" s="53"/>
      <c r="N276" s="53"/>
      <c r="O276" s="53"/>
      <c r="P276" s="53"/>
      <c r="Q276" s="57"/>
      <c r="R276" s="53"/>
      <c r="S276" s="57"/>
      <c r="T276" s="53"/>
      <c r="U276" s="53"/>
      <c r="V276" s="53"/>
      <c r="W276" s="53"/>
      <c r="X276" s="57"/>
      <c r="Y276" s="53"/>
      <c r="Z276" s="57"/>
      <c r="AA276" s="53"/>
      <c r="AB276" s="53"/>
      <c r="AC276" s="53"/>
      <c r="AD276" s="53"/>
      <c r="AE276" s="57"/>
      <c r="AF276" s="53"/>
      <c r="AG276" s="57"/>
      <c r="AH276" s="53"/>
      <c r="AI276" s="53"/>
      <c r="AJ276" s="56"/>
    </row>
    <row r="277">
      <c r="A277" s="59"/>
      <c r="B277" s="60"/>
      <c r="C277" s="61"/>
      <c r="D277" s="63"/>
      <c r="E277" s="63"/>
      <c r="F277" s="60"/>
      <c r="G277" s="60"/>
      <c r="H277" s="60"/>
      <c r="I277" s="60"/>
      <c r="J277" s="64"/>
      <c r="K277" s="60"/>
      <c r="L277" s="64"/>
      <c r="M277" s="60"/>
      <c r="N277" s="60"/>
      <c r="O277" s="60"/>
      <c r="P277" s="60"/>
      <c r="Q277" s="64"/>
      <c r="R277" s="60"/>
      <c r="S277" s="64"/>
      <c r="T277" s="60"/>
      <c r="U277" s="60"/>
      <c r="V277" s="60"/>
      <c r="W277" s="60"/>
      <c r="X277" s="64"/>
      <c r="Y277" s="60"/>
      <c r="Z277" s="64"/>
      <c r="AA277" s="60"/>
      <c r="AB277" s="60"/>
      <c r="AC277" s="60"/>
      <c r="AD277" s="60"/>
      <c r="AE277" s="64"/>
      <c r="AF277" s="60"/>
      <c r="AG277" s="64"/>
      <c r="AH277" s="60"/>
      <c r="AI277" s="60"/>
      <c r="AJ277" s="63"/>
    </row>
    <row r="278" ht="33.0" customHeight="1">
      <c r="A278" s="20" t="str">
        <f>IFERROR(__xludf.DUMMYFUNCTION("""COMPUTED_VALUE""")," ")</f>
        <v> </v>
      </c>
      <c r="B278" s="21" t="str">
        <f>IFERROR(__xludf.DUMMYFUNCTION("""COMPUTED_VALUE"""),"A204")</f>
        <v>A204</v>
      </c>
      <c r="C278" s="20"/>
      <c r="D278" s="257" t="str">
        <f>IFERROR(__xludf.DUMMYFUNCTION("""COMPUTED_VALUE"""),"")</f>
        <v/>
      </c>
      <c r="E278" s="23" t="str">
        <f>IFERROR(__xludf.DUMMYFUNCTION("""COMPUTED_VALUE"""),"Serpent Jewel")</f>
        <v>Serpent Jewel</v>
      </c>
      <c r="F278" s="24"/>
      <c r="G278" s="24"/>
      <c r="H278" s="25"/>
      <c r="I278" s="25"/>
      <c r="J278" s="26"/>
      <c r="K278" s="25"/>
      <c r="L278" s="26"/>
      <c r="M278" s="25"/>
      <c r="N278" s="25"/>
      <c r="O278" s="25"/>
      <c r="P278" s="25"/>
      <c r="Q278" s="26"/>
      <c r="R278" s="25"/>
      <c r="S278" s="26"/>
      <c r="T278" s="25"/>
      <c r="U278" s="25"/>
      <c r="V278" s="25"/>
      <c r="W278" s="25"/>
      <c r="X278" s="26"/>
      <c r="Y278" s="25"/>
      <c r="Z278" s="26"/>
      <c r="AA278" s="25"/>
      <c r="AB278" s="25"/>
      <c r="AC278" s="25"/>
      <c r="AD278" s="25"/>
      <c r="AE278" s="26"/>
      <c r="AF278" s="25"/>
      <c r="AG278" s="26"/>
      <c r="AH278" s="24"/>
      <c r="AI278" s="25"/>
      <c r="AJ278" s="23"/>
    </row>
    <row r="279" ht="24.75" customHeight="1">
      <c r="A279" s="28">
        <f>IFERROR(__xludf.DUMMYFUNCTION("""COMPUTED_VALUE"""),1.0)</f>
        <v>1</v>
      </c>
      <c r="B279" s="28" t="str">
        <f>IFERROR(__xludf.DUMMYFUNCTION("""COMPUTED_VALUE"""),"A204")</f>
        <v>A204</v>
      </c>
      <c r="C279" s="28" t="str">
        <f>IFERROR(__xludf.DUMMYFUNCTION("""COMPUTED_VALUE"""),"AGT12")</f>
        <v>AGT12</v>
      </c>
      <c r="D279" s="29" t="str">
        <f>IFERROR(__xludf.DUMMYFUNCTION("""COMPUTED_VALUE"""),"Agartha")</f>
        <v>Agartha</v>
      </c>
      <c r="E279" s="30" t="str">
        <f>IFERROR(__xludf.DUMMYFUNCTION("""COMPUTED_VALUE"""),"Chasm in the Earth")</f>
        <v>Chasm in the Earth</v>
      </c>
      <c r="F279" s="31">
        <f>IFERROR(__xludf.DUMMYFUNCTION("""COMPUTED_VALUE"""),21.0)</f>
        <v>21</v>
      </c>
      <c r="G279" s="32">
        <f>IFERROR(__xludf.DUMMYFUNCTION("""COMPUTED_VALUE"""),1700.0)</f>
        <v>1700</v>
      </c>
      <c r="H279" s="33" t="str">
        <f>IFERROR(__xludf.DUMMYFUNCTION("""COMPUTED_VALUE"""),"")</f>
        <v/>
      </c>
      <c r="I279" s="34">
        <f>IFERROR(__xludf.DUMMYFUNCTION("""COMPUTED_VALUE"""),53.3003677277471)</f>
        <v>53.30036773</v>
      </c>
      <c r="J279" s="35" t="str">
        <f>IFERROR(__xludf.DUMMYFUNCTION("""COMPUTED_VALUE"""),"AP")</f>
        <v>AP</v>
      </c>
      <c r="K279" s="34">
        <f>IFERROR(__xludf.DUMMYFUNCTION("""COMPUTED_VALUE"""),39.39935294117647)</f>
        <v>39.39935294</v>
      </c>
      <c r="L279" s="35" t="str">
        <f>IFERROR(__xludf.DUMMYFUNCTION("""COMPUTED_VALUE"""),"%")</f>
        <v>%</v>
      </c>
      <c r="M279" s="36">
        <f>IFERROR(__xludf.DUMMYFUNCTION("""COMPUTED_VALUE"""),1.0)</f>
        <v>1</v>
      </c>
      <c r="N279" s="37" t="str">
        <f>IFERROR(__xludf.DUMMYFUNCTION("""COMPUTED_VALUE"""),"B105")</f>
        <v>B105</v>
      </c>
      <c r="O279" s="38" t="str">
        <f>IFERROR(__xludf.DUMMYFUNCTION("""COMPUTED_VALUE"""),"")</f>
        <v/>
      </c>
      <c r="P279" s="34">
        <f>IFERROR(__xludf.DUMMYFUNCTION("""COMPUTED_VALUE"""),649.7879543510311)</f>
        <v>649.7879544</v>
      </c>
      <c r="Q279" s="35" t="str">
        <f>IFERROR(__xludf.DUMMYFUNCTION("""COMPUTED_VALUE"""),"AP")</f>
        <v>AP</v>
      </c>
      <c r="R279" s="34">
        <f>IFERROR(__xludf.DUMMYFUNCTION("""COMPUTED_VALUE"""),3.231823529411765)</f>
        <v>3.231823529</v>
      </c>
      <c r="S279" s="35" t="str">
        <f>IFERROR(__xludf.DUMMYFUNCTION("""COMPUTED_VALUE"""),"%")</f>
        <v>%</v>
      </c>
      <c r="T279" s="36">
        <f>IFERROR(__xludf.DUMMYFUNCTION("""COMPUTED_VALUE"""),2.0)</f>
        <v>2</v>
      </c>
      <c r="U279" s="37" t="str">
        <f>IFERROR(__xludf.DUMMYFUNCTION("""COMPUTED_VALUE"""),"B115")</f>
        <v>B115</v>
      </c>
      <c r="V279" s="38" t="str">
        <f>IFERROR(__xludf.DUMMYFUNCTION("""COMPUTED_VALUE"""),"")</f>
        <v/>
      </c>
      <c r="W279" s="34">
        <f>IFERROR(__xludf.DUMMYFUNCTION("""COMPUTED_VALUE"""),43.25516305500191)</f>
        <v>43.25516306</v>
      </c>
      <c r="X279" s="35" t="str">
        <f>IFERROR(__xludf.DUMMYFUNCTION("""COMPUTED_VALUE"""),"AP")</f>
        <v>AP</v>
      </c>
      <c r="Y279" s="34">
        <f>IFERROR(__xludf.DUMMYFUNCTION("""COMPUTED_VALUE"""),48.54911764705882)</f>
        <v>48.54911765</v>
      </c>
      <c r="Z279" s="35" t="str">
        <f>IFERROR(__xludf.DUMMYFUNCTION("""COMPUTED_VALUE"""),"%")</f>
        <v>%</v>
      </c>
      <c r="AA279" s="36">
        <f>IFERROR(__xludf.DUMMYFUNCTION("""COMPUTED_VALUE"""),3.0)</f>
        <v>3</v>
      </c>
      <c r="AB279" s="37"/>
      <c r="AC279" s="38"/>
      <c r="AD279" s="34" t="str">
        <f>IFERROR(__xludf.DUMMYFUNCTION("""COMPUTED_VALUE"""),"")</f>
        <v/>
      </c>
      <c r="AE279" s="35" t="str">
        <f>IFERROR(__xludf.DUMMYFUNCTION("""COMPUTED_VALUE"""),"AP")</f>
        <v>AP</v>
      </c>
      <c r="AF279" s="34" t="str">
        <f>IFERROR(__xludf.DUMMYFUNCTION("""COMPUTED_VALUE"""),"")</f>
        <v/>
      </c>
      <c r="AG279" s="35" t="str">
        <f>IFERROR(__xludf.DUMMYFUNCTION("""COMPUTED_VALUE"""),"%")</f>
        <v>%</v>
      </c>
      <c r="AH279" s="31">
        <f>IFERROR(__xludf.DUMMYFUNCTION("""COMPUTED_VALUE"""),21.0)</f>
        <v>21</v>
      </c>
      <c r="AI279" s="32">
        <f>IFERROR(__xludf.DUMMYFUNCTION("""COMPUTED_VALUE"""),1700.0)</f>
        <v>1700</v>
      </c>
      <c r="AJ279" s="30" t="str">
        <f>IFERROR(__xludf.DUMMYFUNCTION("""COMPUTED_VALUE"""),"Chasm in the Earth")</f>
        <v>Chasm in the Earth</v>
      </c>
    </row>
    <row r="280" ht="24.75" customHeight="1">
      <c r="A280" s="40">
        <f>IFERROR(__xludf.DUMMYFUNCTION("""COMPUTED_VALUE"""),2.0)</f>
        <v>2</v>
      </c>
      <c r="B280" s="40" t="str">
        <f>IFERROR(__xludf.DUMMYFUNCTION("""COMPUTED_VALUE"""),"A204")</f>
        <v>A204</v>
      </c>
      <c r="C280" s="40" t="str">
        <f>IFERROR(__xludf.DUMMYFUNCTION("""COMPUTED_VALUE"""),"BBL5")</f>
        <v>BBL5</v>
      </c>
      <c r="D280" s="41" t="str">
        <f>IFERROR(__xludf.DUMMYFUNCTION("""COMPUTED_VALUE"""),"Babylonia")</f>
        <v>Babylonia</v>
      </c>
      <c r="E280" s="42" t="str">
        <f>IFERROR(__xludf.DUMMYFUNCTION("""COMPUTED_VALUE"""),"Bog")</f>
        <v>Bog</v>
      </c>
      <c r="F280" s="43">
        <f>IFERROR(__xludf.DUMMYFUNCTION("""COMPUTED_VALUE"""),21.0)</f>
        <v>21</v>
      </c>
      <c r="G280" s="44">
        <f>IFERROR(__xludf.DUMMYFUNCTION("""COMPUTED_VALUE"""),1941.0)</f>
        <v>1941</v>
      </c>
      <c r="H280" s="33" t="str">
        <f>IFERROR(__xludf.DUMMYFUNCTION("""COMPUTED_VALUE"""),"")</f>
        <v/>
      </c>
      <c r="I280" s="45">
        <f>IFERROR(__xludf.DUMMYFUNCTION("""COMPUTED_VALUE"""),84.07710316519012)</f>
        <v>84.07710317</v>
      </c>
      <c r="J280" s="46" t="str">
        <f>IFERROR(__xludf.DUMMYFUNCTION("""COMPUTED_VALUE"""),"AP")</f>
        <v>AP</v>
      </c>
      <c r="K280" s="47">
        <f>IFERROR(__xludf.DUMMYFUNCTION("""COMPUTED_VALUE"""),24.977073673364245)</f>
        <v>24.97707367</v>
      </c>
      <c r="L280" s="48" t="str">
        <f>IFERROR(__xludf.DUMMYFUNCTION("""COMPUTED_VALUE"""),"%")</f>
        <v>%</v>
      </c>
      <c r="M280" s="49">
        <f>IFERROR(__xludf.DUMMYFUNCTION("""COMPUTED_VALUE"""),1.0)</f>
        <v>1</v>
      </c>
      <c r="N280" s="50" t="str">
        <f>IFERROR(__xludf.DUMMYFUNCTION("""COMPUTED_VALUE"""),"A306")</f>
        <v>A306</v>
      </c>
      <c r="O280" s="38" t="str">
        <f>IFERROR(__xludf.DUMMYFUNCTION("""COMPUTED_VALUE"""),"")</f>
        <v/>
      </c>
      <c r="P280" s="45">
        <f>IFERROR(__xludf.DUMMYFUNCTION("""COMPUTED_VALUE"""),53.755542250344874)</f>
        <v>53.75554225</v>
      </c>
      <c r="Q280" s="46" t="str">
        <f>IFERROR(__xludf.DUMMYFUNCTION("""COMPUTED_VALUE"""),"AP")</f>
        <v>AP</v>
      </c>
      <c r="R280" s="47">
        <f>IFERROR(__xludf.DUMMYFUNCTION("""COMPUTED_VALUE"""),39.0657393096342)</f>
        <v>39.06573931</v>
      </c>
      <c r="S280" s="48" t="str">
        <f>IFERROR(__xludf.DUMMYFUNCTION("""COMPUTED_VALUE"""),"%")</f>
        <v>%</v>
      </c>
      <c r="T280" s="49">
        <f>IFERROR(__xludf.DUMMYFUNCTION("""COMPUTED_VALUE"""),2.0)</f>
        <v>2</v>
      </c>
      <c r="U280" s="50" t="str">
        <f>IFERROR(__xludf.DUMMYFUNCTION("""COMPUTED_VALUE"""),"B112")</f>
        <v>B112</v>
      </c>
      <c r="V280" s="38" t="str">
        <f>IFERROR(__xludf.DUMMYFUNCTION("""COMPUTED_VALUE"""),"")</f>
        <v/>
      </c>
      <c r="W280" s="45">
        <f>IFERROR(__xludf.DUMMYFUNCTION("""COMPUTED_VALUE"""),126.36170305108284)</f>
        <v>126.3617031</v>
      </c>
      <c r="X280" s="46" t="str">
        <f>IFERROR(__xludf.DUMMYFUNCTION("""COMPUTED_VALUE"""),"AP")</f>
        <v>AP</v>
      </c>
      <c r="Y280" s="47">
        <f>IFERROR(__xludf.DUMMYFUNCTION("""COMPUTED_VALUE"""),16.618959299330243)</f>
        <v>16.6189593</v>
      </c>
      <c r="Z280" s="48" t="str">
        <f>IFERROR(__xludf.DUMMYFUNCTION("""COMPUTED_VALUE"""),"%")</f>
        <v>%</v>
      </c>
      <c r="AA280" s="49">
        <f>IFERROR(__xludf.DUMMYFUNCTION("""COMPUTED_VALUE"""),3.0)</f>
        <v>3</v>
      </c>
      <c r="AB280" s="50"/>
      <c r="AC280" s="38"/>
      <c r="AD280" s="45" t="str">
        <f>IFERROR(__xludf.DUMMYFUNCTION("""COMPUTED_VALUE"""),"")</f>
        <v/>
      </c>
      <c r="AE280" s="46" t="str">
        <f>IFERROR(__xludf.DUMMYFUNCTION("""COMPUTED_VALUE"""),"AP")</f>
        <v>AP</v>
      </c>
      <c r="AF280" s="47" t="str">
        <f>IFERROR(__xludf.DUMMYFUNCTION("""COMPUTED_VALUE"""),"")</f>
        <v/>
      </c>
      <c r="AG280" s="48" t="str">
        <f>IFERROR(__xludf.DUMMYFUNCTION("""COMPUTED_VALUE"""),"%")</f>
        <v>%</v>
      </c>
      <c r="AH280" s="43">
        <f>IFERROR(__xludf.DUMMYFUNCTION("""COMPUTED_VALUE"""),21.0)</f>
        <v>21</v>
      </c>
      <c r="AI280" s="44">
        <f>IFERROR(__xludf.DUMMYFUNCTION("""COMPUTED_VALUE"""),1941.0)</f>
        <v>1941</v>
      </c>
      <c r="AJ280" s="42" t="str">
        <f>IFERROR(__xludf.DUMMYFUNCTION("""COMPUTED_VALUE"""),"Bog")</f>
        <v>Bog</v>
      </c>
    </row>
    <row r="281" ht="24.75" customHeight="1">
      <c r="A281" s="28">
        <f>IFERROR(__xludf.DUMMYFUNCTION("""COMPUTED_VALUE"""),3.0)</f>
        <v>3</v>
      </c>
      <c r="B281" s="28" t="str">
        <f>IFERROR(__xludf.DUMMYFUNCTION("""COMPUTED_VALUE"""),"A204")</f>
        <v>A204</v>
      </c>
      <c r="C281" s="28" t="str">
        <f>IFERROR(__xludf.DUMMYFUNCTION("""COMPUTED_VALUE"""),"OKN5")</f>
        <v>OKN5</v>
      </c>
      <c r="D281" s="29" t="str">
        <f>IFERROR(__xludf.DUMMYFUNCTION("""COMPUTED_VALUE"""),"Okeanos")</f>
        <v>Okeanos</v>
      </c>
      <c r="E281" s="30" t="str">
        <f>IFERROR(__xludf.DUMMYFUNCTION("""COMPUTED_VALUE"""),"Sunken Rock Seas")</f>
        <v>Sunken Rock Seas</v>
      </c>
      <c r="F281" s="31">
        <f>IFERROR(__xludf.DUMMYFUNCTION("""COMPUTED_VALUE"""),17.0)</f>
        <v>17</v>
      </c>
      <c r="G281" s="32">
        <f>IFERROR(__xludf.DUMMYFUNCTION("""COMPUTED_VALUE"""),2113.0)</f>
        <v>2113</v>
      </c>
      <c r="H281" s="33" t="str">
        <f>IFERROR(__xludf.DUMMYFUNCTION("""COMPUTED_VALUE"""),"")</f>
        <v/>
      </c>
      <c r="I281" s="34">
        <f>IFERROR(__xludf.DUMMYFUNCTION("""COMPUTED_VALUE"""),105.0045309713818)</f>
        <v>105.004531</v>
      </c>
      <c r="J281" s="35" t="str">
        <f>IFERROR(__xludf.DUMMYFUNCTION("""COMPUTED_VALUE"""),"AP")</f>
        <v>AP</v>
      </c>
      <c r="K281" s="34">
        <f>IFERROR(__xludf.DUMMYFUNCTION("""COMPUTED_VALUE"""),16.18977756743966)</f>
        <v>16.18977757</v>
      </c>
      <c r="L281" s="35" t="str">
        <f>IFERROR(__xludf.DUMMYFUNCTION("""COMPUTED_VALUE"""),"%")</f>
        <v>%</v>
      </c>
      <c r="M281" s="36">
        <f>IFERROR(__xludf.DUMMYFUNCTION("""COMPUTED_VALUE"""),1.0)</f>
        <v>1</v>
      </c>
      <c r="N281" s="37" t="str">
        <f>IFERROR(__xludf.DUMMYFUNCTION("""COMPUTED_VALUE"""),"A302")</f>
        <v>A302</v>
      </c>
      <c r="O281" s="38" t="str">
        <f>IFERROR(__xludf.DUMMYFUNCTION("""COMPUTED_VALUE"""),"")</f>
        <v/>
      </c>
      <c r="P281" s="34">
        <f>IFERROR(__xludf.DUMMYFUNCTION("""COMPUTED_VALUE"""),48.482010057847475)</f>
        <v>48.48201006</v>
      </c>
      <c r="Q281" s="35" t="str">
        <f>IFERROR(__xludf.DUMMYFUNCTION("""COMPUTED_VALUE"""),"AP")</f>
        <v>AP</v>
      </c>
      <c r="R281" s="34">
        <f>IFERROR(__xludf.DUMMYFUNCTION("""COMPUTED_VALUE"""),35.06455276857548)</f>
        <v>35.06455277</v>
      </c>
      <c r="S281" s="35" t="str">
        <f>IFERROR(__xludf.DUMMYFUNCTION("""COMPUTED_VALUE"""),"%")</f>
        <v>%</v>
      </c>
      <c r="T281" s="36">
        <f>IFERROR(__xludf.DUMMYFUNCTION("""COMPUTED_VALUE"""),2.0)</f>
        <v>2</v>
      </c>
      <c r="U281" s="37" t="str">
        <f>IFERROR(__xludf.DUMMYFUNCTION("""COMPUTED_VALUE"""),"B115")</f>
        <v>B115</v>
      </c>
      <c r="V281" s="38" t="str">
        <f>IFERROR(__xludf.DUMMYFUNCTION("""COMPUTED_VALUE"""),"")</f>
        <v/>
      </c>
      <c r="W281" s="34">
        <f>IFERROR(__xludf.DUMMYFUNCTION("""COMPUTED_VALUE"""),77.92988241419708)</f>
        <v>77.92988241</v>
      </c>
      <c r="X281" s="35" t="str">
        <f>IFERROR(__xludf.DUMMYFUNCTION("""COMPUTED_VALUE"""),"AP")</f>
        <v>AP</v>
      </c>
      <c r="Y281" s="34">
        <f>IFERROR(__xludf.DUMMYFUNCTION("""COMPUTED_VALUE"""),21.814481779460483)</f>
        <v>21.81448178</v>
      </c>
      <c r="Z281" s="35" t="str">
        <f>IFERROR(__xludf.DUMMYFUNCTION("""COMPUTED_VALUE"""),"%")</f>
        <v>%</v>
      </c>
      <c r="AA281" s="36">
        <f>IFERROR(__xludf.DUMMYFUNCTION("""COMPUTED_VALUE"""),3.0)</f>
        <v>3</v>
      </c>
      <c r="AB281" s="37"/>
      <c r="AC281" s="38"/>
      <c r="AD281" s="34" t="str">
        <f>IFERROR(__xludf.DUMMYFUNCTION("""COMPUTED_VALUE"""),"")</f>
        <v/>
      </c>
      <c r="AE281" s="35" t="str">
        <f>IFERROR(__xludf.DUMMYFUNCTION("""COMPUTED_VALUE"""),"AP")</f>
        <v>AP</v>
      </c>
      <c r="AF281" s="34" t="str">
        <f>IFERROR(__xludf.DUMMYFUNCTION("""COMPUTED_VALUE"""),"")</f>
        <v/>
      </c>
      <c r="AG281" s="35" t="str">
        <f>IFERROR(__xludf.DUMMYFUNCTION("""COMPUTED_VALUE"""),"%")</f>
        <v>%</v>
      </c>
      <c r="AH281" s="31">
        <f>IFERROR(__xludf.DUMMYFUNCTION("""COMPUTED_VALUE"""),17.0)</f>
        <v>17</v>
      </c>
      <c r="AI281" s="32">
        <f>IFERROR(__xludf.DUMMYFUNCTION("""COMPUTED_VALUE"""),2113.0)</f>
        <v>2113</v>
      </c>
      <c r="AJ281" s="30" t="str">
        <f>IFERROR(__xludf.DUMMYFUNCTION("""COMPUTED_VALUE"""),"Sunken Rock Seas")</f>
        <v>Sunken Rock Seas</v>
      </c>
    </row>
    <row r="282" ht="24.75" customHeight="1">
      <c r="A282" s="40">
        <f>IFERROR(__xludf.DUMMYFUNCTION("""COMPUTED_VALUE"""),4.0)</f>
        <v>4</v>
      </c>
      <c r="B282" s="40" t="str">
        <f>IFERROR(__xludf.DUMMYFUNCTION("""COMPUTED_VALUE"""),"A204")</f>
        <v>A204</v>
      </c>
      <c r="C282" s="40" t="str">
        <f>IFERROR(__xludf.DUMMYFUNCTION("""COMPUTED_VALUE"""),"TRF17")</f>
        <v>TRF17</v>
      </c>
      <c r="D282" s="41" t="str">
        <f>IFERROR(__xludf.DUMMYFUNCTION("""COMPUTED_VALUE"""),"Chaldea Gate (Fri)")</f>
        <v>Chaldea Gate (Fri)</v>
      </c>
      <c r="E282" s="42" t="str">
        <f>IFERROR(__xludf.DUMMYFUNCTION("""COMPUTED_VALUE"""),"FRI Caster Training Ground- Nov")</f>
        <v>FRI Caster Training Ground- Nov</v>
      </c>
      <c r="F282" s="43">
        <f>IFERROR(__xludf.DUMMYFUNCTION("""COMPUTED_VALUE"""),10.0)</f>
        <v>10</v>
      </c>
      <c r="G282" s="44">
        <f>IFERROR(__xludf.DUMMYFUNCTION("""COMPUTED_VALUE"""),3593.0)</f>
        <v>3593</v>
      </c>
      <c r="H282" s="33" t="str">
        <f>IFERROR(__xludf.DUMMYFUNCTION("""COMPUTED_VALUE"""),"")</f>
        <v/>
      </c>
      <c r="I282" s="45">
        <f>IFERROR(__xludf.DUMMYFUNCTION("""COMPUTED_VALUE"""),130.81771081749235)</f>
        <v>130.8177108</v>
      </c>
      <c r="J282" s="46" t="str">
        <f>IFERROR(__xludf.DUMMYFUNCTION("""COMPUTED_VALUE"""),"AP")</f>
        <v>AP</v>
      </c>
      <c r="K282" s="47">
        <f>IFERROR(__xludf.DUMMYFUNCTION("""COMPUTED_VALUE"""),7.644224881714445)</f>
        <v>7.644224882</v>
      </c>
      <c r="L282" s="48" t="str">
        <f>IFERROR(__xludf.DUMMYFUNCTION("""COMPUTED_VALUE"""),"%")</f>
        <v>%</v>
      </c>
      <c r="M282" s="49">
        <f>IFERROR(__xludf.DUMMYFUNCTION("""COMPUTED_VALUE"""),1.0)</f>
        <v>1</v>
      </c>
      <c r="N282" s="50" t="str">
        <f>IFERROR(__xludf.DUMMYFUNCTION("""COMPUTED_VALUE"""),"A207")</f>
        <v>A207</v>
      </c>
      <c r="O282" s="38" t="str">
        <f>IFERROR(__xludf.DUMMYFUNCTION("""COMPUTED_VALUE"""),"")</f>
        <v/>
      </c>
      <c r="P282" s="45">
        <f>IFERROR(__xludf.DUMMYFUNCTION("""COMPUTED_VALUE"""),220.18090008824393)</f>
        <v>220.1809001</v>
      </c>
      <c r="Q282" s="46" t="str">
        <f>IFERROR(__xludf.DUMMYFUNCTION("""COMPUTED_VALUE"""),"AP")</f>
        <v>AP</v>
      </c>
      <c r="R282" s="47">
        <f>IFERROR(__xludf.DUMMYFUNCTION("""COMPUTED_VALUE"""),4.5417200111327585)</f>
        <v>4.541720011</v>
      </c>
      <c r="S282" s="48" t="str">
        <f>IFERROR(__xludf.DUMMYFUNCTION("""COMPUTED_VALUE"""),"%")</f>
        <v>%</v>
      </c>
      <c r="T282" s="49">
        <f>IFERROR(__xludf.DUMMYFUNCTION("""COMPUTED_VALUE"""),2.0)</f>
        <v>2</v>
      </c>
      <c r="U282" s="50" t="str">
        <f>IFERROR(__xludf.DUMMYFUNCTION("""COMPUTED_VALUE"""),"A304")</f>
        <v>A304</v>
      </c>
      <c r="V282" s="38" t="str">
        <f>IFERROR(__xludf.DUMMYFUNCTION("""COMPUTED_VALUE"""),"")</f>
        <v/>
      </c>
      <c r="W282" s="45">
        <f>IFERROR(__xludf.DUMMYFUNCTION("""COMPUTED_VALUE"""),74.74174262879585)</f>
        <v>74.74174263</v>
      </c>
      <c r="X282" s="46" t="str">
        <f>IFERROR(__xludf.DUMMYFUNCTION("""COMPUTED_VALUE"""),"AP")</f>
        <v>AP</v>
      </c>
      <c r="Y282" s="47">
        <f>IFERROR(__xludf.DUMMYFUNCTION("""COMPUTED_VALUE"""),13.379404397439467)</f>
        <v>13.3794044</v>
      </c>
      <c r="Z282" s="48" t="str">
        <f>IFERROR(__xludf.DUMMYFUNCTION("""COMPUTED_VALUE"""),"%")</f>
        <v>%</v>
      </c>
      <c r="AA282" s="49">
        <f>IFERROR(__xludf.DUMMYFUNCTION("""COMPUTED_VALUE"""),3.0)</f>
        <v>3</v>
      </c>
      <c r="AB282" s="50" t="str">
        <f>IFERROR(__xludf.DUMMYFUNCTION("""COMPUTED_VALUE"""),"B115")</f>
        <v>B115</v>
      </c>
      <c r="AC282" s="38" t="str">
        <f>IFERROR(__xludf.DUMMYFUNCTION("""COMPUTED_VALUE"""),"")</f>
        <v/>
      </c>
      <c r="AD282" s="45">
        <f>IFERROR(__xludf.DUMMYFUNCTION("""COMPUTED_VALUE"""),88.70247023912388)</f>
        <v>88.70247024</v>
      </c>
      <c r="AE282" s="46" t="str">
        <f>IFERROR(__xludf.DUMMYFUNCTION("""COMPUTED_VALUE"""),"AP")</f>
        <v>AP</v>
      </c>
      <c r="AF282" s="47">
        <f>IFERROR(__xludf.DUMMYFUNCTION("""COMPUTED_VALUE"""),11.273643195101588)</f>
        <v>11.2736432</v>
      </c>
      <c r="AG282" s="48" t="str">
        <f>IFERROR(__xludf.DUMMYFUNCTION("""COMPUTED_VALUE"""),"%")</f>
        <v>%</v>
      </c>
      <c r="AH282" s="43">
        <f>IFERROR(__xludf.DUMMYFUNCTION("""COMPUTED_VALUE"""),10.0)</f>
        <v>10</v>
      </c>
      <c r="AI282" s="44">
        <f>IFERROR(__xludf.DUMMYFUNCTION("""COMPUTED_VALUE"""),3593.0)</f>
        <v>3593</v>
      </c>
      <c r="AJ282" s="42" t="str">
        <f>IFERROR(__xludf.DUMMYFUNCTION("""COMPUTED_VALUE"""),"FRI Caster Training Ground- Nov")</f>
        <v>FRI Caster Training Ground- Nov</v>
      </c>
    </row>
    <row r="283" ht="24.75" customHeight="1">
      <c r="A283" s="28">
        <f>IFERROR(__xludf.DUMMYFUNCTION("""COMPUTED_VALUE"""),5.0)</f>
        <v>5</v>
      </c>
      <c r="B283" s="28" t="str">
        <f>IFERROR(__xludf.DUMMYFUNCTION("""COMPUTED_VALUE"""),"A204")</f>
        <v>A204</v>
      </c>
      <c r="C283" s="28" t="str">
        <f>IFERROR(__xludf.DUMMYFUNCTION("""COMPUTED_VALUE"""),"TRF19")</f>
        <v>TRF19</v>
      </c>
      <c r="D283" s="29" t="str">
        <f>IFERROR(__xludf.DUMMYFUNCTION("""COMPUTED_VALUE"""),"Chaldea Gate (Fri)")</f>
        <v>Chaldea Gate (Fri)</v>
      </c>
      <c r="E283" s="30" t="str">
        <f>IFERROR(__xludf.DUMMYFUNCTION("""COMPUTED_VALUE"""),"FRI Caster Training Ground- Adv")</f>
        <v>FRI Caster Training Ground- Adv</v>
      </c>
      <c r="F283" s="31">
        <f>IFERROR(__xludf.DUMMYFUNCTION("""COMPUTED_VALUE"""),30.0)</f>
        <v>30</v>
      </c>
      <c r="G283" s="32">
        <f>IFERROR(__xludf.DUMMYFUNCTION("""COMPUTED_VALUE"""),2136.0)</f>
        <v>2136</v>
      </c>
      <c r="H283" s="33" t="str">
        <f>IFERROR(__xludf.DUMMYFUNCTION("""COMPUTED_VALUE"""),"")</f>
        <v/>
      </c>
      <c r="I283" s="34">
        <f>IFERROR(__xludf.DUMMYFUNCTION("""COMPUTED_VALUE"""),131.405721316518)</f>
        <v>131.4057213</v>
      </c>
      <c r="J283" s="35" t="str">
        <f>IFERROR(__xludf.DUMMYFUNCTION("""COMPUTED_VALUE"""),"AP")</f>
        <v>AP</v>
      </c>
      <c r="K283" s="34">
        <f>IFERROR(__xludf.DUMMYFUNCTION("""COMPUTED_VALUE"""),22.83005617977528)</f>
        <v>22.83005618</v>
      </c>
      <c r="L283" s="35" t="str">
        <f>IFERROR(__xludf.DUMMYFUNCTION("""COMPUTED_VALUE"""),"%")</f>
        <v>%</v>
      </c>
      <c r="M283" s="36">
        <f>IFERROR(__xludf.DUMMYFUNCTION("""COMPUTED_VALUE"""),1.0)</f>
        <v>1</v>
      </c>
      <c r="N283" s="37" t="str">
        <f>IFERROR(__xludf.DUMMYFUNCTION("""COMPUTED_VALUE"""),"A102")</f>
        <v>A102</v>
      </c>
      <c r="O283" s="38" t="str">
        <f>IFERROR(__xludf.DUMMYFUNCTION("""COMPUTED_VALUE"""),"")</f>
        <v/>
      </c>
      <c r="P283" s="34">
        <f>IFERROR(__xludf.DUMMYFUNCTION("""COMPUTED_VALUE"""),720.226588140089)</f>
        <v>720.2265881</v>
      </c>
      <c r="Q283" s="35" t="str">
        <f>IFERROR(__xludf.DUMMYFUNCTION("""COMPUTED_VALUE"""),"AP")</f>
        <v>AP</v>
      </c>
      <c r="R283" s="34">
        <f>IFERROR(__xludf.DUMMYFUNCTION("""COMPUTED_VALUE"""),4.165355805243446)</f>
        <v>4.165355805</v>
      </c>
      <c r="S283" s="35" t="str">
        <f>IFERROR(__xludf.DUMMYFUNCTION("""COMPUTED_VALUE"""),"%")</f>
        <v>%</v>
      </c>
      <c r="T283" s="36">
        <f>IFERROR(__xludf.DUMMYFUNCTION("""COMPUTED_VALUE"""),2.0)</f>
        <v>2</v>
      </c>
      <c r="U283" s="37" t="str">
        <f>IFERROR(__xludf.DUMMYFUNCTION("""COMPUTED_VALUE"""),"A207")</f>
        <v>A207</v>
      </c>
      <c r="V283" s="38" t="str">
        <f>IFERROR(__xludf.DUMMYFUNCTION("""COMPUTED_VALUE"""),"")</f>
        <v/>
      </c>
      <c r="W283" s="34">
        <f>IFERROR(__xludf.DUMMYFUNCTION("""COMPUTED_VALUE"""),186.02814807933487)</f>
        <v>186.0281481</v>
      </c>
      <c r="X283" s="35" t="str">
        <f>IFERROR(__xludf.DUMMYFUNCTION("""COMPUTED_VALUE"""),"AP")</f>
        <v>AP</v>
      </c>
      <c r="Y283" s="34">
        <f>IFERROR(__xludf.DUMMYFUNCTION("""COMPUTED_VALUE"""),16.126591760299625)</f>
        <v>16.12659176</v>
      </c>
      <c r="Z283" s="35" t="str">
        <f>IFERROR(__xludf.DUMMYFUNCTION("""COMPUTED_VALUE"""),"%")</f>
        <v>%</v>
      </c>
      <c r="AA283" s="36">
        <f>IFERROR(__xludf.DUMMYFUNCTION("""COMPUTED_VALUE"""),3.0)</f>
        <v>3</v>
      </c>
      <c r="AB283" s="37" t="str">
        <f>IFERROR(__xludf.DUMMYFUNCTION("""COMPUTED_VALUE"""),"A304")</f>
        <v>A304</v>
      </c>
      <c r="AC283" s="38" t="str">
        <f>IFERROR(__xludf.DUMMYFUNCTION("""COMPUTED_VALUE"""),"")</f>
        <v/>
      </c>
      <c r="AD283" s="34">
        <f>IFERROR(__xludf.DUMMYFUNCTION("""COMPUTED_VALUE"""),145.00296432402098)</f>
        <v>145.0029643</v>
      </c>
      <c r="AE283" s="35" t="str">
        <f>IFERROR(__xludf.DUMMYFUNCTION("""COMPUTED_VALUE"""),"AP")</f>
        <v>AP</v>
      </c>
      <c r="AF283" s="34">
        <f>IFERROR(__xludf.DUMMYFUNCTION("""COMPUTED_VALUE"""),20.689232209737828)</f>
        <v>20.68923221</v>
      </c>
      <c r="AG283" s="35" t="str">
        <f>IFERROR(__xludf.DUMMYFUNCTION("""COMPUTED_VALUE"""),"%")</f>
        <v>%</v>
      </c>
      <c r="AH283" s="31">
        <f>IFERROR(__xludf.DUMMYFUNCTION("""COMPUTED_VALUE"""),30.0)</f>
        <v>30</v>
      </c>
      <c r="AI283" s="32">
        <f>IFERROR(__xludf.DUMMYFUNCTION("""COMPUTED_VALUE"""),2136.0)</f>
        <v>2136</v>
      </c>
      <c r="AJ283" s="30" t="str">
        <f>IFERROR(__xludf.DUMMYFUNCTION("""COMPUTED_VALUE"""),"FRI Caster Training Ground- Adv")</f>
        <v>FRI Caster Training Ground- Adv</v>
      </c>
    </row>
    <row r="284" ht="24.75" customHeight="1">
      <c r="A284" s="40">
        <f>IFERROR(__xludf.DUMMYFUNCTION("""COMPUTED_VALUE"""),6.0)</f>
        <v>6</v>
      </c>
      <c r="B284" s="40" t="str">
        <f>IFERROR(__xludf.DUMMYFUNCTION("""COMPUTED_VALUE"""),"A204")</f>
        <v>A204</v>
      </c>
      <c r="C284" s="40" t="str">
        <f>IFERROR(__xludf.DUMMYFUNCTION("""COMPUTED_VALUE"""),"CML2")</f>
        <v>CML2</v>
      </c>
      <c r="D284" s="41" t="str">
        <f>IFERROR(__xludf.DUMMYFUNCTION("""COMPUTED_VALUE"""),"Camelot")</f>
        <v>Camelot</v>
      </c>
      <c r="E284" s="42" t="str">
        <f>IFERROR(__xludf.DUMMYFUNCTION("""COMPUTED_VALUE"""),"Dune of Dawn")</f>
        <v>Dune of Dawn</v>
      </c>
      <c r="F284" s="43">
        <f>IFERROR(__xludf.DUMMYFUNCTION("""COMPUTED_VALUE"""),19.0)</f>
        <v>19</v>
      </c>
      <c r="G284" s="44">
        <f>IFERROR(__xludf.DUMMYFUNCTION("""COMPUTED_VALUE"""),1191.0)</f>
        <v>1191</v>
      </c>
      <c r="H284" s="33" t="str">
        <f>IFERROR(__xludf.DUMMYFUNCTION("""COMPUTED_VALUE"""),"")</f>
        <v/>
      </c>
      <c r="I284" s="45">
        <f>IFERROR(__xludf.DUMMYFUNCTION("""COMPUTED_VALUE"""),134.47230805799856)</f>
        <v>134.4723081</v>
      </c>
      <c r="J284" s="46" t="str">
        <f>IFERROR(__xludf.DUMMYFUNCTION("""COMPUTED_VALUE"""),"AP")</f>
        <v>AP</v>
      </c>
      <c r="K284" s="47">
        <f>IFERROR(__xludf.DUMMYFUNCTION("""COMPUTED_VALUE"""),14.129303106633081)</f>
        <v>14.12930311</v>
      </c>
      <c r="L284" s="48" t="str">
        <f>IFERROR(__xludf.DUMMYFUNCTION("""COMPUTED_VALUE"""),"%")</f>
        <v>%</v>
      </c>
      <c r="M284" s="49">
        <f>IFERROR(__xludf.DUMMYFUNCTION("""COMPUTED_VALUE"""),1.0)</f>
        <v>1</v>
      </c>
      <c r="N284" s="50" t="str">
        <f>IFERROR(__xludf.DUMMYFUNCTION("""COMPUTED_VALUE"""),"A108")</f>
        <v>A108</v>
      </c>
      <c r="O284" s="38" t="str">
        <f>IFERROR(__xludf.DUMMYFUNCTION("""COMPUTED_VALUE"""),"")</f>
        <v/>
      </c>
      <c r="P284" s="45">
        <f>IFERROR(__xludf.DUMMYFUNCTION("""COMPUTED_VALUE"""),169.99203713998105)</f>
        <v>169.9920371</v>
      </c>
      <c r="Q284" s="46" t="str">
        <f>IFERROR(__xludf.DUMMYFUNCTION("""COMPUTED_VALUE"""),"AP")</f>
        <v>AP</v>
      </c>
      <c r="R284" s="47">
        <f>IFERROR(__xludf.DUMMYFUNCTION("""COMPUTED_VALUE"""),11.176994122586063)</f>
        <v>11.17699412</v>
      </c>
      <c r="S284" s="48" t="str">
        <f>IFERROR(__xludf.DUMMYFUNCTION("""COMPUTED_VALUE"""),"%")</f>
        <v>%</v>
      </c>
      <c r="T284" s="49">
        <f>IFERROR(__xludf.DUMMYFUNCTION("""COMPUTED_VALUE"""),2.0)</f>
        <v>2</v>
      </c>
      <c r="U284" s="50" t="str">
        <f>IFERROR(__xludf.DUMMYFUNCTION("""COMPUTED_VALUE"""),"B115")</f>
        <v>B115</v>
      </c>
      <c r="V284" s="38" t="str">
        <f>IFERROR(__xludf.DUMMYFUNCTION("""COMPUTED_VALUE"""),"")</f>
        <v/>
      </c>
      <c r="W284" s="45">
        <f>IFERROR(__xludf.DUMMYFUNCTION("""COMPUTED_VALUE"""),44.10911551306578)</f>
        <v>44.10911551</v>
      </c>
      <c r="X284" s="46" t="str">
        <f>IFERROR(__xludf.DUMMYFUNCTION("""COMPUTED_VALUE"""),"AP")</f>
        <v>AP</v>
      </c>
      <c r="Y284" s="47">
        <f>IFERROR(__xludf.DUMMYFUNCTION("""COMPUTED_VALUE"""),43.07499658289887)</f>
        <v>43.07499658</v>
      </c>
      <c r="Z284" s="48" t="str">
        <f>IFERROR(__xludf.DUMMYFUNCTION("""COMPUTED_VALUE"""),"%")</f>
        <v>%</v>
      </c>
      <c r="AA284" s="49">
        <f>IFERROR(__xludf.DUMMYFUNCTION("""COMPUTED_VALUE"""),3.0)</f>
        <v>3</v>
      </c>
      <c r="AB284" s="50"/>
      <c r="AC284" s="38"/>
      <c r="AD284" s="45" t="str">
        <f>IFERROR(__xludf.DUMMYFUNCTION("""COMPUTED_VALUE"""),"")</f>
        <v/>
      </c>
      <c r="AE284" s="46" t="str">
        <f>IFERROR(__xludf.DUMMYFUNCTION("""COMPUTED_VALUE"""),"AP")</f>
        <v>AP</v>
      </c>
      <c r="AF284" s="47" t="str">
        <f>IFERROR(__xludf.DUMMYFUNCTION("""COMPUTED_VALUE"""),"")</f>
        <v/>
      </c>
      <c r="AG284" s="48" t="str">
        <f>IFERROR(__xludf.DUMMYFUNCTION("""COMPUTED_VALUE"""),"%")</f>
        <v>%</v>
      </c>
      <c r="AH284" s="43">
        <f>IFERROR(__xludf.DUMMYFUNCTION("""COMPUTED_VALUE"""),19.0)</f>
        <v>19</v>
      </c>
      <c r="AI284" s="44">
        <f>IFERROR(__xludf.DUMMYFUNCTION("""COMPUTED_VALUE"""),1191.0)</f>
        <v>1191</v>
      </c>
      <c r="AJ284" s="42" t="str">
        <f>IFERROR(__xludf.DUMMYFUNCTION("""COMPUTED_VALUE"""),"Dune of Dawn")</f>
        <v>Dune of Dawn</v>
      </c>
    </row>
    <row r="285" ht="24.75" customHeight="1">
      <c r="A285" s="28">
        <f>IFERROR(__xludf.DUMMYFUNCTION("""COMPUTED_VALUE"""),7.0)</f>
        <v>7</v>
      </c>
      <c r="B285" s="28" t="str">
        <f>IFERROR(__xludf.DUMMYFUNCTION("""COMPUTED_VALUE"""),"A204")</f>
        <v>A204</v>
      </c>
      <c r="C285" s="28" t="str">
        <f>IFERROR(__xludf.DUMMYFUNCTION("""COMPUTED_VALUE"""),"TRF18")</f>
        <v>TRF18</v>
      </c>
      <c r="D285" s="29" t="str">
        <f>IFERROR(__xludf.DUMMYFUNCTION("""COMPUTED_VALUE"""),"Chaldea Gate (Fri)")</f>
        <v>Chaldea Gate (Fri)</v>
      </c>
      <c r="E285" s="30" t="str">
        <f>IFERROR(__xludf.DUMMYFUNCTION("""COMPUTED_VALUE"""),"FRI Caster Training Ground- Int")</f>
        <v>FRI Caster Training Ground- Int</v>
      </c>
      <c r="F285" s="31">
        <f>IFERROR(__xludf.DUMMYFUNCTION("""COMPUTED_VALUE"""),20.0)</f>
        <v>20</v>
      </c>
      <c r="G285" s="32">
        <f>IFERROR(__xludf.DUMMYFUNCTION("""COMPUTED_VALUE"""),1211.0)</f>
        <v>1211</v>
      </c>
      <c r="H285" s="33" t="str">
        <f>IFERROR(__xludf.DUMMYFUNCTION("""COMPUTED_VALUE"""),"")</f>
        <v/>
      </c>
      <c r="I285" s="34">
        <f>IFERROR(__xludf.DUMMYFUNCTION("""COMPUTED_VALUE"""),140.5785661218425)</f>
        <v>140.5785661</v>
      </c>
      <c r="J285" s="35" t="str">
        <f>IFERROR(__xludf.DUMMYFUNCTION("""COMPUTED_VALUE"""),"AP")</f>
        <v>AP</v>
      </c>
      <c r="K285" s="34">
        <f>IFERROR(__xludf.DUMMYFUNCTION("""COMPUTED_VALUE"""),14.226919900908342)</f>
        <v>14.2269199</v>
      </c>
      <c r="L285" s="35" t="str">
        <f>IFERROR(__xludf.DUMMYFUNCTION("""COMPUTED_VALUE"""),"%")</f>
        <v>%</v>
      </c>
      <c r="M285" s="36">
        <f>IFERROR(__xludf.DUMMYFUNCTION("""COMPUTED_VALUE"""),1.0)</f>
        <v>1</v>
      </c>
      <c r="N285" s="37" t="str">
        <f>IFERROR(__xludf.DUMMYFUNCTION("""COMPUTED_VALUE"""),"A207")</f>
        <v>A207</v>
      </c>
      <c r="O285" s="38" t="str">
        <f>IFERROR(__xludf.DUMMYFUNCTION("""COMPUTED_VALUE"""),"")</f>
        <v/>
      </c>
      <c r="P285" s="34">
        <f>IFERROR(__xludf.DUMMYFUNCTION("""COMPUTED_VALUE"""),206.34541984732823)</f>
        <v>206.3454198</v>
      </c>
      <c r="Q285" s="35" t="str">
        <f>IFERROR(__xludf.DUMMYFUNCTION("""COMPUTED_VALUE"""),"AP")</f>
        <v>AP</v>
      </c>
      <c r="R285" s="34">
        <f>IFERROR(__xludf.DUMMYFUNCTION("""COMPUTED_VALUE"""),9.692485549132948)</f>
        <v>9.692485549</v>
      </c>
      <c r="S285" s="35" t="str">
        <f>IFERROR(__xludf.DUMMYFUNCTION("""COMPUTED_VALUE"""),"%")</f>
        <v>%</v>
      </c>
      <c r="T285" s="36">
        <f>IFERROR(__xludf.DUMMYFUNCTION("""COMPUTED_VALUE"""),2.0)</f>
        <v>2</v>
      </c>
      <c r="U285" s="37" t="str">
        <f>IFERROR(__xludf.DUMMYFUNCTION("""COMPUTED_VALUE"""),"A304")</f>
        <v>A304</v>
      </c>
      <c r="V285" s="38" t="str">
        <f>IFERROR(__xludf.DUMMYFUNCTION("""COMPUTED_VALUE"""),"")</f>
        <v/>
      </c>
      <c r="W285" s="34">
        <f>IFERROR(__xludf.DUMMYFUNCTION("""COMPUTED_VALUE"""),97.75589279948338)</f>
        <v>97.7558928</v>
      </c>
      <c r="X285" s="35" t="str">
        <f>IFERROR(__xludf.DUMMYFUNCTION("""COMPUTED_VALUE"""),"AP")</f>
        <v>AP</v>
      </c>
      <c r="Y285" s="34">
        <f>IFERROR(__xludf.DUMMYFUNCTION("""COMPUTED_VALUE"""),20.459124690338562)</f>
        <v>20.45912469</v>
      </c>
      <c r="Z285" s="35" t="str">
        <f>IFERROR(__xludf.DUMMYFUNCTION("""COMPUTED_VALUE"""),"%")</f>
        <v>%</v>
      </c>
      <c r="AA285" s="36">
        <f>IFERROR(__xludf.DUMMYFUNCTION("""COMPUTED_VALUE"""),3.0)</f>
        <v>3</v>
      </c>
      <c r="AB285" s="37" t="str">
        <f>IFERROR(__xludf.DUMMYFUNCTION("""COMPUTED_VALUE"""),"B115")</f>
        <v>B115</v>
      </c>
      <c r="AC285" s="38" t="str">
        <f>IFERROR(__xludf.DUMMYFUNCTION("""COMPUTED_VALUE"""),"")</f>
        <v/>
      </c>
      <c r="AD285" s="34">
        <f>IFERROR(__xludf.DUMMYFUNCTION("""COMPUTED_VALUE"""),25.87872260402776)</f>
        <v>25.8787226</v>
      </c>
      <c r="AE285" s="35" t="str">
        <f>IFERROR(__xludf.DUMMYFUNCTION("""COMPUTED_VALUE"""),"AP")</f>
        <v>AP</v>
      </c>
      <c r="AF285" s="34">
        <f>IFERROR(__xludf.DUMMYFUNCTION("""COMPUTED_VALUE"""),77.28356729975228)</f>
        <v>77.2835673</v>
      </c>
      <c r="AG285" s="35" t="str">
        <f>IFERROR(__xludf.DUMMYFUNCTION("""COMPUTED_VALUE"""),"%")</f>
        <v>%</v>
      </c>
      <c r="AH285" s="31">
        <f>IFERROR(__xludf.DUMMYFUNCTION("""COMPUTED_VALUE"""),20.0)</f>
        <v>20</v>
      </c>
      <c r="AI285" s="32">
        <f>IFERROR(__xludf.DUMMYFUNCTION("""COMPUTED_VALUE"""),1211.0)</f>
        <v>1211</v>
      </c>
      <c r="AJ285" s="30" t="str">
        <f>IFERROR(__xludf.DUMMYFUNCTION("""COMPUTED_VALUE"""),"FRI Caster Training Ground- Int")</f>
        <v>FRI Caster Training Ground- Int</v>
      </c>
    </row>
    <row r="286" ht="24.75" customHeight="1">
      <c r="A286" s="40">
        <f>IFERROR(__xludf.DUMMYFUNCTION("""COMPUTED_VALUE"""),8.0)</f>
        <v>8</v>
      </c>
      <c r="B286" s="40" t="str">
        <f>IFERROR(__xludf.DUMMYFUNCTION("""COMPUTED_VALUE"""),"A204")</f>
        <v>A204</v>
      </c>
      <c r="C286" s="40" t="str">
        <f>IFERROR(__xludf.DUMMYFUNCTION("""COMPUTED_VALUE"""),"TRF20")</f>
        <v>TRF20</v>
      </c>
      <c r="D286" s="41" t="str">
        <f>IFERROR(__xludf.DUMMYFUNCTION("""COMPUTED_VALUE"""),"Chaldea Gate (Fri)")</f>
        <v>Chaldea Gate (Fri)</v>
      </c>
      <c r="E286" s="42" t="str">
        <f>IFERROR(__xludf.DUMMYFUNCTION("""COMPUTED_VALUE"""),"FRI Caster Training Ground- Exp")</f>
        <v>FRI Caster Training Ground- Exp</v>
      </c>
      <c r="F286" s="43">
        <f>IFERROR(__xludf.DUMMYFUNCTION("""COMPUTED_VALUE"""),40.0)</f>
        <v>40</v>
      </c>
      <c r="G286" s="44">
        <f>IFERROR(__xludf.DUMMYFUNCTION("""COMPUTED_VALUE"""),13329.0)</f>
        <v>13329</v>
      </c>
      <c r="H286" s="33" t="str">
        <f>IFERROR(__xludf.DUMMYFUNCTION("""COMPUTED_VALUE"""),"")</f>
        <v/>
      </c>
      <c r="I286" s="45">
        <f>IFERROR(__xludf.DUMMYFUNCTION("""COMPUTED_VALUE"""),161.05860604038156)</f>
        <v>161.058606</v>
      </c>
      <c r="J286" s="46" t="str">
        <f>IFERROR(__xludf.DUMMYFUNCTION("""COMPUTED_VALUE"""),"AP")</f>
        <v>AP</v>
      </c>
      <c r="K286" s="47">
        <f>IFERROR(__xludf.DUMMYFUNCTION("""COMPUTED_VALUE"""),24.835679994629388)</f>
        <v>24.83567999</v>
      </c>
      <c r="L286" s="48" t="str">
        <f>IFERROR(__xludf.DUMMYFUNCTION("""COMPUTED_VALUE"""),"%")</f>
        <v>%</v>
      </c>
      <c r="M286" s="49">
        <f>IFERROR(__xludf.DUMMYFUNCTION("""COMPUTED_VALUE"""),1.0)</f>
        <v>1</v>
      </c>
      <c r="N286" s="50" t="str">
        <f>IFERROR(__xludf.DUMMYFUNCTION("""COMPUTED_VALUE"""),"A102")</f>
        <v>A102</v>
      </c>
      <c r="O286" s="38" t="str">
        <f>IFERROR(__xludf.DUMMYFUNCTION("""COMPUTED_VALUE"""),"")</f>
        <v/>
      </c>
      <c r="P286" s="45">
        <f>IFERROR(__xludf.DUMMYFUNCTION("""COMPUTED_VALUE"""),639.3500659023124)</f>
        <v>639.3500659</v>
      </c>
      <c r="Q286" s="46" t="str">
        <f>IFERROR(__xludf.DUMMYFUNCTION("""COMPUTED_VALUE"""),"AP")</f>
        <v>AP</v>
      </c>
      <c r="R286" s="47">
        <f>IFERROR(__xludf.DUMMYFUNCTION("""COMPUTED_VALUE"""),6.256353464756142)</f>
        <v>6.256353465</v>
      </c>
      <c r="S286" s="48" t="str">
        <f>IFERROR(__xludf.DUMMYFUNCTION("""COMPUTED_VALUE"""),"%")</f>
        <v>%</v>
      </c>
      <c r="T286" s="49">
        <f>IFERROR(__xludf.DUMMYFUNCTION("""COMPUTED_VALUE"""),2.0)</f>
        <v>2</v>
      </c>
      <c r="U286" s="50" t="str">
        <f>IFERROR(__xludf.DUMMYFUNCTION("""COMPUTED_VALUE"""),"A207")</f>
        <v>A207</v>
      </c>
      <c r="V286" s="38" t="str">
        <f>IFERROR(__xludf.DUMMYFUNCTION("""COMPUTED_VALUE"""),"")</f>
        <v/>
      </c>
      <c r="W286" s="45">
        <f>IFERROR(__xludf.DUMMYFUNCTION("""COMPUTED_VALUE"""),194.3664613593877)</f>
        <v>194.3664614</v>
      </c>
      <c r="X286" s="46" t="str">
        <f>IFERROR(__xludf.DUMMYFUNCTION("""COMPUTED_VALUE"""),"AP")</f>
        <v>AP</v>
      </c>
      <c r="Y286" s="47">
        <f>IFERROR(__xludf.DUMMYFUNCTION("""COMPUTED_VALUE"""),20.57968217368487)</f>
        <v>20.57968217</v>
      </c>
      <c r="Z286" s="48" t="str">
        <f>IFERROR(__xludf.DUMMYFUNCTION("""COMPUTED_VALUE"""),"%")</f>
        <v>%</v>
      </c>
      <c r="AA286" s="49">
        <f>IFERROR(__xludf.DUMMYFUNCTION("""COMPUTED_VALUE"""),3.0)</f>
        <v>3</v>
      </c>
      <c r="AB286" s="50" t="str">
        <f>IFERROR(__xludf.DUMMYFUNCTION("""COMPUTED_VALUE"""),"A304")</f>
        <v>A304</v>
      </c>
      <c r="AC286" s="38" t="str">
        <f>IFERROR(__xludf.DUMMYFUNCTION("""COMPUTED_VALUE"""),"")</f>
        <v/>
      </c>
      <c r="AD286" s="45">
        <f>IFERROR(__xludf.DUMMYFUNCTION("""COMPUTED_VALUE"""),163.58755067033417)</f>
        <v>163.5875507</v>
      </c>
      <c r="AE286" s="46" t="str">
        <f>IFERROR(__xludf.DUMMYFUNCTION("""COMPUTED_VALUE"""),"AP")</f>
        <v>AP</v>
      </c>
      <c r="AF286" s="47">
        <f>IFERROR(__xludf.DUMMYFUNCTION("""COMPUTED_VALUE"""),24.45173843369599)</f>
        <v>24.45173843</v>
      </c>
      <c r="AG286" s="48" t="str">
        <f>IFERROR(__xludf.DUMMYFUNCTION("""COMPUTED_VALUE"""),"%")</f>
        <v>%</v>
      </c>
      <c r="AH286" s="43">
        <f>IFERROR(__xludf.DUMMYFUNCTION("""COMPUTED_VALUE"""),40.0)</f>
        <v>40</v>
      </c>
      <c r="AI286" s="44">
        <f>IFERROR(__xludf.DUMMYFUNCTION("""COMPUTED_VALUE"""),13329.0)</f>
        <v>13329</v>
      </c>
      <c r="AJ286" s="42" t="str">
        <f>IFERROR(__xludf.DUMMYFUNCTION("""COMPUTED_VALUE"""),"FRI Caster Training Ground- Exp")</f>
        <v>FRI Caster Training Ground- Exp</v>
      </c>
    </row>
    <row r="287" ht="24.75" customHeight="1">
      <c r="A287" s="28">
        <f>IFERROR(__xludf.DUMMYFUNCTION("""COMPUTED_VALUE"""),9.0)</f>
        <v>9</v>
      </c>
      <c r="B287" s="28" t="str">
        <f>IFERROR(__xludf.DUMMYFUNCTION("""COMPUTED_VALUE"""),"A204")</f>
        <v>A204</v>
      </c>
      <c r="C287" s="28"/>
      <c r="D287" s="29"/>
      <c r="E287" s="67"/>
      <c r="F287" s="31"/>
      <c r="G287" s="32"/>
      <c r="H287" s="33" t="str">
        <f>IFERROR(__xludf.DUMMYFUNCTION("""COMPUTED_VALUE""")," ")</f>
        <v> </v>
      </c>
      <c r="I287" s="34"/>
      <c r="J287" s="35" t="str">
        <f>IFERROR(__xludf.DUMMYFUNCTION("""COMPUTED_VALUE"""),"AP")</f>
        <v>AP</v>
      </c>
      <c r="K287" s="34"/>
      <c r="L287" s="35" t="str">
        <f>IFERROR(__xludf.DUMMYFUNCTION("""COMPUTED_VALUE"""),"%")</f>
        <v>%</v>
      </c>
      <c r="M287" s="36">
        <f>IFERROR(__xludf.DUMMYFUNCTION("""COMPUTED_VALUE"""),1.0)</f>
        <v>1</v>
      </c>
      <c r="N287" s="37"/>
      <c r="O287" s="38"/>
      <c r="P287" s="34" t="str">
        <f>IFERROR(__xludf.DUMMYFUNCTION("""COMPUTED_VALUE"""),"")</f>
        <v/>
      </c>
      <c r="Q287" s="35" t="str">
        <f>IFERROR(__xludf.DUMMYFUNCTION("""COMPUTED_VALUE"""),"AP")</f>
        <v>AP</v>
      </c>
      <c r="R287" s="34" t="str">
        <f>IFERROR(__xludf.DUMMYFUNCTION("""COMPUTED_VALUE"""),"")</f>
        <v/>
      </c>
      <c r="S287" s="35" t="str">
        <f>IFERROR(__xludf.DUMMYFUNCTION("""COMPUTED_VALUE"""),"%")</f>
        <v>%</v>
      </c>
      <c r="T287" s="36">
        <f>IFERROR(__xludf.DUMMYFUNCTION("""COMPUTED_VALUE"""),2.0)</f>
        <v>2</v>
      </c>
      <c r="U287" s="37"/>
      <c r="V287" s="38"/>
      <c r="W287" s="34" t="str">
        <f>IFERROR(__xludf.DUMMYFUNCTION("""COMPUTED_VALUE"""),"")</f>
        <v/>
      </c>
      <c r="X287" s="35" t="str">
        <f>IFERROR(__xludf.DUMMYFUNCTION("""COMPUTED_VALUE"""),"AP")</f>
        <v>AP</v>
      </c>
      <c r="Y287" s="34" t="str">
        <f>IFERROR(__xludf.DUMMYFUNCTION("""COMPUTED_VALUE"""),"")</f>
        <v/>
      </c>
      <c r="Z287" s="35" t="str">
        <f>IFERROR(__xludf.DUMMYFUNCTION("""COMPUTED_VALUE"""),"%")</f>
        <v>%</v>
      </c>
      <c r="AA287" s="36">
        <f>IFERROR(__xludf.DUMMYFUNCTION("""COMPUTED_VALUE"""),3.0)</f>
        <v>3</v>
      </c>
      <c r="AB287" s="37"/>
      <c r="AC287" s="38"/>
      <c r="AD287" s="34" t="str">
        <f>IFERROR(__xludf.DUMMYFUNCTION("""COMPUTED_VALUE"""),"")</f>
        <v/>
      </c>
      <c r="AE287" s="35" t="str">
        <f>IFERROR(__xludf.DUMMYFUNCTION("""COMPUTED_VALUE"""),"AP")</f>
        <v>AP</v>
      </c>
      <c r="AF287" s="34" t="str">
        <f>IFERROR(__xludf.DUMMYFUNCTION("""COMPUTED_VALUE"""),"")</f>
        <v/>
      </c>
      <c r="AG287" s="35" t="str">
        <f>IFERROR(__xludf.DUMMYFUNCTION("""COMPUTED_VALUE"""),"%")</f>
        <v>%</v>
      </c>
      <c r="AH287" s="31"/>
      <c r="AI287" s="32"/>
      <c r="AJ287" s="67"/>
    </row>
    <row r="288" ht="24.75" hidden="1" customHeight="1">
      <c r="A288" s="40">
        <f>IFERROR(__xludf.DUMMYFUNCTION("""COMPUTED_VALUE"""),10.0)</f>
        <v>10</v>
      </c>
      <c r="B288" s="40" t="str">
        <f>IFERROR(__xludf.DUMMYFUNCTION("""COMPUTED_VALUE"""),"A204")</f>
        <v>A204</v>
      </c>
      <c r="C288" s="40"/>
      <c r="D288" s="41"/>
      <c r="E288" s="66"/>
      <c r="F288" s="43"/>
      <c r="G288" s="44"/>
      <c r="H288" s="33" t="str">
        <f>IFERROR(__xludf.DUMMYFUNCTION("""COMPUTED_VALUE""")," ")</f>
        <v> </v>
      </c>
      <c r="I288" s="45"/>
      <c r="J288" s="46" t="str">
        <f>IFERROR(__xludf.DUMMYFUNCTION("""COMPUTED_VALUE"""),"AP")</f>
        <v>AP</v>
      </c>
      <c r="K288" s="47"/>
      <c r="L288" s="48" t="str">
        <f>IFERROR(__xludf.DUMMYFUNCTION("""COMPUTED_VALUE"""),"%")</f>
        <v>%</v>
      </c>
      <c r="M288" s="49">
        <f>IFERROR(__xludf.DUMMYFUNCTION("""COMPUTED_VALUE"""),1.0)</f>
        <v>1</v>
      </c>
      <c r="N288" s="50"/>
      <c r="O288" s="38"/>
      <c r="P288" s="45" t="str">
        <f>IFERROR(__xludf.DUMMYFUNCTION("""COMPUTED_VALUE"""),"")</f>
        <v/>
      </c>
      <c r="Q288" s="46" t="str">
        <f>IFERROR(__xludf.DUMMYFUNCTION("""COMPUTED_VALUE"""),"AP")</f>
        <v>AP</v>
      </c>
      <c r="R288" s="47" t="str">
        <f>IFERROR(__xludf.DUMMYFUNCTION("""COMPUTED_VALUE"""),"")</f>
        <v/>
      </c>
      <c r="S288" s="48" t="str">
        <f>IFERROR(__xludf.DUMMYFUNCTION("""COMPUTED_VALUE"""),"%")</f>
        <v>%</v>
      </c>
      <c r="T288" s="49">
        <f>IFERROR(__xludf.DUMMYFUNCTION("""COMPUTED_VALUE"""),2.0)</f>
        <v>2</v>
      </c>
      <c r="U288" s="50"/>
      <c r="V288" s="38"/>
      <c r="W288" s="45" t="str">
        <f>IFERROR(__xludf.DUMMYFUNCTION("""COMPUTED_VALUE"""),"")</f>
        <v/>
      </c>
      <c r="X288" s="46" t="str">
        <f>IFERROR(__xludf.DUMMYFUNCTION("""COMPUTED_VALUE"""),"AP")</f>
        <v>AP</v>
      </c>
      <c r="Y288" s="47" t="str">
        <f>IFERROR(__xludf.DUMMYFUNCTION("""COMPUTED_VALUE"""),"")</f>
        <v/>
      </c>
      <c r="Z288" s="48" t="str">
        <f>IFERROR(__xludf.DUMMYFUNCTION("""COMPUTED_VALUE"""),"%")</f>
        <v>%</v>
      </c>
      <c r="AA288" s="49">
        <f>IFERROR(__xludf.DUMMYFUNCTION("""COMPUTED_VALUE"""),3.0)</f>
        <v>3</v>
      </c>
      <c r="AB288" s="50"/>
      <c r="AC288" s="38"/>
      <c r="AD288" s="45" t="str">
        <f>IFERROR(__xludf.DUMMYFUNCTION("""COMPUTED_VALUE"""),"")</f>
        <v/>
      </c>
      <c r="AE288" s="46" t="str">
        <f>IFERROR(__xludf.DUMMYFUNCTION("""COMPUTED_VALUE"""),"AP")</f>
        <v>AP</v>
      </c>
      <c r="AF288" s="47" t="str">
        <f>IFERROR(__xludf.DUMMYFUNCTION("""COMPUTED_VALUE"""),"")</f>
        <v/>
      </c>
      <c r="AG288" s="48" t="str">
        <f>IFERROR(__xludf.DUMMYFUNCTION("""COMPUTED_VALUE"""),"%")</f>
        <v>%</v>
      </c>
      <c r="AH288" s="43"/>
      <c r="AI288" s="44"/>
      <c r="AJ288" s="66"/>
    </row>
    <row r="289" ht="24.75" hidden="1" customHeight="1">
      <c r="A289" s="28">
        <f>IFERROR(__xludf.DUMMYFUNCTION("""COMPUTED_VALUE"""),11.0)</f>
        <v>11</v>
      </c>
      <c r="B289" s="28" t="str">
        <f>IFERROR(__xludf.DUMMYFUNCTION("""COMPUTED_VALUE"""),"A204")</f>
        <v>A204</v>
      </c>
      <c r="C289" s="28"/>
      <c r="D289" s="29"/>
      <c r="E289" s="67"/>
      <c r="F289" s="31"/>
      <c r="G289" s="32"/>
      <c r="H289" s="33" t="str">
        <f>IFERROR(__xludf.DUMMYFUNCTION("""COMPUTED_VALUE""")," ")</f>
        <v> </v>
      </c>
      <c r="I289" s="34"/>
      <c r="J289" s="35" t="str">
        <f>IFERROR(__xludf.DUMMYFUNCTION("""COMPUTED_VALUE"""),"AP")</f>
        <v>AP</v>
      </c>
      <c r="K289" s="34"/>
      <c r="L289" s="35" t="str">
        <f>IFERROR(__xludf.DUMMYFUNCTION("""COMPUTED_VALUE"""),"%")</f>
        <v>%</v>
      </c>
      <c r="M289" s="36">
        <f>IFERROR(__xludf.DUMMYFUNCTION("""COMPUTED_VALUE"""),1.0)</f>
        <v>1</v>
      </c>
      <c r="N289" s="37"/>
      <c r="O289" s="38"/>
      <c r="P289" s="34" t="str">
        <f>IFERROR(__xludf.DUMMYFUNCTION("""COMPUTED_VALUE"""),"")</f>
        <v/>
      </c>
      <c r="Q289" s="35" t="str">
        <f>IFERROR(__xludf.DUMMYFUNCTION("""COMPUTED_VALUE"""),"AP")</f>
        <v>AP</v>
      </c>
      <c r="R289" s="34" t="str">
        <f>IFERROR(__xludf.DUMMYFUNCTION("""COMPUTED_VALUE"""),"")</f>
        <v/>
      </c>
      <c r="S289" s="35" t="str">
        <f>IFERROR(__xludf.DUMMYFUNCTION("""COMPUTED_VALUE"""),"%")</f>
        <v>%</v>
      </c>
      <c r="T289" s="36">
        <f>IFERROR(__xludf.DUMMYFUNCTION("""COMPUTED_VALUE"""),2.0)</f>
        <v>2</v>
      </c>
      <c r="U289" s="37"/>
      <c r="V289" s="38"/>
      <c r="W289" s="34" t="str">
        <f>IFERROR(__xludf.DUMMYFUNCTION("""COMPUTED_VALUE"""),"")</f>
        <v/>
      </c>
      <c r="X289" s="35" t="str">
        <f>IFERROR(__xludf.DUMMYFUNCTION("""COMPUTED_VALUE"""),"AP")</f>
        <v>AP</v>
      </c>
      <c r="Y289" s="34" t="str">
        <f>IFERROR(__xludf.DUMMYFUNCTION("""COMPUTED_VALUE"""),"")</f>
        <v/>
      </c>
      <c r="Z289" s="35" t="str">
        <f>IFERROR(__xludf.DUMMYFUNCTION("""COMPUTED_VALUE"""),"%")</f>
        <v>%</v>
      </c>
      <c r="AA289" s="36">
        <f>IFERROR(__xludf.DUMMYFUNCTION("""COMPUTED_VALUE"""),3.0)</f>
        <v>3</v>
      </c>
      <c r="AB289" s="37"/>
      <c r="AC289" s="38"/>
      <c r="AD289" s="34" t="str">
        <f>IFERROR(__xludf.DUMMYFUNCTION("""COMPUTED_VALUE"""),"")</f>
        <v/>
      </c>
      <c r="AE289" s="35" t="str">
        <f>IFERROR(__xludf.DUMMYFUNCTION("""COMPUTED_VALUE"""),"AP")</f>
        <v>AP</v>
      </c>
      <c r="AF289" s="34" t="str">
        <f>IFERROR(__xludf.DUMMYFUNCTION("""COMPUTED_VALUE"""),"")</f>
        <v/>
      </c>
      <c r="AG289" s="35" t="str">
        <f>IFERROR(__xludf.DUMMYFUNCTION("""COMPUTED_VALUE"""),"%")</f>
        <v>%</v>
      </c>
      <c r="AH289" s="31"/>
      <c r="AI289" s="32"/>
      <c r="AJ289" s="67"/>
    </row>
    <row r="290" ht="24.75" hidden="1" customHeight="1">
      <c r="A290" s="40">
        <f>IFERROR(__xludf.DUMMYFUNCTION("""COMPUTED_VALUE"""),12.0)</f>
        <v>12</v>
      </c>
      <c r="B290" s="40" t="str">
        <f>IFERROR(__xludf.DUMMYFUNCTION("""COMPUTED_VALUE"""),"A204")</f>
        <v>A204</v>
      </c>
      <c r="C290" s="40"/>
      <c r="D290" s="41"/>
      <c r="E290" s="66"/>
      <c r="F290" s="43"/>
      <c r="G290" s="44"/>
      <c r="H290" s="33" t="str">
        <f>IFERROR(__xludf.DUMMYFUNCTION("""COMPUTED_VALUE""")," ")</f>
        <v> </v>
      </c>
      <c r="I290" s="45"/>
      <c r="J290" s="46" t="str">
        <f>IFERROR(__xludf.DUMMYFUNCTION("""COMPUTED_VALUE"""),"AP")</f>
        <v>AP</v>
      </c>
      <c r="K290" s="47"/>
      <c r="L290" s="48" t="str">
        <f>IFERROR(__xludf.DUMMYFUNCTION("""COMPUTED_VALUE"""),"%")</f>
        <v>%</v>
      </c>
      <c r="M290" s="49">
        <f>IFERROR(__xludf.DUMMYFUNCTION("""COMPUTED_VALUE"""),1.0)</f>
        <v>1</v>
      </c>
      <c r="N290" s="50"/>
      <c r="O290" s="38"/>
      <c r="P290" s="45" t="str">
        <f>IFERROR(__xludf.DUMMYFUNCTION("""COMPUTED_VALUE"""),"")</f>
        <v/>
      </c>
      <c r="Q290" s="46" t="str">
        <f>IFERROR(__xludf.DUMMYFUNCTION("""COMPUTED_VALUE"""),"AP")</f>
        <v>AP</v>
      </c>
      <c r="R290" s="47" t="str">
        <f>IFERROR(__xludf.DUMMYFUNCTION("""COMPUTED_VALUE"""),"")</f>
        <v/>
      </c>
      <c r="S290" s="48" t="str">
        <f>IFERROR(__xludf.DUMMYFUNCTION("""COMPUTED_VALUE"""),"%")</f>
        <v>%</v>
      </c>
      <c r="T290" s="49">
        <f>IFERROR(__xludf.DUMMYFUNCTION("""COMPUTED_VALUE"""),2.0)</f>
        <v>2</v>
      </c>
      <c r="U290" s="50"/>
      <c r="V290" s="38"/>
      <c r="W290" s="45" t="str">
        <f>IFERROR(__xludf.DUMMYFUNCTION("""COMPUTED_VALUE"""),"")</f>
        <v/>
      </c>
      <c r="X290" s="46" t="str">
        <f>IFERROR(__xludf.DUMMYFUNCTION("""COMPUTED_VALUE"""),"AP")</f>
        <v>AP</v>
      </c>
      <c r="Y290" s="47" t="str">
        <f>IFERROR(__xludf.DUMMYFUNCTION("""COMPUTED_VALUE"""),"")</f>
        <v/>
      </c>
      <c r="Z290" s="48" t="str">
        <f>IFERROR(__xludf.DUMMYFUNCTION("""COMPUTED_VALUE"""),"%")</f>
        <v>%</v>
      </c>
      <c r="AA290" s="49">
        <f>IFERROR(__xludf.DUMMYFUNCTION("""COMPUTED_VALUE"""),3.0)</f>
        <v>3</v>
      </c>
      <c r="AB290" s="50"/>
      <c r="AC290" s="38"/>
      <c r="AD290" s="45" t="str">
        <f>IFERROR(__xludf.DUMMYFUNCTION("""COMPUTED_VALUE"""),"")</f>
        <v/>
      </c>
      <c r="AE290" s="46" t="str">
        <f>IFERROR(__xludf.DUMMYFUNCTION("""COMPUTED_VALUE"""),"AP")</f>
        <v>AP</v>
      </c>
      <c r="AF290" s="47" t="str">
        <f>IFERROR(__xludf.DUMMYFUNCTION("""COMPUTED_VALUE"""),"")</f>
        <v/>
      </c>
      <c r="AG290" s="48" t="str">
        <f>IFERROR(__xludf.DUMMYFUNCTION("""COMPUTED_VALUE"""),"%")</f>
        <v>%</v>
      </c>
      <c r="AH290" s="43"/>
      <c r="AI290" s="44"/>
      <c r="AJ290" s="66"/>
    </row>
    <row r="291" ht="24.75" hidden="1" customHeight="1">
      <c r="A291" s="28">
        <f>IFERROR(__xludf.DUMMYFUNCTION("""COMPUTED_VALUE"""),13.0)</f>
        <v>13</v>
      </c>
      <c r="B291" s="28" t="str">
        <f>IFERROR(__xludf.DUMMYFUNCTION("""COMPUTED_VALUE"""),"A204")</f>
        <v>A204</v>
      </c>
      <c r="C291" s="28"/>
      <c r="D291" s="29"/>
      <c r="E291" s="67"/>
      <c r="F291" s="31"/>
      <c r="G291" s="32"/>
      <c r="H291" s="33" t="str">
        <f>IFERROR(__xludf.DUMMYFUNCTION("""COMPUTED_VALUE""")," ")</f>
        <v> </v>
      </c>
      <c r="I291" s="34"/>
      <c r="J291" s="35" t="str">
        <f>IFERROR(__xludf.DUMMYFUNCTION("""COMPUTED_VALUE"""),"AP")</f>
        <v>AP</v>
      </c>
      <c r="K291" s="34"/>
      <c r="L291" s="35" t="str">
        <f>IFERROR(__xludf.DUMMYFUNCTION("""COMPUTED_VALUE"""),"%")</f>
        <v>%</v>
      </c>
      <c r="M291" s="36">
        <f>IFERROR(__xludf.DUMMYFUNCTION("""COMPUTED_VALUE"""),1.0)</f>
        <v>1</v>
      </c>
      <c r="N291" s="37"/>
      <c r="O291" s="38"/>
      <c r="P291" s="34" t="str">
        <f>IFERROR(__xludf.DUMMYFUNCTION("""COMPUTED_VALUE"""),"")</f>
        <v/>
      </c>
      <c r="Q291" s="35" t="str">
        <f>IFERROR(__xludf.DUMMYFUNCTION("""COMPUTED_VALUE"""),"AP")</f>
        <v>AP</v>
      </c>
      <c r="R291" s="34" t="str">
        <f>IFERROR(__xludf.DUMMYFUNCTION("""COMPUTED_VALUE"""),"")</f>
        <v/>
      </c>
      <c r="S291" s="35" t="str">
        <f>IFERROR(__xludf.DUMMYFUNCTION("""COMPUTED_VALUE"""),"%")</f>
        <v>%</v>
      </c>
      <c r="T291" s="36">
        <f>IFERROR(__xludf.DUMMYFUNCTION("""COMPUTED_VALUE"""),2.0)</f>
        <v>2</v>
      </c>
      <c r="U291" s="37"/>
      <c r="V291" s="38"/>
      <c r="W291" s="34" t="str">
        <f>IFERROR(__xludf.DUMMYFUNCTION("""COMPUTED_VALUE"""),"")</f>
        <v/>
      </c>
      <c r="X291" s="35" t="str">
        <f>IFERROR(__xludf.DUMMYFUNCTION("""COMPUTED_VALUE"""),"AP")</f>
        <v>AP</v>
      </c>
      <c r="Y291" s="34" t="str">
        <f>IFERROR(__xludf.DUMMYFUNCTION("""COMPUTED_VALUE"""),"")</f>
        <v/>
      </c>
      <c r="Z291" s="35" t="str">
        <f>IFERROR(__xludf.DUMMYFUNCTION("""COMPUTED_VALUE"""),"%")</f>
        <v>%</v>
      </c>
      <c r="AA291" s="36">
        <f>IFERROR(__xludf.DUMMYFUNCTION("""COMPUTED_VALUE"""),3.0)</f>
        <v>3</v>
      </c>
      <c r="AB291" s="37"/>
      <c r="AC291" s="38"/>
      <c r="AD291" s="34" t="str">
        <f>IFERROR(__xludf.DUMMYFUNCTION("""COMPUTED_VALUE"""),"")</f>
        <v/>
      </c>
      <c r="AE291" s="35" t="str">
        <f>IFERROR(__xludf.DUMMYFUNCTION("""COMPUTED_VALUE"""),"AP")</f>
        <v>AP</v>
      </c>
      <c r="AF291" s="34" t="str">
        <f>IFERROR(__xludf.DUMMYFUNCTION("""COMPUTED_VALUE"""),"")</f>
        <v/>
      </c>
      <c r="AG291" s="35" t="str">
        <f>IFERROR(__xludf.DUMMYFUNCTION("""COMPUTED_VALUE"""),"%")</f>
        <v>%</v>
      </c>
      <c r="AH291" s="31"/>
      <c r="AI291" s="32"/>
      <c r="AJ291" s="67"/>
    </row>
    <row r="292" ht="24.75" hidden="1" customHeight="1">
      <c r="A292" s="40">
        <f>IFERROR(__xludf.DUMMYFUNCTION("""COMPUTED_VALUE"""),14.0)</f>
        <v>14</v>
      </c>
      <c r="B292" s="40" t="str">
        <f>IFERROR(__xludf.DUMMYFUNCTION("""COMPUTED_VALUE"""),"A204")</f>
        <v>A204</v>
      </c>
      <c r="C292" s="40"/>
      <c r="D292" s="41"/>
      <c r="E292" s="66"/>
      <c r="F292" s="43"/>
      <c r="G292" s="44"/>
      <c r="H292" s="33" t="str">
        <f>IFERROR(__xludf.DUMMYFUNCTION("""COMPUTED_VALUE""")," ")</f>
        <v> </v>
      </c>
      <c r="I292" s="45"/>
      <c r="J292" s="46" t="str">
        <f>IFERROR(__xludf.DUMMYFUNCTION("""COMPUTED_VALUE"""),"AP")</f>
        <v>AP</v>
      </c>
      <c r="K292" s="47"/>
      <c r="L292" s="48" t="str">
        <f>IFERROR(__xludf.DUMMYFUNCTION("""COMPUTED_VALUE"""),"%")</f>
        <v>%</v>
      </c>
      <c r="M292" s="49">
        <f>IFERROR(__xludf.DUMMYFUNCTION("""COMPUTED_VALUE"""),1.0)</f>
        <v>1</v>
      </c>
      <c r="N292" s="50"/>
      <c r="O292" s="38"/>
      <c r="P292" s="45" t="str">
        <f>IFERROR(__xludf.DUMMYFUNCTION("""COMPUTED_VALUE"""),"")</f>
        <v/>
      </c>
      <c r="Q292" s="46" t="str">
        <f>IFERROR(__xludf.DUMMYFUNCTION("""COMPUTED_VALUE"""),"AP")</f>
        <v>AP</v>
      </c>
      <c r="R292" s="47" t="str">
        <f>IFERROR(__xludf.DUMMYFUNCTION("""COMPUTED_VALUE"""),"")</f>
        <v/>
      </c>
      <c r="S292" s="48" t="str">
        <f>IFERROR(__xludf.DUMMYFUNCTION("""COMPUTED_VALUE"""),"%")</f>
        <v>%</v>
      </c>
      <c r="T292" s="49">
        <f>IFERROR(__xludf.DUMMYFUNCTION("""COMPUTED_VALUE"""),2.0)</f>
        <v>2</v>
      </c>
      <c r="U292" s="50"/>
      <c r="V292" s="38"/>
      <c r="W292" s="45" t="str">
        <f>IFERROR(__xludf.DUMMYFUNCTION("""COMPUTED_VALUE"""),"")</f>
        <v/>
      </c>
      <c r="X292" s="46" t="str">
        <f>IFERROR(__xludf.DUMMYFUNCTION("""COMPUTED_VALUE"""),"AP")</f>
        <v>AP</v>
      </c>
      <c r="Y292" s="47" t="str">
        <f>IFERROR(__xludf.DUMMYFUNCTION("""COMPUTED_VALUE"""),"")</f>
        <v/>
      </c>
      <c r="Z292" s="48" t="str">
        <f>IFERROR(__xludf.DUMMYFUNCTION("""COMPUTED_VALUE"""),"%")</f>
        <v>%</v>
      </c>
      <c r="AA292" s="49">
        <f>IFERROR(__xludf.DUMMYFUNCTION("""COMPUTED_VALUE"""),3.0)</f>
        <v>3</v>
      </c>
      <c r="AB292" s="50"/>
      <c r="AC292" s="38"/>
      <c r="AD292" s="45" t="str">
        <f>IFERROR(__xludf.DUMMYFUNCTION("""COMPUTED_VALUE"""),"")</f>
        <v/>
      </c>
      <c r="AE292" s="46" t="str">
        <f>IFERROR(__xludf.DUMMYFUNCTION("""COMPUTED_VALUE"""),"AP")</f>
        <v>AP</v>
      </c>
      <c r="AF292" s="47" t="str">
        <f>IFERROR(__xludf.DUMMYFUNCTION("""COMPUTED_VALUE"""),"")</f>
        <v/>
      </c>
      <c r="AG292" s="48" t="str">
        <f>IFERROR(__xludf.DUMMYFUNCTION("""COMPUTED_VALUE"""),"%")</f>
        <v>%</v>
      </c>
      <c r="AH292" s="43"/>
      <c r="AI292" s="44"/>
      <c r="AJ292" s="66"/>
    </row>
    <row r="293" ht="24.75" hidden="1" customHeight="1">
      <c r="A293" s="28">
        <f>IFERROR(__xludf.DUMMYFUNCTION("""COMPUTED_VALUE"""),15.0)</f>
        <v>15</v>
      </c>
      <c r="B293" s="28" t="str">
        <f>IFERROR(__xludf.DUMMYFUNCTION("""COMPUTED_VALUE"""),"A204")</f>
        <v>A204</v>
      </c>
      <c r="C293" s="28"/>
      <c r="D293" s="29"/>
      <c r="E293" s="67"/>
      <c r="F293" s="31"/>
      <c r="G293" s="32"/>
      <c r="H293" s="33" t="str">
        <f>IFERROR(__xludf.DUMMYFUNCTION("""COMPUTED_VALUE""")," ")</f>
        <v> </v>
      </c>
      <c r="I293" s="34"/>
      <c r="J293" s="35" t="str">
        <f>IFERROR(__xludf.DUMMYFUNCTION("""COMPUTED_VALUE"""),"AP")</f>
        <v>AP</v>
      </c>
      <c r="K293" s="34"/>
      <c r="L293" s="35" t="str">
        <f>IFERROR(__xludf.DUMMYFUNCTION("""COMPUTED_VALUE"""),"%")</f>
        <v>%</v>
      </c>
      <c r="M293" s="36">
        <f>IFERROR(__xludf.DUMMYFUNCTION("""COMPUTED_VALUE"""),1.0)</f>
        <v>1</v>
      </c>
      <c r="N293" s="37"/>
      <c r="O293" s="38"/>
      <c r="P293" s="34" t="str">
        <f>IFERROR(__xludf.DUMMYFUNCTION("""COMPUTED_VALUE"""),"")</f>
        <v/>
      </c>
      <c r="Q293" s="35" t="str">
        <f>IFERROR(__xludf.DUMMYFUNCTION("""COMPUTED_VALUE"""),"AP")</f>
        <v>AP</v>
      </c>
      <c r="R293" s="34" t="str">
        <f>IFERROR(__xludf.DUMMYFUNCTION("""COMPUTED_VALUE"""),"")</f>
        <v/>
      </c>
      <c r="S293" s="35" t="str">
        <f>IFERROR(__xludf.DUMMYFUNCTION("""COMPUTED_VALUE"""),"%")</f>
        <v>%</v>
      </c>
      <c r="T293" s="36">
        <f>IFERROR(__xludf.DUMMYFUNCTION("""COMPUTED_VALUE"""),2.0)</f>
        <v>2</v>
      </c>
      <c r="U293" s="37"/>
      <c r="V293" s="38"/>
      <c r="W293" s="34" t="str">
        <f>IFERROR(__xludf.DUMMYFUNCTION("""COMPUTED_VALUE"""),"")</f>
        <v/>
      </c>
      <c r="X293" s="35" t="str">
        <f>IFERROR(__xludf.DUMMYFUNCTION("""COMPUTED_VALUE"""),"AP")</f>
        <v>AP</v>
      </c>
      <c r="Y293" s="34" t="str">
        <f>IFERROR(__xludf.DUMMYFUNCTION("""COMPUTED_VALUE"""),"")</f>
        <v/>
      </c>
      <c r="Z293" s="35" t="str">
        <f>IFERROR(__xludf.DUMMYFUNCTION("""COMPUTED_VALUE"""),"%")</f>
        <v>%</v>
      </c>
      <c r="AA293" s="36">
        <f>IFERROR(__xludf.DUMMYFUNCTION("""COMPUTED_VALUE"""),3.0)</f>
        <v>3</v>
      </c>
      <c r="AB293" s="37"/>
      <c r="AC293" s="38"/>
      <c r="AD293" s="34" t="str">
        <f>IFERROR(__xludf.DUMMYFUNCTION("""COMPUTED_VALUE"""),"")</f>
        <v/>
      </c>
      <c r="AE293" s="35" t="str">
        <f>IFERROR(__xludf.DUMMYFUNCTION("""COMPUTED_VALUE"""),"AP")</f>
        <v>AP</v>
      </c>
      <c r="AF293" s="34" t="str">
        <f>IFERROR(__xludf.DUMMYFUNCTION("""COMPUTED_VALUE"""),"")</f>
        <v/>
      </c>
      <c r="AG293" s="35" t="str">
        <f>IFERROR(__xludf.DUMMYFUNCTION("""COMPUTED_VALUE"""),"%")</f>
        <v>%</v>
      </c>
      <c r="AH293" s="31"/>
      <c r="AI293" s="32"/>
      <c r="AJ293" s="67"/>
    </row>
    <row r="294" ht="24.75" hidden="1" customHeight="1">
      <c r="A294" s="40">
        <f>IFERROR(__xludf.DUMMYFUNCTION("""COMPUTED_VALUE"""),16.0)</f>
        <v>16</v>
      </c>
      <c r="B294" s="40" t="str">
        <f>IFERROR(__xludf.DUMMYFUNCTION("""COMPUTED_VALUE"""),"A204")</f>
        <v>A204</v>
      </c>
      <c r="C294" s="40"/>
      <c r="D294" s="41"/>
      <c r="E294" s="66"/>
      <c r="F294" s="43"/>
      <c r="G294" s="44"/>
      <c r="H294" s="33" t="str">
        <f>IFERROR(__xludf.DUMMYFUNCTION("""COMPUTED_VALUE""")," ")</f>
        <v> </v>
      </c>
      <c r="I294" s="45"/>
      <c r="J294" s="46" t="str">
        <f>IFERROR(__xludf.DUMMYFUNCTION("""COMPUTED_VALUE"""),"AP")</f>
        <v>AP</v>
      </c>
      <c r="K294" s="47"/>
      <c r="L294" s="48" t="str">
        <f>IFERROR(__xludf.DUMMYFUNCTION("""COMPUTED_VALUE"""),"%")</f>
        <v>%</v>
      </c>
      <c r="M294" s="49">
        <f>IFERROR(__xludf.DUMMYFUNCTION("""COMPUTED_VALUE"""),1.0)</f>
        <v>1</v>
      </c>
      <c r="N294" s="50"/>
      <c r="O294" s="38"/>
      <c r="P294" s="45" t="str">
        <f>IFERROR(__xludf.DUMMYFUNCTION("""COMPUTED_VALUE"""),"")</f>
        <v/>
      </c>
      <c r="Q294" s="46" t="str">
        <f>IFERROR(__xludf.DUMMYFUNCTION("""COMPUTED_VALUE"""),"AP")</f>
        <v>AP</v>
      </c>
      <c r="R294" s="47" t="str">
        <f>IFERROR(__xludf.DUMMYFUNCTION("""COMPUTED_VALUE"""),"")</f>
        <v/>
      </c>
      <c r="S294" s="48" t="str">
        <f>IFERROR(__xludf.DUMMYFUNCTION("""COMPUTED_VALUE"""),"%")</f>
        <v>%</v>
      </c>
      <c r="T294" s="49">
        <f>IFERROR(__xludf.DUMMYFUNCTION("""COMPUTED_VALUE"""),2.0)</f>
        <v>2</v>
      </c>
      <c r="U294" s="50"/>
      <c r="V294" s="38"/>
      <c r="W294" s="45" t="str">
        <f>IFERROR(__xludf.DUMMYFUNCTION("""COMPUTED_VALUE"""),"")</f>
        <v/>
      </c>
      <c r="X294" s="46" t="str">
        <f>IFERROR(__xludf.DUMMYFUNCTION("""COMPUTED_VALUE"""),"AP")</f>
        <v>AP</v>
      </c>
      <c r="Y294" s="47" t="str">
        <f>IFERROR(__xludf.DUMMYFUNCTION("""COMPUTED_VALUE"""),"")</f>
        <v/>
      </c>
      <c r="Z294" s="48" t="str">
        <f>IFERROR(__xludf.DUMMYFUNCTION("""COMPUTED_VALUE"""),"%")</f>
        <v>%</v>
      </c>
      <c r="AA294" s="49">
        <f>IFERROR(__xludf.DUMMYFUNCTION("""COMPUTED_VALUE"""),3.0)</f>
        <v>3</v>
      </c>
      <c r="AB294" s="50"/>
      <c r="AC294" s="38"/>
      <c r="AD294" s="45" t="str">
        <f>IFERROR(__xludf.DUMMYFUNCTION("""COMPUTED_VALUE"""),"")</f>
        <v/>
      </c>
      <c r="AE294" s="46" t="str">
        <f>IFERROR(__xludf.DUMMYFUNCTION("""COMPUTED_VALUE"""),"AP")</f>
        <v>AP</v>
      </c>
      <c r="AF294" s="47" t="str">
        <f>IFERROR(__xludf.DUMMYFUNCTION("""COMPUTED_VALUE"""),"")</f>
        <v/>
      </c>
      <c r="AG294" s="48" t="str">
        <f>IFERROR(__xludf.DUMMYFUNCTION("""COMPUTED_VALUE"""),"%")</f>
        <v>%</v>
      </c>
      <c r="AH294" s="43"/>
      <c r="AI294" s="44"/>
      <c r="AJ294" s="66"/>
    </row>
    <row r="295" ht="24.75" hidden="1" customHeight="1">
      <c r="A295" s="28">
        <f>IFERROR(__xludf.DUMMYFUNCTION("""COMPUTED_VALUE"""),17.0)</f>
        <v>17</v>
      </c>
      <c r="B295" s="28" t="str">
        <f>IFERROR(__xludf.DUMMYFUNCTION("""COMPUTED_VALUE"""),"A204")</f>
        <v>A204</v>
      </c>
      <c r="C295" s="28"/>
      <c r="D295" s="29"/>
      <c r="E295" s="67"/>
      <c r="F295" s="31"/>
      <c r="G295" s="32"/>
      <c r="H295" s="33" t="str">
        <f>IFERROR(__xludf.DUMMYFUNCTION("""COMPUTED_VALUE""")," ")</f>
        <v> </v>
      </c>
      <c r="I295" s="34"/>
      <c r="J295" s="35" t="str">
        <f>IFERROR(__xludf.DUMMYFUNCTION("""COMPUTED_VALUE"""),"AP")</f>
        <v>AP</v>
      </c>
      <c r="K295" s="34"/>
      <c r="L295" s="35" t="str">
        <f>IFERROR(__xludf.DUMMYFUNCTION("""COMPUTED_VALUE"""),"%")</f>
        <v>%</v>
      </c>
      <c r="M295" s="36">
        <f>IFERROR(__xludf.DUMMYFUNCTION("""COMPUTED_VALUE"""),1.0)</f>
        <v>1</v>
      </c>
      <c r="N295" s="37"/>
      <c r="O295" s="38"/>
      <c r="P295" s="34" t="str">
        <f>IFERROR(__xludf.DUMMYFUNCTION("""COMPUTED_VALUE"""),"")</f>
        <v/>
      </c>
      <c r="Q295" s="35" t="str">
        <f>IFERROR(__xludf.DUMMYFUNCTION("""COMPUTED_VALUE"""),"AP")</f>
        <v>AP</v>
      </c>
      <c r="R295" s="34" t="str">
        <f>IFERROR(__xludf.DUMMYFUNCTION("""COMPUTED_VALUE"""),"")</f>
        <v/>
      </c>
      <c r="S295" s="35" t="str">
        <f>IFERROR(__xludf.DUMMYFUNCTION("""COMPUTED_VALUE"""),"%")</f>
        <v>%</v>
      </c>
      <c r="T295" s="36">
        <f>IFERROR(__xludf.DUMMYFUNCTION("""COMPUTED_VALUE"""),2.0)</f>
        <v>2</v>
      </c>
      <c r="U295" s="37"/>
      <c r="V295" s="38"/>
      <c r="W295" s="34" t="str">
        <f>IFERROR(__xludf.DUMMYFUNCTION("""COMPUTED_VALUE"""),"")</f>
        <v/>
      </c>
      <c r="X295" s="35" t="str">
        <f>IFERROR(__xludf.DUMMYFUNCTION("""COMPUTED_VALUE"""),"AP")</f>
        <v>AP</v>
      </c>
      <c r="Y295" s="34" t="str">
        <f>IFERROR(__xludf.DUMMYFUNCTION("""COMPUTED_VALUE"""),"")</f>
        <v/>
      </c>
      <c r="Z295" s="35" t="str">
        <f>IFERROR(__xludf.DUMMYFUNCTION("""COMPUTED_VALUE"""),"%")</f>
        <v>%</v>
      </c>
      <c r="AA295" s="36">
        <f>IFERROR(__xludf.DUMMYFUNCTION("""COMPUTED_VALUE"""),3.0)</f>
        <v>3</v>
      </c>
      <c r="AB295" s="37"/>
      <c r="AC295" s="38"/>
      <c r="AD295" s="34" t="str">
        <f>IFERROR(__xludf.DUMMYFUNCTION("""COMPUTED_VALUE"""),"")</f>
        <v/>
      </c>
      <c r="AE295" s="35" t="str">
        <f>IFERROR(__xludf.DUMMYFUNCTION("""COMPUTED_VALUE"""),"AP")</f>
        <v>AP</v>
      </c>
      <c r="AF295" s="34" t="str">
        <f>IFERROR(__xludf.DUMMYFUNCTION("""COMPUTED_VALUE"""),"")</f>
        <v/>
      </c>
      <c r="AG295" s="35" t="str">
        <f>IFERROR(__xludf.DUMMYFUNCTION("""COMPUTED_VALUE"""),"%")</f>
        <v>%</v>
      </c>
      <c r="AH295" s="31"/>
      <c r="AI295" s="32"/>
      <c r="AJ295" s="67"/>
    </row>
    <row r="296" ht="24.75" hidden="1" customHeight="1">
      <c r="A296" s="40">
        <f>IFERROR(__xludf.DUMMYFUNCTION("""COMPUTED_VALUE"""),18.0)</f>
        <v>18</v>
      </c>
      <c r="B296" s="40" t="str">
        <f>IFERROR(__xludf.DUMMYFUNCTION("""COMPUTED_VALUE"""),"A204")</f>
        <v>A204</v>
      </c>
      <c r="C296" s="40"/>
      <c r="D296" s="41"/>
      <c r="E296" s="66"/>
      <c r="F296" s="43"/>
      <c r="G296" s="44"/>
      <c r="H296" s="33" t="str">
        <f>IFERROR(__xludf.DUMMYFUNCTION("""COMPUTED_VALUE""")," ")</f>
        <v> </v>
      </c>
      <c r="I296" s="45"/>
      <c r="J296" s="46" t="str">
        <f>IFERROR(__xludf.DUMMYFUNCTION("""COMPUTED_VALUE"""),"AP")</f>
        <v>AP</v>
      </c>
      <c r="K296" s="47"/>
      <c r="L296" s="48" t="str">
        <f>IFERROR(__xludf.DUMMYFUNCTION("""COMPUTED_VALUE"""),"%")</f>
        <v>%</v>
      </c>
      <c r="M296" s="49">
        <f>IFERROR(__xludf.DUMMYFUNCTION("""COMPUTED_VALUE"""),1.0)</f>
        <v>1</v>
      </c>
      <c r="N296" s="50"/>
      <c r="O296" s="38"/>
      <c r="P296" s="45" t="str">
        <f>IFERROR(__xludf.DUMMYFUNCTION("""COMPUTED_VALUE"""),"")</f>
        <v/>
      </c>
      <c r="Q296" s="46" t="str">
        <f>IFERROR(__xludf.DUMMYFUNCTION("""COMPUTED_VALUE"""),"AP")</f>
        <v>AP</v>
      </c>
      <c r="R296" s="47" t="str">
        <f>IFERROR(__xludf.DUMMYFUNCTION("""COMPUTED_VALUE"""),"")</f>
        <v/>
      </c>
      <c r="S296" s="48" t="str">
        <f>IFERROR(__xludf.DUMMYFUNCTION("""COMPUTED_VALUE"""),"%")</f>
        <v>%</v>
      </c>
      <c r="T296" s="49">
        <f>IFERROR(__xludf.DUMMYFUNCTION("""COMPUTED_VALUE"""),2.0)</f>
        <v>2</v>
      </c>
      <c r="U296" s="50"/>
      <c r="V296" s="38"/>
      <c r="W296" s="45" t="str">
        <f>IFERROR(__xludf.DUMMYFUNCTION("""COMPUTED_VALUE"""),"")</f>
        <v/>
      </c>
      <c r="X296" s="46" t="str">
        <f>IFERROR(__xludf.DUMMYFUNCTION("""COMPUTED_VALUE"""),"AP")</f>
        <v>AP</v>
      </c>
      <c r="Y296" s="47" t="str">
        <f>IFERROR(__xludf.DUMMYFUNCTION("""COMPUTED_VALUE"""),"")</f>
        <v/>
      </c>
      <c r="Z296" s="48" t="str">
        <f>IFERROR(__xludf.DUMMYFUNCTION("""COMPUTED_VALUE"""),"%")</f>
        <v>%</v>
      </c>
      <c r="AA296" s="49">
        <f>IFERROR(__xludf.DUMMYFUNCTION("""COMPUTED_VALUE"""),3.0)</f>
        <v>3</v>
      </c>
      <c r="AB296" s="50"/>
      <c r="AC296" s="38"/>
      <c r="AD296" s="45" t="str">
        <f>IFERROR(__xludf.DUMMYFUNCTION("""COMPUTED_VALUE"""),"")</f>
        <v/>
      </c>
      <c r="AE296" s="46" t="str">
        <f>IFERROR(__xludf.DUMMYFUNCTION("""COMPUTED_VALUE"""),"AP")</f>
        <v>AP</v>
      </c>
      <c r="AF296" s="47" t="str">
        <f>IFERROR(__xludf.DUMMYFUNCTION("""COMPUTED_VALUE"""),"")</f>
        <v/>
      </c>
      <c r="AG296" s="48" t="str">
        <f>IFERROR(__xludf.DUMMYFUNCTION("""COMPUTED_VALUE"""),"%")</f>
        <v>%</v>
      </c>
      <c r="AH296" s="43"/>
      <c r="AI296" s="44"/>
      <c r="AJ296" s="66"/>
    </row>
    <row r="297" ht="24.75" hidden="1" customHeight="1">
      <c r="A297" s="28">
        <f>IFERROR(__xludf.DUMMYFUNCTION("""COMPUTED_VALUE"""),19.0)</f>
        <v>19</v>
      </c>
      <c r="B297" s="28" t="str">
        <f>IFERROR(__xludf.DUMMYFUNCTION("""COMPUTED_VALUE"""),"A204")</f>
        <v>A204</v>
      </c>
      <c r="C297" s="28"/>
      <c r="D297" s="29"/>
      <c r="E297" s="67"/>
      <c r="F297" s="31"/>
      <c r="G297" s="32"/>
      <c r="H297" s="33" t="str">
        <f>IFERROR(__xludf.DUMMYFUNCTION("""COMPUTED_VALUE""")," ")</f>
        <v> </v>
      </c>
      <c r="I297" s="34"/>
      <c r="J297" s="35" t="str">
        <f>IFERROR(__xludf.DUMMYFUNCTION("""COMPUTED_VALUE"""),"AP")</f>
        <v>AP</v>
      </c>
      <c r="K297" s="34"/>
      <c r="L297" s="35" t="str">
        <f>IFERROR(__xludf.DUMMYFUNCTION("""COMPUTED_VALUE"""),"%")</f>
        <v>%</v>
      </c>
      <c r="M297" s="36">
        <f>IFERROR(__xludf.DUMMYFUNCTION("""COMPUTED_VALUE"""),1.0)</f>
        <v>1</v>
      </c>
      <c r="N297" s="37"/>
      <c r="O297" s="38"/>
      <c r="P297" s="34" t="str">
        <f>IFERROR(__xludf.DUMMYFUNCTION("""COMPUTED_VALUE"""),"")</f>
        <v/>
      </c>
      <c r="Q297" s="35" t="str">
        <f>IFERROR(__xludf.DUMMYFUNCTION("""COMPUTED_VALUE"""),"AP")</f>
        <v>AP</v>
      </c>
      <c r="R297" s="34" t="str">
        <f>IFERROR(__xludf.DUMMYFUNCTION("""COMPUTED_VALUE"""),"")</f>
        <v/>
      </c>
      <c r="S297" s="35" t="str">
        <f>IFERROR(__xludf.DUMMYFUNCTION("""COMPUTED_VALUE"""),"%")</f>
        <v>%</v>
      </c>
      <c r="T297" s="36">
        <f>IFERROR(__xludf.DUMMYFUNCTION("""COMPUTED_VALUE"""),2.0)</f>
        <v>2</v>
      </c>
      <c r="U297" s="37"/>
      <c r="V297" s="38"/>
      <c r="W297" s="34" t="str">
        <f>IFERROR(__xludf.DUMMYFUNCTION("""COMPUTED_VALUE"""),"")</f>
        <v/>
      </c>
      <c r="X297" s="35" t="str">
        <f>IFERROR(__xludf.DUMMYFUNCTION("""COMPUTED_VALUE"""),"AP")</f>
        <v>AP</v>
      </c>
      <c r="Y297" s="34" t="str">
        <f>IFERROR(__xludf.DUMMYFUNCTION("""COMPUTED_VALUE"""),"")</f>
        <v/>
      </c>
      <c r="Z297" s="35" t="str">
        <f>IFERROR(__xludf.DUMMYFUNCTION("""COMPUTED_VALUE"""),"%")</f>
        <v>%</v>
      </c>
      <c r="AA297" s="36">
        <f>IFERROR(__xludf.DUMMYFUNCTION("""COMPUTED_VALUE"""),3.0)</f>
        <v>3</v>
      </c>
      <c r="AB297" s="37"/>
      <c r="AC297" s="38"/>
      <c r="AD297" s="34" t="str">
        <f>IFERROR(__xludf.DUMMYFUNCTION("""COMPUTED_VALUE"""),"")</f>
        <v/>
      </c>
      <c r="AE297" s="35" t="str">
        <f>IFERROR(__xludf.DUMMYFUNCTION("""COMPUTED_VALUE"""),"AP")</f>
        <v>AP</v>
      </c>
      <c r="AF297" s="34" t="str">
        <f>IFERROR(__xludf.DUMMYFUNCTION("""COMPUTED_VALUE"""),"")</f>
        <v/>
      </c>
      <c r="AG297" s="35" t="str">
        <f>IFERROR(__xludf.DUMMYFUNCTION("""COMPUTED_VALUE"""),"%")</f>
        <v>%</v>
      </c>
      <c r="AH297" s="31"/>
      <c r="AI297" s="32"/>
      <c r="AJ297" s="67"/>
    </row>
    <row r="298" ht="24.75" hidden="1" customHeight="1">
      <c r="A298" s="40">
        <f>IFERROR(__xludf.DUMMYFUNCTION("""COMPUTED_VALUE"""),20.0)</f>
        <v>20</v>
      </c>
      <c r="B298" s="40" t="str">
        <f>IFERROR(__xludf.DUMMYFUNCTION("""COMPUTED_VALUE"""),"A204")</f>
        <v>A204</v>
      </c>
      <c r="C298" s="40"/>
      <c r="D298" s="41"/>
      <c r="E298" s="66"/>
      <c r="F298" s="43"/>
      <c r="G298" s="44"/>
      <c r="H298" s="33" t="str">
        <f>IFERROR(__xludf.DUMMYFUNCTION("""COMPUTED_VALUE""")," ")</f>
        <v> </v>
      </c>
      <c r="I298" s="45"/>
      <c r="J298" s="46" t="str">
        <f>IFERROR(__xludf.DUMMYFUNCTION("""COMPUTED_VALUE"""),"AP")</f>
        <v>AP</v>
      </c>
      <c r="K298" s="47"/>
      <c r="L298" s="48" t="str">
        <f>IFERROR(__xludf.DUMMYFUNCTION("""COMPUTED_VALUE"""),"%")</f>
        <v>%</v>
      </c>
      <c r="M298" s="49">
        <f>IFERROR(__xludf.DUMMYFUNCTION("""COMPUTED_VALUE"""),1.0)</f>
        <v>1</v>
      </c>
      <c r="N298" s="50"/>
      <c r="O298" s="38"/>
      <c r="P298" s="45" t="str">
        <f>IFERROR(__xludf.DUMMYFUNCTION("""COMPUTED_VALUE"""),"")</f>
        <v/>
      </c>
      <c r="Q298" s="46" t="str">
        <f>IFERROR(__xludf.DUMMYFUNCTION("""COMPUTED_VALUE"""),"AP")</f>
        <v>AP</v>
      </c>
      <c r="R298" s="47" t="str">
        <f>IFERROR(__xludf.DUMMYFUNCTION("""COMPUTED_VALUE"""),"")</f>
        <v/>
      </c>
      <c r="S298" s="48" t="str">
        <f>IFERROR(__xludf.DUMMYFUNCTION("""COMPUTED_VALUE"""),"%")</f>
        <v>%</v>
      </c>
      <c r="T298" s="49">
        <f>IFERROR(__xludf.DUMMYFUNCTION("""COMPUTED_VALUE"""),2.0)</f>
        <v>2</v>
      </c>
      <c r="U298" s="50"/>
      <c r="V298" s="38"/>
      <c r="W298" s="45" t="str">
        <f>IFERROR(__xludf.DUMMYFUNCTION("""COMPUTED_VALUE"""),"")</f>
        <v/>
      </c>
      <c r="X298" s="46" t="str">
        <f>IFERROR(__xludf.DUMMYFUNCTION("""COMPUTED_VALUE"""),"AP")</f>
        <v>AP</v>
      </c>
      <c r="Y298" s="47" t="str">
        <f>IFERROR(__xludf.DUMMYFUNCTION("""COMPUTED_VALUE"""),"")</f>
        <v/>
      </c>
      <c r="Z298" s="48" t="str">
        <f>IFERROR(__xludf.DUMMYFUNCTION("""COMPUTED_VALUE"""),"%")</f>
        <v>%</v>
      </c>
      <c r="AA298" s="49">
        <f>IFERROR(__xludf.DUMMYFUNCTION("""COMPUTED_VALUE"""),3.0)</f>
        <v>3</v>
      </c>
      <c r="AB298" s="50"/>
      <c r="AC298" s="38"/>
      <c r="AD298" s="45" t="str">
        <f>IFERROR(__xludf.DUMMYFUNCTION("""COMPUTED_VALUE"""),"")</f>
        <v/>
      </c>
      <c r="AE298" s="46" t="str">
        <f>IFERROR(__xludf.DUMMYFUNCTION("""COMPUTED_VALUE"""),"AP")</f>
        <v>AP</v>
      </c>
      <c r="AF298" s="47" t="str">
        <f>IFERROR(__xludf.DUMMYFUNCTION("""COMPUTED_VALUE"""),"")</f>
        <v/>
      </c>
      <c r="AG298" s="48" t="str">
        <f>IFERROR(__xludf.DUMMYFUNCTION("""COMPUTED_VALUE"""),"%")</f>
        <v>%</v>
      </c>
      <c r="AH298" s="43"/>
      <c r="AI298" s="44"/>
      <c r="AJ298" s="66"/>
    </row>
    <row r="299">
      <c r="A299" s="52"/>
      <c r="B299" s="53"/>
      <c r="C299" s="54"/>
      <c r="D299" s="56"/>
      <c r="E299" s="56"/>
      <c r="F299" s="53"/>
      <c r="G299" s="53"/>
      <c r="H299" s="53"/>
      <c r="I299" s="53"/>
      <c r="J299" s="57"/>
      <c r="K299" s="53"/>
      <c r="L299" s="57"/>
      <c r="M299" s="53"/>
      <c r="N299" s="53"/>
      <c r="O299" s="53"/>
      <c r="P299" s="53"/>
      <c r="Q299" s="57"/>
      <c r="R299" s="53"/>
      <c r="S299" s="57"/>
      <c r="T299" s="53"/>
      <c r="U299" s="53"/>
      <c r="V299" s="53"/>
      <c r="W299" s="53"/>
      <c r="X299" s="57"/>
      <c r="Y299" s="53"/>
      <c r="Z299" s="57"/>
      <c r="AA299" s="53"/>
      <c r="AB299" s="53"/>
      <c r="AC299" s="53"/>
      <c r="AD299" s="53"/>
      <c r="AE299" s="57"/>
      <c r="AF299" s="53"/>
      <c r="AG299" s="57"/>
      <c r="AH299" s="53"/>
      <c r="AI299" s="53"/>
      <c r="AJ299" s="56"/>
    </row>
    <row r="300">
      <c r="A300" s="59"/>
      <c r="B300" s="60"/>
      <c r="C300" s="61"/>
      <c r="D300" s="63"/>
      <c r="E300" s="63"/>
      <c r="F300" s="60"/>
      <c r="G300" s="60"/>
      <c r="H300" s="60"/>
      <c r="I300" s="60"/>
      <c r="J300" s="64"/>
      <c r="K300" s="60"/>
      <c r="L300" s="64"/>
      <c r="M300" s="60"/>
      <c r="N300" s="60"/>
      <c r="O300" s="60"/>
      <c r="P300" s="60"/>
      <c r="Q300" s="64"/>
      <c r="R300" s="60"/>
      <c r="S300" s="64"/>
      <c r="T300" s="60"/>
      <c r="U300" s="60"/>
      <c r="V300" s="60"/>
      <c r="W300" s="60"/>
      <c r="X300" s="64"/>
      <c r="Y300" s="60"/>
      <c r="Z300" s="64"/>
      <c r="AA300" s="60"/>
      <c r="AB300" s="60"/>
      <c r="AC300" s="60"/>
      <c r="AD300" s="60"/>
      <c r="AE300" s="64"/>
      <c r="AF300" s="60"/>
      <c r="AG300" s="64"/>
      <c r="AH300" s="60"/>
      <c r="AI300" s="60"/>
      <c r="AJ300" s="63"/>
    </row>
    <row r="301" ht="33.0" customHeight="1">
      <c r="A301" s="20" t="str">
        <f>IFERROR(__xludf.DUMMYFUNCTION("""COMPUTED_VALUE""")," ")</f>
        <v> </v>
      </c>
      <c r="B301" s="21" t="str">
        <f>IFERROR(__xludf.DUMMYFUNCTION("""COMPUTED_VALUE"""),"A205")</f>
        <v>A205</v>
      </c>
      <c r="C301" s="20"/>
      <c r="D301" s="257" t="str">
        <f>IFERROR(__xludf.DUMMYFUNCTION("""COMPUTED_VALUE"""),"")</f>
        <v/>
      </c>
      <c r="E301" s="23" t="str">
        <f>IFERROR(__xludf.DUMMYFUNCTION("""COMPUTED_VALUE"""),"Phoenix Feather")</f>
        <v>Phoenix Feather</v>
      </c>
      <c r="F301" s="24"/>
      <c r="G301" s="24"/>
      <c r="H301" s="25"/>
      <c r="I301" s="25"/>
      <c r="J301" s="26"/>
      <c r="K301" s="25"/>
      <c r="L301" s="26"/>
      <c r="M301" s="25"/>
      <c r="N301" s="25"/>
      <c r="O301" s="25"/>
      <c r="P301" s="25"/>
      <c r="Q301" s="26"/>
      <c r="R301" s="25"/>
      <c r="S301" s="26"/>
      <c r="T301" s="25"/>
      <c r="U301" s="25"/>
      <c r="V301" s="25"/>
      <c r="W301" s="25"/>
      <c r="X301" s="26"/>
      <c r="Y301" s="25"/>
      <c r="Z301" s="26"/>
      <c r="AA301" s="25"/>
      <c r="AB301" s="25"/>
      <c r="AC301" s="25"/>
      <c r="AD301" s="25"/>
      <c r="AE301" s="26"/>
      <c r="AF301" s="25"/>
      <c r="AG301" s="26"/>
      <c r="AH301" s="24"/>
      <c r="AI301" s="25"/>
      <c r="AJ301" s="23"/>
    </row>
    <row r="302" ht="24.75" customHeight="1">
      <c r="A302" s="28">
        <f>IFERROR(__xludf.DUMMYFUNCTION("""COMPUTED_VALUE"""),1.0)</f>
        <v>1</v>
      </c>
      <c r="B302" s="28" t="str">
        <f>IFERROR(__xludf.DUMMYFUNCTION("""COMPUTED_VALUE"""),"A205")</f>
        <v>A205</v>
      </c>
      <c r="C302" s="28" t="str">
        <f>IFERROR(__xludf.DUMMYFUNCTION("""COMPUTED_VALUE"""),"SLM3")</f>
        <v>SLM3</v>
      </c>
      <c r="D302" s="29" t="str">
        <f>IFERROR(__xludf.DUMMYFUNCTION("""COMPUTED_VALUE"""),"Salem")</f>
        <v>Salem</v>
      </c>
      <c r="E302" s="30" t="str">
        <f>IFERROR(__xludf.DUMMYFUNCTION("""COMPUTED_VALUE"""),"Town Hall")</f>
        <v>Town Hall</v>
      </c>
      <c r="F302" s="31">
        <f>IFERROR(__xludf.DUMMYFUNCTION("""COMPUTED_VALUE"""),21.0)</f>
        <v>21</v>
      </c>
      <c r="G302" s="32">
        <f>IFERROR(__xludf.DUMMYFUNCTION("""COMPUTED_VALUE"""),40191.0)</f>
        <v>40191</v>
      </c>
      <c r="H302" s="33" t="str">
        <f>IFERROR(__xludf.DUMMYFUNCTION("""COMPUTED_VALUE"""),"")</f>
        <v/>
      </c>
      <c r="I302" s="34">
        <f>IFERROR(__xludf.DUMMYFUNCTION("""COMPUTED_VALUE"""),59.411127953430174)</f>
        <v>59.41112795</v>
      </c>
      <c r="J302" s="35" t="str">
        <f>IFERROR(__xludf.DUMMYFUNCTION("""COMPUTED_VALUE"""),"AP")</f>
        <v>AP</v>
      </c>
      <c r="K302" s="34">
        <f>IFERROR(__xludf.DUMMYFUNCTION("""COMPUTED_VALUE"""),35.346913488094344)</f>
        <v>35.34691349</v>
      </c>
      <c r="L302" s="35" t="str">
        <f>IFERROR(__xludf.DUMMYFUNCTION("""COMPUTED_VALUE"""),"%")</f>
        <v>%</v>
      </c>
      <c r="M302" s="36">
        <f>IFERROR(__xludf.DUMMYFUNCTION("""COMPUTED_VALUE"""),1.0)</f>
        <v>1</v>
      </c>
      <c r="N302" s="37" t="str">
        <f>IFERROR(__xludf.DUMMYFUNCTION("""COMPUTED_VALUE"""),"B115")</f>
        <v>B115</v>
      </c>
      <c r="O302" s="38" t="str">
        <f>IFERROR(__xludf.DUMMYFUNCTION("""COMPUTED_VALUE"""),"")</f>
        <v/>
      </c>
      <c r="P302" s="34">
        <f>IFERROR(__xludf.DUMMYFUNCTION("""COMPUTED_VALUE"""),59.96631135880946)</f>
        <v>59.96631136</v>
      </c>
      <c r="Q302" s="35" t="str">
        <f>IFERROR(__xludf.DUMMYFUNCTION("""COMPUTED_VALUE"""),"AP")</f>
        <v>AP</v>
      </c>
      <c r="R302" s="34">
        <f>IFERROR(__xludf.DUMMYFUNCTION("""COMPUTED_VALUE"""),35.019662747548594)</f>
        <v>35.01966275</v>
      </c>
      <c r="S302" s="35" t="str">
        <f>IFERROR(__xludf.DUMMYFUNCTION("""COMPUTED_VALUE"""),"%")</f>
        <v>%</v>
      </c>
      <c r="T302" s="36">
        <f>IFERROR(__xludf.DUMMYFUNCTION("""COMPUTED_VALUE"""),2.0)</f>
        <v>2</v>
      </c>
      <c r="U302" s="37"/>
      <c r="V302" s="38"/>
      <c r="W302" s="34" t="str">
        <f>IFERROR(__xludf.DUMMYFUNCTION("""COMPUTED_VALUE"""),"")</f>
        <v/>
      </c>
      <c r="X302" s="35" t="str">
        <f>IFERROR(__xludf.DUMMYFUNCTION("""COMPUTED_VALUE"""),"AP")</f>
        <v>AP</v>
      </c>
      <c r="Y302" s="34" t="str">
        <f>IFERROR(__xludf.DUMMYFUNCTION("""COMPUTED_VALUE"""),"")</f>
        <v/>
      </c>
      <c r="Z302" s="35" t="str">
        <f>IFERROR(__xludf.DUMMYFUNCTION("""COMPUTED_VALUE"""),"%")</f>
        <v>%</v>
      </c>
      <c r="AA302" s="36">
        <f>IFERROR(__xludf.DUMMYFUNCTION("""COMPUTED_VALUE"""),3.0)</f>
        <v>3</v>
      </c>
      <c r="AB302" s="37"/>
      <c r="AC302" s="38"/>
      <c r="AD302" s="34" t="str">
        <f>IFERROR(__xludf.DUMMYFUNCTION("""COMPUTED_VALUE"""),"")</f>
        <v/>
      </c>
      <c r="AE302" s="35" t="str">
        <f>IFERROR(__xludf.DUMMYFUNCTION("""COMPUTED_VALUE"""),"AP")</f>
        <v>AP</v>
      </c>
      <c r="AF302" s="34" t="str">
        <f>IFERROR(__xludf.DUMMYFUNCTION("""COMPUTED_VALUE"""),"")</f>
        <v/>
      </c>
      <c r="AG302" s="35" t="str">
        <f>IFERROR(__xludf.DUMMYFUNCTION("""COMPUTED_VALUE"""),"%")</f>
        <v>%</v>
      </c>
      <c r="AH302" s="31">
        <f>IFERROR(__xludf.DUMMYFUNCTION("""COMPUTED_VALUE"""),21.0)</f>
        <v>21</v>
      </c>
      <c r="AI302" s="32">
        <f>IFERROR(__xludf.DUMMYFUNCTION("""COMPUTED_VALUE"""),40191.0)</f>
        <v>40191</v>
      </c>
      <c r="AJ302" s="30" t="str">
        <f>IFERROR(__xludf.DUMMYFUNCTION("""COMPUTED_VALUE"""),"Town Hall")</f>
        <v>Town Hall</v>
      </c>
    </row>
    <row r="303" ht="24.75" customHeight="1">
      <c r="A303" s="40">
        <f>IFERROR(__xludf.DUMMYFUNCTION("""COMPUTED_VALUE"""),2.0)</f>
        <v>2</v>
      </c>
      <c r="B303" s="40" t="str">
        <f>IFERROR(__xludf.DUMMYFUNCTION("""COMPUTED_VALUE"""),"A205")</f>
        <v>A205</v>
      </c>
      <c r="C303" s="40" t="str">
        <f>IFERROR(__xludf.DUMMYFUNCTION("""COMPUTED_VALUE"""),"AGT10")</f>
        <v>AGT10</v>
      </c>
      <c r="D303" s="41" t="str">
        <f>IFERROR(__xludf.DUMMYFUNCTION("""COMPUTED_VALUE"""),"Agartha")</f>
        <v>Agartha</v>
      </c>
      <c r="E303" s="42" t="str">
        <f>IFERROR(__xludf.DUMMYFUNCTION("""COMPUTED_VALUE"""),"Great Underground River")</f>
        <v>Great Underground River</v>
      </c>
      <c r="F303" s="43">
        <f>IFERROR(__xludf.DUMMYFUNCTION("""COMPUTED_VALUE"""),21.0)</f>
        <v>21</v>
      </c>
      <c r="G303" s="44">
        <f>IFERROR(__xludf.DUMMYFUNCTION("""COMPUTED_VALUE"""),55848.0)</f>
        <v>55848</v>
      </c>
      <c r="H303" s="33" t="str">
        <f>IFERROR(__xludf.DUMMYFUNCTION("""COMPUTED_VALUE"""),"")</f>
        <v/>
      </c>
      <c r="I303" s="45">
        <f>IFERROR(__xludf.DUMMYFUNCTION("""COMPUTED_VALUE"""),69.46399487978985)</f>
        <v>69.46399488</v>
      </c>
      <c r="J303" s="46" t="str">
        <f>IFERROR(__xludf.DUMMYFUNCTION("""COMPUTED_VALUE"""),"AP")</f>
        <v>AP</v>
      </c>
      <c r="K303" s="47">
        <f>IFERROR(__xludf.DUMMYFUNCTION("""COMPUTED_VALUE"""),30.231489041684572)</f>
        <v>30.23148904</v>
      </c>
      <c r="L303" s="48" t="str">
        <f>IFERROR(__xludf.DUMMYFUNCTION("""COMPUTED_VALUE"""),"%")</f>
        <v>%</v>
      </c>
      <c r="M303" s="49">
        <f>IFERROR(__xludf.DUMMYFUNCTION("""COMPUTED_VALUE"""),1.0)</f>
        <v>1</v>
      </c>
      <c r="N303" s="50" t="str">
        <f>IFERROR(__xludf.DUMMYFUNCTION("""COMPUTED_VALUE"""),"A201")</f>
        <v>A201</v>
      </c>
      <c r="O303" s="38" t="str">
        <f>IFERROR(__xludf.DUMMYFUNCTION("""COMPUTED_VALUE"""),"")</f>
        <v/>
      </c>
      <c r="P303" s="45">
        <f>IFERROR(__xludf.DUMMYFUNCTION("""COMPUTED_VALUE"""),82.89894971111737)</f>
        <v>82.89894971</v>
      </c>
      <c r="Q303" s="46" t="str">
        <f>IFERROR(__xludf.DUMMYFUNCTION("""COMPUTED_VALUE"""),"AP")</f>
        <v>AP</v>
      </c>
      <c r="R303" s="47">
        <f>IFERROR(__xludf.DUMMYFUNCTION("""COMPUTED_VALUE"""),25.332045910328034)</f>
        <v>25.33204591</v>
      </c>
      <c r="S303" s="48" t="str">
        <f>IFERROR(__xludf.DUMMYFUNCTION("""COMPUTED_VALUE"""),"%")</f>
        <v>%</v>
      </c>
      <c r="T303" s="49">
        <f>IFERROR(__xludf.DUMMYFUNCTION("""COMPUTED_VALUE"""),2.0)</f>
        <v>2</v>
      </c>
      <c r="U303" s="50" t="str">
        <f>IFERROR(__xludf.DUMMYFUNCTION("""COMPUTED_VALUE"""),"B103")</f>
        <v>B103</v>
      </c>
      <c r="V303" s="38" t="str">
        <f>IFERROR(__xludf.DUMMYFUNCTION("""COMPUTED_VALUE"""),"")</f>
        <v/>
      </c>
      <c r="W303" s="45">
        <f>IFERROR(__xludf.DUMMYFUNCTION("""COMPUTED_VALUE"""),657.0412184302859)</f>
        <v>657.0412184</v>
      </c>
      <c r="X303" s="46" t="str">
        <f>IFERROR(__xludf.DUMMYFUNCTION("""COMPUTED_VALUE"""),"AP")</f>
        <v>AP</v>
      </c>
      <c r="Y303" s="47">
        <f>IFERROR(__xludf.DUMMYFUNCTION("""COMPUTED_VALUE"""),3.1961465142431043)</f>
        <v>3.196146514</v>
      </c>
      <c r="Z303" s="48" t="str">
        <f>IFERROR(__xludf.DUMMYFUNCTION("""COMPUTED_VALUE"""),"%")</f>
        <v>%</v>
      </c>
      <c r="AA303" s="49">
        <f>IFERROR(__xludf.DUMMYFUNCTION("""COMPUTED_VALUE"""),3.0)</f>
        <v>3</v>
      </c>
      <c r="AB303" s="50" t="str">
        <f>IFERROR(__xludf.DUMMYFUNCTION("""COMPUTED_VALUE"""),"B113")</f>
        <v>B113</v>
      </c>
      <c r="AC303" s="38" t="str">
        <f>IFERROR(__xludf.DUMMYFUNCTION("""COMPUTED_VALUE"""),"")</f>
        <v/>
      </c>
      <c r="AD303" s="45">
        <f>IFERROR(__xludf.DUMMYFUNCTION("""COMPUTED_VALUE"""),143.58634188480394)</f>
        <v>143.5863419</v>
      </c>
      <c r="AE303" s="46" t="str">
        <f>IFERROR(__xludf.DUMMYFUNCTION("""COMPUTED_VALUE"""),"AP")</f>
        <v>AP</v>
      </c>
      <c r="AF303" s="47">
        <f>IFERROR(__xludf.DUMMYFUNCTION("""COMPUTED_VALUE"""),14.625346480968101)</f>
        <v>14.62534648</v>
      </c>
      <c r="AG303" s="48" t="str">
        <f>IFERROR(__xludf.DUMMYFUNCTION("""COMPUTED_VALUE"""),"%")</f>
        <v>%</v>
      </c>
      <c r="AH303" s="43">
        <f>IFERROR(__xludf.DUMMYFUNCTION("""COMPUTED_VALUE"""),21.0)</f>
        <v>21</v>
      </c>
      <c r="AI303" s="44">
        <f>IFERROR(__xludf.DUMMYFUNCTION("""COMPUTED_VALUE"""),55848.0)</f>
        <v>55848</v>
      </c>
      <c r="AJ303" s="42" t="str">
        <f>IFERROR(__xludf.DUMMYFUNCTION("""COMPUTED_VALUE"""),"Great Underground River")</f>
        <v>Great Underground River</v>
      </c>
    </row>
    <row r="304" ht="24.75" customHeight="1">
      <c r="A304" s="28">
        <f>IFERROR(__xludf.DUMMYFUNCTION("""COMPUTED_VALUE"""),3.0)</f>
        <v>3</v>
      </c>
      <c r="B304" s="28" t="str">
        <f>IFERROR(__xludf.DUMMYFUNCTION("""COMPUTED_VALUE"""),"A205")</f>
        <v>A205</v>
      </c>
      <c r="C304" s="28" t="str">
        <f>IFERROR(__xludf.DUMMYFUNCTION("""COMPUTED_VALUE"""),"AGT3")</f>
        <v>AGT3</v>
      </c>
      <c r="D304" s="29" t="str">
        <f>IFERROR(__xludf.DUMMYFUNCTION("""COMPUTED_VALUE"""),"Agartha")</f>
        <v>Agartha</v>
      </c>
      <c r="E304" s="30" t="str">
        <f>IFERROR(__xludf.DUMMYFUNCTION("""COMPUTED_VALUE"""),"Riverside Town")</f>
        <v>Riverside Town</v>
      </c>
      <c r="F304" s="31">
        <f>IFERROR(__xludf.DUMMYFUNCTION("""COMPUTED_VALUE"""),20.0)</f>
        <v>20</v>
      </c>
      <c r="G304" s="32">
        <f>IFERROR(__xludf.DUMMYFUNCTION("""COMPUTED_VALUE"""),20803.0)</f>
        <v>20803</v>
      </c>
      <c r="H304" s="33" t="str">
        <f>IFERROR(__xludf.DUMMYFUNCTION("""COMPUTED_VALUE"""),"")</f>
        <v/>
      </c>
      <c r="I304" s="34">
        <f>IFERROR(__xludf.DUMMYFUNCTION("""COMPUTED_VALUE"""),97.54142028508166)</f>
        <v>97.54142029</v>
      </c>
      <c r="J304" s="35" t="str">
        <f>IFERROR(__xludf.DUMMYFUNCTION("""COMPUTED_VALUE"""),"AP")</f>
        <v>AP</v>
      </c>
      <c r="K304" s="34">
        <f>IFERROR(__xludf.DUMMYFUNCTION("""COMPUTED_VALUE"""),20.504109886391387)</f>
        <v>20.50410989</v>
      </c>
      <c r="L304" s="35" t="str">
        <f>IFERROR(__xludf.DUMMYFUNCTION("""COMPUTED_VALUE"""),"%")</f>
        <v>%</v>
      </c>
      <c r="M304" s="36">
        <f>IFERROR(__xludf.DUMMYFUNCTION("""COMPUTED_VALUE"""),1.0)</f>
        <v>1</v>
      </c>
      <c r="N304" s="37" t="str">
        <f>IFERROR(__xludf.DUMMYFUNCTION("""COMPUTED_VALUE"""),"A201")</f>
        <v>A201</v>
      </c>
      <c r="O304" s="38" t="str">
        <f>IFERROR(__xludf.DUMMYFUNCTION("""COMPUTED_VALUE"""),"")</f>
        <v/>
      </c>
      <c r="P304" s="34">
        <f>IFERROR(__xludf.DUMMYFUNCTION("""COMPUTED_VALUE"""),50.59959166180608)</f>
        <v>50.59959166</v>
      </c>
      <c r="Q304" s="35" t="str">
        <f>IFERROR(__xludf.DUMMYFUNCTION("""COMPUTED_VALUE"""),"AP")</f>
        <v>AP</v>
      </c>
      <c r="R304" s="34">
        <f>IFERROR(__xludf.DUMMYFUNCTION("""COMPUTED_VALUE"""),39.526010671537755)</f>
        <v>39.52601067</v>
      </c>
      <c r="S304" s="35" t="str">
        <f>IFERROR(__xludf.DUMMYFUNCTION("""COMPUTED_VALUE"""),"%")</f>
        <v>%</v>
      </c>
      <c r="T304" s="36">
        <f>IFERROR(__xludf.DUMMYFUNCTION("""COMPUTED_VALUE"""),2.0)</f>
        <v>2</v>
      </c>
      <c r="U304" s="37" t="str">
        <f>IFERROR(__xludf.DUMMYFUNCTION("""COMPUTED_VALUE"""),"B101")</f>
        <v>B101</v>
      </c>
      <c r="V304" s="38" t="str">
        <f>IFERROR(__xludf.DUMMYFUNCTION("""COMPUTED_VALUE"""),"")</f>
        <v/>
      </c>
      <c r="W304" s="34">
        <f>IFERROR(__xludf.DUMMYFUNCTION("""COMPUTED_VALUE"""),584.882955932051)</f>
        <v>584.8829559</v>
      </c>
      <c r="X304" s="35" t="str">
        <f>IFERROR(__xludf.DUMMYFUNCTION("""COMPUTED_VALUE"""),"AP")</f>
        <v>AP</v>
      </c>
      <c r="Y304" s="34">
        <f>IFERROR(__xludf.DUMMYFUNCTION("""COMPUTED_VALUE"""),3.419487573907609)</f>
        <v>3.419487574</v>
      </c>
      <c r="Z304" s="35" t="str">
        <f>IFERROR(__xludf.DUMMYFUNCTION("""COMPUTED_VALUE"""),"%")</f>
        <v>%</v>
      </c>
      <c r="AA304" s="36">
        <f>IFERROR(__xludf.DUMMYFUNCTION("""COMPUTED_VALUE"""),3.0)</f>
        <v>3</v>
      </c>
      <c r="AB304" s="37" t="str">
        <f>IFERROR(__xludf.DUMMYFUNCTION("""COMPUTED_VALUE"""),"B111")</f>
        <v>B111</v>
      </c>
      <c r="AC304" s="38" t="str">
        <f>IFERROR(__xludf.DUMMYFUNCTION("""COMPUTED_VALUE"""),"")</f>
        <v/>
      </c>
      <c r="AD304" s="34">
        <f>IFERROR(__xludf.DUMMYFUNCTION("""COMPUTED_VALUE"""),134.57033941119732)</f>
        <v>134.5703394</v>
      </c>
      <c r="AE304" s="35" t="str">
        <f>IFERROR(__xludf.DUMMYFUNCTION("""COMPUTED_VALUE"""),"AP")</f>
        <v>AP</v>
      </c>
      <c r="AF304" s="34">
        <f>IFERROR(__xludf.DUMMYFUNCTION("""COMPUTED_VALUE"""),14.862116040955634)</f>
        <v>14.86211604</v>
      </c>
      <c r="AG304" s="35" t="str">
        <f>IFERROR(__xludf.DUMMYFUNCTION("""COMPUTED_VALUE"""),"%")</f>
        <v>%</v>
      </c>
      <c r="AH304" s="31">
        <f>IFERROR(__xludf.DUMMYFUNCTION("""COMPUTED_VALUE"""),20.0)</f>
        <v>20</v>
      </c>
      <c r="AI304" s="32">
        <f>IFERROR(__xludf.DUMMYFUNCTION("""COMPUTED_VALUE"""),20803.0)</f>
        <v>20803</v>
      </c>
      <c r="AJ304" s="30" t="str">
        <f>IFERROR(__xludf.DUMMYFUNCTION("""COMPUTED_VALUE"""),"Riverside Town")</f>
        <v>Riverside Town</v>
      </c>
    </row>
    <row r="305" ht="24.75" customHeight="1">
      <c r="A305" s="40">
        <f>IFERROR(__xludf.DUMMYFUNCTION("""COMPUTED_VALUE"""),4.0)</f>
        <v>4</v>
      </c>
      <c r="B305" s="40" t="str">
        <f>IFERROR(__xludf.DUMMYFUNCTION("""COMPUTED_VALUE"""),"A205")</f>
        <v>A205</v>
      </c>
      <c r="C305" s="40" t="str">
        <f>IFERROR(__xludf.DUMMYFUNCTION("""COMPUTED_VALUE"""),"SLM9")</f>
        <v>SLM9</v>
      </c>
      <c r="D305" s="41" t="str">
        <f>IFERROR(__xludf.DUMMYFUNCTION("""COMPUTED_VALUE"""),"Salem")</f>
        <v>Salem</v>
      </c>
      <c r="E305" s="42" t="str">
        <f>IFERROR(__xludf.DUMMYFUNCTION("""COMPUTED_VALUE"""),"Empty House")</f>
        <v>Empty House</v>
      </c>
      <c r="F305" s="43">
        <f>IFERROR(__xludf.DUMMYFUNCTION("""COMPUTED_VALUE"""),21.0)</f>
        <v>21</v>
      </c>
      <c r="G305" s="44">
        <f>IFERROR(__xludf.DUMMYFUNCTION("""COMPUTED_VALUE"""),18786.0)</f>
        <v>18786</v>
      </c>
      <c r="H305" s="33" t="str">
        <f>IFERROR(__xludf.DUMMYFUNCTION("""COMPUTED_VALUE"""),"")</f>
        <v/>
      </c>
      <c r="I305" s="45">
        <f>IFERROR(__xludf.DUMMYFUNCTION("""COMPUTED_VALUE"""),101.8382755337845)</f>
        <v>101.8382755</v>
      </c>
      <c r="J305" s="46" t="str">
        <f>IFERROR(__xludf.DUMMYFUNCTION("""COMPUTED_VALUE"""),"AP")</f>
        <v>AP</v>
      </c>
      <c r="K305" s="47">
        <f>IFERROR(__xludf.DUMMYFUNCTION("""COMPUTED_VALUE"""),20.62093048014479)</f>
        <v>20.62093048</v>
      </c>
      <c r="L305" s="48" t="str">
        <f>IFERROR(__xludf.DUMMYFUNCTION("""COMPUTED_VALUE"""),"%")</f>
        <v>%</v>
      </c>
      <c r="M305" s="49">
        <f>IFERROR(__xludf.DUMMYFUNCTION("""COMPUTED_VALUE"""),1.0)</f>
        <v>1</v>
      </c>
      <c r="N305" s="50" t="str">
        <f>IFERROR(__xludf.DUMMYFUNCTION("""COMPUTED_VALUE"""),"A308")</f>
        <v>A308</v>
      </c>
      <c r="O305" s="38" t="str">
        <f>IFERROR(__xludf.DUMMYFUNCTION("""COMPUTED_VALUE"""),"")</f>
        <v/>
      </c>
      <c r="P305" s="45">
        <f>IFERROR(__xludf.DUMMYFUNCTION("""COMPUTED_VALUE"""),52.037545606356794)</f>
        <v>52.03754561</v>
      </c>
      <c r="Q305" s="46" t="str">
        <f>IFERROR(__xludf.DUMMYFUNCTION("""COMPUTED_VALUE"""),"AP")</f>
        <v>AP</v>
      </c>
      <c r="R305" s="47">
        <f>IFERROR(__xludf.DUMMYFUNCTION("""COMPUTED_VALUE"""),40.35547748323219)</f>
        <v>40.35547748</v>
      </c>
      <c r="S305" s="48" t="str">
        <f>IFERROR(__xludf.DUMMYFUNCTION("""COMPUTED_VALUE"""),"%")</f>
        <v>%</v>
      </c>
      <c r="T305" s="49">
        <f>IFERROR(__xludf.DUMMYFUNCTION("""COMPUTED_VALUE"""),2.0)</f>
        <v>2</v>
      </c>
      <c r="U305" s="50" t="str">
        <f>IFERROR(__xludf.DUMMYFUNCTION("""COMPUTED_VALUE"""),"B115")</f>
        <v>B115</v>
      </c>
      <c r="V305" s="38" t="str">
        <f>IFERROR(__xludf.DUMMYFUNCTION("""COMPUTED_VALUE"""),"")</f>
        <v/>
      </c>
      <c r="W305" s="45">
        <f>IFERROR(__xludf.DUMMYFUNCTION("""COMPUTED_VALUE"""),139.5060613725891)</f>
        <v>139.5060614</v>
      </c>
      <c r="X305" s="46" t="str">
        <f>IFERROR(__xludf.DUMMYFUNCTION("""COMPUTED_VALUE"""),"AP")</f>
        <v>AP</v>
      </c>
      <c r="Y305" s="47">
        <f>IFERROR(__xludf.DUMMYFUNCTION("""COMPUTED_VALUE"""),15.053109372727366)</f>
        <v>15.05310937</v>
      </c>
      <c r="Z305" s="48" t="str">
        <f>IFERROR(__xludf.DUMMYFUNCTION("""COMPUTED_VALUE"""),"%")</f>
        <v>%</v>
      </c>
      <c r="AA305" s="49">
        <f>IFERROR(__xludf.DUMMYFUNCTION("""COMPUTED_VALUE"""),3.0)</f>
        <v>3</v>
      </c>
      <c r="AB305" s="50"/>
      <c r="AC305" s="38"/>
      <c r="AD305" s="45" t="str">
        <f>IFERROR(__xludf.DUMMYFUNCTION("""COMPUTED_VALUE"""),"")</f>
        <v/>
      </c>
      <c r="AE305" s="46" t="str">
        <f>IFERROR(__xludf.DUMMYFUNCTION("""COMPUTED_VALUE"""),"AP")</f>
        <v>AP</v>
      </c>
      <c r="AF305" s="47" t="str">
        <f>IFERROR(__xludf.DUMMYFUNCTION("""COMPUTED_VALUE"""),"")</f>
        <v/>
      </c>
      <c r="AG305" s="48" t="str">
        <f>IFERROR(__xludf.DUMMYFUNCTION("""COMPUTED_VALUE"""),"%")</f>
        <v>%</v>
      </c>
      <c r="AH305" s="43">
        <f>IFERROR(__xludf.DUMMYFUNCTION("""COMPUTED_VALUE"""),21.0)</f>
        <v>21</v>
      </c>
      <c r="AI305" s="44">
        <f>IFERROR(__xludf.DUMMYFUNCTION("""COMPUTED_VALUE"""),18786.0)</f>
        <v>18786</v>
      </c>
      <c r="AJ305" s="42" t="str">
        <f>IFERROR(__xludf.DUMMYFUNCTION("""COMPUTED_VALUE"""),"Empty House")</f>
        <v>Empty House</v>
      </c>
    </row>
    <row r="306" ht="24.75" customHeight="1">
      <c r="A306" s="28">
        <f>IFERROR(__xludf.DUMMYFUNCTION("""COMPUTED_VALUE"""),5.0)</f>
        <v>5</v>
      </c>
      <c r="B306" s="28" t="str">
        <f>IFERROR(__xludf.DUMMYFUNCTION("""COMPUTED_VALUE"""),"A205")</f>
        <v>A205</v>
      </c>
      <c r="C306" s="28" t="str">
        <f>IFERROR(__xludf.DUMMYFUNCTION("""COMPUTED_VALUE"""),"SLM4")</f>
        <v>SLM4</v>
      </c>
      <c r="D306" s="29" t="str">
        <f>IFERROR(__xludf.DUMMYFUNCTION("""COMPUTED_VALUE"""),"Salem")</f>
        <v>Salem</v>
      </c>
      <c r="E306" s="30" t="str">
        <f>IFERROR(__xludf.DUMMYFUNCTION("""COMPUTED_VALUE"""),"Wharf")</f>
        <v>Wharf</v>
      </c>
      <c r="F306" s="31">
        <f>IFERROR(__xludf.DUMMYFUNCTION("""COMPUTED_VALUE"""),21.0)</f>
        <v>21</v>
      </c>
      <c r="G306" s="32">
        <f>IFERROR(__xludf.DUMMYFUNCTION("""COMPUTED_VALUE"""),29590.0)</f>
        <v>29590</v>
      </c>
      <c r="H306" s="33" t="str">
        <f>IFERROR(__xludf.DUMMYFUNCTION("""COMPUTED_VALUE"""),"")</f>
        <v/>
      </c>
      <c r="I306" s="34">
        <f>IFERROR(__xludf.DUMMYFUNCTION("""COMPUTED_VALUE"""),104.45042626343513)</f>
        <v>104.4504263</v>
      </c>
      <c r="J306" s="35" t="str">
        <f>IFERROR(__xludf.DUMMYFUNCTION("""COMPUTED_VALUE"""),"AP")</f>
        <v>AP</v>
      </c>
      <c r="K306" s="34">
        <f>IFERROR(__xludf.DUMMYFUNCTION("""COMPUTED_VALUE"""),20.10523149712741)</f>
        <v>20.1052315</v>
      </c>
      <c r="L306" s="35" t="str">
        <f>IFERROR(__xludf.DUMMYFUNCTION("""COMPUTED_VALUE"""),"%")</f>
        <v>%</v>
      </c>
      <c r="M306" s="36">
        <f>IFERROR(__xludf.DUMMYFUNCTION("""COMPUTED_VALUE"""),1.0)</f>
        <v>1</v>
      </c>
      <c r="N306" s="37" t="str">
        <f>IFERROR(__xludf.DUMMYFUNCTION("""COMPUTED_VALUE"""),"A305")</f>
        <v>A305</v>
      </c>
      <c r="O306" s="38" t="str">
        <f>IFERROR(__xludf.DUMMYFUNCTION("""COMPUTED_VALUE"""),"")</f>
        <v/>
      </c>
      <c r="P306" s="34">
        <f>IFERROR(__xludf.DUMMYFUNCTION("""COMPUTED_VALUE"""),52.590366921464074)</f>
        <v>52.59036692</v>
      </c>
      <c r="Q306" s="35" t="str">
        <f>IFERROR(__xludf.DUMMYFUNCTION("""COMPUTED_VALUE"""),"AP")</f>
        <v>AP</v>
      </c>
      <c r="R306" s="34">
        <f>IFERROR(__xludf.DUMMYFUNCTION("""COMPUTED_VALUE"""),39.931267320040554)</f>
        <v>39.93126732</v>
      </c>
      <c r="S306" s="35" t="str">
        <f>IFERROR(__xludf.DUMMYFUNCTION("""COMPUTED_VALUE"""),"%")</f>
        <v>%</v>
      </c>
      <c r="T306" s="36">
        <f>IFERROR(__xludf.DUMMYFUNCTION("""COMPUTED_VALUE"""),2.0)</f>
        <v>2</v>
      </c>
      <c r="U306" s="37" t="str">
        <f>IFERROR(__xludf.DUMMYFUNCTION("""COMPUTED_VALUE"""),"B115")</f>
        <v>B115</v>
      </c>
      <c r="V306" s="38" t="str">
        <f>IFERROR(__xludf.DUMMYFUNCTION("""COMPUTED_VALUE"""),"")</f>
        <v/>
      </c>
      <c r="W306" s="34">
        <f>IFERROR(__xludf.DUMMYFUNCTION("""COMPUTED_VALUE"""),103.44730722447521)</f>
        <v>103.4473072</v>
      </c>
      <c r="X306" s="35" t="str">
        <f>IFERROR(__xludf.DUMMYFUNCTION("""COMPUTED_VALUE"""),"AP")</f>
        <v>AP</v>
      </c>
      <c r="Y306" s="34">
        <f>IFERROR(__xludf.DUMMYFUNCTION("""COMPUTED_VALUE"""),20.300190080763635)</f>
        <v>20.30019008</v>
      </c>
      <c r="Z306" s="35" t="str">
        <f>IFERROR(__xludf.DUMMYFUNCTION("""COMPUTED_VALUE"""),"%")</f>
        <v>%</v>
      </c>
      <c r="AA306" s="36">
        <f>IFERROR(__xludf.DUMMYFUNCTION("""COMPUTED_VALUE"""),3.0)</f>
        <v>3</v>
      </c>
      <c r="AB306" s="37"/>
      <c r="AC306" s="38"/>
      <c r="AD306" s="34" t="str">
        <f>IFERROR(__xludf.DUMMYFUNCTION("""COMPUTED_VALUE"""),"")</f>
        <v/>
      </c>
      <c r="AE306" s="35" t="str">
        <f>IFERROR(__xludf.DUMMYFUNCTION("""COMPUTED_VALUE"""),"AP")</f>
        <v>AP</v>
      </c>
      <c r="AF306" s="34" t="str">
        <f>IFERROR(__xludf.DUMMYFUNCTION("""COMPUTED_VALUE"""),"")</f>
        <v/>
      </c>
      <c r="AG306" s="35" t="str">
        <f>IFERROR(__xludf.DUMMYFUNCTION("""COMPUTED_VALUE"""),"%")</f>
        <v>%</v>
      </c>
      <c r="AH306" s="31">
        <f>IFERROR(__xludf.DUMMYFUNCTION("""COMPUTED_VALUE"""),21.0)</f>
        <v>21</v>
      </c>
      <c r="AI306" s="32">
        <f>IFERROR(__xludf.DUMMYFUNCTION("""COMPUTED_VALUE"""),29590.0)</f>
        <v>29590</v>
      </c>
      <c r="AJ306" s="30" t="str">
        <f>IFERROR(__xludf.DUMMYFUNCTION("""COMPUTED_VALUE"""),"Wharf")</f>
        <v>Wharf</v>
      </c>
    </row>
    <row r="307" ht="24.75" customHeight="1">
      <c r="A307" s="40">
        <f>IFERROR(__xludf.DUMMYFUNCTION("""COMPUTED_VALUE"""),6.0)</f>
        <v>6</v>
      </c>
      <c r="B307" s="40" t="str">
        <f>IFERROR(__xludf.DUMMYFUNCTION("""COMPUTED_VALUE"""),"A205")</f>
        <v>A205</v>
      </c>
      <c r="C307" s="40" t="str">
        <f>IFERROR(__xludf.DUMMYFUNCTION("""COMPUTED_VALUE"""),"AGT2")</f>
        <v>AGT2</v>
      </c>
      <c r="D307" s="41" t="str">
        <f>IFERROR(__xludf.DUMMYFUNCTION("""COMPUTED_VALUE"""),"Agartha")</f>
        <v>Agartha</v>
      </c>
      <c r="E307" s="42" t="str">
        <f>IFERROR(__xludf.DUMMYFUNCTION("""COMPUTED_VALUE"""),"Camping Ground")</f>
        <v>Camping Ground</v>
      </c>
      <c r="F307" s="43">
        <f>IFERROR(__xludf.DUMMYFUNCTION("""COMPUTED_VALUE"""),20.0)</f>
        <v>20</v>
      </c>
      <c r="G307" s="44">
        <f>IFERROR(__xludf.DUMMYFUNCTION("""COMPUTED_VALUE"""),2464.0)</f>
        <v>2464</v>
      </c>
      <c r="H307" s="33" t="str">
        <f>IFERROR(__xludf.DUMMYFUNCTION("""COMPUTED_VALUE"""),"")</f>
        <v/>
      </c>
      <c r="I307" s="45">
        <f>IFERROR(__xludf.DUMMYFUNCTION("""COMPUTED_VALUE"""),134.5907518018719)</f>
        <v>134.5907518</v>
      </c>
      <c r="J307" s="46" t="str">
        <f>IFERROR(__xludf.DUMMYFUNCTION("""COMPUTED_VALUE"""),"AP")</f>
        <v>AP</v>
      </c>
      <c r="K307" s="47">
        <f>IFERROR(__xludf.DUMMYFUNCTION("""COMPUTED_VALUE"""),14.859862012987016)</f>
        <v>14.85986201</v>
      </c>
      <c r="L307" s="48" t="str">
        <f>IFERROR(__xludf.DUMMYFUNCTION("""COMPUTED_VALUE"""),"%")</f>
        <v>%</v>
      </c>
      <c r="M307" s="49">
        <f>IFERROR(__xludf.DUMMYFUNCTION("""COMPUTED_VALUE"""),1.0)</f>
        <v>1</v>
      </c>
      <c r="N307" s="50" t="str">
        <f>IFERROR(__xludf.DUMMYFUNCTION("""COMPUTED_VALUE"""),"A105")</f>
        <v>A105</v>
      </c>
      <c r="O307" s="38" t="str">
        <f>IFERROR(__xludf.DUMMYFUNCTION("""COMPUTED_VALUE"""),"")</f>
        <v/>
      </c>
      <c r="P307" s="45">
        <f>IFERROR(__xludf.DUMMYFUNCTION("""COMPUTED_VALUE"""),93.32378885492773)</f>
        <v>93.32378885</v>
      </c>
      <c r="Q307" s="46" t="str">
        <f>IFERROR(__xludf.DUMMYFUNCTION("""COMPUTED_VALUE"""),"AP")</f>
        <v>AP</v>
      </c>
      <c r="R307" s="47">
        <f>IFERROR(__xludf.DUMMYFUNCTION("""COMPUTED_VALUE"""),21.430762987012987)</f>
        <v>21.43076299</v>
      </c>
      <c r="S307" s="48" t="str">
        <f>IFERROR(__xludf.DUMMYFUNCTION("""COMPUTED_VALUE"""),"%")</f>
        <v>%</v>
      </c>
      <c r="T307" s="49">
        <f>IFERROR(__xludf.DUMMYFUNCTION("""COMPUTED_VALUE"""),2.0)</f>
        <v>2</v>
      </c>
      <c r="U307" s="50" t="str">
        <f>IFERROR(__xludf.DUMMYFUNCTION("""COMPUTED_VALUE"""),"A201")</f>
        <v>A201</v>
      </c>
      <c r="V307" s="38" t="str">
        <f>IFERROR(__xludf.DUMMYFUNCTION("""COMPUTED_VALUE"""),"")</f>
        <v/>
      </c>
      <c r="W307" s="45">
        <f>IFERROR(__xludf.DUMMYFUNCTION("""COMPUTED_VALUE"""),117.75106926955148)</f>
        <v>117.7510693</v>
      </c>
      <c r="X307" s="46" t="str">
        <f>IFERROR(__xludf.DUMMYFUNCTION("""COMPUTED_VALUE"""),"AP")</f>
        <v>AP</v>
      </c>
      <c r="Y307" s="47">
        <f>IFERROR(__xludf.DUMMYFUNCTION("""COMPUTED_VALUE"""),16.984983766233768)</f>
        <v>16.98498377</v>
      </c>
      <c r="Z307" s="48" t="str">
        <f>IFERROR(__xludf.DUMMYFUNCTION("""COMPUTED_VALUE"""),"%")</f>
        <v>%</v>
      </c>
      <c r="AA307" s="49">
        <f>IFERROR(__xludf.DUMMYFUNCTION("""COMPUTED_VALUE"""),3.0)</f>
        <v>3</v>
      </c>
      <c r="AB307" s="50" t="str">
        <f>IFERROR(__xludf.DUMMYFUNCTION("""COMPUTED_VALUE"""),"B113")</f>
        <v>B113</v>
      </c>
      <c r="AC307" s="38" t="str">
        <f>IFERROR(__xludf.DUMMYFUNCTION("""COMPUTED_VALUE"""),"")</f>
        <v/>
      </c>
      <c r="AD307" s="45">
        <f>IFERROR(__xludf.DUMMYFUNCTION("""COMPUTED_VALUE"""),112.34956033659272)</f>
        <v>112.3495603</v>
      </c>
      <c r="AE307" s="46" t="str">
        <f>IFERROR(__xludf.DUMMYFUNCTION("""COMPUTED_VALUE"""),"AP")</f>
        <v>AP</v>
      </c>
      <c r="AF307" s="47">
        <f>IFERROR(__xludf.DUMMYFUNCTION("""COMPUTED_VALUE"""),17.801582792207792)</f>
        <v>17.80158279</v>
      </c>
      <c r="AG307" s="48" t="str">
        <f>IFERROR(__xludf.DUMMYFUNCTION("""COMPUTED_VALUE"""),"%")</f>
        <v>%</v>
      </c>
      <c r="AH307" s="43">
        <f>IFERROR(__xludf.DUMMYFUNCTION("""COMPUTED_VALUE"""),20.0)</f>
        <v>20</v>
      </c>
      <c r="AI307" s="44">
        <f>IFERROR(__xludf.DUMMYFUNCTION("""COMPUTED_VALUE"""),2464.0)</f>
        <v>2464</v>
      </c>
      <c r="AJ307" s="42" t="str">
        <f>IFERROR(__xludf.DUMMYFUNCTION("""COMPUTED_VALUE"""),"Camping Ground")</f>
        <v>Camping Ground</v>
      </c>
    </row>
    <row r="308" ht="24.75" customHeight="1">
      <c r="A308" s="28">
        <f>IFERROR(__xludf.DUMMYFUNCTION("""COMPUTED_VALUE"""),7.0)</f>
        <v>7</v>
      </c>
      <c r="B308" s="28" t="str">
        <f>IFERROR(__xludf.DUMMYFUNCTION("""COMPUTED_VALUE"""),"A205")</f>
        <v>A205</v>
      </c>
      <c r="C308" s="28" t="str">
        <f>IFERROR(__xludf.DUMMYFUNCTION("""COMPUTED_VALUE"""),"SLM10")</f>
        <v>SLM10</v>
      </c>
      <c r="D308" s="29" t="str">
        <f>IFERROR(__xludf.DUMMYFUNCTION("""COMPUTED_VALUE"""),"Salem")</f>
        <v>Salem</v>
      </c>
      <c r="E308" s="30" t="str">
        <f>IFERROR(__xludf.DUMMYFUNCTION("""COMPUTED_VALUE"""),"Hideout")</f>
        <v>Hideout</v>
      </c>
      <c r="F308" s="31">
        <f>IFERROR(__xludf.DUMMYFUNCTION("""COMPUTED_VALUE"""),21.0)</f>
        <v>21</v>
      </c>
      <c r="G308" s="32">
        <f>IFERROR(__xludf.DUMMYFUNCTION("""COMPUTED_VALUE"""),10642.0)</f>
        <v>10642</v>
      </c>
      <c r="H308" s="33" t="str">
        <f>IFERROR(__xludf.DUMMYFUNCTION("""COMPUTED_VALUE"""),"")</f>
        <v/>
      </c>
      <c r="I308" s="34">
        <f>IFERROR(__xludf.DUMMYFUNCTION("""COMPUTED_VALUE"""),139.99561499671125)</f>
        <v>139.995615</v>
      </c>
      <c r="J308" s="35" t="str">
        <f>IFERROR(__xludf.DUMMYFUNCTION("""COMPUTED_VALUE"""),"AP")</f>
        <v>AP</v>
      </c>
      <c r="K308" s="34">
        <f>IFERROR(__xludf.DUMMYFUNCTION("""COMPUTED_VALUE"""),15.0004698364969)</f>
        <v>15.00046984</v>
      </c>
      <c r="L308" s="35" t="str">
        <f>IFERROR(__xludf.DUMMYFUNCTION("""COMPUTED_VALUE"""),"%")</f>
        <v>%</v>
      </c>
      <c r="M308" s="36">
        <f>IFERROR(__xludf.DUMMYFUNCTION("""COMPUTED_VALUE"""),1.0)</f>
        <v>1</v>
      </c>
      <c r="N308" s="37" t="str">
        <f>IFERROR(__xludf.DUMMYFUNCTION("""COMPUTED_VALUE"""),"A201")</f>
        <v>A201</v>
      </c>
      <c r="O308" s="38" t="str">
        <f>IFERROR(__xludf.DUMMYFUNCTION("""COMPUTED_VALUE"""),"")</f>
        <v/>
      </c>
      <c r="P308" s="34">
        <f>IFERROR(__xludf.DUMMYFUNCTION("""COMPUTED_VALUE"""),46.65946640237396)</f>
        <v>46.6594664</v>
      </c>
      <c r="Q308" s="35" t="str">
        <f>IFERROR(__xludf.DUMMYFUNCTION("""COMPUTED_VALUE"""),"AP")</f>
        <v>AP</v>
      </c>
      <c r="R308" s="34">
        <f>IFERROR(__xludf.DUMMYFUNCTION("""COMPUTED_VALUE"""),45.00694418342417)</f>
        <v>45.00694418</v>
      </c>
      <c r="S308" s="35" t="str">
        <f>IFERROR(__xludf.DUMMYFUNCTION("""COMPUTED_VALUE"""),"%")</f>
        <v>%</v>
      </c>
      <c r="T308" s="36">
        <f>IFERROR(__xludf.DUMMYFUNCTION("""COMPUTED_VALUE"""),2.0)</f>
        <v>2</v>
      </c>
      <c r="U308" s="37" t="str">
        <f>IFERROR(__xludf.DUMMYFUNCTION("""COMPUTED_VALUE"""),"B115")</f>
        <v>B115</v>
      </c>
      <c r="V308" s="38" t="str">
        <f>IFERROR(__xludf.DUMMYFUNCTION("""COMPUTED_VALUE"""),"")</f>
        <v/>
      </c>
      <c r="W308" s="34">
        <f>IFERROR(__xludf.DUMMYFUNCTION("""COMPUTED_VALUE"""),138.03126242999062)</f>
        <v>138.0312624</v>
      </c>
      <c r="X308" s="35" t="str">
        <f>IFERROR(__xludf.DUMMYFUNCTION("""COMPUTED_VALUE"""),"AP")</f>
        <v>AP</v>
      </c>
      <c r="Y308" s="34">
        <f>IFERROR(__xludf.DUMMYFUNCTION("""COMPUTED_VALUE"""),15.213944747227963)</f>
        <v>15.21394475</v>
      </c>
      <c r="Z308" s="35" t="str">
        <f>IFERROR(__xludf.DUMMYFUNCTION("""COMPUTED_VALUE"""),"%")</f>
        <v>%</v>
      </c>
      <c r="AA308" s="36">
        <f>IFERROR(__xludf.DUMMYFUNCTION("""COMPUTED_VALUE"""),3.0)</f>
        <v>3</v>
      </c>
      <c r="AB308" s="37"/>
      <c r="AC308" s="38"/>
      <c r="AD308" s="34" t="str">
        <f>IFERROR(__xludf.DUMMYFUNCTION("""COMPUTED_VALUE"""),"")</f>
        <v/>
      </c>
      <c r="AE308" s="35" t="str">
        <f>IFERROR(__xludf.DUMMYFUNCTION("""COMPUTED_VALUE"""),"AP")</f>
        <v>AP</v>
      </c>
      <c r="AF308" s="34" t="str">
        <f>IFERROR(__xludf.DUMMYFUNCTION("""COMPUTED_VALUE"""),"")</f>
        <v/>
      </c>
      <c r="AG308" s="35" t="str">
        <f>IFERROR(__xludf.DUMMYFUNCTION("""COMPUTED_VALUE"""),"%")</f>
        <v>%</v>
      </c>
      <c r="AH308" s="31">
        <f>IFERROR(__xludf.DUMMYFUNCTION("""COMPUTED_VALUE"""),21.0)</f>
        <v>21</v>
      </c>
      <c r="AI308" s="32">
        <f>IFERROR(__xludf.DUMMYFUNCTION("""COMPUTED_VALUE"""),10642.0)</f>
        <v>10642</v>
      </c>
      <c r="AJ308" s="30" t="str">
        <f>IFERROR(__xludf.DUMMYFUNCTION("""COMPUTED_VALUE"""),"Hideout")</f>
        <v>Hideout</v>
      </c>
    </row>
    <row r="309" ht="24.75" customHeight="1">
      <c r="A309" s="40">
        <f>IFERROR(__xludf.DUMMYFUNCTION("""COMPUTED_VALUE"""),8.0)</f>
        <v>8</v>
      </c>
      <c r="B309" s="40" t="str">
        <f>IFERROR(__xludf.DUMMYFUNCTION("""COMPUTED_VALUE"""),"A205")</f>
        <v>A205</v>
      </c>
      <c r="C309" s="40" t="str">
        <f>IFERROR(__xludf.DUMMYFUNCTION("""COMPUTED_VALUE"""),"AGT8")</f>
        <v>AGT8</v>
      </c>
      <c r="D309" s="41" t="str">
        <f>IFERROR(__xludf.DUMMYFUNCTION("""COMPUTED_VALUE"""),"Agartha")</f>
        <v>Agartha</v>
      </c>
      <c r="E309" s="42" t="str">
        <f>IFERROR(__xludf.DUMMYFUNCTION("""COMPUTED_VALUE"""),"Foothills Jungle")</f>
        <v>Foothills Jungle</v>
      </c>
      <c r="F309" s="43">
        <f>IFERROR(__xludf.DUMMYFUNCTION("""COMPUTED_VALUE"""),21.0)</f>
        <v>21</v>
      </c>
      <c r="G309" s="44">
        <f>IFERROR(__xludf.DUMMYFUNCTION("""COMPUTED_VALUE"""),23183.0)</f>
        <v>23183</v>
      </c>
      <c r="H309" s="33" t="str">
        <f>IFERROR(__xludf.DUMMYFUNCTION("""COMPUTED_VALUE"""),"")</f>
        <v/>
      </c>
      <c r="I309" s="45">
        <f>IFERROR(__xludf.DUMMYFUNCTION("""COMPUTED_VALUE"""),146.8916513290891)</f>
        <v>146.8916513</v>
      </c>
      <c r="J309" s="46" t="str">
        <f>IFERROR(__xludf.DUMMYFUNCTION("""COMPUTED_VALUE"""),"AP")</f>
        <v>AP</v>
      </c>
      <c r="K309" s="47">
        <f>IFERROR(__xludf.DUMMYFUNCTION("""COMPUTED_VALUE"""),14.296251563645775)</f>
        <v>14.29625156</v>
      </c>
      <c r="L309" s="48" t="str">
        <f>IFERROR(__xludf.DUMMYFUNCTION("""COMPUTED_VALUE"""),"%")</f>
        <v>%</v>
      </c>
      <c r="M309" s="49">
        <f>IFERROR(__xludf.DUMMYFUNCTION("""COMPUTED_VALUE"""),1.0)</f>
        <v>1</v>
      </c>
      <c r="N309" s="50" t="str">
        <f>IFERROR(__xludf.DUMMYFUNCTION("""COMPUTED_VALUE"""),"A201")</f>
        <v>A201</v>
      </c>
      <c r="O309" s="38" t="str">
        <f>IFERROR(__xludf.DUMMYFUNCTION("""COMPUTED_VALUE"""),"")</f>
        <v/>
      </c>
      <c r="P309" s="45">
        <f>IFERROR(__xludf.DUMMYFUNCTION("""COMPUTED_VALUE"""),137.24325543371015)</f>
        <v>137.2432554</v>
      </c>
      <c r="Q309" s="46" t="str">
        <f>IFERROR(__xludf.DUMMYFUNCTION("""COMPUTED_VALUE"""),"AP")</f>
        <v>AP</v>
      </c>
      <c r="R309" s="47">
        <f>IFERROR(__xludf.DUMMYFUNCTION("""COMPUTED_VALUE"""),15.301298365181383)</f>
        <v>15.30129837</v>
      </c>
      <c r="S309" s="48" t="str">
        <f>IFERROR(__xludf.DUMMYFUNCTION("""COMPUTED_VALUE"""),"%")</f>
        <v>%</v>
      </c>
      <c r="T309" s="49">
        <f>IFERROR(__xludf.DUMMYFUNCTION("""COMPUTED_VALUE"""),2.0)</f>
        <v>2</v>
      </c>
      <c r="U309" s="50" t="str">
        <f>IFERROR(__xludf.DUMMYFUNCTION("""COMPUTED_VALUE"""),"A303")</f>
        <v>A303</v>
      </c>
      <c r="V309" s="38" t="str">
        <f>IFERROR(__xludf.DUMMYFUNCTION("""COMPUTED_VALUE"""),"")</f>
        <v/>
      </c>
      <c r="W309" s="45">
        <f>IFERROR(__xludf.DUMMYFUNCTION("""COMPUTED_VALUE"""),42.50641730839751)</f>
        <v>42.50641731</v>
      </c>
      <c r="X309" s="46" t="str">
        <f>IFERROR(__xludf.DUMMYFUNCTION("""COMPUTED_VALUE"""),"AP")</f>
        <v>AP</v>
      </c>
      <c r="Y309" s="47">
        <f>IFERROR(__xludf.DUMMYFUNCTION("""COMPUTED_VALUE"""),49.40430487857482)</f>
        <v>49.40430488</v>
      </c>
      <c r="Z309" s="48" t="str">
        <f>IFERROR(__xludf.DUMMYFUNCTION("""COMPUTED_VALUE"""),"%")</f>
        <v>%</v>
      </c>
      <c r="AA309" s="49">
        <f>IFERROR(__xludf.DUMMYFUNCTION("""COMPUTED_VALUE"""),3.0)</f>
        <v>3</v>
      </c>
      <c r="AB309" s="50" t="str">
        <f>IFERROR(__xludf.DUMMYFUNCTION("""COMPUTED_VALUE"""),"B112")</f>
        <v>B112</v>
      </c>
      <c r="AC309" s="38" t="str">
        <f>IFERROR(__xludf.DUMMYFUNCTION("""COMPUTED_VALUE"""),"")</f>
        <v/>
      </c>
      <c r="AD309" s="45">
        <f>IFERROR(__xludf.DUMMYFUNCTION("""COMPUTED_VALUE"""),214.05377720151998)</f>
        <v>214.0537772</v>
      </c>
      <c r="AE309" s="46" t="str">
        <f>IFERROR(__xludf.DUMMYFUNCTION("""COMPUTED_VALUE"""),"AP")</f>
        <v>AP</v>
      </c>
      <c r="AF309" s="47">
        <f>IFERROR(__xludf.DUMMYFUNCTION("""COMPUTED_VALUE"""),9.810618749432132)</f>
        <v>9.810618749</v>
      </c>
      <c r="AG309" s="48" t="str">
        <f>IFERROR(__xludf.DUMMYFUNCTION("""COMPUTED_VALUE"""),"%")</f>
        <v>%</v>
      </c>
      <c r="AH309" s="43">
        <f>IFERROR(__xludf.DUMMYFUNCTION("""COMPUTED_VALUE"""),21.0)</f>
        <v>21</v>
      </c>
      <c r="AI309" s="44">
        <f>IFERROR(__xludf.DUMMYFUNCTION("""COMPUTED_VALUE"""),23183.0)</f>
        <v>23183</v>
      </c>
      <c r="AJ309" s="42" t="str">
        <f>IFERROR(__xludf.DUMMYFUNCTION("""COMPUTED_VALUE"""),"Foothills Jungle")</f>
        <v>Foothills Jungle</v>
      </c>
    </row>
    <row r="310" ht="24.75" customHeight="1">
      <c r="A310" s="28">
        <f>IFERROR(__xludf.DUMMYFUNCTION("""COMPUTED_VALUE"""),9.0)</f>
        <v>9</v>
      </c>
      <c r="B310" s="28" t="str">
        <f>IFERROR(__xludf.DUMMYFUNCTION("""COMPUTED_VALUE"""),"A205")</f>
        <v>A205</v>
      </c>
      <c r="C310" s="28" t="str">
        <f>IFERROR(__xludf.DUMMYFUNCTION("""COMPUTED_VALUE"""),"TRF27")</f>
        <v>TRF27</v>
      </c>
      <c r="D310" s="29" t="str">
        <f>IFERROR(__xludf.DUMMYFUNCTION("""COMPUTED_VALUE"""),"Chaldea Gate (Sun)")</f>
        <v>Chaldea Gate (Sun)</v>
      </c>
      <c r="E310" s="30" t="str">
        <f>IFERROR(__xludf.DUMMYFUNCTION("""COMPUTED_VALUE"""),"SUN Saber Training Ground- Adv")</f>
        <v>SUN Saber Training Ground- Adv</v>
      </c>
      <c r="F310" s="31">
        <f>IFERROR(__xludf.DUMMYFUNCTION("""COMPUTED_VALUE"""),30.0)</f>
        <v>30</v>
      </c>
      <c r="G310" s="32">
        <f>IFERROR(__xludf.DUMMYFUNCTION("""COMPUTED_VALUE"""),4351.0)</f>
        <v>4351</v>
      </c>
      <c r="H310" s="33" t="str">
        <f>IFERROR(__xludf.DUMMYFUNCTION("""COMPUTED_VALUE"""),"")</f>
        <v/>
      </c>
      <c r="I310" s="34">
        <f>IFERROR(__xludf.DUMMYFUNCTION("""COMPUTED_VALUE"""),170.83110845871155)</f>
        <v>170.8311085</v>
      </c>
      <c r="J310" s="35" t="str">
        <f>IFERROR(__xludf.DUMMYFUNCTION("""COMPUTED_VALUE"""),"AP")</f>
        <v>AP</v>
      </c>
      <c r="K310" s="34">
        <f>IFERROR(__xludf.DUMMYFUNCTION("""COMPUTED_VALUE"""),17.561204320845782)</f>
        <v>17.56120432</v>
      </c>
      <c r="L310" s="35" t="str">
        <f>IFERROR(__xludf.DUMMYFUNCTION("""COMPUTED_VALUE"""),"%")</f>
        <v>%</v>
      </c>
      <c r="M310" s="36">
        <f>IFERROR(__xludf.DUMMYFUNCTION("""COMPUTED_VALUE"""),1.0)</f>
        <v>1</v>
      </c>
      <c r="N310" s="37" t="str">
        <f>IFERROR(__xludf.DUMMYFUNCTION("""COMPUTED_VALUE"""),"A104")</f>
        <v>A104</v>
      </c>
      <c r="O310" s="38" t="str">
        <f>IFERROR(__xludf.DUMMYFUNCTION("""COMPUTED_VALUE"""),"")</f>
        <v/>
      </c>
      <c r="P310" s="34">
        <f>IFERROR(__xludf.DUMMYFUNCTION("""COMPUTED_VALUE"""),779.8236390574965)</f>
        <v>779.8236391</v>
      </c>
      <c r="Q310" s="35" t="str">
        <f>IFERROR(__xludf.DUMMYFUNCTION("""COMPUTED_VALUE"""),"AP")</f>
        <v>AP</v>
      </c>
      <c r="R310" s="34">
        <f>IFERROR(__xludf.DUMMYFUNCTION("""COMPUTED_VALUE"""),3.8470236727189153)</f>
        <v>3.847023673</v>
      </c>
      <c r="S310" s="35" t="str">
        <f>IFERROR(__xludf.DUMMYFUNCTION("""COMPUTED_VALUE"""),"%")</f>
        <v>%</v>
      </c>
      <c r="T310" s="36">
        <f>IFERROR(__xludf.DUMMYFUNCTION("""COMPUTED_VALUE"""),2.0)</f>
        <v>2</v>
      </c>
      <c r="U310" s="37" t="str">
        <f>IFERROR(__xludf.DUMMYFUNCTION("""COMPUTED_VALUE"""),"A201")</f>
        <v>A201</v>
      </c>
      <c r="V310" s="38" t="str">
        <f>IFERROR(__xludf.DUMMYFUNCTION("""COMPUTED_VALUE"""),"")</f>
        <v/>
      </c>
      <c r="W310" s="34">
        <f>IFERROR(__xludf.DUMMYFUNCTION("""COMPUTED_VALUE"""),124.49925603754149)</f>
        <v>124.499256</v>
      </c>
      <c r="X310" s="35" t="str">
        <f>IFERROR(__xludf.DUMMYFUNCTION("""COMPUTED_VALUE"""),"AP")</f>
        <v>AP</v>
      </c>
      <c r="Y310" s="34">
        <f>IFERROR(__xludf.DUMMYFUNCTION("""COMPUTED_VALUE"""),24.096529533440588)</f>
        <v>24.09652953</v>
      </c>
      <c r="Z310" s="35" t="str">
        <f>IFERROR(__xludf.DUMMYFUNCTION("""COMPUTED_VALUE"""),"%")</f>
        <v>%</v>
      </c>
      <c r="AA310" s="36">
        <f>IFERROR(__xludf.DUMMYFUNCTION("""COMPUTED_VALUE"""),3.0)</f>
        <v>3</v>
      </c>
      <c r="AB310" s="37" t="str">
        <f>IFERROR(__xludf.DUMMYFUNCTION("""COMPUTED_VALUE"""),"A206")</f>
        <v>A206</v>
      </c>
      <c r="AC310" s="38" t="str">
        <f>IFERROR(__xludf.DUMMYFUNCTION("""COMPUTED_VALUE"""),"")</f>
        <v/>
      </c>
      <c r="AD310" s="34">
        <f>IFERROR(__xludf.DUMMYFUNCTION("""COMPUTED_VALUE"""),203.50541309119933)</f>
        <v>203.5054131</v>
      </c>
      <c r="AE310" s="35" t="str">
        <f>IFERROR(__xludf.DUMMYFUNCTION("""COMPUTED_VALUE"""),"AP")</f>
        <v>AP</v>
      </c>
      <c r="AF310" s="34">
        <f>IFERROR(__xludf.DUMMYFUNCTION("""COMPUTED_VALUE"""),14.741622615490693)</f>
        <v>14.74162262</v>
      </c>
      <c r="AG310" s="35" t="str">
        <f>IFERROR(__xludf.DUMMYFUNCTION("""COMPUTED_VALUE"""),"%")</f>
        <v>%</v>
      </c>
      <c r="AH310" s="31">
        <f>IFERROR(__xludf.DUMMYFUNCTION("""COMPUTED_VALUE"""),30.0)</f>
        <v>30</v>
      </c>
      <c r="AI310" s="32">
        <f>IFERROR(__xludf.DUMMYFUNCTION("""COMPUTED_VALUE"""),4351.0)</f>
        <v>4351</v>
      </c>
      <c r="AJ310" s="30" t="str">
        <f>IFERROR(__xludf.DUMMYFUNCTION("""COMPUTED_VALUE"""),"SUN Saber Training Ground- Adv")</f>
        <v>SUN Saber Training Ground- Adv</v>
      </c>
    </row>
    <row r="311" ht="24.75" customHeight="1">
      <c r="A311" s="40">
        <f>IFERROR(__xludf.DUMMYFUNCTION("""COMPUTED_VALUE"""),10.0)</f>
        <v>10</v>
      </c>
      <c r="B311" s="40" t="str">
        <f>IFERROR(__xludf.DUMMYFUNCTION("""COMPUTED_VALUE"""),"A205")</f>
        <v>A205</v>
      </c>
      <c r="C311" s="40" t="str">
        <f>IFERROR(__xludf.DUMMYFUNCTION("""COMPUTED_VALUE"""),"OKN12")</f>
        <v>OKN12</v>
      </c>
      <c r="D311" s="41" t="str">
        <f>IFERROR(__xludf.DUMMYFUNCTION("""COMPUTED_VALUE"""),"Okeanos")</f>
        <v>Okeanos</v>
      </c>
      <c r="E311" s="42" t="str">
        <f>IFERROR(__xludf.DUMMYFUNCTION("""COMPUTED_VALUE"""),"Bountiful Sea")</f>
        <v>Bountiful Sea</v>
      </c>
      <c r="F311" s="43">
        <f>IFERROR(__xludf.DUMMYFUNCTION("""COMPUTED_VALUE"""),18.0)</f>
        <v>18</v>
      </c>
      <c r="G311" s="44">
        <f>IFERROR(__xludf.DUMMYFUNCTION("""COMPUTED_VALUE"""),19412.0)</f>
        <v>19412</v>
      </c>
      <c r="H311" s="33" t="str">
        <f>IFERROR(__xludf.DUMMYFUNCTION("""COMPUTED_VALUE"""),"")</f>
        <v/>
      </c>
      <c r="I311" s="45">
        <f>IFERROR(__xludf.DUMMYFUNCTION("""COMPUTED_VALUE"""),190.65578439749748)</f>
        <v>190.6557844</v>
      </c>
      <c r="J311" s="46" t="str">
        <f>IFERROR(__xludf.DUMMYFUNCTION("""COMPUTED_VALUE"""),"AP")</f>
        <v>AP</v>
      </c>
      <c r="K311" s="47">
        <f>IFERROR(__xludf.DUMMYFUNCTION("""COMPUTED_VALUE"""),9.4410982897177)</f>
        <v>9.44109829</v>
      </c>
      <c r="L311" s="48" t="str">
        <f>IFERROR(__xludf.DUMMYFUNCTION("""COMPUTED_VALUE"""),"%")</f>
        <v>%</v>
      </c>
      <c r="M311" s="49">
        <f>IFERROR(__xludf.DUMMYFUNCTION("""COMPUTED_VALUE"""),1.0)</f>
        <v>1</v>
      </c>
      <c r="N311" s="50" t="str">
        <f>IFERROR(__xludf.DUMMYFUNCTION("""COMPUTED_VALUE"""),"A201")</f>
        <v>A201</v>
      </c>
      <c r="O311" s="38" t="str">
        <f>IFERROR(__xludf.DUMMYFUNCTION("""COMPUTED_VALUE"""),"")</f>
        <v/>
      </c>
      <c r="P311" s="45">
        <f>IFERROR(__xludf.DUMMYFUNCTION("""COMPUTED_VALUE"""),59.72208453689302)</f>
        <v>59.72208454</v>
      </c>
      <c r="Q311" s="46" t="str">
        <f>IFERROR(__xludf.DUMMYFUNCTION("""COMPUTED_VALUE"""),"AP")</f>
        <v>AP</v>
      </c>
      <c r="R311" s="47">
        <f>IFERROR(__xludf.DUMMYFUNCTION("""COMPUTED_VALUE"""),30.139604368431897)</f>
        <v>30.13960437</v>
      </c>
      <c r="S311" s="48" t="str">
        <f>IFERROR(__xludf.DUMMYFUNCTION("""COMPUTED_VALUE"""),"%")</f>
        <v>%</v>
      </c>
      <c r="T311" s="49">
        <f>IFERROR(__xludf.DUMMYFUNCTION("""COMPUTED_VALUE"""),2.0)</f>
        <v>2</v>
      </c>
      <c r="U311" s="50" t="str">
        <f>IFERROR(__xludf.DUMMYFUNCTION("""COMPUTED_VALUE"""),"B112")</f>
        <v>B112</v>
      </c>
      <c r="V311" s="38" t="str">
        <f>IFERROR(__xludf.DUMMYFUNCTION("""COMPUTED_VALUE"""),"")</f>
        <v/>
      </c>
      <c r="W311" s="45">
        <f>IFERROR(__xludf.DUMMYFUNCTION("""COMPUTED_VALUE"""),181.52423502519608)</f>
        <v>181.524235</v>
      </c>
      <c r="X311" s="46" t="str">
        <f>IFERROR(__xludf.DUMMYFUNCTION("""COMPUTED_VALUE"""),"AP")</f>
        <v>AP</v>
      </c>
      <c r="Y311" s="47">
        <f>IFERROR(__xludf.DUMMYFUNCTION("""COMPUTED_VALUE"""),9.916031320832476)</f>
        <v>9.916031321</v>
      </c>
      <c r="Z311" s="48" t="str">
        <f>IFERROR(__xludf.DUMMYFUNCTION("""COMPUTED_VALUE"""),"%")</f>
        <v>%</v>
      </c>
      <c r="AA311" s="49">
        <f>IFERROR(__xludf.DUMMYFUNCTION("""COMPUTED_VALUE"""),3.0)</f>
        <v>3</v>
      </c>
      <c r="AB311" s="50" t="str">
        <f>IFERROR(__xludf.DUMMYFUNCTION("""COMPUTED_VALUE"""),"B113")</f>
        <v>B113</v>
      </c>
      <c r="AC311" s="38" t="str">
        <f>IFERROR(__xludf.DUMMYFUNCTION("""COMPUTED_VALUE"""),"")</f>
        <v/>
      </c>
      <c r="AD311" s="45">
        <f>IFERROR(__xludf.DUMMYFUNCTION("""COMPUTED_VALUE"""),356.1293952294708)</f>
        <v>356.1293952</v>
      </c>
      <c r="AE311" s="46" t="str">
        <f>IFERROR(__xludf.DUMMYFUNCTION("""COMPUTED_VALUE"""),"AP")</f>
        <v>AP</v>
      </c>
      <c r="AF311" s="47">
        <f>IFERROR(__xludf.DUMMYFUNCTION("""COMPUTED_VALUE"""),5.054342674634246)</f>
        <v>5.054342675</v>
      </c>
      <c r="AG311" s="48" t="str">
        <f>IFERROR(__xludf.DUMMYFUNCTION("""COMPUTED_VALUE"""),"%")</f>
        <v>%</v>
      </c>
      <c r="AH311" s="43">
        <f>IFERROR(__xludf.DUMMYFUNCTION("""COMPUTED_VALUE"""),18.0)</f>
        <v>18</v>
      </c>
      <c r="AI311" s="44">
        <f>IFERROR(__xludf.DUMMYFUNCTION("""COMPUTED_VALUE"""),19412.0)</f>
        <v>19412</v>
      </c>
      <c r="AJ311" s="42" t="str">
        <f>IFERROR(__xludf.DUMMYFUNCTION("""COMPUTED_VALUE"""),"Bountiful Sea")</f>
        <v>Bountiful Sea</v>
      </c>
    </row>
    <row r="312" ht="24.75" customHeight="1">
      <c r="A312" s="28">
        <f>IFERROR(__xludf.DUMMYFUNCTION("""COMPUTED_VALUE"""),11.0)</f>
        <v>11</v>
      </c>
      <c r="B312" s="28" t="str">
        <f>IFERROR(__xludf.DUMMYFUNCTION("""COMPUTED_VALUE"""),"A205")</f>
        <v>A205</v>
      </c>
      <c r="C312" s="28" t="str">
        <f>IFERROR(__xludf.DUMMYFUNCTION("""COMPUTED_VALUE"""),"TRF4")</f>
        <v>TRF4</v>
      </c>
      <c r="D312" s="29" t="str">
        <f>IFERROR(__xludf.DUMMYFUNCTION("""COMPUTED_VALUE"""),"Chaldea Gate (Mon)")</f>
        <v>Chaldea Gate (Mon)</v>
      </c>
      <c r="E312" s="30" t="str">
        <f>IFERROR(__xludf.DUMMYFUNCTION("""COMPUTED_VALUE"""),"MON Archer Training Ground- Exp")</f>
        <v>MON Archer Training Ground- Exp</v>
      </c>
      <c r="F312" s="31">
        <f>IFERROR(__xludf.DUMMYFUNCTION("""COMPUTED_VALUE"""),40.0)</f>
        <v>40</v>
      </c>
      <c r="G312" s="32">
        <f>IFERROR(__xludf.DUMMYFUNCTION("""COMPUTED_VALUE"""),10924.0)</f>
        <v>10924</v>
      </c>
      <c r="H312" s="33" t="str">
        <f>IFERROR(__xludf.DUMMYFUNCTION("""COMPUTED_VALUE"""),"")</f>
        <v/>
      </c>
      <c r="I312" s="34">
        <f>IFERROR(__xludf.DUMMYFUNCTION("""COMPUTED_VALUE"""),200.42979384115057)</f>
        <v>200.4297938</v>
      </c>
      <c r="J312" s="35" t="str">
        <f>IFERROR(__xludf.DUMMYFUNCTION("""COMPUTED_VALUE"""),"AP")</f>
        <v>AP</v>
      </c>
      <c r="K312" s="34">
        <f>IFERROR(__xludf.DUMMYFUNCTION("""COMPUTED_VALUE"""),19.957112779201758)</f>
        <v>19.95711278</v>
      </c>
      <c r="L312" s="35" t="str">
        <f>IFERROR(__xludf.DUMMYFUNCTION("""COMPUTED_VALUE"""),"%")</f>
        <v>%</v>
      </c>
      <c r="M312" s="36">
        <f>IFERROR(__xludf.DUMMYFUNCTION("""COMPUTED_VALUE"""),1.0)</f>
        <v>1</v>
      </c>
      <c r="N312" s="37" t="str">
        <f>IFERROR(__xludf.DUMMYFUNCTION("""COMPUTED_VALUE"""),"A106")</f>
        <v>A106</v>
      </c>
      <c r="O312" s="38" t="str">
        <f>IFERROR(__xludf.DUMMYFUNCTION("""COMPUTED_VALUE"""),"")</f>
        <v/>
      </c>
      <c r="P312" s="34">
        <f>IFERROR(__xludf.DUMMYFUNCTION("""COMPUTED_VALUE"""),317.41857686119107)</f>
        <v>317.4185769</v>
      </c>
      <c r="Q312" s="35" t="str">
        <f>IFERROR(__xludf.DUMMYFUNCTION("""COMPUTED_VALUE"""),"AP")</f>
        <v>AP</v>
      </c>
      <c r="R312" s="34">
        <f>IFERROR(__xludf.DUMMYFUNCTION("""COMPUTED_VALUE"""),12.601656902233614)</f>
        <v>12.6016569</v>
      </c>
      <c r="S312" s="35" t="str">
        <f>IFERROR(__xludf.DUMMYFUNCTION("""COMPUTED_VALUE"""),"%")</f>
        <v>%</v>
      </c>
      <c r="T312" s="36">
        <f>IFERROR(__xludf.DUMMYFUNCTION("""COMPUTED_VALUE"""),2.0)</f>
        <v>2</v>
      </c>
      <c r="U312" s="37" t="str">
        <f>IFERROR(__xludf.DUMMYFUNCTION("""COMPUTED_VALUE"""),"A201")</f>
        <v>A201</v>
      </c>
      <c r="V312" s="38" t="str">
        <f>IFERROR(__xludf.DUMMYFUNCTION("""COMPUTED_VALUE"""),"")</f>
        <v/>
      </c>
      <c r="W312" s="34">
        <f>IFERROR(__xludf.DUMMYFUNCTION("""COMPUTED_VALUE"""),213.59560255849362)</f>
        <v>213.5956026</v>
      </c>
      <c r="X312" s="35" t="str">
        <f>IFERROR(__xludf.DUMMYFUNCTION("""COMPUTED_VALUE"""),"AP")</f>
        <v>AP</v>
      </c>
      <c r="Y312" s="34">
        <f>IFERROR(__xludf.DUMMYFUNCTION("""COMPUTED_VALUE"""),18.726977297693153)</f>
        <v>18.7269773</v>
      </c>
      <c r="Z312" s="35" t="str">
        <f>IFERROR(__xludf.DUMMYFUNCTION("""COMPUTED_VALUE"""),"%")</f>
        <v>%</v>
      </c>
      <c r="AA312" s="36">
        <f>IFERROR(__xludf.DUMMYFUNCTION("""COMPUTED_VALUE"""),3.0)</f>
        <v>3</v>
      </c>
      <c r="AB312" s="37" t="str">
        <f>IFERROR(__xludf.DUMMYFUNCTION("""COMPUTED_VALUE"""),"A209")</f>
        <v>A209</v>
      </c>
      <c r="AC312" s="38" t="str">
        <f>IFERROR(__xludf.DUMMYFUNCTION("""COMPUTED_VALUE"""),"")</f>
        <v/>
      </c>
      <c r="AD312" s="34">
        <f>IFERROR(__xludf.DUMMYFUNCTION("""COMPUTED_VALUE"""),209.1638424569667)</f>
        <v>209.1638425</v>
      </c>
      <c r="AE312" s="35" t="str">
        <f>IFERROR(__xludf.DUMMYFUNCTION("""COMPUTED_VALUE"""),"AP")</f>
        <v>AP</v>
      </c>
      <c r="AF312" s="34">
        <f>IFERROR(__xludf.DUMMYFUNCTION("""COMPUTED_VALUE"""),19.12376418894178)</f>
        <v>19.12376419</v>
      </c>
      <c r="AG312" s="35" t="str">
        <f>IFERROR(__xludf.DUMMYFUNCTION("""COMPUTED_VALUE"""),"%")</f>
        <v>%</v>
      </c>
      <c r="AH312" s="31">
        <f>IFERROR(__xludf.DUMMYFUNCTION("""COMPUTED_VALUE"""),40.0)</f>
        <v>40</v>
      </c>
      <c r="AI312" s="32">
        <f>IFERROR(__xludf.DUMMYFUNCTION("""COMPUTED_VALUE"""),10924.0)</f>
        <v>10924</v>
      </c>
      <c r="AJ312" s="30" t="str">
        <f>IFERROR(__xludf.DUMMYFUNCTION("""COMPUTED_VALUE"""),"MON Archer Training Ground- Exp")</f>
        <v>MON Archer Training Ground- Exp</v>
      </c>
    </row>
    <row r="313" ht="24.75" customHeight="1">
      <c r="A313" s="40">
        <f>IFERROR(__xludf.DUMMYFUNCTION("""COMPUTED_VALUE"""),12.0)</f>
        <v>12</v>
      </c>
      <c r="B313" s="40" t="str">
        <f>IFERROR(__xludf.DUMMYFUNCTION("""COMPUTED_VALUE"""),"A205")</f>
        <v>A205</v>
      </c>
      <c r="C313" s="40" t="str">
        <f>IFERROR(__xludf.DUMMYFUNCTION("""COMPUTED_VALUE"""),"TRF3")</f>
        <v>TRF3</v>
      </c>
      <c r="D313" s="41" t="str">
        <f>IFERROR(__xludf.DUMMYFUNCTION("""COMPUTED_VALUE"""),"Chaldea Gate (Mon)")</f>
        <v>Chaldea Gate (Mon)</v>
      </c>
      <c r="E313" s="42" t="str">
        <f>IFERROR(__xludf.DUMMYFUNCTION("""COMPUTED_VALUE"""),"MON Archer Training Ground- Adv")</f>
        <v>MON Archer Training Ground- Adv</v>
      </c>
      <c r="F313" s="43">
        <f>IFERROR(__xludf.DUMMYFUNCTION("""COMPUTED_VALUE"""),30.0)</f>
        <v>30</v>
      </c>
      <c r="G313" s="44">
        <f>IFERROR(__xludf.DUMMYFUNCTION("""COMPUTED_VALUE"""),1454.0)</f>
        <v>1454</v>
      </c>
      <c r="H313" s="33" t="str">
        <f>IFERROR(__xludf.DUMMYFUNCTION("""COMPUTED_VALUE"""),"")</f>
        <v/>
      </c>
      <c r="I313" s="45">
        <f>IFERROR(__xludf.DUMMYFUNCTION("""COMPUTED_VALUE"""),347.1271685500557)</f>
        <v>347.1271686</v>
      </c>
      <c r="J313" s="46" t="str">
        <f>IFERROR(__xludf.DUMMYFUNCTION("""COMPUTED_VALUE"""),"AP")</f>
        <v>AP</v>
      </c>
      <c r="K313" s="47">
        <f>IFERROR(__xludf.DUMMYFUNCTION("""COMPUTED_VALUE"""),8.642365887207703)</f>
        <v>8.642365887</v>
      </c>
      <c r="L313" s="48" t="str">
        <f>IFERROR(__xludf.DUMMYFUNCTION("""COMPUTED_VALUE"""),"%")</f>
        <v>%</v>
      </c>
      <c r="M313" s="49">
        <f>IFERROR(__xludf.DUMMYFUNCTION("""COMPUTED_VALUE"""),1.0)</f>
        <v>1</v>
      </c>
      <c r="N313" s="50" t="str">
        <f>IFERROR(__xludf.DUMMYFUNCTION("""COMPUTED_VALUE"""),"A106")</f>
        <v>A106</v>
      </c>
      <c r="O313" s="38" t="str">
        <f>IFERROR(__xludf.DUMMYFUNCTION("""COMPUTED_VALUE"""),"")</f>
        <v/>
      </c>
      <c r="P313" s="45">
        <f>IFERROR(__xludf.DUMMYFUNCTION("""COMPUTED_VALUE"""),505.4461181923523)</f>
        <v>505.4461182</v>
      </c>
      <c r="Q313" s="46" t="str">
        <f>IFERROR(__xludf.DUMMYFUNCTION("""COMPUTED_VALUE"""),"AP")</f>
        <v>AP</v>
      </c>
      <c r="R313" s="47">
        <f>IFERROR(__xludf.DUMMYFUNCTION("""COMPUTED_VALUE"""),5.9353507565337)</f>
        <v>5.935350757</v>
      </c>
      <c r="S313" s="48" t="str">
        <f>IFERROR(__xludf.DUMMYFUNCTION("""COMPUTED_VALUE"""),"%")</f>
        <v>%</v>
      </c>
      <c r="T313" s="49">
        <f>IFERROR(__xludf.DUMMYFUNCTION("""COMPUTED_VALUE"""),2.0)</f>
        <v>2</v>
      </c>
      <c r="U313" s="50" t="str">
        <f>IFERROR(__xludf.DUMMYFUNCTION("""COMPUTED_VALUE"""),"A201")</f>
        <v>A201</v>
      </c>
      <c r="V313" s="38" t="str">
        <f>IFERROR(__xludf.DUMMYFUNCTION("""COMPUTED_VALUE"""),"")</f>
        <v/>
      </c>
      <c r="W313" s="45">
        <f>IFERROR(__xludf.DUMMYFUNCTION("""COMPUTED_VALUE"""),209.97400596899973)</f>
        <v>209.974006</v>
      </c>
      <c r="X313" s="46" t="str">
        <f>IFERROR(__xludf.DUMMYFUNCTION("""COMPUTED_VALUE"""),"AP")</f>
        <v>AP</v>
      </c>
      <c r="Y313" s="47">
        <f>IFERROR(__xludf.DUMMYFUNCTION("""COMPUTED_VALUE"""),14.28748280605227)</f>
        <v>14.28748281</v>
      </c>
      <c r="Z313" s="48" t="str">
        <f>IFERROR(__xludf.DUMMYFUNCTION("""COMPUTED_VALUE"""),"%")</f>
        <v>%</v>
      </c>
      <c r="AA313" s="49">
        <f>IFERROR(__xludf.DUMMYFUNCTION("""COMPUTED_VALUE"""),3.0)</f>
        <v>3</v>
      </c>
      <c r="AB313" s="50" t="str">
        <f>IFERROR(__xludf.DUMMYFUNCTION("""COMPUTED_VALUE"""),"A209")</f>
        <v>A209</v>
      </c>
      <c r="AC313" s="38" t="str">
        <f>IFERROR(__xludf.DUMMYFUNCTION("""COMPUTED_VALUE"""),"")</f>
        <v/>
      </c>
      <c r="AD313" s="45">
        <f>IFERROR(__xludf.DUMMYFUNCTION("""COMPUTED_VALUE"""),230.98919720398223)</f>
        <v>230.9891972</v>
      </c>
      <c r="AE313" s="46" t="str">
        <f>IFERROR(__xludf.DUMMYFUNCTION("""COMPUTED_VALUE"""),"AP")</f>
        <v>AP</v>
      </c>
      <c r="AF313" s="47">
        <f>IFERROR(__xludf.DUMMYFUNCTION("""COMPUTED_VALUE"""),12.987620357634112)</f>
        <v>12.98762036</v>
      </c>
      <c r="AG313" s="48" t="str">
        <f>IFERROR(__xludf.DUMMYFUNCTION("""COMPUTED_VALUE"""),"%")</f>
        <v>%</v>
      </c>
      <c r="AH313" s="43">
        <f>IFERROR(__xludf.DUMMYFUNCTION("""COMPUTED_VALUE"""),30.0)</f>
        <v>30</v>
      </c>
      <c r="AI313" s="44">
        <f>IFERROR(__xludf.DUMMYFUNCTION("""COMPUTED_VALUE"""),1454.0)</f>
        <v>1454</v>
      </c>
      <c r="AJ313" s="42" t="str">
        <f>IFERROR(__xludf.DUMMYFUNCTION("""COMPUTED_VALUE"""),"MON Archer Training Ground- Adv")</f>
        <v>MON Archer Training Ground- Adv</v>
      </c>
    </row>
    <row r="314" ht="24.75" customHeight="1">
      <c r="A314" s="28">
        <f>IFERROR(__xludf.DUMMYFUNCTION("""COMPUTED_VALUE"""),13.0)</f>
        <v>13</v>
      </c>
      <c r="B314" s="28" t="str">
        <f>IFERROR(__xludf.DUMMYFUNCTION("""COMPUTED_VALUE"""),"A205")</f>
        <v>A205</v>
      </c>
      <c r="C314" s="28" t="str">
        <f>IFERROR(__xludf.DUMMYFUNCTION("""COMPUTED_VALUE"""),"TRF8")</f>
        <v>TRF8</v>
      </c>
      <c r="D314" s="29" t="str">
        <f>IFERROR(__xludf.DUMMYFUNCTION("""COMPUTED_VALUE"""),"Chaldea Gate (Tue)")</f>
        <v>Chaldea Gate (Tue)</v>
      </c>
      <c r="E314" s="30" t="str">
        <f>IFERROR(__xludf.DUMMYFUNCTION("""COMPUTED_VALUE"""),"TUE Lancer Training Ground- Exp")</f>
        <v>TUE Lancer Training Ground- Exp</v>
      </c>
      <c r="F314" s="31">
        <f>IFERROR(__xludf.DUMMYFUNCTION("""COMPUTED_VALUE"""),40.0)</f>
        <v>40</v>
      </c>
      <c r="G314" s="32">
        <f>IFERROR(__xludf.DUMMYFUNCTION("""COMPUTED_VALUE"""),7227.0)</f>
        <v>7227</v>
      </c>
      <c r="H314" s="33" t="str">
        <f>IFERROR(__xludf.DUMMYFUNCTION("""COMPUTED_VALUE"""),"")</f>
        <v/>
      </c>
      <c r="I314" s="34">
        <f>IFERROR(__xludf.DUMMYFUNCTION("""COMPUTED_VALUE"""),355.1787688905271)</f>
        <v>355.1787689</v>
      </c>
      <c r="J314" s="35" t="str">
        <f>IFERROR(__xludf.DUMMYFUNCTION("""COMPUTED_VALUE"""),"AP")</f>
        <v>AP</v>
      </c>
      <c r="K314" s="34">
        <f>IFERROR(__xludf.DUMMYFUNCTION("""COMPUTED_VALUE"""),11.261934412619343)</f>
        <v>11.26193441</v>
      </c>
      <c r="L314" s="35" t="str">
        <f>IFERROR(__xludf.DUMMYFUNCTION("""COMPUTED_VALUE"""),"%")</f>
        <v>%</v>
      </c>
      <c r="M314" s="36">
        <f>IFERROR(__xludf.DUMMYFUNCTION("""COMPUTED_VALUE"""),1.0)</f>
        <v>1</v>
      </c>
      <c r="N314" s="37" t="str">
        <f>IFERROR(__xludf.DUMMYFUNCTION("""COMPUTED_VALUE"""),"A105")</f>
        <v>A105</v>
      </c>
      <c r="O314" s="38" t="str">
        <f>IFERROR(__xludf.DUMMYFUNCTION("""COMPUTED_VALUE"""),"")</f>
        <v/>
      </c>
      <c r="P314" s="34">
        <f>IFERROR(__xludf.DUMMYFUNCTION("""COMPUTED_VALUE"""),313.494989806099)</f>
        <v>313.4949898</v>
      </c>
      <c r="Q314" s="35" t="str">
        <f>IFERROR(__xludf.DUMMYFUNCTION("""COMPUTED_VALUE"""),"AP")</f>
        <v>AP</v>
      </c>
      <c r="R314" s="34">
        <f>IFERROR(__xludf.DUMMYFUNCTION("""COMPUTED_VALUE"""),12.759374567593746)</f>
        <v>12.75937457</v>
      </c>
      <c r="S314" s="35" t="str">
        <f>IFERROR(__xludf.DUMMYFUNCTION("""COMPUTED_VALUE"""),"%")</f>
        <v>%</v>
      </c>
      <c r="T314" s="36">
        <f>IFERROR(__xludf.DUMMYFUNCTION("""COMPUTED_VALUE"""),2.0)</f>
        <v>2</v>
      </c>
      <c r="U314" s="37" t="str">
        <f>IFERROR(__xludf.DUMMYFUNCTION("""COMPUTED_VALUE"""),"A201")</f>
        <v>A201</v>
      </c>
      <c r="V314" s="38" t="str">
        <f>IFERROR(__xludf.DUMMYFUNCTION("""COMPUTED_VALUE"""),"")</f>
        <v/>
      </c>
      <c r="W314" s="34">
        <f>IFERROR(__xludf.DUMMYFUNCTION("""COMPUTED_VALUE"""),156.2991678967089)</f>
        <v>156.2991679</v>
      </c>
      <c r="X314" s="35" t="str">
        <f>IFERROR(__xludf.DUMMYFUNCTION("""COMPUTED_VALUE"""),"AP")</f>
        <v>AP</v>
      </c>
      <c r="Y314" s="34">
        <f>IFERROR(__xludf.DUMMYFUNCTION("""COMPUTED_VALUE"""),25.591946865919468)</f>
        <v>25.59194687</v>
      </c>
      <c r="Z314" s="35" t="str">
        <f>IFERROR(__xludf.DUMMYFUNCTION("""COMPUTED_VALUE"""),"%")</f>
        <v>%</v>
      </c>
      <c r="AA314" s="36">
        <f>IFERROR(__xludf.DUMMYFUNCTION("""COMPUTED_VALUE"""),3.0)</f>
        <v>3</v>
      </c>
      <c r="AB314" s="37" t="str">
        <f>IFERROR(__xludf.DUMMYFUNCTION("""COMPUTED_VALUE"""),"A208")</f>
        <v>A208</v>
      </c>
      <c r="AC314" s="38" t="str">
        <f>IFERROR(__xludf.DUMMYFUNCTION("""COMPUTED_VALUE"""),"")</f>
        <v/>
      </c>
      <c r="AD314" s="34">
        <f>IFERROR(__xludf.DUMMYFUNCTION("""COMPUTED_VALUE"""),188.54805992734103)</f>
        <v>188.5480599</v>
      </c>
      <c r="AE314" s="35" t="str">
        <f>IFERROR(__xludf.DUMMYFUNCTION("""COMPUTED_VALUE"""),"AP")</f>
        <v>AP</v>
      </c>
      <c r="AF314" s="34">
        <f>IFERROR(__xludf.DUMMYFUNCTION("""COMPUTED_VALUE"""),21.214750242147502)</f>
        <v>21.21475024</v>
      </c>
      <c r="AG314" s="35" t="str">
        <f>IFERROR(__xludf.DUMMYFUNCTION("""COMPUTED_VALUE"""),"%")</f>
        <v>%</v>
      </c>
      <c r="AH314" s="31">
        <f>IFERROR(__xludf.DUMMYFUNCTION("""COMPUTED_VALUE"""),40.0)</f>
        <v>40</v>
      </c>
      <c r="AI314" s="32">
        <f>IFERROR(__xludf.DUMMYFUNCTION("""COMPUTED_VALUE"""),7227.0)</f>
        <v>7227</v>
      </c>
      <c r="AJ314" s="30" t="str">
        <f>IFERROR(__xludf.DUMMYFUNCTION("""COMPUTED_VALUE"""),"TUE Lancer Training Ground- Exp")</f>
        <v>TUE Lancer Training Ground- Exp</v>
      </c>
    </row>
    <row r="315" ht="24.75" customHeight="1">
      <c r="A315" s="40">
        <f>IFERROR(__xludf.DUMMYFUNCTION("""COMPUTED_VALUE"""),14.0)</f>
        <v>14</v>
      </c>
      <c r="B315" s="40" t="str">
        <f>IFERROR(__xludf.DUMMYFUNCTION("""COMPUTED_VALUE"""),"A205")</f>
        <v>A205</v>
      </c>
      <c r="C315" s="40" t="str">
        <f>IFERROR(__xludf.DUMMYFUNCTION("""COMPUTED_VALUE"""),"TRF7")</f>
        <v>TRF7</v>
      </c>
      <c r="D315" s="41" t="str">
        <f>IFERROR(__xludf.DUMMYFUNCTION("""COMPUTED_VALUE"""),"Chaldea Gate (Tue)")</f>
        <v>Chaldea Gate (Tue)</v>
      </c>
      <c r="E315" s="42" t="str">
        <f>IFERROR(__xludf.DUMMYFUNCTION("""COMPUTED_VALUE"""),"TUE Lancer Training Ground- Adv")</f>
        <v>TUE Lancer Training Ground- Adv</v>
      </c>
      <c r="F315" s="43">
        <f>IFERROR(__xludf.DUMMYFUNCTION("""COMPUTED_VALUE"""),30.0)</f>
        <v>30</v>
      </c>
      <c r="G315" s="44">
        <f>IFERROR(__xludf.DUMMYFUNCTION("""COMPUTED_VALUE"""),1232.0)</f>
        <v>1232</v>
      </c>
      <c r="H315" s="33" t="str">
        <f>IFERROR(__xludf.DUMMYFUNCTION("""COMPUTED_VALUE"""),"")</f>
        <v/>
      </c>
      <c r="I315" s="45">
        <f>IFERROR(__xludf.DUMMYFUNCTION("""COMPUTED_VALUE"""),361.3680361368036)</f>
        <v>361.3680361</v>
      </c>
      <c r="J315" s="46" t="str">
        <f>IFERROR(__xludf.DUMMYFUNCTION("""COMPUTED_VALUE"""),"AP")</f>
        <v>AP</v>
      </c>
      <c r="K315" s="47">
        <f>IFERROR(__xludf.DUMMYFUNCTION("""COMPUTED_VALUE"""),8.301785714285714)</f>
        <v>8.301785714</v>
      </c>
      <c r="L315" s="48" t="str">
        <f>IFERROR(__xludf.DUMMYFUNCTION("""COMPUTED_VALUE"""),"%")</f>
        <v>%</v>
      </c>
      <c r="M315" s="49">
        <f>IFERROR(__xludf.DUMMYFUNCTION("""COMPUTED_VALUE"""),1.0)</f>
        <v>1</v>
      </c>
      <c r="N315" s="50" t="str">
        <f>IFERROR(__xludf.DUMMYFUNCTION("""COMPUTED_VALUE"""),"A105")</f>
        <v>A105</v>
      </c>
      <c r="O315" s="38" t="str">
        <f>IFERROR(__xludf.DUMMYFUNCTION("""COMPUTED_VALUE"""),"")</f>
        <v/>
      </c>
      <c r="P315" s="45">
        <f>IFERROR(__xludf.DUMMYFUNCTION("""COMPUTED_VALUE"""),484.35923309788086)</f>
        <v>484.3592331</v>
      </c>
      <c r="Q315" s="46" t="str">
        <f>IFERROR(__xludf.DUMMYFUNCTION("""COMPUTED_VALUE"""),"AP")</f>
        <v>AP</v>
      </c>
      <c r="R315" s="47">
        <f>IFERROR(__xludf.DUMMYFUNCTION("""COMPUTED_VALUE"""),6.1937500000000005)</f>
        <v>6.19375</v>
      </c>
      <c r="S315" s="48" t="str">
        <f>IFERROR(__xludf.DUMMYFUNCTION("""COMPUTED_VALUE"""),"%")</f>
        <v>%</v>
      </c>
      <c r="T315" s="49">
        <f>IFERROR(__xludf.DUMMYFUNCTION("""COMPUTED_VALUE"""),2.0)</f>
        <v>2</v>
      </c>
      <c r="U315" s="50" t="str">
        <f>IFERROR(__xludf.DUMMYFUNCTION("""COMPUTED_VALUE"""),"A201")</f>
        <v>A201</v>
      </c>
      <c r="V315" s="38" t="str">
        <f>IFERROR(__xludf.DUMMYFUNCTION("""COMPUTED_VALUE"""),"")</f>
        <v/>
      </c>
      <c r="W315" s="45">
        <f>IFERROR(__xludf.DUMMYFUNCTION("""COMPUTED_VALUE"""),156.64800396705982)</f>
        <v>156.648004</v>
      </c>
      <c r="X315" s="46" t="str">
        <f>IFERROR(__xludf.DUMMYFUNCTION("""COMPUTED_VALUE"""),"AP")</f>
        <v>AP</v>
      </c>
      <c r="Y315" s="47">
        <f>IFERROR(__xludf.DUMMYFUNCTION("""COMPUTED_VALUE"""),19.151217532467534)</f>
        <v>19.15121753</v>
      </c>
      <c r="Z315" s="48" t="str">
        <f>IFERROR(__xludf.DUMMYFUNCTION("""COMPUTED_VALUE"""),"%")</f>
        <v>%</v>
      </c>
      <c r="AA315" s="49">
        <f>IFERROR(__xludf.DUMMYFUNCTION("""COMPUTED_VALUE"""),3.0)</f>
        <v>3</v>
      </c>
      <c r="AB315" s="50" t="str">
        <f>IFERROR(__xludf.DUMMYFUNCTION("""COMPUTED_VALUE"""),"A208")</f>
        <v>A208</v>
      </c>
      <c r="AC315" s="38" t="str">
        <f>IFERROR(__xludf.DUMMYFUNCTION("""COMPUTED_VALUE"""),"")</f>
        <v/>
      </c>
      <c r="AD315" s="45">
        <f>IFERROR(__xludf.DUMMYFUNCTION("""COMPUTED_VALUE"""),170.2127659574468)</f>
        <v>170.212766</v>
      </c>
      <c r="AE315" s="46" t="str">
        <f>IFERROR(__xludf.DUMMYFUNCTION("""COMPUTED_VALUE"""),"AP")</f>
        <v>AP</v>
      </c>
      <c r="AF315" s="47">
        <f>IFERROR(__xludf.DUMMYFUNCTION("""COMPUTED_VALUE"""),17.625)</f>
        <v>17.625</v>
      </c>
      <c r="AG315" s="48" t="str">
        <f>IFERROR(__xludf.DUMMYFUNCTION("""COMPUTED_VALUE"""),"%")</f>
        <v>%</v>
      </c>
      <c r="AH315" s="43">
        <f>IFERROR(__xludf.DUMMYFUNCTION("""COMPUTED_VALUE"""),30.0)</f>
        <v>30</v>
      </c>
      <c r="AI315" s="44">
        <f>IFERROR(__xludf.DUMMYFUNCTION("""COMPUTED_VALUE"""),1232.0)</f>
        <v>1232</v>
      </c>
      <c r="AJ315" s="42" t="str">
        <f>IFERROR(__xludf.DUMMYFUNCTION("""COMPUTED_VALUE"""),"TUE Lancer Training Ground- Adv")</f>
        <v>TUE Lancer Training Ground- Adv</v>
      </c>
    </row>
    <row r="316" ht="24.75" customHeight="1">
      <c r="A316" s="28">
        <f>IFERROR(__xludf.DUMMYFUNCTION("""COMPUTED_VALUE"""),15.0)</f>
        <v>15</v>
      </c>
      <c r="B316" s="28" t="str">
        <f>IFERROR(__xludf.DUMMYFUNCTION("""COMPUTED_VALUE"""),"A205")</f>
        <v>A205</v>
      </c>
      <c r="C316" s="28" t="str">
        <f>IFERROR(__xludf.DUMMYFUNCTION("""COMPUTED_VALUE"""),"TRF28")</f>
        <v>TRF28</v>
      </c>
      <c r="D316" s="29" t="str">
        <f>IFERROR(__xludf.DUMMYFUNCTION("""COMPUTED_VALUE"""),"Chaldea Gate (Sun)")</f>
        <v>Chaldea Gate (Sun)</v>
      </c>
      <c r="E316" s="30" t="str">
        <f>IFERROR(__xludf.DUMMYFUNCTION("""COMPUTED_VALUE"""),"SUN Saber Training Ground- Exp")</f>
        <v>SUN Saber Training Ground- Exp</v>
      </c>
      <c r="F316" s="31">
        <f>IFERROR(__xludf.DUMMYFUNCTION("""COMPUTED_VALUE"""),40.0)</f>
        <v>40</v>
      </c>
      <c r="G316" s="32">
        <f>IFERROR(__xludf.DUMMYFUNCTION("""COMPUTED_VALUE"""),28657.0)</f>
        <v>28657</v>
      </c>
      <c r="H316" s="33" t="str">
        <f>IFERROR(__xludf.DUMMYFUNCTION("""COMPUTED_VALUE"""),"")</f>
        <v/>
      </c>
      <c r="I316" s="34">
        <f>IFERROR(__xludf.DUMMYFUNCTION("""COMPUTED_VALUE"""),377.1536265682929)</f>
        <v>377.1536266</v>
      </c>
      <c r="J316" s="35" t="str">
        <f>IFERROR(__xludf.DUMMYFUNCTION("""COMPUTED_VALUE"""),"AP")</f>
        <v>AP</v>
      </c>
      <c r="K316" s="34">
        <f>IFERROR(__xludf.DUMMYFUNCTION("""COMPUTED_VALUE"""),10.60575775552221)</f>
        <v>10.60575776</v>
      </c>
      <c r="L316" s="35" t="str">
        <f>IFERROR(__xludf.DUMMYFUNCTION("""COMPUTED_VALUE"""),"%")</f>
        <v>%</v>
      </c>
      <c r="M316" s="36">
        <f>IFERROR(__xludf.DUMMYFUNCTION("""COMPUTED_VALUE"""),1.0)</f>
        <v>1</v>
      </c>
      <c r="N316" s="37" t="str">
        <f>IFERROR(__xludf.DUMMYFUNCTION("""COMPUTED_VALUE"""),"A104")</f>
        <v>A104</v>
      </c>
      <c r="O316" s="38" t="str">
        <f>IFERROR(__xludf.DUMMYFUNCTION("""COMPUTED_VALUE"""),"")</f>
        <v/>
      </c>
      <c r="P316" s="34">
        <f>IFERROR(__xludf.DUMMYFUNCTION("""COMPUTED_VALUE"""),499.78199829086657)</f>
        <v>499.7819983</v>
      </c>
      <c r="Q316" s="35" t="str">
        <f>IFERROR(__xludf.DUMMYFUNCTION("""COMPUTED_VALUE"""),"AP")</f>
        <v>AP</v>
      </c>
      <c r="R316" s="34">
        <f>IFERROR(__xludf.DUMMYFUNCTION("""COMPUTED_VALUE"""),8.00348954880134)</f>
        <v>8.003489549</v>
      </c>
      <c r="S316" s="35" t="str">
        <f>IFERROR(__xludf.DUMMYFUNCTION("""COMPUTED_VALUE"""),"%")</f>
        <v>%</v>
      </c>
      <c r="T316" s="36">
        <f>IFERROR(__xludf.DUMMYFUNCTION("""COMPUTED_VALUE"""),2.0)</f>
        <v>2</v>
      </c>
      <c r="U316" s="37" t="str">
        <f>IFERROR(__xludf.DUMMYFUNCTION("""COMPUTED_VALUE"""),"A201")</f>
        <v>A201</v>
      </c>
      <c r="V316" s="38" t="str">
        <f>IFERROR(__xludf.DUMMYFUNCTION("""COMPUTED_VALUE"""),"")</f>
        <v/>
      </c>
      <c r="W316" s="34">
        <f>IFERROR(__xludf.DUMMYFUNCTION("""COMPUTED_VALUE"""),149.6821532877502)</f>
        <v>149.6821533</v>
      </c>
      <c r="X316" s="35" t="str">
        <f>IFERROR(__xludf.DUMMYFUNCTION("""COMPUTED_VALUE"""),"AP")</f>
        <v>AP</v>
      </c>
      <c r="Y316" s="34">
        <f>IFERROR(__xludf.DUMMYFUNCTION("""COMPUTED_VALUE"""),26.723292738248944)</f>
        <v>26.72329274</v>
      </c>
      <c r="Z316" s="35" t="str">
        <f>IFERROR(__xludf.DUMMYFUNCTION("""COMPUTED_VALUE"""),"%")</f>
        <v>%</v>
      </c>
      <c r="AA316" s="36">
        <f>IFERROR(__xludf.DUMMYFUNCTION("""COMPUTED_VALUE"""),3.0)</f>
        <v>3</v>
      </c>
      <c r="AB316" s="37" t="str">
        <f>IFERROR(__xludf.DUMMYFUNCTION("""COMPUTED_VALUE"""),"A206")</f>
        <v>A206</v>
      </c>
      <c r="AC316" s="38" t="str">
        <f>IFERROR(__xludf.DUMMYFUNCTION("""COMPUTED_VALUE"""),"")</f>
        <v/>
      </c>
      <c r="AD316" s="34">
        <f>IFERROR(__xludf.DUMMYFUNCTION("""COMPUTED_VALUE"""),196.53461478887445)</f>
        <v>196.5346148</v>
      </c>
      <c r="AE316" s="35" t="str">
        <f>IFERROR(__xludf.DUMMYFUNCTION("""COMPUTED_VALUE"""),"AP")</f>
        <v>AP</v>
      </c>
      <c r="AF316" s="34">
        <f>IFERROR(__xludf.DUMMYFUNCTION("""COMPUTED_VALUE"""),20.352648841513055)</f>
        <v>20.35264884</v>
      </c>
      <c r="AG316" s="35" t="str">
        <f>IFERROR(__xludf.DUMMYFUNCTION("""COMPUTED_VALUE"""),"%")</f>
        <v>%</v>
      </c>
      <c r="AH316" s="31">
        <f>IFERROR(__xludf.DUMMYFUNCTION("""COMPUTED_VALUE"""),40.0)</f>
        <v>40</v>
      </c>
      <c r="AI316" s="32">
        <f>IFERROR(__xludf.DUMMYFUNCTION("""COMPUTED_VALUE"""),28657.0)</f>
        <v>28657</v>
      </c>
      <c r="AJ316" s="30" t="str">
        <f>IFERROR(__xludf.DUMMYFUNCTION("""COMPUTED_VALUE"""),"SUN Saber Training Ground- Exp")</f>
        <v>SUN Saber Training Ground- Exp</v>
      </c>
    </row>
    <row r="317" ht="24.75" customHeight="1">
      <c r="A317" s="40">
        <f>IFERROR(__xludf.DUMMYFUNCTION("""COMPUTED_VALUE"""),16.0)</f>
        <v>16</v>
      </c>
      <c r="B317" s="40" t="str">
        <f>IFERROR(__xludf.DUMMYFUNCTION("""COMPUTED_VALUE"""),"A205")</f>
        <v>A205</v>
      </c>
      <c r="C317" s="40" t="str">
        <f>IFERROR(__xludf.DUMMYFUNCTION("""COMPUTED_VALUE"""),"TRF2")</f>
        <v>TRF2</v>
      </c>
      <c r="D317" s="41" t="str">
        <f>IFERROR(__xludf.DUMMYFUNCTION("""COMPUTED_VALUE"""),"Chaldea Gate (Mon)")</f>
        <v>Chaldea Gate (Mon)</v>
      </c>
      <c r="E317" s="42" t="str">
        <f>IFERROR(__xludf.DUMMYFUNCTION("""COMPUTED_VALUE"""),"MON Archer Training Ground- Int")</f>
        <v>MON Archer Training Ground- Int</v>
      </c>
      <c r="F317" s="43">
        <f>IFERROR(__xludf.DUMMYFUNCTION("""COMPUTED_VALUE"""),20.0)</f>
        <v>20</v>
      </c>
      <c r="G317" s="44">
        <f>IFERROR(__xludf.DUMMYFUNCTION("""COMPUTED_VALUE"""),1232.0)</f>
        <v>1232</v>
      </c>
      <c r="H317" s="33" t="str">
        <f>IFERROR(__xludf.DUMMYFUNCTION("""COMPUTED_VALUE"""),"")</f>
        <v/>
      </c>
      <c r="I317" s="45">
        <f>IFERROR(__xludf.DUMMYFUNCTION("""COMPUTED_VALUE"""),3126.1101243339253)</f>
        <v>3126.110124</v>
      </c>
      <c r="J317" s="46" t="str">
        <f>IFERROR(__xludf.DUMMYFUNCTION("""COMPUTED_VALUE"""),"AP")</f>
        <v>AP</v>
      </c>
      <c r="K317" s="47">
        <f>IFERROR(__xludf.DUMMYFUNCTION("""COMPUTED_VALUE"""),0.6397727272727273)</f>
        <v>0.6397727273</v>
      </c>
      <c r="L317" s="48" t="str">
        <f>IFERROR(__xludf.DUMMYFUNCTION("""COMPUTED_VALUE"""),"%")</f>
        <v>%</v>
      </c>
      <c r="M317" s="49">
        <f>IFERROR(__xludf.DUMMYFUNCTION("""COMPUTED_VALUE"""),1.0)</f>
        <v>1</v>
      </c>
      <c r="N317" s="50" t="str">
        <f>IFERROR(__xludf.DUMMYFUNCTION("""COMPUTED_VALUE"""),"A201")</f>
        <v>A201</v>
      </c>
      <c r="O317" s="38" t="str">
        <f>IFERROR(__xludf.DUMMYFUNCTION("""COMPUTED_VALUE"""),"")</f>
        <v/>
      </c>
      <c r="P317" s="45">
        <f>IFERROR(__xludf.DUMMYFUNCTION("""COMPUTED_VALUE"""),135.3652774878314)</f>
        <v>135.3652775</v>
      </c>
      <c r="Q317" s="46" t="str">
        <f>IFERROR(__xludf.DUMMYFUNCTION("""COMPUTED_VALUE"""),"AP")</f>
        <v>AP</v>
      </c>
      <c r="R317" s="47">
        <f>IFERROR(__xludf.DUMMYFUNCTION("""COMPUTED_VALUE"""),14.774837662337662)</f>
        <v>14.77483766</v>
      </c>
      <c r="S317" s="48" t="str">
        <f>IFERROR(__xludf.DUMMYFUNCTION("""COMPUTED_VALUE"""),"%")</f>
        <v>%</v>
      </c>
      <c r="T317" s="49">
        <f>IFERROR(__xludf.DUMMYFUNCTION("""COMPUTED_VALUE"""),2.0)</f>
        <v>2</v>
      </c>
      <c r="U317" s="50" t="str">
        <f>IFERROR(__xludf.DUMMYFUNCTION("""COMPUTED_VALUE"""),"A209")</f>
        <v>A209</v>
      </c>
      <c r="V317" s="38" t="str">
        <f>IFERROR(__xludf.DUMMYFUNCTION("""COMPUTED_VALUE"""),"")</f>
        <v/>
      </c>
      <c r="W317" s="45">
        <f>IFERROR(__xludf.DUMMYFUNCTION("""COMPUTED_VALUE"""),190.8538852398067)</f>
        <v>190.8538852</v>
      </c>
      <c r="X317" s="46" t="str">
        <f>IFERROR(__xludf.DUMMYFUNCTION("""COMPUTED_VALUE"""),"AP")</f>
        <v>AP</v>
      </c>
      <c r="Y317" s="47">
        <f>IFERROR(__xludf.DUMMYFUNCTION("""COMPUTED_VALUE"""),10.479220779220778)</f>
        <v>10.47922078</v>
      </c>
      <c r="Z317" s="48" t="str">
        <f>IFERROR(__xludf.DUMMYFUNCTION("""COMPUTED_VALUE"""),"%")</f>
        <v>%</v>
      </c>
      <c r="AA317" s="49">
        <f>IFERROR(__xludf.DUMMYFUNCTION("""COMPUTED_VALUE"""),3.0)</f>
        <v>3</v>
      </c>
      <c r="AB317" s="50" t="str">
        <f>IFERROR(__xludf.DUMMYFUNCTION("""COMPUTED_VALUE"""),"A301")</f>
        <v>A301</v>
      </c>
      <c r="AC317" s="38" t="str">
        <f>IFERROR(__xludf.DUMMYFUNCTION("""COMPUTED_VALUE"""),"")</f>
        <v/>
      </c>
      <c r="AD317" s="45">
        <f>IFERROR(__xludf.DUMMYFUNCTION("""COMPUTED_VALUE"""),251.22349102773248)</f>
        <v>251.223491</v>
      </c>
      <c r="AE317" s="46" t="str">
        <f>IFERROR(__xludf.DUMMYFUNCTION("""COMPUTED_VALUE"""),"AP")</f>
        <v>AP</v>
      </c>
      <c r="AF317" s="47">
        <f>IFERROR(__xludf.DUMMYFUNCTION("""COMPUTED_VALUE"""),7.961038961038961)</f>
        <v>7.961038961</v>
      </c>
      <c r="AG317" s="48" t="str">
        <f>IFERROR(__xludf.DUMMYFUNCTION("""COMPUTED_VALUE"""),"%")</f>
        <v>%</v>
      </c>
      <c r="AH317" s="43">
        <f>IFERROR(__xludf.DUMMYFUNCTION("""COMPUTED_VALUE"""),20.0)</f>
        <v>20</v>
      </c>
      <c r="AI317" s="44">
        <f>IFERROR(__xludf.DUMMYFUNCTION("""COMPUTED_VALUE"""),1232.0)</f>
        <v>1232</v>
      </c>
      <c r="AJ317" s="42" t="str">
        <f>IFERROR(__xludf.DUMMYFUNCTION("""COMPUTED_VALUE"""),"MON Archer Training Ground- Int")</f>
        <v>MON Archer Training Ground- Int</v>
      </c>
    </row>
    <row r="318" ht="24.75" customHeight="1">
      <c r="A318" s="28">
        <f>IFERROR(__xludf.DUMMYFUNCTION("""COMPUTED_VALUE"""),17.0)</f>
        <v>17</v>
      </c>
      <c r="B318" s="28" t="str">
        <f>IFERROR(__xludf.DUMMYFUNCTION("""COMPUTED_VALUE"""),"A205")</f>
        <v>A205</v>
      </c>
      <c r="C318" s="28"/>
      <c r="D318" s="29"/>
      <c r="E318" s="67"/>
      <c r="F318" s="31"/>
      <c r="G318" s="32"/>
      <c r="H318" s="33" t="str">
        <f>IFERROR(__xludf.DUMMYFUNCTION("""COMPUTED_VALUE""")," ")</f>
        <v> </v>
      </c>
      <c r="I318" s="34"/>
      <c r="J318" s="35" t="str">
        <f>IFERROR(__xludf.DUMMYFUNCTION("""COMPUTED_VALUE"""),"AP")</f>
        <v>AP</v>
      </c>
      <c r="K318" s="34"/>
      <c r="L318" s="35" t="str">
        <f>IFERROR(__xludf.DUMMYFUNCTION("""COMPUTED_VALUE"""),"%")</f>
        <v>%</v>
      </c>
      <c r="M318" s="36">
        <f>IFERROR(__xludf.DUMMYFUNCTION("""COMPUTED_VALUE"""),1.0)</f>
        <v>1</v>
      </c>
      <c r="N318" s="37"/>
      <c r="O318" s="38"/>
      <c r="P318" s="34" t="str">
        <f>IFERROR(__xludf.DUMMYFUNCTION("""COMPUTED_VALUE"""),"")</f>
        <v/>
      </c>
      <c r="Q318" s="35" t="str">
        <f>IFERROR(__xludf.DUMMYFUNCTION("""COMPUTED_VALUE"""),"AP")</f>
        <v>AP</v>
      </c>
      <c r="R318" s="34" t="str">
        <f>IFERROR(__xludf.DUMMYFUNCTION("""COMPUTED_VALUE"""),"")</f>
        <v/>
      </c>
      <c r="S318" s="35" t="str">
        <f>IFERROR(__xludf.DUMMYFUNCTION("""COMPUTED_VALUE"""),"%")</f>
        <v>%</v>
      </c>
      <c r="T318" s="36">
        <f>IFERROR(__xludf.DUMMYFUNCTION("""COMPUTED_VALUE"""),2.0)</f>
        <v>2</v>
      </c>
      <c r="U318" s="37"/>
      <c r="V318" s="38"/>
      <c r="W318" s="34" t="str">
        <f>IFERROR(__xludf.DUMMYFUNCTION("""COMPUTED_VALUE"""),"")</f>
        <v/>
      </c>
      <c r="X318" s="35" t="str">
        <f>IFERROR(__xludf.DUMMYFUNCTION("""COMPUTED_VALUE"""),"AP")</f>
        <v>AP</v>
      </c>
      <c r="Y318" s="34" t="str">
        <f>IFERROR(__xludf.DUMMYFUNCTION("""COMPUTED_VALUE"""),"")</f>
        <v/>
      </c>
      <c r="Z318" s="35" t="str">
        <f>IFERROR(__xludf.DUMMYFUNCTION("""COMPUTED_VALUE"""),"%")</f>
        <v>%</v>
      </c>
      <c r="AA318" s="36">
        <f>IFERROR(__xludf.DUMMYFUNCTION("""COMPUTED_VALUE"""),3.0)</f>
        <v>3</v>
      </c>
      <c r="AB318" s="37"/>
      <c r="AC318" s="38"/>
      <c r="AD318" s="34" t="str">
        <f>IFERROR(__xludf.DUMMYFUNCTION("""COMPUTED_VALUE"""),"")</f>
        <v/>
      </c>
      <c r="AE318" s="35" t="str">
        <f>IFERROR(__xludf.DUMMYFUNCTION("""COMPUTED_VALUE"""),"AP")</f>
        <v>AP</v>
      </c>
      <c r="AF318" s="34" t="str">
        <f>IFERROR(__xludf.DUMMYFUNCTION("""COMPUTED_VALUE"""),"")</f>
        <v/>
      </c>
      <c r="AG318" s="35" t="str">
        <f>IFERROR(__xludf.DUMMYFUNCTION("""COMPUTED_VALUE"""),"%")</f>
        <v>%</v>
      </c>
      <c r="AH318" s="31"/>
      <c r="AI318" s="32"/>
      <c r="AJ318" s="67"/>
    </row>
    <row r="319" ht="24.75" hidden="1" customHeight="1">
      <c r="A319" s="40">
        <f>IFERROR(__xludf.DUMMYFUNCTION("""COMPUTED_VALUE"""),18.0)</f>
        <v>18</v>
      </c>
      <c r="B319" s="40" t="str">
        <f>IFERROR(__xludf.DUMMYFUNCTION("""COMPUTED_VALUE"""),"A205")</f>
        <v>A205</v>
      </c>
      <c r="C319" s="40"/>
      <c r="D319" s="41"/>
      <c r="E319" s="66"/>
      <c r="F319" s="43"/>
      <c r="G319" s="44"/>
      <c r="H319" s="33" t="str">
        <f>IFERROR(__xludf.DUMMYFUNCTION("""COMPUTED_VALUE""")," ")</f>
        <v> </v>
      </c>
      <c r="I319" s="45"/>
      <c r="J319" s="46" t="str">
        <f>IFERROR(__xludf.DUMMYFUNCTION("""COMPUTED_VALUE"""),"AP")</f>
        <v>AP</v>
      </c>
      <c r="K319" s="47"/>
      <c r="L319" s="48" t="str">
        <f>IFERROR(__xludf.DUMMYFUNCTION("""COMPUTED_VALUE"""),"%")</f>
        <v>%</v>
      </c>
      <c r="M319" s="49">
        <f>IFERROR(__xludf.DUMMYFUNCTION("""COMPUTED_VALUE"""),1.0)</f>
        <v>1</v>
      </c>
      <c r="N319" s="50"/>
      <c r="O319" s="38"/>
      <c r="P319" s="45" t="str">
        <f>IFERROR(__xludf.DUMMYFUNCTION("""COMPUTED_VALUE"""),"")</f>
        <v/>
      </c>
      <c r="Q319" s="46" t="str">
        <f>IFERROR(__xludf.DUMMYFUNCTION("""COMPUTED_VALUE"""),"AP")</f>
        <v>AP</v>
      </c>
      <c r="R319" s="47" t="str">
        <f>IFERROR(__xludf.DUMMYFUNCTION("""COMPUTED_VALUE"""),"")</f>
        <v/>
      </c>
      <c r="S319" s="48" t="str">
        <f>IFERROR(__xludf.DUMMYFUNCTION("""COMPUTED_VALUE"""),"%")</f>
        <v>%</v>
      </c>
      <c r="T319" s="49">
        <f>IFERROR(__xludf.DUMMYFUNCTION("""COMPUTED_VALUE"""),2.0)</f>
        <v>2</v>
      </c>
      <c r="U319" s="50"/>
      <c r="V319" s="38"/>
      <c r="W319" s="45" t="str">
        <f>IFERROR(__xludf.DUMMYFUNCTION("""COMPUTED_VALUE"""),"")</f>
        <v/>
      </c>
      <c r="X319" s="46" t="str">
        <f>IFERROR(__xludf.DUMMYFUNCTION("""COMPUTED_VALUE"""),"AP")</f>
        <v>AP</v>
      </c>
      <c r="Y319" s="47" t="str">
        <f>IFERROR(__xludf.DUMMYFUNCTION("""COMPUTED_VALUE"""),"")</f>
        <v/>
      </c>
      <c r="Z319" s="48" t="str">
        <f>IFERROR(__xludf.DUMMYFUNCTION("""COMPUTED_VALUE"""),"%")</f>
        <v>%</v>
      </c>
      <c r="AA319" s="49">
        <f>IFERROR(__xludf.DUMMYFUNCTION("""COMPUTED_VALUE"""),3.0)</f>
        <v>3</v>
      </c>
      <c r="AB319" s="50"/>
      <c r="AC319" s="38"/>
      <c r="AD319" s="45" t="str">
        <f>IFERROR(__xludf.DUMMYFUNCTION("""COMPUTED_VALUE"""),"")</f>
        <v/>
      </c>
      <c r="AE319" s="46" t="str">
        <f>IFERROR(__xludf.DUMMYFUNCTION("""COMPUTED_VALUE"""),"AP")</f>
        <v>AP</v>
      </c>
      <c r="AF319" s="47" t="str">
        <f>IFERROR(__xludf.DUMMYFUNCTION("""COMPUTED_VALUE"""),"")</f>
        <v/>
      </c>
      <c r="AG319" s="48" t="str">
        <f>IFERROR(__xludf.DUMMYFUNCTION("""COMPUTED_VALUE"""),"%")</f>
        <v>%</v>
      </c>
      <c r="AH319" s="43"/>
      <c r="AI319" s="44"/>
      <c r="AJ319" s="66"/>
    </row>
    <row r="320" ht="24.75" hidden="1" customHeight="1">
      <c r="A320" s="28">
        <f>IFERROR(__xludf.DUMMYFUNCTION("""COMPUTED_VALUE"""),19.0)</f>
        <v>19</v>
      </c>
      <c r="B320" s="28" t="str">
        <f>IFERROR(__xludf.DUMMYFUNCTION("""COMPUTED_VALUE"""),"A205")</f>
        <v>A205</v>
      </c>
      <c r="C320" s="28"/>
      <c r="D320" s="29"/>
      <c r="E320" s="67"/>
      <c r="F320" s="31"/>
      <c r="G320" s="32"/>
      <c r="H320" s="33" t="str">
        <f>IFERROR(__xludf.DUMMYFUNCTION("""COMPUTED_VALUE""")," ")</f>
        <v> </v>
      </c>
      <c r="I320" s="34"/>
      <c r="J320" s="35" t="str">
        <f>IFERROR(__xludf.DUMMYFUNCTION("""COMPUTED_VALUE"""),"AP")</f>
        <v>AP</v>
      </c>
      <c r="K320" s="34"/>
      <c r="L320" s="35" t="str">
        <f>IFERROR(__xludf.DUMMYFUNCTION("""COMPUTED_VALUE"""),"%")</f>
        <v>%</v>
      </c>
      <c r="M320" s="36">
        <f>IFERROR(__xludf.DUMMYFUNCTION("""COMPUTED_VALUE"""),1.0)</f>
        <v>1</v>
      </c>
      <c r="N320" s="37"/>
      <c r="O320" s="38"/>
      <c r="P320" s="34" t="str">
        <f>IFERROR(__xludf.DUMMYFUNCTION("""COMPUTED_VALUE"""),"")</f>
        <v/>
      </c>
      <c r="Q320" s="35" t="str">
        <f>IFERROR(__xludf.DUMMYFUNCTION("""COMPUTED_VALUE"""),"AP")</f>
        <v>AP</v>
      </c>
      <c r="R320" s="34" t="str">
        <f>IFERROR(__xludf.DUMMYFUNCTION("""COMPUTED_VALUE"""),"")</f>
        <v/>
      </c>
      <c r="S320" s="35" t="str">
        <f>IFERROR(__xludf.DUMMYFUNCTION("""COMPUTED_VALUE"""),"%")</f>
        <v>%</v>
      </c>
      <c r="T320" s="36">
        <f>IFERROR(__xludf.DUMMYFUNCTION("""COMPUTED_VALUE"""),2.0)</f>
        <v>2</v>
      </c>
      <c r="U320" s="37"/>
      <c r="V320" s="38"/>
      <c r="W320" s="34" t="str">
        <f>IFERROR(__xludf.DUMMYFUNCTION("""COMPUTED_VALUE"""),"")</f>
        <v/>
      </c>
      <c r="X320" s="35" t="str">
        <f>IFERROR(__xludf.DUMMYFUNCTION("""COMPUTED_VALUE"""),"AP")</f>
        <v>AP</v>
      </c>
      <c r="Y320" s="34" t="str">
        <f>IFERROR(__xludf.DUMMYFUNCTION("""COMPUTED_VALUE"""),"")</f>
        <v/>
      </c>
      <c r="Z320" s="35" t="str">
        <f>IFERROR(__xludf.DUMMYFUNCTION("""COMPUTED_VALUE"""),"%")</f>
        <v>%</v>
      </c>
      <c r="AA320" s="36">
        <f>IFERROR(__xludf.DUMMYFUNCTION("""COMPUTED_VALUE"""),3.0)</f>
        <v>3</v>
      </c>
      <c r="AB320" s="37"/>
      <c r="AC320" s="38"/>
      <c r="AD320" s="34" t="str">
        <f>IFERROR(__xludf.DUMMYFUNCTION("""COMPUTED_VALUE"""),"")</f>
        <v/>
      </c>
      <c r="AE320" s="35" t="str">
        <f>IFERROR(__xludf.DUMMYFUNCTION("""COMPUTED_VALUE"""),"AP")</f>
        <v>AP</v>
      </c>
      <c r="AF320" s="34" t="str">
        <f>IFERROR(__xludf.DUMMYFUNCTION("""COMPUTED_VALUE"""),"")</f>
        <v/>
      </c>
      <c r="AG320" s="35" t="str">
        <f>IFERROR(__xludf.DUMMYFUNCTION("""COMPUTED_VALUE"""),"%")</f>
        <v>%</v>
      </c>
      <c r="AH320" s="31"/>
      <c r="AI320" s="32"/>
      <c r="AJ320" s="67"/>
    </row>
    <row r="321" ht="24.75" hidden="1" customHeight="1">
      <c r="A321" s="40">
        <f>IFERROR(__xludf.DUMMYFUNCTION("""COMPUTED_VALUE"""),20.0)</f>
        <v>20</v>
      </c>
      <c r="B321" s="40" t="str">
        <f>IFERROR(__xludf.DUMMYFUNCTION("""COMPUTED_VALUE"""),"A205")</f>
        <v>A205</v>
      </c>
      <c r="C321" s="40"/>
      <c r="D321" s="41"/>
      <c r="E321" s="66"/>
      <c r="F321" s="43"/>
      <c r="G321" s="44"/>
      <c r="H321" s="33" t="str">
        <f>IFERROR(__xludf.DUMMYFUNCTION("""COMPUTED_VALUE""")," ")</f>
        <v> </v>
      </c>
      <c r="I321" s="45"/>
      <c r="J321" s="46" t="str">
        <f>IFERROR(__xludf.DUMMYFUNCTION("""COMPUTED_VALUE"""),"AP")</f>
        <v>AP</v>
      </c>
      <c r="K321" s="47"/>
      <c r="L321" s="48" t="str">
        <f>IFERROR(__xludf.DUMMYFUNCTION("""COMPUTED_VALUE"""),"%")</f>
        <v>%</v>
      </c>
      <c r="M321" s="49">
        <f>IFERROR(__xludf.DUMMYFUNCTION("""COMPUTED_VALUE"""),1.0)</f>
        <v>1</v>
      </c>
      <c r="N321" s="50"/>
      <c r="O321" s="38"/>
      <c r="P321" s="45" t="str">
        <f>IFERROR(__xludf.DUMMYFUNCTION("""COMPUTED_VALUE"""),"")</f>
        <v/>
      </c>
      <c r="Q321" s="46" t="str">
        <f>IFERROR(__xludf.DUMMYFUNCTION("""COMPUTED_VALUE"""),"AP")</f>
        <v>AP</v>
      </c>
      <c r="R321" s="47" t="str">
        <f>IFERROR(__xludf.DUMMYFUNCTION("""COMPUTED_VALUE"""),"")</f>
        <v/>
      </c>
      <c r="S321" s="48" t="str">
        <f>IFERROR(__xludf.DUMMYFUNCTION("""COMPUTED_VALUE"""),"%")</f>
        <v>%</v>
      </c>
      <c r="T321" s="49">
        <f>IFERROR(__xludf.DUMMYFUNCTION("""COMPUTED_VALUE"""),2.0)</f>
        <v>2</v>
      </c>
      <c r="U321" s="50"/>
      <c r="V321" s="38"/>
      <c r="W321" s="45" t="str">
        <f>IFERROR(__xludf.DUMMYFUNCTION("""COMPUTED_VALUE"""),"")</f>
        <v/>
      </c>
      <c r="X321" s="46" t="str">
        <f>IFERROR(__xludf.DUMMYFUNCTION("""COMPUTED_VALUE"""),"AP")</f>
        <v>AP</v>
      </c>
      <c r="Y321" s="47" t="str">
        <f>IFERROR(__xludf.DUMMYFUNCTION("""COMPUTED_VALUE"""),"")</f>
        <v/>
      </c>
      <c r="Z321" s="48" t="str">
        <f>IFERROR(__xludf.DUMMYFUNCTION("""COMPUTED_VALUE"""),"%")</f>
        <v>%</v>
      </c>
      <c r="AA321" s="49">
        <f>IFERROR(__xludf.DUMMYFUNCTION("""COMPUTED_VALUE"""),3.0)</f>
        <v>3</v>
      </c>
      <c r="AB321" s="50"/>
      <c r="AC321" s="38"/>
      <c r="AD321" s="45" t="str">
        <f>IFERROR(__xludf.DUMMYFUNCTION("""COMPUTED_VALUE"""),"")</f>
        <v/>
      </c>
      <c r="AE321" s="46" t="str">
        <f>IFERROR(__xludf.DUMMYFUNCTION("""COMPUTED_VALUE"""),"AP")</f>
        <v>AP</v>
      </c>
      <c r="AF321" s="47" t="str">
        <f>IFERROR(__xludf.DUMMYFUNCTION("""COMPUTED_VALUE"""),"")</f>
        <v/>
      </c>
      <c r="AG321" s="48" t="str">
        <f>IFERROR(__xludf.DUMMYFUNCTION("""COMPUTED_VALUE"""),"%")</f>
        <v>%</v>
      </c>
      <c r="AH321" s="43"/>
      <c r="AI321" s="44"/>
      <c r="AJ321" s="66"/>
    </row>
    <row r="322">
      <c r="A322" s="52"/>
      <c r="B322" s="53"/>
      <c r="C322" s="54"/>
      <c r="D322" s="56"/>
      <c r="E322" s="56"/>
      <c r="F322" s="53"/>
      <c r="G322" s="53"/>
      <c r="H322" s="53"/>
      <c r="I322" s="53"/>
      <c r="J322" s="57"/>
      <c r="K322" s="53"/>
      <c r="L322" s="57"/>
      <c r="M322" s="53"/>
      <c r="N322" s="53"/>
      <c r="O322" s="53"/>
      <c r="P322" s="53"/>
      <c r="Q322" s="57"/>
      <c r="R322" s="53"/>
      <c r="S322" s="57"/>
      <c r="T322" s="53"/>
      <c r="U322" s="53"/>
      <c r="V322" s="53"/>
      <c r="W322" s="53"/>
      <c r="X322" s="57"/>
      <c r="Y322" s="53"/>
      <c r="Z322" s="57"/>
      <c r="AA322" s="53"/>
      <c r="AB322" s="53"/>
      <c r="AC322" s="53"/>
      <c r="AD322" s="53"/>
      <c r="AE322" s="57"/>
      <c r="AF322" s="53"/>
      <c r="AG322" s="57"/>
      <c r="AH322" s="53"/>
      <c r="AI322" s="53"/>
      <c r="AJ322" s="56"/>
    </row>
    <row r="323">
      <c r="A323" s="59"/>
      <c r="B323" s="60"/>
      <c r="C323" s="61"/>
      <c r="D323" s="63"/>
      <c r="E323" s="63"/>
      <c r="F323" s="60"/>
      <c r="G323" s="60"/>
      <c r="H323" s="60"/>
      <c r="I323" s="60"/>
      <c r="J323" s="64"/>
      <c r="K323" s="60"/>
      <c r="L323" s="64"/>
      <c r="M323" s="60"/>
      <c r="N323" s="60"/>
      <c r="O323" s="60"/>
      <c r="P323" s="60"/>
      <c r="Q323" s="64"/>
      <c r="R323" s="60"/>
      <c r="S323" s="64"/>
      <c r="T323" s="60"/>
      <c r="U323" s="60"/>
      <c r="V323" s="60"/>
      <c r="W323" s="60"/>
      <c r="X323" s="64"/>
      <c r="Y323" s="60"/>
      <c r="Z323" s="64"/>
      <c r="AA323" s="60"/>
      <c r="AB323" s="60"/>
      <c r="AC323" s="60"/>
      <c r="AD323" s="60"/>
      <c r="AE323" s="64"/>
      <c r="AF323" s="60"/>
      <c r="AG323" s="64"/>
      <c r="AH323" s="60"/>
      <c r="AI323" s="60"/>
      <c r="AJ323" s="63"/>
    </row>
    <row r="324" ht="33.0" customHeight="1">
      <c r="A324" s="20" t="str">
        <f>IFERROR(__xludf.DUMMYFUNCTION("""COMPUTED_VALUE""")," ")</f>
        <v> </v>
      </c>
      <c r="B324" s="21" t="str">
        <f>IFERROR(__xludf.DUMMYFUNCTION("""COMPUTED_VALUE"""),"A206")</f>
        <v>A206</v>
      </c>
      <c r="C324" s="20"/>
      <c r="D324" s="257" t="str">
        <f>IFERROR(__xludf.DUMMYFUNCTION("""COMPUTED_VALUE"""),"")</f>
        <v/>
      </c>
      <c r="E324" s="23" t="str">
        <f>IFERROR(__xludf.DUMMYFUNCTION("""COMPUTED_VALUE"""),"Eternal Gear")</f>
        <v>Eternal Gear</v>
      </c>
      <c r="F324" s="24"/>
      <c r="G324" s="24"/>
      <c r="H324" s="25"/>
      <c r="I324" s="25"/>
      <c r="J324" s="26"/>
      <c r="K324" s="25"/>
      <c r="L324" s="26"/>
      <c r="M324" s="25"/>
      <c r="N324" s="25"/>
      <c r="O324" s="25"/>
      <c r="P324" s="25"/>
      <c r="Q324" s="26"/>
      <c r="R324" s="25"/>
      <c r="S324" s="26"/>
      <c r="T324" s="25"/>
      <c r="U324" s="25"/>
      <c r="V324" s="25"/>
      <c r="W324" s="25"/>
      <c r="X324" s="26"/>
      <c r="Y324" s="25"/>
      <c r="Z324" s="26"/>
      <c r="AA324" s="25"/>
      <c r="AB324" s="25"/>
      <c r="AC324" s="25"/>
      <c r="AD324" s="25"/>
      <c r="AE324" s="26"/>
      <c r="AF324" s="25"/>
      <c r="AG324" s="26"/>
      <c r="AH324" s="24"/>
      <c r="AI324" s="25"/>
      <c r="AJ324" s="23"/>
    </row>
    <row r="325" ht="24.75" customHeight="1">
      <c r="A325" s="28">
        <f>IFERROR(__xludf.DUMMYFUNCTION("""COMPUTED_VALUE"""),1.0)</f>
        <v>1</v>
      </c>
      <c r="B325" s="28" t="str">
        <f>IFERROR(__xludf.DUMMYFUNCTION("""COMPUTED_VALUE"""),"A206")</f>
        <v>A206</v>
      </c>
      <c r="C325" s="28" t="str">
        <f>IFERROR(__xludf.DUMMYFUNCTION("""COMPUTED_VALUE"""),"SJK6")</f>
        <v>SJK6</v>
      </c>
      <c r="D325" s="29" t="str">
        <f>IFERROR(__xludf.DUMMYFUNCTION("""COMPUTED_VALUE"""),"Shinjuku")</f>
        <v>Shinjuku</v>
      </c>
      <c r="E325" s="30" t="str">
        <f>IFERROR(__xludf.DUMMYFUNCTION("""COMPUTED_VALUE"""),"Barrel Tower")</f>
        <v>Barrel Tower</v>
      </c>
      <c r="F325" s="31">
        <f>IFERROR(__xludf.DUMMYFUNCTION("""COMPUTED_VALUE"""),21.0)</f>
        <v>21</v>
      </c>
      <c r="G325" s="32">
        <f>IFERROR(__xludf.DUMMYFUNCTION("""COMPUTED_VALUE"""),15507.0)</f>
        <v>15507</v>
      </c>
      <c r="H325" s="33" t="str">
        <f>IFERROR(__xludf.DUMMYFUNCTION("""COMPUTED_VALUE"""),"")</f>
        <v/>
      </c>
      <c r="I325" s="34">
        <f>IFERROR(__xludf.DUMMYFUNCTION("""COMPUTED_VALUE"""),45.501811426124995)</f>
        <v>45.50181143</v>
      </c>
      <c r="J325" s="35" t="str">
        <f>IFERROR(__xludf.DUMMYFUNCTION("""COMPUTED_VALUE"""),"AP")</f>
        <v>AP</v>
      </c>
      <c r="K325" s="34">
        <f>IFERROR(__xludf.DUMMYFUNCTION("""COMPUTED_VALUE"""),46.152008770232804)</f>
        <v>46.15200877</v>
      </c>
      <c r="L325" s="35" t="str">
        <f>IFERROR(__xludf.DUMMYFUNCTION("""COMPUTED_VALUE"""),"%")</f>
        <v>%</v>
      </c>
      <c r="M325" s="36">
        <f>IFERROR(__xludf.DUMMYFUNCTION("""COMPUTED_VALUE"""),1.0)</f>
        <v>1</v>
      </c>
      <c r="N325" s="37" t="str">
        <f>IFERROR(__xludf.DUMMYFUNCTION("""COMPUTED_VALUE"""),"B116")</f>
        <v>B116</v>
      </c>
      <c r="O325" s="38" t="str">
        <f>IFERROR(__xludf.DUMMYFUNCTION("""COMPUTED_VALUE"""),"")</f>
        <v/>
      </c>
      <c r="P325" s="34">
        <f>IFERROR(__xludf.DUMMYFUNCTION("""COMPUTED_VALUE"""),45.54637211873802)</f>
        <v>45.54637212</v>
      </c>
      <c r="Q325" s="35" t="str">
        <f>IFERROR(__xludf.DUMMYFUNCTION("""COMPUTED_VALUE"""),"AP")</f>
        <v>AP</v>
      </c>
      <c r="R325" s="34">
        <f>IFERROR(__xludf.DUMMYFUNCTION("""COMPUTED_VALUE"""),46.10685554769024)</f>
        <v>46.10685555</v>
      </c>
      <c r="S325" s="35" t="str">
        <f>IFERROR(__xludf.DUMMYFUNCTION("""COMPUTED_VALUE"""),"%")</f>
        <v>%</v>
      </c>
      <c r="T325" s="36">
        <f>IFERROR(__xludf.DUMMYFUNCTION("""COMPUTED_VALUE"""),2.0)</f>
        <v>2</v>
      </c>
      <c r="U325" s="37"/>
      <c r="V325" s="38"/>
      <c r="W325" s="34" t="str">
        <f>IFERROR(__xludf.DUMMYFUNCTION("""COMPUTED_VALUE"""),"")</f>
        <v/>
      </c>
      <c r="X325" s="35" t="str">
        <f>IFERROR(__xludf.DUMMYFUNCTION("""COMPUTED_VALUE"""),"AP")</f>
        <v>AP</v>
      </c>
      <c r="Y325" s="34" t="str">
        <f>IFERROR(__xludf.DUMMYFUNCTION("""COMPUTED_VALUE"""),"")</f>
        <v/>
      </c>
      <c r="Z325" s="35" t="str">
        <f>IFERROR(__xludf.DUMMYFUNCTION("""COMPUTED_VALUE"""),"%")</f>
        <v>%</v>
      </c>
      <c r="AA325" s="36">
        <f>IFERROR(__xludf.DUMMYFUNCTION("""COMPUTED_VALUE"""),3.0)</f>
        <v>3</v>
      </c>
      <c r="AB325" s="37"/>
      <c r="AC325" s="38"/>
      <c r="AD325" s="34" t="str">
        <f>IFERROR(__xludf.DUMMYFUNCTION("""COMPUTED_VALUE"""),"")</f>
        <v/>
      </c>
      <c r="AE325" s="35" t="str">
        <f>IFERROR(__xludf.DUMMYFUNCTION("""COMPUTED_VALUE"""),"AP")</f>
        <v>AP</v>
      </c>
      <c r="AF325" s="34" t="str">
        <f>IFERROR(__xludf.DUMMYFUNCTION("""COMPUTED_VALUE"""),"")</f>
        <v/>
      </c>
      <c r="AG325" s="35" t="str">
        <f>IFERROR(__xludf.DUMMYFUNCTION("""COMPUTED_VALUE"""),"%")</f>
        <v>%</v>
      </c>
      <c r="AH325" s="31">
        <f>IFERROR(__xludf.DUMMYFUNCTION("""COMPUTED_VALUE"""),21.0)</f>
        <v>21</v>
      </c>
      <c r="AI325" s="32">
        <f>IFERROR(__xludf.DUMMYFUNCTION("""COMPUTED_VALUE"""),15507.0)</f>
        <v>15507</v>
      </c>
      <c r="AJ325" s="30" t="str">
        <f>IFERROR(__xludf.DUMMYFUNCTION("""COMPUTED_VALUE"""),"Barrel Tower")</f>
        <v>Barrel Tower</v>
      </c>
    </row>
    <row r="326" ht="24.75" customHeight="1">
      <c r="A326" s="40">
        <f>IFERROR(__xludf.DUMMYFUNCTION("""COMPUTED_VALUE"""),2.0)</f>
        <v>2</v>
      </c>
      <c r="B326" s="40" t="str">
        <f>IFERROR(__xludf.DUMMYFUNCTION("""COMPUTED_VALUE"""),"A206")</f>
        <v>A206</v>
      </c>
      <c r="C326" s="40" t="str">
        <f>IFERROR(__xludf.DUMMYFUNCTION("""COMPUTED_VALUE"""),"EPU14")</f>
        <v>EPU14</v>
      </c>
      <c r="D326" s="41" t="str">
        <f>IFERROR(__xludf.DUMMYFUNCTION("""COMPUTED_VALUE"""),"E Pluribus Unum")</f>
        <v>E Pluribus Unum</v>
      </c>
      <c r="E326" s="42" t="str">
        <f>IFERROR(__xludf.DUMMYFUNCTION("""COMPUTED_VALUE"""),"Chicago")</f>
        <v>Chicago</v>
      </c>
      <c r="F326" s="43">
        <f>IFERROR(__xludf.DUMMYFUNCTION("""COMPUTED_VALUE"""),21.0)</f>
        <v>21</v>
      </c>
      <c r="G326" s="44">
        <f>IFERROR(__xludf.DUMMYFUNCTION("""COMPUTED_VALUE"""),3877.0)</f>
        <v>3877</v>
      </c>
      <c r="H326" s="33" t="str">
        <f>IFERROR(__xludf.DUMMYFUNCTION("""COMPUTED_VALUE"""),"")</f>
        <v/>
      </c>
      <c r="I326" s="45">
        <f>IFERROR(__xludf.DUMMYFUNCTION("""COMPUTED_VALUE"""),51.74011296562733)</f>
        <v>51.74011297</v>
      </c>
      <c r="J326" s="46" t="str">
        <f>IFERROR(__xludf.DUMMYFUNCTION("""COMPUTED_VALUE"""),"AP")</f>
        <v>AP</v>
      </c>
      <c r="K326" s="47">
        <f>IFERROR(__xludf.DUMMYFUNCTION("""COMPUTED_VALUE"""),40.58746453443384)</f>
        <v>40.58746453</v>
      </c>
      <c r="L326" s="48" t="str">
        <f>IFERROR(__xludf.DUMMYFUNCTION("""COMPUTED_VALUE"""),"%")</f>
        <v>%</v>
      </c>
      <c r="M326" s="49">
        <f>IFERROR(__xludf.DUMMYFUNCTION("""COMPUTED_VALUE"""),1.0)</f>
        <v>1</v>
      </c>
      <c r="N326" s="50" t="str">
        <f>IFERROR(__xludf.DUMMYFUNCTION("""COMPUTED_VALUE"""),"B102")</f>
        <v>B102</v>
      </c>
      <c r="O326" s="38" t="str">
        <f>IFERROR(__xludf.DUMMYFUNCTION("""COMPUTED_VALUE"""),"")</f>
        <v/>
      </c>
      <c r="P326" s="45">
        <f>IFERROR(__xludf.DUMMYFUNCTION("""COMPUTED_VALUE"""),566.292463066522)</f>
        <v>566.2924631</v>
      </c>
      <c r="Q326" s="46" t="str">
        <f>IFERROR(__xludf.DUMMYFUNCTION("""COMPUTED_VALUE"""),"AP")</f>
        <v>AP</v>
      </c>
      <c r="R326" s="47">
        <f>IFERROR(__xludf.DUMMYFUNCTION("""COMPUTED_VALUE"""),3.7083311839050808)</f>
        <v>3.708331184</v>
      </c>
      <c r="S326" s="48" t="str">
        <f>IFERROR(__xludf.DUMMYFUNCTION("""COMPUTED_VALUE"""),"%")</f>
        <v>%</v>
      </c>
      <c r="T326" s="49">
        <f>IFERROR(__xludf.DUMMYFUNCTION("""COMPUTED_VALUE"""),2.0)</f>
        <v>2</v>
      </c>
      <c r="U326" s="50" t="str">
        <f>IFERROR(__xludf.DUMMYFUNCTION("""COMPUTED_VALUE"""),"B112")</f>
        <v>B112</v>
      </c>
      <c r="V326" s="38" t="str">
        <f>IFERROR(__xludf.DUMMYFUNCTION("""COMPUTED_VALUE"""),"")</f>
        <v/>
      </c>
      <c r="W326" s="45">
        <f>IFERROR(__xludf.DUMMYFUNCTION("""COMPUTED_VALUE"""),128.51487399016924)</f>
        <v>128.514874</v>
      </c>
      <c r="X326" s="46" t="str">
        <f>IFERROR(__xludf.DUMMYFUNCTION("""COMPUTED_VALUE"""),"AP")</f>
        <v>AP</v>
      </c>
      <c r="Y326" s="47">
        <f>IFERROR(__xludf.DUMMYFUNCTION("""COMPUTED_VALUE"""),16.340521021408307)</f>
        <v>16.34052102</v>
      </c>
      <c r="Z326" s="48" t="str">
        <f>IFERROR(__xludf.DUMMYFUNCTION("""COMPUTED_VALUE"""),"%")</f>
        <v>%</v>
      </c>
      <c r="AA326" s="49">
        <f>IFERROR(__xludf.DUMMYFUNCTION("""COMPUTED_VALUE"""),3.0)</f>
        <v>3</v>
      </c>
      <c r="AB326" s="50"/>
      <c r="AC326" s="38"/>
      <c r="AD326" s="45" t="str">
        <f>IFERROR(__xludf.DUMMYFUNCTION("""COMPUTED_VALUE"""),"")</f>
        <v/>
      </c>
      <c r="AE326" s="46" t="str">
        <f>IFERROR(__xludf.DUMMYFUNCTION("""COMPUTED_VALUE"""),"AP")</f>
        <v>AP</v>
      </c>
      <c r="AF326" s="47" t="str">
        <f>IFERROR(__xludf.DUMMYFUNCTION("""COMPUTED_VALUE"""),"")</f>
        <v/>
      </c>
      <c r="AG326" s="48" t="str">
        <f>IFERROR(__xludf.DUMMYFUNCTION("""COMPUTED_VALUE"""),"%")</f>
        <v>%</v>
      </c>
      <c r="AH326" s="43">
        <f>IFERROR(__xludf.DUMMYFUNCTION("""COMPUTED_VALUE"""),21.0)</f>
        <v>21</v>
      </c>
      <c r="AI326" s="44">
        <f>IFERROR(__xludf.DUMMYFUNCTION("""COMPUTED_VALUE"""),3877.0)</f>
        <v>3877</v>
      </c>
      <c r="AJ326" s="42" t="str">
        <f>IFERROR(__xludf.DUMMYFUNCTION("""COMPUTED_VALUE"""),"Chicago")</f>
        <v>Chicago</v>
      </c>
    </row>
    <row r="327" ht="24.75" customHeight="1">
      <c r="A327" s="28">
        <f>IFERROR(__xludf.DUMMYFUNCTION("""COMPUTED_VALUE"""),3.0)</f>
        <v>3</v>
      </c>
      <c r="B327" s="28" t="str">
        <f>IFERROR(__xludf.DUMMYFUNCTION("""COMPUTED_VALUE"""),"A206")</f>
        <v>A206</v>
      </c>
      <c r="C327" s="28" t="str">
        <f>IFERROR(__xludf.DUMMYFUNCTION("""COMPUTED_VALUE"""),"SIN1")</f>
        <v>SIN1</v>
      </c>
      <c r="D327" s="29" t="str">
        <f>IFERROR(__xludf.DUMMYFUNCTION("""COMPUTED_VALUE"""),"SIN")</f>
        <v>SIN</v>
      </c>
      <c r="E327" s="30" t="str">
        <f>IFERROR(__xludf.DUMMYFUNCTION("""COMPUTED_VALUE"""),"Seeding Point")</f>
        <v>Seeding Point</v>
      </c>
      <c r="F327" s="31">
        <f>IFERROR(__xludf.DUMMYFUNCTION("""COMPUTED_VALUE"""),20.0)</f>
        <v>20</v>
      </c>
      <c r="G327" s="32">
        <f>IFERROR(__xludf.DUMMYFUNCTION("""COMPUTED_VALUE"""),13302.0)</f>
        <v>13302</v>
      </c>
      <c r="H327" s="33" t="str">
        <f>IFERROR(__xludf.DUMMYFUNCTION("""COMPUTED_VALUE"""),"")</f>
        <v/>
      </c>
      <c r="I327" s="34">
        <f>IFERROR(__xludf.DUMMYFUNCTION("""COMPUTED_VALUE"""),66.38950305196069)</f>
        <v>66.38950305</v>
      </c>
      <c r="J327" s="35" t="str">
        <f>IFERROR(__xludf.DUMMYFUNCTION("""COMPUTED_VALUE"""),"AP")</f>
        <v>AP</v>
      </c>
      <c r="K327" s="34">
        <f>IFERROR(__xludf.DUMMYFUNCTION("""COMPUTED_VALUE"""),30.12524432416178)</f>
        <v>30.12524432</v>
      </c>
      <c r="L327" s="35" t="str">
        <f>IFERROR(__xludf.DUMMYFUNCTION("""COMPUTED_VALUE"""),"%")</f>
        <v>%</v>
      </c>
      <c r="M327" s="36">
        <f>IFERROR(__xludf.DUMMYFUNCTION("""COMPUTED_VALUE"""),1.0)</f>
        <v>1</v>
      </c>
      <c r="N327" s="37" t="str">
        <f>IFERROR(__xludf.DUMMYFUNCTION("""COMPUTED_VALUE"""),"A306")</f>
        <v>A306</v>
      </c>
      <c r="O327" s="38" t="str">
        <f>IFERROR(__xludf.DUMMYFUNCTION("""COMPUTED_VALUE"""),"")</f>
        <v/>
      </c>
      <c r="P327" s="34">
        <f>IFERROR(__xludf.DUMMYFUNCTION("""COMPUTED_VALUE"""),50.77641885392332)</f>
        <v>50.77641885</v>
      </c>
      <c r="Q327" s="35" t="str">
        <f>IFERROR(__xludf.DUMMYFUNCTION("""COMPUTED_VALUE"""),"AP")</f>
        <v>AP</v>
      </c>
      <c r="R327" s="34">
        <f>IFERROR(__xludf.DUMMYFUNCTION("""COMPUTED_VALUE"""),39.38836265223275)</f>
        <v>39.38836265</v>
      </c>
      <c r="S327" s="35" t="str">
        <f>IFERROR(__xludf.DUMMYFUNCTION("""COMPUTED_VALUE"""),"%")</f>
        <v>%</v>
      </c>
      <c r="T327" s="36">
        <f>IFERROR(__xludf.DUMMYFUNCTION("""COMPUTED_VALUE"""),2.0)</f>
        <v>2</v>
      </c>
      <c r="U327" s="37"/>
      <c r="V327" s="38"/>
      <c r="W327" s="34" t="str">
        <f>IFERROR(__xludf.DUMMYFUNCTION("""COMPUTED_VALUE"""),"")</f>
        <v/>
      </c>
      <c r="X327" s="35" t="str">
        <f>IFERROR(__xludf.DUMMYFUNCTION("""COMPUTED_VALUE"""),"AP")</f>
        <v>AP</v>
      </c>
      <c r="Y327" s="34" t="str">
        <f>IFERROR(__xludf.DUMMYFUNCTION("""COMPUTED_VALUE"""),"")</f>
        <v/>
      </c>
      <c r="Z327" s="35" t="str">
        <f>IFERROR(__xludf.DUMMYFUNCTION("""COMPUTED_VALUE"""),"%")</f>
        <v>%</v>
      </c>
      <c r="AA327" s="36">
        <f>IFERROR(__xludf.DUMMYFUNCTION("""COMPUTED_VALUE"""),3.0)</f>
        <v>3</v>
      </c>
      <c r="AB327" s="37"/>
      <c r="AC327" s="38"/>
      <c r="AD327" s="34" t="str">
        <f>IFERROR(__xludf.DUMMYFUNCTION("""COMPUTED_VALUE"""),"")</f>
        <v/>
      </c>
      <c r="AE327" s="35" t="str">
        <f>IFERROR(__xludf.DUMMYFUNCTION("""COMPUTED_VALUE"""),"AP")</f>
        <v>AP</v>
      </c>
      <c r="AF327" s="34" t="str">
        <f>IFERROR(__xludf.DUMMYFUNCTION("""COMPUTED_VALUE"""),"")</f>
        <v/>
      </c>
      <c r="AG327" s="35" t="str">
        <f>IFERROR(__xludf.DUMMYFUNCTION("""COMPUTED_VALUE"""),"%")</f>
        <v>%</v>
      </c>
      <c r="AH327" s="31">
        <f>IFERROR(__xludf.DUMMYFUNCTION("""COMPUTED_VALUE"""),20.0)</f>
        <v>20</v>
      </c>
      <c r="AI327" s="32">
        <f>IFERROR(__xludf.DUMMYFUNCTION("""COMPUTED_VALUE"""),13302.0)</f>
        <v>13302</v>
      </c>
      <c r="AJ327" s="30" t="str">
        <f>IFERROR(__xludf.DUMMYFUNCTION("""COMPUTED_VALUE"""),"Seeding Point")</f>
        <v>Seeding Point</v>
      </c>
    </row>
    <row r="328" ht="24.75" customHeight="1">
      <c r="A328" s="40">
        <f>IFERROR(__xludf.DUMMYFUNCTION("""COMPUTED_VALUE"""),4.0)</f>
        <v>4</v>
      </c>
      <c r="B328" s="40" t="str">
        <f>IFERROR(__xludf.DUMMYFUNCTION("""COMPUTED_VALUE"""),"A206")</f>
        <v>A206</v>
      </c>
      <c r="C328" s="40" t="str">
        <f>IFERROR(__xludf.DUMMYFUNCTION("""COMPUTED_VALUE"""),"SJK5")</f>
        <v>SJK5</v>
      </c>
      <c r="D328" s="41" t="str">
        <f>IFERROR(__xludf.DUMMYFUNCTION("""COMPUTED_VALUE"""),"Shinjuku")</f>
        <v>Shinjuku</v>
      </c>
      <c r="E328" s="42" t="str">
        <f>IFERROR(__xludf.DUMMYFUNCTION("""COMPUTED_VALUE"""),"Kabukicho")</f>
        <v>Kabukicho</v>
      </c>
      <c r="F328" s="43">
        <f>IFERROR(__xludf.DUMMYFUNCTION("""COMPUTED_VALUE"""),21.0)</f>
        <v>21</v>
      </c>
      <c r="G328" s="44">
        <f>IFERROR(__xludf.DUMMYFUNCTION("""COMPUTED_VALUE"""),8531.0)</f>
        <v>8531</v>
      </c>
      <c r="H328" s="33" t="str">
        <f>IFERROR(__xludf.DUMMYFUNCTION("""COMPUTED_VALUE"""),"")</f>
        <v/>
      </c>
      <c r="I328" s="45">
        <f>IFERROR(__xludf.DUMMYFUNCTION("""COMPUTED_VALUE"""),67.26887272792813)</f>
        <v>67.26887273</v>
      </c>
      <c r="J328" s="46" t="str">
        <f>IFERROR(__xludf.DUMMYFUNCTION("""COMPUTED_VALUE"""),"AP")</f>
        <v>AP</v>
      </c>
      <c r="K328" s="47">
        <f>IFERROR(__xludf.DUMMYFUNCTION("""COMPUTED_VALUE"""),31.21800492322119)</f>
        <v>31.21800492</v>
      </c>
      <c r="L328" s="48" t="str">
        <f>IFERROR(__xludf.DUMMYFUNCTION("""COMPUTED_VALUE"""),"%")</f>
        <v>%</v>
      </c>
      <c r="M328" s="49">
        <f>IFERROR(__xludf.DUMMYFUNCTION("""COMPUTED_VALUE"""),1.0)</f>
        <v>1</v>
      </c>
      <c r="N328" s="50" t="str">
        <f>IFERROR(__xludf.DUMMYFUNCTION("""COMPUTED_VALUE"""),"A304")</f>
        <v>A304</v>
      </c>
      <c r="O328" s="38" t="str">
        <f>IFERROR(__xludf.DUMMYFUNCTION("""COMPUTED_VALUE"""),"")</f>
        <v/>
      </c>
      <c r="P328" s="45">
        <f>IFERROR(__xludf.DUMMYFUNCTION("""COMPUTED_VALUE"""),69.18266438466198)</f>
        <v>69.18266438</v>
      </c>
      <c r="Q328" s="46" t="str">
        <f>IFERROR(__xludf.DUMMYFUNCTION("""COMPUTED_VALUE"""),"AP")</f>
        <v>AP</v>
      </c>
      <c r="R328" s="47">
        <f>IFERROR(__xludf.DUMMYFUNCTION("""COMPUTED_VALUE"""),30.354425038096352)</f>
        <v>30.35442504</v>
      </c>
      <c r="S328" s="48" t="str">
        <f>IFERROR(__xludf.DUMMYFUNCTION("""COMPUTED_VALUE"""),"%")</f>
        <v>%</v>
      </c>
      <c r="T328" s="49">
        <f>IFERROR(__xludf.DUMMYFUNCTION("""COMPUTED_VALUE"""),2.0)</f>
        <v>2</v>
      </c>
      <c r="U328" s="50" t="str">
        <f>IFERROR(__xludf.DUMMYFUNCTION("""COMPUTED_VALUE"""),"B116")</f>
        <v>B116</v>
      </c>
      <c r="V328" s="38" t="str">
        <f>IFERROR(__xludf.DUMMYFUNCTION("""COMPUTED_VALUE"""),"")</f>
        <v/>
      </c>
      <c r="W328" s="45">
        <f>IFERROR(__xludf.DUMMYFUNCTION("""COMPUTED_VALUE"""),57.99347265500825)</f>
        <v>57.99347266</v>
      </c>
      <c r="X328" s="46" t="str">
        <f>IFERROR(__xludf.DUMMYFUNCTION("""COMPUTED_VALUE"""),"AP")</f>
        <v>AP</v>
      </c>
      <c r="Y328" s="47">
        <f>IFERROR(__xludf.DUMMYFUNCTION("""COMPUTED_VALUE"""),36.21097175008792)</f>
        <v>36.21097175</v>
      </c>
      <c r="Z328" s="48" t="str">
        <f>IFERROR(__xludf.DUMMYFUNCTION("""COMPUTED_VALUE"""),"%")</f>
        <v>%</v>
      </c>
      <c r="AA328" s="49">
        <f>IFERROR(__xludf.DUMMYFUNCTION("""COMPUTED_VALUE"""),3.0)</f>
        <v>3</v>
      </c>
      <c r="AB328" s="50"/>
      <c r="AC328" s="38"/>
      <c r="AD328" s="45" t="str">
        <f>IFERROR(__xludf.DUMMYFUNCTION("""COMPUTED_VALUE"""),"")</f>
        <v/>
      </c>
      <c r="AE328" s="46" t="str">
        <f>IFERROR(__xludf.DUMMYFUNCTION("""COMPUTED_VALUE"""),"AP")</f>
        <v>AP</v>
      </c>
      <c r="AF328" s="47" t="str">
        <f>IFERROR(__xludf.DUMMYFUNCTION("""COMPUTED_VALUE"""),"")</f>
        <v/>
      </c>
      <c r="AG328" s="48" t="str">
        <f>IFERROR(__xludf.DUMMYFUNCTION("""COMPUTED_VALUE"""),"%")</f>
        <v>%</v>
      </c>
      <c r="AH328" s="43">
        <f>IFERROR(__xludf.DUMMYFUNCTION("""COMPUTED_VALUE"""),21.0)</f>
        <v>21</v>
      </c>
      <c r="AI328" s="44">
        <f>IFERROR(__xludf.DUMMYFUNCTION("""COMPUTED_VALUE"""),8531.0)</f>
        <v>8531</v>
      </c>
      <c r="AJ328" s="42" t="str">
        <f>IFERROR(__xludf.DUMMYFUNCTION("""COMPUTED_VALUE"""),"Kabukicho")</f>
        <v>Kabukicho</v>
      </c>
    </row>
    <row r="329" ht="24.75" customHeight="1">
      <c r="A329" s="28">
        <f>IFERROR(__xludf.DUMMYFUNCTION("""COMPUTED_VALUE"""),5.0)</f>
        <v>5</v>
      </c>
      <c r="B329" s="28" t="str">
        <f>IFERROR(__xludf.DUMMYFUNCTION("""COMPUTED_VALUE"""),"A206")</f>
        <v>A206</v>
      </c>
      <c r="C329" s="28" t="str">
        <f>IFERROR(__xludf.DUMMYFUNCTION("""COMPUTED_VALUE"""),"SIN8")</f>
        <v>SIN8</v>
      </c>
      <c r="D329" s="29" t="str">
        <f>IFERROR(__xludf.DUMMYFUNCTION("""COMPUTED_VALUE"""),"SIN")</f>
        <v>SIN</v>
      </c>
      <c r="E329" s="30" t="str">
        <f>IFERROR(__xludf.DUMMYFUNCTION("""COMPUTED_VALUE"""),"Shiquan Canyon")</f>
        <v>Shiquan Canyon</v>
      </c>
      <c r="F329" s="31">
        <f>IFERROR(__xludf.DUMMYFUNCTION("""COMPUTED_VALUE"""),21.0)</f>
        <v>21</v>
      </c>
      <c r="G329" s="32">
        <f>IFERROR(__xludf.DUMMYFUNCTION("""COMPUTED_VALUE"""),12354.0)</f>
        <v>12354</v>
      </c>
      <c r="H329" s="33" t="str">
        <f>IFERROR(__xludf.DUMMYFUNCTION("""COMPUTED_VALUE"""),"")</f>
        <v/>
      </c>
      <c r="I329" s="34">
        <f>IFERROR(__xludf.DUMMYFUNCTION("""COMPUTED_VALUE"""),69.6894043545603)</f>
        <v>69.68940435</v>
      </c>
      <c r="J329" s="35" t="str">
        <f>IFERROR(__xludf.DUMMYFUNCTION("""COMPUTED_VALUE"""),"AP")</f>
        <v>AP</v>
      </c>
      <c r="K329" s="34">
        <f>IFERROR(__xludf.DUMMYFUNCTION("""COMPUTED_VALUE"""),30.133705682370085)</f>
        <v>30.13370568</v>
      </c>
      <c r="L329" s="35" t="str">
        <f>IFERROR(__xludf.DUMMYFUNCTION("""COMPUTED_VALUE"""),"%")</f>
        <v>%</v>
      </c>
      <c r="M329" s="36">
        <f>IFERROR(__xludf.DUMMYFUNCTION("""COMPUTED_VALUE"""),1.0)</f>
        <v>1</v>
      </c>
      <c r="N329" s="37" t="str">
        <f>IFERROR(__xludf.DUMMYFUNCTION("""COMPUTED_VALUE"""),"A113")</f>
        <v>A113</v>
      </c>
      <c r="O329" s="38" t="str">
        <f>IFERROR(__xludf.DUMMYFUNCTION("""COMPUTED_VALUE"""),"")</f>
        <v/>
      </c>
      <c r="P329" s="34">
        <f>IFERROR(__xludf.DUMMYFUNCTION("""COMPUTED_VALUE"""),105.09357530584138)</f>
        <v>105.0935753</v>
      </c>
      <c r="Q329" s="35" t="str">
        <f>IFERROR(__xludf.DUMMYFUNCTION("""COMPUTED_VALUE"""),"AP")</f>
        <v>AP</v>
      </c>
      <c r="R329" s="34">
        <f>IFERROR(__xludf.DUMMYFUNCTION("""COMPUTED_VALUE"""),19.982192002590253)</f>
        <v>19.982192</v>
      </c>
      <c r="S329" s="35" t="str">
        <f>IFERROR(__xludf.DUMMYFUNCTION("""COMPUTED_VALUE"""),"%")</f>
        <v>%</v>
      </c>
      <c r="T329" s="36">
        <f>IFERROR(__xludf.DUMMYFUNCTION("""COMPUTED_VALUE"""),2.0)</f>
        <v>2</v>
      </c>
      <c r="U329" s="37" t="str">
        <f>IFERROR(__xludf.DUMMYFUNCTION("""COMPUTED_VALUE"""),"B112")</f>
        <v>B112</v>
      </c>
      <c r="V329" s="38" t="str">
        <f>IFERROR(__xludf.DUMMYFUNCTION("""COMPUTED_VALUE"""),"")</f>
        <v/>
      </c>
      <c r="W329" s="34">
        <f>IFERROR(__xludf.DUMMYFUNCTION("""COMPUTED_VALUE"""),107.43568750082656)</f>
        <v>107.4356875</v>
      </c>
      <c r="X329" s="35" t="str">
        <f>IFERROR(__xludf.DUMMYFUNCTION("""COMPUTED_VALUE"""),"AP")</f>
        <v>AP</v>
      </c>
      <c r="Y329" s="34">
        <f>IFERROR(__xludf.DUMMYFUNCTION("""COMPUTED_VALUE"""),19.54657757445675)</f>
        <v>19.54657757</v>
      </c>
      <c r="Z329" s="35" t="str">
        <f>IFERROR(__xludf.DUMMYFUNCTION("""COMPUTED_VALUE"""),"%")</f>
        <v>%</v>
      </c>
      <c r="AA329" s="36">
        <f>IFERROR(__xludf.DUMMYFUNCTION("""COMPUTED_VALUE"""),3.0)</f>
        <v>3</v>
      </c>
      <c r="AB329" s="37"/>
      <c r="AC329" s="38"/>
      <c r="AD329" s="34" t="str">
        <f>IFERROR(__xludf.DUMMYFUNCTION("""COMPUTED_VALUE"""),"")</f>
        <v/>
      </c>
      <c r="AE329" s="35" t="str">
        <f>IFERROR(__xludf.DUMMYFUNCTION("""COMPUTED_VALUE"""),"AP")</f>
        <v>AP</v>
      </c>
      <c r="AF329" s="34" t="str">
        <f>IFERROR(__xludf.DUMMYFUNCTION("""COMPUTED_VALUE"""),"")</f>
        <v/>
      </c>
      <c r="AG329" s="35" t="str">
        <f>IFERROR(__xludf.DUMMYFUNCTION("""COMPUTED_VALUE"""),"%")</f>
        <v>%</v>
      </c>
      <c r="AH329" s="31">
        <f>IFERROR(__xludf.DUMMYFUNCTION("""COMPUTED_VALUE"""),21.0)</f>
        <v>21</v>
      </c>
      <c r="AI329" s="32">
        <f>IFERROR(__xludf.DUMMYFUNCTION("""COMPUTED_VALUE"""),12354.0)</f>
        <v>12354</v>
      </c>
      <c r="AJ329" s="30" t="str">
        <f>IFERROR(__xludf.DUMMYFUNCTION("""COMPUTED_VALUE"""),"Shiquan Canyon")</f>
        <v>Shiquan Canyon</v>
      </c>
    </row>
    <row r="330" ht="24.75" customHeight="1">
      <c r="A330" s="40">
        <f>IFERROR(__xludf.DUMMYFUNCTION("""COMPUTED_VALUE"""),6.0)</f>
        <v>6</v>
      </c>
      <c r="B330" s="40" t="str">
        <f>IFERROR(__xludf.DUMMYFUNCTION("""COMPUTED_VALUE"""),"A206")</f>
        <v>A206</v>
      </c>
      <c r="C330" s="40" t="str">
        <f>IFERROR(__xludf.DUMMYFUNCTION("""COMPUTED_VALUE"""),"LDN7")</f>
        <v>LDN7</v>
      </c>
      <c r="D330" s="41" t="str">
        <f>IFERROR(__xludf.DUMMYFUNCTION("""COMPUTED_VALUE"""),"London")</f>
        <v>London</v>
      </c>
      <c r="E330" s="42" t="str">
        <f>IFERROR(__xludf.DUMMYFUNCTION("""COMPUTED_VALUE"""),"Clerkenwell")</f>
        <v>Clerkenwell</v>
      </c>
      <c r="F330" s="43">
        <f>IFERROR(__xludf.DUMMYFUNCTION("""COMPUTED_VALUE"""),18.0)</f>
        <v>18</v>
      </c>
      <c r="G330" s="44">
        <f>IFERROR(__xludf.DUMMYFUNCTION("""COMPUTED_VALUE"""),5274.0)</f>
        <v>5274</v>
      </c>
      <c r="H330" s="33" t="str">
        <f>IFERROR(__xludf.DUMMYFUNCTION("""COMPUTED_VALUE"""),"")</f>
        <v/>
      </c>
      <c r="I330" s="45">
        <f>IFERROR(__xludf.DUMMYFUNCTION("""COMPUTED_VALUE"""),72.34612007998828)</f>
        <v>72.34612008</v>
      </c>
      <c r="J330" s="46" t="str">
        <f>IFERROR(__xludf.DUMMYFUNCTION("""COMPUTED_VALUE"""),"AP")</f>
        <v>AP</v>
      </c>
      <c r="K330" s="47">
        <f>IFERROR(__xludf.DUMMYFUNCTION("""COMPUTED_VALUE"""),24.880394387561626)</f>
        <v>24.88039439</v>
      </c>
      <c r="L330" s="48" t="str">
        <f>IFERROR(__xludf.DUMMYFUNCTION("""COMPUTED_VALUE"""),"%")</f>
        <v>%</v>
      </c>
      <c r="M330" s="49">
        <f>IFERROR(__xludf.DUMMYFUNCTION("""COMPUTED_VALUE"""),1.0)</f>
        <v>1</v>
      </c>
      <c r="N330" s="50" t="str">
        <f>IFERROR(__xludf.DUMMYFUNCTION("""COMPUTED_VALUE"""),"A302")</f>
        <v>A302</v>
      </c>
      <c r="O330" s="38" t="str">
        <f>IFERROR(__xludf.DUMMYFUNCTION("""COMPUTED_VALUE"""),"")</f>
        <v/>
      </c>
      <c r="P330" s="45">
        <f>IFERROR(__xludf.DUMMYFUNCTION("""COMPUTED_VALUE"""),51.62175800656012)</f>
        <v>51.62175801</v>
      </c>
      <c r="Q330" s="46" t="str">
        <f>IFERROR(__xludf.DUMMYFUNCTION("""COMPUTED_VALUE"""),"AP")</f>
        <v>AP</v>
      </c>
      <c r="R330" s="47">
        <f>IFERROR(__xludf.DUMMYFUNCTION("""COMPUTED_VALUE"""),34.86901782328403)</f>
        <v>34.86901782</v>
      </c>
      <c r="S330" s="48" t="str">
        <f>IFERROR(__xludf.DUMMYFUNCTION("""COMPUTED_VALUE"""),"%")</f>
        <v>%</v>
      </c>
      <c r="T330" s="49">
        <f>IFERROR(__xludf.DUMMYFUNCTION("""COMPUTED_VALUE"""),2.0)</f>
        <v>2</v>
      </c>
      <c r="U330" s="50" t="str">
        <f>IFERROR(__xludf.DUMMYFUNCTION("""COMPUTED_VALUE"""),"B106")</f>
        <v>B106</v>
      </c>
      <c r="V330" s="38" t="str">
        <f>IFERROR(__xludf.DUMMYFUNCTION("""COMPUTED_VALUE"""),"")</f>
        <v/>
      </c>
      <c r="W330" s="45">
        <f>IFERROR(__xludf.DUMMYFUNCTION("""COMPUTED_VALUE"""),607.6036866359447)</f>
        <v>607.6036866</v>
      </c>
      <c r="X330" s="46" t="str">
        <f>IFERROR(__xludf.DUMMYFUNCTION("""COMPUTED_VALUE"""),"AP")</f>
        <v>AP</v>
      </c>
      <c r="Y330" s="47">
        <f>IFERROR(__xludf.DUMMYFUNCTION("""COMPUTED_VALUE"""),2.962457337883959)</f>
        <v>2.962457338</v>
      </c>
      <c r="Z330" s="48" t="str">
        <f>IFERROR(__xludf.DUMMYFUNCTION("""COMPUTED_VALUE"""),"%")</f>
        <v>%</v>
      </c>
      <c r="AA330" s="49">
        <f>IFERROR(__xludf.DUMMYFUNCTION("""COMPUTED_VALUE"""),3.0)</f>
        <v>3</v>
      </c>
      <c r="AB330" s="50" t="str">
        <f>IFERROR(__xludf.DUMMYFUNCTION("""COMPUTED_VALUE"""),"B116")</f>
        <v>B116</v>
      </c>
      <c r="AC330" s="38" t="str">
        <f>IFERROR(__xludf.DUMMYFUNCTION("""COMPUTED_VALUE"""),"")</f>
        <v/>
      </c>
      <c r="AD330" s="45">
        <f>IFERROR(__xludf.DUMMYFUNCTION("""COMPUTED_VALUE"""),119.28888084682892)</f>
        <v>119.2888808</v>
      </c>
      <c r="AE330" s="46" t="str">
        <f>IFERROR(__xludf.DUMMYFUNCTION("""COMPUTED_VALUE"""),"AP")</f>
        <v>AP</v>
      </c>
      <c r="AF330" s="47">
        <f>IFERROR(__xludf.DUMMYFUNCTION("""COMPUTED_VALUE"""),15.089419795221842)</f>
        <v>15.0894198</v>
      </c>
      <c r="AG330" s="48" t="str">
        <f>IFERROR(__xludf.DUMMYFUNCTION("""COMPUTED_VALUE"""),"%")</f>
        <v>%</v>
      </c>
      <c r="AH330" s="43">
        <f>IFERROR(__xludf.DUMMYFUNCTION("""COMPUTED_VALUE"""),18.0)</f>
        <v>18</v>
      </c>
      <c r="AI330" s="44">
        <f>IFERROR(__xludf.DUMMYFUNCTION("""COMPUTED_VALUE"""),5274.0)</f>
        <v>5274</v>
      </c>
      <c r="AJ330" s="42" t="str">
        <f>IFERROR(__xludf.DUMMYFUNCTION("""COMPUTED_VALUE"""),"Clerkenwell")</f>
        <v>Clerkenwell</v>
      </c>
    </row>
    <row r="331" ht="24.75" customHeight="1">
      <c r="A331" s="28">
        <f>IFERROR(__xludf.DUMMYFUNCTION("""COMPUTED_VALUE"""),7.0)</f>
        <v>7</v>
      </c>
      <c r="B331" s="28" t="str">
        <f>IFERROR(__xludf.DUMMYFUNCTION("""COMPUTED_VALUE"""),"A206")</f>
        <v>A206</v>
      </c>
      <c r="C331" s="28" t="str">
        <f>IFERROR(__xludf.DUMMYFUNCTION("""COMPUTED_VALUE"""),"SIN9")</f>
        <v>SIN9</v>
      </c>
      <c r="D331" s="29" t="str">
        <f>IFERROR(__xludf.DUMMYFUNCTION("""COMPUTED_VALUE"""),"SIN")</f>
        <v>SIN</v>
      </c>
      <c r="E331" s="30" t="str">
        <f>IFERROR(__xludf.DUMMYFUNCTION("""COMPUTED_VALUE"""),"Daping Yu")</f>
        <v>Daping Yu</v>
      </c>
      <c r="F331" s="31">
        <f>IFERROR(__xludf.DUMMYFUNCTION("""COMPUTED_VALUE"""),21.0)</f>
        <v>21</v>
      </c>
      <c r="G331" s="32">
        <f>IFERROR(__xludf.DUMMYFUNCTION("""COMPUTED_VALUE"""),10511.0)</f>
        <v>10511</v>
      </c>
      <c r="H331" s="33" t="str">
        <f>IFERROR(__xludf.DUMMYFUNCTION("""COMPUTED_VALUE"""),"")</f>
        <v/>
      </c>
      <c r="I331" s="34">
        <f>IFERROR(__xludf.DUMMYFUNCTION("""COMPUTED_VALUE"""),73.08489504006357)</f>
        <v>73.08489504</v>
      </c>
      <c r="J331" s="35" t="str">
        <f>IFERROR(__xludf.DUMMYFUNCTION("""COMPUTED_VALUE"""),"AP")</f>
        <v>AP</v>
      </c>
      <c r="K331" s="34">
        <f>IFERROR(__xludf.DUMMYFUNCTION("""COMPUTED_VALUE"""),28.733707544477216)</f>
        <v>28.73370754</v>
      </c>
      <c r="L331" s="35" t="str">
        <f>IFERROR(__xludf.DUMMYFUNCTION("""COMPUTED_VALUE"""),"%")</f>
        <v>%</v>
      </c>
      <c r="M331" s="36">
        <f>IFERROR(__xludf.DUMMYFUNCTION("""COMPUTED_VALUE"""),1.0)</f>
        <v>1</v>
      </c>
      <c r="N331" s="37" t="str">
        <f>IFERROR(__xludf.DUMMYFUNCTION("""COMPUTED_VALUE"""),"A216")</f>
        <v>A216</v>
      </c>
      <c r="O331" s="38" t="str">
        <f>IFERROR(__xludf.DUMMYFUNCTION("""COMPUTED_VALUE"""),"")</f>
        <v/>
      </c>
      <c r="P331" s="34">
        <f>IFERROR(__xludf.DUMMYFUNCTION("""COMPUTED_VALUE"""),82.55947037701975)</f>
        <v>82.55947038</v>
      </c>
      <c r="Q331" s="35" t="str">
        <f>IFERROR(__xludf.DUMMYFUNCTION("""COMPUTED_VALUE"""),"AP")</f>
        <v>AP</v>
      </c>
      <c r="R331" s="34">
        <f>IFERROR(__xludf.DUMMYFUNCTION("""COMPUTED_VALUE"""),25.436209685091807)</f>
        <v>25.43620969</v>
      </c>
      <c r="S331" s="35" t="str">
        <f>IFERROR(__xludf.DUMMYFUNCTION("""COMPUTED_VALUE"""),"%")</f>
        <v>%</v>
      </c>
      <c r="T331" s="36">
        <f>IFERROR(__xludf.DUMMYFUNCTION("""COMPUTED_VALUE"""),2.0)</f>
        <v>2</v>
      </c>
      <c r="U331" s="37" t="str">
        <f>IFERROR(__xludf.DUMMYFUNCTION("""COMPUTED_VALUE"""),"B116")</f>
        <v>B116</v>
      </c>
      <c r="V331" s="38" t="str">
        <f>IFERROR(__xludf.DUMMYFUNCTION("""COMPUTED_VALUE"""),"")</f>
        <v/>
      </c>
      <c r="W331" s="34">
        <f>IFERROR(__xludf.DUMMYFUNCTION("""COMPUTED_VALUE"""),103.36198707571276)</f>
        <v>103.3619871</v>
      </c>
      <c r="X331" s="35" t="str">
        <f>IFERROR(__xludf.DUMMYFUNCTION("""COMPUTED_VALUE"""),"AP")</f>
        <v>AP</v>
      </c>
      <c r="Y331" s="34">
        <f>IFERROR(__xludf.DUMMYFUNCTION("""COMPUTED_VALUE"""),20.316946871984452)</f>
        <v>20.31694687</v>
      </c>
      <c r="Z331" s="35" t="str">
        <f>IFERROR(__xludf.DUMMYFUNCTION("""COMPUTED_VALUE"""),"%")</f>
        <v>%</v>
      </c>
      <c r="AA331" s="36">
        <f>IFERROR(__xludf.DUMMYFUNCTION("""COMPUTED_VALUE"""),3.0)</f>
        <v>3</v>
      </c>
      <c r="AB331" s="37"/>
      <c r="AC331" s="38"/>
      <c r="AD331" s="34" t="str">
        <f>IFERROR(__xludf.DUMMYFUNCTION("""COMPUTED_VALUE"""),"")</f>
        <v/>
      </c>
      <c r="AE331" s="35" t="str">
        <f>IFERROR(__xludf.DUMMYFUNCTION("""COMPUTED_VALUE"""),"AP")</f>
        <v>AP</v>
      </c>
      <c r="AF331" s="34" t="str">
        <f>IFERROR(__xludf.DUMMYFUNCTION("""COMPUTED_VALUE"""),"")</f>
        <v/>
      </c>
      <c r="AG331" s="35" t="str">
        <f>IFERROR(__xludf.DUMMYFUNCTION("""COMPUTED_VALUE"""),"%")</f>
        <v>%</v>
      </c>
      <c r="AH331" s="31">
        <f>IFERROR(__xludf.DUMMYFUNCTION("""COMPUTED_VALUE"""),21.0)</f>
        <v>21</v>
      </c>
      <c r="AI331" s="32">
        <f>IFERROR(__xludf.DUMMYFUNCTION("""COMPUTED_VALUE"""),10511.0)</f>
        <v>10511</v>
      </c>
      <c r="AJ331" s="30" t="str">
        <f>IFERROR(__xludf.DUMMYFUNCTION("""COMPUTED_VALUE"""),"Daping Yu")</f>
        <v>Daping Yu</v>
      </c>
    </row>
    <row r="332" ht="24.75" customHeight="1">
      <c r="A332" s="40">
        <f>IFERROR(__xludf.DUMMYFUNCTION("""COMPUTED_VALUE"""),8.0)</f>
        <v>8</v>
      </c>
      <c r="B332" s="40" t="str">
        <f>IFERROR(__xludf.DUMMYFUNCTION("""COMPUTED_VALUE"""),"A206")</f>
        <v>A206</v>
      </c>
      <c r="C332" s="40" t="str">
        <f>IFERROR(__xludf.DUMMYFUNCTION("""COMPUTED_VALUE"""),"CML8")</f>
        <v>CML8</v>
      </c>
      <c r="D332" s="41" t="str">
        <f>IFERROR(__xludf.DUMMYFUNCTION("""COMPUTED_VALUE"""),"Camelot")</f>
        <v>Camelot</v>
      </c>
      <c r="E332" s="42" t="str">
        <f>IFERROR(__xludf.DUMMYFUNCTION("""COMPUTED_VALUE"""),"Atlas Institute")</f>
        <v>Atlas Institute</v>
      </c>
      <c r="F332" s="43">
        <f>IFERROR(__xludf.DUMMYFUNCTION("""COMPUTED_VALUE"""),20.0)</f>
        <v>20</v>
      </c>
      <c r="G332" s="44">
        <f>IFERROR(__xludf.DUMMYFUNCTION("""COMPUTED_VALUE"""),1161.0)</f>
        <v>1161</v>
      </c>
      <c r="H332" s="33" t="str">
        <f>IFERROR(__xludf.DUMMYFUNCTION("""COMPUTED_VALUE"""),"")</f>
        <v/>
      </c>
      <c r="I332" s="45">
        <f>IFERROR(__xludf.DUMMYFUNCTION("""COMPUTED_VALUE"""),98.92216589272782)</f>
        <v>98.92216589</v>
      </c>
      <c r="J332" s="46" t="str">
        <f>IFERROR(__xludf.DUMMYFUNCTION("""COMPUTED_VALUE"""),"AP")</f>
        <v>AP</v>
      </c>
      <c r="K332" s="47">
        <f>IFERROR(__xludf.DUMMYFUNCTION("""COMPUTED_VALUE"""),20.217915590008612)</f>
        <v>20.21791559</v>
      </c>
      <c r="L332" s="48" t="str">
        <f>IFERROR(__xludf.DUMMYFUNCTION("""COMPUTED_VALUE"""),"%")</f>
        <v>%</v>
      </c>
      <c r="M332" s="49">
        <f>IFERROR(__xludf.DUMMYFUNCTION("""COMPUTED_VALUE"""),1.0)</f>
        <v>1</v>
      </c>
      <c r="N332" s="50" t="str">
        <f>IFERROR(__xludf.DUMMYFUNCTION("""COMPUTED_VALUE"""),"A207")</f>
        <v>A207</v>
      </c>
      <c r="O332" s="38" t="str">
        <f>IFERROR(__xludf.DUMMYFUNCTION("""COMPUTED_VALUE"""),"")</f>
        <v/>
      </c>
      <c r="P332" s="45">
        <f>IFERROR(__xludf.DUMMYFUNCTION("""COMPUTED_VALUE"""),245.766299745978)</f>
        <v>245.7662997</v>
      </c>
      <c r="Q332" s="46" t="str">
        <f>IFERROR(__xludf.DUMMYFUNCTION("""COMPUTED_VALUE"""),"AP")</f>
        <v>AP</v>
      </c>
      <c r="R332" s="47">
        <f>IFERROR(__xludf.DUMMYFUNCTION("""COMPUTED_VALUE"""),8.137812230835486)</f>
        <v>8.137812231</v>
      </c>
      <c r="S332" s="48" t="str">
        <f>IFERROR(__xludf.DUMMYFUNCTION("""COMPUTED_VALUE"""),"%")</f>
        <v>%</v>
      </c>
      <c r="T332" s="49">
        <f>IFERROR(__xludf.DUMMYFUNCTION("""COMPUTED_VALUE"""),2.0)</f>
        <v>2</v>
      </c>
      <c r="U332" s="50" t="str">
        <f>IFERROR(__xludf.DUMMYFUNCTION("""COMPUTED_VALUE"""),"B112")</f>
        <v>B112</v>
      </c>
      <c r="V332" s="38" t="str">
        <f>IFERROR(__xludf.DUMMYFUNCTION("""COMPUTED_VALUE"""),"")</f>
        <v/>
      </c>
      <c r="W332" s="45">
        <f>IFERROR(__xludf.DUMMYFUNCTION("""COMPUTED_VALUE"""),121.2595958013473)</f>
        <v>121.2595958</v>
      </c>
      <c r="X332" s="46" t="str">
        <f>IFERROR(__xludf.DUMMYFUNCTION("""COMPUTED_VALUE"""),"AP")</f>
        <v>AP</v>
      </c>
      <c r="Y332" s="47">
        <f>IFERROR(__xludf.DUMMYFUNCTION("""COMPUTED_VALUE"""),16.493540051679588)</f>
        <v>16.49354005</v>
      </c>
      <c r="Z332" s="48" t="str">
        <f>IFERROR(__xludf.DUMMYFUNCTION("""COMPUTED_VALUE"""),"%")</f>
        <v>%</v>
      </c>
      <c r="AA332" s="49">
        <f>IFERROR(__xludf.DUMMYFUNCTION("""COMPUTED_VALUE"""),3.0)</f>
        <v>3</v>
      </c>
      <c r="AB332" s="50" t="str">
        <f>IFERROR(__xludf.DUMMYFUNCTION("""COMPUTED_VALUE"""),"B115")</f>
        <v>B115</v>
      </c>
      <c r="AC332" s="38" t="str">
        <f>IFERROR(__xludf.DUMMYFUNCTION("""COMPUTED_VALUE"""),"")</f>
        <v/>
      </c>
      <c r="AD332" s="45">
        <f>IFERROR(__xludf.DUMMYFUNCTION("""COMPUTED_VALUE"""),127.83387102101936)</f>
        <v>127.833871</v>
      </c>
      <c r="AE332" s="46" t="str">
        <f>IFERROR(__xludf.DUMMYFUNCTION("""COMPUTED_VALUE"""),"AP")</f>
        <v>AP</v>
      </c>
      <c r="AF332" s="47">
        <f>IFERROR(__xludf.DUMMYFUNCTION("""COMPUTED_VALUE"""),15.645305770887166)</f>
        <v>15.64530577</v>
      </c>
      <c r="AG332" s="48" t="str">
        <f>IFERROR(__xludf.DUMMYFUNCTION("""COMPUTED_VALUE"""),"%")</f>
        <v>%</v>
      </c>
      <c r="AH332" s="43">
        <f>IFERROR(__xludf.DUMMYFUNCTION("""COMPUTED_VALUE"""),20.0)</f>
        <v>20</v>
      </c>
      <c r="AI332" s="44">
        <f>IFERROR(__xludf.DUMMYFUNCTION("""COMPUTED_VALUE"""),1161.0)</f>
        <v>1161</v>
      </c>
      <c r="AJ332" s="42" t="str">
        <f>IFERROR(__xludf.DUMMYFUNCTION("""COMPUTED_VALUE"""),"Atlas Institute")</f>
        <v>Atlas Institute</v>
      </c>
    </row>
    <row r="333" ht="24.75" customHeight="1">
      <c r="A333" s="28">
        <f>IFERROR(__xludf.DUMMYFUNCTION("""COMPUTED_VALUE"""),9.0)</f>
        <v>9</v>
      </c>
      <c r="B333" s="28" t="str">
        <f>IFERROR(__xludf.DUMMYFUNCTION("""COMPUTED_VALUE"""),"A206")</f>
        <v>A206</v>
      </c>
      <c r="C333" s="28" t="str">
        <f>IFERROR(__xludf.DUMMYFUNCTION("""COMPUTED_VALUE"""),"EPU1")</f>
        <v>EPU1</v>
      </c>
      <c r="D333" s="29" t="str">
        <f>IFERROR(__xludf.DUMMYFUNCTION("""COMPUTED_VALUE"""),"E Pluribus Unum")</f>
        <v>E Pluribus Unum</v>
      </c>
      <c r="E333" s="30" t="str">
        <f>IFERROR(__xludf.DUMMYFUNCTION("""COMPUTED_VALUE"""),"Black Hills")</f>
        <v>Black Hills</v>
      </c>
      <c r="F333" s="31">
        <f>IFERROR(__xludf.DUMMYFUNCTION("""COMPUTED_VALUE"""),17.0)</f>
        <v>17</v>
      </c>
      <c r="G333" s="32">
        <f>IFERROR(__xludf.DUMMYFUNCTION("""COMPUTED_VALUE"""),1168.0)</f>
        <v>1168</v>
      </c>
      <c r="H333" s="33" t="str">
        <f>IFERROR(__xludf.DUMMYFUNCTION("""COMPUTED_VALUE"""),"")</f>
        <v/>
      </c>
      <c r="I333" s="34">
        <f>IFERROR(__xludf.DUMMYFUNCTION("""COMPUTED_VALUE"""),100.58763931104357)</f>
        <v>100.5876393</v>
      </c>
      <c r="J333" s="35" t="str">
        <f>IFERROR(__xludf.DUMMYFUNCTION("""COMPUTED_VALUE"""),"AP")</f>
        <v>AP</v>
      </c>
      <c r="K333" s="34">
        <f>IFERROR(__xludf.DUMMYFUNCTION("""COMPUTED_VALUE"""),16.90068493150685)</f>
        <v>16.90068493</v>
      </c>
      <c r="L333" s="35" t="str">
        <f>IFERROR(__xludf.DUMMYFUNCTION("""COMPUTED_VALUE"""),"%")</f>
        <v>%</v>
      </c>
      <c r="M333" s="36">
        <f>IFERROR(__xludf.DUMMYFUNCTION("""COMPUTED_VALUE"""),1.0)</f>
        <v>1</v>
      </c>
      <c r="N333" s="37"/>
      <c r="O333" s="38"/>
      <c r="P333" s="34" t="str">
        <f>IFERROR(__xludf.DUMMYFUNCTION("""COMPUTED_VALUE"""),"")</f>
        <v/>
      </c>
      <c r="Q333" s="35" t="str">
        <f>IFERROR(__xludf.DUMMYFUNCTION("""COMPUTED_VALUE"""),"AP")</f>
        <v>AP</v>
      </c>
      <c r="R333" s="34" t="str">
        <f>IFERROR(__xludf.DUMMYFUNCTION("""COMPUTED_VALUE"""),"")</f>
        <v/>
      </c>
      <c r="S333" s="35" t="str">
        <f>IFERROR(__xludf.DUMMYFUNCTION("""COMPUTED_VALUE"""),"%")</f>
        <v>%</v>
      </c>
      <c r="T333" s="36">
        <f>IFERROR(__xludf.DUMMYFUNCTION("""COMPUTED_VALUE"""),2.0)</f>
        <v>2</v>
      </c>
      <c r="U333" s="37"/>
      <c r="V333" s="38"/>
      <c r="W333" s="34" t="str">
        <f>IFERROR(__xludf.DUMMYFUNCTION("""COMPUTED_VALUE"""),"")</f>
        <v/>
      </c>
      <c r="X333" s="35" t="str">
        <f>IFERROR(__xludf.DUMMYFUNCTION("""COMPUTED_VALUE"""),"AP")</f>
        <v>AP</v>
      </c>
      <c r="Y333" s="34" t="str">
        <f>IFERROR(__xludf.DUMMYFUNCTION("""COMPUTED_VALUE"""),"")</f>
        <v/>
      </c>
      <c r="Z333" s="35" t="str">
        <f>IFERROR(__xludf.DUMMYFUNCTION("""COMPUTED_VALUE"""),"%")</f>
        <v>%</v>
      </c>
      <c r="AA333" s="36">
        <f>IFERROR(__xludf.DUMMYFUNCTION("""COMPUTED_VALUE"""),3.0)</f>
        <v>3</v>
      </c>
      <c r="AB333" s="37"/>
      <c r="AC333" s="38"/>
      <c r="AD333" s="34" t="str">
        <f>IFERROR(__xludf.DUMMYFUNCTION("""COMPUTED_VALUE"""),"")</f>
        <v/>
      </c>
      <c r="AE333" s="35" t="str">
        <f>IFERROR(__xludf.DUMMYFUNCTION("""COMPUTED_VALUE"""),"AP")</f>
        <v>AP</v>
      </c>
      <c r="AF333" s="34" t="str">
        <f>IFERROR(__xludf.DUMMYFUNCTION("""COMPUTED_VALUE"""),"")</f>
        <v/>
      </c>
      <c r="AG333" s="35" t="str">
        <f>IFERROR(__xludf.DUMMYFUNCTION("""COMPUTED_VALUE"""),"%")</f>
        <v>%</v>
      </c>
      <c r="AH333" s="31">
        <f>IFERROR(__xludf.DUMMYFUNCTION("""COMPUTED_VALUE"""),17.0)</f>
        <v>17</v>
      </c>
      <c r="AI333" s="32">
        <f>IFERROR(__xludf.DUMMYFUNCTION("""COMPUTED_VALUE"""),1168.0)</f>
        <v>1168</v>
      </c>
      <c r="AJ333" s="30" t="str">
        <f>IFERROR(__xludf.DUMMYFUNCTION("""COMPUTED_VALUE"""),"Black Hills")</f>
        <v>Black Hills</v>
      </c>
    </row>
    <row r="334" ht="24.75" customHeight="1">
      <c r="A334" s="40">
        <f>IFERROR(__xludf.DUMMYFUNCTION("""COMPUTED_VALUE"""),10.0)</f>
        <v>10</v>
      </c>
      <c r="B334" s="40" t="str">
        <f>IFERROR(__xludf.DUMMYFUNCTION("""COMPUTED_VALUE"""),"A206")</f>
        <v>A206</v>
      </c>
      <c r="C334" s="40" t="str">
        <f>IFERROR(__xludf.DUMMYFUNCTION("""COMPUTED_VALUE"""),"SJK8")</f>
        <v>SJK8</v>
      </c>
      <c r="D334" s="41" t="str">
        <f>IFERROR(__xludf.DUMMYFUNCTION("""COMPUTED_VALUE"""),"Shinjuku")</f>
        <v>Shinjuku</v>
      </c>
      <c r="E334" s="42" t="str">
        <f>IFERROR(__xludf.DUMMYFUNCTION("""COMPUTED_VALUE"""),"Tower - Top Floor")</f>
        <v>Tower - Top Floor</v>
      </c>
      <c r="F334" s="43">
        <f>IFERROR(__xludf.DUMMYFUNCTION("""COMPUTED_VALUE"""),21.0)</f>
        <v>21</v>
      </c>
      <c r="G334" s="44">
        <f>IFERROR(__xludf.DUMMYFUNCTION("""COMPUTED_VALUE"""),14109.0)</f>
        <v>14109</v>
      </c>
      <c r="H334" s="33" t="str">
        <f>IFERROR(__xludf.DUMMYFUNCTION("""COMPUTED_VALUE"""),"")</f>
        <v/>
      </c>
      <c r="I334" s="45">
        <f>IFERROR(__xludf.DUMMYFUNCTION("""COMPUTED_VALUE"""),101.80731005686027)</f>
        <v>101.8073101</v>
      </c>
      <c r="J334" s="46" t="str">
        <f>IFERROR(__xludf.DUMMYFUNCTION("""COMPUTED_VALUE"""),"AP")</f>
        <v>AP</v>
      </c>
      <c r="K334" s="47">
        <f>IFERROR(__xludf.DUMMYFUNCTION("""COMPUTED_VALUE"""),20.627202494861436)</f>
        <v>20.62720249</v>
      </c>
      <c r="L334" s="48" t="str">
        <f>IFERROR(__xludf.DUMMYFUNCTION("""COMPUTED_VALUE"""),"%")</f>
        <v>%</v>
      </c>
      <c r="M334" s="49">
        <f>IFERROR(__xludf.DUMMYFUNCTION("""COMPUTED_VALUE"""),1.0)</f>
        <v>1</v>
      </c>
      <c r="N334" s="50" t="str">
        <f>IFERROR(__xludf.DUMMYFUNCTION("""COMPUTED_VALUE"""),"A104")</f>
        <v>A104</v>
      </c>
      <c r="O334" s="38" t="str">
        <f>IFERROR(__xludf.DUMMYFUNCTION("""COMPUTED_VALUE"""),"")</f>
        <v/>
      </c>
      <c r="P334" s="45">
        <f>IFERROR(__xludf.DUMMYFUNCTION("""COMPUTED_VALUE"""),180.01706063695474)</f>
        <v>180.0170606</v>
      </c>
      <c r="Q334" s="46" t="str">
        <f>IFERROR(__xludf.DUMMYFUNCTION("""COMPUTED_VALUE"""),"AP")</f>
        <v>AP</v>
      </c>
      <c r="R334" s="47">
        <f>IFERROR(__xludf.DUMMYFUNCTION("""COMPUTED_VALUE"""),11.665560989439365)</f>
        <v>11.66556099</v>
      </c>
      <c r="S334" s="48" t="str">
        <f>IFERROR(__xludf.DUMMYFUNCTION("""COMPUTED_VALUE"""),"%")</f>
        <v>%</v>
      </c>
      <c r="T334" s="49">
        <f>IFERROR(__xludf.DUMMYFUNCTION("""COMPUTED_VALUE"""),2.0)</f>
        <v>2</v>
      </c>
      <c r="U334" s="50" t="str">
        <f>IFERROR(__xludf.DUMMYFUNCTION("""COMPUTED_VALUE"""),"B101")</f>
        <v>B101</v>
      </c>
      <c r="V334" s="38" t="str">
        <f>IFERROR(__xludf.DUMMYFUNCTION("""COMPUTED_VALUE"""),"")</f>
        <v/>
      </c>
      <c r="W334" s="45">
        <f>IFERROR(__xludf.DUMMYFUNCTION("""COMPUTED_VALUE"""),501.1012239018714)</f>
        <v>501.1012239</v>
      </c>
      <c r="X334" s="46" t="str">
        <f>IFERROR(__xludf.DUMMYFUNCTION("""COMPUTED_VALUE"""),"AP")</f>
        <v>AP</v>
      </c>
      <c r="Y334" s="47">
        <f>IFERROR(__xludf.DUMMYFUNCTION("""COMPUTED_VALUE"""),4.190770047712425)</f>
        <v>4.190770048</v>
      </c>
      <c r="Z334" s="48" t="str">
        <f>IFERROR(__xludf.DUMMYFUNCTION("""COMPUTED_VALUE"""),"%")</f>
        <v>%</v>
      </c>
      <c r="AA334" s="49">
        <f>IFERROR(__xludf.DUMMYFUNCTION("""COMPUTED_VALUE"""),3.0)</f>
        <v>3</v>
      </c>
      <c r="AB334" s="50" t="str">
        <f>IFERROR(__xludf.DUMMYFUNCTION("""COMPUTED_VALUE"""),"B116")</f>
        <v>B116</v>
      </c>
      <c r="AC334" s="38" t="str">
        <f>IFERROR(__xludf.DUMMYFUNCTION("""COMPUTED_VALUE"""),"")</f>
        <v/>
      </c>
      <c r="AD334" s="45">
        <f>IFERROR(__xludf.DUMMYFUNCTION("""COMPUTED_VALUE"""),79.18956450422499)</f>
        <v>79.1895645</v>
      </c>
      <c r="AE334" s="46" t="str">
        <f>IFERROR(__xludf.DUMMYFUNCTION("""COMPUTED_VALUE"""),"AP")</f>
        <v>AP</v>
      </c>
      <c r="AF334" s="47">
        <f>IFERROR(__xludf.DUMMYFUNCTION("""COMPUTED_VALUE"""),26.51864564664905)</f>
        <v>26.51864565</v>
      </c>
      <c r="AG334" s="48" t="str">
        <f>IFERROR(__xludf.DUMMYFUNCTION("""COMPUTED_VALUE"""),"%")</f>
        <v>%</v>
      </c>
      <c r="AH334" s="43">
        <f>IFERROR(__xludf.DUMMYFUNCTION("""COMPUTED_VALUE"""),21.0)</f>
        <v>21</v>
      </c>
      <c r="AI334" s="44">
        <f>IFERROR(__xludf.DUMMYFUNCTION("""COMPUTED_VALUE"""),14109.0)</f>
        <v>14109</v>
      </c>
      <c r="AJ334" s="42" t="str">
        <f>IFERROR(__xludf.DUMMYFUNCTION("""COMPUTED_VALUE"""),"Tower - Top Floor")</f>
        <v>Tower - Top Floor</v>
      </c>
    </row>
    <row r="335" ht="24.75" customHeight="1">
      <c r="A335" s="28">
        <f>IFERROR(__xludf.DUMMYFUNCTION("""COMPUTED_VALUE"""),11.0)</f>
        <v>11</v>
      </c>
      <c r="B335" s="28" t="str">
        <f>IFERROR(__xludf.DUMMYFUNCTION("""COMPUTED_VALUE"""),"A206")</f>
        <v>A206</v>
      </c>
      <c r="C335" s="28" t="str">
        <f>IFERROR(__xludf.DUMMYFUNCTION("""COMPUTED_VALUE"""),"SIN4")</f>
        <v>SIN4</v>
      </c>
      <c r="D335" s="29" t="str">
        <f>IFERROR(__xludf.DUMMYFUNCTION("""COMPUTED_VALUE"""),"SIN")</f>
        <v>SIN</v>
      </c>
      <c r="E335" s="30" t="str">
        <f>IFERROR(__xludf.DUMMYFUNCTION("""COMPUTED_VALUE"""),"Akuta's Camp")</f>
        <v>Akuta's Camp</v>
      </c>
      <c r="F335" s="31">
        <f>IFERROR(__xludf.DUMMYFUNCTION("""COMPUTED_VALUE"""),21.0)</f>
        <v>21</v>
      </c>
      <c r="G335" s="32">
        <f>IFERROR(__xludf.DUMMYFUNCTION("""COMPUTED_VALUE"""),2532.0)</f>
        <v>2532</v>
      </c>
      <c r="H335" s="33" t="str">
        <f>IFERROR(__xludf.DUMMYFUNCTION("""COMPUTED_VALUE"""),"")</f>
        <v/>
      </c>
      <c r="I335" s="34">
        <f>IFERROR(__xludf.DUMMYFUNCTION("""COMPUTED_VALUE"""),102.47851058088887)</f>
        <v>102.4785106</v>
      </c>
      <c r="J335" s="35" t="str">
        <f>IFERROR(__xludf.DUMMYFUNCTION("""COMPUTED_VALUE"""),"AP")</f>
        <v>AP</v>
      </c>
      <c r="K335" s="34">
        <f>IFERROR(__xludf.DUMMYFUNCTION("""COMPUTED_VALUE"""),20.492101105845183)</f>
        <v>20.49210111</v>
      </c>
      <c r="L335" s="35" t="str">
        <f>IFERROR(__xludf.DUMMYFUNCTION("""COMPUTED_VALUE"""),"%")</f>
        <v>%</v>
      </c>
      <c r="M335" s="36">
        <f>IFERROR(__xludf.DUMMYFUNCTION("""COMPUTED_VALUE"""),1.0)</f>
        <v>1</v>
      </c>
      <c r="N335" s="37" t="str">
        <f>IFERROR(__xludf.DUMMYFUNCTION("""COMPUTED_VALUE"""),"A214")</f>
        <v>A214</v>
      </c>
      <c r="O335" s="38" t="str">
        <f>IFERROR(__xludf.DUMMYFUNCTION("""COMPUTED_VALUE"""),"")</f>
        <v/>
      </c>
      <c r="P335" s="34">
        <f>IFERROR(__xludf.DUMMYFUNCTION("""COMPUTED_VALUE"""),112.65158769840933)</f>
        <v>112.6515877</v>
      </c>
      <c r="Q335" s="35" t="str">
        <f>IFERROR(__xludf.DUMMYFUNCTION("""COMPUTED_VALUE"""),"AP")</f>
        <v>AP</v>
      </c>
      <c r="R335" s="34">
        <f>IFERROR(__xludf.DUMMYFUNCTION("""COMPUTED_VALUE"""),18.641548183254343)</f>
        <v>18.64154818</v>
      </c>
      <c r="S335" s="35" t="str">
        <f>IFERROR(__xludf.DUMMYFUNCTION("""COMPUTED_VALUE"""),"%")</f>
        <v>%</v>
      </c>
      <c r="T335" s="36">
        <f>IFERROR(__xludf.DUMMYFUNCTION("""COMPUTED_VALUE"""),2.0)</f>
        <v>2</v>
      </c>
      <c r="U335" s="37" t="str">
        <f>IFERROR(__xludf.DUMMYFUNCTION("""COMPUTED_VALUE"""),"A304")</f>
        <v>A304</v>
      </c>
      <c r="V335" s="38" t="str">
        <f>IFERROR(__xludf.DUMMYFUNCTION("""COMPUTED_VALUE"""),"")</f>
        <v/>
      </c>
      <c r="W335" s="34">
        <f>IFERROR(__xludf.DUMMYFUNCTION("""COMPUTED_VALUE"""),70.74055941078801)</f>
        <v>70.74055941</v>
      </c>
      <c r="X335" s="35" t="str">
        <f>IFERROR(__xludf.DUMMYFUNCTION("""COMPUTED_VALUE"""),"AP")</f>
        <v>AP</v>
      </c>
      <c r="Y335" s="34">
        <f>IFERROR(__xludf.DUMMYFUNCTION("""COMPUTED_VALUE"""),29.685939968404426)</f>
        <v>29.68593997</v>
      </c>
      <c r="Z335" s="35" t="str">
        <f>IFERROR(__xludf.DUMMYFUNCTION("""COMPUTED_VALUE"""),"%")</f>
        <v>%</v>
      </c>
      <c r="AA335" s="36">
        <f>IFERROR(__xludf.DUMMYFUNCTION("""COMPUTED_VALUE"""),3.0)</f>
        <v>3</v>
      </c>
      <c r="AB335" s="37" t="str">
        <f>IFERROR(__xludf.DUMMYFUNCTION("""COMPUTED_VALUE"""),"B117")</f>
        <v>B117</v>
      </c>
      <c r="AC335" s="38" t="str">
        <f>IFERROR(__xludf.DUMMYFUNCTION("""COMPUTED_VALUE"""),"")</f>
        <v/>
      </c>
      <c r="AD335" s="34">
        <f>IFERROR(__xludf.DUMMYFUNCTION("""COMPUTED_VALUE"""),134.7373831084739)</f>
        <v>134.7373831</v>
      </c>
      <c r="AE335" s="35" t="str">
        <f>IFERROR(__xludf.DUMMYFUNCTION("""COMPUTED_VALUE"""),"AP")</f>
        <v>AP</v>
      </c>
      <c r="AF335" s="34">
        <f>IFERROR(__xludf.DUMMYFUNCTION("""COMPUTED_VALUE"""),15.585874918687855)</f>
        <v>15.58587492</v>
      </c>
      <c r="AG335" s="35" t="str">
        <f>IFERROR(__xludf.DUMMYFUNCTION("""COMPUTED_VALUE"""),"%")</f>
        <v>%</v>
      </c>
      <c r="AH335" s="31">
        <f>IFERROR(__xludf.DUMMYFUNCTION("""COMPUTED_VALUE"""),21.0)</f>
        <v>21</v>
      </c>
      <c r="AI335" s="32">
        <f>IFERROR(__xludf.DUMMYFUNCTION("""COMPUTED_VALUE"""),2532.0)</f>
        <v>2532</v>
      </c>
      <c r="AJ335" s="30" t="str">
        <f>IFERROR(__xludf.DUMMYFUNCTION("""COMPUTED_VALUE"""),"Akuta's Camp")</f>
        <v>Akuta's Camp</v>
      </c>
    </row>
    <row r="336" ht="24.75" customHeight="1">
      <c r="A336" s="40">
        <f>IFERROR(__xludf.DUMMYFUNCTION("""COMPUTED_VALUE"""),12.0)</f>
        <v>12</v>
      </c>
      <c r="B336" s="40" t="str">
        <f>IFERROR(__xludf.DUMMYFUNCTION("""COMPUTED_VALUE"""),"A206")</f>
        <v>A206</v>
      </c>
      <c r="C336" s="40" t="str">
        <f>IFERROR(__xludf.DUMMYFUNCTION("""COMPUTED_VALUE"""),"EPU3")</f>
        <v>EPU3</v>
      </c>
      <c r="D336" s="41" t="str">
        <f>IFERROR(__xludf.DUMMYFUNCTION("""COMPUTED_VALUE"""),"E Pluribus Unum")</f>
        <v>E Pluribus Unum</v>
      </c>
      <c r="E336" s="42" t="str">
        <f>IFERROR(__xludf.DUMMYFUNCTION("""COMPUTED_VALUE"""),"Denver")</f>
        <v>Denver</v>
      </c>
      <c r="F336" s="43">
        <f>IFERROR(__xludf.DUMMYFUNCTION("""COMPUTED_VALUE"""),17.0)</f>
        <v>17</v>
      </c>
      <c r="G336" s="44">
        <f>IFERROR(__xludf.DUMMYFUNCTION("""COMPUTED_VALUE"""),1201.0)</f>
        <v>1201</v>
      </c>
      <c r="H336" s="33" t="str">
        <f>IFERROR(__xludf.DUMMYFUNCTION("""COMPUTED_VALUE"""),"")</f>
        <v/>
      </c>
      <c r="I336" s="45">
        <f>IFERROR(__xludf.DUMMYFUNCTION("""COMPUTED_VALUE"""),103.88427565433302)</f>
        <v>103.8842757</v>
      </c>
      <c r="J336" s="46" t="str">
        <f>IFERROR(__xludf.DUMMYFUNCTION("""COMPUTED_VALUE"""),"AP")</f>
        <v>AP</v>
      </c>
      <c r="K336" s="47">
        <f>IFERROR(__xludf.DUMMYFUNCTION("""COMPUTED_VALUE"""),16.364363030807663)</f>
        <v>16.36436303</v>
      </c>
      <c r="L336" s="48" t="str">
        <f>IFERROR(__xludf.DUMMYFUNCTION("""COMPUTED_VALUE"""),"%")</f>
        <v>%</v>
      </c>
      <c r="M336" s="49">
        <f>IFERROR(__xludf.DUMMYFUNCTION("""COMPUTED_VALUE"""),1.0)</f>
        <v>1</v>
      </c>
      <c r="N336" s="50" t="str">
        <f>IFERROR(__xludf.DUMMYFUNCTION("""COMPUTED_VALUE"""),"A304")</f>
        <v>A304</v>
      </c>
      <c r="O336" s="38" t="str">
        <f>IFERROR(__xludf.DUMMYFUNCTION("""COMPUTED_VALUE"""),"")</f>
        <v/>
      </c>
      <c r="P336" s="45">
        <f>IFERROR(__xludf.DUMMYFUNCTION("""COMPUTED_VALUE"""),141.2511069293779)</f>
        <v>141.2511069</v>
      </c>
      <c r="Q336" s="46" t="str">
        <f>IFERROR(__xludf.DUMMYFUNCTION("""COMPUTED_VALUE"""),"AP")</f>
        <v>AP</v>
      </c>
      <c r="R336" s="47">
        <f>IFERROR(__xludf.DUMMYFUNCTION("""COMPUTED_VALUE"""),12.035303913405496)</f>
        <v>12.03530391</v>
      </c>
      <c r="S336" s="48" t="str">
        <f>IFERROR(__xludf.DUMMYFUNCTION("""COMPUTED_VALUE"""),"%")</f>
        <v>%</v>
      </c>
      <c r="T336" s="49">
        <f>IFERROR(__xludf.DUMMYFUNCTION("""COMPUTED_VALUE"""),2.0)</f>
        <v>2</v>
      </c>
      <c r="U336" s="50" t="str">
        <f>IFERROR(__xludf.DUMMYFUNCTION("""COMPUTED_VALUE"""),"B112")</f>
        <v>B112</v>
      </c>
      <c r="V336" s="38" t="str">
        <f>IFERROR(__xludf.DUMMYFUNCTION("""COMPUTED_VALUE"""),"")</f>
        <v/>
      </c>
      <c r="W336" s="45">
        <f>IFERROR(__xludf.DUMMYFUNCTION("""COMPUTED_VALUE"""),179.84848929735443)</f>
        <v>179.8484893</v>
      </c>
      <c r="X336" s="46" t="str">
        <f>IFERROR(__xludf.DUMMYFUNCTION("""COMPUTED_VALUE"""),"AP")</f>
        <v>AP</v>
      </c>
      <c r="Y336" s="47">
        <f>IFERROR(__xludf.DUMMYFUNCTION("""COMPUTED_VALUE"""),9.452400777130169)</f>
        <v>9.452400777</v>
      </c>
      <c r="Z336" s="48" t="str">
        <f>IFERROR(__xludf.DUMMYFUNCTION("""COMPUTED_VALUE"""),"%")</f>
        <v>%</v>
      </c>
      <c r="AA336" s="49">
        <f>IFERROR(__xludf.DUMMYFUNCTION("""COMPUTED_VALUE"""),3.0)</f>
        <v>3</v>
      </c>
      <c r="AB336" s="50"/>
      <c r="AC336" s="38"/>
      <c r="AD336" s="45" t="str">
        <f>IFERROR(__xludf.DUMMYFUNCTION("""COMPUTED_VALUE"""),"")</f>
        <v/>
      </c>
      <c r="AE336" s="46" t="str">
        <f>IFERROR(__xludf.DUMMYFUNCTION("""COMPUTED_VALUE"""),"AP")</f>
        <v>AP</v>
      </c>
      <c r="AF336" s="47" t="str">
        <f>IFERROR(__xludf.DUMMYFUNCTION("""COMPUTED_VALUE"""),"")</f>
        <v/>
      </c>
      <c r="AG336" s="48" t="str">
        <f>IFERROR(__xludf.DUMMYFUNCTION("""COMPUTED_VALUE"""),"%")</f>
        <v>%</v>
      </c>
      <c r="AH336" s="43">
        <f>IFERROR(__xludf.DUMMYFUNCTION("""COMPUTED_VALUE"""),17.0)</f>
        <v>17</v>
      </c>
      <c r="AI336" s="44">
        <f>IFERROR(__xludf.DUMMYFUNCTION("""COMPUTED_VALUE"""),1201.0)</f>
        <v>1201</v>
      </c>
      <c r="AJ336" s="42" t="str">
        <f>IFERROR(__xludf.DUMMYFUNCTION("""COMPUTED_VALUE"""),"Denver")</f>
        <v>Denver</v>
      </c>
    </row>
    <row r="337" ht="24.75" customHeight="1">
      <c r="A337" s="28">
        <f>IFERROR(__xludf.DUMMYFUNCTION("""COMPUTED_VALUE"""),13.0)</f>
        <v>13</v>
      </c>
      <c r="B337" s="28" t="str">
        <f>IFERROR(__xludf.DUMMYFUNCTION("""COMPUTED_VALUE"""),"A206")</f>
        <v>A206</v>
      </c>
      <c r="C337" s="28" t="str">
        <f>IFERROR(__xludf.DUMMYFUNCTION("""COMPUTED_VALUE"""),"SJK7")</f>
        <v>SJK7</v>
      </c>
      <c r="D337" s="29" t="str">
        <f>IFERROR(__xludf.DUMMYFUNCTION("""COMPUTED_VALUE"""),"Shinjuku")</f>
        <v>Shinjuku</v>
      </c>
      <c r="E337" s="30" t="str">
        <f>IFERROR(__xludf.DUMMYFUNCTION("""COMPUTED_VALUE"""),"Party Hall")</f>
        <v>Party Hall</v>
      </c>
      <c r="F337" s="31">
        <f>IFERROR(__xludf.DUMMYFUNCTION("""COMPUTED_VALUE"""),21.0)</f>
        <v>21</v>
      </c>
      <c r="G337" s="32">
        <f>IFERROR(__xludf.DUMMYFUNCTION("""COMPUTED_VALUE"""),2858.0)</f>
        <v>2858</v>
      </c>
      <c r="H337" s="33" t="str">
        <f>IFERROR(__xludf.DUMMYFUNCTION("""COMPUTED_VALUE"""),"")</f>
        <v/>
      </c>
      <c r="I337" s="34">
        <f>IFERROR(__xludf.DUMMYFUNCTION("""COMPUTED_VALUE"""),107.29225510736734)</f>
        <v>107.2922551</v>
      </c>
      <c r="J337" s="35" t="str">
        <f>IFERROR(__xludf.DUMMYFUNCTION("""COMPUTED_VALUE"""),"AP")</f>
        <v>AP</v>
      </c>
      <c r="K337" s="34">
        <f>IFERROR(__xludf.DUMMYFUNCTION("""COMPUTED_VALUE"""),19.572708187543736)</f>
        <v>19.57270819</v>
      </c>
      <c r="L337" s="35" t="str">
        <f>IFERROR(__xludf.DUMMYFUNCTION("""COMPUTED_VALUE"""),"%")</f>
        <v>%</v>
      </c>
      <c r="M337" s="36">
        <f>IFERROR(__xludf.DUMMYFUNCTION("""COMPUTED_VALUE"""),1.0)</f>
        <v>1</v>
      </c>
      <c r="N337" s="37" t="str">
        <f>IFERROR(__xludf.DUMMYFUNCTION("""COMPUTED_VALUE"""),"A304")</f>
        <v>A304</v>
      </c>
      <c r="O337" s="38" t="str">
        <f>IFERROR(__xludf.DUMMYFUNCTION("""COMPUTED_VALUE"""),"")</f>
        <v/>
      </c>
      <c r="P337" s="34">
        <f>IFERROR(__xludf.DUMMYFUNCTION("""COMPUTED_VALUE"""),73.86539853199628)</f>
        <v>73.86539853</v>
      </c>
      <c r="Q337" s="35" t="str">
        <f>IFERROR(__xludf.DUMMYFUNCTION("""COMPUTED_VALUE"""),"AP")</f>
        <v>AP</v>
      </c>
      <c r="R337" s="34">
        <f>IFERROR(__xludf.DUMMYFUNCTION("""COMPUTED_VALUE"""),28.430090972708186)</f>
        <v>28.43009097</v>
      </c>
      <c r="S337" s="35" t="str">
        <f>IFERROR(__xludf.DUMMYFUNCTION("""COMPUTED_VALUE"""),"%")</f>
        <v>%</v>
      </c>
      <c r="T337" s="36">
        <f>IFERROR(__xludf.DUMMYFUNCTION("""COMPUTED_VALUE"""),2.0)</f>
        <v>2</v>
      </c>
      <c r="U337" s="37" t="str">
        <f>IFERROR(__xludf.DUMMYFUNCTION("""COMPUTED_VALUE"""),"A307")</f>
        <v>A307</v>
      </c>
      <c r="V337" s="38" t="str">
        <f>IFERROR(__xludf.DUMMYFUNCTION("""COMPUTED_VALUE"""),"")</f>
        <v/>
      </c>
      <c r="W337" s="34">
        <f>IFERROR(__xludf.DUMMYFUNCTION("""COMPUTED_VALUE"""),72.89434946730212)</f>
        <v>72.89434947</v>
      </c>
      <c r="X337" s="35" t="str">
        <f>IFERROR(__xludf.DUMMYFUNCTION("""COMPUTED_VALUE"""),"AP")</f>
        <v>AP</v>
      </c>
      <c r="Y337" s="34">
        <f>IFERROR(__xludf.DUMMYFUNCTION("""COMPUTED_VALUE"""),28.808817354793558)</f>
        <v>28.80881735</v>
      </c>
      <c r="Z337" s="35" t="str">
        <f>IFERROR(__xludf.DUMMYFUNCTION("""COMPUTED_VALUE"""),"%")</f>
        <v>%</v>
      </c>
      <c r="AA337" s="36">
        <f>IFERROR(__xludf.DUMMYFUNCTION("""COMPUTED_VALUE"""),3.0)</f>
        <v>3</v>
      </c>
      <c r="AB337" s="37" t="str">
        <f>IFERROR(__xludf.DUMMYFUNCTION("""COMPUTED_VALUE"""),"B112")</f>
        <v>B112</v>
      </c>
      <c r="AC337" s="38" t="str">
        <f>IFERROR(__xludf.DUMMYFUNCTION("""COMPUTED_VALUE"""),"")</f>
        <v/>
      </c>
      <c r="AD337" s="34">
        <f>IFERROR(__xludf.DUMMYFUNCTION("""COMPUTED_VALUE"""),194.33866956792042)</f>
        <v>194.3386696</v>
      </c>
      <c r="AE337" s="35" t="str">
        <f>IFERROR(__xludf.DUMMYFUNCTION("""COMPUTED_VALUE"""),"AP")</f>
        <v>AP</v>
      </c>
      <c r="AF337" s="34">
        <f>IFERROR(__xludf.DUMMYFUNCTION("""COMPUTED_VALUE"""),10.805878236529042)</f>
        <v>10.80587824</v>
      </c>
      <c r="AG337" s="35" t="str">
        <f>IFERROR(__xludf.DUMMYFUNCTION("""COMPUTED_VALUE"""),"%")</f>
        <v>%</v>
      </c>
      <c r="AH337" s="31">
        <f>IFERROR(__xludf.DUMMYFUNCTION("""COMPUTED_VALUE"""),21.0)</f>
        <v>21</v>
      </c>
      <c r="AI337" s="32">
        <f>IFERROR(__xludf.DUMMYFUNCTION("""COMPUTED_VALUE"""),2858.0)</f>
        <v>2858</v>
      </c>
      <c r="AJ337" s="30" t="str">
        <f>IFERROR(__xludf.DUMMYFUNCTION("""COMPUTED_VALUE"""),"Party Hall")</f>
        <v>Party Hall</v>
      </c>
    </row>
    <row r="338" ht="24.75" customHeight="1">
      <c r="A338" s="40">
        <f>IFERROR(__xludf.DUMMYFUNCTION("""COMPUTED_VALUE"""),14.0)</f>
        <v>14</v>
      </c>
      <c r="B338" s="40" t="str">
        <f>IFERROR(__xludf.DUMMYFUNCTION("""COMPUTED_VALUE"""),"A206")</f>
        <v>A206</v>
      </c>
      <c r="C338" s="40" t="str">
        <f>IFERROR(__xludf.DUMMYFUNCTION("""COMPUTED_VALUE"""),"TRF21")</f>
        <v>TRF21</v>
      </c>
      <c r="D338" s="41" t="str">
        <f>IFERROR(__xludf.DUMMYFUNCTION("""COMPUTED_VALUE"""),"Chaldea Gate (Sat)")</f>
        <v>Chaldea Gate (Sat)</v>
      </c>
      <c r="E338" s="42" t="str">
        <f>IFERROR(__xludf.DUMMYFUNCTION("""COMPUTED_VALUE"""),"SAT Assassin Training Ground- Nov")</f>
        <v>SAT Assassin Training Ground- Nov</v>
      </c>
      <c r="F338" s="43">
        <f>IFERROR(__xludf.DUMMYFUNCTION("""COMPUTED_VALUE"""),10.0)</f>
        <v>10</v>
      </c>
      <c r="G338" s="44">
        <f>IFERROR(__xludf.DUMMYFUNCTION("""COMPUTED_VALUE"""),1540.0)</f>
        <v>1540</v>
      </c>
      <c r="H338" s="33" t="str">
        <f>IFERROR(__xludf.DUMMYFUNCTION("""COMPUTED_VALUE"""),"")</f>
        <v/>
      </c>
      <c r="I338" s="45">
        <f>IFERROR(__xludf.DUMMYFUNCTION("""COMPUTED_VALUE"""),115.87311141876842)</f>
        <v>115.8731114</v>
      </c>
      <c r="J338" s="46" t="str">
        <f>IFERROR(__xludf.DUMMYFUNCTION("""COMPUTED_VALUE"""),"AP")</f>
        <v>AP</v>
      </c>
      <c r="K338" s="47">
        <f>IFERROR(__xludf.DUMMYFUNCTION("""COMPUTED_VALUE"""),8.63012987012987)</f>
        <v>8.63012987</v>
      </c>
      <c r="L338" s="48" t="str">
        <f>IFERROR(__xludf.DUMMYFUNCTION("""COMPUTED_VALUE"""),"%")</f>
        <v>%</v>
      </c>
      <c r="M338" s="49">
        <f>IFERROR(__xludf.DUMMYFUNCTION("""COMPUTED_VALUE"""),1.0)</f>
        <v>1</v>
      </c>
      <c r="N338" s="50" t="str">
        <f>IFERROR(__xludf.DUMMYFUNCTION("""COMPUTED_VALUE"""),"A202")</f>
        <v>A202</v>
      </c>
      <c r="O338" s="38" t="str">
        <f>IFERROR(__xludf.DUMMYFUNCTION("""COMPUTED_VALUE"""),"")</f>
        <v/>
      </c>
      <c r="P338" s="45">
        <f>IFERROR(__xludf.DUMMYFUNCTION("""COMPUTED_VALUE"""),324.5111260957518)</f>
        <v>324.5111261</v>
      </c>
      <c r="Q338" s="46" t="str">
        <f>IFERROR(__xludf.DUMMYFUNCTION("""COMPUTED_VALUE"""),"AP")</f>
        <v>AP</v>
      </c>
      <c r="R338" s="47">
        <f>IFERROR(__xludf.DUMMYFUNCTION("""COMPUTED_VALUE"""),3.0815584415584416)</f>
        <v>3.081558442</v>
      </c>
      <c r="S338" s="48" t="str">
        <f>IFERROR(__xludf.DUMMYFUNCTION("""COMPUTED_VALUE"""),"%")</f>
        <v>%</v>
      </c>
      <c r="T338" s="49">
        <f>IFERROR(__xludf.DUMMYFUNCTION("""COMPUTED_VALUE"""),2.0)</f>
        <v>2</v>
      </c>
      <c r="U338" s="50" t="str">
        <f>IFERROR(__xludf.DUMMYFUNCTION("""COMPUTED_VALUE"""),"A303")</f>
        <v>A303</v>
      </c>
      <c r="V338" s="38" t="str">
        <f>IFERROR(__xludf.DUMMYFUNCTION("""COMPUTED_VALUE"""),"")</f>
        <v/>
      </c>
      <c r="W338" s="45">
        <f>IFERROR(__xludf.DUMMYFUNCTION("""COMPUTED_VALUE"""),75.67121349109635)</f>
        <v>75.67121349</v>
      </c>
      <c r="X338" s="46" t="str">
        <f>IFERROR(__xludf.DUMMYFUNCTION("""COMPUTED_VALUE"""),"AP")</f>
        <v>AP</v>
      </c>
      <c r="Y338" s="47">
        <f>IFERROR(__xludf.DUMMYFUNCTION("""COMPUTED_VALUE"""),13.215064935064936)</f>
        <v>13.21506494</v>
      </c>
      <c r="Z338" s="48" t="str">
        <f>IFERROR(__xludf.DUMMYFUNCTION("""COMPUTED_VALUE"""),"%")</f>
        <v>%</v>
      </c>
      <c r="AA338" s="49">
        <f>IFERROR(__xludf.DUMMYFUNCTION("""COMPUTED_VALUE"""),3.0)</f>
        <v>3</v>
      </c>
      <c r="AB338" s="50" t="str">
        <f>IFERROR(__xludf.DUMMYFUNCTION("""COMPUTED_VALUE"""),"A304")</f>
        <v>A304</v>
      </c>
      <c r="AC338" s="38" t="str">
        <f>IFERROR(__xludf.DUMMYFUNCTION("""COMPUTED_VALUE"""),"")</f>
        <v/>
      </c>
      <c r="AD338" s="45">
        <f>IFERROR(__xludf.DUMMYFUNCTION("""COMPUTED_VALUE"""),84.3410445145461)</f>
        <v>84.34104451</v>
      </c>
      <c r="AE338" s="46" t="str">
        <f>IFERROR(__xludf.DUMMYFUNCTION("""COMPUTED_VALUE"""),"AP")</f>
        <v>AP</v>
      </c>
      <c r="AF338" s="47">
        <f>IFERROR(__xludf.DUMMYFUNCTION("""COMPUTED_VALUE"""),11.856623376623377)</f>
        <v>11.85662338</v>
      </c>
      <c r="AG338" s="48" t="str">
        <f>IFERROR(__xludf.DUMMYFUNCTION("""COMPUTED_VALUE"""),"%")</f>
        <v>%</v>
      </c>
      <c r="AH338" s="43">
        <f>IFERROR(__xludf.DUMMYFUNCTION("""COMPUTED_VALUE"""),10.0)</f>
        <v>10</v>
      </c>
      <c r="AI338" s="44">
        <f>IFERROR(__xludf.DUMMYFUNCTION("""COMPUTED_VALUE"""),1540.0)</f>
        <v>1540</v>
      </c>
      <c r="AJ338" s="42" t="str">
        <f>IFERROR(__xludf.DUMMYFUNCTION("""COMPUTED_VALUE"""),"SAT Assassin Training Ground- Nov")</f>
        <v>SAT Assassin Training Ground- Nov</v>
      </c>
    </row>
    <row r="339" ht="24.75" customHeight="1">
      <c r="A339" s="28">
        <f>IFERROR(__xludf.DUMMYFUNCTION("""COMPUTED_VALUE"""),15.0)</f>
        <v>15</v>
      </c>
      <c r="B339" s="28" t="str">
        <f>IFERROR(__xludf.DUMMYFUNCTION("""COMPUTED_VALUE"""),"A206")</f>
        <v>A206</v>
      </c>
      <c r="C339" s="28" t="str">
        <f>IFERROR(__xludf.DUMMYFUNCTION("""COMPUTED_VALUE"""),"LDN1")</f>
        <v>LDN1</v>
      </c>
      <c r="D339" s="29" t="str">
        <f>IFERROR(__xludf.DUMMYFUNCTION("""COMPUTED_VALUE"""),"London")</f>
        <v>London</v>
      </c>
      <c r="E339" s="30" t="str">
        <f>IFERROR(__xludf.DUMMYFUNCTION("""COMPUTED_VALUE"""),"Old Street")</f>
        <v>Old Street</v>
      </c>
      <c r="F339" s="31">
        <f>IFERROR(__xludf.DUMMYFUNCTION("""COMPUTED_VALUE"""),15.0)</f>
        <v>15</v>
      </c>
      <c r="G339" s="32">
        <f>IFERROR(__xludf.DUMMYFUNCTION("""COMPUTED_VALUE"""),1171.0)</f>
        <v>1171</v>
      </c>
      <c r="H339" s="33" t="str">
        <f>IFERROR(__xludf.DUMMYFUNCTION("""COMPUTED_VALUE"""),"")</f>
        <v/>
      </c>
      <c r="I339" s="34">
        <f>IFERROR(__xludf.DUMMYFUNCTION("""COMPUTED_VALUE"""),119.32744565217392)</f>
        <v>119.3274457</v>
      </c>
      <c r="J339" s="35" t="str">
        <f>IFERROR(__xludf.DUMMYFUNCTION("""COMPUTED_VALUE"""),"AP")</f>
        <v>AP</v>
      </c>
      <c r="K339" s="34">
        <f>IFERROR(__xludf.DUMMYFUNCTION("""COMPUTED_VALUE"""),12.570452604611443)</f>
        <v>12.5704526</v>
      </c>
      <c r="L339" s="35" t="str">
        <f>IFERROR(__xludf.DUMMYFUNCTION("""COMPUTED_VALUE"""),"%")</f>
        <v>%</v>
      </c>
      <c r="M339" s="36">
        <f>IFERROR(__xludf.DUMMYFUNCTION("""COMPUTED_VALUE"""),1.0)</f>
        <v>1</v>
      </c>
      <c r="N339" s="37"/>
      <c r="O339" s="38"/>
      <c r="P339" s="34" t="str">
        <f>IFERROR(__xludf.DUMMYFUNCTION("""COMPUTED_VALUE"""),"")</f>
        <v/>
      </c>
      <c r="Q339" s="35" t="str">
        <f>IFERROR(__xludf.DUMMYFUNCTION("""COMPUTED_VALUE"""),"AP")</f>
        <v>AP</v>
      </c>
      <c r="R339" s="34" t="str">
        <f>IFERROR(__xludf.DUMMYFUNCTION("""COMPUTED_VALUE"""),"")</f>
        <v/>
      </c>
      <c r="S339" s="35" t="str">
        <f>IFERROR(__xludf.DUMMYFUNCTION("""COMPUTED_VALUE"""),"%")</f>
        <v>%</v>
      </c>
      <c r="T339" s="36">
        <f>IFERROR(__xludf.DUMMYFUNCTION("""COMPUTED_VALUE"""),2.0)</f>
        <v>2</v>
      </c>
      <c r="U339" s="37"/>
      <c r="V339" s="38"/>
      <c r="W339" s="34" t="str">
        <f>IFERROR(__xludf.DUMMYFUNCTION("""COMPUTED_VALUE"""),"")</f>
        <v/>
      </c>
      <c r="X339" s="35" t="str">
        <f>IFERROR(__xludf.DUMMYFUNCTION("""COMPUTED_VALUE"""),"AP")</f>
        <v>AP</v>
      </c>
      <c r="Y339" s="34" t="str">
        <f>IFERROR(__xludf.DUMMYFUNCTION("""COMPUTED_VALUE"""),"")</f>
        <v/>
      </c>
      <c r="Z339" s="35" t="str">
        <f>IFERROR(__xludf.DUMMYFUNCTION("""COMPUTED_VALUE"""),"%")</f>
        <v>%</v>
      </c>
      <c r="AA339" s="36">
        <f>IFERROR(__xludf.DUMMYFUNCTION("""COMPUTED_VALUE"""),3.0)</f>
        <v>3</v>
      </c>
      <c r="AB339" s="37"/>
      <c r="AC339" s="38"/>
      <c r="AD339" s="34" t="str">
        <f>IFERROR(__xludf.DUMMYFUNCTION("""COMPUTED_VALUE"""),"")</f>
        <v/>
      </c>
      <c r="AE339" s="35" t="str">
        <f>IFERROR(__xludf.DUMMYFUNCTION("""COMPUTED_VALUE"""),"AP")</f>
        <v>AP</v>
      </c>
      <c r="AF339" s="34" t="str">
        <f>IFERROR(__xludf.DUMMYFUNCTION("""COMPUTED_VALUE"""),"")</f>
        <v/>
      </c>
      <c r="AG339" s="35" t="str">
        <f>IFERROR(__xludf.DUMMYFUNCTION("""COMPUTED_VALUE"""),"%")</f>
        <v>%</v>
      </c>
      <c r="AH339" s="31">
        <f>IFERROR(__xludf.DUMMYFUNCTION("""COMPUTED_VALUE"""),15.0)</f>
        <v>15</v>
      </c>
      <c r="AI339" s="32">
        <f>IFERROR(__xludf.DUMMYFUNCTION("""COMPUTED_VALUE"""),1171.0)</f>
        <v>1171</v>
      </c>
      <c r="AJ339" s="30" t="str">
        <f>IFERROR(__xludf.DUMMYFUNCTION("""COMPUTED_VALUE"""),"Old Street")</f>
        <v>Old Street</v>
      </c>
    </row>
    <row r="340" ht="24.75" customHeight="1">
      <c r="A340" s="40">
        <f>IFERROR(__xludf.DUMMYFUNCTION("""COMPUTED_VALUE"""),16.0)</f>
        <v>16</v>
      </c>
      <c r="B340" s="40" t="str">
        <f>IFERROR(__xludf.DUMMYFUNCTION("""COMPUTED_VALUE"""),"A206")</f>
        <v>A206</v>
      </c>
      <c r="C340" s="40" t="str">
        <f>IFERROR(__xludf.DUMMYFUNCTION("""COMPUTED_VALUE"""),"LDN2")</f>
        <v>LDN2</v>
      </c>
      <c r="D340" s="41" t="str">
        <f>IFERROR(__xludf.DUMMYFUNCTION("""COMPUTED_VALUE"""),"London")</f>
        <v>London</v>
      </c>
      <c r="E340" s="42" t="str">
        <f>IFERROR(__xludf.DUMMYFUNCTION("""COMPUTED_VALUE"""),"White Chapel")</f>
        <v>White Chapel</v>
      </c>
      <c r="F340" s="43">
        <f>IFERROR(__xludf.DUMMYFUNCTION("""COMPUTED_VALUE"""),15.0)</f>
        <v>15</v>
      </c>
      <c r="G340" s="44">
        <f>IFERROR(__xludf.DUMMYFUNCTION("""COMPUTED_VALUE"""),1187.0)</f>
        <v>1187</v>
      </c>
      <c r="H340" s="33" t="str">
        <f>IFERROR(__xludf.DUMMYFUNCTION("""COMPUTED_VALUE"""),"")</f>
        <v/>
      </c>
      <c r="I340" s="45">
        <f>IFERROR(__xludf.DUMMYFUNCTION("""COMPUTED_VALUE"""),129.1761889215366)</f>
        <v>129.1761889</v>
      </c>
      <c r="J340" s="46" t="str">
        <f>IFERROR(__xludf.DUMMYFUNCTION("""COMPUTED_VALUE"""),"AP")</f>
        <v>AP</v>
      </c>
      <c r="K340" s="47">
        <f>IFERROR(__xludf.DUMMYFUNCTION("""COMPUTED_VALUE"""),11.612047177759056)</f>
        <v>11.61204718</v>
      </c>
      <c r="L340" s="48" t="str">
        <f>IFERROR(__xludf.DUMMYFUNCTION("""COMPUTED_VALUE"""),"%")</f>
        <v>%</v>
      </c>
      <c r="M340" s="49">
        <f>IFERROR(__xludf.DUMMYFUNCTION("""COMPUTED_VALUE"""),1.0)</f>
        <v>1</v>
      </c>
      <c r="N340" s="50" t="str">
        <f>IFERROR(__xludf.DUMMYFUNCTION("""COMPUTED_VALUE"""),"A304")</f>
        <v>A304</v>
      </c>
      <c r="O340" s="38" t="str">
        <f>IFERROR(__xludf.DUMMYFUNCTION("""COMPUTED_VALUE"""),"")</f>
        <v/>
      </c>
      <c r="P340" s="45">
        <f>IFERROR(__xludf.DUMMYFUNCTION("""COMPUTED_VALUE"""),140.27195663819998)</f>
        <v>140.2719566</v>
      </c>
      <c r="Q340" s="46" t="str">
        <f>IFERROR(__xludf.DUMMYFUNCTION("""COMPUTED_VALUE"""),"AP")</f>
        <v>AP</v>
      </c>
      <c r="R340" s="47">
        <f>IFERROR(__xludf.DUMMYFUNCTION("""COMPUTED_VALUE"""),10.693513058129739)</f>
        <v>10.69351306</v>
      </c>
      <c r="S340" s="48" t="str">
        <f>IFERROR(__xludf.DUMMYFUNCTION("""COMPUTED_VALUE"""),"%")</f>
        <v>%</v>
      </c>
      <c r="T340" s="49">
        <f>IFERROR(__xludf.DUMMYFUNCTION("""COMPUTED_VALUE"""),2.0)</f>
        <v>2</v>
      </c>
      <c r="U340" s="50" t="str">
        <f>IFERROR(__xludf.DUMMYFUNCTION("""COMPUTED_VALUE"""),"B116")</f>
        <v>B116</v>
      </c>
      <c r="V340" s="38" t="str">
        <f>IFERROR(__xludf.DUMMYFUNCTION("""COMPUTED_VALUE"""),"")</f>
        <v/>
      </c>
      <c r="W340" s="45">
        <f>IFERROR(__xludf.DUMMYFUNCTION("""COMPUTED_VALUE"""),337.18397878988736)</f>
        <v>337.1839788</v>
      </c>
      <c r="X340" s="46" t="str">
        <f>IFERROR(__xludf.DUMMYFUNCTION("""COMPUTED_VALUE"""),"AP")</f>
        <v>AP</v>
      </c>
      <c r="Y340" s="47">
        <f>IFERROR(__xludf.DUMMYFUNCTION("""COMPUTED_VALUE"""),4.448609941027801)</f>
        <v>4.448609941</v>
      </c>
      <c r="Z340" s="48" t="str">
        <f>IFERROR(__xludf.DUMMYFUNCTION("""COMPUTED_VALUE"""),"%")</f>
        <v>%</v>
      </c>
      <c r="AA340" s="49">
        <f>IFERROR(__xludf.DUMMYFUNCTION("""COMPUTED_VALUE"""),3.0)</f>
        <v>3</v>
      </c>
      <c r="AB340" s="50"/>
      <c r="AC340" s="38"/>
      <c r="AD340" s="45" t="str">
        <f>IFERROR(__xludf.DUMMYFUNCTION("""COMPUTED_VALUE"""),"")</f>
        <v/>
      </c>
      <c r="AE340" s="46" t="str">
        <f>IFERROR(__xludf.DUMMYFUNCTION("""COMPUTED_VALUE"""),"AP")</f>
        <v>AP</v>
      </c>
      <c r="AF340" s="47" t="str">
        <f>IFERROR(__xludf.DUMMYFUNCTION("""COMPUTED_VALUE"""),"")</f>
        <v/>
      </c>
      <c r="AG340" s="48" t="str">
        <f>IFERROR(__xludf.DUMMYFUNCTION("""COMPUTED_VALUE"""),"%")</f>
        <v>%</v>
      </c>
      <c r="AH340" s="43">
        <f>IFERROR(__xludf.DUMMYFUNCTION("""COMPUTED_VALUE"""),15.0)</f>
        <v>15</v>
      </c>
      <c r="AI340" s="44">
        <f>IFERROR(__xludf.DUMMYFUNCTION("""COMPUTED_VALUE"""),1187.0)</f>
        <v>1187</v>
      </c>
      <c r="AJ340" s="42" t="str">
        <f>IFERROR(__xludf.DUMMYFUNCTION("""COMPUTED_VALUE"""),"White Chapel")</f>
        <v>White Chapel</v>
      </c>
    </row>
    <row r="341" ht="24.75" customHeight="1">
      <c r="A341" s="28">
        <f>IFERROR(__xludf.DUMMYFUNCTION("""COMPUTED_VALUE"""),17.0)</f>
        <v>17</v>
      </c>
      <c r="B341" s="28" t="str">
        <f>IFERROR(__xludf.DUMMYFUNCTION("""COMPUTED_VALUE"""),"A206")</f>
        <v>A206</v>
      </c>
      <c r="C341" s="28" t="str">
        <f>IFERROR(__xludf.DUMMYFUNCTION("""COMPUTED_VALUE"""),"LDN6")</f>
        <v>LDN6</v>
      </c>
      <c r="D341" s="29" t="str">
        <f>IFERROR(__xludf.DUMMYFUNCTION("""COMPUTED_VALUE"""),"London")</f>
        <v>London</v>
      </c>
      <c r="E341" s="30" t="str">
        <f>IFERROR(__xludf.DUMMYFUNCTION("""COMPUTED_VALUE"""),"Regent Park")</f>
        <v>Regent Park</v>
      </c>
      <c r="F341" s="31">
        <f>IFERROR(__xludf.DUMMYFUNCTION("""COMPUTED_VALUE"""),16.0)</f>
        <v>16</v>
      </c>
      <c r="G341" s="32">
        <f>IFERROR(__xludf.DUMMYFUNCTION("""COMPUTED_VALUE"""),1158.0)</f>
        <v>1158</v>
      </c>
      <c r="H341" s="33" t="str">
        <f>IFERROR(__xludf.DUMMYFUNCTION("""COMPUTED_VALUE"""),"")</f>
        <v/>
      </c>
      <c r="I341" s="34">
        <f>IFERROR(__xludf.DUMMYFUNCTION("""COMPUTED_VALUE"""),162.5263157894737)</f>
        <v>162.5263158</v>
      </c>
      <c r="J341" s="35" t="str">
        <f>IFERROR(__xludf.DUMMYFUNCTION("""COMPUTED_VALUE"""),"AP")</f>
        <v>AP</v>
      </c>
      <c r="K341" s="34">
        <f>IFERROR(__xludf.DUMMYFUNCTION("""COMPUTED_VALUE"""),9.844559585492227)</f>
        <v>9.844559585</v>
      </c>
      <c r="L341" s="35" t="str">
        <f>IFERROR(__xludf.DUMMYFUNCTION("""COMPUTED_VALUE"""),"%")</f>
        <v>%</v>
      </c>
      <c r="M341" s="36">
        <f>IFERROR(__xludf.DUMMYFUNCTION("""COMPUTED_VALUE"""),1.0)</f>
        <v>1</v>
      </c>
      <c r="N341" s="37" t="str">
        <f>IFERROR(__xludf.DUMMYFUNCTION("""COMPUTED_VALUE"""),"A207")</f>
        <v>A207</v>
      </c>
      <c r="O341" s="38" t="str">
        <f>IFERROR(__xludf.DUMMYFUNCTION("""COMPUTED_VALUE"""),"")</f>
        <v/>
      </c>
      <c r="P341" s="34">
        <f>IFERROR(__xludf.DUMMYFUNCTION("""COMPUTED_VALUE"""),359.06976744186045)</f>
        <v>359.0697674</v>
      </c>
      <c r="Q341" s="35" t="str">
        <f>IFERROR(__xludf.DUMMYFUNCTION("""COMPUTED_VALUE"""),"AP")</f>
        <v>AP</v>
      </c>
      <c r="R341" s="34">
        <f>IFERROR(__xludf.DUMMYFUNCTION("""COMPUTED_VALUE"""),4.455958549222798)</f>
        <v>4.455958549</v>
      </c>
      <c r="S341" s="35" t="str">
        <f>IFERROR(__xludf.DUMMYFUNCTION("""COMPUTED_VALUE"""),"%")</f>
        <v>%</v>
      </c>
      <c r="T341" s="36">
        <f>IFERROR(__xludf.DUMMYFUNCTION("""COMPUTED_VALUE"""),2.0)</f>
        <v>2</v>
      </c>
      <c r="U341" s="37" t="str">
        <f>IFERROR(__xludf.DUMMYFUNCTION("""COMPUTED_VALUE"""),"B111")</f>
        <v>B111</v>
      </c>
      <c r="V341" s="38" t="str">
        <f>IFERROR(__xludf.DUMMYFUNCTION("""COMPUTED_VALUE"""),"")</f>
        <v/>
      </c>
      <c r="W341" s="34">
        <f>IFERROR(__xludf.DUMMYFUNCTION("""COMPUTED_VALUE"""),281.1532625189681)</f>
        <v>281.1532625</v>
      </c>
      <c r="X341" s="35" t="str">
        <f>IFERROR(__xludf.DUMMYFUNCTION("""COMPUTED_VALUE"""),"AP")</f>
        <v>AP</v>
      </c>
      <c r="Y341" s="34">
        <f>IFERROR(__xludf.DUMMYFUNCTION("""COMPUTED_VALUE"""),5.690846286701209)</f>
        <v>5.690846287</v>
      </c>
      <c r="Z341" s="35" t="str">
        <f>IFERROR(__xludf.DUMMYFUNCTION("""COMPUTED_VALUE"""),"%")</f>
        <v>%</v>
      </c>
      <c r="AA341" s="36">
        <f>IFERROR(__xludf.DUMMYFUNCTION("""COMPUTED_VALUE"""),3.0)</f>
        <v>3</v>
      </c>
      <c r="AB341" s="37"/>
      <c r="AC341" s="38"/>
      <c r="AD341" s="34" t="str">
        <f>IFERROR(__xludf.DUMMYFUNCTION("""COMPUTED_VALUE"""),"")</f>
        <v/>
      </c>
      <c r="AE341" s="35" t="str">
        <f>IFERROR(__xludf.DUMMYFUNCTION("""COMPUTED_VALUE"""),"AP")</f>
        <v>AP</v>
      </c>
      <c r="AF341" s="34" t="str">
        <f>IFERROR(__xludf.DUMMYFUNCTION("""COMPUTED_VALUE"""),"")</f>
        <v/>
      </c>
      <c r="AG341" s="35" t="str">
        <f>IFERROR(__xludf.DUMMYFUNCTION("""COMPUTED_VALUE"""),"%")</f>
        <v>%</v>
      </c>
      <c r="AH341" s="31">
        <f>IFERROR(__xludf.DUMMYFUNCTION("""COMPUTED_VALUE"""),16.0)</f>
        <v>16</v>
      </c>
      <c r="AI341" s="32">
        <f>IFERROR(__xludf.DUMMYFUNCTION("""COMPUTED_VALUE"""),1158.0)</f>
        <v>1158</v>
      </c>
      <c r="AJ341" s="30" t="str">
        <f>IFERROR(__xludf.DUMMYFUNCTION("""COMPUTED_VALUE"""),"Regent Park")</f>
        <v>Regent Park</v>
      </c>
    </row>
    <row r="342" ht="24.75" customHeight="1">
      <c r="A342" s="40">
        <f>IFERROR(__xludf.DUMMYFUNCTION("""COMPUTED_VALUE"""),18.0)</f>
        <v>18</v>
      </c>
      <c r="B342" s="40" t="str">
        <f>IFERROR(__xludf.DUMMYFUNCTION("""COMPUTED_VALUE"""),"A206")</f>
        <v>A206</v>
      </c>
      <c r="C342" s="40" t="str">
        <f>IFERROR(__xludf.DUMMYFUNCTION("""COMPUTED_VALUE"""),"TRF23")</f>
        <v>TRF23</v>
      </c>
      <c r="D342" s="41" t="str">
        <f>IFERROR(__xludf.DUMMYFUNCTION("""COMPUTED_VALUE"""),"Chaldea Gate (Sat)")</f>
        <v>Chaldea Gate (Sat)</v>
      </c>
      <c r="E342" s="42" t="str">
        <f>IFERROR(__xludf.DUMMYFUNCTION("""COMPUTED_VALUE"""),"SAT Assassin Training Ground- Adv")</f>
        <v>SAT Assassin Training Ground- Adv</v>
      </c>
      <c r="F342" s="43">
        <f>IFERROR(__xludf.DUMMYFUNCTION("""COMPUTED_VALUE"""),30.0)</f>
        <v>30</v>
      </c>
      <c r="G342" s="44">
        <f>IFERROR(__xludf.DUMMYFUNCTION("""COMPUTED_VALUE"""),1445.0)</f>
        <v>1445</v>
      </c>
      <c r="H342" s="33" t="str">
        <f>IFERROR(__xludf.DUMMYFUNCTION("""COMPUTED_VALUE"""),"")</f>
        <v/>
      </c>
      <c r="I342" s="45">
        <f>IFERROR(__xludf.DUMMYFUNCTION("""COMPUTED_VALUE"""),185.07370928698592)</f>
        <v>185.0737093</v>
      </c>
      <c r="J342" s="46" t="str">
        <f>IFERROR(__xludf.DUMMYFUNCTION("""COMPUTED_VALUE"""),"AP")</f>
        <v>AP</v>
      </c>
      <c r="K342" s="47">
        <f>IFERROR(__xludf.DUMMYFUNCTION("""COMPUTED_VALUE"""),16.20975778546713)</f>
        <v>16.20975779</v>
      </c>
      <c r="L342" s="48" t="str">
        <f>IFERROR(__xludf.DUMMYFUNCTION("""COMPUTED_VALUE"""),"%")</f>
        <v>%</v>
      </c>
      <c r="M342" s="49">
        <f>IFERROR(__xludf.DUMMYFUNCTION("""COMPUTED_VALUE"""),1.0)</f>
        <v>1</v>
      </c>
      <c r="N342" s="50" t="str">
        <f>IFERROR(__xludf.DUMMYFUNCTION("""COMPUTED_VALUE"""),"A107")</f>
        <v>A107</v>
      </c>
      <c r="O342" s="38" t="str">
        <f>IFERROR(__xludf.DUMMYFUNCTION("""COMPUTED_VALUE"""),"")</f>
        <v/>
      </c>
      <c r="P342" s="45">
        <f>IFERROR(__xludf.DUMMYFUNCTION("""COMPUTED_VALUE"""),520.2145660078482)</f>
        <v>520.214566</v>
      </c>
      <c r="Q342" s="46" t="str">
        <f>IFERROR(__xludf.DUMMYFUNCTION("""COMPUTED_VALUE"""),"AP")</f>
        <v>AP</v>
      </c>
      <c r="R342" s="47">
        <f>IFERROR(__xludf.DUMMYFUNCTION("""COMPUTED_VALUE"""),5.766851211072664)</f>
        <v>5.766851211</v>
      </c>
      <c r="S342" s="48" t="str">
        <f>IFERROR(__xludf.DUMMYFUNCTION("""COMPUTED_VALUE"""),"%")</f>
        <v>%</v>
      </c>
      <c r="T342" s="49">
        <f>IFERROR(__xludf.DUMMYFUNCTION("""COMPUTED_VALUE"""),2.0)</f>
        <v>2</v>
      </c>
      <c r="U342" s="50" t="str">
        <f>IFERROR(__xludf.DUMMYFUNCTION("""COMPUTED_VALUE"""),"A201")</f>
        <v>A201</v>
      </c>
      <c r="V342" s="38" t="str">
        <f>IFERROR(__xludf.DUMMYFUNCTION("""COMPUTED_VALUE"""),"")</f>
        <v/>
      </c>
      <c r="W342" s="45">
        <f>IFERROR(__xludf.DUMMYFUNCTION("""COMPUTED_VALUE"""),186.36824818145865)</f>
        <v>186.3682482</v>
      </c>
      <c r="X342" s="46" t="str">
        <f>IFERROR(__xludf.DUMMYFUNCTION("""COMPUTED_VALUE"""),"AP")</f>
        <v>AP</v>
      </c>
      <c r="Y342" s="47">
        <f>IFERROR(__xludf.DUMMYFUNCTION("""COMPUTED_VALUE"""),16.097162629757783)</f>
        <v>16.09716263</v>
      </c>
      <c r="Z342" s="48" t="str">
        <f>IFERROR(__xludf.DUMMYFUNCTION("""COMPUTED_VALUE"""),"%")</f>
        <v>%</v>
      </c>
      <c r="AA342" s="49">
        <f>IFERROR(__xludf.DUMMYFUNCTION("""COMPUTED_VALUE"""),3.0)</f>
        <v>3</v>
      </c>
      <c r="AB342" s="50" t="str">
        <f>IFERROR(__xludf.DUMMYFUNCTION("""COMPUTED_VALUE"""),"A202")</f>
        <v>A202</v>
      </c>
      <c r="AC342" s="38" t="str">
        <f>IFERROR(__xludf.DUMMYFUNCTION("""COMPUTED_VALUE"""),"")</f>
        <v/>
      </c>
      <c r="AD342" s="45">
        <f>IFERROR(__xludf.DUMMYFUNCTION("""COMPUTED_VALUE"""),177.19263107554087)</f>
        <v>177.1926311</v>
      </c>
      <c r="AE342" s="46" t="str">
        <f>IFERROR(__xludf.DUMMYFUNCTION("""COMPUTED_VALUE"""),"AP")</f>
        <v>AP</v>
      </c>
      <c r="AF342" s="47">
        <f>IFERROR(__xludf.DUMMYFUNCTION("""COMPUTED_VALUE"""),16.930726643598618)</f>
        <v>16.93072664</v>
      </c>
      <c r="AG342" s="48" t="str">
        <f>IFERROR(__xludf.DUMMYFUNCTION("""COMPUTED_VALUE"""),"%")</f>
        <v>%</v>
      </c>
      <c r="AH342" s="43">
        <f>IFERROR(__xludf.DUMMYFUNCTION("""COMPUTED_VALUE"""),30.0)</f>
        <v>30</v>
      </c>
      <c r="AI342" s="44">
        <f>IFERROR(__xludf.DUMMYFUNCTION("""COMPUTED_VALUE"""),1445.0)</f>
        <v>1445</v>
      </c>
      <c r="AJ342" s="42" t="str">
        <f>IFERROR(__xludf.DUMMYFUNCTION("""COMPUTED_VALUE"""),"SAT Assassin Training Ground- Adv")</f>
        <v>SAT Assassin Training Ground- Adv</v>
      </c>
    </row>
    <row r="343" ht="24.75" customHeight="1">
      <c r="A343" s="28">
        <f>IFERROR(__xludf.DUMMYFUNCTION("""COMPUTED_VALUE"""),19.0)</f>
        <v>19</v>
      </c>
      <c r="B343" s="28" t="str">
        <f>IFERROR(__xludf.DUMMYFUNCTION("""COMPUTED_VALUE"""),"A206")</f>
        <v>A206</v>
      </c>
      <c r="C343" s="28" t="str">
        <f>IFERROR(__xludf.DUMMYFUNCTION("""COMPUTED_VALUE"""),"TRF28")</f>
        <v>TRF28</v>
      </c>
      <c r="D343" s="29" t="str">
        <f>IFERROR(__xludf.DUMMYFUNCTION("""COMPUTED_VALUE"""),"Chaldea Gate (Sun)")</f>
        <v>Chaldea Gate (Sun)</v>
      </c>
      <c r="E343" s="30" t="str">
        <f>IFERROR(__xludf.DUMMYFUNCTION("""COMPUTED_VALUE"""),"SUN Saber Training Ground- Exp")</f>
        <v>SUN Saber Training Ground- Exp</v>
      </c>
      <c r="F343" s="31">
        <f>IFERROR(__xludf.DUMMYFUNCTION("""COMPUTED_VALUE"""),40.0)</f>
        <v>40</v>
      </c>
      <c r="G343" s="32">
        <f>IFERROR(__xludf.DUMMYFUNCTION("""COMPUTED_VALUE"""),28657.0)</f>
        <v>28657</v>
      </c>
      <c r="H343" s="33" t="str">
        <f>IFERROR(__xludf.DUMMYFUNCTION("""COMPUTED_VALUE"""),"")</f>
        <v/>
      </c>
      <c r="I343" s="34">
        <f>IFERROR(__xludf.DUMMYFUNCTION("""COMPUTED_VALUE"""),196.53461478887445)</f>
        <v>196.5346148</v>
      </c>
      <c r="J343" s="35" t="str">
        <f>IFERROR(__xludf.DUMMYFUNCTION("""COMPUTED_VALUE"""),"AP")</f>
        <v>AP</v>
      </c>
      <c r="K343" s="34">
        <f>IFERROR(__xludf.DUMMYFUNCTION("""COMPUTED_VALUE"""),20.352648841513055)</f>
        <v>20.35264884</v>
      </c>
      <c r="L343" s="35" t="str">
        <f>IFERROR(__xludf.DUMMYFUNCTION("""COMPUTED_VALUE"""),"%")</f>
        <v>%</v>
      </c>
      <c r="M343" s="36">
        <f>IFERROR(__xludf.DUMMYFUNCTION("""COMPUTED_VALUE"""),1.0)</f>
        <v>1</v>
      </c>
      <c r="N343" s="37" t="str">
        <f>IFERROR(__xludf.DUMMYFUNCTION("""COMPUTED_VALUE"""),"A104")</f>
        <v>A104</v>
      </c>
      <c r="O343" s="38" t="str">
        <f>IFERROR(__xludf.DUMMYFUNCTION("""COMPUTED_VALUE"""),"")</f>
        <v/>
      </c>
      <c r="P343" s="34">
        <f>IFERROR(__xludf.DUMMYFUNCTION("""COMPUTED_VALUE"""),499.78199829086657)</f>
        <v>499.7819983</v>
      </c>
      <c r="Q343" s="35" t="str">
        <f>IFERROR(__xludf.DUMMYFUNCTION("""COMPUTED_VALUE"""),"AP")</f>
        <v>AP</v>
      </c>
      <c r="R343" s="34">
        <f>IFERROR(__xludf.DUMMYFUNCTION("""COMPUTED_VALUE"""),8.00348954880134)</f>
        <v>8.003489549</v>
      </c>
      <c r="S343" s="35" t="str">
        <f>IFERROR(__xludf.DUMMYFUNCTION("""COMPUTED_VALUE"""),"%")</f>
        <v>%</v>
      </c>
      <c r="T343" s="36">
        <f>IFERROR(__xludf.DUMMYFUNCTION("""COMPUTED_VALUE"""),2.0)</f>
        <v>2</v>
      </c>
      <c r="U343" s="37" t="str">
        <f>IFERROR(__xludf.DUMMYFUNCTION("""COMPUTED_VALUE"""),"A201")</f>
        <v>A201</v>
      </c>
      <c r="V343" s="38" t="str">
        <f>IFERROR(__xludf.DUMMYFUNCTION("""COMPUTED_VALUE"""),"")</f>
        <v/>
      </c>
      <c r="W343" s="34">
        <f>IFERROR(__xludf.DUMMYFUNCTION("""COMPUTED_VALUE"""),149.6821532877502)</f>
        <v>149.6821533</v>
      </c>
      <c r="X343" s="35" t="str">
        <f>IFERROR(__xludf.DUMMYFUNCTION("""COMPUTED_VALUE"""),"AP")</f>
        <v>AP</v>
      </c>
      <c r="Y343" s="34">
        <f>IFERROR(__xludf.DUMMYFUNCTION("""COMPUTED_VALUE"""),26.723292738248944)</f>
        <v>26.72329274</v>
      </c>
      <c r="Z343" s="35" t="str">
        <f>IFERROR(__xludf.DUMMYFUNCTION("""COMPUTED_VALUE"""),"%")</f>
        <v>%</v>
      </c>
      <c r="AA343" s="36">
        <f>IFERROR(__xludf.DUMMYFUNCTION("""COMPUTED_VALUE"""),3.0)</f>
        <v>3</v>
      </c>
      <c r="AB343" s="37" t="str">
        <f>IFERROR(__xludf.DUMMYFUNCTION("""COMPUTED_VALUE"""),"A205")</f>
        <v>A205</v>
      </c>
      <c r="AC343" s="38" t="str">
        <f>IFERROR(__xludf.DUMMYFUNCTION("""COMPUTED_VALUE"""),"")</f>
        <v/>
      </c>
      <c r="AD343" s="34">
        <f>IFERROR(__xludf.DUMMYFUNCTION("""COMPUTED_VALUE"""),377.1536265682929)</f>
        <v>377.1536266</v>
      </c>
      <c r="AE343" s="35" t="str">
        <f>IFERROR(__xludf.DUMMYFUNCTION("""COMPUTED_VALUE"""),"AP")</f>
        <v>AP</v>
      </c>
      <c r="AF343" s="34">
        <f>IFERROR(__xludf.DUMMYFUNCTION("""COMPUTED_VALUE"""),10.60575775552221)</f>
        <v>10.60575776</v>
      </c>
      <c r="AG343" s="35" t="str">
        <f>IFERROR(__xludf.DUMMYFUNCTION("""COMPUTED_VALUE"""),"%")</f>
        <v>%</v>
      </c>
      <c r="AH343" s="31">
        <f>IFERROR(__xludf.DUMMYFUNCTION("""COMPUTED_VALUE"""),40.0)</f>
        <v>40</v>
      </c>
      <c r="AI343" s="32">
        <f>IFERROR(__xludf.DUMMYFUNCTION("""COMPUTED_VALUE"""),28657.0)</f>
        <v>28657</v>
      </c>
      <c r="AJ343" s="30" t="str">
        <f>IFERROR(__xludf.DUMMYFUNCTION("""COMPUTED_VALUE"""),"SUN Saber Training Ground- Exp")</f>
        <v>SUN Saber Training Ground- Exp</v>
      </c>
    </row>
    <row r="344" ht="24.75" customHeight="1">
      <c r="A344" s="40">
        <f>IFERROR(__xludf.DUMMYFUNCTION("""COMPUTED_VALUE"""),20.0)</f>
        <v>20</v>
      </c>
      <c r="B344" s="40" t="str">
        <f>IFERROR(__xludf.DUMMYFUNCTION("""COMPUTED_VALUE"""),"A206")</f>
        <v>A206</v>
      </c>
      <c r="C344" s="40" t="str">
        <f>IFERROR(__xludf.DUMMYFUNCTION("""COMPUTED_VALUE"""),"TRF27")</f>
        <v>TRF27</v>
      </c>
      <c r="D344" s="41" t="str">
        <f>IFERROR(__xludf.DUMMYFUNCTION("""COMPUTED_VALUE"""),"Chaldea Gate (Sun)")</f>
        <v>Chaldea Gate (Sun)</v>
      </c>
      <c r="E344" s="42" t="str">
        <f>IFERROR(__xludf.DUMMYFUNCTION("""COMPUTED_VALUE"""),"SUN Saber Training Ground- Adv")</f>
        <v>SUN Saber Training Ground- Adv</v>
      </c>
      <c r="F344" s="43">
        <f>IFERROR(__xludf.DUMMYFUNCTION("""COMPUTED_VALUE"""),30.0)</f>
        <v>30</v>
      </c>
      <c r="G344" s="44">
        <f>IFERROR(__xludf.DUMMYFUNCTION("""COMPUTED_VALUE"""),4351.0)</f>
        <v>4351</v>
      </c>
      <c r="H344" s="33" t="str">
        <f>IFERROR(__xludf.DUMMYFUNCTION("""COMPUTED_VALUE"""),"")</f>
        <v/>
      </c>
      <c r="I344" s="45">
        <f>IFERROR(__xludf.DUMMYFUNCTION("""COMPUTED_VALUE"""),203.50541309119933)</f>
        <v>203.5054131</v>
      </c>
      <c r="J344" s="46" t="str">
        <f>IFERROR(__xludf.DUMMYFUNCTION("""COMPUTED_VALUE"""),"AP")</f>
        <v>AP</v>
      </c>
      <c r="K344" s="47">
        <f>IFERROR(__xludf.DUMMYFUNCTION("""COMPUTED_VALUE"""),14.741622615490693)</f>
        <v>14.74162262</v>
      </c>
      <c r="L344" s="48" t="str">
        <f>IFERROR(__xludf.DUMMYFUNCTION("""COMPUTED_VALUE"""),"%")</f>
        <v>%</v>
      </c>
      <c r="M344" s="49">
        <f>IFERROR(__xludf.DUMMYFUNCTION("""COMPUTED_VALUE"""),1.0)</f>
        <v>1</v>
      </c>
      <c r="N344" s="50" t="str">
        <f>IFERROR(__xludf.DUMMYFUNCTION("""COMPUTED_VALUE"""),"A104")</f>
        <v>A104</v>
      </c>
      <c r="O344" s="38" t="str">
        <f>IFERROR(__xludf.DUMMYFUNCTION("""COMPUTED_VALUE"""),"")</f>
        <v/>
      </c>
      <c r="P344" s="45">
        <f>IFERROR(__xludf.DUMMYFUNCTION("""COMPUTED_VALUE"""),779.8236390574965)</f>
        <v>779.8236391</v>
      </c>
      <c r="Q344" s="46" t="str">
        <f>IFERROR(__xludf.DUMMYFUNCTION("""COMPUTED_VALUE"""),"AP")</f>
        <v>AP</v>
      </c>
      <c r="R344" s="47">
        <f>IFERROR(__xludf.DUMMYFUNCTION("""COMPUTED_VALUE"""),3.8470236727189153)</f>
        <v>3.847023673</v>
      </c>
      <c r="S344" s="48" t="str">
        <f>IFERROR(__xludf.DUMMYFUNCTION("""COMPUTED_VALUE"""),"%")</f>
        <v>%</v>
      </c>
      <c r="T344" s="49">
        <f>IFERROR(__xludf.DUMMYFUNCTION("""COMPUTED_VALUE"""),2.0)</f>
        <v>2</v>
      </c>
      <c r="U344" s="50" t="str">
        <f>IFERROR(__xludf.DUMMYFUNCTION("""COMPUTED_VALUE"""),"A201")</f>
        <v>A201</v>
      </c>
      <c r="V344" s="38" t="str">
        <f>IFERROR(__xludf.DUMMYFUNCTION("""COMPUTED_VALUE"""),"")</f>
        <v/>
      </c>
      <c r="W344" s="45">
        <f>IFERROR(__xludf.DUMMYFUNCTION("""COMPUTED_VALUE"""),124.49925603754149)</f>
        <v>124.499256</v>
      </c>
      <c r="X344" s="46" t="str">
        <f>IFERROR(__xludf.DUMMYFUNCTION("""COMPUTED_VALUE"""),"AP")</f>
        <v>AP</v>
      </c>
      <c r="Y344" s="47">
        <f>IFERROR(__xludf.DUMMYFUNCTION("""COMPUTED_VALUE"""),24.096529533440588)</f>
        <v>24.09652953</v>
      </c>
      <c r="Z344" s="48" t="str">
        <f>IFERROR(__xludf.DUMMYFUNCTION("""COMPUTED_VALUE"""),"%")</f>
        <v>%</v>
      </c>
      <c r="AA344" s="49">
        <f>IFERROR(__xludf.DUMMYFUNCTION("""COMPUTED_VALUE"""),3.0)</f>
        <v>3</v>
      </c>
      <c r="AB344" s="50" t="str">
        <f>IFERROR(__xludf.DUMMYFUNCTION("""COMPUTED_VALUE"""),"A205")</f>
        <v>A205</v>
      </c>
      <c r="AC344" s="38" t="str">
        <f>IFERROR(__xludf.DUMMYFUNCTION("""COMPUTED_VALUE"""),"")</f>
        <v/>
      </c>
      <c r="AD344" s="45">
        <f>IFERROR(__xludf.DUMMYFUNCTION("""COMPUTED_VALUE"""),170.83110845871155)</f>
        <v>170.8311085</v>
      </c>
      <c r="AE344" s="46" t="str">
        <f>IFERROR(__xludf.DUMMYFUNCTION("""COMPUTED_VALUE"""),"AP")</f>
        <v>AP</v>
      </c>
      <c r="AF344" s="47">
        <f>IFERROR(__xludf.DUMMYFUNCTION("""COMPUTED_VALUE"""),17.561204320845782)</f>
        <v>17.56120432</v>
      </c>
      <c r="AG344" s="48" t="str">
        <f>IFERROR(__xludf.DUMMYFUNCTION("""COMPUTED_VALUE"""),"%")</f>
        <v>%</v>
      </c>
      <c r="AH344" s="43">
        <f>IFERROR(__xludf.DUMMYFUNCTION("""COMPUTED_VALUE"""),30.0)</f>
        <v>30</v>
      </c>
      <c r="AI344" s="44">
        <f>IFERROR(__xludf.DUMMYFUNCTION("""COMPUTED_VALUE"""),4351.0)</f>
        <v>4351</v>
      </c>
      <c r="AJ344" s="42" t="str">
        <f>IFERROR(__xludf.DUMMYFUNCTION("""COMPUTED_VALUE"""),"SUN Saber Training Ground- Adv")</f>
        <v>SUN Saber Training Ground- Adv</v>
      </c>
    </row>
    <row r="345">
      <c r="A345" s="52"/>
      <c r="B345" s="53"/>
      <c r="C345" s="54"/>
      <c r="D345" s="56"/>
      <c r="E345" s="56"/>
      <c r="F345" s="53"/>
      <c r="G345" s="53"/>
      <c r="H345" s="53"/>
      <c r="I345" s="53"/>
      <c r="J345" s="57"/>
      <c r="K345" s="53"/>
      <c r="L345" s="57"/>
      <c r="M345" s="53"/>
      <c r="N345" s="53"/>
      <c r="O345" s="53"/>
      <c r="P345" s="53"/>
      <c r="Q345" s="57"/>
      <c r="R345" s="53"/>
      <c r="S345" s="57"/>
      <c r="T345" s="53"/>
      <c r="U345" s="53"/>
      <c r="V345" s="53"/>
      <c r="W345" s="53"/>
      <c r="X345" s="57"/>
      <c r="Y345" s="53"/>
      <c r="Z345" s="57"/>
      <c r="AA345" s="53"/>
      <c r="AB345" s="53"/>
      <c r="AC345" s="53"/>
      <c r="AD345" s="53"/>
      <c r="AE345" s="57"/>
      <c r="AF345" s="53"/>
      <c r="AG345" s="57"/>
      <c r="AH345" s="53"/>
      <c r="AI345" s="53"/>
      <c r="AJ345" s="56"/>
    </row>
    <row r="346">
      <c r="A346" s="59"/>
      <c r="B346" s="60"/>
      <c r="C346" s="61"/>
      <c r="D346" s="63"/>
      <c r="E346" s="63"/>
      <c r="F346" s="60"/>
      <c r="G346" s="60"/>
      <c r="H346" s="60"/>
      <c r="I346" s="60"/>
      <c r="J346" s="64"/>
      <c r="K346" s="60"/>
      <c r="L346" s="64"/>
      <c r="M346" s="60"/>
      <c r="N346" s="60"/>
      <c r="O346" s="60"/>
      <c r="P346" s="60"/>
      <c r="Q346" s="64"/>
      <c r="R346" s="60"/>
      <c r="S346" s="64"/>
      <c r="T346" s="60"/>
      <c r="U346" s="60"/>
      <c r="V346" s="60"/>
      <c r="W346" s="60"/>
      <c r="X346" s="64"/>
      <c r="Y346" s="60"/>
      <c r="Z346" s="64"/>
      <c r="AA346" s="60"/>
      <c r="AB346" s="60"/>
      <c r="AC346" s="60"/>
      <c r="AD346" s="60"/>
      <c r="AE346" s="64"/>
      <c r="AF346" s="60"/>
      <c r="AG346" s="64"/>
      <c r="AH346" s="60"/>
      <c r="AI346" s="60"/>
      <c r="AJ346" s="63"/>
    </row>
    <row r="347" ht="33.0" customHeight="1">
      <c r="A347" s="20" t="str">
        <f>IFERROR(__xludf.DUMMYFUNCTION("""COMPUTED_VALUE""")," ")</f>
        <v> </v>
      </c>
      <c r="B347" s="21" t="str">
        <f>IFERROR(__xludf.DUMMYFUNCTION("""COMPUTED_VALUE"""),"A207")</f>
        <v>A207</v>
      </c>
      <c r="C347" s="20"/>
      <c r="D347" s="257" t="str">
        <f>IFERROR(__xludf.DUMMYFUNCTION("""COMPUTED_VALUE"""),"")</f>
        <v/>
      </c>
      <c r="E347" s="23" t="str">
        <f>IFERROR(__xludf.DUMMYFUNCTION("""COMPUTED_VALUE"""),"Forbidden Page")</f>
        <v>Forbidden Page</v>
      </c>
      <c r="F347" s="24"/>
      <c r="G347" s="24"/>
      <c r="H347" s="25"/>
      <c r="I347" s="25"/>
      <c r="J347" s="26"/>
      <c r="K347" s="25"/>
      <c r="L347" s="26"/>
      <c r="M347" s="25"/>
      <c r="N347" s="25"/>
      <c r="O347" s="25"/>
      <c r="P347" s="25"/>
      <c r="Q347" s="26"/>
      <c r="R347" s="25"/>
      <c r="S347" s="26"/>
      <c r="T347" s="25"/>
      <c r="U347" s="25"/>
      <c r="V347" s="25"/>
      <c r="W347" s="25"/>
      <c r="X347" s="26"/>
      <c r="Y347" s="25"/>
      <c r="Z347" s="26"/>
      <c r="AA347" s="25"/>
      <c r="AB347" s="25"/>
      <c r="AC347" s="25"/>
      <c r="AD347" s="25"/>
      <c r="AE347" s="26"/>
      <c r="AF347" s="25"/>
      <c r="AG347" s="26"/>
      <c r="AH347" s="24"/>
      <c r="AI347" s="25"/>
      <c r="AJ347" s="23"/>
    </row>
    <row r="348" ht="24.75" customHeight="1">
      <c r="A348" s="28">
        <f>IFERROR(__xludf.DUMMYFUNCTION("""COMPUTED_VALUE"""),1.0)</f>
        <v>1</v>
      </c>
      <c r="B348" s="28" t="str">
        <f>IFERROR(__xludf.DUMMYFUNCTION("""COMPUTED_VALUE"""),"A207")</f>
        <v>A207</v>
      </c>
      <c r="C348" s="28" t="str">
        <f>IFERROR(__xludf.DUMMYFUNCTION("""COMPUTED_VALUE"""),"SJK10")</f>
        <v>SJK10</v>
      </c>
      <c r="D348" s="29" t="str">
        <f>IFERROR(__xludf.DUMMYFUNCTION("""COMPUTED_VALUE"""),"Shinjuku")</f>
        <v>Shinjuku</v>
      </c>
      <c r="E348" s="30" t="str">
        <f>IFERROR(__xludf.DUMMYFUNCTION("""COMPUTED_VALUE"""),"Shinjuku 2-chome")</f>
        <v>Shinjuku 2-chome</v>
      </c>
      <c r="F348" s="31">
        <f>IFERROR(__xludf.DUMMYFUNCTION("""COMPUTED_VALUE"""),21.0)</f>
        <v>21</v>
      </c>
      <c r="G348" s="32">
        <f>IFERROR(__xludf.DUMMYFUNCTION("""COMPUTED_VALUE"""),72297.0)</f>
        <v>72297</v>
      </c>
      <c r="H348" s="33" t="str">
        <f>IFERROR(__xludf.DUMMYFUNCTION("""COMPUTED_VALUE"""),"")</f>
        <v/>
      </c>
      <c r="I348" s="34">
        <f>IFERROR(__xludf.DUMMYFUNCTION("""COMPUTED_VALUE"""),69.49871690056644)</f>
        <v>69.4987169</v>
      </c>
      <c r="J348" s="35" t="str">
        <f>IFERROR(__xludf.DUMMYFUNCTION("""COMPUTED_VALUE"""),"AP")</f>
        <v>AP</v>
      </c>
      <c r="K348" s="34">
        <f>IFERROR(__xludf.DUMMYFUNCTION("""COMPUTED_VALUE"""),30.216385188873673)</f>
        <v>30.21638519</v>
      </c>
      <c r="L348" s="35" t="str">
        <f>IFERROR(__xludf.DUMMYFUNCTION("""COMPUTED_VALUE"""),"%")</f>
        <v>%</v>
      </c>
      <c r="M348" s="36">
        <f>IFERROR(__xludf.DUMMYFUNCTION("""COMPUTED_VALUE"""),1.0)</f>
        <v>1</v>
      </c>
      <c r="N348" s="37" t="str">
        <f>IFERROR(__xludf.DUMMYFUNCTION("""COMPUTED_VALUE"""),"A106")</f>
        <v>A106</v>
      </c>
      <c r="O348" s="38" t="str">
        <f>IFERROR(__xludf.DUMMYFUNCTION("""COMPUTED_VALUE"""),"")</f>
        <v/>
      </c>
      <c r="P348" s="34">
        <f>IFERROR(__xludf.DUMMYFUNCTION("""COMPUTED_VALUE"""),115.8069950563081)</f>
        <v>115.8069951</v>
      </c>
      <c r="Q348" s="35" t="str">
        <f>IFERROR(__xludf.DUMMYFUNCTION("""COMPUTED_VALUE"""),"AP")</f>
        <v>AP</v>
      </c>
      <c r="R348" s="34">
        <f>IFERROR(__xludf.DUMMYFUNCTION("""COMPUTED_VALUE"""),18.133619639978832)</f>
        <v>18.13361964</v>
      </c>
      <c r="S348" s="35" t="str">
        <f>IFERROR(__xludf.DUMMYFUNCTION("""COMPUTED_VALUE"""),"%")</f>
        <v>%</v>
      </c>
      <c r="T348" s="36">
        <f>IFERROR(__xludf.DUMMYFUNCTION("""COMPUTED_VALUE"""),2.0)</f>
        <v>2</v>
      </c>
      <c r="U348" s="37" t="str">
        <f>IFERROR(__xludf.DUMMYFUNCTION("""COMPUTED_VALUE"""),"B105")</f>
        <v>B105</v>
      </c>
      <c r="V348" s="38" t="str">
        <f>IFERROR(__xludf.DUMMYFUNCTION("""COMPUTED_VALUE"""),"")</f>
        <v/>
      </c>
      <c r="W348" s="34">
        <f>IFERROR(__xludf.DUMMYFUNCTION("""COMPUTED_VALUE"""),636.4140493169989)</f>
        <v>636.4140493</v>
      </c>
      <c r="X348" s="35" t="str">
        <f>IFERROR(__xludf.DUMMYFUNCTION("""COMPUTED_VALUE"""),"AP")</f>
        <v>AP</v>
      </c>
      <c r="Y348" s="34">
        <f>IFERROR(__xludf.DUMMYFUNCTION("""COMPUTED_VALUE"""),3.2997385935362757)</f>
        <v>3.299738594</v>
      </c>
      <c r="Z348" s="35" t="str">
        <f>IFERROR(__xludf.DUMMYFUNCTION("""COMPUTED_VALUE"""),"%")</f>
        <v>%</v>
      </c>
      <c r="AA348" s="36">
        <f>IFERROR(__xludf.DUMMYFUNCTION("""COMPUTED_VALUE"""),3.0)</f>
        <v>3</v>
      </c>
      <c r="AB348" s="37" t="str">
        <f>IFERROR(__xludf.DUMMYFUNCTION("""COMPUTED_VALUE"""),"B112")</f>
        <v>B112</v>
      </c>
      <c r="AC348" s="38" t="str">
        <f>IFERROR(__xludf.DUMMYFUNCTION("""COMPUTED_VALUE"""),"")</f>
        <v/>
      </c>
      <c r="AD348" s="34">
        <f>IFERROR(__xludf.DUMMYFUNCTION("""COMPUTED_VALUE"""),255.91424033590638)</f>
        <v>255.9142403</v>
      </c>
      <c r="AE348" s="35" t="str">
        <f>IFERROR(__xludf.DUMMYFUNCTION("""COMPUTED_VALUE"""),"AP")</f>
        <v>AP</v>
      </c>
      <c r="AF348" s="34">
        <f>IFERROR(__xludf.DUMMYFUNCTION("""COMPUTED_VALUE"""),8.20587395700839)</f>
        <v>8.205873957</v>
      </c>
      <c r="AG348" s="35" t="str">
        <f>IFERROR(__xludf.DUMMYFUNCTION("""COMPUTED_VALUE"""),"%")</f>
        <v>%</v>
      </c>
      <c r="AH348" s="31">
        <f>IFERROR(__xludf.DUMMYFUNCTION("""COMPUTED_VALUE"""),21.0)</f>
        <v>21</v>
      </c>
      <c r="AI348" s="32">
        <f>IFERROR(__xludf.DUMMYFUNCTION("""COMPUTED_VALUE"""),72297.0)</f>
        <v>72297</v>
      </c>
      <c r="AJ348" s="30" t="str">
        <f>IFERROR(__xludf.DUMMYFUNCTION("""COMPUTED_VALUE"""),"Shinjuku 2-chome")</f>
        <v>Shinjuku 2-chome</v>
      </c>
    </row>
    <row r="349" ht="24.75" customHeight="1">
      <c r="A349" s="40">
        <f>IFERROR(__xludf.DUMMYFUNCTION("""COMPUTED_VALUE"""),2.0)</f>
        <v>2</v>
      </c>
      <c r="B349" s="40" t="str">
        <f>IFERROR(__xludf.DUMMYFUNCTION("""COMPUTED_VALUE"""),"A207")</f>
        <v>A207</v>
      </c>
      <c r="C349" s="40" t="str">
        <f>IFERROR(__xludf.DUMMYFUNCTION("""COMPUTED_VALUE"""),"LDN9")</f>
        <v>LDN9</v>
      </c>
      <c r="D349" s="41" t="str">
        <f>IFERROR(__xludf.DUMMYFUNCTION("""COMPUTED_VALUE"""),"London")</f>
        <v>London</v>
      </c>
      <c r="E349" s="42" t="str">
        <f>IFERROR(__xludf.DUMMYFUNCTION("""COMPUTED_VALUE"""),"Hyde Park")</f>
        <v>Hyde Park</v>
      </c>
      <c r="F349" s="43">
        <f>IFERROR(__xludf.DUMMYFUNCTION("""COMPUTED_VALUE"""),20.0)</f>
        <v>20</v>
      </c>
      <c r="G349" s="44">
        <f>IFERROR(__xludf.DUMMYFUNCTION("""COMPUTED_VALUE"""),18120.0)</f>
        <v>18120</v>
      </c>
      <c r="H349" s="33" t="str">
        <f>IFERROR(__xludf.DUMMYFUNCTION("""COMPUTED_VALUE"""),"")</f>
        <v/>
      </c>
      <c r="I349" s="45">
        <f>IFERROR(__xludf.DUMMYFUNCTION("""COMPUTED_VALUE"""),74.34867971598149)</f>
        <v>74.34867972</v>
      </c>
      <c r="J349" s="46" t="str">
        <f>IFERROR(__xludf.DUMMYFUNCTION("""COMPUTED_VALUE"""),"AP")</f>
        <v>AP</v>
      </c>
      <c r="K349" s="47">
        <f>IFERROR(__xludf.DUMMYFUNCTION("""COMPUTED_VALUE"""),26.900275938189846)</f>
        <v>26.90027594</v>
      </c>
      <c r="L349" s="48" t="str">
        <f>IFERROR(__xludf.DUMMYFUNCTION("""COMPUTED_VALUE"""),"%")</f>
        <v>%</v>
      </c>
      <c r="M349" s="49">
        <f>IFERROR(__xludf.DUMMYFUNCTION("""COMPUTED_VALUE"""),1.0)</f>
        <v>1</v>
      </c>
      <c r="N349" s="50" t="str">
        <f>IFERROR(__xludf.DUMMYFUNCTION("""COMPUTED_VALUE"""),"A302")</f>
        <v>A302</v>
      </c>
      <c r="O349" s="38" t="str">
        <f>IFERROR(__xludf.DUMMYFUNCTION("""COMPUTED_VALUE"""),"")</f>
        <v/>
      </c>
      <c r="P349" s="45">
        <f>IFERROR(__xludf.DUMMYFUNCTION("""COMPUTED_VALUE"""),54.415476578371646)</f>
        <v>54.41547658</v>
      </c>
      <c r="Q349" s="46" t="str">
        <f>IFERROR(__xludf.DUMMYFUNCTION("""COMPUTED_VALUE"""),"AP")</f>
        <v>AP</v>
      </c>
      <c r="R349" s="47">
        <f>IFERROR(__xludf.DUMMYFUNCTION("""COMPUTED_VALUE"""),36.75424944812362)</f>
        <v>36.75424945</v>
      </c>
      <c r="S349" s="48" t="str">
        <f>IFERROR(__xludf.DUMMYFUNCTION("""COMPUTED_VALUE"""),"%")</f>
        <v>%</v>
      </c>
      <c r="T349" s="49">
        <f>IFERROR(__xludf.DUMMYFUNCTION("""COMPUTED_VALUE"""),2.0)</f>
        <v>2</v>
      </c>
      <c r="U349" s="50" t="str">
        <f>IFERROR(__xludf.DUMMYFUNCTION("""COMPUTED_VALUE"""),"B105")</f>
        <v>B105</v>
      </c>
      <c r="V349" s="38" t="str">
        <f>IFERROR(__xludf.DUMMYFUNCTION("""COMPUTED_VALUE"""),"")</f>
        <v/>
      </c>
      <c r="W349" s="45">
        <f>IFERROR(__xludf.DUMMYFUNCTION("""COMPUTED_VALUE"""),643.5458952639711)</f>
        <v>643.5458953</v>
      </c>
      <c r="X349" s="46" t="str">
        <f>IFERROR(__xludf.DUMMYFUNCTION("""COMPUTED_VALUE"""),"AP")</f>
        <v>AP</v>
      </c>
      <c r="Y349" s="47">
        <f>IFERROR(__xludf.DUMMYFUNCTION("""COMPUTED_VALUE"""),3.107781456953642)</f>
        <v>3.107781457</v>
      </c>
      <c r="Z349" s="48" t="str">
        <f>IFERROR(__xludf.DUMMYFUNCTION("""COMPUTED_VALUE"""),"%")</f>
        <v>%</v>
      </c>
      <c r="AA349" s="49">
        <f>IFERROR(__xludf.DUMMYFUNCTION("""COMPUTED_VALUE"""),3.0)</f>
        <v>3</v>
      </c>
      <c r="AB349" s="50" t="str">
        <f>IFERROR(__xludf.DUMMYFUNCTION("""COMPUTED_VALUE"""),"B115")</f>
        <v>B115</v>
      </c>
      <c r="AC349" s="38" t="str">
        <f>IFERROR(__xludf.DUMMYFUNCTION("""COMPUTED_VALUE"""),"")</f>
        <v/>
      </c>
      <c r="AD349" s="45">
        <f>IFERROR(__xludf.DUMMYFUNCTION("""COMPUTED_VALUE"""),130.8213516040416)</f>
        <v>130.8213516</v>
      </c>
      <c r="AE349" s="46" t="str">
        <f>IFERROR(__xludf.DUMMYFUNCTION("""COMPUTED_VALUE"""),"AP")</f>
        <v>AP</v>
      </c>
      <c r="AF349" s="47">
        <f>IFERROR(__xludf.DUMMYFUNCTION("""COMPUTED_VALUE"""),15.288024282560706)</f>
        <v>15.28802428</v>
      </c>
      <c r="AG349" s="48" t="str">
        <f>IFERROR(__xludf.DUMMYFUNCTION("""COMPUTED_VALUE"""),"%")</f>
        <v>%</v>
      </c>
      <c r="AH349" s="43">
        <f>IFERROR(__xludf.DUMMYFUNCTION("""COMPUTED_VALUE"""),20.0)</f>
        <v>20</v>
      </c>
      <c r="AI349" s="44">
        <f>IFERROR(__xludf.DUMMYFUNCTION("""COMPUTED_VALUE"""),18120.0)</f>
        <v>18120</v>
      </c>
      <c r="AJ349" s="42" t="str">
        <f>IFERROR(__xludf.DUMMYFUNCTION("""COMPUTED_VALUE"""),"Hyde Park")</f>
        <v>Hyde Park</v>
      </c>
    </row>
    <row r="350" ht="24.75" customHeight="1">
      <c r="A350" s="28">
        <f>IFERROR(__xludf.DUMMYFUNCTION("""COMPUTED_VALUE"""),3.0)</f>
        <v>3</v>
      </c>
      <c r="B350" s="28" t="str">
        <f>IFERROR(__xludf.DUMMYFUNCTION("""COMPUTED_VALUE"""),"A207")</f>
        <v>A207</v>
      </c>
      <c r="C350" s="28" t="str">
        <f>IFERROR(__xludf.DUMMYFUNCTION("""COMPUTED_VALUE"""),"TRF19")</f>
        <v>TRF19</v>
      </c>
      <c r="D350" s="29" t="str">
        <f>IFERROR(__xludf.DUMMYFUNCTION("""COMPUTED_VALUE"""),"Chaldea Gate (Fri)")</f>
        <v>Chaldea Gate (Fri)</v>
      </c>
      <c r="E350" s="30" t="str">
        <f>IFERROR(__xludf.DUMMYFUNCTION("""COMPUTED_VALUE"""),"FRI Caster Training Ground- Adv")</f>
        <v>FRI Caster Training Ground- Adv</v>
      </c>
      <c r="F350" s="31">
        <f>IFERROR(__xludf.DUMMYFUNCTION("""COMPUTED_VALUE"""),30.0)</f>
        <v>30</v>
      </c>
      <c r="G350" s="32">
        <f>IFERROR(__xludf.DUMMYFUNCTION("""COMPUTED_VALUE"""),2136.0)</f>
        <v>2136</v>
      </c>
      <c r="H350" s="33" t="str">
        <f>IFERROR(__xludf.DUMMYFUNCTION("""COMPUTED_VALUE"""),"")</f>
        <v/>
      </c>
      <c r="I350" s="34">
        <f>IFERROR(__xludf.DUMMYFUNCTION("""COMPUTED_VALUE"""),186.02814807933487)</f>
        <v>186.0281481</v>
      </c>
      <c r="J350" s="35" t="str">
        <f>IFERROR(__xludf.DUMMYFUNCTION("""COMPUTED_VALUE"""),"AP")</f>
        <v>AP</v>
      </c>
      <c r="K350" s="34">
        <f>IFERROR(__xludf.DUMMYFUNCTION("""COMPUTED_VALUE"""),16.126591760299625)</f>
        <v>16.12659176</v>
      </c>
      <c r="L350" s="35" t="str">
        <f>IFERROR(__xludf.DUMMYFUNCTION("""COMPUTED_VALUE"""),"%")</f>
        <v>%</v>
      </c>
      <c r="M350" s="36">
        <f>IFERROR(__xludf.DUMMYFUNCTION("""COMPUTED_VALUE"""),1.0)</f>
        <v>1</v>
      </c>
      <c r="N350" s="37" t="str">
        <f>IFERROR(__xludf.DUMMYFUNCTION("""COMPUTED_VALUE"""),"A102")</f>
        <v>A102</v>
      </c>
      <c r="O350" s="38" t="str">
        <f>IFERROR(__xludf.DUMMYFUNCTION("""COMPUTED_VALUE"""),"")</f>
        <v/>
      </c>
      <c r="P350" s="34">
        <f>IFERROR(__xludf.DUMMYFUNCTION("""COMPUTED_VALUE"""),720.226588140089)</f>
        <v>720.2265881</v>
      </c>
      <c r="Q350" s="35" t="str">
        <f>IFERROR(__xludf.DUMMYFUNCTION("""COMPUTED_VALUE"""),"AP")</f>
        <v>AP</v>
      </c>
      <c r="R350" s="34">
        <f>IFERROR(__xludf.DUMMYFUNCTION("""COMPUTED_VALUE"""),4.165355805243446)</f>
        <v>4.165355805</v>
      </c>
      <c r="S350" s="35" t="str">
        <f>IFERROR(__xludf.DUMMYFUNCTION("""COMPUTED_VALUE"""),"%")</f>
        <v>%</v>
      </c>
      <c r="T350" s="36">
        <f>IFERROR(__xludf.DUMMYFUNCTION("""COMPUTED_VALUE"""),2.0)</f>
        <v>2</v>
      </c>
      <c r="U350" s="37" t="str">
        <f>IFERROR(__xludf.DUMMYFUNCTION("""COMPUTED_VALUE"""),"A204")</f>
        <v>A204</v>
      </c>
      <c r="V350" s="38" t="str">
        <f>IFERROR(__xludf.DUMMYFUNCTION("""COMPUTED_VALUE"""),"")</f>
        <v/>
      </c>
      <c r="W350" s="34">
        <f>IFERROR(__xludf.DUMMYFUNCTION("""COMPUTED_VALUE"""),131.405721316518)</f>
        <v>131.4057213</v>
      </c>
      <c r="X350" s="35" t="str">
        <f>IFERROR(__xludf.DUMMYFUNCTION("""COMPUTED_VALUE"""),"AP")</f>
        <v>AP</v>
      </c>
      <c r="Y350" s="34">
        <f>IFERROR(__xludf.DUMMYFUNCTION("""COMPUTED_VALUE"""),22.83005617977528)</f>
        <v>22.83005618</v>
      </c>
      <c r="Z350" s="35" t="str">
        <f>IFERROR(__xludf.DUMMYFUNCTION("""COMPUTED_VALUE"""),"%")</f>
        <v>%</v>
      </c>
      <c r="AA350" s="36">
        <f>IFERROR(__xludf.DUMMYFUNCTION("""COMPUTED_VALUE"""),3.0)</f>
        <v>3</v>
      </c>
      <c r="AB350" s="37" t="str">
        <f>IFERROR(__xludf.DUMMYFUNCTION("""COMPUTED_VALUE"""),"A304")</f>
        <v>A304</v>
      </c>
      <c r="AC350" s="38" t="str">
        <f>IFERROR(__xludf.DUMMYFUNCTION("""COMPUTED_VALUE"""),"")</f>
        <v/>
      </c>
      <c r="AD350" s="34">
        <f>IFERROR(__xludf.DUMMYFUNCTION("""COMPUTED_VALUE"""),145.00296432402098)</f>
        <v>145.0029643</v>
      </c>
      <c r="AE350" s="35" t="str">
        <f>IFERROR(__xludf.DUMMYFUNCTION("""COMPUTED_VALUE"""),"AP")</f>
        <v>AP</v>
      </c>
      <c r="AF350" s="34">
        <f>IFERROR(__xludf.DUMMYFUNCTION("""COMPUTED_VALUE"""),20.689232209737828)</f>
        <v>20.68923221</v>
      </c>
      <c r="AG350" s="35" t="str">
        <f>IFERROR(__xludf.DUMMYFUNCTION("""COMPUTED_VALUE"""),"%")</f>
        <v>%</v>
      </c>
      <c r="AH350" s="31">
        <f>IFERROR(__xludf.DUMMYFUNCTION("""COMPUTED_VALUE"""),30.0)</f>
        <v>30</v>
      </c>
      <c r="AI350" s="32">
        <f>IFERROR(__xludf.DUMMYFUNCTION("""COMPUTED_VALUE"""),2136.0)</f>
        <v>2136</v>
      </c>
      <c r="AJ350" s="30" t="str">
        <f>IFERROR(__xludf.DUMMYFUNCTION("""COMPUTED_VALUE"""),"FRI Caster Training Ground- Adv")</f>
        <v>FRI Caster Training Ground- Adv</v>
      </c>
    </row>
    <row r="351" ht="24.75" customHeight="1">
      <c r="A351" s="40">
        <f>IFERROR(__xludf.DUMMYFUNCTION("""COMPUTED_VALUE"""),4.0)</f>
        <v>4</v>
      </c>
      <c r="B351" s="40" t="str">
        <f>IFERROR(__xludf.DUMMYFUNCTION("""COMPUTED_VALUE"""),"A207")</f>
        <v>A207</v>
      </c>
      <c r="C351" s="40" t="str">
        <f>IFERROR(__xludf.DUMMYFUNCTION("""COMPUTED_VALUE"""),"TRF20")</f>
        <v>TRF20</v>
      </c>
      <c r="D351" s="41" t="str">
        <f>IFERROR(__xludf.DUMMYFUNCTION("""COMPUTED_VALUE"""),"Chaldea Gate (Fri)")</f>
        <v>Chaldea Gate (Fri)</v>
      </c>
      <c r="E351" s="42" t="str">
        <f>IFERROR(__xludf.DUMMYFUNCTION("""COMPUTED_VALUE"""),"FRI Caster Training Ground- Exp")</f>
        <v>FRI Caster Training Ground- Exp</v>
      </c>
      <c r="F351" s="43">
        <f>IFERROR(__xludf.DUMMYFUNCTION("""COMPUTED_VALUE"""),40.0)</f>
        <v>40</v>
      </c>
      <c r="G351" s="44">
        <f>IFERROR(__xludf.DUMMYFUNCTION("""COMPUTED_VALUE"""),13329.0)</f>
        <v>13329</v>
      </c>
      <c r="H351" s="33" t="str">
        <f>IFERROR(__xludf.DUMMYFUNCTION("""COMPUTED_VALUE"""),"")</f>
        <v/>
      </c>
      <c r="I351" s="45">
        <f>IFERROR(__xludf.DUMMYFUNCTION("""COMPUTED_VALUE"""),194.3664613593877)</f>
        <v>194.3664614</v>
      </c>
      <c r="J351" s="46" t="str">
        <f>IFERROR(__xludf.DUMMYFUNCTION("""COMPUTED_VALUE"""),"AP")</f>
        <v>AP</v>
      </c>
      <c r="K351" s="47">
        <f>IFERROR(__xludf.DUMMYFUNCTION("""COMPUTED_VALUE"""),20.57968217368487)</f>
        <v>20.57968217</v>
      </c>
      <c r="L351" s="48" t="str">
        <f>IFERROR(__xludf.DUMMYFUNCTION("""COMPUTED_VALUE"""),"%")</f>
        <v>%</v>
      </c>
      <c r="M351" s="49">
        <f>IFERROR(__xludf.DUMMYFUNCTION("""COMPUTED_VALUE"""),1.0)</f>
        <v>1</v>
      </c>
      <c r="N351" s="50" t="str">
        <f>IFERROR(__xludf.DUMMYFUNCTION("""COMPUTED_VALUE"""),"A102")</f>
        <v>A102</v>
      </c>
      <c r="O351" s="38" t="str">
        <f>IFERROR(__xludf.DUMMYFUNCTION("""COMPUTED_VALUE"""),"")</f>
        <v/>
      </c>
      <c r="P351" s="45">
        <f>IFERROR(__xludf.DUMMYFUNCTION("""COMPUTED_VALUE"""),639.3500659023124)</f>
        <v>639.3500659</v>
      </c>
      <c r="Q351" s="46" t="str">
        <f>IFERROR(__xludf.DUMMYFUNCTION("""COMPUTED_VALUE"""),"AP")</f>
        <v>AP</v>
      </c>
      <c r="R351" s="47">
        <f>IFERROR(__xludf.DUMMYFUNCTION("""COMPUTED_VALUE"""),6.256353464756142)</f>
        <v>6.256353465</v>
      </c>
      <c r="S351" s="48" t="str">
        <f>IFERROR(__xludf.DUMMYFUNCTION("""COMPUTED_VALUE"""),"%")</f>
        <v>%</v>
      </c>
      <c r="T351" s="49">
        <f>IFERROR(__xludf.DUMMYFUNCTION("""COMPUTED_VALUE"""),2.0)</f>
        <v>2</v>
      </c>
      <c r="U351" s="50" t="str">
        <f>IFERROR(__xludf.DUMMYFUNCTION("""COMPUTED_VALUE"""),"A204")</f>
        <v>A204</v>
      </c>
      <c r="V351" s="38" t="str">
        <f>IFERROR(__xludf.DUMMYFUNCTION("""COMPUTED_VALUE"""),"")</f>
        <v/>
      </c>
      <c r="W351" s="45">
        <f>IFERROR(__xludf.DUMMYFUNCTION("""COMPUTED_VALUE"""),161.05860604038156)</f>
        <v>161.058606</v>
      </c>
      <c r="X351" s="46" t="str">
        <f>IFERROR(__xludf.DUMMYFUNCTION("""COMPUTED_VALUE"""),"AP")</f>
        <v>AP</v>
      </c>
      <c r="Y351" s="47">
        <f>IFERROR(__xludf.DUMMYFUNCTION("""COMPUTED_VALUE"""),24.835679994629388)</f>
        <v>24.83567999</v>
      </c>
      <c r="Z351" s="48" t="str">
        <f>IFERROR(__xludf.DUMMYFUNCTION("""COMPUTED_VALUE"""),"%")</f>
        <v>%</v>
      </c>
      <c r="AA351" s="49">
        <f>IFERROR(__xludf.DUMMYFUNCTION("""COMPUTED_VALUE"""),3.0)</f>
        <v>3</v>
      </c>
      <c r="AB351" s="50" t="str">
        <f>IFERROR(__xludf.DUMMYFUNCTION("""COMPUTED_VALUE"""),"A304")</f>
        <v>A304</v>
      </c>
      <c r="AC351" s="38" t="str">
        <f>IFERROR(__xludf.DUMMYFUNCTION("""COMPUTED_VALUE"""),"")</f>
        <v/>
      </c>
      <c r="AD351" s="45">
        <f>IFERROR(__xludf.DUMMYFUNCTION("""COMPUTED_VALUE"""),163.58755067033417)</f>
        <v>163.5875507</v>
      </c>
      <c r="AE351" s="46" t="str">
        <f>IFERROR(__xludf.DUMMYFUNCTION("""COMPUTED_VALUE"""),"AP")</f>
        <v>AP</v>
      </c>
      <c r="AF351" s="47">
        <f>IFERROR(__xludf.DUMMYFUNCTION("""COMPUTED_VALUE"""),24.45173843369599)</f>
        <v>24.45173843</v>
      </c>
      <c r="AG351" s="48" t="str">
        <f>IFERROR(__xludf.DUMMYFUNCTION("""COMPUTED_VALUE"""),"%")</f>
        <v>%</v>
      </c>
      <c r="AH351" s="43">
        <f>IFERROR(__xludf.DUMMYFUNCTION("""COMPUTED_VALUE"""),40.0)</f>
        <v>40</v>
      </c>
      <c r="AI351" s="44">
        <f>IFERROR(__xludf.DUMMYFUNCTION("""COMPUTED_VALUE"""),13329.0)</f>
        <v>13329</v>
      </c>
      <c r="AJ351" s="42" t="str">
        <f>IFERROR(__xludf.DUMMYFUNCTION("""COMPUTED_VALUE"""),"FRI Caster Training Ground- Exp")</f>
        <v>FRI Caster Training Ground- Exp</v>
      </c>
    </row>
    <row r="352" ht="24.75" customHeight="1">
      <c r="A352" s="28">
        <f>IFERROR(__xludf.DUMMYFUNCTION("""COMPUTED_VALUE"""),5.0)</f>
        <v>5</v>
      </c>
      <c r="B352" s="28" t="str">
        <f>IFERROR(__xludf.DUMMYFUNCTION("""COMPUTED_VALUE"""),"A207")</f>
        <v>A207</v>
      </c>
      <c r="C352" s="28" t="str">
        <f>IFERROR(__xludf.DUMMYFUNCTION("""COMPUTED_VALUE"""),"TRF18")</f>
        <v>TRF18</v>
      </c>
      <c r="D352" s="29" t="str">
        <f>IFERROR(__xludf.DUMMYFUNCTION("""COMPUTED_VALUE"""),"Chaldea Gate (Fri)")</f>
        <v>Chaldea Gate (Fri)</v>
      </c>
      <c r="E352" s="30" t="str">
        <f>IFERROR(__xludf.DUMMYFUNCTION("""COMPUTED_VALUE"""),"FRI Caster Training Ground- Int")</f>
        <v>FRI Caster Training Ground- Int</v>
      </c>
      <c r="F352" s="31">
        <f>IFERROR(__xludf.DUMMYFUNCTION("""COMPUTED_VALUE"""),20.0)</f>
        <v>20</v>
      </c>
      <c r="G352" s="32">
        <f>IFERROR(__xludf.DUMMYFUNCTION("""COMPUTED_VALUE"""),1211.0)</f>
        <v>1211</v>
      </c>
      <c r="H352" s="33" t="str">
        <f>IFERROR(__xludf.DUMMYFUNCTION("""COMPUTED_VALUE"""),"")</f>
        <v/>
      </c>
      <c r="I352" s="34">
        <f>IFERROR(__xludf.DUMMYFUNCTION("""COMPUTED_VALUE"""),206.34541984732823)</f>
        <v>206.3454198</v>
      </c>
      <c r="J352" s="35" t="str">
        <f>IFERROR(__xludf.DUMMYFUNCTION("""COMPUTED_VALUE"""),"AP")</f>
        <v>AP</v>
      </c>
      <c r="K352" s="34">
        <f>IFERROR(__xludf.DUMMYFUNCTION("""COMPUTED_VALUE"""),9.692485549132948)</f>
        <v>9.692485549</v>
      </c>
      <c r="L352" s="35" t="str">
        <f>IFERROR(__xludf.DUMMYFUNCTION("""COMPUTED_VALUE"""),"%")</f>
        <v>%</v>
      </c>
      <c r="M352" s="36">
        <f>IFERROR(__xludf.DUMMYFUNCTION("""COMPUTED_VALUE"""),1.0)</f>
        <v>1</v>
      </c>
      <c r="N352" s="37" t="str">
        <f>IFERROR(__xludf.DUMMYFUNCTION("""COMPUTED_VALUE"""),"A204")</f>
        <v>A204</v>
      </c>
      <c r="O352" s="38" t="str">
        <f>IFERROR(__xludf.DUMMYFUNCTION("""COMPUTED_VALUE"""),"")</f>
        <v/>
      </c>
      <c r="P352" s="34">
        <f>IFERROR(__xludf.DUMMYFUNCTION("""COMPUTED_VALUE"""),140.5785661218425)</f>
        <v>140.5785661</v>
      </c>
      <c r="Q352" s="35" t="str">
        <f>IFERROR(__xludf.DUMMYFUNCTION("""COMPUTED_VALUE"""),"AP")</f>
        <v>AP</v>
      </c>
      <c r="R352" s="34">
        <f>IFERROR(__xludf.DUMMYFUNCTION("""COMPUTED_VALUE"""),14.226919900908342)</f>
        <v>14.2269199</v>
      </c>
      <c r="S352" s="35" t="str">
        <f>IFERROR(__xludf.DUMMYFUNCTION("""COMPUTED_VALUE"""),"%")</f>
        <v>%</v>
      </c>
      <c r="T352" s="36">
        <f>IFERROR(__xludf.DUMMYFUNCTION("""COMPUTED_VALUE"""),2.0)</f>
        <v>2</v>
      </c>
      <c r="U352" s="37" t="str">
        <f>IFERROR(__xludf.DUMMYFUNCTION("""COMPUTED_VALUE"""),"A304")</f>
        <v>A304</v>
      </c>
      <c r="V352" s="38" t="str">
        <f>IFERROR(__xludf.DUMMYFUNCTION("""COMPUTED_VALUE"""),"")</f>
        <v/>
      </c>
      <c r="W352" s="34">
        <f>IFERROR(__xludf.DUMMYFUNCTION("""COMPUTED_VALUE"""),97.75589279948338)</f>
        <v>97.7558928</v>
      </c>
      <c r="X352" s="35" t="str">
        <f>IFERROR(__xludf.DUMMYFUNCTION("""COMPUTED_VALUE"""),"AP")</f>
        <v>AP</v>
      </c>
      <c r="Y352" s="34">
        <f>IFERROR(__xludf.DUMMYFUNCTION("""COMPUTED_VALUE"""),20.459124690338562)</f>
        <v>20.45912469</v>
      </c>
      <c r="Z352" s="35" t="str">
        <f>IFERROR(__xludf.DUMMYFUNCTION("""COMPUTED_VALUE"""),"%")</f>
        <v>%</v>
      </c>
      <c r="AA352" s="36">
        <f>IFERROR(__xludf.DUMMYFUNCTION("""COMPUTED_VALUE"""),3.0)</f>
        <v>3</v>
      </c>
      <c r="AB352" s="37" t="str">
        <f>IFERROR(__xludf.DUMMYFUNCTION("""COMPUTED_VALUE"""),"B115")</f>
        <v>B115</v>
      </c>
      <c r="AC352" s="38" t="str">
        <f>IFERROR(__xludf.DUMMYFUNCTION("""COMPUTED_VALUE"""),"")</f>
        <v/>
      </c>
      <c r="AD352" s="34">
        <f>IFERROR(__xludf.DUMMYFUNCTION("""COMPUTED_VALUE"""),25.87872260402776)</f>
        <v>25.8787226</v>
      </c>
      <c r="AE352" s="35" t="str">
        <f>IFERROR(__xludf.DUMMYFUNCTION("""COMPUTED_VALUE"""),"AP")</f>
        <v>AP</v>
      </c>
      <c r="AF352" s="34">
        <f>IFERROR(__xludf.DUMMYFUNCTION("""COMPUTED_VALUE"""),77.28356729975228)</f>
        <v>77.2835673</v>
      </c>
      <c r="AG352" s="35" t="str">
        <f>IFERROR(__xludf.DUMMYFUNCTION("""COMPUTED_VALUE"""),"%")</f>
        <v>%</v>
      </c>
      <c r="AH352" s="31">
        <f>IFERROR(__xludf.DUMMYFUNCTION("""COMPUTED_VALUE"""),20.0)</f>
        <v>20</v>
      </c>
      <c r="AI352" s="32">
        <f>IFERROR(__xludf.DUMMYFUNCTION("""COMPUTED_VALUE"""),1211.0)</f>
        <v>1211</v>
      </c>
      <c r="AJ352" s="30" t="str">
        <f>IFERROR(__xludf.DUMMYFUNCTION("""COMPUTED_VALUE"""),"FRI Caster Training Ground- Int")</f>
        <v>FRI Caster Training Ground- Int</v>
      </c>
    </row>
    <row r="353" ht="24.75" customHeight="1">
      <c r="A353" s="40">
        <f>IFERROR(__xludf.DUMMYFUNCTION("""COMPUTED_VALUE"""),6.0)</f>
        <v>6</v>
      </c>
      <c r="B353" s="40" t="str">
        <f>IFERROR(__xludf.DUMMYFUNCTION("""COMPUTED_VALUE"""),"A207")</f>
        <v>A207</v>
      </c>
      <c r="C353" s="40" t="str">
        <f>IFERROR(__xludf.DUMMYFUNCTION("""COMPUTED_VALUE"""),"TRF17")</f>
        <v>TRF17</v>
      </c>
      <c r="D353" s="41" t="str">
        <f>IFERROR(__xludf.DUMMYFUNCTION("""COMPUTED_VALUE"""),"Chaldea Gate (Fri)")</f>
        <v>Chaldea Gate (Fri)</v>
      </c>
      <c r="E353" s="42" t="str">
        <f>IFERROR(__xludf.DUMMYFUNCTION("""COMPUTED_VALUE"""),"FRI Caster Training Ground- Nov")</f>
        <v>FRI Caster Training Ground- Nov</v>
      </c>
      <c r="F353" s="43">
        <f>IFERROR(__xludf.DUMMYFUNCTION("""COMPUTED_VALUE"""),10.0)</f>
        <v>10</v>
      </c>
      <c r="G353" s="44">
        <f>IFERROR(__xludf.DUMMYFUNCTION("""COMPUTED_VALUE"""),3593.0)</f>
        <v>3593</v>
      </c>
      <c r="H353" s="33" t="str">
        <f>IFERROR(__xludf.DUMMYFUNCTION("""COMPUTED_VALUE"""),"")</f>
        <v/>
      </c>
      <c r="I353" s="45">
        <f>IFERROR(__xludf.DUMMYFUNCTION("""COMPUTED_VALUE"""),220.18090008824393)</f>
        <v>220.1809001</v>
      </c>
      <c r="J353" s="46" t="str">
        <f>IFERROR(__xludf.DUMMYFUNCTION("""COMPUTED_VALUE"""),"AP")</f>
        <v>AP</v>
      </c>
      <c r="K353" s="47">
        <f>IFERROR(__xludf.DUMMYFUNCTION("""COMPUTED_VALUE"""),4.5417200111327585)</f>
        <v>4.541720011</v>
      </c>
      <c r="L353" s="48" t="str">
        <f>IFERROR(__xludf.DUMMYFUNCTION("""COMPUTED_VALUE"""),"%")</f>
        <v>%</v>
      </c>
      <c r="M353" s="49">
        <f>IFERROR(__xludf.DUMMYFUNCTION("""COMPUTED_VALUE"""),1.0)</f>
        <v>1</v>
      </c>
      <c r="N353" s="50" t="str">
        <f>IFERROR(__xludf.DUMMYFUNCTION("""COMPUTED_VALUE"""),"A204")</f>
        <v>A204</v>
      </c>
      <c r="O353" s="38" t="str">
        <f>IFERROR(__xludf.DUMMYFUNCTION("""COMPUTED_VALUE"""),"")</f>
        <v/>
      </c>
      <c r="P353" s="45">
        <f>IFERROR(__xludf.DUMMYFUNCTION("""COMPUTED_VALUE"""),130.81771081749235)</f>
        <v>130.8177108</v>
      </c>
      <c r="Q353" s="46" t="str">
        <f>IFERROR(__xludf.DUMMYFUNCTION("""COMPUTED_VALUE"""),"AP")</f>
        <v>AP</v>
      </c>
      <c r="R353" s="47">
        <f>IFERROR(__xludf.DUMMYFUNCTION("""COMPUTED_VALUE"""),7.644224881714445)</f>
        <v>7.644224882</v>
      </c>
      <c r="S353" s="48" t="str">
        <f>IFERROR(__xludf.DUMMYFUNCTION("""COMPUTED_VALUE"""),"%")</f>
        <v>%</v>
      </c>
      <c r="T353" s="49">
        <f>IFERROR(__xludf.DUMMYFUNCTION("""COMPUTED_VALUE"""),2.0)</f>
        <v>2</v>
      </c>
      <c r="U353" s="50" t="str">
        <f>IFERROR(__xludf.DUMMYFUNCTION("""COMPUTED_VALUE"""),"A304")</f>
        <v>A304</v>
      </c>
      <c r="V353" s="38" t="str">
        <f>IFERROR(__xludf.DUMMYFUNCTION("""COMPUTED_VALUE"""),"")</f>
        <v/>
      </c>
      <c r="W353" s="45">
        <f>IFERROR(__xludf.DUMMYFUNCTION("""COMPUTED_VALUE"""),74.74174262879585)</f>
        <v>74.74174263</v>
      </c>
      <c r="X353" s="46" t="str">
        <f>IFERROR(__xludf.DUMMYFUNCTION("""COMPUTED_VALUE"""),"AP")</f>
        <v>AP</v>
      </c>
      <c r="Y353" s="47">
        <f>IFERROR(__xludf.DUMMYFUNCTION("""COMPUTED_VALUE"""),13.379404397439467)</f>
        <v>13.3794044</v>
      </c>
      <c r="Z353" s="48" t="str">
        <f>IFERROR(__xludf.DUMMYFUNCTION("""COMPUTED_VALUE"""),"%")</f>
        <v>%</v>
      </c>
      <c r="AA353" s="49">
        <f>IFERROR(__xludf.DUMMYFUNCTION("""COMPUTED_VALUE"""),3.0)</f>
        <v>3</v>
      </c>
      <c r="AB353" s="50" t="str">
        <f>IFERROR(__xludf.DUMMYFUNCTION("""COMPUTED_VALUE"""),"B115")</f>
        <v>B115</v>
      </c>
      <c r="AC353" s="38" t="str">
        <f>IFERROR(__xludf.DUMMYFUNCTION("""COMPUTED_VALUE"""),"")</f>
        <v/>
      </c>
      <c r="AD353" s="45">
        <f>IFERROR(__xludf.DUMMYFUNCTION("""COMPUTED_VALUE"""),88.70247023912388)</f>
        <v>88.70247024</v>
      </c>
      <c r="AE353" s="46" t="str">
        <f>IFERROR(__xludf.DUMMYFUNCTION("""COMPUTED_VALUE"""),"AP")</f>
        <v>AP</v>
      </c>
      <c r="AF353" s="47">
        <f>IFERROR(__xludf.DUMMYFUNCTION("""COMPUTED_VALUE"""),11.273643195101588)</f>
        <v>11.2736432</v>
      </c>
      <c r="AG353" s="48" t="str">
        <f>IFERROR(__xludf.DUMMYFUNCTION("""COMPUTED_VALUE"""),"%")</f>
        <v>%</v>
      </c>
      <c r="AH353" s="43">
        <f>IFERROR(__xludf.DUMMYFUNCTION("""COMPUTED_VALUE"""),10.0)</f>
        <v>10</v>
      </c>
      <c r="AI353" s="44">
        <f>IFERROR(__xludf.DUMMYFUNCTION("""COMPUTED_VALUE"""),3593.0)</f>
        <v>3593</v>
      </c>
      <c r="AJ353" s="42" t="str">
        <f>IFERROR(__xludf.DUMMYFUNCTION("""COMPUTED_VALUE"""),"FRI Caster Training Ground- Nov")</f>
        <v>FRI Caster Training Ground- Nov</v>
      </c>
    </row>
    <row r="354" ht="24.75" customHeight="1">
      <c r="A354" s="28">
        <f>IFERROR(__xludf.DUMMYFUNCTION("""COMPUTED_VALUE"""),7.0)</f>
        <v>7</v>
      </c>
      <c r="B354" s="28" t="str">
        <f>IFERROR(__xludf.DUMMYFUNCTION("""COMPUTED_VALUE"""),"A207")</f>
        <v>A207</v>
      </c>
      <c r="C354" s="28" t="str">
        <f>IFERROR(__xludf.DUMMYFUNCTION("""COMPUTED_VALUE"""),"CML8")</f>
        <v>CML8</v>
      </c>
      <c r="D354" s="29" t="str">
        <f>IFERROR(__xludf.DUMMYFUNCTION("""COMPUTED_VALUE"""),"Camelot")</f>
        <v>Camelot</v>
      </c>
      <c r="E354" s="30" t="str">
        <f>IFERROR(__xludf.DUMMYFUNCTION("""COMPUTED_VALUE"""),"Atlas Institute")</f>
        <v>Atlas Institute</v>
      </c>
      <c r="F354" s="31">
        <f>IFERROR(__xludf.DUMMYFUNCTION("""COMPUTED_VALUE"""),20.0)</f>
        <v>20</v>
      </c>
      <c r="G354" s="32">
        <f>IFERROR(__xludf.DUMMYFUNCTION("""COMPUTED_VALUE"""),1161.0)</f>
        <v>1161</v>
      </c>
      <c r="H354" s="33" t="str">
        <f>IFERROR(__xludf.DUMMYFUNCTION("""COMPUTED_VALUE"""),"")</f>
        <v/>
      </c>
      <c r="I354" s="34">
        <f>IFERROR(__xludf.DUMMYFUNCTION("""COMPUTED_VALUE"""),245.766299745978)</f>
        <v>245.7662997</v>
      </c>
      <c r="J354" s="35" t="str">
        <f>IFERROR(__xludf.DUMMYFUNCTION("""COMPUTED_VALUE"""),"AP")</f>
        <v>AP</v>
      </c>
      <c r="K354" s="34">
        <f>IFERROR(__xludf.DUMMYFUNCTION("""COMPUTED_VALUE"""),8.137812230835486)</f>
        <v>8.137812231</v>
      </c>
      <c r="L354" s="35" t="str">
        <f>IFERROR(__xludf.DUMMYFUNCTION("""COMPUTED_VALUE"""),"%")</f>
        <v>%</v>
      </c>
      <c r="M354" s="36">
        <f>IFERROR(__xludf.DUMMYFUNCTION("""COMPUTED_VALUE"""),1.0)</f>
        <v>1</v>
      </c>
      <c r="N354" s="37" t="str">
        <f>IFERROR(__xludf.DUMMYFUNCTION("""COMPUTED_VALUE"""),"A206")</f>
        <v>A206</v>
      </c>
      <c r="O354" s="38" t="str">
        <f>IFERROR(__xludf.DUMMYFUNCTION("""COMPUTED_VALUE"""),"")</f>
        <v/>
      </c>
      <c r="P354" s="34">
        <f>IFERROR(__xludf.DUMMYFUNCTION("""COMPUTED_VALUE"""),98.92216589272782)</f>
        <v>98.92216589</v>
      </c>
      <c r="Q354" s="35" t="str">
        <f>IFERROR(__xludf.DUMMYFUNCTION("""COMPUTED_VALUE"""),"AP")</f>
        <v>AP</v>
      </c>
      <c r="R354" s="34">
        <f>IFERROR(__xludf.DUMMYFUNCTION("""COMPUTED_VALUE"""),20.217915590008612)</f>
        <v>20.21791559</v>
      </c>
      <c r="S354" s="35" t="str">
        <f>IFERROR(__xludf.DUMMYFUNCTION("""COMPUTED_VALUE"""),"%")</f>
        <v>%</v>
      </c>
      <c r="T354" s="36">
        <f>IFERROR(__xludf.DUMMYFUNCTION("""COMPUTED_VALUE"""),2.0)</f>
        <v>2</v>
      </c>
      <c r="U354" s="37" t="str">
        <f>IFERROR(__xludf.DUMMYFUNCTION("""COMPUTED_VALUE"""),"B112")</f>
        <v>B112</v>
      </c>
      <c r="V354" s="38" t="str">
        <f>IFERROR(__xludf.DUMMYFUNCTION("""COMPUTED_VALUE"""),"")</f>
        <v/>
      </c>
      <c r="W354" s="34">
        <f>IFERROR(__xludf.DUMMYFUNCTION("""COMPUTED_VALUE"""),121.2595958013473)</f>
        <v>121.2595958</v>
      </c>
      <c r="X354" s="35" t="str">
        <f>IFERROR(__xludf.DUMMYFUNCTION("""COMPUTED_VALUE"""),"AP")</f>
        <v>AP</v>
      </c>
      <c r="Y354" s="34">
        <f>IFERROR(__xludf.DUMMYFUNCTION("""COMPUTED_VALUE"""),16.493540051679588)</f>
        <v>16.49354005</v>
      </c>
      <c r="Z354" s="35" t="str">
        <f>IFERROR(__xludf.DUMMYFUNCTION("""COMPUTED_VALUE"""),"%")</f>
        <v>%</v>
      </c>
      <c r="AA354" s="36">
        <f>IFERROR(__xludf.DUMMYFUNCTION("""COMPUTED_VALUE"""),3.0)</f>
        <v>3</v>
      </c>
      <c r="AB354" s="37" t="str">
        <f>IFERROR(__xludf.DUMMYFUNCTION("""COMPUTED_VALUE"""),"B115")</f>
        <v>B115</v>
      </c>
      <c r="AC354" s="38" t="str">
        <f>IFERROR(__xludf.DUMMYFUNCTION("""COMPUTED_VALUE"""),"")</f>
        <v/>
      </c>
      <c r="AD354" s="34">
        <f>IFERROR(__xludf.DUMMYFUNCTION("""COMPUTED_VALUE"""),127.83387102101936)</f>
        <v>127.833871</v>
      </c>
      <c r="AE354" s="35" t="str">
        <f>IFERROR(__xludf.DUMMYFUNCTION("""COMPUTED_VALUE"""),"AP")</f>
        <v>AP</v>
      </c>
      <c r="AF354" s="34">
        <f>IFERROR(__xludf.DUMMYFUNCTION("""COMPUTED_VALUE"""),15.645305770887166)</f>
        <v>15.64530577</v>
      </c>
      <c r="AG354" s="35" t="str">
        <f>IFERROR(__xludf.DUMMYFUNCTION("""COMPUTED_VALUE"""),"%")</f>
        <v>%</v>
      </c>
      <c r="AH354" s="31">
        <f>IFERROR(__xludf.DUMMYFUNCTION("""COMPUTED_VALUE"""),20.0)</f>
        <v>20</v>
      </c>
      <c r="AI354" s="32">
        <f>IFERROR(__xludf.DUMMYFUNCTION("""COMPUTED_VALUE"""),1161.0)</f>
        <v>1161</v>
      </c>
      <c r="AJ354" s="30" t="str">
        <f>IFERROR(__xludf.DUMMYFUNCTION("""COMPUTED_VALUE"""),"Atlas Institute")</f>
        <v>Atlas Institute</v>
      </c>
    </row>
    <row r="355" ht="24.75" customHeight="1">
      <c r="A355" s="40">
        <f>IFERROR(__xludf.DUMMYFUNCTION("""COMPUTED_VALUE"""),8.0)</f>
        <v>8</v>
      </c>
      <c r="B355" s="40" t="str">
        <f>IFERROR(__xludf.DUMMYFUNCTION("""COMPUTED_VALUE"""),"A207")</f>
        <v>A207</v>
      </c>
      <c r="C355" s="40" t="str">
        <f>IFERROR(__xludf.DUMMYFUNCTION("""COMPUTED_VALUE"""),"LDN6")</f>
        <v>LDN6</v>
      </c>
      <c r="D355" s="41" t="str">
        <f>IFERROR(__xludf.DUMMYFUNCTION("""COMPUTED_VALUE"""),"London")</f>
        <v>London</v>
      </c>
      <c r="E355" s="42" t="str">
        <f>IFERROR(__xludf.DUMMYFUNCTION("""COMPUTED_VALUE"""),"Regent Park")</f>
        <v>Regent Park</v>
      </c>
      <c r="F355" s="43">
        <f>IFERROR(__xludf.DUMMYFUNCTION("""COMPUTED_VALUE"""),16.0)</f>
        <v>16</v>
      </c>
      <c r="G355" s="44">
        <f>IFERROR(__xludf.DUMMYFUNCTION("""COMPUTED_VALUE"""),1158.0)</f>
        <v>1158</v>
      </c>
      <c r="H355" s="33" t="str">
        <f>IFERROR(__xludf.DUMMYFUNCTION("""COMPUTED_VALUE"""),"")</f>
        <v/>
      </c>
      <c r="I355" s="45">
        <f>IFERROR(__xludf.DUMMYFUNCTION("""COMPUTED_VALUE"""),359.06976744186045)</f>
        <v>359.0697674</v>
      </c>
      <c r="J355" s="46" t="str">
        <f>IFERROR(__xludf.DUMMYFUNCTION("""COMPUTED_VALUE"""),"AP")</f>
        <v>AP</v>
      </c>
      <c r="K355" s="47">
        <f>IFERROR(__xludf.DUMMYFUNCTION("""COMPUTED_VALUE"""),4.455958549222798)</f>
        <v>4.455958549</v>
      </c>
      <c r="L355" s="48" t="str">
        <f>IFERROR(__xludf.DUMMYFUNCTION("""COMPUTED_VALUE"""),"%")</f>
        <v>%</v>
      </c>
      <c r="M355" s="49">
        <f>IFERROR(__xludf.DUMMYFUNCTION("""COMPUTED_VALUE"""),1.0)</f>
        <v>1</v>
      </c>
      <c r="N355" s="50" t="str">
        <f>IFERROR(__xludf.DUMMYFUNCTION("""COMPUTED_VALUE"""),"A206")</f>
        <v>A206</v>
      </c>
      <c r="O355" s="38" t="str">
        <f>IFERROR(__xludf.DUMMYFUNCTION("""COMPUTED_VALUE"""),"")</f>
        <v/>
      </c>
      <c r="P355" s="45">
        <f>IFERROR(__xludf.DUMMYFUNCTION("""COMPUTED_VALUE"""),162.5263157894737)</f>
        <v>162.5263158</v>
      </c>
      <c r="Q355" s="46" t="str">
        <f>IFERROR(__xludf.DUMMYFUNCTION("""COMPUTED_VALUE"""),"AP")</f>
        <v>AP</v>
      </c>
      <c r="R355" s="47">
        <f>IFERROR(__xludf.DUMMYFUNCTION("""COMPUTED_VALUE"""),9.844559585492227)</f>
        <v>9.844559585</v>
      </c>
      <c r="S355" s="48" t="str">
        <f>IFERROR(__xludf.DUMMYFUNCTION("""COMPUTED_VALUE"""),"%")</f>
        <v>%</v>
      </c>
      <c r="T355" s="49">
        <f>IFERROR(__xludf.DUMMYFUNCTION("""COMPUTED_VALUE"""),2.0)</f>
        <v>2</v>
      </c>
      <c r="U355" s="50" t="str">
        <f>IFERROR(__xludf.DUMMYFUNCTION("""COMPUTED_VALUE"""),"B111")</f>
        <v>B111</v>
      </c>
      <c r="V355" s="38" t="str">
        <f>IFERROR(__xludf.DUMMYFUNCTION("""COMPUTED_VALUE"""),"")</f>
        <v/>
      </c>
      <c r="W355" s="45">
        <f>IFERROR(__xludf.DUMMYFUNCTION("""COMPUTED_VALUE"""),281.1532625189681)</f>
        <v>281.1532625</v>
      </c>
      <c r="X355" s="46" t="str">
        <f>IFERROR(__xludf.DUMMYFUNCTION("""COMPUTED_VALUE"""),"AP")</f>
        <v>AP</v>
      </c>
      <c r="Y355" s="47">
        <f>IFERROR(__xludf.DUMMYFUNCTION("""COMPUTED_VALUE"""),5.690846286701209)</f>
        <v>5.690846287</v>
      </c>
      <c r="Z355" s="48" t="str">
        <f>IFERROR(__xludf.DUMMYFUNCTION("""COMPUTED_VALUE"""),"%")</f>
        <v>%</v>
      </c>
      <c r="AA355" s="49">
        <f>IFERROR(__xludf.DUMMYFUNCTION("""COMPUTED_VALUE"""),3.0)</f>
        <v>3</v>
      </c>
      <c r="AB355" s="50"/>
      <c r="AC355" s="38"/>
      <c r="AD355" s="45" t="str">
        <f>IFERROR(__xludf.DUMMYFUNCTION("""COMPUTED_VALUE"""),"")</f>
        <v/>
      </c>
      <c r="AE355" s="46" t="str">
        <f>IFERROR(__xludf.DUMMYFUNCTION("""COMPUTED_VALUE"""),"AP")</f>
        <v>AP</v>
      </c>
      <c r="AF355" s="47" t="str">
        <f>IFERROR(__xludf.DUMMYFUNCTION("""COMPUTED_VALUE"""),"")</f>
        <v/>
      </c>
      <c r="AG355" s="48" t="str">
        <f>IFERROR(__xludf.DUMMYFUNCTION("""COMPUTED_VALUE"""),"%")</f>
        <v>%</v>
      </c>
      <c r="AH355" s="43">
        <f>IFERROR(__xludf.DUMMYFUNCTION("""COMPUTED_VALUE"""),16.0)</f>
        <v>16</v>
      </c>
      <c r="AI355" s="44">
        <f>IFERROR(__xludf.DUMMYFUNCTION("""COMPUTED_VALUE"""),1158.0)</f>
        <v>1158</v>
      </c>
      <c r="AJ355" s="42" t="str">
        <f>IFERROR(__xludf.DUMMYFUNCTION("""COMPUTED_VALUE"""),"Regent Park")</f>
        <v>Regent Park</v>
      </c>
    </row>
    <row r="356" ht="24.75" customHeight="1">
      <c r="A356" s="28">
        <f>IFERROR(__xludf.DUMMYFUNCTION("""COMPUTED_VALUE"""),9.0)</f>
        <v>9</v>
      </c>
      <c r="B356" s="28" t="str">
        <f>IFERROR(__xludf.DUMMYFUNCTION("""COMPUTED_VALUE"""),"A207")</f>
        <v>A207</v>
      </c>
      <c r="C356" s="28"/>
      <c r="D356" s="29"/>
      <c r="E356" s="67"/>
      <c r="F356" s="31"/>
      <c r="G356" s="32"/>
      <c r="H356" s="33" t="str">
        <f>IFERROR(__xludf.DUMMYFUNCTION("""COMPUTED_VALUE""")," ")</f>
        <v> </v>
      </c>
      <c r="I356" s="34"/>
      <c r="J356" s="35" t="str">
        <f>IFERROR(__xludf.DUMMYFUNCTION("""COMPUTED_VALUE"""),"AP")</f>
        <v>AP</v>
      </c>
      <c r="K356" s="34"/>
      <c r="L356" s="35" t="str">
        <f>IFERROR(__xludf.DUMMYFUNCTION("""COMPUTED_VALUE"""),"%")</f>
        <v>%</v>
      </c>
      <c r="M356" s="36">
        <f>IFERROR(__xludf.DUMMYFUNCTION("""COMPUTED_VALUE"""),1.0)</f>
        <v>1</v>
      </c>
      <c r="N356" s="37"/>
      <c r="O356" s="38"/>
      <c r="P356" s="34" t="str">
        <f>IFERROR(__xludf.DUMMYFUNCTION("""COMPUTED_VALUE"""),"")</f>
        <v/>
      </c>
      <c r="Q356" s="35" t="str">
        <f>IFERROR(__xludf.DUMMYFUNCTION("""COMPUTED_VALUE"""),"AP")</f>
        <v>AP</v>
      </c>
      <c r="R356" s="34" t="str">
        <f>IFERROR(__xludf.DUMMYFUNCTION("""COMPUTED_VALUE"""),"")</f>
        <v/>
      </c>
      <c r="S356" s="35" t="str">
        <f>IFERROR(__xludf.DUMMYFUNCTION("""COMPUTED_VALUE"""),"%")</f>
        <v>%</v>
      </c>
      <c r="T356" s="36">
        <f>IFERROR(__xludf.DUMMYFUNCTION("""COMPUTED_VALUE"""),2.0)</f>
        <v>2</v>
      </c>
      <c r="U356" s="37"/>
      <c r="V356" s="38"/>
      <c r="W356" s="34" t="str">
        <f>IFERROR(__xludf.DUMMYFUNCTION("""COMPUTED_VALUE"""),"")</f>
        <v/>
      </c>
      <c r="X356" s="35" t="str">
        <f>IFERROR(__xludf.DUMMYFUNCTION("""COMPUTED_VALUE"""),"AP")</f>
        <v>AP</v>
      </c>
      <c r="Y356" s="34" t="str">
        <f>IFERROR(__xludf.DUMMYFUNCTION("""COMPUTED_VALUE"""),"")</f>
        <v/>
      </c>
      <c r="Z356" s="35" t="str">
        <f>IFERROR(__xludf.DUMMYFUNCTION("""COMPUTED_VALUE"""),"%")</f>
        <v>%</v>
      </c>
      <c r="AA356" s="36">
        <f>IFERROR(__xludf.DUMMYFUNCTION("""COMPUTED_VALUE"""),3.0)</f>
        <v>3</v>
      </c>
      <c r="AB356" s="37"/>
      <c r="AC356" s="38"/>
      <c r="AD356" s="34" t="str">
        <f>IFERROR(__xludf.DUMMYFUNCTION("""COMPUTED_VALUE"""),"")</f>
        <v/>
      </c>
      <c r="AE356" s="35" t="str">
        <f>IFERROR(__xludf.DUMMYFUNCTION("""COMPUTED_VALUE"""),"AP")</f>
        <v>AP</v>
      </c>
      <c r="AF356" s="34" t="str">
        <f>IFERROR(__xludf.DUMMYFUNCTION("""COMPUTED_VALUE"""),"")</f>
        <v/>
      </c>
      <c r="AG356" s="35" t="str">
        <f>IFERROR(__xludf.DUMMYFUNCTION("""COMPUTED_VALUE"""),"%")</f>
        <v>%</v>
      </c>
      <c r="AH356" s="31"/>
      <c r="AI356" s="32"/>
      <c r="AJ356" s="67"/>
    </row>
    <row r="357" ht="24.75" hidden="1" customHeight="1">
      <c r="A357" s="40">
        <f>IFERROR(__xludf.DUMMYFUNCTION("""COMPUTED_VALUE"""),10.0)</f>
        <v>10</v>
      </c>
      <c r="B357" s="40" t="str">
        <f>IFERROR(__xludf.DUMMYFUNCTION("""COMPUTED_VALUE"""),"A207")</f>
        <v>A207</v>
      </c>
      <c r="C357" s="40"/>
      <c r="D357" s="41"/>
      <c r="E357" s="66"/>
      <c r="F357" s="43"/>
      <c r="G357" s="44"/>
      <c r="H357" s="33" t="str">
        <f>IFERROR(__xludf.DUMMYFUNCTION("""COMPUTED_VALUE""")," ")</f>
        <v> </v>
      </c>
      <c r="I357" s="45"/>
      <c r="J357" s="46" t="str">
        <f>IFERROR(__xludf.DUMMYFUNCTION("""COMPUTED_VALUE"""),"AP")</f>
        <v>AP</v>
      </c>
      <c r="K357" s="47"/>
      <c r="L357" s="48" t="str">
        <f>IFERROR(__xludf.DUMMYFUNCTION("""COMPUTED_VALUE"""),"%")</f>
        <v>%</v>
      </c>
      <c r="M357" s="49">
        <f>IFERROR(__xludf.DUMMYFUNCTION("""COMPUTED_VALUE"""),1.0)</f>
        <v>1</v>
      </c>
      <c r="N357" s="50"/>
      <c r="O357" s="38"/>
      <c r="P357" s="45" t="str">
        <f>IFERROR(__xludf.DUMMYFUNCTION("""COMPUTED_VALUE"""),"")</f>
        <v/>
      </c>
      <c r="Q357" s="46" t="str">
        <f>IFERROR(__xludf.DUMMYFUNCTION("""COMPUTED_VALUE"""),"AP")</f>
        <v>AP</v>
      </c>
      <c r="R357" s="47" t="str">
        <f>IFERROR(__xludf.DUMMYFUNCTION("""COMPUTED_VALUE"""),"")</f>
        <v/>
      </c>
      <c r="S357" s="48" t="str">
        <f>IFERROR(__xludf.DUMMYFUNCTION("""COMPUTED_VALUE"""),"%")</f>
        <v>%</v>
      </c>
      <c r="T357" s="49">
        <f>IFERROR(__xludf.DUMMYFUNCTION("""COMPUTED_VALUE"""),2.0)</f>
        <v>2</v>
      </c>
      <c r="U357" s="50"/>
      <c r="V357" s="38"/>
      <c r="W357" s="45" t="str">
        <f>IFERROR(__xludf.DUMMYFUNCTION("""COMPUTED_VALUE"""),"")</f>
        <v/>
      </c>
      <c r="X357" s="46" t="str">
        <f>IFERROR(__xludf.DUMMYFUNCTION("""COMPUTED_VALUE"""),"AP")</f>
        <v>AP</v>
      </c>
      <c r="Y357" s="47" t="str">
        <f>IFERROR(__xludf.DUMMYFUNCTION("""COMPUTED_VALUE"""),"")</f>
        <v/>
      </c>
      <c r="Z357" s="48" t="str">
        <f>IFERROR(__xludf.DUMMYFUNCTION("""COMPUTED_VALUE"""),"%")</f>
        <v>%</v>
      </c>
      <c r="AA357" s="49">
        <f>IFERROR(__xludf.DUMMYFUNCTION("""COMPUTED_VALUE"""),3.0)</f>
        <v>3</v>
      </c>
      <c r="AB357" s="50"/>
      <c r="AC357" s="38"/>
      <c r="AD357" s="45" t="str">
        <f>IFERROR(__xludf.DUMMYFUNCTION("""COMPUTED_VALUE"""),"")</f>
        <v/>
      </c>
      <c r="AE357" s="46" t="str">
        <f>IFERROR(__xludf.DUMMYFUNCTION("""COMPUTED_VALUE"""),"AP")</f>
        <v>AP</v>
      </c>
      <c r="AF357" s="47" t="str">
        <f>IFERROR(__xludf.DUMMYFUNCTION("""COMPUTED_VALUE"""),"")</f>
        <v/>
      </c>
      <c r="AG357" s="48" t="str">
        <f>IFERROR(__xludf.DUMMYFUNCTION("""COMPUTED_VALUE"""),"%")</f>
        <v>%</v>
      </c>
      <c r="AH357" s="43"/>
      <c r="AI357" s="44"/>
      <c r="AJ357" s="66"/>
    </row>
    <row r="358" ht="24.75" hidden="1" customHeight="1">
      <c r="A358" s="28">
        <f>IFERROR(__xludf.DUMMYFUNCTION("""COMPUTED_VALUE"""),11.0)</f>
        <v>11</v>
      </c>
      <c r="B358" s="28" t="str">
        <f>IFERROR(__xludf.DUMMYFUNCTION("""COMPUTED_VALUE"""),"A207")</f>
        <v>A207</v>
      </c>
      <c r="C358" s="28"/>
      <c r="D358" s="29"/>
      <c r="E358" s="67"/>
      <c r="F358" s="31"/>
      <c r="G358" s="32"/>
      <c r="H358" s="33" t="str">
        <f>IFERROR(__xludf.DUMMYFUNCTION("""COMPUTED_VALUE""")," ")</f>
        <v> </v>
      </c>
      <c r="I358" s="34"/>
      <c r="J358" s="35" t="str">
        <f>IFERROR(__xludf.DUMMYFUNCTION("""COMPUTED_VALUE"""),"AP")</f>
        <v>AP</v>
      </c>
      <c r="K358" s="34"/>
      <c r="L358" s="35" t="str">
        <f>IFERROR(__xludf.DUMMYFUNCTION("""COMPUTED_VALUE"""),"%")</f>
        <v>%</v>
      </c>
      <c r="M358" s="36">
        <f>IFERROR(__xludf.DUMMYFUNCTION("""COMPUTED_VALUE"""),1.0)</f>
        <v>1</v>
      </c>
      <c r="N358" s="37"/>
      <c r="O358" s="38"/>
      <c r="P358" s="34" t="str">
        <f>IFERROR(__xludf.DUMMYFUNCTION("""COMPUTED_VALUE"""),"")</f>
        <v/>
      </c>
      <c r="Q358" s="35" t="str">
        <f>IFERROR(__xludf.DUMMYFUNCTION("""COMPUTED_VALUE"""),"AP")</f>
        <v>AP</v>
      </c>
      <c r="R358" s="34" t="str">
        <f>IFERROR(__xludf.DUMMYFUNCTION("""COMPUTED_VALUE"""),"")</f>
        <v/>
      </c>
      <c r="S358" s="35" t="str">
        <f>IFERROR(__xludf.DUMMYFUNCTION("""COMPUTED_VALUE"""),"%")</f>
        <v>%</v>
      </c>
      <c r="T358" s="36">
        <f>IFERROR(__xludf.DUMMYFUNCTION("""COMPUTED_VALUE"""),2.0)</f>
        <v>2</v>
      </c>
      <c r="U358" s="37"/>
      <c r="V358" s="38"/>
      <c r="W358" s="34" t="str">
        <f>IFERROR(__xludf.DUMMYFUNCTION("""COMPUTED_VALUE"""),"")</f>
        <v/>
      </c>
      <c r="X358" s="35" t="str">
        <f>IFERROR(__xludf.DUMMYFUNCTION("""COMPUTED_VALUE"""),"AP")</f>
        <v>AP</v>
      </c>
      <c r="Y358" s="34" t="str">
        <f>IFERROR(__xludf.DUMMYFUNCTION("""COMPUTED_VALUE"""),"")</f>
        <v/>
      </c>
      <c r="Z358" s="35" t="str">
        <f>IFERROR(__xludf.DUMMYFUNCTION("""COMPUTED_VALUE"""),"%")</f>
        <v>%</v>
      </c>
      <c r="AA358" s="36">
        <f>IFERROR(__xludf.DUMMYFUNCTION("""COMPUTED_VALUE"""),3.0)</f>
        <v>3</v>
      </c>
      <c r="AB358" s="37"/>
      <c r="AC358" s="38"/>
      <c r="AD358" s="34" t="str">
        <f>IFERROR(__xludf.DUMMYFUNCTION("""COMPUTED_VALUE"""),"")</f>
        <v/>
      </c>
      <c r="AE358" s="35" t="str">
        <f>IFERROR(__xludf.DUMMYFUNCTION("""COMPUTED_VALUE"""),"AP")</f>
        <v>AP</v>
      </c>
      <c r="AF358" s="34" t="str">
        <f>IFERROR(__xludf.DUMMYFUNCTION("""COMPUTED_VALUE"""),"")</f>
        <v/>
      </c>
      <c r="AG358" s="35" t="str">
        <f>IFERROR(__xludf.DUMMYFUNCTION("""COMPUTED_VALUE"""),"%")</f>
        <v>%</v>
      </c>
      <c r="AH358" s="31"/>
      <c r="AI358" s="32"/>
      <c r="AJ358" s="67"/>
    </row>
    <row r="359" ht="24.75" hidden="1" customHeight="1">
      <c r="A359" s="40">
        <f>IFERROR(__xludf.DUMMYFUNCTION("""COMPUTED_VALUE"""),12.0)</f>
        <v>12</v>
      </c>
      <c r="B359" s="40" t="str">
        <f>IFERROR(__xludf.DUMMYFUNCTION("""COMPUTED_VALUE"""),"A207")</f>
        <v>A207</v>
      </c>
      <c r="C359" s="40"/>
      <c r="D359" s="41"/>
      <c r="E359" s="66"/>
      <c r="F359" s="43"/>
      <c r="G359" s="44"/>
      <c r="H359" s="33" t="str">
        <f>IFERROR(__xludf.DUMMYFUNCTION("""COMPUTED_VALUE""")," ")</f>
        <v> </v>
      </c>
      <c r="I359" s="45"/>
      <c r="J359" s="46" t="str">
        <f>IFERROR(__xludf.DUMMYFUNCTION("""COMPUTED_VALUE"""),"AP")</f>
        <v>AP</v>
      </c>
      <c r="K359" s="47"/>
      <c r="L359" s="48" t="str">
        <f>IFERROR(__xludf.DUMMYFUNCTION("""COMPUTED_VALUE"""),"%")</f>
        <v>%</v>
      </c>
      <c r="M359" s="49">
        <f>IFERROR(__xludf.DUMMYFUNCTION("""COMPUTED_VALUE"""),1.0)</f>
        <v>1</v>
      </c>
      <c r="N359" s="50"/>
      <c r="O359" s="38"/>
      <c r="P359" s="45" t="str">
        <f>IFERROR(__xludf.DUMMYFUNCTION("""COMPUTED_VALUE"""),"")</f>
        <v/>
      </c>
      <c r="Q359" s="46" t="str">
        <f>IFERROR(__xludf.DUMMYFUNCTION("""COMPUTED_VALUE"""),"AP")</f>
        <v>AP</v>
      </c>
      <c r="R359" s="47" t="str">
        <f>IFERROR(__xludf.DUMMYFUNCTION("""COMPUTED_VALUE"""),"")</f>
        <v/>
      </c>
      <c r="S359" s="48" t="str">
        <f>IFERROR(__xludf.DUMMYFUNCTION("""COMPUTED_VALUE"""),"%")</f>
        <v>%</v>
      </c>
      <c r="T359" s="49">
        <f>IFERROR(__xludf.DUMMYFUNCTION("""COMPUTED_VALUE"""),2.0)</f>
        <v>2</v>
      </c>
      <c r="U359" s="50"/>
      <c r="V359" s="38"/>
      <c r="W359" s="45" t="str">
        <f>IFERROR(__xludf.DUMMYFUNCTION("""COMPUTED_VALUE"""),"")</f>
        <v/>
      </c>
      <c r="X359" s="46" t="str">
        <f>IFERROR(__xludf.DUMMYFUNCTION("""COMPUTED_VALUE"""),"AP")</f>
        <v>AP</v>
      </c>
      <c r="Y359" s="47" t="str">
        <f>IFERROR(__xludf.DUMMYFUNCTION("""COMPUTED_VALUE"""),"")</f>
        <v/>
      </c>
      <c r="Z359" s="48" t="str">
        <f>IFERROR(__xludf.DUMMYFUNCTION("""COMPUTED_VALUE"""),"%")</f>
        <v>%</v>
      </c>
      <c r="AA359" s="49">
        <f>IFERROR(__xludf.DUMMYFUNCTION("""COMPUTED_VALUE"""),3.0)</f>
        <v>3</v>
      </c>
      <c r="AB359" s="50"/>
      <c r="AC359" s="38"/>
      <c r="AD359" s="45" t="str">
        <f>IFERROR(__xludf.DUMMYFUNCTION("""COMPUTED_VALUE"""),"")</f>
        <v/>
      </c>
      <c r="AE359" s="46" t="str">
        <f>IFERROR(__xludf.DUMMYFUNCTION("""COMPUTED_VALUE"""),"AP")</f>
        <v>AP</v>
      </c>
      <c r="AF359" s="47" t="str">
        <f>IFERROR(__xludf.DUMMYFUNCTION("""COMPUTED_VALUE"""),"")</f>
        <v/>
      </c>
      <c r="AG359" s="48" t="str">
        <f>IFERROR(__xludf.DUMMYFUNCTION("""COMPUTED_VALUE"""),"%")</f>
        <v>%</v>
      </c>
      <c r="AH359" s="43"/>
      <c r="AI359" s="44"/>
      <c r="AJ359" s="66"/>
    </row>
    <row r="360" ht="24.75" hidden="1" customHeight="1">
      <c r="A360" s="28">
        <f>IFERROR(__xludf.DUMMYFUNCTION("""COMPUTED_VALUE"""),13.0)</f>
        <v>13</v>
      </c>
      <c r="B360" s="28" t="str">
        <f>IFERROR(__xludf.DUMMYFUNCTION("""COMPUTED_VALUE"""),"A207")</f>
        <v>A207</v>
      </c>
      <c r="C360" s="28"/>
      <c r="D360" s="29"/>
      <c r="E360" s="67"/>
      <c r="F360" s="31"/>
      <c r="G360" s="32"/>
      <c r="H360" s="33" t="str">
        <f>IFERROR(__xludf.DUMMYFUNCTION("""COMPUTED_VALUE""")," ")</f>
        <v> </v>
      </c>
      <c r="I360" s="34"/>
      <c r="J360" s="35" t="str">
        <f>IFERROR(__xludf.DUMMYFUNCTION("""COMPUTED_VALUE"""),"AP")</f>
        <v>AP</v>
      </c>
      <c r="K360" s="34"/>
      <c r="L360" s="35" t="str">
        <f>IFERROR(__xludf.DUMMYFUNCTION("""COMPUTED_VALUE"""),"%")</f>
        <v>%</v>
      </c>
      <c r="M360" s="36">
        <f>IFERROR(__xludf.DUMMYFUNCTION("""COMPUTED_VALUE"""),1.0)</f>
        <v>1</v>
      </c>
      <c r="N360" s="37"/>
      <c r="O360" s="38"/>
      <c r="P360" s="34" t="str">
        <f>IFERROR(__xludf.DUMMYFUNCTION("""COMPUTED_VALUE"""),"")</f>
        <v/>
      </c>
      <c r="Q360" s="35" t="str">
        <f>IFERROR(__xludf.DUMMYFUNCTION("""COMPUTED_VALUE"""),"AP")</f>
        <v>AP</v>
      </c>
      <c r="R360" s="34" t="str">
        <f>IFERROR(__xludf.DUMMYFUNCTION("""COMPUTED_VALUE"""),"")</f>
        <v/>
      </c>
      <c r="S360" s="35" t="str">
        <f>IFERROR(__xludf.DUMMYFUNCTION("""COMPUTED_VALUE"""),"%")</f>
        <v>%</v>
      </c>
      <c r="T360" s="36">
        <f>IFERROR(__xludf.DUMMYFUNCTION("""COMPUTED_VALUE"""),2.0)</f>
        <v>2</v>
      </c>
      <c r="U360" s="37"/>
      <c r="V360" s="38"/>
      <c r="W360" s="34" t="str">
        <f>IFERROR(__xludf.DUMMYFUNCTION("""COMPUTED_VALUE"""),"")</f>
        <v/>
      </c>
      <c r="X360" s="35" t="str">
        <f>IFERROR(__xludf.DUMMYFUNCTION("""COMPUTED_VALUE"""),"AP")</f>
        <v>AP</v>
      </c>
      <c r="Y360" s="34" t="str">
        <f>IFERROR(__xludf.DUMMYFUNCTION("""COMPUTED_VALUE"""),"")</f>
        <v/>
      </c>
      <c r="Z360" s="35" t="str">
        <f>IFERROR(__xludf.DUMMYFUNCTION("""COMPUTED_VALUE"""),"%")</f>
        <v>%</v>
      </c>
      <c r="AA360" s="36">
        <f>IFERROR(__xludf.DUMMYFUNCTION("""COMPUTED_VALUE"""),3.0)</f>
        <v>3</v>
      </c>
      <c r="AB360" s="37"/>
      <c r="AC360" s="38"/>
      <c r="AD360" s="34" t="str">
        <f>IFERROR(__xludf.DUMMYFUNCTION("""COMPUTED_VALUE"""),"")</f>
        <v/>
      </c>
      <c r="AE360" s="35" t="str">
        <f>IFERROR(__xludf.DUMMYFUNCTION("""COMPUTED_VALUE"""),"AP")</f>
        <v>AP</v>
      </c>
      <c r="AF360" s="34" t="str">
        <f>IFERROR(__xludf.DUMMYFUNCTION("""COMPUTED_VALUE"""),"")</f>
        <v/>
      </c>
      <c r="AG360" s="35" t="str">
        <f>IFERROR(__xludf.DUMMYFUNCTION("""COMPUTED_VALUE"""),"%")</f>
        <v>%</v>
      </c>
      <c r="AH360" s="31"/>
      <c r="AI360" s="32"/>
      <c r="AJ360" s="67"/>
    </row>
    <row r="361" ht="24.75" hidden="1" customHeight="1">
      <c r="A361" s="40">
        <f>IFERROR(__xludf.DUMMYFUNCTION("""COMPUTED_VALUE"""),14.0)</f>
        <v>14</v>
      </c>
      <c r="B361" s="40" t="str">
        <f>IFERROR(__xludf.DUMMYFUNCTION("""COMPUTED_VALUE"""),"A207")</f>
        <v>A207</v>
      </c>
      <c r="C361" s="40"/>
      <c r="D361" s="41"/>
      <c r="E361" s="66"/>
      <c r="F361" s="43"/>
      <c r="G361" s="44"/>
      <c r="H361" s="33" t="str">
        <f>IFERROR(__xludf.DUMMYFUNCTION("""COMPUTED_VALUE""")," ")</f>
        <v> </v>
      </c>
      <c r="I361" s="45"/>
      <c r="J361" s="46" t="str">
        <f>IFERROR(__xludf.DUMMYFUNCTION("""COMPUTED_VALUE"""),"AP")</f>
        <v>AP</v>
      </c>
      <c r="K361" s="47"/>
      <c r="L361" s="48" t="str">
        <f>IFERROR(__xludf.DUMMYFUNCTION("""COMPUTED_VALUE"""),"%")</f>
        <v>%</v>
      </c>
      <c r="M361" s="49">
        <f>IFERROR(__xludf.DUMMYFUNCTION("""COMPUTED_VALUE"""),1.0)</f>
        <v>1</v>
      </c>
      <c r="N361" s="50"/>
      <c r="O361" s="38"/>
      <c r="P361" s="45" t="str">
        <f>IFERROR(__xludf.DUMMYFUNCTION("""COMPUTED_VALUE"""),"")</f>
        <v/>
      </c>
      <c r="Q361" s="46" t="str">
        <f>IFERROR(__xludf.DUMMYFUNCTION("""COMPUTED_VALUE"""),"AP")</f>
        <v>AP</v>
      </c>
      <c r="R361" s="47" t="str">
        <f>IFERROR(__xludf.DUMMYFUNCTION("""COMPUTED_VALUE"""),"")</f>
        <v/>
      </c>
      <c r="S361" s="48" t="str">
        <f>IFERROR(__xludf.DUMMYFUNCTION("""COMPUTED_VALUE"""),"%")</f>
        <v>%</v>
      </c>
      <c r="T361" s="49">
        <f>IFERROR(__xludf.DUMMYFUNCTION("""COMPUTED_VALUE"""),2.0)</f>
        <v>2</v>
      </c>
      <c r="U361" s="50"/>
      <c r="V361" s="38"/>
      <c r="W361" s="45" t="str">
        <f>IFERROR(__xludf.DUMMYFUNCTION("""COMPUTED_VALUE"""),"")</f>
        <v/>
      </c>
      <c r="X361" s="46" t="str">
        <f>IFERROR(__xludf.DUMMYFUNCTION("""COMPUTED_VALUE"""),"AP")</f>
        <v>AP</v>
      </c>
      <c r="Y361" s="47" t="str">
        <f>IFERROR(__xludf.DUMMYFUNCTION("""COMPUTED_VALUE"""),"")</f>
        <v/>
      </c>
      <c r="Z361" s="48" t="str">
        <f>IFERROR(__xludf.DUMMYFUNCTION("""COMPUTED_VALUE"""),"%")</f>
        <v>%</v>
      </c>
      <c r="AA361" s="49">
        <f>IFERROR(__xludf.DUMMYFUNCTION("""COMPUTED_VALUE"""),3.0)</f>
        <v>3</v>
      </c>
      <c r="AB361" s="50"/>
      <c r="AC361" s="38"/>
      <c r="AD361" s="45" t="str">
        <f>IFERROR(__xludf.DUMMYFUNCTION("""COMPUTED_VALUE"""),"")</f>
        <v/>
      </c>
      <c r="AE361" s="46" t="str">
        <f>IFERROR(__xludf.DUMMYFUNCTION("""COMPUTED_VALUE"""),"AP")</f>
        <v>AP</v>
      </c>
      <c r="AF361" s="47" t="str">
        <f>IFERROR(__xludf.DUMMYFUNCTION("""COMPUTED_VALUE"""),"")</f>
        <v/>
      </c>
      <c r="AG361" s="48" t="str">
        <f>IFERROR(__xludf.DUMMYFUNCTION("""COMPUTED_VALUE"""),"%")</f>
        <v>%</v>
      </c>
      <c r="AH361" s="43"/>
      <c r="AI361" s="44"/>
      <c r="AJ361" s="66"/>
    </row>
    <row r="362" ht="24.75" hidden="1" customHeight="1">
      <c r="A362" s="28">
        <f>IFERROR(__xludf.DUMMYFUNCTION("""COMPUTED_VALUE"""),15.0)</f>
        <v>15</v>
      </c>
      <c r="B362" s="28" t="str">
        <f>IFERROR(__xludf.DUMMYFUNCTION("""COMPUTED_VALUE"""),"A207")</f>
        <v>A207</v>
      </c>
      <c r="C362" s="28"/>
      <c r="D362" s="29"/>
      <c r="E362" s="67"/>
      <c r="F362" s="31"/>
      <c r="G362" s="32"/>
      <c r="H362" s="33" t="str">
        <f>IFERROR(__xludf.DUMMYFUNCTION("""COMPUTED_VALUE""")," ")</f>
        <v> </v>
      </c>
      <c r="I362" s="34"/>
      <c r="J362" s="35" t="str">
        <f>IFERROR(__xludf.DUMMYFUNCTION("""COMPUTED_VALUE"""),"AP")</f>
        <v>AP</v>
      </c>
      <c r="K362" s="34"/>
      <c r="L362" s="35" t="str">
        <f>IFERROR(__xludf.DUMMYFUNCTION("""COMPUTED_VALUE"""),"%")</f>
        <v>%</v>
      </c>
      <c r="M362" s="36">
        <f>IFERROR(__xludf.DUMMYFUNCTION("""COMPUTED_VALUE"""),1.0)</f>
        <v>1</v>
      </c>
      <c r="N362" s="37"/>
      <c r="O362" s="38"/>
      <c r="P362" s="34" t="str">
        <f>IFERROR(__xludf.DUMMYFUNCTION("""COMPUTED_VALUE"""),"")</f>
        <v/>
      </c>
      <c r="Q362" s="35" t="str">
        <f>IFERROR(__xludf.DUMMYFUNCTION("""COMPUTED_VALUE"""),"AP")</f>
        <v>AP</v>
      </c>
      <c r="R362" s="34" t="str">
        <f>IFERROR(__xludf.DUMMYFUNCTION("""COMPUTED_VALUE"""),"")</f>
        <v/>
      </c>
      <c r="S362" s="35" t="str">
        <f>IFERROR(__xludf.DUMMYFUNCTION("""COMPUTED_VALUE"""),"%")</f>
        <v>%</v>
      </c>
      <c r="T362" s="36">
        <f>IFERROR(__xludf.DUMMYFUNCTION("""COMPUTED_VALUE"""),2.0)</f>
        <v>2</v>
      </c>
      <c r="U362" s="37"/>
      <c r="V362" s="38"/>
      <c r="W362" s="34" t="str">
        <f>IFERROR(__xludf.DUMMYFUNCTION("""COMPUTED_VALUE"""),"")</f>
        <v/>
      </c>
      <c r="X362" s="35" t="str">
        <f>IFERROR(__xludf.DUMMYFUNCTION("""COMPUTED_VALUE"""),"AP")</f>
        <v>AP</v>
      </c>
      <c r="Y362" s="34" t="str">
        <f>IFERROR(__xludf.DUMMYFUNCTION("""COMPUTED_VALUE"""),"")</f>
        <v/>
      </c>
      <c r="Z362" s="35" t="str">
        <f>IFERROR(__xludf.DUMMYFUNCTION("""COMPUTED_VALUE"""),"%")</f>
        <v>%</v>
      </c>
      <c r="AA362" s="36">
        <f>IFERROR(__xludf.DUMMYFUNCTION("""COMPUTED_VALUE"""),3.0)</f>
        <v>3</v>
      </c>
      <c r="AB362" s="37"/>
      <c r="AC362" s="38"/>
      <c r="AD362" s="34" t="str">
        <f>IFERROR(__xludf.DUMMYFUNCTION("""COMPUTED_VALUE"""),"")</f>
        <v/>
      </c>
      <c r="AE362" s="35" t="str">
        <f>IFERROR(__xludf.DUMMYFUNCTION("""COMPUTED_VALUE"""),"AP")</f>
        <v>AP</v>
      </c>
      <c r="AF362" s="34" t="str">
        <f>IFERROR(__xludf.DUMMYFUNCTION("""COMPUTED_VALUE"""),"")</f>
        <v/>
      </c>
      <c r="AG362" s="35" t="str">
        <f>IFERROR(__xludf.DUMMYFUNCTION("""COMPUTED_VALUE"""),"%")</f>
        <v>%</v>
      </c>
      <c r="AH362" s="31"/>
      <c r="AI362" s="32"/>
      <c r="AJ362" s="67"/>
    </row>
    <row r="363" ht="24.75" hidden="1" customHeight="1">
      <c r="A363" s="40">
        <f>IFERROR(__xludf.DUMMYFUNCTION("""COMPUTED_VALUE"""),16.0)</f>
        <v>16</v>
      </c>
      <c r="B363" s="40" t="str">
        <f>IFERROR(__xludf.DUMMYFUNCTION("""COMPUTED_VALUE"""),"A207")</f>
        <v>A207</v>
      </c>
      <c r="C363" s="40"/>
      <c r="D363" s="41"/>
      <c r="E363" s="66"/>
      <c r="F363" s="43"/>
      <c r="G363" s="44"/>
      <c r="H363" s="33" t="str">
        <f>IFERROR(__xludf.DUMMYFUNCTION("""COMPUTED_VALUE""")," ")</f>
        <v> </v>
      </c>
      <c r="I363" s="45"/>
      <c r="J363" s="46" t="str">
        <f>IFERROR(__xludf.DUMMYFUNCTION("""COMPUTED_VALUE"""),"AP")</f>
        <v>AP</v>
      </c>
      <c r="K363" s="47"/>
      <c r="L363" s="48" t="str">
        <f>IFERROR(__xludf.DUMMYFUNCTION("""COMPUTED_VALUE"""),"%")</f>
        <v>%</v>
      </c>
      <c r="M363" s="49">
        <f>IFERROR(__xludf.DUMMYFUNCTION("""COMPUTED_VALUE"""),1.0)</f>
        <v>1</v>
      </c>
      <c r="N363" s="50"/>
      <c r="O363" s="38"/>
      <c r="P363" s="45" t="str">
        <f>IFERROR(__xludf.DUMMYFUNCTION("""COMPUTED_VALUE"""),"")</f>
        <v/>
      </c>
      <c r="Q363" s="46" t="str">
        <f>IFERROR(__xludf.DUMMYFUNCTION("""COMPUTED_VALUE"""),"AP")</f>
        <v>AP</v>
      </c>
      <c r="R363" s="47" t="str">
        <f>IFERROR(__xludf.DUMMYFUNCTION("""COMPUTED_VALUE"""),"")</f>
        <v/>
      </c>
      <c r="S363" s="48" t="str">
        <f>IFERROR(__xludf.DUMMYFUNCTION("""COMPUTED_VALUE"""),"%")</f>
        <v>%</v>
      </c>
      <c r="T363" s="49">
        <f>IFERROR(__xludf.DUMMYFUNCTION("""COMPUTED_VALUE"""),2.0)</f>
        <v>2</v>
      </c>
      <c r="U363" s="50"/>
      <c r="V363" s="38"/>
      <c r="W363" s="45" t="str">
        <f>IFERROR(__xludf.DUMMYFUNCTION("""COMPUTED_VALUE"""),"")</f>
        <v/>
      </c>
      <c r="X363" s="46" t="str">
        <f>IFERROR(__xludf.DUMMYFUNCTION("""COMPUTED_VALUE"""),"AP")</f>
        <v>AP</v>
      </c>
      <c r="Y363" s="47" t="str">
        <f>IFERROR(__xludf.DUMMYFUNCTION("""COMPUTED_VALUE"""),"")</f>
        <v/>
      </c>
      <c r="Z363" s="48" t="str">
        <f>IFERROR(__xludf.DUMMYFUNCTION("""COMPUTED_VALUE"""),"%")</f>
        <v>%</v>
      </c>
      <c r="AA363" s="49">
        <f>IFERROR(__xludf.DUMMYFUNCTION("""COMPUTED_VALUE"""),3.0)</f>
        <v>3</v>
      </c>
      <c r="AB363" s="50"/>
      <c r="AC363" s="38"/>
      <c r="AD363" s="45" t="str">
        <f>IFERROR(__xludf.DUMMYFUNCTION("""COMPUTED_VALUE"""),"")</f>
        <v/>
      </c>
      <c r="AE363" s="46" t="str">
        <f>IFERROR(__xludf.DUMMYFUNCTION("""COMPUTED_VALUE"""),"AP")</f>
        <v>AP</v>
      </c>
      <c r="AF363" s="47" t="str">
        <f>IFERROR(__xludf.DUMMYFUNCTION("""COMPUTED_VALUE"""),"")</f>
        <v/>
      </c>
      <c r="AG363" s="48" t="str">
        <f>IFERROR(__xludf.DUMMYFUNCTION("""COMPUTED_VALUE"""),"%")</f>
        <v>%</v>
      </c>
      <c r="AH363" s="43"/>
      <c r="AI363" s="44"/>
      <c r="AJ363" s="66"/>
    </row>
    <row r="364" ht="24.75" hidden="1" customHeight="1">
      <c r="A364" s="28">
        <f>IFERROR(__xludf.DUMMYFUNCTION("""COMPUTED_VALUE"""),17.0)</f>
        <v>17</v>
      </c>
      <c r="B364" s="28" t="str">
        <f>IFERROR(__xludf.DUMMYFUNCTION("""COMPUTED_VALUE"""),"A207")</f>
        <v>A207</v>
      </c>
      <c r="C364" s="28"/>
      <c r="D364" s="29"/>
      <c r="E364" s="67"/>
      <c r="F364" s="31"/>
      <c r="G364" s="32"/>
      <c r="H364" s="33" t="str">
        <f>IFERROR(__xludf.DUMMYFUNCTION("""COMPUTED_VALUE""")," ")</f>
        <v> </v>
      </c>
      <c r="I364" s="34"/>
      <c r="J364" s="35" t="str">
        <f>IFERROR(__xludf.DUMMYFUNCTION("""COMPUTED_VALUE"""),"AP")</f>
        <v>AP</v>
      </c>
      <c r="K364" s="34"/>
      <c r="L364" s="35" t="str">
        <f>IFERROR(__xludf.DUMMYFUNCTION("""COMPUTED_VALUE"""),"%")</f>
        <v>%</v>
      </c>
      <c r="M364" s="36">
        <f>IFERROR(__xludf.DUMMYFUNCTION("""COMPUTED_VALUE"""),1.0)</f>
        <v>1</v>
      </c>
      <c r="N364" s="37"/>
      <c r="O364" s="38"/>
      <c r="P364" s="34" t="str">
        <f>IFERROR(__xludf.DUMMYFUNCTION("""COMPUTED_VALUE"""),"")</f>
        <v/>
      </c>
      <c r="Q364" s="35" t="str">
        <f>IFERROR(__xludf.DUMMYFUNCTION("""COMPUTED_VALUE"""),"AP")</f>
        <v>AP</v>
      </c>
      <c r="R364" s="34" t="str">
        <f>IFERROR(__xludf.DUMMYFUNCTION("""COMPUTED_VALUE"""),"")</f>
        <v/>
      </c>
      <c r="S364" s="35" t="str">
        <f>IFERROR(__xludf.DUMMYFUNCTION("""COMPUTED_VALUE"""),"%")</f>
        <v>%</v>
      </c>
      <c r="T364" s="36">
        <f>IFERROR(__xludf.DUMMYFUNCTION("""COMPUTED_VALUE"""),2.0)</f>
        <v>2</v>
      </c>
      <c r="U364" s="37"/>
      <c r="V364" s="38"/>
      <c r="W364" s="34" t="str">
        <f>IFERROR(__xludf.DUMMYFUNCTION("""COMPUTED_VALUE"""),"")</f>
        <v/>
      </c>
      <c r="X364" s="35" t="str">
        <f>IFERROR(__xludf.DUMMYFUNCTION("""COMPUTED_VALUE"""),"AP")</f>
        <v>AP</v>
      </c>
      <c r="Y364" s="34" t="str">
        <f>IFERROR(__xludf.DUMMYFUNCTION("""COMPUTED_VALUE"""),"")</f>
        <v/>
      </c>
      <c r="Z364" s="35" t="str">
        <f>IFERROR(__xludf.DUMMYFUNCTION("""COMPUTED_VALUE"""),"%")</f>
        <v>%</v>
      </c>
      <c r="AA364" s="36">
        <f>IFERROR(__xludf.DUMMYFUNCTION("""COMPUTED_VALUE"""),3.0)</f>
        <v>3</v>
      </c>
      <c r="AB364" s="37"/>
      <c r="AC364" s="38"/>
      <c r="AD364" s="34" t="str">
        <f>IFERROR(__xludf.DUMMYFUNCTION("""COMPUTED_VALUE"""),"")</f>
        <v/>
      </c>
      <c r="AE364" s="35" t="str">
        <f>IFERROR(__xludf.DUMMYFUNCTION("""COMPUTED_VALUE"""),"AP")</f>
        <v>AP</v>
      </c>
      <c r="AF364" s="34" t="str">
        <f>IFERROR(__xludf.DUMMYFUNCTION("""COMPUTED_VALUE"""),"")</f>
        <v/>
      </c>
      <c r="AG364" s="35" t="str">
        <f>IFERROR(__xludf.DUMMYFUNCTION("""COMPUTED_VALUE"""),"%")</f>
        <v>%</v>
      </c>
      <c r="AH364" s="31"/>
      <c r="AI364" s="32"/>
      <c r="AJ364" s="67"/>
    </row>
    <row r="365" ht="24.75" hidden="1" customHeight="1">
      <c r="A365" s="40">
        <f>IFERROR(__xludf.DUMMYFUNCTION("""COMPUTED_VALUE"""),18.0)</f>
        <v>18</v>
      </c>
      <c r="B365" s="40" t="str">
        <f>IFERROR(__xludf.DUMMYFUNCTION("""COMPUTED_VALUE"""),"A207")</f>
        <v>A207</v>
      </c>
      <c r="C365" s="40"/>
      <c r="D365" s="41"/>
      <c r="E365" s="66"/>
      <c r="F365" s="43"/>
      <c r="G365" s="44"/>
      <c r="H365" s="33" t="str">
        <f>IFERROR(__xludf.DUMMYFUNCTION("""COMPUTED_VALUE""")," ")</f>
        <v> </v>
      </c>
      <c r="I365" s="45"/>
      <c r="J365" s="46" t="str">
        <f>IFERROR(__xludf.DUMMYFUNCTION("""COMPUTED_VALUE"""),"AP")</f>
        <v>AP</v>
      </c>
      <c r="K365" s="47"/>
      <c r="L365" s="48" t="str">
        <f>IFERROR(__xludf.DUMMYFUNCTION("""COMPUTED_VALUE"""),"%")</f>
        <v>%</v>
      </c>
      <c r="M365" s="49">
        <f>IFERROR(__xludf.DUMMYFUNCTION("""COMPUTED_VALUE"""),1.0)</f>
        <v>1</v>
      </c>
      <c r="N365" s="50"/>
      <c r="O365" s="38"/>
      <c r="P365" s="45" t="str">
        <f>IFERROR(__xludf.DUMMYFUNCTION("""COMPUTED_VALUE"""),"")</f>
        <v/>
      </c>
      <c r="Q365" s="46" t="str">
        <f>IFERROR(__xludf.DUMMYFUNCTION("""COMPUTED_VALUE"""),"AP")</f>
        <v>AP</v>
      </c>
      <c r="R365" s="47" t="str">
        <f>IFERROR(__xludf.DUMMYFUNCTION("""COMPUTED_VALUE"""),"")</f>
        <v/>
      </c>
      <c r="S365" s="48" t="str">
        <f>IFERROR(__xludf.DUMMYFUNCTION("""COMPUTED_VALUE"""),"%")</f>
        <v>%</v>
      </c>
      <c r="T365" s="49">
        <f>IFERROR(__xludf.DUMMYFUNCTION("""COMPUTED_VALUE"""),2.0)</f>
        <v>2</v>
      </c>
      <c r="U365" s="50"/>
      <c r="V365" s="38"/>
      <c r="W365" s="45" t="str">
        <f>IFERROR(__xludf.DUMMYFUNCTION("""COMPUTED_VALUE"""),"")</f>
        <v/>
      </c>
      <c r="X365" s="46" t="str">
        <f>IFERROR(__xludf.DUMMYFUNCTION("""COMPUTED_VALUE"""),"AP")</f>
        <v>AP</v>
      </c>
      <c r="Y365" s="47" t="str">
        <f>IFERROR(__xludf.DUMMYFUNCTION("""COMPUTED_VALUE"""),"")</f>
        <v/>
      </c>
      <c r="Z365" s="48" t="str">
        <f>IFERROR(__xludf.DUMMYFUNCTION("""COMPUTED_VALUE"""),"%")</f>
        <v>%</v>
      </c>
      <c r="AA365" s="49">
        <f>IFERROR(__xludf.DUMMYFUNCTION("""COMPUTED_VALUE"""),3.0)</f>
        <v>3</v>
      </c>
      <c r="AB365" s="50"/>
      <c r="AC365" s="38"/>
      <c r="AD365" s="45" t="str">
        <f>IFERROR(__xludf.DUMMYFUNCTION("""COMPUTED_VALUE"""),"")</f>
        <v/>
      </c>
      <c r="AE365" s="46" t="str">
        <f>IFERROR(__xludf.DUMMYFUNCTION("""COMPUTED_VALUE"""),"AP")</f>
        <v>AP</v>
      </c>
      <c r="AF365" s="47" t="str">
        <f>IFERROR(__xludf.DUMMYFUNCTION("""COMPUTED_VALUE"""),"")</f>
        <v/>
      </c>
      <c r="AG365" s="48" t="str">
        <f>IFERROR(__xludf.DUMMYFUNCTION("""COMPUTED_VALUE"""),"%")</f>
        <v>%</v>
      </c>
      <c r="AH365" s="43"/>
      <c r="AI365" s="44"/>
      <c r="AJ365" s="66"/>
    </row>
    <row r="366" ht="24.75" hidden="1" customHeight="1">
      <c r="A366" s="28">
        <f>IFERROR(__xludf.DUMMYFUNCTION("""COMPUTED_VALUE"""),19.0)</f>
        <v>19</v>
      </c>
      <c r="B366" s="28" t="str">
        <f>IFERROR(__xludf.DUMMYFUNCTION("""COMPUTED_VALUE"""),"A207")</f>
        <v>A207</v>
      </c>
      <c r="C366" s="28"/>
      <c r="D366" s="29"/>
      <c r="E366" s="67"/>
      <c r="F366" s="31"/>
      <c r="G366" s="32"/>
      <c r="H366" s="33" t="str">
        <f>IFERROR(__xludf.DUMMYFUNCTION("""COMPUTED_VALUE""")," ")</f>
        <v> </v>
      </c>
      <c r="I366" s="34"/>
      <c r="J366" s="35" t="str">
        <f>IFERROR(__xludf.DUMMYFUNCTION("""COMPUTED_VALUE"""),"AP")</f>
        <v>AP</v>
      </c>
      <c r="K366" s="34"/>
      <c r="L366" s="35" t="str">
        <f>IFERROR(__xludf.DUMMYFUNCTION("""COMPUTED_VALUE"""),"%")</f>
        <v>%</v>
      </c>
      <c r="M366" s="36">
        <f>IFERROR(__xludf.DUMMYFUNCTION("""COMPUTED_VALUE"""),1.0)</f>
        <v>1</v>
      </c>
      <c r="N366" s="37"/>
      <c r="O366" s="38"/>
      <c r="P366" s="34" t="str">
        <f>IFERROR(__xludf.DUMMYFUNCTION("""COMPUTED_VALUE"""),"")</f>
        <v/>
      </c>
      <c r="Q366" s="35" t="str">
        <f>IFERROR(__xludf.DUMMYFUNCTION("""COMPUTED_VALUE"""),"AP")</f>
        <v>AP</v>
      </c>
      <c r="R366" s="34" t="str">
        <f>IFERROR(__xludf.DUMMYFUNCTION("""COMPUTED_VALUE"""),"")</f>
        <v/>
      </c>
      <c r="S366" s="35" t="str">
        <f>IFERROR(__xludf.DUMMYFUNCTION("""COMPUTED_VALUE"""),"%")</f>
        <v>%</v>
      </c>
      <c r="T366" s="36">
        <f>IFERROR(__xludf.DUMMYFUNCTION("""COMPUTED_VALUE"""),2.0)</f>
        <v>2</v>
      </c>
      <c r="U366" s="37"/>
      <c r="V366" s="38"/>
      <c r="W366" s="34" t="str">
        <f>IFERROR(__xludf.DUMMYFUNCTION("""COMPUTED_VALUE"""),"")</f>
        <v/>
      </c>
      <c r="X366" s="35" t="str">
        <f>IFERROR(__xludf.DUMMYFUNCTION("""COMPUTED_VALUE"""),"AP")</f>
        <v>AP</v>
      </c>
      <c r="Y366" s="34" t="str">
        <f>IFERROR(__xludf.DUMMYFUNCTION("""COMPUTED_VALUE"""),"")</f>
        <v/>
      </c>
      <c r="Z366" s="35" t="str">
        <f>IFERROR(__xludf.DUMMYFUNCTION("""COMPUTED_VALUE"""),"%")</f>
        <v>%</v>
      </c>
      <c r="AA366" s="36">
        <f>IFERROR(__xludf.DUMMYFUNCTION("""COMPUTED_VALUE"""),3.0)</f>
        <v>3</v>
      </c>
      <c r="AB366" s="37"/>
      <c r="AC366" s="38"/>
      <c r="AD366" s="34" t="str">
        <f>IFERROR(__xludf.DUMMYFUNCTION("""COMPUTED_VALUE"""),"")</f>
        <v/>
      </c>
      <c r="AE366" s="35" t="str">
        <f>IFERROR(__xludf.DUMMYFUNCTION("""COMPUTED_VALUE"""),"AP")</f>
        <v>AP</v>
      </c>
      <c r="AF366" s="34" t="str">
        <f>IFERROR(__xludf.DUMMYFUNCTION("""COMPUTED_VALUE"""),"")</f>
        <v/>
      </c>
      <c r="AG366" s="35" t="str">
        <f>IFERROR(__xludf.DUMMYFUNCTION("""COMPUTED_VALUE"""),"%")</f>
        <v>%</v>
      </c>
      <c r="AH366" s="31"/>
      <c r="AI366" s="32"/>
      <c r="AJ366" s="67"/>
    </row>
    <row r="367" ht="24.75" hidden="1" customHeight="1">
      <c r="A367" s="40">
        <f>IFERROR(__xludf.DUMMYFUNCTION("""COMPUTED_VALUE"""),20.0)</f>
        <v>20</v>
      </c>
      <c r="B367" s="40" t="str">
        <f>IFERROR(__xludf.DUMMYFUNCTION("""COMPUTED_VALUE"""),"A207")</f>
        <v>A207</v>
      </c>
      <c r="C367" s="40"/>
      <c r="D367" s="41"/>
      <c r="E367" s="66"/>
      <c r="F367" s="43"/>
      <c r="G367" s="44"/>
      <c r="H367" s="33" t="str">
        <f>IFERROR(__xludf.DUMMYFUNCTION("""COMPUTED_VALUE""")," ")</f>
        <v> </v>
      </c>
      <c r="I367" s="45"/>
      <c r="J367" s="46" t="str">
        <f>IFERROR(__xludf.DUMMYFUNCTION("""COMPUTED_VALUE"""),"AP")</f>
        <v>AP</v>
      </c>
      <c r="K367" s="47"/>
      <c r="L367" s="48" t="str">
        <f>IFERROR(__xludf.DUMMYFUNCTION("""COMPUTED_VALUE"""),"%")</f>
        <v>%</v>
      </c>
      <c r="M367" s="49">
        <f>IFERROR(__xludf.DUMMYFUNCTION("""COMPUTED_VALUE"""),1.0)</f>
        <v>1</v>
      </c>
      <c r="N367" s="50"/>
      <c r="O367" s="38"/>
      <c r="P367" s="45" t="str">
        <f>IFERROR(__xludf.DUMMYFUNCTION("""COMPUTED_VALUE"""),"")</f>
        <v/>
      </c>
      <c r="Q367" s="46" t="str">
        <f>IFERROR(__xludf.DUMMYFUNCTION("""COMPUTED_VALUE"""),"AP")</f>
        <v>AP</v>
      </c>
      <c r="R367" s="47" t="str">
        <f>IFERROR(__xludf.DUMMYFUNCTION("""COMPUTED_VALUE"""),"")</f>
        <v/>
      </c>
      <c r="S367" s="48" t="str">
        <f>IFERROR(__xludf.DUMMYFUNCTION("""COMPUTED_VALUE"""),"%")</f>
        <v>%</v>
      </c>
      <c r="T367" s="49">
        <f>IFERROR(__xludf.DUMMYFUNCTION("""COMPUTED_VALUE"""),2.0)</f>
        <v>2</v>
      </c>
      <c r="U367" s="50"/>
      <c r="V367" s="38"/>
      <c r="W367" s="45" t="str">
        <f>IFERROR(__xludf.DUMMYFUNCTION("""COMPUTED_VALUE"""),"")</f>
        <v/>
      </c>
      <c r="X367" s="46" t="str">
        <f>IFERROR(__xludf.DUMMYFUNCTION("""COMPUTED_VALUE"""),"AP")</f>
        <v>AP</v>
      </c>
      <c r="Y367" s="47" t="str">
        <f>IFERROR(__xludf.DUMMYFUNCTION("""COMPUTED_VALUE"""),"")</f>
        <v/>
      </c>
      <c r="Z367" s="48" t="str">
        <f>IFERROR(__xludf.DUMMYFUNCTION("""COMPUTED_VALUE"""),"%")</f>
        <v>%</v>
      </c>
      <c r="AA367" s="49">
        <f>IFERROR(__xludf.DUMMYFUNCTION("""COMPUTED_VALUE"""),3.0)</f>
        <v>3</v>
      </c>
      <c r="AB367" s="50"/>
      <c r="AC367" s="38"/>
      <c r="AD367" s="45" t="str">
        <f>IFERROR(__xludf.DUMMYFUNCTION("""COMPUTED_VALUE"""),"")</f>
        <v/>
      </c>
      <c r="AE367" s="46" t="str">
        <f>IFERROR(__xludf.DUMMYFUNCTION("""COMPUTED_VALUE"""),"AP")</f>
        <v>AP</v>
      </c>
      <c r="AF367" s="47" t="str">
        <f>IFERROR(__xludf.DUMMYFUNCTION("""COMPUTED_VALUE"""),"")</f>
        <v/>
      </c>
      <c r="AG367" s="48" t="str">
        <f>IFERROR(__xludf.DUMMYFUNCTION("""COMPUTED_VALUE"""),"%")</f>
        <v>%</v>
      </c>
      <c r="AH367" s="43"/>
      <c r="AI367" s="44"/>
      <c r="AJ367" s="66"/>
    </row>
    <row r="368">
      <c r="A368" s="52"/>
      <c r="B368" s="53"/>
      <c r="C368" s="54"/>
      <c r="D368" s="56"/>
      <c r="E368" s="56"/>
      <c r="F368" s="53"/>
      <c r="G368" s="53"/>
      <c r="H368" s="53"/>
      <c r="I368" s="53"/>
      <c r="J368" s="57"/>
      <c r="K368" s="53"/>
      <c r="L368" s="57"/>
      <c r="M368" s="53"/>
      <c r="N368" s="53"/>
      <c r="O368" s="53"/>
      <c r="P368" s="53"/>
      <c r="Q368" s="57"/>
      <c r="R368" s="53"/>
      <c r="S368" s="57"/>
      <c r="T368" s="53"/>
      <c r="U368" s="53"/>
      <c r="V368" s="53"/>
      <c r="W368" s="53"/>
      <c r="X368" s="57"/>
      <c r="Y368" s="53"/>
      <c r="Z368" s="57"/>
      <c r="AA368" s="53"/>
      <c r="AB368" s="53"/>
      <c r="AC368" s="53"/>
      <c r="AD368" s="53"/>
      <c r="AE368" s="57"/>
      <c r="AF368" s="53"/>
      <c r="AG368" s="57"/>
      <c r="AH368" s="53"/>
      <c r="AI368" s="53"/>
      <c r="AJ368" s="56"/>
    </row>
    <row r="369">
      <c r="A369" s="59"/>
      <c r="B369" s="60"/>
      <c r="C369" s="61"/>
      <c r="D369" s="63"/>
      <c r="E369" s="63"/>
      <c r="F369" s="60"/>
      <c r="G369" s="60"/>
      <c r="H369" s="60"/>
      <c r="I369" s="60"/>
      <c r="J369" s="64"/>
      <c r="K369" s="60"/>
      <c r="L369" s="64"/>
      <c r="M369" s="60"/>
      <c r="N369" s="60"/>
      <c r="O369" s="60"/>
      <c r="P369" s="60"/>
      <c r="Q369" s="64"/>
      <c r="R369" s="60"/>
      <c r="S369" s="64"/>
      <c r="T369" s="60"/>
      <c r="U369" s="60"/>
      <c r="V369" s="60"/>
      <c r="W369" s="60"/>
      <c r="X369" s="64"/>
      <c r="Y369" s="60"/>
      <c r="Z369" s="64"/>
      <c r="AA369" s="60"/>
      <c r="AB369" s="60"/>
      <c r="AC369" s="60"/>
      <c r="AD369" s="60"/>
      <c r="AE369" s="64"/>
      <c r="AF369" s="60"/>
      <c r="AG369" s="64"/>
      <c r="AH369" s="60"/>
      <c r="AI369" s="60"/>
      <c r="AJ369" s="63"/>
    </row>
    <row r="370" ht="33.0" customHeight="1">
      <c r="A370" s="20" t="str">
        <f>IFERROR(__xludf.DUMMYFUNCTION("""COMPUTED_VALUE""")," ")</f>
        <v> </v>
      </c>
      <c r="B370" s="21" t="str">
        <f>IFERROR(__xludf.DUMMYFUNCTION("""COMPUTED_VALUE"""),"A208")</f>
        <v>A208</v>
      </c>
      <c r="C370" s="20"/>
      <c r="D370" s="257" t="str">
        <f>IFERROR(__xludf.DUMMYFUNCTION("""COMPUTED_VALUE"""),"")</f>
        <v/>
      </c>
      <c r="E370" s="23" t="str">
        <f>IFERROR(__xludf.DUMMYFUNCTION("""COMPUTED_VALUE"""),"Homunculus Baby")</f>
        <v>Homunculus Baby</v>
      </c>
      <c r="F370" s="24"/>
      <c r="G370" s="24"/>
      <c r="H370" s="25"/>
      <c r="I370" s="25"/>
      <c r="J370" s="26"/>
      <c r="K370" s="25"/>
      <c r="L370" s="26"/>
      <c r="M370" s="25"/>
      <c r="N370" s="25"/>
      <c r="O370" s="25"/>
      <c r="P370" s="25"/>
      <c r="Q370" s="26"/>
      <c r="R370" s="25"/>
      <c r="S370" s="26"/>
      <c r="T370" s="25"/>
      <c r="U370" s="25"/>
      <c r="V370" s="25"/>
      <c r="W370" s="25"/>
      <c r="X370" s="26"/>
      <c r="Y370" s="25"/>
      <c r="Z370" s="26"/>
      <c r="AA370" s="25"/>
      <c r="AB370" s="25"/>
      <c r="AC370" s="25"/>
      <c r="AD370" s="25"/>
      <c r="AE370" s="26"/>
      <c r="AF370" s="25"/>
      <c r="AG370" s="26"/>
      <c r="AH370" s="24"/>
      <c r="AI370" s="25"/>
      <c r="AJ370" s="23"/>
    </row>
    <row r="371" ht="24.75" customHeight="1">
      <c r="A371" s="28">
        <f>IFERROR(__xludf.DUMMYFUNCTION("""COMPUTED_VALUE"""),1.0)</f>
        <v>1</v>
      </c>
      <c r="B371" s="28" t="str">
        <f>IFERROR(__xludf.DUMMYFUNCTION("""COMPUTED_VALUE"""),"A208")</f>
        <v>A208</v>
      </c>
      <c r="C371" s="28" t="str">
        <f>IFERROR(__xludf.DUMMYFUNCTION("""COMPUTED_VALUE"""),"SLM5")</f>
        <v>SLM5</v>
      </c>
      <c r="D371" s="29" t="str">
        <f>IFERROR(__xludf.DUMMYFUNCTION("""COMPUTED_VALUE"""),"Salem")</f>
        <v>Salem</v>
      </c>
      <c r="E371" s="30" t="str">
        <f>IFERROR(__xludf.DUMMYFUNCTION("""COMPUTED_VALUE"""),"Whateley Residence")</f>
        <v>Whateley Residence</v>
      </c>
      <c r="F371" s="31">
        <f>IFERROR(__xludf.DUMMYFUNCTION("""COMPUTED_VALUE"""),21.0)</f>
        <v>21</v>
      </c>
      <c r="G371" s="32">
        <f>IFERROR(__xludf.DUMMYFUNCTION("""COMPUTED_VALUE"""),10693.0)</f>
        <v>10693</v>
      </c>
      <c r="H371" s="33" t="str">
        <f>IFERROR(__xludf.DUMMYFUNCTION("""COMPUTED_VALUE"""),"")</f>
        <v/>
      </c>
      <c r="I371" s="34">
        <f>IFERROR(__xludf.DUMMYFUNCTION("""COMPUTED_VALUE"""),52.74198276202234)</f>
        <v>52.74198276</v>
      </c>
      <c r="J371" s="35" t="str">
        <f>IFERROR(__xludf.DUMMYFUNCTION("""COMPUTED_VALUE"""),"AP")</f>
        <v>AP</v>
      </c>
      <c r="K371" s="34">
        <f>IFERROR(__xludf.DUMMYFUNCTION("""COMPUTED_VALUE"""),39.81647806976527)</f>
        <v>39.81647807</v>
      </c>
      <c r="L371" s="35" t="str">
        <f>IFERROR(__xludf.DUMMYFUNCTION("""COMPUTED_VALUE"""),"%")</f>
        <v>%</v>
      </c>
      <c r="M371" s="36">
        <f>IFERROR(__xludf.DUMMYFUNCTION("""COMPUTED_VALUE"""),1.0)</f>
        <v>1</v>
      </c>
      <c r="N371" s="37" t="str">
        <f>IFERROR(__xludf.DUMMYFUNCTION("""COMPUTED_VALUE"""),"B113")</f>
        <v>B113</v>
      </c>
      <c r="O371" s="38" t="str">
        <f>IFERROR(__xludf.DUMMYFUNCTION("""COMPUTED_VALUE"""),"")</f>
        <v/>
      </c>
      <c r="P371" s="34">
        <f>IFERROR(__xludf.DUMMYFUNCTION("""COMPUTED_VALUE"""),109.01116562844652)</f>
        <v>109.0111656</v>
      </c>
      <c r="Q371" s="35" t="str">
        <f>IFERROR(__xludf.DUMMYFUNCTION("""COMPUTED_VALUE"""),"AP")</f>
        <v>AP</v>
      </c>
      <c r="R371" s="34">
        <f>IFERROR(__xludf.DUMMYFUNCTION("""COMPUTED_VALUE"""),19.264081691940042)</f>
        <v>19.26408169</v>
      </c>
      <c r="S371" s="35" t="str">
        <f>IFERROR(__xludf.DUMMYFUNCTION("""COMPUTED_VALUE"""),"%")</f>
        <v>%</v>
      </c>
      <c r="T371" s="36">
        <f>IFERROR(__xludf.DUMMYFUNCTION("""COMPUTED_VALUE"""),2.0)</f>
        <v>2</v>
      </c>
      <c r="U371" s="37"/>
      <c r="V371" s="38"/>
      <c r="W371" s="34" t="str">
        <f>IFERROR(__xludf.DUMMYFUNCTION("""COMPUTED_VALUE"""),"")</f>
        <v/>
      </c>
      <c r="X371" s="35" t="str">
        <f>IFERROR(__xludf.DUMMYFUNCTION("""COMPUTED_VALUE"""),"AP")</f>
        <v>AP</v>
      </c>
      <c r="Y371" s="34" t="str">
        <f>IFERROR(__xludf.DUMMYFUNCTION("""COMPUTED_VALUE"""),"")</f>
        <v/>
      </c>
      <c r="Z371" s="35" t="str">
        <f>IFERROR(__xludf.DUMMYFUNCTION("""COMPUTED_VALUE"""),"%")</f>
        <v>%</v>
      </c>
      <c r="AA371" s="36">
        <f>IFERROR(__xludf.DUMMYFUNCTION("""COMPUTED_VALUE"""),3.0)</f>
        <v>3</v>
      </c>
      <c r="AB371" s="37"/>
      <c r="AC371" s="38"/>
      <c r="AD371" s="34" t="str">
        <f>IFERROR(__xludf.DUMMYFUNCTION("""COMPUTED_VALUE"""),"")</f>
        <v/>
      </c>
      <c r="AE371" s="35" t="str">
        <f>IFERROR(__xludf.DUMMYFUNCTION("""COMPUTED_VALUE"""),"AP")</f>
        <v>AP</v>
      </c>
      <c r="AF371" s="34" t="str">
        <f>IFERROR(__xludf.DUMMYFUNCTION("""COMPUTED_VALUE"""),"")</f>
        <v/>
      </c>
      <c r="AG371" s="35" t="str">
        <f>IFERROR(__xludf.DUMMYFUNCTION("""COMPUTED_VALUE"""),"%")</f>
        <v>%</v>
      </c>
      <c r="AH371" s="31">
        <f>IFERROR(__xludf.DUMMYFUNCTION("""COMPUTED_VALUE"""),21.0)</f>
        <v>21</v>
      </c>
      <c r="AI371" s="32">
        <f>IFERROR(__xludf.DUMMYFUNCTION("""COMPUTED_VALUE"""),10693.0)</f>
        <v>10693</v>
      </c>
      <c r="AJ371" s="30" t="str">
        <f>IFERROR(__xludf.DUMMYFUNCTION("""COMPUTED_VALUE"""),"Whateley Residence")</f>
        <v>Whateley Residence</v>
      </c>
    </row>
    <row r="372" ht="24.75" customHeight="1">
      <c r="A372" s="40">
        <f>IFERROR(__xludf.DUMMYFUNCTION("""COMPUTED_VALUE"""),2.0)</f>
        <v>2</v>
      </c>
      <c r="B372" s="40" t="str">
        <f>IFERROR(__xludf.DUMMYFUNCTION("""COMPUTED_VALUE"""),"A208")</f>
        <v>A208</v>
      </c>
      <c r="C372" s="40" t="str">
        <f>IFERROR(__xludf.DUMMYFUNCTION("""COMPUTED_VALUE"""),"LDN8")</f>
        <v>LDN8</v>
      </c>
      <c r="D372" s="41" t="str">
        <f>IFERROR(__xludf.DUMMYFUNCTION("""COMPUTED_VALUE"""),"London")</f>
        <v>London</v>
      </c>
      <c r="E372" s="42" t="str">
        <f>IFERROR(__xludf.DUMMYFUNCTION("""COMPUTED_VALUE"""),"Southwark")</f>
        <v>Southwark</v>
      </c>
      <c r="F372" s="43">
        <f>IFERROR(__xludf.DUMMYFUNCTION("""COMPUTED_VALUE"""),19.0)</f>
        <v>19</v>
      </c>
      <c r="G372" s="44">
        <f>IFERROR(__xludf.DUMMYFUNCTION("""COMPUTED_VALUE"""),10119.0)</f>
        <v>10119</v>
      </c>
      <c r="H372" s="33" t="str">
        <f>IFERROR(__xludf.DUMMYFUNCTION("""COMPUTED_VALUE"""),"")</f>
        <v/>
      </c>
      <c r="I372" s="45">
        <f>IFERROR(__xludf.DUMMYFUNCTION("""COMPUTED_VALUE"""),62.150574548783545)</f>
        <v>62.15057455</v>
      </c>
      <c r="J372" s="46" t="str">
        <f>IFERROR(__xludf.DUMMYFUNCTION("""COMPUTED_VALUE"""),"AP")</f>
        <v>AP</v>
      </c>
      <c r="K372" s="47">
        <f>IFERROR(__xludf.DUMMYFUNCTION("""COMPUTED_VALUE"""),30.5709160984287)</f>
        <v>30.5709161</v>
      </c>
      <c r="L372" s="48" t="str">
        <f>IFERROR(__xludf.DUMMYFUNCTION("""COMPUTED_VALUE"""),"%")</f>
        <v>%</v>
      </c>
      <c r="M372" s="49">
        <f>IFERROR(__xludf.DUMMYFUNCTION("""COMPUTED_VALUE"""),1.0)</f>
        <v>1</v>
      </c>
      <c r="N372" s="50" t="str">
        <f>IFERROR(__xludf.DUMMYFUNCTION("""COMPUTED_VALUE"""),"A302")</f>
        <v>A302</v>
      </c>
      <c r="O372" s="38" t="str">
        <f>IFERROR(__xludf.DUMMYFUNCTION("""COMPUTED_VALUE"""),"")</f>
        <v/>
      </c>
      <c r="P372" s="45">
        <f>IFERROR(__xludf.DUMMYFUNCTION("""COMPUTED_VALUE"""),68.479040201397)</f>
        <v>68.4790402</v>
      </c>
      <c r="Q372" s="46" t="str">
        <f>IFERROR(__xludf.DUMMYFUNCTION("""COMPUTED_VALUE"""),"AP")</f>
        <v>AP</v>
      </c>
      <c r="R372" s="47">
        <f>IFERROR(__xludf.DUMMYFUNCTION("""COMPUTED_VALUE"""),27.745715979839908)</f>
        <v>27.74571598</v>
      </c>
      <c r="S372" s="48" t="str">
        <f>IFERROR(__xludf.DUMMYFUNCTION("""COMPUTED_VALUE"""),"%")</f>
        <v>%</v>
      </c>
      <c r="T372" s="49">
        <f>IFERROR(__xludf.DUMMYFUNCTION("""COMPUTED_VALUE"""),2.0)</f>
        <v>2</v>
      </c>
      <c r="U372" s="50" t="str">
        <f>IFERROR(__xludf.DUMMYFUNCTION("""COMPUTED_VALUE"""),"B113")</f>
        <v>B113</v>
      </c>
      <c r="V372" s="38" t="str">
        <f>IFERROR(__xludf.DUMMYFUNCTION("""COMPUTED_VALUE"""),"")</f>
        <v/>
      </c>
      <c r="W372" s="45">
        <f>IFERROR(__xludf.DUMMYFUNCTION("""COMPUTED_VALUE"""),193.07461643365139)</f>
        <v>193.0746164</v>
      </c>
      <c r="X372" s="46" t="str">
        <f>IFERROR(__xludf.DUMMYFUNCTION("""COMPUTED_VALUE"""),"AP")</f>
        <v>AP</v>
      </c>
      <c r="Y372" s="47">
        <f>IFERROR(__xludf.DUMMYFUNCTION("""COMPUTED_VALUE"""),9.84075501531772)</f>
        <v>9.840755015</v>
      </c>
      <c r="Z372" s="48" t="str">
        <f>IFERROR(__xludf.DUMMYFUNCTION("""COMPUTED_VALUE"""),"%")</f>
        <v>%</v>
      </c>
      <c r="AA372" s="49">
        <f>IFERROR(__xludf.DUMMYFUNCTION("""COMPUTED_VALUE"""),3.0)</f>
        <v>3</v>
      </c>
      <c r="AB372" s="50"/>
      <c r="AC372" s="38"/>
      <c r="AD372" s="45" t="str">
        <f>IFERROR(__xludf.DUMMYFUNCTION("""COMPUTED_VALUE"""),"")</f>
        <v/>
      </c>
      <c r="AE372" s="46" t="str">
        <f>IFERROR(__xludf.DUMMYFUNCTION("""COMPUTED_VALUE"""),"AP")</f>
        <v>AP</v>
      </c>
      <c r="AF372" s="47" t="str">
        <f>IFERROR(__xludf.DUMMYFUNCTION("""COMPUTED_VALUE"""),"")</f>
        <v/>
      </c>
      <c r="AG372" s="48" t="str">
        <f>IFERROR(__xludf.DUMMYFUNCTION("""COMPUTED_VALUE"""),"%")</f>
        <v>%</v>
      </c>
      <c r="AH372" s="43">
        <f>IFERROR(__xludf.DUMMYFUNCTION("""COMPUTED_VALUE"""),19.0)</f>
        <v>19</v>
      </c>
      <c r="AI372" s="44">
        <f>IFERROR(__xludf.DUMMYFUNCTION("""COMPUTED_VALUE"""),10119.0)</f>
        <v>10119</v>
      </c>
      <c r="AJ372" s="42" t="str">
        <f>IFERROR(__xludf.DUMMYFUNCTION("""COMPUTED_VALUE"""),"Southwark")</f>
        <v>Southwark</v>
      </c>
    </row>
    <row r="373" ht="24.75" customHeight="1">
      <c r="A373" s="28">
        <f>IFERROR(__xludf.DUMMYFUNCTION("""COMPUTED_VALUE"""),3.0)</f>
        <v>3</v>
      </c>
      <c r="B373" s="28" t="str">
        <f>IFERROR(__xludf.DUMMYFUNCTION("""COMPUTED_VALUE"""),"A208")</f>
        <v>A208</v>
      </c>
      <c r="C373" s="28" t="str">
        <f>IFERROR(__xludf.DUMMYFUNCTION("""COMPUTED_VALUE"""),"LDN3")</f>
        <v>LDN3</v>
      </c>
      <c r="D373" s="29" t="str">
        <f>IFERROR(__xludf.DUMMYFUNCTION("""COMPUTED_VALUE"""),"London")</f>
        <v>London</v>
      </c>
      <c r="E373" s="30" t="str">
        <f>IFERROR(__xludf.DUMMYFUNCTION("""COMPUTED_VALUE"""),"City of London")</f>
        <v>City of London</v>
      </c>
      <c r="F373" s="31">
        <f>IFERROR(__xludf.DUMMYFUNCTION("""COMPUTED_VALUE"""),15.0)</f>
        <v>15</v>
      </c>
      <c r="G373" s="32">
        <f>IFERROR(__xludf.DUMMYFUNCTION("""COMPUTED_VALUE"""),1154.0)</f>
        <v>1154</v>
      </c>
      <c r="H373" s="33" t="str">
        <f>IFERROR(__xludf.DUMMYFUNCTION("""COMPUTED_VALUE"""),"")</f>
        <v/>
      </c>
      <c r="I373" s="34">
        <f>IFERROR(__xludf.DUMMYFUNCTION("""COMPUTED_VALUE"""),130.51542660674968)</f>
        <v>130.5154266</v>
      </c>
      <c r="J373" s="35" t="str">
        <f>IFERROR(__xludf.DUMMYFUNCTION("""COMPUTED_VALUE"""),"AP")</f>
        <v>AP</v>
      </c>
      <c r="K373" s="34">
        <f>IFERROR(__xludf.DUMMYFUNCTION("""COMPUTED_VALUE"""),11.492894280762567)</f>
        <v>11.49289428</v>
      </c>
      <c r="L373" s="35" t="str">
        <f>IFERROR(__xludf.DUMMYFUNCTION("""COMPUTED_VALUE"""),"%")</f>
        <v>%</v>
      </c>
      <c r="M373" s="36">
        <f>IFERROR(__xludf.DUMMYFUNCTION("""COMPUTED_VALUE"""),1.0)</f>
        <v>1</v>
      </c>
      <c r="N373" s="37"/>
      <c r="O373" s="38"/>
      <c r="P373" s="34" t="str">
        <f>IFERROR(__xludf.DUMMYFUNCTION("""COMPUTED_VALUE"""),"")</f>
        <v/>
      </c>
      <c r="Q373" s="35" t="str">
        <f>IFERROR(__xludf.DUMMYFUNCTION("""COMPUTED_VALUE"""),"AP")</f>
        <v>AP</v>
      </c>
      <c r="R373" s="34" t="str">
        <f>IFERROR(__xludf.DUMMYFUNCTION("""COMPUTED_VALUE"""),"")</f>
        <v/>
      </c>
      <c r="S373" s="35" t="str">
        <f>IFERROR(__xludf.DUMMYFUNCTION("""COMPUTED_VALUE"""),"%")</f>
        <v>%</v>
      </c>
      <c r="T373" s="36">
        <f>IFERROR(__xludf.DUMMYFUNCTION("""COMPUTED_VALUE"""),2.0)</f>
        <v>2</v>
      </c>
      <c r="U373" s="37"/>
      <c r="V373" s="38"/>
      <c r="W373" s="34" t="str">
        <f>IFERROR(__xludf.DUMMYFUNCTION("""COMPUTED_VALUE"""),"")</f>
        <v/>
      </c>
      <c r="X373" s="35" t="str">
        <f>IFERROR(__xludf.DUMMYFUNCTION("""COMPUTED_VALUE"""),"AP")</f>
        <v>AP</v>
      </c>
      <c r="Y373" s="34" t="str">
        <f>IFERROR(__xludf.DUMMYFUNCTION("""COMPUTED_VALUE"""),"")</f>
        <v/>
      </c>
      <c r="Z373" s="35" t="str">
        <f>IFERROR(__xludf.DUMMYFUNCTION("""COMPUTED_VALUE"""),"%")</f>
        <v>%</v>
      </c>
      <c r="AA373" s="36">
        <f>IFERROR(__xludf.DUMMYFUNCTION("""COMPUTED_VALUE"""),3.0)</f>
        <v>3</v>
      </c>
      <c r="AB373" s="37"/>
      <c r="AC373" s="38"/>
      <c r="AD373" s="34" t="str">
        <f>IFERROR(__xludf.DUMMYFUNCTION("""COMPUTED_VALUE"""),"")</f>
        <v/>
      </c>
      <c r="AE373" s="35" t="str">
        <f>IFERROR(__xludf.DUMMYFUNCTION("""COMPUTED_VALUE"""),"AP")</f>
        <v>AP</v>
      </c>
      <c r="AF373" s="34" t="str">
        <f>IFERROR(__xludf.DUMMYFUNCTION("""COMPUTED_VALUE"""),"")</f>
        <v/>
      </c>
      <c r="AG373" s="35" t="str">
        <f>IFERROR(__xludf.DUMMYFUNCTION("""COMPUTED_VALUE"""),"%")</f>
        <v>%</v>
      </c>
      <c r="AH373" s="31">
        <f>IFERROR(__xludf.DUMMYFUNCTION("""COMPUTED_VALUE"""),15.0)</f>
        <v>15</v>
      </c>
      <c r="AI373" s="32">
        <f>IFERROR(__xludf.DUMMYFUNCTION("""COMPUTED_VALUE"""),1154.0)</f>
        <v>1154</v>
      </c>
      <c r="AJ373" s="30" t="str">
        <f>IFERROR(__xludf.DUMMYFUNCTION("""COMPUTED_VALUE"""),"City of London")</f>
        <v>City of London</v>
      </c>
    </row>
    <row r="374" ht="24.75" customHeight="1">
      <c r="A374" s="40">
        <f>IFERROR(__xludf.DUMMYFUNCTION("""COMPUTED_VALUE"""),4.0)</f>
        <v>4</v>
      </c>
      <c r="B374" s="40" t="str">
        <f>IFERROR(__xludf.DUMMYFUNCTION("""COMPUTED_VALUE"""),"A208")</f>
        <v>A208</v>
      </c>
      <c r="C374" s="40" t="str">
        <f>IFERROR(__xludf.DUMMYFUNCTION("""COMPUTED_VALUE"""),"LDN5")</f>
        <v>LDN5</v>
      </c>
      <c r="D374" s="41" t="str">
        <f>IFERROR(__xludf.DUMMYFUNCTION("""COMPUTED_VALUE"""),"London")</f>
        <v>London</v>
      </c>
      <c r="E374" s="42" t="str">
        <f>IFERROR(__xludf.DUMMYFUNCTION("""COMPUTED_VALUE"""),"Westminster")</f>
        <v>Westminster</v>
      </c>
      <c r="F374" s="43">
        <f>IFERROR(__xludf.DUMMYFUNCTION("""COMPUTED_VALUE"""),16.0)</f>
        <v>16</v>
      </c>
      <c r="G374" s="44">
        <f>IFERROR(__xludf.DUMMYFUNCTION("""COMPUTED_VALUE"""),1167.0)</f>
        <v>1167</v>
      </c>
      <c r="H374" s="33" t="str">
        <f>IFERROR(__xludf.DUMMYFUNCTION("""COMPUTED_VALUE"""),"")</f>
        <v/>
      </c>
      <c r="I374" s="45">
        <f>IFERROR(__xludf.DUMMYFUNCTION("""COMPUTED_VALUE"""),132.00704150671277)</f>
        <v>132.0070415</v>
      </c>
      <c r="J374" s="46" t="str">
        <f>IFERROR(__xludf.DUMMYFUNCTION("""COMPUTED_VALUE"""),"AP")</f>
        <v>AP</v>
      </c>
      <c r="K374" s="47">
        <f>IFERROR(__xludf.DUMMYFUNCTION("""COMPUTED_VALUE"""),12.12056555269923)</f>
        <v>12.12056555</v>
      </c>
      <c r="L374" s="48" t="str">
        <f>IFERROR(__xludf.DUMMYFUNCTION("""COMPUTED_VALUE"""),"%")</f>
        <v>%</v>
      </c>
      <c r="M374" s="49">
        <f>IFERROR(__xludf.DUMMYFUNCTION("""COMPUTED_VALUE"""),1.0)</f>
        <v>1</v>
      </c>
      <c r="N374" s="50" t="str">
        <f>IFERROR(__xludf.DUMMYFUNCTION("""COMPUTED_VALUE"""),"A304")</f>
        <v>A304</v>
      </c>
      <c r="O374" s="38" t="str">
        <f>IFERROR(__xludf.DUMMYFUNCTION("""COMPUTED_VALUE"""),"")</f>
        <v/>
      </c>
      <c r="P374" s="45">
        <f>IFERROR(__xludf.DUMMYFUNCTION("""COMPUTED_VALUE"""),105.31956297345012)</f>
        <v>105.319563</v>
      </c>
      <c r="Q374" s="46" t="str">
        <f>IFERROR(__xludf.DUMMYFUNCTION("""COMPUTED_VALUE"""),"AP")</f>
        <v>AP</v>
      </c>
      <c r="R374" s="47">
        <f>IFERROR(__xludf.DUMMYFUNCTION("""COMPUTED_VALUE"""),15.191859468723223)</f>
        <v>15.19185947</v>
      </c>
      <c r="S374" s="48" t="str">
        <f>IFERROR(__xludf.DUMMYFUNCTION("""COMPUTED_VALUE"""),"%")</f>
        <v>%</v>
      </c>
      <c r="T374" s="49">
        <f>IFERROR(__xludf.DUMMYFUNCTION("""COMPUTED_VALUE"""),2.0)</f>
        <v>2</v>
      </c>
      <c r="U374" s="50" t="str">
        <f>IFERROR(__xludf.DUMMYFUNCTION("""COMPUTED_VALUE"""),"B113")</f>
        <v>B113</v>
      </c>
      <c r="V374" s="38" t="str">
        <f>IFERROR(__xludf.DUMMYFUNCTION("""COMPUTED_VALUE"""),"")</f>
        <v/>
      </c>
      <c r="W374" s="45">
        <f>IFERROR(__xludf.DUMMYFUNCTION("""COMPUTED_VALUE"""),468.6511721299132)</f>
        <v>468.6511721</v>
      </c>
      <c r="X374" s="46" t="str">
        <f>IFERROR(__xludf.DUMMYFUNCTION("""COMPUTED_VALUE"""),"AP")</f>
        <v>AP</v>
      </c>
      <c r="Y374" s="47">
        <f>IFERROR(__xludf.DUMMYFUNCTION("""COMPUTED_VALUE"""),3.414053127677806)</f>
        <v>3.414053128</v>
      </c>
      <c r="Z374" s="48" t="str">
        <f>IFERROR(__xludf.DUMMYFUNCTION("""COMPUTED_VALUE"""),"%")</f>
        <v>%</v>
      </c>
      <c r="AA374" s="49">
        <f>IFERROR(__xludf.DUMMYFUNCTION("""COMPUTED_VALUE"""),3.0)</f>
        <v>3</v>
      </c>
      <c r="AB374" s="50"/>
      <c r="AC374" s="38"/>
      <c r="AD374" s="45" t="str">
        <f>IFERROR(__xludf.DUMMYFUNCTION("""COMPUTED_VALUE"""),"")</f>
        <v/>
      </c>
      <c r="AE374" s="46" t="str">
        <f>IFERROR(__xludf.DUMMYFUNCTION("""COMPUTED_VALUE"""),"AP")</f>
        <v>AP</v>
      </c>
      <c r="AF374" s="47" t="str">
        <f>IFERROR(__xludf.DUMMYFUNCTION("""COMPUTED_VALUE"""),"")</f>
        <v/>
      </c>
      <c r="AG374" s="48" t="str">
        <f>IFERROR(__xludf.DUMMYFUNCTION("""COMPUTED_VALUE"""),"%")</f>
        <v>%</v>
      </c>
      <c r="AH374" s="43">
        <f>IFERROR(__xludf.DUMMYFUNCTION("""COMPUTED_VALUE"""),16.0)</f>
        <v>16</v>
      </c>
      <c r="AI374" s="44">
        <f>IFERROR(__xludf.DUMMYFUNCTION("""COMPUTED_VALUE"""),1167.0)</f>
        <v>1167</v>
      </c>
      <c r="AJ374" s="42" t="str">
        <f>IFERROR(__xludf.DUMMYFUNCTION("""COMPUTED_VALUE"""),"Westminster")</f>
        <v>Westminster</v>
      </c>
    </row>
    <row r="375" ht="24.75" customHeight="1">
      <c r="A375" s="28">
        <f>IFERROR(__xludf.DUMMYFUNCTION("""COMPUTED_VALUE"""),5.0)</f>
        <v>5</v>
      </c>
      <c r="B375" s="28" t="str">
        <f>IFERROR(__xludf.DUMMYFUNCTION("""COMPUTED_VALUE"""),"A208")</f>
        <v>A208</v>
      </c>
      <c r="C375" s="28" t="str">
        <f>IFERROR(__xludf.DUMMYFUNCTION("""COMPUTED_VALUE"""),"TRF7")</f>
        <v>TRF7</v>
      </c>
      <c r="D375" s="29" t="str">
        <f>IFERROR(__xludf.DUMMYFUNCTION("""COMPUTED_VALUE"""),"Chaldea Gate (Tue)")</f>
        <v>Chaldea Gate (Tue)</v>
      </c>
      <c r="E375" s="30" t="str">
        <f>IFERROR(__xludf.DUMMYFUNCTION("""COMPUTED_VALUE"""),"TUE Lancer Training Ground- Adv")</f>
        <v>TUE Lancer Training Ground- Adv</v>
      </c>
      <c r="F375" s="31">
        <f>IFERROR(__xludf.DUMMYFUNCTION("""COMPUTED_VALUE"""),30.0)</f>
        <v>30</v>
      </c>
      <c r="G375" s="32">
        <f>IFERROR(__xludf.DUMMYFUNCTION("""COMPUTED_VALUE"""),1232.0)</f>
        <v>1232</v>
      </c>
      <c r="H375" s="33" t="str">
        <f>IFERROR(__xludf.DUMMYFUNCTION("""COMPUTED_VALUE"""),"")</f>
        <v/>
      </c>
      <c r="I375" s="34">
        <f>IFERROR(__xludf.DUMMYFUNCTION("""COMPUTED_VALUE"""),170.2127659574468)</f>
        <v>170.212766</v>
      </c>
      <c r="J375" s="35" t="str">
        <f>IFERROR(__xludf.DUMMYFUNCTION("""COMPUTED_VALUE"""),"AP")</f>
        <v>AP</v>
      </c>
      <c r="K375" s="34">
        <f>IFERROR(__xludf.DUMMYFUNCTION("""COMPUTED_VALUE"""),17.625)</f>
        <v>17.625</v>
      </c>
      <c r="L375" s="35" t="str">
        <f>IFERROR(__xludf.DUMMYFUNCTION("""COMPUTED_VALUE"""),"%")</f>
        <v>%</v>
      </c>
      <c r="M375" s="36">
        <f>IFERROR(__xludf.DUMMYFUNCTION("""COMPUTED_VALUE"""),1.0)</f>
        <v>1</v>
      </c>
      <c r="N375" s="37" t="str">
        <f>IFERROR(__xludf.DUMMYFUNCTION("""COMPUTED_VALUE"""),"A105")</f>
        <v>A105</v>
      </c>
      <c r="O375" s="38" t="str">
        <f>IFERROR(__xludf.DUMMYFUNCTION("""COMPUTED_VALUE"""),"")</f>
        <v/>
      </c>
      <c r="P375" s="34">
        <f>IFERROR(__xludf.DUMMYFUNCTION("""COMPUTED_VALUE"""),484.35923309788086)</f>
        <v>484.3592331</v>
      </c>
      <c r="Q375" s="35" t="str">
        <f>IFERROR(__xludf.DUMMYFUNCTION("""COMPUTED_VALUE"""),"AP")</f>
        <v>AP</v>
      </c>
      <c r="R375" s="34">
        <f>IFERROR(__xludf.DUMMYFUNCTION("""COMPUTED_VALUE"""),6.1937500000000005)</f>
        <v>6.19375</v>
      </c>
      <c r="S375" s="35" t="str">
        <f>IFERROR(__xludf.DUMMYFUNCTION("""COMPUTED_VALUE"""),"%")</f>
        <v>%</v>
      </c>
      <c r="T375" s="36">
        <f>IFERROR(__xludf.DUMMYFUNCTION("""COMPUTED_VALUE"""),2.0)</f>
        <v>2</v>
      </c>
      <c r="U375" s="37" t="str">
        <f>IFERROR(__xludf.DUMMYFUNCTION("""COMPUTED_VALUE"""),"A201")</f>
        <v>A201</v>
      </c>
      <c r="V375" s="38" t="str">
        <f>IFERROR(__xludf.DUMMYFUNCTION("""COMPUTED_VALUE"""),"")</f>
        <v/>
      </c>
      <c r="W375" s="34">
        <f>IFERROR(__xludf.DUMMYFUNCTION("""COMPUTED_VALUE"""),156.64800396705982)</f>
        <v>156.648004</v>
      </c>
      <c r="X375" s="35" t="str">
        <f>IFERROR(__xludf.DUMMYFUNCTION("""COMPUTED_VALUE"""),"AP")</f>
        <v>AP</v>
      </c>
      <c r="Y375" s="34">
        <f>IFERROR(__xludf.DUMMYFUNCTION("""COMPUTED_VALUE"""),19.151217532467534)</f>
        <v>19.15121753</v>
      </c>
      <c r="Z375" s="35" t="str">
        <f>IFERROR(__xludf.DUMMYFUNCTION("""COMPUTED_VALUE"""),"%")</f>
        <v>%</v>
      </c>
      <c r="AA375" s="36">
        <f>IFERROR(__xludf.DUMMYFUNCTION("""COMPUTED_VALUE"""),3.0)</f>
        <v>3</v>
      </c>
      <c r="AB375" s="37" t="str">
        <f>IFERROR(__xludf.DUMMYFUNCTION("""COMPUTED_VALUE"""),"A205")</f>
        <v>A205</v>
      </c>
      <c r="AC375" s="38" t="str">
        <f>IFERROR(__xludf.DUMMYFUNCTION("""COMPUTED_VALUE"""),"")</f>
        <v/>
      </c>
      <c r="AD375" s="34">
        <f>IFERROR(__xludf.DUMMYFUNCTION("""COMPUTED_VALUE"""),361.3680361368036)</f>
        <v>361.3680361</v>
      </c>
      <c r="AE375" s="35" t="str">
        <f>IFERROR(__xludf.DUMMYFUNCTION("""COMPUTED_VALUE"""),"AP")</f>
        <v>AP</v>
      </c>
      <c r="AF375" s="34">
        <f>IFERROR(__xludf.DUMMYFUNCTION("""COMPUTED_VALUE"""),8.301785714285714)</f>
        <v>8.301785714</v>
      </c>
      <c r="AG375" s="35" t="str">
        <f>IFERROR(__xludf.DUMMYFUNCTION("""COMPUTED_VALUE"""),"%")</f>
        <v>%</v>
      </c>
      <c r="AH375" s="31">
        <f>IFERROR(__xludf.DUMMYFUNCTION("""COMPUTED_VALUE"""),30.0)</f>
        <v>30</v>
      </c>
      <c r="AI375" s="32">
        <f>IFERROR(__xludf.DUMMYFUNCTION("""COMPUTED_VALUE"""),1232.0)</f>
        <v>1232</v>
      </c>
      <c r="AJ375" s="30" t="str">
        <f>IFERROR(__xludf.DUMMYFUNCTION("""COMPUTED_VALUE"""),"TUE Lancer Training Ground- Adv")</f>
        <v>TUE Lancer Training Ground- Adv</v>
      </c>
    </row>
    <row r="376" ht="24.75" customHeight="1">
      <c r="A376" s="40">
        <f>IFERROR(__xludf.DUMMYFUNCTION("""COMPUTED_VALUE"""),6.0)</f>
        <v>6</v>
      </c>
      <c r="B376" s="40" t="str">
        <f>IFERROR(__xludf.DUMMYFUNCTION("""COMPUTED_VALUE"""),"A208")</f>
        <v>A208</v>
      </c>
      <c r="C376" s="40" t="str">
        <f>IFERROR(__xludf.DUMMYFUNCTION("""COMPUTED_VALUE"""),"LDN4")</f>
        <v>LDN4</v>
      </c>
      <c r="D376" s="41" t="str">
        <f>IFERROR(__xludf.DUMMYFUNCTION("""COMPUTED_VALUE"""),"London")</f>
        <v>London</v>
      </c>
      <c r="E376" s="42" t="str">
        <f>IFERROR(__xludf.DUMMYFUNCTION("""COMPUTED_VALUE"""),"Soho")</f>
        <v>Soho</v>
      </c>
      <c r="F376" s="43">
        <f>IFERROR(__xludf.DUMMYFUNCTION("""COMPUTED_VALUE"""),16.0)</f>
        <v>16</v>
      </c>
      <c r="G376" s="44">
        <f>IFERROR(__xludf.DUMMYFUNCTION("""COMPUTED_VALUE"""),1159.0)</f>
        <v>1159</v>
      </c>
      <c r="H376" s="33" t="str">
        <f>IFERROR(__xludf.DUMMYFUNCTION("""COMPUTED_VALUE"""),"")</f>
        <v/>
      </c>
      <c r="I376" s="45">
        <f>IFERROR(__xludf.DUMMYFUNCTION("""COMPUTED_VALUE"""),178.91669721938132)</f>
        <v>178.9166972</v>
      </c>
      <c r="J376" s="46" t="str">
        <f>IFERROR(__xludf.DUMMYFUNCTION("""COMPUTED_VALUE"""),"AP")</f>
        <v>AP</v>
      </c>
      <c r="K376" s="47">
        <f>IFERROR(__xludf.DUMMYFUNCTION("""COMPUTED_VALUE"""),8.942709232096636)</f>
        <v>8.942709232</v>
      </c>
      <c r="L376" s="48" t="str">
        <f>IFERROR(__xludf.DUMMYFUNCTION("""COMPUTED_VALUE"""),"%")</f>
        <v>%</v>
      </c>
      <c r="M376" s="49">
        <f>IFERROR(__xludf.DUMMYFUNCTION("""COMPUTED_VALUE"""),1.0)</f>
        <v>1</v>
      </c>
      <c r="N376" s="50" t="str">
        <f>IFERROR(__xludf.DUMMYFUNCTION("""COMPUTED_VALUE"""),"A206")</f>
        <v>A206</v>
      </c>
      <c r="O376" s="38" t="str">
        <f>IFERROR(__xludf.DUMMYFUNCTION("""COMPUTED_VALUE"""),"")</f>
        <v/>
      </c>
      <c r="P376" s="45">
        <f>IFERROR(__xludf.DUMMYFUNCTION("""COMPUTED_VALUE"""),276.1660808959314)</f>
        <v>276.1660809</v>
      </c>
      <c r="Q376" s="46" t="str">
        <f>IFERROR(__xludf.DUMMYFUNCTION("""COMPUTED_VALUE"""),"AP")</f>
        <v>AP</v>
      </c>
      <c r="R376" s="47">
        <f>IFERROR(__xludf.DUMMYFUNCTION("""COMPUTED_VALUE"""),5.793615185504746)</f>
        <v>5.793615186</v>
      </c>
      <c r="S376" s="48" t="str">
        <f>IFERROR(__xludf.DUMMYFUNCTION("""COMPUTED_VALUE"""),"%")</f>
        <v>%</v>
      </c>
      <c r="T376" s="49">
        <f>IFERROR(__xludf.DUMMYFUNCTION("""COMPUTED_VALUE"""),2.0)</f>
        <v>2</v>
      </c>
      <c r="U376" s="50" t="str">
        <f>IFERROR(__xludf.DUMMYFUNCTION("""COMPUTED_VALUE"""),"A304")</f>
        <v>A304</v>
      </c>
      <c r="V376" s="38" t="str">
        <f>IFERROR(__xludf.DUMMYFUNCTION("""COMPUTED_VALUE"""),"")</f>
        <v/>
      </c>
      <c r="W376" s="45">
        <f>IFERROR(__xludf.DUMMYFUNCTION("""COMPUTED_VALUE"""),94.85907207529796)</f>
        <v>94.85907208</v>
      </c>
      <c r="X376" s="46" t="str">
        <f>IFERROR(__xludf.DUMMYFUNCTION("""COMPUTED_VALUE"""),"AP")</f>
        <v>AP</v>
      </c>
      <c r="Y376" s="47">
        <f>IFERROR(__xludf.DUMMYFUNCTION("""COMPUTED_VALUE"""),16.867126833477137)</f>
        <v>16.86712683</v>
      </c>
      <c r="Z376" s="48" t="str">
        <f>IFERROR(__xludf.DUMMYFUNCTION("""COMPUTED_VALUE"""),"%")</f>
        <v>%</v>
      </c>
      <c r="AA376" s="49">
        <f>IFERROR(__xludf.DUMMYFUNCTION("""COMPUTED_VALUE"""),3.0)</f>
        <v>3</v>
      </c>
      <c r="AB376" s="50" t="str">
        <f>IFERROR(__xludf.DUMMYFUNCTION("""COMPUTED_VALUE"""),"B113")</f>
        <v>B113</v>
      </c>
      <c r="AC376" s="38" t="str">
        <f>IFERROR(__xludf.DUMMYFUNCTION("""COMPUTED_VALUE"""),"")</f>
        <v/>
      </c>
      <c r="AD376" s="45">
        <f>IFERROR(__xludf.DUMMYFUNCTION("""COMPUTED_VALUE"""),336.6250363055475)</f>
        <v>336.6250363</v>
      </c>
      <c r="AE376" s="46" t="str">
        <f>IFERROR(__xludf.DUMMYFUNCTION("""COMPUTED_VALUE"""),"AP")</f>
        <v>AP</v>
      </c>
      <c r="AF376" s="47">
        <f>IFERROR(__xludf.DUMMYFUNCTION("""COMPUTED_VALUE"""),4.753062985332183)</f>
        <v>4.753062985</v>
      </c>
      <c r="AG376" s="48" t="str">
        <f>IFERROR(__xludf.DUMMYFUNCTION("""COMPUTED_VALUE"""),"%")</f>
        <v>%</v>
      </c>
      <c r="AH376" s="43">
        <f>IFERROR(__xludf.DUMMYFUNCTION("""COMPUTED_VALUE"""),16.0)</f>
        <v>16</v>
      </c>
      <c r="AI376" s="44">
        <f>IFERROR(__xludf.DUMMYFUNCTION("""COMPUTED_VALUE"""),1159.0)</f>
        <v>1159</v>
      </c>
      <c r="AJ376" s="42" t="str">
        <f>IFERROR(__xludf.DUMMYFUNCTION("""COMPUTED_VALUE"""),"Soho")</f>
        <v>Soho</v>
      </c>
    </row>
    <row r="377" ht="24.75" customHeight="1">
      <c r="A377" s="28">
        <f>IFERROR(__xludf.DUMMYFUNCTION("""COMPUTED_VALUE"""),7.0)</f>
        <v>7</v>
      </c>
      <c r="B377" s="28" t="str">
        <f>IFERROR(__xludf.DUMMYFUNCTION("""COMPUTED_VALUE"""),"A208")</f>
        <v>A208</v>
      </c>
      <c r="C377" s="28" t="str">
        <f>IFERROR(__xludf.DUMMYFUNCTION("""COMPUTED_VALUE"""),"TRF8")</f>
        <v>TRF8</v>
      </c>
      <c r="D377" s="29" t="str">
        <f>IFERROR(__xludf.DUMMYFUNCTION("""COMPUTED_VALUE"""),"Chaldea Gate (Tue)")</f>
        <v>Chaldea Gate (Tue)</v>
      </c>
      <c r="E377" s="30" t="str">
        <f>IFERROR(__xludf.DUMMYFUNCTION("""COMPUTED_VALUE"""),"TUE Lancer Training Ground- Exp")</f>
        <v>TUE Lancer Training Ground- Exp</v>
      </c>
      <c r="F377" s="31">
        <f>IFERROR(__xludf.DUMMYFUNCTION("""COMPUTED_VALUE"""),40.0)</f>
        <v>40</v>
      </c>
      <c r="G377" s="32">
        <f>IFERROR(__xludf.DUMMYFUNCTION("""COMPUTED_VALUE"""),7227.0)</f>
        <v>7227</v>
      </c>
      <c r="H377" s="33" t="str">
        <f>IFERROR(__xludf.DUMMYFUNCTION("""COMPUTED_VALUE"""),"")</f>
        <v/>
      </c>
      <c r="I377" s="34">
        <f>IFERROR(__xludf.DUMMYFUNCTION("""COMPUTED_VALUE"""),188.54805992734103)</f>
        <v>188.5480599</v>
      </c>
      <c r="J377" s="35" t="str">
        <f>IFERROR(__xludf.DUMMYFUNCTION("""COMPUTED_VALUE"""),"AP")</f>
        <v>AP</v>
      </c>
      <c r="K377" s="34">
        <f>IFERROR(__xludf.DUMMYFUNCTION("""COMPUTED_VALUE"""),21.214750242147502)</f>
        <v>21.21475024</v>
      </c>
      <c r="L377" s="35" t="str">
        <f>IFERROR(__xludf.DUMMYFUNCTION("""COMPUTED_VALUE"""),"%")</f>
        <v>%</v>
      </c>
      <c r="M377" s="36">
        <f>IFERROR(__xludf.DUMMYFUNCTION("""COMPUTED_VALUE"""),1.0)</f>
        <v>1</v>
      </c>
      <c r="N377" s="37" t="str">
        <f>IFERROR(__xludf.DUMMYFUNCTION("""COMPUTED_VALUE"""),"A105")</f>
        <v>A105</v>
      </c>
      <c r="O377" s="38" t="str">
        <f>IFERROR(__xludf.DUMMYFUNCTION("""COMPUTED_VALUE"""),"")</f>
        <v/>
      </c>
      <c r="P377" s="34">
        <f>IFERROR(__xludf.DUMMYFUNCTION("""COMPUTED_VALUE"""),313.494989806099)</f>
        <v>313.4949898</v>
      </c>
      <c r="Q377" s="35" t="str">
        <f>IFERROR(__xludf.DUMMYFUNCTION("""COMPUTED_VALUE"""),"AP")</f>
        <v>AP</v>
      </c>
      <c r="R377" s="34">
        <f>IFERROR(__xludf.DUMMYFUNCTION("""COMPUTED_VALUE"""),12.759374567593746)</f>
        <v>12.75937457</v>
      </c>
      <c r="S377" s="35" t="str">
        <f>IFERROR(__xludf.DUMMYFUNCTION("""COMPUTED_VALUE"""),"%")</f>
        <v>%</v>
      </c>
      <c r="T377" s="36">
        <f>IFERROR(__xludf.DUMMYFUNCTION("""COMPUTED_VALUE"""),2.0)</f>
        <v>2</v>
      </c>
      <c r="U377" s="37" t="str">
        <f>IFERROR(__xludf.DUMMYFUNCTION("""COMPUTED_VALUE"""),"A201")</f>
        <v>A201</v>
      </c>
      <c r="V377" s="38" t="str">
        <f>IFERROR(__xludf.DUMMYFUNCTION("""COMPUTED_VALUE"""),"")</f>
        <v/>
      </c>
      <c r="W377" s="34">
        <f>IFERROR(__xludf.DUMMYFUNCTION("""COMPUTED_VALUE"""),156.2991678967089)</f>
        <v>156.2991679</v>
      </c>
      <c r="X377" s="35" t="str">
        <f>IFERROR(__xludf.DUMMYFUNCTION("""COMPUTED_VALUE"""),"AP")</f>
        <v>AP</v>
      </c>
      <c r="Y377" s="34">
        <f>IFERROR(__xludf.DUMMYFUNCTION("""COMPUTED_VALUE"""),25.591946865919468)</f>
        <v>25.59194687</v>
      </c>
      <c r="Z377" s="35" t="str">
        <f>IFERROR(__xludf.DUMMYFUNCTION("""COMPUTED_VALUE"""),"%")</f>
        <v>%</v>
      </c>
      <c r="AA377" s="36">
        <f>IFERROR(__xludf.DUMMYFUNCTION("""COMPUTED_VALUE"""),3.0)</f>
        <v>3</v>
      </c>
      <c r="AB377" s="37" t="str">
        <f>IFERROR(__xludf.DUMMYFUNCTION("""COMPUTED_VALUE"""),"A205")</f>
        <v>A205</v>
      </c>
      <c r="AC377" s="38" t="str">
        <f>IFERROR(__xludf.DUMMYFUNCTION("""COMPUTED_VALUE"""),"")</f>
        <v/>
      </c>
      <c r="AD377" s="34">
        <f>IFERROR(__xludf.DUMMYFUNCTION("""COMPUTED_VALUE"""),355.1787688905271)</f>
        <v>355.1787689</v>
      </c>
      <c r="AE377" s="35" t="str">
        <f>IFERROR(__xludf.DUMMYFUNCTION("""COMPUTED_VALUE"""),"AP")</f>
        <v>AP</v>
      </c>
      <c r="AF377" s="34">
        <f>IFERROR(__xludf.DUMMYFUNCTION("""COMPUTED_VALUE"""),11.261934412619343)</f>
        <v>11.26193441</v>
      </c>
      <c r="AG377" s="35" t="str">
        <f>IFERROR(__xludf.DUMMYFUNCTION("""COMPUTED_VALUE"""),"%")</f>
        <v>%</v>
      </c>
      <c r="AH377" s="31">
        <f>IFERROR(__xludf.DUMMYFUNCTION("""COMPUTED_VALUE"""),40.0)</f>
        <v>40</v>
      </c>
      <c r="AI377" s="32">
        <f>IFERROR(__xludf.DUMMYFUNCTION("""COMPUTED_VALUE"""),7227.0)</f>
        <v>7227</v>
      </c>
      <c r="AJ377" s="30" t="str">
        <f>IFERROR(__xludf.DUMMYFUNCTION("""COMPUTED_VALUE"""),"TUE Lancer Training Ground- Exp")</f>
        <v>TUE Lancer Training Ground- Exp</v>
      </c>
    </row>
    <row r="378" ht="24.75" customHeight="1">
      <c r="A378" s="40">
        <f>IFERROR(__xludf.DUMMYFUNCTION("""COMPUTED_VALUE"""),8.0)</f>
        <v>8</v>
      </c>
      <c r="B378" s="40" t="str">
        <f>IFERROR(__xludf.DUMMYFUNCTION("""COMPUTED_VALUE"""),"A208")</f>
        <v>A208</v>
      </c>
      <c r="C378" s="40" t="str">
        <f>IFERROR(__xludf.DUMMYFUNCTION("""COMPUTED_VALUE"""),"TRF6")</f>
        <v>TRF6</v>
      </c>
      <c r="D378" s="41" t="str">
        <f>IFERROR(__xludf.DUMMYFUNCTION("""COMPUTED_VALUE"""),"Chaldea Gate (Tue)")</f>
        <v>Chaldea Gate (Tue)</v>
      </c>
      <c r="E378" s="42" t="str">
        <f>IFERROR(__xludf.DUMMYFUNCTION("""COMPUTED_VALUE"""),"TUE Lancer Training Ground- Int")</f>
        <v>TUE Lancer Training Ground- Int</v>
      </c>
      <c r="F378" s="43">
        <f>IFERROR(__xludf.DUMMYFUNCTION("""COMPUTED_VALUE"""),20.0)</f>
        <v>20</v>
      </c>
      <c r="G378" s="44">
        <f>IFERROR(__xludf.DUMMYFUNCTION("""COMPUTED_VALUE"""),1151.0)</f>
        <v>1151</v>
      </c>
      <c r="H378" s="33" t="str">
        <f>IFERROR(__xludf.DUMMYFUNCTION("""COMPUTED_VALUE"""),"")</f>
        <v/>
      </c>
      <c r="I378" s="45">
        <f>IFERROR(__xludf.DUMMYFUNCTION("""COMPUTED_VALUE"""),194.83542246785893)</f>
        <v>194.8354225</v>
      </c>
      <c r="J378" s="46" t="str">
        <f>IFERROR(__xludf.DUMMYFUNCTION("""COMPUTED_VALUE"""),"AP")</f>
        <v>AP</v>
      </c>
      <c r="K378" s="47">
        <f>IFERROR(__xludf.DUMMYFUNCTION("""COMPUTED_VALUE"""),10.265073848827107)</f>
        <v>10.26507385</v>
      </c>
      <c r="L378" s="48" t="str">
        <f>IFERROR(__xludf.DUMMYFUNCTION("""COMPUTED_VALUE"""),"%")</f>
        <v>%</v>
      </c>
      <c r="M378" s="49">
        <f>IFERROR(__xludf.DUMMYFUNCTION("""COMPUTED_VALUE"""),1.0)</f>
        <v>1</v>
      </c>
      <c r="N378" s="50" t="str">
        <f>IFERROR(__xludf.DUMMYFUNCTION("""COMPUTED_VALUE"""),"A201")</f>
        <v>A201</v>
      </c>
      <c r="O378" s="38" t="str">
        <f>IFERROR(__xludf.DUMMYFUNCTION("""COMPUTED_VALUE"""),"")</f>
        <v/>
      </c>
      <c r="P378" s="45">
        <f>IFERROR(__xludf.DUMMYFUNCTION("""COMPUTED_VALUE"""),161.91769066827973)</f>
        <v>161.9176907</v>
      </c>
      <c r="Q378" s="46" t="str">
        <f>IFERROR(__xludf.DUMMYFUNCTION("""COMPUTED_VALUE"""),"AP")</f>
        <v>AP</v>
      </c>
      <c r="R378" s="47">
        <f>IFERROR(__xludf.DUMMYFUNCTION("""COMPUTED_VALUE"""),12.351954821894006)</f>
        <v>12.35195482</v>
      </c>
      <c r="S378" s="48" t="str">
        <f>IFERROR(__xludf.DUMMYFUNCTION("""COMPUTED_VALUE"""),"%")</f>
        <v>%</v>
      </c>
      <c r="T378" s="49">
        <f>IFERROR(__xludf.DUMMYFUNCTION("""COMPUTED_VALUE"""),2.0)</f>
        <v>2</v>
      </c>
      <c r="U378" s="50" t="str">
        <f>IFERROR(__xludf.DUMMYFUNCTION("""COMPUTED_VALUE"""),"A301")</f>
        <v>A301</v>
      </c>
      <c r="V378" s="38" t="str">
        <f>IFERROR(__xludf.DUMMYFUNCTION("""COMPUTED_VALUE"""),"")</f>
        <v/>
      </c>
      <c r="W378" s="45">
        <f>IFERROR(__xludf.DUMMYFUNCTION("""COMPUTED_VALUE"""),255.69538704195313)</f>
        <v>255.695387</v>
      </c>
      <c r="X378" s="46" t="str">
        <f>IFERROR(__xludf.DUMMYFUNCTION("""COMPUTED_VALUE"""),"AP")</f>
        <v>AP</v>
      </c>
      <c r="Y378" s="47">
        <f>IFERROR(__xludf.DUMMYFUNCTION("""COMPUTED_VALUE"""),7.8218071242397915)</f>
        <v>7.821807124</v>
      </c>
      <c r="Z378" s="48" t="str">
        <f>IFERROR(__xludf.DUMMYFUNCTION("""COMPUTED_VALUE"""),"%")</f>
        <v>%</v>
      </c>
      <c r="AA378" s="49">
        <f>IFERROR(__xludf.DUMMYFUNCTION("""COMPUTED_VALUE"""),3.0)</f>
        <v>3</v>
      </c>
      <c r="AB378" s="50" t="str">
        <f>IFERROR(__xludf.DUMMYFUNCTION("""COMPUTED_VALUE"""),"A302")</f>
        <v>A302</v>
      </c>
      <c r="AC378" s="38" t="str">
        <f>IFERROR(__xludf.DUMMYFUNCTION("""COMPUTED_VALUE"""),"")</f>
        <v/>
      </c>
      <c r="AD378" s="45">
        <f>IFERROR(__xludf.DUMMYFUNCTION("""COMPUTED_VALUE"""),106.82828582831367)</f>
        <v>106.8282858</v>
      </c>
      <c r="AE378" s="46" t="str">
        <f>IFERROR(__xludf.DUMMYFUNCTION("""COMPUTED_VALUE"""),"AP")</f>
        <v>AP</v>
      </c>
      <c r="AF378" s="47">
        <f>IFERROR(__xludf.DUMMYFUNCTION("""COMPUTED_VALUE"""),18.72163336229366)</f>
        <v>18.72163336</v>
      </c>
      <c r="AG378" s="48" t="str">
        <f>IFERROR(__xludf.DUMMYFUNCTION("""COMPUTED_VALUE"""),"%")</f>
        <v>%</v>
      </c>
      <c r="AH378" s="43">
        <f>IFERROR(__xludf.DUMMYFUNCTION("""COMPUTED_VALUE"""),20.0)</f>
        <v>20</v>
      </c>
      <c r="AI378" s="44">
        <f>IFERROR(__xludf.DUMMYFUNCTION("""COMPUTED_VALUE"""),1151.0)</f>
        <v>1151</v>
      </c>
      <c r="AJ378" s="42" t="str">
        <f>IFERROR(__xludf.DUMMYFUNCTION("""COMPUTED_VALUE"""),"TUE Lancer Training Ground- Int")</f>
        <v>TUE Lancer Training Ground- Int</v>
      </c>
    </row>
    <row r="379" ht="24.75" customHeight="1">
      <c r="A379" s="28">
        <f>IFERROR(__xludf.DUMMYFUNCTION("""COMPUTED_VALUE"""),9.0)</f>
        <v>9</v>
      </c>
      <c r="B379" s="28" t="str">
        <f>IFERROR(__xludf.DUMMYFUNCTION("""COMPUTED_VALUE"""),"A208")</f>
        <v>A208</v>
      </c>
      <c r="C379" s="28" t="str">
        <f>IFERROR(__xludf.DUMMYFUNCTION("""COMPUTED_VALUE"""),"TRF5")</f>
        <v>TRF5</v>
      </c>
      <c r="D379" s="29" t="str">
        <f>IFERROR(__xludf.DUMMYFUNCTION("""COMPUTED_VALUE"""),"Chaldea Gate (Tue)")</f>
        <v>Chaldea Gate (Tue)</v>
      </c>
      <c r="E379" s="30" t="str">
        <f>IFERROR(__xludf.DUMMYFUNCTION("""COMPUTED_VALUE"""),"TUE Lancer Training Ground- Nov")</f>
        <v>TUE Lancer Training Ground- Nov</v>
      </c>
      <c r="F379" s="31">
        <f>IFERROR(__xludf.DUMMYFUNCTION("""COMPUTED_VALUE"""),10.0)</f>
        <v>10</v>
      </c>
      <c r="G379" s="32">
        <f>IFERROR(__xludf.DUMMYFUNCTION("""COMPUTED_VALUE"""),2502.0)</f>
        <v>2502</v>
      </c>
      <c r="H379" s="33" t="str">
        <f>IFERROR(__xludf.DUMMYFUNCTION("""COMPUTED_VALUE"""),"")</f>
        <v/>
      </c>
      <c r="I379" s="34">
        <f>IFERROR(__xludf.DUMMYFUNCTION("""COMPUTED_VALUE"""),204.9324672984462)</f>
        <v>204.9324673</v>
      </c>
      <c r="J379" s="35" t="str">
        <f>IFERROR(__xludf.DUMMYFUNCTION("""COMPUTED_VALUE"""),"AP")</f>
        <v>AP</v>
      </c>
      <c r="K379" s="34">
        <f>IFERROR(__xludf.DUMMYFUNCTION("""COMPUTED_VALUE"""),4.879656274980016)</f>
        <v>4.879656275</v>
      </c>
      <c r="L379" s="35" t="str">
        <f>IFERROR(__xludf.DUMMYFUNCTION("""COMPUTED_VALUE"""),"%")</f>
        <v>%</v>
      </c>
      <c r="M379" s="36">
        <f>IFERROR(__xludf.DUMMYFUNCTION("""COMPUTED_VALUE"""),1.0)</f>
        <v>1</v>
      </c>
      <c r="N379" s="37" t="str">
        <f>IFERROR(__xludf.DUMMYFUNCTION("""COMPUTED_VALUE"""),"A301")</f>
        <v>A301</v>
      </c>
      <c r="O379" s="38" t="str">
        <f>IFERROR(__xludf.DUMMYFUNCTION("""COMPUTED_VALUE"""),"")</f>
        <v/>
      </c>
      <c r="P379" s="34">
        <f>IFERROR(__xludf.DUMMYFUNCTION("""COMPUTED_VALUE"""),79.84452337414913)</f>
        <v>79.84452337</v>
      </c>
      <c r="Q379" s="35" t="str">
        <f>IFERROR(__xludf.DUMMYFUNCTION("""COMPUTED_VALUE"""),"AP")</f>
        <v>AP</v>
      </c>
      <c r="R379" s="34">
        <f>IFERROR(__xludf.DUMMYFUNCTION("""COMPUTED_VALUE"""),12.524340527577937)</f>
        <v>12.52434053</v>
      </c>
      <c r="S379" s="35" t="str">
        <f>IFERROR(__xludf.DUMMYFUNCTION("""COMPUTED_VALUE"""),"%")</f>
        <v>%</v>
      </c>
      <c r="T379" s="36">
        <f>IFERROR(__xludf.DUMMYFUNCTION("""COMPUTED_VALUE"""),2.0)</f>
        <v>2</v>
      </c>
      <c r="U379" s="37" t="str">
        <f>IFERROR(__xludf.DUMMYFUNCTION("""COMPUTED_VALUE"""),"A302")</f>
        <v>A302</v>
      </c>
      <c r="V379" s="38" t="str">
        <f>IFERROR(__xludf.DUMMYFUNCTION("""COMPUTED_VALUE"""),"")</f>
        <v/>
      </c>
      <c r="W379" s="34">
        <f>IFERROR(__xludf.DUMMYFUNCTION("""COMPUTED_VALUE"""),37.870933075007756)</f>
        <v>37.87093308</v>
      </c>
      <c r="X379" s="35" t="str">
        <f>IFERROR(__xludf.DUMMYFUNCTION("""COMPUTED_VALUE"""),"AP")</f>
        <v>AP</v>
      </c>
      <c r="Y379" s="34">
        <f>IFERROR(__xludf.DUMMYFUNCTION("""COMPUTED_VALUE"""),26.405475619504397)</f>
        <v>26.40547562</v>
      </c>
      <c r="Z379" s="35" t="str">
        <f>IFERROR(__xludf.DUMMYFUNCTION("""COMPUTED_VALUE"""),"%")</f>
        <v>%</v>
      </c>
      <c r="AA379" s="36">
        <f>IFERROR(__xludf.DUMMYFUNCTION("""COMPUTED_VALUE"""),3.0)</f>
        <v>3</v>
      </c>
      <c r="AB379" s="37" t="str">
        <f>IFERROR(__xludf.DUMMYFUNCTION("""COMPUTED_VALUE"""),"A304")</f>
        <v>A304</v>
      </c>
      <c r="AC379" s="38" t="str">
        <f>IFERROR(__xludf.DUMMYFUNCTION("""COMPUTED_VALUE"""),"")</f>
        <v/>
      </c>
      <c r="AD379" s="34">
        <f>IFERROR(__xludf.DUMMYFUNCTION("""COMPUTED_VALUE"""),182.76914985317103)</f>
        <v>182.7691499</v>
      </c>
      <c r="AE379" s="35" t="str">
        <f>IFERROR(__xludf.DUMMYFUNCTION("""COMPUTED_VALUE"""),"AP")</f>
        <v>AP</v>
      </c>
      <c r="AF379" s="34">
        <f>IFERROR(__xludf.DUMMYFUNCTION("""COMPUTED_VALUE"""),5.471382893685052)</f>
        <v>5.471382894</v>
      </c>
      <c r="AG379" s="35" t="str">
        <f>IFERROR(__xludf.DUMMYFUNCTION("""COMPUTED_VALUE"""),"%")</f>
        <v>%</v>
      </c>
      <c r="AH379" s="31">
        <f>IFERROR(__xludf.DUMMYFUNCTION("""COMPUTED_VALUE"""),10.0)</f>
        <v>10</v>
      </c>
      <c r="AI379" s="32">
        <f>IFERROR(__xludf.DUMMYFUNCTION("""COMPUTED_VALUE"""),2502.0)</f>
        <v>2502</v>
      </c>
      <c r="AJ379" s="30" t="str">
        <f>IFERROR(__xludf.DUMMYFUNCTION("""COMPUTED_VALUE"""),"TUE Lancer Training Ground- Nov")</f>
        <v>TUE Lancer Training Ground- Nov</v>
      </c>
    </row>
    <row r="380" ht="24.75" customHeight="1">
      <c r="A380" s="40">
        <f>IFERROR(__xludf.DUMMYFUNCTION("""COMPUTED_VALUE"""),10.0)</f>
        <v>10</v>
      </c>
      <c r="B380" s="40" t="str">
        <f>IFERROR(__xludf.DUMMYFUNCTION("""COMPUTED_VALUE"""),"A208")</f>
        <v>A208</v>
      </c>
      <c r="C380" s="40"/>
      <c r="D380" s="41"/>
      <c r="E380" s="66"/>
      <c r="F380" s="43"/>
      <c r="G380" s="44"/>
      <c r="H380" s="33" t="str">
        <f>IFERROR(__xludf.DUMMYFUNCTION("""COMPUTED_VALUE""")," ")</f>
        <v> </v>
      </c>
      <c r="I380" s="45"/>
      <c r="J380" s="46" t="str">
        <f>IFERROR(__xludf.DUMMYFUNCTION("""COMPUTED_VALUE"""),"AP")</f>
        <v>AP</v>
      </c>
      <c r="K380" s="47"/>
      <c r="L380" s="48" t="str">
        <f>IFERROR(__xludf.DUMMYFUNCTION("""COMPUTED_VALUE"""),"%")</f>
        <v>%</v>
      </c>
      <c r="M380" s="49">
        <f>IFERROR(__xludf.DUMMYFUNCTION("""COMPUTED_VALUE"""),1.0)</f>
        <v>1</v>
      </c>
      <c r="N380" s="50"/>
      <c r="O380" s="38"/>
      <c r="P380" s="45" t="str">
        <f>IFERROR(__xludf.DUMMYFUNCTION("""COMPUTED_VALUE"""),"")</f>
        <v/>
      </c>
      <c r="Q380" s="46" t="str">
        <f>IFERROR(__xludf.DUMMYFUNCTION("""COMPUTED_VALUE"""),"AP")</f>
        <v>AP</v>
      </c>
      <c r="R380" s="47" t="str">
        <f>IFERROR(__xludf.DUMMYFUNCTION("""COMPUTED_VALUE"""),"")</f>
        <v/>
      </c>
      <c r="S380" s="48" t="str">
        <f>IFERROR(__xludf.DUMMYFUNCTION("""COMPUTED_VALUE"""),"%")</f>
        <v>%</v>
      </c>
      <c r="T380" s="49">
        <f>IFERROR(__xludf.DUMMYFUNCTION("""COMPUTED_VALUE"""),2.0)</f>
        <v>2</v>
      </c>
      <c r="U380" s="50"/>
      <c r="V380" s="38"/>
      <c r="W380" s="45" t="str">
        <f>IFERROR(__xludf.DUMMYFUNCTION("""COMPUTED_VALUE"""),"")</f>
        <v/>
      </c>
      <c r="X380" s="46" t="str">
        <f>IFERROR(__xludf.DUMMYFUNCTION("""COMPUTED_VALUE"""),"AP")</f>
        <v>AP</v>
      </c>
      <c r="Y380" s="47" t="str">
        <f>IFERROR(__xludf.DUMMYFUNCTION("""COMPUTED_VALUE"""),"")</f>
        <v/>
      </c>
      <c r="Z380" s="48" t="str">
        <f>IFERROR(__xludf.DUMMYFUNCTION("""COMPUTED_VALUE"""),"%")</f>
        <v>%</v>
      </c>
      <c r="AA380" s="49">
        <f>IFERROR(__xludf.DUMMYFUNCTION("""COMPUTED_VALUE"""),3.0)</f>
        <v>3</v>
      </c>
      <c r="AB380" s="50"/>
      <c r="AC380" s="38"/>
      <c r="AD380" s="45" t="str">
        <f>IFERROR(__xludf.DUMMYFUNCTION("""COMPUTED_VALUE"""),"")</f>
        <v/>
      </c>
      <c r="AE380" s="46" t="str">
        <f>IFERROR(__xludf.DUMMYFUNCTION("""COMPUTED_VALUE"""),"AP")</f>
        <v>AP</v>
      </c>
      <c r="AF380" s="47" t="str">
        <f>IFERROR(__xludf.DUMMYFUNCTION("""COMPUTED_VALUE"""),"")</f>
        <v/>
      </c>
      <c r="AG380" s="48" t="str">
        <f>IFERROR(__xludf.DUMMYFUNCTION("""COMPUTED_VALUE"""),"%")</f>
        <v>%</v>
      </c>
      <c r="AH380" s="43"/>
      <c r="AI380" s="44"/>
      <c r="AJ380" s="66"/>
    </row>
    <row r="381" ht="24.75" hidden="1" customHeight="1">
      <c r="A381" s="28">
        <f>IFERROR(__xludf.DUMMYFUNCTION("""COMPUTED_VALUE"""),11.0)</f>
        <v>11</v>
      </c>
      <c r="B381" s="28" t="str">
        <f>IFERROR(__xludf.DUMMYFUNCTION("""COMPUTED_VALUE"""),"A208")</f>
        <v>A208</v>
      </c>
      <c r="C381" s="28"/>
      <c r="D381" s="29"/>
      <c r="E381" s="67"/>
      <c r="F381" s="31"/>
      <c r="G381" s="32"/>
      <c r="H381" s="33" t="str">
        <f>IFERROR(__xludf.DUMMYFUNCTION("""COMPUTED_VALUE""")," ")</f>
        <v> </v>
      </c>
      <c r="I381" s="34"/>
      <c r="J381" s="35" t="str">
        <f>IFERROR(__xludf.DUMMYFUNCTION("""COMPUTED_VALUE"""),"AP")</f>
        <v>AP</v>
      </c>
      <c r="K381" s="34"/>
      <c r="L381" s="35" t="str">
        <f>IFERROR(__xludf.DUMMYFUNCTION("""COMPUTED_VALUE"""),"%")</f>
        <v>%</v>
      </c>
      <c r="M381" s="36">
        <f>IFERROR(__xludf.DUMMYFUNCTION("""COMPUTED_VALUE"""),1.0)</f>
        <v>1</v>
      </c>
      <c r="N381" s="37"/>
      <c r="O381" s="38"/>
      <c r="P381" s="34" t="str">
        <f>IFERROR(__xludf.DUMMYFUNCTION("""COMPUTED_VALUE"""),"")</f>
        <v/>
      </c>
      <c r="Q381" s="35" t="str">
        <f>IFERROR(__xludf.DUMMYFUNCTION("""COMPUTED_VALUE"""),"AP")</f>
        <v>AP</v>
      </c>
      <c r="R381" s="34" t="str">
        <f>IFERROR(__xludf.DUMMYFUNCTION("""COMPUTED_VALUE"""),"")</f>
        <v/>
      </c>
      <c r="S381" s="35" t="str">
        <f>IFERROR(__xludf.DUMMYFUNCTION("""COMPUTED_VALUE"""),"%")</f>
        <v>%</v>
      </c>
      <c r="T381" s="36">
        <f>IFERROR(__xludf.DUMMYFUNCTION("""COMPUTED_VALUE"""),2.0)</f>
        <v>2</v>
      </c>
      <c r="U381" s="37"/>
      <c r="V381" s="38"/>
      <c r="W381" s="34" t="str">
        <f>IFERROR(__xludf.DUMMYFUNCTION("""COMPUTED_VALUE"""),"")</f>
        <v/>
      </c>
      <c r="X381" s="35" t="str">
        <f>IFERROR(__xludf.DUMMYFUNCTION("""COMPUTED_VALUE"""),"AP")</f>
        <v>AP</v>
      </c>
      <c r="Y381" s="34" t="str">
        <f>IFERROR(__xludf.DUMMYFUNCTION("""COMPUTED_VALUE"""),"")</f>
        <v/>
      </c>
      <c r="Z381" s="35" t="str">
        <f>IFERROR(__xludf.DUMMYFUNCTION("""COMPUTED_VALUE"""),"%")</f>
        <v>%</v>
      </c>
      <c r="AA381" s="36">
        <f>IFERROR(__xludf.DUMMYFUNCTION("""COMPUTED_VALUE"""),3.0)</f>
        <v>3</v>
      </c>
      <c r="AB381" s="37"/>
      <c r="AC381" s="38"/>
      <c r="AD381" s="34" t="str">
        <f>IFERROR(__xludf.DUMMYFUNCTION("""COMPUTED_VALUE"""),"")</f>
        <v/>
      </c>
      <c r="AE381" s="35" t="str">
        <f>IFERROR(__xludf.DUMMYFUNCTION("""COMPUTED_VALUE"""),"AP")</f>
        <v>AP</v>
      </c>
      <c r="AF381" s="34" t="str">
        <f>IFERROR(__xludf.DUMMYFUNCTION("""COMPUTED_VALUE"""),"")</f>
        <v/>
      </c>
      <c r="AG381" s="35" t="str">
        <f>IFERROR(__xludf.DUMMYFUNCTION("""COMPUTED_VALUE"""),"%")</f>
        <v>%</v>
      </c>
      <c r="AH381" s="31"/>
      <c r="AI381" s="32"/>
      <c r="AJ381" s="67"/>
    </row>
    <row r="382" ht="24.75" hidden="1" customHeight="1">
      <c r="A382" s="40">
        <f>IFERROR(__xludf.DUMMYFUNCTION("""COMPUTED_VALUE"""),12.0)</f>
        <v>12</v>
      </c>
      <c r="B382" s="40" t="str">
        <f>IFERROR(__xludf.DUMMYFUNCTION("""COMPUTED_VALUE"""),"A208")</f>
        <v>A208</v>
      </c>
      <c r="C382" s="40"/>
      <c r="D382" s="41"/>
      <c r="E382" s="66"/>
      <c r="F382" s="43"/>
      <c r="G382" s="44"/>
      <c r="H382" s="33" t="str">
        <f>IFERROR(__xludf.DUMMYFUNCTION("""COMPUTED_VALUE""")," ")</f>
        <v> </v>
      </c>
      <c r="I382" s="45"/>
      <c r="J382" s="46" t="str">
        <f>IFERROR(__xludf.DUMMYFUNCTION("""COMPUTED_VALUE"""),"AP")</f>
        <v>AP</v>
      </c>
      <c r="K382" s="47"/>
      <c r="L382" s="48" t="str">
        <f>IFERROR(__xludf.DUMMYFUNCTION("""COMPUTED_VALUE"""),"%")</f>
        <v>%</v>
      </c>
      <c r="M382" s="49">
        <f>IFERROR(__xludf.DUMMYFUNCTION("""COMPUTED_VALUE"""),1.0)</f>
        <v>1</v>
      </c>
      <c r="N382" s="50"/>
      <c r="O382" s="38"/>
      <c r="P382" s="45" t="str">
        <f>IFERROR(__xludf.DUMMYFUNCTION("""COMPUTED_VALUE"""),"")</f>
        <v/>
      </c>
      <c r="Q382" s="46" t="str">
        <f>IFERROR(__xludf.DUMMYFUNCTION("""COMPUTED_VALUE"""),"AP")</f>
        <v>AP</v>
      </c>
      <c r="R382" s="47" t="str">
        <f>IFERROR(__xludf.DUMMYFUNCTION("""COMPUTED_VALUE"""),"")</f>
        <v/>
      </c>
      <c r="S382" s="48" t="str">
        <f>IFERROR(__xludf.DUMMYFUNCTION("""COMPUTED_VALUE"""),"%")</f>
        <v>%</v>
      </c>
      <c r="T382" s="49">
        <f>IFERROR(__xludf.DUMMYFUNCTION("""COMPUTED_VALUE"""),2.0)</f>
        <v>2</v>
      </c>
      <c r="U382" s="50"/>
      <c r="V382" s="38"/>
      <c r="W382" s="45" t="str">
        <f>IFERROR(__xludf.DUMMYFUNCTION("""COMPUTED_VALUE"""),"")</f>
        <v/>
      </c>
      <c r="X382" s="46" t="str">
        <f>IFERROR(__xludf.DUMMYFUNCTION("""COMPUTED_VALUE"""),"AP")</f>
        <v>AP</v>
      </c>
      <c r="Y382" s="47" t="str">
        <f>IFERROR(__xludf.DUMMYFUNCTION("""COMPUTED_VALUE"""),"")</f>
        <v/>
      </c>
      <c r="Z382" s="48" t="str">
        <f>IFERROR(__xludf.DUMMYFUNCTION("""COMPUTED_VALUE"""),"%")</f>
        <v>%</v>
      </c>
      <c r="AA382" s="49">
        <f>IFERROR(__xludf.DUMMYFUNCTION("""COMPUTED_VALUE"""),3.0)</f>
        <v>3</v>
      </c>
      <c r="AB382" s="50"/>
      <c r="AC382" s="38"/>
      <c r="AD382" s="45" t="str">
        <f>IFERROR(__xludf.DUMMYFUNCTION("""COMPUTED_VALUE"""),"")</f>
        <v/>
      </c>
      <c r="AE382" s="46" t="str">
        <f>IFERROR(__xludf.DUMMYFUNCTION("""COMPUTED_VALUE"""),"AP")</f>
        <v>AP</v>
      </c>
      <c r="AF382" s="47" t="str">
        <f>IFERROR(__xludf.DUMMYFUNCTION("""COMPUTED_VALUE"""),"")</f>
        <v/>
      </c>
      <c r="AG382" s="48" t="str">
        <f>IFERROR(__xludf.DUMMYFUNCTION("""COMPUTED_VALUE"""),"%")</f>
        <v>%</v>
      </c>
      <c r="AH382" s="43"/>
      <c r="AI382" s="44"/>
      <c r="AJ382" s="66"/>
    </row>
    <row r="383" ht="24.75" hidden="1" customHeight="1">
      <c r="A383" s="28">
        <f>IFERROR(__xludf.DUMMYFUNCTION("""COMPUTED_VALUE"""),13.0)</f>
        <v>13</v>
      </c>
      <c r="B383" s="28" t="str">
        <f>IFERROR(__xludf.DUMMYFUNCTION("""COMPUTED_VALUE"""),"A208")</f>
        <v>A208</v>
      </c>
      <c r="C383" s="28"/>
      <c r="D383" s="29"/>
      <c r="E383" s="67"/>
      <c r="F383" s="31"/>
      <c r="G383" s="32"/>
      <c r="H383" s="33" t="str">
        <f>IFERROR(__xludf.DUMMYFUNCTION("""COMPUTED_VALUE""")," ")</f>
        <v> </v>
      </c>
      <c r="I383" s="34"/>
      <c r="J383" s="35" t="str">
        <f>IFERROR(__xludf.DUMMYFUNCTION("""COMPUTED_VALUE"""),"AP")</f>
        <v>AP</v>
      </c>
      <c r="K383" s="34"/>
      <c r="L383" s="35" t="str">
        <f>IFERROR(__xludf.DUMMYFUNCTION("""COMPUTED_VALUE"""),"%")</f>
        <v>%</v>
      </c>
      <c r="M383" s="36">
        <f>IFERROR(__xludf.DUMMYFUNCTION("""COMPUTED_VALUE"""),1.0)</f>
        <v>1</v>
      </c>
      <c r="N383" s="37"/>
      <c r="O383" s="38"/>
      <c r="P383" s="34" t="str">
        <f>IFERROR(__xludf.DUMMYFUNCTION("""COMPUTED_VALUE"""),"")</f>
        <v/>
      </c>
      <c r="Q383" s="35" t="str">
        <f>IFERROR(__xludf.DUMMYFUNCTION("""COMPUTED_VALUE"""),"AP")</f>
        <v>AP</v>
      </c>
      <c r="R383" s="34" t="str">
        <f>IFERROR(__xludf.DUMMYFUNCTION("""COMPUTED_VALUE"""),"")</f>
        <v/>
      </c>
      <c r="S383" s="35" t="str">
        <f>IFERROR(__xludf.DUMMYFUNCTION("""COMPUTED_VALUE"""),"%")</f>
        <v>%</v>
      </c>
      <c r="T383" s="36">
        <f>IFERROR(__xludf.DUMMYFUNCTION("""COMPUTED_VALUE"""),2.0)</f>
        <v>2</v>
      </c>
      <c r="U383" s="37"/>
      <c r="V383" s="38"/>
      <c r="W383" s="34" t="str">
        <f>IFERROR(__xludf.DUMMYFUNCTION("""COMPUTED_VALUE"""),"")</f>
        <v/>
      </c>
      <c r="X383" s="35" t="str">
        <f>IFERROR(__xludf.DUMMYFUNCTION("""COMPUTED_VALUE"""),"AP")</f>
        <v>AP</v>
      </c>
      <c r="Y383" s="34" t="str">
        <f>IFERROR(__xludf.DUMMYFUNCTION("""COMPUTED_VALUE"""),"")</f>
        <v/>
      </c>
      <c r="Z383" s="35" t="str">
        <f>IFERROR(__xludf.DUMMYFUNCTION("""COMPUTED_VALUE"""),"%")</f>
        <v>%</v>
      </c>
      <c r="AA383" s="36">
        <f>IFERROR(__xludf.DUMMYFUNCTION("""COMPUTED_VALUE"""),3.0)</f>
        <v>3</v>
      </c>
      <c r="AB383" s="37"/>
      <c r="AC383" s="38"/>
      <c r="AD383" s="34" t="str">
        <f>IFERROR(__xludf.DUMMYFUNCTION("""COMPUTED_VALUE"""),"")</f>
        <v/>
      </c>
      <c r="AE383" s="35" t="str">
        <f>IFERROR(__xludf.DUMMYFUNCTION("""COMPUTED_VALUE"""),"AP")</f>
        <v>AP</v>
      </c>
      <c r="AF383" s="34" t="str">
        <f>IFERROR(__xludf.DUMMYFUNCTION("""COMPUTED_VALUE"""),"")</f>
        <v/>
      </c>
      <c r="AG383" s="35" t="str">
        <f>IFERROR(__xludf.DUMMYFUNCTION("""COMPUTED_VALUE"""),"%")</f>
        <v>%</v>
      </c>
      <c r="AH383" s="31"/>
      <c r="AI383" s="32"/>
      <c r="AJ383" s="67"/>
    </row>
    <row r="384" ht="24.75" hidden="1" customHeight="1">
      <c r="A384" s="40">
        <f>IFERROR(__xludf.DUMMYFUNCTION("""COMPUTED_VALUE"""),14.0)</f>
        <v>14</v>
      </c>
      <c r="B384" s="40" t="str">
        <f>IFERROR(__xludf.DUMMYFUNCTION("""COMPUTED_VALUE"""),"A208")</f>
        <v>A208</v>
      </c>
      <c r="C384" s="40"/>
      <c r="D384" s="41"/>
      <c r="E384" s="66"/>
      <c r="F384" s="43"/>
      <c r="G384" s="44"/>
      <c r="H384" s="33" t="str">
        <f>IFERROR(__xludf.DUMMYFUNCTION("""COMPUTED_VALUE""")," ")</f>
        <v> </v>
      </c>
      <c r="I384" s="45"/>
      <c r="J384" s="46" t="str">
        <f>IFERROR(__xludf.DUMMYFUNCTION("""COMPUTED_VALUE"""),"AP")</f>
        <v>AP</v>
      </c>
      <c r="K384" s="47"/>
      <c r="L384" s="48" t="str">
        <f>IFERROR(__xludf.DUMMYFUNCTION("""COMPUTED_VALUE"""),"%")</f>
        <v>%</v>
      </c>
      <c r="M384" s="49">
        <f>IFERROR(__xludf.DUMMYFUNCTION("""COMPUTED_VALUE"""),1.0)</f>
        <v>1</v>
      </c>
      <c r="N384" s="50"/>
      <c r="O384" s="38"/>
      <c r="P384" s="45" t="str">
        <f>IFERROR(__xludf.DUMMYFUNCTION("""COMPUTED_VALUE"""),"")</f>
        <v/>
      </c>
      <c r="Q384" s="46" t="str">
        <f>IFERROR(__xludf.DUMMYFUNCTION("""COMPUTED_VALUE"""),"AP")</f>
        <v>AP</v>
      </c>
      <c r="R384" s="47" t="str">
        <f>IFERROR(__xludf.DUMMYFUNCTION("""COMPUTED_VALUE"""),"")</f>
        <v/>
      </c>
      <c r="S384" s="48" t="str">
        <f>IFERROR(__xludf.DUMMYFUNCTION("""COMPUTED_VALUE"""),"%")</f>
        <v>%</v>
      </c>
      <c r="T384" s="49">
        <f>IFERROR(__xludf.DUMMYFUNCTION("""COMPUTED_VALUE"""),2.0)</f>
        <v>2</v>
      </c>
      <c r="U384" s="50"/>
      <c r="V384" s="38"/>
      <c r="W384" s="45" t="str">
        <f>IFERROR(__xludf.DUMMYFUNCTION("""COMPUTED_VALUE"""),"")</f>
        <v/>
      </c>
      <c r="X384" s="46" t="str">
        <f>IFERROR(__xludf.DUMMYFUNCTION("""COMPUTED_VALUE"""),"AP")</f>
        <v>AP</v>
      </c>
      <c r="Y384" s="47" t="str">
        <f>IFERROR(__xludf.DUMMYFUNCTION("""COMPUTED_VALUE"""),"")</f>
        <v/>
      </c>
      <c r="Z384" s="48" t="str">
        <f>IFERROR(__xludf.DUMMYFUNCTION("""COMPUTED_VALUE"""),"%")</f>
        <v>%</v>
      </c>
      <c r="AA384" s="49">
        <f>IFERROR(__xludf.DUMMYFUNCTION("""COMPUTED_VALUE"""),3.0)</f>
        <v>3</v>
      </c>
      <c r="AB384" s="50"/>
      <c r="AC384" s="38"/>
      <c r="AD384" s="45" t="str">
        <f>IFERROR(__xludf.DUMMYFUNCTION("""COMPUTED_VALUE"""),"")</f>
        <v/>
      </c>
      <c r="AE384" s="46" t="str">
        <f>IFERROR(__xludf.DUMMYFUNCTION("""COMPUTED_VALUE"""),"AP")</f>
        <v>AP</v>
      </c>
      <c r="AF384" s="47" t="str">
        <f>IFERROR(__xludf.DUMMYFUNCTION("""COMPUTED_VALUE"""),"")</f>
        <v/>
      </c>
      <c r="AG384" s="48" t="str">
        <f>IFERROR(__xludf.DUMMYFUNCTION("""COMPUTED_VALUE"""),"%")</f>
        <v>%</v>
      </c>
      <c r="AH384" s="43"/>
      <c r="AI384" s="44"/>
      <c r="AJ384" s="66"/>
    </row>
    <row r="385" ht="24.75" hidden="1" customHeight="1">
      <c r="A385" s="28">
        <f>IFERROR(__xludf.DUMMYFUNCTION("""COMPUTED_VALUE"""),15.0)</f>
        <v>15</v>
      </c>
      <c r="B385" s="28" t="str">
        <f>IFERROR(__xludf.DUMMYFUNCTION("""COMPUTED_VALUE"""),"A208")</f>
        <v>A208</v>
      </c>
      <c r="C385" s="28"/>
      <c r="D385" s="29"/>
      <c r="E385" s="67"/>
      <c r="F385" s="31"/>
      <c r="G385" s="32"/>
      <c r="H385" s="33" t="str">
        <f>IFERROR(__xludf.DUMMYFUNCTION("""COMPUTED_VALUE""")," ")</f>
        <v> </v>
      </c>
      <c r="I385" s="34"/>
      <c r="J385" s="35" t="str">
        <f>IFERROR(__xludf.DUMMYFUNCTION("""COMPUTED_VALUE"""),"AP")</f>
        <v>AP</v>
      </c>
      <c r="K385" s="34"/>
      <c r="L385" s="35" t="str">
        <f>IFERROR(__xludf.DUMMYFUNCTION("""COMPUTED_VALUE"""),"%")</f>
        <v>%</v>
      </c>
      <c r="M385" s="36">
        <f>IFERROR(__xludf.DUMMYFUNCTION("""COMPUTED_VALUE"""),1.0)</f>
        <v>1</v>
      </c>
      <c r="N385" s="37"/>
      <c r="O385" s="38"/>
      <c r="P385" s="34" t="str">
        <f>IFERROR(__xludf.DUMMYFUNCTION("""COMPUTED_VALUE"""),"")</f>
        <v/>
      </c>
      <c r="Q385" s="35" t="str">
        <f>IFERROR(__xludf.DUMMYFUNCTION("""COMPUTED_VALUE"""),"AP")</f>
        <v>AP</v>
      </c>
      <c r="R385" s="34" t="str">
        <f>IFERROR(__xludf.DUMMYFUNCTION("""COMPUTED_VALUE"""),"")</f>
        <v/>
      </c>
      <c r="S385" s="35" t="str">
        <f>IFERROR(__xludf.DUMMYFUNCTION("""COMPUTED_VALUE"""),"%")</f>
        <v>%</v>
      </c>
      <c r="T385" s="36">
        <f>IFERROR(__xludf.DUMMYFUNCTION("""COMPUTED_VALUE"""),2.0)</f>
        <v>2</v>
      </c>
      <c r="U385" s="37"/>
      <c r="V385" s="38"/>
      <c r="W385" s="34" t="str">
        <f>IFERROR(__xludf.DUMMYFUNCTION("""COMPUTED_VALUE"""),"")</f>
        <v/>
      </c>
      <c r="X385" s="35" t="str">
        <f>IFERROR(__xludf.DUMMYFUNCTION("""COMPUTED_VALUE"""),"AP")</f>
        <v>AP</v>
      </c>
      <c r="Y385" s="34" t="str">
        <f>IFERROR(__xludf.DUMMYFUNCTION("""COMPUTED_VALUE"""),"")</f>
        <v/>
      </c>
      <c r="Z385" s="35" t="str">
        <f>IFERROR(__xludf.DUMMYFUNCTION("""COMPUTED_VALUE"""),"%")</f>
        <v>%</v>
      </c>
      <c r="AA385" s="36">
        <f>IFERROR(__xludf.DUMMYFUNCTION("""COMPUTED_VALUE"""),3.0)</f>
        <v>3</v>
      </c>
      <c r="AB385" s="37"/>
      <c r="AC385" s="38"/>
      <c r="AD385" s="34" t="str">
        <f>IFERROR(__xludf.DUMMYFUNCTION("""COMPUTED_VALUE"""),"")</f>
        <v/>
      </c>
      <c r="AE385" s="35" t="str">
        <f>IFERROR(__xludf.DUMMYFUNCTION("""COMPUTED_VALUE"""),"AP")</f>
        <v>AP</v>
      </c>
      <c r="AF385" s="34" t="str">
        <f>IFERROR(__xludf.DUMMYFUNCTION("""COMPUTED_VALUE"""),"")</f>
        <v/>
      </c>
      <c r="AG385" s="35" t="str">
        <f>IFERROR(__xludf.DUMMYFUNCTION("""COMPUTED_VALUE"""),"%")</f>
        <v>%</v>
      </c>
      <c r="AH385" s="31"/>
      <c r="AI385" s="32"/>
      <c r="AJ385" s="67"/>
    </row>
    <row r="386" ht="24.75" hidden="1" customHeight="1">
      <c r="A386" s="40">
        <f>IFERROR(__xludf.DUMMYFUNCTION("""COMPUTED_VALUE"""),16.0)</f>
        <v>16</v>
      </c>
      <c r="B386" s="40" t="str">
        <f>IFERROR(__xludf.DUMMYFUNCTION("""COMPUTED_VALUE"""),"A208")</f>
        <v>A208</v>
      </c>
      <c r="C386" s="40"/>
      <c r="D386" s="41"/>
      <c r="E386" s="66"/>
      <c r="F386" s="43"/>
      <c r="G386" s="44"/>
      <c r="H386" s="33" t="str">
        <f>IFERROR(__xludf.DUMMYFUNCTION("""COMPUTED_VALUE""")," ")</f>
        <v> </v>
      </c>
      <c r="I386" s="45"/>
      <c r="J386" s="46" t="str">
        <f>IFERROR(__xludf.DUMMYFUNCTION("""COMPUTED_VALUE"""),"AP")</f>
        <v>AP</v>
      </c>
      <c r="K386" s="47"/>
      <c r="L386" s="48" t="str">
        <f>IFERROR(__xludf.DUMMYFUNCTION("""COMPUTED_VALUE"""),"%")</f>
        <v>%</v>
      </c>
      <c r="M386" s="49">
        <f>IFERROR(__xludf.DUMMYFUNCTION("""COMPUTED_VALUE"""),1.0)</f>
        <v>1</v>
      </c>
      <c r="N386" s="50"/>
      <c r="O386" s="38"/>
      <c r="P386" s="45" t="str">
        <f>IFERROR(__xludf.DUMMYFUNCTION("""COMPUTED_VALUE"""),"")</f>
        <v/>
      </c>
      <c r="Q386" s="46" t="str">
        <f>IFERROR(__xludf.DUMMYFUNCTION("""COMPUTED_VALUE"""),"AP")</f>
        <v>AP</v>
      </c>
      <c r="R386" s="47" t="str">
        <f>IFERROR(__xludf.DUMMYFUNCTION("""COMPUTED_VALUE"""),"")</f>
        <v/>
      </c>
      <c r="S386" s="48" t="str">
        <f>IFERROR(__xludf.DUMMYFUNCTION("""COMPUTED_VALUE"""),"%")</f>
        <v>%</v>
      </c>
      <c r="T386" s="49">
        <f>IFERROR(__xludf.DUMMYFUNCTION("""COMPUTED_VALUE"""),2.0)</f>
        <v>2</v>
      </c>
      <c r="U386" s="50"/>
      <c r="V386" s="38"/>
      <c r="W386" s="45" t="str">
        <f>IFERROR(__xludf.DUMMYFUNCTION("""COMPUTED_VALUE"""),"")</f>
        <v/>
      </c>
      <c r="X386" s="46" t="str">
        <f>IFERROR(__xludf.DUMMYFUNCTION("""COMPUTED_VALUE"""),"AP")</f>
        <v>AP</v>
      </c>
      <c r="Y386" s="47" t="str">
        <f>IFERROR(__xludf.DUMMYFUNCTION("""COMPUTED_VALUE"""),"")</f>
        <v/>
      </c>
      <c r="Z386" s="48" t="str">
        <f>IFERROR(__xludf.DUMMYFUNCTION("""COMPUTED_VALUE"""),"%")</f>
        <v>%</v>
      </c>
      <c r="AA386" s="49">
        <f>IFERROR(__xludf.DUMMYFUNCTION("""COMPUTED_VALUE"""),3.0)</f>
        <v>3</v>
      </c>
      <c r="AB386" s="50"/>
      <c r="AC386" s="38"/>
      <c r="AD386" s="45" t="str">
        <f>IFERROR(__xludf.DUMMYFUNCTION("""COMPUTED_VALUE"""),"")</f>
        <v/>
      </c>
      <c r="AE386" s="46" t="str">
        <f>IFERROR(__xludf.DUMMYFUNCTION("""COMPUTED_VALUE"""),"AP")</f>
        <v>AP</v>
      </c>
      <c r="AF386" s="47" t="str">
        <f>IFERROR(__xludf.DUMMYFUNCTION("""COMPUTED_VALUE"""),"")</f>
        <v/>
      </c>
      <c r="AG386" s="48" t="str">
        <f>IFERROR(__xludf.DUMMYFUNCTION("""COMPUTED_VALUE"""),"%")</f>
        <v>%</v>
      </c>
      <c r="AH386" s="43"/>
      <c r="AI386" s="44"/>
      <c r="AJ386" s="66"/>
    </row>
    <row r="387" ht="24.75" hidden="1" customHeight="1">
      <c r="A387" s="28">
        <f>IFERROR(__xludf.DUMMYFUNCTION("""COMPUTED_VALUE"""),17.0)</f>
        <v>17</v>
      </c>
      <c r="B387" s="28" t="str">
        <f>IFERROR(__xludf.DUMMYFUNCTION("""COMPUTED_VALUE"""),"A208")</f>
        <v>A208</v>
      </c>
      <c r="C387" s="28"/>
      <c r="D387" s="29"/>
      <c r="E387" s="67"/>
      <c r="F387" s="31"/>
      <c r="G387" s="32"/>
      <c r="H387" s="33" t="str">
        <f>IFERROR(__xludf.DUMMYFUNCTION("""COMPUTED_VALUE""")," ")</f>
        <v> </v>
      </c>
      <c r="I387" s="34"/>
      <c r="J387" s="35" t="str">
        <f>IFERROR(__xludf.DUMMYFUNCTION("""COMPUTED_VALUE"""),"AP")</f>
        <v>AP</v>
      </c>
      <c r="K387" s="34"/>
      <c r="L387" s="35" t="str">
        <f>IFERROR(__xludf.DUMMYFUNCTION("""COMPUTED_VALUE"""),"%")</f>
        <v>%</v>
      </c>
      <c r="M387" s="36">
        <f>IFERROR(__xludf.DUMMYFUNCTION("""COMPUTED_VALUE"""),1.0)</f>
        <v>1</v>
      </c>
      <c r="N387" s="37"/>
      <c r="O387" s="38"/>
      <c r="P387" s="34" t="str">
        <f>IFERROR(__xludf.DUMMYFUNCTION("""COMPUTED_VALUE"""),"")</f>
        <v/>
      </c>
      <c r="Q387" s="35" t="str">
        <f>IFERROR(__xludf.DUMMYFUNCTION("""COMPUTED_VALUE"""),"AP")</f>
        <v>AP</v>
      </c>
      <c r="R387" s="34" t="str">
        <f>IFERROR(__xludf.DUMMYFUNCTION("""COMPUTED_VALUE"""),"")</f>
        <v/>
      </c>
      <c r="S387" s="35" t="str">
        <f>IFERROR(__xludf.DUMMYFUNCTION("""COMPUTED_VALUE"""),"%")</f>
        <v>%</v>
      </c>
      <c r="T387" s="36">
        <f>IFERROR(__xludf.DUMMYFUNCTION("""COMPUTED_VALUE"""),2.0)</f>
        <v>2</v>
      </c>
      <c r="U387" s="37"/>
      <c r="V387" s="38"/>
      <c r="W387" s="34" t="str">
        <f>IFERROR(__xludf.DUMMYFUNCTION("""COMPUTED_VALUE"""),"")</f>
        <v/>
      </c>
      <c r="X387" s="35" t="str">
        <f>IFERROR(__xludf.DUMMYFUNCTION("""COMPUTED_VALUE"""),"AP")</f>
        <v>AP</v>
      </c>
      <c r="Y387" s="34" t="str">
        <f>IFERROR(__xludf.DUMMYFUNCTION("""COMPUTED_VALUE"""),"")</f>
        <v/>
      </c>
      <c r="Z387" s="35" t="str">
        <f>IFERROR(__xludf.DUMMYFUNCTION("""COMPUTED_VALUE"""),"%")</f>
        <v>%</v>
      </c>
      <c r="AA387" s="36">
        <f>IFERROR(__xludf.DUMMYFUNCTION("""COMPUTED_VALUE"""),3.0)</f>
        <v>3</v>
      </c>
      <c r="AB387" s="37"/>
      <c r="AC387" s="38"/>
      <c r="AD387" s="34" t="str">
        <f>IFERROR(__xludf.DUMMYFUNCTION("""COMPUTED_VALUE"""),"")</f>
        <v/>
      </c>
      <c r="AE387" s="35" t="str">
        <f>IFERROR(__xludf.DUMMYFUNCTION("""COMPUTED_VALUE"""),"AP")</f>
        <v>AP</v>
      </c>
      <c r="AF387" s="34" t="str">
        <f>IFERROR(__xludf.DUMMYFUNCTION("""COMPUTED_VALUE"""),"")</f>
        <v/>
      </c>
      <c r="AG387" s="35" t="str">
        <f>IFERROR(__xludf.DUMMYFUNCTION("""COMPUTED_VALUE"""),"%")</f>
        <v>%</v>
      </c>
      <c r="AH387" s="31"/>
      <c r="AI387" s="32"/>
      <c r="AJ387" s="67"/>
    </row>
    <row r="388" ht="24.75" hidden="1" customHeight="1">
      <c r="A388" s="40">
        <f>IFERROR(__xludf.DUMMYFUNCTION("""COMPUTED_VALUE"""),18.0)</f>
        <v>18</v>
      </c>
      <c r="B388" s="40" t="str">
        <f>IFERROR(__xludf.DUMMYFUNCTION("""COMPUTED_VALUE"""),"A208")</f>
        <v>A208</v>
      </c>
      <c r="C388" s="40"/>
      <c r="D388" s="41"/>
      <c r="E388" s="66"/>
      <c r="F388" s="43"/>
      <c r="G388" s="44"/>
      <c r="H388" s="33" t="str">
        <f>IFERROR(__xludf.DUMMYFUNCTION("""COMPUTED_VALUE""")," ")</f>
        <v> </v>
      </c>
      <c r="I388" s="45"/>
      <c r="J388" s="46" t="str">
        <f>IFERROR(__xludf.DUMMYFUNCTION("""COMPUTED_VALUE"""),"AP")</f>
        <v>AP</v>
      </c>
      <c r="K388" s="47"/>
      <c r="L388" s="48" t="str">
        <f>IFERROR(__xludf.DUMMYFUNCTION("""COMPUTED_VALUE"""),"%")</f>
        <v>%</v>
      </c>
      <c r="M388" s="49">
        <f>IFERROR(__xludf.DUMMYFUNCTION("""COMPUTED_VALUE"""),1.0)</f>
        <v>1</v>
      </c>
      <c r="N388" s="50"/>
      <c r="O388" s="38"/>
      <c r="P388" s="45" t="str">
        <f>IFERROR(__xludf.DUMMYFUNCTION("""COMPUTED_VALUE"""),"")</f>
        <v/>
      </c>
      <c r="Q388" s="46" t="str">
        <f>IFERROR(__xludf.DUMMYFUNCTION("""COMPUTED_VALUE"""),"AP")</f>
        <v>AP</v>
      </c>
      <c r="R388" s="47" t="str">
        <f>IFERROR(__xludf.DUMMYFUNCTION("""COMPUTED_VALUE"""),"")</f>
        <v/>
      </c>
      <c r="S388" s="48" t="str">
        <f>IFERROR(__xludf.DUMMYFUNCTION("""COMPUTED_VALUE"""),"%")</f>
        <v>%</v>
      </c>
      <c r="T388" s="49">
        <f>IFERROR(__xludf.DUMMYFUNCTION("""COMPUTED_VALUE"""),2.0)</f>
        <v>2</v>
      </c>
      <c r="U388" s="50"/>
      <c r="V388" s="38"/>
      <c r="W388" s="45" t="str">
        <f>IFERROR(__xludf.DUMMYFUNCTION("""COMPUTED_VALUE"""),"")</f>
        <v/>
      </c>
      <c r="X388" s="46" t="str">
        <f>IFERROR(__xludf.DUMMYFUNCTION("""COMPUTED_VALUE"""),"AP")</f>
        <v>AP</v>
      </c>
      <c r="Y388" s="47" t="str">
        <f>IFERROR(__xludf.DUMMYFUNCTION("""COMPUTED_VALUE"""),"")</f>
        <v/>
      </c>
      <c r="Z388" s="48" t="str">
        <f>IFERROR(__xludf.DUMMYFUNCTION("""COMPUTED_VALUE"""),"%")</f>
        <v>%</v>
      </c>
      <c r="AA388" s="49">
        <f>IFERROR(__xludf.DUMMYFUNCTION("""COMPUTED_VALUE"""),3.0)</f>
        <v>3</v>
      </c>
      <c r="AB388" s="50"/>
      <c r="AC388" s="38"/>
      <c r="AD388" s="45" t="str">
        <f>IFERROR(__xludf.DUMMYFUNCTION("""COMPUTED_VALUE"""),"")</f>
        <v/>
      </c>
      <c r="AE388" s="46" t="str">
        <f>IFERROR(__xludf.DUMMYFUNCTION("""COMPUTED_VALUE"""),"AP")</f>
        <v>AP</v>
      </c>
      <c r="AF388" s="47" t="str">
        <f>IFERROR(__xludf.DUMMYFUNCTION("""COMPUTED_VALUE"""),"")</f>
        <v/>
      </c>
      <c r="AG388" s="48" t="str">
        <f>IFERROR(__xludf.DUMMYFUNCTION("""COMPUTED_VALUE"""),"%")</f>
        <v>%</v>
      </c>
      <c r="AH388" s="43"/>
      <c r="AI388" s="44"/>
      <c r="AJ388" s="66"/>
    </row>
    <row r="389" ht="24.75" hidden="1" customHeight="1">
      <c r="A389" s="28">
        <f>IFERROR(__xludf.DUMMYFUNCTION("""COMPUTED_VALUE"""),19.0)</f>
        <v>19</v>
      </c>
      <c r="B389" s="28" t="str">
        <f>IFERROR(__xludf.DUMMYFUNCTION("""COMPUTED_VALUE"""),"A208")</f>
        <v>A208</v>
      </c>
      <c r="C389" s="28"/>
      <c r="D389" s="29"/>
      <c r="E389" s="67"/>
      <c r="F389" s="31"/>
      <c r="G389" s="32"/>
      <c r="H389" s="33" t="str">
        <f>IFERROR(__xludf.DUMMYFUNCTION("""COMPUTED_VALUE""")," ")</f>
        <v> </v>
      </c>
      <c r="I389" s="34"/>
      <c r="J389" s="35" t="str">
        <f>IFERROR(__xludf.DUMMYFUNCTION("""COMPUTED_VALUE"""),"AP")</f>
        <v>AP</v>
      </c>
      <c r="K389" s="34"/>
      <c r="L389" s="35" t="str">
        <f>IFERROR(__xludf.DUMMYFUNCTION("""COMPUTED_VALUE"""),"%")</f>
        <v>%</v>
      </c>
      <c r="M389" s="36">
        <f>IFERROR(__xludf.DUMMYFUNCTION("""COMPUTED_VALUE"""),1.0)</f>
        <v>1</v>
      </c>
      <c r="N389" s="37"/>
      <c r="O389" s="38"/>
      <c r="P389" s="34" t="str">
        <f>IFERROR(__xludf.DUMMYFUNCTION("""COMPUTED_VALUE"""),"")</f>
        <v/>
      </c>
      <c r="Q389" s="35" t="str">
        <f>IFERROR(__xludf.DUMMYFUNCTION("""COMPUTED_VALUE"""),"AP")</f>
        <v>AP</v>
      </c>
      <c r="R389" s="34" t="str">
        <f>IFERROR(__xludf.DUMMYFUNCTION("""COMPUTED_VALUE"""),"")</f>
        <v/>
      </c>
      <c r="S389" s="35" t="str">
        <f>IFERROR(__xludf.DUMMYFUNCTION("""COMPUTED_VALUE"""),"%")</f>
        <v>%</v>
      </c>
      <c r="T389" s="36">
        <f>IFERROR(__xludf.DUMMYFUNCTION("""COMPUTED_VALUE"""),2.0)</f>
        <v>2</v>
      </c>
      <c r="U389" s="37"/>
      <c r="V389" s="38"/>
      <c r="W389" s="34" t="str">
        <f>IFERROR(__xludf.DUMMYFUNCTION("""COMPUTED_VALUE"""),"")</f>
        <v/>
      </c>
      <c r="X389" s="35" t="str">
        <f>IFERROR(__xludf.DUMMYFUNCTION("""COMPUTED_VALUE"""),"AP")</f>
        <v>AP</v>
      </c>
      <c r="Y389" s="34" t="str">
        <f>IFERROR(__xludf.DUMMYFUNCTION("""COMPUTED_VALUE"""),"")</f>
        <v/>
      </c>
      <c r="Z389" s="35" t="str">
        <f>IFERROR(__xludf.DUMMYFUNCTION("""COMPUTED_VALUE"""),"%")</f>
        <v>%</v>
      </c>
      <c r="AA389" s="36">
        <f>IFERROR(__xludf.DUMMYFUNCTION("""COMPUTED_VALUE"""),3.0)</f>
        <v>3</v>
      </c>
      <c r="AB389" s="37"/>
      <c r="AC389" s="38"/>
      <c r="AD389" s="34" t="str">
        <f>IFERROR(__xludf.DUMMYFUNCTION("""COMPUTED_VALUE"""),"")</f>
        <v/>
      </c>
      <c r="AE389" s="35" t="str">
        <f>IFERROR(__xludf.DUMMYFUNCTION("""COMPUTED_VALUE"""),"AP")</f>
        <v>AP</v>
      </c>
      <c r="AF389" s="34" t="str">
        <f>IFERROR(__xludf.DUMMYFUNCTION("""COMPUTED_VALUE"""),"")</f>
        <v/>
      </c>
      <c r="AG389" s="35" t="str">
        <f>IFERROR(__xludf.DUMMYFUNCTION("""COMPUTED_VALUE"""),"%")</f>
        <v>%</v>
      </c>
      <c r="AH389" s="31"/>
      <c r="AI389" s="32"/>
      <c r="AJ389" s="67"/>
    </row>
    <row r="390" ht="24.75" hidden="1" customHeight="1">
      <c r="A390" s="40">
        <f>IFERROR(__xludf.DUMMYFUNCTION("""COMPUTED_VALUE"""),20.0)</f>
        <v>20</v>
      </c>
      <c r="B390" s="40" t="str">
        <f>IFERROR(__xludf.DUMMYFUNCTION("""COMPUTED_VALUE"""),"A208")</f>
        <v>A208</v>
      </c>
      <c r="C390" s="40"/>
      <c r="D390" s="41"/>
      <c r="E390" s="66"/>
      <c r="F390" s="43"/>
      <c r="G390" s="44"/>
      <c r="H390" s="33" t="str">
        <f>IFERROR(__xludf.DUMMYFUNCTION("""COMPUTED_VALUE""")," ")</f>
        <v> </v>
      </c>
      <c r="I390" s="45"/>
      <c r="J390" s="46" t="str">
        <f>IFERROR(__xludf.DUMMYFUNCTION("""COMPUTED_VALUE"""),"AP")</f>
        <v>AP</v>
      </c>
      <c r="K390" s="47"/>
      <c r="L390" s="48" t="str">
        <f>IFERROR(__xludf.DUMMYFUNCTION("""COMPUTED_VALUE"""),"%")</f>
        <v>%</v>
      </c>
      <c r="M390" s="49">
        <f>IFERROR(__xludf.DUMMYFUNCTION("""COMPUTED_VALUE"""),1.0)</f>
        <v>1</v>
      </c>
      <c r="N390" s="50"/>
      <c r="O390" s="38"/>
      <c r="P390" s="45" t="str">
        <f>IFERROR(__xludf.DUMMYFUNCTION("""COMPUTED_VALUE"""),"")</f>
        <v/>
      </c>
      <c r="Q390" s="46" t="str">
        <f>IFERROR(__xludf.DUMMYFUNCTION("""COMPUTED_VALUE"""),"AP")</f>
        <v>AP</v>
      </c>
      <c r="R390" s="47" t="str">
        <f>IFERROR(__xludf.DUMMYFUNCTION("""COMPUTED_VALUE"""),"")</f>
        <v/>
      </c>
      <c r="S390" s="48" t="str">
        <f>IFERROR(__xludf.DUMMYFUNCTION("""COMPUTED_VALUE"""),"%")</f>
        <v>%</v>
      </c>
      <c r="T390" s="49">
        <f>IFERROR(__xludf.DUMMYFUNCTION("""COMPUTED_VALUE"""),2.0)</f>
        <v>2</v>
      </c>
      <c r="U390" s="50"/>
      <c r="V390" s="38"/>
      <c r="W390" s="45" t="str">
        <f>IFERROR(__xludf.DUMMYFUNCTION("""COMPUTED_VALUE"""),"")</f>
        <v/>
      </c>
      <c r="X390" s="46" t="str">
        <f>IFERROR(__xludf.DUMMYFUNCTION("""COMPUTED_VALUE"""),"AP")</f>
        <v>AP</v>
      </c>
      <c r="Y390" s="47" t="str">
        <f>IFERROR(__xludf.DUMMYFUNCTION("""COMPUTED_VALUE"""),"")</f>
        <v/>
      </c>
      <c r="Z390" s="48" t="str">
        <f>IFERROR(__xludf.DUMMYFUNCTION("""COMPUTED_VALUE"""),"%")</f>
        <v>%</v>
      </c>
      <c r="AA390" s="49">
        <f>IFERROR(__xludf.DUMMYFUNCTION("""COMPUTED_VALUE"""),3.0)</f>
        <v>3</v>
      </c>
      <c r="AB390" s="50"/>
      <c r="AC390" s="38"/>
      <c r="AD390" s="45" t="str">
        <f>IFERROR(__xludf.DUMMYFUNCTION("""COMPUTED_VALUE"""),"")</f>
        <v/>
      </c>
      <c r="AE390" s="46" t="str">
        <f>IFERROR(__xludf.DUMMYFUNCTION("""COMPUTED_VALUE"""),"AP")</f>
        <v>AP</v>
      </c>
      <c r="AF390" s="47" t="str">
        <f>IFERROR(__xludf.DUMMYFUNCTION("""COMPUTED_VALUE"""),"")</f>
        <v/>
      </c>
      <c r="AG390" s="48" t="str">
        <f>IFERROR(__xludf.DUMMYFUNCTION("""COMPUTED_VALUE"""),"%")</f>
        <v>%</v>
      </c>
      <c r="AH390" s="43"/>
      <c r="AI390" s="44"/>
      <c r="AJ390" s="66"/>
    </row>
    <row r="391">
      <c r="A391" s="52"/>
      <c r="B391" s="53"/>
      <c r="C391" s="54"/>
      <c r="D391" s="56"/>
      <c r="E391" s="56"/>
      <c r="F391" s="53"/>
      <c r="G391" s="53"/>
      <c r="H391" s="53"/>
      <c r="I391" s="53"/>
      <c r="J391" s="57"/>
      <c r="K391" s="53"/>
      <c r="L391" s="57"/>
      <c r="M391" s="53"/>
      <c r="N391" s="53"/>
      <c r="O391" s="53"/>
      <c r="P391" s="53"/>
      <c r="Q391" s="57"/>
      <c r="R391" s="53"/>
      <c r="S391" s="57"/>
      <c r="T391" s="53"/>
      <c r="U391" s="53"/>
      <c r="V391" s="53"/>
      <c r="W391" s="53"/>
      <c r="X391" s="57"/>
      <c r="Y391" s="53"/>
      <c r="Z391" s="57"/>
      <c r="AA391" s="53"/>
      <c r="AB391" s="53"/>
      <c r="AC391" s="53"/>
      <c r="AD391" s="53"/>
      <c r="AE391" s="57"/>
      <c r="AF391" s="53"/>
      <c r="AG391" s="57"/>
      <c r="AH391" s="53"/>
      <c r="AI391" s="53"/>
      <c r="AJ391" s="56"/>
    </row>
    <row r="392">
      <c r="A392" s="59"/>
      <c r="B392" s="60"/>
      <c r="C392" s="61"/>
      <c r="D392" s="63"/>
      <c r="E392" s="63"/>
      <c r="F392" s="60"/>
      <c r="G392" s="60"/>
      <c r="H392" s="60"/>
      <c r="I392" s="60"/>
      <c r="J392" s="64"/>
      <c r="K392" s="60"/>
      <c r="L392" s="64"/>
      <c r="M392" s="60"/>
      <c r="N392" s="60"/>
      <c r="O392" s="60"/>
      <c r="P392" s="60"/>
      <c r="Q392" s="64"/>
      <c r="R392" s="60"/>
      <c r="S392" s="64"/>
      <c r="T392" s="60"/>
      <c r="U392" s="60"/>
      <c r="V392" s="60"/>
      <c r="W392" s="60"/>
      <c r="X392" s="64"/>
      <c r="Y392" s="60"/>
      <c r="Z392" s="64"/>
      <c r="AA392" s="60"/>
      <c r="AB392" s="60"/>
      <c r="AC392" s="60"/>
      <c r="AD392" s="60"/>
      <c r="AE392" s="64"/>
      <c r="AF392" s="60"/>
      <c r="AG392" s="64"/>
      <c r="AH392" s="60"/>
      <c r="AI392" s="60"/>
      <c r="AJ392" s="63"/>
    </row>
    <row r="393" ht="33.0" customHeight="1">
      <c r="A393" s="20" t="str">
        <f>IFERROR(__xludf.DUMMYFUNCTION("""COMPUTED_VALUE""")," ")</f>
        <v> </v>
      </c>
      <c r="B393" s="21" t="str">
        <f>IFERROR(__xludf.DUMMYFUNCTION("""COMPUTED_VALUE"""),"A209")</f>
        <v>A209</v>
      </c>
      <c r="C393" s="20"/>
      <c r="D393" s="257" t="str">
        <f>IFERROR(__xludf.DUMMYFUNCTION("""COMPUTED_VALUE"""),"")</f>
        <v/>
      </c>
      <c r="E393" s="23" t="str">
        <f>IFERROR(__xludf.DUMMYFUNCTION("""COMPUTED_VALUE"""),"Meteor Horseshoe")</f>
        <v>Meteor Horseshoe</v>
      </c>
      <c r="F393" s="24"/>
      <c r="G393" s="24"/>
      <c r="H393" s="25"/>
      <c r="I393" s="25"/>
      <c r="J393" s="26"/>
      <c r="K393" s="25"/>
      <c r="L393" s="26"/>
      <c r="M393" s="25"/>
      <c r="N393" s="25"/>
      <c r="O393" s="25"/>
      <c r="P393" s="25"/>
      <c r="Q393" s="26"/>
      <c r="R393" s="25"/>
      <c r="S393" s="26"/>
      <c r="T393" s="25"/>
      <c r="U393" s="25"/>
      <c r="V393" s="25"/>
      <c r="W393" s="25"/>
      <c r="X393" s="26"/>
      <c r="Y393" s="25"/>
      <c r="Z393" s="26"/>
      <c r="AA393" s="25"/>
      <c r="AB393" s="25"/>
      <c r="AC393" s="25"/>
      <c r="AD393" s="25"/>
      <c r="AE393" s="26"/>
      <c r="AF393" s="25"/>
      <c r="AG393" s="26"/>
      <c r="AH393" s="24"/>
      <c r="AI393" s="25"/>
      <c r="AJ393" s="23"/>
    </row>
    <row r="394" ht="24.75" customHeight="1">
      <c r="A394" s="28">
        <f>IFERROR(__xludf.DUMMYFUNCTION("""COMPUTED_VALUE"""),1.0)</f>
        <v>1</v>
      </c>
      <c r="B394" s="28" t="str">
        <f>IFERROR(__xludf.DUMMYFUNCTION("""COMPUTED_VALUE"""),"A209")</f>
        <v>A209</v>
      </c>
      <c r="C394" s="28" t="str">
        <f>IFERROR(__xludf.DUMMYFUNCTION("""COMPUTED_VALUE"""),"CML13")</f>
        <v>CML13</v>
      </c>
      <c r="D394" s="29" t="str">
        <f>IFERROR(__xludf.DUMMYFUNCTION("""COMPUTED_VALUE"""),"Camelot")</f>
        <v>Camelot</v>
      </c>
      <c r="E394" s="30" t="str">
        <f>IFERROR(__xludf.DUMMYFUNCTION("""COMPUTED_VALUE"""),"Land of the Void")</f>
        <v>Land of the Void</v>
      </c>
      <c r="F394" s="31">
        <f>IFERROR(__xludf.DUMMYFUNCTION("""COMPUTED_VALUE"""),22.0)</f>
        <v>22</v>
      </c>
      <c r="G394" s="32">
        <f>IFERROR(__xludf.DUMMYFUNCTION("""COMPUTED_VALUE"""),5686.0)</f>
        <v>5686</v>
      </c>
      <c r="H394" s="33" t="str">
        <f>IFERROR(__xludf.DUMMYFUNCTION("""COMPUTED_VALUE"""),"")</f>
        <v/>
      </c>
      <c r="I394" s="34">
        <f>IFERROR(__xludf.DUMMYFUNCTION("""COMPUTED_VALUE"""),49.34441885243023)</f>
        <v>49.34441885</v>
      </c>
      <c r="J394" s="35" t="str">
        <f>IFERROR(__xludf.DUMMYFUNCTION("""COMPUTED_VALUE"""),"AP")</f>
        <v>AP</v>
      </c>
      <c r="K394" s="34">
        <f>IFERROR(__xludf.DUMMYFUNCTION("""COMPUTED_VALUE"""),44.58457615195217)</f>
        <v>44.58457615</v>
      </c>
      <c r="L394" s="35" t="str">
        <f>IFERROR(__xludf.DUMMYFUNCTION("""COMPUTED_VALUE"""),"%")</f>
        <v>%</v>
      </c>
      <c r="M394" s="36">
        <f>IFERROR(__xludf.DUMMYFUNCTION("""COMPUTED_VALUE"""),1.0)</f>
        <v>1</v>
      </c>
      <c r="N394" s="37" t="str">
        <f>IFERROR(__xludf.DUMMYFUNCTION("""COMPUTED_VALUE"""),"B102")</f>
        <v>B102</v>
      </c>
      <c r="O394" s="38" t="str">
        <f>IFERROR(__xludf.DUMMYFUNCTION("""COMPUTED_VALUE"""),"")</f>
        <v/>
      </c>
      <c r="P394" s="34">
        <f>IFERROR(__xludf.DUMMYFUNCTION("""COMPUTED_VALUE"""),643.8715057056532)</f>
        <v>643.8715057</v>
      </c>
      <c r="Q394" s="35" t="str">
        <f>IFERROR(__xludf.DUMMYFUNCTION("""COMPUTED_VALUE"""),"AP")</f>
        <v>AP</v>
      </c>
      <c r="R394" s="34">
        <f>IFERROR(__xludf.DUMMYFUNCTION("""COMPUTED_VALUE"""),3.4168308125219835)</f>
        <v>3.416830813</v>
      </c>
      <c r="S394" s="35" t="str">
        <f>IFERROR(__xludf.DUMMYFUNCTION("""COMPUTED_VALUE"""),"%")</f>
        <v>%</v>
      </c>
      <c r="T394" s="36">
        <f>IFERROR(__xludf.DUMMYFUNCTION("""COMPUTED_VALUE"""),2.0)</f>
        <v>2</v>
      </c>
      <c r="U394" s="37" t="str">
        <f>IFERROR(__xludf.DUMMYFUNCTION("""COMPUTED_VALUE"""),"B104")</f>
        <v>B104</v>
      </c>
      <c r="V394" s="38" t="str">
        <f>IFERROR(__xludf.DUMMYFUNCTION("""COMPUTED_VALUE"""),"")</f>
        <v/>
      </c>
      <c r="W394" s="34">
        <f>IFERROR(__xludf.DUMMYFUNCTION("""COMPUTED_VALUE"""),350.406592883294)</f>
        <v>350.4065929</v>
      </c>
      <c r="X394" s="35" t="str">
        <f>IFERROR(__xludf.DUMMYFUNCTION("""COMPUTED_VALUE"""),"AP")</f>
        <v>AP</v>
      </c>
      <c r="Y394" s="34">
        <f>IFERROR(__xludf.DUMMYFUNCTION("""COMPUTED_VALUE"""),6.27842068237777)</f>
        <v>6.278420682</v>
      </c>
      <c r="Z394" s="35" t="str">
        <f>IFERROR(__xludf.DUMMYFUNCTION("""COMPUTED_VALUE"""),"%")</f>
        <v>%</v>
      </c>
      <c r="AA394" s="36">
        <f>IFERROR(__xludf.DUMMYFUNCTION("""COMPUTED_VALUE"""),3.0)</f>
        <v>3</v>
      </c>
      <c r="AB394" s="37" t="str">
        <f>IFERROR(__xludf.DUMMYFUNCTION("""COMPUTED_VALUE"""),"B114")</f>
        <v>B114</v>
      </c>
      <c r="AC394" s="38" t="str">
        <f>IFERROR(__xludf.DUMMYFUNCTION("""COMPUTED_VALUE"""),"")</f>
        <v/>
      </c>
      <c r="AD394" s="34">
        <f>IFERROR(__xludf.DUMMYFUNCTION("""COMPUTED_VALUE"""),491.11924242662184)</f>
        <v>491.1192424</v>
      </c>
      <c r="AE394" s="35" t="str">
        <f>IFERROR(__xludf.DUMMYFUNCTION("""COMPUTED_VALUE"""),"AP")</f>
        <v>AP</v>
      </c>
      <c r="AF394" s="34">
        <f>IFERROR(__xludf.DUMMYFUNCTION("""COMPUTED_VALUE"""),4.4795638410130145)</f>
        <v>4.479563841</v>
      </c>
      <c r="AG394" s="35" t="str">
        <f>IFERROR(__xludf.DUMMYFUNCTION("""COMPUTED_VALUE"""),"%")</f>
        <v>%</v>
      </c>
      <c r="AH394" s="31">
        <f>IFERROR(__xludf.DUMMYFUNCTION("""COMPUTED_VALUE"""),22.0)</f>
        <v>22</v>
      </c>
      <c r="AI394" s="32">
        <f>IFERROR(__xludf.DUMMYFUNCTION("""COMPUTED_VALUE"""),5686.0)</f>
        <v>5686</v>
      </c>
      <c r="AJ394" s="30" t="str">
        <f>IFERROR(__xludf.DUMMYFUNCTION("""COMPUTED_VALUE"""),"Land of the Void")</f>
        <v>Land of the Void</v>
      </c>
    </row>
    <row r="395" ht="24.75" customHeight="1">
      <c r="A395" s="40">
        <f>IFERROR(__xludf.DUMMYFUNCTION("""COMPUTED_VALUE"""),2.0)</f>
        <v>2</v>
      </c>
      <c r="B395" s="40" t="str">
        <f>IFERROR(__xludf.DUMMYFUNCTION("""COMPUTED_VALUE"""),"A209")</f>
        <v>A209</v>
      </c>
      <c r="C395" s="40" t="str">
        <f>IFERROR(__xludf.DUMMYFUNCTION("""COMPUTED_VALUE"""),"OKN8")</f>
        <v>OKN8</v>
      </c>
      <c r="D395" s="41" t="str">
        <f>IFERROR(__xludf.DUMMYFUNCTION("""COMPUTED_VALUE"""),"Okeanos")</f>
        <v>Okeanos</v>
      </c>
      <c r="E395" s="42" t="str">
        <f>IFERROR(__xludf.DUMMYFUNCTION("""COMPUTED_VALUE"""),"Caldera Island")</f>
        <v>Caldera Island</v>
      </c>
      <c r="F395" s="43">
        <f>IFERROR(__xludf.DUMMYFUNCTION("""COMPUTED_VALUE"""),17.0)</f>
        <v>17</v>
      </c>
      <c r="G395" s="44">
        <f>IFERROR(__xludf.DUMMYFUNCTION("""COMPUTED_VALUE"""),2294.0)</f>
        <v>2294</v>
      </c>
      <c r="H395" s="33" t="str">
        <f>IFERROR(__xludf.DUMMYFUNCTION("""COMPUTED_VALUE"""),"")</f>
        <v/>
      </c>
      <c r="I395" s="45">
        <f>IFERROR(__xludf.DUMMYFUNCTION("""COMPUTED_VALUE"""),137.78215876851766)</f>
        <v>137.7821588</v>
      </c>
      <c r="J395" s="46" t="str">
        <f>IFERROR(__xludf.DUMMYFUNCTION("""COMPUTED_VALUE"""),"AP")</f>
        <v>AP</v>
      </c>
      <c r="K395" s="47">
        <f>IFERROR(__xludf.DUMMYFUNCTION("""COMPUTED_VALUE"""),12.33831734960767)</f>
        <v>12.33831735</v>
      </c>
      <c r="L395" s="48" t="str">
        <f>IFERROR(__xludf.DUMMYFUNCTION("""COMPUTED_VALUE"""),"%")</f>
        <v>%</v>
      </c>
      <c r="M395" s="49">
        <f>IFERROR(__xludf.DUMMYFUNCTION("""COMPUTED_VALUE"""),1.0)</f>
        <v>1</v>
      </c>
      <c r="N395" s="50" t="str">
        <f>IFERROR(__xludf.DUMMYFUNCTION("""COMPUTED_VALUE"""),"A201")</f>
        <v>A201</v>
      </c>
      <c r="O395" s="38" t="str">
        <f>IFERROR(__xludf.DUMMYFUNCTION("""COMPUTED_VALUE"""),"")</f>
        <v/>
      </c>
      <c r="P395" s="45">
        <f>IFERROR(__xludf.DUMMYFUNCTION("""COMPUTED_VALUE"""),109.07585635930872)</f>
        <v>109.0758564</v>
      </c>
      <c r="Q395" s="46" t="str">
        <f>IFERROR(__xludf.DUMMYFUNCTION("""COMPUTED_VALUE"""),"AP")</f>
        <v>AP</v>
      </c>
      <c r="R395" s="47">
        <f>IFERROR(__xludf.DUMMYFUNCTION("""COMPUTED_VALUE"""),15.58548387096774)</f>
        <v>15.58548387</v>
      </c>
      <c r="S395" s="48" t="str">
        <f>IFERROR(__xludf.DUMMYFUNCTION("""COMPUTED_VALUE"""),"%")</f>
        <v>%</v>
      </c>
      <c r="T395" s="49">
        <f>IFERROR(__xludf.DUMMYFUNCTION("""COMPUTED_VALUE"""),2.0)</f>
        <v>2</v>
      </c>
      <c r="U395" s="50"/>
      <c r="V395" s="38"/>
      <c r="W395" s="45" t="str">
        <f>IFERROR(__xludf.DUMMYFUNCTION("""COMPUTED_VALUE"""),"")</f>
        <v/>
      </c>
      <c r="X395" s="46" t="str">
        <f>IFERROR(__xludf.DUMMYFUNCTION("""COMPUTED_VALUE"""),"AP")</f>
        <v>AP</v>
      </c>
      <c r="Y395" s="47" t="str">
        <f>IFERROR(__xludf.DUMMYFUNCTION("""COMPUTED_VALUE"""),"")</f>
        <v/>
      </c>
      <c r="Z395" s="48" t="str">
        <f>IFERROR(__xludf.DUMMYFUNCTION("""COMPUTED_VALUE"""),"%")</f>
        <v>%</v>
      </c>
      <c r="AA395" s="49">
        <f>IFERROR(__xludf.DUMMYFUNCTION("""COMPUTED_VALUE"""),3.0)</f>
        <v>3</v>
      </c>
      <c r="AB395" s="50"/>
      <c r="AC395" s="38"/>
      <c r="AD395" s="45" t="str">
        <f>IFERROR(__xludf.DUMMYFUNCTION("""COMPUTED_VALUE"""),"")</f>
        <v/>
      </c>
      <c r="AE395" s="46" t="str">
        <f>IFERROR(__xludf.DUMMYFUNCTION("""COMPUTED_VALUE"""),"AP")</f>
        <v>AP</v>
      </c>
      <c r="AF395" s="47" t="str">
        <f>IFERROR(__xludf.DUMMYFUNCTION("""COMPUTED_VALUE"""),"")</f>
        <v/>
      </c>
      <c r="AG395" s="48" t="str">
        <f>IFERROR(__xludf.DUMMYFUNCTION("""COMPUTED_VALUE"""),"%")</f>
        <v>%</v>
      </c>
      <c r="AH395" s="43">
        <f>IFERROR(__xludf.DUMMYFUNCTION("""COMPUTED_VALUE"""),17.0)</f>
        <v>17</v>
      </c>
      <c r="AI395" s="44">
        <f>IFERROR(__xludf.DUMMYFUNCTION("""COMPUTED_VALUE"""),2294.0)</f>
        <v>2294</v>
      </c>
      <c r="AJ395" s="42" t="str">
        <f>IFERROR(__xludf.DUMMYFUNCTION("""COMPUTED_VALUE"""),"Caldera Island")</f>
        <v>Caldera Island</v>
      </c>
    </row>
    <row r="396" ht="24.75" customHeight="1">
      <c r="A396" s="28">
        <f>IFERROR(__xludf.DUMMYFUNCTION("""COMPUTED_VALUE"""),3.0)</f>
        <v>3</v>
      </c>
      <c r="B396" s="28" t="str">
        <f>IFERROR(__xludf.DUMMYFUNCTION("""COMPUTED_VALUE"""),"A209")</f>
        <v>A209</v>
      </c>
      <c r="C396" s="28" t="str">
        <f>IFERROR(__xludf.DUMMYFUNCTION("""COMPUTED_VALUE"""),"TRF14")</f>
        <v>TRF14</v>
      </c>
      <c r="D396" s="29" t="str">
        <f>IFERROR(__xludf.DUMMYFUNCTION("""COMPUTED_VALUE"""),"Chaldea Gate (Thu)")</f>
        <v>Chaldea Gate (Thu)</v>
      </c>
      <c r="E396" s="30" t="str">
        <f>IFERROR(__xludf.DUMMYFUNCTION("""COMPUTED_VALUE"""),"THU Rider Training Ground- Int")</f>
        <v>THU Rider Training Ground- Int</v>
      </c>
      <c r="F396" s="31">
        <f>IFERROR(__xludf.DUMMYFUNCTION("""COMPUTED_VALUE"""),20.0)</f>
        <v>20</v>
      </c>
      <c r="G396" s="32">
        <f>IFERROR(__xludf.DUMMYFUNCTION("""COMPUTED_VALUE"""),1270.0)</f>
        <v>1270</v>
      </c>
      <c r="H396" s="33" t="str">
        <f>IFERROR(__xludf.DUMMYFUNCTION("""COMPUTED_VALUE"""),"")</f>
        <v/>
      </c>
      <c r="I396" s="34">
        <f>IFERROR(__xludf.DUMMYFUNCTION("""COMPUTED_VALUE"""),183.74374258514422)</f>
        <v>183.7437426</v>
      </c>
      <c r="J396" s="35" t="str">
        <f>IFERROR(__xludf.DUMMYFUNCTION("""COMPUTED_VALUE"""),"AP")</f>
        <v>AP</v>
      </c>
      <c r="K396" s="34">
        <f>IFERROR(__xludf.DUMMYFUNCTION("""COMPUTED_VALUE"""),10.88472440944882)</f>
        <v>10.88472441</v>
      </c>
      <c r="L396" s="35" t="str">
        <f>IFERROR(__xludf.DUMMYFUNCTION("""COMPUTED_VALUE"""),"%")</f>
        <v>%</v>
      </c>
      <c r="M396" s="36">
        <f>IFERROR(__xludf.DUMMYFUNCTION("""COMPUTED_VALUE"""),1.0)</f>
        <v>1</v>
      </c>
      <c r="N396" s="37" t="str">
        <f>IFERROR(__xludf.DUMMYFUNCTION("""COMPUTED_VALUE"""),"A303")</f>
        <v>A303</v>
      </c>
      <c r="O396" s="38" t="str">
        <f>IFERROR(__xludf.DUMMYFUNCTION("""COMPUTED_VALUE"""),"")</f>
        <v/>
      </c>
      <c r="P396" s="34">
        <f>IFERROR(__xludf.DUMMYFUNCTION("""COMPUTED_VALUE"""),76.01695118155479)</f>
        <v>76.01695118</v>
      </c>
      <c r="Q396" s="35" t="str">
        <f>IFERROR(__xludf.DUMMYFUNCTION("""COMPUTED_VALUE"""),"AP")</f>
        <v>AP</v>
      </c>
      <c r="R396" s="34">
        <f>IFERROR(__xludf.DUMMYFUNCTION("""COMPUTED_VALUE"""),26.309921259842525)</f>
        <v>26.30992126</v>
      </c>
      <c r="S396" s="35" t="str">
        <f>IFERROR(__xludf.DUMMYFUNCTION("""COMPUTED_VALUE"""),"%")</f>
        <v>%</v>
      </c>
      <c r="T396" s="36">
        <f>IFERROR(__xludf.DUMMYFUNCTION("""COMPUTED_VALUE"""),2.0)</f>
        <v>2</v>
      </c>
      <c r="U396" s="37" t="str">
        <f>IFERROR(__xludf.DUMMYFUNCTION("""COMPUTED_VALUE"""),"A304")</f>
        <v>A304</v>
      </c>
      <c r="V396" s="38" t="str">
        <f>IFERROR(__xludf.DUMMYFUNCTION("""COMPUTED_VALUE"""),"")</f>
        <v/>
      </c>
      <c r="W396" s="34">
        <f>IFERROR(__xludf.DUMMYFUNCTION("""COMPUTED_VALUE"""),132.8326831156063)</f>
        <v>132.8326831</v>
      </c>
      <c r="X396" s="35" t="str">
        <f>IFERROR(__xludf.DUMMYFUNCTION("""COMPUTED_VALUE"""),"AP")</f>
        <v>AP</v>
      </c>
      <c r="Y396" s="34">
        <f>IFERROR(__xludf.DUMMYFUNCTION("""COMPUTED_VALUE"""),15.056535433070865)</f>
        <v>15.05653543</v>
      </c>
      <c r="Z396" s="35" t="str">
        <f>IFERROR(__xludf.DUMMYFUNCTION("""COMPUTED_VALUE"""),"%")</f>
        <v>%</v>
      </c>
      <c r="AA396" s="36">
        <f>IFERROR(__xludf.DUMMYFUNCTION("""COMPUTED_VALUE"""),3.0)</f>
        <v>3</v>
      </c>
      <c r="AB396" s="37" t="str">
        <f>IFERROR(__xludf.DUMMYFUNCTION("""COMPUTED_VALUE"""),"B114")</f>
        <v>B114</v>
      </c>
      <c r="AC396" s="38" t="str">
        <f>IFERROR(__xludf.DUMMYFUNCTION("""COMPUTED_VALUE"""),"")</f>
        <v/>
      </c>
      <c r="AD396" s="34">
        <f>IFERROR(__xludf.DUMMYFUNCTION("""COMPUTED_VALUE"""),21.538894664629236)</f>
        <v>21.53889466</v>
      </c>
      <c r="AE396" s="35" t="str">
        <f>IFERROR(__xludf.DUMMYFUNCTION("""COMPUTED_VALUE"""),"AP")</f>
        <v>AP</v>
      </c>
      <c r="AF396" s="34">
        <f>IFERROR(__xludf.DUMMYFUNCTION("""COMPUTED_VALUE"""),92.85527559055117)</f>
        <v>92.85527559</v>
      </c>
      <c r="AG396" s="35" t="str">
        <f>IFERROR(__xludf.DUMMYFUNCTION("""COMPUTED_VALUE"""),"%")</f>
        <v>%</v>
      </c>
      <c r="AH396" s="31">
        <f>IFERROR(__xludf.DUMMYFUNCTION("""COMPUTED_VALUE"""),20.0)</f>
        <v>20</v>
      </c>
      <c r="AI396" s="32">
        <f>IFERROR(__xludf.DUMMYFUNCTION("""COMPUTED_VALUE"""),1270.0)</f>
        <v>1270</v>
      </c>
      <c r="AJ396" s="30" t="str">
        <f>IFERROR(__xludf.DUMMYFUNCTION("""COMPUTED_VALUE"""),"THU Rider Training Ground- Int")</f>
        <v>THU Rider Training Ground- Int</v>
      </c>
    </row>
    <row r="397" ht="24.75" customHeight="1">
      <c r="A397" s="40">
        <f>IFERROR(__xludf.DUMMYFUNCTION("""COMPUTED_VALUE"""),4.0)</f>
        <v>4</v>
      </c>
      <c r="B397" s="40" t="str">
        <f>IFERROR(__xludf.DUMMYFUNCTION("""COMPUTED_VALUE"""),"A209")</f>
        <v>A209</v>
      </c>
      <c r="C397" s="40" t="str">
        <f>IFERROR(__xludf.DUMMYFUNCTION("""COMPUTED_VALUE"""),"TRF13")</f>
        <v>TRF13</v>
      </c>
      <c r="D397" s="41" t="str">
        <f>IFERROR(__xludf.DUMMYFUNCTION("""COMPUTED_VALUE"""),"Chaldea Gate (Thu)")</f>
        <v>Chaldea Gate (Thu)</v>
      </c>
      <c r="E397" s="42" t="str">
        <f>IFERROR(__xludf.DUMMYFUNCTION("""COMPUTED_VALUE"""),"THU Rider Training Ground- Nov")</f>
        <v>THU Rider Training Ground- Nov</v>
      </c>
      <c r="F397" s="43">
        <f>IFERROR(__xludf.DUMMYFUNCTION("""COMPUTED_VALUE"""),10.0)</f>
        <v>10</v>
      </c>
      <c r="G397" s="44">
        <f>IFERROR(__xludf.DUMMYFUNCTION("""COMPUTED_VALUE"""),1340.0)</f>
        <v>1340</v>
      </c>
      <c r="H397" s="33" t="str">
        <f>IFERROR(__xludf.DUMMYFUNCTION("""COMPUTED_VALUE"""),"")</f>
        <v/>
      </c>
      <c r="I397" s="45">
        <f>IFERROR(__xludf.DUMMYFUNCTION("""COMPUTED_VALUE"""),188.73239436619718)</f>
        <v>188.7323944</v>
      </c>
      <c r="J397" s="46" t="str">
        <f>IFERROR(__xludf.DUMMYFUNCTION("""COMPUTED_VALUE"""),"AP")</f>
        <v>AP</v>
      </c>
      <c r="K397" s="47">
        <f>IFERROR(__xludf.DUMMYFUNCTION("""COMPUTED_VALUE"""),5.298507462686567)</f>
        <v>5.298507463</v>
      </c>
      <c r="L397" s="48" t="str">
        <f>IFERROR(__xludf.DUMMYFUNCTION("""COMPUTED_VALUE"""),"%")</f>
        <v>%</v>
      </c>
      <c r="M397" s="49">
        <f>IFERROR(__xludf.DUMMYFUNCTION("""COMPUTED_VALUE"""),1.0)</f>
        <v>1</v>
      </c>
      <c r="N397" s="50" t="str">
        <f>IFERROR(__xludf.DUMMYFUNCTION("""COMPUTED_VALUE"""),"A303")</f>
        <v>A303</v>
      </c>
      <c r="O397" s="38" t="str">
        <f>IFERROR(__xludf.DUMMYFUNCTION("""COMPUTED_VALUE"""),"")</f>
        <v/>
      </c>
      <c r="P397" s="45">
        <f>IFERROR(__xludf.DUMMYFUNCTION("""COMPUTED_VALUE"""),62.32558139534883)</f>
        <v>62.3255814</v>
      </c>
      <c r="Q397" s="46" t="str">
        <f>IFERROR(__xludf.DUMMYFUNCTION("""COMPUTED_VALUE"""),"AP")</f>
        <v>AP</v>
      </c>
      <c r="R397" s="47">
        <f>IFERROR(__xludf.DUMMYFUNCTION("""COMPUTED_VALUE"""),16.044776119402986)</f>
        <v>16.04477612</v>
      </c>
      <c r="S397" s="48" t="str">
        <f>IFERROR(__xludf.DUMMYFUNCTION("""COMPUTED_VALUE"""),"%")</f>
        <v>%</v>
      </c>
      <c r="T397" s="49">
        <f>IFERROR(__xludf.DUMMYFUNCTION("""COMPUTED_VALUE"""),2.0)</f>
        <v>2</v>
      </c>
      <c r="U397" s="50" t="str">
        <f>IFERROR(__xludf.DUMMYFUNCTION("""COMPUTED_VALUE"""),"A304")</f>
        <v>A304</v>
      </c>
      <c r="V397" s="38" t="str">
        <f>IFERROR(__xludf.DUMMYFUNCTION("""COMPUTED_VALUE"""),"")</f>
        <v/>
      </c>
      <c r="W397" s="45">
        <f>IFERROR(__xludf.DUMMYFUNCTION("""COMPUTED_VALUE"""),235.08771929824562)</f>
        <v>235.0877193</v>
      </c>
      <c r="X397" s="46" t="str">
        <f>IFERROR(__xludf.DUMMYFUNCTION("""COMPUTED_VALUE"""),"AP")</f>
        <v>AP</v>
      </c>
      <c r="Y397" s="47">
        <f>IFERROR(__xludf.DUMMYFUNCTION("""COMPUTED_VALUE"""),4.253731343283582)</f>
        <v>4.253731343</v>
      </c>
      <c r="Z397" s="48" t="str">
        <f>IFERROR(__xludf.DUMMYFUNCTION("""COMPUTED_VALUE"""),"%")</f>
        <v>%</v>
      </c>
      <c r="AA397" s="49">
        <f>IFERROR(__xludf.DUMMYFUNCTION("""COMPUTED_VALUE"""),3.0)</f>
        <v>3</v>
      </c>
      <c r="AB397" s="50"/>
      <c r="AC397" s="38"/>
      <c r="AD397" s="45" t="str">
        <f>IFERROR(__xludf.DUMMYFUNCTION("""COMPUTED_VALUE"""),"")</f>
        <v/>
      </c>
      <c r="AE397" s="46" t="str">
        <f>IFERROR(__xludf.DUMMYFUNCTION("""COMPUTED_VALUE"""),"AP")</f>
        <v>AP</v>
      </c>
      <c r="AF397" s="47" t="str">
        <f>IFERROR(__xludf.DUMMYFUNCTION("""COMPUTED_VALUE"""),"")</f>
        <v/>
      </c>
      <c r="AG397" s="48" t="str">
        <f>IFERROR(__xludf.DUMMYFUNCTION("""COMPUTED_VALUE"""),"%")</f>
        <v>%</v>
      </c>
      <c r="AH397" s="43">
        <f>IFERROR(__xludf.DUMMYFUNCTION("""COMPUTED_VALUE"""),10.0)</f>
        <v>10</v>
      </c>
      <c r="AI397" s="44">
        <f>IFERROR(__xludf.DUMMYFUNCTION("""COMPUTED_VALUE"""),1340.0)</f>
        <v>1340</v>
      </c>
      <c r="AJ397" s="42" t="str">
        <f>IFERROR(__xludf.DUMMYFUNCTION("""COMPUTED_VALUE"""),"THU Rider Training Ground- Nov")</f>
        <v>THU Rider Training Ground- Nov</v>
      </c>
    </row>
    <row r="398" ht="24.75" customHeight="1">
      <c r="A398" s="28">
        <f>IFERROR(__xludf.DUMMYFUNCTION("""COMPUTED_VALUE"""),5.0)</f>
        <v>5</v>
      </c>
      <c r="B398" s="28" t="str">
        <f>IFERROR(__xludf.DUMMYFUNCTION("""COMPUTED_VALUE"""),"A209")</f>
        <v>A209</v>
      </c>
      <c r="C398" s="28" t="str">
        <f>IFERROR(__xludf.DUMMYFUNCTION("""COMPUTED_VALUE"""),"TRF2")</f>
        <v>TRF2</v>
      </c>
      <c r="D398" s="29" t="str">
        <f>IFERROR(__xludf.DUMMYFUNCTION("""COMPUTED_VALUE"""),"Chaldea Gate (Mon)")</f>
        <v>Chaldea Gate (Mon)</v>
      </c>
      <c r="E398" s="30" t="str">
        <f>IFERROR(__xludf.DUMMYFUNCTION("""COMPUTED_VALUE"""),"MON Archer Training Ground- Int")</f>
        <v>MON Archer Training Ground- Int</v>
      </c>
      <c r="F398" s="31">
        <f>IFERROR(__xludf.DUMMYFUNCTION("""COMPUTED_VALUE"""),20.0)</f>
        <v>20</v>
      </c>
      <c r="G398" s="32">
        <f>IFERROR(__xludf.DUMMYFUNCTION("""COMPUTED_VALUE"""),1232.0)</f>
        <v>1232</v>
      </c>
      <c r="H398" s="33" t="str">
        <f>IFERROR(__xludf.DUMMYFUNCTION("""COMPUTED_VALUE"""),"")</f>
        <v/>
      </c>
      <c r="I398" s="34">
        <f>IFERROR(__xludf.DUMMYFUNCTION("""COMPUTED_VALUE"""),190.8538852398067)</f>
        <v>190.8538852</v>
      </c>
      <c r="J398" s="35" t="str">
        <f>IFERROR(__xludf.DUMMYFUNCTION("""COMPUTED_VALUE"""),"AP")</f>
        <v>AP</v>
      </c>
      <c r="K398" s="34">
        <f>IFERROR(__xludf.DUMMYFUNCTION("""COMPUTED_VALUE"""),10.479220779220778)</f>
        <v>10.47922078</v>
      </c>
      <c r="L398" s="35" t="str">
        <f>IFERROR(__xludf.DUMMYFUNCTION("""COMPUTED_VALUE"""),"%")</f>
        <v>%</v>
      </c>
      <c r="M398" s="36">
        <f>IFERROR(__xludf.DUMMYFUNCTION("""COMPUTED_VALUE"""),1.0)</f>
        <v>1</v>
      </c>
      <c r="N398" s="37" t="str">
        <f>IFERROR(__xludf.DUMMYFUNCTION("""COMPUTED_VALUE"""),"A201")</f>
        <v>A201</v>
      </c>
      <c r="O398" s="38" t="str">
        <f>IFERROR(__xludf.DUMMYFUNCTION("""COMPUTED_VALUE"""),"")</f>
        <v/>
      </c>
      <c r="P398" s="34">
        <f>IFERROR(__xludf.DUMMYFUNCTION("""COMPUTED_VALUE"""),135.3652774878314)</f>
        <v>135.3652775</v>
      </c>
      <c r="Q398" s="35" t="str">
        <f>IFERROR(__xludf.DUMMYFUNCTION("""COMPUTED_VALUE"""),"AP")</f>
        <v>AP</v>
      </c>
      <c r="R398" s="34">
        <f>IFERROR(__xludf.DUMMYFUNCTION("""COMPUTED_VALUE"""),14.774837662337662)</f>
        <v>14.77483766</v>
      </c>
      <c r="S398" s="35" t="str">
        <f>IFERROR(__xludf.DUMMYFUNCTION("""COMPUTED_VALUE"""),"%")</f>
        <v>%</v>
      </c>
      <c r="T398" s="36">
        <f>IFERROR(__xludf.DUMMYFUNCTION("""COMPUTED_VALUE"""),2.0)</f>
        <v>2</v>
      </c>
      <c r="U398" s="37" t="str">
        <f>IFERROR(__xludf.DUMMYFUNCTION("""COMPUTED_VALUE"""),"A205")</f>
        <v>A205</v>
      </c>
      <c r="V398" s="38" t="str">
        <f>IFERROR(__xludf.DUMMYFUNCTION("""COMPUTED_VALUE"""),"")</f>
        <v/>
      </c>
      <c r="W398" s="34">
        <f>IFERROR(__xludf.DUMMYFUNCTION("""COMPUTED_VALUE"""),3126.1101243339253)</f>
        <v>3126.110124</v>
      </c>
      <c r="X398" s="35" t="str">
        <f>IFERROR(__xludf.DUMMYFUNCTION("""COMPUTED_VALUE"""),"AP")</f>
        <v>AP</v>
      </c>
      <c r="Y398" s="34">
        <f>IFERROR(__xludf.DUMMYFUNCTION("""COMPUTED_VALUE"""),0.6397727272727273)</f>
        <v>0.6397727273</v>
      </c>
      <c r="Z398" s="35" t="str">
        <f>IFERROR(__xludf.DUMMYFUNCTION("""COMPUTED_VALUE"""),"%")</f>
        <v>%</v>
      </c>
      <c r="AA398" s="36">
        <f>IFERROR(__xludf.DUMMYFUNCTION("""COMPUTED_VALUE"""),3.0)</f>
        <v>3</v>
      </c>
      <c r="AB398" s="37" t="str">
        <f>IFERROR(__xludf.DUMMYFUNCTION("""COMPUTED_VALUE"""),"A301")</f>
        <v>A301</v>
      </c>
      <c r="AC398" s="38" t="str">
        <f>IFERROR(__xludf.DUMMYFUNCTION("""COMPUTED_VALUE"""),"")</f>
        <v/>
      </c>
      <c r="AD398" s="34">
        <f>IFERROR(__xludf.DUMMYFUNCTION("""COMPUTED_VALUE"""),251.22349102773248)</f>
        <v>251.223491</v>
      </c>
      <c r="AE398" s="35" t="str">
        <f>IFERROR(__xludf.DUMMYFUNCTION("""COMPUTED_VALUE"""),"AP")</f>
        <v>AP</v>
      </c>
      <c r="AF398" s="34">
        <f>IFERROR(__xludf.DUMMYFUNCTION("""COMPUTED_VALUE"""),7.961038961038961)</f>
        <v>7.961038961</v>
      </c>
      <c r="AG398" s="35" t="str">
        <f>IFERROR(__xludf.DUMMYFUNCTION("""COMPUTED_VALUE"""),"%")</f>
        <v>%</v>
      </c>
      <c r="AH398" s="31">
        <f>IFERROR(__xludf.DUMMYFUNCTION("""COMPUTED_VALUE"""),20.0)</f>
        <v>20</v>
      </c>
      <c r="AI398" s="32">
        <f>IFERROR(__xludf.DUMMYFUNCTION("""COMPUTED_VALUE"""),1232.0)</f>
        <v>1232</v>
      </c>
      <c r="AJ398" s="30" t="str">
        <f>IFERROR(__xludf.DUMMYFUNCTION("""COMPUTED_VALUE"""),"MON Archer Training Ground- Int")</f>
        <v>MON Archer Training Ground- Int</v>
      </c>
    </row>
    <row r="399" ht="24.75" customHeight="1">
      <c r="A399" s="40">
        <f>IFERROR(__xludf.DUMMYFUNCTION("""COMPUTED_VALUE"""),6.0)</f>
        <v>6</v>
      </c>
      <c r="B399" s="40" t="str">
        <f>IFERROR(__xludf.DUMMYFUNCTION("""COMPUTED_VALUE"""),"A209")</f>
        <v>A209</v>
      </c>
      <c r="C399" s="40" t="str">
        <f>IFERROR(__xludf.DUMMYFUNCTION("""COMPUTED_VALUE"""),"TRF1")</f>
        <v>TRF1</v>
      </c>
      <c r="D399" s="41" t="str">
        <f>IFERROR(__xludf.DUMMYFUNCTION("""COMPUTED_VALUE"""),"Chaldea Gate (Mon)")</f>
        <v>Chaldea Gate (Mon)</v>
      </c>
      <c r="E399" s="42" t="str">
        <f>IFERROR(__xludf.DUMMYFUNCTION("""COMPUTED_VALUE"""),"MON Archer Training Ground- Nov")</f>
        <v>MON Archer Training Ground- Nov</v>
      </c>
      <c r="F399" s="43">
        <f>IFERROR(__xludf.DUMMYFUNCTION("""COMPUTED_VALUE"""),10.0)</f>
        <v>10</v>
      </c>
      <c r="G399" s="44">
        <f>IFERROR(__xludf.DUMMYFUNCTION("""COMPUTED_VALUE"""),2082.0)</f>
        <v>2082</v>
      </c>
      <c r="H399" s="33" t="str">
        <f>IFERROR(__xludf.DUMMYFUNCTION("""COMPUTED_VALUE"""),"")</f>
        <v/>
      </c>
      <c r="I399" s="45">
        <f>IFERROR(__xludf.DUMMYFUNCTION("""COMPUTED_VALUE"""),196.21147865422674)</f>
        <v>196.2114787</v>
      </c>
      <c r="J399" s="46" t="str">
        <f>IFERROR(__xludf.DUMMYFUNCTION("""COMPUTED_VALUE"""),"AP")</f>
        <v>AP</v>
      </c>
      <c r="K399" s="47">
        <f>IFERROR(__xludf.DUMMYFUNCTION("""COMPUTED_VALUE"""),5.096541786743516)</f>
        <v>5.096541787</v>
      </c>
      <c r="L399" s="48" t="str">
        <f>IFERROR(__xludf.DUMMYFUNCTION("""COMPUTED_VALUE"""),"%")</f>
        <v>%</v>
      </c>
      <c r="M399" s="49">
        <f>IFERROR(__xludf.DUMMYFUNCTION("""COMPUTED_VALUE"""),1.0)</f>
        <v>1</v>
      </c>
      <c r="N399" s="50" t="str">
        <f>IFERROR(__xludf.DUMMYFUNCTION("""COMPUTED_VALUE"""),"A301")</f>
        <v>A301</v>
      </c>
      <c r="O399" s="38" t="str">
        <f>IFERROR(__xludf.DUMMYFUNCTION("""COMPUTED_VALUE"""),"")</f>
        <v/>
      </c>
      <c r="P399" s="45">
        <f>IFERROR(__xludf.DUMMYFUNCTION("""COMPUTED_VALUE"""),92.99624798999464)</f>
        <v>92.99624799</v>
      </c>
      <c r="Q399" s="46" t="str">
        <f>IFERROR(__xludf.DUMMYFUNCTION("""COMPUTED_VALUE"""),"AP")</f>
        <v>AP</v>
      </c>
      <c r="R399" s="47">
        <f>IFERROR(__xludf.DUMMYFUNCTION("""COMPUTED_VALUE"""),10.75312199807877)</f>
        <v>10.753122</v>
      </c>
      <c r="S399" s="48" t="str">
        <f>IFERROR(__xludf.DUMMYFUNCTION("""COMPUTED_VALUE"""),"%")</f>
        <v>%</v>
      </c>
      <c r="T399" s="49">
        <f>IFERROR(__xludf.DUMMYFUNCTION("""COMPUTED_VALUE"""),2.0)</f>
        <v>2</v>
      </c>
      <c r="U399" s="50" t="str">
        <f>IFERROR(__xludf.DUMMYFUNCTION("""COMPUTED_VALUE"""),"A302")</f>
        <v>A302</v>
      </c>
      <c r="V399" s="38" t="str">
        <f>IFERROR(__xludf.DUMMYFUNCTION("""COMPUTED_VALUE"""),"")</f>
        <v/>
      </c>
      <c r="W399" s="45">
        <f>IFERROR(__xludf.DUMMYFUNCTION("""COMPUTED_VALUE"""),42.55667068658913)</f>
        <v>42.55667069</v>
      </c>
      <c r="X399" s="46" t="str">
        <f>IFERROR(__xludf.DUMMYFUNCTION("""COMPUTED_VALUE"""),"AP")</f>
        <v>AP</v>
      </c>
      <c r="Y399" s="47">
        <f>IFERROR(__xludf.DUMMYFUNCTION("""COMPUTED_VALUE"""),23.498078770413063)</f>
        <v>23.49807877</v>
      </c>
      <c r="Z399" s="48" t="str">
        <f>IFERROR(__xludf.DUMMYFUNCTION("""COMPUTED_VALUE"""),"%")</f>
        <v>%</v>
      </c>
      <c r="AA399" s="49">
        <f>IFERROR(__xludf.DUMMYFUNCTION("""COMPUTED_VALUE"""),3.0)</f>
        <v>3</v>
      </c>
      <c r="AB399" s="50" t="str">
        <f>IFERROR(__xludf.DUMMYFUNCTION("""COMPUTED_VALUE"""),"A303")</f>
        <v>A303</v>
      </c>
      <c r="AC399" s="38" t="str">
        <f>IFERROR(__xludf.DUMMYFUNCTION("""COMPUTED_VALUE"""),"")</f>
        <v/>
      </c>
      <c r="AD399" s="45">
        <f>IFERROR(__xludf.DUMMYFUNCTION("""COMPUTED_VALUE"""),268.402733015341)</f>
        <v>268.402733</v>
      </c>
      <c r="AE399" s="46" t="str">
        <f>IFERROR(__xludf.DUMMYFUNCTION("""COMPUTED_VALUE"""),"AP")</f>
        <v>AP</v>
      </c>
      <c r="AF399" s="47">
        <f>IFERROR(__xludf.DUMMYFUNCTION("""COMPUTED_VALUE"""),3.7257444764649374)</f>
        <v>3.725744476</v>
      </c>
      <c r="AG399" s="48" t="str">
        <f>IFERROR(__xludf.DUMMYFUNCTION("""COMPUTED_VALUE"""),"%")</f>
        <v>%</v>
      </c>
      <c r="AH399" s="43">
        <f>IFERROR(__xludf.DUMMYFUNCTION("""COMPUTED_VALUE"""),10.0)</f>
        <v>10</v>
      </c>
      <c r="AI399" s="44">
        <f>IFERROR(__xludf.DUMMYFUNCTION("""COMPUTED_VALUE"""),2082.0)</f>
        <v>2082</v>
      </c>
      <c r="AJ399" s="42" t="str">
        <f>IFERROR(__xludf.DUMMYFUNCTION("""COMPUTED_VALUE"""),"MON Archer Training Ground- Nov")</f>
        <v>MON Archer Training Ground- Nov</v>
      </c>
    </row>
    <row r="400" ht="24.75" customHeight="1">
      <c r="A400" s="28">
        <f>IFERROR(__xludf.DUMMYFUNCTION("""COMPUTED_VALUE"""),7.0)</f>
        <v>7</v>
      </c>
      <c r="B400" s="28" t="str">
        <f>IFERROR(__xludf.DUMMYFUNCTION("""COMPUTED_VALUE"""),"A209")</f>
        <v>A209</v>
      </c>
      <c r="C400" s="28" t="str">
        <f>IFERROR(__xludf.DUMMYFUNCTION("""COMPUTED_VALUE"""),"TRF15")</f>
        <v>TRF15</v>
      </c>
      <c r="D400" s="29" t="str">
        <f>IFERROR(__xludf.DUMMYFUNCTION("""COMPUTED_VALUE"""),"Chaldea Gate (Thu)")</f>
        <v>Chaldea Gate (Thu)</v>
      </c>
      <c r="E400" s="30" t="str">
        <f>IFERROR(__xludf.DUMMYFUNCTION("""COMPUTED_VALUE"""),"THU Rider Training Ground- Adv")</f>
        <v>THU Rider Training Ground- Adv</v>
      </c>
      <c r="F400" s="31">
        <f>IFERROR(__xludf.DUMMYFUNCTION("""COMPUTED_VALUE"""),30.0)</f>
        <v>30</v>
      </c>
      <c r="G400" s="32">
        <f>IFERROR(__xludf.DUMMYFUNCTION("""COMPUTED_VALUE"""),2248.0)</f>
        <v>2248</v>
      </c>
      <c r="H400" s="33" t="str">
        <f>IFERROR(__xludf.DUMMYFUNCTION("""COMPUTED_VALUE"""),"")</f>
        <v/>
      </c>
      <c r="I400" s="34">
        <f>IFERROR(__xludf.DUMMYFUNCTION("""COMPUTED_VALUE"""),204.48694818996913)</f>
        <v>204.4869482</v>
      </c>
      <c r="J400" s="35" t="str">
        <f>IFERROR(__xludf.DUMMYFUNCTION("""COMPUTED_VALUE"""),"AP")</f>
        <v>AP</v>
      </c>
      <c r="K400" s="34">
        <f>IFERROR(__xludf.DUMMYFUNCTION("""COMPUTED_VALUE"""),14.670862989323842)</f>
        <v>14.67086299</v>
      </c>
      <c r="L400" s="35" t="str">
        <f>IFERROR(__xludf.DUMMYFUNCTION("""COMPUTED_VALUE"""),"%")</f>
        <v>%</v>
      </c>
      <c r="M400" s="36">
        <f>IFERROR(__xludf.DUMMYFUNCTION("""COMPUTED_VALUE"""),1.0)</f>
        <v>1</v>
      </c>
      <c r="N400" s="37" t="str">
        <f>IFERROR(__xludf.DUMMYFUNCTION("""COMPUTED_VALUE"""),"A103")</f>
        <v>A103</v>
      </c>
      <c r="O400" s="38" t="str">
        <f>IFERROR(__xludf.DUMMYFUNCTION("""COMPUTED_VALUE"""),"")</f>
        <v/>
      </c>
      <c r="P400" s="34">
        <f>IFERROR(__xludf.DUMMYFUNCTION("""COMPUTED_VALUE"""),1015.9839708341494)</f>
        <v>1015.983971</v>
      </c>
      <c r="Q400" s="35" t="str">
        <f>IFERROR(__xludf.DUMMYFUNCTION("""COMPUTED_VALUE"""),"AP")</f>
        <v>AP</v>
      </c>
      <c r="R400" s="34">
        <f>IFERROR(__xludf.DUMMYFUNCTION("""COMPUTED_VALUE"""),2.9528024911032027)</f>
        <v>2.952802491</v>
      </c>
      <c r="S400" s="35" t="str">
        <f>IFERROR(__xludf.DUMMYFUNCTION("""COMPUTED_VALUE"""),"%")</f>
        <v>%</v>
      </c>
      <c r="T400" s="36">
        <f>IFERROR(__xludf.DUMMYFUNCTION("""COMPUTED_VALUE"""),2.0)</f>
        <v>2</v>
      </c>
      <c r="U400" s="37" t="str">
        <f>IFERROR(__xludf.DUMMYFUNCTION("""COMPUTED_VALUE"""),"A303")</f>
        <v>A303</v>
      </c>
      <c r="V400" s="38" t="str">
        <f>IFERROR(__xludf.DUMMYFUNCTION("""COMPUTED_VALUE"""),"")</f>
        <v/>
      </c>
      <c r="W400" s="34">
        <f>IFERROR(__xludf.DUMMYFUNCTION("""COMPUTED_VALUE"""),65.98780634574909)</f>
        <v>65.98780635</v>
      </c>
      <c r="X400" s="35" t="str">
        <f>IFERROR(__xludf.DUMMYFUNCTION("""COMPUTED_VALUE"""),"AP")</f>
        <v>AP</v>
      </c>
      <c r="Y400" s="34">
        <f>IFERROR(__xludf.DUMMYFUNCTION("""COMPUTED_VALUE"""),45.462944839857656)</f>
        <v>45.46294484</v>
      </c>
      <c r="Z400" s="35" t="str">
        <f>IFERROR(__xludf.DUMMYFUNCTION("""COMPUTED_VALUE"""),"%")</f>
        <v>%</v>
      </c>
      <c r="AA400" s="36">
        <f>IFERROR(__xludf.DUMMYFUNCTION("""COMPUTED_VALUE"""),3.0)</f>
        <v>3</v>
      </c>
      <c r="AB400" s="37" t="str">
        <f>IFERROR(__xludf.DUMMYFUNCTION("""COMPUTED_VALUE"""),"A304")</f>
        <v>A304</v>
      </c>
      <c r="AC400" s="38" t="str">
        <f>IFERROR(__xludf.DUMMYFUNCTION("""COMPUTED_VALUE"""),"")</f>
        <v/>
      </c>
      <c r="AD400" s="34">
        <f>IFERROR(__xludf.DUMMYFUNCTION("""COMPUTED_VALUE"""),232.9702672732737)</f>
        <v>232.9702673</v>
      </c>
      <c r="AE400" s="35" t="str">
        <f>IFERROR(__xludf.DUMMYFUNCTION("""COMPUTED_VALUE"""),"AP")</f>
        <v>AP</v>
      </c>
      <c r="AF400" s="34">
        <f>IFERROR(__xludf.DUMMYFUNCTION("""COMPUTED_VALUE"""),12.877179715302491)</f>
        <v>12.87717972</v>
      </c>
      <c r="AG400" s="35" t="str">
        <f>IFERROR(__xludf.DUMMYFUNCTION("""COMPUTED_VALUE"""),"%")</f>
        <v>%</v>
      </c>
      <c r="AH400" s="31">
        <f>IFERROR(__xludf.DUMMYFUNCTION("""COMPUTED_VALUE"""),30.0)</f>
        <v>30</v>
      </c>
      <c r="AI400" s="32">
        <f>IFERROR(__xludf.DUMMYFUNCTION("""COMPUTED_VALUE"""),2248.0)</f>
        <v>2248</v>
      </c>
      <c r="AJ400" s="30" t="str">
        <f>IFERROR(__xludf.DUMMYFUNCTION("""COMPUTED_VALUE"""),"THU Rider Training Ground- Adv")</f>
        <v>THU Rider Training Ground- Adv</v>
      </c>
    </row>
    <row r="401" ht="24.75" customHeight="1">
      <c r="A401" s="40">
        <f>IFERROR(__xludf.DUMMYFUNCTION("""COMPUTED_VALUE"""),8.0)</f>
        <v>8</v>
      </c>
      <c r="B401" s="40" t="str">
        <f>IFERROR(__xludf.DUMMYFUNCTION("""COMPUTED_VALUE"""),"A209")</f>
        <v>A209</v>
      </c>
      <c r="C401" s="40" t="str">
        <f>IFERROR(__xludf.DUMMYFUNCTION("""COMPUTED_VALUE"""),"TRF16")</f>
        <v>TRF16</v>
      </c>
      <c r="D401" s="41" t="str">
        <f>IFERROR(__xludf.DUMMYFUNCTION("""COMPUTED_VALUE"""),"Chaldea Gate (Thu)")</f>
        <v>Chaldea Gate (Thu)</v>
      </c>
      <c r="E401" s="42" t="str">
        <f>IFERROR(__xludf.DUMMYFUNCTION("""COMPUTED_VALUE"""),"THU Rider Training Ground- Exp")</f>
        <v>THU Rider Training Ground- Exp</v>
      </c>
      <c r="F401" s="43">
        <f>IFERROR(__xludf.DUMMYFUNCTION("""COMPUTED_VALUE"""),40.0)</f>
        <v>40</v>
      </c>
      <c r="G401" s="44">
        <f>IFERROR(__xludf.DUMMYFUNCTION("""COMPUTED_VALUE"""),4725.0)</f>
        <v>4725</v>
      </c>
      <c r="H401" s="33" t="str">
        <f>IFERROR(__xludf.DUMMYFUNCTION("""COMPUTED_VALUE"""),"")</f>
        <v/>
      </c>
      <c r="I401" s="45">
        <f>IFERROR(__xludf.DUMMYFUNCTION("""COMPUTED_VALUE"""),206.98990677787904)</f>
        <v>206.9899068</v>
      </c>
      <c r="J401" s="46" t="str">
        <f>IFERROR(__xludf.DUMMYFUNCTION("""COMPUTED_VALUE"""),"AP")</f>
        <v>AP</v>
      </c>
      <c r="K401" s="47">
        <f>IFERROR(__xludf.DUMMYFUNCTION("""COMPUTED_VALUE"""),19.324613756613754)</f>
        <v>19.32461376</v>
      </c>
      <c r="L401" s="48" t="str">
        <f>IFERROR(__xludf.DUMMYFUNCTION("""COMPUTED_VALUE"""),"%")</f>
        <v>%</v>
      </c>
      <c r="M401" s="49">
        <f>IFERROR(__xludf.DUMMYFUNCTION("""COMPUTED_VALUE"""),1.0)</f>
        <v>1</v>
      </c>
      <c r="N401" s="50" t="str">
        <f>IFERROR(__xludf.DUMMYFUNCTION("""COMPUTED_VALUE"""),"A103")</f>
        <v>A103</v>
      </c>
      <c r="O401" s="38" t="str">
        <f>IFERROR(__xludf.DUMMYFUNCTION("""COMPUTED_VALUE"""),"")</f>
        <v/>
      </c>
      <c r="P401" s="45">
        <f>IFERROR(__xludf.DUMMYFUNCTION("""COMPUTED_VALUE"""),544.9072792693053)</f>
        <v>544.9072793</v>
      </c>
      <c r="Q401" s="46" t="str">
        <f>IFERROR(__xludf.DUMMYFUNCTION("""COMPUTED_VALUE"""),"AP")</f>
        <v>AP</v>
      </c>
      <c r="R401" s="47">
        <f>IFERROR(__xludf.DUMMYFUNCTION("""COMPUTED_VALUE"""),7.340698412698413)</f>
        <v>7.340698413</v>
      </c>
      <c r="S401" s="48" t="str">
        <f>IFERROR(__xludf.DUMMYFUNCTION("""COMPUTED_VALUE"""),"%")</f>
        <v>%</v>
      </c>
      <c r="T401" s="49">
        <f>IFERROR(__xludf.DUMMYFUNCTION("""COMPUTED_VALUE"""),2.0)</f>
        <v>2</v>
      </c>
      <c r="U401" s="50" t="str">
        <f>IFERROR(__xludf.DUMMYFUNCTION("""COMPUTED_VALUE"""),"A303")</f>
        <v>A303</v>
      </c>
      <c r="V401" s="38" t="str">
        <f>IFERROR(__xludf.DUMMYFUNCTION("""COMPUTED_VALUE"""),"")</f>
        <v/>
      </c>
      <c r="W401" s="45">
        <f>IFERROR(__xludf.DUMMYFUNCTION("""COMPUTED_VALUE"""),85.81999415152632)</f>
        <v>85.81999415</v>
      </c>
      <c r="X401" s="46" t="str">
        <f>IFERROR(__xludf.DUMMYFUNCTION("""COMPUTED_VALUE"""),"AP")</f>
        <v>AP</v>
      </c>
      <c r="Y401" s="47">
        <f>IFERROR(__xludf.DUMMYFUNCTION("""COMPUTED_VALUE"""),46.60918518518519)</f>
        <v>46.60918519</v>
      </c>
      <c r="Z401" s="48" t="str">
        <f>IFERROR(__xludf.DUMMYFUNCTION("""COMPUTED_VALUE"""),"%")</f>
        <v>%</v>
      </c>
      <c r="AA401" s="49">
        <f>IFERROR(__xludf.DUMMYFUNCTION("""COMPUTED_VALUE"""),3.0)</f>
        <v>3</v>
      </c>
      <c r="AB401" s="50" t="str">
        <f>IFERROR(__xludf.DUMMYFUNCTION("""COMPUTED_VALUE"""),"A304")</f>
        <v>A304</v>
      </c>
      <c r="AC401" s="38" t="str">
        <f>IFERROR(__xludf.DUMMYFUNCTION("""COMPUTED_VALUE"""),"")</f>
        <v/>
      </c>
      <c r="AD401" s="45">
        <f>IFERROR(__xludf.DUMMYFUNCTION("""COMPUTED_VALUE"""),242.73340936411546)</f>
        <v>242.7334094</v>
      </c>
      <c r="AE401" s="46" t="str">
        <f>IFERROR(__xludf.DUMMYFUNCTION("""COMPUTED_VALUE"""),"AP")</f>
        <v>AP</v>
      </c>
      <c r="AF401" s="47">
        <f>IFERROR(__xludf.DUMMYFUNCTION("""COMPUTED_VALUE"""),16.47898412698413)</f>
        <v>16.47898413</v>
      </c>
      <c r="AG401" s="48" t="str">
        <f>IFERROR(__xludf.DUMMYFUNCTION("""COMPUTED_VALUE"""),"%")</f>
        <v>%</v>
      </c>
      <c r="AH401" s="43">
        <f>IFERROR(__xludf.DUMMYFUNCTION("""COMPUTED_VALUE"""),40.0)</f>
        <v>40</v>
      </c>
      <c r="AI401" s="44">
        <f>IFERROR(__xludf.DUMMYFUNCTION("""COMPUTED_VALUE"""),4725.0)</f>
        <v>4725</v>
      </c>
      <c r="AJ401" s="42" t="str">
        <f>IFERROR(__xludf.DUMMYFUNCTION("""COMPUTED_VALUE"""),"THU Rider Training Ground- Exp")</f>
        <v>THU Rider Training Ground- Exp</v>
      </c>
    </row>
    <row r="402" ht="24.75" customHeight="1">
      <c r="A402" s="28">
        <f>IFERROR(__xludf.DUMMYFUNCTION("""COMPUTED_VALUE"""),9.0)</f>
        <v>9</v>
      </c>
      <c r="B402" s="28" t="str">
        <f>IFERROR(__xludf.DUMMYFUNCTION("""COMPUTED_VALUE"""),"A209")</f>
        <v>A209</v>
      </c>
      <c r="C402" s="28" t="str">
        <f>IFERROR(__xludf.DUMMYFUNCTION("""COMPUTED_VALUE"""),"TRF4")</f>
        <v>TRF4</v>
      </c>
      <c r="D402" s="29" t="str">
        <f>IFERROR(__xludf.DUMMYFUNCTION("""COMPUTED_VALUE"""),"Chaldea Gate (Mon)")</f>
        <v>Chaldea Gate (Mon)</v>
      </c>
      <c r="E402" s="30" t="str">
        <f>IFERROR(__xludf.DUMMYFUNCTION("""COMPUTED_VALUE"""),"MON Archer Training Ground- Exp")</f>
        <v>MON Archer Training Ground- Exp</v>
      </c>
      <c r="F402" s="31">
        <f>IFERROR(__xludf.DUMMYFUNCTION("""COMPUTED_VALUE"""),40.0)</f>
        <v>40</v>
      </c>
      <c r="G402" s="32">
        <f>IFERROR(__xludf.DUMMYFUNCTION("""COMPUTED_VALUE"""),10924.0)</f>
        <v>10924</v>
      </c>
      <c r="H402" s="33" t="str">
        <f>IFERROR(__xludf.DUMMYFUNCTION("""COMPUTED_VALUE"""),"")</f>
        <v/>
      </c>
      <c r="I402" s="34">
        <f>IFERROR(__xludf.DUMMYFUNCTION("""COMPUTED_VALUE"""),209.1638424569667)</f>
        <v>209.1638425</v>
      </c>
      <c r="J402" s="35" t="str">
        <f>IFERROR(__xludf.DUMMYFUNCTION("""COMPUTED_VALUE"""),"AP")</f>
        <v>AP</v>
      </c>
      <c r="K402" s="34">
        <f>IFERROR(__xludf.DUMMYFUNCTION("""COMPUTED_VALUE"""),19.12376418894178)</f>
        <v>19.12376419</v>
      </c>
      <c r="L402" s="35" t="str">
        <f>IFERROR(__xludf.DUMMYFUNCTION("""COMPUTED_VALUE"""),"%")</f>
        <v>%</v>
      </c>
      <c r="M402" s="36">
        <f>IFERROR(__xludf.DUMMYFUNCTION("""COMPUTED_VALUE"""),1.0)</f>
        <v>1</v>
      </c>
      <c r="N402" s="37" t="str">
        <f>IFERROR(__xludf.DUMMYFUNCTION("""COMPUTED_VALUE"""),"A106")</f>
        <v>A106</v>
      </c>
      <c r="O402" s="38" t="str">
        <f>IFERROR(__xludf.DUMMYFUNCTION("""COMPUTED_VALUE"""),"")</f>
        <v/>
      </c>
      <c r="P402" s="34">
        <f>IFERROR(__xludf.DUMMYFUNCTION("""COMPUTED_VALUE"""),317.41857686119107)</f>
        <v>317.4185769</v>
      </c>
      <c r="Q402" s="35" t="str">
        <f>IFERROR(__xludf.DUMMYFUNCTION("""COMPUTED_VALUE"""),"AP")</f>
        <v>AP</v>
      </c>
      <c r="R402" s="34">
        <f>IFERROR(__xludf.DUMMYFUNCTION("""COMPUTED_VALUE"""),12.601656902233614)</f>
        <v>12.6016569</v>
      </c>
      <c r="S402" s="35" t="str">
        <f>IFERROR(__xludf.DUMMYFUNCTION("""COMPUTED_VALUE"""),"%")</f>
        <v>%</v>
      </c>
      <c r="T402" s="36">
        <f>IFERROR(__xludf.DUMMYFUNCTION("""COMPUTED_VALUE"""),2.0)</f>
        <v>2</v>
      </c>
      <c r="U402" s="37" t="str">
        <f>IFERROR(__xludf.DUMMYFUNCTION("""COMPUTED_VALUE"""),"A201")</f>
        <v>A201</v>
      </c>
      <c r="V402" s="38" t="str">
        <f>IFERROR(__xludf.DUMMYFUNCTION("""COMPUTED_VALUE"""),"")</f>
        <v/>
      </c>
      <c r="W402" s="34">
        <f>IFERROR(__xludf.DUMMYFUNCTION("""COMPUTED_VALUE"""),213.59560255849362)</f>
        <v>213.5956026</v>
      </c>
      <c r="X402" s="35" t="str">
        <f>IFERROR(__xludf.DUMMYFUNCTION("""COMPUTED_VALUE"""),"AP")</f>
        <v>AP</v>
      </c>
      <c r="Y402" s="34">
        <f>IFERROR(__xludf.DUMMYFUNCTION("""COMPUTED_VALUE"""),18.726977297693153)</f>
        <v>18.7269773</v>
      </c>
      <c r="Z402" s="35" t="str">
        <f>IFERROR(__xludf.DUMMYFUNCTION("""COMPUTED_VALUE"""),"%")</f>
        <v>%</v>
      </c>
      <c r="AA402" s="36">
        <f>IFERROR(__xludf.DUMMYFUNCTION("""COMPUTED_VALUE"""),3.0)</f>
        <v>3</v>
      </c>
      <c r="AB402" s="37" t="str">
        <f>IFERROR(__xludf.DUMMYFUNCTION("""COMPUTED_VALUE"""),"A205")</f>
        <v>A205</v>
      </c>
      <c r="AC402" s="38" t="str">
        <f>IFERROR(__xludf.DUMMYFUNCTION("""COMPUTED_VALUE"""),"")</f>
        <v/>
      </c>
      <c r="AD402" s="34">
        <f>IFERROR(__xludf.DUMMYFUNCTION("""COMPUTED_VALUE"""),200.42979384115057)</f>
        <v>200.4297938</v>
      </c>
      <c r="AE402" s="35" t="str">
        <f>IFERROR(__xludf.DUMMYFUNCTION("""COMPUTED_VALUE"""),"AP")</f>
        <v>AP</v>
      </c>
      <c r="AF402" s="34">
        <f>IFERROR(__xludf.DUMMYFUNCTION("""COMPUTED_VALUE"""),19.957112779201758)</f>
        <v>19.95711278</v>
      </c>
      <c r="AG402" s="35" t="str">
        <f>IFERROR(__xludf.DUMMYFUNCTION("""COMPUTED_VALUE"""),"%")</f>
        <v>%</v>
      </c>
      <c r="AH402" s="31">
        <f>IFERROR(__xludf.DUMMYFUNCTION("""COMPUTED_VALUE"""),40.0)</f>
        <v>40</v>
      </c>
      <c r="AI402" s="32">
        <f>IFERROR(__xludf.DUMMYFUNCTION("""COMPUTED_VALUE"""),10924.0)</f>
        <v>10924</v>
      </c>
      <c r="AJ402" s="30" t="str">
        <f>IFERROR(__xludf.DUMMYFUNCTION("""COMPUTED_VALUE"""),"MON Archer Training Ground- Exp")</f>
        <v>MON Archer Training Ground- Exp</v>
      </c>
    </row>
    <row r="403" ht="24.75" customHeight="1">
      <c r="A403" s="40">
        <f>IFERROR(__xludf.DUMMYFUNCTION("""COMPUTED_VALUE"""),10.0)</f>
        <v>10</v>
      </c>
      <c r="B403" s="40" t="str">
        <f>IFERROR(__xludf.DUMMYFUNCTION("""COMPUTED_VALUE"""),"A209")</f>
        <v>A209</v>
      </c>
      <c r="C403" s="40" t="str">
        <f>IFERROR(__xludf.DUMMYFUNCTION("""COMPUTED_VALUE"""),"TRF3")</f>
        <v>TRF3</v>
      </c>
      <c r="D403" s="41" t="str">
        <f>IFERROR(__xludf.DUMMYFUNCTION("""COMPUTED_VALUE"""),"Chaldea Gate (Mon)")</f>
        <v>Chaldea Gate (Mon)</v>
      </c>
      <c r="E403" s="42" t="str">
        <f>IFERROR(__xludf.DUMMYFUNCTION("""COMPUTED_VALUE"""),"MON Archer Training Ground- Adv")</f>
        <v>MON Archer Training Ground- Adv</v>
      </c>
      <c r="F403" s="43">
        <f>IFERROR(__xludf.DUMMYFUNCTION("""COMPUTED_VALUE"""),30.0)</f>
        <v>30</v>
      </c>
      <c r="G403" s="44">
        <f>IFERROR(__xludf.DUMMYFUNCTION("""COMPUTED_VALUE"""),1454.0)</f>
        <v>1454</v>
      </c>
      <c r="H403" s="33" t="str">
        <f>IFERROR(__xludf.DUMMYFUNCTION("""COMPUTED_VALUE"""),"")</f>
        <v/>
      </c>
      <c r="I403" s="45">
        <f>IFERROR(__xludf.DUMMYFUNCTION("""COMPUTED_VALUE"""),230.98919720398223)</f>
        <v>230.9891972</v>
      </c>
      <c r="J403" s="46" t="str">
        <f>IFERROR(__xludf.DUMMYFUNCTION("""COMPUTED_VALUE"""),"AP")</f>
        <v>AP</v>
      </c>
      <c r="K403" s="47">
        <f>IFERROR(__xludf.DUMMYFUNCTION("""COMPUTED_VALUE"""),12.987620357634112)</f>
        <v>12.98762036</v>
      </c>
      <c r="L403" s="48" t="str">
        <f>IFERROR(__xludf.DUMMYFUNCTION("""COMPUTED_VALUE"""),"%")</f>
        <v>%</v>
      </c>
      <c r="M403" s="49">
        <f>IFERROR(__xludf.DUMMYFUNCTION("""COMPUTED_VALUE"""),1.0)</f>
        <v>1</v>
      </c>
      <c r="N403" s="50" t="str">
        <f>IFERROR(__xludf.DUMMYFUNCTION("""COMPUTED_VALUE"""),"A106")</f>
        <v>A106</v>
      </c>
      <c r="O403" s="38" t="str">
        <f>IFERROR(__xludf.DUMMYFUNCTION("""COMPUTED_VALUE"""),"")</f>
        <v/>
      </c>
      <c r="P403" s="45">
        <f>IFERROR(__xludf.DUMMYFUNCTION("""COMPUTED_VALUE"""),505.4461181923523)</f>
        <v>505.4461182</v>
      </c>
      <c r="Q403" s="46" t="str">
        <f>IFERROR(__xludf.DUMMYFUNCTION("""COMPUTED_VALUE"""),"AP")</f>
        <v>AP</v>
      </c>
      <c r="R403" s="47">
        <f>IFERROR(__xludf.DUMMYFUNCTION("""COMPUTED_VALUE"""),5.9353507565337)</f>
        <v>5.935350757</v>
      </c>
      <c r="S403" s="48" t="str">
        <f>IFERROR(__xludf.DUMMYFUNCTION("""COMPUTED_VALUE"""),"%")</f>
        <v>%</v>
      </c>
      <c r="T403" s="49">
        <f>IFERROR(__xludf.DUMMYFUNCTION("""COMPUTED_VALUE"""),2.0)</f>
        <v>2</v>
      </c>
      <c r="U403" s="50" t="str">
        <f>IFERROR(__xludf.DUMMYFUNCTION("""COMPUTED_VALUE"""),"A201")</f>
        <v>A201</v>
      </c>
      <c r="V403" s="38" t="str">
        <f>IFERROR(__xludf.DUMMYFUNCTION("""COMPUTED_VALUE"""),"")</f>
        <v/>
      </c>
      <c r="W403" s="45">
        <f>IFERROR(__xludf.DUMMYFUNCTION("""COMPUTED_VALUE"""),209.97400596899973)</f>
        <v>209.974006</v>
      </c>
      <c r="X403" s="46" t="str">
        <f>IFERROR(__xludf.DUMMYFUNCTION("""COMPUTED_VALUE"""),"AP")</f>
        <v>AP</v>
      </c>
      <c r="Y403" s="47">
        <f>IFERROR(__xludf.DUMMYFUNCTION("""COMPUTED_VALUE"""),14.28748280605227)</f>
        <v>14.28748281</v>
      </c>
      <c r="Z403" s="48" t="str">
        <f>IFERROR(__xludf.DUMMYFUNCTION("""COMPUTED_VALUE"""),"%")</f>
        <v>%</v>
      </c>
      <c r="AA403" s="49">
        <f>IFERROR(__xludf.DUMMYFUNCTION("""COMPUTED_VALUE"""),3.0)</f>
        <v>3</v>
      </c>
      <c r="AB403" s="50" t="str">
        <f>IFERROR(__xludf.DUMMYFUNCTION("""COMPUTED_VALUE"""),"A205")</f>
        <v>A205</v>
      </c>
      <c r="AC403" s="38" t="str">
        <f>IFERROR(__xludf.DUMMYFUNCTION("""COMPUTED_VALUE"""),"")</f>
        <v/>
      </c>
      <c r="AD403" s="45">
        <f>IFERROR(__xludf.DUMMYFUNCTION("""COMPUTED_VALUE"""),347.1271685500557)</f>
        <v>347.1271686</v>
      </c>
      <c r="AE403" s="46" t="str">
        <f>IFERROR(__xludf.DUMMYFUNCTION("""COMPUTED_VALUE"""),"AP")</f>
        <v>AP</v>
      </c>
      <c r="AF403" s="47">
        <f>IFERROR(__xludf.DUMMYFUNCTION("""COMPUTED_VALUE"""),8.642365887207703)</f>
        <v>8.642365887</v>
      </c>
      <c r="AG403" s="48" t="str">
        <f>IFERROR(__xludf.DUMMYFUNCTION("""COMPUTED_VALUE"""),"%")</f>
        <v>%</v>
      </c>
      <c r="AH403" s="43">
        <f>IFERROR(__xludf.DUMMYFUNCTION("""COMPUTED_VALUE"""),30.0)</f>
        <v>30</v>
      </c>
      <c r="AI403" s="44">
        <f>IFERROR(__xludf.DUMMYFUNCTION("""COMPUTED_VALUE"""),1454.0)</f>
        <v>1454</v>
      </c>
      <c r="AJ403" s="42" t="str">
        <f>IFERROR(__xludf.DUMMYFUNCTION("""COMPUTED_VALUE"""),"MON Archer Training Ground- Adv")</f>
        <v>MON Archer Training Ground- Adv</v>
      </c>
    </row>
    <row r="404" ht="24.75" customHeight="1">
      <c r="A404" s="28">
        <f>IFERROR(__xludf.DUMMYFUNCTION("""COMPUTED_VALUE"""),11.0)</f>
        <v>11</v>
      </c>
      <c r="B404" s="28" t="str">
        <f>IFERROR(__xludf.DUMMYFUNCTION("""COMPUTED_VALUE"""),"A209")</f>
        <v>A209</v>
      </c>
      <c r="C404" s="28"/>
      <c r="D404" s="29"/>
      <c r="E404" s="67"/>
      <c r="F404" s="31"/>
      <c r="G404" s="32"/>
      <c r="H404" s="33" t="str">
        <f>IFERROR(__xludf.DUMMYFUNCTION("""COMPUTED_VALUE""")," ")</f>
        <v> </v>
      </c>
      <c r="I404" s="34"/>
      <c r="J404" s="35" t="str">
        <f>IFERROR(__xludf.DUMMYFUNCTION("""COMPUTED_VALUE"""),"AP")</f>
        <v>AP</v>
      </c>
      <c r="K404" s="34"/>
      <c r="L404" s="35" t="str">
        <f>IFERROR(__xludf.DUMMYFUNCTION("""COMPUTED_VALUE"""),"%")</f>
        <v>%</v>
      </c>
      <c r="M404" s="36">
        <f>IFERROR(__xludf.DUMMYFUNCTION("""COMPUTED_VALUE"""),1.0)</f>
        <v>1</v>
      </c>
      <c r="N404" s="37"/>
      <c r="O404" s="38"/>
      <c r="P404" s="34" t="str">
        <f>IFERROR(__xludf.DUMMYFUNCTION("""COMPUTED_VALUE"""),"")</f>
        <v/>
      </c>
      <c r="Q404" s="35" t="str">
        <f>IFERROR(__xludf.DUMMYFUNCTION("""COMPUTED_VALUE"""),"AP")</f>
        <v>AP</v>
      </c>
      <c r="R404" s="34" t="str">
        <f>IFERROR(__xludf.DUMMYFUNCTION("""COMPUTED_VALUE"""),"")</f>
        <v/>
      </c>
      <c r="S404" s="35" t="str">
        <f>IFERROR(__xludf.DUMMYFUNCTION("""COMPUTED_VALUE"""),"%")</f>
        <v>%</v>
      </c>
      <c r="T404" s="36">
        <f>IFERROR(__xludf.DUMMYFUNCTION("""COMPUTED_VALUE"""),2.0)</f>
        <v>2</v>
      </c>
      <c r="U404" s="37"/>
      <c r="V404" s="38"/>
      <c r="W404" s="34" t="str">
        <f>IFERROR(__xludf.DUMMYFUNCTION("""COMPUTED_VALUE"""),"")</f>
        <v/>
      </c>
      <c r="X404" s="35" t="str">
        <f>IFERROR(__xludf.DUMMYFUNCTION("""COMPUTED_VALUE"""),"AP")</f>
        <v>AP</v>
      </c>
      <c r="Y404" s="34" t="str">
        <f>IFERROR(__xludf.DUMMYFUNCTION("""COMPUTED_VALUE"""),"")</f>
        <v/>
      </c>
      <c r="Z404" s="35" t="str">
        <f>IFERROR(__xludf.DUMMYFUNCTION("""COMPUTED_VALUE"""),"%")</f>
        <v>%</v>
      </c>
      <c r="AA404" s="36">
        <f>IFERROR(__xludf.DUMMYFUNCTION("""COMPUTED_VALUE"""),3.0)</f>
        <v>3</v>
      </c>
      <c r="AB404" s="37"/>
      <c r="AC404" s="38"/>
      <c r="AD404" s="34" t="str">
        <f>IFERROR(__xludf.DUMMYFUNCTION("""COMPUTED_VALUE"""),"")</f>
        <v/>
      </c>
      <c r="AE404" s="35" t="str">
        <f>IFERROR(__xludf.DUMMYFUNCTION("""COMPUTED_VALUE"""),"AP")</f>
        <v>AP</v>
      </c>
      <c r="AF404" s="34" t="str">
        <f>IFERROR(__xludf.DUMMYFUNCTION("""COMPUTED_VALUE"""),"")</f>
        <v/>
      </c>
      <c r="AG404" s="35" t="str">
        <f>IFERROR(__xludf.DUMMYFUNCTION("""COMPUTED_VALUE"""),"%")</f>
        <v>%</v>
      </c>
      <c r="AH404" s="31"/>
      <c r="AI404" s="32"/>
      <c r="AJ404" s="67"/>
    </row>
    <row r="405" ht="24.75" hidden="1" customHeight="1">
      <c r="A405" s="40">
        <f>IFERROR(__xludf.DUMMYFUNCTION("""COMPUTED_VALUE"""),12.0)</f>
        <v>12</v>
      </c>
      <c r="B405" s="40" t="str">
        <f>IFERROR(__xludf.DUMMYFUNCTION("""COMPUTED_VALUE"""),"A209")</f>
        <v>A209</v>
      </c>
      <c r="C405" s="40"/>
      <c r="D405" s="41"/>
      <c r="E405" s="66"/>
      <c r="F405" s="43"/>
      <c r="G405" s="44"/>
      <c r="H405" s="33" t="str">
        <f>IFERROR(__xludf.DUMMYFUNCTION("""COMPUTED_VALUE""")," ")</f>
        <v> </v>
      </c>
      <c r="I405" s="45"/>
      <c r="J405" s="46" t="str">
        <f>IFERROR(__xludf.DUMMYFUNCTION("""COMPUTED_VALUE"""),"AP")</f>
        <v>AP</v>
      </c>
      <c r="K405" s="47"/>
      <c r="L405" s="48" t="str">
        <f>IFERROR(__xludf.DUMMYFUNCTION("""COMPUTED_VALUE"""),"%")</f>
        <v>%</v>
      </c>
      <c r="M405" s="49">
        <f>IFERROR(__xludf.DUMMYFUNCTION("""COMPUTED_VALUE"""),1.0)</f>
        <v>1</v>
      </c>
      <c r="N405" s="50"/>
      <c r="O405" s="38"/>
      <c r="P405" s="45" t="str">
        <f>IFERROR(__xludf.DUMMYFUNCTION("""COMPUTED_VALUE"""),"")</f>
        <v/>
      </c>
      <c r="Q405" s="46" t="str">
        <f>IFERROR(__xludf.DUMMYFUNCTION("""COMPUTED_VALUE"""),"AP")</f>
        <v>AP</v>
      </c>
      <c r="R405" s="47" t="str">
        <f>IFERROR(__xludf.DUMMYFUNCTION("""COMPUTED_VALUE"""),"")</f>
        <v/>
      </c>
      <c r="S405" s="48" t="str">
        <f>IFERROR(__xludf.DUMMYFUNCTION("""COMPUTED_VALUE"""),"%")</f>
        <v>%</v>
      </c>
      <c r="T405" s="49">
        <f>IFERROR(__xludf.DUMMYFUNCTION("""COMPUTED_VALUE"""),2.0)</f>
        <v>2</v>
      </c>
      <c r="U405" s="50"/>
      <c r="V405" s="38"/>
      <c r="W405" s="45" t="str">
        <f>IFERROR(__xludf.DUMMYFUNCTION("""COMPUTED_VALUE"""),"")</f>
        <v/>
      </c>
      <c r="X405" s="46" t="str">
        <f>IFERROR(__xludf.DUMMYFUNCTION("""COMPUTED_VALUE"""),"AP")</f>
        <v>AP</v>
      </c>
      <c r="Y405" s="47" t="str">
        <f>IFERROR(__xludf.DUMMYFUNCTION("""COMPUTED_VALUE"""),"")</f>
        <v/>
      </c>
      <c r="Z405" s="48" t="str">
        <f>IFERROR(__xludf.DUMMYFUNCTION("""COMPUTED_VALUE"""),"%")</f>
        <v>%</v>
      </c>
      <c r="AA405" s="49">
        <f>IFERROR(__xludf.DUMMYFUNCTION("""COMPUTED_VALUE"""),3.0)</f>
        <v>3</v>
      </c>
      <c r="AB405" s="50"/>
      <c r="AC405" s="38"/>
      <c r="AD405" s="45" t="str">
        <f>IFERROR(__xludf.DUMMYFUNCTION("""COMPUTED_VALUE"""),"")</f>
        <v/>
      </c>
      <c r="AE405" s="46" t="str">
        <f>IFERROR(__xludf.DUMMYFUNCTION("""COMPUTED_VALUE"""),"AP")</f>
        <v>AP</v>
      </c>
      <c r="AF405" s="47" t="str">
        <f>IFERROR(__xludf.DUMMYFUNCTION("""COMPUTED_VALUE"""),"")</f>
        <v/>
      </c>
      <c r="AG405" s="48" t="str">
        <f>IFERROR(__xludf.DUMMYFUNCTION("""COMPUTED_VALUE"""),"%")</f>
        <v>%</v>
      </c>
      <c r="AH405" s="43"/>
      <c r="AI405" s="44"/>
      <c r="AJ405" s="66"/>
    </row>
    <row r="406" ht="24.75" hidden="1" customHeight="1">
      <c r="A406" s="28">
        <f>IFERROR(__xludf.DUMMYFUNCTION("""COMPUTED_VALUE"""),13.0)</f>
        <v>13</v>
      </c>
      <c r="B406" s="28" t="str">
        <f>IFERROR(__xludf.DUMMYFUNCTION("""COMPUTED_VALUE"""),"A209")</f>
        <v>A209</v>
      </c>
      <c r="C406" s="28"/>
      <c r="D406" s="29"/>
      <c r="E406" s="67"/>
      <c r="F406" s="31"/>
      <c r="G406" s="32"/>
      <c r="H406" s="33" t="str">
        <f>IFERROR(__xludf.DUMMYFUNCTION("""COMPUTED_VALUE""")," ")</f>
        <v> </v>
      </c>
      <c r="I406" s="34"/>
      <c r="J406" s="35" t="str">
        <f>IFERROR(__xludf.DUMMYFUNCTION("""COMPUTED_VALUE"""),"AP")</f>
        <v>AP</v>
      </c>
      <c r="K406" s="34"/>
      <c r="L406" s="35" t="str">
        <f>IFERROR(__xludf.DUMMYFUNCTION("""COMPUTED_VALUE"""),"%")</f>
        <v>%</v>
      </c>
      <c r="M406" s="36">
        <f>IFERROR(__xludf.DUMMYFUNCTION("""COMPUTED_VALUE"""),1.0)</f>
        <v>1</v>
      </c>
      <c r="N406" s="37"/>
      <c r="O406" s="38"/>
      <c r="P406" s="34" t="str">
        <f>IFERROR(__xludf.DUMMYFUNCTION("""COMPUTED_VALUE"""),"")</f>
        <v/>
      </c>
      <c r="Q406" s="35" t="str">
        <f>IFERROR(__xludf.DUMMYFUNCTION("""COMPUTED_VALUE"""),"AP")</f>
        <v>AP</v>
      </c>
      <c r="R406" s="34" t="str">
        <f>IFERROR(__xludf.DUMMYFUNCTION("""COMPUTED_VALUE"""),"")</f>
        <v/>
      </c>
      <c r="S406" s="35" t="str">
        <f>IFERROR(__xludf.DUMMYFUNCTION("""COMPUTED_VALUE"""),"%")</f>
        <v>%</v>
      </c>
      <c r="T406" s="36">
        <f>IFERROR(__xludf.DUMMYFUNCTION("""COMPUTED_VALUE"""),2.0)</f>
        <v>2</v>
      </c>
      <c r="U406" s="37"/>
      <c r="V406" s="38"/>
      <c r="W406" s="34" t="str">
        <f>IFERROR(__xludf.DUMMYFUNCTION("""COMPUTED_VALUE"""),"")</f>
        <v/>
      </c>
      <c r="X406" s="35" t="str">
        <f>IFERROR(__xludf.DUMMYFUNCTION("""COMPUTED_VALUE"""),"AP")</f>
        <v>AP</v>
      </c>
      <c r="Y406" s="34" t="str">
        <f>IFERROR(__xludf.DUMMYFUNCTION("""COMPUTED_VALUE"""),"")</f>
        <v/>
      </c>
      <c r="Z406" s="35" t="str">
        <f>IFERROR(__xludf.DUMMYFUNCTION("""COMPUTED_VALUE"""),"%")</f>
        <v>%</v>
      </c>
      <c r="AA406" s="36">
        <f>IFERROR(__xludf.DUMMYFUNCTION("""COMPUTED_VALUE"""),3.0)</f>
        <v>3</v>
      </c>
      <c r="AB406" s="37"/>
      <c r="AC406" s="38"/>
      <c r="AD406" s="34" t="str">
        <f>IFERROR(__xludf.DUMMYFUNCTION("""COMPUTED_VALUE"""),"")</f>
        <v/>
      </c>
      <c r="AE406" s="35" t="str">
        <f>IFERROR(__xludf.DUMMYFUNCTION("""COMPUTED_VALUE"""),"AP")</f>
        <v>AP</v>
      </c>
      <c r="AF406" s="34" t="str">
        <f>IFERROR(__xludf.DUMMYFUNCTION("""COMPUTED_VALUE"""),"")</f>
        <v/>
      </c>
      <c r="AG406" s="35" t="str">
        <f>IFERROR(__xludf.DUMMYFUNCTION("""COMPUTED_VALUE"""),"%")</f>
        <v>%</v>
      </c>
      <c r="AH406" s="31"/>
      <c r="AI406" s="32"/>
      <c r="AJ406" s="67"/>
    </row>
    <row r="407" ht="24.75" hidden="1" customHeight="1">
      <c r="A407" s="40">
        <f>IFERROR(__xludf.DUMMYFUNCTION("""COMPUTED_VALUE"""),14.0)</f>
        <v>14</v>
      </c>
      <c r="B407" s="40" t="str">
        <f>IFERROR(__xludf.DUMMYFUNCTION("""COMPUTED_VALUE"""),"A209")</f>
        <v>A209</v>
      </c>
      <c r="C407" s="40"/>
      <c r="D407" s="41"/>
      <c r="E407" s="66"/>
      <c r="F407" s="43"/>
      <c r="G407" s="44"/>
      <c r="H407" s="33" t="str">
        <f>IFERROR(__xludf.DUMMYFUNCTION("""COMPUTED_VALUE""")," ")</f>
        <v> </v>
      </c>
      <c r="I407" s="45"/>
      <c r="J407" s="46" t="str">
        <f>IFERROR(__xludf.DUMMYFUNCTION("""COMPUTED_VALUE"""),"AP")</f>
        <v>AP</v>
      </c>
      <c r="K407" s="47"/>
      <c r="L407" s="48" t="str">
        <f>IFERROR(__xludf.DUMMYFUNCTION("""COMPUTED_VALUE"""),"%")</f>
        <v>%</v>
      </c>
      <c r="M407" s="49">
        <f>IFERROR(__xludf.DUMMYFUNCTION("""COMPUTED_VALUE"""),1.0)</f>
        <v>1</v>
      </c>
      <c r="N407" s="50"/>
      <c r="O407" s="38"/>
      <c r="P407" s="45" t="str">
        <f>IFERROR(__xludf.DUMMYFUNCTION("""COMPUTED_VALUE"""),"")</f>
        <v/>
      </c>
      <c r="Q407" s="46" t="str">
        <f>IFERROR(__xludf.DUMMYFUNCTION("""COMPUTED_VALUE"""),"AP")</f>
        <v>AP</v>
      </c>
      <c r="R407" s="47" t="str">
        <f>IFERROR(__xludf.DUMMYFUNCTION("""COMPUTED_VALUE"""),"")</f>
        <v/>
      </c>
      <c r="S407" s="48" t="str">
        <f>IFERROR(__xludf.DUMMYFUNCTION("""COMPUTED_VALUE"""),"%")</f>
        <v>%</v>
      </c>
      <c r="T407" s="49">
        <f>IFERROR(__xludf.DUMMYFUNCTION("""COMPUTED_VALUE"""),2.0)</f>
        <v>2</v>
      </c>
      <c r="U407" s="50"/>
      <c r="V407" s="38"/>
      <c r="W407" s="45" t="str">
        <f>IFERROR(__xludf.DUMMYFUNCTION("""COMPUTED_VALUE"""),"")</f>
        <v/>
      </c>
      <c r="X407" s="46" t="str">
        <f>IFERROR(__xludf.DUMMYFUNCTION("""COMPUTED_VALUE"""),"AP")</f>
        <v>AP</v>
      </c>
      <c r="Y407" s="47" t="str">
        <f>IFERROR(__xludf.DUMMYFUNCTION("""COMPUTED_VALUE"""),"")</f>
        <v/>
      </c>
      <c r="Z407" s="48" t="str">
        <f>IFERROR(__xludf.DUMMYFUNCTION("""COMPUTED_VALUE"""),"%")</f>
        <v>%</v>
      </c>
      <c r="AA407" s="49">
        <f>IFERROR(__xludf.DUMMYFUNCTION("""COMPUTED_VALUE"""),3.0)</f>
        <v>3</v>
      </c>
      <c r="AB407" s="50"/>
      <c r="AC407" s="38"/>
      <c r="AD407" s="45" t="str">
        <f>IFERROR(__xludf.DUMMYFUNCTION("""COMPUTED_VALUE"""),"")</f>
        <v/>
      </c>
      <c r="AE407" s="46" t="str">
        <f>IFERROR(__xludf.DUMMYFUNCTION("""COMPUTED_VALUE"""),"AP")</f>
        <v>AP</v>
      </c>
      <c r="AF407" s="47" t="str">
        <f>IFERROR(__xludf.DUMMYFUNCTION("""COMPUTED_VALUE"""),"")</f>
        <v/>
      </c>
      <c r="AG407" s="48" t="str">
        <f>IFERROR(__xludf.DUMMYFUNCTION("""COMPUTED_VALUE"""),"%")</f>
        <v>%</v>
      </c>
      <c r="AH407" s="43"/>
      <c r="AI407" s="44"/>
      <c r="AJ407" s="66"/>
    </row>
    <row r="408" ht="24.75" hidden="1" customHeight="1">
      <c r="A408" s="28">
        <f>IFERROR(__xludf.DUMMYFUNCTION("""COMPUTED_VALUE"""),15.0)</f>
        <v>15</v>
      </c>
      <c r="B408" s="28" t="str">
        <f>IFERROR(__xludf.DUMMYFUNCTION("""COMPUTED_VALUE"""),"A209")</f>
        <v>A209</v>
      </c>
      <c r="C408" s="28"/>
      <c r="D408" s="29"/>
      <c r="E408" s="67"/>
      <c r="F408" s="31"/>
      <c r="G408" s="32"/>
      <c r="H408" s="33" t="str">
        <f>IFERROR(__xludf.DUMMYFUNCTION("""COMPUTED_VALUE""")," ")</f>
        <v> </v>
      </c>
      <c r="I408" s="34"/>
      <c r="J408" s="35" t="str">
        <f>IFERROR(__xludf.DUMMYFUNCTION("""COMPUTED_VALUE"""),"AP")</f>
        <v>AP</v>
      </c>
      <c r="K408" s="34"/>
      <c r="L408" s="35" t="str">
        <f>IFERROR(__xludf.DUMMYFUNCTION("""COMPUTED_VALUE"""),"%")</f>
        <v>%</v>
      </c>
      <c r="M408" s="36">
        <f>IFERROR(__xludf.DUMMYFUNCTION("""COMPUTED_VALUE"""),1.0)</f>
        <v>1</v>
      </c>
      <c r="N408" s="37"/>
      <c r="O408" s="38"/>
      <c r="P408" s="34" t="str">
        <f>IFERROR(__xludf.DUMMYFUNCTION("""COMPUTED_VALUE"""),"")</f>
        <v/>
      </c>
      <c r="Q408" s="35" t="str">
        <f>IFERROR(__xludf.DUMMYFUNCTION("""COMPUTED_VALUE"""),"AP")</f>
        <v>AP</v>
      </c>
      <c r="R408" s="34" t="str">
        <f>IFERROR(__xludf.DUMMYFUNCTION("""COMPUTED_VALUE"""),"")</f>
        <v/>
      </c>
      <c r="S408" s="35" t="str">
        <f>IFERROR(__xludf.DUMMYFUNCTION("""COMPUTED_VALUE"""),"%")</f>
        <v>%</v>
      </c>
      <c r="T408" s="36">
        <f>IFERROR(__xludf.DUMMYFUNCTION("""COMPUTED_VALUE"""),2.0)</f>
        <v>2</v>
      </c>
      <c r="U408" s="37"/>
      <c r="V408" s="38"/>
      <c r="W408" s="34" t="str">
        <f>IFERROR(__xludf.DUMMYFUNCTION("""COMPUTED_VALUE"""),"")</f>
        <v/>
      </c>
      <c r="X408" s="35" t="str">
        <f>IFERROR(__xludf.DUMMYFUNCTION("""COMPUTED_VALUE"""),"AP")</f>
        <v>AP</v>
      </c>
      <c r="Y408" s="34" t="str">
        <f>IFERROR(__xludf.DUMMYFUNCTION("""COMPUTED_VALUE"""),"")</f>
        <v/>
      </c>
      <c r="Z408" s="35" t="str">
        <f>IFERROR(__xludf.DUMMYFUNCTION("""COMPUTED_VALUE"""),"%")</f>
        <v>%</v>
      </c>
      <c r="AA408" s="36">
        <f>IFERROR(__xludf.DUMMYFUNCTION("""COMPUTED_VALUE"""),3.0)</f>
        <v>3</v>
      </c>
      <c r="AB408" s="37"/>
      <c r="AC408" s="38"/>
      <c r="AD408" s="34" t="str">
        <f>IFERROR(__xludf.DUMMYFUNCTION("""COMPUTED_VALUE"""),"")</f>
        <v/>
      </c>
      <c r="AE408" s="35" t="str">
        <f>IFERROR(__xludf.DUMMYFUNCTION("""COMPUTED_VALUE"""),"AP")</f>
        <v>AP</v>
      </c>
      <c r="AF408" s="34" t="str">
        <f>IFERROR(__xludf.DUMMYFUNCTION("""COMPUTED_VALUE"""),"")</f>
        <v/>
      </c>
      <c r="AG408" s="35" t="str">
        <f>IFERROR(__xludf.DUMMYFUNCTION("""COMPUTED_VALUE"""),"%")</f>
        <v>%</v>
      </c>
      <c r="AH408" s="31"/>
      <c r="AI408" s="32"/>
      <c r="AJ408" s="67"/>
    </row>
    <row r="409" ht="24.75" hidden="1" customHeight="1">
      <c r="A409" s="40">
        <f>IFERROR(__xludf.DUMMYFUNCTION("""COMPUTED_VALUE"""),16.0)</f>
        <v>16</v>
      </c>
      <c r="B409" s="40" t="str">
        <f>IFERROR(__xludf.DUMMYFUNCTION("""COMPUTED_VALUE"""),"A209")</f>
        <v>A209</v>
      </c>
      <c r="C409" s="40"/>
      <c r="D409" s="41"/>
      <c r="E409" s="66"/>
      <c r="F409" s="43"/>
      <c r="G409" s="44"/>
      <c r="H409" s="33" t="str">
        <f>IFERROR(__xludf.DUMMYFUNCTION("""COMPUTED_VALUE""")," ")</f>
        <v> </v>
      </c>
      <c r="I409" s="45"/>
      <c r="J409" s="46" t="str">
        <f>IFERROR(__xludf.DUMMYFUNCTION("""COMPUTED_VALUE"""),"AP")</f>
        <v>AP</v>
      </c>
      <c r="K409" s="47"/>
      <c r="L409" s="48" t="str">
        <f>IFERROR(__xludf.DUMMYFUNCTION("""COMPUTED_VALUE"""),"%")</f>
        <v>%</v>
      </c>
      <c r="M409" s="49">
        <f>IFERROR(__xludf.DUMMYFUNCTION("""COMPUTED_VALUE"""),1.0)</f>
        <v>1</v>
      </c>
      <c r="N409" s="50"/>
      <c r="O409" s="38"/>
      <c r="P409" s="45" t="str">
        <f>IFERROR(__xludf.DUMMYFUNCTION("""COMPUTED_VALUE"""),"")</f>
        <v/>
      </c>
      <c r="Q409" s="46" t="str">
        <f>IFERROR(__xludf.DUMMYFUNCTION("""COMPUTED_VALUE"""),"AP")</f>
        <v>AP</v>
      </c>
      <c r="R409" s="47" t="str">
        <f>IFERROR(__xludf.DUMMYFUNCTION("""COMPUTED_VALUE"""),"")</f>
        <v/>
      </c>
      <c r="S409" s="48" t="str">
        <f>IFERROR(__xludf.DUMMYFUNCTION("""COMPUTED_VALUE"""),"%")</f>
        <v>%</v>
      </c>
      <c r="T409" s="49">
        <f>IFERROR(__xludf.DUMMYFUNCTION("""COMPUTED_VALUE"""),2.0)</f>
        <v>2</v>
      </c>
      <c r="U409" s="50"/>
      <c r="V409" s="38"/>
      <c r="W409" s="45" t="str">
        <f>IFERROR(__xludf.DUMMYFUNCTION("""COMPUTED_VALUE"""),"")</f>
        <v/>
      </c>
      <c r="X409" s="46" t="str">
        <f>IFERROR(__xludf.DUMMYFUNCTION("""COMPUTED_VALUE"""),"AP")</f>
        <v>AP</v>
      </c>
      <c r="Y409" s="47" t="str">
        <f>IFERROR(__xludf.DUMMYFUNCTION("""COMPUTED_VALUE"""),"")</f>
        <v/>
      </c>
      <c r="Z409" s="48" t="str">
        <f>IFERROR(__xludf.DUMMYFUNCTION("""COMPUTED_VALUE"""),"%")</f>
        <v>%</v>
      </c>
      <c r="AA409" s="49">
        <f>IFERROR(__xludf.DUMMYFUNCTION("""COMPUTED_VALUE"""),3.0)</f>
        <v>3</v>
      </c>
      <c r="AB409" s="50"/>
      <c r="AC409" s="38"/>
      <c r="AD409" s="45" t="str">
        <f>IFERROR(__xludf.DUMMYFUNCTION("""COMPUTED_VALUE"""),"")</f>
        <v/>
      </c>
      <c r="AE409" s="46" t="str">
        <f>IFERROR(__xludf.DUMMYFUNCTION("""COMPUTED_VALUE"""),"AP")</f>
        <v>AP</v>
      </c>
      <c r="AF409" s="47" t="str">
        <f>IFERROR(__xludf.DUMMYFUNCTION("""COMPUTED_VALUE"""),"")</f>
        <v/>
      </c>
      <c r="AG409" s="48" t="str">
        <f>IFERROR(__xludf.DUMMYFUNCTION("""COMPUTED_VALUE"""),"%")</f>
        <v>%</v>
      </c>
      <c r="AH409" s="43"/>
      <c r="AI409" s="44"/>
      <c r="AJ409" s="66"/>
    </row>
    <row r="410" ht="24.75" hidden="1" customHeight="1">
      <c r="A410" s="28">
        <f>IFERROR(__xludf.DUMMYFUNCTION("""COMPUTED_VALUE"""),17.0)</f>
        <v>17</v>
      </c>
      <c r="B410" s="28" t="str">
        <f>IFERROR(__xludf.DUMMYFUNCTION("""COMPUTED_VALUE"""),"A209")</f>
        <v>A209</v>
      </c>
      <c r="C410" s="28"/>
      <c r="D410" s="29"/>
      <c r="E410" s="67"/>
      <c r="F410" s="31"/>
      <c r="G410" s="32"/>
      <c r="H410" s="33" t="str">
        <f>IFERROR(__xludf.DUMMYFUNCTION("""COMPUTED_VALUE""")," ")</f>
        <v> </v>
      </c>
      <c r="I410" s="34"/>
      <c r="J410" s="35" t="str">
        <f>IFERROR(__xludf.DUMMYFUNCTION("""COMPUTED_VALUE"""),"AP")</f>
        <v>AP</v>
      </c>
      <c r="K410" s="34"/>
      <c r="L410" s="35" t="str">
        <f>IFERROR(__xludf.DUMMYFUNCTION("""COMPUTED_VALUE"""),"%")</f>
        <v>%</v>
      </c>
      <c r="M410" s="36">
        <f>IFERROR(__xludf.DUMMYFUNCTION("""COMPUTED_VALUE"""),1.0)</f>
        <v>1</v>
      </c>
      <c r="N410" s="37"/>
      <c r="O410" s="38"/>
      <c r="P410" s="34" t="str">
        <f>IFERROR(__xludf.DUMMYFUNCTION("""COMPUTED_VALUE"""),"")</f>
        <v/>
      </c>
      <c r="Q410" s="35" t="str">
        <f>IFERROR(__xludf.DUMMYFUNCTION("""COMPUTED_VALUE"""),"AP")</f>
        <v>AP</v>
      </c>
      <c r="R410" s="34" t="str">
        <f>IFERROR(__xludf.DUMMYFUNCTION("""COMPUTED_VALUE"""),"")</f>
        <v/>
      </c>
      <c r="S410" s="35" t="str">
        <f>IFERROR(__xludf.DUMMYFUNCTION("""COMPUTED_VALUE"""),"%")</f>
        <v>%</v>
      </c>
      <c r="T410" s="36">
        <f>IFERROR(__xludf.DUMMYFUNCTION("""COMPUTED_VALUE"""),2.0)</f>
        <v>2</v>
      </c>
      <c r="U410" s="37"/>
      <c r="V410" s="38"/>
      <c r="W410" s="34" t="str">
        <f>IFERROR(__xludf.DUMMYFUNCTION("""COMPUTED_VALUE"""),"")</f>
        <v/>
      </c>
      <c r="X410" s="35" t="str">
        <f>IFERROR(__xludf.DUMMYFUNCTION("""COMPUTED_VALUE"""),"AP")</f>
        <v>AP</v>
      </c>
      <c r="Y410" s="34" t="str">
        <f>IFERROR(__xludf.DUMMYFUNCTION("""COMPUTED_VALUE"""),"")</f>
        <v/>
      </c>
      <c r="Z410" s="35" t="str">
        <f>IFERROR(__xludf.DUMMYFUNCTION("""COMPUTED_VALUE"""),"%")</f>
        <v>%</v>
      </c>
      <c r="AA410" s="36">
        <f>IFERROR(__xludf.DUMMYFUNCTION("""COMPUTED_VALUE"""),3.0)</f>
        <v>3</v>
      </c>
      <c r="AB410" s="37"/>
      <c r="AC410" s="38"/>
      <c r="AD410" s="34" t="str">
        <f>IFERROR(__xludf.DUMMYFUNCTION("""COMPUTED_VALUE"""),"")</f>
        <v/>
      </c>
      <c r="AE410" s="35" t="str">
        <f>IFERROR(__xludf.DUMMYFUNCTION("""COMPUTED_VALUE"""),"AP")</f>
        <v>AP</v>
      </c>
      <c r="AF410" s="34" t="str">
        <f>IFERROR(__xludf.DUMMYFUNCTION("""COMPUTED_VALUE"""),"")</f>
        <v/>
      </c>
      <c r="AG410" s="35" t="str">
        <f>IFERROR(__xludf.DUMMYFUNCTION("""COMPUTED_VALUE"""),"%")</f>
        <v>%</v>
      </c>
      <c r="AH410" s="31"/>
      <c r="AI410" s="32"/>
      <c r="AJ410" s="67"/>
    </row>
    <row r="411" ht="24.75" hidden="1" customHeight="1">
      <c r="A411" s="40">
        <f>IFERROR(__xludf.DUMMYFUNCTION("""COMPUTED_VALUE"""),18.0)</f>
        <v>18</v>
      </c>
      <c r="B411" s="40" t="str">
        <f>IFERROR(__xludf.DUMMYFUNCTION("""COMPUTED_VALUE"""),"A209")</f>
        <v>A209</v>
      </c>
      <c r="C411" s="40"/>
      <c r="D411" s="41"/>
      <c r="E411" s="66"/>
      <c r="F411" s="43"/>
      <c r="G411" s="44"/>
      <c r="H411" s="33" t="str">
        <f>IFERROR(__xludf.DUMMYFUNCTION("""COMPUTED_VALUE""")," ")</f>
        <v> </v>
      </c>
      <c r="I411" s="45"/>
      <c r="J411" s="46" t="str">
        <f>IFERROR(__xludf.DUMMYFUNCTION("""COMPUTED_VALUE"""),"AP")</f>
        <v>AP</v>
      </c>
      <c r="K411" s="47"/>
      <c r="L411" s="48" t="str">
        <f>IFERROR(__xludf.DUMMYFUNCTION("""COMPUTED_VALUE"""),"%")</f>
        <v>%</v>
      </c>
      <c r="M411" s="49">
        <f>IFERROR(__xludf.DUMMYFUNCTION("""COMPUTED_VALUE"""),1.0)</f>
        <v>1</v>
      </c>
      <c r="N411" s="50"/>
      <c r="O411" s="38"/>
      <c r="P411" s="45" t="str">
        <f>IFERROR(__xludf.DUMMYFUNCTION("""COMPUTED_VALUE"""),"")</f>
        <v/>
      </c>
      <c r="Q411" s="46" t="str">
        <f>IFERROR(__xludf.DUMMYFUNCTION("""COMPUTED_VALUE"""),"AP")</f>
        <v>AP</v>
      </c>
      <c r="R411" s="47" t="str">
        <f>IFERROR(__xludf.DUMMYFUNCTION("""COMPUTED_VALUE"""),"")</f>
        <v/>
      </c>
      <c r="S411" s="48" t="str">
        <f>IFERROR(__xludf.DUMMYFUNCTION("""COMPUTED_VALUE"""),"%")</f>
        <v>%</v>
      </c>
      <c r="T411" s="49">
        <f>IFERROR(__xludf.DUMMYFUNCTION("""COMPUTED_VALUE"""),2.0)</f>
        <v>2</v>
      </c>
      <c r="U411" s="50"/>
      <c r="V411" s="38"/>
      <c r="W411" s="45" t="str">
        <f>IFERROR(__xludf.DUMMYFUNCTION("""COMPUTED_VALUE"""),"")</f>
        <v/>
      </c>
      <c r="X411" s="46" t="str">
        <f>IFERROR(__xludf.DUMMYFUNCTION("""COMPUTED_VALUE"""),"AP")</f>
        <v>AP</v>
      </c>
      <c r="Y411" s="47" t="str">
        <f>IFERROR(__xludf.DUMMYFUNCTION("""COMPUTED_VALUE"""),"")</f>
        <v/>
      </c>
      <c r="Z411" s="48" t="str">
        <f>IFERROR(__xludf.DUMMYFUNCTION("""COMPUTED_VALUE"""),"%")</f>
        <v>%</v>
      </c>
      <c r="AA411" s="49">
        <f>IFERROR(__xludf.DUMMYFUNCTION("""COMPUTED_VALUE"""),3.0)</f>
        <v>3</v>
      </c>
      <c r="AB411" s="50"/>
      <c r="AC411" s="38"/>
      <c r="AD411" s="45" t="str">
        <f>IFERROR(__xludf.DUMMYFUNCTION("""COMPUTED_VALUE"""),"")</f>
        <v/>
      </c>
      <c r="AE411" s="46" t="str">
        <f>IFERROR(__xludf.DUMMYFUNCTION("""COMPUTED_VALUE"""),"AP")</f>
        <v>AP</v>
      </c>
      <c r="AF411" s="47" t="str">
        <f>IFERROR(__xludf.DUMMYFUNCTION("""COMPUTED_VALUE"""),"")</f>
        <v/>
      </c>
      <c r="AG411" s="48" t="str">
        <f>IFERROR(__xludf.DUMMYFUNCTION("""COMPUTED_VALUE"""),"%")</f>
        <v>%</v>
      </c>
      <c r="AH411" s="43"/>
      <c r="AI411" s="44"/>
      <c r="AJ411" s="66"/>
    </row>
    <row r="412" ht="24.75" hidden="1" customHeight="1">
      <c r="A412" s="28">
        <f>IFERROR(__xludf.DUMMYFUNCTION("""COMPUTED_VALUE"""),19.0)</f>
        <v>19</v>
      </c>
      <c r="B412" s="28" t="str">
        <f>IFERROR(__xludf.DUMMYFUNCTION("""COMPUTED_VALUE"""),"A209")</f>
        <v>A209</v>
      </c>
      <c r="C412" s="28"/>
      <c r="D412" s="29"/>
      <c r="E412" s="67"/>
      <c r="F412" s="31"/>
      <c r="G412" s="32"/>
      <c r="H412" s="33" t="str">
        <f>IFERROR(__xludf.DUMMYFUNCTION("""COMPUTED_VALUE""")," ")</f>
        <v> </v>
      </c>
      <c r="I412" s="34"/>
      <c r="J412" s="35" t="str">
        <f>IFERROR(__xludf.DUMMYFUNCTION("""COMPUTED_VALUE"""),"AP")</f>
        <v>AP</v>
      </c>
      <c r="K412" s="34"/>
      <c r="L412" s="35" t="str">
        <f>IFERROR(__xludf.DUMMYFUNCTION("""COMPUTED_VALUE"""),"%")</f>
        <v>%</v>
      </c>
      <c r="M412" s="36">
        <f>IFERROR(__xludf.DUMMYFUNCTION("""COMPUTED_VALUE"""),1.0)</f>
        <v>1</v>
      </c>
      <c r="N412" s="37"/>
      <c r="O412" s="38"/>
      <c r="P412" s="34" t="str">
        <f>IFERROR(__xludf.DUMMYFUNCTION("""COMPUTED_VALUE"""),"")</f>
        <v/>
      </c>
      <c r="Q412" s="35" t="str">
        <f>IFERROR(__xludf.DUMMYFUNCTION("""COMPUTED_VALUE"""),"AP")</f>
        <v>AP</v>
      </c>
      <c r="R412" s="34" t="str">
        <f>IFERROR(__xludf.DUMMYFUNCTION("""COMPUTED_VALUE"""),"")</f>
        <v/>
      </c>
      <c r="S412" s="35" t="str">
        <f>IFERROR(__xludf.DUMMYFUNCTION("""COMPUTED_VALUE"""),"%")</f>
        <v>%</v>
      </c>
      <c r="T412" s="36">
        <f>IFERROR(__xludf.DUMMYFUNCTION("""COMPUTED_VALUE"""),2.0)</f>
        <v>2</v>
      </c>
      <c r="U412" s="37"/>
      <c r="V412" s="38"/>
      <c r="W412" s="34" t="str">
        <f>IFERROR(__xludf.DUMMYFUNCTION("""COMPUTED_VALUE"""),"")</f>
        <v/>
      </c>
      <c r="X412" s="35" t="str">
        <f>IFERROR(__xludf.DUMMYFUNCTION("""COMPUTED_VALUE"""),"AP")</f>
        <v>AP</v>
      </c>
      <c r="Y412" s="34" t="str">
        <f>IFERROR(__xludf.DUMMYFUNCTION("""COMPUTED_VALUE"""),"")</f>
        <v/>
      </c>
      <c r="Z412" s="35" t="str">
        <f>IFERROR(__xludf.DUMMYFUNCTION("""COMPUTED_VALUE"""),"%")</f>
        <v>%</v>
      </c>
      <c r="AA412" s="36">
        <f>IFERROR(__xludf.DUMMYFUNCTION("""COMPUTED_VALUE"""),3.0)</f>
        <v>3</v>
      </c>
      <c r="AB412" s="37"/>
      <c r="AC412" s="38"/>
      <c r="AD412" s="34" t="str">
        <f>IFERROR(__xludf.DUMMYFUNCTION("""COMPUTED_VALUE"""),"")</f>
        <v/>
      </c>
      <c r="AE412" s="35" t="str">
        <f>IFERROR(__xludf.DUMMYFUNCTION("""COMPUTED_VALUE"""),"AP")</f>
        <v>AP</v>
      </c>
      <c r="AF412" s="34" t="str">
        <f>IFERROR(__xludf.DUMMYFUNCTION("""COMPUTED_VALUE"""),"")</f>
        <v/>
      </c>
      <c r="AG412" s="35" t="str">
        <f>IFERROR(__xludf.DUMMYFUNCTION("""COMPUTED_VALUE"""),"%")</f>
        <v>%</v>
      </c>
      <c r="AH412" s="31"/>
      <c r="AI412" s="32"/>
      <c r="AJ412" s="67"/>
    </row>
    <row r="413" ht="24.75" hidden="1" customHeight="1">
      <c r="A413" s="40">
        <f>IFERROR(__xludf.DUMMYFUNCTION("""COMPUTED_VALUE"""),20.0)</f>
        <v>20</v>
      </c>
      <c r="B413" s="40" t="str">
        <f>IFERROR(__xludf.DUMMYFUNCTION("""COMPUTED_VALUE"""),"A209")</f>
        <v>A209</v>
      </c>
      <c r="C413" s="40"/>
      <c r="D413" s="41"/>
      <c r="E413" s="66"/>
      <c r="F413" s="43"/>
      <c r="G413" s="44"/>
      <c r="H413" s="33" t="str">
        <f>IFERROR(__xludf.DUMMYFUNCTION("""COMPUTED_VALUE""")," ")</f>
        <v> </v>
      </c>
      <c r="I413" s="45"/>
      <c r="J413" s="46" t="str">
        <f>IFERROR(__xludf.DUMMYFUNCTION("""COMPUTED_VALUE"""),"AP")</f>
        <v>AP</v>
      </c>
      <c r="K413" s="47"/>
      <c r="L413" s="48" t="str">
        <f>IFERROR(__xludf.DUMMYFUNCTION("""COMPUTED_VALUE"""),"%")</f>
        <v>%</v>
      </c>
      <c r="M413" s="49">
        <f>IFERROR(__xludf.DUMMYFUNCTION("""COMPUTED_VALUE"""),1.0)</f>
        <v>1</v>
      </c>
      <c r="N413" s="50"/>
      <c r="O413" s="38"/>
      <c r="P413" s="45" t="str">
        <f>IFERROR(__xludf.DUMMYFUNCTION("""COMPUTED_VALUE"""),"")</f>
        <v/>
      </c>
      <c r="Q413" s="46" t="str">
        <f>IFERROR(__xludf.DUMMYFUNCTION("""COMPUTED_VALUE"""),"AP")</f>
        <v>AP</v>
      </c>
      <c r="R413" s="47" t="str">
        <f>IFERROR(__xludf.DUMMYFUNCTION("""COMPUTED_VALUE"""),"")</f>
        <v/>
      </c>
      <c r="S413" s="48" t="str">
        <f>IFERROR(__xludf.DUMMYFUNCTION("""COMPUTED_VALUE"""),"%")</f>
        <v>%</v>
      </c>
      <c r="T413" s="49">
        <f>IFERROR(__xludf.DUMMYFUNCTION("""COMPUTED_VALUE"""),2.0)</f>
        <v>2</v>
      </c>
      <c r="U413" s="50"/>
      <c r="V413" s="38"/>
      <c r="W413" s="45" t="str">
        <f>IFERROR(__xludf.DUMMYFUNCTION("""COMPUTED_VALUE"""),"")</f>
        <v/>
      </c>
      <c r="X413" s="46" t="str">
        <f>IFERROR(__xludf.DUMMYFUNCTION("""COMPUTED_VALUE"""),"AP")</f>
        <v>AP</v>
      </c>
      <c r="Y413" s="47" t="str">
        <f>IFERROR(__xludf.DUMMYFUNCTION("""COMPUTED_VALUE"""),"")</f>
        <v/>
      </c>
      <c r="Z413" s="48" t="str">
        <f>IFERROR(__xludf.DUMMYFUNCTION("""COMPUTED_VALUE"""),"%")</f>
        <v>%</v>
      </c>
      <c r="AA413" s="49">
        <f>IFERROR(__xludf.DUMMYFUNCTION("""COMPUTED_VALUE"""),3.0)</f>
        <v>3</v>
      </c>
      <c r="AB413" s="50"/>
      <c r="AC413" s="38"/>
      <c r="AD413" s="45" t="str">
        <f>IFERROR(__xludf.DUMMYFUNCTION("""COMPUTED_VALUE"""),"")</f>
        <v/>
      </c>
      <c r="AE413" s="46" t="str">
        <f>IFERROR(__xludf.DUMMYFUNCTION("""COMPUTED_VALUE"""),"AP")</f>
        <v>AP</v>
      </c>
      <c r="AF413" s="47" t="str">
        <f>IFERROR(__xludf.DUMMYFUNCTION("""COMPUTED_VALUE"""),"")</f>
        <v/>
      </c>
      <c r="AG413" s="48" t="str">
        <f>IFERROR(__xludf.DUMMYFUNCTION("""COMPUTED_VALUE"""),"%")</f>
        <v>%</v>
      </c>
      <c r="AH413" s="43"/>
      <c r="AI413" s="44"/>
      <c r="AJ413" s="66"/>
    </row>
    <row r="414">
      <c r="A414" s="52"/>
      <c r="B414" s="53"/>
      <c r="C414" s="54"/>
      <c r="D414" s="56"/>
      <c r="E414" s="56"/>
      <c r="F414" s="53"/>
      <c r="G414" s="53"/>
      <c r="H414" s="53"/>
      <c r="I414" s="53"/>
      <c r="J414" s="57"/>
      <c r="K414" s="53"/>
      <c r="L414" s="57"/>
      <c r="M414" s="53"/>
      <c r="N414" s="53"/>
      <c r="O414" s="53"/>
      <c r="P414" s="53"/>
      <c r="Q414" s="57"/>
      <c r="R414" s="53"/>
      <c r="S414" s="57"/>
      <c r="T414" s="53"/>
      <c r="U414" s="53"/>
      <c r="V414" s="53"/>
      <c r="W414" s="53"/>
      <c r="X414" s="57"/>
      <c r="Y414" s="53"/>
      <c r="Z414" s="57"/>
      <c r="AA414" s="53"/>
      <c r="AB414" s="53"/>
      <c r="AC414" s="53"/>
      <c r="AD414" s="53"/>
      <c r="AE414" s="57"/>
      <c r="AF414" s="53"/>
      <c r="AG414" s="57"/>
      <c r="AH414" s="53"/>
      <c r="AI414" s="53"/>
      <c r="AJ414" s="56"/>
    </row>
    <row r="415">
      <c r="A415" s="59"/>
      <c r="B415" s="60"/>
      <c r="C415" s="61"/>
      <c r="D415" s="63"/>
      <c r="E415" s="63"/>
      <c r="F415" s="60"/>
      <c r="G415" s="60"/>
      <c r="H415" s="60"/>
      <c r="I415" s="60"/>
      <c r="J415" s="64"/>
      <c r="K415" s="60"/>
      <c r="L415" s="64"/>
      <c r="M415" s="60"/>
      <c r="N415" s="60"/>
      <c r="O415" s="60"/>
      <c r="P415" s="60"/>
      <c r="Q415" s="64"/>
      <c r="R415" s="60"/>
      <c r="S415" s="64"/>
      <c r="T415" s="60"/>
      <c r="U415" s="60"/>
      <c r="V415" s="60"/>
      <c r="W415" s="60"/>
      <c r="X415" s="64"/>
      <c r="Y415" s="60"/>
      <c r="Z415" s="64"/>
      <c r="AA415" s="60"/>
      <c r="AB415" s="60"/>
      <c r="AC415" s="60"/>
      <c r="AD415" s="60"/>
      <c r="AE415" s="64"/>
      <c r="AF415" s="60"/>
      <c r="AG415" s="64"/>
      <c r="AH415" s="60"/>
      <c r="AI415" s="60"/>
      <c r="AJ415" s="63"/>
    </row>
    <row r="416" ht="33.0" customHeight="1">
      <c r="A416" s="20" t="str">
        <f>IFERROR(__xludf.DUMMYFUNCTION("""COMPUTED_VALUE""")," ")</f>
        <v> </v>
      </c>
      <c r="B416" s="21" t="str">
        <f>IFERROR(__xludf.DUMMYFUNCTION("""COMPUTED_VALUE"""),"A210")</f>
        <v>A210</v>
      </c>
      <c r="C416" s="20"/>
      <c r="D416" s="257" t="str">
        <f>IFERROR(__xludf.DUMMYFUNCTION("""COMPUTED_VALUE"""),"")</f>
        <v/>
      </c>
      <c r="E416" s="23" t="str">
        <f>IFERROR(__xludf.DUMMYFUNCTION("""COMPUTED_VALUE"""),"Great Knight Medal")</f>
        <v>Great Knight Medal</v>
      </c>
      <c r="F416" s="24"/>
      <c r="G416" s="24"/>
      <c r="H416" s="25"/>
      <c r="I416" s="25"/>
      <c r="J416" s="26"/>
      <c r="K416" s="25"/>
      <c r="L416" s="26"/>
      <c r="M416" s="25"/>
      <c r="N416" s="25"/>
      <c r="O416" s="25"/>
      <c r="P416" s="25"/>
      <c r="Q416" s="26"/>
      <c r="R416" s="25"/>
      <c r="S416" s="26"/>
      <c r="T416" s="25"/>
      <c r="U416" s="25"/>
      <c r="V416" s="25"/>
      <c r="W416" s="25"/>
      <c r="X416" s="26"/>
      <c r="Y416" s="25"/>
      <c r="Z416" s="26"/>
      <c r="AA416" s="25"/>
      <c r="AB416" s="25"/>
      <c r="AC416" s="25"/>
      <c r="AD416" s="25"/>
      <c r="AE416" s="26"/>
      <c r="AF416" s="25"/>
      <c r="AG416" s="26"/>
      <c r="AH416" s="24"/>
      <c r="AI416" s="25"/>
      <c r="AJ416" s="23"/>
    </row>
    <row r="417" ht="24.75" customHeight="1">
      <c r="A417" s="28">
        <f>IFERROR(__xludf.DUMMYFUNCTION("""COMPUTED_VALUE"""),1.0)</f>
        <v>1</v>
      </c>
      <c r="B417" s="28" t="str">
        <f>IFERROR(__xludf.DUMMYFUNCTION("""COMPUTED_VALUE"""),"A210")</f>
        <v>A210</v>
      </c>
      <c r="C417" s="28" t="str">
        <f>IFERROR(__xludf.DUMMYFUNCTION("""COMPUTED_VALUE"""),"CML12")</f>
        <v>CML12</v>
      </c>
      <c r="D417" s="29" t="str">
        <f>IFERROR(__xludf.DUMMYFUNCTION("""COMPUTED_VALUE"""),"Camelot")</f>
        <v>Camelot</v>
      </c>
      <c r="E417" s="30" t="str">
        <f>IFERROR(__xludf.DUMMYFUNCTION("""COMPUTED_VALUE"""),"Royal Castle")</f>
        <v>Royal Castle</v>
      </c>
      <c r="F417" s="31">
        <f>IFERROR(__xludf.DUMMYFUNCTION("""COMPUTED_VALUE"""),21.0)</f>
        <v>21</v>
      </c>
      <c r="G417" s="32">
        <f>IFERROR(__xludf.DUMMYFUNCTION("""COMPUTED_VALUE"""),101574.0)</f>
        <v>101574</v>
      </c>
      <c r="H417" s="33" t="str">
        <f>IFERROR(__xludf.DUMMYFUNCTION("""COMPUTED_VALUE"""),"")</f>
        <v/>
      </c>
      <c r="I417" s="34">
        <f>IFERROR(__xludf.DUMMYFUNCTION("""COMPUTED_VALUE"""),59.53428786737002)</f>
        <v>59.53428787</v>
      </c>
      <c r="J417" s="35" t="str">
        <f>IFERROR(__xludf.DUMMYFUNCTION("""COMPUTED_VALUE"""),"AP")</f>
        <v>AP</v>
      </c>
      <c r="K417" s="34">
        <f>IFERROR(__xludf.DUMMYFUNCTION("""COMPUTED_VALUE"""),35.273790536948425)</f>
        <v>35.27379054</v>
      </c>
      <c r="L417" s="35" t="str">
        <f>IFERROR(__xludf.DUMMYFUNCTION("""COMPUTED_VALUE"""),"%")</f>
        <v>%</v>
      </c>
      <c r="M417" s="36">
        <f>IFERROR(__xludf.DUMMYFUNCTION("""COMPUTED_VALUE"""),1.0)</f>
        <v>1</v>
      </c>
      <c r="N417" s="37" t="str">
        <f>IFERROR(__xludf.DUMMYFUNCTION("""COMPUTED_VALUE"""),"A304")</f>
        <v>A304</v>
      </c>
      <c r="O417" s="38" t="str">
        <f>IFERROR(__xludf.DUMMYFUNCTION("""COMPUTED_VALUE"""),"")</f>
        <v/>
      </c>
      <c r="P417" s="34">
        <f>IFERROR(__xludf.DUMMYFUNCTION("""COMPUTED_VALUE"""),130.98274485723059)</f>
        <v>130.9827449</v>
      </c>
      <c r="Q417" s="35" t="str">
        <f>IFERROR(__xludf.DUMMYFUNCTION("""COMPUTED_VALUE"""),"AP")</f>
        <v>AP</v>
      </c>
      <c r="R417" s="34">
        <f>IFERROR(__xludf.DUMMYFUNCTION("""COMPUTED_VALUE"""),16.032646149605213)</f>
        <v>16.03264615</v>
      </c>
      <c r="S417" s="35" t="str">
        <f>IFERROR(__xludf.DUMMYFUNCTION("""COMPUTED_VALUE"""),"%")</f>
        <v>%</v>
      </c>
      <c r="T417" s="36">
        <f>IFERROR(__xludf.DUMMYFUNCTION("""COMPUTED_VALUE"""),2.0)</f>
        <v>2</v>
      </c>
      <c r="U417" s="37" t="str">
        <f>IFERROR(__xludf.DUMMYFUNCTION("""COMPUTED_VALUE"""),"B111")</f>
        <v>B111</v>
      </c>
      <c r="V417" s="38" t="str">
        <f>IFERROR(__xludf.DUMMYFUNCTION("""COMPUTED_VALUE"""),"")</f>
        <v/>
      </c>
      <c r="W417" s="34">
        <f>IFERROR(__xludf.DUMMYFUNCTION("""COMPUTED_VALUE"""),86.04509382432946)</f>
        <v>86.04509382</v>
      </c>
      <c r="X417" s="35" t="str">
        <f>IFERROR(__xludf.DUMMYFUNCTION("""COMPUTED_VALUE"""),"AP")</f>
        <v>AP</v>
      </c>
      <c r="Y417" s="34">
        <f>IFERROR(__xludf.DUMMYFUNCTION("""COMPUTED_VALUE"""),24.405807544209104)</f>
        <v>24.40580754</v>
      </c>
      <c r="Z417" s="35" t="str">
        <f>IFERROR(__xludf.DUMMYFUNCTION("""COMPUTED_VALUE"""),"%")</f>
        <v>%</v>
      </c>
      <c r="AA417" s="36">
        <f>IFERROR(__xludf.DUMMYFUNCTION("""COMPUTED_VALUE"""),3.0)</f>
        <v>3</v>
      </c>
      <c r="AB417" s="37"/>
      <c r="AC417" s="38"/>
      <c r="AD417" s="34" t="str">
        <f>IFERROR(__xludf.DUMMYFUNCTION("""COMPUTED_VALUE"""),"")</f>
        <v/>
      </c>
      <c r="AE417" s="35" t="str">
        <f>IFERROR(__xludf.DUMMYFUNCTION("""COMPUTED_VALUE"""),"AP")</f>
        <v>AP</v>
      </c>
      <c r="AF417" s="34" t="str">
        <f>IFERROR(__xludf.DUMMYFUNCTION("""COMPUTED_VALUE"""),"")</f>
        <v/>
      </c>
      <c r="AG417" s="35" t="str">
        <f>IFERROR(__xludf.DUMMYFUNCTION("""COMPUTED_VALUE"""),"%")</f>
        <v>%</v>
      </c>
      <c r="AH417" s="31">
        <f>IFERROR(__xludf.DUMMYFUNCTION("""COMPUTED_VALUE"""),21.0)</f>
        <v>21</v>
      </c>
      <c r="AI417" s="32">
        <f>IFERROR(__xludf.DUMMYFUNCTION("""COMPUTED_VALUE"""),101574.0)</f>
        <v>101574</v>
      </c>
      <c r="AJ417" s="30" t="str">
        <f>IFERROR(__xludf.DUMMYFUNCTION("""COMPUTED_VALUE"""),"Royal Castle")</f>
        <v>Royal Castle</v>
      </c>
    </row>
    <row r="418" ht="24.75" customHeight="1">
      <c r="A418" s="40">
        <f>IFERROR(__xludf.DUMMYFUNCTION("""COMPUTED_VALUE"""),2.0)</f>
        <v>2</v>
      </c>
      <c r="B418" s="40" t="str">
        <f>IFERROR(__xludf.DUMMYFUNCTION("""COMPUTED_VALUE"""),"A210")</f>
        <v>A210</v>
      </c>
      <c r="C418" s="40" t="str">
        <f>IFERROR(__xludf.DUMMYFUNCTION("""COMPUTED_VALUE"""),"CML9")</f>
        <v>CML9</v>
      </c>
      <c r="D418" s="41" t="str">
        <f>IFERROR(__xludf.DUMMYFUNCTION("""COMPUTED_VALUE"""),"Camelot")</f>
        <v>Camelot</v>
      </c>
      <c r="E418" s="42" t="str">
        <f>IFERROR(__xludf.DUMMYFUNCTION("""COMPUTED_VALUE"""),"Main Gate")</f>
        <v>Main Gate</v>
      </c>
      <c r="F418" s="43">
        <f>IFERROR(__xludf.DUMMYFUNCTION("""COMPUTED_VALUE"""),20.0)</f>
        <v>20</v>
      </c>
      <c r="G418" s="44">
        <f>IFERROR(__xludf.DUMMYFUNCTION("""COMPUTED_VALUE"""),51965.0)</f>
        <v>51965</v>
      </c>
      <c r="H418" s="33" t="str">
        <f>IFERROR(__xludf.DUMMYFUNCTION("""COMPUTED_VALUE"""),"")</f>
        <v/>
      </c>
      <c r="I418" s="45">
        <f>IFERROR(__xludf.DUMMYFUNCTION("""COMPUTED_VALUE"""),66.43442849036597)</f>
        <v>66.43442849</v>
      </c>
      <c r="J418" s="46" t="str">
        <f>IFERROR(__xludf.DUMMYFUNCTION("""COMPUTED_VALUE"""),"AP")</f>
        <v>AP</v>
      </c>
      <c r="K418" s="47">
        <f>IFERROR(__xludf.DUMMYFUNCTION("""COMPUTED_VALUE"""),30.104872510343505)</f>
        <v>30.10487251</v>
      </c>
      <c r="L418" s="48" t="str">
        <f>IFERROR(__xludf.DUMMYFUNCTION("""COMPUTED_VALUE"""),"%")</f>
        <v>%</v>
      </c>
      <c r="M418" s="49">
        <f>IFERROR(__xludf.DUMMYFUNCTION("""COMPUTED_VALUE"""),1.0)</f>
        <v>1</v>
      </c>
      <c r="N418" s="50" t="str">
        <f>IFERROR(__xludf.DUMMYFUNCTION("""COMPUTED_VALUE"""),"B111")</f>
        <v>B111</v>
      </c>
      <c r="O418" s="38" t="str">
        <f>IFERROR(__xludf.DUMMYFUNCTION("""COMPUTED_VALUE"""),"")</f>
        <v/>
      </c>
      <c r="P418" s="45">
        <f>IFERROR(__xludf.DUMMYFUNCTION("""COMPUTED_VALUE"""),191.77796049960804)</f>
        <v>191.7779605</v>
      </c>
      <c r="Q418" s="46" t="str">
        <f>IFERROR(__xludf.DUMMYFUNCTION("""COMPUTED_VALUE"""),"AP")</f>
        <v>AP</v>
      </c>
      <c r="R418" s="47">
        <f>IFERROR(__xludf.DUMMYFUNCTION("""COMPUTED_VALUE"""),10.428727027807179)</f>
        <v>10.42872703</v>
      </c>
      <c r="S418" s="48" t="str">
        <f>IFERROR(__xludf.DUMMYFUNCTION("""COMPUTED_VALUE"""),"%")</f>
        <v>%</v>
      </c>
      <c r="T418" s="49">
        <f>IFERROR(__xludf.DUMMYFUNCTION("""COMPUTED_VALUE"""),2.0)</f>
        <v>2</v>
      </c>
      <c r="U418" s="50" t="str">
        <f>IFERROR(__xludf.DUMMYFUNCTION("""COMPUTED_VALUE"""),"B112")</f>
        <v>B112</v>
      </c>
      <c r="V418" s="38" t="str">
        <f>IFERROR(__xludf.DUMMYFUNCTION("""COMPUTED_VALUE"""),"")</f>
        <v/>
      </c>
      <c r="W418" s="45">
        <f>IFERROR(__xludf.DUMMYFUNCTION("""COMPUTED_VALUE"""),377.44126562851255)</f>
        <v>377.4412656</v>
      </c>
      <c r="X418" s="46" t="str">
        <f>IFERROR(__xludf.DUMMYFUNCTION("""COMPUTED_VALUE"""),"AP")</f>
        <v>AP</v>
      </c>
      <c r="Y418" s="47">
        <f>IFERROR(__xludf.DUMMYFUNCTION("""COMPUTED_VALUE"""),5.298837679207158)</f>
        <v>5.298837679</v>
      </c>
      <c r="Z418" s="48" t="str">
        <f>IFERROR(__xludf.DUMMYFUNCTION("""COMPUTED_VALUE"""),"%")</f>
        <v>%</v>
      </c>
      <c r="AA418" s="49">
        <f>IFERROR(__xludf.DUMMYFUNCTION("""COMPUTED_VALUE"""),3.0)</f>
        <v>3</v>
      </c>
      <c r="AB418" s="50" t="str">
        <f>IFERROR(__xludf.DUMMYFUNCTION("""COMPUTED_VALUE"""),"B113")</f>
        <v>B113</v>
      </c>
      <c r="AC418" s="38" t="str">
        <f>IFERROR(__xludf.DUMMYFUNCTION("""COMPUTED_VALUE"""),"")</f>
        <v/>
      </c>
      <c r="AD418" s="45">
        <f>IFERROR(__xludf.DUMMYFUNCTION("""COMPUTED_VALUE"""),190.90093374857761)</f>
        <v>190.9009337</v>
      </c>
      <c r="AE418" s="46" t="str">
        <f>IFERROR(__xludf.DUMMYFUNCTION("""COMPUTED_VALUE"""),"AP")</f>
        <v>AP</v>
      </c>
      <c r="AF418" s="47">
        <f>IFERROR(__xludf.DUMMYFUNCTION("""COMPUTED_VALUE"""),10.476638121812758)</f>
        <v>10.47663812</v>
      </c>
      <c r="AG418" s="48" t="str">
        <f>IFERROR(__xludf.DUMMYFUNCTION("""COMPUTED_VALUE"""),"%")</f>
        <v>%</v>
      </c>
      <c r="AH418" s="43">
        <f>IFERROR(__xludf.DUMMYFUNCTION("""COMPUTED_VALUE"""),20.0)</f>
        <v>20</v>
      </c>
      <c r="AI418" s="44">
        <f>IFERROR(__xludf.DUMMYFUNCTION("""COMPUTED_VALUE"""),51965.0)</f>
        <v>51965</v>
      </c>
      <c r="AJ418" s="42" t="str">
        <f>IFERROR(__xludf.DUMMYFUNCTION("""COMPUTED_VALUE"""),"Main Gate")</f>
        <v>Main Gate</v>
      </c>
    </row>
    <row r="419" ht="24.75" customHeight="1">
      <c r="A419" s="28">
        <f>IFERROR(__xludf.DUMMYFUNCTION("""COMPUTED_VALUE"""),3.0)</f>
        <v>3</v>
      </c>
      <c r="B419" s="28" t="str">
        <f>IFERROR(__xludf.DUMMYFUNCTION("""COMPUTED_VALUE"""),"A210")</f>
        <v>A210</v>
      </c>
      <c r="C419" s="28" t="str">
        <f>IFERROR(__xludf.DUMMYFUNCTION("""COMPUTED_VALUE"""),"CML5")</f>
        <v>CML5</v>
      </c>
      <c r="D419" s="29" t="str">
        <f>IFERROR(__xludf.DUMMYFUNCTION("""COMPUTED_VALUE"""),"Camelot")</f>
        <v>Camelot</v>
      </c>
      <c r="E419" s="30" t="str">
        <f>IFERROR(__xludf.DUMMYFUNCTION("""COMPUTED_VALUE"""),"Fortress of the Round Table")</f>
        <v>Fortress of the Round Table</v>
      </c>
      <c r="F419" s="31">
        <f>IFERROR(__xludf.DUMMYFUNCTION("""COMPUTED_VALUE"""),19.0)</f>
        <v>19</v>
      </c>
      <c r="G419" s="32">
        <f>IFERROR(__xludf.DUMMYFUNCTION("""COMPUTED_VALUE"""),3478.0)</f>
        <v>3478</v>
      </c>
      <c r="H419" s="33" t="str">
        <f>IFERROR(__xludf.DUMMYFUNCTION("""COMPUTED_VALUE"""),"")</f>
        <v/>
      </c>
      <c r="I419" s="34">
        <f>IFERROR(__xludf.DUMMYFUNCTION("""COMPUTED_VALUE"""),104.51266592544208)</f>
        <v>104.5126659</v>
      </c>
      <c r="J419" s="35" t="str">
        <f>IFERROR(__xludf.DUMMYFUNCTION("""COMPUTED_VALUE"""),"AP")</f>
        <v>AP</v>
      </c>
      <c r="K419" s="34">
        <f>IFERROR(__xludf.DUMMYFUNCTION("""COMPUTED_VALUE"""),18.179614721104084)</f>
        <v>18.17961472</v>
      </c>
      <c r="L419" s="35" t="str">
        <f>IFERROR(__xludf.DUMMYFUNCTION("""COMPUTED_VALUE"""),"%")</f>
        <v>%</v>
      </c>
      <c r="M419" s="36">
        <f>IFERROR(__xludf.DUMMYFUNCTION("""COMPUTED_VALUE"""),1.0)</f>
        <v>1</v>
      </c>
      <c r="N419" s="37" t="str">
        <f>IFERROR(__xludf.DUMMYFUNCTION("""COMPUTED_VALUE"""),"A301")</f>
        <v>A301</v>
      </c>
      <c r="O419" s="38" t="str">
        <f>IFERROR(__xludf.DUMMYFUNCTION("""COMPUTED_VALUE"""),"")</f>
        <v/>
      </c>
      <c r="P419" s="34">
        <f>IFERROR(__xludf.DUMMYFUNCTION("""COMPUTED_VALUE"""),43.15398545164359)</f>
        <v>43.15398545</v>
      </c>
      <c r="Q419" s="35" t="str">
        <f>IFERROR(__xludf.DUMMYFUNCTION("""COMPUTED_VALUE"""),"AP")</f>
        <v>AP</v>
      </c>
      <c r="R419" s="34">
        <f>IFERROR(__xludf.DUMMYFUNCTION("""COMPUTED_VALUE"""),44.028378378378385)</f>
        <v>44.02837838</v>
      </c>
      <c r="S419" s="35" t="str">
        <f>IFERROR(__xludf.DUMMYFUNCTION("""COMPUTED_VALUE"""),"%")</f>
        <v>%</v>
      </c>
      <c r="T419" s="36">
        <f>IFERROR(__xludf.DUMMYFUNCTION("""COMPUTED_VALUE"""),2.0)</f>
        <v>2</v>
      </c>
      <c r="U419" s="37" t="str">
        <f>IFERROR(__xludf.DUMMYFUNCTION("""COMPUTED_VALUE"""),"B111")</f>
        <v>B111</v>
      </c>
      <c r="V419" s="38" t="str">
        <f>IFERROR(__xludf.DUMMYFUNCTION("""COMPUTED_VALUE"""),"")</f>
        <v/>
      </c>
      <c r="W419" s="34">
        <f>IFERROR(__xludf.DUMMYFUNCTION("""COMPUTED_VALUE"""),181.34069504511424)</f>
        <v>181.340695</v>
      </c>
      <c r="X419" s="35" t="str">
        <f>IFERROR(__xludf.DUMMYFUNCTION("""COMPUTED_VALUE"""),"AP")</f>
        <v>AP</v>
      </c>
      <c r="Y419" s="34">
        <f>IFERROR(__xludf.DUMMYFUNCTION("""COMPUTED_VALUE"""),10.477515813686027)</f>
        <v>10.47751581</v>
      </c>
      <c r="Z419" s="35" t="str">
        <f>IFERROR(__xludf.DUMMYFUNCTION("""COMPUTED_VALUE"""),"%")</f>
        <v>%</v>
      </c>
      <c r="AA419" s="36">
        <f>IFERROR(__xludf.DUMMYFUNCTION("""COMPUTED_VALUE"""),3.0)</f>
        <v>3</v>
      </c>
      <c r="AB419" s="37" t="str">
        <f>IFERROR(__xludf.DUMMYFUNCTION("""COMPUTED_VALUE"""),"B113")</f>
        <v>B113</v>
      </c>
      <c r="AC419" s="38" t="str">
        <f>IFERROR(__xludf.DUMMYFUNCTION("""COMPUTED_VALUE"""),"")</f>
        <v/>
      </c>
      <c r="AD419" s="34">
        <f>IFERROR(__xludf.DUMMYFUNCTION("""COMPUTED_VALUE"""),199.90622116679017)</f>
        <v>199.9062212</v>
      </c>
      <c r="AE419" s="35" t="str">
        <f>IFERROR(__xludf.DUMMYFUNCTION("""COMPUTED_VALUE"""),"AP")</f>
        <v>AP</v>
      </c>
      <c r="AF419" s="34">
        <f>IFERROR(__xludf.DUMMYFUNCTION("""COMPUTED_VALUE"""),9.504456584243819)</f>
        <v>9.504456584</v>
      </c>
      <c r="AG419" s="35" t="str">
        <f>IFERROR(__xludf.DUMMYFUNCTION("""COMPUTED_VALUE"""),"%")</f>
        <v>%</v>
      </c>
      <c r="AH419" s="31">
        <f>IFERROR(__xludf.DUMMYFUNCTION("""COMPUTED_VALUE"""),19.0)</f>
        <v>19</v>
      </c>
      <c r="AI419" s="32">
        <f>IFERROR(__xludf.DUMMYFUNCTION("""COMPUTED_VALUE"""),3478.0)</f>
        <v>3478</v>
      </c>
      <c r="AJ419" s="30" t="str">
        <f>IFERROR(__xludf.DUMMYFUNCTION("""COMPUTED_VALUE"""),"Fortress of the Round Table")</f>
        <v>Fortress of the Round Table</v>
      </c>
    </row>
    <row r="420" ht="24.75" customHeight="1">
      <c r="A420" s="40">
        <f>IFERROR(__xludf.DUMMYFUNCTION("""COMPUTED_VALUE"""),4.0)</f>
        <v>4</v>
      </c>
      <c r="B420" s="40" t="str">
        <f>IFERROR(__xludf.DUMMYFUNCTION("""COMPUTED_VALUE"""),"A210")</f>
        <v>A210</v>
      </c>
      <c r="C420" s="40"/>
      <c r="D420" s="41"/>
      <c r="E420" s="66"/>
      <c r="F420" s="43"/>
      <c r="G420" s="44"/>
      <c r="H420" s="33" t="str">
        <f>IFERROR(__xludf.DUMMYFUNCTION("""COMPUTED_VALUE""")," ")</f>
        <v> </v>
      </c>
      <c r="I420" s="45"/>
      <c r="J420" s="46" t="str">
        <f>IFERROR(__xludf.DUMMYFUNCTION("""COMPUTED_VALUE"""),"AP")</f>
        <v>AP</v>
      </c>
      <c r="K420" s="47"/>
      <c r="L420" s="48" t="str">
        <f>IFERROR(__xludf.DUMMYFUNCTION("""COMPUTED_VALUE"""),"%")</f>
        <v>%</v>
      </c>
      <c r="M420" s="49">
        <f>IFERROR(__xludf.DUMMYFUNCTION("""COMPUTED_VALUE"""),1.0)</f>
        <v>1</v>
      </c>
      <c r="N420" s="50"/>
      <c r="O420" s="38"/>
      <c r="P420" s="45" t="str">
        <f>IFERROR(__xludf.DUMMYFUNCTION("""COMPUTED_VALUE"""),"")</f>
        <v/>
      </c>
      <c r="Q420" s="46" t="str">
        <f>IFERROR(__xludf.DUMMYFUNCTION("""COMPUTED_VALUE"""),"AP")</f>
        <v>AP</v>
      </c>
      <c r="R420" s="47" t="str">
        <f>IFERROR(__xludf.DUMMYFUNCTION("""COMPUTED_VALUE"""),"")</f>
        <v/>
      </c>
      <c r="S420" s="48" t="str">
        <f>IFERROR(__xludf.DUMMYFUNCTION("""COMPUTED_VALUE"""),"%")</f>
        <v>%</v>
      </c>
      <c r="T420" s="49">
        <f>IFERROR(__xludf.DUMMYFUNCTION("""COMPUTED_VALUE"""),2.0)</f>
        <v>2</v>
      </c>
      <c r="U420" s="50"/>
      <c r="V420" s="38"/>
      <c r="W420" s="45" t="str">
        <f>IFERROR(__xludf.DUMMYFUNCTION("""COMPUTED_VALUE"""),"")</f>
        <v/>
      </c>
      <c r="X420" s="46" t="str">
        <f>IFERROR(__xludf.DUMMYFUNCTION("""COMPUTED_VALUE"""),"AP")</f>
        <v>AP</v>
      </c>
      <c r="Y420" s="47" t="str">
        <f>IFERROR(__xludf.DUMMYFUNCTION("""COMPUTED_VALUE"""),"")</f>
        <v/>
      </c>
      <c r="Z420" s="48" t="str">
        <f>IFERROR(__xludf.DUMMYFUNCTION("""COMPUTED_VALUE"""),"%")</f>
        <v>%</v>
      </c>
      <c r="AA420" s="49">
        <f>IFERROR(__xludf.DUMMYFUNCTION("""COMPUTED_VALUE"""),3.0)</f>
        <v>3</v>
      </c>
      <c r="AB420" s="50"/>
      <c r="AC420" s="38"/>
      <c r="AD420" s="45" t="str">
        <f>IFERROR(__xludf.DUMMYFUNCTION("""COMPUTED_VALUE"""),"")</f>
        <v/>
      </c>
      <c r="AE420" s="46" t="str">
        <f>IFERROR(__xludf.DUMMYFUNCTION("""COMPUTED_VALUE"""),"AP")</f>
        <v>AP</v>
      </c>
      <c r="AF420" s="47" t="str">
        <f>IFERROR(__xludf.DUMMYFUNCTION("""COMPUTED_VALUE"""),"")</f>
        <v/>
      </c>
      <c r="AG420" s="48" t="str">
        <f>IFERROR(__xludf.DUMMYFUNCTION("""COMPUTED_VALUE"""),"%")</f>
        <v>%</v>
      </c>
      <c r="AH420" s="43"/>
      <c r="AI420" s="44"/>
      <c r="AJ420" s="66"/>
    </row>
    <row r="421" ht="24.75" hidden="1" customHeight="1">
      <c r="A421" s="28">
        <f>IFERROR(__xludf.DUMMYFUNCTION("""COMPUTED_VALUE"""),5.0)</f>
        <v>5</v>
      </c>
      <c r="B421" s="28" t="str">
        <f>IFERROR(__xludf.DUMMYFUNCTION("""COMPUTED_VALUE"""),"A210")</f>
        <v>A210</v>
      </c>
      <c r="C421" s="28"/>
      <c r="D421" s="29"/>
      <c r="E421" s="67"/>
      <c r="F421" s="31"/>
      <c r="G421" s="32"/>
      <c r="H421" s="33" t="str">
        <f>IFERROR(__xludf.DUMMYFUNCTION("""COMPUTED_VALUE""")," ")</f>
        <v> </v>
      </c>
      <c r="I421" s="34"/>
      <c r="J421" s="35" t="str">
        <f>IFERROR(__xludf.DUMMYFUNCTION("""COMPUTED_VALUE"""),"AP")</f>
        <v>AP</v>
      </c>
      <c r="K421" s="34"/>
      <c r="L421" s="35" t="str">
        <f>IFERROR(__xludf.DUMMYFUNCTION("""COMPUTED_VALUE"""),"%")</f>
        <v>%</v>
      </c>
      <c r="M421" s="36">
        <f>IFERROR(__xludf.DUMMYFUNCTION("""COMPUTED_VALUE"""),1.0)</f>
        <v>1</v>
      </c>
      <c r="N421" s="37"/>
      <c r="O421" s="38"/>
      <c r="P421" s="34" t="str">
        <f>IFERROR(__xludf.DUMMYFUNCTION("""COMPUTED_VALUE"""),"")</f>
        <v/>
      </c>
      <c r="Q421" s="35" t="str">
        <f>IFERROR(__xludf.DUMMYFUNCTION("""COMPUTED_VALUE"""),"AP")</f>
        <v>AP</v>
      </c>
      <c r="R421" s="34" t="str">
        <f>IFERROR(__xludf.DUMMYFUNCTION("""COMPUTED_VALUE"""),"")</f>
        <v/>
      </c>
      <c r="S421" s="35" t="str">
        <f>IFERROR(__xludf.DUMMYFUNCTION("""COMPUTED_VALUE"""),"%")</f>
        <v>%</v>
      </c>
      <c r="T421" s="36">
        <f>IFERROR(__xludf.DUMMYFUNCTION("""COMPUTED_VALUE"""),2.0)</f>
        <v>2</v>
      </c>
      <c r="U421" s="37"/>
      <c r="V421" s="38"/>
      <c r="W421" s="34" t="str">
        <f>IFERROR(__xludf.DUMMYFUNCTION("""COMPUTED_VALUE"""),"")</f>
        <v/>
      </c>
      <c r="X421" s="35" t="str">
        <f>IFERROR(__xludf.DUMMYFUNCTION("""COMPUTED_VALUE"""),"AP")</f>
        <v>AP</v>
      </c>
      <c r="Y421" s="34" t="str">
        <f>IFERROR(__xludf.DUMMYFUNCTION("""COMPUTED_VALUE"""),"")</f>
        <v/>
      </c>
      <c r="Z421" s="35" t="str">
        <f>IFERROR(__xludf.DUMMYFUNCTION("""COMPUTED_VALUE"""),"%")</f>
        <v>%</v>
      </c>
      <c r="AA421" s="36">
        <f>IFERROR(__xludf.DUMMYFUNCTION("""COMPUTED_VALUE"""),3.0)</f>
        <v>3</v>
      </c>
      <c r="AB421" s="37"/>
      <c r="AC421" s="38"/>
      <c r="AD421" s="34" t="str">
        <f>IFERROR(__xludf.DUMMYFUNCTION("""COMPUTED_VALUE"""),"")</f>
        <v/>
      </c>
      <c r="AE421" s="35" t="str">
        <f>IFERROR(__xludf.DUMMYFUNCTION("""COMPUTED_VALUE"""),"AP")</f>
        <v>AP</v>
      </c>
      <c r="AF421" s="34" t="str">
        <f>IFERROR(__xludf.DUMMYFUNCTION("""COMPUTED_VALUE"""),"")</f>
        <v/>
      </c>
      <c r="AG421" s="35" t="str">
        <f>IFERROR(__xludf.DUMMYFUNCTION("""COMPUTED_VALUE"""),"%")</f>
        <v>%</v>
      </c>
      <c r="AH421" s="31"/>
      <c r="AI421" s="32"/>
      <c r="AJ421" s="67"/>
    </row>
    <row r="422" ht="24.75" hidden="1" customHeight="1">
      <c r="A422" s="40">
        <f>IFERROR(__xludf.DUMMYFUNCTION("""COMPUTED_VALUE"""),6.0)</f>
        <v>6</v>
      </c>
      <c r="B422" s="40" t="str">
        <f>IFERROR(__xludf.DUMMYFUNCTION("""COMPUTED_VALUE"""),"A210")</f>
        <v>A210</v>
      </c>
      <c r="C422" s="40"/>
      <c r="D422" s="41"/>
      <c r="E422" s="66"/>
      <c r="F422" s="43"/>
      <c r="G422" s="44"/>
      <c r="H422" s="33" t="str">
        <f>IFERROR(__xludf.DUMMYFUNCTION("""COMPUTED_VALUE""")," ")</f>
        <v> </v>
      </c>
      <c r="I422" s="45"/>
      <c r="J422" s="46" t="str">
        <f>IFERROR(__xludf.DUMMYFUNCTION("""COMPUTED_VALUE"""),"AP")</f>
        <v>AP</v>
      </c>
      <c r="K422" s="47"/>
      <c r="L422" s="48" t="str">
        <f>IFERROR(__xludf.DUMMYFUNCTION("""COMPUTED_VALUE"""),"%")</f>
        <v>%</v>
      </c>
      <c r="M422" s="49">
        <f>IFERROR(__xludf.DUMMYFUNCTION("""COMPUTED_VALUE"""),1.0)</f>
        <v>1</v>
      </c>
      <c r="N422" s="50"/>
      <c r="O422" s="38"/>
      <c r="P422" s="45" t="str">
        <f>IFERROR(__xludf.DUMMYFUNCTION("""COMPUTED_VALUE"""),"")</f>
        <v/>
      </c>
      <c r="Q422" s="46" t="str">
        <f>IFERROR(__xludf.DUMMYFUNCTION("""COMPUTED_VALUE"""),"AP")</f>
        <v>AP</v>
      </c>
      <c r="R422" s="47" t="str">
        <f>IFERROR(__xludf.DUMMYFUNCTION("""COMPUTED_VALUE"""),"")</f>
        <v/>
      </c>
      <c r="S422" s="48" t="str">
        <f>IFERROR(__xludf.DUMMYFUNCTION("""COMPUTED_VALUE"""),"%")</f>
        <v>%</v>
      </c>
      <c r="T422" s="49">
        <f>IFERROR(__xludf.DUMMYFUNCTION("""COMPUTED_VALUE"""),2.0)</f>
        <v>2</v>
      </c>
      <c r="U422" s="50"/>
      <c r="V422" s="38"/>
      <c r="W422" s="45" t="str">
        <f>IFERROR(__xludf.DUMMYFUNCTION("""COMPUTED_VALUE"""),"")</f>
        <v/>
      </c>
      <c r="X422" s="46" t="str">
        <f>IFERROR(__xludf.DUMMYFUNCTION("""COMPUTED_VALUE"""),"AP")</f>
        <v>AP</v>
      </c>
      <c r="Y422" s="47" t="str">
        <f>IFERROR(__xludf.DUMMYFUNCTION("""COMPUTED_VALUE"""),"")</f>
        <v/>
      </c>
      <c r="Z422" s="48" t="str">
        <f>IFERROR(__xludf.DUMMYFUNCTION("""COMPUTED_VALUE"""),"%")</f>
        <v>%</v>
      </c>
      <c r="AA422" s="49">
        <f>IFERROR(__xludf.DUMMYFUNCTION("""COMPUTED_VALUE"""),3.0)</f>
        <v>3</v>
      </c>
      <c r="AB422" s="50"/>
      <c r="AC422" s="38"/>
      <c r="AD422" s="45" t="str">
        <f>IFERROR(__xludf.DUMMYFUNCTION("""COMPUTED_VALUE"""),"")</f>
        <v/>
      </c>
      <c r="AE422" s="46" t="str">
        <f>IFERROR(__xludf.DUMMYFUNCTION("""COMPUTED_VALUE"""),"AP")</f>
        <v>AP</v>
      </c>
      <c r="AF422" s="47" t="str">
        <f>IFERROR(__xludf.DUMMYFUNCTION("""COMPUTED_VALUE"""),"")</f>
        <v/>
      </c>
      <c r="AG422" s="48" t="str">
        <f>IFERROR(__xludf.DUMMYFUNCTION("""COMPUTED_VALUE"""),"%")</f>
        <v>%</v>
      </c>
      <c r="AH422" s="43"/>
      <c r="AI422" s="44"/>
      <c r="AJ422" s="66"/>
    </row>
    <row r="423" ht="24.75" hidden="1" customHeight="1">
      <c r="A423" s="28">
        <f>IFERROR(__xludf.DUMMYFUNCTION("""COMPUTED_VALUE"""),7.0)</f>
        <v>7</v>
      </c>
      <c r="B423" s="28" t="str">
        <f>IFERROR(__xludf.DUMMYFUNCTION("""COMPUTED_VALUE"""),"A210")</f>
        <v>A210</v>
      </c>
      <c r="C423" s="28"/>
      <c r="D423" s="29"/>
      <c r="E423" s="67"/>
      <c r="F423" s="31"/>
      <c r="G423" s="32"/>
      <c r="H423" s="33" t="str">
        <f>IFERROR(__xludf.DUMMYFUNCTION("""COMPUTED_VALUE""")," ")</f>
        <v> </v>
      </c>
      <c r="I423" s="34"/>
      <c r="J423" s="35" t="str">
        <f>IFERROR(__xludf.DUMMYFUNCTION("""COMPUTED_VALUE"""),"AP")</f>
        <v>AP</v>
      </c>
      <c r="K423" s="34"/>
      <c r="L423" s="35" t="str">
        <f>IFERROR(__xludf.DUMMYFUNCTION("""COMPUTED_VALUE"""),"%")</f>
        <v>%</v>
      </c>
      <c r="M423" s="36">
        <f>IFERROR(__xludf.DUMMYFUNCTION("""COMPUTED_VALUE"""),1.0)</f>
        <v>1</v>
      </c>
      <c r="N423" s="37"/>
      <c r="O423" s="38"/>
      <c r="P423" s="34" t="str">
        <f>IFERROR(__xludf.DUMMYFUNCTION("""COMPUTED_VALUE"""),"")</f>
        <v/>
      </c>
      <c r="Q423" s="35" t="str">
        <f>IFERROR(__xludf.DUMMYFUNCTION("""COMPUTED_VALUE"""),"AP")</f>
        <v>AP</v>
      </c>
      <c r="R423" s="34" t="str">
        <f>IFERROR(__xludf.DUMMYFUNCTION("""COMPUTED_VALUE"""),"")</f>
        <v/>
      </c>
      <c r="S423" s="35" t="str">
        <f>IFERROR(__xludf.DUMMYFUNCTION("""COMPUTED_VALUE"""),"%")</f>
        <v>%</v>
      </c>
      <c r="T423" s="36">
        <f>IFERROR(__xludf.DUMMYFUNCTION("""COMPUTED_VALUE"""),2.0)</f>
        <v>2</v>
      </c>
      <c r="U423" s="37"/>
      <c r="V423" s="38"/>
      <c r="W423" s="34" t="str">
        <f>IFERROR(__xludf.DUMMYFUNCTION("""COMPUTED_VALUE"""),"")</f>
        <v/>
      </c>
      <c r="X423" s="35" t="str">
        <f>IFERROR(__xludf.DUMMYFUNCTION("""COMPUTED_VALUE"""),"AP")</f>
        <v>AP</v>
      </c>
      <c r="Y423" s="34" t="str">
        <f>IFERROR(__xludf.DUMMYFUNCTION("""COMPUTED_VALUE"""),"")</f>
        <v/>
      </c>
      <c r="Z423" s="35" t="str">
        <f>IFERROR(__xludf.DUMMYFUNCTION("""COMPUTED_VALUE"""),"%")</f>
        <v>%</v>
      </c>
      <c r="AA423" s="36">
        <f>IFERROR(__xludf.DUMMYFUNCTION("""COMPUTED_VALUE"""),3.0)</f>
        <v>3</v>
      </c>
      <c r="AB423" s="37"/>
      <c r="AC423" s="38"/>
      <c r="AD423" s="34" t="str">
        <f>IFERROR(__xludf.DUMMYFUNCTION("""COMPUTED_VALUE"""),"")</f>
        <v/>
      </c>
      <c r="AE423" s="35" t="str">
        <f>IFERROR(__xludf.DUMMYFUNCTION("""COMPUTED_VALUE"""),"AP")</f>
        <v>AP</v>
      </c>
      <c r="AF423" s="34" t="str">
        <f>IFERROR(__xludf.DUMMYFUNCTION("""COMPUTED_VALUE"""),"")</f>
        <v/>
      </c>
      <c r="AG423" s="35" t="str">
        <f>IFERROR(__xludf.DUMMYFUNCTION("""COMPUTED_VALUE"""),"%")</f>
        <v>%</v>
      </c>
      <c r="AH423" s="31"/>
      <c r="AI423" s="32"/>
      <c r="AJ423" s="67"/>
    </row>
    <row r="424" ht="24.75" hidden="1" customHeight="1">
      <c r="A424" s="40">
        <f>IFERROR(__xludf.DUMMYFUNCTION("""COMPUTED_VALUE"""),8.0)</f>
        <v>8</v>
      </c>
      <c r="B424" s="40" t="str">
        <f>IFERROR(__xludf.DUMMYFUNCTION("""COMPUTED_VALUE"""),"A210")</f>
        <v>A210</v>
      </c>
      <c r="C424" s="40"/>
      <c r="D424" s="41"/>
      <c r="E424" s="66"/>
      <c r="F424" s="43"/>
      <c r="G424" s="44"/>
      <c r="H424" s="33" t="str">
        <f>IFERROR(__xludf.DUMMYFUNCTION("""COMPUTED_VALUE""")," ")</f>
        <v> </v>
      </c>
      <c r="I424" s="45"/>
      <c r="J424" s="46" t="str">
        <f>IFERROR(__xludf.DUMMYFUNCTION("""COMPUTED_VALUE"""),"AP")</f>
        <v>AP</v>
      </c>
      <c r="K424" s="47"/>
      <c r="L424" s="48" t="str">
        <f>IFERROR(__xludf.DUMMYFUNCTION("""COMPUTED_VALUE"""),"%")</f>
        <v>%</v>
      </c>
      <c r="M424" s="49">
        <f>IFERROR(__xludf.DUMMYFUNCTION("""COMPUTED_VALUE"""),1.0)</f>
        <v>1</v>
      </c>
      <c r="N424" s="50"/>
      <c r="O424" s="38"/>
      <c r="P424" s="45" t="str">
        <f>IFERROR(__xludf.DUMMYFUNCTION("""COMPUTED_VALUE"""),"")</f>
        <v/>
      </c>
      <c r="Q424" s="46" t="str">
        <f>IFERROR(__xludf.DUMMYFUNCTION("""COMPUTED_VALUE"""),"AP")</f>
        <v>AP</v>
      </c>
      <c r="R424" s="47" t="str">
        <f>IFERROR(__xludf.DUMMYFUNCTION("""COMPUTED_VALUE"""),"")</f>
        <v/>
      </c>
      <c r="S424" s="48" t="str">
        <f>IFERROR(__xludf.DUMMYFUNCTION("""COMPUTED_VALUE"""),"%")</f>
        <v>%</v>
      </c>
      <c r="T424" s="49">
        <f>IFERROR(__xludf.DUMMYFUNCTION("""COMPUTED_VALUE"""),2.0)</f>
        <v>2</v>
      </c>
      <c r="U424" s="50"/>
      <c r="V424" s="38"/>
      <c r="W424" s="45" t="str">
        <f>IFERROR(__xludf.DUMMYFUNCTION("""COMPUTED_VALUE"""),"")</f>
        <v/>
      </c>
      <c r="X424" s="46" t="str">
        <f>IFERROR(__xludf.DUMMYFUNCTION("""COMPUTED_VALUE"""),"AP")</f>
        <v>AP</v>
      </c>
      <c r="Y424" s="47" t="str">
        <f>IFERROR(__xludf.DUMMYFUNCTION("""COMPUTED_VALUE"""),"")</f>
        <v/>
      </c>
      <c r="Z424" s="48" t="str">
        <f>IFERROR(__xludf.DUMMYFUNCTION("""COMPUTED_VALUE"""),"%")</f>
        <v>%</v>
      </c>
      <c r="AA424" s="49">
        <f>IFERROR(__xludf.DUMMYFUNCTION("""COMPUTED_VALUE"""),3.0)</f>
        <v>3</v>
      </c>
      <c r="AB424" s="50"/>
      <c r="AC424" s="38"/>
      <c r="AD424" s="45" t="str">
        <f>IFERROR(__xludf.DUMMYFUNCTION("""COMPUTED_VALUE"""),"")</f>
        <v/>
      </c>
      <c r="AE424" s="46" t="str">
        <f>IFERROR(__xludf.DUMMYFUNCTION("""COMPUTED_VALUE"""),"AP")</f>
        <v>AP</v>
      </c>
      <c r="AF424" s="47" t="str">
        <f>IFERROR(__xludf.DUMMYFUNCTION("""COMPUTED_VALUE"""),"")</f>
        <v/>
      </c>
      <c r="AG424" s="48" t="str">
        <f>IFERROR(__xludf.DUMMYFUNCTION("""COMPUTED_VALUE"""),"%")</f>
        <v>%</v>
      </c>
      <c r="AH424" s="43"/>
      <c r="AI424" s="44"/>
      <c r="AJ424" s="66"/>
    </row>
    <row r="425" ht="24.75" hidden="1" customHeight="1">
      <c r="A425" s="28">
        <f>IFERROR(__xludf.DUMMYFUNCTION("""COMPUTED_VALUE"""),9.0)</f>
        <v>9</v>
      </c>
      <c r="B425" s="28" t="str">
        <f>IFERROR(__xludf.DUMMYFUNCTION("""COMPUTED_VALUE"""),"A210")</f>
        <v>A210</v>
      </c>
      <c r="C425" s="28"/>
      <c r="D425" s="29"/>
      <c r="E425" s="67"/>
      <c r="F425" s="31"/>
      <c r="G425" s="32"/>
      <c r="H425" s="33" t="str">
        <f>IFERROR(__xludf.DUMMYFUNCTION("""COMPUTED_VALUE""")," ")</f>
        <v> </v>
      </c>
      <c r="I425" s="34"/>
      <c r="J425" s="35" t="str">
        <f>IFERROR(__xludf.DUMMYFUNCTION("""COMPUTED_VALUE"""),"AP")</f>
        <v>AP</v>
      </c>
      <c r="K425" s="34"/>
      <c r="L425" s="35" t="str">
        <f>IFERROR(__xludf.DUMMYFUNCTION("""COMPUTED_VALUE"""),"%")</f>
        <v>%</v>
      </c>
      <c r="M425" s="36">
        <f>IFERROR(__xludf.DUMMYFUNCTION("""COMPUTED_VALUE"""),1.0)</f>
        <v>1</v>
      </c>
      <c r="N425" s="37"/>
      <c r="O425" s="38"/>
      <c r="P425" s="34" t="str">
        <f>IFERROR(__xludf.DUMMYFUNCTION("""COMPUTED_VALUE"""),"")</f>
        <v/>
      </c>
      <c r="Q425" s="35" t="str">
        <f>IFERROR(__xludf.DUMMYFUNCTION("""COMPUTED_VALUE"""),"AP")</f>
        <v>AP</v>
      </c>
      <c r="R425" s="34" t="str">
        <f>IFERROR(__xludf.DUMMYFUNCTION("""COMPUTED_VALUE"""),"")</f>
        <v/>
      </c>
      <c r="S425" s="35" t="str">
        <f>IFERROR(__xludf.DUMMYFUNCTION("""COMPUTED_VALUE"""),"%")</f>
        <v>%</v>
      </c>
      <c r="T425" s="36">
        <f>IFERROR(__xludf.DUMMYFUNCTION("""COMPUTED_VALUE"""),2.0)</f>
        <v>2</v>
      </c>
      <c r="U425" s="37"/>
      <c r="V425" s="38"/>
      <c r="W425" s="34" t="str">
        <f>IFERROR(__xludf.DUMMYFUNCTION("""COMPUTED_VALUE"""),"")</f>
        <v/>
      </c>
      <c r="X425" s="35" t="str">
        <f>IFERROR(__xludf.DUMMYFUNCTION("""COMPUTED_VALUE"""),"AP")</f>
        <v>AP</v>
      </c>
      <c r="Y425" s="34" t="str">
        <f>IFERROR(__xludf.DUMMYFUNCTION("""COMPUTED_VALUE"""),"")</f>
        <v/>
      </c>
      <c r="Z425" s="35" t="str">
        <f>IFERROR(__xludf.DUMMYFUNCTION("""COMPUTED_VALUE"""),"%")</f>
        <v>%</v>
      </c>
      <c r="AA425" s="36">
        <f>IFERROR(__xludf.DUMMYFUNCTION("""COMPUTED_VALUE"""),3.0)</f>
        <v>3</v>
      </c>
      <c r="AB425" s="37"/>
      <c r="AC425" s="38"/>
      <c r="AD425" s="34" t="str">
        <f>IFERROR(__xludf.DUMMYFUNCTION("""COMPUTED_VALUE"""),"")</f>
        <v/>
      </c>
      <c r="AE425" s="35" t="str">
        <f>IFERROR(__xludf.DUMMYFUNCTION("""COMPUTED_VALUE"""),"AP")</f>
        <v>AP</v>
      </c>
      <c r="AF425" s="34" t="str">
        <f>IFERROR(__xludf.DUMMYFUNCTION("""COMPUTED_VALUE"""),"")</f>
        <v/>
      </c>
      <c r="AG425" s="35" t="str">
        <f>IFERROR(__xludf.DUMMYFUNCTION("""COMPUTED_VALUE"""),"%")</f>
        <v>%</v>
      </c>
      <c r="AH425" s="31"/>
      <c r="AI425" s="32"/>
      <c r="AJ425" s="67"/>
    </row>
    <row r="426" ht="24.75" hidden="1" customHeight="1">
      <c r="A426" s="40">
        <f>IFERROR(__xludf.DUMMYFUNCTION("""COMPUTED_VALUE"""),10.0)</f>
        <v>10</v>
      </c>
      <c r="B426" s="40" t="str">
        <f>IFERROR(__xludf.DUMMYFUNCTION("""COMPUTED_VALUE"""),"A210")</f>
        <v>A210</v>
      </c>
      <c r="C426" s="40"/>
      <c r="D426" s="41"/>
      <c r="E426" s="66"/>
      <c r="F426" s="43"/>
      <c r="G426" s="44"/>
      <c r="H426" s="33" t="str">
        <f>IFERROR(__xludf.DUMMYFUNCTION("""COMPUTED_VALUE""")," ")</f>
        <v> </v>
      </c>
      <c r="I426" s="45"/>
      <c r="J426" s="46" t="str">
        <f>IFERROR(__xludf.DUMMYFUNCTION("""COMPUTED_VALUE"""),"AP")</f>
        <v>AP</v>
      </c>
      <c r="K426" s="47"/>
      <c r="L426" s="48" t="str">
        <f>IFERROR(__xludf.DUMMYFUNCTION("""COMPUTED_VALUE"""),"%")</f>
        <v>%</v>
      </c>
      <c r="M426" s="49">
        <f>IFERROR(__xludf.DUMMYFUNCTION("""COMPUTED_VALUE"""),1.0)</f>
        <v>1</v>
      </c>
      <c r="N426" s="50"/>
      <c r="O426" s="38"/>
      <c r="P426" s="45" t="str">
        <f>IFERROR(__xludf.DUMMYFUNCTION("""COMPUTED_VALUE"""),"")</f>
        <v/>
      </c>
      <c r="Q426" s="46" t="str">
        <f>IFERROR(__xludf.DUMMYFUNCTION("""COMPUTED_VALUE"""),"AP")</f>
        <v>AP</v>
      </c>
      <c r="R426" s="47" t="str">
        <f>IFERROR(__xludf.DUMMYFUNCTION("""COMPUTED_VALUE"""),"")</f>
        <v/>
      </c>
      <c r="S426" s="48" t="str">
        <f>IFERROR(__xludf.DUMMYFUNCTION("""COMPUTED_VALUE"""),"%")</f>
        <v>%</v>
      </c>
      <c r="T426" s="49">
        <f>IFERROR(__xludf.DUMMYFUNCTION("""COMPUTED_VALUE"""),2.0)</f>
        <v>2</v>
      </c>
      <c r="U426" s="50"/>
      <c r="V426" s="38"/>
      <c r="W426" s="45" t="str">
        <f>IFERROR(__xludf.DUMMYFUNCTION("""COMPUTED_VALUE"""),"")</f>
        <v/>
      </c>
      <c r="X426" s="46" t="str">
        <f>IFERROR(__xludf.DUMMYFUNCTION("""COMPUTED_VALUE"""),"AP")</f>
        <v>AP</v>
      </c>
      <c r="Y426" s="47" t="str">
        <f>IFERROR(__xludf.DUMMYFUNCTION("""COMPUTED_VALUE"""),"")</f>
        <v/>
      </c>
      <c r="Z426" s="48" t="str">
        <f>IFERROR(__xludf.DUMMYFUNCTION("""COMPUTED_VALUE"""),"%")</f>
        <v>%</v>
      </c>
      <c r="AA426" s="49">
        <f>IFERROR(__xludf.DUMMYFUNCTION("""COMPUTED_VALUE"""),3.0)</f>
        <v>3</v>
      </c>
      <c r="AB426" s="50"/>
      <c r="AC426" s="38"/>
      <c r="AD426" s="45" t="str">
        <f>IFERROR(__xludf.DUMMYFUNCTION("""COMPUTED_VALUE"""),"")</f>
        <v/>
      </c>
      <c r="AE426" s="46" t="str">
        <f>IFERROR(__xludf.DUMMYFUNCTION("""COMPUTED_VALUE"""),"AP")</f>
        <v>AP</v>
      </c>
      <c r="AF426" s="47" t="str">
        <f>IFERROR(__xludf.DUMMYFUNCTION("""COMPUTED_VALUE"""),"")</f>
        <v/>
      </c>
      <c r="AG426" s="48" t="str">
        <f>IFERROR(__xludf.DUMMYFUNCTION("""COMPUTED_VALUE"""),"%")</f>
        <v>%</v>
      </c>
      <c r="AH426" s="43"/>
      <c r="AI426" s="44"/>
      <c r="AJ426" s="66"/>
    </row>
    <row r="427" ht="24.75" hidden="1" customHeight="1">
      <c r="A427" s="28">
        <f>IFERROR(__xludf.DUMMYFUNCTION("""COMPUTED_VALUE"""),11.0)</f>
        <v>11</v>
      </c>
      <c r="B427" s="28" t="str">
        <f>IFERROR(__xludf.DUMMYFUNCTION("""COMPUTED_VALUE"""),"A210")</f>
        <v>A210</v>
      </c>
      <c r="C427" s="28"/>
      <c r="D427" s="29"/>
      <c r="E427" s="67"/>
      <c r="F427" s="31"/>
      <c r="G427" s="32"/>
      <c r="H427" s="33" t="str">
        <f>IFERROR(__xludf.DUMMYFUNCTION("""COMPUTED_VALUE""")," ")</f>
        <v> </v>
      </c>
      <c r="I427" s="34"/>
      <c r="J427" s="35" t="str">
        <f>IFERROR(__xludf.DUMMYFUNCTION("""COMPUTED_VALUE"""),"AP")</f>
        <v>AP</v>
      </c>
      <c r="K427" s="34"/>
      <c r="L427" s="35" t="str">
        <f>IFERROR(__xludf.DUMMYFUNCTION("""COMPUTED_VALUE"""),"%")</f>
        <v>%</v>
      </c>
      <c r="M427" s="36">
        <f>IFERROR(__xludf.DUMMYFUNCTION("""COMPUTED_VALUE"""),1.0)</f>
        <v>1</v>
      </c>
      <c r="N427" s="37"/>
      <c r="O427" s="38"/>
      <c r="P427" s="34" t="str">
        <f>IFERROR(__xludf.DUMMYFUNCTION("""COMPUTED_VALUE"""),"")</f>
        <v/>
      </c>
      <c r="Q427" s="35" t="str">
        <f>IFERROR(__xludf.DUMMYFUNCTION("""COMPUTED_VALUE"""),"AP")</f>
        <v>AP</v>
      </c>
      <c r="R427" s="34" t="str">
        <f>IFERROR(__xludf.DUMMYFUNCTION("""COMPUTED_VALUE"""),"")</f>
        <v/>
      </c>
      <c r="S427" s="35" t="str">
        <f>IFERROR(__xludf.DUMMYFUNCTION("""COMPUTED_VALUE"""),"%")</f>
        <v>%</v>
      </c>
      <c r="T427" s="36">
        <f>IFERROR(__xludf.DUMMYFUNCTION("""COMPUTED_VALUE"""),2.0)</f>
        <v>2</v>
      </c>
      <c r="U427" s="37"/>
      <c r="V427" s="38"/>
      <c r="W427" s="34" t="str">
        <f>IFERROR(__xludf.DUMMYFUNCTION("""COMPUTED_VALUE"""),"")</f>
        <v/>
      </c>
      <c r="X427" s="35" t="str">
        <f>IFERROR(__xludf.DUMMYFUNCTION("""COMPUTED_VALUE"""),"AP")</f>
        <v>AP</v>
      </c>
      <c r="Y427" s="34" t="str">
        <f>IFERROR(__xludf.DUMMYFUNCTION("""COMPUTED_VALUE"""),"")</f>
        <v/>
      </c>
      <c r="Z427" s="35" t="str">
        <f>IFERROR(__xludf.DUMMYFUNCTION("""COMPUTED_VALUE"""),"%")</f>
        <v>%</v>
      </c>
      <c r="AA427" s="36">
        <f>IFERROR(__xludf.DUMMYFUNCTION("""COMPUTED_VALUE"""),3.0)</f>
        <v>3</v>
      </c>
      <c r="AB427" s="37"/>
      <c r="AC427" s="38"/>
      <c r="AD427" s="34" t="str">
        <f>IFERROR(__xludf.DUMMYFUNCTION("""COMPUTED_VALUE"""),"")</f>
        <v/>
      </c>
      <c r="AE427" s="35" t="str">
        <f>IFERROR(__xludf.DUMMYFUNCTION("""COMPUTED_VALUE"""),"AP")</f>
        <v>AP</v>
      </c>
      <c r="AF427" s="34" t="str">
        <f>IFERROR(__xludf.DUMMYFUNCTION("""COMPUTED_VALUE"""),"")</f>
        <v/>
      </c>
      <c r="AG427" s="35" t="str">
        <f>IFERROR(__xludf.DUMMYFUNCTION("""COMPUTED_VALUE"""),"%")</f>
        <v>%</v>
      </c>
      <c r="AH427" s="31"/>
      <c r="AI427" s="32"/>
      <c r="AJ427" s="67"/>
    </row>
    <row r="428" ht="24.75" hidden="1" customHeight="1">
      <c r="A428" s="40">
        <f>IFERROR(__xludf.DUMMYFUNCTION("""COMPUTED_VALUE"""),12.0)</f>
        <v>12</v>
      </c>
      <c r="B428" s="40" t="str">
        <f>IFERROR(__xludf.DUMMYFUNCTION("""COMPUTED_VALUE"""),"A210")</f>
        <v>A210</v>
      </c>
      <c r="C428" s="40"/>
      <c r="D428" s="41"/>
      <c r="E428" s="66"/>
      <c r="F428" s="43"/>
      <c r="G428" s="44"/>
      <c r="H428" s="33" t="str">
        <f>IFERROR(__xludf.DUMMYFUNCTION("""COMPUTED_VALUE""")," ")</f>
        <v> </v>
      </c>
      <c r="I428" s="45"/>
      <c r="J428" s="46" t="str">
        <f>IFERROR(__xludf.DUMMYFUNCTION("""COMPUTED_VALUE"""),"AP")</f>
        <v>AP</v>
      </c>
      <c r="K428" s="47"/>
      <c r="L428" s="48" t="str">
        <f>IFERROR(__xludf.DUMMYFUNCTION("""COMPUTED_VALUE"""),"%")</f>
        <v>%</v>
      </c>
      <c r="M428" s="49">
        <f>IFERROR(__xludf.DUMMYFUNCTION("""COMPUTED_VALUE"""),1.0)</f>
        <v>1</v>
      </c>
      <c r="N428" s="50"/>
      <c r="O428" s="38"/>
      <c r="P428" s="45" t="str">
        <f>IFERROR(__xludf.DUMMYFUNCTION("""COMPUTED_VALUE"""),"")</f>
        <v/>
      </c>
      <c r="Q428" s="46" t="str">
        <f>IFERROR(__xludf.DUMMYFUNCTION("""COMPUTED_VALUE"""),"AP")</f>
        <v>AP</v>
      </c>
      <c r="R428" s="47" t="str">
        <f>IFERROR(__xludf.DUMMYFUNCTION("""COMPUTED_VALUE"""),"")</f>
        <v/>
      </c>
      <c r="S428" s="48" t="str">
        <f>IFERROR(__xludf.DUMMYFUNCTION("""COMPUTED_VALUE"""),"%")</f>
        <v>%</v>
      </c>
      <c r="T428" s="49">
        <f>IFERROR(__xludf.DUMMYFUNCTION("""COMPUTED_VALUE"""),2.0)</f>
        <v>2</v>
      </c>
      <c r="U428" s="50"/>
      <c r="V428" s="38"/>
      <c r="W428" s="45" t="str">
        <f>IFERROR(__xludf.DUMMYFUNCTION("""COMPUTED_VALUE"""),"")</f>
        <v/>
      </c>
      <c r="X428" s="46" t="str">
        <f>IFERROR(__xludf.DUMMYFUNCTION("""COMPUTED_VALUE"""),"AP")</f>
        <v>AP</v>
      </c>
      <c r="Y428" s="47" t="str">
        <f>IFERROR(__xludf.DUMMYFUNCTION("""COMPUTED_VALUE"""),"")</f>
        <v/>
      </c>
      <c r="Z428" s="48" t="str">
        <f>IFERROR(__xludf.DUMMYFUNCTION("""COMPUTED_VALUE"""),"%")</f>
        <v>%</v>
      </c>
      <c r="AA428" s="49">
        <f>IFERROR(__xludf.DUMMYFUNCTION("""COMPUTED_VALUE"""),3.0)</f>
        <v>3</v>
      </c>
      <c r="AB428" s="50"/>
      <c r="AC428" s="38"/>
      <c r="AD428" s="45" t="str">
        <f>IFERROR(__xludf.DUMMYFUNCTION("""COMPUTED_VALUE"""),"")</f>
        <v/>
      </c>
      <c r="AE428" s="46" t="str">
        <f>IFERROR(__xludf.DUMMYFUNCTION("""COMPUTED_VALUE"""),"AP")</f>
        <v>AP</v>
      </c>
      <c r="AF428" s="47" t="str">
        <f>IFERROR(__xludf.DUMMYFUNCTION("""COMPUTED_VALUE"""),"")</f>
        <v/>
      </c>
      <c r="AG428" s="48" t="str">
        <f>IFERROR(__xludf.DUMMYFUNCTION("""COMPUTED_VALUE"""),"%")</f>
        <v>%</v>
      </c>
      <c r="AH428" s="43"/>
      <c r="AI428" s="44"/>
      <c r="AJ428" s="66"/>
    </row>
    <row r="429" ht="24.75" hidden="1" customHeight="1">
      <c r="A429" s="28">
        <f>IFERROR(__xludf.DUMMYFUNCTION("""COMPUTED_VALUE"""),13.0)</f>
        <v>13</v>
      </c>
      <c r="B429" s="28" t="str">
        <f>IFERROR(__xludf.DUMMYFUNCTION("""COMPUTED_VALUE"""),"A210")</f>
        <v>A210</v>
      </c>
      <c r="C429" s="28"/>
      <c r="D429" s="29"/>
      <c r="E429" s="67"/>
      <c r="F429" s="31"/>
      <c r="G429" s="32"/>
      <c r="H429" s="33" t="str">
        <f>IFERROR(__xludf.DUMMYFUNCTION("""COMPUTED_VALUE""")," ")</f>
        <v> </v>
      </c>
      <c r="I429" s="34"/>
      <c r="J429" s="35" t="str">
        <f>IFERROR(__xludf.DUMMYFUNCTION("""COMPUTED_VALUE"""),"AP")</f>
        <v>AP</v>
      </c>
      <c r="K429" s="34"/>
      <c r="L429" s="35" t="str">
        <f>IFERROR(__xludf.DUMMYFUNCTION("""COMPUTED_VALUE"""),"%")</f>
        <v>%</v>
      </c>
      <c r="M429" s="36">
        <f>IFERROR(__xludf.DUMMYFUNCTION("""COMPUTED_VALUE"""),1.0)</f>
        <v>1</v>
      </c>
      <c r="N429" s="37"/>
      <c r="O429" s="38"/>
      <c r="P429" s="34" t="str">
        <f>IFERROR(__xludf.DUMMYFUNCTION("""COMPUTED_VALUE"""),"")</f>
        <v/>
      </c>
      <c r="Q429" s="35" t="str">
        <f>IFERROR(__xludf.DUMMYFUNCTION("""COMPUTED_VALUE"""),"AP")</f>
        <v>AP</v>
      </c>
      <c r="R429" s="34" t="str">
        <f>IFERROR(__xludf.DUMMYFUNCTION("""COMPUTED_VALUE"""),"")</f>
        <v/>
      </c>
      <c r="S429" s="35" t="str">
        <f>IFERROR(__xludf.DUMMYFUNCTION("""COMPUTED_VALUE"""),"%")</f>
        <v>%</v>
      </c>
      <c r="T429" s="36">
        <f>IFERROR(__xludf.DUMMYFUNCTION("""COMPUTED_VALUE"""),2.0)</f>
        <v>2</v>
      </c>
      <c r="U429" s="37"/>
      <c r="V429" s="38"/>
      <c r="W429" s="34" t="str">
        <f>IFERROR(__xludf.DUMMYFUNCTION("""COMPUTED_VALUE"""),"")</f>
        <v/>
      </c>
      <c r="X429" s="35" t="str">
        <f>IFERROR(__xludf.DUMMYFUNCTION("""COMPUTED_VALUE"""),"AP")</f>
        <v>AP</v>
      </c>
      <c r="Y429" s="34" t="str">
        <f>IFERROR(__xludf.DUMMYFUNCTION("""COMPUTED_VALUE"""),"")</f>
        <v/>
      </c>
      <c r="Z429" s="35" t="str">
        <f>IFERROR(__xludf.DUMMYFUNCTION("""COMPUTED_VALUE"""),"%")</f>
        <v>%</v>
      </c>
      <c r="AA429" s="36">
        <f>IFERROR(__xludf.DUMMYFUNCTION("""COMPUTED_VALUE"""),3.0)</f>
        <v>3</v>
      </c>
      <c r="AB429" s="37"/>
      <c r="AC429" s="38"/>
      <c r="AD429" s="34" t="str">
        <f>IFERROR(__xludf.DUMMYFUNCTION("""COMPUTED_VALUE"""),"")</f>
        <v/>
      </c>
      <c r="AE429" s="35" t="str">
        <f>IFERROR(__xludf.DUMMYFUNCTION("""COMPUTED_VALUE"""),"AP")</f>
        <v>AP</v>
      </c>
      <c r="AF429" s="34" t="str">
        <f>IFERROR(__xludf.DUMMYFUNCTION("""COMPUTED_VALUE"""),"")</f>
        <v/>
      </c>
      <c r="AG429" s="35" t="str">
        <f>IFERROR(__xludf.DUMMYFUNCTION("""COMPUTED_VALUE"""),"%")</f>
        <v>%</v>
      </c>
      <c r="AH429" s="31"/>
      <c r="AI429" s="32"/>
      <c r="AJ429" s="67"/>
    </row>
    <row r="430" ht="24.75" hidden="1" customHeight="1">
      <c r="A430" s="40">
        <f>IFERROR(__xludf.DUMMYFUNCTION("""COMPUTED_VALUE"""),14.0)</f>
        <v>14</v>
      </c>
      <c r="B430" s="40" t="str">
        <f>IFERROR(__xludf.DUMMYFUNCTION("""COMPUTED_VALUE"""),"A210")</f>
        <v>A210</v>
      </c>
      <c r="C430" s="40"/>
      <c r="D430" s="41"/>
      <c r="E430" s="66"/>
      <c r="F430" s="43"/>
      <c r="G430" s="44"/>
      <c r="H430" s="33" t="str">
        <f>IFERROR(__xludf.DUMMYFUNCTION("""COMPUTED_VALUE""")," ")</f>
        <v> </v>
      </c>
      <c r="I430" s="45"/>
      <c r="J430" s="46" t="str">
        <f>IFERROR(__xludf.DUMMYFUNCTION("""COMPUTED_VALUE"""),"AP")</f>
        <v>AP</v>
      </c>
      <c r="K430" s="47"/>
      <c r="L430" s="48" t="str">
        <f>IFERROR(__xludf.DUMMYFUNCTION("""COMPUTED_VALUE"""),"%")</f>
        <v>%</v>
      </c>
      <c r="M430" s="49">
        <f>IFERROR(__xludf.DUMMYFUNCTION("""COMPUTED_VALUE"""),1.0)</f>
        <v>1</v>
      </c>
      <c r="N430" s="50"/>
      <c r="O430" s="38"/>
      <c r="P430" s="45" t="str">
        <f>IFERROR(__xludf.DUMMYFUNCTION("""COMPUTED_VALUE"""),"")</f>
        <v/>
      </c>
      <c r="Q430" s="46" t="str">
        <f>IFERROR(__xludf.DUMMYFUNCTION("""COMPUTED_VALUE"""),"AP")</f>
        <v>AP</v>
      </c>
      <c r="R430" s="47" t="str">
        <f>IFERROR(__xludf.DUMMYFUNCTION("""COMPUTED_VALUE"""),"")</f>
        <v/>
      </c>
      <c r="S430" s="48" t="str">
        <f>IFERROR(__xludf.DUMMYFUNCTION("""COMPUTED_VALUE"""),"%")</f>
        <v>%</v>
      </c>
      <c r="T430" s="49">
        <f>IFERROR(__xludf.DUMMYFUNCTION("""COMPUTED_VALUE"""),2.0)</f>
        <v>2</v>
      </c>
      <c r="U430" s="50"/>
      <c r="V430" s="38"/>
      <c r="W430" s="45" t="str">
        <f>IFERROR(__xludf.DUMMYFUNCTION("""COMPUTED_VALUE"""),"")</f>
        <v/>
      </c>
      <c r="X430" s="46" t="str">
        <f>IFERROR(__xludf.DUMMYFUNCTION("""COMPUTED_VALUE"""),"AP")</f>
        <v>AP</v>
      </c>
      <c r="Y430" s="47" t="str">
        <f>IFERROR(__xludf.DUMMYFUNCTION("""COMPUTED_VALUE"""),"")</f>
        <v/>
      </c>
      <c r="Z430" s="48" t="str">
        <f>IFERROR(__xludf.DUMMYFUNCTION("""COMPUTED_VALUE"""),"%")</f>
        <v>%</v>
      </c>
      <c r="AA430" s="49">
        <f>IFERROR(__xludf.DUMMYFUNCTION("""COMPUTED_VALUE"""),3.0)</f>
        <v>3</v>
      </c>
      <c r="AB430" s="50"/>
      <c r="AC430" s="38"/>
      <c r="AD430" s="45" t="str">
        <f>IFERROR(__xludf.DUMMYFUNCTION("""COMPUTED_VALUE"""),"")</f>
        <v/>
      </c>
      <c r="AE430" s="46" t="str">
        <f>IFERROR(__xludf.DUMMYFUNCTION("""COMPUTED_VALUE"""),"AP")</f>
        <v>AP</v>
      </c>
      <c r="AF430" s="47" t="str">
        <f>IFERROR(__xludf.DUMMYFUNCTION("""COMPUTED_VALUE"""),"")</f>
        <v/>
      </c>
      <c r="AG430" s="48" t="str">
        <f>IFERROR(__xludf.DUMMYFUNCTION("""COMPUTED_VALUE"""),"%")</f>
        <v>%</v>
      </c>
      <c r="AH430" s="43"/>
      <c r="AI430" s="44"/>
      <c r="AJ430" s="66"/>
    </row>
    <row r="431" ht="24.75" hidden="1" customHeight="1">
      <c r="A431" s="28">
        <f>IFERROR(__xludf.DUMMYFUNCTION("""COMPUTED_VALUE"""),15.0)</f>
        <v>15</v>
      </c>
      <c r="B431" s="28" t="str">
        <f>IFERROR(__xludf.DUMMYFUNCTION("""COMPUTED_VALUE"""),"A210")</f>
        <v>A210</v>
      </c>
      <c r="C431" s="28"/>
      <c r="D431" s="29"/>
      <c r="E431" s="67"/>
      <c r="F431" s="31"/>
      <c r="G431" s="32"/>
      <c r="H431" s="33" t="str">
        <f>IFERROR(__xludf.DUMMYFUNCTION("""COMPUTED_VALUE""")," ")</f>
        <v> </v>
      </c>
      <c r="I431" s="34"/>
      <c r="J431" s="35" t="str">
        <f>IFERROR(__xludf.DUMMYFUNCTION("""COMPUTED_VALUE"""),"AP")</f>
        <v>AP</v>
      </c>
      <c r="K431" s="34"/>
      <c r="L431" s="35" t="str">
        <f>IFERROR(__xludf.DUMMYFUNCTION("""COMPUTED_VALUE"""),"%")</f>
        <v>%</v>
      </c>
      <c r="M431" s="36">
        <f>IFERROR(__xludf.DUMMYFUNCTION("""COMPUTED_VALUE"""),1.0)</f>
        <v>1</v>
      </c>
      <c r="N431" s="37"/>
      <c r="O431" s="38"/>
      <c r="P431" s="34" t="str">
        <f>IFERROR(__xludf.DUMMYFUNCTION("""COMPUTED_VALUE"""),"")</f>
        <v/>
      </c>
      <c r="Q431" s="35" t="str">
        <f>IFERROR(__xludf.DUMMYFUNCTION("""COMPUTED_VALUE"""),"AP")</f>
        <v>AP</v>
      </c>
      <c r="R431" s="34" t="str">
        <f>IFERROR(__xludf.DUMMYFUNCTION("""COMPUTED_VALUE"""),"")</f>
        <v/>
      </c>
      <c r="S431" s="35" t="str">
        <f>IFERROR(__xludf.DUMMYFUNCTION("""COMPUTED_VALUE"""),"%")</f>
        <v>%</v>
      </c>
      <c r="T431" s="36">
        <f>IFERROR(__xludf.DUMMYFUNCTION("""COMPUTED_VALUE"""),2.0)</f>
        <v>2</v>
      </c>
      <c r="U431" s="37"/>
      <c r="V431" s="38"/>
      <c r="W431" s="34" t="str">
        <f>IFERROR(__xludf.DUMMYFUNCTION("""COMPUTED_VALUE"""),"")</f>
        <v/>
      </c>
      <c r="X431" s="35" t="str">
        <f>IFERROR(__xludf.DUMMYFUNCTION("""COMPUTED_VALUE"""),"AP")</f>
        <v>AP</v>
      </c>
      <c r="Y431" s="34" t="str">
        <f>IFERROR(__xludf.DUMMYFUNCTION("""COMPUTED_VALUE"""),"")</f>
        <v/>
      </c>
      <c r="Z431" s="35" t="str">
        <f>IFERROR(__xludf.DUMMYFUNCTION("""COMPUTED_VALUE"""),"%")</f>
        <v>%</v>
      </c>
      <c r="AA431" s="36">
        <f>IFERROR(__xludf.DUMMYFUNCTION("""COMPUTED_VALUE"""),3.0)</f>
        <v>3</v>
      </c>
      <c r="AB431" s="37"/>
      <c r="AC431" s="38"/>
      <c r="AD431" s="34" t="str">
        <f>IFERROR(__xludf.DUMMYFUNCTION("""COMPUTED_VALUE"""),"")</f>
        <v/>
      </c>
      <c r="AE431" s="35" t="str">
        <f>IFERROR(__xludf.DUMMYFUNCTION("""COMPUTED_VALUE"""),"AP")</f>
        <v>AP</v>
      </c>
      <c r="AF431" s="34" t="str">
        <f>IFERROR(__xludf.DUMMYFUNCTION("""COMPUTED_VALUE"""),"")</f>
        <v/>
      </c>
      <c r="AG431" s="35" t="str">
        <f>IFERROR(__xludf.DUMMYFUNCTION("""COMPUTED_VALUE"""),"%")</f>
        <v>%</v>
      </c>
      <c r="AH431" s="31"/>
      <c r="AI431" s="32"/>
      <c r="AJ431" s="67"/>
    </row>
    <row r="432" ht="24.75" hidden="1" customHeight="1">
      <c r="A432" s="40">
        <f>IFERROR(__xludf.DUMMYFUNCTION("""COMPUTED_VALUE"""),16.0)</f>
        <v>16</v>
      </c>
      <c r="B432" s="40" t="str">
        <f>IFERROR(__xludf.DUMMYFUNCTION("""COMPUTED_VALUE"""),"A210")</f>
        <v>A210</v>
      </c>
      <c r="C432" s="40"/>
      <c r="D432" s="41"/>
      <c r="E432" s="66"/>
      <c r="F432" s="43"/>
      <c r="G432" s="44"/>
      <c r="H432" s="33" t="str">
        <f>IFERROR(__xludf.DUMMYFUNCTION("""COMPUTED_VALUE""")," ")</f>
        <v> </v>
      </c>
      <c r="I432" s="45"/>
      <c r="J432" s="46" t="str">
        <f>IFERROR(__xludf.DUMMYFUNCTION("""COMPUTED_VALUE"""),"AP")</f>
        <v>AP</v>
      </c>
      <c r="K432" s="47"/>
      <c r="L432" s="48" t="str">
        <f>IFERROR(__xludf.DUMMYFUNCTION("""COMPUTED_VALUE"""),"%")</f>
        <v>%</v>
      </c>
      <c r="M432" s="49">
        <f>IFERROR(__xludf.DUMMYFUNCTION("""COMPUTED_VALUE"""),1.0)</f>
        <v>1</v>
      </c>
      <c r="N432" s="50"/>
      <c r="O432" s="38"/>
      <c r="P432" s="45" t="str">
        <f>IFERROR(__xludf.DUMMYFUNCTION("""COMPUTED_VALUE"""),"")</f>
        <v/>
      </c>
      <c r="Q432" s="46" t="str">
        <f>IFERROR(__xludf.DUMMYFUNCTION("""COMPUTED_VALUE"""),"AP")</f>
        <v>AP</v>
      </c>
      <c r="R432" s="47" t="str">
        <f>IFERROR(__xludf.DUMMYFUNCTION("""COMPUTED_VALUE"""),"")</f>
        <v/>
      </c>
      <c r="S432" s="48" t="str">
        <f>IFERROR(__xludf.DUMMYFUNCTION("""COMPUTED_VALUE"""),"%")</f>
        <v>%</v>
      </c>
      <c r="T432" s="49">
        <f>IFERROR(__xludf.DUMMYFUNCTION("""COMPUTED_VALUE"""),2.0)</f>
        <v>2</v>
      </c>
      <c r="U432" s="50"/>
      <c r="V432" s="38"/>
      <c r="W432" s="45" t="str">
        <f>IFERROR(__xludf.DUMMYFUNCTION("""COMPUTED_VALUE"""),"")</f>
        <v/>
      </c>
      <c r="X432" s="46" t="str">
        <f>IFERROR(__xludf.DUMMYFUNCTION("""COMPUTED_VALUE"""),"AP")</f>
        <v>AP</v>
      </c>
      <c r="Y432" s="47" t="str">
        <f>IFERROR(__xludf.DUMMYFUNCTION("""COMPUTED_VALUE"""),"")</f>
        <v/>
      </c>
      <c r="Z432" s="48" t="str">
        <f>IFERROR(__xludf.DUMMYFUNCTION("""COMPUTED_VALUE"""),"%")</f>
        <v>%</v>
      </c>
      <c r="AA432" s="49">
        <f>IFERROR(__xludf.DUMMYFUNCTION("""COMPUTED_VALUE"""),3.0)</f>
        <v>3</v>
      </c>
      <c r="AB432" s="50"/>
      <c r="AC432" s="38"/>
      <c r="AD432" s="45" t="str">
        <f>IFERROR(__xludf.DUMMYFUNCTION("""COMPUTED_VALUE"""),"")</f>
        <v/>
      </c>
      <c r="AE432" s="46" t="str">
        <f>IFERROR(__xludf.DUMMYFUNCTION("""COMPUTED_VALUE"""),"AP")</f>
        <v>AP</v>
      </c>
      <c r="AF432" s="47" t="str">
        <f>IFERROR(__xludf.DUMMYFUNCTION("""COMPUTED_VALUE"""),"")</f>
        <v/>
      </c>
      <c r="AG432" s="48" t="str">
        <f>IFERROR(__xludf.DUMMYFUNCTION("""COMPUTED_VALUE"""),"%")</f>
        <v>%</v>
      </c>
      <c r="AH432" s="43"/>
      <c r="AI432" s="44"/>
      <c r="AJ432" s="66"/>
    </row>
    <row r="433" ht="24.75" hidden="1" customHeight="1">
      <c r="A433" s="28">
        <f>IFERROR(__xludf.DUMMYFUNCTION("""COMPUTED_VALUE"""),17.0)</f>
        <v>17</v>
      </c>
      <c r="B433" s="28" t="str">
        <f>IFERROR(__xludf.DUMMYFUNCTION("""COMPUTED_VALUE"""),"A210")</f>
        <v>A210</v>
      </c>
      <c r="C433" s="28"/>
      <c r="D433" s="29"/>
      <c r="E433" s="67"/>
      <c r="F433" s="31"/>
      <c r="G433" s="32"/>
      <c r="H433" s="33" t="str">
        <f>IFERROR(__xludf.DUMMYFUNCTION("""COMPUTED_VALUE""")," ")</f>
        <v> </v>
      </c>
      <c r="I433" s="34"/>
      <c r="J433" s="35" t="str">
        <f>IFERROR(__xludf.DUMMYFUNCTION("""COMPUTED_VALUE"""),"AP")</f>
        <v>AP</v>
      </c>
      <c r="K433" s="34"/>
      <c r="L433" s="35" t="str">
        <f>IFERROR(__xludf.DUMMYFUNCTION("""COMPUTED_VALUE"""),"%")</f>
        <v>%</v>
      </c>
      <c r="M433" s="36">
        <f>IFERROR(__xludf.DUMMYFUNCTION("""COMPUTED_VALUE"""),1.0)</f>
        <v>1</v>
      </c>
      <c r="N433" s="37"/>
      <c r="O433" s="38"/>
      <c r="P433" s="34" t="str">
        <f>IFERROR(__xludf.DUMMYFUNCTION("""COMPUTED_VALUE"""),"")</f>
        <v/>
      </c>
      <c r="Q433" s="35" t="str">
        <f>IFERROR(__xludf.DUMMYFUNCTION("""COMPUTED_VALUE"""),"AP")</f>
        <v>AP</v>
      </c>
      <c r="R433" s="34" t="str">
        <f>IFERROR(__xludf.DUMMYFUNCTION("""COMPUTED_VALUE"""),"")</f>
        <v/>
      </c>
      <c r="S433" s="35" t="str">
        <f>IFERROR(__xludf.DUMMYFUNCTION("""COMPUTED_VALUE"""),"%")</f>
        <v>%</v>
      </c>
      <c r="T433" s="36">
        <f>IFERROR(__xludf.DUMMYFUNCTION("""COMPUTED_VALUE"""),2.0)</f>
        <v>2</v>
      </c>
      <c r="U433" s="37"/>
      <c r="V433" s="38"/>
      <c r="W433" s="34" t="str">
        <f>IFERROR(__xludf.DUMMYFUNCTION("""COMPUTED_VALUE"""),"")</f>
        <v/>
      </c>
      <c r="X433" s="35" t="str">
        <f>IFERROR(__xludf.DUMMYFUNCTION("""COMPUTED_VALUE"""),"AP")</f>
        <v>AP</v>
      </c>
      <c r="Y433" s="34" t="str">
        <f>IFERROR(__xludf.DUMMYFUNCTION("""COMPUTED_VALUE"""),"")</f>
        <v/>
      </c>
      <c r="Z433" s="35" t="str">
        <f>IFERROR(__xludf.DUMMYFUNCTION("""COMPUTED_VALUE"""),"%")</f>
        <v>%</v>
      </c>
      <c r="AA433" s="36">
        <f>IFERROR(__xludf.DUMMYFUNCTION("""COMPUTED_VALUE"""),3.0)</f>
        <v>3</v>
      </c>
      <c r="AB433" s="37"/>
      <c r="AC433" s="38"/>
      <c r="AD433" s="34" t="str">
        <f>IFERROR(__xludf.DUMMYFUNCTION("""COMPUTED_VALUE"""),"")</f>
        <v/>
      </c>
      <c r="AE433" s="35" t="str">
        <f>IFERROR(__xludf.DUMMYFUNCTION("""COMPUTED_VALUE"""),"AP")</f>
        <v>AP</v>
      </c>
      <c r="AF433" s="34" t="str">
        <f>IFERROR(__xludf.DUMMYFUNCTION("""COMPUTED_VALUE"""),"")</f>
        <v/>
      </c>
      <c r="AG433" s="35" t="str">
        <f>IFERROR(__xludf.DUMMYFUNCTION("""COMPUTED_VALUE"""),"%")</f>
        <v>%</v>
      </c>
      <c r="AH433" s="31"/>
      <c r="AI433" s="32"/>
      <c r="AJ433" s="67"/>
    </row>
    <row r="434" ht="24.75" hidden="1" customHeight="1">
      <c r="A434" s="40">
        <f>IFERROR(__xludf.DUMMYFUNCTION("""COMPUTED_VALUE"""),18.0)</f>
        <v>18</v>
      </c>
      <c r="B434" s="40" t="str">
        <f>IFERROR(__xludf.DUMMYFUNCTION("""COMPUTED_VALUE"""),"A210")</f>
        <v>A210</v>
      </c>
      <c r="C434" s="40"/>
      <c r="D434" s="41"/>
      <c r="E434" s="66"/>
      <c r="F434" s="43"/>
      <c r="G434" s="44"/>
      <c r="H434" s="33" t="str">
        <f>IFERROR(__xludf.DUMMYFUNCTION("""COMPUTED_VALUE""")," ")</f>
        <v> </v>
      </c>
      <c r="I434" s="45"/>
      <c r="J434" s="46" t="str">
        <f>IFERROR(__xludf.DUMMYFUNCTION("""COMPUTED_VALUE"""),"AP")</f>
        <v>AP</v>
      </c>
      <c r="K434" s="47"/>
      <c r="L434" s="48" t="str">
        <f>IFERROR(__xludf.DUMMYFUNCTION("""COMPUTED_VALUE"""),"%")</f>
        <v>%</v>
      </c>
      <c r="M434" s="49">
        <f>IFERROR(__xludf.DUMMYFUNCTION("""COMPUTED_VALUE"""),1.0)</f>
        <v>1</v>
      </c>
      <c r="N434" s="50"/>
      <c r="O434" s="38"/>
      <c r="P434" s="45" t="str">
        <f>IFERROR(__xludf.DUMMYFUNCTION("""COMPUTED_VALUE"""),"")</f>
        <v/>
      </c>
      <c r="Q434" s="46" t="str">
        <f>IFERROR(__xludf.DUMMYFUNCTION("""COMPUTED_VALUE"""),"AP")</f>
        <v>AP</v>
      </c>
      <c r="R434" s="47" t="str">
        <f>IFERROR(__xludf.DUMMYFUNCTION("""COMPUTED_VALUE"""),"")</f>
        <v/>
      </c>
      <c r="S434" s="48" t="str">
        <f>IFERROR(__xludf.DUMMYFUNCTION("""COMPUTED_VALUE"""),"%")</f>
        <v>%</v>
      </c>
      <c r="T434" s="49">
        <f>IFERROR(__xludf.DUMMYFUNCTION("""COMPUTED_VALUE"""),2.0)</f>
        <v>2</v>
      </c>
      <c r="U434" s="50"/>
      <c r="V434" s="38"/>
      <c r="W434" s="45" t="str">
        <f>IFERROR(__xludf.DUMMYFUNCTION("""COMPUTED_VALUE"""),"")</f>
        <v/>
      </c>
      <c r="X434" s="46" t="str">
        <f>IFERROR(__xludf.DUMMYFUNCTION("""COMPUTED_VALUE"""),"AP")</f>
        <v>AP</v>
      </c>
      <c r="Y434" s="47" t="str">
        <f>IFERROR(__xludf.DUMMYFUNCTION("""COMPUTED_VALUE"""),"")</f>
        <v/>
      </c>
      <c r="Z434" s="48" t="str">
        <f>IFERROR(__xludf.DUMMYFUNCTION("""COMPUTED_VALUE"""),"%")</f>
        <v>%</v>
      </c>
      <c r="AA434" s="49">
        <f>IFERROR(__xludf.DUMMYFUNCTION("""COMPUTED_VALUE"""),3.0)</f>
        <v>3</v>
      </c>
      <c r="AB434" s="50"/>
      <c r="AC434" s="38"/>
      <c r="AD434" s="45" t="str">
        <f>IFERROR(__xludf.DUMMYFUNCTION("""COMPUTED_VALUE"""),"")</f>
        <v/>
      </c>
      <c r="AE434" s="46" t="str">
        <f>IFERROR(__xludf.DUMMYFUNCTION("""COMPUTED_VALUE"""),"AP")</f>
        <v>AP</v>
      </c>
      <c r="AF434" s="47" t="str">
        <f>IFERROR(__xludf.DUMMYFUNCTION("""COMPUTED_VALUE"""),"")</f>
        <v/>
      </c>
      <c r="AG434" s="48" t="str">
        <f>IFERROR(__xludf.DUMMYFUNCTION("""COMPUTED_VALUE"""),"%")</f>
        <v>%</v>
      </c>
      <c r="AH434" s="43"/>
      <c r="AI434" s="44"/>
      <c r="AJ434" s="66"/>
    </row>
    <row r="435" ht="24.75" hidden="1" customHeight="1">
      <c r="A435" s="28">
        <f>IFERROR(__xludf.DUMMYFUNCTION("""COMPUTED_VALUE"""),19.0)</f>
        <v>19</v>
      </c>
      <c r="B435" s="28" t="str">
        <f>IFERROR(__xludf.DUMMYFUNCTION("""COMPUTED_VALUE"""),"A210")</f>
        <v>A210</v>
      </c>
      <c r="C435" s="28"/>
      <c r="D435" s="29"/>
      <c r="E435" s="67"/>
      <c r="F435" s="31"/>
      <c r="G435" s="32"/>
      <c r="H435" s="33" t="str">
        <f>IFERROR(__xludf.DUMMYFUNCTION("""COMPUTED_VALUE""")," ")</f>
        <v> </v>
      </c>
      <c r="I435" s="34"/>
      <c r="J435" s="35" t="str">
        <f>IFERROR(__xludf.DUMMYFUNCTION("""COMPUTED_VALUE"""),"AP")</f>
        <v>AP</v>
      </c>
      <c r="K435" s="34"/>
      <c r="L435" s="35" t="str">
        <f>IFERROR(__xludf.DUMMYFUNCTION("""COMPUTED_VALUE"""),"%")</f>
        <v>%</v>
      </c>
      <c r="M435" s="36">
        <f>IFERROR(__xludf.DUMMYFUNCTION("""COMPUTED_VALUE"""),1.0)</f>
        <v>1</v>
      </c>
      <c r="N435" s="37"/>
      <c r="O435" s="38"/>
      <c r="P435" s="34" t="str">
        <f>IFERROR(__xludf.DUMMYFUNCTION("""COMPUTED_VALUE"""),"")</f>
        <v/>
      </c>
      <c r="Q435" s="35" t="str">
        <f>IFERROR(__xludf.DUMMYFUNCTION("""COMPUTED_VALUE"""),"AP")</f>
        <v>AP</v>
      </c>
      <c r="R435" s="34" t="str">
        <f>IFERROR(__xludf.DUMMYFUNCTION("""COMPUTED_VALUE"""),"")</f>
        <v/>
      </c>
      <c r="S435" s="35" t="str">
        <f>IFERROR(__xludf.DUMMYFUNCTION("""COMPUTED_VALUE"""),"%")</f>
        <v>%</v>
      </c>
      <c r="T435" s="36">
        <f>IFERROR(__xludf.DUMMYFUNCTION("""COMPUTED_VALUE"""),2.0)</f>
        <v>2</v>
      </c>
      <c r="U435" s="37"/>
      <c r="V435" s="38"/>
      <c r="W435" s="34" t="str">
        <f>IFERROR(__xludf.DUMMYFUNCTION("""COMPUTED_VALUE"""),"")</f>
        <v/>
      </c>
      <c r="X435" s="35" t="str">
        <f>IFERROR(__xludf.DUMMYFUNCTION("""COMPUTED_VALUE"""),"AP")</f>
        <v>AP</v>
      </c>
      <c r="Y435" s="34" t="str">
        <f>IFERROR(__xludf.DUMMYFUNCTION("""COMPUTED_VALUE"""),"")</f>
        <v/>
      </c>
      <c r="Z435" s="35" t="str">
        <f>IFERROR(__xludf.DUMMYFUNCTION("""COMPUTED_VALUE"""),"%")</f>
        <v>%</v>
      </c>
      <c r="AA435" s="36">
        <f>IFERROR(__xludf.DUMMYFUNCTION("""COMPUTED_VALUE"""),3.0)</f>
        <v>3</v>
      </c>
      <c r="AB435" s="37"/>
      <c r="AC435" s="38"/>
      <c r="AD435" s="34" t="str">
        <f>IFERROR(__xludf.DUMMYFUNCTION("""COMPUTED_VALUE"""),"")</f>
        <v/>
      </c>
      <c r="AE435" s="35" t="str">
        <f>IFERROR(__xludf.DUMMYFUNCTION("""COMPUTED_VALUE"""),"AP")</f>
        <v>AP</v>
      </c>
      <c r="AF435" s="34" t="str">
        <f>IFERROR(__xludf.DUMMYFUNCTION("""COMPUTED_VALUE"""),"")</f>
        <v/>
      </c>
      <c r="AG435" s="35" t="str">
        <f>IFERROR(__xludf.DUMMYFUNCTION("""COMPUTED_VALUE"""),"%")</f>
        <v>%</v>
      </c>
      <c r="AH435" s="31"/>
      <c r="AI435" s="32"/>
      <c r="AJ435" s="67"/>
    </row>
    <row r="436" ht="24.75" hidden="1" customHeight="1">
      <c r="A436" s="40">
        <f>IFERROR(__xludf.DUMMYFUNCTION("""COMPUTED_VALUE"""),20.0)</f>
        <v>20</v>
      </c>
      <c r="B436" s="40" t="str">
        <f>IFERROR(__xludf.DUMMYFUNCTION("""COMPUTED_VALUE"""),"A210")</f>
        <v>A210</v>
      </c>
      <c r="C436" s="40"/>
      <c r="D436" s="41"/>
      <c r="E436" s="66"/>
      <c r="F436" s="43"/>
      <c r="G436" s="44"/>
      <c r="H436" s="33" t="str">
        <f>IFERROR(__xludf.DUMMYFUNCTION("""COMPUTED_VALUE""")," ")</f>
        <v> </v>
      </c>
      <c r="I436" s="45"/>
      <c r="J436" s="46" t="str">
        <f>IFERROR(__xludf.DUMMYFUNCTION("""COMPUTED_VALUE"""),"AP")</f>
        <v>AP</v>
      </c>
      <c r="K436" s="47"/>
      <c r="L436" s="48" t="str">
        <f>IFERROR(__xludf.DUMMYFUNCTION("""COMPUTED_VALUE"""),"%")</f>
        <v>%</v>
      </c>
      <c r="M436" s="49">
        <f>IFERROR(__xludf.DUMMYFUNCTION("""COMPUTED_VALUE"""),1.0)</f>
        <v>1</v>
      </c>
      <c r="N436" s="50"/>
      <c r="O436" s="38"/>
      <c r="P436" s="45" t="str">
        <f>IFERROR(__xludf.DUMMYFUNCTION("""COMPUTED_VALUE"""),"")</f>
        <v/>
      </c>
      <c r="Q436" s="46" t="str">
        <f>IFERROR(__xludf.DUMMYFUNCTION("""COMPUTED_VALUE"""),"AP")</f>
        <v>AP</v>
      </c>
      <c r="R436" s="47" t="str">
        <f>IFERROR(__xludf.DUMMYFUNCTION("""COMPUTED_VALUE"""),"")</f>
        <v/>
      </c>
      <c r="S436" s="48" t="str">
        <f>IFERROR(__xludf.DUMMYFUNCTION("""COMPUTED_VALUE"""),"%")</f>
        <v>%</v>
      </c>
      <c r="T436" s="49">
        <f>IFERROR(__xludf.DUMMYFUNCTION("""COMPUTED_VALUE"""),2.0)</f>
        <v>2</v>
      </c>
      <c r="U436" s="50"/>
      <c r="V436" s="38"/>
      <c r="W436" s="45" t="str">
        <f>IFERROR(__xludf.DUMMYFUNCTION("""COMPUTED_VALUE"""),"")</f>
        <v/>
      </c>
      <c r="X436" s="46" t="str">
        <f>IFERROR(__xludf.DUMMYFUNCTION("""COMPUTED_VALUE"""),"AP")</f>
        <v>AP</v>
      </c>
      <c r="Y436" s="47" t="str">
        <f>IFERROR(__xludf.DUMMYFUNCTION("""COMPUTED_VALUE"""),"")</f>
        <v/>
      </c>
      <c r="Z436" s="48" t="str">
        <f>IFERROR(__xludf.DUMMYFUNCTION("""COMPUTED_VALUE"""),"%")</f>
        <v>%</v>
      </c>
      <c r="AA436" s="49">
        <f>IFERROR(__xludf.DUMMYFUNCTION("""COMPUTED_VALUE"""),3.0)</f>
        <v>3</v>
      </c>
      <c r="AB436" s="50"/>
      <c r="AC436" s="38"/>
      <c r="AD436" s="45" t="str">
        <f>IFERROR(__xludf.DUMMYFUNCTION("""COMPUTED_VALUE"""),"")</f>
        <v/>
      </c>
      <c r="AE436" s="46" t="str">
        <f>IFERROR(__xludf.DUMMYFUNCTION("""COMPUTED_VALUE"""),"AP")</f>
        <v>AP</v>
      </c>
      <c r="AF436" s="47" t="str">
        <f>IFERROR(__xludf.DUMMYFUNCTION("""COMPUTED_VALUE"""),"")</f>
        <v/>
      </c>
      <c r="AG436" s="48" t="str">
        <f>IFERROR(__xludf.DUMMYFUNCTION("""COMPUTED_VALUE"""),"%")</f>
        <v>%</v>
      </c>
      <c r="AH436" s="43"/>
      <c r="AI436" s="44"/>
      <c r="AJ436" s="66"/>
    </row>
    <row r="437">
      <c r="A437" s="52"/>
      <c r="B437" s="53"/>
      <c r="C437" s="54"/>
      <c r="D437" s="56"/>
      <c r="E437" s="56"/>
      <c r="F437" s="53"/>
      <c r="G437" s="53"/>
      <c r="H437" s="53"/>
      <c r="I437" s="53"/>
      <c r="J437" s="57"/>
      <c r="K437" s="53"/>
      <c r="L437" s="57"/>
      <c r="M437" s="53"/>
      <c r="N437" s="53"/>
      <c r="O437" s="53"/>
      <c r="P437" s="53"/>
      <c r="Q437" s="57"/>
      <c r="R437" s="53"/>
      <c r="S437" s="57"/>
      <c r="T437" s="53"/>
      <c r="U437" s="53"/>
      <c r="V437" s="53"/>
      <c r="W437" s="53"/>
      <c r="X437" s="57"/>
      <c r="Y437" s="53"/>
      <c r="Z437" s="57"/>
      <c r="AA437" s="53"/>
      <c r="AB437" s="53"/>
      <c r="AC437" s="53"/>
      <c r="AD437" s="53"/>
      <c r="AE437" s="57"/>
      <c r="AF437" s="53"/>
      <c r="AG437" s="57"/>
      <c r="AH437" s="53"/>
      <c r="AI437" s="53"/>
      <c r="AJ437" s="56"/>
    </row>
    <row r="438">
      <c r="A438" s="59"/>
      <c r="B438" s="60"/>
      <c r="C438" s="61"/>
      <c r="D438" s="63"/>
      <c r="E438" s="63"/>
      <c r="F438" s="60"/>
      <c r="G438" s="60"/>
      <c r="H438" s="60"/>
      <c r="I438" s="60"/>
      <c r="J438" s="64"/>
      <c r="K438" s="60"/>
      <c r="L438" s="64"/>
      <c r="M438" s="60"/>
      <c r="N438" s="60"/>
      <c r="O438" s="60"/>
      <c r="P438" s="60"/>
      <c r="Q438" s="64"/>
      <c r="R438" s="60"/>
      <c r="S438" s="64"/>
      <c r="T438" s="60"/>
      <c r="U438" s="60"/>
      <c r="V438" s="60"/>
      <c r="W438" s="60"/>
      <c r="X438" s="64"/>
      <c r="Y438" s="60"/>
      <c r="Z438" s="64"/>
      <c r="AA438" s="60"/>
      <c r="AB438" s="60"/>
      <c r="AC438" s="60"/>
      <c r="AD438" s="60"/>
      <c r="AE438" s="64"/>
      <c r="AF438" s="60"/>
      <c r="AG438" s="64"/>
      <c r="AH438" s="60"/>
      <c r="AI438" s="60"/>
      <c r="AJ438" s="63"/>
    </row>
    <row r="439" ht="33.0" customHeight="1">
      <c r="A439" s="20" t="str">
        <f>IFERROR(__xludf.DUMMYFUNCTION("""COMPUTED_VALUE""")," ")</f>
        <v> </v>
      </c>
      <c r="B439" s="21" t="str">
        <f>IFERROR(__xludf.DUMMYFUNCTION("""COMPUTED_VALUE"""),"A211")</f>
        <v>A211</v>
      </c>
      <c r="C439" s="20"/>
      <c r="D439" s="257" t="str">
        <f>IFERROR(__xludf.DUMMYFUNCTION("""COMPUTED_VALUE"""),"")</f>
        <v/>
      </c>
      <c r="E439" s="23" t="str">
        <f>IFERROR(__xludf.DUMMYFUNCTION("""COMPUTED_VALUE"""),"Shell of Reminiscense")</f>
        <v>Shell of Reminiscense</v>
      </c>
      <c r="F439" s="24"/>
      <c r="G439" s="24"/>
      <c r="H439" s="25"/>
      <c r="I439" s="25"/>
      <c r="J439" s="26"/>
      <c r="K439" s="25"/>
      <c r="L439" s="26"/>
      <c r="M439" s="25"/>
      <c r="N439" s="25"/>
      <c r="O439" s="25"/>
      <c r="P439" s="25"/>
      <c r="Q439" s="26"/>
      <c r="R439" s="25"/>
      <c r="S439" s="26"/>
      <c r="T439" s="25"/>
      <c r="U439" s="25"/>
      <c r="V439" s="25"/>
      <c r="W439" s="25"/>
      <c r="X439" s="26"/>
      <c r="Y439" s="25"/>
      <c r="Z439" s="26"/>
      <c r="AA439" s="25"/>
      <c r="AB439" s="25"/>
      <c r="AC439" s="25"/>
      <c r="AD439" s="25"/>
      <c r="AE439" s="26"/>
      <c r="AF439" s="25"/>
      <c r="AG439" s="26"/>
      <c r="AH439" s="24"/>
      <c r="AI439" s="25"/>
      <c r="AJ439" s="23"/>
    </row>
    <row r="440" ht="24.75" customHeight="1">
      <c r="A440" s="28">
        <f>IFERROR(__xludf.DUMMYFUNCTION("""COMPUTED_VALUE"""),1.0)</f>
        <v>1</v>
      </c>
      <c r="B440" s="28" t="str">
        <f>IFERROR(__xludf.DUMMYFUNCTION("""COMPUTED_VALUE"""),"A211")</f>
        <v>A211</v>
      </c>
      <c r="C440" s="28" t="str">
        <f>IFERROR(__xludf.DUMMYFUNCTION("""COMPUTED_VALUE"""),"BBL8")</f>
        <v>BBL8</v>
      </c>
      <c r="D440" s="29" t="str">
        <f>IFERROR(__xludf.DUMMYFUNCTION("""COMPUTED_VALUE"""),"Babylonia")</f>
        <v>Babylonia</v>
      </c>
      <c r="E440" s="30" t="str">
        <f>IFERROR(__xludf.DUMMYFUNCTION("""COMPUTED_VALUE"""),"Observatory")</f>
        <v>Observatory</v>
      </c>
      <c r="F440" s="31">
        <f>IFERROR(__xludf.DUMMYFUNCTION("""COMPUTED_VALUE"""),21.0)</f>
        <v>21</v>
      </c>
      <c r="G440" s="32">
        <f>IFERROR(__xludf.DUMMYFUNCTION("""COMPUTED_VALUE"""),37766.0)</f>
        <v>37766</v>
      </c>
      <c r="H440" s="33" t="str">
        <f>IFERROR(__xludf.DUMMYFUNCTION("""COMPUTED_VALUE"""),"")</f>
        <v/>
      </c>
      <c r="I440" s="34">
        <f>IFERROR(__xludf.DUMMYFUNCTION("""COMPUTED_VALUE"""),52.48508804229481)</f>
        <v>52.48508804</v>
      </c>
      <c r="J440" s="35" t="str">
        <f>IFERROR(__xludf.DUMMYFUNCTION("""COMPUTED_VALUE"""),"AP")</f>
        <v>AP</v>
      </c>
      <c r="K440" s="34">
        <f>IFERROR(__xludf.DUMMYFUNCTION("""COMPUTED_VALUE"""),40.011364719589054)</f>
        <v>40.01136472</v>
      </c>
      <c r="L440" s="35" t="str">
        <f>IFERROR(__xludf.DUMMYFUNCTION("""COMPUTED_VALUE"""),"%")</f>
        <v>%</v>
      </c>
      <c r="M440" s="36">
        <f>IFERROR(__xludf.DUMMYFUNCTION("""COMPUTED_VALUE"""),1.0)</f>
        <v>1</v>
      </c>
      <c r="N440" s="37" t="str">
        <f>IFERROR(__xludf.DUMMYFUNCTION("""COMPUTED_VALUE"""),"B111")</f>
        <v>B111</v>
      </c>
      <c r="O440" s="38" t="str">
        <f>IFERROR(__xludf.DUMMYFUNCTION("""COMPUTED_VALUE"""),"")</f>
        <v/>
      </c>
      <c r="P440" s="34">
        <f>IFERROR(__xludf.DUMMYFUNCTION("""COMPUTED_VALUE"""),170.68918436940046)</f>
        <v>170.6891844</v>
      </c>
      <c r="Q440" s="35" t="str">
        <f>IFERROR(__xludf.DUMMYFUNCTION("""COMPUTED_VALUE"""),"AP")</f>
        <v>AP</v>
      </c>
      <c r="R440" s="34">
        <f>IFERROR(__xludf.DUMMYFUNCTION("""COMPUTED_VALUE"""),12.303064237832682)</f>
        <v>12.30306424</v>
      </c>
      <c r="S440" s="35" t="str">
        <f>IFERROR(__xludf.DUMMYFUNCTION("""COMPUTED_VALUE"""),"%")</f>
        <v>%</v>
      </c>
      <c r="T440" s="36">
        <f>IFERROR(__xludf.DUMMYFUNCTION("""COMPUTED_VALUE"""),2.0)</f>
        <v>2</v>
      </c>
      <c r="U440" s="37"/>
      <c r="V440" s="38"/>
      <c r="W440" s="34" t="str">
        <f>IFERROR(__xludf.DUMMYFUNCTION("""COMPUTED_VALUE"""),"")</f>
        <v/>
      </c>
      <c r="X440" s="35" t="str">
        <f>IFERROR(__xludf.DUMMYFUNCTION("""COMPUTED_VALUE"""),"AP")</f>
        <v>AP</v>
      </c>
      <c r="Y440" s="34" t="str">
        <f>IFERROR(__xludf.DUMMYFUNCTION("""COMPUTED_VALUE"""),"")</f>
        <v/>
      </c>
      <c r="Z440" s="35" t="str">
        <f>IFERROR(__xludf.DUMMYFUNCTION("""COMPUTED_VALUE"""),"%")</f>
        <v>%</v>
      </c>
      <c r="AA440" s="36">
        <f>IFERROR(__xludf.DUMMYFUNCTION("""COMPUTED_VALUE"""),3.0)</f>
        <v>3</v>
      </c>
      <c r="AB440" s="37"/>
      <c r="AC440" s="38"/>
      <c r="AD440" s="34" t="str">
        <f>IFERROR(__xludf.DUMMYFUNCTION("""COMPUTED_VALUE"""),"")</f>
        <v/>
      </c>
      <c r="AE440" s="35" t="str">
        <f>IFERROR(__xludf.DUMMYFUNCTION("""COMPUTED_VALUE"""),"AP")</f>
        <v>AP</v>
      </c>
      <c r="AF440" s="34" t="str">
        <f>IFERROR(__xludf.DUMMYFUNCTION("""COMPUTED_VALUE"""),"")</f>
        <v/>
      </c>
      <c r="AG440" s="35" t="str">
        <f>IFERROR(__xludf.DUMMYFUNCTION("""COMPUTED_VALUE"""),"%")</f>
        <v>%</v>
      </c>
      <c r="AH440" s="31">
        <f>IFERROR(__xludf.DUMMYFUNCTION("""COMPUTED_VALUE"""),21.0)</f>
        <v>21</v>
      </c>
      <c r="AI440" s="32">
        <f>IFERROR(__xludf.DUMMYFUNCTION("""COMPUTED_VALUE"""),37766.0)</f>
        <v>37766</v>
      </c>
      <c r="AJ440" s="30" t="str">
        <f>IFERROR(__xludf.DUMMYFUNCTION("""COMPUTED_VALUE"""),"Observatory")</f>
        <v>Observatory</v>
      </c>
    </row>
    <row r="441" ht="24.75" customHeight="1">
      <c r="A441" s="40">
        <f>IFERROR(__xludf.DUMMYFUNCTION("""COMPUTED_VALUE"""),2.0)</f>
        <v>2</v>
      </c>
      <c r="B441" s="40" t="str">
        <f>IFERROR(__xludf.DUMMYFUNCTION("""COMPUTED_VALUE"""),"A211")</f>
        <v>A211</v>
      </c>
      <c r="C441" s="40" t="str">
        <f>IFERROR(__xludf.DUMMYFUNCTION("""COMPUTED_VALUE"""),"OKN11")</f>
        <v>OKN11</v>
      </c>
      <c r="D441" s="41" t="str">
        <f>IFERROR(__xludf.DUMMYFUNCTION("""COMPUTED_VALUE"""),"Okeanos")</f>
        <v>Okeanos</v>
      </c>
      <c r="E441" s="42" t="str">
        <f>IFERROR(__xludf.DUMMYFUNCTION("""COMPUTED_VALUE"""),"Archipelago (Hidden island)")</f>
        <v>Archipelago (Hidden island)</v>
      </c>
      <c r="F441" s="43">
        <f>IFERROR(__xludf.DUMMYFUNCTION("""COMPUTED_VALUE"""),16.0)</f>
        <v>16</v>
      </c>
      <c r="G441" s="44">
        <f>IFERROR(__xludf.DUMMYFUNCTION("""COMPUTED_VALUE"""),1346.0)</f>
        <v>1346</v>
      </c>
      <c r="H441" s="33" t="str">
        <f>IFERROR(__xludf.DUMMYFUNCTION("""COMPUTED_VALUE"""),"")</f>
        <v/>
      </c>
      <c r="I441" s="45">
        <f>IFERROR(__xludf.DUMMYFUNCTION("""COMPUTED_VALUE"""),62.03658360939076)</f>
        <v>62.03658361</v>
      </c>
      <c r="J441" s="46" t="str">
        <f>IFERROR(__xludf.DUMMYFUNCTION("""COMPUTED_VALUE"""),"AP")</f>
        <v>AP</v>
      </c>
      <c r="K441" s="47">
        <f>IFERROR(__xludf.DUMMYFUNCTION("""COMPUTED_VALUE"""),25.791233283803862)</f>
        <v>25.79123328</v>
      </c>
      <c r="L441" s="48" t="str">
        <f>IFERROR(__xludf.DUMMYFUNCTION("""COMPUTED_VALUE"""),"%")</f>
        <v>%</v>
      </c>
      <c r="M441" s="49">
        <f>IFERROR(__xludf.DUMMYFUNCTION("""COMPUTED_VALUE"""),1.0)</f>
        <v>1</v>
      </c>
      <c r="N441" s="50" t="str">
        <f>IFERROR(__xludf.DUMMYFUNCTION("""COMPUTED_VALUE"""),"B111")</f>
        <v>B111</v>
      </c>
      <c r="O441" s="38" t="str">
        <f>IFERROR(__xludf.DUMMYFUNCTION("""COMPUTED_VALUE"""),"")</f>
        <v/>
      </c>
      <c r="P441" s="45">
        <f>IFERROR(__xludf.DUMMYFUNCTION("""COMPUTED_VALUE"""),284.00369246999867)</f>
        <v>284.0036925</v>
      </c>
      <c r="Q441" s="46" t="str">
        <f>IFERROR(__xludf.DUMMYFUNCTION("""COMPUTED_VALUE"""),"AP")</f>
        <v>AP</v>
      </c>
      <c r="R441" s="47">
        <f>IFERROR(__xludf.DUMMYFUNCTION("""COMPUTED_VALUE"""),5.633729569093611)</f>
        <v>5.633729569</v>
      </c>
      <c r="S441" s="48" t="str">
        <f>IFERROR(__xludf.DUMMYFUNCTION("""COMPUTED_VALUE"""),"%")</f>
        <v>%</v>
      </c>
      <c r="T441" s="49">
        <f>IFERROR(__xludf.DUMMYFUNCTION("""COMPUTED_VALUE"""),2.0)</f>
        <v>2</v>
      </c>
      <c r="U441" s="50"/>
      <c r="V441" s="38"/>
      <c r="W441" s="45" t="str">
        <f>IFERROR(__xludf.DUMMYFUNCTION("""COMPUTED_VALUE"""),"")</f>
        <v/>
      </c>
      <c r="X441" s="46" t="str">
        <f>IFERROR(__xludf.DUMMYFUNCTION("""COMPUTED_VALUE"""),"AP")</f>
        <v>AP</v>
      </c>
      <c r="Y441" s="47" t="str">
        <f>IFERROR(__xludf.DUMMYFUNCTION("""COMPUTED_VALUE"""),"")</f>
        <v/>
      </c>
      <c r="Z441" s="48" t="str">
        <f>IFERROR(__xludf.DUMMYFUNCTION("""COMPUTED_VALUE"""),"%")</f>
        <v>%</v>
      </c>
      <c r="AA441" s="49">
        <f>IFERROR(__xludf.DUMMYFUNCTION("""COMPUTED_VALUE"""),3.0)</f>
        <v>3</v>
      </c>
      <c r="AB441" s="50"/>
      <c r="AC441" s="38"/>
      <c r="AD441" s="45" t="str">
        <f>IFERROR(__xludf.DUMMYFUNCTION("""COMPUTED_VALUE"""),"")</f>
        <v/>
      </c>
      <c r="AE441" s="46" t="str">
        <f>IFERROR(__xludf.DUMMYFUNCTION("""COMPUTED_VALUE"""),"AP")</f>
        <v>AP</v>
      </c>
      <c r="AF441" s="47" t="str">
        <f>IFERROR(__xludf.DUMMYFUNCTION("""COMPUTED_VALUE"""),"")</f>
        <v/>
      </c>
      <c r="AG441" s="48" t="str">
        <f>IFERROR(__xludf.DUMMYFUNCTION("""COMPUTED_VALUE"""),"%")</f>
        <v>%</v>
      </c>
      <c r="AH441" s="43">
        <f>IFERROR(__xludf.DUMMYFUNCTION("""COMPUTED_VALUE"""),16.0)</f>
        <v>16</v>
      </c>
      <c r="AI441" s="44">
        <f>IFERROR(__xludf.DUMMYFUNCTION("""COMPUTED_VALUE"""),1346.0)</f>
        <v>1346</v>
      </c>
      <c r="AJ441" s="42" t="str">
        <f>IFERROR(__xludf.DUMMYFUNCTION("""COMPUTED_VALUE"""),"Archipelago (Hidden island)")</f>
        <v>Archipelago (Hidden island)</v>
      </c>
    </row>
    <row r="442" ht="24.75" customHeight="1">
      <c r="A442" s="28">
        <f>IFERROR(__xludf.DUMMYFUNCTION("""COMPUTED_VALUE"""),3.0)</f>
        <v>3</v>
      </c>
      <c r="B442" s="28" t="str">
        <f>IFERROR(__xludf.DUMMYFUNCTION("""COMPUTED_VALUE"""),"A211")</f>
        <v>A211</v>
      </c>
      <c r="C442" s="28" t="str">
        <f>IFERROR(__xludf.DUMMYFUNCTION("""COMPUTED_VALUE"""),"ANA3")</f>
        <v>ANA3</v>
      </c>
      <c r="D442" s="29" t="str">
        <f>IFERROR(__xludf.DUMMYFUNCTION("""COMPUTED_VALUE"""),"Anastasia")</f>
        <v>Anastasia</v>
      </c>
      <c r="E442" s="30" t="str">
        <f>IFERROR(__xludf.DUMMYFUNCTION("""COMPUTED_VALUE"""),"Icy Cavern")</f>
        <v>Icy Cavern</v>
      </c>
      <c r="F442" s="31">
        <f>IFERROR(__xludf.DUMMYFUNCTION("""COMPUTED_VALUE"""),20.0)</f>
        <v>20</v>
      </c>
      <c r="G442" s="32">
        <f>IFERROR(__xludf.DUMMYFUNCTION("""COMPUTED_VALUE"""),59617.0)</f>
        <v>59617</v>
      </c>
      <c r="H442" s="33" t="str">
        <f>IFERROR(__xludf.DUMMYFUNCTION("""COMPUTED_VALUE"""),"")</f>
        <v/>
      </c>
      <c r="I442" s="34">
        <f>IFERROR(__xludf.DUMMYFUNCTION("""COMPUTED_VALUE"""),79.37551942188493)</f>
        <v>79.37551942</v>
      </c>
      <c r="J442" s="35" t="str">
        <f>IFERROR(__xludf.DUMMYFUNCTION("""COMPUTED_VALUE"""),"AP")</f>
        <v>AP</v>
      </c>
      <c r="K442" s="34">
        <f>IFERROR(__xludf.DUMMYFUNCTION("""COMPUTED_VALUE"""),25.196685509166848)</f>
        <v>25.19668551</v>
      </c>
      <c r="L442" s="35" t="str">
        <f>IFERROR(__xludf.DUMMYFUNCTION("""COMPUTED_VALUE"""),"%")</f>
        <v>%</v>
      </c>
      <c r="M442" s="36">
        <f>IFERROR(__xludf.DUMMYFUNCTION("""COMPUTED_VALUE"""),1.0)</f>
        <v>1</v>
      </c>
      <c r="N442" s="37" t="str">
        <f>IFERROR(__xludf.DUMMYFUNCTION("""COMPUTED_VALUE"""),"A306")</f>
        <v>A306</v>
      </c>
      <c r="O442" s="38" t="str">
        <f>IFERROR(__xludf.DUMMYFUNCTION("""COMPUTED_VALUE"""),"")</f>
        <v/>
      </c>
      <c r="P442" s="34">
        <f>IFERROR(__xludf.DUMMYFUNCTION("""COMPUTED_VALUE"""),49.531999156684265)</f>
        <v>49.53199916</v>
      </c>
      <c r="Q442" s="35" t="str">
        <f>IFERROR(__xludf.DUMMYFUNCTION("""COMPUTED_VALUE"""),"AP")</f>
        <v>AP</v>
      </c>
      <c r="R442" s="34">
        <f>IFERROR(__xludf.DUMMYFUNCTION("""COMPUTED_VALUE"""),40.37793818241441)</f>
        <v>40.37793818</v>
      </c>
      <c r="S442" s="35" t="str">
        <f>IFERROR(__xludf.DUMMYFUNCTION("""COMPUTED_VALUE"""),"%")</f>
        <v>%</v>
      </c>
      <c r="T442" s="36">
        <f>IFERROR(__xludf.DUMMYFUNCTION("""COMPUTED_VALUE"""),2.0)</f>
        <v>2</v>
      </c>
      <c r="U442" s="37"/>
      <c r="V442" s="38"/>
      <c r="W442" s="34" t="str">
        <f>IFERROR(__xludf.DUMMYFUNCTION("""COMPUTED_VALUE"""),"")</f>
        <v/>
      </c>
      <c r="X442" s="35" t="str">
        <f>IFERROR(__xludf.DUMMYFUNCTION("""COMPUTED_VALUE"""),"AP")</f>
        <v>AP</v>
      </c>
      <c r="Y442" s="34" t="str">
        <f>IFERROR(__xludf.DUMMYFUNCTION("""COMPUTED_VALUE"""),"")</f>
        <v/>
      </c>
      <c r="Z442" s="35" t="str">
        <f>IFERROR(__xludf.DUMMYFUNCTION("""COMPUTED_VALUE"""),"%")</f>
        <v>%</v>
      </c>
      <c r="AA442" s="36">
        <f>IFERROR(__xludf.DUMMYFUNCTION("""COMPUTED_VALUE"""),3.0)</f>
        <v>3</v>
      </c>
      <c r="AB442" s="37"/>
      <c r="AC442" s="38"/>
      <c r="AD442" s="34" t="str">
        <f>IFERROR(__xludf.DUMMYFUNCTION("""COMPUTED_VALUE"""),"")</f>
        <v/>
      </c>
      <c r="AE442" s="35" t="str">
        <f>IFERROR(__xludf.DUMMYFUNCTION("""COMPUTED_VALUE"""),"AP")</f>
        <v>AP</v>
      </c>
      <c r="AF442" s="34" t="str">
        <f>IFERROR(__xludf.DUMMYFUNCTION("""COMPUTED_VALUE"""),"")</f>
        <v/>
      </c>
      <c r="AG442" s="35" t="str">
        <f>IFERROR(__xludf.DUMMYFUNCTION("""COMPUTED_VALUE"""),"%")</f>
        <v>%</v>
      </c>
      <c r="AH442" s="31">
        <f>IFERROR(__xludf.DUMMYFUNCTION("""COMPUTED_VALUE"""),20.0)</f>
        <v>20</v>
      </c>
      <c r="AI442" s="32">
        <f>IFERROR(__xludf.DUMMYFUNCTION("""COMPUTED_VALUE"""),59617.0)</f>
        <v>59617</v>
      </c>
      <c r="AJ442" s="30" t="str">
        <f>IFERROR(__xludf.DUMMYFUNCTION("""COMPUTED_VALUE"""),"Icy Cavern")</f>
        <v>Icy Cavern</v>
      </c>
    </row>
    <row r="443" ht="24.75" customHeight="1">
      <c r="A443" s="40">
        <f>IFERROR(__xludf.DUMMYFUNCTION("""COMPUTED_VALUE"""),4.0)</f>
        <v>4</v>
      </c>
      <c r="B443" s="40" t="str">
        <f>IFERROR(__xludf.DUMMYFUNCTION("""COMPUTED_VALUE"""),"A211")</f>
        <v>A211</v>
      </c>
      <c r="C443" s="40" t="str">
        <f>IFERROR(__xludf.DUMMYFUNCTION("""COMPUTED_VALUE"""),"ANA6")</f>
        <v>ANA6</v>
      </c>
      <c r="D443" s="41" t="str">
        <f>IFERROR(__xludf.DUMMYFUNCTION("""COMPUTED_VALUE"""),"Anastasia")</f>
        <v>Anastasia</v>
      </c>
      <c r="E443" s="42" t="str">
        <f>IFERROR(__xludf.DUMMYFUNCTION("""COMPUTED_VALUE"""),"Burned Village")</f>
        <v>Burned Village</v>
      </c>
      <c r="F443" s="43">
        <f>IFERROR(__xludf.DUMMYFUNCTION("""COMPUTED_VALUE"""),21.0)</f>
        <v>21</v>
      </c>
      <c r="G443" s="44">
        <f>IFERROR(__xludf.DUMMYFUNCTION("""COMPUTED_VALUE"""),92374.0)</f>
        <v>92374</v>
      </c>
      <c r="H443" s="33" t="str">
        <f>IFERROR(__xludf.DUMMYFUNCTION("""COMPUTED_VALUE"""),"")</f>
        <v/>
      </c>
      <c r="I443" s="45">
        <f>IFERROR(__xludf.DUMMYFUNCTION("""COMPUTED_VALUE"""),84.36212497397732)</f>
        <v>84.36212497</v>
      </c>
      <c r="J443" s="46" t="str">
        <f>IFERROR(__xludf.DUMMYFUNCTION("""COMPUTED_VALUE"""),"AP")</f>
        <v>AP</v>
      </c>
      <c r="K443" s="47">
        <f>IFERROR(__xludf.DUMMYFUNCTION("""COMPUTED_VALUE"""),24.892687336263453)</f>
        <v>24.89268734</v>
      </c>
      <c r="L443" s="48" t="str">
        <f>IFERROR(__xludf.DUMMYFUNCTION("""COMPUTED_VALUE"""),"%")</f>
        <v>%</v>
      </c>
      <c r="M443" s="49">
        <f>IFERROR(__xludf.DUMMYFUNCTION("""COMPUTED_VALUE"""),1.0)</f>
        <v>1</v>
      </c>
      <c r="N443" s="50" t="str">
        <f>IFERROR(__xludf.DUMMYFUNCTION("""COMPUTED_VALUE"""),"A309")</f>
        <v>A309</v>
      </c>
      <c r="O443" s="38" t="str">
        <f>IFERROR(__xludf.DUMMYFUNCTION("""COMPUTED_VALUE"""),"")</f>
        <v/>
      </c>
      <c r="P443" s="45">
        <f>IFERROR(__xludf.DUMMYFUNCTION("""COMPUTED_VALUE"""),51.928685519661634)</f>
        <v>51.92868552</v>
      </c>
      <c r="Q443" s="46" t="str">
        <f>IFERROR(__xludf.DUMMYFUNCTION("""COMPUTED_VALUE"""),"AP")</f>
        <v>AP</v>
      </c>
      <c r="R443" s="47">
        <f>IFERROR(__xludf.DUMMYFUNCTION("""COMPUTED_VALUE"""),40.4400762119211)</f>
        <v>40.44007621</v>
      </c>
      <c r="S443" s="48" t="str">
        <f>IFERROR(__xludf.DUMMYFUNCTION("""COMPUTED_VALUE"""),"%")</f>
        <v>%</v>
      </c>
      <c r="T443" s="49">
        <f>IFERROR(__xludf.DUMMYFUNCTION("""COMPUTED_VALUE"""),2.0)</f>
        <v>2</v>
      </c>
      <c r="U443" s="50"/>
      <c r="V443" s="38"/>
      <c r="W443" s="45" t="str">
        <f>IFERROR(__xludf.DUMMYFUNCTION("""COMPUTED_VALUE"""),"")</f>
        <v/>
      </c>
      <c r="X443" s="46" t="str">
        <f>IFERROR(__xludf.DUMMYFUNCTION("""COMPUTED_VALUE"""),"AP")</f>
        <v>AP</v>
      </c>
      <c r="Y443" s="47" t="str">
        <f>IFERROR(__xludf.DUMMYFUNCTION("""COMPUTED_VALUE"""),"")</f>
        <v/>
      </c>
      <c r="Z443" s="48" t="str">
        <f>IFERROR(__xludf.DUMMYFUNCTION("""COMPUTED_VALUE"""),"%")</f>
        <v>%</v>
      </c>
      <c r="AA443" s="49">
        <f>IFERROR(__xludf.DUMMYFUNCTION("""COMPUTED_VALUE"""),3.0)</f>
        <v>3</v>
      </c>
      <c r="AB443" s="50"/>
      <c r="AC443" s="38"/>
      <c r="AD443" s="45" t="str">
        <f>IFERROR(__xludf.DUMMYFUNCTION("""COMPUTED_VALUE"""),"")</f>
        <v/>
      </c>
      <c r="AE443" s="46" t="str">
        <f>IFERROR(__xludf.DUMMYFUNCTION("""COMPUTED_VALUE"""),"AP")</f>
        <v>AP</v>
      </c>
      <c r="AF443" s="47" t="str">
        <f>IFERROR(__xludf.DUMMYFUNCTION("""COMPUTED_VALUE"""),"")</f>
        <v/>
      </c>
      <c r="AG443" s="48" t="str">
        <f>IFERROR(__xludf.DUMMYFUNCTION("""COMPUTED_VALUE"""),"%")</f>
        <v>%</v>
      </c>
      <c r="AH443" s="43">
        <f>IFERROR(__xludf.DUMMYFUNCTION("""COMPUTED_VALUE"""),21.0)</f>
        <v>21</v>
      </c>
      <c r="AI443" s="44">
        <f>IFERROR(__xludf.DUMMYFUNCTION("""COMPUTED_VALUE"""),92374.0)</f>
        <v>92374</v>
      </c>
      <c r="AJ443" s="42" t="str">
        <f>IFERROR(__xludf.DUMMYFUNCTION("""COMPUTED_VALUE"""),"Burned Village")</f>
        <v>Burned Village</v>
      </c>
    </row>
    <row r="444" ht="24.75" customHeight="1">
      <c r="A444" s="28">
        <f>IFERROR(__xludf.DUMMYFUNCTION("""COMPUTED_VALUE"""),5.0)</f>
        <v>5</v>
      </c>
      <c r="B444" s="28" t="str">
        <f>IFERROR(__xludf.DUMMYFUNCTION("""COMPUTED_VALUE"""),"A211")</f>
        <v>A211</v>
      </c>
      <c r="C444" s="28" t="str">
        <f>IFERROR(__xludf.DUMMYFUNCTION("""COMPUTED_VALUE"""),"ANA10")</f>
        <v>ANA10</v>
      </c>
      <c r="D444" s="29" t="str">
        <f>IFERROR(__xludf.DUMMYFUNCTION("""COMPUTED_VALUE"""),"Anastasia")</f>
        <v>Anastasia</v>
      </c>
      <c r="E444" s="30" t="str">
        <f>IFERROR(__xludf.DUMMYFUNCTION("""COMPUTED_VALUE"""),"Crushed Village")</f>
        <v>Crushed Village</v>
      </c>
      <c r="F444" s="31">
        <f>IFERROR(__xludf.DUMMYFUNCTION("""COMPUTED_VALUE"""),21.0)</f>
        <v>21</v>
      </c>
      <c r="G444" s="32">
        <f>IFERROR(__xludf.DUMMYFUNCTION("""COMPUTED_VALUE"""),19001.0)</f>
        <v>19001</v>
      </c>
      <c r="H444" s="33" t="str">
        <f>IFERROR(__xludf.DUMMYFUNCTION("""COMPUTED_VALUE"""),"")</f>
        <v/>
      </c>
      <c r="I444" s="34">
        <f>IFERROR(__xludf.DUMMYFUNCTION("""COMPUTED_VALUE"""),85.84244330448045)</f>
        <v>85.8424433</v>
      </c>
      <c r="J444" s="35" t="str">
        <f>IFERROR(__xludf.DUMMYFUNCTION("""COMPUTED_VALUE"""),"AP")</f>
        <v>AP</v>
      </c>
      <c r="K444" s="34">
        <f>IFERROR(__xludf.DUMMYFUNCTION("""COMPUTED_VALUE"""),24.463422977738013)</f>
        <v>24.46342298</v>
      </c>
      <c r="L444" s="35" t="str">
        <f>IFERROR(__xludf.DUMMYFUNCTION("""COMPUTED_VALUE"""),"%")</f>
        <v>%</v>
      </c>
      <c r="M444" s="36">
        <f>IFERROR(__xludf.DUMMYFUNCTION("""COMPUTED_VALUE"""),1.0)</f>
        <v>1</v>
      </c>
      <c r="N444" s="37" t="str">
        <f>IFERROR(__xludf.DUMMYFUNCTION("""COMPUTED_VALUE"""),"A213")</f>
        <v>A213</v>
      </c>
      <c r="O444" s="38" t="str">
        <f>IFERROR(__xludf.DUMMYFUNCTION("""COMPUTED_VALUE"""),"")</f>
        <v/>
      </c>
      <c r="P444" s="34">
        <f>IFERROR(__xludf.DUMMYFUNCTION("""COMPUTED_VALUE"""),83.07013560954344)</f>
        <v>83.07013561</v>
      </c>
      <c r="Q444" s="35" t="str">
        <f>IFERROR(__xludf.DUMMYFUNCTION("""COMPUTED_VALUE"""),"AP")</f>
        <v>AP</v>
      </c>
      <c r="R444" s="34">
        <f>IFERROR(__xludf.DUMMYFUNCTION("""COMPUTED_VALUE"""),25.27984316614915)</f>
        <v>25.27984317</v>
      </c>
      <c r="S444" s="35" t="str">
        <f>IFERROR(__xludf.DUMMYFUNCTION("""COMPUTED_VALUE"""),"%")</f>
        <v>%</v>
      </c>
      <c r="T444" s="36">
        <f>IFERROR(__xludf.DUMMYFUNCTION("""COMPUTED_VALUE"""),2.0)</f>
        <v>2</v>
      </c>
      <c r="U444" s="37" t="str">
        <f>IFERROR(__xludf.DUMMYFUNCTION("""COMPUTED_VALUE"""),"B116")</f>
        <v>B116</v>
      </c>
      <c r="V444" s="38" t="str">
        <f>IFERROR(__xludf.DUMMYFUNCTION("""COMPUTED_VALUE"""),"")</f>
        <v/>
      </c>
      <c r="W444" s="34">
        <f>IFERROR(__xludf.DUMMYFUNCTION("""COMPUTED_VALUE"""),84.38000814080657)</f>
        <v>84.38000814</v>
      </c>
      <c r="X444" s="35" t="str">
        <f>IFERROR(__xludf.DUMMYFUNCTION("""COMPUTED_VALUE"""),"AP")</f>
        <v>AP</v>
      </c>
      <c r="Y444" s="34">
        <f>IFERROR(__xludf.DUMMYFUNCTION("""COMPUTED_VALUE"""),24.88741167808006)</f>
        <v>24.88741168</v>
      </c>
      <c r="Z444" s="35" t="str">
        <f>IFERROR(__xludf.DUMMYFUNCTION("""COMPUTED_VALUE"""),"%")</f>
        <v>%</v>
      </c>
      <c r="AA444" s="36">
        <f>IFERROR(__xludf.DUMMYFUNCTION("""COMPUTED_VALUE"""),3.0)</f>
        <v>3</v>
      </c>
      <c r="AB444" s="37"/>
      <c r="AC444" s="38"/>
      <c r="AD444" s="34" t="str">
        <f>IFERROR(__xludf.DUMMYFUNCTION("""COMPUTED_VALUE"""),"")</f>
        <v/>
      </c>
      <c r="AE444" s="35" t="str">
        <f>IFERROR(__xludf.DUMMYFUNCTION("""COMPUTED_VALUE"""),"AP")</f>
        <v>AP</v>
      </c>
      <c r="AF444" s="34" t="str">
        <f>IFERROR(__xludf.DUMMYFUNCTION("""COMPUTED_VALUE"""),"")</f>
        <v/>
      </c>
      <c r="AG444" s="35" t="str">
        <f>IFERROR(__xludf.DUMMYFUNCTION("""COMPUTED_VALUE"""),"%")</f>
        <v>%</v>
      </c>
      <c r="AH444" s="31">
        <f>IFERROR(__xludf.DUMMYFUNCTION("""COMPUTED_VALUE"""),21.0)</f>
        <v>21</v>
      </c>
      <c r="AI444" s="32">
        <f>IFERROR(__xludf.DUMMYFUNCTION("""COMPUTED_VALUE"""),19001.0)</f>
        <v>19001</v>
      </c>
      <c r="AJ444" s="30" t="str">
        <f>IFERROR(__xludf.DUMMYFUNCTION("""COMPUTED_VALUE"""),"Crushed Village")</f>
        <v>Crushed Village</v>
      </c>
    </row>
    <row r="445" ht="24.75" customHeight="1">
      <c r="A445" s="40">
        <f>IFERROR(__xludf.DUMMYFUNCTION("""COMPUTED_VALUE"""),6.0)</f>
        <v>6</v>
      </c>
      <c r="B445" s="40" t="str">
        <f>IFERROR(__xludf.DUMMYFUNCTION("""COMPUTED_VALUE"""),"A211")</f>
        <v>A211</v>
      </c>
      <c r="C445" s="40" t="str">
        <f>IFERROR(__xludf.DUMMYFUNCTION("""COMPUTED_VALUE"""),"TRF26")</f>
        <v>TRF26</v>
      </c>
      <c r="D445" s="41" t="str">
        <f>IFERROR(__xludf.DUMMYFUNCTION("""COMPUTED_VALUE"""),"Chaldea Gate (Sun)")</f>
        <v>Chaldea Gate (Sun)</v>
      </c>
      <c r="E445" s="42" t="str">
        <f>IFERROR(__xludf.DUMMYFUNCTION("""COMPUTED_VALUE"""),"SUN Saber Training Ground- Int")</f>
        <v>SUN Saber Training Ground- Int</v>
      </c>
      <c r="F445" s="43">
        <f>IFERROR(__xludf.DUMMYFUNCTION("""COMPUTED_VALUE"""),20.0)</f>
        <v>20</v>
      </c>
      <c r="G445" s="44">
        <f>IFERROR(__xludf.DUMMYFUNCTION("""COMPUTED_VALUE"""),1159.0)</f>
        <v>1159</v>
      </c>
      <c r="H445" s="33" t="str">
        <f>IFERROR(__xludf.DUMMYFUNCTION("""COMPUTED_VALUE"""),"")</f>
        <v/>
      </c>
      <c r="I445" s="45">
        <f>IFERROR(__xludf.DUMMYFUNCTION("""COMPUTED_VALUE"""),185.41923304589886)</f>
        <v>185.419233</v>
      </c>
      <c r="J445" s="46" t="str">
        <f>IFERROR(__xludf.DUMMYFUNCTION("""COMPUTED_VALUE"""),"AP")</f>
        <v>AP</v>
      </c>
      <c r="K445" s="47">
        <f>IFERROR(__xludf.DUMMYFUNCTION("""COMPUTED_VALUE"""),10.786367558239862)</f>
        <v>10.78636756</v>
      </c>
      <c r="L445" s="48" t="str">
        <f>IFERROR(__xludf.DUMMYFUNCTION("""COMPUTED_VALUE"""),"%")</f>
        <v>%</v>
      </c>
      <c r="M445" s="49">
        <f>IFERROR(__xludf.DUMMYFUNCTION("""COMPUTED_VALUE"""),1.0)</f>
        <v>1</v>
      </c>
      <c r="N445" s="50" t="str">
        <f>IFERROR(__xludf.DUMMYFUNCTION("""COMPUTED_VALUE"""),"A201")</f>
        <v>A201</v>
      </c>
      <c r="O445" s="38" t="str">
        <f>IFERROR(__xludf.DUMMYFUNCTION("""COMPUTED_VALUE"""),"")</f>
        <v/>
      </c>
      <c r="P445" s="45">
        <f>IFERROR(__xludf.DUMMYFUNCTION("""COMPUTED_VALUE"""),155.50784918824633)</f>
        <v>155.5078492</v>
      </c>
      <c r="Q445" s="46" t="str">
        <f>IFERROR(__xludf.DUMMYFUNCTION("""COMPUTED_VALUE"""),"AP")</f>
        <v>AP</v>
      </c>
      <c r="R445" s="47">
        <f>IFERROR(__xludf.DUMMYFUNCTION("""COMPUTED_VALUE"""),12.861087144089733)</f>
        <v>12.86108714</v>
      </c>
      <c r="S445" s="48" t="str">
        <f>IFERROR(__xludf.DUMMYFUNCTION("""COMPUTED_VALUE"""),"%")</f>
        <v>%</v>
      </c>
      <c r="T445" s="49">
        <f>IFERROR(__xludf.DUMMYFUNCTION("""COMPUTED_VALUE"""),2.0)</f>
        <v>2</v>
      </c>
      <c r="U445" s="50" t="str">
        <f>IFERROR(__xludf.DUMMYFUNCTION("""COMPUTED_VALUE"""),"A206")</f>
        <v>A206</v>
      </c>
      <c r="V445" s="38" t="str">
        <f>IFERROR(__xludf.DUMMYFUNCTION("""COMPUTED_VALUE"""),"")</f>
        <v/>
      </c>
      <c r="W445" s="45">
        <f>IFERROR(__xludf.DUMMYFUNCTION("""COMPUTED_VALUE"""),217.86942872718387)</f>
        <v>217.8694287</v>
      </c>
      <c r="X445" s="46" t="str">
        <f>IFERROR(__xludf.DUMMYFUNCTION("""COMPUTED_VALUE"""),"AP")</f>
        <v>AP</v>
      </c>
      <c r="Y445" s="47">
        <f>IFERROR(__xludf.DUMMYFUNCTION("""COMPUTED_VALUE"""),9.179810181190682)</f>
        <v>9.179810181</v>
      </c>
      <c r="Z445" s="48" t="str">
        <f>IFERROR(__xludf.DUMMYFUNCTION("""COMPUTED_VALUE"""),"%")</f>
        <v>%</v>
      </c>
      <c r="AA445" s="49">
        <f>IFERROR(__xludf.DUMMYFUNCTION("""COMPUTED_VALUE"""),3.0)</f>
        <v>3</v>
      </c>
      <c r="AB445" s="50" t="str">
        <f>IFERROR(__xludf.DUMMYFUNCTION("""COMPUTED_VALUE"""),"A301")</f>
        <v>A301</v>
      </c>
      <c r="AC445" s="38" t="str">
        <f>IFERROR(__xludf.DUMMYFUNCTION("""COMPUTED_VALUE"""),"")</f>
        <v/>
      </c>
      <c r="AD445" s="45">
        <f>IFERROR(__xludf.DUMMYFUNCTION("""COMPUTED_VALUE"""),185.79970823514324)</f>
        <v>185.7997082</v>
      </c>
      <c r="AE445" s="46" t="str">
        <f>IFERROR(__xludf.DUMMYFUNCTION("""COMPUTED_VALUE"""),"AP")</f>
        <v>AP</v>
      </c>
      <c r="AF445" s="47">
        <f>IFERROR(__xludf.DUMMYFUNCTION("""COMPUTED_VALUE"""),10.76427955133736)</f>
        <v>10.76427955</v>
      </c>
      <c r="AG445" s="48" t="str">
        <f>IFERROR(__xludf.DUMMYFUNCTION("""COMPUTED_VALUE"""),"%")</f>
        <v>%</v>
      </c>
      <c r="AH445" s="43">
        <f>IFERROR(__xludf.DUMMYFUNCTION("""COMPUTED_VALUE"""),20.0)</f>
        <v>20</v>
      </c>
      <c r="AI445" s="44">
        <f>IFERROR(__xludf.DUMMYFUNCTION("""COMPUTED_VALUE"""),1159.0)</f>
        <v>1159</v>
      </c>
      <c r="AJ445" s="42" t="str">
        <f>IFERROR(__xludf.DUMMYFUNCTION("""COMPUTED_VALUE"""),"SUN Saber Training Ground- Int")</f>
        <v>SUN Saber Training Ground- Int</v>
      </c>
    </row>
    <row r="446" ht="24.75" customHeight="1">
      <c r="A446" s="28">
        <f>IFERROR(__xludf.DUMMYFUNCTION("""COMPUTED_VALUE"""),7.0)</f>
        <v>7</v>
      </c>
      <c r="B446" s="28" t="str">
        <f>IFERROR(__xludf.DUMMYFUNCTION("""COMPUTED_VALUE"""),"A211")</f>
        <v>A211</v>
      </c>
      <c r="C446" s="28" t="str">
        <f>IFERROR(__xludf.DUMMYFUNCTION("""COMPUTED_VALUE"""),"TRF27")</f>
        <v>TRF27</v>
      </c>
      <c r="D446" s="29" t="str">
        <f>IFERROR(__xludf.DUMMYFUNCTION("""COMPUTED_VALUE"""),"Chaldea Gate (Sun)")</f>
        <v>Chaldea Gate (Sun)</v>
      </c>
      <c r="E446" s="30" t="str">
        <f>IFERROR(__xludf.DUMMYFUNCTION("""COMPUTED_VALUE"""),"SUN Saber Training Ground- Adv")</f>
        <v>SUN Saber Training Ground- Adv</v>
      </c>
      <c r="F446" s="31">
        <f>IFERROR(__xludf.DUMMYFUNCTION("""COMPUTED_VALUE"""),30.0)</f>
        <v>30</v>
      </c>
      <c r="G446" s="32">
        <f>IFERROR(__xludf.DUMMYFUNCTION("""COMPUTED_VALUE"""),4351.0)</f>
        <v>4351</v>
      </c>
      <c r="H446" s="33" t="str">
        <f>IFERROR(__xludf.DUMMYFUNCTION("""COMPUTED_VALUE"""),"")</f>
        <v/>
      </c>
      <c r="I446" s="34">
        <f>IFERROR(__xludf.DUMMYFUNCTION("""COMPUTED_VALUE"""),193.79810433295324)</f>
        <v>193.7981043</v>
      </c>
      <c r="J446" s="35" t="str">
        <f>IFERROR(__xludf.DUMMYFUNCTION("""COMPUTED_VALUE"""),"AP")</f>
        <v>AP</v>
      </c>
      <c r="K446" s="34">
        <f>IFERROR(__xludf.DUMMYFUNCTION("""COMPUTED_VALUE"""),15.480027579866698)</f>
        <v>15.48002758</v>
      </c>
      <c r="L446" s="35" t="str">
        <f>IFERROR(__xludf.DUMMYFUNCTION("""COMPUTED_VALUE"""),"%")</f>
        <v>%</v>
      </c>
      <c r="M446" s="36">
        <f>IFERROR(__xludf.DUMMYFUNCTION("""COMPUTED_VALUE"""),1.0)</f>
        <v>1</v>
      </c>
      <c r="N446" s="37" t="str">
        <f>IFERROR(__xludf.DUMMYFUNCTION("""COMPUTED_VALUE"""),"A104")</f>
        <v>A104</v>
      </c>
      <c r="O446" s="38" t="str">
        <f>IFERROR(__xludf.DUMMYFUNCTION("""COMPUTED_VALUE"""),"")</f>
        <v/>
      </c>
      <c r="P446" s="34">
        <f>IFERROR(__xludf.DUMMYFUNCTION("""COMPUTED_VALUE"""),779.8236390574965)</f>
        <v>779.8236391</v>
      </c>
      <c r="Q446" s="35" t="str">
        <f>IFERROR(__xludf.DUMMYFUNCTION("""COMPUTED_VALUE"""),"AP")</f>
        <v>AP</v>
      </c>
      <c r="R446" s="34">
        <f>IFERROR(__xludf.DUMMYFUNCTION("""COMPUTED_VALUE"""),3.8470236727189153)</f>
        <v>3.847023673</v>
      </c>
      <c r="S446" s="35" t="str">
        <f>IFERROR(__xludf.DUMMYFUNCTION("""COMPUTED_VALUE"""),"%")</f>
        <v>%</v>
      </c>
      <c r="T446" s="36">
        <f>IFERROR(__xludf.DUMMYFUNCTION("""COMPUTED_VALUE"""),2.0)</f>
        <v>2</v>
      </c>
      <c r="U446" s="37" t="str">
        <f>IFERROR(__xludf.DUMMYFUNCTION("""COMPUTED_VALUE"""),"A201")</f>
        <v>A201</v>
      </c>
      <c r="V446" s="38" t="str">
        <f>IFERROR(__xludf.DUMMYFUNCTION("""COMPUTED_VALUE"""),"")</f>
        <v/>
      </c>
      <c r="W446" s="34">
        <f>IFERROR(__xludf.DUMMYFUNCTION("""COMPUTED_VALUE"""),124.49925603754149)</f>
        <v>124.499256</v>
      </c>
      <c r="X446" s="35" t="str">
        <f>IFERROR(__xludf.DUMMYFUNCTION("""COMPUTED_VALUE"""),"AP")</f>
        <v>AP</v>
      </c>
      <c r="Y446" s="34">
        <f>IFERROR(__xludf.DUMMYFUNCTION("""COMPUTED_VALUE"""),24.096529533440588)</f>
        <v>24.09652953</v>
      </c>
      <c r="Z446" s="35" t="str">
        <f>IFERROR(__xludf.DUMMYFUNCTION("""COMPUTED_VALUE"""),"%")</f>
        <v>%</v>
      </c>
      <c r="AA446" s="36">
        <f>IFERROR(__xludf.DUMMYFUNCTION("""COMPUTED_VALUE"""),3.0)</f>
        <v>3</v>
      </c>
      <c r="AB446" s="37" t="str">
        <f>IFERROR(__xludf.DUMMYFUNCTION("""COMPUTED_VALUE"""),"A205")</f>
        <v>A205</v>
      </c>
      <c r="AC446" s="38" t="str">
        <f>IFERROR(__xludf.DUMMYFUNCTION("""COMPUTED_VALUE"""),"")</f>
        <v/>
      </c>
      <c r="AD446" s="34">
        <f>IFERROR(__xludf.DUMMYFUNCTION("""COMPUTED_VALUE"""),170.83110845871155)</f>
        <v>170.8311085</v>
      </c>
      <c r="AE446" s="35" t="str">
        <f>IFERROR(__xludf.DUMMYFUNCTION("""COMPUTED_VALUE"""),"AP")</f>
        <v>AP</v>
      </c>
      <c r="AF446" s="34">
        <f>IFERROR(__xludf.DUMMYFUNCTION("""COMPUTED_VALUE"""),17.561204320845782)</f>
        <v>17.56120432</v>
      </c>
      <c r="AG446" s="35" t="str">
        <f>IFERROR(__xludf.DUMMYFUNCTION("""COMPUTED_VALUE"""),"%")</f>
        <v>%</v>
      </c>
      <c r="AH446" s="31">
        <f>IFERROR(__xludf.DUMMYFUNCTION("""COMPUTED_VALUE"""),30.0)</f>
        <v>30</v>
      </c>
      <c r="AI446" s="32">
        <f>IFERROR(__xludf.DUMMYFUNCTION("""COMPUTED_VALUE"""),4351.0)</f>
        <v>4351</v>
      </c>
      <c r="AJ446" s="30" t="str">
        <f>IFERROR(__xludf.DUMMYFUNCTION("""COMPUTED_VALUE"""),"SUN Saber Training Ground- Adv")</f>
        <v>SUN Saber Training Ground- Adv</v>
      </c>
    </row>
    <row r="447" ht="24.75" customHeight="1">
      <c r="A447" s="40">
        <f>IFERROR(__xludf.DUMMYFUNCTION("""COMPUTED_VALUE"""),8.0)</f>
        <v>8</v>
      </c>
      <c r="B447" s="40" t="str">
        <f>IFERROR(__xludf.DUMMYFUNCTION("""COMPUTED_VALUE"""),"A211")</f>
        <v>A211</v>
      </c>
      <c r="C447" s="40" t="str">
        <f>IFERROR(__xludf.DUMMYFUNCTION("""COMPUTED_VALUE"""),"TRF28")</f>
        <v>TRF28</v>
      </c>
      <c r="D447" s="41" t="str">
        <f>IFERROR(__xludf.DUMMYFUNCTION("""COMPUTED_VALUE"""),"Chaldea Gate (Sun)")</f>
        <v>Chaldea Gate (Sun)</v>
      </c>
      <c r="E447" s="42" t="str">
        <f>IFERROR(__xludf.DUMMYFUNCTION("""COMPUTED_VALUE"""),"SUN Saber Training Ground- Exp")</f>
        <v>SUN Saber Training Ground- Exp</v>
      </c>
      <c r="F447" s="43">
        <f>IFERROR(__xludf.DUMMYFUNCTION("""COMPUTED_VALUE"""),40.0)</f>
        <v>40</v>
      </c>
      <c r="G447" s="44">
        <f>IFERROR(__xludf.DUMMYFUNCTION("""COMPUTED_VALUE"""),28657.0)</f>
        <v>28657</v>
      </c>
      <c r="H447" s="33" t="str">
        <f>IFERROR(__xludf.DUMMYFUNCTION("""COMPUTED_VALUE"""),"")</f>
        <v/>
      </c>
      <c r="I447" s="45">
        <f>IFERROR(__xludf.DUMMYFUNCTION("""COMPUTED_VALUE"""),195.0182125655644)</f>
        <v>195.0182126</v>
      </c>
      <c r="J447" s="46" t="str">
        <f>IFERROR(__xludf.DUMMYFUNCTION("""COMPUTED_VALUE"""),"AP")</f>
        <v>AP</v>
      </c>
      <c r="K447" s="47">
        <f>IFERROR(__xludf.DUMMYFUNCTION("""COMPUTED_VALUE"""),20.510904840004187)</f>
        <v>20.51090484</v>
      </c>
      <c r="L447" s="48" t="str">
        <f>IFERROR(__xludf.DUMMYFUNCTION("""COMPUTED_VALUE"""),"%")</f>
        <v>%</v>
      </c>
      <c r="M447" s="49">
        <f>IFERROR(__xludf.DUMMYFUNCTION("""COMPUTED_VALUE"""),1.0)</f>
        <v>1</v>
      </c>
      <c r="N447" s="50" t="str">
        <f>IFERROR(__xludf.DUMMYFUNCTION("""COMPUTED_VALUE"""),"A104")</f>
        <v>A104</v>
      </c>
      <c r="O447" s="38" t="str">
        <f>IFERROR(__xludf.DUMMYFUNCTION("""COMPUTED_VALUE"""),"")</f>
        <v/>
      </c>
      <c r="P447" s="45">
        <f>IFERROR(__xludf.DUMMYFUNCTION("""COMPUTED_VALUE"""),499.78199829086657)</f>
        <v>499.7819983</v>
      </c>
      <c r="Q447" s="46" t="str">
        <f>IFERROR(__xludf.DUMMYFUNCTION("""COMPUTED_VALUE"""),"AP")</f>
        <v>AP</v>
      </c>
      <c r="R447" s="47">
        <f>IFERROR(__xludf.DUMMYFUNCTION("""COMPUTED_VALUE"""),8.00348954880134)</f>
        <v>8.003489549</v>
      </c>
      <c r="S447" s="48" t="str">
        <f>IFERROR(__xludf.DUMMYFUNCTION("""COMPUTED_VALUE"""),"%")</f>
        <v>%</v>
      </c>
      <c r="T447" s="49">
        <f>IFERROR(__xludf.DUMMYFUNCTION("""COMPUTED_VALUE"""),2.0)</f>
        <v>2</v>
      </c>
      <c r="U447" s="50" t="str">
        <f>IFERROR(__xludf.DUMMYFUNCTION("""COMPUTED_VALUE"""),"A201")</f>
        <v>A201</v>
      </c>
      <c r="V447" s="38" t="str">
        <f>IFERROR(__xludf.DUMMYFUNCTION("""COMPUTED_VALUE"""),"")</f>
        <v/>
      </c>
      <c r="W447" s="45">
        <f>IFERROR(__xludf.DUMMYFUNCTION("""COMPUTED_VALUE"""),149.6821532877502)</f>
        <v>149.6821533</v>
      </c>
      <c r="X447" s="46" t="str">
        <f>IFERROR(__xludf.DUMMYFUNCTION("""COMPUTED_VALUE"""),"AP")</f>
        <v>AP</v>
      </c>
      <c r="Y447" s="47">
        <f>IFERROR(__xludf.DUMMYFUNCTION("""COMPUTED_VALUE"""),26.723292738248944)</f>
        <v>26.72329274</v>
      </c>
      <c r="Z447" s="48" t="str">
        <f>IFERROR(__xludf.DUMMYFUNCTION("""COMPUTED_VALUE"""),"%")</f>
        <v>%</v>
      </c>
      <c r="AA447" s="49">
        <f>IFERROR(__xludf.DUMMYFUNCTION("""COMPUTED_VALUE"""),3.0)</f>
        <v>3</v>
      </c>
      <c r="AB447" s="50" t="str">
        <f>IFERROR(__xludf.DUMMYFUNCTION("""COMPUTED_VALUE"""),"A205")</f>
        <v>A205</v>
      </c>
      <c r="AC447" s="38" t="str">
        <f>IFERROR(__xludf.DUMMYFUNCTION("""COMPUTED_VALUE"""),"")</f>
        <v/>
      </c>
      <c r="AD447" s="45">
        <f>IFERROR(__xludf.DUMMYFUNCTION("""COMPUTED_VALUE"""),377.1536265682929)</f>
        <v>377.1536266</v>
      </c>
      <c r="AE447" s="46" t="str">
        <f>IFERROR(__xludf.DUMMYFUNCTION("""COMPUTED_VALUE"""),"AP")</f>
        <v>AP</v>
      </c>
      <c r="AF447" s="47">
        <f>IFERROR(__xludf.DUMMYFUNCTION("""COMPUTED_VALUE"""),10.60575775552221)</f>
        <v>10.60575776</v>
      </c>
      <c r="AG447" s="48" t="str">
        <f>IFERROR(__xludf.DUMMYFUNCTION("""COMPUTED_VALUE"""),"%")</f>
        <v>%</v>
      </c>
      <c r="AH447" s="43">
        <f>IFERROR(__xludf.DUMMYFUNCTION("""COMPUTED_VALUE"""),40.0)</f>
        <v>40</v>
      </c>
      <c r="AI447" s="44">
        <f>IFERROR(__xludf.DUMMYFUNCTION("""COMPUTED_VALUE"""),28657.0)</f>
        <v>28657</v>
      </c>
      <c r="AJ447" s="42" t="str">
        <f>IFERROR(__xludf.DUMMYFUNCTION("""COMPUTED_VALUE"""),"SUN Saber Training Ground- Exp")</f>
        <v>SUN Saber Training Ground- Exp</v>
      </c>
    </row>
    <row r="448" ht="24.75" customHeight="1">
      <c r="A448" s="28">
        <f>IFERROR(__xludf.DUMMYFUNCTION("""COMPUTED_VALUE"""),9.0)</f>
        <v>9</v>
      </c>
      <c r="B448" s="28" t="str">
        <f>IFERROR(__xludf.DUMMYFUNCTION("""COMPUTED_VALUE"""),"A211")</f>
        <v>A211</v>
      </c>
      <c r="C448" s="28" t="str">
        <f>IFERROR(__xludf.DUMMYFUNCTION("""COMPUTED_VALUE"""),"TRF25")</f>
        <v>TRF25</v>
      </c>
      <c r="D448" s="29" t="str">
        <f>IFERROR(__xludf.DUMMYFUNCTION("""COMPUTED_VALUE"""),"Chaldea Gate (Sun)")</f>
        <v>Chaldea Gate (Sun)</v>
      </c>
      <c r="E448" s="30" t="str">
        <f>IFERROR(__xludf.DUMMYFUNCTION("""COMPUTED_VALUE"""),"SUN Saber Training Ground- Nov")</f>
        <v>SUN Saber Training Ground- Nov</v>
      </c>
      <c r="F448" s="31">
        <f>IFERROR(__xludf.DUMMYFUNCTION("""COMPUTED_VALUE"""),10.0)</f>
        <v>10</v>
      </c>
      <c r="G448" s="32">
        <f>IFERROR(__xludf.DUMMYFUNCTION("""COMPUTED_VALUE"""),29593.0)</f>
        <v>29593</v>
      </c>
      <c r="H448" s="33" t="str">
        <f>IFERROR(__xludf.DUMMYFUNCTION("""COMPUTED_VALUE"""),"")</f>
        <v/>
      </c>
      <c r="I448" s="34">
        <f>IFERROR(__xludf.DUMMYFUNCTION("""COMPUTED_VALUE"""),211.7865631148004)</f>
        <v>211.7865631</v>
      </c>
      <c r="J448" s="35" t="str">
        <f>IFERROR(__xludf.DUMMYFUNCTION("""COMPUTED_VALUE"""),"AP")</f>
        <v>AP</v>
      </c>
      <c r="K448" s="34">
        <f>IFERROR(__xludf.DUMMYFUNCTION("""COMPUTED_VALUE"""),4.721734869732708)</f>
        <v>4.72173487</v>
      </c>
      <c r="L448" s="35" t="str">
        <f>IFERROR(__xludf.DUMMYFUNCTION("""COMPUTED_VALUE"""),"%")</f>
        <v>%</v>
      </c>
      <c r="M448" s="36">
        <f>IFERROR(__xludf.DUMMYFUNCTION("""COMPUTED_VALUE"""),1.0)</f>
        <v>1</v>
      </c>
      <c r="N448" s="37" t="str">
        <f>IFERROR(__xludf.DUMMYFUNCTION("""COMPUTED_VALUE"""),"A206")</f>
        <v>A206</v>
      </c>
      <c r="O448" s="38" t="str">
        <f>IFERROR(__xludf.DUMMYFUNCTION("""COMPUTED_VALUE"""),"")</f>
        <v/>
      </c>
      <c r="P448" s="34">
        <f>IFERROR(__xludf.DUMMYFUNCTION("""COMPUTED_VALUE"""),220.80950302379114)</f>
        <v>220.809503</v>
      </c>
      <c r="Q448" s="35" t="str">
        <f>IFERROR(__xludf.DUMMYFUNCTION("""COMPUTED_VALUE"""),"AP")</f>
        <v>AP</v>
      </c>
      <c r="R448" s="34">
        <f>IFERROR(__xludf.DUMMYFUNCTION("""COMPUTED_VALUE"""),4.528790592369817)</f>
        <v>4.528790592</v>
      </c>
      <c r="S448" s="35" t="str">
        <f>IFERROR(__xludf.DUMMYFUNCTION("""COMPUTED_VALUE"""),"%")</f>
        <v>%</v>
      </c>
      <c r="T448" s="36">
        <f>IFERROR(__xludf.DUMMYFUNCTION("""COMPUTED_VALUE"""),2.0)</f>
        <v>2</v>
      </c>
      <c r="U448" s="37" t="str">
        <f>IFERROR(__xludf.DUMMYFUNCTION("""COMPUTED_VALUE"""),"A301")</f>
        <v>A301</v>
      </c>
      <c r="V448" s="38" t="str">
        <f>IFERROR(__xludf.DUMMYFUNCTION("""COMPUTED_VALUE"""),"")</f>
        <v/>
      </c>
      <c r="W448" s="34">
        <f>IFERROR(__xludf.DUMMYFUNCTION("""COMPUTED_VALUE"""),109.30174750568708)</f>
        <v>109.3017475</v>
      </c>
      <c r="X448" s="35" t="str">
        <f>IFERROR(__xludf.DUMMYFUNCTION("""COMPUTED_VALUE"""),"AP")</f>
        <v>AP</v>
      </c>
      <c r="Y448" s="34">
        <f>IFERROR(__xludf.DUMMYFUNCTION("""COMPUTED_VALUE"""),9.148984557158787)</f>
        <v>9.148984557</v>
      </c>
      <c r="Z448" s="35" t="str">
        <f>IFERROR(__xludf.DUMMYFUNCTION("""COMPUTED_VALUE"""),"%")</f>
        <v>%</v>
      </c>
      <c r="AA448" s="36">
        <f>IFERROR(__xludf.DUMMYFUNCTION("""COMPUTED_VALUE"""),3.0)</f>
        <v>3</v>
      </c>
      <c r="AB448" s="37" t="str">
        <f>IFERROR(__xludf.DUMMYFUNCTION("""COMPUTED_VALUE"""),"A302")</f>
        <v>A302</v>
      </c>
      <c r="AC448" s="38" t="str">
        <f>IFERROR(__xludf.DUMMYFUNCTION("""COMPUTED_VALUE"""),"")</f>
        <v/>
      </c>
      <c r="AD448" s="34">
        <f>IFERROR(__xludf.DUMMYFUNCTION("""COMPUTED_VALUE"""),42.62576314203138)</f>
        <v>42.62576314</v>
      </c>
      <c r="AE448" s="35" t="str">
        <f>IFERROR(__xludf.DUMMYFUNCTION("""COMPUTED_VALUE"""),"AP")</f>
        <v>AP</v>
      </c>
      <c r="AF448" s="34">
        <f>IFERROR(__xludf.DUMMYFUNCTION("""COMPUTED_VALUE"""),23.45999053830298)</f>
        <v>23.45999054</v>
      </c>
      <c r="AG448" s="35" t="str">
        <f>IFERROR(__xludf.DUMMYFUNCTION("""COMPUTED_VALUE"""),"%")</f>
        <v>%</v>
      </c>
      <c r="AH448" s="31">
        <f>IFERROR(__xludf.DUMMYFUNCTION("""COMPUTED_VALUE"""),10.0)</f>
        <v>10</v>
      </c>
      <c r="AI448" s="32">
        <f>IFERROR(__xludf.DUMMYFUNCTION("""COMPUTED_VALUE"""),29593.0)</f>
        <v>29593</v>
      </c>
      <c r="AJ448" s="30" t="str">
        <f>IFERROR(__xludf.DUMMYFUNCTION("""COMPUTED_VALUE"""),"SUN Saber Training Ground- Nov")</f>
        <v>SUN Saber Training Ground- Nov</v>
      </c>
    </row>
    <row r="449" ht="24.75" customHeight="1">
      <c r="A449" s="40">
        <f>IFERROR(__xludf.DUMMYFUNCTION("""COMPUTED_VALUE"""),10.0)</f>
        <v>10</v>
      </c>
      <c r="B449" s="40" t="str">
        <f>IFERROR(__xludf.DUMMYFUNCTION("""COMPUTED_VALUE"""),"A211")</f>
        <v>A211</v>
      </c>
      <c r="C449" s="40"/>
      <c r="D449" s="41"/>
      <c r="E449" s="66"/>
      <c r="F449" s="43"/>
      <c r="G449" s="44"/>
      <c r="H449" s="33" t="str">
        <f>IFERROR(__xludf.DUMMYFUNCTION("""COMPUTED_VALUE""")," ")</f>
        <v> </v>
      </c>
      <c r="I449" s="45"/>
      <c r="J449" s="46" t="str">
        <f>IFERROR(__xludf.DUMMYFUNCTION("""COMPUTED_VALUE"""),"AP")</f>
        <v>AP</v>
      </c>
      <c r="K449" s="47"/>
      <c r="L449" s="48" t="str">
        <f>IFERROR(__xludf.DUMMYFUNCTION("""COMPUTED_VALUE"""),"%")</f>
        <v>%</v>
      </c>
      <c r="M449" s="49">
        <f>IFERROR(__xludf.DUMMYFUNCTION("""COMPUTED_VALUE"""),1.0)</f>
        <v>1</v>
      </c>
      <c r="N449" s="50"/>
      <c r="O449" s="38"/>
      <c r="P449" s="45" t="str">
        <f>IFERROR(__xludf.DUMMYFUNCTION("""COMPUTED_VALUE"""),"")</f>
        <v/>
      </c>
      <c r="Q449" s="46" t="str">
        <f>IFERROR(__xludf.DUMMYFUNCTION("""COMPUTED_VALUE"""),"AP")</f>
        <v>AP</v>
      </c>
      <c r="R449" s="47" t="str">
        <f>IFERROR(__xludf.DUMMYFUNCTION("""COMPUTED_VALUE"""),"")</f>
        <v/>
      </c>
      <c r="S449" s="48" t="str">
        <f>IFERROR(__xludf.DUMMYFUNCTION("""COMPUTED_VALUE"""),"%")</f>
        <v>%</v>
      </c>
      <c r="T449" s="49">
        <f>IFERROR(__xludf.DUMMYFUNCTION("""COMPUTED_VALUE"""),2.0)</f>
        <v>2</v>
      </c>
      <c r="U449" s="50"/>
      <c r="V449" s="38"/>
      <c r="W449" s="45" t="str">
        <f>IFERROR(__xludf.DUMMYFUNCTION("""COMPUTED_VALUE"""),"")</f>
        <v/>
      </c>
      <c r="X449" s="46" t="str">
        <f>IFERROR(__xludf.DUMMYFUNCTION("""COMPUTED_VALUE"""),"AP")</f>
        <v>AP</v>
      </c>
      <c r="Y449" s="47" t="str">
        <f>IFERROR(__xludf.DUMMYFUNCTION("""COMPUTED_VALUE"""),"")</f>
        <v/>
      </c>
      <c r="Z449" s="48" t="str">
        <f>IFERROR(__xludf.DUMMYFUNCTION("""COMPUTED_VALUE"""),"%")</f>
        <v>%</v>
      </c>
      <c r="AA449" s="49">
        <f>IFERROR(__xludf.DUMMYFUNCTION("""COMPUTED_VALUE"""),3.0)</f>
        <v>3</v>
      </c>
      <c r="AB449" s="50"/>
      <c r="AC449" s="38"/>
      <c r="AD449" s="45" t="str">
        <f>IFERROR(__xludf.DUMMYFUNCTION("""COMPUTED_VALUE"""),"")</f>
        <v/>
      </c>
      <c r="AE449" s="46" t="str">
        <f>IFERROR(__xludf.DUMMYFUNCTION("""COMPUTED_VALUE"""),"AP")</f>
        <v>AP</v>
      </c>
      <c r="AF449" s="47" t="str">
        <f>IFERROR(__xludf.DUMMYFUNCTION("""COMPUTED_VALUE"""),"")</f>
        <v/>
      </c>
      <c r="AG449" s="48" t="str">
        <f>IFERROR(__xludf.DUMMYFUNCTION("""COMPUTED_VALUE"""),"%")</f>
        <v>%</v>
      </c>
      <c r="AH449" s="43"/>
      <c r="AI449" s="44"/>
      <c r="AJ449" s="66"/>
    </row>
    <row r="450" ht="24.75" hidden="1" customHeight="1">
      <c r="A450" s="28">
        <f>IFERROR(__xludf.DUMMYFUNCTION("""COMPUTED_VALUE"""),11.0)</f>
        <v>11</v>
      </c>
      <c r="B450" s="28" t="str">
        <f>IFERROR(__xludf.DUMMYFUNCTION("""COMPUTED_VALUE"""),"A211")</f>
        <v>A211</v>
      </c>
      <c r="C450" s="28"/>
      <c r="D450" s="29"/>
      <c r="E450" s="67"/>
      <c r="F450" s="31"/>
      <c r="G450" s="32"/>
      <c r="H450" s="33" t="str">
        <f>IFERROR(__xludf.DUMMYFUNCTION("""COMPUTED_VALUE""")," ")</f>
        <v> </v>
      </c>
      <c r="I450" s="34"/>
      <c r="J450" s="35" t="str">
        <f>IFERROR(__xludf.DUMMYFUNCTION("""COMPUTED_VALUE"""),"AP")</f>
        <v>AP</v>
      </c>
      <c r="K450" s="34"/>
      <c r="L450" s="35" t="str">
        <f>IFERROR(__xludf.DUMMYFUNCTION("""COMPUTED_VALUE"""),"%")</f>
        <v>%</v>
      </c>
      <c r="M450" s="36">
        <f>IFERROR(__xludf.DUMMYFUNCTION("""COMPUTED_VALUE"""),1.0)</f>
        <v>1</v>
      </c>
      <c r="N450" s="37"/>
      <c r="O450" s="38"/>
      <c r="P450" s="34" t="str">
        <f>IFERROR(__xludf.DUMMYFUNCTION("""COMPUTED_VALUE"""),"")</f>
        <v/>
      </c>
      <c r="Q450" s="35" t="str">
        <f>IFERROR(__xludf.DUMMYFUNCTION("""COMPUTED_VALUE"""),"AP")</f>
        <v>AP</v>
      </c>
      <c r="R450" s="34" t="str">
        <f>IFERROR(__xludf.DUMMYFUNCTION("""COMPUTED_VALUE"""),"")</f>
        <v/>
      </c>
      <c r="S450" s="35" t="str">
        <f>IFERROR(__xludf.DUMMYFUNCTION("""COMPUTED_VALUE"""),"%")</f>
        <v>%</v>
      </c>
      <c r="T450" s="36">
        <f>IFERROR(__xludf.DUMMYFUNCTION("""COMPUTED_VALUE"""),2.0)</f>
        <v>2</v>
      </c>
      <c r="U450" s="37"/>
      <c r="V450" s="38"/>
      <c r="W450" s="34" t="str">
        <f>IFERROR(__xludf.DUMMYFUNCTION("""COMPUTED_VALUE"""),"")</f>
        <v/>
      </c>
      <c r="X450" s="35" t="str">
        <f>IFERROR(__xludf.DUMMYFUNCTION("""COMPUTED_VALUE"""),"AP")</f>
        <v>AP</v>
      </c>
      <c r="Y450" s="34" t="str">
        <f>IFERROR(__xludf.DUMMYFUNCTION("""COMPUTED_VALUE"""),"")</f>
        <v/>
      </c>
      <c r="Z450" s="35" t="str">
        <f>IFERROR(__xludf.DUMMYFUNCTION("""COMPUTED_VALUE"""),"%")</f>
        <v>%</v>
      </c>
      <c r="AA450" s="36">
        <f>IFERROR(__xludf.DUMMYFUNCTION("""COMPUTED_VALUE"""),3.0)</f>
        <v>3</v>
      </c>
      <c r="AB450" s="37"/>
      <c r="AC450" s="38"/>
      <c r="AD450" s="34" t="str">
        <f>IFERROR(__xludf.DUMMYFUNCTION("""COMPUTED_VALUE"""),"")</f>
        <v/>
      </c>
      <c r="AE450" s="35" t="str">
        <f>IFERROR(__xludf.DUMMYFUNCTION("""COMPUTED_VALUE"""),"AP")</f>
        <v>AP</v>
      </c>
      <c r="AF450" s="34" t="str">
        <f>IFERROR(__xludf.DUMMYFUNCTION("""COMPUTED_VALUE"""),"")</f>
        <v/>
      </c>
      <c r="AG450" s="35" t="str">
        <f>IFERROR(__xludf.DUMMYFUNCTION("""COMPUTED_VALUE"""),"%")</f>
        <v>%</v>
      </c>
      <c r="AH450" s="31"/>
      <c r="AI450" s="32"/>
      <c r="AJ450" s="67"/>
    </row>
    <row r="451" ht="24.75" hidden="1" customHeight="1">
      <c r="A451" s="40">
        <f>IFERROR(__xludf.DUMMYFUNCTION("""COMPUTED_VALUE"""),12.0)</f>
        <v>12</v>
      </c>
      <c r="B451" s="40" t="str">
        <f>IFERROR(__xludf.DUMMYFUNCTION("""COMPUTED_VALUE"""),"A211")</f>
        <v>A211</v>
      </c>
      <c r="C451" s="40"/>
      <c r="D451" s="41"/>
      <c r="E451" s="66"/>
      <c r="F451" s="43"/>
      <c r="G451" s="44"/>
      <c r="H451" s="33" t="str">
        <f>IFERROR(__xludf.DUMMYFUNCTION("""COMPUTED_VALUE""")," ")</f>
        <v> </v>
      </c>
      <c r="I451" s="45"/>
      <c r="J451" s="46" t="str">
        <f>IFERROR(__xludf.DUMMYFUNCTION("""COMPUTED_VALUE"""),"AP")</f>
        <v>AP</v>
      </c>
      <c r="K451" s="47"/>
      <c r="L451" s="48" t="str">
        <f>IFERROR(__xludf.DUMMYFUNCTION("""COMPUTED_VALUE"""),"%")</f>
        <v>%</v>
      </c>
      <c r="M451" s="49">
        <f>IFERROR(__xludf.DUMMYFUNCTION("""COMPUTED_VALUE"""),1.0)</f>
        <v>1</v>
      </c>
      <c r="N451" s="50"/>
      <c r="O451" s="38"/>
      <c r="P451" s="45" t="str">
        <f>IFERROR(__xludf.DUMMYFUNCTION("""COMPUTED_VALUE"""),"")</f>
        <v/>
      </c>
      <c r="Q451" s="46" t="str">
        <f>IFERROR(__xludf.DUMMYFUNCTION("""COMPUTED_VALUE"""),"AP")</f>
        <v>AP</v>
      </c>
      <c r="R451" s="47" t="str">
        <f>IFERROR(__xludf.DUMMYFUNCTION("""COMPUTED_VALUE"""),"")</f>
        <v/>
      </c>
      <c r="S451" s="48" t="str">
        <f>IFERROR(__xludf.DUMMYFUNCTION("""COMPUTED_VALUE"""),"%")</f>
        <v>%</v>
      </c>
      <c r="T451" s="49">
        <f>IFERROR(__xludf.DUMMYFUNCTION("""COMPUTED_VALUE"""),2.0)</f>
        <v>2</v>
      </c>
      <c r="U451" s="50"/>
      <c r="V451" s="38"/>
      <c r="W451" s="45" t="str">
        <f>IFERROR(__xludf.DUMMYFUNCTION("""COMPUTED_VALUE"""),"")</f>
        <v/>
      </c>
      <c r="X451" s="46" t="str">
        <f>IFERROR(__xludf.DUMMYFUNCTION("""COMPUTED_VALUE"""),"AP")</f>
        <v>AP</v>
      </c>
      <c r="Y451" s="47" t="str">
        <f>IFERROR(__xludf.DUMMYFUNCTION("""COMPUTED_VALUE"""),"")</f>
        <v/>
      </c>
      <c r="Z451" s="48" t="str">
        <f>IFERROR(__xludf.DUMMYFUNCTION("""COMPUTED_VALUE"""),"%")</f>
        <v>%</v>
      </c>
      <c r="AA451" s="49">
        <f>IFERROR(__xludf.DUMMYFUNCTION("""COMPUTED_VALUE"""),3.0)</f>
        <v>3</v>
      </c>
      <c r="AB451" s="50"/>
      <c r="AC451" s="38"/>
      <c r="AD451" s="45" t="str">
        <f>IFERROR(__xludf.DUMMYFUNCTION("""COMPUTED_VALUE"""),"")</f>
        <v/>
      </c>
      <c r="AE451" s="46" t="str">
        <f>IFERROR(__xludf.DUMMYFUNCTION("""COMPUTED_VALUE"""),"AP")</f>
        <v>AP</v>
      </c>
      <c r="AF451" s="47" t="str">
        <f>IFERROR(__xludf.DUMMYFUNCTION("""COMPUTED_VALUE"""),"")</f>
        <v/>
      </c>
      <c r="AG451" s="48" t="str">
        <f>IFERROR(__xludf.DUMMYFUNCTION("""COMPUTED_VALUE"""),"%")</f>
        <v>%</v>
      </c>
      <c r="AH451" s="43"/>
      <c r="AI451" s="44"/>
      <c r="AJ451" s="66"/>
    </row>
    <row r="452" ht="24.75" hidden="1" customHeight="1">
      <c r="A452" s="28">
        <f>IFERROR(__xludf.DUMMYFUNCTION("""COMPUTED_VALUE"""),13.0)</f>
        <v>13</v>
      </c>
      <c r="B452" s="28" t="str">
        <f>IFERROR(__xludf.DUMMYFUNCTION("""COMPUTED_VALUE"""),"A211")</f>
        <v>A211</v>
      </c>
      <c r="C452" s="28"/>
      <c r="D452" s="29"/>
      <c r="E452" s="67"/>
      <c r="F452" s="31"/>
      <c r="G452" s="32"/>
      <c r="H452" s="33" t="str">
        <f>IFERROR(__xludf.DUMMYFUNCTION("""COMPUTED_VALUE""")," ")</f>
        <v> </v>
      </c>
      <c r="I452" s="34"/>
      <c r="J452" s="35" t="str">
        <f>IFERROR(__xludf.DUMMYFUNCTION("""COMPUTED_VALUE"""),"AP")</f>
        <v>AP</v>
      </c>
      <c r="K452" s="34"/>
      <c r="L452" s="35" t="str">
        <f>IFERROR(__xludf.DUMMYFUNCTION("""COMPUTED_VALUE"""),"%")</f>
        <v>%</v>
      </c>
      <c r="M452" s="36">
        <f>IFERROR(__xludf.DUMMYFUNCTION("""COMPUTED_VALUE"""),1.0)</f>
        <v>1</v>
      </c>
      <c r="N452" s="37"/>
      <c r="O452" s="38"/>
      <c r="P452" s="34" t="str">
        <f>IFERROR(__xludf.DUMMYFUNCTION("""COMPUTED_VALUE"""),"")</f>
        <v/>
      </c>
      <c r="Q452" s="35" t="str">
        <f>IFERROR(__xludf.DUMMYFUNCTION("""COMPUTED_VALUE"""),"AP")</f>
        <v>AP</v>
      </c>
      <c r="R452" s="34" t="str">
        <f>IFERROR(__xludf.DUMMYFUNCTION("""COMPUTED_VALUE"""),"")</f>
        <v/>
      </c>
      <c r="S452" s="35" t="str">
        <f>IFERROR(__xludf.DUMMYFUNCTION("""COMPUTED_VALUE"""),"%")</f>
        <v>%</v>
      </c>
      <c r="T452" s="36">
        <f>IFERROR(__xludf.DUMMYFUNCTION("""COMPUTED_VALUE"""),2.0)</f>
        <v>2</v>
      </c>
      <c r="U452" s="37"/>
      <c r="V452" s="38"/>
      <c r="W452" s="34" t="str">
        <f>IFERROR(__xludf.DUMMYFUNCTION("""COMPUTED_VALUE"""),"")</f>
        <v/>
      </c>
      <c r="X452" s="35" t="str">
        <f>IFERROR(__xludf.DUMMYFUNCTION("""COMPUTED_VALUE"""),"AP")</f>
        <v>AP</v>
      </c>
      <c r="Y452" s="34" t="str">
        <f>IFERROR(__xludf.DUMMYFUNCTION("""COMPUTED_VALUE"""),"")</f>
        <v/>
      </c>
      <c r="Z452" s="35" t="str">
        <f>IFERROR(__xludf.DUMMYFUNCTION("""COMPUTED_VALUE"""),"%")</f>
        <v>%</v>
      </c>
      <c r="AA452" s="36">
        <f>IFERROR(__xludf.DUMMYFUNCTION("""COMPUTED_VALUE"""),3.0)</f>
        <v>3</v>
      </c>
      <c r="AB452" s="37"/>
      <c r="AC452" s="38"/>
      <c r="AD452" s="34" t="str">
        <f>IFERROR(__xludf.DUMMYFUNCTION("""COMPUTED_VALUE"""),"")</f>
        <v/>
      </c>
      <c r="AE452" s="35" t="str">
        <f>IFERROR(__xludf.DUMMYFUNCTION("""COMPUTED_VALUE"""),"AP")</f>
        <v>AP</v>
      </c>
      <c r="AF452" s="34" t="str">
        <f>IFERROR(__xludf.DUMMYFUNCTION("""COMPUTED_VALUE"""),"")</f>
        <v/>
      </c>
      <c r="AG452" s="35" t="str">
        <f>IFERROR(__xludf.DUMMYFUNCTION("""COMPUTED_VALUE"""),"%")</f>
        <v>%</v>
      </c>
      <c r="AH452" s="31"/>
      <c r="AI452" s="32"/>
      <c r="AJ452" s="67"/>
    </row>
    <row r="453" ht="24.75" hidden="1" customHeight="1">
      <c r="A453" s="40">
        <f>IFERROR(__xludf.DUMMYFUNCTION("""COMPUTED_VALUE"""),14.0)</f>
        <v>14</v>
      </c>
      <c r="B453" s="40" t="str">
        <f>IFERROR(__xludf.DUMMYFUNCTION("""COMPUTED_VALUE"""),"A211")</f>
        <v>A211</v>
      </c>
      <c r="C453" s="40"/>
      <c r="D453" s="41"/>
      <c r="E453" s="66"/>
      <c r="F453" s="43"/>
      <c r="G453" s="44"/>
      <c r="H453" s="33" t="str">
        <f>IFERROR(__xludf.DUMMYFUNCTION("""COMPUTED_VALUE""")," ")</f>
        <v> </v>
      </c>
      <c r="I453" s="45"/>
      <c r="J453" s="46" t="str">
        <f>IFERROR(__xludf.DUMMYFUNCTION("""COMPUTED_VALUE"""),"AP")</f>
        <v>AP</v>
      </c>
      <c r="K453" s="47"/>
      <c r="L453" s="48" t="str">
        <f>IFERROR(__xludf.DUMMYFUNCTION("""COMPUTED_VALUE"""),"%")</f>
        <v>%</v>
      </c>
      <c r="M453" s="49">
        <f>IFERROR(__xludf.DUMMYFUNCTION("""COMPUTED_VALUE"""),1.0)</f>
        <v>1</v>
      </c>
      <c r="N453" s="50"/>
      <c r="O453" s="38"/>
      <c r="P453" s="45" t="str">
        <f>IFERROR(__xludf.DUMMYFUNCTION("""COMPUTED_VALUE"""),"")</f>
        <v/>
      </c>
      <c r="Q453" s="46" t="str">
        <f>IFERROR(__xludf.DUMMYFUNCTION("""COMPUTED_VALUE"""),"AP")</f>
        <v>AP</v>
      </c>
      <c r="R453" s="47" t="str">
        <f>IFERROR(__xludf.DUMMYFUNCTION("""COMPUTED_VALUE"""),"")</f>
        <v/>
      </c>
      <c r="S453" s="48" t="str">
        <f>IFERROR(__xludf.DUMMYFUNCTION("""COMPUTED_VALUE"""),"%")</f>
        <v>%</v>
      </c>
      <c r="T453" s="49">
        <f>IFERROR(__xludf.DUMMYFUNCTION("""COMPUTED_VALUE"""),2.0)</f>
        <v>2</v>
      </c>
      <c r="U453" s="50"/>
      <c r="V453" s="38"/>
      <c r="W453" s="45" t="str">
        <f>IFERROR(__xludf.DUMMYFUNCTION("""COMPUTED_VALUE"""),"")</f>
        <v/>
      </c>
      <c r="X453" s="46" t="str">
        <f>IFERROR(__xludf.DUMMYFUNCTION("""COMPUTED_VALUE"""),"AP")</f>
        <v>AP</v>
      </c>
      <c r="Y453" s="47" t="str">
        <f>IFERROR(__xludf.DUMMYFUNCTION("""COMPUTED_VALUE"""),"")</f>
        <v/>
      </c>
      <c r="Z453" s="48" t="str">
        <f>IFERROR(__xludf.DUMMYFUNCTION("""COMPUTED_VALUE"""),"%")</f>
        <v>%</v>
      </c>
      <c r="AA453" s="49">
        <f>IFERROR(__xludf.DUMMYFUNCTION("""COMPUTED_VALUE"""),3.0)</f>
        <v>3</v>
      </c>
      <c r="AB453" s="50"/>
      <c r="AC453" s="38"/>
      <c r="AD453" s="45" t="str">
        <f>IFERROR(__xludf.DUMMYFUNCTION("""COMPUTED_VALUE"""),"")</f>
        <v/>
      </c>
      <c r="AE453" s="46" t="str">
        <f>IFERROR(__xludf.DUMMYFUNCTION("""COMPUTED_VALUE"""),"AP")</f>
        <v>AP</v>
      </c>
      <c r="AF453" s="47" t="str">
        <f>IFERROR(__xludf.DUMMYFUNCTION("""COMPUTED_VALUE"""),"")</f>
        <v/>
      </c>
      <c r="AG453" s="48" t="str">
        <f>IFERROR(__xludf.DUMMYFUNCTION("""COMPUTED_VALUE"""),"%")</f>
        <v>%</v>
      </c>
      <c r="AH453" s="43"/>
      <c r="AI453" s="44"/>
      <c r="AJ453" s="66"/>
    </row>
    <row r="454" ht="24.75" hidden="1" customHeight="1">
      <c r="A454" s="28">
        <f>IFERROR(__xludf.DUMMYFUNCTION("""COMPUTED_VALUE"""),15.0)</f>
        <v>15</v>
      </c>
      <c r="B454" s="28" t="str">
        <f>IFERROR(__xludf.DUMMYFUNCTION("""COMPUTED_VALUE"""),"A211")</f>
        <v>A211</v>
      </c>
      <c r="C454" s="28"/>
      <c r="D454" s="29"/>
      <c r="E454" s="67"/>
      <c r="F454" s="31"/>
      <c r="G454" s="32"/>
      <c r="H454" s="33" t="str">
        <f>IFERROR(__xludf.DUMMYFUNCTION("""COMPUTED_VALUE""")," ")</f>
        <v> </v>
      </c>
      <c r="I454" s="34"/>
      <c r="J454" s="35" t="str">
        <f>IFERROR(__xludf.DUMMYFUNCTION("""COMPUTED_VALUE"""),"AP")</f>
        <v>AP</v>
      </c>
      <c r="K454" s="34"/>
      <c r="L454" s="35" t="str">
        <f>IFERROR(__xludf.DUMMYFUNCTION("""COMPUTED_VALUE"""),"%")</f>
        <v>%</v>
      </c>
      <c r="M454" s="36">
        <f>IFERROR(__xludf.DUMMYFUNCTION("""COMPUTED_VALUE"""),1.0)</f>
        <v>1</v>
      </c>
      <c r="N454" s="37"/>
      <c r="O454" s="38"/>
      <c r="P454" s="34" t="str">
        <f>IFERROR(__xludf.DUMMYFUNCTION("""COMPUTED_VALUE"""),"")</f>
        <v/>
      </c>
      <c r="Q454" s="35" t="str">
        <f>IFERROR(__xludf.DUMMYFUNCTION("""COMPUTED_VALUE"""),"AP")</f>
        <v>AP</v>
      </c>
      <c r="R454" s="34" t="str">
        <f>IFERROR(__xludf.DUMMYFUNCTION("""COMPUTED_VALUE"""),"")</f>
        <v/>
      </c>
      <c r="S454" s="35" t="str">
        <f>IFERROR(__xludf.DUMMYFUNCTION("""COMPUTED_VALUE"""),"%")</f>
        <v>%</v>
      </c>
      <c r="T454" s="36">
        <f>IFERROR(__xludf.DUMMYFUNCTION("""COMPUTED_VALUE"""),2.0)</f>
        <v>2</v>
      </c>
      <c r="U454" s="37"/>
      <c r="V454" s="38"/>
      <c r="W454" s="34" t="str">
        <f>IFERROR(__xludf.DUMMYFUNCTION("""COMPUTED_VALUE"""),"")</f>
        <v/>
      </c>
      <c r="X454" s="35" t="str">
        <f>IFERROR(__xludf.DUMMYFUNCTION("""COMPUTED_VALUE"""),"AP")</f>
        <v>AP</v>
      </c>
      <c r="Y454" s="34" t="str">
        <f>IFERROR(__xludf.DUMMYFUNCTION("""COMPUTED_VALUE"""),"")</f>
        <v/>
      </c>
      <c r="Z454" s="35" t="str">
        <f>IFERROR(__xludf.DUMMYFUNCTION("""COMPUTED_VALUE"""),"%")</f>
        <v>%</v>
      </c>
      <c r="AA454" s="36">
        <f>IFERROR(__xludf.DUMMYFUNCTION("""COMPUTED_VALUE"""),3.0)</f>
        <v>3</v>
      </c>
      <c r="AB454" s="37"/>
      <c r="AC454" s="38"/>
      <c r="AD454" s="34" t="str">
        <f>IFERROR(__xludf.DUMMYFUNCTION("""COMPUTED_VALUE"""),"")</f>
        <v/>
      </c>
      <c r="AE454" s="35" t="str">
        <f>IFERROR(__xludf.DUMMYFUNCTION("""COMPUTED_VALUE"""),"AP")</f>
        <v>AP</v>
      </c>
      <c r="AF454" s="34" t="str">
        <f>IFERROR(__xludf.DUMMYFUNCTION("""COMPUTED_VALUE"""),"")</f>
        <v/>
      </c>
      <c r="AG454" s="35" t="str">
        <f>IFERROR(__xludf.DUMMYFUNCTION("""COMPUTED_VALUE"""),"%")</f>
        <v>%</v>
      </c>
      <c r="AH454" s="31"/>
      <c r="AI454" s="32"/>
      <c r="AJ454" s="67"/>
    </row>
    <row r="455" ht="24.75" hidden="1" customHeight="1">
      <c r="A455" s="40">
        <f>IFERROR(__xludf.DUMMYFUNCTION("""COMPUTED_VALUE"""),16.0)</f>
        <v>16</v>
      </c>
      <c r="B455" s="40" t="str">
        <f>IFERROR(__xludf.DUMMYFUNCTION("""COMPUTED_VALUE"""),"A211")</f>
        <v>A211</v>
      </c>
      <c r="C455" s="40"/>
      <c r="D455" s="41"/>
      <c r="E455" s="66"/>
      <c r="F455" s="43"/>
      <c r="G455" s="44"/>
      <c r="H455" s="33" t="str">
        <f>IFERROR(__xludf.DUMMYFUNCTION("""COMPUTED_VALUE""")," ")</f>
        <v> </v>
      </c>
      <c r="I455" s="45"/>
      <c r="J455" s="46" t="str">
        <f>IFERROR(__xludf.DUMMYFUNCTION("""COMPUTED_VALUE"""),"AP")</f>
        <v>AP</v>
      </c>
      <c r="K455" s="47"/>
      <c r="L455" s="48" t="str">
        <f>IFERROR(__xludf.DUMMYFUNCTION("""COMPUTED_VALUE"""),"%")</f>
        <v>%</v>
      </c>
      <c r="M455" s="49">
        <f>IFERROR(__xludf.DUMMYFUNCTION("""COMPUTED_VALUE"""),1.0)</f>
        <v>1</v>
      </c>
      <c r="N455" s="50"/>
      <c r="O455" s="38"/>
      <c r="P455" s="45" t="str">
        <f>IFERROR(__xludf.DUMMYFUNCTION("""COMPUTED_VALUE"""),"")</f>
        <v/>
      </c>
      <c r="Q455" s="46" t="str">
        <f>IFERROR(__xludf.DUMMYFUNCTION("""COMPUTED_VALUE"""),"AP")</f>
        <v>AP</v>
      </c>
      <c r="R455" s="47" t="str">
        <f>IFERROR(__xludf.DUMMYFUNCTION("""COMPUTED_VALUE"""),"")</f>
        <v/>
      </c>
      <c r="S455" s="48" t="str">
        <f>IFERROR(__xludf.DUMMYFUNCTION("""COMPUTED_VALUE"""),"%")</f>
        <v>%</v>
      </c>
      <c r="T455" s="49">
        <f>IFERROR(__xludf.DUMMYFUNCTION("""COMPUTED_VALUE"""),2.0)</f>
        <v>2</v>
      </c>
      <c r="U455" s="50"/>
      <c r="V455" s="38"/>
      <c r="W455" s="45" t="str">
        <f>IFERROR(__xludf.DUMMYFUNCTION("""COMPUTED_VALUE"""),"")</f>
        <v/>
      </c>
      <c r="X455" s="46" t="str">
        <f>IFERROR(__xludf.DUMMYFUNCTION("""COMPUTED_VALUE"""),"AP")</f>
        <v>AP</v>
      </c>
      <c r="Y455" s="47" t="str">
        <f>IFERROR(__xludf.DUMMYFUNCTION("""COMPUTED_VALUE"""),"")</f>
        <v/>
      </c>
      <c r="Z455" s="48" t="str">
        <f>IFERROR(__xludf.DUMMYFUNCTION("""COMPUTED_VALUE"""),"%")</f>
        <v>%</v>
      </c>
      <c r="AA455" s="49">
        <f>IFERROR(__xludf.DUMMYFUNCTION("""COMPUTED_VALUE"""),3.0)</f>
        <v>3</v>
      </c>
      <c r="AB455" s="50"/>
      <c r="AC455" s="38"/>
      <c r="AD455" s="45" t="str">
        <f>IFERROR(__xludf.DUMMYFUNCTION("""COMPUTED_VALUE"""),"")</f>
        <v/>
      </c>
      <c r="AE455" s="46" t="str">
        <f>IFERROR(__xludf.DUMMYFUNCTION("""COMPUTED_VALUE"""),"AP")</f>
        <v>AP</v>
      </c>
      <c r="AF455" s="47" t="str">
        <f>IFERROR(__xludf.DUMMYFUNCTION("""COMPUTED_VALUE"""),"")</f>
        <v/>
      </c>
      <c r="AG455" s="48" t="str">
        <f>IFERROR(__xludf.DUMMYFUNCTION("""COMPUTED_VALUE"""),"%")</f>
        <v>%</v>
      </c>
      <c r="AH455" s="43"/>
      <c r="AI455" s="44"/>
      <c r="AJ455" s="66"/>
    </row>
    <row r="456" ht="24.75" hidden="1" customHeight="1">
      <c r="A456" s="28">
        <f>IFERROR(__xludf.DUMMYFUNCTION("""COMPUTED_VALUE"""),17.0)</f>
        <v>17</v>
      </c>
      <c r="B456" s="28" t="str">
        <f>IFERROR(__xludf.DUMMYFUNCTION("""COMPUTED_VALUE"""),"A211")</f>
        <v>A211</v>
      </c>
      <c r="C456" s="28"/>
      <c r="D456" s="29"/>
      <c r="E456" s="67"/>
      <c r="F456" s="31"/>
      <c r="G456" s="32"/>
      <c r="H456" s="33" t="str">
        <f>IFERROR(__xludf.DUMMYFUNCTION("""COMPUTED_VALUE""")," ")</f>
        <v> </v>
      </c>
      <c r="I456" s="34"/>
      <c r="J456" s="35" t="str">
        <f>IFERROR(__xludf.DUMMYFUNCTION("""COMPUTED_VALUE"""),"AP")</f>
        <v>AP</v>
      </c>
      <c r="K456" s="34"/>
      <c r="L456" s="35" t="str">
        <f>IFERROR(__xludf.DUMMYFUNCTION("""COMPUTED_VALUE"""),"%")</f>
        <v>%</v>
      </c>
      <c r="M456" s="36">
        <f>IFERROR(__xludf.DUMMYFUNCTION("""COMPUTED_VALUE"""),1.0)</f>
        <v>1</v>
      </c>
      <c r="N456" s="37"/>
      <c r="O456" s="38"/>
      <c r="P456" s="34" t="str">
        <f>IFERROR(__xludf.DUMMYFUNCTION("""COMPUTED_VALUE"""),"")</f>
        <v/>
      </c>
      <c r="Q456" s="35" t="str">
        <f>IFERROR(__xludf.DUMMYFUNCTION("""COMPUTED_VALUE"""),"AP")</f>
        <v>AP</v>
      </c>
      <c r="R456" s="34" t="str">
        <f>IFERROR(__xludf.DUMMYFUNCTION("""COMPUTED_VALUE"""),"")</f>
        <v/>
      </c>
      <c r="S456" s="35" t="str">
        <f>IFERROR(__xludf.DUMMYFUNCTION("""COMPUTED_VALUE"""),"%")</f>
        <v>%</v>
      </c>
      <c r="T456" s="36">
        <f>IFERROR(__xludf.DUMMYFUNCTION("""COMPUTED_VALUE"""),2.0)</f>
        <v>2</v>
      </c>
      <c r="U456" s="37"/>
      <c r="V456" s="38"/>
      <c r="W456" s="34" t="str">
        <f>IFERROR(__xludf.DUMMYFUNCTION("""COMPUTED_VALUE"""),"")</f>
        <v/>
      </c>
      <c r="X456" s="35" t="str">
        <f>IFERROR(__xludf.DUMMYFUNCTION("""COMPUTED_VALUE"""),"AP")</f>
        <v>AP</v>
      </c>
      <c r="Y456" s="34" t="str">
        <f>IFERROR(__xludf.DUMMYFUNCTION("""COMPUTED_VALUE"""),"")</f>
        <v/>
      </c>
      <c r="Z456" s="35" t="str">
        <f>IFERROR(__xludf.DUMMYFUNCTION("""COMPUTED_VALUE"""),"%")</f>
        <v>%</v>
      </c>
      <c r="AA456" s="36">
        <f>IFERROR(__xludf.DUMMYFUNCTION("""COMPUTED_VALUE"""),3.0)</f>
        <v>3</v>
      </c>
      <c r="AB456" s="37"/>
      <c r="AC456" s="38"/>
      <c r="AD456" s="34" t="str">
        <f>IFERROR(__xludf.DUMMYFUNCTION("""COMPUTED_VALUE"""),"")</f>
        <v/>
      </c>
      <c r="AE456" s="35" t="str">
        <f>IFERROR(__xludf.DUMMYFUNCTION("""COMPUTED_VALUE"""),"AP")</f>
        <v>AP</v>
      </c>
      <c r="AF456" s="34" t="str">
        <f>IFERROR(__xludf.DUMMYFUNCTION("""COMPUTED_VALUE"""),"")</f>
        <v/>
      </c>
      <c r="AG456" s="35" t="str">
        <f>IFERROR(__xludf.DUMMYFUNCTION("""COMPUTED_VALUE"""),"%")</f>
        <v>%</v>
      </c>
      <c r="AH456" s="31"/>
      <c r="AI456" s="32"/>
      <c r="AJ456" s="67"/>
    </row>
    <row r="457" ht="24.75" hidden="1" customHeight="1">
      <c r="A457" s="40">
        <f>IFERROR(__xludf.DUMMYFUNCTION("""COMPUTED_VALUE"""),18.0)</f>
        <v>18</v>
      </c>
      <c r="B457" s="40" t="str">
        <f>IFERROR(__xludf.DUMMYFUNCTION("""COMPUTED_VALUE"""),"A211")</f>
        <v>A211</v>
      </c>
      <c r="C457" s="40"/>
      <c r="D457" s="41"/>
      <c r="E457" s="66"/>
      <c r="F457" s="43"/>
      <c r="G457" s="44"/>
      <c r="H457" s="33" t="str">
        <f>IFERROR(__xludf.DUMMYFUNCTION("""COMPUTED_VALUE""")," ")</f>
        <v> </v>
      </c>
      <c r="I457" s="45"/>
      <c r="J457" s="46" t="str">
        <f>IFERROR(__xludf.DUMMYFUNCTION("""COMPUTED_VALUE"""),"AP")</f>
        <v>AP</v>
      </c>
      <c r="K457" s="47"/>
      <c r="L457" s="48" t="str">
        <f>IFERROR(__xludf.DUMMYFUNCTION("""COMPUTED_VALUE"""),"%")</f>
        <v>%</v>
      </c>
      <c r="M457" s="49">
        <f>IFERROR(__xludf.DUMMYFUNCTION("""COMPUTED_VALUE"""),1.0)</f>
        <v>1</v>
      </c>
      <c r="N457" s="50"/>
      <c r="O457" s="38"/>
      <c r="P457" s="45" t="str">
        <f>IFERROR(__xludf.DUMMYFUNCTION("""COMPUTED_VALUE"""),"")</f>
        <v/>
      </c>
      <c r="Q457" s="46" t="str">
        <f>IFERROR(__xludf.DUMMYFUNCTION("""COMPUTED_VALUE"""),"AP")</f>
        <v>AP</v>
      </c>
      <c r="R457" s="47" t="str">
        <f>IFERROR(__xludf.DUMMYFUNCTION("""COMPUTED_VALUE"""),"")</f>
        <v/>
      </c>
      <c r="S457" s="48" t="str">
        <f>IFERROR(__xludf.DUMMYFUNCTION("""COMPUTED_VALUE"""),"%")</f>
        <v>%</v>
      </c>
      <c r="T457" s="49">
        <f>IFERROR(__xludf.DUMMYFUNCTION("""COMPUTED_VALUE"""),2.0)</f>
        <v>2</v>
      </c>
      <c r="U457" s="50"/>
      <c r="V457" s="38"/>
      <c r="W457" s="45" t="str">
        <f>IFERROR(__xludf.DUMMYFUNCTION("""COMPUTED_VALUE"""),"")</f>
        <v/>
      </c>
      <c r="X457" s="46" t="str">
        <f>IFERROR(__xludf.DUMMYFUNCTION("""COMPUTED_VALUE"""),"AP")</f>
        <v>AP</v>
      </c>
      <c r="Y457" s="47" t="str">
        <f>IFERROR(__xludf.DUMMYFUNCTION("""COMPUTED_VALUE"""),"")</f>
        <v/>
      </c>
      <c r="Z457" s="48" t="str">
        <f>IFERROR(__xludf.DUMMYFUNCTION("""COMPUTED_VALUE"""),"%")</f>
        <v>%</v>
      </c>
      <c r="AA457" s="49">
        <f>IFERROR(__xludf.DUMMYFUNCTION("""COMPUTED_VALUE"""),3.0)</f>
        <v>3</v>
      </c>
      <c r="AB457" s="50"/>
      <c r="AC457" s="38"/>
      <c r="AD457" s="45" t="str">
        <f>IFERROR(__xludf.DUMMYFUNCTION("""COMPUTED_VALUE"""),"")</f>
        <v/>
      </c>
      <c r="AE457" s="46" t="str">
        <f>IFERROR(__xludf.DUMMYFUNCTION("""COMPUTED_VALUE"""),"AP")</f>
        <v>AP</v>
      </c>
      <c r="AF457" s="47" t="str">
        <f>IFERROR(__xludf.DUMMYFUNCTION("""COMPUTED_VALUE"""),"")</f>
        <v/>
      </c>
      <c r="AG457" s="48" t="str">
        <f>IFERROR(__xludf.DUMMYFUNCTION("""COMPUTED_VALUE"""),"%")</f>
        <v>%</v>
      </c>
      <c r="AH457" s="43"/>
      <c r="AI457" s="44"/>
      <c r="AJ457" s="66"/>
    </row>
    <row r="458" ht="24.75" hidden="1" customHeight="1">
      <c r="A458" s="28">
        <f>IFERROR(__xludf.DUMMYFUNCTION("""COMPUTED_VALUE"""),19.0)</f>
        <v>19</v>
      </c>
      <c r="B458" s="28" t="str">
        <f>IFERROR(__xludf.DUMMYFUNCTION("""COMPUTED_VALUE"""),"A211")</f>
        <v>A211</v>
      </c>
      <c r="C458" s="28"/>
      <c r="D458" s="29"/>
      <c r="E458" s="67"/>
      <c r="F458" s="31"/>
      <c r="G458" s="32"/>
      <c r="H458" s="33" t="str">
        <f>IFERROR(__xludf.DUMMYFUNCTION("""COMPUTED_VALUE""")," ")</f>
        <v> </v>
      </c>
      <c r="I458" s="34"/>
      <c r="J458" s="35" t="str">
        <f>IFERROR(__xludf.DUMMYFUNCTION("""COMPUTED_VALUE"""),"AP")</f>
        <v>AP</v>
      </c>
      <c r="K458" s="34"/>
      <c r="L458" s="35" t="str">
        <f>IFERROR(__xludf.DUMMYFUNCTION("""COMPUTED_VALUE"""),"%")</f>
        <v>%</v>
      </c>
      <c r="M458" s="36">
        <f>IFERROR(__xludf.DUMMYFUNCTION("""COMPUTED_VALUE"""),1.0)</f>
        <v>1</v>
      </c>
      <c r="N458" s="37"/>
      <c r="O458" s="38"/>
      <c r="P458" s="34" t="str">
        <f>IFERROR(__xludf.DUMMYFUNCTION("""COMPUTED_VALUE"""),"")</f>
        <v/>
      </c>
      <c r="Q458" s="35" t="str">
        <f>IFERROR(__xludf.DUMMYFUNCTION("""COMPUTED_VALUE"""),"AP")</f>
        <v>AP</v>
      </c>
      <c r="R458" s="34" t="str">
        <f>IFERROR(__xludf.DUMMYFUNCTION("""COMPUTED_VALUE"""),"")</f>
        <v/>
      </c>
      <c r="S458" s="35" t="str">
        <f>IFERROR(__xludf.DUMMYFUNCTION("""COMPUTED_VALUE"""),"%")</f>
        <v>%</v>
      </c>
      <c r="T458" s="36">
        <f>IFERROR(__xludf.DUMMYFUNCTION("""COMPUTED_VALUE"""),2.0)</f>
        <v>2</v>
      </c>
      <c r="U458" s="37"/>
      <c r="V458" s="38"/>
      <c r="W458" s="34" t="str">
        <f>IFERROR(__xludf.DUMMYFUNCTION("""COMPUTED_VALUE"""),"")</f>
        <v/>
      </c>
      <c r="X458" s="35" t="str">
        <f>IFERROR(__xludf.DUMMYFUNCTION("""COMPUTED_VALUE"""),"AP")</f>
        <v>AP</v>
      </c>
      <c r="Y458" s="34" t="str">
        <f>IFERROR(__xludf.DUMMYFUNCTION("""COMPUTED_VALUE"""),"")</f>
        <v/>
      </c>
      <c r="Z458" s="35" t="str">
        <f>IFERROR(__xludf.DUMMYFUNCTION("""COMPUTED_VALUE"""),"%")</f>
        <v>%</v>
      </c>
      <c r="AA458" s="36">
        <f>IFERROR(__xludf.DUMMYFUNCTION("""COMPUTED_VALUE"""),3.0)</f>
        <v>3</v>
      </c>
      <c r="AB458" s="37"/>
      <c r="AC458" s="38"/>
      <c r="AD458" s="34" t="str">
        <f>IFERROR(__xludf.DUMMYFUNCTION("""COMPUTED_VALUE"""),"")</f>
        <v/>
      </c>
      <c r="AE458" s="35" t="str">
        <f>IFERROR(__xludf.DUMMYFUNCTION("""COMPUTED_VALUE"""),"AP")</f>
        <v>AP</v>
      </c>
      <c r="AF458" s="34" t="str">
        <f>IFERROR(__xludf.DUMMYFUNCTION("""COMPUTED_VALUE"""),"")</f>
        <v/>
      </c>
      <c r="AG458" s="35" t="str">
        <f>IFERROR(__xludf.DUMMYFUNCTION("""COMPUTED_VALUE"""),"%")</f>
        <v>%</v>
      </c>
      <c r="AH458" s="31"/>
      <c r="AI458" s="32"/>
      <c r="AJ458" s="67"/>
    </row>
    <row r="459" ht="24.75" hidden="1" customHeight="1">
      <c r="A459" s="40">
        <f>IFERROR(__xludf.DUMMYFUNCTION("""COMPUTED_VALUE"""),20.0)</f>
        <v>20</v>
      </c>
      <c r="B459" s="40" t="str">
        <f>IFERROR(__xludf.DUMMYFUNCTION("""COMPUTED_VALUE"""),"A211")</f>
        <v>A211</v>
      </c>
      <c r="C459" s="40"/>
      <c r="D459" s="41"/>
      <c r="E459" s="66"/>
      <c r="F459" s="43"/>
      <c r="G459" s="44"/>
      <c r="H459" s="33" t="str">
        <f>IFERROR(__xludf.DUMMYFUNCTION("""COMPUTED_VALUE""")," ")</f>
        <v> </v>
      </c>
      <c r="I459" s="45"/>
      <c r="J459" s="46" t="str">
        <f>IFERROR(__xludf.DUMMYFUNCTION("""COMPUTED_VALUE"""),"AP")</f>
        <v>AP</v>
      </c>
      <c r="K459" s="47"/>
      <c r="L459" s="48" t="str">
        <f>IFERROR(__xludf.DUMMYFUNCTION("""COMPUTED_VALUE"""),"%")</f>
        <v>%</v>
      </c>
      <c r="M459" s="49">
        <f>IFERROR(__xludf.DUMMYFUNCTION("""COMPUTED_VALUE"""),1.0)</f>
        <v>1</v>
      </c>
      <c r="N459" s="50"/>
      <c r="O459" s="38"/>
      <c r="P459" s="45" t="str">
        <f>IFERROR(__xludf.DUMMYFUNCTION("""COMPUTED_VALUE"""),"")</f>
        <v/>
      </c>
      <c r="Q459" s="46" t="str">
        <f>IFERROR(__xludf.DUMMYFUNCTION("""COMPUTED_VALUE"""),"AP")</f>
        <v>AP</v>
      </c>
      <c r="R459" s="47" t="str">
        <f>IFERROR(__xludf.DUMMYFUNCTION("""COMPUTED_VALUE"""),"")</f>
        <v/>
      </c>
      <c r="S459" s="48" t="str">
        <f>IFERROR(__xludf.DUMMYFUNCTION("""COMPUTED_VALUE"""),"%")</f>
        <v>%</v>
      </c>
      <c r="T459" s="49">
        <f>IFERROR(__xludf.DUMMYFUNCTION("""COMPUTED_VALUE"""),2.0)</f>
        <v>2</v>
      </c>
      <c r="U459" s="50"/>
      <c r="V459" s="38"/>
      <c r="W459" s="45" t="str">
        <f>IFERROR(__xludf.DUMMYFUNCTION("""COMPUTED_VALUE"""),"")</f>
        <v/>
      </c>
      <c r="X459" s="46" t="str">
        <f>IFERROR(__xludf.DUMMYFUNCTION("""COMPUTED_VALUE"""),"AP")</f>
        <v>AP</v>
      </c>
      <c r="Y459" s="47" t="str">
        <f>IFERROR(__xludf.DUMMYFUNCTION("""COMPUTED_VALUE"""),"")</f>
        <v/>
      </c>
      <c r="Z459" s="48" t="str">
        <f>IFERROR(__xludf.DUMMYFUNCTION("""COMPUTED_VALUE"""),"%")</f>
        <v>%</v>
      </c>
      <c r="AA459" s="49">
        <f>IFERROR(__xludf.DUMMYFUNCTION("""COMPUTED_VALUE"""),3.0)</f>
        <v>3</v>
      </c>
      <c r="AB459" s="50"/>
      <c r="AC459" s="38"/>
      <c r="AD459" s="45" t="str">
        <f>IFERROR(__xludf.DUMMYFUNCTION("""COMPUTED_VALUE"""),"")</f>
        <v/>
      </c>
      <c r="AE459" s="46" t="str">
        <f>IFERROR(__xludf.DUMMYFUNCTION("""COMPUTED_VALUE"""),"AP")</f>
        <v>AP</v>
      </c>
      <c r="AF459" s="47" t="str">
        <f>IFERROR(__xludf.DUMMYFUNCTION("""COMPUTED_VALUE"""),"")</f>
        <v/>
      </c>
      <c r="AG459" s="48" t="str">
        <f>IFERROR(__xludf.DUMMYFUNCTION("""COMPUTED_VALUE"""),"%")</f>
        <v>%</v>
      </c>
      <c r="AH459" s="43"/>
      <c r="AI459" s="44"/>
      <c r="AJ459" s="66"/>
    </row>
    <row r="460">
      <c r="A460" s="52"/>
      <c r="B460" s="53"/>
      <c r="C460" s="54"/>
      <c r="D460" s="56"/>
      <c r="E460" s="56"/>
      <c r="F460" s="53"/>
      <c r="G460" s="53"/>
      <c r="H460" s="53"/>
      <c r="I460" s="53"/>
      <c r="J460" s="57"/>
      <c r="K460" s="53"/>
      <c r="L460" s="57"/>
      <c r="M460" s="53"/>
      <c r="N460" s="53"/>
      <c r="O460" s="53"/>
      <c r="P460" s="53"/>
      <c r="Q460" s="57"/>
      <c r="R460" s="53"/>
      <c r="S460" s="57"/>
      <c r="T460" s="53"/>
      <c r="U460" s="53"/>
      <c r="V460" s="53"/>
      <c r="W460" s="53"/>
      <c r="X460" s="57"/>
      <c r="Y460" s="53"/>
      <c r="Z460" s="57"/>
      <c r="AA460" s="53"/>
      <c r="AB460" s="53"/>
      <c r="AC460" s="53"/>
      <c r="AD460" s="53"/>
      <c r="AE460" s="57"/>
      <c r="AF460" s="53"/>
      <c r="AG460" s="57"/>
      <c r="AH460" s="53"/>
      <c r="AI460" s="53"/>
      <c r="AJ460" s="56"/>
    </row>
    <row r="461">
      <c r="A461" s="59"/>
      <c r="B461" s="60"/>
      <c r="C461" s="61"/>
      <c r="D461" s="63"/>
      <c r="E461" s="63"/>
      <c r="F461" s="60"/>
      <c r="G461" s="60"/>
      <c r="H461" s="60"/>
      <c r="I461" s="60"/>
      <c r="J461" s="64"/>
      <c r="K461" s="60"/>
      <c r="L461" s="64"/>
      <c r="M461" s="60"/>
      <c r="N461" s="60"/>
      <c r="O461" s="60"/>
      <c r="P461" s="60"/>
      <c r="Q461" s="64"/>
      <c r="R461" s="60"/>
      <c r="S461" s="64"/>
      <c r="T461" s="60"/>
      <c r="U461" s="60"/>
      <c r="V461" s="60"/>
      <c r="W461" s="60"/>
      <c r="X461" s="64"/>
      <c r="Y461" s="60"/>
      <c r="Z461" s="64"/>
      <c r="AA461" s="60"/>
      <c r="AB461" s="60"/>
      <c r="AC461" s="60"/>
      <c r="AD461" s="60"/>
      <c r="AE461" s="64"/>
      <c r="AF461" s="60"/>
      <c r="AG461" s="64"/>
      <c r="AH461" s="60"/>
      <c r="AI461" s="60"/>
      <c r="AJ461" s="63"/>
    </row>
    <row r="462" ht="33.0" customHeight="1">
      <c r="A462" s="20" t="str">
        <f>IFERROR(__xludf.DUMMYFUNCTION("""COMPUTED_VALUE""")," ")</f>
        <v> </v>
      </c>
      <c r="B462" s="21" t="str">
        <f>IFERROR(__xludf.DUMMYFUNCTION("""COMPUTED_VALUE"""),"A212")</f>
        <v>A212</v>
      </c>
      <c r="C462" s="20"/>
      <c r="D462" s="257" t="str">
        <f>IFERROR(__xludf.DUMMYFUNCTION("""COMPUTED_VALUE"""),"")</f>
        <v/>
      </c>
      <c r="E462" s="23" t="str">
        <f>IFERROR(__xludf.DUMMYFUNCTION("""COMPUTED_VALUE"""),"Refined Magatama")</f>
        <v>Refined Magatama</v>
      </c>
      <c r="F462" s="24"/>
      <c r="G462" s="24"/>
      <c r="H462" s="25"/>
      <c r="I462" s="25"/>
      <c r="J462" s="26"/>
      <c r="K462" s="25"/>
      <c r="L462" s="26"/>
      <c r="M462" s="25"/>
      <c r="N462" s="25"/>
      <c r="O462" s="25"/>
      <c r="P462" s="25"/>
      <c r="Q462" s="26"/>
      <c r="R462" s="25"/>
      <c r="S462" s="26"/>
      <c r="T462" s="25"/>
      <c r="U462" s="25"/>
      <c r="V462" s="25"/>
      <c r="W462" s="25"/>
      <c r="X462" s="26"/>
      <c r="Y462" s="25"/>
      <c r="Z462" s="26"/>
      <c r="AA462" s="25"/>
      <c r="AB462" s="25"/>
      <c r="AC462" s="25"/>
      <c r="AD462" s="25"/>
      <c r="AE462" s="26"/>
      <c r="AF462" s="25"/>
      <c r="AG462" s="26"/>
      <c r="AH462" s="24"/>
      <c r="AI462" s="25"/>
      <c r="AJ462" s="23"/>
    </row>
    <row r="463" ht="24.75" customHeight="1">
      <c r="A463" s="28">
        <f>IFERROR(__xludf.DUMMYFUNCTION("""COMPUTED_VALUE"""),1.0)</f>
        <v>1</v>
      </c>
      <c r="B463" s="28" t="str">
        <f>IFERROR(__xludf.DUMMYFUNCTION("""COMPUTED_VALUE"""),"A212")</f>
        <v>A212</v>
      </c>
      <c r="C463" s="28" t="str">
        <f>IFERROR(__xludf.DUMMYFUNCTION("""COMPUTED_VALUE"""),"SMS4")</f>
        <v>SMS4</v>
      </c>
      <c r="D463" s="29" t="str">
        <f>IFERROR(__xludf.DUMMYFUNCTION("""COMPUTED_VALUE"""),"Shimosa")</f>
        <v>Shimosa</v>
      </c>
      <c r="E463" s="30" t="str">
        <f>IFERROR(__xludf.DUMMYFUNCTION("""COMPUTED_VALUE"""),"Castle Town")</f>
        <v>Castle Town</v>
      </c>
      <c r="F463" s="31">
        <f>IFERROR(__xludf.DUMMYFUNCTION("""COMPUTED_VALUE"""),21.0)</f>
        <v>21</v>
      </c>
      <c r="G463" s="32">
        <f>IFERROR(__xludf.DUMMYFUNCTION("""COMPUTED_VALUE"""),14645.0)</f>
        <v>14645</v>
      </c>
      <c r="H463" s="33" t="str">
        <f>IFERROR(__xludf.DUMMYFUNCTION("""COMPUTED_VALUE"""),"")</f>
        <v/>
      </c>
      <c r="I463" s="34">
        <f>IFERROR(__xludf.DUMMYFUNCTION("""COMPUTED_VALUE"""),51.96926235567967)</f>
        <v>51.96926236</v>
      </c>
      <c r="J463" s="35" t="str">
        <f>IFERROR(__xludf.DUMMYFUNCTION("""COMPUTED_VALUE"""),"AP")</f>
        <v>AP</v>
      </c>
      <c r="K463" s="34">
        <f>IFERROR(__xludf.DUMMYFUNCTION("""COMPUTED_VALUE"""),40.40850119494708)</f>
        <v>40.40850119</v>
      </c>
      <c r="L463" s="35" t="str">
        <f>IFERROR(__xludf.DUMMYFUNCTION("""COMPUTED_VALUE"""),"%")</f>
        <v>%</v>
      </c>
      <c r="M463" s="36">
        <f>IFERROR(__xludf.DUMMYFUNCTION("""COMPUTED_VALUE"""),1.0)</f>
        <v>1</v>
      </c>
      <c r="N463" s="37" t="str">
        <f>IFERROR(__xludf.DUMMYFUNCTION("""COMPUTED_VALUE"""),"B111")</f>
        <v>B111</v>
      </c>
      <c r="O463" s="38" t="str">
        <f>IFERROR(__xludf.DUMMYFUNCTION("""COMPUTED_VALUE"""),"")</f>
        <v/>
      </c>
      <c r="P463" s="34">
        <f>IFERROR(__xludf.DUMMYFUNCTION("""COMPUTED_VALUE"""),52.218147120312175)</f>
        <v>52.21814712</v>
      </c>
      <c r="Q463" s="35" t="str">
        <f>IFERROR(__xludf.DUMMYFUNCTION("""COMPUTED_VALUE"""),"AP")</f>
        <v>AP</v>
      </c>
      <c r="R463" s="34">
        <f>IFERROR(__xludf.DUMMYFUNCTION("""COMPUTED_VALUE"""),40.21590415993768)</f>
        <v>40.21590416</v>
      </c>
      <c r="S463" s="35" t="str">
        <f>IFERROR(__xludf.DUMMYFUNCTION("""COMPUTED_VALUE"""),"%")</f>
        <v>%</v>
      </c>
      <c r="T463" s="36">
        <f>IFERROR(__xludf.DUMMYFUNCTION("""COMPUTED_VALUE"""),2.0)</f>
        <v>2</v>
      </c>
      <c r="U463" s="37"/>
      <c r="V463" s="38"/>
      <c r="W463" s="34" t="str">
        <f>IFERROR(__xludf.DUMMYFUNCTION("""COMPUTED_VALUE"""),"")</f>
        <v/>
      </c>
      <c r="X463" s="35" t="str">
        <f>IFERROR(__xludf.DUMMYFUNCTION("""COMPUTED_VALUE"""),"AP")</f>
        <v>AP</v>
      </c>
      <c r="Y463" s="34" t="str">
        <f>IFERROR(__xludf.DUMMYFUNCTION("""COMPUTED_VALUE"""),"")</f>
        <v/>
      </c>
      <c r="Z463" s="35" t="str">
        <f>IFERROR(__xludf.DUMMYFUNCTION("""COMPUTED_VALUE"""),"%")</f>
        <v>%</v>
      </c>
      <c r="AA463" s="36">
        <f>IFERROR(__xludf.DUMMYFUNCTION("""COMPUTED_VALUE"""),3.0)</f>
        <v>3</v>
      </c>
      <c r="AB463" s="37"/>
      <c r="AC463" s="38"/>
      <c r="AD463" s="34" t="str">
        <f>IFERROR(__xludf.DUMMYFUNCTION("""COMPUTED_VALUE"""),"")</f>
        <v/>
      </c>
      <c r="AE463" s="35" t="str">
        <f>IFERROR(__xludf.DUMMYFUNCTION("""COMPUTED_VALUE"""),"AP")</f>
        <v>AP</v>
      </c>
      <c r="AF463" s="34" t="str">
        <f>IFERROR(__xludf.DUMMYFUNCTION("""COMPUTED_VALUE"""),"")</f>
        <v/>
      </c>
      <c r="AG463" s="35" t="str">
        <f>IFERROR(__xludf.DUMMYFUNCTION("""COMPUTED_VALUE"""),"%")</f>
        <v>%</v>
      </c>
      <c r="AH463" s="31">
        <f>IFERROR(__xludf.DUMMYFUNCTION("""COMPUTED_VALUE"""),21.0)</f>
        <v>21</v>
      </c>
      <c r="AI463" s="32">
        <f>IFERROR(__xludf.DUMMYFUNCTION("""COMPUTED_VALUE"""),14645.0)</f>
        <v>14645</v>
      </c>
      <c r="AJ463" s="30" t="str">
        <f>IFERROR(__xludf.DUMMYFUNCTION("""COMPUTED_VALUE"""),"Castle Town")</f>
        <v>Castle Town</v>
      </c>
    </row>
    <row r="464" ht="24.75" customHeight="1">
      <c r="A464" s="40">
        <f>IFERROR(__xludf.DUMMYFUNCTION("""COMPUTED_VALUE"""),2.0)</f>
        <v>2</v>
      </c>
      <c r="B464" s="40" t="str">
        <f>IFERROR(__xludf.DUMMYFUNCTION("""COMPUTED_VALUE"""),"A212")</f>
        <v>A212</v>
      </c>
      <c r="C464" s="40" t="str">
        <f>IFERROR(__xludf.DUMMYFUNCTION("""COMPUTED_VALUE"""),"SMS6")</f>
        <v>SMS6</v>
      </c>
      <c r="D464" s="41" t="str">
        <f>IFERROR(__xludf.DUMMYFUNCTION("""COMPUTED_VALUE"""),"Shimosa")</f>
        <v>Shimosa</v>
      </c>
      <c r="E464" s="42" t="str">
        <f>IFERROR(__xludf.DUMMYFUNCTION("""COMPUTED_VALUE"""),"Toke Castle")</f>
        <v>Toke Castle</v>
      </c>
      <c r="F464" s="43">
        <f>IFERROR(__xludf.DUMMYFUNCTION("""COMPUTED_VALUE"""),21.0)</f>
        <v>21</v>
      </c>
      <c r="G464" s="44">
        <f>IFERROR(__xludf.DUMMYFUNCTION("""COMPUTED_VALUE"""),2773.0)</f>
        <v>2773</v>
      </c>
      <c r="H464" s="33" t="str">
        <f>IFERROR(__xludf.DUMMYFUNCTION("""COMPUTED_VALUE"""),"")</f>
        <v/>
      </c>
      <c r="I464" s="45">
        <f>IFERROR(__xludf.DUMMYFUNCTION("""COMPUTED_VALUE"""),78.75358551755195)</f>
        <v>78.75358552</v>
      </c>
      <c r="J464" s="46" t="str">
        <f>IFERROR(__xludf.DUMMYFUNCTION("""COMPUTED_VALUE"""),"AP")</f>
        <v>AP</v>
      </c>
      <c r="K464" s="47">
        <f>IFERROR(__xludf.DUMMYFUNCTION("""COMPUTED_VALUE"""),26.66545257843491)</f>
        <v>26.66545258</v>
      </c>
      <c r="L464" s="48" t="str">
        <f>IFERROR(__xludf.DUMMYFUNCTION("""COMPUTED_VALUE"""),"%")</f>
        <v>%</v>
      </c>
      <c r="M464" s="49">
        <f>IFERROR(__xludf.DUMMYFUNCTION("""COMPUTED_VALUE"""),1.0)</f>
        <v>1</v>
      </c>
      <c r="N464" s="50" t="str">
        <f>IFERROR(__xludf.DUMMYFUNCTION("""COMPUTED_VALUE"""),"A112")</f>
        <v>A112</v>
      </c>
      <c r="O464" s="38" t="str">
        <f>IFERROR(__xludf.DUMMYFUNCTION("""COMPUTED_VALUE"""),"")</f>
        <v/>
      </c>
      <c r="P464" s="45">
        <f>IFERROR(__xludf.DUMMYFUNCTION("""COMPUTED_VALUE"""),221.29624351593228)</f>
        <v>221.2962435</v>
      </c>
      <c r="Q464" s="46" t="str">
        <f>IFERROR(__xludf.DUMMYFUNCTION("""COMPUTED_VALUE"""),"AP")</f>
        <v>AP</v>
      </c>
      <c r="R464" s="47">
        <f>IFERROR(__xludf.DUMMYFUNCTION("""COMPUTED_VALUE"""),9.489542012261088)</f>
        <v>9.489542012</v>
      </c>
      <c r="S464" s="48" t="str">
        <f>IFERROR(__xludf.DUMMYFUNCTION("""COMPUTED_VALUE"""),"%")</f>
        <v>%</v>
      </c>
      <c r="T464" s="49">
        <f>IFERROR(__xludf.DUMMYFUNCTION("""COMPUTED_VALUE"""),2.0)</f>
        <v>2</v>
      </c>
      <c r="U464" s="50" t="str">
        <f>IFERROR(__xludf.DUMMYFUNCTION("""COMPUTED_VALUE"""),"A304")</f>
        <v>A304</v>
      </c>
      <c r="V464" s="38" t="str">
        <f>IFERROR(__xludf.DUMMYFUNCTION("""COMPUTED_VALUE"""),"")</f>
        <v/>
      </c>
      <c r="W464" s="45">
        <f>IFERROR(__xludf.DUMMYFUNCTION("""COMPUTED_VALUE"""),72.17782867851845)</f>
        <v>72.17782868</v>
      </c>
      <c r="X464" s="46" t="str">
        <f>IFERROR(__xludf.DUMMYFUNCTION("""COMPUTED_VALUE"""),"AP")</f>
        <v>AP</v>
      </c>
      <c r="Y464" s="47">
        <f>IFERROR(__xludf.DUMMYFUNCTION("""COMPUTED_VALUE"""),29.094807068157227)</f>
        <v>29.09480707</v>
      </c>
      <c r="Z464" s="48" t="str">
        <f>IFERROR(__xludf.DUMMYFUNCTION("""COMPUTED_VALUE"""),"%")</f>
        <v>%</v>
      </c>
      <c r="AA464" s="49">
        <f>IFERROR(__xludf.DUMMYFUNCTION("""COMPUTED_VALUE"""),3.0)</f>
        <v>3</v>
      </c>
      <c r="AB464" s="50" t="str">
        <f>IFERROR(__xludf.DUMMYFUNCTION("""COMPUTED_VALUE"""),"B103")</f>
        <v>B103</v>
      </c>
      <c r="AC464" s="38" t="str">
        <f>IFERROR(__xludf.DUMMYFUNCTION("""COMPUTED_VALUE"""),"")</f>
        <v/>
      </c>
      <c r="AD464" s="45">
        <f>IFERROR(__xludf.DUMMYFUNCTION("""COMPUTED_VALUE"""),512.4340021119324)</f>
        <v>512.4340021</v>
      </c>
      <c r="AE464" s="46" t="str">
        <f>IFERROR(__xludf.DUMMYFUNCTION("""COMPUTED_VALUE"""),"AP")</f>
        <v>AP</v>
      </c>
      <c r="AF464" s="47">
        <f>IFERROR(__xludf.DUMMYFUNCTION("""COMPUTED_VALUE"""),4.098088712585647)</f>
        <v>4.098088713</v>
      </c>
      <c r="AG464" s="48" t="str">
        <f>IFERROR(__xludf.DUMMYFUNCTION("""COMPUTED_VALUE"""),"%")</f>
        <v>%</v>
      </c>
      <c r="AH464" s="43">
        <f>IFERROR(__xludf.DUMMYFUNCTION("""COMPUTED_VALUE"""),21.0)</f>
        <v>21</v>
      </c>
      <c r="AI464" s="44">
        <f>IFERROR(__xludf.DUMMYFUNCTION("""COMPUTED_VALUE"""),2773.0)</f>
        <v>2773</v>
      </c>
      <c r="AJ464" s="42" t="str">
        <f>IFERROR(__xludf.DUMMYFUNCTION("""COMPUTED_VALUE"""),"Toke Castle")</f>
        <v>Toke Castle</v>
      </c>
    </row>
    <row r="465" ht="24.75" customHeight="1">
      <c r="A465" s="28">
        <f>IFERROR(__xludf.DUMMYFUNCTION("""COMPUTED_VALUE"""),3.0)</f>
        <v>3</v>
      </c>
      <c r="B465" s="28" t="str">
        <f>IFERROR(__xludf.DUMMYFUNCTION("""COMPUTED_VALUE"""),"A212")</f>
        <v>A212</v>
      </c>
      <c r="C465" s="28" t="str">
        <f>IFERROR(__xludf.DUMMYFUNCTION("""COMPUTED_VALUE"""),"SMS2")</f>
        <v>SMS2</v>
      </c>
      <c r="D465" s="29" t="str">
        <f>IFERROR(__xludf.DUMMYFUNCTION("""COMPUTED_VALUE"""),"Shimosa")</f>
        <v>Shimosa</v>
      </c>
      <c r="E465" s="30" t="str">
        <f>IFERROR(__xludf.DUMMYFUNCTION("""COMPUTED_VALUE"""),"Village")</f>
        <v>Village</v>
      </c>
      <c r="F465" s="31">
        <f>IFERROR(__xludf.DUMMYFUNCTION("""COMPUTED_VALUE"""),21.0)</f>
        <v>21</v>
      </c>
      <c r="G465" s="32">
        <f>IFERROR(__xludf.DUMMYFUNCTION("""COMPUTED_VALUE"""),26525.0)</f>
        <v>26525</v>
      </c>
      <c r="H465" s="33" t="str">
        <f>IFERROR(__xludf.DUMMYFUNCTION("""COMPUTED_VALUE"""),"")</f>
        <v/>
      </c>
      <c r="I465" s="34">
        <f>IFERROR(__xludf.DUMMYFUNCTION("""COMPUTED_VALUE"""),82.72694383255987)</f>
        <v>82.72694383</v>
      </c>
      <c r="J465" s="35" t="str">
        <f>IFERROR(__xludf.DUMMYFUNCTION("""COMPUTED_VALUE"""),"AP")</f>
        <v>AP</v>
      </c>
      <c r="K465" s="34">
        <f>IFERROR(__xludf.DUMMYFUNCTION("""COMPUTED_VALUE"""),25.38471630537229)</f>
        <v>25.38471631</v>
      </c>
      <c r="L465" s="35" t="str">
        <f>IFERROR(__xludf.DUMMYFUNCTION("""COMPUTED_VALUE"""),"%")</f>
        <v>%</v>
      </c>
      <c r="M465" s="36">
        <f>IFERROR(__xludf.DUMMYFUNCTION("""COMPUTED_VALUE"""),1.0)</f>
        <v>1</v>
      </c>
      <c r="N465" s="37" t="str">
        <f>IFERROR(__xludf.DUMMYFUNCTION("""COMPUTED_VALUE"""),"A201")</f>
        <v>A201</v>
      </c>
      <c r="O465" s="38" t="str">
        <f>IFERROR(__xludf.DUMMYFUNCTION("""COMPUTED_VALUE"""),"")</f>
        <v/>
      </c>
      <c r="P465" s="34">
        <f>IFERROR(__xludf.DUMMYFUNCTION("""COMPUTED_VALUE"""),59.70226519734946)</f>
        <v>59.7022652</v>
      </c>
      <c r="Q465" s="35" t="str">
        <f>IFERROR(__xludf.DUMMYFUNCTION("""COMPUTED_VALUE"""),"AP")</f>
        <v>AP</v>
      </c>
      <c r="R465" s="34">
        <f>IFERROR(__xludf.DUMMYFUNCTION("""COMPUTED_VALUE"""),35.17454476908577)</f>
        <v>35.17454477</v>
      </c>
      <c r="S465" s="35" t="str">
        <f>IFERROR(__xludf.DUMMYFUNCTION("""COMPUTED_VALUE"""),"%")</f>
        <v>%</v>
      </c>
      <c r="T465" s="36">
        <f>IFERROR(__xludf.DUMMYFUNCTION("""COMPUTED_VALUE"""),2.0)</f>
        <v>2</v>
      </c>
      <c r="U465" s="37" t="str">
        <f>IFERROR(__xludf.DUMMYFUNCTION("""COMPUTED_VALUE"""),"A304")</f>
        <v>A304</v>
      </c>
      <c r="V465" s="38" t="str">
        <f>IFERROR(__xludf.DUMMYFUNCTION("""COMPUTED_VALUE"""),"")</f>
        <v/>
      </c>
      <c r="W465" s="34">
        <f>IFERROR(__xludf.DUMMYFUNCTION("""COMPUTED_VALUE"""),69.34060418474793)</f>
        <v>69.34060418</v>
      </c>
      <c r="X465" s="35" t="str">
        <f>IFERROR(__xludf.DUMMYFUNCTION("""COMPUTED_VALUE"""),"AP")</f>
        <v>AP</v>
      </c>
      <c r="Y465" s="34">
        <f>IFERROR(__xludf.DUMMYFUNCTION("""COMPUTED_VALUE"""),30.28528557964185)</f>
        <v>30.28528558</v>
      </c>
      <c r="Z465" s="35" t="str">
        <f>IFERROR(__xludf.DUMMYFUNCTION("""COMPUTED_VALUE"""),"%")</f>
        <v>%</v>
      </c>
      <c r="AA465" s="36">
        <f>IFERROR(__xludf.DUMMYFUNCTION("""COMPUTED_VALUE"""),3.0)</f>
        <v>3</v>
      </c>
      <c r="AB465" s="37" t="str">
        <f>IFERROR(__xludf.DUMMYFUNCTION("""COMPUTED_VALUE"""),"B111")</f>
        <v>B111</v>
      </c>
      <c r="AC465" s="38" t="str">
        <f>IFERROR(__xludf.DUMMYFUNCTION("""COMPUTED_VALUE"""),"")</f>
        <v/>
      </c>
      <c r="AD465" s="34">
        <f>IFERROR(__xludf.DUMMYFUNCTION("""COMPUTED_VALUE"""),119.44410048651937)</f>
        <v>119.4441005</v>
      </c>
      <c r="AE465" s="35" t="str">
        <f>IFERROR(__xludf.DUMMYFUNCTION("""COMPUTED_VALUE"""),"AP")</f>
        <v>AP</v>
      </c>
      <c r="AF465" s="34">
        <f>IFERROR(__xludf.DUMMYFUNCTION("""COMPUTED_VALUE"""),17.581445977208467)</f>
        <v>17.58144598</v>
      </c>
      <c r="AG465" s="35" t="str">
        <f>IFERROR(__xludf.DUMMYFUNCTION("""COMPUTED_VALUE"""),"%")</f>
        <v>%</v>
      </c>
      <c r="AH465" s="31">
        <f>IFERROR(__xludf.DUMMYFUNCTION("""COMPUTED_VALUE"""),21.0)</f>
        <v>21</v>
      </c>
      <c r="AI465" s="32">
        <f>IFERROR(__xludf.DUMMYFUNCTION("""COMPUTED_VALUE"""),26525.0)</f>
        <v>26525</v>
      </c>
      <c r="AJ465" s="30" t="str">
        <f>IFERROR(__xludf.DUMMYFUNCTION("""COMPUTED_VALUE"""),"Village")</f>
        <v>Village</v>
      </c>
    </row>
    <row r="466" ht="24.75" customHeight="1">
      <c r="A466" s="40">
        <f>IFERROR(__xludf.DUMMYFUNCTION("""COMPUTED_VALUE"""),4.0)</f>
        <v>4</v>
      </c>
      <c r="B466" s="40" t="str">
        <f>IFERROR(__xludf.DUMMYFUNCTION("""COMPUTED_VALUE"""),"A212")</f>
        <v>A212</v>
      </c>
      <c r="C466" s="40" t="str">
        <f>IFERROR(__xludf.DUMMYFUNCTION("""COMPUTED_VALUE"""),"SMS5")</f>
        <v>SMS5</v>
      </c>
      <c r="D466" s="41" t="str">
        <f>IFERROR(__xludf.DUMMYFUNCTION("""COMPUTED_VALUE"""),"Shimosa")</f>
        <v>Shimosa</v>
      </c>
      <c r="E466" s="42" t="str">
        <f>IFERROR(__xludf.DUMMYFUNCTION("""COMPUTED_VALUE"""),"Battlefield")</f>
        <v>Battlefield</v>
      </c>
      <c r="F466" s="43">
        <f>IFERROR(__xludf.DUMMYFUNCTION("""COMPUTED_VALUE"""),21.0)</f>
        <v>21</v>
      </c>
      <c r="G466" s="44">
        <f>IFERROR(__xludf.DUMMYFUNCTION("""COMPUTED_VALUE"""),110709.0)</f>
        <v>110709</v>
      </c>
      <c r="H466" s="33" t="str">
        <f>IFERROR(__xludf.DUMMYFUNCTION("""COMPUTED_VALUE"""),"")</f>
        <v/>
      </c>
      <c r="I466" s="45">
        <f>IFERROR(__xludf.DUMMYFUNCTION("""COMPUTED_VALUE"""),83.30136080434045)</f>
        <v>83.3013608</v>
      </c>
      <c r="J466" s="46" t="str">
        <f>IFERROR(__xludf.DUMMYFUNCTION("""COMPUTED_VALUE"""),"AP")</f>
        <v>AP</v>
      </c>
      <c r="K466" s="47">
        <f>IFERROR(__xludf.DUMMYFUNCTION("""COMPUTED_VALUE"""),25.20967220370521)</f>
        <v>25.2096722</v>
      </c>
      <c r="L466" s="48" t="str">
        <f>IFERROR(__xludf.DUMMYFUNCTION("""COMPUTED_VALUE"""),"%")</f>
        <v>%</v>
      </c>
      <c r="M466" s="49">
        <f>IFERROR(__xludf.DUMMYFUNCTION("""COMPUTED_VALUE"""),1.0)</f>
        <v>1</v>
      </c>
      <c r="N466" s="50" t="str">
        <f>IFERROR(__xludf.DUMMYFUNCTION("""COMPUTED_VALUE"""),"A302")</f>
        <v>A302</v>
      </c>
      <c r="O466" s="38" t="str">
        <f>IFERROR(__xludf.DUMMYFUNCTION("""COMPUTED_VALUE"""),"")</f>
        <v/>
      </c>
      <c r="P466" s="45">
        <f>IFERROR(__xludf.DUMMYFUNCTION("""COMPUTED_VALUE"""),52.630541179626036)</f>
        <v>52.63054118</v>
      </c>
      <c r="Q466" s="46" t="str">
        <f>IFERROR(__xludf.DUMMYFUNCTION("""COMPUTED_VALUE"""),"AP")</f>
        <v>AP</v>
      </c>
      <c r="R466" s="47">
        <f>IFERROR(__xludf.DUMMYFUNCTION("""COMPUTED_VALUE"""),39.90078674723826)</f>
        <v>39.90078675</v>
      </c>
      <c r="S466" s="48" t="str">
        <f>IFERROR(__xludf.DUMMYFUNCTION("""COMPUTED_VALUE"""),"%")</f>
        <v>%</v>
      </c>
      <c r="T466" s="49">
        <f>IFERROR(__xludf.DUMMYFUNCTION("""COMPUTED_VALUE"""),2.0)</f>
        <v>2</v>
      </c>
      <c r="U466" s="50" t="str">
        <f>IFERROR(__xludf.DUMMYFUNCTION("""COMPUTED_VALUE"""),"A304")</f>
        <v>A304</v>
      </c>
      <c r="V466" s="38" t="str">
        <f>IFERROR(__xludf.DUMMYFUNCTION("""COMPUTED_VALUE"""),"")</f>
        <v/>
      </c>
      <c r="W466" s="45">
        <f>IFERROR(__xludf.DUMMYFUNCTION("""COMPUTED_VALUE"""),68.41034371409573)</f>
        <v>68.41034371</v>
      </c>
      <c r="X466" s="46" t="str">
        <f>IFERROR(__xludf.DUMMYFUNCTION("""COMPUTED_VALUE"""),"AP")</f>
        <v>AP</v>
      </c>
      <c r="Y466" s="47">
        <f>IFERROR(__xludf.DUMMYFUNCTION("""COMPUTED_VALUE"""),30.697112249229964)</f>
        <v>30.69711225</v>
      </c>
      <c r="Z466" s="48" t="str">
        <f>IFERROR(__xludf.DUMMYFUNCTION("""COMPUTED_VALUE"""),"%")</f>
        <v>%</v>
      </c>
      <c r="AA466" s="49">
        <f>IFERROR(__xludf.DUMMYFUNCTION("""COMPUTED_VALUE"""),3.0)</f>
        <v>3</v>
      </c>
      <c r="AB466" s="50" t="str">
        <f>IFERROR(__xludf.DUMMYFUNCTION("""COMPUTED_VALUE"""),"B111")</f>
        <v>B111</v>
      </c>
      <c r="AC466" s="38" t="str">
        <f>IFERROR(__xludf.DUMMYFUNCTION("""COMPUTED_VALUE"""),"")</f>
        <v/>
      </c>
      <c r="AD466" s="45">
        <f>IFERROR(__xludf.DUMMYFUNCTION("""COMPUTED_VALUE"""),136.3682926885222)</f>
        <v>136.3682927</v>
      </c>
      <c r="AE466" s="46" t="str">
        <f>IFERROR(__xludf.DUMMYFUNCTION("""COMPUTED_VALUE"""),"AP")</f>
        <v>AP</v>
      </c>
      <c r="AF466" s="47">
        <f>IFERROR(__xludf.DUMMYFUNCTION("""COMPUTED_VALUE"""),15.39947416366497)</f>
        <v>15.39947416</v>
      </c>
      <c r="AG466" s="48" t="str">
        <f>IFERROR(__xludf.DUMMYFUNCTION("""COMPUTED_VALUE"""),"%")</f>
        <v>%</v>
      </c>
      <c r="AH466" s="43">
        <f>IFERROR(__xludf.DUMMYFUNCTION("""COMPUTED_VALUE"""),21.0)</f>
        <v>21</v>
      </c>
      <c r="AI466" s="44">
        <f>IFERROR(__xludf.DUMMYFUNCTION("""COMPUTED_VALUE"""),110709.0)</f>
        <v>110709</v>
      </c>
      <c r="AJ466" s="42" t="str">
        <f>IFERROR(__xludf.DUMMYFUNCTION("""COMPUTED_VALUE"""),"Battlefield")</f>
        <v>Battlefield</v>
      </c>
    </row>
    <row r="467" ht="24.75" customHeight="1">
      <c r="A467" s="28">
        <f>IFERROR(__xludf.DUMMYFUNCTION("""COMPUTED_VALUE"""),5.0)</f>
        <v>5</v>
      </c>
      <c r="B467" s="28" t="str">
        <f>IFERROR(__xludf.DUMMYFUNCTION("""COMPUTED_VALUE"""),"A212")</f>
        <v>A212</v>
      </c>
      <c r="C467" s="28" t="str">
        <f>IFERROR(__xludf.DUMMYFUNCTION("""COMPUTED_VALUE"""),"SMS3")</f>
        <v>SMS3</v>
      </c>
      <c r="D467" s="29" t="str">
        <f>IFERROR(__xludf.DUMMYFUNCTION("""COMPUTED_VALUE"""),"Shimosa")</f>
        <v>Shimosa</v>
      </c>
      <c r="E467" s="30" t="str">
        <f>IFERROR(__xludf.DUMMYFUNCTION("""COMPUTED_VALUE"""),"Monastery")</f>
        <v>Monastery</v>
      </c>
      <c r="F467" s="31">
        <f>IFERROR(__xludf.DUMMYFUNCTION("""COMPUTED_VALUE"""),21.0)</f>
        <v>21</v>
      </c>
      <c r="G467" s="32">
        <f>IFERROR(__xludf.DUMMYFUNCTION("""COMPUTED_VALUE"""),10342.0)</f>
        <v>10342</v>
      </c>
      <c r="H467" s="33" t="str">
        <f>IFERROR(__xludf.DUMMYFUNCTION("""COMPUTED_VALUE"""),"")</f>
        <v/>
      </c>
      <c r="I467" s="34">
        <f>IFERROR(__xludf.DUMMYFUNCTION("""COMPUTED_VALUE"""),83.41603933015824)</f>
        <v>83.41603933</v>
      </c>
      <c r="J467" s="35" t="str">
        <f>IFERROR(__xludf.DUMMYFUNCTION("""COMPUTED_VALUE"""),"AP")</f>
        <v>AP</v>
      </c>
      <c r="K467" s="34">
        <f>IFERROR(__xludf.DUMMYFUNCTION("""COMPUTED_VALUE"""),25.175014503964416)</f>
        <v>25.1750145</v>
      </c>
      <c r="L467" s="35" t="str">
        <f>IFERROR(__xludf.DUMMYFUNCTION("""COMPUTED_VALUE"""),"%")</f>
        <v>%</v>
      </c>
      <c r="M467" s="36">
        <f>IFERROR(__xludf.DUMMYFUNCTION("""COMPUTED_VALUE"""),1.0)</f>
        <v>1</v>
      </c>
      <c r="N467" s="37" t="str">
        <f>IFERROR(__xludf.DUMMYFUNCTION("""COMPUTED_VALUE"""),"A202")</f>
        <v>A202</v>
      </c>
      <c r="O467" s="38" t="str">
        <f>IFERROR(__xludf.DUMMYFUNCTION("""COMPUTED_VALUE"""),"")</f>
        <v/>
      </c>
      <c r="P467" s="34">
        <f>IFERROR(__xludf.DUMMYFUNCTION("""COMPUTED_VALUE"""),83.35201105311637)</f>
        <v>83.35201105</v>
      </c>
      <c r="Q467" s="35" t="str">
        <f>IFERROR(__xludf.DUMMYFUNCTION("""COMPUTED_VALUE"""),"AP")</f>
        <v>AP</v>
      </c>
      <c r="R467" s="34">
        <f>IFERROR(__xludf.DUMMYFUNCTION("""COMPUTED_VALUE"""),25.194353123187003)</f>
        <v>25.19435312</v>
      </c>
      <c r="S467" s="35" t="str">
        <f>IFERROR(__xludf.DUMMYFUNCTION("""COMPUTED_VALUE"""),"%")</f>
        <v>%</v>
      </c>
      <c r="T467" s="36">
        <f>IFERROR(__xludf.DUMMYFUNCTION("""COMPUTED_VALUE"""),2.0)</f>
        <v>2</v>
      </c>
      <c r="U467" s="37" t="str">
        <f>IFERROR(__xludf.DUMMYFUNCTION("""COMPUTED_VALUE"""),"B111")</f>
        <v>B111</v>
      </c>
      <c r="V467" s="38" t="str">
        <f>IFERROR(__xludf.DUMMYFUNCTION("""COMPUTED_VALUE"""),"")</f>
        <v/>
      </c>
      <c r="W467" s="34">
        <f>IFERROR(__xludf.DUMMYFUNCTION("""COMPUTED_VALUE"""),101.04308179026705)</f>
        <v>101.0430818</v>
      </c>
      <c r="X467" s="35" t="str">
        <f>IFERROR(__xludf.DUMMYFUNCTION("""COMPUTED_VALUE"""),"AP")</f>
        <v>AP</v>
      </c>
      <c r="Y467" s="34">
        <f>IFERROR(__xludf.DUMMYFUNCTION("""COMPUTED_VALUE"""),20.783214078514796)</f>
        <v>20.78321408</v>
      </c>
      <c r="Z467" s="35" t="str">
        <f>IFERROR(__xludf.DUMMYFUNCTION("""COMPUTED_VALUE"""),"%")</f>
        <v>%</v>
      </c>
      <c r="AA467" s="36">
        <f>IFERROR(__xludf.DUMMYFUNCTION("""COMPUTED_VALUE"""),3.0)</f>
        <v>3</v>
      </c>
      <c r="AB467" s="37"/>
      <c r="AC467" s="38"/>
      <c r="AD467" s="34" t="str">
        <f>IFERROR(__xludf.DUMMYFUNCTION("""COMPUTED_VALUE"""),"")</f>
        <v/>
      </c>
      <c r="AE467" s="35" t="str">
        <f>IFERROR(__xludf.DUMMYFUNCTION("""COMPUTED_VALUE"""),"AP")</f>
        <v>AP</v>
      </c>
      <c r="AF467" s="34" t="str">
        <f>IFERROR(__xludf.DUMMYFUNCTION("""COMPUTED_VALUE"""),"")</f>
        <v/>
      </c>
      <c r="AG467" s="35" t="str">
        <f>IFERROR(__xludf.DUMMYFUNCTION("""COMPUTED_VALUE"""),"%")</f>
        <v>%</v>
      </c>
      <c r="AH467" s="31">
        <f>IFERROR(__xludf.DUMMYFUNCTION("""COMPUTED_VALUE"""),21.0)</f>
        <v>21</v>
      </c>
      <c r="AI467" s="32">
        <f>IFERROR(__xludf.DUMMYFUNCTION("""COMPUTED_VALUE"""),10342.0)</f>
        <v>10342</v>
      </c>
      <c r="AJ467" s="30" t="str">
        <f>IFERROR(__xludf.DUMMYFUNCTION("""COMPUTED_VALUE"""),"Monastery")</f>
        <v>Monastery</v>
      </c>
    </row>
    <row r="468" ht="24.75" customHeight="1">
      <c r="A468" s="40">
        <f>IFERROR(__xludf.DUMMYFUNCTION("""COMPUTED_VALUE"""),6.0)</f>
        <v>6</v>
      </c>
      <c r="B468" s="40" t="str">
        <f>IFERROR(__xludf.DUMMYFUNCTION("""COMPUTED_VALUE"""),"A212")</f>
        <v>A212</v>
      </c>
      <c r="C468" s="40" t="str">
        <f>IFERROR(__xludf.DUMMYFUNCTION("""COMPUTED_VALUE"""),"SMS7")</f>
        <v>SMS7</v>
      </c>
      <c r="D468" s="41" t="str">
        <f>IFERROR(__xludf.DUMMYFUNCTION("""COMPUTED_VALUE"""),"Shimosa")</f>
        <v>Shimosa</v>
      </c>
      <c r="E468" s="42" t="str">
        <f>IFERROR(__xludf.DUMMYFUNCTION("""COMPUTED_VALUE"""),"Rear Mountain (Nameless Sacred Mountain)")</f>
        <v>Rear Mountain (Nameless Sacred Mountain)</v>
      </c>
      <c r="F468" s="43">
        <f>IFERROR(__xludf.DUMMYFUNCTION("""COMPUTED_VALUE"""),21.0)</f>
        <v>21</v>
      </c>
      <c r="G468" s="44">
        <f>IFERROR(__xludf.DUMMYFUNCTION("""COMPUTED_VALUE"""),15434.0)</f>
        <v>15434</v>
      </c>
      <c r="H468" s="33" t="str">
        <f>IFERROR(__xludf.DUMMYFUNCTION("""COMPUTED_VALUE"""),"")</f>
        <v/>
      </c>
      <c r="I468" s="45">
        <f>IFERROR(__xludf.DUMMYFUNCTION("""COMPUTED_VALUE"""),87.14627762190474)</f>
        <v>87.14627762</v>
      </c>
      <c r="J468" s="46" t="str">
        <f>IFERROR(__xludf.DUMMYFUNCTION("""COMPUTED_VALUE"""),"AP")</f>
        <v>AP</v>
      </c>
      <c r="K468" s="47">
        <f>IFERROR(__xludf.DUMMYFUNCTION("""COMPUTED_VALUE"""),24.097414798496825)</f>
        <v>24.0974148</v>
      </c>
      <c r="L468" s="48" t="str">
        <f>IFERROR(__xludf.DUMMYFUNCTION("""COMPUTED_VALUE"""),"%")</f>
        <v>%</v>
      </c>
      <c r="M468" s="49">
        <f>IFERROR(__xludf.DUMMYFUNCTION("""COMPUTED_VALUE"""),1.0)</f>
        <v>1</v>
      </c>
      <c r="N468" s="50" t="str">
        <f>IFERROR(__xludf.DUMMYFUNCTION("""COMPUTED_VALUE"""),"A203")</f>
        <v>A203</v>
      </c>
      <c r="O468" s="38" t="str">
        <f>IFERROR(__xludf.DUMMYFUNCTION("""COMPUTED_VALUE"""),"")</f>
        <v/>
      </c>
      <c r="P468" s="45">
        <f>IFERROR(__xludf.DUMMYFUNCTION("""COMPUTED_VALUE"""),86.10023430153173)</f>
        <v>86.1002343</v>
      </c>
      <c r="Q468" s="46" t="str">
        <f>IFERROR(__xludf.DUMMYFUNCTION("""COMPUTED_VALUE"""),"AP")</f>
        <v>AP</v>
      </c>
      <c r="R468" s="47">
        <f>IFERROR(__xludf.DUMMYFUNCTION("""COMPUTED_VALUE"""),24.390177530128287)</f>
        <v>24.39017753</v>
      </c>
      <c r="S468" s="48" t="str">
        <f>IFERROR(__xludf.DUMMYFUNCTION("""COMPUTED_VALUE"""),"%")</f>
        <v>%</v>
      </c>
      <c r="T468" s="49">
        <f>IFERROR(__xludf.DUMMYFUNCTION("""COMPUTED_VALUE"""),2.0)</f>
        <v>2</v>
      </c>
      <c r="U468" s="50" t="str">
        <f>IFERROR(__xludf.DUMMYFUNCTION("""COMPUTED_VALUE"""),"A304")</f>
        <v>A304</v>
      </c>
      <c r="V468" s="38" t="str">
        <f>IFERROR(__xludf.DUMMYFUNCTION("""COMPUTED_VALUE"""),"")</f>
        <v/>
      </c>
      <c r="W468" s="45">
        <f>IFERROR(__xludf.DUMMYFUNCTION("""COMPUTED_VALUE"""),70.25940228978097)</f>
        <v>70.25940229</v>
      </c>
      <c r="X468" s="46" t="str">
        <f>IFERROR(__xludf.DUMMYFUNCTION("""COMPUTED_VALUE"""),"AP")</f>
        <v>AP</v>
      </c>
      <c r="Y468" s="47">
        <f>IFERROR(__xludf.DUMMYFUNCTION("""COMPUTED_VALUE"""),29.889238045872748)</f>
        <v>29.88923805</v>
      </c>
      <c r="Z468" s="48" t="str">
        <f>IFERROR(__xludf.DUMMYFUNCTION("""COMPUTED_VALUE"""),"%")</f>
        <v>%</v>
      </c>
      <c r="AA468" s="49">
        <f>IFERROR(__xludf.DUMMYFUNCTION("""COMPUTED_VALUE"""),3.0)</f>
        <v>3</v>
      </c>
      <c r="AB468" s="50" t="str">
        <f>IFERROR(__xludf.DUMMYFUNCTION("""COMPUTED_VALUE"""),"B111")</f>
        <v>B111</v>
      </c>
      <c r="AC468" s="38" t="str">
        <f>IFERROR(__xludf.DUMMYFUNCTION("""COMPUTED_VALUE"""),"")</f>
        <v/>
      </c>
      <c r="AD468" s="45">
        <f>IFERROR(__xludf.DUMMYFUNCTION("""COMPUTED_VALUE"""),86.4134629612596)</f>
        <v>86.41346296</v>
      </c>
      <c r="AE468" s="46" t="str">
        <f>IFERROR(__xludf.DUMMYFUNCTION("""COMPUTED_VALUE"""),"AP")</f>
        <v>AP</v>
      </c>
      <c r="AF468" s="47">
        <f>IFERROR(__xludf.DUMMYFUNCTION("""COMPUTED_VALUE"""),24.30176882208112)</f>
        <v>24.30176882</v>
      </c>
      <c r="AG468" s="48" t="str">
        <f>IFERROR(__xludf.DUMMYFUNCTION("""COMPUTED_VALUE"""),"%")</f>
        <v>%</v>
      </c>
      <c r="AH468" s="43">
        <f>IFERROR(__xludf.DUMMYFUNCTION("""COMPUTED_VALUE"""),21.0)</f>
        <v>21</v>
      </c>
      <c r="AI468" s="44">
        <f>IFERROR(__xludf.DUMMYFUNCTION("""COMPUTED_VALUE"""),15434.0)</f>
        <v>15434</v>
      </c>
      <c r="AJ468" s="42" t="str">
        <f>IFERROR(__xludf.DUMMYFUNCTION("""COMPUTED_VALUE"""),"Rear Mountain (Nameless Sacred Mountain)")</f>
        <v>Rear Mountain (Nameless Sacred Mountain)</v>
      </c>
    </row>
    <row r="469" ht="24.75" customHeight="1">
      <c r="A469" s="28">
        <f>IFERROR(__xludf.DUMMYFUNCTION("""COMPUTED_VALUE"""),7.0)</f>
        <v>7</v>
      </c>
      <c r="B469" s="28" t="str">
        <f>IFERROR(__xludf.DUMMYFUNCTION("""COMPUTED_VALUE"""),"A212")</f>
        <v>A212</v>
      </c>
      <c r="C469" s="28" t="str">
        <f>IFERROR(__xludf.DUMMYFUNCTION("""COMPUTED_VALUE"""),"SMS8")</f>
        <v>SMS8</v>
      </c>
      <c r="D469" s="29" t="str">
        <f>IFERROR(__xludf.DUMMYFUNCTION("""COMPUTED_VALUE"""),"Shimosa")</f>
        <v>Shimosa</v>
      </c>
      <c r="E469" s="30" t="str">
        <f>IFERROR(__xludf.DUMMYFUNCTION("""COMPUTED_VALUE"""),"Arakawa Field")</f>
        <v>Arakawa Field</v>
      </c>
      <c r="F469" s="31">
        <f>IFERROR(__xludf.DUMMYFUNCTION("""COMPUTED_VALUE"""),21.0)</f>
        <v>21</v>
      </c>
      <c r="G469" s="32">
        <f>IFERROR(__xludf.DUMMYFUNCTION("""COMPUTED_VALUE"""),29395.0)</f>
        <v>29395</v>
      </c>
      <c r="H469" s="33" t="str">
        <f>IFERROR(__xludf.DUMMYFUNCTION("""COMPUTED_VALUE"""),"")</f>
        <v/>
      </c>
      <c r="I469" s="34">
        <f>IFERROR(__xludf.DUMMYFUNCTION("""COMPUTED_VALUE"""),105.52006188007744)</f>
        <v>105.5200619</v>
      </c>
      <c r="J469" s="35" t="str">
        <f>IFERROR(__xludf.DUMMYFUNCTION("""COMPUTED_VALUE"""),"AP")</f>
        <v>AP</v>
      </c>
      <c r="K469" s="34">
        <f>IFERROR(__xludf.DUMMYFUNCTION("""COMPUTED_VALUE"""),19.90142881442422)</f>
        <v>19.90142881</v>
      </c>
      <c r="L469" s="35" t="str">
        <f>IFERROR(__xludf.DUMMYFUNCTION("""COMPUTED_VALUE"""),"%")</f>
        <v>%</v>
      </c>
      <c r="M469" s="36">
        <f>IFERROR(__xludf.DUMMYFUNCTION("""COMPUTED_VALUE"""),1.0)</f>
        <v>1</v>
      </c>
      <c r="N469" s="37" t="str">
        <f>IFERROR(__xludf.DUMMYFUNCTION("""COMPUTED_VALUE"""),"A111")</f>
        <v>A111</v>
      </c>
      <c r="O469" s="38" t="str">
        <f>IFERROR(__xludf.DUMMYFUNCTION("""COMPUTED_VALUE"""),"")</f>
        <v/>
      </c>
      <c r="P469" s="34">
        <f>IFERROR(__xludf.DUMMYFUNCTION("""COMPUTED_VALUE"""),170.85740777901563)</f>
        <v>170.8574078</v>
      </c>
      <c r="Q469" s="35" t="str">
        <f>IFERROR(__xludf.DUMMYFUNCTION("""COMPUTED_VALUE"""),"AP")</f>
        <v>AP</v>
      </c>
      <c r="R469" s="34">
        <f>IFERROR(__xludf.DUMMYFUNCTION("""COMPUTED_VALUE"""),12.290950841979928)</f>
        <v>12.29095084</v>
      </c>
      <c r="S469" s="35" t="str">
        <f>IFERROR(__xludf.DUMMYFUNCTION("""COMPUTED_VALUE"""),"%")</f>
        <v>%</v>
      </c>
      <c r="T469" s="36">
        <f>IFERROR(__xludf.DUMMYFUNCTION("""COMPUTED_VALUE"""),2.0)</f>
        <v>2</v>
      </c>
      <c r="U469" s="37" t="str">
        <f>IFERROR(__xludf.DUMMYFUNCTION("""COMPUTED_VALUE"""),"A304")</f>
        <v>A304</v>
      </c>
      <c r="V469" s="38" t="str">
        <f>IFERROR(__xludf.DUMMYFUNCTION("""COMPUTED_VALUE"""),"")</f>
        <v/>
      </c>
      <c r="W469" s="34">
        <f>IFERROR(__xludf.DUMMYFUNCTION("""COMPUTED_VALUE"""),70.05560914713726)</f>
        <v>70.05560915</v>
      </c>
      <c r="X469" s="35" t="str">
        <f>IFERROR(__xludf.DUMMYFUNCTION("""COMPUTED_VALUE"""),"AP")</f>
        <v>AP</v>
      </c>
      <c r="Y469" s="34">
        <f>IFERROR(__xludf.DUMMYFUNCTION("""COMPUTED_VALUE"""),29.97618642626297)</f>
        <v>29.97618643</v>
      </c>
      <c r="Z469" s="35" t="str">
        <f>IFERROR(__xludf.DUMMYFUNCTION("""COMPUTED_VALUE"""),"%")</f>
        <v>%</v>
      </c>
      <c r="AA469" s="36">
        <f>IFERROR(__xludf.DUMMYFUNCTION("""COMPUTED_VALUE"""),3.0)</f>
        <v>3</v>
      </c>
      <c r="AB469" s="37" t="str">
        <f>IFERROR(__xludf.DUMMYFUNCTION("""COMPUTED_VALUE"""),"B107")</f>
        <v>B107</v>
      </c>
      <c r="AC469" s="38" t="str">
        <f>IFERROR(__xludf.DUMMYFUNCTION("""COMPUTED_VALUE"""),"")</f>
        <v/>
      </c>
      <c r="AD469" s="34">
        <f>IFERROR(__xludf.DUMMYFUNCTION("""COMPUTED_VALUE"""),680.3887690066965)</f>
        <v>680.388769</v>
      </c>
      <c r="AE469" s="35" t="str">
        <f>IFERROR(__xludf.DUMMYFUNCTION("""COMPUTED_VALUE"""),"AP")</f>
        <v>AP</v>
      </c>
      <c r="AF469" s="34">
        <f>IFERROR(__xludf.DUMMYFUNCTION("""COMPUTED_VALUE"""),3.0864706997821294)</f>
        <v>3.0864707</v>
      </c>
      <c r="AG469" s="35" t="str">
        <f>IFERROR(__xludf.DUMMYFUNCTION("""COMPUTED_VALUE"""),"%")</f>
        <v>%</v>
      </c>
      <c r="AH469" s="31">
        <f>IFERROR(__xludf.DUMMYFUNCTION("""COMPUTED_VALUE"""),21.0)</f>
        <v>21</v>
      </c>
      <c r="AI469" s="32">
        <f>IFERROR(__xludf.DUMMYFUNCTION("""COMPUTED_VALUE"""),29395.0)</f>
        <v>29395</v>
      </c>
      <c r="AJ469" s="30" t="str">
        <f>IFERROR(__xludf.DUMMYFUNCTION("""COMPUTED_VALUE"""),"Arakawa Field")</f>
        <v>Arakawa Field</v>
      </c>
    </row>
    <row r="470" ht="24.75" customHeight="1">
      <c r="A470" s="40">
        <f>IFERROR(__xludf.DUMMYFUNCTION("""COMPUTED_VALUE"""),8.0)</f>
        <v>8</v>
      </c>
      <c r="B470" s="40" t="str">
        <f>IFERROR(__xludf.DUMMYFUNCTION("""COMPUTED_VALUE"""),"A212")</f>
        <v>A212</v>
      </c>
      <c r="C470" s="40"/>
      <c r="D470" s="41"/>
      <c r="E470" s="66"/>
      <c r="F470" s="43"/>
      <c r="G470" s="44"/>
      <c r="H470" s="33" t="str">
        <f>IFERROR(__xludf.DUMMYFUNCTION("""COMPUTED_VALUE""")," ")</f>
        <v> </v>
      </c>
      <c r="I470" s="45"/>
      <c r="J470" s="46" t="str">
        <f>IFERROR(__xludf.DUMMYFUNCTION("""COMPUTED_VALUE"""),"AP")</f>
        <v>AP</v>
      </c>
      <c r="K470" s="47"/>
      <c r="L470" s="48" t="str">
        <f>IFERROR(__xludf.DUMMYFUNCTION("""COMPUTED_VALUE"""),"%")</f>
        <v>%</v>
      </c>
      <c r="M470" s="49">
        <f>IFERROR(__xludf.DUMMYFUNCTION("""COMPUTED_VALUE"""),1.0)</f>
        <v>1</v>
      </c>
      <c r="N470" s="50"/>
      <c r="O470" s="38"/>
      <c r="P470" s="45" t="str">
        <f>IFERROR(__xludf.DUMMYFUNCTION("""COMPUTED_VALUE"""),"")</f>
        <v/>
      </c>
      <c r="Q470" s="46" t="str">
        <f>IFERROR(__xludf.DUMMYFUNCTION("""COMPUTED_VALUE"""),"AP")</f>
        <v>AP</v>
      </c>
      <c r="R470" s="47" t="str">
        <f>IFERROR(__xludf.DUMMYFUNCTION("""COMPUTED_VALUE"""),"")</f>
        <v/>
      </c>
      <c r="S470" s="48" t="str">
        <f>IFERROR(__xludf.DUMMYFUNCTION("""COMPUTED_VALUE"""),"%")</f>
        <v>%</v>
      </c>
      <c r="T470" s="49">
        <f>IFERROR(__xludf.DUMMYFUNCTION("""COMPUTED_VALUE"""),2.0)</f>
        <v>2</v>
      </c>
      <c r="U470" s="50"/>
      <c r="V470" s="38"/>
      <c r="W470" s="45" t="str">
        <f>IFERROR(__xludf.DUMMYFUNCTION("""COMPUTED_VALUE"""),"")</f>
        <v/>
      </c>
      <c r="X470" s="46" t="str">
        <f>IFERROR(__xludf.DUMMYFUNCTION("""COMPUTED_VALUE"""),"AP")</f>
        <v>AP</v>
      </c>
      <c r="Y470" s="47" t="str">
        <f>IFERROR(__xludf.DUMMYFUNCTION("""COMPUTED_VALUE"""),"")</f>
        <v/>
      </c>
      <c r="Z470" s="48" t="str">
        <f>IFERROR(__xludf.DUMMYFUNCTION("""COMPUTED_VALUE"""),"%")</f>
        <v>%</v>
      </c>
      <c r="AA470" s="49">
        <f>IFERROR(__xludf.DUMMYFUNCTION("""COMPUTED_VALUE"""),3.0)</f>
        <v>3</v>
      </c>
      <c r="AB470" s="50"/>
      <c r="AC470" s="38"/>
      <c r="AD470" s="45" t="str">
        <f>IFERROR(__xludf.DUMMYFUNCTION("""COMPUTED_VALUE"""),"")</f>
        <v/>
      </c>
      <c r="AE470" s="46" t="str">
        <f>IFERROR(__xludf.DUMMYFUNCTION("""COMPUTED_VALUE"""),"AP")</f>
        <v>AP</v>
      </c>
      <c r="AF470" s="47" t="str">
        <f>IFERROR(__xludf.DUMMYFUNCTION("""COMPUTED_VALUE"""),"")</f>
        <v/>
      </c>
      <c r="AG470" s="48" t="str">
        <f>IFERROR(__xludf.DUMMYFUNCTION("""COMPUTED_VALUE"""),"%")</f>
        <v>%</v>
      </c>
      <c r="AH470" s="43"/>
      <c r="AI470" s="44"/>
      <c r="AJ470" s="66"/>
    </row>
    <row r="471" ht="24.75" hidden="1" customHeight="1">
      <c r="A471" s="28">
        <f>IFERROR(__xludf.DUMMYFUNCTION("""COMPUTED_VALUE"""),9.0)</f>
        <v>9</v>
      </c>
      <c r="B471" s="28" t="str">
        <f>IFERROR(__xludf.DUMMYFUNCTION("""COMPUTED_VALUE"""),"A212")</f>
        <v>A212</v>
      </c>
      <c r="C471" s="28"/>
      <c r="D471" s="29"/>
      <c r="E471" s="67"/>
      <c r="F471" s="31"/>
      <c r="G471" s="32"/>
      <c r="H471" s="33" t="str">
        <f>IFERROR(__xludf.DUMMYFUNCTION("""COMPUTED_VALUE""")," ")</f>
        <v> </v>
      </c>
      <c r="I471" s="34"/>
      <c r="J471" s="35" t="str">
        <f>IFERROR(__xludf.DUMMYFUNCTION("""COMPUTED_VALUE"""),"AP")</f>
        <v>AP</v>
      </c>
      <c r="K471" s="34"/>
      <c r="L471" s="35" t="str">
        <f>IFERROR(__xludf.DUMMYFUNCTION("""COMPUTED_VALUE"""),"%")</f>
        <v>%</v>
      </c>
      <c r="M471" s="36">
        <f>IFERROR(__xludf.DUMMYFUNCTION("""COMPUTED_VALUE"""),1.0)</f>
        <v>1</v>
      </c>
      <c r="N471" s="37"/>
      <c r="O471" s="38"/>
      <c r="P471" s="34" t="str">
        <f>IFERROR(__xludf.DUMMYFUNCTION("""COMPUTED_VALUE"""),"")</f>
        <v/>
      </c>
      <c r="Q471" s="35" t="str">
        <f>IFERROR(__xludf.DUMMYFUNCTION("""COMPUTED_VALUE"""),"AP")</f>
        <v>AP</v>
      </c>
      <c r="R471" s="34" t="str">
        <f>IFERROR(__xludf.DUMMYFUNCTION("""COMPUTED_VALUE"""),"")</f>
        <v/>
      </c>
      <c r="S471" s="35" t="str">
        <f>IFERROR(__xludf.DUMMYFUNCTION("""COMPUTED_VALUE"""),"%")</f>
        <v>%</v>
      </c>
      <c r="T471" s="36">
        <f>IFERROR(__xludf.DUMMYFUNCTION("""COMPUTED_VALUE"""),2.0)</f>
        <v>2</v>
      </c>
      <c r="U471" s="37"/>
      <c r="V471" s="38"/>
      <c r="W471" s="34" t="str">
        <f>IFERROR(__xludf.DUMMYFUNCTION("""COMPUTED_VALUE"""),"")</f>
        <v/>
      </c>
      <c r="X471" s="35" t="str">
        <f>IFERROR(__xludf.DUMMYFUNCTION("""COMPUTED_VALUE"""),"AP")</f>
        <v>AP</v>
      </c>
      <c r="Y471" s="34" t="str">
        <f>IFERROR(__xludf.DUMMYFUNCTION("""COMPUTED_VALUE"""),"")</f>
        <v/>
      </c>
      <c r="Z471" s="35" t="str">
        <f>IFERROR(__xludf.DUMMYFUNCTION("""COMPUTED_VALUE"""),"%")</f>
        <v>%</v>
      </c>
      <c r="AA471" s="36">
        <f>IFERROR(__xludf.DUMMYFUNCTION("""COMPUTED_VALUE"""),3.0)</f>
        <v>3</v>
      </c>
      <c r="AB471" s="37"/>
      <c r="AC471" s="38"/>
      <c r="AD471" s="34" t="str">
        <f>IFERROR(__xludf.DUMMYFUNCTION("""COMPUTED_VALUE"""),"")</f>
        <v/>
      </c>
      <c r="AE471" s="35" t="str">
        <f>IFERROR(__xludf.DUMMYFUNCTION("""COMPUTED_VALUE"""),"AP")</f>
        <v>AP</v>
      </c>
      <c r="AF471" s="34" t="str">
        <f>IFERROR(__xludf.DUMMYFUNCTION("""COMPUTED_VALUE"""),"")</f>
        <v/>
      </c>
      <c r="AG471" s="35" t="str">
        <f>IFERROR(__xludf.DUMMYFUNCTION("""COMPUTED_VALUE"""),"%")</f>
        <v>%</v>
      </c>
      <c r="AH471" s="31"/>
      <c r="AI471" s="32"/>
      <c r="AJ471" s="67"/>
    </row>
    <row r="472" ht="24.75" hidden="1" customHeight="1">
      <c r="A472" s="40">
        <f>IFERROR(__xludf.DUMMYFUNCTION("""COMPUTED_VALUE"""),10.0)</f>
        <v>10</v>
      </c>
      <c r="B472" s="40" t="str">
        <f>IFERROR(__xludf.DUMMYFUNCTION("""COMPUTED_VALUE"""),"A212")</f>
        <v>A212</v>
      </c>
      <c r="C472" s="40"/>
      <c r="D472" s="41"/>
      <c r="E472" s="66"/>
      <c r="F472" s="43"/>
      <c r="G472" s="44"/>
      <c r="H472" s="33" t="str">
        <f>IFERROR(__xludf.DUMMYFUNCTION("""COMPUTED_VALUE""")," ")</f>
        <v> </v>
      </c>
      <c r="I472" s="45"/>
      <c r="J472" s="46" t="str">
        <f>IFERROR(__xludf.DUMMYFUNCTION("""COMPUTED_VALUE"""),"AP")</f>
        <v>AP</v>
      </c>
      <c r="K472" s="47"/>
      <c r="L472" s="48" t="str">
        <f>IFERROR(__xludf.DUMMYFUNCTION("""COMPUTED_VALUE"""),"%")</f>
        <v>%</v>
      </c>
      <c r="M472" s="49">
        <f>IFERROR(__xludf.DUMMYFUNCTION("""COMPUTED_VALUE"""),1.0)</f>
        <v>1</v>
      </c>
      <c r="N472" s="50"/>
      <c r="O472" s="38"/>
      <c r="P472" s="45" t="str">
        <f>IFERROR(__xludf.DUMMYFUNCTION("""COMPUTED_VALUE"""),"")</f>
        <v/>
      </c>
      <c r="Q472" s="46" t="str">
        <f>IFERROR(__xludf.DUMMYFUNCTION("""COMPUTED_VALUE"""),"AP")</f>
        <v>AP</v>
      </c>
      <c r="R472" s="47" t="str">
        <f>IFERROR(__xludf.DUMMYFUNCTION("""COMPUTED_VALUE"""),"")</f>
        <v/>
      </c>
      <c r="S472" s="48" t="str">
        <f>IFERROR(__xludf.DUMMYFUNCTION("""COMPUTED_VALUE"""),"%")</f>
        <v>%</v>
      </c>
      <c r="T472" s="49">
        <f>IFERROR(__xludf.DUMMYFUNCTION("""COMPUTED_VALUE"""),2.0)</f>
        <v>2</v>
      </c>
      <c r="U472" s="50"/>
      <c r="V472" s="38"/>
      <c r="W472" s="45" t="str">
        <f>IFERROR(__xludf.DUMMYFUNCTION("""COMPUTED_VALUE"""),"")</f>
        <v/>
      </c>
      <c r="X472" s="46" t="str">
        <f>IFERROR(__xludf.DUMMYFUNCTION("""COMPUTED_VALUE"""),"AP")</f>
        <v>AP</v>
      </c>
      <c r="Y472" s="47" t="str">
        <f>IFERROR(__xludf.DUMMYFUNCTION("""COMPUTED_VALUE"""),"")</f>
        <v/>
      </c>
      <c r="Z472" s="48" t="str">
        <f>IFERROR(__xludf.DUMMYFUNCTION("""COMPUTED_VALUE"""),"%")</f>
        <v>%</v>
      </c>
      <c r="AA472" s="49">
        <f>IFERROR(__xludf.DUMMYFUNCTION("""COMPUTED_VALUE"""),3.0)</f>
        <v>3</v>
      </c>
      <c r="AB472" s="50"/>
      <c r="AC472" s="38"/>
      <c r="AD472" s="45" t="str">
        <f>IFERROR(__xludf.DUMMYFUNCTION("""COMPUTED_VALUE"""),"")</f>
        <v/>
      </c>
      <c r="AE472" s="46" t="str">
        <f>IFERROR(__xludf.DUMMYFUNCTION("""COMPUTED_VALUE"""),"AP")</f>
        <v>AP</v>
      </c>
      <c r="AF472" s="47" t="str">
        <f>IFERROR(__xludf.DUMMYFUNCTION("""COMPUTED_VALUE"""),"")</f>
        <v/>
      </c>
      <c r="AG472" s="48" t="str">
        <f>IFERROR(__xludf.DUMMYFUNCTION("""COMPUTED_VALUE"""),"%")</f>
        <v>%</v>
      </c>
      <c r="AH472" s="43"/>
      <c r="AI472" s="44"/>
      <c r="AJ472" s="66"/>
    </row>
    <row r="473" ht="24.75" hidden="1" customHeight="1">
      <c r="A473" s="28">
        <f>IFERROR(__xludf.DUMMYFUNCTION("""COMPUTED_VALUE"""),11.0)</f>
        <v>11</v>
      </c>
      <c r="B473" s="28" t="str">
        <f>IFERROR(__xludf.DUMMYFUNCTION("""COMPUTED_VALUE"""),"A212")</f>
        <v>A212</v>
      </c>
      <c r="C473" s="28"/>
      <c r="D473" s="29"/>
      <c r="E473" s="67"/>
      <c r="F473" s="31"/>
      <c r="G473" s="32"/>
      <c r="H473" s="33" t="str">
        <f>IFERROR(__xludf.DUMMYFUNCTION("""COMPUTED_VALUE""")," ")</f>
        <v> </v>
      </c>
      <c r="I473" s="34"/>
      <c r="J473" s="35" t="str">
        <f>IFERROR(__xludf.DUMMYFUNCTION("""COMPUTED_VALUE"""),"AP")</f>
        <v>AP</v>
      </c>
      <c r="K473" s="34"/>
      <c r="L473" s="35" t="str">
        <f>IFERROR(__xludf.DUMMYFUNCTION("""COMPUTED_VALUE"""),"%")</f>
        <v>%</v>
      </c>
      <c r="M473" s="36">
        <f>IFERROR(__xludf.DUMMYFUNCTION("""COMPUTED_VALUE"""),1.0)</f>
        <v>1</v>
      </c>
      <c r="N473" s="37"/>
      <c r="O473" s="38"/>
      <c r="P473" s="34" t="str">
        <f>IFERROR(__xludf.DUMMYFUNCTION("""COMPUTED_VALUE"""),"")</f>
        <v/>
      </c>
      <c r="Q473" s="35" t="str">
        <f>IFERROR(__xludf.DUMMYFUNCTION("""COMPUTED_VALUE"""),"AP")</f>
        <v>AP</v>
      </c>
      <c r="R473" s="34" t="str">
        <f>IFERROR(__xludf.DUMMYFUNCTION("""COMPUTED_VALUE"""),"")</f>
        <v/>
      </c>
      <c r="S473" s="35" t="str">
        <f>IFERROR(__xludf.DUMMYFUNCTION("""COMPUTED_VALUE"""),"%")</f>
        <v>%</v>
      </c>
      <c r="T473" s="36">
        <f>IFERROR(__xludf.DUMMYFUNCTION("""COMPUTED_VALUE"""),2.0)</f>
        <v>2</v>
      </c>
      <c r="U473" s="37"/>
      <c r="V473" s="38"/>
      <c r="W473" s="34" t="str">
        <f>IFERROR(__xludf.DUMMYFUNCTION("""COMPUTED_VALUE"""),"")</f>
        <v/>
      </c>
      <c r="X473" s="35" t="str">
        <f>IFERROR(__xludf.DUMMYFUNCTION("""COMPUTED_VALUE"""),"AP")</f>
        <v>AP</v>
      </c>
      <c r="Y473" s="34" t="str">
        <f>IFERROR(__xludf.DUMMYFUNCTION("""COMPUTED_VALUE"""),"")</f>
        <v/>
      </c>
      <c r="Z473" s="35" t="str">
        <f>IFERROR(__xludf.DUMMYFUNCTION("""COMPUTED_VALUE"""),"%")</f>
        <v>%</v>
      </c>
      <c r="AA473" s="36">
        <f>IFERROR(__xludf.DUMMYFUNCTION("""COMPUTED_VALUE"""),3.0)</f>
        <v>3</v>
      </c>
      <c r="AB473" s="37"/>
      <c r="AC473" s="38"/>
      <c r="AD473" s="34" t="str">
        <f>IFERROR(__xludf.DUMMYFUNCTION("""COMPUTED_VALUE"""),"")</f>
        <v/>
      </c>
      <c r="AE473" s="35" t="str">
        <f>IFERROR(__xludf.DUMMYFUNCTION("""COMPUTED_VALUE"""),"AP")</f>
        <v>AP</v>
      </c>
      <c r="AF473" s="34" t="str">
        <f>IFERROR(__xludf.DUMMYFUNCTION("""COMPUTED_VALUE"""),"")</f>
        <v/>
      </c>
      <c r="AG473" s="35" t="str">
        <f>IFERROR(__xludf.DUMMYFUNCTION("""COMPUTED_VALUE"""),"%")</f>
        <v>%</v>
      </c>
      <c r="AH473" s="31"/>
      <c r="AI473" s="32"/>
      <c r="AJ473" s="67"/>
    </row>
    <row r="474" ht="24.75" hidden="1" customHeight="1">
      <c r="A474" s="40">
        <f>IFERROR(__xludf.DUMMYFUNCTION("""COMPUTED_VALUE"""),12.0)</f>
        <v>12</v>
      </c>
      <c r="B474" s="40" t="str">
        <f>IFERROR(__xludf.DUMMYFUNCTION("""COMPUTED_VALUE"""),"A212")</f>
        <v>A212</v>
      </c>
      <c r="C474" s="40"/>
      <c r="D474" s="41"/>
      <c r="E474" s="66"/>
      <c r="F474" s="43"/>
      <c r="G474" s="44"/>
      <c r="H474" s="33" t="str">
        <f>IFERROR(__xludf.DUMMYFUNCTION("""COMPUTED_VALUE""")," ")</f>
        <v> </v>
      </c>
      <c r="I474" s="45"/>
      <c r="J474" s="46" t="str">
        <f>IFERROR(__xludf.DUMMYFUNCTION("""COMPUTED_VALUE"""),"AP")</f>
        <v>AP</v>
      </c>
      <c r="K474" s="47"/>
      <c r="L474" s="48" t="str">
        <f>IFERROR(__xludf.DUMMYFUNCTION("""COMPUTED_VALUE"""),"%")</f>
        <v>%</v>
      </c>
      <c r="M474" s="49">
        <f>IFERROR(__xludf.DUMMYFUNCTION("""COMPUTED_VALUE"""),1.0)</f>
        <v>1</v>
      </c>
      <c r="N474" s="50"/>
      <c r="O474" s="38"/>
      <c r="P474" s="45" t="str">
        <f>IFERROR(__xludf.DUMMYFUNCTION("""COMPUTED_VALUE"""),"")</f>
        <v/>
      </c>
      <c r="Q474" s="46" t="str">
        <f>IFERROR(__xludf.DUMMYFUNCTION("""COMPUTED_VALUE"""),"AP")</f>
        <v>AP</v>
      </c>
      <c r="R474" s="47" t="str">
        <f>IFERROR(__xludf.DUMMYFUNCTION("""COMPUTED_VALUE"""),"")</f>
        <v/>
      </c>
      <c r="S474" s="48" t="str">
        <f>IFERROR(__xludf.DUMMYFUNCTION("""COMPUTED_VALUE"""),"%")</f>
        <v>%</v>
      </c>
      <c r="T474" s="49">
        <f>IFERROR(__xludf.DUMMYFUNCTION("""COMPUTED_VALUE"""),2.0)</f>
        <v>2</v>
      </c>
      <c r="U474" s="50"/>
      <c r="V474" s="38"/>
      <c r="W474" s="45" t="str">
        <f>IFERROR(__xludf.DUMMYFUNCTION("""COMPUTED_VALUE"""),"")</f>
        <v/>
      </c>
      <c r="X474" s="46" t="str">
        <f>IFERROR(__xludf.DUMMYFUNCTION("""COMPUTED_VALUE"""),"AP")</f>
        <v>AP</v>
      </c>
      <c r="Y474" s="47" t="str">
        <f>IFERROR(__xludf.DUMMYFUNCTION("""COMPUTED_VALUE"""),"")</f>
        <v/>
      </c>
      <c r="Z474" s="48" t="str">
        <f>IFERROR(__xludf.DUMMYFUNCTION("""COMPUTED_VALUE"""),"%")</f>
        <v>%</v>
      </c>
      <c r="AA474" s="49">
        <f>IFERROR(__xludf.DUMMYFUNCTION("""COMPUTED_VALUE"""),3.0)</f>
        <v>3</v>
      </c>
      <c r="AB474" s="50"/>
      <c r="AC474" s="38"/>
      <c r="AD474" s="45" t="str">
        <f>IFERROR(__xludf.DUMMYFUNCTION("""COMPUTED_VALUE"""),"")</f>
        <v/>
      </c>
      <c r="AE474" s="46" t="str">
        <f>IFERROR(__xludf.DUMMYFUNCTION("""COMPUTED_VALUE"""),"AP")</f>
        <v>AP</v>
      </c>
      <c r="AF474" s="47" t="str">
        <f>IFERROR(__xludf.DUMMYFUNCTION("""COMPUTED_VALUE"""),"")</f>
        <v/>
      </c>
      <c r="AG474" s="48" t="str">
        <f>IFERROR(__xludf.DUMMYFUNCTION("""COMPUTED_VALUE"""),"%")</f>
        <v>%</v>
      </c>
      <c r="AH474" s="43"/>
      <c r="AI474" s="44"/>
      <c r="AJ474" s="66"/>
    </row>
    <row r="475" ht="24.75" hidden="1" customHeight="1">
      <c r="A475" s="28">
        <f>IFERROR(__xludf.DUMMYFUNCTION("""COMPUTED_VALUE"""),13.0)</f>
        <v>13</v>
      </c>
      <c r="B475" s="28" t="str">
        <f>IFERROR(__xludf.DUMMYFUNCTION("""COMPUTED_VALUE"""),"A212")</f>
        <v>A212</v>
      </c>
      <c r="C475" s="28"/>
      <c r="D475" s="29"/>
      <c r="E475" s="67"/>
      <c r="F475" s="31"/>
      <c r="G475" s="32"/>
      <c r="H475" s="33" t="str">
        <f>IFERROR(__xludf.DUMMYFUNCTION("""COMPUTED_VALUE""")," ")</f>
        <v> </v>
      </c>
      <c r="I475" s="34"/>
      <c r="J475" s="35" t="str">
        <f>IFERROR(__xludf.DUMMYFUNCTION("""COMPUTED_VALUE"""),"AP")</f>
        <v>AP</v>
      </c>
      <c r="K475" s="34"/>
      <c r="L475" s="35" t="str">
        <f>IFERROR(__xludf.DUMMYFUNCTION("""COMPUTED_VALUE"""),"%")</f>
        <v>%</v>
      </c>
      <c r="M475" s="36">
        <f>IFERROR(__xludf.DUMMYFUNCTION("""COMPUTED_VALUE"""),1.0)</f>
        <v>1</v>
      </c>
      <c r="N475" s="37"/>
      <c r="O475" s="38"/>
      <c r="P475" s="34" t="str">
        <f>IFERROR(__xludf.DUMMYFUNCTION("""COMPUTED_VALUE"""),"")</f>
        <v/>
      </c>
      <c r="Q475" s="35" t="str">
        <f>IFERROR(__xludf.DUMMYFUNCTION("""COMPUTED_VALUE"""),"AP")</f>
        <v>AP</v>
      </c>
      <c r="R475" s="34" t="str">
        <f>IFERROR(__xludf.DUMMYFUNCTION("""COMPUTED_VALUE"""),"")</f>
        <v/>
      </c>
      <c r="S475" s="35" t="str">
        <f>IFERROR(__xludf.DUMMYFUNCTION("""COMPUTED_VALUE"""),"%")</f>
        <v>%</v>
      </c>
      <c r="T475" s="36">
        <f>IFERROR(__xludf.DUMMYFUNCTION("""COMPUTED_VALUE"""),2.0)</f>
        <v>2</v>
      </c>
      <c r="U475" s="37"/>
      <c r="V475" s="38"/>
      <c r="W475" s="34" t="str">
        <f>IFERROR(__xludf.DUMMYFUNCTION("""COMPUTED_VALUE"""),"")</f>
        <v/>
      </c>
      <c r="X475" s="35" t="str">
        <f>IFERROR(__xludf.DUMMYFUNCTION("""COMPUTED_VALUE"""),"AP")</f>
        <v>AP</v>
      </c>
      <c r="Y475" s="34" t="str">
        <f>IFERROR(__xludf.DUMMYFUNCTION("""COMPUTED_VALUE"""),"")</f>
        <v/>
      </c>
      <c r="Z475" s="35" t="str">
        <f>IFERROR(__xludf.DUMMYFUNCTION("""COMPUTED_VALUE"""),"%")</f>
        <v>%</v>
      </c>
      <c r="AA475" s="36">
        <f>IFERROR(__xludf.DUMMYFUNCTION("""COMPUTED_VALUE"""),3.0)</f>
        <v>3</v>
      </c>
      <c r="AB475" s="37"/>
      <c r="AC475" s="38"/>
      <c r="AD475" s="34" t="str">
        <f>IFERROR(__xludf.DUMMYFUNCTION("""COMPUTED_VALUE"""),"")</f>
        <v/>
      </c>
      <c r="AE475" s="35" t="str">
        <f>IFERROR(__xludf.DUMMYFUNCTION("""COMPUTED_VALUE"""),"AP")</f>
        <v>AP</v>
      </c>
      <c r="AF475" s="34" t="str">
        <f>IFERROR(__xludf.DUMMYFUNCTION("""COMPUTED_VALUE"""),"")</f>
        <v/>
      </c>
      <c r="AG475" s="35" t="str">
        <f>IFERROR(__xludf.DUMMYFUNCTION("""COMPUTED_VALUE"""),"%")</f>
        <v>%</v>
      </c>
      <c r="AH475" s="31"/>
      <c r="AI475" s="32"/>
      <c r="AJ475" s="67"/>
    </row>
    <row r="476" ht="24.75" hidden="1" customHeight="1">
      <c r="A476" s="40">
        <f>IFERROR(__xludf.DUMMYFUNCTION("""COMPUTED_VALUE"""),14.0)</f>
        <v>14</v>
      </c>
      <c r="B476" s="40" t="str">
        <f>IFERROR(__xludf.DUMMYFUNCTION("""COMPUTED_VALUE"""),"A212")</f>
        <v>A212</v>
      </c>
      <c r="C476" s="40"/>
      <c r="D476" s="41"/>
      <c r="E476" s="66"/>
      <c r="F476" s="43"/>
      <c r="G476" s="44"/>
      <c r="H476" s="33" t="str">
        <f>IFERROR(__xludf.DUMMYFUNCTION("""COMPUTED_VALUE""")," ")</f>
        <v> </v>
      </c>
      <c r="I476" s="45"/>
      <c r="J476" s="46" t="str">
        <f>IFERROR(__xludf.DUMMYFUNCTION("""COMPUTED_VALUE"""),"AP")</f>
        <v>AP</v>
      </c>
      <c r="K476" s="47"/>
      <c r="L476" s="48" t="str">
        <f>IFERROR(__xludf.DUMMYFUNCTION("""COMPUTED_VALUE"""),"%")</f>
        <v>%</v>
      </c>
      <c r="M476" s="49">
        <f>IFERROR(__xludf.DUMMYFUNCTION("""COMPUTED_VALUE"""),1.0)</f>
        <v>1</v>
      </c>
      <c r="N476" s="50"/>
      <c r="O476" s="38"/>
      <c r="P476" s="45" t="str">
        <f>IFERROR(__xludf.DUMMYFUNCTION("""COMPUTED_VALUE"""),"")</f>
        <v/>
      </c>
      <c r="Q476" s="46" t="str">
        <f>IFERROR(__xludf.DUMMYFUNCTION("""COMPUTED_VALUE"""),"AP")</f>
        <v>AP</v>
      </c>
      <c r="R476" s="47" t="str">
        <f>IFERROR(__xludf.DUMMYFUNCTION("""COMPUTED_VALUE"""),"")</f>
        <v/>
      </c>
      <c r="S476" s="48" t="str">
        <f>IFERROR(__xludf.DUMMYFUNCTION("""COMPUTED_VALUE"""),"%")</f>
        <v>%</v>
      </c>
      <c r="T476" s="49">
        <f>IFERROR(__xludf.DUMMYFUNCTION("""COMPUTED_VALUE"""),2.0)</f>
        <v>2</v>
      </c>
      <c r="U476" s="50"/>
      <c r="V476" s="38"/>
      <c r="W476" s="45" t="str">
        <f>IFERROR(__xludf.DUMMYFUNCTION("""COMPUTED_VALUE"""),"")</f>
        <v/>
      </c>
      <c r="X476" s="46" t="str">
        <f>IFERROR(__xludf.DUMMYFUNCTION("""COMPUTED_VALUE"""),"AP")</f>
        <v>AP</v>
      </c>
      <c r="Y476" s="47" t="str">
        <f>IFERROR(__xludf.DUMMYFUNCTION("""COMPUTED_VALUE"""),"")</f>
        <v/>
      </c>
      <c r="Z476" s="48" t="str">
        <f>IFERROR(__xludf.DUMMYFUNCTION("""COMPUTED_VALUE"""),"%")</f>
        <v>%</v>
      </c>
      <c r="AA476" s="49">
        <f>IFERROR(__xludf.DUMMYFUNCTION("""COMPUTED_VALUE"""),3.0)</f>
        <v>3</v>
      </c>
      <c r="AB476" s="50"/>
      <c r="AC476" s="38"/>
      <c r="AD476" s="45" t="str">
        <f>IFERROR(__xludf.DUMMYFUNCTION("""COMPUTED_VALUE"""),"")</f>
        <v/>
      </c>
      <c r="AE476" s="46" t="str">
        <f>IFERROR(__xludf.DUMMYFUNCTION("""COMPUTED_VALUE"""),"AP")</f>
        <v>AP</v>
      </c>
      <c r="AF476" s="47" t="str">
        <f>IFERROR(__xludf.DUMMYFUNCTION("""COMPUTED_VALUE"""),"")</f>
        <v/>
      </c>
      <c r="AG476" s="48" t="str">
        <f>IFERROR(__xludf.DUMMYFUNCTION("""COMPUTED_VALUE"""),"%")</f>
        <v>%</v>
      </c>
      <c r="AH476" s="43"/>
      <c r="AI476" s="44"/>
      <c r="AJ476" s="66"/>
    </row>
    <row r="477" ht="24.75" hidden="1" customHeight="1">
      <c r="A477" s="28">
        <f>IFERROR(__xludf.DUMMYFUNCTION("""COMPUTED_VALUE"""),15.0)</f>
        <v>15</v>
      </c>
      <c r="B477" s="28" t="str">
        <f>IFERROR(__xludf.DUMMYFUNCTION("""COMPUTED_VALUE"""),"A212")</f>
        <v>A212</v>
      </c>
      <c r="C477" s="28"/>
      <c r="D477" s="29"/>
      <c r="E477" s="67"/>
      <c r="F477" s="31"/>
      <c r="G477" s="32"/>
      <c r="H477" s="33" t="str">
        <f>IFERROR(__xludf.DUMMYFUNCTION("""COMPUTED_VALUE""")," ")</f>
        <v> </v>
      </c>
      <c r="I477" s="34"/>
      <c r="J477" s="35" t="str">
        <f>IFERROR(__xludf.DUMMYFUNCTION("""COMPUTED_VALUE"""),"AP")</f>
        <v>AP</v>
      </c>
      <c r="K477" s="34"/>
      <c r="L477" s="35" t="str">
        <f>IFERROR(__xludf.DUMMYFUNCTION("""COMPUTED_VALUE"""),"%")</f>
        <v>%</v>
      </c>
      <c r="M477" s="36">
        <f>IFERROR(__xludf.DUMMYFUNCTION("""COMPUTED_VALUE"""),1.0)</f>
        <v>1</v>
      </c>
      <c r="N477" s="37"/>
      <c r="O477" s="38"/>
      <c r="P477" s="34" t="str">
        <f>IFERROR(__xludf.DUMMYFUNCTION("""COMPUTED_VALUE"""),"")</f>
        <v/>
      </c>
      <c r="Q477" s="35" t="str">
        <f>IFERROR(__xludf.DUMMYFUNCTION("""COMPUTED_VALUE"""),"AP")</f>
        <v>AP</v>
      </c>
      <c r="R477" s="34" t="str">
        <f>IFERROR(__xludf.DUMMYFUNCTION("""COMPUTED_VALUE"""),"")</f>
        <v/>
      </c>
      <c r="S477" s="35" t="str">
        <f>IFERROR(__xludf.DUMMYFUNCTION("""COMPUTED_VALUE"""),"%")</f>
        <v>%</v>
      </c>
      <c r="T477" s="36">
        <f>IFERROR(__xludf.DUMMYFUNCTION("""COMPUTED_VALUE"""),2.0)</f>
        <v>2</v>
      </c>
      <c r="U477" s="37"/>
      <c r="V477" s="38"/>
      <c r="W477" s="34" t="str">
        <f>IFERROR(__xludf.DUMMYFUNCTION("""COMPUTED_VALUE"""),"")</f>
        <v/>
      </c>
      <c r="X477" s="35" t="str">
        <f>IFERROR(__xludf.DUMMYFUNCTION("""COMPUTED_VALUE"""),"AP")</f>
        <v>AP</v>
      </c>
      <c r="Y477" s="34" t="str">
        <f>IFERROR(__xludf.DUMMYFUNCTION("""COMPUTED_VALUE"""),"")</f>
        <v/>
      </c>
      <c r="Z477" s="35" t="str">
        <f>IFERROR(__xludf.DUMMYFUNCTION("""COMPUTED_VALUE"""),"%")</f>
        <v>%</v>
      </c>
      <c r="AA477" s="36">
        <f>IFERROR(__xludf.DUMMYFUNCTION("""COMPUTED_VALUE"""),3.0)</f>
        <v>3</v>
      </c>
      <c r="AB477" s="37"/>
      <c r="AC477" s="38"/>
      <c r="AD477" s="34" t="str">
        <f>IFERROR(__xludf.DUMMYFUNCTION("""COMPUTED_VALUE"""),"")</f>
        <v/>
      </c>
      <c r="AE477" s="35" t="str">
        <f>IFERROR(__xludf.DUMMYFUNCTION("""COMPUTED_VALUE"""),"AP")</f>
        <v>AP</v>
      </c>
      <c r="AF477" s="34" t="str">
        <f>IFERROR(__xludf.DUMMYFUNCTION("""COMPUTED_VALUE"""),"")</f>
        <v/>
      </c>
      <c r="AG477" s="35" t="str">
        <f>IFERROR(__xludf.DUMMYFUNCTION("""COMPUTED_VALUE"""),"%")</f>
        <v>%</v>
      </c>
      <c r="AH477" s="31"/>
      <c r="AI477" s="32"/>
      <c r="AJ477" s="67"/>
    </row>
    <row r="478" ht="24.75" hidden="1" customHeight="1">
      <c r="A478" s="40">
        <f>IFERROR(__xludf.DUMMYFUNCTION("""COMPUTED_VALUE"""),16.0)</f>
        <v>16</v>
      </c>
      <c r="B478" s="40" t="str">
        <f>IFERROR(__xludf.DUMMYFUNCTION("""COMPUTED_VALUE"""),"A212")</f>
        <v>A212</v>
      </c>
      <c r="C478" s="40"/>
      <c r="D478" s="41"/>
      <c r="E478" s="66"/>
      <c r="F478" s="43"/>
      <c r="G478" s="44"/>
      <c r="H478" s="33" t="str">
        <f>IFERROR(__xludf.DUMMYFUNCTION("""COMPUTED_VALUE""")," ")</f>
        <v> </v>
      </c>
      <c r="I478" s="45"/>
      <c r="J478" s="46" t="str">
        <f>IFERROR(__xludf.DUMMYFUNCTION("""COMPUTED_VALUE"""),"AP")</f>
        <v>AP</v>
      </c>
      <c r="K478" s="47"/>
      <c r="L478" s="48" t="str">
        <f>IFERROR(__xludf.DUMMYFUNCTION("""COMPUTED_VALUE"""),"%")</f>
        <v>%</v>
      </c>
      <c r="M478" s="49">
        <f>IFERROR(__xludf.DUMMYFUNCTION("""COMPUTED_VALUE"""),1.0)</f>
        <v>1</v>
      </c>
      <c r="N478" s="50"/>
      <c r="O478" s="38"/>
      <c r="P478" s="45" t="str">
        <f>IFERROR(__xludf.DUMMYFUNCTION("""COMPUTED_VALUE"""),"")</f>
        <v/>
      </c>
      <c r="Q478" s="46" t="str">
        <f>IFERROR(__xludf.DUMMYFUNCTION("""COMPUTED_VALUE"""),"AP")</f>
        <v>AP</v>
      </c>
      <c r="R478" s="47" t="str">
        <f>IFERROR(__xludf.DUMMYFUNCTION("""COMPUTED_VALUE"""),"")</f>
        <v/>
      </c>
      <c r="S478" s="48" t="str">
        <f>IFERROR(__xludf.DUMMYFUNCTION("""COMPUTED_VALUE"""),"%")</f>
        <v>%</v>
      </c>
      <c r="T478" s="49">
        <f>IFERROR(__xludf.DUMMYFUNCTION("""COMPUTED_VALUE"""),2.0)</f>
        <v>2</v>
      </c>
      <c r="U478" s="50"/>
      <c r="V478" s="38"/>
      <c r="W478" s="45" t="str">
        <f>IFERROR(__xludf.DUMMYFUNCTION("""COMPUTED_VALUE"""),"")</f>
        <v/>
      </c>
      <c r="X478" s="46" t="str">
        <f>IFERROR(__xludf.DUMMYFUNCTION("""COMPUTED_VALUE"""),"AP")</f>
        <v>AP</v>
      </c>
      <c r="Y478" s="47" t="str">
        <f>IFERROR(__xludf.DUMMYFUNCTION("""COMPUTED_VALUE"""),"")</f>
        <v/>
      </c>
      <c r="Z478" s="48" t="str">
        <f>IFERROR(__xludf.DUMMYFUNCTION("""COMPUTED_VALUE"""),"%")</f>
        <v>%</v>
      </c>
      <c r="AA478" s="49">
        <f>IFERROR(__xludf.DUMMYFUNCTION("""COMPUTED_VALUE"""),3.0)</f>
        <v>3</v>
      </c>
      <c r="AB478" s="50"/>
      <c r="AC478" s="38"/>
      <c r="AD478" s="45" t="str">
        <f>IFERROR(__xludf.DUMMYFUNCTION("""COMPUTED_VALUE"""),"")</f>
        <v/>
      </c>
      <c r="AE478" s="46" t="str">
        <f>IFERROR(__xludf.DUMMYFUNCTION("""COMPUTED_VALUE"""),"AP")</f>
        <v>AP</v>
      </c>
      <c r="AF478" s="47" t="str">
        <f>IFERROR(__xludf.DUMMYFUNCTION("""COMPUTED_VALUE"""),"")</f>
        <v/>
      </c>
      <c r="AG478" s="48" t="str">
        <f>IFERROR(__xludf.DUMMYFUNCTION("""COMPUTED_VALUE"""),"%")</f>
        <v>%</v>
      </c>
      <c r="AH478" s="43"/>
      <c r="AI478" s="44"/>
      <c r="AJ478" s="66"/>
    </row>
    <row r="479" ht="24.75" hidden="1" customHeight="1">
      <c r="A479" s="28">
        <f>IFERROR(__xludf.DUMMYFUNCTION("""COMPUTED_VALUE"""),17.0)</f>
        <v>17</v>
      </c>
      <c r="B479" s="28" t="str">
        <f>IFERROR(__xludf.DUMMYFUNCTION("""COMPUTED_VALUE"""),"A212")</f>
        <v>A212</v>
      </c>
      <c r="C479" s="28"/>
      <c r="D479" s="29"/>
      <c r="E479" s="67"/>
      <c r="F479" s="31"/>
      <c r="G479" s="32"/>
      <c r="H479" s="33" t="str">
        <f>IFERROR(__xludf.DUMMYFUNCTION("""COMPUTED_VALUE""")," ")</f>
        <v> </v>
      </c>
      <c r="I479" s="34"/>
      <c r="J479" s="35" t="str">
        <f>IFERROR(__xludf.DUMMYFUNCTION("""COMPUTED_VALUE"""),"AP")</f>
        <v>AP</v>
      </c>
      <c r="K479" s="34"/>
      <c r="L479" s="35" t="str">
        <f>IFERROR(__xludf.DUMMYFUNCTION("""COMPUTED_VALUE"""),"%")</f>
        <v>%</v>
      </c>
      <c r="M479" s="36">
        <f>IFERROR(__xludf.DUMMYFUNCTION("""COMPUTED_VALUE"""),1.0)</f>
        <v>1</v>
      </c>
      <c r="N479" s="37"/>
      <c r="O479" s="38"/>
      <c r="P479" s="34" t="str">
        <f>IFERROR(__xludf.DUMMYFUNCTION("""COMPUTED_VALUE"""),"")</f>
        <v/>
      </c>
      <c r="Q479" s="35" t="str">
        <f>IFERROR(__xludf.DUMMYFUNCTION("""COMPUTED_VALUE"""),"AP")</f>
        <v>AP</v>
      </c>
      <c r="R479" s="34" t="str">
        <f>IFERROR(__xludf.DUMMYFUNCTION("""COMPUTED_VALUE"""),"")</f>
        <v/>
      </c>
      <c r="S479" s="35" t="str">
        <f>IFERROR(__xludf.DUMMYFUNCTION("""COMPUTED_VALUE"""),"%")</f>
        <v>%</v>
      </c>
      <c r="T479" s="36">
        <f>IFERROR(__xludf.DUMMYFUNCTION("""COMPUTED_VALUE"""),2.0)</f>
        <v>2</v>
      </c>
      <c r="U479" s="37"/>
      <c r="V479" s="38"/>
      <c r="W479" s="34" t="str">
        <f>IFERROR(__xludf.DUMMYFUNCTION("""COMPUTED_VALUE"""),"")</f>
        <v/>
      </c>
      <c r="X479" s="35" t="str">
        <f>IFERROR(__xludf.DUMMYFUNCTION("""COMPUTED_VALUE"""),"AP")</f>
        <v>AP</v>
      </c>
      <c r="Y479" s="34" t="str">
        <f>IFERROR(__xludf.DUMMYFUNCTION("""COMPUTED_VALUE"""),"")</f>
        <v/>
      </c>
      <c r="Z479" s="35" t="str">
        <f>IFERROR(__xludf.DUMMYFUNCTION("""COMPUTED_VALUE"""),"%")</f>
        <v>%</v>
      </c>
      <c r="AA479" s="36">
        <f>IFERROR(__xludf.DUMMYFUNCTION("""COMPUTED_VALUE"""),3.0)</f>
        <v>3</v>
      </c>
      <c r="AB479" s="37"/>
      <c r="AC479" s="38"/>
      <c r="AD479" s="34" t="str">
        <f>IFERROR(__xludf.DUMMYFUNCTION("""COMPUTED_VALUE"""),"")</f>
        <v/>
      </c>
      <c r="AE479" s="35" t="str">
        <f>IFERROR(__xludf.DUMMYFUNCTION("""COMPUTED_VALUE"""),"AP")</f>
        <v>AP</v>
      </c>
      <c r="AF479" s="34" t="str">
        <f>IFERROR(__xludf.DUMMYFUNCTION("""COMPUTED_VALUE"""),"")</f>
        <v/>
      </c>
      <c r="AG479" s="35" t="str">
        <f>IFERROR(__xludf.DUMMYFUNCTION("""COMPUTED_VALUE"""),"%")</f>
        <v>%</v>
      </c>
      <c r="AH479" s="31"/>
      <c r="AI479" s="32"/>
      <c r="AJ479" s="67"/>
    </row>
    <row r="480" ht="24.75" hidden="1" customHeight="1">
      <c r="A480" s="40">
        <f>IFERROR(__xludf.DUMMYFUNCTION("""COMPUTED_VALUE"""),18.0)</f>
        <v>18</v>
      </c>
      <c r="B480" s="40" t="str">
        <f>IFERROR(__xludf.DUMMYFUNCTION("""COMPUTED_VALUE"""),"A212")</f>
        <v>A212</v>
      </c>
      <c r="C480" s="40"/>
      <c r="D480" s="41"/>
      <c r="E480" s="66"/>
      <c r="F480" s="43"/>
      <c r="G480" s="44"/>
      <c r="H480" s="33" t="str">
        <f>IFERROR(__xludf.DUMMYFUNCTION("""COMPUTED_VALUE""")," ")</f>
        <v> </v>
      </c>
      <c r="I480" s="45"/>
      <c r="J480" s="46" t="str">
        <f>IFERROR(__xludf.DUMMYFUNCTION("""COMPUTED_VALUE"""),"AP")</f>
        <v>AP</v>
      </c>
      <c r="K480" s="47"/>
      <c r="L480" s="48" t="str">
        <f>IFERROR(__xludf.DUMMYFUNCTION("""COMPUTED_VALUE"""),"%")</f>
        <v>%</v>
      </c>
      <c r="M480" s="49">
        <f>IFERROR(__xludf.DUMMYFUNCTION("""COMPUTED_VALUE"""),1.0)</f>
        <v>1</v>
      </c>
      <c r="N480" s="50"/>
      <c r="O480" s="38"/>
      <c r="P480" s="45" t="str">
        <f>IFERROR(__xludf.DUMMYFUNCTION("""COMPUTED_VALUE"""),"")</f>
        <v/>
      </c>
      <c r="Q480" s="46" t="str">
        <f>IFERROR(__xludf.DUMMYFUNCTION("""COMPUTED_VALUE"""),"AP")</f>
        <v>AP</v>
      </c>
      <c r="R480" s="47" t="str">
        <f>IFERROR(__xludf.DUMMYFUNCTION("""COMPUTED_VALUE"""),"")</f>
        <v/>
      </c>
      <c r="S480" s="48" t="str">
        <f>IFERROR(__xludf.DUMMYFUNCTION("""COMPUTED_VALUE"""),"%")</f>
        <v>%</v>
      </c>
      <c r="T480" s="49">
        <f>IFERROR(__xludf.DUMMYFUNCTION("""COMPUTED_VALUE"""),2.0)</f>
        <v>2</v>
      </c>
      <c r="U480" s="50"/>
      <c r="V480" s="38"/>
      <c r="W480" s="45" t="str">
        <f>IFERROR(__xludf.DUMMYFUNCTION("""COMPUTED_VALUE"""),"")</f>
        <v/>
      </c>
      <c r="X480" s="46" t="str">
        <f>IFERROR(__xludf.DUMMYFUNCTION("""COMPUTED_VALUE"""),"AP")</f>
        <v>AP</v>
      </c>
      <c r="Y480" s="47" t="str">
        <f>IFERROR(__xludf.DUMMYFUNCTION("""COMPUTED_VALUE"""),"")</f>
        <v/>
      </c>
      <c r="Z480" s="48" t="str">
        <f>IFERROR(__xludf.DUMMYFUNCTION("""COMPUTED_VALUE"""),"%")</f>
        <v>%</v>
      </c>
      <c r="AA480" s="49">
        <f>IFERROR(__xludf.DUMMYFUNCTION("""COMPUTED_VALUE"""),3.0)</f>
        <v>3</v>
      </c>
      <c r="AB480" s="50"/>
      <c r="AC480" s="38"/>
      <c r="AD480" s="45" t="str">
        <f>IFERROR(__xludf.DUMMYFUNCTION("""COMPUTED_VALUE"""),"")</f>
        <v/>
      </c>
      <c r="AE480" s="46" t="str">
        <f>IFERROR(__xludf.DUMMYFUNCTION("""COMPUTED_VALUE"""),"AP")</f>
        <v>AP</v>
      </c>
      <c r="AF480" s="47" t="str">
        <f>IFERROR(__xludf.DUMMYFUNCTION("""COMPUTED_VALUE"""),"")</f>
        <v/>
      </c>
      <c r="AG480" s="48" t="str">
        <f>IFERROR(__xludf.DUMMYFUNCTION("""COMPUTED_VALUE"""),"%")</f>
        <v>%</v>
      </c>
      <c r="AH480" s="43"/>
      <c r="AI480" s="44"/>
      <c r="AJ480" s="66"/>
    </row>
    <row r="481" ht="24.75" hidden="1" customHeight="1">
      <c r="A481" s="28">
        <f>IFERROR(__xludf.DUMMYFUNCTION("""COMPUTED_VALUE"""),19.0)</f>
        <v>19</v>
      </c>
      <c r="B481" s="28" t="str">
        <f>IFERROR(__xludf.DUMMYFUNCTION("""COMPUTED_VALUE"""),"A212")</f>
        <v>A212</v>
      </c>
      <c r="C481" s="28"/>
      <c r="D481" s="29"/>
      <c r="E481" s="67"/>
      <c r="F481" s="31"/>
      <c r="G481" s="32"/>
      <c r="H481" s="33" t="str">
        <f>IFERROR(__xludf.DUMMYFUNCTION("""COMPUTED_VALUE""")," ")</f>
        <v> </v>
      </c>
      <c r="I481" s="34"/>
      <c r="J481" s="35" t="str">
        <f>IFERROR(__xludf.DUMMYFUNCTION("""COMPUTED_VALUE"""),"AP")</f>
        <v>AP</v>
      </c>
      <c r="K481" s="34"/>
      <c r="L481" s="35" t="str">
        <f>IFERROR(__xludf.DUMMYFUNCTION("""COMPUTED_VALUE"""),"%")</f>
        <v>%</v>
      </c>
      <c r="M481" s="36">
        <f>IFERROR(__xludf.DUMMYFUNCTION("""COMPUTED_VALUE"""),1.0)</f>
        <v>1</v>
      </c>
      <c r="N481" s="37"/>
      <c r="O481" s="38"/>
      <c r="P481" s="34" t="str">
        <f>IFERROR(__xludf.DUMMYFUNCTION("""COMPUTED_VALUE"""),"")</f>
        <v/>
      </c>
      <c r="Q481" s="35" t="str">
        <f>IFERROR(__xludf.DUMMYFUNCTION("""COMPUTED_VALUE"""),"AP")</f>
        <v>AP</v>
      </c>
      <c r="R481" s="34" t="str">
        <f>IFERROR(__xludf.DUMMYFUNCTION("""COMPUTED_VALUE"""),"")</f>
        <v/>
      </c>
      <c r="S481" s="35" t="str">
        <f>IFERROR(__xludf.DUMMYFUNCTION("""COMPUTED_VALUE"""),"%")</f>
        <v>%</v>
      </c>
      <c r="T481" s="36">
        <f>IFERROR(__xludf.DUMMYFUNCTION("""COMPUTED_VALUE"""),2.0)</f>
        <v>2</v>
      </c>
      <c r="U481" s="37"/>
      <c r="V481" s="38"/>
      <c r="W481" s="34" t="str">
        <f>IFERROR(__xludf.DUMMYFUNCTION("""COMPUTED_VALUE"""),"")</f>
        <v/>
      </c>
      <c r="X481" s="35" t="str">
        <f>IFERROR(__xludf.DUMMYFUNCTION("""COMPUTED_VALUE"""),"AP")</f>
        <v>AP</v>
      </c>
      <c r="Y481" s="34" t="str">
        <f>IFERROR(__xludf.DUMMYFUNCTION("""COMPUTED_VALUE"""),"")</f>
        <v/>
      </c>
      <c r="Z481" s="35" t="str">
        <f>IFERROR(__xludf.DUMMYFUNCTION("""COMPUTED_VALUE"""),"%")</f>
        <v>%</v>
      </c>
      <c r="AA481" s="36">
        <f>IFERROR(__xludf.DUMMYFUNCTION("""COMPUTED_VALUE"""),3.0)</f>
        <v>3</v>
      </c>
      <c r="AB481" s="37"/>
      <c r="AC481" s="38"/>
      <c r="AD481" s="34" t="str">
        <f>IFERROR(__xludf.DUMMYFUNCTION("""COMPUTED_VALUE"""),"")</f>
        <v/>
      </c>
      <c r="AE481" s="35" t="str">
        <f>IFERROR(__xludf.DUMMYFUNCTION("""COMPUTED_VALUE"""),"AP")</f>
        <v>AP</v>
      </c>
      <c r="AF481" s="34" t="str">
        <f>IFERROR(__xludf.DUMMYFUNCTION("""COMPUTED_VALUE"""),"")</f>
        <v/>
      </c>
      <c r="AG481" s="35" t="str">
        <f>IFERROR(__xludf.DUMMYFUNCTION("""COMPUTED_VALUE"""),"%")</f>
        <v>%</v>
      </c>
      <c r="AH481" s="31"/>
      <c r="AI481" s="32"/>
      <c r="AJ481" s="67"/>
    </row>
    <row r="482" ht="24.75" hidden="1" customHeight="1">
      <c r="A482" s="40">
        <f>IFERROR(__xludf.DUMMYFUNCTION("""COMPUTED_VALUE"""),20.0)</f>
        <v>20</v>
      </c>
      <c r="B482" s="40" t="str">
        <f>IFERROR(__xludf.DUMMYFUNCTION("""COMPUTED_VALUE"""),"A212")</f>
        <v>A212</v>
      </c>
      <c r="C482" s="40"/>
      <c r="D482" s="41"/>
      <c r="E482" s="66"/>
      <c r="F482" s="43"/>
      <c r="G482" s="44"/>
      <c r="H482" s="33" t="str">
        <f>IFERROR(__xludf.DUMMYFUNCTION("""COMPUTED_VALUE""")," ")</f>
        <v> </v>
      </c>
      <c r="I482" s="45"/>
      <c r="J482" s="46" t="str">
        <f>IFERROR(__xludf.DUMMYFUNCTION("""COMPUTED_VALUE"""),"AP")</f>
        <v>AP</v>
      </c>
      <c r="K482" s="47"/>
      <c r="L482" s="48" t="str">
        <f>IFERROR(__xludf.DUMMYFUNCTION("""COMPUTED_VALUE"""),"%")</f>
        <v>%</v>
      </c>
      <c r="M482" s="49">
        <f>IFERROR(__xludf.DUMMYFUNCTION("""COMPUTED_VALUE"""),1.0)</f>
        <v>1</v>
      </c>
      <c r="N482" s="50"/>
      <c r="O482" s="38"/>
      <c r="P482" s="45" t="str">
        <f>IFERROR(__xludf.DUMMYFUNCTION("""COMPUTED_VALUE"""),"")</f>
        <v/>
      </c>
      <c r="Q482" s="46" t="str">
        <f>IFERROR(__xludf.DUMMYFUNCTION("""COMPUTED_VALUE"""),"AP")</f>
        <v>AP</v>
      </c>
      <c r="R482" s="47" t="str">
        <f>IFERROR(__xludf.DUMMYFUNCTION("""COMPUTED_VALUE"""),"")</f>
        <v/>
      </c>
      <c r="S482" s="48" t="str">
        <f>IFERROR(__xludf.DUMMYFUNCTION("""COMPUTED_VALUE"""),"%")</f>
        <v>%</v>
      </c>
      <c r="T482" s="49">
        <f>IFERROR(__xludf.DUMMYFUNCTION("""COMPUTED_VALUE"""),2.0)</f>
        <v>2</v>
      </c>
      <c r="U482" s="50"/>
      <c r="V482" s="38"/>
      <c r="W482" s="45" t="str">
        <f>IFERROR(__xludf.DUMMYFUNCTION("""COMPUTED_VALUE"""),"")</f>
        <v/>
      </c>
      <c r="X482" s="46" t="str">
        <f>IFERROR(__xludf.DUMMYFUNCTION("""COMPUTED_VALUE"""),"AP")</f>
        <v>AP</v>
      </c>
      <c r="Y482" s="47" t="str">
        <f>IFERROR(__xludf.DUMMYFUNCTION("""COMPUTED_VALUE"""),"")</f>
        <v/>
      </c>
      <c r="Z482" s="48" t="str">
        <f>IFERROR(__xludf.DUMMYFUNCTION("""COMPUTED_VALUE"""),"%")</f>
        <v>%</v>
      </c>
      <c r="AA482" s="49">
        <f>IFERROR(__xludf.DUMMYFUNCTION("""COMPUTED_VALUE"""),3.0)</f>
        <v>3</v>
      </c>
      <c r="AB482" s="50"/>
      <c r="AC482" s="38"/>
      <c r="AD482" s="45" t="str">
        <f>IFERROR(__xludf.DUMMYFUNCTION("""COMPUTED_VALUE"""),"")</f>
        <v/>
      </c>
      <c r="AE482" s="46" t="str">
        <f>IFERROR(__xludf.DUMMYFUNCTION("""COMPUTED_VALUE"""),"AP")</f>
        <v>AP</v>
      </c>
      <c r="AF482" s="47" t="str">
        <f>IFERROR(__xludf.DUMMYFUNCTION("""COMPUTED_VALUE"""),"")</f>
        <v/>
      </c>
      <c r="AG482" s="48" t="str">
        <f>IFERROR(__xludf.DUMMYFUNCTION("""COMPUTED_VALUE"""),"%")</f>
        <v>%</v>
      </c>
      <c r="AH482" s="43"/>
      <c r="AI482" s="44"/>
      <c r="AJ482" s="66"/>
    </row>
    <row r="483">
      <c r="A483" s="52"/>
      <c r="B483" s="53"/>
      <c r="C483" s="54"/>
      <c r="D483" s="56"/>
      <c r="E483" s="56"/>
      <c r="F483" s="53"/>
      <c r="G483" s="53"/>
      <c r="H483" s="53"/>
      <c r="I483" s="53"/>
      <c r="J483" s="57"/>
      <c r="K483" s="53"/>
      <c r="L483" s="57"/>
      <c r="M483" s="53"/>
      <c r="N483" s="53"/>
      <c r="O483" s="53"/>
      <c r="P483" s="53"/>
      <c r="Q483" s="57"/>
      <c r="R483" s="53"/>
      <c r="S483" s="57"/>
      <c r="T483" s="53"/>
      <c r="U483" s="53"/>
      <c r="V483" s="53"/>
      <c r="W483" s="53"/>
      <c r="X483" s="57"/>
      <c r="Y483" s="53"/>
      <c r="Z483" s="57"/>
      <c r="AA483" s="53"/>
      <c r="AB483" s="53"/>
      <c r="AC483" s="53"/>
      <c r="AD483" s="53"/>
      <c r="AE483" s="57"/>
      <c r="AF483" s="53"/>
      <c r="AG483" s="57"/>
      <c r="AH483" s="53"/>
      <c r="AI483" s="53"/>
      <c r="AJ483" s="56"/>
    </row>
    <row r="484">
      <c r="A484" s="59"/>
      <c r="B484" s="60"/>
      <c r="C484" s="61"/>
      <c r="D484" s="63"/>
      <c r="E484" s="63"/>
      <c r="F484" s="60"/>
      <c r="G484" s="60"/>
      <c r="H484" s="60"/>
      <c r="I484" s="60"/>
      <c r="J484" s="64"/>
      <c r="K484" s="60"/>
      <c r="L484" s="64"/>
      <c r="M484" s="60"/>
      <c r="N484" s="60"/>
      <c r="O484" s="60"/>
      <c r="P484" s="60"/>
      <c r="Q484" s="64"/>
      <c r="R484" s="60"/>
      <c r="S484" s="64"/>
      <c r="T484" s="60"/>
      <c r="U484" s="60"/>
      <c r="V484" s="60"/>
      <c r="W484" s="60"/>
      <c r="X484" s="64"/>
      <c r="Y484" s="60"/>
      <c r="Z484" s="64"/>
      <c r="AA484" s="60"/>
      <c r="AB484" s="60"/>
      <c r="AC484" s="60"/>
      <c r="AD484" s="60"/>
      <c r="AE484" s="64"/>
      <c r="AF484" s="60"/>
      <c r="AG484" s="64"/>
      <c r="AH484" s="60"/>
      <c r="AI484" s="60"/>
      <c r="AJ484" s="63"/>
    </row>
    <row r="485" ht="33.0" customHeight="1">
      <c r="A485" s="20" t="str">
        <f>IFERROR(__xludf.DUMMYFUNCTION("""COMPUTED_VALUE""")," ")</f>
        <v> </v>
      </c>
      <c r="B485" s="21" t="str">
        <f>IFERROR(__xludf.DUMMYFUNCTION("""COMPUTED_VALUE"""),"A213")</f>
        <v>A213</v>
      </c>
      <c r="C485" s="20"/>
      <c r="D485" s="257" t="str">
        <f>IFERROR(__xludf.DUMMYFUNCTION("""COMPUTED_VALUE"""),"")</f>
        <v/>
      </c>
      <c r="E485" s="23" t="str">
        <f>IFERROR(__xludf.DUMMYFUNCTION("""COMPUTED_VALUE"""),"Eternal Ice")</f>
        <v>Eternal Ice</v>
      </c>
      <c r="F485" s="24"/>
      <c r="G485" s="24"/>
      <c r="H485" s="25"/>
      <c r="I485" s="25"/>
      <c r="J485" s="26"/>
      <c r="K485" s="25"/>
      <c r="L485" s="26"/>
      <c r="M485" s="25"/>
      <c r="N485" s="25"/>
      <c r="O485" s="25"/>
      <c r="P485" s="25"/>
      <c r="Q485" s="26"/>
      <c r="R485" s="25"/>
      <c r="S485" s="26"/>
      <c r="T485" s="25"/>
      <c r="U485" s="25"/>
      <c r="V485" s="25"/>
      <c r="W485" s="25"/>
      <c r="X485" s="26"/>
      <c r="Y485" s="25"/>
      <c r="Z485" s="26"/>
      <c r="AA485" s="25"/>
      <c r="AB485" s="25"/>
      <c r="AC485" s="25"/>
      <c r="AD485" s="25"/>
      <c r="AE485" s="26"/>
      <c r="AF485" s="25"/>
      <c r="AG485" s="26"/>
      <c r="AH485" s="24"/>
      <c r="AI485" s="25"/>
      <c r="AJ485" s="23"/>
    </row>
    <row r="486" ht="24.75" customHeight="1">
      <c r="A486" s="28">
        <f>IFERROR(__xludf.DUMMYFUNCTION("""COMPUTED_VALUE"""),1.0)</f>
        <v>1</v>
      </c>
      <c r="B486" s="28" t="str">
        <f>IFERROR(__xludf.DUMMYFUNCTION("""COMPUTED_VALUE"""),"A213")</f>
        <v>A213</v>
      </c>
      <c r="C486" s="28" t="str">
        <f>IFERROR(__xludf.DUMMYFUNCTION("""COMPUTED_VALUE"""),"ANA11")</f>
        <v>ANA11</v>
      </c>
      <c r="D486" s="29" t="str">
        <f>IFERROR(__xludf.DUMMYFUNCTION("""COMPUTED_VALUE"""),"Anastasia")</f>
        <v>Anastasia</v>
      </c>
      <c r="E486" s="30" t="str">
        <f>IFERROR(__xludf.DUMMYFUNCTION("""COMPUTED_VALUE"""),"Yaga Moscow")</f>
        <v>Yaga Moscow</v>
      </c>
      <c r="F486" s="31">
        <f>IFERROR(__xludf.DUMMYFUNCTION("""COMPUTED_VALUE"""),21.0)</f>
        <v>21</v>
      </c>
      <c r="G486" s="32">
        <f>IFERROR(__xludf.DUMMYFUNCTION("""COMPUTED_VALUE"""),13957.0)</f>
        <v>13957</v>
      </c>
      <c r="H486" s="33" t="str">
        <f>IFERROR(__xludf.DUMMYFUNCTION("""COMPUTED_VALUE"""),"")</f>
        <v/>
      </c>
      <c r="I486" s="34">
        <f>IFERROR(__xludf.DUMMYFUNCTION("""COMPUTED_VALUE"""),46.3587963988131)</f>
        <v>46.3587964</v>
      </c>
      <c r="J486" s="35" t="str">
        <f>IFERROR(__xludf.DUMMYFUNCTION("""COMPUTED_VALUE"""),"AP")</f>
        <v>AP</v>
      </c>
      <c r="K486" s="34">
        <f>IFERROR(__xludf.DUMMYFUNCTION("""COMPUTED_VALUE"""),45.29884645697499)</f>
        <v>45.29884646</v>
      </c>
      <c r="L486" s="35" t="str">
        <f>IFERROR(__xludf.DUMMYFUNCTION("""COMPUTED_VALUE"""),"%")</f>
        <v>%</v>
      </c>
      <c r="M486" s="36">
        <f>IFERROR(__xludf.DUMMYFUNCTION("""COMPUTED_VALUE"""),1.0)</f>
        <v>1</v>
      </c>
      <c r="N486" s="37" t="str">
        <f>IFERROR(__xludf.DUMMYFUNCTION("""COMPUTED_VALUE"""),"B116")</f>
        <v>B116</v>
      </c>
      <c r="O486" s="38" t="str">
        <f>IFERROR(__xludf.DUMMYFUNCTION("""COMPUTED_VALUE"""),"")</f>
        <v/>
      </c>
      <c r="P486" s="34">
        <f>IFERROR(__xludf.DUMMYFUNCTION("""COMPUTED_VALUE"""),45.154267020903525)</f>
        <v>45.15426702</v>
      </c>
      <c r="Q486" s="35" t="str">
        <f>IFERROR(__xludf.DUMMYFUNCTION("""COMPUTED_VALUE"""),"AP")</f>
        <v>AP</v>
      </c>
      <c r="R486" s="34">
        <f>IFERROR(__xludf.DUMMYFUNCTION("""COMPUTED_VALUE"""),46.507232617192855)</f>
        <v>46.50723262</v>
      </c>
      <c r="S486" s="35" t="str">
        <f>IFERROR(__xludf.DUMMYFUNCTION("""COMPUTED_VALUE"""),"%")</f>
        <v>%</v>
      </c>
      <c r="T486" s="36">
        <f>IFERROR(__xludf.DUMMYFUNCTION("""COMPUTED_VALUE"""),2.0)</f>
        <v>2</v>
      </c>
      <c r="U486" s="37"/>
      <c r="V486" s="38"/>
      <c r="W486" s="34" t="str">
        <f>IFERROR(__xludf.DUMMYFUNCTION("""COMPUTED_VALUE"""),"")</f>
        <v/>
      </c>
      <c r="X486" s="35" t="str">
        <f>IFERROR(__xludf.DUMMYFUNCTION("""COMPUTED_VALUE"""),"AP")</f>
        <v>AP</v>
      </c>
      <c r="Y486" s="34" t="str">
        <f>IFERROR(__xludf.DUMMYFUNCTION("""COMPUTED_VALUE"""),"")</f>
        <v/>
      </c>
      <c r="Z486" s="35" t="str">
        <f>IFERROR(__xludf.DUMMYFUNCTION("""COMPUTED_VALUE"""),"%")</f>
        <v>%</v>
      </c>
      <c r="AA486" s="36">
        <f>IFERROR(__xludf.DUMMYFUNCTION("""COMPUTED_VALUE"""),3.0)</f>
        <v>3</v>
      </c>
      <c r="AB486" s="37"/>
      <c r="AC486" s="38"/>
      <c r="AD486" s="34" t="str">
        <f>IFERROR(__xludf.DUMMYFUNCTION("""COMPUTED_VALUE"""),"")</f>
        <v/>
      </c>
      <c r="AE486" s="35" t="str">
        <f>IFERROR(__xludf.DUMMYFUNCTION("""COMPUTED_VALUE"""),"AP")</f>
        <v>AP</v>
      </c>
      <c r="AF486" s="34" t="str">
        <f>IFERROR(__xludf.DUMMYFUNCTION("""COMPUTED_VALUE"""),"")</f>
        <v/>
      </c>
      <c r="AG486" s="35" t="str">
        <f>IFERROR(__xludf.DUMMYFUNCTION("""COMPUTED_VALUE"""),"%")</f>
        <v>%</v>
      </c>
      <c r="AH486" s="31">
        <f>IFERROR(__xludf.DUMMYFUNCTION("""COMPUTED_VALUE"""),21.0)</f>
        <v>21</v>
      </c>
      <c r="AI486" s="32">
        <f>IFERROR(__xludf.DUMMYFUNCTION("""COMPUTED_VALUE"""),13957.0)</f>
        <v>13957</v>
      </c>
      <c r="AJ486" s="30" t="str">
        <f>IFERROR(__xludf.DUMMYFUNCTION("""COMPUTED_VALUE"""),"Yaga Moscow")</f>
        <v>Yaga Moscow</v>
      </c>
    </row>
    <row r="487" ht="24.75" customHeight="1">
      <c r="A487" s="40">
        <f>IFERROR(__xludf.DUMMYFUNCTION("""COMPUTED_VALUE"""),2.0)</f>
        <v>2</v>
      </c>
      <c r="B487" s="40" t="str">
        <f>IFERROR(__xludf.DUMMYFUNCTION("""COMPUTED_VALUE"""),"A213")</f>
        <v>A213</v>
      </c>
      <c r="C487" s="40" t="str">
        <f>IFERROR(__xludf.DUMMYFUNCTION("""COMPUTED_VALUE"""),"ANA8")</f>
        <v>ANA8</v>
      </c>
      <c r="D487" s="41" t="str">
        <f>IFERROR(__xludf.DUMMYFUNCTION("""COMPUTED_VALUE"""),"Anastasia")</f>
        <v>Anastasia</v>
      </c>
      <c r="E487" s="42" t="str">
        <f>IFERROR(__xludf.DUMMYFUNCTION("""COMPUTED_VALUE"""),"Yaga Demensk")</f>
        <v>Yaga Demensk</v>
      </c>
      <c r="F487" s="43">
        <f>IFERROR(__xludf.DUMMYFUNCTION("""COMPUTED_VALUE"""),21.0)</f>
        <v>21</v>
      </c>
      <c r="G487" s="44">
        <f>IFERROR(__xludf.DUMMYFUNCTION("""COMPUTED_VALUE"""),5552.0)</f>
        <v>5552</v>
      </c>
      <c r="H487" s="33" t="str">
        <f>IFERROR(__xludf.DUMMYFUNCTION("""COMPUTED_VALUE"""),"")</f>
        <v/>
      </c>
      <c r="I487" s="45">
        <f>IFERROR(__xludf.DUMMYFUNCTION("""COMPUTED_VALUE"""),81.18304202450699)</f>
        <v>81.18304202</v>
      </c>
      <c r="J487" s="46" t="str">
        <f>IFERROR(__xludf.DUMMYFUNCTION("""COMPUTED_VALUE"""),"AP")</f>
        <v>AP</v>
      </c>
      <c r="K487" s="47">
        <f>IFERROR(__xludf.DUMMYFUNCTION("""COMPUTED_VALUE"""),25.867471181556194)</f>
        <v>25.86747118</v>
      </c>
      <c r="L487" s="48" t="str">
        <f>IFERROR(__xludf.DUMMYFUNCTION("""COMPUTED_VALUE"""),"%")</f>
        <v>%</v>
      </c>
      <c r="M487" s="49">
        <f>IFERROR(__xludf.DUMMYFUNCTION("""COMPUTED_VALUE"""),1.0)</f>
        <v>1</v>
      </c>
      <c r="N487" s="50" t="str">
        <f>IFERROR(__xludf.DUMMYFUNCTION("""COMPUTED_VALUE"""),"A105")</f>
        <v>A105</v>
      </c>
      <c r="O487" s="38" t="str">
        <f>IFERROR(__xludf.DUMMYFUNCTION("""COMPUTED_VALUE"""),"")</f>
        <v/>
      </c>
      <c r="P487" s="45">
        <f>IFERROR(__xludf.DUMMYFUNCTION("""COMPUTED_VALUE"""),100.09787255962499)</f>
        <v>100.0978726</v>
      </c>
      <c r="Q487" s="46" t="str">
        <f>IFERROR(__xludf.DUMMYFUNCTION("""COMPUTED_VALUE"""),"AP")</f>
        <v>AP</v>
      </c>
      <c r="R487" s="47">
        <f>IFERROR(__xludf.DUMMYFUNCTION("""COMPUTED_VALUE"""),20.979466858789625)</f>
        <v>20.97946686</v>
      </c>
      <c r="S487" s="48" t="str">
        <f>IFERROR(__xludf.DUMMYFUNCTION("""COMPUTED_VALUE"""),"%")</f>
        <v>%</v>
      </c>
      <c r="T487" s="49">
        <f>IFERROR(__xludf.DUMMYFUNCTION("""COMPUTED_VALUE"""),2.0)</f>
        <v>2</v>
      </c>
      <c r="U487" s="50" t="str">
        <f>IFERROR(__xludf.DUMMYFUNCTION("""COMPUTED_VALUE"""),"B113")</f>
        <v>B113</v>
      </c>
      <c r="V487" s="38" t="str">
        <f>IFERROR(__xludf.DUMMYFUNCTION("""COMPUTED_VALUE"""),"")</f>
        <v/>
      </c>
      <c r="W487" s="45">
        <f>IFERROR(__xludf.DUMMYFUNCTION("""COMPUTED_VALUE"""),256.4323923024989)</f>
        <v>256.4323923</v>
      </c>
      <c r="X487" s="46" t="str">
        <f>IFERROR(__xludf.DUMMYFUNCTION("""COMPUTED_VALUE"""),"AP")</f>
        <v>AP</v>
      </c>
      <c r="Y487" s="47">
        <f>IFERROR(__xludf.DUMMYFUNCTION("""COMPUTED_VALUE"""),8.189293018499582)</f>
        <v>8.189293018</v>
      </c>
      <c r="Z487" s="48" t="str">
        <f>IFERROR(__xludf.DUMMYFUNCTION("""COMPUTED_VALUE"""),"%")</f>
        <v>%</v>
      </c>
      <c r="AA487" s="49">
        <f>IFERROR(__xludf.DUMMYFUNCTION("""COMPUTED_VALUE"""),3.0)</f>
        <v>3</v>
      </c>
      <c r="AB487" s="50" t="str">
        <f>IFERROR(__xludf.DUMMYFUNCTION("""COMPUTED_VALUE"""),"B116")</f>
        <v>B116</v>
      </c>
      <c r="AC487" s="38" t="str">
        <f>IFERROR(__xludf.DUMMYFUNCTION("""COMPUTED_VALUE"""),"")</f>
        <v/>
      </c>
      <c r="AD487" s="45">
        <f>IFERROR(__xludf.DUMMYFUNCTION("""COMPUTED_VALUE"""),52.53632415272715)</f>
        <v>52.53632415</v>
      </c>
      <c r="AE487" s="46" t="str">
        <f>IFERROR(__xludf.DUMMYFUNCTION("""COMPUTED_VALUE"""),"AP")</f>
        <v>AP</v>
      </c>
      <c r="AF487" s="47">
        <f>IFERROR(__xludf.DUMMYFUNCTION("""COMPUTED_VALUE"""),39.97234359022032)</f>
        <v>39.97234359</v>
      </c>
      <c r="AG487" s="48" t="str">
        <f>IFERROR(__xludf.DUMMYFUNCTION("""COMPUTED_VALUE"""),"%")</f>
        <v>%</v>
      </c>
      <c r="AH487" s="43">
        <f>IFERROR(__xludf.DUMMYFUNCTION("""COMPUTED_VALUE"""),21.0)</f>
        <v>21</v>
      </c>
      <c r="AI487" s="44">
        <f>IFERROR(__xludf.DUMMYFUNCTION("""COMPUTED_VALUE"""),5552.0)</f>
        <v>5552</v>
      </c>
      <c r="AJ487" s="42" t="str">
        <f>IFERROR(__xludf.DUMMYFUNCTION("""COMPUTED_VALUE"""),"Yaga Demensk")</f>
        <v>Yaga Demensk</v>
      </c>
    </row>
    <row r="488" ht="24.75" customHeight="1">
      <c r="A488" s="28">
        <f>IFERROR(__xludf.DUMMYFUNCTION("""COMPUTED_VALUE"""),3.0)</f>
        <v>3</v>
      </c>
      <c r="B488" s="28" t="str">
        <f>IFERROR(__xludf.DUMMYFUNCTION("""COMPUTED_VALUE"""),"A213")</f>
        <v>A213</v>
      </c>
      <c r="C488" s="28" t="str">
        <f>IFERROR(__xludf.DUMMYFUNCTION("""COMPUTED_VALUE"""),"ANA10")</f>
        <v>ANA10</v>
      </c>
      <c r="D488" s="29" t="str">
        <f>IFERROR(__xludf.DUMMYFUNCTION("""COMPUTED_VALUE"""),"Anastasia")</f>
        <v>Anastasia</v>
      </c>
      <c r="E488" s="30" t="str">
        <f>IFERROR(__xludf.DUMMYFUNCTION("""COMPUTED_VALUE"""),"Crushed Village")</f>
        <v>Crushed Village</v>
      </c>
      <c r="F488" s="31">
        <f>IFERROR(__xludf.DUMMYFUNCTION("""COMPUTED_VALUE"""),21.0)</f>
        <v>21</v>
      </c>
      <c r="G488" s="32">
        <f>IFERROR(__xludf.DUMMYFUNCTION("""COMPUTED_VALUE"""),19001.0)</f>
        <v>19001</v>
      </c>
      <c r="H488" s="33" t="str">
        <f>IFERROR(__xludf.DUMMYFUNCTION("""COMPUTED_VALUE"""),"")</f>
        <v/>
      </c>
      <c r="I488" s="34">
        <f>IFERROR(__xludf.DUMMYFUNCTION("""COMPUTED_VALUE"""),83.07013560954344)</f>
        <v>83.07013561</v>
      </c>
      <c r="J488" s="35" t="str">
        <f>IFERROR(__xludf.DUMMYFUNCTION("""COMPUTED_VALUE"""),"AP")</f>
        <v>AP</v>
      </c>
      <c r="K488" s="34">
        <f>IFERROR(__xludf.DUMMYFUNCTION("""COMPUTED_VALUE"""),25.27984316614915)</f>
        <v>25.27984317</v>
      </c>
      <c r="L488" s="35" t="str">
        <f>IFERROR(__xludf.DUMMYFUNCTION("""COMPUTED_VALUE"""),"%")</f>
        <v>%</v>
      </c>
      <c r="M488" s="36">
        <f>IFERROR(__xludf.DUMMYFUNCTION("""COMPUTED_VALUE"""),1.0)</f>
        <v>1</v>
      </c>
      <c r="N488" s="37" t="str">
        <f>IFERROR(__xludf.DUMMYFUNCTION("""COMPUTED_VALUE"""),"A211")</f>
        <v>A211</v>
      </c>
      <c r="O488" s="38" t="str">
        <f>IFERROR(__xludf.DUMMYFUNCTION("""COMPUTED_VALUE"""),"")</f>
        <v/>
      </c>
      <c r="P488" s="34">
        <f>IFERROR(__xludf.DUMMYFUNCTION("""COMPUTED_VALUE"""),85.84244330448045)</f>
        <v>85.8424433</v>
      </c>
      <c r="Q488" s="35" t="str">
        <f>IFERROR(__xludf.DUMMYFUNCTION("""COMPUTED_VALUE"""),"AP")</f>
        <v>AP</v>
      </c>
      <c r="R488" s="34">
        <f>IFERROR(__xludf.DUMMYFUNCTION("""COMPUTED_VALUE"""),24.463422977738013)</f>
        <v>24.46342298</v>
      </c>
      <c r="S488" s="35" t="str">
        <f>IFERROR(__xludf.DUMMYFUNCTION("""COMPUTED_VALUE"""),"%")</f>
        <v>%</v>
      </c>
      <c r="T488" s="36">
        <f>IFERROR(__xludf.DUMMYFUNCTION("""COMPUTED_VALUE"""),2.0)</f>
        <v>2</v>
      </c>
      <c r="U488" s="37" t="str">
        <f>IFERROR(__xludf.DUMMYFUNCTION("""COMPUTED_VALUE"""),"B116")</f>
        <v>B116</v>
      </c>
      <c r="V488" s="38" t="str">
        <f>IFERROR(__xludf.DUMMYFUNCTION("""COMPUTED_VALUE"""),"")</f>
        <v/>
      </c>
      <c r="W488" s="34">
        <f>IFERROR(__xludf.DUMMYFUNCTION("""COMPUTED_VALUE"""),84.38000814080657)</f>
        <v>84.38000814</v>
      </c>
      <c r="X488" s="35" t="str">
        <f>IFERROR(__xludf.DUMMYFUNCTION("""COMPUTED_VALUE"""),"AP")</f>
        <v>AP</v>
      </c>
      <c r="Y488" s="34">
        <f>IFERROR(__xludf.DUMMYFUNCTION("""COMPUTED_VALUE"""),24.88741167808006)</f>
        <v>24.88741168</v>
      </c>
      <c r="Z488" s="35" t="str">
        <f>IFERROR(__xludf.DUMMYFUNCTION("""COMPUTED_VALUE"""),"%")</f>
        <v>%</v>
      </c>
      <c r="AA488" s="36">
        <f>IFERROR(__xludf.DUMMYFUNCTION("""COMPUTED_VALUE"""),3.0)</f>
        <v>3</v>
      </c>
      <c r="AB488" s="37"/>
      <c r="AC488" s="38"/>
      <c r="AD488" s="34" t="str">
        <f>IFERROR(__xludf.DUMMYFUNCTION("""COMPUTED_VALUE"""),"")</f>
        <v/>
      </c>
      <c r="AE488" s="35" t="str">
        <f>IFERROR(__xludf.DUMMYFUNCTION("""COMPUTED_VALUE"""),"AP")</f>
        <v>AP</v>
      </c>
      <c r="AF488" s="34" t="str">
        <f>IFERROR(__xludf.DUMMYFUNCTION("""COMPUTED_VALUE"""),"")</f>
        <v/>
      </c>
      <c r="AG488" s="35" t="str">
        <f>IFERROR(__xludf.DUMMYFUNCTION("""COMPUTED_VALUE"""),"%")</f>
        <v>%</v>
      </c>
      <c r="AH488" s="31">
        <f>IFERROR(__xludf.DUMMYFUNCTION("""COMPUTED_VALUE"""),21.0)</f>
        <v>21</v>
      </c>
      <c r="AI488" s="32">
        <f>IFERROR(__xludf.DUMMYFUNCTION("""COMPUTED_VALUE"""),19001.0)</f>
        <v>19001</v>
      </c>
      <c r="AJ488" s="30" t="str">
        <f>IFERROR(__xludf.DUMMYFUNCTION("""COMPUTED_VALUE"""),"Crushed Village")</f>
        <v>Crushed Village</v>
      </c>
    </row>
    <row r="489" ht="24.75" customHeight="1">
      <c r="A489" s="40">
        <f>IFERROR(__xludf.DUMMYFUNCTION("""COMPUTED_VALUE"""),4.0)</f>
        <v>4</v>
      </c>
      <c r="B489" s="40" t="str">
        <f>IFERROR(__xludf.DUMMYFUNCTION("""COMPUTED_VALUE"""),"A213")</f>
        <v>A213</v>
      </c>
      <c r="C489" s="40" t="str">
        <f>IFERROR(__xludf.DUMMYFUNCTION("""COMPUTED_VALUE"""),"ANA14")</f>
        <v>ANA14</v>
      </c>
      <c r="D489" s="41" t="str">
        <f>IFERROR(__xludf.DUMMYFUNCTION("""COMPUTED_VALUE"""),"Anastasia")</f>
        <v>Anastasia</v>
      </c>
      <c r="E489" s="42" t="str">
        <f>IFERROR(__xludf.DUMMYFUNCTION("""COMPUTED_VALUE"""),"Yaga Ryazan")</f>
        <v>Yaga Ryazan</v>
      </c>
      <c r="F489" s="43">
        <f>IFERROR(__xludf.DUMMYFUNCTION("""COMPUTED_VALUE"""),21.0)</f>
        <v>21</v>
      </c>
      <c r="G489" s="44">
        <f>IFERROR(__xludf.DUMMYFUNCTION("""COMPUTED_VALUE"""),24143.0)</f>
        <v>24143</v>
      </c>
      <c r="H489" s="33" t="str">
        <f>IFERROR(__xludf.DUMMYFUNCTION("""COMPUTED_VALUE"""),"")</f>
        <v/>
      </c>
      <c r="I489" s="45">
        <f>IFERROR(__xludf.DUMMYFUNCTION("""COMPUTED_VALUE"""),84.15336735964149)</f>
        <v>84.15336736</v>
      </c>
      <c r="J489" s="46" t="str">
        <f>IFERROR(__xludf.DUMMYFUNCTION("""COMPUTED_VALUE"""),"AP")</f>
        <v>AP</v>
      </c>
      <c r="K489" s="47">
        <f>IFERROR(__xludf.DUMMYFUNCTION("""COMPUTED_VALUE"""),24.954438139419292)</f>
        <v>24.95443814</v>
      </c>
      <c r="L489" s="48" t="str">
        <f>IFERROR(__xludf.DUMMYFUNCTION("""COMPUTED_VALUE"""),"%")</f>
        <v>%</v>
      </c>
      <c r="M489" s="49">
        <f>IFERROR(__xludf.DUMMYFUNCTION("""COMPUTED_VALUE"""),1.0)</f>
        <v>1</v>
      </c>
      <c r="N489" s="50" t="str">
        <f>IFERROR(__xludf.DUMMYFUNCTION("""COMPUTED_VALUE"""),"A101")</f>
        <v>A101</v>
      </c>
      <c r="O489" s="38" t="str">
        <f>IFERROR(__xludf.DUMMYFUNCTION("""COMPUTED_VALUE"""),"")</f>
        <v/>
      </c>
      <c r="P489" s="45">
        <f>IFERROR(__xludf.DUMMYFUNCTION("""COMPUTED_VALUE"""),101.95781987719283)</f>
        <v>101.9578199</v>
      </c>
      <c r="Q489" s="46" t="str">
        <f>IFERROR(__xludf.DUMMYFUNCTION("""COMPUTED_VALUE"""),"AP")</f>
        <v>AP</v>
      </c>
      <c r="R489" s="47">
        <f>IFERROR(__xludf.DUMMYFUNCTION("""COMPUTED_VALUE"""),20.596752681936795)</f>
        <v>20.59675268</v>
      </c>
      <c r="S489" s="48" t="str">
        <f>IFERROR(__xludf.DUMMYFUNCTION("""COMPUTED_VALUE"""),"%")</f>
        <v>%</v>
      </c>
      <c r="T489" s="49">
        <f>IFERROR(__xludf.DUMMYFUNCTION("""COMPUTED_VALUE"""),2.0)</f>
        <v>2</v>
      </c>
      <c r="U489" s="50" t="str">
        <f>IFERROR(__xludf.DUMMYFUNCTION("""COMPUTED_VALUE"""),"B107")</f>
        <v>B107</v>
      </c>
      <c r="V489" s="38" t="str">
        <f>IFERROR(__xludf.DUMMYFUNCTION("""COMPUTED_VALUE"""),"")</f>
        <v/>
      </c>
      <c r="W489" s="45">
        <f>IFERROR(__xludf.DUMMYFUNCTION("""COMPUTED_VALUE"""),658.1173355144512)</f>
        <v>658.1173355</v>
      </c>
      <c r="X489" s="46" t="str">
        <f>IFERROR(__xludf.DUMMYFUNCTION("""COMPUTED_VALUE"""),"AP")</f>
        <v>AP</v>
      </c>
      <c r="Y489" s="47">
        <f>IFERROR(__xludf.DUMMYFUNCTION("""COMPUTED_VALUE"""),3.1909203521563936)</f>
        <v>3.190920352</v>
      </c>
      <c r="Z489" s="48" t="str">
        <f>IFERROR(__xludf.DUMMYFUNCTION("""COMPUTED_VALUE"""),"%")</f>
        <v>%</v>
      </c>
      <c r="AA489" s="49">
        <f>IFERROR(__xludf.DUMMYFUNCTION("""COMPUTED_VALUE"""),3.0)</f>
        <v>3</v>
      </c>
      <c r="AB489" s="50" t="str">
        <f>IFERROR(__xludf.DUMMYFUNCTION("""COMPUTED_VALUE"""),"B116")</f>
        <v>B116</v>
      </c>
      <c r="AC489" s="38" t="str">
        <f>IFERROR(__xludf.DUMMYFUNCTION("""COMPUTED_VALUE"""),"")</f>
        <v/>
      </c>
      <c r="AD489" s="45">
        <f>IFERROR(__xludf.DUMMYFUNCTION("""COMPUTED_VALUE"""),59.62815786085435)</f>
        <v>59.62815786</v>
      </c>
      <c r="AE489" s="46" t="str">
        <f>IFERROR(__xludf.DUMMYFUNCTION("""COMPUTED_VALUE"""),"AP")</f>
        <v>AP</v>
      </c>
      <c r="AF489" s="47">
        <f>IFERROR(__xludf.DUMMYFUNCTION("""COMPUTED_VALUE"""),35.21826055570034)</f>
        <v>35.21826056</v>
      </c>
      <c r="AG489" s="48" t="str">
        <f>IFERROR(__xludf.DUMMYFUNCTION("""COMPUTED_VALUE"""),"%")</f>
        <v>%</v>
      </c>
      <c r="AH489" s="43">
        <f>IFERROR(__xludf.DUMMYFUNCTION("""COMPUTED_VALUE"""),21.0)</f>
        <v>21</v>
      </c>
      <c r="AI489" s="44">
        <f>IFERROR(__xludf.DUMMYFUNCTION("""COMPUTED_VALUE"""),24143.0)</f>
        <v>24143</v>
      </c>
      <c r="AJ489" s="42" t="str">
        <f>IFERROR(__xludf.DUMMYFUNCTION("""COMPUTED_VALUE"""),"Yaga Ryazan")</f>
        <v>Yaga Ryazan</v>
      </c>
    </row>
    <row r="490" ht="24.75" customHeight="1">
      <c r="A490" s="28">
        <f>IFERROR(__xludf.DUMMYFUNCTION("""COMPUTED_VALUE"""),5.0)</f>
        <v>5</v>
      </c>
      <c r="B490" s="28" t="str">
        <f>IFERROR(__xludf.DUMMYFUNCTION("""COMPUTED_VALUE"""),"A213")</f>
        <v>A213</v>
      </c>
      <c r="C490" s="28" t="str">
        <f>IFERROR(__xludf.DUMMYFUNCTION("""COMPUTED_VALUE"""),"ANA9")</f>
        <v>ANA9</v>
      </c>
      <c r="D490" s="29" t="str">
        <f>IFERROR(__xludf.DUMMYFUNCTION("""COMPUTED_VALUE"""),"Anastasia")</f>
        <v>Anastasia</v>
      </c>
      <c r="E490" s="30" t="str">
        <f>IFERROR(__xludf.DUMMYFUNCTION("""COMPUTED_VALUE"""),"Yaga Tula")</f>
        <v>Yaga Tula</v>
      </c>
      <c r="F490" s="31">
        <f>IFERROR(__xludf.DUMMYFUNCTION("""COMPUTED_VALUE"""),21.0)</f>
        <v>21</v>
      </c>
      <c r="G490" s="32">
        <f>IFERROR(__xludf.DUMMYFUNCTION("""COMPUTED_VALUE"""),32754.0)</f>
        <v>32754</v>
      </c>
      <c r="H490" s="33" t="str">
        <f>IFERROR(__xludf.DUMMYFUNCTION("""COMPUTED_VALUE"""),"")</f>
        <v/>
      </c>
      <c r="I490" s="34">
        <f>IFERROR(__xludf.DUMMYFUNCTION("""COMPUTED_VALUE"""),103.97453943883735)</f>
        <v>103.9745394</v>
      </c>
      <c r="J490" s="35" t="str">
        <f>IFERROR(__xludf.DUMMYFUNCTION("""COMPUTED_VALUE"""),"AP")</f>
        <v>AP</v>
      </c>
      <c r="K490" s="34">
        <f>IFERROR(__xludf.DUMMYFUNCTION("""COMPUTED_VALUE"""),20.19725224400073)</f>
        <v>20.19725224</v>
      </c>
      <c r="L490" s="35" t="str">
        <f>IFERROR(__xludf.DUMMYFUNCTION("""COMPUTED_VALUE"""),"%")</f>
        <v>%</v>
      </c>
      <c r="M490" s="36">
        <f>IFERROR(__xludf.DUMMYFUNCTION("""COMPUTED_VALUE"""),1.0)</f>
        <v>1</v>
      </c>
      <c r="N490" s="37" t="str">
        <f>IFERROR(__xludf.DUMMYFUNCTION("""COMPUTED_VALUE"""),"A304")</f>
        <v>A304</v>
      </c>
      <c r="O490" s="38" t="str">
        <f>IFERROR(__xludf.DUMMYFUNCTION("""COMPUTED_VALUE"""),"")</f>
        <v/>
      </c>
      <c r="P490" s="34">
        <f>IFERROR(__xludf.DUMMYFUNCTION("""COMPUTED_VALUE"""),70.93277662415447)</f>
        <v>70.93277662</v>
      </c>
      <c r="Q490" s="35" t="str">
        <f>IFERROR(__xludf.DUMMYFUNCTION("""COMPUTED_VALUE"""),"AP")</f>
        <v>AP</v>
      </c>
      <c r="R490" s="34">
        <f>IFERROR(__xludf.DUMMYFUNCTION("""COMPUTED_VALUE"""),29.605495511998534)</f>
        <v>29.60549551</v>
      </c>
      <c r="S490" s="35" t="str">
        <f>IFERROR(__xludf.DUMMYFUNCTION("""COMPUTED_VALUE"""),"%")</f>
        <v>%</v>
      </c>
      <c r="T490" s="36">
        <f>IFERROR(__xludf.DUMMYFUNCTION("""COMPUTED_VALUE"""),2.0)</f>
        <v>2</v>
      </c>
      <c r="U490" s="37" t="str">
        <f>IFERROR(__xludf.DUMMYFUNCTION("""COMPUTED_VALUE"""),"A309")</f>
        <v>A309</v>
      </c>
      <c r="V490" s="38" t="str">
        <f>IFERROR(__xludf.DUMMYFUNCTION("""COMPUTED_VALUE"""),"")</f>
        <v/>
      </c>
      <c r="W490" s="34">
        <f>IFERROR(__xludf.DUMMYFUNCTION("""COMPUTED_VALUE"""),69.4865482793484)</f>
        <v>69.48654828</v>
      </c>
      <c r="X490" s="35" t="str">
        <f>IFERROR(__xludf.DUMMYFUNCTION("""COMPUTED_VALUE"""),"AP")</f>
        <v>AP</v>
      </c>
      <c r="Y490" s="34">
        <f>IFERROR(__xludf.DUMMYFUNCTION("""COMPUTED_VALUE"""),30.221676741771994)</f>
        <v>30.22167674</v>
      </c>
      <c r="Z490" s="35" t="str">
        <f>IFERROR(__xludf.DUMMYFUNCTION("""COMPUTED_VALUE"""),"%")</f>
        <v>%</v>
      </c>
      <c r="AA490" s="36">
        <f>IFERROR(__xludf.DUMMYFUNCTION("""COMPUTED_VALUE"""),3.0)</f>
        <v>3</v>
      </c>
      <c r="AB490" s="37" t="str">
        <f>IFERROR(__xludf.DUMMYFUNCTION("""COMPUTED_VALUE"""),"B116")</f>
        <v>B116</v>
      </c>
      <c r="AC490" s="38" t="str">
        <f>IFERROR(__xludf.DUMMYFUNCTION("""COMPUTED_VALUE"""),"")</f>
        <v/>
      </c>
      <c r="AD490" s="34">
        <f>IFERROR(__xludf.DUMMYFUNCTION("""COMPUTED_VALUE"""),84.28033163068231)</f>
        <v>84.28033163</v>
      </c>
      <c r="AE490" s="35" t="str">
        <f>IFERROR(__xludf.DUMMYFUNCTION("""COMPUTED_VALUE"""),"AP")</f>
        <v>AP</v>
      </c>
      <c r="AF490" s="34">
        <f>IFERROR(__xludf.DUMMYFUNCTION("""COMPUTED_VALUE"""),24.916845477094608)</f>
        <v>24.91684548</v>
      </c>
      <c r="AG490" s="35" t="str">
        <f>IFERROR(__xludf.DUMMYFUNCTION("""COMPUTED_VALUE"""),"%")</f>
        <v>%</v>
      </c>
      <c r="AH490" s="31">
        <f>IFERROR(__xludf.DUMMYFUNCTION("""COMPUTED_VALUE"""),21.0)</f>
        <v>21</v>
      </c>
      <c r="AI490" s="32">
        <f>IFERROR(__xludf.DUMMYFUNCTION("""COMPUTED_VALUE"""),32754.0)</f>
        <v>32754</v>
      </c>
      <c r="AJ490" s="30" t="str">
        <f>IFERROR(__xludf.DUMMYFUNCTION("""COMPUTED_VALUE"""),"Yaga Tula")</f>
        <v>Yaga Tula</v>
      </c>
    </row>
    <row r="491" ht="24.75" customHeight="1">
      <c r="A491" s="40">
        <f>IFERROR(__xludf.DUMMYFUNCTION("""COMPUTED_VALUE"""),6.0)</f>
        <v>6</v>
      </c>
      <c r="B491" s="40" t="str">
        <f>IFERROR(__xludf.DUMMYFUNCTION("""COMPUTED_VALUE"""),"A213")</f>
        <v>A213</v>
      </c>
      <c r="C491" s="40" t="str">
        <f>IFERROR(__xludf.DUMMYFUNCTION("""COMPUTED_VALUE"""),"ANA13")</f>
        <v>ANA13</v>
      </c>
      <c r="D491" s="41" t="str">
        <f>IFERROR(__xludf.DUMMYFUNCTION("""COMPUTED_VALUE"""),"Anastasia")</f>
        <v>Anastasia</v>
      </c>
      <c r="E491" s="42" t="str">
        <f>IFERROR(__xludf.DUMMYFUNCTION("""COMPUTED_VALUE"""),"Base of the Great Tree")</f>
        <v>Base of the Great Tree</v>
      </c>
      <c r="F491" s="43">
        <f>IFERROR(__xludf.DUMMYFUNCTION("""COMPUTED_VALUE"""),21.0)</f>
        <v>21</v>
      </c>
      <c r="G491" s="44">
        <f>IFERROR(__xludf.DUMMYFUNCTION("""COMPUTED_VALUE"""),13779.0)</f>
        <v>13779</v>
      </c>
      <c r="H491" s="33" t="str">
        <f>IFERROR(__xludf.DUMMYFUNCTION("""COMPUTED_VALUE"""),"")</f>
        <v/>
      </c>
      <c r="I491" s="45">
        <f>IFERROR(__xludf.DUMMYFUNCTION("""COMPUTED_VALUE"""),105.08389018012782)</f>
        <v>105.0838902</v>
      </c>
      <c r="J491" s="46" t="str">
        <f>IFERROR(__xludf.DUMMYFUNCTION("""COMPUTED_VALUE"""),"AP")</f>
        <v>AP</v>
      </c>
      <c r="K491" s="47">
        <f>IFERROR(__xludf.DUMMYFUNCTION("""COMPUTED_VALUE"""),19.98403367443211)</f>
        <v>19.98403367</v>
      </c>
      <c r="L491" s="48" t="str">
        <f>IFERROR(__xludf.DUMMYFUNCTION("""COMPUTED_VALUE"""),"%")</f>
        <v>%</v>
      </c>
      <c r="M491" s="49">
        <f>IFERROR(__xludf.DUMMYFUNCTION("""COMPUTED_VALUE"""),1.0)</f>
        <v>1</v>
      </c>
      <c r="N491" s="50" t="str">
        <f>IFERROR(__xludf.DUMMYFUNCTION("""COMPUTED_VALUE"""),"A304")</f>
        <v>A304</v>
      </c>
      <c r="O491" s="38" t="str">
        <f>IFERROR(__xludf.DUMMYFUNCTION("""COMPUTED_VALUE"""),"")</f>
        <v/>
      </c>
      <c r="P491" s="45">
        <f>IFERROR(__xludf.DUMMYFUNCTION("""COMPUTED_VALUE"""),69.97968511934992)</f>
        <v>69.97968512</v>
      </c>
      <c r="Q491" s="46" t="str">
        <f>IFERROR(__xludf.DUMMYFUNCTION("""COMPUTED_VALUE"""),"AP")</f>
        <v>AP</v>
      </c>
      <c r="R491" s="47">
        <f>IFERROR(__xludf.DUMMYFUNCTION("""COMPUTED_VALUE"""),30.008708904855215)</f>
        <v>30.0087089</v>
      </c>
      <c r="S491" s="48" t="str">
        <f>IFERROR(__xludf.DUMMYFUNCTION("""COMPUTED_VALUE"""),"%")</f>
        <v>%</v>
      </c>
      <c r="T491" s="49">
        <f>IFERROR(__xludf.DUMMYFUNCTION("""COMPUTED_VALUE"""),2.0)</f>
        <v>2</v>
      </c>
      <c r="U491" s="50" t="str">
        <f>IFERROR(__xludf.DUMMYFUNCTION("""COMPUTED_VALUE"""),"A306")</f>
        <v>A306</v>
      </c>
      <c r="V491" s="38" t="str">
        <f>IFERROR(__xludf.DUMMYFUNCTION("""COMPUTED_VALUE"""),"")</f>
        <v/>
      </c>
      <c r="W491" s="45">
        <f>IFERROR(__xludf.DUMMYFUNCTION("""COMPUTED_VALUE"""),71.36839052081643)</f>
        <v>71.36839052</v>
      </c>
      <c r="X491" s="46" t="str">
        <f>IFERROR(__xludf.DUMMYFUNCTION("""COMPUTED_VALUE"""),"AP")</f>
        <v>AP</v>
      </c>
      <c r="Y491" s="47">
        <f>IFERROR(__xludf.DUMMYFUNCTION("""COMPUTED_VALUE"""),29.424791349154507)</f>
        <v>29.42479135</v>
      </c>
      <c r="Z491" s="48" t="str">
        <f>IFERROR(__xludf.DUMMYFUNCTION("""COMPUTED_VALUE"""),"%")</f>
        <v>%</v>
      </c>
      <c r="AA491" s="49">
        <f>IFERROR(__xludf.DUMMYFUNCTION("""COMPUTED_VALUE"""),3.0)</f>
        <v>3</v>
      </c>
      <c r="AB491" s="50" t="str">
        <f>IFERROR(__xludf.DUMMYFUNCTION("""COMPUTED_VALUE"""),"B116")</f>
        <v>B116</v>
      </c>
      <c r="AC491" s="38" t="str">
        <f>IFERROR(__xludf.DUMMYFUNCTION("""COMPUTED_VALUE"""),"")</f>
        <v/>
      </c>
      <c r="AD491" s="45">
        <f>IFERROR(__xludf.DUMMYFUNCTION("""COMPUTED_VALUE"""),107.79888125117796)</f>
        <v>107.7988813</v>
      </c>
      <c r="AE491" s="46" t="str">
        <f>IFERROR(__xludf.DUMMYFUNCTION("""COMPUTED_VALUE"""),"AP")</f>
        <v>AP</v>
      </c>
      <c r="AF491" s="47">
        <f>IFERROR(__xludf.DUMMYFUNCTION("""COMPUTED_VALUE"""),19.480721651525048)</f>
        <v>19.48072165</v>
      </c>
      <c r="AG491" s="48" t="str">
        <f>IFERROR(__xludf.DUMMYFUNCTION("""COMPUTED_VALUE"""),"%")</f>
        <v>%</v>
      </c>
      <c r="AH491" s="43">
        <f>IFERROR(__xludf.DUMMYFUNCTION("""COMPUTED_VALUE"""),21.0)</f>
        <v>21</v>
      </c>
      <c r="AI491" s="44">
        <f>IFERROR(__xludf.DUMMYFUNCTION("""COMPUTED_VALUE"""),13779.0)</f>
        <v>13779</v>
      </c>
      <c r="AJ491" s="42" t="str">
        <f>IFERROR(__xludf.DUMMYFUNCTION("""COMPUTED_VALUE"""),"Base of the Great Tree")</f>
        <v>Base of the Great Tree</v>
      </c>
    </row>
    <row r="492" ht="24.75" customHeight="1">
      <c r="A492" s="28">
        <f>IFERROR(__xludf.DUMMYFUNCTION("""COMPUTED_VALUE"""),7.0)</f>
        <v>7</v>
      </c>
      <c r="B492" s="28" t="str">
        <f>IFERROR(__xludf.DUMMYFUNCTION("""COMPUTED_VALUE"""),"A213")</f>
        <v>A213</v>
      </c>
      <c r="C492" s="28"/>
      <c r="D492" s="29"/>
      <c r="E492" s="67"/>
      <c r="F492" s="31"/>
      <c r="G492" s="32"/>
      <c r="H492" s="33" t="str">
        <f>IFERROR(__xludf.DUMMYFUNCTION("""COMPUTED_VALUE""")," ")</f>
        <v> </v>
      </c>
      <c r="I492" s="34"/>
      <c r="J492" s="35" t="str">
        <f>IFERROR(__xludf.DUMMYFUNCTION("""COMPUTED_VALUE"""),"AP")</f>
        <v>AP</v>
      </c>
      <c r="K492" s="34"/>
      <c r="L492" s="35" t="str">
        <f>IFERROR(__xludf.DUMMYFUNCTION("""COMPUTED_VALUE"""),"%")</f>
        <v>%</v>
      </c>
      <c r="M492" s="36">
        <f>IFERROR(__xludf.DUMMYFUNCTION("""COMPUTED_VALUE"""),1.0)</f>
        <v>1</v>
      </c>
      <c r="N492" s="37"/>
      <c r="O492" s="38"/>
      <c r="P492" s="34" t="str">
        <f>IFERROR(__xludf.DUMMYFUNCTION("""COMPUTED_VALUE"""),"")</f>
        <v/>
      </c>
      <c r="Q492" s="35" t="str">
        <f>IFERROR(__xludf.DUMMYFUNCTION("""COMPUTED_VALUE"""),"AP")</f>
        <v>AP</v>
      </c>
      <c r="R492" s="34" t="str">
        <f>IFERROR(__xludf.DUMMYFUNCTION("""COMPUTED_VALUE"""),"")</f>
        <v/>
      </c>
      <c r="S492" s="35" t="str">
        <f>IFERROR(__xludf.DUMMYFUNCTION("""COMPUTED_VALUE"""),"%")</f>
        <v>%</v>
      </c>
      <c r="T492" s="36">
        <f>IFERROR(__xludf.DUMMYFUNCTION("""COMPUTED_VALUE"""),2.0)</f>
        <v>2</v>
      </c>
      <c r="U492" s="37"/>
      <c r="V492" s="38"/>
      <c r="W492" s="34" t="str">
        <f>IFERROR(__xludf.DUMMYFUNCTION("""COMPUTED_VALUE"""),"")</f>
        <v/>
      </c>
      <c r="X492" s="35" t="str">
        <f>IFERROR(__xludf.DUMMYFUNCTION("""COMPUTED_VALUE"""),"AP")</f>
        <v>AP</v>
      </c>
      <c r="Y492" s="34" t="str">
        <f>IFERROR(__xludf.DUMMYFUNCTION("""COMPUTED_VALUE"""),"")</f>
        <v/>
      </c>
      <c r="Z492" s="35" t="str">
        <f>IFERROR(__xludf.DUMMYFUNCTION("""COMPUTED_VALUE"""),"%")</f>
        <v>%</v>
      </c>
      <c r="AA492" s="36">
        <f>IFERROR(__xludf.DUMMYFUNCTION("""COMPUTED_VALUE"""),3.0)</f>
        <v>3</v>
      </c>
      <c r="AB492" s="37"/>
      <c r="AC492" s="38"/>
      <c r="AD492" s="34" t="str">
        <f>IFERROR(__xludf.DUMMYFUNCTION("""COMPUTED_VALUE"""),"")</f>
        <v/>
      </c>
      <c r="AE492" s="35" t="str">
        <f>IFERROR(__xludf.DUMMYFUNCTION("""COMPUTED_VALUE"""),"AP")</f>
        <v>AP</v>
      </c>
      <c r="AF492" s="34" t="str">
        <f>IFERROR(__xludf.DUMMYFUNCTION("""COMPUTED_VALUE"""),"")</f>
        <v/>
      </c>
      <c r="AG492" s="35" t="str">
        <f>IFERROR(__xludf.DUMMYFUNCTION("""COMPUTED_VALUE"""),"%")</f>
        <v>%</v>
      </c>
      <c r="AH492" s="31"/>
      <c r="AI492" s="32"/>
      <c r="AJ492" s="67"/>
    </row>
    <row r="493" ht="24.75" hidden="1" customHeight="1">
      <c r="A493" s="40">
        <f>IFERROR(__xludf.DUMMYFUNCTION("""COMPUTED_VALUE"""),8.0)</f>
        <v>8</v>
      </c>
      <c r="B493" s="40" t="str">
        <f>IFERROR(__xludf.DUMMYFUNCTION("""COMPUTED_VALUE"""),"A213")</f>
        <v>A213</v>
      </c>
      <c r="C493" s="40"/>
      <c r="D493" s="41"/>
      <c r="E493" s="66"/>
      <c r="F493" s="43"/>
      <c r="G493" s="44"/>
      <c r="H493" s="33" t="str">
        <f>IFERROR(__xludf.DUMMYFUNCTION("""COMPUTED_VALUE""")," ")</f>
        <v> </v>
      </c>
      <c r="I493" s="45"/>
      <c r="J493" s="46" t="str">
        <f>IFERROR(__xludf.DUMMYFUNCTION("""COMPUTED_VALUE"""),"AP")</f>
        <v>AP</v>
      </c>
      <c r="K493" s="47"/>
      <c r="L493" s="48" t="str">
        <f>IFERROR(__xludf.DUMMYFUNCTION("""COMPUTED_VALUE"""),"%")</f>
        <v>%</v>
      </c>
      <c r="M493" s="49">
        <f>IFERROR(__xludf.DUMMYFUNCTION("""COMPUTED_VALUE"""),1.0)</f>
        <v>1</v>
      </c>
      <c r="N493" s="50"/>
      <c r="O493" s="38"/>
      <c r="P493" s="45" t="str">
        <f>IFERROR(__xludf.DUMMYFUNCTION("""COMPUTED_VALUE"""),"")</f>
        <v/>
      </c>
      <c r="Q493" s="46" t="str">
        <f>IFERROR(__xludf.DUMMYFUNCTION("""COMPUTED_VALUE"""),"AP")</f>
        <v>AP</v>
      </c>
      <c r="R493" s="47" t="str">
        <f>IFERROR(__xludf.DUMMYFUNCTION("""COMPUTED_VALUE"""),"")</f>
        <v/>
      </c>
      <c r="S493" s="48" t="str">
        <f>IFERROR(__xludf.DUMMYFUNCTION("""COMPUTED_VALUE"""),"%")</f>
        <v>%</v>
      </c>
      <c r="T493" s="49">
        <f>IFERROR(__xludf.DUMMYFUNCTION("""COMPUTED_VALUE"""),2.0)</f>
        <v>2</v>
      </c>
      <c r="U493" s="50"/>
      <c r="V493" s="38"/>
      <c r="W493" s="45" t="str">
        <f>IFERROR(__xludf.DUMMYFUNCTION("""COMPUTED_VALUE"""),"")</f>
        <v/>
      </c>
      <c r="X493" s="46" t="str">
        <f>IFERROR(__xludf.DUMMYFUNCTION("""COMPUTED_VALUE"""),"AP")</f>
        <v>AP</v>
      </c>
      <c r="Y493" s="47" t="str">
        <f>IFERROR(__xludf.DUMMYFUNCTION("""COMPUTED_VALUE"""),"")</f>
        <v/>
      </c>
      <c r="Z493" s="48" t="str">
        <f>IFERROR(__xludf.DUMMYFUNCTION("""COMPUTED_VALUE"""),"%")</f>
        <v>%</v>
      </c>
      <c r="AA493" s="49">
        <f>IFERROR(__xludf.DUMMYFUNCTION("""COMPUTED_VALUE"""),3.0)</f>
        <v>3</v>
      </c>
      <c r="AB493" s="50"/>
      <c r="AC493" s="38"/>
      <c r="AD493" s="45" t="str">
        <f>IFERROR(__xludf.DUMMYFUNCTION("""COMPUTED_VALUE"""),"")</f>
        <v/>
      </c>
      <c r="AE493" s="46" t="str">
        <f>IFERROR(__xludf.DUMMYFUNCTION("""COMPUTED_VALUE"""),"AP")</f>
        <v>AP</v>
      </c>
      <c r="AF493" s="47" t="str">
        <f>IFERROR(__xludf.DUMMYFUNCTION("""COMPUTED_VALUE"""),"")</f>
        <v/>
      </c>
      <c r="AG493" s="48" t="str">
        <f>IFERROR(__xludf.DUMMYFUNCTION("""COMPUTED_VALUE"""),"%")</f>
        <v>%</v>
      </c>
      <c r="AH493" s="43"/>
      <c r="AI493" s="44"/>
      <c r="AJ493" s="66"/>
    </row>
    <row r="494" ht="24.75" hidden="1" customHeight="1">
      <c r="A494" s="28">
        <f>IFERROR(__xludf.DUMMYFUNCTION("""COMPUTED_VALUE"""),9.0)</f>
        <v>9</v>
      </c>
      <c r="B494" s="28" t="str">
        <f>IFERROR(__xludf.DUMMYFUNCTION("""COMPUTED_VALUE"""),"A213")</f>
        <v>A213</v>
      </c>
      <c r="C494" s="28"/>
      <c r="D494" s="29"/>
      <c r="E494" s="67"/>
      <c r="F494" s="31"/>
      <c r="G494" s="32"/>
      <c r="H494" s="33" t="str">
        <f>IFERROR(__xludf.DUMMYFUNCTION("""COMPUTED_VALUE""")," ")</f>
        <v> </v>
      </c>
      <c r="I494" s="34"/>
      <c r="J494" s="35" t="str">
        <f>IFERROR(__xludf.DUMMYFUNCTION("""COMPUTED_VALUE"""),"AP")</f>
        <v>AP</v>
      </c>
      <c r="K494" s="34"/>
      <c r="L494" s="35" t="str">
        <f>IFERROR(__xludf.DUMMYFUNCTION("""COMPUTED_VALUE"""),"%")</f>
        <v>%</v>
      </c>
      <c r="M494" s="36">
        <f>IFERROR(__xludf.DUMMYFUNCTION("""COMPUTED_VALUE"""),1.0)</f>
        <v>1</v>
      </c>
      <c r="N494" s="37"/>
      <c r="O494" s="38"/>
      <c r="P494" s="34" t="str">
        <f>IFERROR(__xludf.DUMMYFUNCTION("""COMPUTED_VALUE"""),"")</f>
        <v/>
      </c>
      <c r="Q494" s="35" t="str">
        <f>IFERROR(__xludf.DUMMYFUNCTION("""COMPUTED_VALUE"""),"AP")</f>
        <v>AP</v>
      </c>
      <c r="R494" s="34" t="str">
        <f>IFERROR(__xludf.DUMMYFUNCTION("""COMPUTED_VALUE"""),"")</f>
        <v/>
      </c>
      <c r="S494" s="35" t="str">
        <f>IFERROR(__xludf.DUMMYFUNCTION("""COMPUTED_VALUE"""),"%")</f>
        <v>%</v>
      </c>
      <c r="T494" s="36">
        <f>IFERROR(__xludf.DUMMYFUNCTION("""COMPUTED_VALUE"""),2.0)</f>
        <v>2</v>
      </c>
      <c r="U494" s="37"/>
      <c r="V494" s="38"/>
      <c r="W494" s="34" t="str">
        <f>IFERROR(__xludf.DUMMYFUNCTION("""COMPUTED_VALUE"""),"")</f>
        <v/>
      </c>
      <c r="X494" s="35" t="str">
        <f>IFERROR(__xludf.DUMMYFUNCTION("""COMPUTED_VALUE"""),"AP")</f>
        <v>AP</v>
      </c>
      <c r="Y494" s="34" t="str">
        <f>IFERROR(__xludf.DUMMYFUNCTION("""COMPUTED_VALUE"""),"")</f>
        <v/>
      </c>
      <c r="Z494" s="35" t="str">
        <f>IFERROR(__xludf.DUMMYFUNCTION("""COMPUTED_VALUE"""),"%")</f>
        <v>%</v>
      </c>
      <c r="AA494" s="36">
        <f>IFERROR(__xludf.DUMMYFUNCTION("""COMPUTED_VALUE"""),3.0)</f>
        <v>3</v>
      </c>
      <c r="AB494" s="37"/>
      <c r="AC494" s="38"/>
      <c r="AD494" s="34" t="str">
        <f>IFERROR(__xludf.DUMMYFUNCTION("""COMPUTED_VALUE"""),"")</f>
        <v/>
      </c>
      <c r="AE494" s="35" t="str">
        <f>IFERROR(__xludf.DUMMYFUNCTION("""COMPUTED_VALUE"""),"AP")</f>
        <v>AP</v>
      </c>
      <c r="AF494" s="34" t="str">
        <f>IFERROR(__xludf.DUMMYFUNCTION("""COMPUTED_VALUE"""),"")</f>
        <v/>
      </c>
      <c r="AG494" s="35" t="str">
        <f>IFERROR(__xludf.DUMMYFUNCTION("""COMPUTED_VALUE"""),"%")</f>
        <v>%</v>
      </c>
      <c r="AH494" s="31"/>
      <c r="AI494" s="32"/>
      <c r="AJ494" s="67"/>
    </row>
    <row r="495" ht="24.75" hidden="1" customHeight="1">
      <c r="A495" s="40">
        <f>IFERROR(__xludf.DUMMYFUNCTION("""COMPUTED_VALUE"""),10.0)</f>
        <v>10</v>
      </c>
      <c r="B495" s="40" t="str">
        <f>IFERROR(__xludf.DUMMYFUNCTION("""COMPUTED_VALUE"""),"A213")</f>
        <v>A213</v>
      </c>
      <c r="C495" s="40"/>
      <c r="D495" s="41"/>
      <c r="E495" s="66"/>
      <c r="F495" s="43"/>
      <c r="G495" s="44"/>
      <c r="H495" s="33" t="str">
        <f>IFERROR(__xludf.DUMMYFUNCTION("""COMPUTED_VALUE""")," ")</f>
        <v> </v>
      </c>
      <c r="I495" s="45"/>
      <c r="J495" s="46" t="str">
        <f>IFERROR(__xludf.DUMMYFUNCTION("""COMPUTED_VALUE"""),"AP")</f>
        <v>AP</v>
      </c>
      <c r="K495" s="47"/>
      <c r="L495" s="48" t="str">
        <f>IFERROR(__xludf.DUMMYFUNCTION("""COMPUTED_VALUE"""),"%")</f>
        <v>%</v>
      </c>
      <c r="M495" s="49">
        <f>IFERROR(__xludf.DUMMYFUNCTION("""COMPUTED_VALUE"""),1.0)</f>
        <v>1</v>
      </c>
      <c r="N495" s="50"/>
      <c r="O495" s="38"/>
      <c r="P495" s="45" t="str">
        <f>IFERROR(__xludf.DUMMYFUNCTION("""COMPUTED_VALUE"""),"")</f>
        <v/>
      </c>
      <c r="Q495" s="46" t="str">
        <f>IFERROR(__xludf.DUMMYFUNCTION("""COMPUTED_VALUE"""),"AP")</f>
        <v>AP</v>
      </c>
      <c r="R495" s="47" t="str">
        <f>IFERROR(__xludf.DUMMYFUNCTION("""COMPUTED_VALUE"""),"")</f>
        <v/>
      </c>
      <c r="S495" s="48" t="str">
        <f>IFERROR(__xludf.DUMMYFUNCTION("""COMPUTED_VALUE"""),"%")</f>
        <v>%</v>
      </c>
      <c r="T495" s="49">
        <f>IFERROR(__xludf.DUMMYFUNCTION("""COMPUTED_VALUE"""),2.0)</f>
        <v>2</v>
      </c>
      <c r="U495" s="50"/>
      <c r="V495" s="38"/>
      <c r="W495" s="45" t="str">
        <f>IFERROR(__xludf.DUMMYFUNCTION("""COMPUTED_VALUE"""),"")</f>
        <v/>
      </c>
      <c r="X495" s="46" t="str">
        <f>IFERROR(__xludf.DUMMYFUNCTION("""COMPUTED_VALUE"""),"AP")</f>
        <v>AP</v>
      </c>
      <c r="Y495" s="47" t="str">
        <f>IFERROR(__xludf.DUMMYFUNCTION("""COMPUTED_VALUE"""),"")</f>
        <v/>
      </c>
      <c r="Z495" s="48" t="str">
        <f>IFERROR(__xludf.DUMMYFUNCTION("""COMPUTED_VALUE"""),"%")</f>
        <v>%</v>
      </c>
      <c r="AA495" s="49">
        <f>IFERROR(__xludf.DUMMYFUNCTION("""COMPUTED_VALUE"""),3.0)</f>
        <v>3</v>
      </c>
      <c r="AB495" s="50"/>
      <c r="AC495" s="38"/>
      <c r="AD495" s="45" t="str">
        <f>IFERROR(__xludf.DUMMYFUNCTION("""COMPUTED_VALUE"""),"")</f>
        <v/>
      </c>
      <c r="AE495" s="46" t="str">
        <f>IFERROR(__xludf.DUMMYFUNCTION("""COMPUTED_VALUE"""),"AP")</f>
        <v>AP</v>
      </c>
      <c r="AF495" s="47" t="str">
        <f>IFERROR(__xludf.DUMMYFUNCTION("""COMPUTED_VALUE"""),"")</f>
        <v/>
      </c>
      <c r="AG495" s="48" t="str">
        <f>IFERROR(__xludf.DUMMYFUNCTION("""COMPUTED_VALUE"""),"%")</f>
        <v>%</v>
      </c>
      <c r="AH495" s="43"/>
      <c r="AI495" s="44"/>
      <c r="AJ495" s="66"/>
    </row>
    <row r="496" ht="24.75" hidden="1" customHeight="1">
      <c r="A496" s="28">
        <f>IFERROR(__xludf.DUMMYFUNCTION("""COMPUTED_VALUE"""),11.0)</f>
        <v>11</v>
      </c>
      <c r="B496" s="28" t="str">
        <f>IFERROR(__xludf.DUMMYFUNCTION("""COMPUTED_VALUE"""),"A213")</f>
        <v>A213</v>
      </c>
      <c r="C496" s="28"/>
      <c r="D496" s="29"/>
      <c r="E496" s="67"/>
      <c r="F496" s="31"/>
      <c r="G496" s="32"/>
      <c r="H496" s="33" t="str">
        <f>IFERROR(__xludf.DUMMYFUNCTION("""COMPUTED_VALUE""")," ")</f>
        <v> </v>
      </c>
      <c r="I496" s="34"/>
      <c r="J496" s="35" t="str">
        <f>IFERROR(__xludf.DUMMYFUNCTION("""COMPUTED_VALUE"""),"AP")</f>
        <v>AP</v>
      </c>
      <c r="K496" s="34"/>
      <c r="L496" s="35" t="str">
        <f>IFERROR(__xludf.DUMMYFUNCTION("""COMPUTED_VALUE"""),"%")</f>
        <v>%</v>
      </c>
      <c r="M496" s="36">
        <f>IFERROR(__xludf.DUMMYFUNCTION("""COMPUTED_VALUE"""),1.0)</f>
        <v>1</v>
      </c>
      <c r="N496" s="37"/>
      <c r="O496" s="38"/>
      <c r="P496" s="34" t="str">
        <f>IFERROR(__xludf.DUMMYFUNCTION("""COMPUTED_VALUE"""),"")</f>
        <v/>
      </c>
      <c r="Q496" s="35" t="str">
        <f>IFERROR(__xludf.DUMMYFUNCTION("""COMPUTED_VALUE"""),"AP")</f>
        <v>AP</v>
      </c>
      <c r="R496" s="34" t="str">
        <f>IFERROR(__xludf.DUMMYFUNCTION("""COMPUTED_VALUE"""),"")</f>
        <v/>
      </c>
      <c r="S496" s="35" t="str">
        <f>IFERROR(__xludf.DUMMYFUNCTION("""COMPUTED_VALUE"""),"%")</f>
        <v>%</v>
      </c>
      <c r="T496" s="36">
        <f>IFERROR(__xludf.DUMMYFUNCTION("""COMPUTED_VALUE"""),2.0)</f>
        <v>2</v>
      </c>
      <c r="U496" s="37"/>
      <c r="V496" s="38"/>
      <c r="W496" s="34" t="str">
        <f>IFERROR(__xludf.DUMMYFUNCTION("""COMPUTED_VALUE"""),"")</f>
        <v/>
      </c>
      <c r="X496" s="35" t="str">
        <f>IFERROR(__xludf.DUMMYFUNCTION("""COMPUTED_VALUE"""),"AP")</f>
        <v>AP</v>
      </c>
      <c r="Y496" s="34" t="str">
        <f>IFERROR(__xludf.DUMMYFUNCTION("""COMPUTED_VALUE"""),"")</f>
        <v/>
      </c>
      <c r="Z496" s="35" t="str">
        <f>IFERROR(__xludf.DUMMYFUNCTION("""COMPUTED_VALUE"""),"%")</f>
        <v>%</v>
      </c>
      <c r="AA496" s="36">
        <f>IFERROR(__xludf.DUMMYFUNCTION("""COMPUTED_VALUE"""),3.0)</f>
        <v>3</v>
      </c>
      <c r="AB496" s="37"/>
      <c r="AC496" s="38"/>
      <c r="AD496" s="34" t="str">
        <f>IFERROR(__xludf.DUMMYFUNCTION("""COMPUTED_VALUE"""),"")</f>
        <v/>
      </c>
      <c r="AE496" s="35" t="str">
        <f>IFERROR(__xludf.DUMMYFUNCTION("""COMPUTED_VALUE"""),"AP")</f>
        <v>AP</v>
      </c>
      <c r="AF496" s="34" t="str">
        <f>IFERROR(__xludf.DUMMYFUNCTION("""COMPUTED_VALUE"""),"")</f>
        <v/>
      </c>
      <c r="AG496" s="35" t="str">
        <f>IFERROR(__xludf.DUMMYFUNCTION("""COMPUTED_VALUE"""),"%")</f>
        <v>%</v>
      </c>
      <c r="AH496" s="31"/>
      <c r="AI496" s="32"/>
      <c r="AJ496" s="67"/>
    </row>
    <row r="497" ht="24.75" hidden="1" customHeight="1">
      <c r="A497" s="40">
        <f>IFERROR(__xludf.DUMMYFUNCTION("""COMPUTED_VALUE"""),12.0)</f>
        <v>12</v>
      </c>
      <c r="B497" s="40" t="str">
        <f>IFERROR(__xludf.DUMMYFUNCTION("""COMPUTED_VALUE"""),"A213")</f>
        <v>A213</v>
      </c>
      <c r="C497" s="40"/>
      <c r="D497" s="41"/>
      <c r="E497" s="66"/>
      <c r="F497" s="43"/>
      <c r="G497" s="44"/>
      <c r="H497" s="33" t="str">
        <f>IFERROR(__xludf.DUMMYFUNCTION("""COMPUTED_VALUE""")," ")</f>
        <v> </v>
      </c>
      <c r="I497" s="45"/>
      <c r="J497" s="46" t="str">
        <f>IFERROR(__xludf.DUMMYFUNCTION("""COMPUTED_VALUE"""),"AP")</f>
        <v>AP</v>
      </c>
      <c r="K497" s="47"/>
      <c r="L497" s="48" t="str">
        <f>IFERROR(__xludf.DUMMYFUNCTION("""COMPUTED_VALUE"""),"%")</f>
        <v>%</v>
      </c>
      <c r="M497" s="49">
        <f>IFERROR(__xludf.DUMMYFUNCTION("""COMPUTED_VALUE"""),1.0)</f>
        <v>1</v>
      </c>
      <c r="N497" s="50"/>
      <c r="O497" s="38"/>
      <c r="P497" s="45" t="str">
        <f>IFERROR(__xludf.DUMMYFUNCTION("""COMPUTED_VALUE"""),"")</f>
        <v/>
      </c>
      <c r="Q497" s="46" t="str">
        <f>IFERROR(__xludf.DUMMYFUNCTION("""COMPUTED_VALUE"""),"AP")</f>
        <v>AP</v>
      </c>
      <c r="R497" s="47" t="str">
        <f>IFERROR(__xludf.DUMMYFUNCTION("""COMPUTED_VALUE"""),"")</f>
        <v/>
      </c>
      <c r="S497" s="48" t="str">
        <f>IFERROR(__xludf.DUMMYFUNCTION("""COMPUTED_VALUE"""),"%")</f>
        <v>%</v>
      </c>
      <c r="T497" s="49">
        <f>IFERROR(__xludf.DUMMYFUNCTION("""COMPUTED_VALUE"""),2.0)</f>
        <v>2</v>
      </c>
      <c r="U497" s="50"/>
      <c r="V497" s="38"/>
      <c r="W497" s="45" t="str">
        <f>IFERROR(__xludf.DUMMYFUNCTION("""COMPUTED_VALUE"""),"")</f>
        <v/>
      </c>
      <c r="X497" s="46" t="str">
        <f>IFERROR(__xludf.DUMMYFUNCTION("""COMPUTED_VALUE"""),"AP")</f>
        <v>AP</v>
      </c>
      <c r="Y497" s="47" t="str">
        <f>IFERROR(__xludf.DUMMYFUNCTION("""COMPUTED_VALUE"""),"")</f>
        <v/>
      </c>
      <c r="Z497" s="48" t="str">
        <f>IFERROR(__xludf.DUMMYFUNCTION("""COMPUTED_VALUE"""),"%")</f>
        <v>%</v>
      </c>
      <c r="AA497" s="49">
        <f>IFERROR(__xludf.DUMMYFUNCTION("""COMPUTED_VALUE"""),3.0)</f>
        <v>3</v>
      </c>
      <c r="AB497" s="50"/>
      <c r="AC497" s="38"/>
      <c r="AD497" s="45" t="str">
        <f>IFERROR(__xludf.DUMMYFUNCTION("""COMPUTED_VALUE"""),"")</f>
        <v/>
      </c>
      <c r="AE497" s="46" t="str">
        <f>IFERROR(__xludf.DUMMYFUNCTION("""COMPUTED_VALUE"""),"AP")</f>
        <v>AP</v>
      </c>
      <c r="AF497" s="47" t="str">
        <f>IFERROR(__xludf.DUMMYFUNCTION("""COMPUTED_VALUE"""),"")</f>
        <v/>
      </c>
      <c r="AG497" s="48" t="str">
        <f>IFERROR(__xludf.DUMMYFUNCTION("""COMPUTED_VALUE"""),"%")</f>
        <v>%</v>
      </c>
      <c r="AH497" s="43"/>
      <c r="AI497" s="44"/>
      <c r="AJ497" s="66"/>
    </row>
    <row r="498" ht="24.75" hidden="1" customHeight="1">
      <c r="A498" s="28">
        <f>IFERROR(__xludf.DUMMYFUNCTION("""COMPUTED_VALUE"""),13.0)</f>
        <v>13</v>
      </c>
      <c r="B498" s="28" t="str">
        <f>IFERROR(__xludf.DUMMYFUNCTION("""COMPUTED_VALUE"""),"A213")</f>
        <v>A213</v>
      </c>
      <c r="C498" s="28"/>
      <c r="D498" s="29"/>
      <c r="E498" s="67"/>
      <c r="F498" s="31"/>
      <c r="G498" s="32"/>
      <c r="H498" s="33" t="str">
        <f>IFERROR(__xludf.DUMMYFUNCTION("""COMPUTED_VALUE""")," ")</f>
        <v> </v>
      </c>
      <c r="I498" s="34"/>
      <c r="J498" s="35" t="str">
        <f>IFERROR(__xludf.DUMMYFUNCTION("""COMPUTED_VALUE"""),"AP")</f>
        <v>AP</v>
      </c>
      <c r="K498" s="34"/>
      <c r="L498" s="35" t="str">
        <f>IFERROR(__xludf.DUMMYFUNCTION("""COMPUTED_VALUE"""),"%")</f>
        <v>%</v>
      </c>
      <c r="M498" s="36">
        <f>IFERROR(__xludf.DUMMYFUNCTION("""COMPUTED_VALUE"""),1.0)</f>
        <v>1</v>
      </c>
      <c r="N498" s="37"/>
      <c r="O498" s="38"/>
      <c r="P498" s="34" t="str">
        <f>IFERROR(__xludf.DUMMYFUNCTION("""COMPUTED_VALUE"""),"")</f>
        <v/>
      </c>
      <c r="Q498" s="35" t="str">
        <f>IFERROR(__xludf.DUMMYFUNCTION("""COMPUTED_VALUE"""),"AP")</f>
        <v>AP</v>
      </c>
      <c r="R498" s="34" t="str">
        <f>IFERROR(__xludf.DUMMYFUNCTION("""COMPUTED_VALUE"""),"")</f>
        <v/>
      </c>
      <c r="S498" s="35" t="str">
        <f>IFERROR(__xludf.DUMMYFUNCTION("""COMPUTED_VALUE"""),"%")</f>
        <v>%</v>
      </c>
      <c r="T498" s="36">
        <f>IFERROR(__xludf.DUMMYFUNCTION("""COMPUTED_VALUE"""),2.0)</f>
        <v>2</v>
      </c>
      <c r="U498" s="37"/>
      <c r="V498" s="38"/>
      <c r="W498" s="34" t="str">
        <f>IFERROR(__xludf.DUMMYFUNCTION("""COMPUTED_VALUE"""),"")</f>
        <v/>
      </c>
      <c r="X498" s="35" t="str">
        <f>IFERROR(__xludf.DUMMYFUNCTION("""COMPUTED_VALUE"""),"AP")</f>
        <v>AP</v>
      </c>
      <c r="Y498" s="34" t="str">
        <f>IFERROR(__xludf.DUMMYFUNCTION("""COMPUTED_VALUE"""),"")</f>
        <v/>
      </c>
      <c r="Z498" s="35" t="str">
        <f>IFERROR(__xludf.DUMMYFUNCTION("""COMPUTED_VALUE"""),"%")</f>
        <v>%</v>
      </c>
      <c r="AA498" s="36">
        <f>IFERROR(__xludf.DUMMYFUNCTION("""COMPUTED_VALUE"""),3.0)</f>
        <v>3</v>
      </c>
      <c r="AB498" s="37"/>
      <c r="AC498" s="38"/>
      <c r="AD498" s="34" t="str">
        <f>IFERROR(__xludf.DUMMYFUNCTION("""COMPUTED_VALUE"""),"")</f>
        <v/>
      </c>
      <c r="AE498" s="35" t="str">
        <f>IFERROR(__xludf.DUMMYFUNCTION("""COMPUTED_VALUE"""),"AP")</f>
        <v>AP</v>
      </c>
      <c r="AF498" s="34" t="str">
        <f>IFERROR(__xludf.DUMMYFUNCTION("""COMPUTED_VALUE"""),"")</f>
        <v/>
      </c>
      <c r="AG498" s="35" t="str">
        <f>IFERROR(__xludf.DUMMYFUNCTION("""COMPUTED_VALUE"""),"%")</f>
        <v>%</v>
      </c>
      <c r="AH498" s="31"/>
      <c r="AI498" s="32"/>
      <c r="AJ498" s="67"/>
    </row>
    <row r="499" ht="24.75" hidden="1" customHeight="1">
      <c r="A499" s="40">
        <f>IFERROR(__xludf.DUMMYFUNCTION("""COMPUTED_VALUE"""),14.0)</f>
        <v>14</v>
      </c>
      <c r="B499" s="40" t="str">
        <f>IFERROR(__xludf.DUMMYFUNCTION("""COMPUTED_VALUE"""),"A213")</f>
        <v>A213</v>
      </c>
      <c r="C499" s="40"/>
      <c r="D499" s="41"/>
      <c r="E499" s="66"/>
      <c r="F499" s="43"/>
      <c r="G499" s="44"/>
      <c r="H499" s="33" t="str">
        <f>IFERROR(__xludf.DUMMYFUNCTION("""COMPUTED_VALUE""")," ")</f>
        <v> </v>
      </c>
      <c r="I499" s="45"/>
      <c r="J499" s="46" t="str">
        <f>IFERROR(__xludf.DUMMYFUNCTION("""COMPUTED_VALUE"""),"AP")</f>
        <v>AP</v>
      </c>
      <c r="K499" s="47"/>
      <c r="L499" s="48" t="str">
        <f>IFERROR(__xludf.DUMMYFUNCTION("""COMPUTED_VALUE"""),"%")</f>
        <v>%</v>
      </c>
      <c r="M499" s="49">
        <f>IFERROR(__xludf.DUMMYFUNCTION("""COMPUTED_VALUE"""),1.0)</f>
        <v>1</v>
      </c>
      <c r="N499" s="50"/>
      <c r="O499" s="38"/>
      <c r="P499" s="45" t="str">
        <f>IFERROR(__xludf.DUMMYFUNCTION("""COMPUTED_VALUE"""),"")</f>
        <v/>
      </c>
      <c r="Q499" s="46" t="str">
        <f>IFERROR(__xludf.DUMMYFUNCTION("""COMPUTED_VALUE"""),"AP")</f>
        <v>AP</v>
      </c>
      <c r="R499" s="47" t="str">
        <f>IFERROR(__xludf.DUMMYFUNCTION("""COMPUTED_VALUE"""),"")</f>
        <v/>
      </c>
      <c r="S499" s="48" t="str">
        <f>IFERROR(__xludf.DUMMYFUNCTION("""COMPUTED_VALUE"""),"%")</f>
        <v>%</v>
      </c>
      <c r="T499" s="49">
        <f>IFERROR(__xludf.DUMMYFUNCTION("""COMPUTED_VALUE"""),2.0)</f>
        <v>2</v>
      </c>
      <c r="U499" s="50"/>
      <c r="V499" s="38"/>
      <c r="W499" s="45" t="str">
        <f>IFERROR(__xludf.DUMMYFUNCTION("""COMPUTED_VALUE"""),"")</f>
        <v/>
      </c>
      <c r="X499" s="46" t="str">
        <f>IFERROR(__xludf.DUMMYFUNCTION("""COMPUTED_VALUE"""),"AP")</f>
        <v>AP</v>
      </c>
      <c r="Y499" s="47" t="str">
        <f>IFERROR(__xludf.DUMMYFUNCTION("""COMPUTED_VALUE"""),"")</f>
        <v/>
      </c>
      <c r="Z499" s="48" t="str">
        <f>IFERROR(__xludf.DUMMYFUNCTION("""COMPUTED_VALUE"""),"%")</f>
        <v>%</v>
      </c>
      <c r="AA499" s="49">
        <f>IFERROR(__xludf.DUMMYFUNCTION("""COMPUTED_VALUE"""),3.0)</f>
        <v>3</v>
      </c>
      <c r="AB499" s="50"/>
      <c r="AC499" s="38"/>
      <c r="AD499" s="45" t="str">
        <f>IFERROR(__xludf.DUMMYFUNCTION("""COMPUTED_VALUE"""),"")</f>
        <v/>
      </c>
      <c r="AE499" s="46" t="str">
        <f>IFERROR(__xludf.DUMMYFUNCTION("""COMPUTED_VALUE"""),"AP")</f>
        <v>AP</v>
      </c>
      <c r="AF499" s="47" t="str">
        <f>IFERROR(__xludf.DUMMYFUNCTION("""COMPUTED_VALUE"""),"")</f>
        <v/>
      </c>
      <c r="AG499" s="48" t="str">
        <f>IFERROR(__xludf.DUMMYFUNCTION("""COMPUTED_VALUE"""),"%")</f>
        <v>%</v>
      </c>
      <c r="AH499" s="43"/>
      <c r="AI499" s="44"/>
      <c r="AJ499" s="66"/>
    </row>
    <row r="500" ht="24.75" hidden="1" customHeight="1">
      <c r="A500" s="28">
        <f>IFERROR(__xludf.DUMMYFUNCTION("""COMPUTED_VALUE"""),15.0)</f>
        <v>15</v>
      </c>
      <c r="B500" s="28" t="str">
        <f>IFERROR(__xludf.DUMMYFUNCTION("""COMPUTED_VALUE"""),"A213")</f>
        <v>A213</v>
      </c>
      <c r="C500" s="28"/>
      <c r="D500" s="29"/>
      <c r="E500" s="67"/>
      <c r="F500" s="31"/>
      <c r="G500" s="32"/>
      <c r="H500" s="33" t="str">
        <f>IFERROR(__xludf.DUMMYFUNCTION("""COMPUTED_VALUE""")," ")</f>
        <v> </v>
      </c>
      <c r="I500" s="34"/>
      <c r="J500" s="35" t="str">
        <f>IFERROR(__xludf.DUMMYFUNCTION("""COMPUTED_VALUE"""),"AP")</f>
        <v>AP</v>
      </c>
      <c r="K500" s="34"/>
      <c r="L500" s="35" t="str">
        <f>IFERROR(__xludf.DUMMYFUNCTION("""COMPUTED_VALUE"""),"%")</f>
        <v>%</v>
      </c>
      <c r="M500" s="36">
        <f>IFERROR(__xludf.DUMMYFUNCTION("""COMPUTED_VALUE"""),1.0)</f>
        <v>1</v>
      </c>
      <c r="N500" s="37"/>
      <c r="O500" s="38"/>
      <c r="P500" s="34" t="str">
        <f>IFERROR(__xludf.DUMMYFUNCTION("""COMPUTED_VALUE"""),"")</f>
        <v/>
      </c>
      <c r="Q500" s="35" t="str">
        <f>IFERROR(__xludf.DUMMYFUNCTION("""COMPUTED_VALUE"""),"AP")</f>
        <v>AP</v>
      </c>
      <c r="R500" s="34" t="str">
        <f>IFERROR(__xludf.DUMMYFUNCTION("""COMPUTED_VALUE"""),"")</f>
        <v/>
      </c>
      <c r="S500" s="35" t="str">
        <f>IFERROR(__xludf.DUMMYFUNCTION("""COMPUTED_VALUE"""),"%")</f>
        <v>%</v>
      </c>
      <c r="T500" s="36">
        <f>IFERROR(__xludf.DUMMYFUNCTION("""COMPUTED_VALUE"""),2.0)</f>
        <v>2</v>
      </c>
      <c r="U500" s="37"/>
      <c r="V500" s="38"/>
      <c r="W500" s="34" t="str">
        <f>IFERROR(__xludf.DUMMYFUNCTION("""COMPUTED_VALUE"""),"")</f>
        <v/>
      </c>
      <c r="X500" s="35" t="str">
        <f>IFERROR(__xludf.DUMMYFUNCTION("""COMPUTED_VALUE"""),"AP")</f>
        <v>AP</v>
      </c>
      <c r="Y500" s="34" t="str">
        <f>IFERROR(__xludf.DUMMYFUNCTION("""COMPUTED_VALUE"""),"")</f>
        <v/>
      </c>
      <c r="Z500" s="35" t="str">
        <f>IFERROR(__xludf.DUMMYFUNCTION("""COMPUTED_VALUE"""),"%")</f>
        <v>%</v>
      </c>
      <c r="AA500" s="36">
        <f>IFERROR(__xludf.DUMMYFUNCTION("""COMPUTED_VALUE"""),3.0)</f>
        <v>3</v>
      </c>
      <c r="AB500" s="37"/>
      <c r="AC500" s="38"/>
      <c r="AD500" s="34" t="str">
        <f>IFERROR(__xludf.DUMMYFUNCTION("""COMPUTED_VALUE"""),"")</f>
        <v/>
      </c>
      <c r="AE500" s="35" t="str">
        <f>IFERROR(__xludf.DUMMYFUNCTION("""COMPUTED_VALUE"""),"AP")</f>
        <v>AP</v>
      </c>
      <c r="AF500" s="34" t="str">
        <f>IFERROR(__xludf.DUMMYFUNCTION("""COMPUTED_VALUE"""),"")</f>
        <v/>
      </c>
      <c r="AG500" s="35" t="str">
        <f>IFERROR(__xludf.DUMMYFUNCTION("""COMPUTED_VALUE"""),"%")</f>
        <v>%</v>
      </c>
      <c r="AH500" s="31"/>
      <c r="AI500" s="32"/>
      <c r="AJ500" s="67"/>
    </row>
    <row r="501" ht="24.75" hidden="1" customHeight="1">
      <c r="A501" s="40">
        <f>IFERROR(__xludf.DUMMYFUNCTION("""COMPUTED_VALUE"""),16.0)</f>
        <v>16</v>
      </c>
      <c r="B501" s="40" t="str">
        <f>IFERROR(__xludf.DUMMYFUNCTION("""COMPUTED_VALUE"""),"A213")</f>
        <v>A213</v>
      </c>
      <c r="C501" s="40"/>
      <c r="D501" s="41"/>
      <c r="E501" s="66"/>
      <c r="F501" s="43"/>
      <c r="G501" s="44"/>
      <c r="H501" s="33" t="str">
        <f>IFERROR(__xludf.DUMMYFUNCTION("""COMPUTED_VALUE""")," ")</f>
        <v> </v>
      </c>
      <c r="I501" s="45"/>
      <c r="J501" s="46" t="str">
        <f>IFERROR(__xludf.DUMMYFUNCTION("""COMPUTED_VALUE"""),"AP")</f>
        <v>AP</v>
      </c>
      <c r="K501" s="47"/>
      <c r="L501" s="48" t="str">
        <f>IFERROR(__xludf.DUMMYFUNCTION("""COMPUTED_VALUE"""),"%")</f>
        <v>%</v>
      </c>
      <c r="M501" s="49">
        <f>IFERROR(__xludf.DUMMYFUNCTION("""COMPUTED_VALUE"""),1.0)</f>
        <v>1</v>
      </c>
      <c r="N501" s="50"/>
      <c r="O501" s="38"/>
      <c r="P501" s="45" t="str">
        <f>IFERROR(__xludf.DUMMYFUNCTION("""COMPUTED_VALUE"""),"")</f>
        <v/>
      </c>
      <c r="Q501" s="46" t="str">
        <f>IFERROR(__xludf.DUMMYFUNCTION("""COMPUTED_VALUE"""),"AP")</f>
        <v>AP</v>
      </c>
      <c r="R501" s="47" t="str">
        <f>IFERROR(__xludf.DUMMYFUNCTION("""COMPUTED_VALUE"""),"")</f>
        <v/>
      </c>
      <c r="S501" s="48" t="str">
        <f>IFERROR(__xludf.DUMMYFUNCTION("""COMPUTED_VALUE"""),"%")</f>
        <v>%</v>
      </c>
      <c r="T501" s="49">
        <f>IFERROR(__xludf.DUMMYFUNCTION("""COMPUTED_VALUE"""),2.0)</f>
        <v>2</v>
      </c>
      <c r="U501" s="50"/>
      <c r="V501" s="38"/>
      <c r="W501" s="45" t="str">
        <f>IFERROR(__xludf.DUMMYFUNCTION("""COMPUTED_VALUE"""),"")</f>
        <v/>
      </c>
      <c r="X501" s="46" t="str">
        <f>IFERROR(__xludf.DUMMYFUNCTION("""COMPUTED_VALUE"""),"AP")</f>
        <v>AP</v>
      </c>
      <c r="Y501" s="47" t="str">
        <f>IFERROR(__xludf.DUMMYFUNCTION("""COMPUTED_VALUE"""),"")</f>
        <v/>
      </c>
      <c r="Z501" s="48" t="str">
        <f>IFERROR(__xludf.DUMMYFUNCTION("""COMPUTED_VALUE"""),"%")</f>
        <v>%</v>
      </c>
      <c r="AA501" s="49">
        <f>IFERROR(__xludf.DUMMYFUNCTION("""COMPUTED_VALUE"""),3.0)</f>
        <v>3</v>
      </c>
      <c r="AB501" s="50"/>
      <c r="AC501" s="38"/>
      <c r="AD501" s="45" t="str">
        <f>IFERROR(__xludf.DUMMYFUNCTION("""COMPUTED_VALUE"""),"")</f>
        <v/>
      </c>
      <c r="AE501" s="46" t="str">
        <f>IFERROR(__xludf.DUMMYFUNCTION("""COMPUTED_VALUE"""),"AP")</f>
        <v>AP</v>
      </c>
      <c r="AF501" s="47" t="str">
        <f>IFERROR(__xludf.DUMMYFUNCTION("""COMPUTED_VALUE"""),"")</f>
        <v/>
      </c>
      <c r="AG501" s="48" t="str">
        <f>IFERROR(__xludf.DUMMYFUNCTION("""COMPUTED_VALUE"""),"%")</f>
        <v>%</v>
      </c>
      <c r="AH501" s="43"/>
      <c r="AI501" s="44"/>
      <c r="AJ501" s="66"/>
    </row>
    <row r="502" ht="24.75" hidden="1" customHeight="1">
      <c r="A502" s="28">
        <f>IFERROR(__xludf.DUMMYFUNCTION("""COMPUTED_VALUE"""),17.0)</f>
        <v>17</v>
      </c>
      <c r="B502" s="28" t="str">
        <f>IFERROR(__xludf.DUMMYFUNCTION("""COMPUTED_VALUE"""),"A213")</f>
        <v>A213</v>
      </c>
      <c r="C502" s="28"/>
      <c r="D502" s="29"/>
      <c r="E502" s="67"/>
      <c r="F502" s="31"/>
      <c r="G502" s="32"/>
      <c r="H502" s="33" t="str">
        <f>IFERROR(__xludf.DUMMYFUNCTION("""COMPUTED_VALUE""")," ")</f>
        <v> </v>
      </c>
      <c r="I502" s="34"/>
      <c r="J502" s="35" t="str">
        <f>IFERROR(__xludf.DUMMYFUNCTION("""COMPUTED_VALUE"""),"AP")</f>
        <v>AP</v>
      </c>
      <c r="K502" s="34"/>
      <c r="L502" s="35" t="str">
        <f>IFERROR(__xludf.DUMMYFUNCTION("""COMPUTED_VALUE"""),"%")</f>
        <v>%</v>
      </c>
      <c r="M502" s="36">
        <f>IFERROR(__xludf.DUMMYFUNCTION("""COMPUTED_VALUE"""),1.0)</f>
        <v>1</v>
      </c>
      <c r="N502" s="37"/>
      <c r="O502" s="38"/>
      <c r="P502" s="34" t="str">
        <f>IFERROR(__xludf.DUMMYFUNCTION("""COMPUTED_VALUE"""),"")</f>
        <v/>
      </c>
      <c r="Q502" s="35" t="str">
        <f>IFERROR(__xludf.DUMMYFUNCTION("""COMPUTED_VALUE"""),"AP")</f>
        <v>AP</v>
      </c>
      <c r="R502" s="34" t="str">
        <f>IFERROR(__xludf.DUMMYFUNCTION("""COMPUTED_VALUE"""),"")</f>
        <v/>
      </c>
      <c r="S502" s="35" t="str">
        <f>IFERROR(__xludf.DUMMYFUNCTION("""COMPUTED_VALUE"""),"%")</f>
        <v>%</v>
      </c>
      <c r="T502" s="36">
        <f>IFERROR(__xludf.DUMMYFUNCTION("""COMPUTED_VALUE"""),2.0)</f>
        <v>2</v>
      </c>
      <c r="U502" s="37"/>
      <c r="V502" s="38"/>
      <c r="W502" s="34" t="str">
        <f>IFERROR(__xludf.DUMMYFUNCTION("""COMPUTED_VALUE"""),"")</f>
        <v/>
      </c>
      <c r="X502" s="35" t="str">
        <f>IFERROR(__xludf.DUMMYFUNCTION("""COMPUTED_VALUE"""),"AP")</f>
        <v>AP</v>
      </c>
      <c r="Y502" s="34" t="str">
        <f>IFERROR(__xludf.DUMMYFUNCTION("""COMPUTED_VALUE"""),"")</f>
        <v/>
      </c>
      <c r="Z502" s="35" t="str">
        <f>IFERROR(__xludf.DUMMYFUNCTION("""COMPUTED_VALUE"""),"%")</f>
        <v>%</v>
      </c>
      <c r="AA502" s="36">
        <f>IFERROR(__xludf.DUMMYFUNCTION("""COMPUTED_VALUE"""),3.0)</f>
        <v>3</v>
      </c>
      <c r="AB502" s="37"/>
      <c r="AC502" s="38"/>
      <c r="AD502" s="34" t="str">
        <f>IFERROR(__xludf.DUMMYFUNCTION("""COMPUTED_VALUE"""),"")</f>
        <v/>
      </c>
      <c r="AE502" s="35" t="str">
        <f>IFERROR(__xludf.DUMMYFUNCTION("""COMPUTED_VALUE"""),"AP")</f>
        <v>AP</v>
      </c>
      <c r="AF502" s="34" t="str">
        <f>IFERROR(__xludf.DUMMYFUNCTION("""COMPUTED_VALUE"""),"")</f>
        <v/>
      </c>
      <c r="AG502" s="35" t="str">
        <f>IFERROR(__xludf.DUMMYFUNCTION("""COMPUTED_VALUE"""),"%")</f>
        <v>%</v>
      </c>
      <c r="AH502" s="31"/>
      <c r="AI502" s="32"/>
      <c r="AJ502" s="67"/>
    </row>
    <row r="503" ht="24.75" hidden="1" customHeight="1">
      <c r="A503" s="40">
        <f>IFERROR(__xludf.DUMMYFUNCTION("""COMPUTED_VALUE"""),18.0)</f>
        <v>18</v>
      </c>
      <c r="B503" s="40" t="str">
        <f>IFERROR(__xludf.DUMMYFUNCTION("""COMPUTED_VALUE"""),"A213")</f>
        <v>A213</v>
      </c>
      <c r="C503" s="40"/>
      <c r="D503" s="41"/>
      <c r="E503" s="66"/>
      <c r="F503" s="43"/>
      <c r="G503" s="44"/>
      <c r="H503" s="33" t="str">
        <f>IFERROR(__xludf.DUMMYFUNCTION("""COMPUTED_VALUE""")," ")</f>
        <v> </v>
      </c>
      <c r="I503" s="45"/>
      <c r="J503" s="46" t="str">
        <f>IFERROR(__xludf.DUMMYFUNCTION("""COMPUTED_VALUE"""),"AP")</f>
        <v>AP</v>
      </c>
      <c r="K503" s="47"/>
      <c r="L503" s="48" t="str">
        <f>IFERROR(__xludf.DUMMYFUNCTION("""COMPUTED_VALUE"""),"%")</f>
        <v>%</v>
      </c>
      <c r="M503" s="49">
        <f>IFERROR(__xludf.DUMMYFUNCTION("""COMPUTED_VALUE"""),1.0)</f>
        <v>1</v>
      </c>
      <c r="N503" s="50"/>
      <c r="O503" s="38"/>
      <c r="P503" s="45" t="str">
        <f>IFERROR(__xludf.DUMMYFUNCTION("""COMPUTED_VALUE"""),"")</f>
        <v/>
      </c>
      <c r="Q503" s="46" t="str">
        <f>IFERROR(__xludf.DUMMYFUNCTION("""COMPUTED_VALUE"""),"AP")</f>
        <v>AP</v>
      </c>
      <c r="R503" s="47" t="str">
        <f>IFERROR(__xludf.DUMMYFUNCTION("""COMPUTED_VALUE"""),"")</f>
        <v/>
      </c>
      <c r="S503" s="48" t="str">
        <f>IFERROR(__xludf.DUMMYFUNCTION("""COMPUTED_VALUE"""),"%")</f>
        <v>%</v>
      </c>
      <c r="T503" s="49">
        <f>IFERROR(__xludf.DUMMYFUNCTION("""COMPUTED_VALUE"""),2.0)</f>
        <v>2</v>
      </c>
      <c r="U503" s="50"/>
      <c r="V503" s="38"/>
      <c r="W503" s="45" t="str">
        <f>IFERROR(__xludf.DUMMYFUNCTION("""COMPUTED_VALUE"""),"")</f>
        <v/>
      </c>
      <c r="X503" s="46" t="str">
        <f>IFERROR(__xludf.DUMMYFUNCTION("""COMPUTED_VALUE"""),"AP")</f>
        <v>AP</v>
      </c>
      <c r="Y503" s="47" t="str">
        <f>IFERROR(__xludf.DUMMYFUNCTION("""COMPUTED_VALUE"""),"")</f>
        <v/>
      </c>
      <c r="Z503" s="48" t="str">
        <f>IFERROR(__xludf.DUMMYFUNCTION("""COMPUTED_VALUE"""),"%")</f>
        <v>%</v>
      </c>
      <c r="AA503" s="49">
        <f>IFERROR(__xludf.DUMMYFUNCTION("""COMPUTED_VALUE"""),3.0)</f>
        <v>3</v>
      </c>
      <c r="AB503" s="50"/>
      <c r="AC503" s="38"/>
      <c r="AD503" s="45" t="str">
        <f>IFERROR(__xludf.DUMMYFUNCTION("""COMPUTED_VALUE"""),"")</f>
        <v/>
      </c>
      <c r="AE503" s="46" t="str">
        <f>IFERROR(__xludf.DUMMYFUNCTION("""COMPUTED_VALUE"""),"AP")</f>
        <v>AP</v>
      </c>
      <c r="AF503" s="47" t="str">
        <f>IFERROR(__xludf.DUMMYFUNCTION("""COMPUTED_VALUE"""),"")</f>
        <v/>
      </c>
      <c r="AG503" s="48" t="str">
        <f>IFERROR(__xludf.DUMMYFUNCTION("""COMPUTED_VALUE"""),"%")</f>
        <v>%</v>
      </c>
      <c r="AH503" s="43"/>
      <c r="AI503" s="44"/>
      <c r="AJ503" s="66"/>
    </row>
    <row r="504" ht="24.75" hidden="1" customHeight="1">
      <c r="A504" s="28">
        <f>IFERROR(__xludf.DUMMYFUNCTION("""COMPUTED_VALUE"""),19.0)</f>
        <v>19</v>
      </c>
      <c r="B504" s="28" t="str">
        <f>IFERROR(__xludf.DUMMYFUNCTION("""COMPUTED_VALUE"""),"A213")</f>
        <v>A213</v>
      </c>
      <c r="C504" s="28"/>
      <c r="D504" s="29"/>
      <c r="E504" s="67"/>
      <c r="F504" s="31"/>
      <c r="G504" s="32"/>
      <c r="H504" s="33" t="str">
        <f>IFERROR(__xludf.DUMMYFUNCTION("""COMPUTED_VALUE""")," ")</f>
        <v> </v>
      </c>
      <c r="I504" s="34"/>
      <c r="J504" s="35" t="str">
        <f>IFERROR(__xludf.DUMMYFUNCTION("""COMPUTED_VALUE"""),"AP")</f>
        <v>AP</v>
      </c>
      <c r="K504" s="34"/>
      <c r="L504" s="35" t="str">
        <f>IFERROR(__xludf.DUMMYFUNCTION("""COMPUTED_VALUE"""),"%")</f>
        <v>%</v>
      </c>
      <c r="M504" s="36">
        <f>IFERROR(__xludf.DUMMYFUNCTION("""COMPUTED_VALUE"""),1.0)</f>
        <v>1</v>
      </c>
      <c r="N504" s="37"/>
      <c r="O504" s="38"/>
      <c r="P504" s="34" t="str">
        <f>IFERROR(__xludf.DUMMYFUNCTION("""COMPUTED_VALUE"""),"")</f>
        <v/>
      </c>
      <c r="Q504" s="35" t="str">
        <f>IFERROR(__xludf.DUMMYFUNCTION("""COMPUTED_VALUE"""),"AP")</f>
        <v>AP</v>
      </c>
      <c r="R504" s="34" t="str">
        <f>IFERROR(__xludf.DUMMYFUNCTION("""COMPUTED_VALUE"""),"")</f>
        <v/>
      </c>
      <c r="S504" s="35" t="str">
        <f>IFERROR(__xludf.DUMMYFUNCTION("""COMPUTED_VALUE"""),"%")</f>
        <v>%</v>
      </c>
      <c r="T504" s="36">
        <f>IFERROR(__xludf.DUMMYFUNCTION("""COMPUTED_VALUE"""),2.0)</f>
        <v>2</v>
      </c>
      <c r="U504" s="37"/>
      <c r="V504" s="38"/>
      <c r="W504" s="34" t="str">
        <f>IFERROR(__xludf.DUMMYFUNCTION("""COMPUTED_VALUE"""),"")</f>
        <v/>
      </c>
      <c r="X504" s="35" t="str">
        <f>IFERROR(__xludf.DUMMYFUNCTION("""COMPUTED_VALUE"""),"AP")</f>
        <v>AP</v>
      </c>
      <c r="Y504" s="34" t="str">
        <f>IFERROR(__xludf.DUMMYFUNCTION("""COMPUTED_VALUE"""),"")</f>
        <v/>
      </c>
      <c r="Z504" s="35" t="str">
        <f>IFERROR(__xludf.DUMMYFUNCTION("""COMPUTED_VALUE"""),"%")</f>
        <v>%</v>
      </c>
      <c r="AA504" s="36">
        <f>IFERROR(__xludf.DUMMYFUNCTION("""COMPUTED_VALUE"""),3.0)</f>
        <v>3</v>
      </c>
      <c r="AB504" s="37"/>
      <c r="AC504" s="38"/>
      <c r="AD504" s="34" t="str">
        <f>IFERROR(__xludf.DUMMYFUNCTION("""COMPUTED_VALUE"""),"")</f>
        <v/>
      </c>
      <c r="AE504" s="35" t="str">
        <f>IFERROR(__xludf.DUMMYFUNCTION("""COMPUTED_VALUE"""),"AP")</f>
        <v>AP</v>
      </c>
      <c r="AF504" s="34" t="str">
        <f>IFERROR(__xludf.DUMMYFUNCTION("""COMPUTED_VALUE"""),"")</f>
        <v/>
      </c>
      <c r="AG504" s="35" t="str">
        <f>IFERROR(__xludf.DUMMYFUNCTION("""COMPUTED_VALUE"""),"%")</f>
        <v>%</v>
      </c>
      <c r="AH504" s="31"/>
      <c r="AI504" s="32"/>
      <c r="AJ504" s="67"/>
    </row>
    <row r="505" ht="24.75" hidden="1" customHeight="1">
      <c r="A505" s="40">
        <f>IFERROR(__xludf.DUMMYFUNCTION("""COMPUTED_VALUE"""),20.0)</f>
        <v>20</v>
      </c>
      <c r="B505" s="40" t="str">
        <f>IFERROR(__xludf.DUMMYFUNCTION("""COMPUTED_VALUE"""),"A213")</f>
        <v>A213</v>
      </c>
      <c r="C505" s="40"/>
      <c r="D505" s="41"/>
      <c r="E505" s="66"/>
      <c r="F505" s="43"/>
      <c r="G505" s="44"/>
      <c r="H505" s="33" t="str">
        <f>IFERROR(__xludf.DUMMYFUNCTION("""COMPUTED_VALUE""")," ")</f>
        <v> </v>
      </c>
      <c r="I505" s="45"/>
      <c r="J505" s="46" t="str">
        <f>IFERROR(__xludf.DUMMYFUNCTION("""COMPUTED_VALUE"""),"AP")</f>
        <v>AP</v>
      </c>
      <c r="K505" s="47"/>
      <c r="L505" s="48" t="str">
        <f>IFERROR(__xludf.DUMMYFUNCTION("""COMPUTED_VALUE"""),"%")</f>
        <v>%</v>
      </c>
      <c r="M505" s="49">
        <f>IFERROR(__xludf.DUMMYFUNCTION("""COMPUTED_VALUE"""),1.0)</f>
        <v>1</v>
      </c>
      <c r="N505" s="50"/>
      <c r="O505" s="38"/>
      <c r="P505" s="45" t="str">
        <f>IFERROR(__xludf.DUMMYFUNCTION("""COMPUTED_VALUE"""),"")</f>
        <v/>
      </c>
      <c r="Q505" s="46" t="str">
        <f>IFERROR(__xludf.DUMMYFUNCTION("""COMPUTED_VALUE"""),"AP")</f>
        <v>AP</v>
      </c>
      <c r="R505" s="47" t="str">
        <f>IFERROR(__xludf.DUMMYFUNCTION("""COMPUTED_VALUE"""),"")</f>
        <v/>
      </c>
      <c r="S505" s="48" t="str">
        <f>IFERROR(__xludf.DUMMYFUNCTION("""COMPUTED_VALUE"""),"%")</f>
        <v>%</v>
      </c>
      <c r="T505" s="49">
        <f>IFERROR(__xludf.DUMMYFUNCTION("""COMPUTED_VALUE"""),2.0)</f>
        <v>2</v>
      </c>
      <c r="U505" s="50"/>
      <c r="V505" s="38"/>
      <c r="W505" s="45" t="str">
        <f>IFERROR(__xludf.DUMMYFUNCTION("""COMPUTED_VALUE"""),"")</f>
        <v/>
      </c>
      <c r="X505" s="46" t="str">
        <f>IFERROR(__xludf.DUMMYFUNCTION("""COMPUTED_VALUE"""),"AP")</f>
        <v>AP</v>
      </c>
      <c r="Y505" s="47" t="str">
        <f>IFERROR(__xludf.DUMMYFUNCTION("""COMPUTED_VALUE"""),"")</f>
        <v/>
      </c>
      <c r="Z505" s="48" t="str">
        <f>IFERROR(__xludf.DUMMYFUNCTION("""COMPUTED_VALUE"""),"%")</f>
        <v>%</v>
      </c>
      <c r="AA505" s="49">
        <f>IFERROR(__xludf.DUMMYFUNCTION("""COMPUTED_VALUE"""),3.0)</f>
        <v>3</v>
      </c>
      <c r="AB505" s="50"/>
      <c r="AC505" s="38"/>
      <c r="AD505" s="45" t="str">
        <f>IFERROR(__xludf.DUMMYFUNCTION("""COMPUTED_VALUE"""),"")</f>
        <v/>
      </c>
      <c r="AE505" s="46" t="str">
        <f>IFERROR(__xludf.DUMMYFUNCTION("""COMPUTED_VALUE"""),"AP")</f>
        <v>AP</v>
      </c>
      <c r="AF505" s="47" t="str">
        <f>IFERROR(__xludf.DUMMYFUNCTION("""COMPUTED_VALUE"""),"")</f>
        <v/>
      </c>
      <c r="AG505" s="48" t="str">
        <f>IFERROR(__xludf.DUMMYFUNCTION("""COMPUTED_VALUE"""),"%")</f>
        <v>%</v>
      </c>
      <c r="AH505" s="43"/>
      <c r="AI505" s="44"/>
      <c r="AJ505" s="66"/>
    </row>
    <row r="506">
      <c r="A506" s="52"/>
      <c r="B506" s="53"/>
      <c r="C506" s="54"/>
      <c r="D506" s="56"/>
      <c r="E506" s="56"/>
      <c r="F506" s="53"/>
      <c r="G506" s="53"/>
      <c r="H506" s="53"/>
      <c r="I506" s="53"/>
      <c r="J506" s="57"/>
      <c r="K506" s="53"/>
      <c r="L506" s="57"/>
      <c r="M506" s="53"/>
      <c r="N506" s="53"/>
      <c r="O506" s="53"/>
      <c r="P506" s="53"/>
      <c r="Q506" s="57"/>
      <c r="R506" s="53"/>
      <c r="S506" s="57"/>
      <c r="T506" s="53"/>
      <c r="U506" s="53"/>
      <c r="V506" s="53"/>
      <c r="W506" s="53"/>
      <c r="X506" s="57"/>
      <c r="Y506" s="53"/>
      <c r="Z506" s="57"/>
      <c r="AA506" s="53"/>
      <c r="AB506" s="53"/>
      <c r="AC506" s="53"/>
      <c r="AD506" s="53"/>
      <c r="AE506" s="57"/>
      <c r="AF506" s="53"/>
      <c r="AG506" s="57"/>
      <c r="AH506" s="53"/>
      <c r="AI506" s="53"/>
      <c r="AJ506" s="56"/>
    </row>
    <row r="507">
      <c r="A507" s="59"/>
      <c r="B507" s="60"/>
      <c r="C507" s="61"/>
      <c r="D507" s="63"/>
      <c r="E507" s="63"/>
      <c r="F507" s="60"/>
      <c r="G507" s="60"/>
      <c r="H507" s="60"/>
      <c r="I507" s="60"/>
      <c r="J507" s="64"/>
      <c r="K507" s="60"/>
      <c r="L507" s="64"/>
      <c r="M507" s="60"/>
      <c r="N507" s="60"/>
      <c r="O507" s="60"/>
      <c r="P507" s="60"/>
      <c r="Q507" s="64"/>
      <c r="R507" s="60"/>
      <c r="S507" s="64"/>
      <c r="T507" s="60"/>
      <c r="U507" s="60"/>
      <c r="V507" s="60"/>
      <c r="W507" s="60"/>
      <c r="X507" s="64"/>
      <c r="Y507" s="60"/>
      <c r="Z507" s="64"/>
      <c r="AA507" s="60"/>
      <c r="AB507" s="60"/>
      <c r="AC507" s="60"/>
      <c r="AD507" s="60"/>
      <c r="AE507" s="64"/>
      <c r="AF507" s="60"/>
      <c r="AG507" s="64"/>
      <c r="AH507" s="60"/>
      <c r="AI507" s="60"/>
      <c r="AJ507" s="63"/>
    </row>
    <row r="508" ht="33.0" customHeight="1">
      <c r="A508" s="20" t="str">
        <f>IFERROR(__xludf.DUMMYFUNCTION("""COMPUTED_VALUE""")," ")</f>
        <v> </v>
      </c>
      <c r="B508" s="21" t="str">
        <f>IFERROR(__xludf.DUMMYFUNCTION("""COMPUTED_VALUE"""),"A214")</f>
        <v>A214</v>
      </c>
      <c r="C508" s="20"/>
      <c r="D508" s="257" t="str">
        <f>IFERROR(__xludf.DUMMYFUNCTION("""COMPUTED_VALUE"""),"")</f>
        <v/>
      </c>
      <c r="E508" s="23" t="str">
        <f>IFERROR(__xludf.DUMMYFUNCTION("""COMPUTED_VALUE"""),"Giant's Ring")</f>
        <v>Giant's Ring</v>
      </c>
      <c r="F508" s="24"/>
      <c r="G508" s="24"/>
      <c r="H508" s="25"/>
      <c r="I508" s="25"/>
      <c r="J508" s="26"/>
      <c r="K508" s="25"/>
      <c r="L508" s="26"/>
      <c r="M508" s="25"/>
      <c r="N508" s="25"/>
      <c r="O508" s="25"/>
      <c r="P508" s="25"/>
      <c r="Q508" s="26"/>
      <c r="R508" s="25"/>
      <c r="S508" s="26"/>
      <c r="T508" s="25"/>
      <c r="U508" s="25"/>
      <c r="V508" s="25"/>
      <c r="W508" s="25"/>
      <c r="X508" s="26"/>
      <c r="Y508" s="25"/>
      <c r="Z508" s="26"/>
      <c r="AA508" s="25"/>
      <c r="AB508" s="25"/>
      <c r="AC508" s="25"/>
      <c r="AD508" s="25"/>
      <c r="AE508" s="26"/>
      <c r="AF508" s="25"/>
      <c r="AG508" s="26"/>
      <c r="AH508" s="24"/>
      <c r="AI508" s="25"/>
      <c r="AJ508" s="23"/>
    </row>
    <row r="509" ht="24.75" customHeight="1">
      <c r="A509" s="28">
        <f>IFERROR(__xludf.DUMMYFUNCTION("""COMPUTED_VALUE"""),1.0)</f>
        <v>1</v>
      </c>
      <c r="B509" s="28" t="str">
        <f>IFERROR(__xludf.DUMMYFUNCTION("""COMPUTED_VALUE"""),"A214")</f>
        <v>A214</v>
      </c>
      <c r="C509" s="28" t="str">
        <f>IFERROR(__xludf.DUMMYFUNCTION("""COMPUTED_VALUE"""),"GTT3")</f>
        <v>GTT3</v>
      </c>
      <c r="D509" s="29" t="str">
        <f>IFERROR(__xludf.DUMMYFUNCTION("""COMPUTED_VALUE"""),"Götterdämmerung")</f>
        <v>Götterdämmerung</v>
      </c>
      <c r="E509" s="30" t="str">
        <f>IFERROR(__xludf.DUMMYFUNCTION("""COMPUTED_VALUE"""),"Giant's Flower Garden")</f>
        <v>Giant's Flower Garden</v>
      </c>
      <c r="F509" s="31">
        <f>IFERROR(__xludf.DUMMYFUNCTION("""COMPUTED_VALUE"""),20.0)</f>
        <v>20</v>
      </c>
      <c r="G509" s="32">
        <f>IFERROR(__xludf.DUMMYFUNCTION("""COMPUTED_VALUE"""),15113.0)</f>
        <v>15113</v>
      </c>
      <c r="H509" s="33" t="str">
        <f>IFERROR(__xludf.DUMMYFUNCTION("""COMPUTED_VALUE"""),"")</f>
        <v/>
      </c>
      <c r="I509" s="34">
        <f>IFERROR(__xludf.DUMMYFUNCTION("""COMPUTED_VALUE"""),49.20568614957447)</f>
        <v>49.20568615</v>
      </c>
      <c r="J509" s="35" t="str">
        <f>IFERROR(__xludf.DUMMYFUNCTION("""COMPUTED_VALUE"""),"AP")</f>
        <v>AP</v>
      </c>
      <c r="K509" s="34">
        <f>IFERROR(__xludf.DUMMYFUNCTION("""COMPUTED_VALUE"""),40.64570899225833)</f>
        <v>40.64570899</v>
      </c>
      <c r="L509" s="35" t="str">
        <f>IFERROR(__xludf.DUMMYFUNCTION("""COMPUTED_VALUE"""),"%")</f>
        <v>%</v>
      </c>
      <c r="M509" s="36">
        <f>IFERROR(__xludf.DUMMYFUNCTION("""COMPUTED_VALUE"""),1.0)</f>
        <v>1</v>
      </c>
      <c r="N509" s="37" t="str">
        <f>IFERROR(__xludf.DUMMYFUNCTION("""COMPUTED_VALUE"""),"B117")</f>
        <v>B117</v>
      </c>
      <c r="O509" s="38" t="str">
        <f>IFERROR(__xludf.DUMMYFUNCTION("""COMPUTED_VALUE"""),"")</f>
        <v/>
      </c>
      <c r="P509" s="34">
        <f>IFERROR(__xludf.DUMMYFUNCTION("""COMPUTED_VALUE"""),45.53377809864083)</f>
        <v>45.5337781</v>
      </c>
      <c r="Q509" s="35" t="str">
        <f>IFERROR(__xludf.DUMMYFUNCTION("""COMPUTED_VALUE"""),"AP")</f>
        <v>AP</v>
      </c>
      <c r="R509" s="34">
        <f>IFERROR(__xludf.DUMMYFUNCTION("""COMPUTED_VALUE"""),43.92343626016176)</f>
        <v>43.92343626</v>
      </c>
      <c r="S509" s="35" t="str">
        <f>IFERROR(__xludf.DUMMYFUNCTION("""COMPUTED_VALUE"""),"%")</f>
        <v>%</v>
      </c>
      <c r="T509" s="36">
        <f>IFERROR(__xludf.DUMMYFUNCTION("""COMPUTED_VALUE"""),2.0)</f>
        <v>2</v>
      </c>
      <c r="U509" s="37"/>
      <c r="V509" s="38"/>
      <c r="W509" s="34" t="str">
        <f>IFERROR(__xludf.DUMMYFUNCTION("""COMPUTED_VALUE"""),"")</f>
        <v/>
      </c>
      <c r="X509" s="35" t="str">
        <f>IFERROR(__xludf.DUMMYFUNCTION("""COMPUTED_VALUE"""),"AP")</f>
        <v>AP</v>
      </c>
      <c r="Y509" s="34" t="str">
        <f>IFERROR(__xludf.DUMMYFUNCTION("""COMPUTED_VALUE"""),"")</f>
        <v/>
      </c>
      <c r="Z509" s="35" t="str">
        <f>IFERROR(__xludf.DUMMYFUNCTION("""COMPUTED_VALUE"""),"%")</f>
        <v>%</v>
      </c>
      <c r="AA509" s="36">
        <f>IFERROR(__xludf.DUMMYFUNCTION("""COMPUTED_VALUE"""),3.0)</f>
        <v>3</v>
      </c>
      <c r="AB509" s="37"/>
      <c r="AC509" s="38"/>
      <c r="AD509" s="34" t="str">
        <f>IFERROR(__xludf.DUMMYFUNCTION("""COMPUTED_VALUE"""),"")</f>
        <v/>
      </c>
      <c r="AE509" s="35" t="str">
        <f>IFERROR(__xludf.DUMMYFUNCTION("""COMPUTED_VALUE"""),"AP")</f>
        <v>AP</v>
      </c>
      <c r="AF509" s="34" t="str">
        <f>IFERROR(__xludf.DUMMYFUNCTION("""COMPUTED_VALUE"""),"")</f>
        <v/>
      </c>
      <c r="AG509" s="35" t="str">
        <f>IFERROR(__xludf.DUMMYFUNCTION("""COMPUTED_VALUE"""),"%")</f>
        <v>%</v>
      </c>
      <c r="AH509" s="31">
        <f>IFERROR(__xludf.DUMMYFUNCTION("""COMPUTED_VALUE"""),20.0)</f>
        <v>20</v>
      </c>
      <c r="AI509" s="32">
        <f>IFERROR(__xludf.DUMMYFUNCTION("""COMPUTED_VALUE"""),15113.0)</f>
        <v>15113</v>
      </c>
      <c r="AJ509" s="30" t="str">
        <f>IFERROR(__xludf.DUMMYFUNCTION("""COMPUTED_VALUE"""),"Giant's Flower Garden")</f>
        <v>Giant's Flower Garden</v>
      </c>
    </row>
    <row r="510" ht="24.75" customHeight="1">
      <c r="A510" s="40">
        <f>IFERROR(__xludf.DUMMYFUNCTION("""COMPUTED_VALUE"""),2.0)</f>
        <v>2</v>
      </c>
      <c r="B510" s="40" t="str">
        <f>IFERROR(__xludf.DUMMYFUNCTION("""COMPUTED_VALUE"""),"A214")</f>
        <v>A214</v>
      </c>
      <c r="C510" s="40" t="str">
        <f>IFERROR(__xludf.DUMMYFUNCTION("""COMPUTED_VALUE"""),"SIN2")</f>
        <v>SIN2</v>
      </c>
      <c r="D510" s="41" t="str">
        <f>IFERROR(__xludf.DUMMYFUNCTION("""COMPUTED_VALUE"""),"SIN")</f>
        <v>SIN</v>
      </c>
      <c r="E510" s="42" t="str">
        <f>IFERROR(__xludf.DUMMYFUNCTION("""COMPUTED_VALUE"""),"Neighboring Village")</f>
        <v>Neighboring Village</v>
      </c>
      <c r="F510" s="43">
        <f>IFERROR(__xludf.DUMMYFUNCTION("""COMPUTED_VALUE"""),20.0)</f>
        <v>20</v>
      </c>
      <c r="G510" s="44">
        <f>IFERROR(__xludf.DUMMYFUNCTION("""COMPUTED_VALUE"""),8056.0)</f>
        <v>8056</v>
      </c>
      <c r="H510" s="33" t="str">
        <f>IFERROR(__xludf.DUMMYFUNCTION("""COMPUTED_VALUE"""),"")</f>
        <v/>
      </c>
      <c r="I510" s="45">
        <f>IFERROR(__xludf.DUMMYFUNCTION("""COMPUTED_VALUE"""),77.87988072468119)</f>
        <v>77.87988072</v>
      </c>
      <c r="J510" s="46" t="str">
        <f>IFERROR(__xludf.DUMMYFUNCTION("""COMPUTED_VALUE"""),"AP")</f>
        <v>AP</v>
      </c>
      <c r="K510" s="47">
        <f>IFERROR(__xludf.DUMMYFUNCTION("""COMPUTED_VALUE"""),25.680573485600792)</f>
        <v>25.68057349</v>
      </c>
      <c r="L510" s="48" t="str">
        <f>IFERROR(__xludf.DUMMYFUNCTION("""COMPUTED_VALUE"""),"%")</f>
        <v>%</v>
      </c>
      <c r="M510" s="49">
        <f>IFERROR(__xludf.DUMMYFUNCTION("""COMPUTED_VALUE"""),1.0)</f>
        <v>1</v>
      </c>
      <c r="N510" s="50" t="str">
        <f>IFERROR(__xludf.DUMMYFUNCTION("""COMPUTED_VALUE"""),"A306")</f>
        <v>A306</v>
      </c>
      <c r="O510" s="38" t="str">
        <f>IFERROR(__xludf.DUMMYFUNCTION("""COMPUTED_VALUE"""),"")</f>
        <v/>
      </c>
      <c r="P510" s="45">
        <f>IFERROR(__xludf.DUMMYFUNCTION("""COMPUTED_VALUE"""),49.431575536412225)</f>
        <v>49.43157554</v>
      </c>
      <c r="Q510" s="46" t="str">
        <f>IFERROR(__xludf.DUMMYFUNCTION("""COMPUTED_VALUE"""),"AP")</f>
        <v>AP</v>
      </c>
      <c r="R510" s="47">
        <f>IFERROR(__xludf.DUMMYFUNCTION("""COMPUTED_VALUE"""),40.45996872033267)</f>
        <v>40.45996872</v>
      </c>
      <c r="S510" s="48" t="str">
        <f>IFERROR(__xludf.DUMMYFUNCTION("""COMPUTED_VALUE"""),"%")</f>
        <v>%</v>
      </c>
      <c r="T510" s="49">
        <f>IFERROR(__xludf.DUMMYFUNCTION("""COMPUTED_VALUE"""),2.0)</f>
        <v>2</v>
      </c>
      <c r="U510" s="50" t="str">
        <f>IFERROR(__xludf.DUMMYFUNCTION("""COMPUTED_VALUE"""),"B117")</f>
        <v>B117</v>
      </c>
      <c r="V510" s="38" t="str">
        <f>IFERROR(__xludf.DUMMYFUNCTION("""COMPUTED_VALUE"""),"")</f>
        <v/>
      </c>
      <c r="W510" s="45">
        <f>IFERROR(__xludf.DUMMYFUNCTION("""COMPUTED_VALUE"""),143.20919012241112)</f>
        <v>143.2091901</v>
      </c>
      <c r="X510" s="46" t="str">
        <f>IFERROR(__xludf.DUMMYFUNCTION("""COMPUTED_VALUE"""),"AP")</f>
        <v>AP</v>
      </c>
      <c r="Y510" s="47">
        <f>IFERROR(__xludf.DUMMYFUNCTION("""COMPUTED_VALUE"""),13.965584179970973)</f>
        <v>13.96558418</v>
      </c>
      <c r="Z510" s="48" t="str">
        <f>IFERROR(__xludf.DUMMYFUNCTION("""COMPUTED_VALUE"""),"%")</f>
        <v>%</v>
      </c>
      <c r="AA510" s="49">
        <f>IFERROR(__xludf.DUMMYFUNCTION("""COMPUTED_VALUE"""),3.0)</f>
        <v>3</v>
      </c>
      <c r="AB510" s="50"/>
      <c r="AC510" s="38"/>
      <c r="AD510" s="45" t="str">
        <f>IFERROR(__xludf.DUMMYFUNCTION("""COMPUTED_VALUE"""),"")</f>
        <v/>
      </c>
      <c r="AE510" s="46" t="str">
        <f>IFERROR(__xludf.DUMMYFUNCTION("""COMPUTED_VALUE"""),"AP")</f>
        <v>AP</v>
      </c>
      <c r="AF510" s="47" t="str">
        <f>IFERROR(__xludf.DUMMYFUNCTION("""COMPUTED_VALUE"""),"")</f>
        <v/>
      </c>
      <c r="AG510" s="48" t="str">
        <f>IFERROR(__xludf.DUMMYFUNCTION("""COMPUTED_VALUE"""),"%")</f>
        <v>%</v>
      </c>
      <c r="AH510" s="43">
        <f>IFERROR(__xludf.DUMMYFUNCTION("""COMPUTED_VALUE"""),20.0)</f>
        <v>20</v>
      </c>
      <c r="AI510" s="44">
        <f>IFERROR(__xludf.DUMMYFUNCTION("""COMPUTED_VALUE"""),8056.0)</f>
        <v>8056</v>
      </c>
      <c r="AJ510" s="42" t="str">
        <f>IFERROR(__xludf.DUMMYFUNCTION("""COMPUTED_VALUE"""),"Neighboring Village")</f>
        <v>Neighboring Village</v>
      </c>
    </row>
    <row r="511" ht="24.75" customHeight="1">
      <c r="A511" s="28">
        <f>IFERROR(__xludf.DUMMYFUNCTION("""COMPUTED_VALUE"""),3.0)</f>
        <v>3</v>
      </c>
      <c r="B511" s="28" t="str">
        <f>IFERROR(__xludf.DUMMYFUNCTION("""COMPUTED_VALUE"""),"A214")</f>
        <v>A214</v>
      </c>
      <c r="C511" s="28" t="str">
        <f>IFERROR(__xludf.DUMMYFUNCTION("""COMPUTED_VALUE"""),"GTT2")</f>
        <v>GTT2</v>
      </c>
      <c r="D511" s="29" t="str">
        <f>IFERROR(__xludf.DUMMYFUNCTION("""COMPUTED_VALUE"""),"Götterdämmerung")</f>
        <v>Götterdämmerung</v>
      </c>
      <c r="E511" s="30" t="str">
        <f>IFERROR(__xludf.DUMMYFUNCTION("""COMPUTED_VALUE"""),"Thin Ice Hill")</f>
        <v>Thin Ice Hill</v>
      </c>
      <c r="F511" s="31">
        <f>IFERROR(__xludf.DUMMYFUNCTION("""COMPUTED_VALUE"""),20.0)</f>
        <v>20</v>
      </c>
      <c r="G511" s="32">
        <f>IFERROR(__xludf.DUMMYFUNCTION("""COMPUTED_VALUE"""),4230.0)</f>
        <v>4230</v>
      </c>
      <c r="H511" s="33" t="str">
        <f>IFERROR(__xludf.DUMMYFUNCTION("""COMPUTED_VALUE"""),"")</f>
        <v/>
      </c>
      <c r="I511" s="34">
        <f>IFERROR(__xludf.DUMMYFUNCTION("""COMPUTED_VALUE"""),79.57260294587934)</f>
        <v>79.57260295</v>
      </c>
      <c r="J511" s="35" t="str">
        <f>IFERROR(__xludf.DUMMYFUNCTION("""COMPUTED_VALUE"""),"AP")</f>
        <v>AP</v>
      </c>
      <c r="K511" s="34">
        <f>IFERROR(__xludf.DUMMYFUNCTION("""COMPUTED_VALUE"""),25.134278959810874)</f>
        <v>25.13427896</v>
      </c>
      <c r="L511" s="35" t="str">
        <f>IFERROR(__xludf.DUMMYFUNCTION("""COMPUTED_VALUE"""),"%")</f>
        <v>%</v>
      </c>
      <c r="M511" s="36">
        <f>IFERROR(__xludf.DUMMYFUNCTION("""COMPUTED_VALUE"""),1.0)</f>
        <v>1</v>
      </c>
      <c r="N511" s="37" t="str">
        <f>IFERROR(__xludf.DUMMYFUNCTION("""COMPUTED_VALUE"""),"A201")</f>
        <v>A201</v>
      </c>
      <c r="O511" s="38" t="str">
        <f>IFERROR(__xludf.DUMMYFUNCTION("""COMPUTED_VALUE"""),"")</f>
        <v/>
      </c>
      <c r="P511" s="34">
        <f>IFERROR(__xludf.DUMMYFUNCTION("""COMPUTED_VALUE"""),78.34058709139734)</f>
        <v>78.34058709</v>
      </c>
      <c r="Q511" s="35" t="str">
        <f>IFERROR(__xludf.DUMMYFUNCTION("""COMPUTED_VALUE"""),"AP")</f>
        <v>AP</v>
      </c>
      <c r="R511" s="34">
        <f>IFERROR(__xludf.DUMMYFUNCTION("""COMPUTED_VALUE"""),25.52955082742317)</f>
        <v>25.52955083</v>
      </c>
      <c r="S511" s="35" t="str">
        <f>IFERROR(__xludf.DUMMYFUNCTION("""COMPUTED_VALUE"""),"%")</f>
        <v>%</v>
      </c>
      <c r="T511" s="36">
        <f>IFERROR(__xludf.DUMMYFUNCTION("""COMPUTED_VALUE"""),2.0)</f>
        <v>2</v>
      </c>
      <c r="U511" s="37" t="str">
        <f>IFERROR(__xludf.DUMMYFUNCTION("""COMPUTED_VALUE"""),"B117")</f>
        <v>B117</v>
      </c>
      <c r="V511" s="38" t="str">
        <f>IFERROR(__xludf.DUMMYFUNCTION("""COMPUTED_VALUE"""),"")</f>
        <v/>
      </c>
      <c r="W511" s="34">
        <f>IFERROR(__xludf.DUMMYFUNCTION("""COMPUTED_VALUE"""),81.75980358894323)</f>
        <v>81.75980359</v>
      </c>
      <c r="X511" s="35" t="str">
        <f>IFERROR(__xludf.DUMMYFUNCTION("""COMPUTED_VALUE"""),"AP")</f>
        <v>AP</v>
      </c>
      <c r="Y511" s="34">
        <f>IFERROR(__xludf.DUMMYFUNCTION("""COMPUTED_VALUE"""),24.461898294854386)</f>
        <v>24.46189829</v>
      </c>
      <c r="Z511" s="35" t="str">
        <f>IFERROR(__xludf.DUMMYFUNCTION("""COMPUTED_VALUE"""),"%")</f>
        <v>%</v>
      </c>
      <c r="AA511" s="36">
        <f>IFERROR(__xludf.DUMMYFUNCTION("""COMPUTED_VALUE"""),3.0)</f>
        <v>3</v>
      </c>
      <c r="AB511" s="37"/>
      <c r="AC511" s="38"/>
      <c r="AD511" s="34" t="str">
        <f>IFERROR(__xludf.DUMMYFUNCTION("""COMPUTED_VALUE"""),"")</f>
        <v/>
      </c>
      <c r="AE511" s="35" t="str">
        <f>IFERROR(__xludf.DUMMYFUNCTION("""COMPUTED_VALUE"""),"AP")</f>
        <v>AP</v>
      </c>
      <c r="AF511" s="34" t="str">
        <f>IFERROR(__xludf.DUMMYFUNCTION("""COMPUTED_VALUE"""),"")</f>
        <v/>
      </c>
      <c r="AG511" s="35" t="str">
        <f>IFERROR(__xludf.DUMMYFUNCTION("""COMPUTED_VALUE"""),"%")</f>
        <v>%</v>
      </c>
      <c r="AH511" s="31">
        <f>IFERROR(__xludf.DUMMYFUNCTION("""COMPUTED_VALUE"""),20.0)</f>
        <v>20</v>
      </c>
      <c r="AI511" s="32">
        <f>IFERROR(__xludf.DUMMYFUNCTION("""COMPUTED_VALUE"""),4230.0)</f>
        <v>4230</v>
      </c>
      <c r="AJ511" s="30" t="str">
        <f>IFERROR(__xludf.DUMMYFUNCTION("""COMPUTED_VALUE"""),"Thin Ice Hill")</f>
        <v>Thin Ice Hill</v>
      </c>
    </row>
    <row r="512" ht="24.75" customHeight="1">
      <c r="A512" s="40">
        <f>IFERROR(__xludf.DUMMYFUNCTION("""COMPUTED_VALUE"""),4.0)</f>
        <v>4</v>
      </c>
      <c r="B512" s="40" t="str">
        <f>IFERROR(__xludf.DUMMYFUNCTION("""COMPUTED_VALUE"""),"A214")</f>
        <v>A214</v>
      </c>
      <c r="C512" s="40" t="str">
        <f>IFERROR(__xludf.DUMMYFUNCTION("""COMPUTED_VALUE"""),"GTT8")</f>
        <v>GTT8</v>
      </c>
      <c r="D512" s="41" t="str">
        <f>IFERROR(__xludf.DUMMYFUNCTION("""COMPUTED_VALUE"""),"Götterdämmerung")</f>
        <v>Götterdämmerung</v>
      </c>
      <c r="E512" s="42" t="str">
        <f>IFERROR(__xludf.DUMMYFUNCTION("""COMPUTED_VALUE"""),"Flaming Mansion")</f>
        <v>Flaming Mansion</v>
      </c>
      <c r="F512" s="43">
        <f>IFERROR(__xludf.DUMMYFUNCTION("""COMPUTED_VALUE"""),21.0)</f>
        <v>21</v>
      </c>
      <c r="G512" s="44">
        <f>IFERROR(__xludf.DUMMYFUNCTION("""COMPUTED_VALUE"""),19190.0)</f>
        <v>19190</v>
      </c>
      <c r="H512" s="33" t="str">
        <f>IFERROR(__xludf.DUMMYFUNCTION("""COMPUTED_VALUE"""),"")</f>
        <v/>
      </c>
      <c r="I512" s="45">
        <f>IFERROR(__xludf.DUMMYFUNCTION("""COMPUTED_VALUE"""),81.51420334273165)</f>
        <v>81.51420334</v>
      </c>
      <c r="J512" s="46" t="str">
        <f>IFERROR(__xludf.DUMMYFUNCTION("""COMPUTED_VALUE"""),"AP")</f>
        <v>AP</v>
      </c>
      <c r="K512" s="47">
        <f>IFERROR(__xludf.DUMMYFUNCTION("""COMPUTED_VALUE"""),25.76238144867118)</f>
        <v>25.76238145</v>
      </c>
      <c r="L512" s="48" t="str">
        <f>IFERROR(__xludf.DUMMYFUNCTION("""COMPUTED_VALUE"""),"%")</f>
        <v>%</v>
      </c>
      <c r="M512" s="49">
        <f>IFERROR(__xludf.DUMMYFUNCTION("""COMPUTED_VALUE"""),1.0)</f>
        <v>1</v>
      </c>
      <c r="N512" s="50" t="str">
        <f>IFERROR(__xludf.DUMMYFUNCTION("""COMPUTED_VALUE"""),"A215")</f>
        <v>A215</v>
      </c>
      <c r="O512" s="38" t="str">
        <f>IFERROR(__xludf.DUMMYFUNCTION("""COMPUTED_VALUE"""),"")</f>
        <v/>
      </c>
      <c r="P512" s="45">
        <f>IFERROR(__xludf.DUMMYFUNCTION("""COMPUTED_VALUE"""),85.0356356687554)</f>
        <v>85.03563567</v>
      </c>
      <c r="Q512" s="46" t="str">
        <f>IFERROR(__xludf.DUMMYFUNCTION("""COMPUTED_VALUE"""),"AP")</f>
        <v>AP</v>
      </c>
      <c r="R512" s="47">
        <f>IFERROR(__xludf.DUMMYFUNCTION("""COMPUTED_VALUE"""),24.695528921313183)</f>
        <v>24.69552892</v>
      </c>
      <c r="S512" s="48" t="str">
        <f>IFERROR(__xludf.DUMMYFUNCTION("""COMPUTED_VALUE"""),"%")</f>
        <v>%</v>
      </c>
      <c r="T512" s="49">
        <f>IFERROR(__xludf.DUMMYFUNCTION("""COMPUTED_VALUE"""),2.0)</f>
        <v>2</v>
      </c>
      <c r="U512" s="50" t="str">
        <f>IFERROR(__xludf.DUMMYFUNCTION("""COMPUTED_VALUE"""),"B114")</f>
        <v>B114</v>
      </c>
      <c r="V512" s="38" t="str">
        <f>IFERROR(__xludf.DUMMYFUNCTION("""COMPUTED_VALUE"""),"")</f>
        <v/>
      </c>
      <c r="W512" s="45">
        <f>IFERROR(__xludf.DUMMYFUNCTION("""COMPUTED_VALUE"""),82.91425135712316)</f>
        <v>82.91425136</v>
      </c>
      <c r="X512" s="46" t="str">
        <f>IFERROR(__xludf.DUMMYFUNCTION("""COMPUTED_VALUE"""),"AP")</f>
        <v>AP</v>
      </c>
      <c r="Y512" s="47">
        <f>IFERROR(__xludf.DUMMYFUNCTION("""COMPUTED_VALUE"""),25.32737093596865)</f>
        <v>25.32737094</v>
      </c>
      <c r="Z512" s="48" t="str">
        <f>IFERROR(__xludf.DUMMYFUNCTION("""COMPUTED_VALUE"""),"%")</f>
        <v>%</v>
      </c>
      <c r="AA512" s="49">
        <f>IFERROR(__xludf.DUMMYFUNCTION("""COMPUTED_VALUE"""),3.0)</f>
        <v>3</v>
      </c>
      <c r="AB512" s="50" t="str">
        <f>IFERROR(__xludf.DUMMYFUNCTION("""COMPUTED_VALUE"""),"B117")</f>
        <v>B117</v>
      </c>
      <c r="AC512" s="38" t="str">
        <f>IFERROR(__xludf.DUMMYFUNCTION("""COMPUTED_VALUE"""),"")</f>
        <v/>
      </c>
      <c r="AD512" s="45">
        <f>IFERROR(__xludf.DUMMYFUNCTION("""COMPUTED_VALUE"""),105.56915117866585)</f>
        <v>105.5691512</v>
      </c>
      <c r="AE512" s="46" t="str">
        <f>IFERROR(__xludf.DUMMYFUNCTION("""COMPUTED_VALUE"""),"AP")</f>
        <v>AP</v>
      </c>
      <c r="AF512" s="47">
        <f>IFERROR(__xludf.DUMMYFUNCTION("""COMPUTED_VALUE"""),19.89217471727084)</f>
        <v>19.89217472</v>
      </c>
      <c r="AG512" s="48" t="str">
        <f>IFERROR(__xludf.DUMMYFUNCTION("""COMPUTED_VALUE"""),"%")</f>
        <v>%</v>
      </c>
      <c r="AH512" s="43">
        <f>IFERROR(__xludf.DUMMYFUNCTION("""COMPUTED_VALUE"""),21.0)</f>
        <v>21</v>
      </c>
      <c r="AI512" s="44">
        <f>IFERROR(__xludf.DUMMYFUNCTION("""COMPUTED_VALUE"""),19190.0)</f>
        <v>19190</v>
      </c>
      <c r="AJ512" s="42" t="str">
        <f>IFERROR(__xludf.DUMMYFUNCTION("""COMPUTED_VALUE"""),"Flaming Mansion")</f>
        <v>Flaming Mansion</v>
      </c>
    </row>
    <row r="513" ht="24.75" customHeight="1">
      <c r="A513" s="28">
        <f>IFERROR(__xludf.DUMMYFUNCTION("""COMPUTED_VALUE"""),5.0)</f>
        <v>5</v>
      </c>
      <c r="B513" s="28" t="str">
        <f>IFERROR(__xludf.DUMMYFUNCTION("""COMPUTED_VALUE"""),"A214")</f>
        <v>A214</v>
      </c>
      <c r="C513" s="28" t="str">
        <f>IFERROR(__xludf.DUMMYFUNCTION("""COMPUTED_VALUE"""),"GTT5")</f>
        <v>GTT5</v>
      </c>
      <c r="D513" s="29" t="str">
        <f>IFERROR(__xludf.DUMMYFUNCTION("""COMPUTED_VALUE"""),"Götterdämmerung")</f>
        <v>Götterdämmerung</v>
      </c>
      <c r="E513" s="30" t="str">
        <f>IFERROR(__xludf.DUMMYFUNCTION("""COMPUTED_VALUE"""),"Hero's Lair")</f>
        <v>Hero's Lair</v>
      </c>
      <c r="F513" s="31">
        <f>IFERROR(__xludf.DUMMYFUNCTION("""COMPUTED_VALUE"""),21.0)</f>
        <v>21</v>
      </c>
      <c r="G513" s="32">
        <f>IFERROR(__xludf.DUMMYFUNCTION("""COMPUTED_VALUE"""),8573.0)</f>
        <v>8573</v>
      </c>
      <c r="H513" s="33" t="str">
        <f>IFERROR(__xludf.DUMMYFUNCTION("""COMPUTED_VALUE"""),"")</f>
        <v/>
      </c>
      <c r="I513" s="34">
        <f>IFERROR(__xludf.DUMMYFUNCTION("""COMPUTED_VALUE"""),82.23899387157718)</f>
        <v>82.23899387</v>
      </c>
      <c r="J513" s="35" t="str">
        <f>IFERROR(__xludf.DUMMYFUNCTION("""COMPUTED_VALUE"""),"AP")</f>
        <v>AP</v>
      </c>
      <c r="K513" s="34">
        <f>IFERROR(__xludf.DUMMYFUNCTION("""COMPUTED_VALUE"""),25.535331855826435)</f>
        <v>25.53533186</v>
      </c>
      <c r="L513" s="35" t="str">
        <f>IFERROR(__xludf.DUMMYFUNCTION("""COMPUTED_VALUE"""),"%")</f>
        <v>%</v>
      </c>
      <c r="M513" s="36">
        <f>IFERROR(__xludf.DUMMYFUNCTION("""COMPUTED_VALUE"""),1.0)</f>
        <v>1</v>
      </c>
      <c r="N513" s="37" t="str">
        <f>IFERROR(__xludf.DUMMYFUNCTION("""COMPUTED_VALUE"""),"A203")</f>
        <v>A203</v>
      </c>
      <c r="O513" s="38" t="str">
        <f>IFERROR(__xludf.DUMMYFUNCTION("""COMPUTED_VALUE"""),"")</f>
        <v/>
      </c>
      <c r="P513" s="34">
        <f>IFERROR(__xludf.DUMMYFUNCTION("""COMPUTED_VALUE"""),84.56414235736645)</f>
        <v>84.56414236</v>
      </c>
      <c r="Q513" s="35" t="str">
        <f>IFERROR(__xludf.DUMMYFUNCTION("""COMPUTED_VALUE"""),"AP")</f>
        <v>AP</v>
      </c>
      <c r="R513" s="34">
        <f>IFERROR(__xludf.DUMMYFUNCTION("""COMPUTED_VALUE"""),24.833220576227692)</f>
        <v>24.83322058</v>
      </c>
      <c r="S513" s="35" t="str">
        <f>IFERROR(__xludf.DUMMYFUNCTION("""COMPUTED_VALUE"""),"%")</f>
        <v>%</v>
      </c>
      <c r="T513" s="36">
        <f>IFERROR(__xludf.DUMMYFUNCTION("""COMPUTED_VALUE"""),2.0)</f>
        <v>2</v>
      </c>
      <c r="U513" s="37" t="str">
        <f>IFERROR(__xludf.DUMMYFUNCTION("""COMPUTED_VALUE"""),"B107")</f>
        <v>B107</v>
      </c>
      <c r="V513" s="38" t="str">
        <f>IFERROR(__xludf.DUMMYFUNCTION("""COMPUTED_VALUE"""),"")</f>
        <v/>
      </c>
      <c r="W513" s="34">
        <f>IFERROR(__xludf.DUMMYFUNCTION("""COMPUTED_VALUE"""),429.9385695097771)</f>
        <v>429.9385695</v>
      </c>
      <c r="X513" s="35" t="str">
        <f>IFERROR(__xludf.DUMMYFUNCTION("""COMPUTED_VALUE"""),"AP")</f>
        <v>AP</v>
      </c>
      <c r="Y513" s="34">
        <f>IFERROR(__xludf.DUMMYFUNCTION("""COMPUTED_VALUE"""),4.884418726132093)</f>
        <v>4.884418726</v>
      </c>
      <c r="Z513" s="35" t="str">
        <f>IFERROR(__xludf.DUMMYFUNCTION("""COMPUTED_VALUE"""),"%")</f>
        <v>%</v>
      </c>
      <c r="AA513" s="36">
        <f>IFERROR(__xludf.DUMMYFUNCTION("""COMPUTED_VALUE"""),3.0)</f>
        <v>3</v>
      </c>
      <c r="AB513" s="37" t="str">
        <f>IFERROR(__xludf.DUMMYFUNCTION("""COMPUTED_VALUE"""),"B117")</f>
        <v>B117</v>
      </c>
      <c r="AC513" s="38" t="str">
        <f>IFERROR(__xludf.DUMMYFUNCTION("""COMPUTED_VALUE"""),"")</f>
        <v/>
      </c>
      <c r="AD513" s="34">
        <f>IFERROR(__xludf.DUMMYFUNCTION("""COMPUTED_VALUE"""),67.34395216762566)</f>
        <v>67.34395217</v>
      </c>
      <c r="AE513" s="35" t="str">
        <f>IFERROR(__xludf.DUMMYFUNCTION("""COMPUTED_VALUE"""),"AP")</f>
        <v>AP</v>
      </c>
      <c r="AF513" s="34">
        <f>IFERROR(__xludf.DUMMYFUNCTION("""COMPUTED_VALUE"""),31.183201050821843)</f>
        <v>31.18320105</v>
      </c>
      <c r="AG513" s="35" t="str">
        <f>IFERROR(__xludf.DUMMYFUNCTION("""COMPUTED_VALUE"""),"%")</f>
        <v>%</v>
      </c>
      <c r="AH513" s="31">
        <f>IFERROR(__xludf.DUMMYFUNCTION("""COMPUTED_VALUE"""),21.0)</f>
        <v>21</v>
      </c>
      <c r="AI513" s="32">
        <f>IFERROR(__xludf.DUMMYFUNCTION("""COMPUTED_VALUE"""),8573.0)</f>
        <v>8573</v>
      </c>
      <c r="AJ513" s="30" t="str">
        <f>IFERROR(__xludf.DUMMYFUNCTION("""COMPUTED_VALUE"""),"Hero's Lair")</f>
        <v>Hero's Lair</v>
      </c>
    </row>
    <row r="514" ht="24.75" customHeight="1">
      <c r="A514" s="40">
        <f>IFERROR(__xludf.DUMMYFUNCTION("""COMPUTED_VALUE"""),6.0)</f>
        <v>6</v>
      </c>
      <c r="B514" s="40" t="str">
        <f>IFERROR(__xludf.DUMMYFUNCTION("""COMPUTED_VALUE"""),"A214")</f>
        <v>A214</v>
      </c>
      <c r="C514" s="40" t="str">
        <f>IFERROR(__xludf.DUMMYFUNCTION("""COMPUTED_VALUE"""),"GTT10")</f>
        <v>GTT10</v>
      </c>
      <c r="D514" s="41" t="str">
        <f>IFERROR(__xludf.DUMMYFUNCTION("""COMPUTED_VALUE"""),"Götterdämmerung")</f>
        <v>Götterdämmerung</v>
      </c>
      <c r="E514" s="42" t="str">
        <f>IFERROR(__xludf.DUMMYFUNCTION("""COMPUTED_VALUE"""),"North Boundary")</f>
        <v>North Boundary</v>
      </c>
      <c r="F514" s="43">
        <f>IFERROR(__xludf.DUMMYFUNCTION("""COMPUTED_VALUE"""),21.0)</f>
        <v>21</v>
      </c>
      <c r="G514" s="44">
        <f>IFERROR(__xludf.DUMMYFUNCTION("""COMPUTED_VALUE"""),6309.0)</f>
        <v>6309</v>
      </c>
      <c r="H514" s="33" t="str">
        <f>IFERROR(__xludf.DUMMYFUNCTION("""COMPUTED_VALUE"""),"")</f>
        <v/>
      </c>
      <c r="I514" s="45">
        <f>IFERROR(__xludf.DUMMYFUNCTION("""COMPUTED_VALUE"""),83.44449692961739)</f>
        <v>83.44449693</v>
      </c>
      <c r="J514" s="46" t="str">
        <f>IFERROR(__xludf.DUMMYFUNCTION("""COMPUTED_VALUE"""),"AP")</f>
        <v>AP</v>
      </c>
      <c r="K514" s="47">
        <f>IFERROR(__xludf.DUMMYFUNCTION("""COMPUTED_VALUE"""),25.16642891107941)</f>
        <v>25.16642891</v>
      </c>
      <c r="L514" s="48" t="str">
        <f>IFERROR(__xludf.DUMMYFUNCTION("""COMPUTED_VALUE"""),"%")</f>
        <v>%</v>
      </c>
      <c r="M514" s="49">
        <f>IFERROR(__xludf.DUMMYFUNCTION("""COMPUTED_VALUE"""),1.0)</f>
        <v>1</v>
      </c>
      <c r="N514" s="50" t="str">
        <f>IFERROR(__xludf.DUMMYFUNCTION("""COMPUTED_VALUE"""),"A304")</f>
        <v>A304</v>
      </c>
      <c r="O514" s="38" t="str">
        <f>IFERROR(__xludf.DUMMYFUNCTION("""COMPUTED_VALUE"""),"")</f>
        <v/>
      </c>
      <c r="P514" s="45">
        <f>IFERROR(__xludf.DUMMYFUNCTION("""COMPUTED_VALUE"""),69.5383581811454)</f>
        <v>69.53835818</v>
      </c>
      <c r="Q514" s="46" t="str">
        <f>IFERROR(__xludf.DUMMYFUNCTION("""COMPUTED_VALUE"""),"AP")</f>
        <v>AP</v>
      </c>
      <c r="R514" s="47">
        <f>IFERROR(__xludf.DUMMYFUNCTION("""COMPUTED_VALUE"""),30.19915993025836)</f>
        <v>30.19915993</v>
      </c>
      <c r="S514" s="48" t="str">
        <f>IFERROR(__xludf.DUMMYFUNCTION("""COMPUTED_VALUE"""),"%")</f>
        <v>%</v>
      </c>
      <c r="T514" s="49">
        <f>IFERROR(__xludf.DUMMYFUNCTION("""COMPUTED_VALUE"""),2.0)</f>
        <v>2</v>
      </c>
      <c r="U514" s="50" t="str">
        <f>IFERROR(__xludf.DUMMYFUNCTION("""COMPUTED_VALUE"""),"B117")</f>
        <v>B117</v>
      </c>
      <c r="V514" s="38" t="str">
        <f>IFERROR(__xludf.DUMMYFUNCTION("""COMPUTED_VALUE"""),"")</f>
        <v/>
      </c>
      <c r="W514" s="45">
        <f>IFERROR(__xludf.DUMMYFUNCTION("""COMPUTED_VALUE"""),51.196669496639835)</f>
        <v>51.1966695</v>
      </c>
      <c r="X514" s="46" t="str">
        <f>IFERROR(__xludf.DUMMYFUNCTION("""COMPUTED_VALUE"""),"AP")</f>
        <v>AP</v>
      </c>
      <c r="Y514" s="47">
        <f>IFERROR(__xludf.DUMMYFUNCTION("""COMPUTED_VALUE"""),41.018293194595955)</f>
        <v>41.01829319</v>
      </c>
      <c r="Z514" s="48" t="str">
        <f>IFERROR(__xludf.DUMMYFUNCTION("""COMPUTED_VALUE"""),"%")</f>
        <v>%</v>
      </c>
      <c r="AA514" s="49">
        <f>IFERROR(__xludf.DUMMYFUNCTION("""COMPUTED_VALUE"""),3.0)</f>
        <v>3</v>
      </c>
      <c r="AB514" s="50"/>
      <c r="AC514" s="38"/>
      <c r="AD514" s="45" t="str">
        <f>IFERROR(__xludf.DUMMYFUNCTION("""COMPUTED_VALUE"""),"")</f>
        <v/>
      </c>
      <c r="AE514" s="46" t="str">
        <f>IFERROR(__xludf.DUMMYFUNCTION("""COMPUTED_VALUE"""),"AP")</f>
        <v>AP</v>
      </c>
      <c r="AF514" s="47" t="str">
        <f>IFERROR(__xludf.DUMMYFUNCTION("""COMPUTED_VALUE"""),"")</f>
        <v/>
      </c>
      <c r="AG514" s="48" t="str">
        <f>IFERROR(__xludf.DUMMYFUNCTION("""COMPUTED_VALUE"""),"%")</f>
        <v>%</v>
      </c>
      <c r="AH514" s="43">
        <f>IFERROR(__xludf.DUMMYFUNCTION("""COMPUTED_VALUE"""),21.0)</f>
        <v>21</v>
      </c>
      <c r="AI514" s="44">
        <f>IFERROR(__xludf.DUMMYFUNCTION("""COMPUTED_VALUE"""),6309.0)</f>
        <v>6309</v>
      </c>
      <c r="AJ514" s="42" t="str">
        <f>IFERROR(__xludf.DUMMYFUNCTION("""COMPUTED_VALUE"""),"North Boundary")</f>
        <v>North Boundary</v>
      </c>
    </row>
    <row r="515" ht="24.75" customHeight="1">
      <c r="A515" s="28">
        <f>IFERROR(__xludf.DUMMYFUNCTION("""COMPUTED_VALUE"""),7.0)</f>
        <v>7</v>
      </c>
      <c r="B515" s="28" t="str">
        <f>IFERROR(__xludf.DUMMYFUNCTION("""COMPUTED_VALUE"""),"A214")</f>
        <v>A214</v>
      </c>
      <c r="C515" s="28" t="str">
        <f>IFERROR(__xludf.DUMMYFUNCTION("""COMPUTED_VALUE"""),"GTT7")</f>
        <v>GTT7</v>
      </c>
      <c r="D515" s="29" t="str">
        <f>IFERROR(__xludf.DUMMYFUNCTION("""COMPUTED_VALUE"""),"Götterdämmerung")</f>
        <v>Götterdämmerung</v>
      </c>
      <c r="E515" s="30" t="str">
        <f>IFERROR(__xludf.DUMMYFUNCTION("""COMPUTED_VALUE"""),"Road to the End")</f>
        <v>Road to the End</v>
      </c>
      <c r="F515" s="31">
        <f>IFERROR(__xludf.DUMMYFUNCTION("""COMPUTED_VALUE"""),21.0)</f>
        <v>21</v>
      </c>
      <c r="G515" s="32">
        <f>IFERROR(__xludf.DUMMYFUNCTION("""COMPUTED_VALUE"""),16403.0)</f>
        <v>16403</v>
      </c>
      <c r="H515" s="33" t="str">
        <f>IFERROR(__xludf.DUMMYFUNCTION("""COMPUTED_VALUE"""),"")</f>
        <v/>
      </c>
      <c r="I515" s="34">
        <f>IFERROR(__xludf.DUMMYFUNCTION("""COMPUTED_VALUE"""),84.73774479415742)</f>
        <v>84.73774479</v>
      </c>
      <c r="J515" s="35" t="str">
        <f>IFERROR(__xludf.DUMMYFUNCTION("""COMPUTED_VALUE"""),"AP")</f>
        <v>AP</v>
      </c>
      <c r="K515" s="34">
        <f>IFERROR(__xludf.DUMMYFUNCTION("""COMPUTED_VALUE"""),24.782344693043953)</f>
        <v>24.78234469</v>
      </c>
      <c r="L515" s="35" t="str">
        <f>IFERROR(__xludf.DUMMYFUNCTION("""COMPUTED_VALUE"""),"%")</f>
        <v>%</v>
      </c>
      <c r="M515" s="36">
        <f>IFERROR(__xludf.DUMMYFUNCTION("""COMPUTED_VALUE"""),1.0)</f>
        <v>1</v>
      </c>
      <c r="N515" s="37" t="str">
        <f>IFERROR(__xludf.DUMMYFUNCTION("""COMPUTED_VALUE"""),"A110")</f>
        <v>A110</v>
      </c>
      <c r="O515" s="38" t="str">
        <f>IFERROR(__xludf.DUMMYFUNCTION("""COMPUTED_VALUE"""),"")</f>
        <v/>
      </c>
      <c r="P515" s="34">
        <f>IFERROR(__xludf.DUMMYFUNCTION("""COMPUTED_VALUE"""),118.69329010782576)</f>
        <v>118.6932901</v>
      </c>
      <c r="Q515" s="35" t="str">
        <f>IFERROR(__xludf.DUMMYFUNCTION("""COMPUTED_VALUE"""),"AP")</f>
        <v>AP</v>
      </c>
      <c r="R515" s="34">
        <f>IFERROR(__xludf.DUMMYFUNCTION("""COMPUTED_VALUE"""),17.692659779607386)</f>
        <v>17.69265978</v>
      </c>
      <c r="S515" s="35" t="str">
        <f>IFERROR(__xludf.DUMMYFUNCTION("""COMPUTED_VALUE"""),"%")</f>
        <v>%</v>
      </c>
      <c r="T515" s="36">
        <f>IFERROR(__xludf.DUMMYFUNCTION("""COMPUTED_VALUE"""),2.0)</f>
        <v>2</v>
      </c>
      <c r="U515" s="37" t="str">
        <f>IFERROR(__xludf.DUMMYFUNCTION("""COMPUTED_VALUE"""),"B116")</f>
        <v>B116</v>
      </c>
      <c r="V515" s="38" t="str">
        <f>IFERROR(__xludf.DUMMYFUNCTION("""COMPUTED_VALUE"""),"")</f>
        <v/>
      </c>
      <c r="W515" s="34">
        <f>IFERROR(__xludf.DUMMYFUNCTION("""COMPUTED_VALUE"""),250.4081020087675)</f>
        <v>250.408102</v>
      </c>
      <c r="X515" s="35" t="str">
        <f>IFERROR(__xludf.DUMMYFUNCTION("""COMPUTED_VALUE"""),"AP")</f>
        <v>AP</v>
      </c>
      <c r="Y515" s="34">
        <f>IFERROR(__xludf.DUMMYFUNCTION("""COMPUTED_VALUE"""),8.386310119975564)</f>
        <v>8.38631012</v>
      </c>
      <c r="Z515" s="35" t="str">
        <f>IFERROR(__xludf.DUMMYFUNCTION("""COMPUTED_VALUE"""),"%")</f>
        <v>%</v>
      </c>
      <c r="AA515" s="36">
        <f>IFERROR(__xludf.DUMMYFUNCTION("""COMPUTED_VALUE"""),3.0)</f>
        <v>3</v>
      </c>
      <c r="AB515" s="37" t="str">
        <f>IFERROR(__xludf.DUMMYFUNCTION("""COMPUTED_VALUE"""),"B117")</f>
        <v>B117</v>
      </c>
      <c r="AC515" s="38" t="str">
        <f>IFERROR(__xludf.DUMMYFUNCTION("""COMPUTED_VALUE"""),"")</f>
        <v/>
      </c>
      <c r="AD515" s="34">
        <f>IFERROR(__xludf.DUMMYFUNCTION("""COMPUTED_VALUE"""),51.93691514961229)</f>
        <v>51.93691515</v>
      </c>
      <c r="AE515" s="35" t="str">
        <f>IFERROR(__xludf.DUMMYFUNCTION("""COMPUTED_VALUE"""),"AP")</f>
        <v>AP</v>
      </c>
      <c r="AF515" s="34">
        <f>IFERROR(__xludf.DUMMYFUNCTION("""COMPUTED_VALUE"""),40.43366830607144)</f>
        <v>40.43366831</v>
      </c>
      <c r="AG515" s="35" t="str">
        <f>IFERROR(__xludf.DUMMYFUNCTION("""COMPUTED_VALUE"""),"%")</f>
        <v>%</v>
      </c>
      <c r="AH515" s="31">
        <f>IFERROR(__xludf.DUMMYFUNCTION("""COMPUTED_VALUE"""),21.0)</f>
        <v>21</v>
      </c>
      <c r="AI515" s="32">
        <f>IFERROR(__xludf.DUMMYFUNCTION("""COMPUTED_VALUE"""),16403.0)</f>
        <v>16403</v>
      </c>
      <c r="AJ515" s="30" t="str">
        <f>IFERROR(__xludf.DUMMYFUNCTION("""COMPUTED_VALUE"""),"Road to the End")</f>
        <v>Road to the End</v>
      </c>
    </row>
    <row r="516" ht="24.75" customHeight="1">
      <c r="A516" s="40">
        <f>IFERROR(__xludf.DUMMYFUNCTION("""COMPUTED_VALUE"""),8.0)</f>
        <v>8</v>
      </c>
      <c r="B516" s="40" t="str">
        <f>IFERROR(__xludf.DUMMYFUNCTION("""COMPUTED_VALUE"""),"A214")</f>
        <v>A214</v>
      </c>
      <c r="C516" s="40" t="str">
        <f>IFERROR(__xludf.DUMMYFUNCTION("""COMPUTED_VALUE"""),"SIN5")</f>
        <v>SIN5</v>
      </c>
      <c r="D516" s="41" t="str">
        <f>IFERROR(__xludf.DUMMYFUNCTION("""COMPUTED_VALUE"""),"SIN")</f>
        <v>SIN</v>
      </c>
      <c r="E516" s="42" t="str">
        <f>IFERROR(__xludf.DUMMYFUNCTION("""COMPUTED_VALUE"""),"Jingyang Field")</f>
        <v>Jingyang Field</v>
      </c>
      <c r="F516" s="43">
        <f>IFERROR(__xludf.DUMMYFUNCTION("""COMPUTED_VALUE"""),21.0)</f>
        <v>21</v>
      </c>
      <c r="G516" s="44">
        <f>IFERROR(__xludf.DUMMYFUNCTION("""COMPUTED_VALUE"""),5897.0)</f>
        <v>5897</v>
      </c>
      <c r="H516" s="33" t="str">
        <f>IFERROR(__xludf.DUMMYFUNCTION("""COMPUTED_VALUE"""),"")</f>
        <v/>
      </c>
      <c r="I516" s="45">
        <f>IFERROR(__xludf.DUMMYFUNCTION("""COMPUTED_VALUE"""),101.30942992431059)</f>
        <v>101.3094299</v>
      </c>
      <c r="J516" s="46" t="str">
        <f>IFERROR(__xludf.DUMMYFUNCTION("""COMPUTED_VALUE"""),"AP")</f>
        <v>AP</v>
      </c>
      <c r="K516" s="47">
        <f>IFERROR(__xludf.DUMMYFUNCTION("""COMPUTED_VALUE"""),20.728573851110735)</f>
        <v>20.72857385</v>
      </c>
      <c r="L516" s="48" t="str">
        <f>IFERROR(__xludf.DUMMYFUNCTION("""COMPUTED_VALUE"""),"%")</f>
        <v>%</v>
      </c>
      <c r="M516" s="49">
        <f>IFERROR(__xludf.DUMMYFUNCTION("""COMPUTED_VALUE"""),1.0)</f>
        <v>1</v>
      </c>
      <c r="N516" s="50" t="str">
        <f>IFERROR(__xludf.DUMMYFUNCTION("""COMPUTED_VALUE"""),"A113")</f>
        <v>A113</v>
      </c>
      <c r="O516" s="38" t="str">
        <f>IFERROR(__xludf.DUMMYFUNCTION("""COMPUTED_VALUE"""),"")</f>
        <v/>
      </c>
      <c r="P516" s="45">
        <f>IFERROR(__xludf.DUMMYFUNCTION("""COMPUTED_VALUE"""),133.47898819096235)</f>
        <v>133.4789882</v>
      </c>
      <c r="Q516" s="46" t="str">
        <f>IFERROR(__xludf.DUMMYFUNCTION("""COMPUTED_VALUE"""),"AP")</f>
        <v>AP</v>
      </c>
      <c r="R516" s="47">
        <f>IFERROR(__xludf.DUMMYFUNCTION("""COMPUTED_VALUE"""),15.732813294895708)</f>
        <v>15.73281329</v>
      </c>
      <c r="S516" s="48" t="str">
        <f>IFERROR(__xludf.DUMMYFUNCTION("""COMPUTED_VALUE"""),"%")</f>
        <v>%</v>
      </c>
      <c r="T516" s="49">
        <f>IFERROR(__xludf.DUMMYFUNCTION("""COMPUTED_VALUE"""),2.0)</f>
        <v>2</v>
      </c>
      <c r="U516" s="50" t="str">
        <f>IFERROR(__xludf.DUMMYFUNCTION("""COMPUTED_VALUE"""),"A304")</f>
        <v>A304</v>
      </c>
      <c r="V516" s="38" t="str">
        <f>IFERROR(__xludf.DUMMYFUNCTION("""COMPUTED_VALUE"""),"")</f>
        <v/>
      </c>
      <c r="W516" s="45">
        <f>IFERROR(__xludf.DUMMYFUNCTION("""COMPUTED_VALUE"""),65.4705386012735)</f>
        <v>65.4705386</v>
      </c>
      <c r="X516" s="46" t="str">
        <f>IFERROR(__xludf.DUMMYFUNCTION("""COMPUTED_VALUE"""),"AP")</f>
        <v>AP</v>
      </c>
      <c r="Y516" s="47">
        <f>IFERROR(__xludf.DUMMYFUNCTION("""COMPUTED_VALUE"""),32.07549601492284)</f>
        <v>32.07549601</v>
      </c>
      <c r="Z516" s="48" t="str">
        <f>IFERROR(__xludf.DUMMYFUNCTION("""COMPUTED_VALUE"""),"%")</f>
        <v>%</v>
      </c>
      <c r="AA516" s="49">
        <f>IFERROR(__xludf.DUMMYFUNCTION("""COMPUTED_VALUE"""),3.0)</f>
        <v>3</v>
      </c>
      <c r="AB516" s="50" t="str">
        <f>IFERROR(__xludf.DUMMYFUNCTION("""COMPUTED_VALUE"""),"B112")</f>
        <v>B112</v>
      </c>
      <c r="AC516" s="38" t="str">
        <f>IFERROR(__xludf.DUMMYFUNCTION("""COMPUTED_VALUE"""),"")</f>
        <v/>
      </c>
      <c r="AD516" s="45">
        <f>IFERROR(__xludf.DUMMYFUNCTION("""COMPUTED_VALUE"""),207.89622396391587)</f>
        <v>207.896224</v>
      </c>
      <c r="AE516" s="46" t="str">
        <f>IFERROR(__xludf.DUMMYFUNCTION("""COMPUTED_VALUE"""),"AP")</f>
        <v>AP</v>
      </c>
      <c r="AF516" s="47">
        <f>IFERROR(__xludf.DUMMYFUNCTION("""COMPUTED_VALUE"""),10.101193566481)</f>
        <v>10.10119357</v>
      </c>
      <c r="AG516" s="48" t="str">
        <f>IFERROR(__xludf.DUMMYFUNCTION("""COMPUTED_VALUE"""),"%")</f>
        <v>%</v>
      </c>
      <c r="AH516" s="43">
        <f>IFERROR(__xludf.DUMMYFUNCTION("""COMPUTED_VALUE"""),21.0)</f>
        <v>21</v>
      </c>
      <c r="AI516" s="44">
        <f>IFERROR(__xludf.DUMMYFUNCTION("""COMPUTED_VALUE"""),5897.0)</f>
        <v>5897</v>
      </c>
      <c r="AJ516" s="42" t="str">
        <f>IFERROR(__xludf.DUMMYFUNCTION("""COMPUTED_VALUE"""),"Jingyang Field")</f>
        <v>Jingyang Field</v>
      </c>
    </row>
    <row r="517" ht="24.75" customHeight="1">
      <c r="A517" s="28">
        <f>IFERROR(__xludf.DUMMYFUNCTION("""COMPUTED_VALUE"""),9.0)</f>
        <v>9</v>
      </c>
      <c r="B517" s="28" t="str">
        <f>IFERROR(__xludf.DUMMYFUNCTION("""COMPUTED_VALUE"""),"A214")</f>
        <v>A214</v>
      </c>
      <c r="C517" s="28" t="str">
        <f>IFERROR(__xludf.DUMMYFUNCTION("""COMPUTED_VALUE"""),"SIN4")</f>
        <v>SIN4</v>
      </c>
      <c r="D517" s="29" t="str">
        <f>IFERROR(__xludf.DUMMYFUNCTION("""COMPUTED_VALUE"""),"SIN")</f>
        <v>SIN</v>
      </c>
      <c r="E517" s="30" t="str">
        <f>IFERROR(__xludf.DUMMYFUNCTION("""COMPUTED_VALUE"""),"Akuta's Camp")</f>
        <v>Akuta's Camp</v>
      </c>
      <c r="F517" s="31">
        <f>IFERROR(__xludf.DUMMYFUNCTION("""COMPUTED_VALUE"""),21.0)</f>
        <v>21</v>
      </c>
      <c r="G517" s="32">
        <f>IFERROR(__xludf.DUMMYFUNCTION("""COMPUTED_VALUE"""),2532.0)</f>
        <v>2532</v>
      </c>
      <c r="H517" s="33" t="str">
        <f>IFERROR(__xludf.DUMMYFUNCTION("""COMPUTED_VALUE"""),"")</f>
        <v/>
      </c>
      <c r="I517" s="34">
        <f>IFERROR(__xludf.DUMMYFUNCTION("""COMPUTED_VALUE"""),112.65158769840933)</f>
        <v>112.6515877</v>
      </c>
      <c r="J517" s="35" t="str">
        <f>IFERROR(__xludf.DUMMYFUNCTION("""COMPUTED_VALUE"""),"AP")</f>
        <v>AP</v>
      </c>
      <c r="K517" s="34">
        <f>IFERROR(__xludf.DUMMYFUNCTION("""COMPUTED_VALUE"""),18.641548183254343)</f>
        <v>18.64154818</v>
      </c>
      <c r="L517" s="35" t="str">
        <f>IFERROR(__xludf.DUMMYFUNCTION("""COMPUTED_VALUE"""),"%")</f>
        <v>%</v>
      </c>
      <c r="M517" s="36">
        <f>IFERROR(__xludf.DUMMYFUNCTION("""COMPUTED_VALUE"""),1.0)</f>
        <v>1</v>
      </c>
      <c r="N517" s="37" t="str">
        <f>IFERROR(__xludf.DUMMYFUNCTION("""COMPUTED_VALUE"""),"A206")</f>
        <v>A206</v>
      </c>
      <c r="O517" s="38" t="str">
        <f>IFERROR(__xludf.DUMMYFUNCTION("""COMPUTED_VALUE"""),"")</f>
        <v/>
      </c>
      <c r="P517" s="34">
        <f>IFERROR(__xludf.DUMMYFUNCTION("""COMPUTED_VALUE"""),102.47851058088887)</f>
        <v>102.4785106</v>
      </c>
      <c r="Q517" s="35" t="str">
        <f>IFERROR(__xludf.DUMMYFUNCTION("""COMPUTED_VALUE"""),"AP")</f>
        <v>AP</v>
      </c>
      <c r="R517" s="34">
        <f>IFERROR(__xludf.DUMMYFUNCTION("""COMPUTED_VALUE"""),20.492101105845183)</f>
        <v>20.49210111</v>
      </c>
      <c r="S517" s="35" t="str">
        <f>IFERROR(__xludf.DUMMYFUNCTION("""COMPUTED_VALUE"""),"%")</f>
        <v>%</v>
      </c>
      <c r="T517" s="36">
        <f>IFERROR(__xludf.DUMMYFUNCTION("""COMPUTED_VALUE"""),2.0)</f>
        <v>2</v>
      </c>
      <c r="U517" s="37" t="str">
        <f>IFERROR(__xludf.DUMMYFUNCTION("""COMPUTED_VALUE"""),"A304")</f>
        <v>A304</v>
      </c>
      <c r="V517" s="38" t="str">
        <f>IFERROR(__xludf.DUMMYFUNCTION("""COMPUTED_VALUE"""),"")</f>
        <v/>
      </c>
      <c r="W517" s="34">
        <f>IFERROR(__xludf.DUMMYFUNCTION("""COMPUTED_VALUE"""),70.74055941078801)</f>
        <v>70.74055941</v>
      </c>
      <c r="X517" s="35" t="str">
        <f>IFERROR(__xludf.DUMMYFUNCTION("""COMPUTED_VALUE"""),"AP")</f>
        <v>AP</v>
      </c>
      <c r="Y517" s="34">
        <f>IFERROR(__xludf.DUMMYFUNCTION("""COMPUTED_VALUE"""),29.685939968404426)</f>
        <v>29.68593997</v>
      </c>
      <c r="Z517" s="35" t="str">
        <f>IFERROR(__xludf.DUMMYFUNCTION("""COMPUTED_VALUE"""),"%")</f>
        <v>%</v>
      </c>
      <c r="AA517" s="36">
        <f>IFERROR(__xludf.DUMMYFUNCTION("""COMPUTED_VALUE"""),3.0)</f>
        <v>3</v>
      </c>
      <c r="AB517" s="37" t="str">
        <f>IFERROR(__xludf.DUMMYFUNCTION("""COMPUTED_VALUE"""),"B117")</f>
        <v>B117</v>
      </c>
      <c r="AC517" s="38" t="str">
        <f>IFERROR(__xludf.DUMMYFUNCTION("""COMPUTED_VALUE"""),"")</f>
        <v/>
      </c>
      <c r="AD517" s="34">
        <f>IFERROR(__xludf.DUMMYFUNCTION("""COMPUTED_VALUE"""),134.7373831084739)</f>
        <v>134.7373831</v>
      </c>
      <c r="AE517" s="35" t="str">
        <f>IFERROR(__xludf.DUMMYFUNCTION("""COMPUTED_VALUE"""),"AP")</f>
        <v>AP</v>
      </c>
      <c r="AF517" s="34">
        <f>IFERROR(__xludf.DUMMYFUNCTION("""COMPUTED_VALUE"""),15.585874918687855)</f>
        <v>15.58587492</v>
      </c>
      <c r="AG517" s="35" t="str">
        <f>IFERROR(__xludf.DUMMYFUNCTION("""COMPUTED_VALUE"""),"%")</f>
        <v>%</v>
      </c>
      <c r="AH517" s="31">
        <f>IFERROR(__xludf.DUMMYFUNCTION("""COMPUTED_VALUE"""),21.0)</f>
        <v>21</v>
      </c>
      <c r="AI517" s="32">
        <f>IFERROR(__xludf.DUMMYFUNCTION("""COMPUTED_VALUE"""),2532.0)</f>
        <v>2532</v>
      </c>
      <c r="AJ517" s="30" t="str">
        <f>IFERROR(__xludf.DUMMYFUNCTION("""COMPUTED_VALUE"""),"Akuta's Camp")</f>
        <v>Akuta's Camp</v>
      </c>
    </row>
    <row r="518" ht="24.75" customHeight="1">
      <c r="A518" s="40">
        <f>IFERROR(__xludf.DUMMYFUNCTION("""COMPUTED_VALUE"""),10.0)</f>
        <v>10</v>
      </c>
      <c r="B518" s="40" t="str">
        <f>IFERROR(__xludf.DUMMYFUNCTION("""COMPUTED_VALUE"""),"A214")</f>
        <v>A214</v>
      </c>
      <c r="C518" s="40"/>
      <c r="D518" s="41"/>
      <c r="E518" s="66"/>
      <c r="F518" s="43"/>
      <c r="G518" s="44"/>
      <c r="H518" s="33" t="str">
        <f>IFERROR(__xludf.DUMMYFUNCTION("""COMPUTED_VALUE""")," ")</f>
        <v> </v>
      </c>
      <c r="I518" s="45"/>
      <c r="J518" s="46" t="str">
        <f>IFERROR(__xludf.DUMMYFUNCTION("""COMPUTED_VALUE"""),"AP")</f>
        <v>AP</v>
      </c>
      <c r="K518" s="47"/>
      <c r="L518" s="48" t="str">
        <f>IFERROR(__xludf.DUMMYFUNCTION("""COMPUTED_VALUE"""),"%")</f>
        <v>%</v>
      </c>
      <c r="M518" s="49">
        <f>IFERROR(__xludf.DUMMYFUNCTION("""COMPUTED_VALUE"""),1.0)</f>
        <v>1</v>
      </c>
      <c r="N518" s="50"/>
      <c r="O518" s="38"/>
      <c r="P518" s="45" t="str">
        <f>IFERROR(__xludf.DUMMYFUNCTION("""COMPUTED_VALUE"""),"")</f>
        <v/>
      </c>
      <c r="Q518" s="46" t="str">
        <f>IFERROR(__xludf.DUMMYFUNCTION("""COMPUTED_VALUE"""),"AP")</f>
        <v>AP</v>
      </c>
      <c r="R518" s="47" t="str">
        <f>IFERROR(__xludf.DUMMYFUNCTION("""COMPUTED_VALUE"""),"")</f>
        <v/>
      </c>
      <c r="S518" s="48" t="str">
        <f>IFERROR(__xludf.DUMMYFUNCTION("""COMPUTED_VALUE"""),"%")</f>
        <v>%</v>
      </c>
      <c r="T518" s="49">
        <f>IFERROR(__xludf.DUMMYFUNCTION("""COMPUTED_VALUE"""),2.0)</f>
        <v>2</v>
      </c>
      <c r="U518" s="50"/>
      <c r="V518" s="38"/>
      <c r="W518" s="45" t="str">
        <f>IFERROR(__xludf.DUMMYFUNCTION("""COMPUTED_VALUE"""),"")</f>
        <v/>
      </c>
      <c r="X518" s="46" t="str">
        <f>IFERROR(__xludf.DUMMYFUNCTION("""COMPUTED_VALUE"""),"AP")</f>
        <v>AP</v>
      </c>
      <c r="Y518" s="47" t="str">
        <f>IFERROR(__xludf.DUMMYFUNCTION("""COMPUTED_VALUE"""),"")</f>
        <v/>
      </c>
      <c r="Z518" s="48" t="str">
        <f>IFERROR(__xludf.DUMMYFUNCTION("""COMPUTED_VALUE"""),"%")</f>
        <v>%</v>
      </c>
      <c r="AA518" s="49">
        <f>IFERROR(__xludf.DUMMYFUNCTION("""COMPUTED_VALUE"""),3.0)</f>
        <v>3</v>
      </c>
      <c r="AB518" s="50"/>
      <c r="AC518" s="38"/>
      <c r="AD518" s="45" t="str">
        <f>IFERROR(__xludf.DUMMYFUNCTION("""COMPUTED_VALUE"""),"")</f>
        <v/>
      </c>
      <c r="AE518" s="46" t="str">
        <f>IFERROR(__xludf.DUMMYFUNCTION("""COMPUTED_VALUE"""),"AP")</f>
        <v>AP</v>
      </c>
      <c r="AF518" s="47" t="str">
        <f>IFERROR(__xludf.DUMMYFUNCTION("""COMPUTED_VALUE"""),"")</f>
        <v/>
      </c>
      <c r="AG518" s="48" t="str">
        <f>IFERROR(__xludf.DUMMYFUNCTION("""COMPUTED_VALUE"""),"%")</f>
        <v>%</v>
      </c>
      <c r="AH518" s="43"/>
      <c r="AI518" s="44"/>
      <c r="AJ518" s="66"/>
    </row>
    <row r="519" ht="24.75" hidden="1" customHeight="1">
      <c r="A519" s="28">
        <f>IFERROR(__xludf.DUMMYFUNCTION("""COMPUTED_VALUE"""),11.0)</f>
        <v>11</v>
      </c>
      <c r="B519" s="28" t="str">
        <f>IFERROR(__xludf.DUMMYFUNCTION("""COMPUTED_VALUE"""),"A214")</f>
        <v>A214</v>
      </c>
      <c r="C519" s="28"/>
      <c r="D519" s="29"/>
      <c r="E519" s="67"/>
      <c r="F519" s="31"/>
      <c r="G519" s="32"/>
      <c r="H519" s="33" t="str">
        <f>IFERROR(__xludf.DUMMYFUNCTION("""COMPUTED_VALUE""")," ")</f>
        <v> </v>
      </c>
      <c r="I519" s="34"/>
      <c r="J519" s="35" t="str">
        <f>IFERROR(__xludf.DUMMYFUNCTION("""COMPUTED_VALUE"""),"AP")</f>
        <v>AP</v>
      </c>
      <c r="K519" s="34"/>
      <c r="L519" s="35" t="str">
        <f>IFERROR(__xludf.DUMMYFUNCTION("""COMPUTED_VALUE"""),"%")</f>
        <v>%</v>
      </c>
      <c r="M519" s="36">
        <f>IFERROR(__xludf.DUMMYFUNCTION("""COMPUTED_VALUE"""),1.0)</f>
        <v>1</v>
      </c>
      <c r="N519" s="37"/>
      <c r="O519" s="38"/>
      <c r="P519" s="34" t="str">
        <f>IFERROR(__xludf.DUMMYFUNCTION("""COMPUTED_VALUE"""),"")</f>
        <v/>
      </c>
      <c r="Q519" s="35" t="str">
        <f>IFERROR(__xludf.DUMMYFUNCTION("""COMPUTED_VALUE"""),"AP")</f>
        <v>AP</v>
      </c>
      <c r="R519" s="34" t="str">
        <f>IFERROR(__xludf.DUMMYFUNCTION("""COMPUTED_VALUE"""),"")</f>
        <v/>
      </c>
      <c r="S519" s="35" t="str">
        <f>IFERROR(__xludf.DUMMYFUNCTION("""COMPUTED_VALUE"""),"%")</f>
        <v>%</v>
      </c>
      <c r="T519" s="36">
        <f>IFERROR(__xludf.DUMMYFUNCTION("""COMPUTED_VALUE"""),2.0)</f>
        <v>2</v>
      </c>
      <c r="U519" s="37"/>
      <c r="V519" s="38"/>
      <c r="W519" s="34" t="str">
        <f>IFERROR(__xludf.DUMMYFUNCTION("""COMPUTED_VALUE"""),"")</f>
        <v/>
      </c>
      <c r="X519" s="35" t="str">
        <f>IFERROR(__xludf.DUMMYFUNCTION("""COMPUTED_VALUE"""),"AP")</f>
        <v>AP</v>
      </c>
      <c r="Y519" s="34" t="str">
        <f>IFERROR(__xludf.DUMMYFUNCTION("""COMPUTED_VALUE"""),"")</f>
        <v/>
      </c>
      <c r="Z519" s="35" t="str">
        <f>IFERROR(__xludf.DUMMYFUNCTION("""COMPUTED_VALUE"""),"%")</f>
        <v>%</v>
      </c>
      <c r="AA519" s="36">
        <f>IFERROR(__xludf.DUMMYFUNCTION("""COMPUTED_VALUE"""),3.0)</f>
        <v>3</v>
      </c>
      <c r="AB519" s="37"/>
      <c r="AC519" s="38"/>
      <c r="AD519" s="34" t="str">
        <f>IFERROR(__xludf.DUMMYFUNCTION("""COMPUTED_VALUE"""),"")</f>
        <v/>
      </c>
      <c r="AE519" s="35" t="str">
        <f>IFERROR(__xludf.DUMMYFUNCTION("""COMPUTED_VALUE"""),"AP")</f>
        <v>AP</v>
      </c>
      <c r="AF519" s="34" t="str">
        <f>IFERROR(__xludf.DUMMYFUNCTION("""COMPUTED_VALUE"""),"")</f>
        <v/>
      </c>
      <c r="AG519" s="35" t="str">
        <f>IFERROR(__xludf.DUMMYFUNCTION("""COMPUTED_VALUE"""),"%")</f>
        <v>%</v>
      </c>
      <c r="AH519" s="31"/>
      <c r="AI519" s="32"/>
      <c r="AJ519" s="67"/>
    </row>
    <row r="520" ht="24.75" hidden="1" customHeight="1">
      <c r="A520" s="40">
        <f>IFERROR(__xludf.DUMMYFUNCTION("""COMPUTED_VALUE"""),12.0)</f>
        <v>12</v>
      </c>
      <c r="B520" s="40" t="str">
        <f>IFERROR(__xludf.DUMMYFUNCTION("""COMPUTED_VALUE"""),"A214")</f>
        <v>A214</v>
      </c>
      <c r="C520" s="40"/>
      <c r="D520" s="41"/>
      <c r="E520" s="66"/>
      <c r="F520" s="43"/>
      <c r="G520" s="44"/>
      <c r="H520" s="33" t="str">
        <f>IFERROR(__xludf.DUMMYFUNCTION("""COMPUTED_VALUE""")," ")</f>
        <v> </v>
      </c>
      <c r="I520" s="45"/>
      <c r="J520" s="46" t="str">
        <f>IFERROR(__xludf.DUMMYFUNCTION("""COMPUTED_VALUE"""),"AP")</f>
        <v>AP</v>
      </c>
      <c r="K520" s="47"/>
      <c r="L520" s="48" t="str">
        <f>IFERROR(__xludf.DUMMYFUNCTION("""COMPUTED_VALUE"""),"%")</f>
        <v>%</v>
      </c>
      <c r="M520" s="49">
        <f>IFERROR(__xludf.DUMMYFUNCTION("""COMPUTED_VALUE"""),1.0)</f>
        <v>1</v>
      </c>
      <c r="N520" s="50"/>
      <c r="O520" s="38"/>
      <c r="P520" s="45" t="str">
        <f>IFERROR(__xludf.DUMMYFUNCTION("""COMPUTED_VALUE"""),"")</f>
        <v/>
      </c>
      <c r="Q520" s="46" t="str">
        <f>IFERROR(__xludf.DUMMYFUNCTION("""COMPUTED_VALUE"""),"AP")</f>
        <v>AP</v>
      </c>
      <c r="R520" s="47" t="str">
        <f>IFERROR(__xludf.DUMMYFUNCTION("""COMPUTED_VALUE"""),"")</f>
        <v/>
      </c>
      <c r="S520" s="48" t="str">
        <f>IFERROR(__xludf.DUMMYFUNCTION("""COMPUTED_VALUE"""),"%")</f>
        <v>%</v>
      </c>
      <c r="T520" s="49">
        <f>IFERROR(__xludf.DUMMYFUNCTION("""COMPUTED_VALUE"""),2.0)</f>
        <v>2</v>
      </c>
      <c r="U520" s="50"/>
      <c r="V520" s="38"/>
      <c r="W520" s="45" t="str">
        <f>IFERROR(__xludf.DUMMYFUNCTION("""COMPUTED_VALUE"""),"")</f>
        <v/>
      </c>
      <c r="X520" s="46" t="str">
        <f>IFERROR(__xludf.DUMMYFUNCTION("""COMPUTED_VALUE"""),"AP")</f>
        <v>AP</v>
      </c>
      <c r="Y520" s="47" t="str">
        <f>IFERROR(__xludf.DUMMYFUNCTION("""COMPUTED_VALUE"""),"")</f>
        <v/>
      </c>
      <c r="Z520" s="48" t="str">
        <f>IFERROR(__xludf.DUMMYFUNCTION("""COMPUTED_VALUE"""),"%")</f>
        <v>%</v>
      </c>
      <c r="AA520" s="49">
        <f>IFERROR(__xludf.DUMMYFUNCTION("""COMPUTED_VALUE"""),3.0)</f>
        <v>3</v>
      </c>
      <c r="AB520" s="50"/>
      <c r="AC520" s="38"/>
      <c r="AD520" s="45" t="str">
        <f>IFERROR(__xludf.DUMMYFUNCTION("""COMPUTED_VALUE"""),"")</f>
        <v/>
      </c>
      <c r="AE520" s="46" t="str">
        <f>IFERROR(__xludf.DUMMYFUNCTION("""COMPUTED_VALUE"""),"AP")</f>
        <v>AP</v>
      </c>
      <c r="AF520" s="47" t="str">
        <f>IFERROR(__xludf.DUMMYFUNCTION("""COMPUTED_VALUE"""),"")</f>
        <v/>
      </c>
      <c r="AG520" s="48" t="str">
        <f>IFERROR(__xludf.DUMMYFUNCTION("""COMPUTED_VALUE"""),"%")</f>
        <v>%</v>
      </c>
      <c r="AH520" s="43"/>
      <c r="AI520" s="44"/>
      <c r="AJ520" s="66"/>
    </row>
    <row r="521" ht="24.75" hidden="1" customHeight="1">
      <c r="A521" s="28">
        <f>IFERROR(__xludf.DUMMYFUNCTION("""COMPUTED_VALUE"""),13.0)</f>
        <v>13</v>
      </c>
      <c r="B521" s="28" t="str">
        <f>IFERROR(__xludf.DUMMYFUNCTION("""COMPUTED_VALUE"""),"A214")</f>
        <v>A214</v>
      </c>
      <c r="C521" s="28"/>
      <c r="D521" s="29"/>
      <c r="E521" s="67"/>
      <c r="F521" s="31"/>
      <c r="G521" s="32"/>
      <c r="H521" s="33" t="str">
        <f>IFERROR(__xludf.DUMMYFUNCTION("""COMPUTED_VALUE""")," ")</f>
        <v> </v>
      </c>
      <c r="I521" s="34"/>
      <c r="J521" s="35" t="str">
        <f>IFERROR(__xludf.DUMMYFUNCTION("""COMPUTED_VALUE"""),"AP")</f>
        <v>AP</v>
      </c>
      <c r="K521" s="34"/>
      <c r="L521" s="35" t="str">
        <f>IFERROR(__xludf.DUMMYFUNCTION("""COMPUTED_VALUE"""),"%")</f>
        <v>%</v>
      </c>
      <c r="M521" s="36">
        <f>IFERROR(__xludf.DUMMYFUNCTION("""COMPUTED_VALUE"""),1.0)</f>
        <v>1</v>
      </c>
      <c r="N521" s="37"/>
      <c r="O521" s="38"/>
      <c r="P521" s="34" t="str">
        <f>IFERROR(__xludf.DUMMYFUNCTION("""COMPUTED_VALUE"""),"")</f>
        <v/>
      </c>
      <c r="Q521" s="35" t="str">
        <f>IFERROR(__xludf.DUMMYFUNCTION("""COMPUTED_VALUE"""),"AP")</f>
        <v>AP</v>
      </c>
      <c r="R521" s="34" t="str">
        <f>IFERROR(__xludf.DUMMYFUNCTION("""COMPUTED_VALUE"""),"")</f>
        <v/>
      </c>
      <c r="S521" s="35" t="str">
        <f>IFERROR(__xludf.DUMMYFUNCTION("""COMPUTED_VALUE"""),"%")</f>
        <v>%</v>
      </c>
      <c r="T521" s="36">
        <f>IFERROR(__xludf.DUMMYFUNCTION("""COMPUTED_VALUE"""),2.0)</f>
        <v>2</v>
      </c>
      <c r="U521" s="37"/>
      <c r="V521" s="38"/>
      <c r="W521" s="34" t="str">
        <f>IFERROR(__xludf.DUMMYFUNCTION("""COMPUTED_VALUE"""),"")</f>
        <v/>
      </c>
      <c r="X521" s="35" t="str">
        <f>IFERROR(__xludf.DUMMYFUNCTION("""COMPUTED_VALUE"""),"AP")</f>
        <v>AP</v>
      </c>
      <c r="Y521" s="34" t="str">
        <f>IFERROR(__xludf.DUMMYFUNCTION("""COMPUTED_VALUE"""),"")</f>
        <v/>
      </c>
      <c r="Z521" s="35" t="str">
        <f>IFERROR(__xludf.DUMMYFUNCTION("""COMPUTED_VALUE"""),"%")</f>
        <v>%</v>
      </c>
      <c r="AA521" s="36">
        <f>IFERROR(__xludf.DUMMYFUNCTION("""COMPUTED_VALUE"""),3.0)</f>
        <v>3</v>
      </c>
      <c r="AB521" s="37"/>
      <c r="AC521" s="38"/>
      <c r="AD521" s="34" t="str">
        <f>IFERROR(__xludf.DUMMYFUNCTION("""COMPUTED_VALUE"""),"")</f>
        <v/>
      </c>
      <c r="AE521" s="35" t="str">
        <f>IFERROR(__xludf.DUMMYFUNCTION("""COMPUTED_VALUE"""),"AP")</f>
        <v>AP</v>
      </c>
      <c r="AF521" s="34" t="str">
        <f>IFERROR(__xludf.DUMMYFUNCTION("""COMPUTED_VALUE"""),"")</f>
        <v/>
      </c>
      <c r="AG521" s="35" t="str">
        <f>IFERROR(__xludf.DUMMYFUNCTION("""COMPUTED_VALUE"""),"%")</f>
        <v>%</v>
      </c>
      <c r="AH521" s="31"/>
      <c r="AI521" s="32"/>
      <c r="AJ521" s="67"/>
    </row>
    <row r="522" ht="24.75" hidden="1" customHeight="1">
      <c r="A522" s="40">
        <f>IFERROR(__xludf.DUMMYFUNCTION("""COMPUTED_VALUE"""),14.0)</f>
        <v>14</v>
      </c>
      <c r="B522" s="40" t="str">
        <f>IFERROR(__xludf.DUMMYFUNCTION("""COMPUTED_VALUE"""),"A214")</f>
        <v>A214</v>
      </c>
      <c r="C522" s="40"/>
      <c r="D522" s="41"/>
      <c r="E522" s="66"/>
      <c r="F522" s="43"/>
      <c r="G522" s="44"/>
      <c r="H522" s="33" t="str">
        <f>IFERROR(__xludf.DUMMYFUNCTION("""COMPUTED_VALUE""")," ")</f>
        <v> </v>
      </c>
      <c r="I522" s="45"/>
      <c r="J522" s="46" t="str">
        <f>IFERROR(__xludf.DUMMYFUNCTION("""COMPUTED_VALUE"""),"AP")</f>
        <v>AP</v>
      </c>
      <c r="K522" s="47"/>
      <c r="L522" s="48" t="str">
        <f>IFERROR(__xludf.DUMMYFUNCTION("""COMPUTED_VALUE"""),"%")</f>
        <v>%</v>
      </c>
      <c r="M522" s="49">
        <f>IFERROR(__xludf.DUMMYFUNCTION("""COMPUTED_VALUE"""),1.0)</f>
        <v>1</v>
      </c>
      <c r="N522" s="50"/>
      <c r="O522" s="38"/>
      <c r="P522" s="45" t="str">
        <f>IFERROR(__xludf.DUMMYFUNCTION("""COMPUTED_VALUE"""),"")</f>
        <v/>
      </c>
      <c r="Q522" s="46" t="str">
        <f>IFERROR(__xludf.DUMMYFUNCTION("""COMPUTED_VALUE"""),"AP")</f>
        <v>AP</v>
      </c>
      <c r="R522" s="47" t="str">
        <f>IFERROR(__xludf.DUMMYFUNCTION("""COMPUTED_VALUE"""),"")</f>
        <v/>
      </c>
      <c r="S522" s="48" t="str">
        <f>IFERROR(__xludf.DUMMYFUNCTION("""COMPUTED_VALUE"""),"%")</f>
        <v>%</v>
      </c>
      <c r="T522" s="49">
        <f>IFERROR(__xludf.DUMMYFUNCTION("""COMPUTED_VALUE"""),2.0)</f>
        <v>2</v>
      </c>
      <c r="U522" s="50"/>
      <c r="V522" s="38"/>
      <c r="W522" s="45" t="str">
        <f>IFERROR(__xludf.DUMMYFUNCTION("""COMPUTED_VALUE"""),"")</f>
        <v/>
      </c>
      <c r="X522" s="46" t="str">
        <f>IFERROR(__xludf.DUMMYFUNCTION("""COMPUTED_VALUE"""),"AP")</f>
        <v>AP</v>
      </c>
      <c r="Y522" s="47" t="str">
        <f>IFERROR(__xludf.DUMMYFUNCTION("""COMPUTED_VALUE"""),"")</f>
        <v/>
      </c>
      <c r="Z522" s="48" t="str">
        <f>IFERROR(__xludf.DUMMYFUNCTION("""COMPUTED_VALUE"""),"%")</f>
        <v>%</v>
      </c>
      <c r="AA522" s="49">
        <f>IFERROR(__xludf.DUMMYFUNCTION("""COMPUTED_VALUE"""),3.0)</f>
        <v>3</v>
      </c>
      <c r="AB522" s="50"/>
      <c r="AC522" s="38"/>
      <c r="AD522" s="45" t="str">
        <f>IFERROR(__xludf.DUMMYFUNCTION("""COMPUTED_VALUE"""),"")</f>
        <v/>
      </c>
      <c r="AE522" s="46" t="str">
        <f>IFERROR(__xludf.DUMMYFUNCTION("""COMPUTED_VALUE"""),"AP")</f>
        <v>AP</v>
      </c>
      <c r="AF522" s="47" t="str">
        <f>IFERROR(__xludf.DUMMYFUNCTION("""COMPUTED_VALUE"""),"")</f>
        <v/>
      </c>
      <c r="AG522" s="48" t="str">
        <f>IFERROR(__xludf.DUMMYFUNCTION("""COMPUTED_VALUE"""),"%")</f>
        <v>%</v>
      </c>
      <c r="AH522" s="43"/>
      <c r="AI522" s="44"/>
      <c r="AJ522" s="66"/>
    </row>
    <row r="523" ht="24.75" hidden="1" customHeight="1">
      <c r="A523" s="28">
        <f>IFERROR(__xludf.DUMMYFUNCTION("""COMPUTED_VALUE"""),15.0)</f>
        <v>15</v>
      </c>
      <c r="B523" s="28" t="str">
        <f>IFERROR(__xludf.DUMMYFUNCTION("""COMPUTED_VALUE"""),"A214")</f>
        <v>A214</v>
      </c>
      <c r="C523" s="28"/>
      <c r="D523" s="29"/>
      <c r="E523" s="67"/>
      <c r="F523" s="31"/>
      <c r="G523" s="32"/>
      <c r="H523" s="33" t="str">
        <f>IFERROR(__xludf.DUMMYFUNCTION("""COMPUTED_VALUE""")," ")</f>
        <v> </v>
      </c>
      <c r="I523" s="34"/>
      <c r="J523" s="35" t="str">
        <f>IFERROR(__xludf.DUMMYFUNCTION("""COMPUTED_VALUE"""),"AP")</f>
        <v>AP</v>
      </c>
      <c r="K523" s="34"/>
      <c r="L523" s="35" t="str">
        <f>IFERROR(__xludf.DUMMYFUNCTION("""COMPUTED_VALUE"""),"%")</f>
        <v>%</v>
      </c>
      <c r="M523" s="36">
        <f>IFERROR(__xludf.DUMMYFUNCTION("""COMPUTED_VALUE"""),1.0)</f>
        <v>1</v>
      </c>
      <c r="N523" s="37"/>
      <c r="O523" s="38"/>
      <c r="P523" s="34" t="str">
        <f>IFERROR(__xludf.DUMMYFUNCTION("""COMPUTED_VALUE"""),"")</f>
        <v/>
      </c>
      <c r="Q523" s="35" t="str">
        <f>IFERROR(__xludf.DUMMYFUNCTION("""COMPUTED_VALUE"""),"AP")</f>
        <v>AP</v>
      </c>
      <c r="R523" s="34" t="str">
        <f>IFERROR(__xludf.DUMMYFUNCTION("""COMPUTED_VALUE"""),"")</f>
        <v/>
      </c>
      <c r="S523" s="35" t="str">
        <f>IFERROR(__xludf.DUMMYFUNCTION("""COMPUTED_VALUE"""),"%")</f>
        <v>%</v>
      </c>
      <c r="T523" s="36">
        <f>IFERROR(__xludf.DUMMYFUNCTION("""COMPUTED_VALUE"""),2.0)</f>
        <v>2</v>
      </c>
      <c r="U523" s="37"/>
      <c r="V523" s="38"/>
      <c r="W523" s="34" t="str">
        <f>IFERROR(__xludf.DUMMYFUNCTION("""COMPUTED_VALUE"""),"")</f>
        <v/>
      </c>
      <c r="X523" s="35" t="str">
        <f>IFERROR(__xludf.DUMMYFUNCTION("""COMPUTED_VALUE"""),"AP")</f>
        <v>AP</v>
      </c>
      <c r="Y523" s="34" t="str">
        <f>IFERROR(__xludf.DUMMYFUNCTION("""COMPUTED_VALUE"""),"")</f>
        <v/>
      </c>
      <c r="Z523" s="35" t="str">
        <f>IFERROR(__xludf.DUMMYFUNCTION("""COMPUTED_VALUE"""),"%")</f>
        <v>%</v>
      </c>
      <c r="AA523" s="36">
        <f>IFERROR(__xludf.DUMMYFUNCTION("""COMPUTED_VALUE"""),3.0)</f>
        <v>3</v>
      </c>
      <c r="AB523" s="37"/>
      <c r="AC523" s="38"/>
      <c r="AD523" s="34" t="str">
        <f>IFERROR(__xludf.DUMMYFUNCTION("""COMPUTED_VALUE"""),"")</f>
        <v/>
      </c>
      <c r="AE523" s="35" t="str">
        <f>IFERROR(__xludf.DUMMYFUNCTION("""COMPUTED_VALUE"""),"AP")</f>
        <v>AP</v>
      </c>
      <c r="AF523" s="34" t="str">
        <f>IFERROR(__xludf.DUMMYFUNCTION("""COMPUTED_VALUE"""),"")</f>
        <v/>
      </c>
      <c r="AG523" s="35" t="str">
        <f>IFERROR(__xludf.DUMMYFUNCTION("""COMPUTED_VALUE"""),"%")</f>
        <v>%</v>
      </c>
      <c r="AH523" s="31"/>
      <c r="AI523" s="32"/>
      <c r="AJ523" s="67"/>
    </row>
    <row r="524" ht="24.75" hidden="1" customHeight="1">
      <c r="A524" s="40">
        <f>IFERROR(__xludf.DUMMYFUNCTION("""COMPUTED_VALUE"""),16.0)</f>
        <v>16</v>
      </c>
      <c r="B524" s="40" t="str">
        <f>IFERROR(__xludf.DUMMYFUNCTION("""COMPUTED_VALUE"""),"A214")</f>
        <v>A214</v>
      </c>
      <c r="C524" s="40"/>
      <c r="D524" s="41"/>
      <c r="E524" s="66"/>
      <c r="F524" s="43"/>
      <c r="G524" s="44"/>
      <c r="H524" s="33" t="str">
        <f>IFERROR(__xludf.DUMMYFUNCTION("""COMPUTED_VALUE""")," ")</f>
        <v> </v>
      </c>
      <c r="I524" s="45"/>
      <c r="J524" s="46" t="str">
        <f>IFERROR(__xludf.DUMMYFUNCTION("""COMPUTED_VALUE"""),"AP")</f>
        <v>AP</v>
      </c>
      <c r="K524" s="47"/>
      <c r="L524" s="48" t="str">
        <f>IFERROR(__xludf.DUMMYFUNCTION("""COMPUTED_VALUE"""),"%")</f>
        <v>%</v>
      </c>
      <c r="M524" s="49">
        <f>IFERROR(__xludf.DUMMYFUNCTION("""COMPUTED_VALUE"""),1.0)</f>
        <v>1</v>
      </c>
      <c r="N524" s="50"/>
      <c r="O524" s="38"/>
      <c r="P524" s="45" t="str">
        <f>IFERROR(__xludf.DUMMYFUNCTION("""COMPUTED_VALUE"""),"")</f>
        <v/>
      </c>
      <c r="Q524" s="46" t="str">
        <f>IFERROR(__xludf.DUMMYFUNCTION("""COMPUTED_VALUE"""),"AP")</f>
        <v>AP</v>
      </c>
      <c r="R524" s="47" t="str">
        <f>IFERROR(__xludf.DUMMYFUNCTION("""COMPUTED_VALUE"""),"")</f>
        <v/>
      </c>
      <c r="S524" s="48" t="str">
        <f>IFERROR(__xludf.DUMMYFUNCTION("""COMPUTED_VALUE"""),"%")</f>
        <v>%</v>
      </c>
      <c r="T524" s="49">
        <f>IFERROR(__xludf.DUMMYFUNCTION("""COMPUTED_VALUE"""),2.0)</f>
        <v>2</v>
      </c>
      <c r="U524" s="50"/>
      <c r="V524" s="38"/>
      <c r="W524" s="45" t="str">
        <f>IFERROR(__xludf.DUMMYFUNCTION("""COMPUTED_VALUE"""),"")</f>
        <v/>
      </c>
      <c r="X524" s="46" t="str">
        <f>IFERROR(__xludf.DUMMYFUNCTION("""COMPUTED_VALUE"""),"AP")</f>
        <v>AP</v>
      </c>
      <c r="Y524" s="47" t="str">
        <f>IFERROR(__xludf.DUMMYFUNCTION("""COMPUTED_VALUE"""),"")</f>
        <v/>
      </c>
      <c r="Z524" s="48" t="str">
        <f>IFERROR(__xludf.DUMMYFUNCTION("""COMPUTED_VALUE"""),"%")</f>
        <v>%</v>
      </c>
      <c r="AA524" s="49">
        <f>IFERROR(__xludf.DUMMYFUNCTION("""COMPUTED_VALUE"""),3.0)</f>
        <v>3</v>
      </c>
      <c r="AB524" s="50"/>
      <c r="AC524" s="38"/>
      <c r="AD524" s="45" t="str">
        <f>IFERROR(__xludf.DUMMYFUNCTION("""COMPUTED_VALUE"""),"")</f>
        <v/>
      </c>
      <c r="AE524" s="46" t="str">
        <f>IFERROR(__xludf.DUMMYFUNCTION("""COMPUTED_VALUE"""),"AP")</f>
        <v>AP</v>
      </c>
      <c r="AF524" s="47" t="str">
        <f>IFERROR(__xludf.DUMMYFUNCTION("""COMPUTED_VALUE"""),"")</f>
        <v/>
      </c>
      <c r="AG524" s="48" t="str">
        <f>IFERROR(__xludf.DUMMYFUNCTION("""COMPUTED_VALUE"""),"%")</f>
        <v>%</v>
      </c>
      <c r="AH524" s="43"/>
      <c r="AI524" s="44"/>
      <c r="AJ524" s="66"/>
    </row>
    <row r="525" ht="24.75" hidden="1" customHeight="1">
      <c r="A525" s="28">
        <f>IFERROR(__xludf.DUMMYFUNCTION("""COMPUTED_VALUE"""),17.0)</f>
        <v>17</v>
      </c>
      <c r="B525" s="28" t="str">
        <f>IFERROR(__xludf.DUMMYFUNCTION("""COMPUTED_VALUE"""),"A214")</f>
        <v>A214</v>
      </c>
      <c r="C525" s="28"/>
      <c r="D525" s="29"/>
      <c r="E525" s="67"/>
      <c r="F525" s="31"/>
      <c r="G525" s="32"/>
      <c r="H525" s="33" t="str">
        <f>IFERROR(__xludf.DUMMYFUNCTION("""COMPUTED_VALUE""")," ")</f>
        <v> </v>
      </c>
      <c r="I525" s="34"/>
      <c r="J525" s="35" t="str">
        <f>IFERROR(__xludf.DUMMYFUNCTION("""COMPUTED_VALUE"""),"AP")</f>
        <v>AP</v>
      </c>
      <c r="K525" s="34"/>
      <c r="L525" s="35" t="str">
        <f>IFERROR(__xludf.DUMMYFUNCTION("""COMPUTED_VALUE"""),"%")</f>
        <v>%</v>
      </c>
      <c r="M525" s="36">
        <f>IFERROR(__xludf.DUMMYFUNCTION("""COMPUTED_VALUE"""),1.0)</f>
        <v>1</v>
      </c>
      <c r="N525" s="37"/>
      <c r="O525" s="38"/>
      <c r="P525" s="34" t="str">
        <f>IFERROR(__xludf.DUMMYFUNCTION("""COMPUTED_VALUE"""),"")</f>
        <v/>
      </c>
      <c r="Q525" s="35" t="str">
        <f>IFERROR(__xludf.DUMMYFUNCTION("""COMPUTED_VALUE"""),"AP")</f>
        <v>AP</v>
      </c>
      <c r="R525" s="34" t="str">
        <f>IFERROR(__xludf.DUMMYFUNCTION("""COMPUTED_VALUE"""),"")</f>
        <v/>
      </c>
      <c r="S525" s="35" t="str">
        <f>IFERROR(__xludf.DUMMYFUNCTION("""COMPUTED_VALUE"""),"%")</f>
        <v>%</v>
      </c>
      <c r="T525" s="36">
        <f>IFERROR(__xludf.DUMMYFUNCTION("""COMPUTED_VALUE"""),2.0)</f>
        <v>2</v>
      </c>
      <c r="U525" s="37"/>
      <c r="V525" s="38"/>
      <c r="W525" s="34" t="str">
        <f>IFERROR(__xludf.DUMMYFUNCTION("""COMPUTED_VALUE"""),"")</f>
        <v/>
      </c>
      <c r="X525" s="35" t="str">
        <f>IFERROR(__xludf.DUMMYFUNCTION("""COMPUTED_VALUE"""),"AP")</f>
        <v>AP</v>
      </c>
      <c r="Y525" s="34" t="str">
        <f>IFERROR(__xludf.DUMMYFUNCTION("""COMPUTED_VALUE"""),"")</f>
        <v/>
      </c>
      <c r="Z525" s="35" t="str">
        <f>IFERROR(__xludf.DUMMYFUNCTION("""COMPUTED_VALUE"""),"%")</f>
        <v>%</v>
      </c>
      <c r="AA525" s="36">
        <f>IFERROR(__xludf.DUMMYFUNCTION("""COMPUTED_VALUE"""),3.0)</f>
        <v>3</v>
      </c>
      <c r="AB525" s="37"/>
      <c r="AC525" s="38"/>
      <c r="AD525" s="34" t="str">
        <f>IFERROR(__xludf.DUMMYFUNCTION("""COMPUTED_VALUE"""),"")</f>
        <v/>
      </c>
      <c r="AE525" s="35" t="str">
        <f>IFERROR(__xludf.DUMMYFUNCTION("""COMPUTED_VALUE"""),"AP")</f>
        <v>AP</v>
      </c>
      <c r="AF525" s="34" t="str">
        <f>IFERROR(__xludf.DUMMYFUNCTION("""COMPUTED_VALUE"""),"")</f>
        <v/>
      </c>
      <c r="AG525" s="35" t="str">
        <f>IFERROR(__xludf.DUMMYFUNCTION("""COMPUTED_VALUE"""),"%")</f>
        <v>%</v>
      </c>
      <c r="AH525" s="31"/>
      <c r="AI525" s="32"/>
      <c r="AJ525" s="67"/>
    </row>
    <row r="526" ht="24.75" hidden="1" customHeight="1">
      <c r="A526" s="40">
        <f>IFERROR(__xludf.DUMMYFUNCTION("""COMPUTED_VALUE"""),18.0)</f>
        <v>18</v>
      </c>
      <c r="B526" s="40" t="str">
        <f>IFERROR(__xludf.DUMMYFUNCTION("""COMPUTED_VALUE"""),"A214")</f>
        <v>A214</v>
      </c>
      <c r="C526" s="40"/>
      <c r="D526" s="41"/>
      <c r="E526" s="66"/>
      <c r="F526" s="43"/>
      <c r="G526" s="44"/>
      <c r="H526" s="33" t="str">
        <f>IFERROR(__xludf.DUMMYFUNCTION("""COMPUTED_VALUE""")," ")</f>
        <v> </v>
      </c>
      <c r="I526" s="45"/>
      <c r="J526" s="46" t="str">
        <f>IFERROR(__xludf.DUMMYFUNCTION("""COMPUTED_VALUE"""),"AP")</f>
        <v>AP</v>
      </c>
      <c r="K526" s="47"/>
      <c r="L526" s="48" t="str">
        <f>IFERROR(__xludf.DUMMYFUNCTION("""COMPUTED_VALUE"""),"%")</f>
        <v>%</v>
      </c>
      <c r="M526" s="49">
        <f>IFERROR(__xludf.DUMMYFUNCTION("""COMPUTED_VALUE"""),1.0)</f>
        <v>1</v>
      </c>
      <c r="N526" s="50"/>
      <c r="O526" s="38"/>
      <c r="P526" s="45" t="str">
        <f>IFERROR(__xludf.DUMMYFUNCTION("""COMPUTED_VALUE"""),"")</f>
        <v/>
      </c>
      <c r="Q526" s="46" t="str">
        <f>IFERROR(__xludf.DUMMYFUNCTION("""COMPUTED_VALUE"""),"AP")</f>
        <v>AP</v>
      </c>
      <c r="R526" s="47" t="str">
        <f>IFERROR(__xludf.DUMMYFUNCTION("""COMPUTED_VALUE"""),"")</f>
        <v/>
      </c>
      <c r="S526" s="48" t="str">
        <f>IFERROR(__xludf.DUMMYFUNCTION("""COMPUTED_VALUE"""),"%")</f>
        <v>%</v>
      </c>
      <c r="T526" s="49">
        <f>IFERROR(__xludf.DUMMYFUNCTION("""COMPUTED_VALUE"""),2.0)</f>
        <v>2</v>
      </c>
      <c r="U526" s="50"/>
      <c r="V526" s="38"/>
      <c r="W526" s="45" t="str">
        <f>IFERROR(__xludf.DUMMYFUNCTION("""COMPUTED_VALUE"""),"")</f>
        <v/>
      </c>
      <c r="X526" s="46" t="str">
        <f>IFERROR(__xludf.DUMMYFUNCTION("""COMPUTED_VALUE"""),"AP")</f>
        <v>AP</v>
      </c>
      <c r="Y526" s="47" t="str">
        <f>IFERROR(__xludf.DUMMYFUNCTION("""COMPUTED_VALUE"""),"")</f>
        <v/>
      </c>
      <c r="Z526" s="48" t="str">
        <f>IFERROR(__xludf.DUMMYFUNCTION("""COMPUTED_VALUE"""),"%")</f>
        <v>%</v>
      </c>
      <c r="AA526" s="49">
        <f>IFERROR(__xludf.DUMMYFUNCTION("""COMPUTED_VALUE"""),3.0)</f>
        <v>3</v>
      </c>
      <c r="AB526" s="50"/>
      <c r="AC526" s="38"/>
      <c r="AD526" s="45" t="str">
        <f>IFERROR(__xludf.DUMMYFUNCTION("""COMPUTED_VALUE"""),"")</f>
        <v/>
      </c>
      <c r="AE526" s="46" t="str">
        <f>IFERROR(__xludf.DUMMYFUNCTION("""COMPUTED_VALUE"""),"AP")</f>
        <v>AP</v>
      </c>
      <c r="AF526" s="47" t="str">
        <f>IFERROR(__xludf.DUMMYFUNCTION("""COMPUTED_VALUE"""),"")</f>
        <v/>
      </c>
      <c r="AG526" s="48" t="str">
        <f>IFERROR(__xludf.DUMMYFUNCTION("""COMPUTED_VALUE"""),"%")</f>
        <v>%</v>
      </c>
      <c r="AH526" s="43"/>
      <c r="AI526" s="44"/>
      <c r="AJ526" s="66"/>
    </row>
    <row r="527" ht="24.75" hidden="1" customHeight="1">
      <c r="A527" s="28">
        <f>IFERROR(__xludf.DUMMYFUNCTION("""COMPUTED_VALUE"""),19.0)</f>
        <v>19</v>
      </c>
      <c r="B527" s="28" t="str">
        <f>IFERROR(__xludf.DUMMYFUNCTION("""COMPUTED_VALUE"""),"A214")</f>
        <v>A214</v>
      </c>
      <c r="C527" s="28"/>
      <c r="D527" s="29"/>
      <c r="E527" s="67"/>
      <c r="F527" s="31"/>
      <c r="G527" s="32"/>
      <c r="H527" s="33" t="str">
        <f>IFERROR(__xludf.DUMMYFUNCTION("""COMPUTED_VALUE""")," ")</f>
        <v> </v>
      </c>
      <c r="I527" s="34"/>
      <c r="J527" s="35" t="str">
        <f>IFERROR(__xludf.DUMMYFUNCTION("""COMPUTED_VALUE"""),"AP")</f>
        <v>AP</v>
      </c>
      <c r="K527" s="34"/>
      <c r="L527" s="35" t="str">
        <f>IFERROR(__xludf.DUMMYFUNCTION("""COMPUTED_VALUE"""),"%")</f>
        <v>%</v>
      </c>
      <c r="M527" s="36">
        <f>IFERROR(__xludf.DUMMYFUNCTION("""COMPUTED_VALUE"""),1.0)</f>
        <v>1</v>
      </c>
      <c r="N527" s="37"/>
      <c r="O527" s="38"/>
      <c r="P527" s="34" t="str">
        <f>IFERROR(__xludf.DUMMYFUNCTION("""COMPUTED_VALUE"""),"")</f>
        <v/>
      </c>
      <c r="Q527" s="35" t="str">
        <f>IFERROR(__xludf.DUMMYFUNCTION("""COMPUTED_VALUE"""),"AP")</f>
        <v>AP</v>
      </c>
      <c r="R527" s="34" t="str">
        <f>IFERROR(__xludf.DUMMYFUNCTION("""COMPUTED_VALUE"""),"")</f>
        <v/>
      </c>
      <c r="S527" s="35" t="str">
        <f>IFERROR(__xludf.DUMMYFUNCTION("""COMPUTED_VALUE"""),"%")</f>
        <v>%</v>
      </c>
      <c r="T527" s="36">
        <f>IFERROR(__xludf.DUMMYFUNCTION("""COMPUTED_VALUE"""),2.0)</f>
        <v>2</v>
      </c>
      <c r="U527" s="37"/>
      <c r="V527" s="38"/>
      <c r="W527" s="34" t="str">
        <f>IFERROR(__xludf.DUMMYFUNCTION("""COMPUTED_VALUE"""),"")</f>
        <v/>
      </c>
      <c r="X527" s="35" t="str">
        <f>IFERROR(__xludf.DUMMYFUNCTION("""COMPUTED_VALUE"""),"AP")</f>
        <v>AP</v>
      </c>
      <c r="Y527" s="34" t="str">
        <f>IFERROR(__xludf.DUMMYFUNCTION("""COMPUTED_VALUE"""),"")</f>
        <v/>
      </c>
      <c r="Z527" s="35" t="str">
        <f>IFERROR(__xludf.DUMMYFUNCTION("""COMPUTED_VALUE"""),"%")</f>
        <v>%</v>
      </c>
      <c r="AA527" s="36">
        <f>IFERROR(__xludf.DUMMYFUNCTION("""COMPUTED_VALUE"""),3.0)</f>
        <v>3</v>
      </c>
      <c r="AB527" s="37"/>
      <c r="AC527" s="38"/>
      <c r="AD527" s="34" t="str">
        <f>IFERROR(__xludf.DUMMYFUNCTION("""COMPUTED_VALUE"""),"")</f>
        <v/>
      </c>
      <c r="AE527" s="35" t="str">
        <f>IFERROR(__xludf.DUMMYFUNCTION("""COMPUTED_VALUE"""),"AP")</f>
        <v>AP</v>
      </c>
      <c r="AF527" s="34" t="str">
        <f>IFERROR(__xludf.DUMMYFUNCTION("""COMPUTED_VALUE"""),"")</f>
        <v/>
      </c>
      <c r="AG527" s="35" t="str">
        <f>IFERROR(__xludf.DUMMYFUNCTION("""COMPUTED_VALUE"""),"%")</f>
        <v>%</v>
      </c>
      <c r="AH527" s="31"/>
      <c r="AI527" s="32"/>
      <c r="AJ527" s="67"/>
    </row>
    <row r="528" ht="24.75" hidden="1" customHeight="1">
      <c r="A528" s="40">
        <f>IFERROR(__xludf.DUMMYFUNCTION("""COMPUTED_VALUE"""),20.0)</f>
        <v>20</v>
      </c>
      <c r="B528" s="40" t="str">
        <f>IFERROR(__xludf.DUMMYFUNCTION("""COMPUTED_VALUE"""),"A214")</f>
        <v>A214</v>
      </c>
      <c r="C528" s="40"/>
      <c r="D528" s="41"/>
      <c r="E528" s="66"/>
      <c r="F528" s="43"/>
      <c r="G528" s="44"/>
      <c r="H528" s="33" t="str">
        <f>IFERROR(__xludf.DUMMYFUNCTION("""COMPUTED_VALUE""")," ")</f>
        <v> </v>
      </c>
      <c r="I528" s="45"/>
      <c r="J528" s="46" t="str">
        <f>IFERROR(__xludf.DUMMYFUNCTION("""COMPUTED_VALUE"""),"AP")</f>
        <v>AP</v>
      </c>
      <c r="K528" s="47"/>
      <c r="L528" s="48" t="str">
        <f>IFERROR(__xludf.DUMMYFUNCTION("""COMPUTED_VALUE"""),"%")</f>
        <v>%</v>
      </c>
      <c r="M528" s="49">
        <f>IFERROR(__xludf.DUMMYFUNCTION("""COMPUTED_VALUE"""),1.0)</f>
        <v>1</v>
      </c>
      <c r="N528" s="50"/>
      <c r="O528" s="38"/>
      <c r="P528" s="45" t="str">
        <f>IFERROR(__xludf.DUMMYFUNCTION("""COMPUTED_VALUE"""),"")</f>
        <v/>
      </c>
      <c r="Q528" s="46" t="str">
        <f>IFERROR(__xludf.DUMMYFUNCTION("""COMPUTED_VALUE"""),"AP")</f>
        <v>AP</v>
      </c>
      <c r="R528" s="47" t="str">
        <f>IFERROR(__xludf.DUMMYFUNCTION("""COMPUTED_VALUE"""),"")</f>
        <v/>
      </c>
      <c r="S528" s="48" t="str">
        <f>IFERROR(__xludf.DUMMYFUNCTION("""COMPUTED_VALUE"""),"%")</f>
        <v>%</v>
      </c>
      <c r="T528" s="49">
        <f>IFERROR(__xludf.DUMMYFUNCTION("""COMPUTED_VALUE"""),2.0)</f>
        <v>2</v>
      </c>
      <c r="U528" s="50"/>
      <c r="V528" s="38"/>
      <c r="W528" s="45" t="str">
        <f>IFERROR(__xludf.DUMMYFUNCTION("""COMPUTED_VALUE"""),"")</f>
        <v/>
      </c>
      <c r="X528" s="46" t="str">
        <f>IFERROR(__xludf.DUMMYFUNCTION("""COMPUTED_VALUE"""),"AP")</f>
        <v>AP</v>
      </c>
      <c r="Y528" s="47" t="str">
        <f>IFERROR(__xludf.DUMMYFUNCTION("""COMPUTED_VALUE"""),"")</f>
        <v/>
      </c>
      <c r="Z528" s="48" t="str">
        <f>IFERROR(__xludf.DUMMYFUNCTION("""COMPUTED_VALUE"""),"%")</f>
        <v>%</v>
      </c>
      <c r="AA528" s="49">
        <f>IFERROR(__xludf.DUMMYFUNCTION("""COMPUTED_VALUE"""),3.0)</f>
        <v>3</v>
      </c>
      <c r="AB528" s="50"/>
      <c r="AC528" s="38"/>
      <c r="AD528" s="45" t="str">
        <f>IFERROR(__xludf.DUMMYFUNCTION("""COMPUTED_VALUE"""),"")</f>
        <v/>
      </c>
      <c r="AE528" s="46" t="str">
        <f>IFERROR(__xludf.DUMMYFUNCTION("""COMPUTED_VALUE"""),"AP")</f>
        <v>AP</v>
      </c>
      <c r="AF528" s="47" t="str">
        <f>IFERROR(__xludf.DUMMYFUNCTION("""COMPUTED_VALUE"""),"")</f>
        <v/>
      </c>
      <c r="AG528" s="48" t="str">
        <f>IFERROR(__xludf.DUMMYFUNCTION("""COMPUTED_VALUE"""),"%")</f>
        <v>%</v>
      </c>
      <c r="AH528" s="43"/>
      <c r="AI528" s="44"/>
      <c r="AJ528" s="66"/>
    </row>
    <row r="529" hidden="1">
      <c r="A529" s="52"/>
      <c r="B529" s="53"/>
      <c r="C529" s="54"/>
      <c r="D529" s="56"/>
      <c r="E529" s="56"/>
      <c r="F529" s="53"/>
      <c r="G529" s="53"/>
      <c r="H529" s="53"/>
      <c r="I529" s="53"/>
      <c r="J529" s="57"/>
      <c r="K529" s="53"/>
      <c r="L529" s="57"/>
      <c r="M529" s="53"/>
      <c r="N529" s="53"/>
      <c r="O529" s="53"/>
      <c r="P529" s="53"/>
      <c r="Q529" s="57"/>
      <c r="R529" s="53"/>
      <c r="S529" s="57"/>
      <c r="T529" s="53"/>
      <c r="U529" s="53"/>
      <c r="V529" s="53"/>
      <c r="W529" s="53"/>
      <c r="X529" s="57"/>
      <c r="Y529" s="53"/>
      <c r="Z529" s="57"/>
      <c r="AA529" s="53"/>
      <c r="AB529" s="53"/>
      <c r="AC529" s="53"/>
      <c r="AD529" s="53"/>
      <c r="AE529" s="57"/>
      <c r="AF529" s="53"/>
      <c r="AG529" s="57"/>
      <c r="AH529" s="53"/>
      <c r="AI529" s="53"/>
      <c r="AJ529" s="56"/>
    </row>
    <row r="530">
      <c r="A530" s="59"/>
      <c r="B530" s="60"/>
      <c r="C530" s="61"/>
      <c r="D530" s="63"/>
      <c r="E530" s="63"/>
      <c r="F530" s="60"/>
      <c r="G530" s="60"/>
      <c r="H530" s="60"/>
      <c r="I530" s="60"/>
      <c r="J530" s="64"/>
      <c r="K530" s="60"/>
      <c r="L530" s="64"/>
      <c r="M530" s="60"/>
      <c r="N530" s="60"/>
      <c r="O530" s="60"/>
      <c r="P530" s="60"/>
      <c r="Q530" s="64"/>
      <c r="R530" s="60"/>
      <c r="S530" s="64"/>
      <c r="T530" s="60"/>
      <c r="U530" s="60"/>
      <c r="V530" s="60"/>
      <c r="W530" s="60"/>
      <c r="X530" s="64"/>
      <c r="Y530" s="60"/>
      <c r="Z530" s="64"/>
      <c r="AA530" s="60"/>
      <c r="AB530" s="60"/>
      <c r="AC530" s="60"/>
      <c r="AD530" s="60"/>
      <c r="AE530" s="64"/>
      <c r="AF530" s="60"/>
      <c r="AG530" s="64"/>
      <c r="AH530" s="60"/>
      <c r="AI530" s="60"/>
      <c r="AJ530" s="63"/>
    </row>
    <row r="531" ht="33.0" customHeight="1">
      <c r="A531" s="20" t="str">
        <f>IFERROR(__xludf.DUMMYFUNCTION("""COMPUTED_VALUE""")," ")</f>
        <v> </v>
      </c>
      <c r="B531" s="21" t="str">
        <f>IFERROR(__xludf.DUMMYFUNCTION("""COMPUTED_VALUE"""),"A215")</f>
        <v>A215</v>
      </c>
      <c r="C531" s="20"/>
      <c r="D531" s="257" t="str">
        <f>IFERROR(__xludf.DUMMYFUNCTION("""COMPUTED_VALUE"""),"")</f>
        <v/>
      </c>
      <c r="E531" s="23" t="str">
        <f>IFERROR(__xludf.DUMMYFUNCTION("""COMPUTED_VALUE"""),"Aurora Steel")</f>
        <v>Aurora Steel</v>
      </c>
      <c r="F531" s="24"/>
      <c r="G531" s="24"/>
      <c r="H531" s="25"/>
      <c r="I531" s="25"/>
      <c r="J531" s="26"/>
      <c r="K531" s="25"/>
      <c r="L531" s="26"/>
      <c r="M531" s="25"/>
      <c r="N531" s="25"/>
      <c r="O531" s="25"/>
      <c r="P531" s="25"/>
      <c r="Q531" s="26"/>
      <c r="R531" s="25"/>
      <c r="S531" s="26"/>
      <c r="T531" s="25"/>
      <c r="U531" s="25"/>
      <c r="V531" s="25"/>
      <c r="W531" s="25"/>
      <c r="X531" s="26"/>
      <c r="Y531" s="25"/>
      <c r="Z531" s="26"/>
      <c r="AA531" s="25"/>
      <c r="AB531" s="25"/>
      <c r="AC531" s="25"/>
      <c r="AD531" s="25"/>
      <c r="AE531" s="26"/>
      <c r="AF531" s="25"/>
      <c r="AG531" s="26"/>
      <c r="AH531" s="24"/>
      <c r="AI531" s="25"/>
      <c r="AJ531" s="23"/>
    </row>
    <row r="532" ht="24.75" customHeight="1">
      <c r="A532" s="28">
        <f>IFERROR(__xludf.DUMMYFUNCTION("""COMPUTED_VALUE"""),1.0)</f>
        <v>1</v>
      </c>
      <c r="B532" s="28" t="str">
        <f>IFERROR(__xludf.DUMMYFUNCTION("""COMPUTED_VALUE"""),"A215")</f>
        <v>A215</v>
      </c>
      <c r="C532" s="28" t="str">
        <f>IFERROR(__xludf.DUMMYFUNCTION("""COMPUTED_VALUE"""),"GTT6")</f>
        <v>GTT6</v>
      </c>
      <c r="D532" s="29" t="str">
        <f>IFERROR(__xludf.DUMMYFUNCTION("""COMPUTED_VALUE"""),"Götterdämmerung")</f>
        <v>Götterdämmerung</v>
      </c>
      <c r="E532" s="30" t="str">
        <f>IFERROR(__xludf.DUMMYFUNCTION("""COMPUTED_VALUE"""),"Castle of Snow and Ice")</f>
        <v>Castle of Snow and Ice</v>
      </c>
      <c r="F532" s="31">
        <f>IFERROR(__xludf.DUMMYFUNCTION("""COMPUTED_VALUE"""),21.0)</f>
        <v>21</v>
      </c>
      <c r="G532" s="32">
        <f>IFERROR(__xludf.DUMMYFUNCTION("""COMPUTED_VALUE"""),15504.0)</f>
        <v>15504</v>
      </c>
      <c r="H532" s="33" t="str">
        <f>IFERROR(__xludf.DUMMYFUNCTION("""COMPUTED_VALUE"""),"")</f>
        <v/>
      </c>
      <c r="I532" s="34">
        <f>IFERROR(__xludf.DUMMYFUNCTION("""COMPUTED_VALUE"""),53.7264667006599)</f>
        <v>53.7264667</v>
      </c>
      <c r="J532" s="35" t="str">
        <f>IFERROR(__xludf.DUMMYFUNCTION("""COMPUTED_VALUE"""),"AP")</f>
        <v>AP</v>
      </c>
      <c r="K532" s="34">
        <f>IFERROR(__xludf.DUMMYFUNCTION("""COMPUTED_VALUE"""),39.08688080495356)</f>
        <v>39.0868808</v>
      </c>
      <c r="L532" s="35" t="str">
        <f>IFERROR(__xludf.DUMMYFUNCTION("""COMPUTED_VALUE"""),"%")</f>
        <v>%</v>
      </c>
      <c r="M532" s="36">
        <f>IFERROR(__xludf.DUMMYFUNCTION("""COMPUTED_VALUE"""),1.0)</f>
        <v>1</v>
      </c>
      <c r="N532" s="37" t="str">
        <f>IFERROR(__xludf.DUMMYFUNCTION("""COMPUTED_VALUE"""),"B114")</f>
        <v>B114</v>
      </c>
      <c r="O532" s="38" t="str">
        <f>IFERROR(__xludf.DUMMYFUNCTION("""COMPUTED_VALUE"""),"")</f>
        <v/>
      </c>
      <c r="P532" s="34">
        <f>IFERROR(__xludf.DUMMYFUNCTION("""COMPUTED_VALUE"""),45.77796900976925)</f>
        <v>45.77796901</v>
      </c>
      <c r="Q532" s="35" t="str">
        <f>IFERROR(__xludf.DUMMYFUNCTION("""COMPUTED_VALUE"""),"AP")</f>
        <v>AP</v>
      </c>
      <c r="R532" s="34">
        <f>IFERROR(__xludf.DUMMYFUNCTION("""COMPUTED_VALUE"""),45.873594775509794)</f>
        <v>45.87359478</v>
      </c>
      <c r="S532" s="35" t="str">
        <f>IFERROR(__xludf.DUMMYFUNCTION("""COMPUTED_VALUE"""),"%")</f>
        <v>%</v>
      </c>
      <c r="T532" s="36">
        <f>IFERROR(__xludf.DUMMYFUNCTION("""COMPUTED_VALUE"""),2.0)</f>
        <v>2</v>
      </c>
      <c r="U532" s="37"/>
      <c r="V532" s="38"/>
      <c r="W532" s="34" t="str">
        <f>IFERROR(__xludf.DUMMYFUNCTION("""COMPUTED_VALUE"""),"")</f>
        <v/>
      </c>
      <c r="X532" s="35" t="str">
        <f>IFERROR(__xludf.DUMMYFUNCTION("""COMPUTED_VALUE"""),"AP")</f>
        <v>AP</v>
      </c>
      <c r="Y532" s="34" t="str">
        <f>IFERROR(__xludf.DUMMYFUNCTION("""COMPUTED_VALUE"""),"")</f>
        <v/>
      </c>
      <c r="Z532" s="35" t="str">
        <f>IFERROR(__xludf.DUMMYFUNCTION("""COMPUTED_VALUE"""),"%")</f>
        <v>%</v>
      </c>
      <c r="AA532" s="36">
        <f>IFERROR(__xludf.DUMMYFUNCTION("""COMPUTED_VALUE"""),3.0)</f>
        <v>3</v>
      </c>
      <c r="AB532" s="37"/>
      <c r="AC532" s="38"/>
      <c r="AD532" s="34" t="str">
        <f>IFERROR(__xludf.DUMMYFUNCTION("""COMPUTED_VALUE"""),"")</f>
        <v/>
      </c>
      <c r="AE532" s="35" t="str">
        <f>IFERROR(__xludf.DUMMYFUNCTION("""COMPUTED_VALUE"""),"AP")</f>
        <v>AP</v>
      </c>
      <c r="AF532" s="34" t="str">
        <f>IFERROR(__xludf.DUMMYFUNCTION("""COMPUTED_VALUE"""),"")</f>
        <v/>
      </c>
      <c r="AG532" s="35" t="str">
        <f>IFERROR(__xludf.DUMMYFUNCTION("""COMPUTED_VALUE"""),"%")</f>
        <v>%</v>
      </c>
      <c r="AH532" s="31">
        <f>IFERROR(__xludf.DUMMYFUNCTION("""COMPUTED_VALUE"""),21.0)</f>
        <v>21</v>
      </c>
      <c r="AI532" s="32">
        <f>IFERROR(__xludf.DUMMYFUNCTION("""COMPUTED_VALUE"""),15504.0)</f>
        <v>15504</v>
      </c>
      <c r="AJ532" s="30" t="str">
        <f>IFERROR(__xludf.DUMMYFUNCTION("""COMPUTED_VALUE"""),"Castle of Snow and Ice")</f>
        <v>Castle of Snow and Ice</v>
      </c>
    </row>
    <row r="533" ht="24.75" customHeight="1">
      <c r="A533" s="40">
        <f>IFERROR(__xludf.DUMMYFUNCTION("""COMPUTED_VALUE"""),2.0)</f>
        <v>2</v>
      </c>
      <c r="B533" s="40" t="str">
        <f>IFERROR(__xludf.DUMMYFUNCTION("""COMPUTED_VALUE"""),"A215")</f>
        <v>A215</v>
      </c>
      <c r="C533" s="40" t="str">
        <f>IFERROR(__xludf.DUMMYFUNCTION("""COMPUTED_VALUE"""),"GTT9")</f>
        <v>GTT9</v>
      </c>
      <c r="D533" s="41" t="str">
        <f>IFERROR(__xludf.DUMMYFUNCTION("""COMPUTED_VALUE"""),"Götterdämmerung")</f>
        <v>Götterdämmerung</v>
      </c>
      <c r="E533" s="42" t="str">
        <f>IFERROR(__xludf.DUMMYFUNCTION("""COMPUTED_VALUE"""),"Village 67")</f>
        <v>Village 67</v>
      </c>
      <c r="F533" s="43">
        <f>IFERROR(__xludf.DUMMYFUNCTION("""COMPUTED_VALUE"""),21.0)</f>
        <v>21</v>
      </c>
      <c r="G533" s="44">
        <f>IFERROR(__xludf.DUMMYFUNCTION("""COMPUTED_VALUE"""),1168.0)</f>
        <v>1168</v>
      </c>
      <c r="H533" s="33" t="str">
        <f>IFERROR(__xludf.DUMMYFUNCTION("""COMPUTED_VALUE"""),"")</f>
        <v/>
      </c>
      <c r="I533" s="45">
        <f>IFERROR(__xludf.DUMMYFUNCTION("""COMPUTED_VALUE"""),82.63733301888381)</f>
        <v>82.63733302</v>
      </c>
      <c r="J533" s="46" t="str">
        <f>IFERROR(__xludf.DUMMYFUNCTION("""COMPUTED_VALUE"""),"AP")</f>
        <v>AP</v>
      </c>
      <c r="K533" s="47">
        <f>IFERROR(__xludf.DUMMYFUNCTION("""COMPUTED_VALUE"""),25.412243150684933)</f>
        <v>25.41224315</v>
      </c>
      <c r="L533" s="48" t="str">
        <f>IFERROR(__xludf.DUMMYFUNCTION("""COMPUTED_VALUE"""),"%")</f>
        <v>%</v>
      </c>
      <c r="M533" s="49">
        <f>IFERROR(__xludf.DUMMYFUNCTION("""COMPUTED_VALUE"""),1.0)</f>
        <v>1</v>
      </c>
      <c r="N533" s="50" t="str">
        <f>IFERROR(__xludf.DUMMYFUNCTION("""COMPUTED_VALUE"""),"A110")</f>
        <v>A110</v>
      </c>
      <c r="O533" s="38" t="str">
        <f>IFERROR(__xludf.DUMMYFUNCTION("""COMPUTED_VALUE"""),"")</f>
        <v/>
      </c>
      <c r="P533" s="45">
        <f>IFERROR(__xludf.DUMMYFUNCTION("""COMPUTED_VALUE"""),113.96339678571928)</f>
        <v>113.9633968</v>
      </c>
      <c r="Q533" s="46" t="str">
        <f>IFERROR(__xludf.DUMMYFUNCTION("""COMPUTED_VALUE"""),"AP")</f>
        <v>AP</v>
      </c>
      <c r="R533" s="47">
        <f>IFERROR(__xludf.DUMMYFUNCTION("""COMPUTED_VALUE"""),18.42696917808219)</f>
        <v>18.42696918</v>
      </c>
      <c r="S533" s="48" t="str">
        <f>IFERROR(__xludf.DUMMYFUNCTION("""COMPUTED_VALUE"""),"%")</f>
        <v>%</v>
      </c>
      <c r="T533" s="49">
        <f>IFERROR(__xludf.DUMMYFUNCTION("""COMPUTED_VALUE"""),2.0)</f>
        <v>2</v>
      </c>
      <c r="U533" s="50" t="str">
        <f>IFERROR(__xludf.DUMMYFUNCTION("""COMPUTED_VALUE"""),"B114")</f>
        <v>B114</v>
      </c>
      <c r="V533" s="38" t="str">
        <f>IFERROR(__xludf.DUMMYFUNCTION("""COMPUTED_VALUE"""),"")</f>
        <v/>
      </c>
      <c r="W533" s="45">
        <f>IFERROR(__xludf.DUMMYFUNCTION("""COMPUTED_VALUE"""),62.28738294891096)</f>
        <v>62.28738295</v>
      </c>
      <c r="X533" s="46" t="str">
        <f>IFERROR(__xludf.DUMMYFUNCTION("""COMPUTED_VALUE"""),"AP")</f>
        <v>AP</v>
      </c>
      <c r="Y533" s="47">
        <f>IFERROR(__xludf.DUMMYFUNCTION("""COMPUTED_VALUE"""),33.714693097997895)</f>
        <v>33.7146931</v>
      </c>
      <c r="Z533" s="48" t="str">
        <f>IFERROR(__xludf.DUMMYFUNCTION("""COMPUTED_VALUE"""),"%")</f>
        <v>%</v>
      </c>
      <c r="AA533" s="49">
        <f>IFERROR(__xludf.DUMMYFUNCTION("""COMPUTED_VALUE"""),3.0)</f>
        <v>3</v>
      </c>
      <c r="AB533" s="50" t="str">
        <f>IFERROR(__xludf.DUMMYFUNCTION("""COMPUTED_VALUE"""),"B116")</f>
        <v>B116</v>
      </c>
      <c r="AC533" s="38" t="str">
        <f>IFERROR(__xludf.DUMMYFUNCTION("""COMPUTED_VALUE"""),"")</f>
        <v/>
      </c>
      <c r="AD533" s="45">
        <f>IFERROR(__xludf.DUMMYFUNCTION("""COMPUTED_VALUE"""),286.94508912140253)</f>
        <v>286.9450891</v>
      </c>
      <c r="AE533" s="46" t="str">
        <f>IFERROR(__xludf.DUMMYFUNCTION("""COMPUTED_VALUE"""),"AP")</f>
        <v>AP</v>
      </c>
      <c r="AF533" s="47">
        <f>IFERROR(__xludf.DUMMYFUNCTION("""COMPUTED_VALUE"""),7.318473393045311)</f>
        <v>7.318473393</v>
      </c>
      <c r="AG533" s="48" t="str">
        <f>IFERROR(__xludf.DUMMYFUNCTION("""COMPUTED_VALUE"""),"%")</f>
        <v>%</v>
      </c>
      <c r="AH533" s="43">
        <f>IFERROR(__xludf.DUMMYFUNCTION("""COMPUTED_VALUE"""),21.0)</f>
        <v>21</v>
      </c>
      <c r="AI533" s="44">
        <f>IFERROR(__xludf.DUMMYFUNCTION("""COMPUTED_VALUE"""),1168.0)</f>
        <v>1168</v>
      </c>
      <c r="AJ533" s="42" t="str">
        <f>IFERROR(__xludf.DUMMYFUNCTION("""COMPUTED_VALUE"""),"Village 67")</f>
        <v>Village 67</v>
      </c>
    </row>
    <row r="534" ht="24.75" customHeight="1">
      <c r="A534" s="28">
        <f>IFERROR(__xludf.DUMMYFUNCTION("""COMPUTED_VALUE"""),3.0)</f>
        <v>3</v>
      </c>
      <c r="B534" s="28" t="str">
        <f>IFERROR(__xludf.DUMMYFUNCTION("""COMPUTED_VALUE"""),"A215")</f>
        <v>A215</v>
      </c>
      <c r="C534" s="28" t="str">
        <f>IFERROR(__xludf.DUMMYFUNCTION("""COMPUTED_VALUE"""),"GTT8")</f>
        <v>GTT8</v>
      </c>
      <c r="D534" s="29" t="str">
        <f>IFERROR(__xludf.DUMMYFUNCTION("""COMPUTED_VALUE"""),"Götterdämmerung")</f>
        <v>Götterdämmerung</v>
      </c>
      <c r="E534" s="30" t="str">
        <f>IFERROR(__xludf.DUMMYFUNCTION("""COMPUTED_VALUE"""),"Flaming Mansion")</f>
        <v>Flaming Mansion</v>
      </c>
      <c r="F534" s="31">
        <f>IFERROR(__xludf.DUMMYFUNCTION("""COMPUTED_VALUE"""),21.0)</f>
        <v>21</v>
      </c>
      <c r="G534" s="32">
        <f>IFERROR(__xludf.DUMMYFUNCTION("""COMPUTED_VALUE"""),19190.0)</f>
        <v>19190</v>
      </c>
      <c r="H534" s="33" t="str">
        <f>IFERROR(__xludf.DUMMYFUNCTION("""COMPUTED_VALUE"""),"")</f>
        <v/>
      </c>
      <c r="I534" s="34">
        <f>IFERROR(__xludf.DUMMYFUNCTION("""COMPUTED_VALUE"""),85.0356356687554)</f>
        <v>85.03563567</v>
      </c>
      <c r="J534" s="35" t="str">
        <f>IFERROR(__xludf.DUMMYFUNCTION("""COMPUTED_VALUE"""),"AP")</f>
        <v>AP</v>
      </c>
      <c r="K534" s="34">
        <f>IFERROR(__xludf.DUMMYFUNCTION("""COMPUTED_VALUE"""),24.695528921313183)</f>
        <v>24.69552892</v>
      </c>
      <c r="L534" s="35" t="str">
        <f>IFERROR(__xludf.DUMMYFUNCTION("""COMPUTED_VALUE"""),"%")</f>
        <v>%</v>
      </c>
      <c r="M534" s="36">
        <f>IFERROR(__xludf.DUMMYFUNCTION("""COMPUTED_VALUE"""),1.0)</f>
        <v>1</v>
      </c>
      <c r="N534" s="37" t="str">
        <f>IFERROR(__xludf.DUMMYFUNCTION("""COMPUTED_VALUE"""),"A214")</f>
        <v>A214</v>
      </c>
      <c r="O534" s="38" t="str">
        <f>IFERROR(__xludf.DUMMYFUNCTION("""COMPUTED_VALUE"""),"")</f>
        <v/>
      </c>
      <c r="P534" s="34">
        <f>IFERROR(__xludf.DUMMYFUNCTION("""COMPUTED_VALUE"""),81.51420334273165)</f>
        <v>81.51420334</v>
      </c>
      <c r="Q534" s="35" t="str">
        <f>IFERROR(__xludf.DUMMYFUNCTION("""COMPUTED_VALUE"""),"AP")</f>
        <v>AP</v>
      </c>
      <c r="R534" s="34">
        <f>IFERROR(__xludf.DUMMYFUNCTION("""COMPUTED_VALUE"""),25.76238144867118)</f>
        <v>25.76238145</v>
      </c>
      <c r="S534" s="35" t="str">
        <f>IFERROR(__xludf.DUMMYFUNCTION("""COMPUTED_VALUE"""),"%")</f>
        <v>%</v>
      </c>
      <c r="T534" s="36">
        <f>IFERROR(__xludf.DUMMYFUNCTION("""COMPUTED_VALUE"""),2.0)</f>
        <v>2</v>
      </c>
      <c r="U534" s="37" t="str">
        <f>IFERROR(__xludf.DUMMYFUNCTION("""COMPUTED_VALUE"""),"B114")</f>
        <v>B114</v>
      </c>
      <c r="V534" s="38" t="str">
        <f>IFERROR(__xludf.DUMMYFUNCTION("""COMPUTED_VALUE"""),"")</f>
        <v/>
      </c>
      <c r="W534" s="34">
        <f>IFERROR(__xludf.DUMMYFUNCTION("""COMPUTED_VALUE"""),82.91425135712316)</f>
        <v>82.91425136</v>
      </c>
      <c r="X534" s="35" t="str">
        <f>IFERROR(__xludf.DUMMYFUNCTION("""COMPUTED_VALUE"""),"AP")</f>
        <v>AP</v>
      </c>
      <c r="Y534" s="34">
        <f>IFERROR(__xludf.DUMMYFUNCTION("""COMPUTED_VALUE"""),25.32737093596865)</f>
        <v>25.32737094</v>
      </c>
      <c r="Z534" s="35" t="str">
        <f>IFERROR(__xludf.DUMMYFUNCTION("""COMPUTED_VALUE"""),"%")</f>
        <v>%</v>
      </c>
      <c r="AA534" s="36">
        <f>IFERROR(__xludf.DUMMYFUNCTION("""COMPUTED_VALUE"""),3.0)</f>
        <v>3</v>
      </c>
      <c r="AB534" s="37" t="str">
        <f>IFERROR(__xludf.DUMMYFUNCTION("""COMPUTED_VALUE"""),"B117")</f>
        <v>B117</v>
      </c>
      <c r="AC534" s="38" t="str">
        <f>IFERROR(__xludf.DUMMYFUNCTION("""COMPUTED_VALUE"""),"")</f>
        <v/>
      </c>
      <c r="AD534" s="34">
        <f>IFERROR(__xludf.DUMMYFUNCTION("""COMPUTED_VALUE"""),105.56915117866585)</f>
        <v>105.5691512</v>
      </c>
      <c r="AE534" s="35" t="str">
        <f>IFERROR(__xludf.DUMMYFUNCTION("""COMPUTED_VALUE"""),"AP")</f>
        <v>AP</v>
      </c>
      <c r="AF534" s="34">
        <f>IFERROR(__xludf.DUMMYFUNCTION("""COMPUTED_VALUE"""),19.89217471727084)</f>
        <v>19.89217472</v>
      </c>
      <c r="AG534" s="35" t="str">
        <f>IFERROR(__xludf.DUMMYFUNCTION("""COMPUTED_VALUE"""),"%")</f>
        <v>%</v>
      </c>
      <c r="AH534" s="31">
        <f>IFERROR(__xludf.DUMMYFUNCTION("""COMPUTED_VALUE"""),21.0)</f>
        <v>21</v>
      </c>
      <c r="AI534" s="32">
        <f>IFERROR(__xludf.DUMMYFUNCTION("""COMPUTED_VALUE"""),19190.0)</f>
        <v>19190</v>
      </c>
      <c r="AJ534" s="30" t="str">
        <f>IFERROR(__xludf.DUMMYFUNCTION("""COMPUTED_VALUE"""),"Flaming Mansion")</f>
        <v>Flaming Mansion</v>
      </c>
    </row>
    <row r="535" ht="24.75" customHeight="1">
      <c r="A535" s="40">
        <f>IFERROR(__xludf.DUMMYFUNCTION("""COMPUTED_VALUE"""),4.0)</f>
        <v>4</v>
      </c>
      <c r="B535" s="40" t="str">
        <f>IFERROR(__xludf.DUMMYFUNCTION("""COMPUTED_VALUE"""),"A215")</f>
        <v>A215</v>
      </c>
      <c r="C535" s="40" t="str">
        <f>IFERROR(__xludf.DUMMYFUNCTION("""COMPUTED_VALUE"""),"GTT4")</f>
        <v>GTT4</v>
      </c>
      <c r="D535" s="41" t="str">
        <f>IFERROR(__xludf.DUMMYFUNCTION("""COMPUTED_VALUE"""),"Götterdämmerung")</f>
        <v>Götterdämmerung</v>
      </c>
      <c r="E535" s="42" t="str">
        <f>IFERROR(__xludf.DUMMYFUNCTION("""COMPUTED_VALUE"""),"Village 23")</f>
        <v>Village 23</v>
      </c>
      <c r="F535" s="43">
        <f>IFERROR(__xludf.DUMMYFUNCTION("""COMPUTED_VALUE"""),21.0)</f>
        <v>21</v>
      </c>
      <c r="G535" s="44">
        <f>IFERROR(__xludf.DUMMYFUNCTION("""COMPUTED_VALUE"""),1330.0)</f>
        <v>1330</v>
      </c>
      <c r="H535" s="33" t="str">
        <f>IFERROR(__xludf.DUMMYFUNCTION("""COMPUTED_VALUE"""),"")</f>
        <v/>
      </c>
      <c r="I535" s="45">
        <f>IFERROR(__xludf.DUMMYFUNCTION("""COMPUTED_VALUE"""),87.06359102244389)</f>
        <v>87.06359102</v>
      </c>
      <c r="J535" s="46" t="str">
        <f>IFERROR(__xludf.DUMMYFUNCTION("""COMPUTED_VALUE"""),"AP")</f>
        <v>AP</v>
      </c>
      <c r="K535" s="47">
        <f>IFERROR(__xludf.DUMMYFUNCTION("""COMPUTED_VALUE"""),24.1203007518797)</f>
        <v>24.12030075</v>
      </c>
      <c r="L535" s="48" t="str">
        <f>IFERROR(__xludf.DUMMYFUNCTION("""COMPUTED_VALUE"""),"%")</f>
        <v>%</v>
      </c>
      <c r="M535" s="49">
        <f>IFERROR(__xludf.DUMMYFUNCTION("""COMPUTED_VALUE"""),1.0)</f>
        <v>1</v>
      </c>
      <c r="N535" s="50" t="str">
        <f>IFERROR(__xludf.DUMMYFUNCTION("""COMPUTED_VALUE"""),"A201")</f>
        <v>A201</v>
      </c>
      <c r="O535" s="38" t="str">
        <f>IFERROR(__xludf.DUMMYFUNCTION("""COMPUTED_VALUE"""),"")</f>
        <v/>
      </c>
      <c r="P535" s="45">
        <f>IFERROR(__xludf.DUMMYFUNCTION("""COMPUTED_VALUE"""),82.34080188679246)</f>
        <v>82.34080189</v>
      </c>
      <c r="Q535" s="46" t="str">
        <f>IFERROR(__xludf.DUMMYFUNCTION("""COMPUTED_VALUE"""),"AP")</f>
        <v>AP</v>
      </c>
      <c r="R535" s="47">
        <f>IFERROR(__xludf.DUMMYFUNCTION("""COMPUTED_VALUE"""),25.50375939849624)</f>
        <v>25.5037594</v>
      </c>
      <c r="S535" s="48" t="str">
        <f>IFERROR(__xludf.DUMMYFUNCTION("""COMPUTED_VALUE"""),"%")</f>
        <v>%</v>
      </c>
      <c r="T535" s="49">
        <f>IFERROR(__xludf.DUMMYFUNCTION("""COMPUTED_VALUE"""),2.0)</f>
        <v>2</v>
      </c>
      <c r="U535" s="50" t="str">
        <f>IFERROR(__xludf.DUMMYFUNCTION("""COMPUTED_VALUE"""),"B114")</f>
        <v>B114</v>
      </c>
      <c r="V535" s="38" t="str">
        <f>IFERROR(__xludf.DUMMYFUNCTION("""COMPUTED_VALUE"""),"")</f>
        <v/>
      </c>
      <c r="W535" s="45">
        <f>IFERROR(__xludf.DUMMYFUNCTION("""COMPUTED_VALUE"""),85.01596024081782)</f>
        <v>85.01596024</v>
      </c>
      <c r="X535" s="46" t="str">
        <f>IFERROR(__xludf.DUMMYFUNCTION("""COMPUTED_VALUE"""),"AP")</f>
        <v>AP</v>
      </c>
      <c r="Y535" s="47">
        <f>IFERROR(__xludf.DUMMYFUNCTION("""COMPUTED_VALUE"""),24.701244261095216)</f>
        <v>24.70124426</v>
      </c>
      <c r="Z535" s="48" t="str">
        <f>IFERROR(__xludf.DUMMYFUNCTION("""COMPUTED_VALUE"""),"%")</f>
        <v>%</v>
      </c>
      <c r="AA535" s="49">
        <f>IFERROR(__xludf.DUMMYFUNCTION("""COMPUTED_VALUE"""),3.0)</f>
        <v>3</v>
      </c>
      <c r="AB535" s="50"/>
      <c r="AC535" s="38"/>
      <c r="AD535" s="45" t="str">
        <f>IFERROR(__xludf.DUMMYFUNCTION("""COMPUTED_VALUE"""),"")</f>
        <v/>
      </c>
      <c r="AE535" s="46" t="str">
        <f>IFERROR(__xludf.DUMMYFUNCTION("""COMPUTED_VALUE"""),"AP")</f>
        <v>AP</v>
      </c>
      <c r="AF535" s="47" t="str">
        <f>IFERROR(__xludf.DUMMYFUNCTION("""COMPUTED_VALUE"""),"")</f>
        <v/>
      </c>
      <c r="AG535" s="48" t="str">
        <f>IFERROR(__xludf.DUMMYFUNCTION("""COMPUTED_VALUE"""),"%")</f>
        <v>%</v>
      </c>
      <c r="AH535" s="43">
        <f>IFERROR(__xludf.DUMMYFUNCTION("""COMPUTED_VALUE"""),21.0)</f>
        <v>21</v>
      </c>
      <c r="AI535" s="44">
        <f>IFERROR(__xludf.DUMMYFUNCTION("""COMPUTED_VALUE"""),1330.0)</f>
        <v>1330</v>
      </c>
      <c r="AJ535" s="42" t="str">
        <f>IFERROR(__xludf.DUMMYFUNCTION("""COMPUTED_VALUE"""),"Village 23")</f>
        <v>Village 23</v>
      </c>
    </row>
    <row r="536" ht="24.75" customHeight="1">
      <c r="A536" s="28">
        <f>IFERROR(__xludf.DUMMYFUNCTION("""COMPUTED_VALUE"""),5.0)</f>
        <v>5</v>
      </c>
      <c r="B536" s="28" t="str">
        <f>IFERROR(__xludf.DUMMYFUNCTION("""COMPUTED_VALUE"""),"A215")</f>
        <v>A215</v>
      </c>
      <c r="C536" s="28" t="str">
        <f>IFERROR(__xludf.DUMMYFUNCTION("""COMPUTED_VALUE"""),"GTT11")</f>
        <v>GTT11</v>
      </c>
      <c r="D536" s="29" t="str">
        <f>IFERROR(__xludf.DUMMYFUNCTION("""COMPUTED_VALUE"""),"Götterdämmerung")</f>
        <v>Götterdämmerung</v>
      </c>
      <c r="E536" s="30" t="str">
        <f>IFERROR(__xludf.DUMMYFUNCTION("""COMPUTED_VALUE"""),"Forgotten Shrine")</f>
        <v>Forgotten Shrine</v>
      </c>
      <c r="F536" s="31">
        <f>IFERROR(__xludf.DUMMYFUNCTION("""COMPUTED_VALUE"""),21.0)</f>
        <v>21</v>
      </c>
      <c r="G536" s="32">
        <f>IFERROR(__xludf.DUMMYFUNCTION("""COMPUTED_VALUE"""),4320.0)</f>
        <v>4320</v>
      </c>
      <c r="H536" s="33" t="str">
        <f>IFERROR(__xludf.DUMMYFUNCTION("""COMPUTED_VALUE"""),"")</f>
        <v/>
      </c>
      <c r="I536" s="34">
        <f>IFERROR(__xludf.DUMMYFUNCTION("""COMPUTED_VALUE"""),87.91541048995978)</f>
        <v>87.91541049</v>
      </c>
      <c r="J536" s="35" t="str">
        <f>IFERROR(__xludf.DUMMYFUNCTION("""COMPUTED_VALUE"""),"AP")</f>
        <v>AP</v>
      </c>
      <c r="K536" s="34">
        <f>IFERROR(__xludf.DUMMYFUNCTION("""COMPUTED_VALUE"""),23.886597222222225)</f>
        <v>23.88659722</v>
      </c>
      <c r="L536" s="35" t="str">
        <f>IFERROR(__xludf.DUMMYFUNCTION("""COMPUTED_VALUE"""),"%")</f>
        <v>%</v>
      </c>
      <c r="M536" s="36">
        <f>IFERROR(__xludf.DUMMYFUNCTION("""COMPUTED_VALUE"""),1.0)</f>
        <v>1</v>
      </c>
      <c r="N536" s="37" t="str">
        <f>IFERROR(__xludf.DUMMYFUNCTION("""COMPUTED_VALUE"""),"A104")</f>
        <v>A104</v>
      </c>
      <c r="O536" s="38" t="str">
        <f>IFERROR(__xludf.DUMMYFUNCTION("""COMPUTED_VALUE"""),"")</f>
        <v/>
      </c>
      <c r="P536" s="34">
        <f>IFERROR(__xludf.DUMMYFUNCTION("""COMPUTED_VALUE"""),184.4824851450115)</f>
        <v>184.4824851</v>
      </c>
      <c r="Q536" s="35" t="str">
        <f>IFERROR(__xludf.DUMMYFUNCTION("""COMPUTED_VALUE"""),"AP")</f>
        <v>AP</v>
      </c>
      <c r="R536" s="34">
        <f>IFERROR(__xludf.DUMMYFUNCTION("""COMPUTED_VALUE"""),11.383194444444445)</f>
        <v>11.38319444</v>
      </c>
      <c r="S536" s="35" t="str">
        <f>IFERROR(__xludf.DUMMYFUNCTION("""COMPUTED_VALUE"""),"%")</f>
        <v>%</v>
      </c>
      <c r="T536" s="36">
        <f>IFERROR(__xludf.DUMMYFUNCTION("""COMPUTED_VALUE"""),2.0)</f>
        <v>2</v>
      </c>
      <c r="U536" s="37" t="str">
        <f>IFERROR(__xludf.DUMMYFUNCTION("""COMPUTED_VALUE"""),"B101")</f>
        <v>B101</v>
      </c>
      <c r="V536" s="38" t="str">
        <f>IFERROR(__xludf.DUMMYFUNCTION("""COMPUTED_VALUE"""),"")</f>
        <v/>
      </c>
      <c r="W536" s="34">
        <f>IFERROR(__xludf.DUMMYFUNCTION("""COMPUTED_VALUE"""),525.7693549588932)</f>
        <v>525.769355</v>
      </c>
      <c r="X536" s="35" t="str">
        <f>IFERROR(__xludf.DUMMYFUNCTION("""COMPUTED_VALUE"""),"AP")</f>
        <v>AP</v>
      </c>
      <c r="Y536" s="34">
        <f>IFERROR(__xludf.DUMMYFUNCTION("""COMPUTED_VALUE"""),3.9941468253968253)</f>
        <v>3.994146825</v>
      </c>
      <c r="Z536" s="35" t="str">
        <f>IFERROR(__xludf.DUMMYFUNCTION("""COMPUTED_VALUE"""),"%")</f>
        <v>%</v>
      </c>
      <c r="AA536" s="36">
        <f>IFERROR(__xludf.DUMMYFUNCTION("""COMPUTED_VALUE"""),3.0)</f>
        <v>3</v>
      </c>
      <c r="AB536" s="37" t="str">
        <f>IFERROR(__xludf.DUMMYFUNCTION("""COMPUTED_VALUE"""),"B114")</f>
        <v>B114</v>
      </c>
      <c r="AC536" s="38" t="str">
        <f>IFERROR(__xludf.DUMMYFUNCTION("""COMPUTED_VALUE"""),"")</f>
        <v/>
      </c>
      <c r="AD536" s="34">
        <f>IFERROR(__xludf.DUMMYFUNCTION("""COMPUTED_VALUE"""),52.03399547816189)</f>
        <v>52.03399548</v>
      </c>
      <c r="AE536" s="35" t="str">
        <f>IFERROR(__xludf.DUMMYFUNCTION("""COMPUTED_VALUE"""),"AP")</f>
        <v>AP</v>
      </c>
      <c r="AF536" s="34">
        <f>IFERROR(__xludf.DUMMYFUNCTION("""COMPUTED_VALUE"""),40.35823082010582)</f>
        <v>40.35823082</v>
      </c>
      <c r="AG536" s="35" t="str">
        <f>IFERROR(__xludf.DUMMYFUNCTION("""COMPUTED_VALUE"""),"%")</f>
        <v>%</v>
      </c>
      <c r="AH536" s="31">
        <f>IFERROR(__xludf.DUMMYFUNCTION("""COMPUTED_VALUE"""),21.0)</f>
        <v>21</v>
      </c>
      <c r="AI536" s="32">
        <f>IFERROR(__xludf.DUMMYFUNCTION("""COMPUTED_VALUE"""),4320.0)</f>
        <v>4320</v>
      </c>
      <c r="AJ536" s="30" t="str">
        <f>IFERROR(__xludf.DUMMYFUNCTION("""COMPUTED_VALUE"""),"Forgotten Shrine")</f>
        <v>Forgotten Shrine</v>
      </c>
    </row>
    <row r="537" ht="24.75" customHeight="1">
      <c r="A537" s="40">
        <f>IFERROR(__xludf.DUMMYFUNCTION("""COMPUTED_VALUE"""),6.0)</f>
        <v>6</v>
      </c>
      <c r="B537" s="40" t="str">
        <f>IFERROR(__xludf.DUMMYFUNCTION("""COMPUTED_VALUE"""),"A215")</f>
        <v>A215</v>
      </c>
      <c r="C537" s="40"/>
      <c r="D537" s="41"/>
      <c r="E537" s="66"/>
      <c r="F537" s="43"/>
      <c r="G537" s="44"/>
      <c r="H537" s="33" t="str">
        <f>IFERROR(__xludf.DUMMYFUNCTION("""COMPUTED_VALUE""")," ")</f>
        <v> </v>
      </c>
      <c r="I537" s="45"/>
      <c r="J537" s="46" t="str">
        <f>IFERROR(__xludf.DUMMYFUNCTION("""COMPUTED_VALUE"""),"AP")</f>
        <v>AP</v>
      </c>
      <c r="K537" s="47"/>
      <c r="L537" s="48" t="str">
        <f>IFERROR(__xludf.DUMMYFUNCTION("""COMPUTED_VALUE"""),"%")</f>
        <v>%</v>
      </c>
      <c r="M537" s="49">
        <f>IFERROR(__xludf.DUMMYFUNCTION("""COMPUTED_VALUE"""),1.0)</f>
        <v>1</v>
      </c>
      <c r="N537" s="50"/>
      <c r="O537" s="38"/>
      <c r="P537" s="45" t="str">
        <f>IFERROR(__xludf.DUMMYFUNCTION("""COMPUTED_VALUE"""),"")</f>
        <v/>
      </c>
      <c r="Q537" s="46" t="str">
        <f>IFERROR(__xludf.DUMMYFUNCTION("""COMPUTED_VALUE"""),"AP")</f>
        <v>AP</v>
      </c>
      <c r="R537" s="47" t="str">
        <f>IFERROR(__xludf.DUMMYFUNCTION("""COMPUTED_VALUE"""),"")</f>
        <v/>
      </c>
      <c r="S537" s="48" t="str">
        <f>IFERROR(__xludf.DUMMYFUNCTION("""COMPUTED_VALUE"""),"%")</f>
        <v>%</v>
      </c>
      <c r="T537" s="49">
        <f>IFERROR(__xludf.DUMMYFUNCTION("""COMPUTED_VALUE"""),2.0)</f>
        <v>2</v>
      </c>
      <c r="U537" s="50"/>
      <c r="V537" s="38"/>
      <c r="W537" s="45" t="str">
        <f>IFERROR(__xludf.DUMMYFUNCTION("""COMPUTED_VALUE"""),"")</f>
        <v/>
      </c>
      <c r="X537" s="46" t="str">
        <f>IFERROR(__xludf.DUMMYFUNCTION("""COMPUTED_VALUE"""),"AP")</f>
        <v>AP</v>
      </c>
      <c r="Y537" s="47" t="str">
        <f>IFERROR(__xludf.DUMMYFUNCTION("""COMPUTED_VALUE"""),"")</f>
        <v/>
      </c>
      <c r="Z537" s="48" t="str">
        <f>IFERROR(__xludf.DUMMYFUNCTION("""COMPUTED_VALUE"""),"%")</f>
        <v>%</v>
      </c>
      <c r="AA537" s="49">
        <f>IFERROR(__xludf.DUMMYFUNCTION("""COMPUTED_VALUE"""),3.0)</f>
        <v>3</v>
      </c>
      <c r="AB537" s="50"/>
      <c r="AC537" s="38"/>
      <c r="AD537" s="45" t="str">
        <f>IFERROR(__xludf.DUMMYFUNCTION("""COMPUTED_VALUE"""),"")</f>
        <v/>
      </c>
      <c r="AE537" s="46" t="str">
        <f>IFERROR(__xludf.DUMMYFUNCTION("""COMPUTED_VALUE"""),"AP")</f>
        <v>AP</v>
      </c>
      <c r="AF537" s="47" t="str">
        <f>IFERROR(__xludf.DUMMYFUNCTION("""COMPUTED_VALUE"""),"")</f>
        <v/>
      </c>
      <c r="AG537" s="48" t="str">
        <f>IFERROR(__xludf.DUMMYFUNCTION("""COMPUTED_VALUE"""),"%")</f>
        <v>%</v>
      </c>
      <c r="AH537" s="43"/>
      <c r="AI537" s="44"/>
      <c r="AJ537" s="66"/>
    </row>
    <row r="538" ht="24.75" hidden="1" customHeight="1">
      <c r="A538" s="28">
        <f>IFERROR(__xludf.DUMMYFUNCTION("""COMPUTED_VALUE"""),7.0)</f>
        <v>7</v>
      </c>
      <c r="B538" s="28" t="str">
        <f>IFERROR(__xludf.DUMMYFUNCTION("""COMPUTED_VALUE"""),"A215")</f>
        <v>A215</v>
      </c>
      <c r="C538" s="28"/>
      <c r="D538" s="29"/>
      <c r="E538" s="67"/>
      <c r="F538" s="31"/>
      <c r="G538" s="32"/>
      <c r="H538" s="33" t="str">
        <f>IFERROR(__xludf.DUMMYFUNCTION("""COMPUTED_VALUE""")," ")</f>
        <v> </v>
      </c>
      <c r="I538" s="34"/>
      <c r="J538" s="35" t="str">
        <f>IFERROR(__xludf.DUMMYFUNCTION("""COMPUTED_VALUE"""),"AP")</f>
        <v>AP</v>
      </c>
      <c r="K538" s="34"/>
      <c r="L538" s="35" t="str">
        <f>IFERROR(__xludf.DUMMYFUNCTION("""COMPUTED_VALUE"""),"%")</f>
        <v>%</v>
      </c>
      <c r="M538" s="36">
        <f>IFERROR(__xludf.DUMMYFUNCTION("""COMPUTED_VALUE"""),1.0)</f>
        <v>1</v>
      </c>
      <c r="N538" s="37"/>
      <c r="O538" s="38"/>
      <c r="P538" s="34" t="str">
        <f>IFERROR(__xludf.DUMMYFUNCTION("""COMPUTED_VALUE"""),"")</f>
        <v/>
      </c>
      <c r="Q538" s="35" t="str">
        <f>IFERROR(__xludf.DUMMYFUNCTION("""COMPUTED_VALUE"""),"AP")</f>
        <v>AP</v>
      </c>
      <c r="R538" s="34" t="str">
        <f>IFERROR(__xludf.DUMMYFUNCTION("""COMPUTED_VALUE"""),"")</f>
        <v/>
      </c>
      <c r="S538" s="35" t="str">
        <f>IFERROR(__xludf.DUMMYFUNCTION("""COMPUTED_VALUE"""),"%")</f>
        <v>%</v>
      </c>
      <c r="T538" s="36">
        <f>IFERROR(__xludf.DUMMYFUNCTION("""COMPUTED_VALUE"""),2.0)</f>
        <v>2</v>
      </c>
      <c r="U538" s="37"/>
      <c r="V538" s="38"/>
      <c r="W538" s="34" t="str">
        <f>IFERROR(__xludf.DUMMYFUNCTION("""COMPUTED_VALUE"""),"")</f>
        <v/>
      </c>
      <c r="X538" s="35" t="str">
        <f>IFERROR(__xludf.DUMMYFUNCTION("""COMPUTED_VALUE"""),"AP")</f>
        <v>AP</v>
      </c>
      <c r="Y538" s="34" t="str">
        <f>IFERROR(__xludf.DUMMYFUNCTION("""COMPUTED_VALUE"""),"")</f>
        <v/>
      </c>
      <c r="Z538" s="35" t="str">
        <f>IFERROR(__xludf.DUMMYFUNCTION("""COMPUTED_VALUE"""),"%")</f>
        <v>%</v>
      </c>
      <c r="AA538" s="36">
        <f>IFERROR(__xludf.DUMMYFUNCTION("""COMPUTED_VALUE"""),3.0)</f>
        <v>3</v>
      </c>
      <c r="AB538" s="37"/>
      <c r="AC538" s="38"/>
      <c r="AD538" s="34" t="str">
        <f>IFERROR(__xludf.DUMMYFUNCTION("""COMPUTED_VALUE"""),"")</f>
        <v/>
      </c>
      <c r="AE538" s="35" t="str">
        <f>IFERROR(__xludf.DUMMYFUNCTION("""COMPUTED_VALUE"""),"AP")</f>
        <v>AP</v>
      </c>
      <c r="AF538" s="34" t="str">
        <f>IFERROR(__xludf.DUMMYFUNCTION("""COMPUTED_VALUE"""),"")</f>
        <v/>
      </c>
      <c r="AG538" s="35" t="str">
        <f>IFERROR(__xludf.DUMMYFUNCTION("""COMPUTED_VALUE"""),"%")</f>
        <v>%</v>
      </c>
      <c r="AH538" s="31"/>
      <c r="AI538" s="32"/>
      <c r="AJ538" s="67"/>
    </row>
    <row r="539" ht="24.75" hidden="1" customHeight="1">
      <c r="A539" s="40">
        <f>IFERROR(__xludf.DUMMYFUNCTION("""COMPUTED_VALUE"""),8.0)</f>
        <v>8</v>
      </c>
      <c r="B539" s="40" t="str">
        <f>IFERROR(__xludf.DUMMYFUNCTION("""COMPUTED_VALUE"""),"A215")</f>
        <v>A215</v>
      </c>
      <c r="C539" s="40"/>
      <c r="D539" s="41"/>
      <c r="E539" s="66"/>
      <c r="F539" s="43"/>
      <c r="G539" s="44"/>
      <c r="H539" s="33" t="str">
        <f>IFERROR(__xludf.DUMMYFUNCTION("""COMPUTED_VALUE""")," ")</f>
        <v> </v>
      </c>
      <c r="I539" s="45"/>
      <c r="J539" s="46" t="str">
        <f>IFERROR(__xludf.DUMMYFUNCTION("""COMPUTED_VALUE"""),"AP")</f>
        <v>AP</v>
      </c>
      <c r="K539" s="47"/>
      <c r="L539" s="48" t="str">
        <f>IFERROR(__xludf.DUMMYFUNCTION("""COMPUTED_VALUE"""),"%")</f>
        <v>%</v>
      </c>
      <c r="M539" s="49">
        <f>IFERROR(__xludf.DUMMYFUNCTION("""COMPUTED_VALUE"""),1.0)</f>
        <v>1</v>
      </c>
      <c r="N539" s="50"/>
      <c r="O539" s="38"/>
      <c r="P539" s="45" t="str">
        <f>IFERROR(__xludf.DUMMYFUNCTION("""COMPUTED_VALUE"""),"")</f>
        <v/>
      </c>
      <c r="Q539" s="46" t="str">
        <f>IFERROR(__xludf.DUMMYFUNCTION("""COMPUTED_VALUE"""),"AP")</f>
        <v>AP</v>
      </c>
      <c r="R539" s="47" t="str">
        <f>IFERROR(__xludf.DUMMYFUNCTION("""COMPUTED_VALUE"""),"")</f>
        <v/>
      </c>
      <c r="S539" s="48" t="str">
        <f>IFERROR(__xludf.DUMMYFUNCTION("""COMPUTED_VALUE"""),"%")</f>
        <v>%</v>
      </c>
      <c r="T539" s="49">
        <f>IFERROR(__xludf.DUMMYFUNCTION("""COMPUTED_VALUE"""),2.0)</f>
        <v>2</v>
      </c>
      <c r="U539" s="50"/>
      <c r="V539" s="38"/>
      <c r="W539" s="45" t="str">
        <f>IFERROR(__xludf.DUMMYFUNCTION("""COMPUTED_VALUE"""),"")</f>
        <v/>
      </c>
      <c r="X539" s="46" t="str">
        <f>IFERROR(__xludf.DUMMYFUNCTION("""COMPUTED_VALUE"""),"AP")</f>
        <v>AP</v>
      </c>
      <c r="Y539" s="47" t="str">
        <f>IFERROR(__xludf.DUMMYFUNCTION("""COMPUTED_VALUE"""),"")</f>
        <v/>
      </c>
      <c r="Z539" s="48" t="str">
        <f>IFERROR(__xludf.DUMMYFUNCTION("""COMPUTED_VALUE"""),"%")</f>
        <v>%</v>
      </c>
      <c r="AA539" s="49">
        <f>IFERROR(__xludf.DUMMYFUNCTION("""COMPUTED_VALUE"""),3.0)</f>
        <v>3</v>
      </c>
      <c r="AB539" s="50"/>
      <c r="AC539" s="38"/>
      <c r="AD539" s="45" t="str">
        <f>IFERROR(__xludf.DUMMYFUNCTION("""COMPUTED_VALUE"""),"")</f>
        <v/>
      </c>
      <c r="AE539" s="46" t="str">
        <f>IFERROR(__xludf.DUMMYFUNCTION("""COMPUTED_VALUE"""),"AP")</f>
        <v>AP</v>
      </c>
      <c r="AF539" s="47" t="str">
        <f>IFERROR(__xludf.DUMMYFUNCTION("""COMPUTED_VALUE"""),"")</f>
        <v/>
      </c>
      <c r="AG539" s="48" t="str">
        <f>IFERROR(__xludf.DUMMYFUNCTION("""COMPUTED_VALUE"""),"%")</f>
        <v>%</v>
      </c>
      <c r="AH539" s="43"/>
      <c r="AI539" s="44"/>
      <c r="AJ539" s="66"/>
    </row>
    <row r="540" ht="24.75" hidden="1" customHeight="1">
      <c r="A540" s="28">
        <f>IFERROR(__xludf.DUMMYFUNCTION("""COMPUTED_VALUE"""),9.0)</f>
        <v>9</v>
      </c>
      <c r="B540" s="28" t="str">
        <f>IFERROR(__xludf.DUMMYFUNCTION("""COMPUTED_VALUE"""),"A215")</f>
        <v>A215</v>
      </c>
      <c r="C540" s="28"/>
      <c r="D540" s="29"/>
      <c r="E540" s="67"/>
      <c r="F540" s="31"/>
      <c r="G540" s="32"/>
      <c r="H540" s="33" t="str">
        <f>IFERROR(__xludf.DUMMYFUNCTION("""COMPUTED_VALUE""")," ")</f>
        <v> </v>
      </c>
      <c r="I540" s="34"/>
      <c r="J540" s="35" t="str">
        <f>IFERROR(__xludf.DUMMYFUNCTION("""COMPUTED_VALUE"""),"AP")</f>
        <v>AP</v>
      </c>
      <c r="K540" s="34"/>
      <c r="L540" s="35" t="str">
        <f>IFERROR(__xludf.DUMMYFUNCTION("""COMPUTED_VALUE"""),"%")</f>
        <v>%</v>
      </c>
      <c r="M540" s="36">
        <f>IFERROR(__xludf.DUMMYFUNCTION("""COMPUTED_VALUE"""),1.0)</f>
        <v>1</v>
      </c>
      <c r="N540" s="37"/>
      <c r="O540" s="38"/>
      <c r="P540" s="34" t="str">
        <f>IFERROR(__xludf.DUMMYFUNCTION("""COMPUTED_VALUE"""),"")</f>
        <v/>
      </c>
      <c r="Q540" s="35" t="str">
        <f>IFERROR(__xludf.DUMMYFUNCTION("""COMPUTED_VALUE"""),"AP")</f>
        <v>AP</v>
      </c>
      <c r="R540" s="34" t="str">
        <f>IFERROR(__xludf.DUMMYFUNCTION("""COMPUTED_VALUE"""),"")</f>
        <v/>
      </c>
      <c r="S540" s="35" t="str">
        <f>IFERROR(__xludf.DUMMYFUNCTION("""COMPUTED_VALUE"""),"%")</f>
        <v>%</v>
      </c>
      <c r="T540" s="36">
        <f>IFERROR(__xludf.DUMMYFUNCTION("""COMPUTED_VALUE"""),2.0)</f>
        <v>2</v>
      </c>
      <c r="U540" s="37"/>
      <c r="V540" s="38"/>
      <c r="W540" s="34" t="str">
        <f>IFERROR(__xludf.DUMMYFUNCTION("""COMPUTED_VALUE"""),"")</f>
        <v/>
      </c>
      <c r="X540" s="35" t="str">
        <f>IFERROR(__xludf.DUMMYFUNCTION("""COMPUTED_VALUE"""),"AP")</f>
        <v>AP</v>
      </c>
      <c r="Y540" s="34" t="str">
        <f>IFERROR(__xludf.DUMMYFUNCTION("""COMPUTED_VALUE"""),"")</f>
        <v/>
      </c>
      <c r="Z540" s="35" t="str">
        <f>IFERROR(__xludf.DUMMYFUNCTION("""COMPUTED_VALUE"""),"%")</f>
        <v>%</v>
      </c>
      <c r="AA540" s="36">
        <f>IFERROR(__xludf.DUMMYFUNCTION("""COMPUTED_VALUE"""),3.0)</f>
        <v>3</v>
      </c>
      <c r="AB540" s="37"/>
      <c r="AC540" s="38"/>
      <c r="AD540" s="34" t="str">
        <f>IFERROR(__xludf.DUMMYFUNCTION("""COMPUTED_VALUE"""),"")</f>
        <v/>
      </c>
      <c r="AE540" s="35" t="str">
        <f>IFERROR(__xludf.DUMMYFUNCTION("""COMPUTED_VALUE"""),"AP")</f>
        <v>AP</v>
      </c>
      <c r="AF540" s="34" t="str">
        <f>IFERROR(__xludf.DUMMYFUNCTION("""COMPUTED_VALUE"""),"")</f>
        <v/>
      </c>
      <c r="AG540" s="35" t="str">
        <f>IFERROR(__xludf.DUMMYFUNCTION("""COMPUTED_VALUE"""),"%")</f>
        <v>%</v>
      </c>
      <c r="AH540" s="31"/>
      <c r="AI540" s="32"/>
      <c r="AJ540" s="67"/>
    </row>
    <row r="541" ht="24.75" hidden="1" customHeight="1">
      <c r="A541" s="40">
        <f>IFERROR(__xludf.DUMMYFUNCTION("""COMPUTED_VALUE"""),10.0)</f>
        <v>10</v>
      </c>
      <c r="B541" s="40" t="str">
        <f>IFERROR(__xludf.DUMMYFUNCTION("""COMPUTED_VALUE"""),"A215")</f>
        <v>A215</v>
      </c>
      <c r="C541" s="40"/>
      <c r="D541" s="41"/>
      <c r="E541" s="66"/>
      <c r="F541" s="43"/>
      <c r="G541" s="44"/>
      <c r="H541" s="33" t="str">
        <f>IFERROR(__xludf.DUMMYFUNCTION("""COMPUTED_VALUE""")," ")</f>
        <v> </v>
      </c>
      <c r="I541" s="45"/>
      <c r="J541" s="46" t="str">
        <f>IFERROR(__xludf.DUMMYFUNCTION("""COMPUTED_VALUE"""),"AP")</f>
        <v>AP</v>
      </c>
      <c r="K541" s="47"/>
      <c r="L541" s="48" t="str">
        <f>IFERROR(__xludf.DUMMYFUNCTION("""COMPUTED_VALUE"""),"%")</f>
        <v>%</v>
      </c>
      <c r="M541" s="49">
        <f>IFERROR(__xludf.DUMMYFUNCTION("""COMPUTED_VALUE"""),1.0)</f>
        <v>1</v>
      </c>
      <c r="N541" s="50"/>
      <c r="O541" s="38"/>
      <c r="P541" s="45" t="str">
        <f>IFERROR(__xludf.DUMMYFUNCTION("""COMPUTED_VALUE"""),"")</f>
        <v/>
      </c>
      <c r="Q541" s="46" t="str">
        <f>IFERROR(__xludf.DUMMYFUNCTION("""COMPUTED_VALUE"""),"AP")</f>
        <v>AP</v>
      </c>
      <c r="R541" s="47" t="str">
        <f>IFERROR(__xludf.DUMMYFUNCTION("""COMPUTED_VALUE"""),"")</f>
        <v/>
      </c>
      <c r="S541" s="48" t="str">
        <f>IFERROR(__xludf.DUMMYFUNCTION("""COMPUTED_VALUE"""),"%")</f>
        <v>%</v>
      </c>
      <c r="T541" s="49">
        <f>IFERROR(__xludf.DUMMYFUNCTION("""COMPUTED_VALUE"""),2.0)</f>
        <v>2</v>
      </c>
      <c r="U541" s="50"/>
      <c r="V541" s="38"/>
      <c r="W541" s="45" t="str">
        <f>IFERROR(__xludf.DUMMYFUNCTION("""COMPUTED_VALUE"""),"")</f>
        <v/>
      </c>
      <c r="X541" s="46" t="str">
        <f>IFERROR(__xludf.DUMMYFUNCTION("""COMPUTED_VALUE"""),"AP")</f>
        <v>AP</v>
      </c>
      <c r="Y541" s="47" t="str">
        <f>IFERROR(__xludf.DUMMYFUNCTION("""COMPUTED_VALUE"""),"")</f>
        <v/>
      </c>
      <c r="Z541" s="48" t="str">
        <f>IFERROR(__xludf.DUMMYFUNCTION("""COMPUTED_VALUE"""),"%")</f>
        <v>%</v>
      </c>
      <c r="AA541" s="49">
        <f>IFERROR(__xludf.DUMMYFUNCTION("""COMPUTED_VALUE"""),3.0)</f>
        <v>3</v>
      </c>
      <c r="AB541" s="50"/>
      <c r="AC541" s="38"/>
      <c r="AD541" s="45" t="str">
        <f>IFERROR(__xludf.DUMMYFUNCTION("""COMPUTED_VALUE"""),"")</f>
        <v/>
      </c>
      <c r="AE541" s="46" t="str">
        <f>IFERROR(__xludf.DUMMYFUNCTION("""COMPUTED_VALUE"""),"AP")</f>
        <v>AP</v>
      </c>
      <c r="AF541" s="47" t="str">
        <f>IFERROR(__xludf.DUMMYFUNCTION("""COMPUTED_VALUE"""),"")</f>
        <v/>
      </c>
      <c r="AG541" s="48" t="str">
        <f>IFERROR(__xludf.DUMMYFUNCTION("""COMPUTED_VALUE"""),"%")</f>
        <v>%</v>
      </c>
      <c r="AH541" s="43"/>
      <c r="AI541" s="44"/>
      <c r="AJ541" s="66"/>
    </row>
    <row r="542" ht="24.75" hidden="1" customHeight="1">
      <c r="A542" s="28">
        <f>IFERROR(__xludf.DUMMYFUNCTION("""COMPUTED_VALUE"""),11.0)</f>
        <v>11</v>
      </c>
      <c r="B542" s="28" t="str">
        <f>IFERROR(__xludf.DUMMYFUNCTION("""COMPUTED_VALUE"""),"A215")</f>
        <v>A215</v>
      </c>
      <c r="C542" s="28"/>
      <c r="D542" s="29"/>
      <c r="E542" s="67"/>
      <c r="F542" s="31"/>
      <c r="G542" s="32"/>
      <c r="H542" s="33" t="str">
        <f>IFERROR(__xludf.DUMMYFUNCTION("""COMPUTED_VALUE""")," ")</f>
        <v> </v>
      </c>
      <c r="I542" s="34"/>
      <c r="J542" s="35" t="str">
        <f>IFERROR(__xludf.DUMMYFUNCTION("""COMPUTED_VALUE"""),"AP")</f>
        <v>AP</v>
      </c>
      <c r="K542" s="34"/>
      <c r="L542" s="35" t="str">
        <f>IFERROR(__xludf.DUMMYFUNCTION("""COMPUTED_VALUE"""),"%")</f>
        <v>%</v>
      </c>
      <c r="M542" s="36">
        <f>IFERROR(__xludf.DUMMYFUNCTION("""COMPUTED_VALUE"""),1.0)</f>
        <v>1</v>
      </c>
      <c r="N542" s="37"/>
      <c r="O542" s="38"/>
      <c r="P542" s="34" t="str">
        <f>IFERROR(__xludf.DUMMYFUNCTION("""COMPUTED_VALUE"""),"")</f>
        <v/>
      </c>
      <c r="Q542" s="35" t="str">
        <f>IFERROR(__xludf.DUMMYFUNCTION("""COMPUTED_VALUE"""),"AP")</f>
        <v>AP</v>
      </c>
      <c r="R542" s="34" t="str">
        <f>IFERROR(__xludf.DUMMYFUNCTION("""COMPUTED_VALUE"""),"")</f>
        <v/>
      </c>
      <c r="S542" s="35" t="str">
        <f>IFERROR(__xludf.DUMMYFUNCTION("""COMPUTED_VALUE"""),"%")</f>
        <v>%</v>
      </c>
      <c r="T542" s="36">
        <f>IFERROR(__xludf.DUMMYFUNCTION("""COMPUTED_VALUE"""),2.0)</f>
        <v>2</v>
      </c>
      <c r="U542" s="37"/>
      <c r="V542" s="38"/>
      <c r="W542" s="34" t="str">
        <f>IFERROR(__xludf.DUMMYFUNCTION("""COMPUTED_VALUE"""),"")</f>
        <v/>
      </c>
      <c r="X542" s="35" t="str">
        <f>IFERROR(__xludf.DUMMYFUNCTION("""COMPUTED_VALUE"""),"AP")</f>
        <v>AP</v>
      </c>
      <c r="Y542" s="34" t="str">
        <f>IFERROR(__xludf.DUMMYFUNCTION("""COMPUTED_VALUE"""),"")</f>
        <v/>
      </c>
      <c r="Z542" s="35" t="str">
        <f>IFERROR(__xludf.DUMMYFUNCTION("""COMPUTED_VALUE"""),"%")</f>
        <v>%</v>
      </c>
      <c r="AA542" s="36">
        <f>IFERROR(__xludf.DUMMYFUNCTION("""COMPUTED_VALUE"""),3.0)</f>
        <v>3</v>
      </c>
      <c r="AB542" s="37"/>
      <c r="AC542" s="38"/>
      <c r="AD542" s="34" t="str">
        <f>IFERROR(__xludf.DUMMYFUNCTION("""COMPUTED_VALUE"""),"")</f>
        <v/>
      </c>
      <c r="AE542" s="35" t="str">
        <f>IFERROR(__xludf.DUMMYFUNCTION("""COMPUTED_VALUE"""),"AP")</f>
        <v>AP</v>
      </c>
      <c r="AF542" s="34" t="str">
        <f>IFERROR(__xludf.DUMMYFUNCTION("""COMPUTED_VALUE"""),"")</f>
        <v/>
      </c>
      <c r="AG542" s="35" t="str">
        <f>IFERROR(__xludf.DUMMYFUNCTION("""COMPUTED_VALUE"""),"%")</f>
        <v>%</v>
      </c>
      <c r="AH542" s="31"/>
      <c r="AI542" s="32"/>
      <c r="AJ542" s="67"/>
    </row>
    <row r="543" ht="24.75" hidden="1" customHeight="1">
      <c r="A543" s="40">
        <f>IFERROR(__xludf.DUMMYFUNCTION("""COMPUTED_VALUE"""),12.0)</f>
        <v>12</v>
      </c>
      <c r="B543" s="40" t="str">
        <f>IFERROR(__xludf.DUMMYFUNCTION("""COMPUTED_VALUE"""),"A215")</f>
        <v>A215</v>
      </c>
      <c r="C543" s="40"/>
      <c r="D543" s="41"/>
      <c r="E543" s="66"/>
      <c r="F543" s="43"/>
      <c r="G543" s="44"/>
      <c r="H543" s="33" t="str">
        <f>IFERROR(__xludf.DUMMYFUNCTION("""COMPUTED_VALUE""")," ")</f>
        <v> </v>
      </c>
      <c r="I543" s="45"/>
      <c r="J543" s="46" t="str">
        <f>IFERROR(__xludf.DUMMYFUNCTION("""COMPUTED_VALUE"""),"AP")</f>
        <v>AP</v>
      </c>
      <c r="K543" s="47"/>
      <c r="L543" s="48" t="str">
        <f>IFERROR(__xludf.DUMMYFUNCTION("""COMPUTED_VALUE"""),"%")</f>
        <v>%</v>
      </c>
      <c r="M543" s="49">
        <f>IFERROR(__xludf.DUMMYFUNCTION("""COMPUTED_VALUE"""),1.0)</f>
        <v>1</v>
      </c>
      <c r="N543" s="50"/>
      <c r="O543" s="38"/>
      <c r="P543" s="45" t="str">
        <f>IFERROR(__xludf.DUMMYFUNCTION("""COMPUTED_VALUE"""),"")</f>
        <v/>
      </c>
      <c r="Q543" s="46" t="str">
        <f>IFERROR(__xludf.DUMMYFUNCTION("""COMPUTED_VALUE"""),"AP")</f>
        <v>AP</v>
      </c>
      <c r="R543" s="47" t="str">
        <f>IFERROR(__xludf.DUMMYFUNCTION("""COMPUTED_VALUE"""),"")</f>
        <v/>
      </c>
      <c r="S543" s="48" t="str">
        <f>IFERROR(__xludf.DUMMYFUNCTION("""COMPUTED_VALUE"""),"%")</f>
        <v>%</v>
      </c>
      <c r="T543" s="49">
        <f>IFERROR(__xludf.DUMMYFUNCTION("""COMPUTED_VALUE"""),2.0)</f>
        <v>2</v>
      </c>
      <c r="U543" s="50"/>
      <c r="V543" s="38"/>
      <c r="W543" s="45" t="str">
        <f>IFERROR(__xludf.DUMMYFUNCTION("""COMPUTED_VALUE"""),"")</f>
        <v/>
      </c>
      <c r="X543" s="46" t="str">
        <f>IFERROR(__xludf.DUMMYFUNCTION("""COMPUTED_VALUE"""),"AP")</f>
        <v>AP</v>
      </c>
      <c r="Y543" s="47" t="str">
        <f>IFERROR(__xludf.DUMMYFUNCTION("""COMPUTED_VALUE"""),"")</f>
        <v/>
      </c>
      <c r="Z543" s="48" t="str">
        <f>IFERROR(__xludf.DUMMYFUNCTION("""COMPUTED_VALUE"""),"%")</f>
        <v>%</v>
      </c>
      <c r="AA543" s="49">
        <f>IFERROR(__xludf.DUMMYFUNCTION("""COMPUTED_VALUE"""),3.0)</f>
        <v>3</v>
      </c>
      <c r="AB543" s="50"/>
      <c r="AC543" s="38"/>
      <c r="AD543" s="45" t="str">
        <f>IFERROR(__xludf.DUMMYFUNCTION("""COMPUTED_VALUE"""),"")</f>
        <v/>
      </c>
      <c r="AE543" s="46" t="str">
        <f>IFERROR(__xludf.DUMMYFUNCTION("""COMPUTED_VALUE"""),"AP")</f>
        <v>AP</v>
      </c>
      <c r="AF543" s="47" t="str">
        <f>IFERROR(__xludf.DUMMYFUNCTION("""COMPUTED_VALUE"""),"")</f>
        <v/>
      </c>
      <c r="AG543" s="48" t="str">
        <f>IFERROR(__xludf.DUMMYFUNCTION("""COMPUTED_VALUE"""),"%")</f>
        <v>%</v>
      </c>
      <c r="AH543" s="43"/>
      <c r="AI543" s="44"/>
      <c r="AJ543" s="66"/>
    </row>
    <row r="544" ht="24.75" hidden="1" customHeight="1">
      <c r="A544" s="28">
        <f>IFERROR(__xludf.DUMMYFUNCTION("""COMPUTED_VALUE"""),13.0)</f>
        <v>13</v>
      </c>
      <c r="B544" s="28" t="str">
        <f>IFERROR(__xludf.DUMMYFUNCTION("""COMPUTED_VALUE"""),"A215")</f>
        <v>A215</v>
      </c>
      <c r="C544" s="28"/>
      <c r="D544" s="29"/>
      <c r="E544" s="67"/>
      <c r="F544" s="31"/>
      <c r="G544" s="32"/>
      <c r="H544" s="33" t="str">
        <f>IFERROR(__xludf.DUMMYFUNCTION("""COMPUTED_VALUE""")," ")</f>
        <v> </v>
      </c>
      <c r="I544" s="34"/>
      <c r="J544" s="35" t="str">
        <f>IFERROR(__xludf.DUMMYFUNCTION("""COMPUTED_VALUE"""),"AP")</f>
        <v>AP</v>
      </c>
      <c r="K544" s="34"/>
      <c r="L544" s="35" t="str">
        <f>IFERROR(__xludf.DUMMYFUNCTION("""COMPUTED_VALUE"""),"%")</f>
        <v>%</v>
      </c>
      <c r="M544" s="36">
        <f>IFERROR(__xludf.DUMMYFUNCTION("""COMPUTED_VALUE"""),1.0)</f>
        <v>1</v>
      </c>
      <c r="N544" s="37"/>
      <c r="O544" s="38"/>
      <c r="P544" s="34" t="str">
        <f>IFERROR(__xludf.DUMMYFUNCTION("""COMPUTED_VALUE"""),"")</f>
        <v/>
      </c>
      <c r="Q544" s="35" t="str">
        <f>IFERROR(__xludf.DUMMYFUNCTION("""COMPUTED_VALUE"""),"AP")</f>
        <v>AP</v>
      </c>
      <c r="R544" s="34" t="str">
        <f>IFERROR(__xludf.DUMMYFUNCTION("""COMPUTED_VALUE"""),"")</f>
        <v/>
      </c>
      <c r="S544" s="35" t="str">
        <f>IFERROR(__xludf.DUMMYFUNCTION("""COMPUTED_VALUE"""),"%")</f>
        <v>%</v>
      </c>
      <c r="T544" s="36">
        <f>IFERROR(__xludf.DUMMYFUNCTION("""COMPUTED_VALUE"""),2.0)</f>
        <v>2</v>
      </c>
      <c r="U544" s="37"/>
      <c r="V544" s="38"/>
      <c r="W544" s="34" t="str">
        <f>IFERROR(__xludf.DUMMYFUNCTION("""COMPUTED_VALUE"""),"")</f>
        <v/>
      </c>
      <c r="X544" s="35" t="str">
        <f>IFERROR(__xludf.DUMMYFUNCTION("""COMPUTED_VALUE"""),"AP")</f>
        <v>AP</v>
      </c>
      <c r="Y544" s="34" t="str">
        <f>IFERROR(__xludf.DUMMYFUNCTION("""COMPUTED_VALUE"""),"")</f>
        <v/>
      </c>
      <c r="Z544" s="35" t="str">
        <f>IFERROR(__xludf.DUMMYFUNCTION("""COMPUTED_VALUE"""),"%")</f>
        <v>%</v>
      </c>
      <c r="AA544" s="36">
        <f>IFERROR(__xludf.DUMMYFUNCTION("""COMPUTED_VALUE"""),3.0)</f>
        <v>3</v>
      </c>
      <c r="AB544" s="37"/>
      <c r="AC544" s="38"/>
      <c r="AD544" s="34" t="str">
        <f>IFERROR(__xludf.DUMMYFUNCTION("""COMPUTED_VALUE"""),"")</f>
        <v/>
      </c>
      <c r="AE544" s="35" t="str">
        <f>IFERROR(__xludf.DUMMYFUNCTION("""COMPUTED_VALUE"""),"AP")</f>
        <v>AP</v>
      </c>
      <c r="AF544" s="34" t="str">
        <f>IFERROR(__xludf.DUMMYFUNCTION("""COMPUTED_VALUE"""),"")</f>
        <v/>
      </c>
      <c r="AG544" s="35" t="str">
        <f>IFERROR(__xludf.DUMMYFUNCTION("""COMPUTED_VALUE"""),"%")</f>
        <v>%</v>
      </c>
      <c r="AH544" s="31"/>
      <c r="AI544" s="32"/>
      <c r="AJ544" s="67"/>
    </row>
    <row r="545" ht="24.75" hidden="1" customHeight="1">
      <c r="A545" s="40">
        <f>IFERROR(__xludf.DUMMYFUNCTION("""COMPUTED_VALUE"""),14.0)</f>
        <v>14</v>
      </c>
      <c r="B545" s="40" t="str">
        <f>IFERROR(__xludf.DUMMYFUNCTION("""COMPUTED_VALUE"""),"A215")</f>
        <v>A215</v>
      </c>
      <c r="C545" s="40"/>
      <c r="D545" s="41"/>
      <c r="E545" s="66"/>
      <c r="F545" s="43"/>
      <c r="G545" s="44"/>
      <c r="H545" s="33" t="str">
        <f>IFERROR(__xludf.DUMMYFUNCTION("""COMPUTED_VALUE""")," ")</f>
        <v> </v>
      </c>
      <c r="I545" s="45"/>
      <c r="J545" s="46" t="str">
        <f>IFERROR(__xludf.DUMMYFUNCTION("""COMPUTED_VALUE"""),"AP")</f>
        <v>AP</v>
      </c>
      <c r="K545" s="47"/>
      <c r="L545" s="48" t="str">
        <f>IFERROR(__xludf.DUMMYFUNCTION("""COMPUTED_VALUE"""),"%")</f>
        <v>%</v>
      </c>
      <c r="M545" s="49">
        <f>IFERROR(__xludf.DUMMYFUNCTION("""COMPUTED_VALUE"""),1.0)</f>
        <v>1</v>
      </c>
      <c r="N545" s="50"/>
      <c r="O545" s="38"/>
      <c r="P545" s="45" t="str">
        <f>IFERROR(__xludf.DUMMYFUNCTION("""COMPUTED_VALUE"""),"")</f>
        <v/>
      </c>
      <c r="Q545" s="46" t="str">
        <f>IFERROR(__xludf.DUMMYFUNCTION("""COMPUTED_VALUE"""),"AP")</f>
        <v>AP</v>
      </c>
      <c r="R545" s="47" t="str">
        <f>IFERROR(__xludf.DUMMYFUNCTION("""COMPUTED_VALUE"""),"")</f>
        <v/>
      </c>
      <c r="S545" s="48" t="str">
        <f>IFERROR(__xludf.DUMMYFUNCTION("""COMPUTED_VALUE"""),"%")</f>
        <v>%</v>
      </c>
      <c r="T545" s="49">
        <f>IFERROR(__xludf.DUMMYFUNCTION("""COMPUTED_VALUE"""),2.0)</f>
        <v>2</v>
      </c>
      <c r="U545" s="50"/>
      <c r="V545" s="38"/>
      <c r="W545" s="45" t="str">
        <f>IFERROR(__xludf.DUMMYFUNCTION("""COMPUTED_VALUE"""),"")</f>
        <v/>
      </c>
      <c r="X545" s="46" t="str">
        <f>IFERROR(__xludf.DUMMYFUNCTION("""COMPUTED_VALUE"""),"AP")</f>
        <v>AP</v>
      </c>
      <c r="Y545" s="47" t="str">
        <f>IFERROR(__xludf.DUMMYFUNCTION("""COMPUTED_VALUE"""),"")</f>
        <v/>
      </c>
      <c r="Z545" s="48" t="str">
        <f>IFERROR(__xludf.DUMMYFUNCTION("""COMPUTED_VALUE"""),"%")</f>
        <v>%</v>
      </c>
      <c r="AA545" s="49">
        <f>IFERROR(__xludf.DUMMYFUNCTION("""COMPUTED_VALUE"""),3.0)</f>
        <v>3</v>
      </c>
      <c r="AB545" s="50"/>
      <c r="AC545" s="38"/>
      <c r="AD545" s="45" t="str">
        <f>IFERROR(__xludf.DUMMYFUNCTION("""COMPUTED_VALUE"""),"")</f>
        <v/>
      </c>
      <c r="AE545" s="46" t="str">
        <f>IFERROR(__xludf.DUMMYFUNCTION("""COMPUTED_VALUE"""),"AP")</f>
        <v>AP</v>
      </c>
      <c r="AF545" s="47" t="str">
        <f>IFERROR(__xludf.DUMMYFUNCTION("""COMPUTED_VALUE"""),"")</f>
        <v/>
      </c>
      <c r="AG545" s="48" t="str">
        <f>IFERROR(__xludf.DUMMYFUNCTION("""COMPUTED_VALUE"""),"%")</f>
        <v>%</v>
      </c>
      <c r="AH545" s="43"/>
      <c r="AI545" s="44"/>
      <c r="AJ545" s="66"/>
    </row>
    <row r="546" ht="24.75" hidden="1" customHeight="1">
      <c r="A546" s="28">
        <f>IFERROR(__xludf.DUMMYFUNCTION("""COMPUTED_VALUE"""),15.0)</f>
        <v>15</v>
      </c>
      <c r="B546" s="28" t="str">
        <f>IFERROR(__xludf.DUMMYFUNCTION("""COMPUTED_VALUE"""),"A215")</f>
        <v>A215</v>
      </c>
      <c r="C546" s="28"/>
      <c r="D546" s="29"/>
      <c r="E546" s="67"/>
      <c r="F546" s="31"/>
      <c r="G546" s="32"/>
      <c r="H546" s="33" t="str">
        <f>IFERROR(__xludf.DUMMYFUNCTION("""COMPUTED_VALUE""")," ")</f>
        <v> </v>
      </c>
      <c r="I546" s="34"/>
      <c r="J546" s="35" t="str">
        <f>IFERROR(__xludf.DUMMYFUNCTION("""COMPUTED_VALUE"""),"AP")</f>
        <v>AP</v>
      </c>
      <c r="K546" s="34"/>
      <c r="L546" s="35" t="str">
        <f>IFERROR(__xludf.DUMMYFUNCTION("""COMPUTED_VALUE"""),"%")</f>
        <v>%</v>
      </c>
      <c r="M546" s="36">
        <f>IFERROR(__xludf.DUMMYFUNCTION("""COMPUTED_VALUE"""),1.0)</f>
        <v>1</v>
      </c>
      <c r="N546" s="37"/>
      <c r="O546" s="38"/>
      <c r="P546" s="34" t="str">
        <f>IFERROR(__xludf.DUMMYFUNCTION("""COMPUTED_VALUE"""),"")</f>
        <v/>
      </c>
      <c r="Q546" s="35" t="str">
        <f>IFERROR(__xludf.DUMMYFUNCTION("""COMPUTED_VALUE"""),"AP")</f>
        <v>AP</v>
      </c>
      <c r="R546" s="34" t="str">
        <f>IFERROR(__xludf.DUMMYFUNCTION("""COMPUTED_VALUE"""),"")</f>
        <v/>
      </c>
      <c r="S546" s="35" t="str">
        <f>IFERROR(__xludf.DUMMYFUNCTION("""COMPUTED_VALUE"""),"%")</f>
        <v>%</v>
      </c>
      <c r="T546" s="36">
        <f>IFERROR(__xludf.DUMMYFUNCTION("""COMPUTED_VALUE"""),2.0)</f>
        <v>2</v>
      </c>
      <c r="U546" s="37"/>
      <c r="V546" s="38"/>
      <c r="W546" s="34" t="str">
        <f>IFERROR(__xludf.DUMMYFUNCTION("""COMPUTED_VALUE"""),"")</f>
        <v/>
      </c>
      <c r="X546" s="35" t="str">
        <f>IFERROR(__xludf.DUMMYFUNCTION("""COMPUTED_VALUE"""),"AP")</f>
        <v>AP</v>
      </c>
      <c r="Y546" s="34" t="str">
        <f>IFERROR(__xludf.DUMMYFUNCTION("""COMPUTED_VALUE"""),"")</f>
        <v/>
      </c>
      <c r="Z546" s="35" t="str">
        <f>IFERROR(__xludf.DUMMYFUNCTION("""COMPUTED_VALUE"""),"%")</f>
        <v>%</v>
      </c>
      <c r="AA546" s="36">
        <f>IFERROR(__xludf.DUMMYFUNCTION("""COMPUTED_VALUE"""),3.0)</f>
        <v>3</v>
      </c>
      <c r="AB546" s="37"/>
      <c r="AC546" s="38"/>
      <c r="AD546" s="34" t="str">
        <f>IFERROR(__xludf.DUMMYFUNCTION("""COMPUTED_VALUE"""),"")</f>
        <v/>
      </c>
      <c r="AE546" s="35" t="str">
        <f>IFERROR(__xludf.DUMMYFUNCTION("""COMPUTED_VALUE"""),"AP")</f>
        <v>AP</v>
      </c>
      <c r="AF546" s="34" t="str">
        <f>IFERROR(__xludf.DUMMYFUNCTION("""COMPUTED_VALUE"""),"")</f>
        <v/>
      </c>
      <c r="AG546" s="35" t="str">
        <f>IFERROR(__xludf.DUMMYFUNCTION("""COMPUTED_VALUE"""),"%")</f>
        <v>%</v>
      </c>
      <c r="AH546" s="31"/>
      <c r="AI546" s="32"/>
      <c r="AJ546" s="67"/>
    </row>
    <row r="547" ht="24.75" hidden="1" customHeight="1">
      <c r="A547" s="40">
        <f>IFERROR(__xludf.DUMMYFUNCTION("""COMPUTED_VALUE"""),16.0)</f>
        <v>16</v>
      </c>
      <c r="B547" s="40" t="str">
        <f>IFERROR(__xludf.DUMMYFUNCTION("""COMPUTED_VALUE"""),"A215")</f>
        <v>A215</v>
      </c>
      <c r="C547" s="40"/>
      <c r="D547" s="41"/>
      <c r="E547" s="66"/>
      <c r="F547" s="43"/>
      <c r="G547" s="44"/>
      <c r="H547" s="33" t="str">
        <f>IFERROR(__xludf.DUMMYFUNCTION("""COMPUTED_VALUE""")," ")</f>
        <v> </v>
      </c>
      <c r="I547" s="45"/>
      <c r="J547" s="46" t="str">
        <f>IFERROR(__xludf.DUMMYFUNCTION("""COMPUTED_VALUE"""),"AP")</f>
        <v>AP</v>
      </c>
      <c r="K547" s="47"/>
      <c r="L547" s="48" t="str">
        <f>IFERROR(__xludf.DUMMYFUNCTION("""COMPUTED_VALUE"""),"%")</f>
        <v>%</v>
      </c>
      <c r="M547" s="49">
        <f>IFERROR(__xludf.DUMMYFUNCTION("""COMPUTED_VALUE"""),1.0)</f>
        <v>1</v>
      </c>
      <c r="N547" s="50"/>
      <c r="O547" s="38"/>
      <c r="P547" s="45" t="str">
        <f>IFERROR(__xludf.DUMMYFUNCTION("""COMPUTED_VALUE"""),"")</f>
        <v/>
      </c>
      <c r="Q547" s="46" t="str">
        <f>IFERROR(__xludf.DUMMYFUNCTION("""COMPUTED_VALUE"""),"AP")</f>
        <v>AP</v>
      </c>
      <c r="R547" s="47" t="str">
        <f>IFERROR(__xludf.DUMMYFUNCTION("""COMPUTED_VALUE"""),"")</f>
        <v/>
      </c>
      <c r="S547" s="48" t="str">
        <f>IFERROR(__xludf.DUMMYFUNCTION("""COMPUTED_VALUE"""),"%")</f>
        <v>%</v>
      </c>
      <c r="T547" s="49">
        <f>IFERROR(__xludf.DUMMYFUNCTION("""COMPUTED_VALUE"""),2.0)</f>
        <v>2</v>
      </c>
      <c r="U547" s="50"/>
      <c r="V547" s="38"/>
      <c r="W547" s="45" t="str">
        <f>IFERROR(__xludf.DUMMYFUNCTION("""COMPUTED_VALUE"""),"")</f>
        <v/>
      </c>
      <c r="X547" s="46" t="str">
        <f>IFERROR(__xludf.DUMMYFUNCTION("""COMPUTED_VALUE"""),"AP")</f>
        <v>AP</v>
      </c>
      <c r="Y547" s="47" t="str">
        <f>IFERROR(__xludf.DUMMYFUNCTION("""COMPUTED_VALUE"""),"")</f>
        <v/>
      </c>
      <c r="Z547" s="48" t="str">
        <f>IFERROR(__xludf.DUMMYFUNCTION("""COMPUTED_VALUE"""),"%")</f>
        <v>%</v>
      </c>
      <c r="AA547" s="49">
        <f>IFERROR(__xludf.DUMMYFUNCTION("""COMPUTED_VALUE"""),3.0)</f>
        <v>3</v>
      </c>
      <c r="AB547" s="50"/>
      <c r="AC547" s="38"/>
      <c r="AD547" s="45" t="str">
        <f>IFERROR(__xludf.DUMMYFUNCTION("""COMPUTED_VALUE"""),"")</f>
        <v/>
      </c>
      <c r="AE547" s="46" t="str">
        <f>IFERROR(__xludf.DUMMYFUNCTION("""COMPUTED_VALUE"""),"AP")</f>
        <v>AP</v>
      </c>
      <c r="AF547" s="47" t="str">
        <f>IFERROR(__xludf.DUMMYFUNCTION("""COMPUTED_VALUE"""),"")</f>
        <v/>
      </c>
      <c r="AG547" s="48" t="str">
        <f>IFERROR(__xludf.DUMMYFUNCTION("""COMPUTED_VALUE"""),"%")</f>
        <v>%</v>
      </c>
      <c r="AH547" s="43"/>
      <c r="AI547" s="44"/>
      <c r="AJ547" s="66"/>
    </row>
    <row r="548" ht="24.75" hidden="1" customHeight="1">
      <c r="A548" s="28">
        <f>IFERROR(__xludf.DUMMYFUNCTION("""COMPUTED_VALUE"""),17.0)</f>
        <v>17</v>
      </c>
      <c r="B548" s="28" t="str">
        <f>IFERROR(__xludf.DUMMYFUNCTION("""COMPUTED_VALUE"""),"A215")</f>
        <v>A215</v>
      </c>
      <c r="C548" s="28"/>
      <c r="D548" s="29"/>
      <c r="E548" s="67"/>
      <c r="F548" s="31"/>
      <c r="G548" s="32"/>
      <c r="H548" s="33" t="str">
        <f>IFERROR(__xludf.DUMMYFUNCTION("""COMPUTED_VALUE""")," ")</f>
        <v> </v>
      </c>
      <c r="I548" s="34"/>
      <c r="J548" s="35" t="str">
        <f>IFERROR(__xludf.DUMMYFUNCTION("""COMPUTED_VALUE"""),"AP")</f>
        <v>AP</v>
      </c>
      <c r="K548" s="34"/>
      <c r="L548" s="35" t="str">
        <f>IFERROR(__xludf.DUMMYFUNCTION("""COMPUTED_VALUE"""),"%")</f>
        <v>%</v>
      </c>
      <c r="M548" s="36">
        <f>IFERROR(__xludf.DUMMYFUNCTION("""COMPUTED_VALUE"""),1.0)</f>
        <v>1</v>
      </c>
      <c r="N548" s="37"/>
      <c r="O548" s="38"/>
      <c r="P548" s="34" t="str">
        <f>IFERROR(__xludf.DUMMYFUNCTION("""COMPUTED_VALUE"""),"")</f>
        <v/>
      </c>
      <c r="Q548" s="35" t="str">
        <f>IFERROR(__xludf.DUMMYFUNCTION("""COMPUTED_VALUE"""),"AP")</f>
        <v>AP</v>
      </c>
      <c r="R548" s="34" t="str">
        <f>IFERROR(__xludf.DUMMYFUNCTION("""COMPUTED_VALUE"""),"")</f>
        <v/>
      </c>
      <c r="S548" s="35" t="str">
        <f>IFERROR(__xludf.DUMMYFUNCTION("""COMPUTED_VALUE"""),"%")</f>
        <v>%</v>
      </c>
      <c r="T548" s="36">
        <f>IFERROR(__xludf.DUMMYFUNCTION("""COMPUTED_VALUE"""),2.0)</f>
        <v>2</v>
      </c>
      <c r="U548" s="37"/>
      <c r="V548" s="38"/>
      <c r="W548" s="34" t="str">
        <f>IFERROR(__xludf.DUMMYFUNCTION("""COMPUTED_VALUE"""),"")</f>
        <v/>
      </c>
      <c r="X548" s="35" t="str">
        <f>IFERROR(__xludf.DUMMYFUNCTION("""COMPUTED_VALUE"""),"AP")</f>
        <v>AP</v>
      </c>
      <c r="Y548" s="34" t="str">
        <f>IFERROR(__xludf.DUMMYFUNCTION("""COMPUTED_VALUE"""),"")</f>
        <v/>
      </c>
      <c r="Z548" s="35" t="str">
        <f>IFERROR(__xludf.DUMMYFUNCTION("""COMPUTED_VALUE"""),"%")</f>
        <v>%</v>
      </c>
      <c r="AA548" s="36">
        <f>IFERROR(__xludf.DUMMYFUNCTION("""COMPUTED_VALUE"""),3.0)</f>
        <v>3</v>
      </c>
      <c r="AB548" s="37"/>
      <c r="AC548" s="38"/>
      <c r="AD548" s="34" t="str">
        <f>IFERROR(__xludf.DUMMYFUNCTION("""COMPUTED_VALUE"""),"")</f>
        <v/>
      </c>
      <c r="AE548" s="35" t="str">
        <f>IFERROR(__xludf.DUMMYFUNCTION("""COMPUTED_VALUE"""),"AP")</f>
        <v>AP</v>
      </c>
      <c r="AF548" s="34" t="str">
        <f>IFERROR(__xludf.DUMMYFUNCTION("""COMPUTED_VALUE"""),"")</f>
        <v/>
      </c>
      <c r="AG548" s="35" t="str">
        <f>IFERROR(__xludf.DUMMYFUNCTION("""COMPUTED_VALUE"""),"%")</f>
        <v>%</v>
      </c>
      <c r="AH548" s="31"/>
      <c r="AI548" s="32"/>
      <c r="AJ548" s="67"/>
    </row>
    <row r="549" ht="24.75" hidden="1" customHeight="1">
      <c r="A549" s="40">
        <f>IFERROR(__xludf.DUMMYFUNCTION("""COMPUTED_VALUE"""),18.0)</f>
        <v>18</v>
      </c>
      <c r="B549" s="40" t="str">
        <f>IFERROR(__xludf.DUMMYFUNCTION("""COMPUTED_VALUE"""),"A215")</f>
        <v>A215</v>
      </c>
      <c r="C549" s="40"/>
      <c r="D549" s="41"/>
      <c r="E549" s="66"/>
      <c r="F549" s="43"/>
      <c r="G549" s="44"/>
      <c r="H549" s="33" t="str">
        <f>IFERROR(__xludf.DUMMYFUNCTION("""COMPUTED_VALUE""")," ")</f>
        <v> </v>
      </c>
      <c r="I549" s="45"/>
      <c r="J549" s="46" t="str">
        <f>IFERROR(__xludf.DUMMYFUNCTION("""COMPUTED_VALUE"""),"AP")</f>
        <v>AP</v>
      </c>
      <c r="K549" s="47"/>
      <c r="L549" s="48" t="str">
        <f>IFERROR(__xludf.DUMMYFUNCTION("""COMPUTED_VALUE"""),"%")</f>
        <v>%</v>
      </c>
      <c r="M549" s="49">
        <f>IFERROR(__xludf.DUMMYFUNCTION("""COMPUTED_VALUE"""),1.0)</f>
        <v>1</v>
      </c>
      <c r="N549" s="50"/>
      <c r="O549" s="38"/>
      <c r="P549" s="45" t="str">
        <f>IFERROR(__xludf.DUMMYFUNCTION("""COMPUTED_VALUE"""),"")</f>
        <v/>
      </c>
      <c r="Q549" s="46" t="str">
        <f>IFERROR(__xludf.DUMMYFUNCTION("""COMPUTED_VALUE"""),"AP")</f>
        <v>AP</v>
      </c>
      <c r="R549" s="47" t="str">
        <f>IFERROR(__xludf.DUMMYFUNCTION("""COMPUTED_VALUE"""),"")</f>
        <v/>
      </c>
      <c r="S549" s="48" t="str">
        <f>IFERROR(__xludf.DUMMYFUNCTION("""COMPUTED_VALUE"""),"%")</f>
        <v>%</v>
      </c>
      <c r="T549" s="49">
        <f>IFERROR(__xludf.DUMMYFUNCTION("""COMPUTED_VALUE"""),2.0)</f>
        <v>2</v>
      </c>
      <c r="U549" s="50"/>
      <c r="V549" s="38"/>
      <c r="W549" s="45" t="str">
        <f>IFERROR(__xludf.DUMMYFUNCTION("""COMPUTED_VALUE"""),"")</f>
        <v/>
      </c>
      <c r="X549" s="46" t="str">
        <f>IFERROR(__xludf.DUMMYFUNCTION("""COMPUTED_VALUE"""),"AP")</f>
        <v>AP</v>
      </c>
      <c r="Y549" s="47" t="str">
        <f>IFERROR(__xludf.DUMMYFUNCTION("""COMPUTED_VALUE"""),"")</f>
        <v/>
      </c>
      <c r="Z549" s="48" t="str">
        <f>IFERROR(__xludf.DUMMYFUNCTION("""COMPUTED_VALUE"""),"%")</f>
        <v>%</v>
      </c>
      <c r="AA549" s="49">
        <f>IFERROR(__xludf.DUMMYFUNCTION("""COMPUTED_VALUE"""),3.0)</f>
        <v>3</v>
      </c>
      <c r="AB549" s="50"/>
      <c r="AC549" s="38"/>
      <c r="AD549" s="45" t="str">
        <f>IFERROR(__xludf.DUMMYFUNCTION("""COMPUTED_VALUE"""),"")</f>
        <v/>
      </c>
      <c r="AE549" s="46" t="str">
        <f>IFERROR(__xludf.DUMMYFUNCTION("""COMPUTED_VALUE"""),"AP")</f>
        <v>AP</v>
      </c>
      <c r="AF549" s="47" t="str">
        <f>IFERROR(__xludf.DUMMYFUNCTION("""COMPUTED_VALUE"""),"")</f>
        <v/>
      </c>
      <c r="AG549" s="48" t="str">
        <f>IFERROR(__xludf.DUMMYFUNCTION("""COMPUTED_VALUE"""),"%")</f>
        <v>%</v>
      </c>
      <c r="AH549" s="43"/>
      <c r="AI549" s="44"/>
      <c r="AJ549" s="66"/>
    </row>
    <row r="550" ht="24.75" hidden="1" customHeight="1">
      <c r="A550" s="28">
        <f>IFERROR(__xludf.DUMMYFUNCTION("""COMPUTED_VALUE"""),19.0)</f>
        <v>19</v>
      </c>
      <c r="B550" s="28" t="str">
        <f>IFERROR(__xludf.DUMMYFUNCTION("""COMPUTED_VALUE"""),"A215")</f>
        <v>A215</v>
      </c>
      <c r="C550" s="28"/>
      <c r="D550" s="29"/>
      <c r="E550" s="67"/>
      <c r="F550" s="31"/>
      <c r="G550" s="32"/>
      <c r="H550" s="33" t="str">
        <f>IFERROR(__xludf.DUMMYFUNCTION("""COMPUTED_VALUE""")," ")</f>
        <v> </v>
      </c>
      <c r="I550" s="34"/>
      <c r="J550" s="35" t="str">
        <f>IFERROR(__xludf.DUMMYFUNCTION("""COMPUTED_VALUE"""),"AP")</f>
        <v>AP</v>
      </c>
      <c r="K550" s="34"/>
      <c r="L550" s="35" t="str">
        <f>IFERROR(__xludf.DUMMYFUNCTION("""COMPUTED_VALUE"""),"%")</f>
        <v>%</v>
      </c>
      <c r="M550" s="36">
        <f>IFERROR(__xludf.DUMMYFUNCTION("""COMPUTED_VALUE"""),1.0)</f>
        <v>1</v>
      </c>
      <c r="N550" s="37"/>
      <c r="O550" s="38"/>
      <c r="P550" s="34" t="str">
        <f>IFERROR(__xludf.DUMMYFUNCTION("""COMPUTED_VALUE"""),"")</f>
        <v/>
      </c>
      <c r="Q550" s="35" t="str">
        <f>IFERROR(__xludf.DUMMYFUNCTION("""COMPUTED_VALUE"""),"AP")</f>
        <v>AP</v>
      </c>
      <c r="R550" s="34" t="str">
        <f>IFERROR(__xludf.DUMMYFUNCTION("""COMPUTED_VALUE"""),"")</f>
        <v/>
      </c>
      <c r="S550" s="35" t="str">
        <f>IFERROR(__xludf.DUMMYFUNCTION("""COMPUTED_VALUE"""),"%")</f>
        <v>%</v>
      </c>
      <c r="T550" s="36">
        <f>IFERROR(__xludf.DUMMYFUNCTION("""COMPUTED_VALUE"""),2.0)</f>
        <v>2</v>
      </c>
      <c r="U550" s="37"/>
      <c r="V550" s="38"/>
      <c r="W550" s="34" t="str">
        <f>IFERROR(__xludf.DUMMYFUNCTION("""COMPUTED_VALUE"""),"")</f>
        <v/>
      </c>
      <c r="X550" s="35" t="str">
        <f>IFERROR(__xludf.DUMMYFUNCTION("""COMPUTED_VALUE"""),"AP")</f>
        <v>AP</v>
      </c>
      <c r="Y550" s="34" t="str">
        <f>IFERROR(__xludf.DUMMYFUNCTION("""COMPUTED_VALUE"""),"")</f>
        <v/>
      </c>
      <c r="Z550" s="35" t="str">
        <f>IFERROR(__xludf.DUMMYFUNCTION("""COMPUTED_VALUE"""),"%")</f>
        <v>%</v>
      </c>
      <c r="AA550" s="36">
        <f>IFERROR(__xludf.DUMMYFUNCTION("""COMPUTED_VALUE"""),3.0)</f>
        <v>3</v>
      </c>
      <c r="AB550" s="37"/>
      <c r="AC550" s="38"/>
      <c r="AD550" s="34" t="str">
        <f>IFERROR(__xludf.DUMMYFUNCTION("""COMPUTED_VALUE"""),"")</f>
        <v/>
      </c>
      <c r="AE550" s="35" t="str">
        <f>IFERROR(__xludf.DUMMYFUNCTION("""COMPUTED_VALUE"""),"AP")</f>
        <v>AP</v>
      </c>
      <c r="AF550" s="34" t="str">
        <f>IFERROR(__xludf.DUMMYFUNCTION("""COMPUTED_VALUE"""),"")</f>
        <v/>
      </c>
      <c r="AG550" s="35" t="str">
        <f>IFERROR(__xludf.DUMMYFUNCTION("""COMPUTED_VALUE"""),"%")</f>
        <v>%</v>
      </c>
      <c r="AH550" s="31"/>
      <c r="AI550" s="32"/>
      <c r="AJ550" s="67"/>
    </row>
    <row r="551" ht="24.75" hidden="1" customHeight="1">
      <c r="A551" s="40">
        <f>IFERROR(__xludf.DUMMYFUNCTION("""COMPUTED_VALUE"""),20.0)</f>
        <v>20</v>
      </c>
      <c r="B551" s="40" t="str">
        <f>IFERROR(__xludf.DUMMYFUNCTION("""COMPUTED_VALUE"""),"A215")</f>
        <v>A215</v>
      </c>
      <c r="C551" s="40"/>
      <c r="D551" s="41"/>
      <c r="E551" s="66"/>
      <c r="F551" s="43"/>
      <c r="G551" s="44"/>
      <c r="H551" s="33" t="str">
        <f>IFERROR(__xludf.DUMMYFUNCTION("""COMPUTED_VALUE""")," ")</f>
        <v> </v>
      </c>
      <c r="I551" s="45"/>
      <c r="J551" s="46" t="str">
        <f>IFERROR(__xludf.DUMMYFUNCTION("""COMPUTED_VALUE"""),"AP")</f>
        <v>AP</v>
      </c>
      <c r="K551" s="47"/>
      <c r="L551" s="48" t="str">
        <f>IFERROR(__xludf.DUMMYFUNCTION("""COMPUTED_VALUE"""),"%")</f>
        <v>%</v>
      </c>
      <c r="M551" s="49">
        <f>IFERROR(__xludf.DUMMYFUNCTION("""COMPUTED_VALUE"""),1.0)</f>
        <v>1</v>
      </c>
      <c r="N551" s="50"/>
      <c r="O551" s="38"/>
      <c r="P551" s="45" t="str">
        <f>IFERROR(__xludf.DUMMYFUNCTION("""COMPUTED_VALUE"""),"")</f>
        <v/>
      </c>
      <c r="Q551" s="46" t="str">
        <f>IFERROR(__xludf.DUMMYFUNCTION("""COMPUTED_VALUE"""),"AP")</f>
        <v>AP</v>
      </c>
      <c r="R551" s="47" t="str">
        <f>IFERROR(__xludf.DUMMYFUNCTION("""COMPUTED_VALUE"""),"")</f>
        <v/>
      </c>
      <c r="S551" s="48" t="str">
        <f>IFERROR(__xludf.DUMMYFUNCTION("""COMPUTED_VALUE"""),"%")</f>
        <v>%</v>
      </c>
      <c r="T551" s="49">
        <f>IFERROR(__xludf.DUMMYFUNCTION("""COMPUTED_VALUE"""),2.0)</f>
        <v>2</v>
      </c>
      <c r="U551" s="50"/>
      <c r="V551" s="38"/>
      <c r="W551" s="45" t="str">
        <f>IFERROR(__xludf.DUMMYFUNCTION("""COMPUTED_VALUE"""),"")</f>
        <v/>
      </c>
      <c r="X551" s="46" t="str">
        <f>IFERROR(__xludf.DUMMYFUNCTION("""COMPUTED_VALUE"""),"AP")</f>
        <v>AP</v>
      </c>
      <c r="Y551" s="47" t="str">
        <f>IFERROR(__xludf.DUMMYFUNCTION("""COMPUTED_VALUE"""),"")</f>
        <v/>
      </c>
      <c r="Z551" s="48" t="str">
        <f>IFERROR(__xludf.DUMMYFUNCTION("""COMPUTED_VALUE"""),"%")</f>
        <v>%</v>
      </c>
      <c r="AA551" s="49">
        <f>IFERROR(__xludf.DUMMYFUNCTION("""COMPUTED_VALUE"""),3.0)</f>
        <v>3</v>
      </c>
      <c r="AB551" s="50"/>
      <c r="AC551" s="38"/>
      <c r="AD551" s="45" t="str">
        <f>IFERROR(__xludf.DUMMYFUNCTION("""COMPUTED_VALUE"""),"")</f>
        <v/>
      </c>
      <c r="AE551" s="46" t="str">
        <f>IFERROR(__xludf.DUMMYFUNCTION("""COMPUTED_VALUE"""),"AP")</f>
        <v>AP</v>
      </c>
      <c r="AF551" s="47" t="str">
        <f>IFERROR(__xludf.DUMMYFUNCTION("""COMPUTED_VALUE"""),"")</f>
        <v/>
      </c>
      <c r="AG551" s="48" t="str">
        <f>IFERROR(__xludf.DUMMYFUNCTION("""COMPUTED_VALUE"""),"%")</f>
        <v>%</v>
      </c>
      <c r="AH551" s="43"/>
      <c r="AI551" s="44"/>
      <c r="AJ551" s="66"/>
    </row>
    <row r="552">
      <c r="A552" s="52"/>
      <c r="B552" s="53"/>
      <c r="C552" s="54"/>
      <c r="D552" s="56"/>
      <c r="E552" s="56"/>
      <c r="F552" s="53"/>
      <c r="G552" s="53"/>
      <c r="H552" s="53"/>
      <c r="I552" s="53"/>
      <c r="J552" s="57"/>
      <c r="K552" s="53"/>
      <c r="L552" s="57"/>
      <c r="M552" s="53"/>
      <c r="N552" s="53"/>
      <c r="O552" s="53"/>
      <c r="P552" s="53"/>
      <c r="Q552" s="57"/>
      <c r="R552" s="53"/>
      <c r="S552" s="57"/>
      <c r="T552" s="53"/>
      <c r="U552" s="53"/>
      <c r="V552" s="53"/>
      <c r="W552" s="53"/>
      <c r="X552" s="57"/>
      <c r="Y552" s="53"/>
      <c r="Z552" s="57"/>
      <c r="AA552" s="53"/>
      <c r="AB552" s="53"/>
      <c r="AC552" s="53"/>
      <c r="AD552" s="53"/>
      <c r="AE552" s="57"/>
      <c r="AF552" s="53"/>
      <c r="AG552" s="57"/>
      <c r="AH552" s="53"/>
      <c r="AI552" s="53"/>
      <c r="AJ552" s="56"/>
    </row>
    <row r="553">
      <c r="A553" s="59"/>
      <c r="B553" s="60"/>
      <c r="C553" s="61"/>
      <c r="D553" s="63"/>
      <c r="E553" s="63"/>
      <c r="F553" s="60"/>
      <c r="G553" s="60"/>
      <c r="H553" s="60"/>
      <c r="I553" s="60"/>
      <c r="J553" s="64"/>
      <c r="K553" s="60"/>
      <c r="L553" s="64"/>
      <c r="M553" s="60"/>
      <c r="N553" s="60"/>
      <c r="O553" s="60"/>
      <c r="P553" s="60"/>
      <c r="Q553" s="64"/>
      <c r="R553" s="60"/>
      <c r="S553" s="64"/>
      <c r="T553" s="60"/>
      <c r="U553" s="60"/>
      <c r="V553" s="60"/>
      <c r="W553" s="60"/>
      <c r="X553" s="64"/>
      <c r="Y553" s="60"/>
      <c r="Z553" s="64"/>
      <c r="AA553" s="60"/>
      <c r="AB553" s="60"/>
      <c r="AC553" s="60"/>
      <c r="AD553" s="60"/>
      <c r="AE553" s="64"/>
      <c r="AF553" s="60"/>
      <c r="AG553" s="64"/>
      <c r="AH553" s="60"/>
      <c r="AI553" s="60"/>
      <c r="AJ553" s="63"/>
    </row>
    <row r="554" ht="33.0" customHeight="1">
      <c r="A554" s="20" t="str">
        <f>IFERROR(__xludf.DUMMYFUNCTION("""COMPUTED_VALUE""")," ")</f>
        <v> </v>
      </c>
      <c r="B554" s="21" t="str">
        <f>IFERROR(__xludf.DUMMYFUNCTION("""COMPUTED_VALUE"""),"A216")</f>
        <v>A216</v>
      </c>
      <c r="C554" s="20"/>
      <c r="D554" s="257" t="str">
        <f>IFERROR(__xludf.DUMMYFUNCTION("""COMPUTED_VALUE"""),"")</f>
        <v/>
      </c>
      <c r="E554" s="23" t="str">
        <f>IFERROR(__xludf.DUMMYFUNCTION("""COMPUTED_VALUE"""),"Soundless Bell")</f>
        <v>Soundless Bell</v>
      </c>
      <c r="F554" s="24"/>
      <c r="G554" s="24"/>
      <c r="H554" s="25"/>
      <c r="I554" s="25"/>
      <c r="J554" s="26"/>
      <c r="K554" s="25"/>
      <c r="L554" s="26"/>
      <c r="M554" s="25"/>
      <c r="N554" s="25"/>
      <c r="O554" s="25"/>
      <c r="P554" s="25"/>
      <c r="Q554" s="26"/>
      <c r="R554" s="25"/>
      <c r="S554" s="26"/>
      <c r="T554" s="25"/>
      <c r="U554" s="25"/>
      <c r="V554" s="25"/>
      <c r="W554" s="25"/>
      <c r="X554" s="26"/>
      <c r="Y554" s="25"/>
      <c r="Z554" s="26"/>
      <c r="AA554" s="25"/>
      <c r="AB554" s="25"/>
      <c r="AC554" s="25"/>
      <c r="AD554" s="25"/>
      <c r="AE554" s="26"/>
      <c r="AF554" s="25"/>
      <c r="AG554" s="26"/>
      <c r="AH554" s="24"/>
      <c r="AI554" s="25"/>
      <c r="AJ554" s="23"/>
    </row>
    <row r="555" ht="24.75" customHeight="1">
      <c r="A555" s="28">
        <f>IFERROR(__xludf.DUMMYFUNCTION("""COMPUTED_VALUE"""),1.0)</f>
        <v>1</v>
      </c>
      <c r="B555" s="28" t="str">
        <f>IFERROR(__xludf.DUMMYFUNCTION("""COMPUTED_VALUE"""),"A216")</f>
        <v>A216</v>
      </c>
      <c r="C555" s="28" t="str">
        <f>IFERROR(__xludf.DUMMYFUNCTION("""COMPUTED_VALUE"""),"SIN11")</f>
        <v>SIN11</v>
      </c>
      <c r="D555" s="29" t="str">
        <f>IFERROR(__xludf.DUMMYFUNCTION("""COMPUTED_VALUE"""),"SIN")</f>
        <v>SIN</v>
      </c>
      <c r="E555" s="30" t="str">
        <f>IFERROR(__xludf.DUMMYFUNCTION("""COMPUTED_VALUE"""),"Ba Men Cave")</f>
        <v>Ba Men Cave</v>
      </c>
      <c r="F555" s="31">
        <f>IFERROR(__xludf.DUMMYFUNCTION("""COMPUTED_VALUE"""),21.0)</f>
        <v>21</v>
      </c>
      <c r="G555" s="32">
        <f>IFERROR(__xludf.DUMMYFUNCTION("""COMPUTED_VALUE"""),30527.0)</f>
        <v>30527</v>
      </c>
      <c r="H555" s="33" t="str">
        <f>IFERROR(__xludf.DUMMYFUNCTION("""COMPUTED_VALUE"""),"")</f>
        <v/>
      </c>
      <c r="I555" s="34">
        <f>IFERROR(__xludf.DUMMYFUNCTION("""COMPUTED_VALUE"""),53.456725132983685)</f>
        <v>53.45672513</v>
      </c>
      <c r="J555" s="35" t="str">
        <f>IFERROR(__xludf.DUMMYFUNCTION("""COMPUTED_VALUE"""),"AP")</f>
        <v>AP</v>
      </c>
      <c r="K555" s="34">
        <f>IFERROR(__xludf.DUMMYFUNCTION("""COMPUTED_VALUE"""),39.28411242506633)</f>
        <v>39.28411243</v>
      </c>
      <c r="L555" s="35" t="str">
        <f>IFERROR(__xludf.DUMMYFUNCTION("""COMPUTED_VALUE"""),"%")</f>
        <v>%</v>
      </c>
      <c r="M555" s="36">
        <f>IFERROR(__xludf.DUMMYFUNCTION("""COMPUTED_VALUE"""),1.0)</f>
        <v>1</v>
      </c>
      <c r="N555" s="37" t="str">
        <f>IFERROR(__xludf.DUMMYFUNCTION("""COMPUTED_VALUE"""),"B116")</f>
        <v>B116</v>
      </c>
      <c r="O555" s="38" t="str">
        <f>IFERROR(__xludf.DUMMYFUNCTION("""COMPUTED_VALUE"""),"")</f>
        <v/>
      </c>
      <c r="P555" s="34">
        <f>IFERROR(__xludf.DUMMYFUNCTION("""COMPUTED_VALUE"""),46.59635293112283)</f>
        <v>46.59635293</v>
      </c>
      <c r="Q555" s="35" t="str">
        <f>IFERROR(__xludf.DUMMYFUNCTION("""COMPUTED_VALUE"""),"AP")</f>
        <v>AP</v>
      </c>
      <c r="R555" s="34">
        <f>IFERROR(__xludf.DUMMYFUNCTION("""COMPUTED_VALUE"""),45.0679048444875)</f>
        <v>45.06790484</v>
      </c>
      <c r="S555" s="35" t="str">
        <f>IFERROR(__xludf.DUMMYFUNCTION("""COMPUTED_VALUE"""),"%")</f>
        <v>%</v>
      </c>
      <c r="T555" s="36">
        <f>IFERROR(__xludf.DUMMYFUNCTION("""COMPUTED_VALUE"""),2.0)</f>
        <v>2</v>
      </c>
      <c r="U555" s="37"/>
      <c r="V555" s="38"/>
      <c r="W555" s="34" t="str">
        <f>IFERROR(__xludf.DUMMYFUNCTION("""COMPUTED_VALUE"""),"")</f>
        <v/>
      </c>
      <c r="X555" s="35" t="str">
        <f>IFERROR(__xludf.DUMMYFUNCTION("""COMPUTED_VALUE"""),"AP")</f>
        <v>AP</v>
      </c>
      <c r="Y555" s="34" t="str">
        <f>IFERROR(__xludf.DUMMYFUNCTION("""COMPUTED_VALUE"""),"")</f>
        <v/>
      </c>
      <c r="Z555" s="35" t="str">
        <f>IFERROR(__xludf.DUMMYFUNCTION("""COMPUTED_VALUE"""),"%")</f>
        <v>%</v>
      </c>
      <c r="AA555" s="36">
        <f>IFERROR(__xludf.DUMMYFUNCTION("""COMPUTED_VALUE"""),3.0)</f>
        <v>3</v>
      </c>
      <c r="AB555" s="37"/>
      <c r="AC555" s="38"/>
      <c r="AD555" s="34" t="str">
        <f>IFERROR(__xludf.DUMMYFUNCTION("""COMPUTED_VALUE"""),"")</f>
        <v/>
      </c>
      <c r="AE555" s="35" t="str">
        <f>IFERROR(__xludf.DUMMYFUNCTION("""COMPUTED_VALUE"""),"AP")</f>
        <v>AP</v>
      </c>
      <c r="AF555" s="34" t="str">
        <f>IFERROR(__xludf.DUMMYFUNCTION("""COMPUTED_VALUE"""),"")</f>
        <v/>
      </c>
      <c r="AG555" s="35" t="str">
        <f>IFERROR(__xludf.DUMMYFUNCTION("""COMPUTED_VALUE"""),"%")</f>
        <v>%</v>
      </c>
      <c r="AH555" s="31">
        <f>IFERROR(__xludf.DUMMYFUNCTION("""COMPUTED_VALUE"""),21.0)</f>
        <v>21</v>
      </c>
      <c r="AI555" s="32">
        <f>IFERROR(__xludf.DUMMYFUNCTION("""COMPUTED_VALUE"""),30527.0)</f>
        <v>30527</v>
      </c>
      <c r="AJ555" s="30" t="str">
        <f>IFERROR(__xludf.DUMMYFUNCTION("""COMPUTED_VALUE"""),"Ba Men Cave")</f>
        <v>Ba Men Cave</v>
      </c>
    </row>
    <row r="556" ht="24.75" customHeight="1">
      <c r="A556" s="40">
        <f>IFERROR(__xludf.DUMMYFUNCTION("""COMPUTED_VALUE"""),2.0)</f>
        <v>2</v>
      </c>
      <c r="B556" s="40" t="str">
        <f>IFERROR(__xludf.DUMMYFUNCTION("""COMPUTED_VALUE"""),"A216")</f>
        <v>A216</v>
      </c>
      <c r="C556" s="40" t="str">
        <f>IFERROR(__xludf.DUMMYFUNCTION("""COMPUTED_VALUE"""),"SIN9")</f>
        <v>SIN9</v>
      </c>
      <c r="D556" s="41" t="str">
        <f>IFERROR(__xludf.DUMMYFUNCTION("""COMPUTED_VALUE"""),"SIN")</f>
        <v>SIN</v>
      </c>
      <c r="E556" s="42" t="str">
        <f>IFERROR(__xludf.DUMMYFUNCTION("""COMPUTED_VALUE"""),"Daping Yu")</f>
        <v>Daping Yu</v>
      </c>
      <c r="F556" s="43">
        <f>IFERROR(__xludf.DUMMYFUNCTION("""COMPUTED_VALUE"""),21.0)</f>
        <v>21</v>
      </c>
      <c r="G556" s="44">
        <f>IFERROR(__xludf.DUMMYFUNCTION("""COMPUTED_VALUE"""),10511.0)</f>
        <v>10511</v>
      </c>
      <c r="H556" s="33" t="str">
        <f>IFERROR(__xludf.DUMMYFUNCTION("""COMPUTED_VALUE"""),"")</f>
        <v/>
      </c>
      <c r="I556" s="45">
        <f>IFERROR(__xludf.DUMMYFUNCTION("""COMPUTED_VALUE"""),82.55947037701975)</f>
        <v>82.55947038</v>
      </c>
      <c r="J556" s="46" t="str">
        <f>IFERROR(__xludf.DUMMYFUNCTION("""COMPUTED_VALUE"""),"AP")</f>
        <v>AP</v>
      </c>
      <c r="K556" s="47">
        <f>IFERROR(__xludf.DUMMYFUNCTION("""COMPUTED_VALUE"""),25.436209685091807)</f>
        <v>25.43620969</v>
      </c>
      <c r="L556" s="48" t="str">
        <f>IFERROR(__xludf.DUMMYFUNCTION("""COMPUTED_VALUE"""),"%")</f>
        <v>%</v>
      </c>
      <c r="M556" s="49">
        <f>IFERROR(__xludf.DUMMYFUNCTION("""COMPUTED_VALUE"""),1.0)</f>
        <v>1</v>
      </c>
      <c r="N556" s="50" t="str">
        <f>IFERROR(__xludf.DUMMYFUNCTION("""COMPUTED_VALUE"""),"A206")</f>
        <v>A206</v>
      </c>
      <c r="O556" s="38" t="str">
        <f>IFERROR(__xludf.DUMMYFUNCTION("""COMPUTED_VALUE"""),"")</f>
        <v/>
      </c>
      <c r="P556" s="45">
        <f>IFERROR(__xludf.DUMMYFUNCTION("""COMPUTED_VALUE"""),73.08489504006357)</f>
        <v>73.08489504</v>
      </c>
      <c r="Q556" s="46" t="str">
        <f>IFERROR(__xludf.DUMMYFUNCTION("""COMPUTED_VALUE"""),"AP")</f>
        <v>AP</v>
      </c>
      <c r="R556" s="47">
        <f>IFERROR(__xludf.DUMMYFUNCTION("""COMPUTED_VALUE"""),28.733707544477216)</f>
        <v>28.73370754</v>
      </c>
      <c r="S556" s="48" t="str">
        <f>IFERROR(__xludf.DUMMYFUNCTION("""COMPUTED_VALUE"""),"%")</f>
        <v>%</v>
      </c>
      <c r="T556" s="49">
        <f>IFERROR(__xludf.DUMMYFUNCTION("""COMPUTED_VALUE"""),2.0)</f>
        <v>2</v>
      </c>
      <c r="U556" s="50" t="str">
        <f>IFERROR(__xludf.DUMMYFUNCTION("""COMPUTED_VALUE"""),"B116")</f>
        <v>B116</v>
      </c>
      <c r="V556" s="38" t="str">
        <f>IFERROR(__xludf.DUMMYFUNCTION("""COMPUTED_VALUE"""),"")</f>
        <v/>
      </c>
      <c r="W556" s="45">
        <f>IFERROR(__xludf.DUMMYFUNCTION("""COMPUTED_VALUE"""),103.36198707571276)</f>
        <v>103.3619871</v>
      </c>
      <c r="X556" s="46" t="str">
        <f>IFERROR(__xludf.DUMMYFUNCTION("""COMPUTED_VALUE"""),"AP")</f>
        <v>AP</v>
      </c>
      <c r="Y556" s="47">
        <f>IFERROR(__xludf.DUMMYFUNCTION("""COMPUTED_VALUE"""),20.316946871984452)</f>
        <v>20.31694687</v>
      </c>
      <c r="Z556" s="48" t="str">
        <f>IFERROR(__xludf.DUMMYFUNCTION("""COMPUTED_VALUE"""),"%")</f>
        <v>%</v>
      </c>
      <c r="AA556" s="49">
        <f>IFERROR(__xludf.DUMMYFUNCTION("""COMPUTED_VALUE"""),3.0)</f>
        <v>3</v>
      </c>
      <c r="AB556" s="50"/>
      <c r="AC556" s="38"/>
      <c r="AD556" s="45" t="str">
        <f>IFERROR(__xludf.DUMMYFUNCTION("""COMPUTED_VALUE"""),"")</f>
        <v/>
      </c>
      <c r="AE556" s="46" t="str">
        <f>IFERROR(__xludf.DUMMYFUNCTION("""COMPUTED_VALUE"""),"AP")</f>
        <v>AP</v>
      </c>
      <c r="AF556" s="47" t="str">
        <f>IFERROR(__xludf.DUMMYFUNCTION("""COMPUTED_VALUE"""),"")</f>
        <v/>
      </c>
      <c r="AG556" s="48" t="str">
        <f>IFERROR(__xludf.DUMMYFUNCTION("""COMPUTED_VALUE"""),"%")</f>
        <v>%</v>
      </c>
      <c r="AH556" s="43">
        <f>IFERROR(__xludf.DUMMYFUNCTION("""COMPUTED_VALUE"""),21.0)</f>
        <v>21</v>
      </c>
      <c r="AI556" s="44">
        <f>IFERROR(__xludf.DUMMYFUNCTION("""COMPUTED_VALUE"""),10511.0)</f>
        <v>10511</v>
      </c>
      <c r="AJ556" s="42" t="str">
        <f>IFERROR(__xludf.DUMMYFUNCTION("""COMPUTED_VALUE"""),"Daping Yu")</f>
        <v>Daping Yu</v>
      </c>
    </row>
    <row r="557" ht="24.75" customHeight="1">
      <c r="A557" s="28">
        <f>IFERROR(__xludf.DUMMYFUNCTION("""COMPUTED_VALUE"""),3.0)</f>
        <v>3</v>
      </c>
      <c r="B557" s="28" t="str">
        <f>IFERROR(__xludf.DUMMYFUNCTION("""COMPUTED_VALUE"""),"A216")</f>
        <v>A216</v>
      </c>
      <c r="C557" s="28" t="str">
        <f>IFERROR(__xludf.DUMMYFUNCTION("""COMPUTED_VALUE"""),"SIN7")</f>
        <v>SIN7</v>
      </c>
      <c r="D557" s="29" t="str">
        <f>IFERROR(__xludf.DUMMYFUNCTION("""COMPUTED_VALUE"""),"SIN")</f>
        <v>SIN</v>
      </c>
      <c r="E557" s="30" t="str">
        <f>IFERROR(__xludf.DUMMYFUNCTION("""COMPUTED_VALUE"""),"Prison Camp")</f>
        <v>Prison Camp</v>
      </c>
      <c r="F557" s="31">
        <f>IFERROR(__xludf.DUMMYFUNCTION("""COMPUTED_VALUE"""),21.0)</f>
        <v>21</v>
      </c>
      <c r="G557" s="32">
        <f>IFERROR(__xludf.DUMMYFUNCTION("""COMPUTED_VALUE"""),69306.0)</f>
        <v>69306</v>
      </c>
      <c r="H557" s="33" t="str">
        <f>IFERROR(__xludf.DUMMYFUNCTION("""COMPUTED_VALUE"""),"")</f>
        <v/>
      </c>
      <c r="I557" s="34">
        <f>IFERROR(__xludf.DUMMYFUNCTION("""COMPUTED_VALUE"""),83.11361783791729)</f>
        <v>83.11361784</v>
      </c>
      <c r="J557" s="35" t="str">
        <f>IFERROR(__xludf.DUMMYFUNCTION("""COMPUTED_VALUE"""),"AP")</f>
        <v>AP</v>
      </c>
      <c r="K557" s="34">
        <f>IFERROR(__xludf.DUMMYFUNCTION("""COMPUTED_VALUE"""),25.266617608865033)</f>
        <v>25.26661761</v>
      </c>
      <c r="L557" s="35" t="str">
        <f>IFERROR(__xludf.DUMMYFUNCTION("""COMPUTED_VALUE"""),"%")</f>
        <v>%</v>
      </c>
      <c r="M557" s="36">
        <f>IFERROR(__xludf.DUMMYFUNCTION("""COMPUTED_VALUE"""),1.0)</f>
        <v>1</v>
      </c>
      <c r="N557" s="37" t="str">
        <f>IFERROR(__xludf.DUMMYFUNCTION("""COMPUTED_VALUE"""),"A113")</f>
        <v>A113</v>
      </c>
      <c r="O557" s="38" t="str">
        <f>IFERROR(__xludf.DUMMYFUNCTION("""COMPUTED_VALUE"""),"")</f>
        <v/>
      </c>
      <c r="P557" s="34">
        <f>IFERROR(__xludf.DUMMYFUNCTION("""COMPUTED_VALUE"""),104.18979528080344)</f>
        <v>104.1897953</v>
      </c>
      <c r="Q557" s="35" t="str">
        <f>IFERROR(__xludf.DUMMYFUNCTION("""COMPUTED_VALUE"""),"AP")</f>
        <v>AP</v>
      </c>
      <c r="R557" s="34">
        <f>IFERROR(__xludf.DUMMYFUNCTION("""COMPUTED_VALUE"""),20.155524774189825)</f>
        <v>20.15552477</v>
      </c>
      <c r="S557" s="35" t="str">
        <f>IFERROR(__xludf.DUMMYFUNCTION("""COMPUTED_VALUE"""),"%")</f>
        <v>%</v>
      </c>
      <c r="T557" s="36">
        <f>IFERROR(__xludf.DUMMYFUNCTION("""COMPUTED_VALUE"""),2.0)</f>
        <v>2</v>
      </c>
      <c r="U557" s="37" t="str">
        <f>IFERROR(__xludf.DUMMYFUNCTION("""COMPUTED_VALUE"""),"B112")</f>
        <v>B112</v>
      </c>
      <c r="V557" s="38" t="str">
        <f>IFERROR(__xludf.DUMMYFUNCTION("""COMPUTED_VALUE"""),"")</f>
        <v/>
      </c>
      <c r="W557" s="34">
        <f>IFERROR(__xludf.DUMMYFUNCTION("""COMPUTED_VALUE"""),141.2613216030159)</f>
        <v>141.2613216</v>
      </c>
      <c r="X557" s="35" t="str">
        <f>IFERROR(__xludf.DUMMYFUNCTION("""COMPUTED_VALUE"""),"AP")</f>
        <v>AP</v>
      </c>
      <c r="Y557" s="34">
        <f>IFERROR(__xludf.DUMMYFUNCTION("""COMPUTED_VALUE"""),14.866065078320531)</f>
        <v>14.86606508</v>
      </c>
      <c r="Z557" s="35" t="str">
        <f>IFERROR(__xludf.DUMMYFUNCTION("""COMPUTED_VALUE"""),"%")</f>
        <v>%</v>
      </c>
      <c r="AA557" s="36">
        <f>IFERROR(__xludf.DUMMYFUNCTION("""COMPUTED_VALUE"""),3.0)</f>
        <v>3</v>
      </c>
      <c r="AB557" s="37" t="str">
        <f>IFERROR(__xludf.DUMMYFUNCTION("""COMPUTED_VALUE"""),"B116")</f>
        <v>B116</v>
      </c>
      <c r="AC557" s="38" t="str">
        <f>IFERROR(__xludf.DUMMYFUNCTION("""COMPUTED_VALUE"""),"")</f>
        <v/>
      </c>
      <c r="AD557" s="34">
        <f>IFERROR(__xludf.DUMMYFUNCTION("""COMPUTED_VALUE"""),104.51356772668363)</f>
        <v>104.5135677</v>
      </c>
      <c r="AE557" s="35" t="str">
        <f>IFERROR(__xludf.DUMMYFUNCTION("""COMPUTED_VALUE"""),"AP")</f>
        <v>AP</v>
      </c>
      <c r="AF557" s="34">
        <f>IFERROR(__xludf.DUMMYFUNCTION("""COMPUTED_VALUE"""),20.093085000138633)</f>
        <v>20.093085</v>
      </c>
      <c r="AG557" s="35" t="str">
        <f>IFERROR(__xludf.DUMMYFUNCTION("""COMPUTED_VALUE"""),"%")</f>
        <v>%</v>
      </c>
      <c r="AH557" s="31">
        <f>IFERROR(__xludf.DUMMYFUNCTION("""COMPUTED_VALUE"""),21.0)</f>
        <v>21</v>
      </c>
      <c r="AI557" s="32">
        <f>IFERROR(__xludf.DUMMYFUNCTION("""COMPUTED_VALUE"""),69306.0)</f>
        <v>69306</v>
      </c>
      <c r="AJ557" s="30" t="str">
        <f>IFERROR(__xludf.DUMMYFUNCTION("""COMPUTED_VALUE"""),"Prison Camp")</f>
        <v>Prison Camp</v>
      </c>
    </row>
    <row r="558" ht="24.75" customHeight="1">
      <c r="A558" s="40">
        <f>IFERROR(__xludf.DUMMYFUNCTION("""COMPUTED_VALUE"""),4.0)</f>
        <v>4</v>
      </c>
      <c r="B558" s="40" t="str">
        <f>IFERROR(__xludf.DUMMYFUNCTION("""COMPUTED_VALUE"""),"A216")</f>
        <v>A216</v>
      </c>
      <c r="C558" s="40" t="str">
        <f>IFERROR(__xludf.DUMMYFUNCTION("""COMPUTED_VALUE"""),"SIN10")</f>
        <v>SIN10</v>
      </c>
      <c r="D558" s="41" t="str">
        <f>IFERROR(__xludf.DUMMYFUNCTION("""COMPUTED_VALUE"""),"SIN")</f>
        <v>SIN</v>
      </c>
      <c r="E558" s="42" t="str">
        <f>IFERROR(__xludf.DUMMYFUNCTION("""COMPUTED_VALUE"""),"Xianyang")</f>
        <v>Xianyang</v>
      </c>
      <c r="F558" s="43">
        <f>IFERROR(__xludf.DUMMYFUNCTION("""COMPUTED_VALUE"""),21.0)</f>
        <v>21</v>
      </c>
      <c r="G558" s="44">
        <f>IFERROR(__xludf.DUMMYFUNCTION("""COMPUTED_VALUE"""),10370.0)</f>
        <v>10370</v>
      </c>
      <c r="H558" s="33" t="str">
        <f>IFERROR(__xludf.DUMMYFUNCTION("""COMPUTED_VALUE"""),"")</f>
        <v/>
      </c>
      <c r="I558" s="45">
        <f>IFERROR(__xludf.DUMMYFUNCTION("""COMPUTED_VALUE"""),105.45389920840572)</f>
        <v>105.4538992</v>
      </c>
      <c r="J558" s="46" t="str">
        <f>IFERROR(__xludf.DUMMYFUNCTION("""COMPUTED_VALUE"""),"AP")</f>
        <v>AP</v>
      </c>
      <c r="K558" s="47">
        <f>IFERROR(__xludf.DUMMYFUNCTION("""COMPUTED_VALUE"""),19.913915139826422)</f>
        <v>19.91391514</v>
      </c>
      <c r="L558" s="48" t="str">
        <f>IFERROR(__xludf.DUMMYFUNCTION("""COMPUTED_VALUE"""),"%")</f>
        <v>%</v>
      </c>
      <c r="M558" s="49">
        <f>IFERROR(__xludf.DUMMYFUNCTION("""COMPUTED_VALUE"""),1.0)</f>
        <v>1</v>
      </c>
      <c r="N558" s="50" t="str">
        <f>IFERROR(__xludf.DUMMYFUNCTION("""COMPUTED_VALUE"""),"A113")</f>
        <v>A113</v>
      </c>
      <c r="O558" s="38" t="str">
        <f>IFERROR(__xludf.DUMMYFUNCTION("""COMPUTED_VALUE"""),"")</f>
        <v/>
      </c>
      <c r="P558" s="45">
        <f>IFERROR(__xludf.DUMMYFUNCTION("""COMPUTED_VALUE"""),131.9024368970674)</f>
        <v>131.9024369</v>
      </c>
      <c r="Q558" s="46" t="str">
        <f>IFERROR(__xludf.DUMMYFUNCTION("""COMPUTED_VALUE"""),"AP")</f>
        <v>AP</v>
      </c>
      <c r="R558" s="47">
        <f>IFERROR(__xludf.DUMMYFUNCTION("""COMPUTED_VALUE"""),15.920858244937321)</f>
        <v>15.92085824</v>
      </c>
      <c r="S558" s="48" t="str">
        <f>IFERROR(__xludf.DUMMYFUNCTION("""COMPUTED_VALUE"""),"%")</f>
        <v>%</v>
      </c>
      <c r="T558" s="49">
        <f>IFERROR(__xludf.DUMMYFUNCTION("""COMPUTED_VALUE"""),2.0)</f>
        <v>2</v>
      </c>
      <c r="U558" s="50" t="str">
        <f>IFERROR(__xludf.DUMMYFUNCTION("""COMPUTED_VALUE"""),"A304")</f>
        <v>A304</v>
      </c>
      <c r="V558" s="38" t="str">
        <f>IFERROR(__xludf.DUMMYFUNCTION("""COMPUTED_VALUE"""),"")</f>
        <v/>
      </c>
      <c r="W558" s="45">
        <f>IFERROR(__xludf.DUMMYFUNCTION("""COMPUTED_VALUE"""),70.58722856395492)</f>
        <v>70.58722856</v>
      </c>
      <c r="X558" s="46" t="str">
        <f>IFERROR(__xludf.DUMMYFUNCTION("""COMPUTED_VALUE"""),"AP")</f>
        <v>AP</v>
      </c>
      <c r="Y558" s="47">
        <f>IFERROR(__xludf.DUMMYFUNCTION("""COMPUTED_VALUE"""),29.750424300867884)</f>
        <v>29.7504243</v>
      </c>
      <c r="Z558" s="48" t="str">
        <f>IFERROR(__xludf.DUMMYFUNCTION("""COMPUTED_VALUE"""),"%")</f>
        <v>%</v>
      </c>
      <c r="AA558" s="49">
        <f>IFERROR(__xludf.DUMMYFUNCTION("""COMPUTED_VALUE"""),3.0)</f>
        <v>3</v>
      </c>
      <c r="AB558" s="50" t="str">
        <f>IFERROR(__xludf.DUMMYFUNCTION("""COMPUTED_VALUE"""),"B112")</f>
        <v>B112</v>
      </c>
      <c r="AC558" s="38" t="str">
        <f>IFERROR(__xludf.DUMMYFUNCTION("""COMPUTED_VALUE"""),"")</f>
        <v/>
      </c>
      <c r="AD558" s="45">
        <f>IFERROR(__xludf.DUMMYFUNCTION("""COMPUTED_VALUE"""),137.410899695645)</f>
        <v>137.4108997</v>
      </c>
      <c r="AE558" s="46" t="str">
        <f>IFERROR(__xludf.DUMMYFUNCTION("""COMPUTED_VALUE"""),"AP")</f>
        <v>AP</v>
      </c>
      <c r="AF558" s="47">
        <f>IFERROR(__xludf.DUMMYFUNCTION("""COMPUTED_VALUE"""),15.28263045108754)</f>
        <v>15.28263045</v>
      </c>
      <c r="AG558" s="48" t="str">
        <f>IFERROR(__xludf.DUMMYFUNCTION("""COMPUTED_VALUE"""),"%")</f>
        <v>%</v>
      </c>
      <c r="AH558" s="43">
        <f>IFERROR(__xludf.DUMMYFUNCTION("""COMPUTED_VALUE"""),21.0)</f>
        <v>21</v>
      </c>
      <c r="AI558" s="44">
        <f>IFERROR(__xludf.DUMMYFUNCTION("""COMPUTED_VALUE"""),10370.0)</f>
        <v>10370</v>
      </c>
      <c r="AJ558" s="42" t="str">
        <f>IFERROR(__xludf.DUMMYFUNCTION("""COMPUTED_VALUE"""),"Xianyang")</f>
        <v>Xianyang</v>
      </c>
    </row>
    <row r="559" ht="24.75" customHeight="1">
      <c r="A559" s="28">
        <f>IFERROR(__xludf.DUMMYFUNCTION("""COMPUTED_VALUE"""),5.0)</f>
        <v>5</v>
      </c>
      <c r="B559" s="28" t="str">
        <f>IFERROR(__xludf.DUMMYFUNCTION("""COMPUTED_VALUE"""),"A216")</f>
        <v>A216</v>
      </c>
      <c r="C559" s="28"/>
      <c r="D559" s="29"/>
      <c r="E559" s="67"/>
      <c r="F559" s="31"/>
      <c r="G559" s="32"/>
      <c r="H559" s="33" t="str">
        <f>IFERROR(__xludf.DUMMYFUNCTION("""COMPUTED_VALUE""")," ")</f>
        <v> </v>
      </c>
      <c r="I559" s="34"/>
      <c r="J559" s="35" t="str">
        <f>IFERROR(__xludf.DUMMYFUNCTION("""COMPUTED_VALUE"""),"AP")</f>
        <v>AP</v>
      </c>
      <c r="K559" s="34"/>
      <c r="L559" s="35" t="str">
        <f>IFERROR(__xludf.DUMMYFUNCTION("""COMPUTED_VALUE"""),"%")</f>
        <v>%</v>
      </c>
      <c r="M559" s="36">
        <f>IFERROR(__xludf.DUMMYFUNCTION("""COMPUTED_VALUE"""),1.0)</f>
        <v>1</v>
      </c>
      <c r="N559" s="37"/>
      <c r="O559" s="38"/>
      <c r="P559" s="34" t="str">
        <f>IFERROR(__xludf.DUMMYFUNCTION("""COMPUTED_VALUE"""),"")</f>
        <v/>
      </c>
      <c r="Q559" s="35" t="str">
        <f>IFERROR(__xludf.DUMMYFUNCTION("""COMPUTED_VALUE"""),"AP")</f>
        <v>AP</v>
      </c>
      <c r="R559" s="34" t="str">
        <f>IFERROR(__xludf.DUMMYFUNCTION("""COMPUTED_VALUE"""),"")</f>
        <v/>
      </c>
      <c r="S559" s="35" t="str">
        <f>IFERROR(__xludf.DUMMYFUNCTION("""COMPUTED_VALUE"""),"%")</f>
        <v>%</v>
      </c>
      <c r="T559" s="36">
        <f>IFERROR(__xludf.DUMMYFUNCTION("""COMPUTED_VALUE"""),2.0)</f>
        <v>2</v>
      </c>
      <c r="U559" s="37"/>
      <c r="V559" s="38"/>
      <c r="W559" s="34" t="str">
        <f>IFERROR(__xludf.DUMMYFUNCTION("""COMPUTED_VALUE"""),"")</f>
        <v/>
      </c>
      <c r="X559" s="35" t="str">
        <f>IFERROR(__xludf.DUMMYFUNCTION("""COMPUTED_VALUE"""),"AP")</f>
        <v>AP</v>
      </c>
      <c r="Y559" s="34" t="str">
        <f>IFERROR(__xludf.DUMMYFUNCTION("""COMPUTED_VALUE"""),"")</f>
        <v/>
      </c>
      <c r="Z559" s="35" t="str">
        <f>IFERROR(__xludf.DUMMYFUNCTION("""COMPUTED_VALUE"""),"%")</f>
        <v>%</v>
      </c>
      <c r="AA559" s="36">
        <f>IFERROR(__xludf.DUMMYFUNCTION("""COMPUTED_VALUE"""),3.0)</f>
        <v>3</v>
      </c>
      <c r="AB559" s="37"/>
      <c r="AC559" s="38"/>
      <c r="AD559" s="34" t="str">
        <f>IFERROR(__xludf.DUMMYFUNCTION("""COMPUTED_VALUE"""),"")</f>
        <v/>
      </c>
      <c r="AE559" s="35" t="str">
        <f>IFERROR(__xludf.DUMMYFUNCTION("""COMPUTED_VALUE"""),"AP")</f>
        <v>AP</v>
      </c>
      <c r="AF559" s="34" t="str">
        <f>IFERROR(__xludf.DUMMYFUNCTION("""COMPUTED_VALUE"""),"")</f>
        <v/>
      </c>
      <c r="AG559" s="35" t="str">
        <f>IFERROR(__xludf.DUMMYFUNCTION("""COMPUTED_VALUE"""),"%")</f>
        <v>%</v>
      </c>
      <c r="AH559" s="31"/>
      <c r="AI559" s="32"/>
      <c r="AJ559" s="67"/>
    </row>
    <row r="560" ht="24.75" hidden="1" customHeight="1">
      <c r="A560" s="40">
        <f>IFERROR(__xludf.DUMMYFUNCTION("""COMPUTED_VALUE"""),6.0)</f>
        <v>6</v>
      </c>
      <c r="B560" s="40" t="str">
        <f>IFERROR(__xludf.DUMMYFUNCTION("""COMPUTED_VALUE"""),"A216")</f>
        <v>A216</v>
      </c>
      <c r="C560" s="40"/>
      <c r="D560" s="41"/>
      <c r="E560" s="66"/>
      <c r="F560" s="43"/>
      <c r="G560" s="44"/>
      <c r="H560" s="33" t="str">
        <f>IFERROR(__xludf.DUMMYFUNCTION("""COMPUTED_VALUE""")," ")</f>
        <v> </v>
      </c>
      <c r="I560" s="45"/>
      <c r="J560" s="46" t="str">
        <f>IFERROR(__xludf.DUMMYFUNCTION("""COMPUTED_VALUE"""),"AP")</f>
        <v>AP</v>
      </c>
      <c r="K560" s="47"/>
      <c r="L560" s="48" t="str">
        <f>IFERROR(__xludf.DUMMYFUNCTION("""COMPUTED_VALUE"""),"%")</f>
        <v>%</v>
      </c>
      <c r="M560" s="49">
        <f>IFERROR(__xludf.DUMMYFUNCTION("""COMPUTED_VALUE"""),1.0)</f>
        <v>1</v>
      </c>
      <c r="N560" s="50"/>
      <c r="O560" s="38"/>
      <c r="P560" s="45" t="str">
        <f>IFERROR(__xludf.DUMMYFUNCTION("""COMPUTED_VALUE"""),"")</f>
        <v/>
      </c>
      <c r="Q560" s="46" t="str">
        <f>IFERROR(__xludf.DUMMYFUNCTION("""COMPUTED_VALUE"""),"AP")</f>
        <v>AP</v>
      </c>
      <c r="R560" s="47" t="str">
        <f>IFERROR(__xludf.DUMMYFUNCTION("""COMPUTED_VALUE"""),"")</f>
        <v/>
      </c>
      <c r="S560" s="48" t="str">
        <f>IFERROR(__xludf.DUMMYFUNCTION("""COMPUTED_VALUE"""),"%")</f>
        <v>%</v>
      </c>
      <c r="T560" s="49">
        <f>IFERROR(__xludf.DUMMYFUNCTION("""COMPUTED_VALUE"""),2.0)</f>
        <v>2</v>
      </c>
      <c r="U560" s="50"/>
      <c r="V560" s="38"/>
      <c r="W560" s="45" t="str">
        <f>IFERROR(__xludf.DUMMYFUNCTION("""COMPUTED_VALUE"""),"")</f>
        <v/>
      </c>
      <c r="X560" s="46" t="str">
        <f>IFERROR(__xludf.DUMMYFUNCTION("""COMPUTED_VALUE"""),"AP")</f>
        <v>AP</v>
      </c>
      <c r="Y560" s="47" t="str">
        <f>IFERROR(__xludf.DUMMYFUNCTION("""COMPUTED_VALUE"""),"")</f>
        <v/>
      </c>
      <c r="Z560" s="48" t="str">
        <f>IFERROR(__xludf.DUMMYFUNCTION("""COMPUTED_VALUE"""),"%")</f>
        <v>%</v>
      </c>
      <c r="AA560" s="49">
        <f>IFERROR(__xludf.DUMMYFUNCTION("""COMPUTED_VALUE"""),3.0)</f>
        <v>3</v>
      </c>
      <c r="AB560" s="50"/>
      <c r="AC560" s="38"/>
      <c r="AD560" s="45" t="str">
        <f>IFERROR(__xludf.DUMMYFUNCTION("""COMPUTED_VALUE"""),"")</f>
        <v/>
      </c>
      <c r="AE560" s="46" t="str">
        <f>IFERROR(__xludf.DUMMYFUNCTION("""COMPUTED_VALUE"""),"AP")</f>
        <v>AP</v>
      </c>
      <c r="AF560" s="47" t="str">
        <f>IFERROR(__xludf.DUMMYFUNCTION("""COMPUTED_VALUE"""),"")</f>
        <v/>
      </c>
      <c r="AG560" s="48" t="str">
        <f>IFERROR(__xludf.DUMMYFUNCTION("""COMPUTED_VALUE"""),"%")</f>
        <v>%</v>
      </c>
      <c r="AH560" s="43"/>
      <c r="AI560" s="44"/>
      <c r="AJ560" s="66"/>
    </row>
    <row r="561" ht="24.75" hidden="1" customHeight="1">
      <c r="A561" s="28">
        <f>IFERROR(__xludf.DUMMYFUNCTION("""COMPUTED_VALUE"""),7.0)</f>
        <v>7</v>
      </c>
      <c r="B561" s="28" t="str">
        <f>IFERROR(__xludf.DUMMYFUNCTION("""COMPUTED_VALUE"""),"A216")</f>
        <v>A216</v>
      </c>
      <c r="C561" s="28"/>
      <c r="D561" s="29"/>
      <c r="E561" s="67"/>
      <c r="F561" s="31"/>
      <c r="G561" s="32"/>
      <c r="H561" s="33" t="str">
        <f>IFERROR(__xludf.DUMMYFUNCTION("""COMPUTED_VALUE""")," ")</f>
        <v> </v>
      </c>
      <c r="I561" s="34"/>
      <c r="J561" s="35" t="str">
        <f>IFERROR(__xludf.DUMMYFUNCTION("""COMPUTED_VALUE"""),"AP")</f>
        <v>AP</v>
      </c>
      <c r="K561" s="34"/>
      <c r="L561" s="35" t="str">
        <f>IFERROR(__xludf.DUMMYFUNCTION("""COMPUTED_VALUE"""),"%")</f>
        <v>%</v>
      </c>
      <c r="M561" s="36">
        <f>IFERROR(__xludf.DUMMYFUNCTION("""COMPUTED_VALUE"""),1.0)</f>
        <v>1</v>
      </c>
      <c r="N561" s="37"/>
      <c r="O561" s="38"/>
      <c r="P561" s="34" t="str">
        <f>IFERROR(__xludf.DUMMYFUNCTION("""COMPUTED_VALUE"""),"")</f>
        <v/>
      </c>
      <c r="Q561" s="35" t="str">
        <f>IFERROR(__xludf.DUMMYFUNCTION("""COMPUTED_VALUE"""),"AP")</f>
        <v>AP</v>
      </c>
      <c r="R561" s="34" t="str">
        <f>IFERROR(__xludf.DUMMYFUNCTION("""COMPUTED_VALUE"""),"")</f>
        <v/>
      </c>
      <c r="S561" s="35" t="str">
        <f>IFERROR(__xludf.DUMMYFUNCTION("""COMPUTED_VALUE"""),"%")</f>
        <v>%</v>
      </c>
      <c r="T561" s="36">
        <f>IFERROR(__xludf.DUMMYFUNCTION("""COMPUTED_VALUE"""),2.0)</f>
        <v>2</v>
      </c>
      <c r="U561" s="37"/>
      <c r="V561" s="38"/>
      <c r="W561" s="34" t="str">
        <f>IFERROR(__xludf.DUMMYFUNCTION("""COMPUTED_VALUE"""),"")</f>
        <v/>
      </c>
      <c r="X561" s="35" t="str">
        <f>IFERROR(__xludf.DUMMYFUNCTION("""COMPUTED_VALUE"""),"AP")</f>
        <v>AP</v>
      </c>
      <c r="Y561" s="34" t="str">
        <f>IFERROR(__xludf.DUMMYFUNCTION("""COMPUTED_VALUE"""),"")</f>
        <v/>
      </c>
      <c r="Z561" s="35" t="str">
        <f>IFERROR(__xludf.DUMMYFUNCTION("""COMPUTED_VALUE"""),"%")</f>
        <v>%</v>
      </c>
      <c r="AA561" s="36">
        <f>IFERROR(__xludf.DUMMYFUNCTION("""COMPUTED_VALUE"""),3.0)</f>
        <v>3</v>
      </c>
      <c r="AB561" s="37"/>
      <c r="AC561" s="38"/>
      <c r="AD561" s="34" t="str">
        <f>IFERROR(__xludf.DUMMYFUNCTION("""COMPUTED_VALUE"""),"")</f>
        <v/>
      </c>
      <c r="AE561" s="35" t="str">
        <f>IFERROR(__xludf.DUMMYFUNCTION("""COMPUTED_VALUE"""),"AP")</f>
        <v>AP</v>
      </c>
      <c r="AF561" s="34" t="str">
        <f>IFERROR(__xludf.DUMMYFUNCTION("""COMPUTED_VALUE"""),"")</f>
        <v/>
      </c>
      <c r="AG561" s="35" t="str">
        <f>IFERROR(__xludf.DUMMYFUNCTION("""COMPUTED_VALUE"""),"%")</f>
        <v>%</v>
      </c>
      <c r="AH561" s="31"/>
      <c r="AI561" s="32"/>
      <c r="AJ561" s="67"/>
    </row>
    <row r="562" ht="24.75" hidden="1" customHeight="1">
      <c r="A562" s="40">
        <f>IFERROR(__xludf.DUMMYFUNCTION("""COMPUTED_VALUE"""),8.0)</f>
        <v>8</v>
      </c>
      <c r="B562" s="40" t="str">
        <f>IFERROR(__xludf.DUMMYFUNCTION("""COMPUTED_VALUE"""),"A216")</f>
        <v>A216</v>
      </c>
      <c r="C562" s="40"/>
      <c r="D562" s="41"/>
      <c r="E562" s="66"/>
      <c r="F562" s="43"/>
      <c r="G562" s="44"/>
      <c r="H562" s="33" t="str">
        <f>IFERROR(__xludf.DUMMYFUNCTION("""COMPUTED_VALUE""")," ")</f>
        <v> </v>
      </c>
      <c r="I562" s="45"/>
      <c r="J562" s="46" t="str">
        <f>IFERROR(__xludf.DUMMYFUNCTION("""COMPUTED_VALUE"""),"AP")</f>
        <v>AP</v>
      </c>
      <c r="K562" s="47"/>
      <c r="L562" s="48" t="str">
        <f>IFERROR(__xludf.DUMMYFUNCTION("""COMPUTED_VALUE"""),"%")</f>
        <v>%</v>
      </c>
      <c r="M562" s="49">
        <f>IFERROR(__xludf.DUMMYFUNCTION("""COMPUTED_VALUE"""),1.0)</f>
        <v>1</v>
      </c>
      <c r="N562" s="50"/>
      <c r="O562" s="38"/>
      <c r="P562" s="45" t="str">
        <f>IFERROR(__xludf.DUMMYFUNCTION("""COMPUTED_VALUE"""),"")</f>
        <v/>
      </c>
      <c r="Q562" s="46" t="str">
        <f>IFERROR(__xludf.DUMMYFUNCTION("""COMPUTED_VALUE"""),"AP")</f>
        <v>AP</v>
      </c>
      <c r="R562" s="47" t="str">
        <f>IFERROR(__xludf.DUMMYFUNCTION("""COMPUTED_VALUE"""),"")</f>
        <v/>
      </c>
      <c r="S562" s="48" t="str">
        <f>IFERROR(__xludf.DUMMYFUNCTION("""COMPUTED_VALUE"""),"%")</f>
        <v>%</v>
      </c>
      <c r="T562" s="49">
        <f>IFERROR(__xludf.DUMMYFUNCTION("""COMPUTED_VALUE"""),2.0)</f>
        <v>2</v>
      </c>
      <c r="U562" s="50"/>
      <c r="V562" s="38"/>
      <c r="W562" s="45" t="str">
        <f>IFERROR(__xludf.DUMMYFUNCTION("""COMPUTED_VALUE"""),"")</f>
        <v/>
      </c>
      <c r="X562" s="46" t="str">
        <f>IFERROR(__xludf.DUMMYFUNCTION("""COMPUTED_VALUE"""),"AP")</f>
        <v>AP</v>
      </c>
      <c r="Y562" s="47" t="str">
        <f>IFERROR(__xludf.DUMMYFUNCTION("""COMPUTED_VALUE"""),"")</f>
        <v/>
      </c>
      <c r="Z562" s="48" t="str">
        <f>IFERROR(__xludf.DUMMYFUNCTION("""COMPUTED_VALUE"""),"%")</f>
        <v>%</v>
      </c>
      <c r="AA562" s="49">
        <f>IFERROR(__xludf.DUMMYFUNCTION("""COMPUTED_VALUE"""),3.0)</f>
        <v>3</v>
      </c>
      <c r="AB562" s="50"/>
      <c r="AC562" s="38"/>
      <c r="AD562" s="45" t="str">
        <f>IFERROR(__xludf.DUMMYFUNCTION("""COMPUTED_VALUE"""),"")</f>
        <v/>
      </c>
      <c r="AE562" s="46" t="str">
        <f>IFERROR(__xludf.DUMMYFUNCTION("""COMPUTED_VALUE"""),"AP")</f>
        <v>AP</v>
      </c>
      <c r="AF562" s="47" t="str">
        <f>IFERROR(__xludf.DUMMYFUNCTION("""COMPUTED_VALUE"""),"")</f>
        <v/>
      </c>
      <c r="AG562" s="48" t="str">
        <f>IFERROR(__xludf.DUMMYFUNCTION("""COMPUTED_VALUE"""),"%")</f>
        <v>%</v>
      </c>
      <c r="AH562" s="43"/>
      <c r="AI562" s="44"/>
      <c r="AJ562" s="66"/>
    </row>
    <row r="563" ht="24.75" hidden="1" customHeight="1">
      <c r="A563" s="28">
        <f>IFERROR(__xludf.DUMMYFUNCTION("""COMPUTED_VALUE"""),9.0)</f>
        <v>9</v>
      </c>
      <c r="B563" s="28" t="str">
        <f>IFERROR(__xludf.DUMMYFUNCTION("""COMPUTED_VALUE"""),"A216")</f>
        <v>A216</v>
      </c>
      <c r="C563" s="28"/>
      <c r="D563" s="29"/>
      <c r="E563" s="67"/>
      <c r="F563" s="31"/>
      <c r="G563" s="32"/>
      <c r="H563" s="33" t="str">
        <f>IFERROR(__xludf.DUMMYFUNCTION("""COMPUTED_VALUE""")," ")</f>
        <v> </v>
      </c>
      <c r="I563" s="34"/>
      <c r="J563" s="35" t="str">
        <f>IFERROR(__xludf.DUMMYFUNCTION("""COMPUTED_VALUE"""),"AP")</f>
        <v>AP</v>
      </c>
      <c r="K563" s="34"/>
      <c r="L563" s="35" t="str">
        <f>IFERROR(__xludf.DUMMYFUNCTION("""COMPUTED_VALUE"""),"%")</f>
        <v>%</v>
      </c>
      <c r="M563" s="36">
        <f>IFERROR(__xludf.DUMMYFUNCTION("""COMPUTED_VALUE"""),1.0)</f>
        <v>1</v>
      </c>
      <c r="N563" s="37"/>
      <c r="O563" s="38"/>
      <c r="P563" s="34" t="str">
        <f>IFERROR(__xludf.DUMMYFUNCTION("""COMPUTED_VALUE"""),"")</f>
        <v/>
      </c>
      <c r="Q563" s="35" t="str">
        <f>IFERROR(__xludf.DUMMYFUNCTION("""COMPUTED_VALUE"""),"AP")</f>
        <v>AP</v>
      </c>
      <c r="R563" s="34" t="str">
        <f>IFERROR(__xludf.DUMMYFUNCTION("""COMPUTED_VALUE"""),"")</f>
        <v/>
      </c>
      <c r="S563" s="35" t="str">
        <f>IFERROR(__xludf.DUMMYFUNCTION("""COMPUTED_VALUE"""),"%")</f>
        <v>%</v>
      </c>
      <c r="T563" s="36">
        <f>IFERROR(__xludf.DUMMYFUNCTION("""COMPUTED_VALUE"""),2.0)</f>
        <v>2</v>
      </c>
      <c r="U563" s="37"/>
      <c r="V563" s="38"/>
      <c r="W563" s="34" t="str">
        <f>IFERROR(__xludf.DUMMYFUNCTION("""COMPUTED_VALUE"""),"")</f>
        <v/>
      </c>
      <c r="X563" s="35" t="str">
        <f>IFERROR(__xludf.DUMMYFUNCTION("""COMPUTED_VALUE"""),"AP")</f>
        <v>AP</v>
      </c>
      <c r="Y563" s="34" t="str">
        <f>IFERROR(__xludf.DUMMYFUNCTION("""COMPUTED_VALUE"""),"")</f>
        <v/>
      </c>
      <c r="Z563" s="35" t="str">
        <f>IFERROR(__xludf.DUMMYFUNCTION("""COMPUTED_VALUE"""),"%")</f>
        <v>%</v>
      </c>
      <c r="AA563" s="36">
        <f>IFERROR(__xludf.DUMMYFUNCTION("""COMPUTED_VALUE"""),3.0)</f>
        <v>3</v>
      </c>
      <c r="AB563" s="37"/>
      <c r="AC563" s="38"/>
      <c r="AD563" s="34" t="str">
        <f>IFERROR(__xludf.DUMMYFUNCTION("""COMPUTED_VALUE"""),"")</f>
        <v/>
      </c>
      <c r="AE563" s="35" t="str">
        <f>IFERROR(__xludf.DUMMYFUNCTION("""COMPUTED_VALUE"""),"AP")</f>
        <v>AP</v>
      </c>
      <c r="AF563" s="34" t="str">
        <f>IFERROR(__xludf.DUMMYFUNCTION("""COMPUTED_VALUE"""),"")</f>
        <v/>
      </c>
      <c r="AG563" s="35" t="str">
        <f>IFERROR(__xludf.DUMMYFUNCTION("""COMPUTED_VALUE"""),"%")</f>
        <v>%</v>
      </c>
      <c r="AH563" s="31"/>
      <c r="AI563" s="32"/>
      <c r="AJ563" s="67"/>
    </row>
    <row r="564" ht="24.75" hidden="1" customHeight="1">
      <c r="A564" s="40">
        <f>IFERROR(__xludf.DUMMYFUNCTION("""COMPUTED_VALUE"""),10.0)</f>
        <v>10</v>
      </c>
      <c r="B564" s="40" t="str">
        <f>IFERROR(__xludf.DUMMYFUNCTION("""COMPUTED_VALUE"""),"A216")</f>
        <v>A216</v>
      </c>
      <c r="C564" s="40"/>
      <c r="D564" s="41"/>
      <c r="E564" s="66"/>
      <c r="F564" s="43"/>
      <c r="G564" s="44"/>
      <c r="H564" s="33" t="str">
        <f>IFERROR(__xludf.DUMMYFUNCTION("""COMPUTED_VALUE""")," ")</f>
        <v> </v>
      </c>
      <c r="I564" s="45"/>
      <c r="J564" s="46" t="str">
        <f>IFERROR(__xludf.DUMMYFUNCTION("""COMPUTED_VALUE"""),"AP")</f>
        <v>AP</v>
      </c>
      <c r="K564" s="47"/>
      <c r="L564" s="48" t="str">
        <f>IFERROR(__xludf.DUMMYFUNCTION("""COMPUTED_VALUE"""),"%")</f>
        <v>%</v>
      </c>
      <c r="M564" s="49">
        <f>IFERROR(__xludf.DUMMYFUNCTION("""COMPUTED_VALUE"""),1.0)</f>
        <v>1</v>
      </c>
      <c r="N564" s="50"/>
      <c r="O564" s="38"/>
      <c r="P564" s="45" t="str">
        <f>IFERROR(__xludf.DUMMYFUNCTION("""COMPUTED_VALUE"""),"")</f>
        <v/>
      </c>
      <c r="Q564" s="46" t="str">
        <f>IFERROR(__xludf.DUMMYFUNCTION("""COMPUTED_VALUE"""),"AP")</f>
        <v>AP</v>
      </c>
      <c r="R564" s="47" t="str">
        <f>IFERROR(__xludf.DUMMYFUNCTION("""COMPUTED_VALUE"""),"")</f>
        <v/>
      </c>
      <c r="S564" s="48" t="str">
        <f>IFERROR(__xludf.DUMMYFUNCTION("""COMPUTED_VALUE"""),"%")</f>
        <v>%</v>
      </c>
      <c r="T564" s="49">
        <f>IFERROR(__xludf.DUMMYFUNCTION("""COMPUTED_VALUE"""),2.0)</f>
        <v>2</v>
      </c>
      <c r="U564" s="50"/>
      <c r="V564" s="38"/>
      <c r="W564" s="45" t="str">
        <f>IFERROR(__xludf.DUMMYFUNCTION("""COMPUTED_VALUE"""),"")</f>
        <v/>
      </c>
      <c r="X564" s="46" t="str">
        <f>IFERROR(__xludf.DUMMYFUNCTION("""COMPUTED_VALUE"""),"AP")</f>
        <v>AP</v>
      </c>
      <c r="Y564" s="47" t="str">
        <f>IFERROR(__xludf.DUMMYFUNCTION("""COMPUTED_VALUE"""),"")</f>
        <v/>
      </c>
      <c r="Z564" s="48" t="str">
        <f>IFERROR(__xludf.DUMMYFUNCTION("""COMPUTED_VALUE"""),"%")</f>
        <v>%</v>
      </c>
      <c r="AA564" s="49">
        <f>IFERROR(__xludf.DUMMYFUNCTION("""COMPUTED_VALUE"""),3.0)</f>
        <v>3</v>
      </c>
      <c r="AB564" s="50"/>
      <c r="AC564" s="38"/>
      <c r="AD564" s="45" t="str">
        <f>IFERROR(__xludf.DUMMYFUNCTION("""COMPUTED_VALUE"""),"")</f>
        <v/>
      </c>
      <c r="AE564" s="46" t="str">
        <f>IFERROR(__xludf.DUMMYFUNCTION("""COMPUTED_VALUE"""),"AP")</f>
        <v>AP</v>
      </c>
      <c r="AF564" s="47" t="str">
        <f>IFERROR(__xludf.DUMMYFUNCTION("""COMPUTED_VALUE"""),"")</f>
        <v/>
      </c>
      <c r="AG564" s="48" t="str">
        <f>IFERROR(__xludf.DUMMYFUNCTION("""COMPUTED_VALUE"""),"%")</f>
        <v>%</v>
      </c>
      <c r="AH564" s="43"/>
      <c r="AI564" s="44"/>
      <c r="AJ564" s="66"/>
    </row>
    <row r="565" ht="24.75" hidden="1" customHeight="1">
      <c r="A565" s="28">
        <f>IFERROR(__xludf.DUMMYFUNCTION("""COMPUTED_VALUE"""),11.0)</f>
        <v>11</v>
      </c>
      <c r="B565" s="28" t="str">
        <f>IFERROR(__xludf.DUMMYFUNCTION("""COMPUTED_VALUE"""),"A216")</f>
        <v>A216</v>
      </c>
      <c r="C565" s="28"/>
      <c r="D565" s="29"/>
      <c r="E565" s="67"/>
      <c r="F565" s="31"/>
      <c r="G565" s="32"/>
      <c r="H565" s="33" t="str">
        <f>IFERROR(__xludf.DUMMYFUNCTION("""COMPUTED_VALUE""")," ")</f>
        <v> </v>
      </c>
      <c r="I565" s="34"/>
      <c r="J565" s="35" t="str">
        <f>IFERROR(__xludf.DUMMYFUNCTION("""COMPUTED_VALUE"""),"AP")</f>
        <v>AP</v>
      </c>
      <c r="K565" s="34"/>
      <c r="L565" s="35" t="str">
        <f>IFERROR(__xludf.DUMMYFUNCTION("""COMPUTED_VALUE"""),"%")</f>
        <v>%</v>
      </c>
      <c r="M565" s="36">
        <f>IFERROR(__xludf.DUMMYFUNCTION("""COMPUTED_VALUE"""),1.0)</f>
        <v>1</v>
      </c>
      <c r="N565" s="37"/>
      <c r="O565" s="38"/>
      <c r="P565" s="34" t="str">
        <f>IFERROR(__xludf.DUMMYFUNCTION("""COMPUTED_VALUE"""),"")</f>
        <v/>
      </c>
      <c r="Q565" s="35" t="str">
        <f>IFERROR(__xludf.DUMMYFUNCTION("""COMPUTED_VALUE"""),"AP")</f>
        <v>AP</v>
      </c>
      <c r="R565" s="34" t="str">
        <f>IFERROR(__xludf.DUMMYFUNCTION("""COMPUTED_VALUE"""),"")</f>
        <v/>
      </c>
      <c r="S565" s="35" t="str">
        <f>IFERROR(__xludf.DUMMYFUNCTION("""COMPUTED_VALUE"""),"%")</f>
        <v>%</v>
      </c>
      <c r="T565" s="36">
        <f>IFERROR(__xludf.DUMMYFUNCTION("""COMPUTED_VALUE"""),2.0)</f>
        <v>2</v>
      </c>
      <c r="U565" s="37"/>
      <c r="V565" s="38"/>
      <c r="W565" s="34" t="str">
        <f>IFERROR(__xludf.DUMMYFUNCTION("""COMPUTED_VALUE"""),"")</f>
        <v/>
      </c>
      <c r="X565" s="35" t="str">
        <f>IFERROR(__xludf.DUMMYFUNCTION("""COMPUTED_VALUE"""),"AP")</f>
        <v>AP</v>
      </c>
      <c r="Y565" s="34" t="str">
        <f>IFERROR(__xludf.DUMMYFUNCTION("""COMPUTED_VALUE"""),"")</f>
        <v/>
      </c>
      <c r="Z565" s="35" t="str">
        <f>IFERROR(__xludf.DUMMYFUNCTION("""COMPUTED_VALUE"""),"%")</f>
        <v>%</v>
      </c>
      <c r="AA565" s="36">
        <f>IFERROR(__xludf.DUMMYFUNCTION("""COMPUTED_VALUE"""),3.0)</f>
        <v>3</v>
      </c>
      <c r="AB565" s="37"/>
      <c r="AC565" s="38"/>
      <c r="AD565" s="34" t="str">
        <f>IFERROR(__xludf.DUMMYFUNCTION("""COMPUTED_VALUE"""),"")</f>
        <v/>
      </c>
      <c r="AE565" s="35" t="str">
        <f>IFERROR(__xludf.DUMMYFUNCTION("""COMPUTED_VALUE"""),"AP")</f>
        <v>AP</v>
      </c>
      <c r="AF565" s="34" t="str">
        <f>IFERROR(__xludf.DUMMYFUNCTION("""COMPUTED_VALUE"""),"")</f>
        <v/>
      </c>
      <c r="AG565" s="35" t="str">
        <f>IFERROR(__xludf.DUMMYFUNCTION("""COMPUTED_VALUE"""),"%")</f>
        <v>%</v>
      </c>
      <c r="AH565" s="31"/>
      <c r="AI565" s="32"/>
      <c r="AJ565" s="67"/>
    </row>
    <row r="566" ht="24.75" hidden="1" customHeight="1">
      <c r="A566" s="40">
        <f>IFERROR(__xludf.DUMMYFUNCTION("""COMPUTED_VALUE"""),12.0)</f>
        <v>12</v>
      </c>
      <c r="B566" s="40" t="str">
        <f>IFERROR(__xludf.DUMMYFUNCTION("""COMPUTED_VALUE"""),"A216")</f>
        <v>A216</v>
      </c>
      <c r="C566" s="40"/>
      <c r="D566" s="41"/>
      <c r="E566" s="66"/>
      <c r="F566" s="43"/>
      <c r="G566" s="44"/>
      <c r="H566" s="33" t="str">
        <f>IFERROR(__xludf.DUMMYFUNCTION("""COMPUTED_VALUE""")," ")</f>
        <v> </v>
      </c>
      <c r="I566" s="45"/>
      <c r="J566" s="46" t="str">
        <f>IFERROR(__xludf.DUMMYFUNCTION("""COMPUTED_VALUE"""),"AP")</f>
        <v>AP</v>
      </c>
      <c r="K566" s="47"/>
      <c r="L566" s="48" t="str">
        <f>IFERROR(__xludf.DUMMYFUNCTION("""COMPUTED_VALUE"""),"%")</f>
        <v>%</v>
      </c>
      <c r="M566" s="49">
        <f>IFERROR(__xludf.DUMMYFUNCTION("""COMPUTED_VALUE"""),1.0)</f>
        <v>1</v>
      </c>
      <c r="N566" s="50"/>
      <c r="O566" s="38"/>
      <c r="P566" s="45" t="str">
        <f>IFERROR(__xludf.DUMMYFUNCTION("""COMPUTED_VALUE"""),"")</f>
        <v/>
      </c>
      <c r="Q566" s="46" t="str">
        <f>IFERROR(__xludf.DUMMYFUNCTION("""COMPUTED_VALUE"""),"AP")</f>
        <v>AP</v>
      </c>
      <c r="R566" s="47" t="str">
        <f>IFERROR(__xludf.DUMMYFUNCTION("""COMPUTED_VALUE"""),"")</f>
        <v/>
      </c>
      <c r="S566" s="48" t="str">
        <f>IFERROR(__xludf.DUMMYFUNCTION("""COMPUTED_VALUE"""),"%")</f>
        <v>%</v>
      </c>
      <c r="T566" s="49">
        <f>IFERROR(__xludf.DUMMYFUNCTION("""COMPUTED_VALUE"""),2.0)</f>
        <v>2</v>
      </c>
      <c r="U566" s="50"/>
      <c r="V566" s="38"/>
      <c r="W566" s="45" t="str">
        <f>IFERROR(__xludf.DUMMYFUNCTION("""COMPUTED_VALUE"""),"")</f>
        <v/>
      </c>
      <c r="X566" s="46" t="str">
        <f>IFERROR(__xludf.DUMMYFUNCTION("""COMPUTED_VALUE"""),"AP")</f>
        <v>AP</v>
      </c>
      <c r="Y566" s="47" t="str">
        <f>IFERROR(__xludf.DUMMYFUNCTION("""COMPUTED_VALUE"""),"")</f>
        <v/>
      </c>
      <c r="Z566" s="48" t="str">
        <f>IFERROR(__xludf.DUMMYFUNCTION("""COMPUTED_VALUE"""),"%")</f>
        <v>%</v>
      </c>
      <c r="AA566" s="49">
        <f>IFERROR(__xludf.DUMMYFUNCTION("""COMPUTED_VALUE"""),3.0)</f>
        <v>3</v>
      </c>
      <c r="AB566" s="50"/>
      <c r="AC566" s="38"/>
      <c r="AD566" s="45" t="str">
        <f>IFERROR(__xludf.DUMMYFUNCTION("""COMPUTED_VALUE"""),"")</f>
        <v/>
      </c>
      <c r="AE566" s="46" t="str">
        <f>IFERROR(__xludf.DUMMYFUNCTION("""COMPUTED_VALUE"""),"AP")</f>
        <v>AP</v>
      </c>
      <c r="AF566" s="47" t="str">
        <f>IFERROR(__xludf.DUMMYFUNCTION("""COMPUTED_VALUE"""),"")</f>
        <v/>
      </c>
      <c r="AG566" s="48" t="str">
        <f>IFERROR(__xludf.DUMMYFUNCTION("""COMPUTED_VALUE"""),"%")</f>
        <v>%</v>
      </c>
      <c r="AH566" s="43"/>
      <c r="AI566" s="44"/>
      <c r="AJ566" s="66"/>
    </row>
    <row r="567" ht="24.75" hidden="1" customHeight="1">
      <c r="A567" s="28">
        <f>IFERROR(__xludf.DUMMYFUNCTION("""COMPUTED_VALUE"""),13.0)</f>
        <v>13</v>
      </c>
      <c r="B567" s="28" t="str">
        <f>IFERROR(__xludf.DUMMYFUNCTION("""COMPUTED_VALUE"""),"A216")</f>
        <v>A216</v>
      </c>
      <c r="C567" s="28"/>
      <c r="D567" s="29"/>
      <c r="E567" s="67"/>
      <c r="F567" s="31"/>
      <c r="G567" s="32"/>
      <c r="H567" s="33" t="str">
        <f>IFERROR(__xludf.DUMMYFUNCTION("""COMPUTED_VALUE""")," ")</f>
        <v> </v>
      </c>
      <c r="I567" s="34"/>
      <c r="J567" s="35" t="str">
        <f>IFERROR(__xludf.DUMMYFUNCTION("""COMPUTED_VALUE"""),"AP")</f>
        <v>AP</v>
      </c>
      <c r="K567" s="34"/>
      <c r="L567" s="35" t="str">
        <f>IFERROR(__xludf.DUMMYFUNCTION("""COMPUTED_VALUE"""),"%")</f>
        <v>%</v>
      </c>
      <c r="M567" s="36">
        <f>IFERROR(__xludf.DUMMYFUNCTION("""COMPUTED_VALUE"""),1.0)</f>
        <v>1</v>
      </c>
      <c r="N567" s="37"/>
      <c r="O567" s="38"/>
      <c r="P567" s="34" t="str">
        <f>IFERROR(__xludf.DUMMYFUNCTION("""COMPUTED_VALUE"""),"")</f>
        <v/>
      </c>
      <c r="Q567" s="35" t="str">
        <f>IFERROR(__xludf.DUMMYFUNCTION("""COMPUTED_VALUE"""),"AP")</f>
        <v>AP</v>
      </c>
      <c r="R567" s="34" t="str">
        <f>IFERROR(__xludf.DUMMYFUNCTION("""COMPUTED_VALUE"""),"")</f>
        <v/>
      </c>
      <c r="S567" s="35" t="str">
        <f>IFERROR(__xludf.DUMMYFUNCTION("""COMPUTED_VALUE"""),"%")</f>
        <v>%</v>
      </c>
      <c r="T567" s="36">
        <f>IFERROR(__xludf.DUMMYFUNCTION("""COMPUTED_VALUE"""),2.0)</f>
        <v>2</v>
      </c>
      <c r="U567" s="37"/>
      <c r="V567" s="38"/>
      <c r="W567" s="34" t="str">
        <f>IFERROR(__xludf.DUMMYFUNCTION("""COMPUTED_VALUE"""),"")</f>
        <v/>
      </c>
      <c r="X567" s="35" t="str">
        <f>IFERROR(__xludf.DUMMYFUNCTION("""COMPUTED_VALUE"""),"AP")</f>
        <v>AP</v>
      </c>
      <c r="Y567" s="34" t="str">
        <f>IFERROR(__xludf.DUMMYFUNCTION("""COMPUTED_VALUE"""),"")</f>
        <v/>
      </c>
      <c r="Z567" s="35" t="str">
        <f>IFERROR(__xludf.DUMMYFUNCTION("""COMPUTED_VALUE"""),"%")</f>
        <v>%</v>
      </c>
      <c r="AA567" s="36">
        <f>IFERROR(__xludf.DUMMYFUNCTION("""COMPUTED_VALUE"""),3.0)</f>
        <v>3</v>
      </c>
      <c r="AB567" s="37"/>
      <c r="AC567" s="38"/>
      <c r="AD567" s="34" t="str">
        <f>IFERROR(__xludf.DUMMYFUNCTION("""COMPUTED_VALUE"""),"")</f>
        <v/>
      </c>
      <c r="AE567" s="35" t="str">
        <f>IFERROR(__xludf.DUMMYFUNCTION("""COMPUTED_VALUE"""),"AP")</f>
        <v>AP</v>
      </c>
      <c r="AF567" s="34" t="str">
        <f>IFERROR(__xludf.DUMMYFUNCTION("""COMPUTED_VALUE"""),"")</f>
        <v/>
      </c>
      <c r="AG567" s="35" t="str">
        <f>IFERROR(__xludf.DUMMYFUNCTION("""COMPUTED_VALUE"""),"%")</f>
        <v>%</v>
      </c>
      <c r="AH567" s="31"/>
      <c r="AI567" s="32"/>
      <c r="AJ567" s="67"/>
    </row>
    <row r="568" ht="24.75" hidden="1" customHeight="1">
      <c r="A568" s="40">
        <f>IFERROR(__xludf.DUMMYFUNCTION("""COMPUTED_VALUE"""),14.0)</f>
        <v>14</v>
      </c>
      <c r="B568" s="40" t="str">
        <f>IFERROR(__xludf.DUMMYFUNCTION("""COMPUTED_VALUE"""),"A216")</f>
        <v>A216</v>
      </c>
      <c r="C568" s="40"/>
      <c r="D568" s="41"/>
      <c r="E568" s="66"/>
      <c r="F568" s="43"/>
      <c r="G568" s="44"/>
      <c r="H568" s="33" t="str">
        <f>IFERROR(__xludf.DUMMYFUNCTION("""COMPUTED_VALUE""")," ")</f>
        <v> </v>
      </c>
      <c r="I568" s="45"/>
      <c r="J568" s="46" t="str">
        <f>IFERROR(__xludf.DUMMYFUNCTION("""COMPUTED_VALUE"""),"AP")</f>
        <v>AP</v>
      </c>
      <c r="K568" s="47"/>
      <c r="L568" s="48" t="str">
        <f>IFERROR(__xludf.DUMMYFUNCTION("""COMPUTED_VALUE"""),"%")</f>
        <v>%</v>
      </c>
      <c r="M568" s="49">
        <f>IFERROR(__xludf.DUMMYFUNCTION("""COMPUTED_VALUE"""),1.0)</f>
        <v>1</v>
      </c>
      <c r="N568" s="50"/>
      <c r="O568" s="38"/>
      <c r="P568" s="45" t="str">
        <f>IFERROR(__xludf.DUMMYFUNCTION("""COMPUTED_VALUE"""),"")</f>
        <v/>
      </c>
      <c r="Q568" s="46" t="str">
        <f>IFERROR(__xludf.DUMMYFUNCTION("""COMPUTED_VALUE"""),"AP")</f>
        <v>AP</v>
      </c>
      <c r="R568" s="47" t="str">
        <f>IFERROR(__xludf.DUMMYFUNCTION("""COMPUTED_VALUE"""),"")</f>
        <v/>
      </c>
      <c r="S568" s="48" t="str">
        <f>IFERROR(__xludf.DUMMYFUNCTION("""COMPUTED_VALUE"""),"%")</f>
        <v>%</v>
      </c>
      <c r="T568" s="49">
        <f>IFERROR(__xludf.DUMMYFUNCTION("""COMPUTED_VALUE"""),2.0)</f>
        <v>2</v>
      </c>
      <c r="U568" s="50"/>
      <c r="V568" s="38"/>
      <c r="W568" s="45" t="str">
        <f>IFERROR(__xludf.DUMMYFUNCTION("""COMPUTED_VALUE"""),"")</f>
        <v/>
      </c>
      <c r="X568" s="46" t="str">
        <f>IFERROR(__xludf.DUMMYFUNCTION("""COMPUTED_VALUE"""),"AP")</f>
        <v>AP</v>
      </c>
      <c r="Y568" s="47" t="str">
        <f>IFERROR(__xludf.DUMMYFUNCTION("""COMPUTED_VALUE"""),"")</f>
        <v/>
      </c>
      <c r="Z568" s="48" t="str">
        <f>IFERROR(__xludf.DUMMYFUNCTION("""COMPUTED_VALUE"""),"%")</f>
        <v>%</v>
      </c>
      <c r="AA568" s="49">
        <f>IFERROR(__xludf.DUMMYFUNCTION("""COMPUTED_VALUE"""),3.0)</f>
        <v>3</v>
      </c>
      <c r="AB568" s="50"/>
      <c r="AC568" s="38"/>
      <c r="AD568" s="45" t="str">
        <f>IFERROR(__xludf.DUMMYFUNCTION("""COMPUTED_VALUE"""),"")</f>
        <v/>
      </c>
      <c r="AE568" s="46" t="str">
        <f>IFERROR(__xludf.DUMMYFUNCTION("""COMPUTED_VALUE"""),"AP")</f>
        <v>AP</v>
      </c>
      <c r="AF568" s="47" t="str">
        <f>IFERROR(__xludf.DUMMYFUNCTION("""COMPUTED_VALUE"""),"")</f>
        <v/>
      </c>
      <c r="AG568" s="48" t="str">
        <f>IFERROR(__xludf.DUMMYFUNCTION("""COMPUTED_VALUE"""),"%")</f>
        <v>%</v>
      </c>
      <c r="AH568" s="43"/>
      <c r="AI568" s="44"/>
      <c r="AJ568" s="66"/>
    </row>
    <row r="569" ht="24.75" hidden="1" customHeight="1">
      <c r="A569" s="28">
        <f>IFERROR(__xludf.DUMMYFUNCTION("""COMPUTED_VALUE"""),15.0)</f>
        <v>15</v>
      </c>
      <c r="B569" s="28" t="str">
        <f>IFERROR(__xludf.DUMMYFUNCTION("""COMPUTED_VALUE"""),"A216")</f>
        <v>A216</v>
      </c>
      <c r="C569" s="28"/>
      <c r="D569" s="29"/>
      <c r="E569" s="67"/>
      <c r="F569" s="31"/>
      <c r="G569" s="32"/>
      <c r="H569" s="33" t="str">
        <f>IFERROR(__xludf.DUMMYFUNCTION("""COMPUTED_VALUE""")," ")</f>
        <v> </v>
      </c>
      <c r="I569" s="34"/>
      <c r="J569" s="35" t="str">
        <f>IFERROR(__xludf.DUMMYFUNCTION("""COMPUTED_VALUE"""),"AP")</f>
        <v>AP</v>
      </c>
      <c r="K569" s="34"/>
      <c r="L569" s="35" t="str">
        <f>IFERROR(__xludf.DUMMYFUNCTION("""COMPUTED_VALUE"""),"%")</f>
        <v>%</v>
      </c>
      <c r="M569" s="36">
        <f>IFERROR(__xludf.DUMMYFUNCTION("""COMPUTED_VALUE"""),1.0)</f>
        <v>1</v>
      </c>
      <c r="N569" s="37"/>
      <c r="O569" s="38"/>
      <c r="P569" s="34" t="str">
        <f>IFERROR(__xludf.DUMMYFUNCTION("""COMPUTED_VALUE"""),"")</f>
        <v/>
      </c>
      <c r="Q569" s="35" t="str">
        <f>IFERROR(__xludf.DUMMYFUNCTION("""COMPUTED_VALUE"""),"AP")</f>
        <v>AP</v>
      </c>
      <c r="R569" s="34" t="str">
        <f>IFERROR(__xludf.DUMMYFUNCTION("""COMPUTED_VALUE"""),"")</f>
        <v/>
      </c>
      <c r="S569" s="35" t="str">
        <f>IFERROR(__xludf.DUMMYFUNCTION("""COMPUTED_VALUE"""),"%")</f>
        <v>%</v>
      </c>
      <c r="T569" s="36">
        <f>IFERROR(__xludf.DUMMYFUNCTION("""COMPUTED_VALUE"""),2.0)</f>
        <v>2</v>
      </c>
      <c r="U569" s="37"/>
      <c r="V569" s="38"/>
      <c r="W569" s="34" t="str">
        <f>IFERROR(__xludf.DUMMYFUNCTION("""COMPUTED_VALUE"""),"")</f>
        <v/>
      </c>
      <c r="X569" s="35" t="str">
        <f>IFERROR(__xludf.DUMMYFUNCTION("""COMPUTED_VALUE"""),"AP")</f>
        <v>AP</v>
      </c>
      <c r="Y569" s="34" t="str">
        <f>IFERROR(__xludf.DUMMYFUNCTION("""COMPUTED_VALUE"""),"")</f>
        <v/>
      </c>
      <c r="Z569" s="35" t="str">
        <f>IFERROR(__xludf.DUMMYFUNCTION("""COMPUTED_VALUE"""),"%")</f>
        <v>%</v>
      </c>
      <c r="AA569" s="36">
        <f>IFERROR(__xludf.DUMMYFUNCTION("""COMPUTED_VALUE"""),3.0)</f>
        <v>3</v>
      </c>
      <c r="AB569" s="37"/>
      <c r="AC569" s="38"/>
      <c r="AD569" s="34" t="str">
        <f>IFERROR(__xludf.DUMMYFUNCTION("""COMPUTED_VALUE"""),"")</f>
        <v/>
      </c>
      <c r="AE569" s="35" t="str">
        <f>IFERROR(__xludf.DUMMYFUNCTION("""COMPUTED_VALUE"""),"AP")</f>
        <v>AP</v>
      </c>
      <c r="AF569" s="34" t="str">
        <f>IFERROR(__xludf.DUMMYFUNCTION("""COMPUTED_VALUE"""),"")</f>
        <v/>
      </c>
      <c r="AG569" s="35" t="str">
        <f>IFERROR(__xludf.DUMMYFUNCTION("""COMPUTED_VALUE"""),"%")</f>
        <v>%</v>
      </c>
      <c r="AH569" s="31"/>
      <c r="AI569" s="32"/>
      <c r="AJ569" s="67"/>
    </row>
    <row r="570" ht="24.75" hidden="1" customHeight="1">
      <c r="A570" s="40">
        <f>IFERROR(__xludf.DUMMYFUNCTION("""COMPUTED_VALUE"""),16.0)</f>
        <v>16</v>
      </c>
      <c r="B570" s="40" t="str">
        <f>IFERROR(__xludf.DUMMYFUNCTION("""COMPUTED_VALUE"""),"A216")</f>
        <v>A216</v>
      </c>
      <c r="C570" s="40"/>
      <c r="D570" s="41"/>
      <c r="E570" s="66"/>
      <c r="F570" s="43"/>
      <c r="G570" s="44"/>
      <c r="H570" s="33" t="str">
        <f>IFERROR(__xludf.DUMMYFUNCTION("""COMPUTED_VALUE""")," ")</f>
        <v> </v>
      </c>
      <c r="I570" s="45"/>
      <c r="J570" s="46" t="str">
        <f>IFERROR(__xludf.DUMMYFUNCTION("""COMPUTED_VALUE"""),"AP")</f>
        <v>AP</v>
      </c>
      <c r="K570" s="47"/>
      <c r="L570" s="48" t="str">
        <f>IFERROR(__xludf.DUMMYFUNCTION("""COMPUTED_VALUE"""),"%")</f>
        <v>%</v>
      </c>
      <c r="M570" s="49">
        <f>IFERROR(__xludf.DUMMYFUNCTION("""COMPUTED_VALUE"""),1.0)</f>
        <v>1</v>
      </c>
      <c r="N570" s="50"/>
      <c r="O570" s="38"/>
      <c r="P570" s="45" t="str">
        <f>IFERROR(__xludf.DUMMYFUNCTION("""COMPUTED_VALUE"""),"")</f>
        <v/>
      </c>
      <c r="Q570" s="46" t="str">
        <f>IFERROR(__xludf.DUMMYFUNCTION("""COMPUTED_VALUE"""),"AP")</f>
        <v>AP</v>
      </c>
      <c r="R570" s="47" t="str">
        <f>IFERROR(__xludf.DUMMYFUNCTION("""COMPUTED_VALUE"""),"")</f>
        <v/>
      </c>
      <c r="S570" s="48" t="str">
        <f>IFERROR(__xludf.DUMMYFUNCTION("""COMPUTED_VALUE"""),"%")</f>
        <v>%</v>
      </c>
      <c r="T570" s="49">
        <f>IFERROR(__xludf.DUMMYFUNCTION("""COMPUTED_VALUE"""),2.0)</f>
        <v>2</v>
      </c>
      <c r="U570" s="50"/>
      <c r="V570" s="38"/>
      <c r="W570" s="45" t="str">
        <f>IFERROR(__xludf.DUMMYFUNCTION("""COMPUTED_VALUE"""),"")</f>
        <v/>
      </c>
      <c r="X570" s="46" t="str">
        <f>IFERROR(__xludf.DUMMYFUNCTION("""COMPUTED_VALUE"""),"AP")</f>
        <v>AP</v>
      </c>
      <c r="Y570" s="47" t="str">
        <f>IFERROR(__xludf.DUMMYFUNCTION("""COMPUTED_VALUE"""),"")</f>
        <v/>
      </c>
      <c r="Z570" s="48" t="str">
        <f>IFERROR(__xludf.DUMMYFUNCTION("""COMPUTED_VALUE"""),"%")</f>
        <v>%</v>
      </c>
      <c r="AA570" s="49">
        <f>IFERROR(__xludf.DUMMYFUNCTION("""COMPUTED_VALUE"""),3.0)</f>
        <v>3</v>
      </c>
      <c r="AB570" s="50"/>
      <c r="AC570" s="38"/>
      <c r="AD570" s="45" t="str">
        <f>IFERROR(__xludf.DUMMYFUNCTION("""COMPUTED_VALUE"""),"")</f>
        <v/>
      </c>
      <c r="AE570" s="46" t="str">
        <f>IFERROR(__xludf.DUMMYFUNCTION("""COMPUTED_VALUE"""),"AP")</f>
        <v>AP</v>
      </c>
      <c r="AF570" s="47" t="str">
        <f>IFERROR(__xludf.DUMMYFUNCTION("""COMPUTED_VALUE"""),"")</f>
        <v/>
      </c>
      <c r="AG570" s="48" t="str">
        <f>IFERROR(__xludf.DUMMYFUNCTION("""COMPUTED_VALUE"""),"%")</f>
        <v>%</v>
      </c>
      <c r="AH570" s="43"/>
      <c r="AI570" s="44"/>
      <c r="AJ570" s="66"/>
    </row>
    <row r="571" ht="24.75" hidden="1" customHeight="1">
      <c r="A571" s="28">
        <f>IFERROR(__xludf.DUMMYFUNCTION("""COMPUTED_VALUE"""),17.0)</f>
        <v>17</v>
      </c>
      <c r="B571" s="28" t="str">
        <f>IFERROR(__xludf.DUMMYFUNCTION("""COMPUTED_VALUE"""),"A216")</f>
        <v>A216</v>
      </c>
      <c r="C571" s="28"/>
      <c r="D571" s="29"/>
      <c r="E571" s="67"/>
      <c r="F571" s="31"/>
      <c r="G571" s="32"/>
      <c r="H571" s="33" t="str">
        <f>IFERROR(__xludf.DUMMYFUNCTION("""COMPUTED_VALUE""")," ")</f>
        <v> </v>
      </c>
      <c r="I571" s="34"/>
      <c r="J571" s="35" t="str">
        <f>IFERROR(__xludf.DUMMYFUNCTION("""COMPUTED_VALUE"""),"AP")</f>
        <v>AP</v>
      </c>
      <c r="K571" s="34"/>
      <c r="L571" s="35" t="str">
        <f>IFERROR(__xludf.DUMMYFUNCTION("""COMPUTED_VALUE"""),"%")</f>
        <v>%</v>
      </c>
      <c r="M571" s="36">
        <f>IFERROR(__xludf.DUMMYFUNCTION("""COMPUTED_VALUE"""),1.0)</f>
        <v>1</v>
      </c>
      <c r="N571" s="37"/>
      <c r="O571" s="38"/>
      <c r="P571" s="34" t="str">
        <f>IFERROR(__xludf.DUMMYFUNCTION("""COMPUTED_VALUE"""),"")</f>
        <v/>
      </c>
      <c r="Q571" s="35" t="str">
        <f>IFERROR(__xludf.DUMMYFUNCTION("""COMPUTED_VALUE"""),"AP")</f>
        <v>AP</v>
      </c>
      <c r="R571" s="34" t="str">
        <f>IFERROR(__xludf.DUMMYFUNCTION("""COMPUTED_VALUE"""),"")</f>
        <v/>
      </c>
      <c r="S571" s="35" t="str">
        <f>IFERROR(__xludf.DUMMYFUNCTION("""COMPUTED_VALUE"""),"%")</f>
        <v>%</v>
      </c>
      <c r="T571" s="36">
        <f>IFERROR(__xludf.DUMMYFUNCTION("""COMPUTED_VALUE"""),2.0)</f>
        <v>2</v>
      </c>
      <c r="U571" s="37"/>
      <c r="V571" s="38"/>
      <c r="W571" s="34" t="str">
        <f>IFERROR(__xludf.DUMMYFUNCTION("""COMPUTED_VALUE"""),"")</f>
        <v/>
      </c>
      <c r="X571" s="35" t="str">
        <f>IFERROR(__xludf.DUMMYFUNCTION("""COMPUTED_VALUE"""),"AP")</f>
        <v>AP</v>
      </c>
      <c r="Y571" s="34" t="str">
        <f>IFERROR(__xludf.DUMMYFUNCTION("""COMPUTED_VALUE"""),"")</f>
        <v/>
      </c>
      <c r="Z571" s="35" t="str">
        <f>IFERROR(__xludf.DUMMYFUNCTION("""COMPUTED_VALUE"""),"%")</f>
        <v>%</v>
      </c>
      <c r="AA571" s="36">
        <f>IFERROR(__xludf.DUMMYFUNCTION("""COMPUTED_VALUE"""),3.0)</f>
        <v>3</v>
      </c>
      <c r="AB571" s="37"/>
      <c r="AC571" s="38"/>
      <c r="AD571" s="34" t="str">
        <f>IFERROR(__xludf.DUMMYFUNCTION("""COMPUTED_VALUE"""),"")</f>
        <v/>
      </c>
      <c r="AE571" s="35" t="str">
        <f>IFERROR(__xludf.DUMMYFUNCTION("""COMPUTED_VALUE"""),"AP")</f>
        <v>AP</v>
      </c>
      <c r="AF571" s="34" t="str">
        <f>IFERROR(__xludf.DUMMYFUNCTION("""COMPUTED_VALUE"""),"")</f>
        <v/>
      </c>
      <c r="AG571" s="35" t="str">
        <f>IFERROR(__xludf.DUMMYFUNCTION("""COMPUTED_VALUE"""),"%")</f>
        <v>%</v>
      </c>
      <c r="AH571" s="31"/>
      <c r="AI571" s="32"/>
      <c r="AJ571" s="67"/>
    </row>
    <row r="572" ht="24.75" hidden="1" customHeight="1">
      <c r="A572" s="40">
        <f>IFERROR(__xludf.DUMMYFUNCTION("""COMPUTED_VALUE"""),18.0)</f>
        <v>18</v>
      </c>
      <c r="B572" s="40" t="str">
        <f>IFERROR(__xludf.DUMMYFUNCTION("""COMPUTED_VALUE"""),"A216")</f>
        <v>A216</v>
      </c>
      <c r="C572" s="40"/>
      <c r="D572" s="41"/>
      <c r="E572" s="66"/>
      <c r="F572" s="43"/>
      <c r="G572" s="44"/>
      <c r="H572" s="33" t="str">
        <f>IFERROR(__xludf.DUMMYFUNCTION("""COMPUTED_VALUE""")," ")</f>
        <v> </v>
      </c>
      <c r="I572" s="45"/>
      <c r="J572" s="46" t="str">
        <f>IFERROR(__xludf.DUMMYFUNCTION("""COMPUTED_VALUE"""),"AP")</f>
        <v>AP</v>
      </c>
      <c r="K572" s="47"/>
      <c r="L572" s="48" t="str">
        <f>IFERROR(__xludf.DUMMYFUNCTION("""COMPUTED_VALUE"""),"%")</f>
        <v>%</v>
      </c>
      <c r="M572" s="49">
        <f>IFERROR(__xludf.DUMMYFUNCTION("""COMPUTED_VALUE"""),1.0)</f>
        <v>1</v>
      </c>
      <c r="N572" s="50"/>
      <c r="O572" s="38"/>
      <c r="P572" s="45" t="str">
        <f>IFERROR(__xludf.DUMMYFUNCTION("""COMPUTED_VALUE"""),"")</f>
        <v/>
      </c>
      <c r="Q572" s="46" t="str">
        <f>IFERROR(__xludf.DUMMYFUNCTION("""COMPUTED_VALUE"""),"AP")</f>
        <v>AP</v>
      </c>
      <c r="R572" s="47" t="str">
        <f>IFERROR(__xludf.DUMMYFUNCTION("""COMPUTED_VALUE"""),"")</f>
        <v/>
      </c>
      <c r="S572" s="48" t="str">
        <f>IFERROR(__xludf.DUMMYFUNCTION("""COMPUTED_VALUE"""),"%")</f>
        <v>%</v>
      </c>
      <c r="T572" s="49">
        <f>IFERROR(__xludf.DUMMYFUNCTION("""COMPUTED_VALUE"""),2.0)</f>
        <v>2</v>
      </c>
      <c r="U572" s="50"/>
      <c r="V572" s="38"/>
      <c r="W572" s="45" t="str">
        <f>IFERROR(__xludf.DUMMYFUNCTION("""COMPUTED_VALUE"""),"")</f>
        <v/>
      </c>
      <c r="X572" s="46" t="str">
        <f>IFERROR(__xludf.DUMMYFUNCTION("""COMPUTED_VALUE"""),"AP")</f>
        <v>AP</v>
      </c>
      <c r="Y572" s="47" t="str">
        <f>IFERROR(__xludf.DUMMYFUNCTION("""COMPUTED_VALUE"""),"")</f>
        <v/>
      </c>
      <c r="Z572" s="48" t="str">
        <f>IFERROR(__xludf.DUMMYFUNCTION("""COMPUTED_VALUE"""),"%")</f>
        <v>%</v>
      </c>
      <c r="AA572" s="49">
        <f>IFERROR(__xludf.DUMMYFUNCTION("""COMPUTED_VALUE"""),3.0)</f>
        <v>3</v>
      </c>
      <c r="AB572" s="50"/>
      <c r="AC572" s="38"/>
      <c r="AD572" s="45" t="str">
        <f>IFERROR(__xludf.DUMMYFUNCTION("""COMPUTED_VALUE"""),"")</f>
        <v/>
      </c>
      <c r="AE572" s="46" t="str">
        <f>IFERROR(__xludf.DUMMYFUNCTION("""COMPUTED_VALUE"""),"AP")</f>
        <v>AP</v>
      </c>
      <c r="AF572" s="47" t="str">
        <f>IFERROR(__xludf.DUMMYFUNCTION("""COMPUTED_VALUE"""),"")</f>
        <v/>
      </c>
      <c r="AG572" s="48" t="str">
        <f>IFERROR(__xludf.DUMMYFUNCTION("""COMPUTED_VALUE"""),"%")</f>
        <v>%</v>
      </c>
      <c r="AH572" s="43"/>
      <c r="AI572" s="44"/>
      <c r="AJ572" s="66"/>
    </row>
    <row r="573" ht="24.75" hidden="1" customHeight="1">
      <c r="A573" s="28">
        <f>IFERROR(__xludf.DUMMYFUNCTION("""COMPUTED_VALUE"""),19.0)</f>
        <v>19</v>
      </c>
      <c r="B573" s="28" t="str">
        <f>IFERROR(__xludf.DUMMYFUNCTION("""COMPUTED_VALUE"""),"A216")</f>
        <v>A216</v>
      </c>
      <c r="C573" s="28"/>
      <c r="D573" s="29"/>
      <c r="E573" s="67"/>
      <c r="F573" s="31"/>
      <c r="G573" s="32"/>
      <c r="H573" s="33" t="str">
        <f>IFERROR(__xludf.DUMMYFUNCTION("""COMPUTED_VALUE""")," ")</f>
        <v> </v>
      </c>
      <c r="I573" s="34"/>
      <c r="J573" s="35" t="str">
        <f>IFERROR(__xludf.DUMMYFUNCTION("""COMPUTED_VALUE"""),"AP")</f>
        <v>AP</v>
      </c>
      <c r="K573" s="34"/>
      <c r="L573" s="35" t="str">
        <f>IFERROR(__xludf.DUMMYFUNCTION("""COMPUTED_VALUE"""),"%")</f>
        <v>%</v>
      </c>
      <c r="M573" s="36">
        <f>IFERROR(__xludf.DUMMYFUNCTION("""COMPUTED_VALUE"""),1.0)</f>
        <v>1</v>
      </c>
      <c r="N573" s="37"/>
      <c r="O573" s="38"/>
      <c r="P573" s="34" t="str">
        <f>IFERROR(__xludf.DUMMYFUNCTION("""COMPUTED_VALUE"""),"")</f>
        <v/>
      </c>
      <c r="Q573" s="35" t="str">
        <f>IFERROR(__xludf.DUMMYFUNCTION("""COMPUTED_VALUE"""),"AP")</f>
        <v>AP</v>
      </c>
      <c r="R573" s="34" t="str">
        <f>IFERROR(__xludf.DUMMYFUNCTION("""COMPUTED_VALUE"""),"")</f>
        <v/>
      </c>
      <c r="S573" s="35" t="str">
        <f>IFERROR(__xludf.DUMMYFUNCTION("""COMPUTED_VALUE"""),"%")</f>
        <v>%</v>
      </c>
      <c r="T573" s="36">
        <f>IFERROR(__xludf.DUMMYFUNCTION("""COMPUTED_VALUE"""),2.0)</f>
        <v>2</v>
      </c>
      <c r="U573" s="37"/>
      <c r="V573" s="38"/>
      <c r="W573" s="34" t="str">
        <f>IFERROR(__xludf.DUMMYFUNCTION("""COMPUTED_VALUE"""),"")</f>
        <v/>
      </c>
      <c r="X573" s="35" t="str">
        <f>IFERROR(__xludf.DUMMYFUNCTION("""COMPUTED_VALUE"""),"AP")</f>
        <v>AP</v>
      </c>
      <c r="Y573" s="34" t="str">
        <f>IFERROR(__xludf.DUMMYFUNCTION("""COMPUTED_VALUE"""),"")</f>
        <v/>
      </c>
      <c r="Z573" s="35" t="str">
        <f>IFERROR(__xludf.DUMMYFUNCTION("""COMPUTED_VALUE"""),"%")</f>
        <v>%</v>
      </c>
      <c r="AA573" s="36">
        <f>IFERROR(__xludf.DUMMYFUNCTION("""COMPUTED_VALUE"""),3.0)</f>
        <v>3</v>
      </c>
      <c r="AB573" s="37"/>
      <c r="AC573" s="38"/>
      <c r="AD573" s="34" t="str">
        <f>IFERROR(__xludf.DUMMYFUNCTION("""COMPUTED_VALUE"""),"")</f>
        <v/>
      </c>
      <c r="AE573" s="35" t="str">
        <f>IFERROR(__xludf.DUMMYFUNCTION("""COMPUTED_VALUE"""),"AP")</f>
        <v>AP</v>
      </c>
      <c r="AF573" s="34" t="str">
        <f>IFERROR(__xludf.DUMMYFUNCTION("""COMPUTED_VALUE"""),"")</f>
        <v/>
      </c>
      <c r="AG573" s="35" t="str">
        <f>IFERROR(__xludf.DUMMYFUNCTION("""COMPUTED_VALUE"""),"%")</f>
        <v>%</v>
      </c>
      <c r="AH573" s="31"/>
      <c r="AI573" s="32"/>
      <c r="AJ573" s="67"/>
    </row>
    <row r="574" ht="24.75" hidden="1" customHeight="1">
      <c r="A574" s="40">
        <f>IFERROR(__xludf.DUMMYFUNCTION("""COMPUTED_VALUE"""),20.0)</f>
        <v>20</v>
      </c>
      <c r="B574" s="40" t="str">
        <f>IFERROR(__xludf.DUMMYFUNCTION("""COMPUTED_VALUE"""),"A216")</f>
        <v>A216</v>
      </c>
      <c r="C574" s="40"/>
      <c r="D574" s="41"/>
      <c r="E574" s="66"/>
      <c r="F574" s="43"/>
      <c r="G574" s="44"/>
      <c r="H574" s="33" t="str">
        <f>IFERROR(__xludf.DUMMYFUNCTION("""COMPUTED_VALUE""")," ")</f>
        <v> </v>
      </c>
      <c r="I574" s="45"/>
      <c r="J574" s="46" t="str">
        <f>IFERROR(__xludf.DUMMYFUNCTION("""COMPUTED_VALUE"""),"AP")</f>
        <v>AP</v>
      </c>
      <c r="K574" s="47"/>
      <c r="L574" s="48" t="str">
        <f>IFERROR(__xludf.DUMMYFUNCTION("""COMPUTED_VALUE"""),"%")</f>
        <v>%</v>
      </c>
      <c r="M574" s="49">
        <f>IFERROR(__xludf.DUMMYFUNCTION("""COMPUTED_VALUE"""),1.0)</f>
        <v>1</v>
      </c>
      <c r="N574" s="50"/>
      <c r="O574" s="38"/>
      <c r="P574" s="45" t="str">
        <f>IFERROR(__xludf.DUMMYFUNCTION("""COMPUTED_VALUE"""),"")</f>
        <v/>
      </c>
      <c r="Q574" s="46" t="str">
        <f>IFERROR(__xludf.DUMMYFUNCTION("""COMPUTED_VALUE"""),"AP")</f>
        <v>AP</v>
      </c>
      <c r="R574" s="47" t="str">
        <f>IFERROR(__xludf.DUMMYFUNCTION("""COMPUTED_VALUE"""),"")</f>
        <v/>
      </c>
      <c r="S574" s="48" t="str">
        <f>IFERROR(__xludf.DUMMYFUNCTION("""COMPUTED_VALUE"""),"%")</f>
        <v>%</v>
      </c>
      <c r="T574" s="49">
        <f>IFERROR(__xludf.DUMMYFUNCTION("""COMPUTED_VALUE"""),2.0)</f>
        <v>2</v>
      </c>
      <c r="U574" s="50"/>
      <c r="V574" s="38"/>
      <c r="W574" s="45" t="str">
        <f>IFERROR(__xludf.DUMMYFUNCTION("""COMPUTED_VALUE"""),"")</f>
        <v/>
      </c>
      <c r="X574" s="46" t="str">
        <f>IFERROR(__xludf.DUMMYFUNCTION("""COMPUTED_VALUE"""),"AP")</f>
        <v>AP</v>
      </c>
      <c r="Y574" s="47" t="str">
        <f>IFERROR(__xludf.DUMMYFUNCTION("""COMPUTED_VALUE"""),"")</f>
        <v/>
      </c>
      <c r="Z574" s="48" t="str">
        <f>IFERROR(__xludf.DUMMYFUNCTION("""COMPUTED_VALUE"""),"%")</f>
        <v>%</v>
      </c>
      <c r="AA574" s="49">
        <f>IFERROR(__xludf.DUMMYFUNCTION("""COMPUTED_VALUE"""),3.0)</f>
        <v>3</v>
      </c>
      <c r="AB574" s="50"/>
      <c r="AC574" s="38"/>
      <c r="AD574" s="45" t="str">
        <f>IFERROR(__xludf.DUMMYFUNCTION("""COMPUTED_VALUE"""),"")</f>
        <v/>
      </c>
      <c r="AE574" s="46" t="str">
        <f>IFERROR(__xludf.DUMMYFUNCTION("""COMPUTED_VALUE"""),"AP")</f>
        <v>AP</v>
      </c>
      <c r="AF574" s="47" t="str">
        <f>IFERROR(__xludf.DUMMYFUNCTION("""COMPUTED_VALUE"""),"")</f>
        <v/>
      </c>
      <c r="AG574" s="48" t="str">
        <f>IFERROR(__xludf.DUMMYFUNCTION("""COMPUTED_VALUE"""),"%")</f>
        <v>%</v>
      </c>
      <c r="AH574" s="43"/>
      <c r="AI574" s="44"/>
      <c r="AJ574" s="66"/>
    </row>
    <row r="575">
      <c r="A575" s="52"/>
      <c r="B575" s="53"/>
      <c r="C575" s="54"/>
      <c r="D575" s="56"/>
      <c r="E575" s="56"/>
      <c r="F575" s="53"/>
      <c r="G575" s="53"/>
      <c r="H575" s="53"/>
      <c r="I575" s="53"/>
      <c r="J575" s="57"/>
      <c r="K575" s="53"/>
      <c r="L575" s="57"/>
      <c r="M575" s="53"/>
      <c r="N575" s="53"/>
      <c r="O575" s="53"/>
      <c r="P575" s="53"/>
      <c r="Q575" s="57"/>
      <c r="R575" s="53"/>
      <c r="S575" s="57"/>
      <c r="T575" s="53"/>
      <c r="U575" s="53"/>
      <c r="V575" s="53"/>
      <c r="W575" s="53"/>
      <c r="X575" s="57"/>
      <c r="Y575" s="53"/>
      <c r="Z575" s="57"/>
      <c r="AA575" s="53"/>
      <c r="AB575" s="53"/>
      <c r="AC575" s="53"/>
      <c r="AD575" s="53"/>
      <c r="AE575" s="57"/>
      <c r="AF575" s="53"/>
      <c r="AG575" s="57"/>
      <c r="AH575" s="53"/>
      <c r="AI575" s="53"/>
      <c r="AJ575" s="56"/>
    </row>
    <row r="576">
      <c r="A576" s="59"/>
      <c r="B576" s="60"/>
      <c r="C576" s="61"/>
      <c r="D576" s="63"/>
      <c r="E576" s="63"/>
      <c r="F576" s="60"/>
      <c r="G576" s="60"/>
      <c r="H576" s="60"/>
      <c r="I576" s="60"/>
      <c r="J576" s="64"/>
      <c r="K576" s="60"/>
      <c r="L576" s="64"/>
      <c r="M576" s="60"/>
      <c r="N576" s="60"/>
      <c r="O576" s="60"/>
      <c r="P576" s="60"/>
      <c r="Q576" s="64"/>
      <c r="R576" s="60"/>
      <c r="S576" s="64"/>
      <c r="T576" s="60"/>
      <c r="U576" s="60"/>
      <c r="V576" s="60"/>
      <c r="W576" s="60"/>
      <c r="X576" s="64"/>
      <c r="Y576" s="60"/>
      <c r="Z576" s="64"/>
      <c r="AA576" s="60"/>
      <c r="AB576" s="60"/>
      <c r="AC576" s="60"/>
      <c r="AD576" s="60"/>
      <c r="AE576" s="64"/>
      <c r="AF576" s="60"/>
      <c r="AG576" s="64"/>
      <c r="AH576" s="60"/>
      <c r="AI576" s="60"/>
      <c r="AJ576" s="63"/>
    </row>
    <row r="577" ht="33.0" customHeight="1">
      <c r="A577" s="20" t="str">
        <f>IFERROR(__xludf.DUMMYFUNCTION("""COMPUTED_VALUE""")," ")</f>
        <v> </v>
      </c>
      <c r="B577" s="21" t="str">
        <f>IFERROR(__xludf.DUMMYFUNCTION("""COMPUTED_VALUE"""),"A217")</f>
        <v>A217</v>
      </c>
      <c r="C577" s="20"/>
      <c r="D577" s="257" t="str">
        <f>IFERROR(__xludf.DUMMYFUNCTION("""COMPUTED_VALUE"""),"")</f>
        <v/>
      </c>
      <c r="E577" s="23" t="str">
        <f>IFERROR(__xludf.DUMMYFUNCTION("""COMPUTED_VALUE"""),"Arrowhead of Disastrous Sin")</f>
        <v>Arrowhead of Disastrous Sin</v>
      </c>
      <c r="F577" s="24"/>
      <c r="G577" s="24"/>
      <c r="H577" s="25"/>
      <c r="I577" s="25"/>
      <c r="J577" s="26"/>
      <c r="K577" s="25"/>
      <c r="L577" s="26"/>
      <c r="M577" s="25"/>
      <c r="N577" s="25"/>
      <c r="O577" s="25"/>
      <c r="P577" s="25"/>
      <c r="Q577" s="26"/>
      <c r="R577" s="25"/>
      <c r="S577" s="26"/>
      <c r="T577" s="25"/>
      <c r="U577" s="25"/>
      <c r="V577" s="25"/>
      <c r="W577" s="25"/>
      <c r="X577" s="26"/>
      <c r="Y577" s="25"/>
      <c r="Z577" s="26"/>
      <c r="AA577" s="25"/>
      <c r="AB577" s="25"/>
      <c r="AC577" s="25"/>
      <c r="AD577" s="25"/>
      <c r="AE577" s="26"/>
      <c r="AF577" s="25"/>
      <c r="AG577" s="26"/>
      <c r="AH577" s="24"/>
      <c r="AI577" s="25"/>
      <c r="AJ577" s="23"/>
    </row>
    <row r="578" ht="24.75" customHeight="1">
      <c r="A578" s="28">
        <f>IFERROR(__xludf.DUMMYFUNCTION("""COMPUTED_VALUE"""),1.0)</f>
        <v>1</v>
      </c>
      <c r="B578" s="28" t="str">
        <f>IFERROR(__xludf.DUMMYFUNCTION("""COMPUTED_VALUE"""),"A217")</f>
        <v>A217</v>
      </c>
      <c r="C578" s="28"/>
      <c r="D578" s="29"/>
      <c r="E578" s="67"/>
      <c r="F578" s="31"/>
      <c r="G578" s="32"/>
      <c r="H578" s="33" t="str">
        <f>IFERROR(__xludf.DUMMYFUNCTION("""COMPUTED_VALUE""")," ")</f>
        <v> </v>
      </c>
      <c r="I578" s="34"/>
      <c r="J578" s="35" t="str">
        <f>IFERROR(__xludf.DUMMYFUNCTION("""COMPUTED_VALUE"""),"AP")</f>
        <v>AP</v>
      </c>
      <c r="K578" s="34"/>
      <c r="L578" s="35" t="str">
        <f>IFERROR(__xludf.DUMMYFUNCTION("""COMPUTED_VALUE"""),"%")</f>
        <v>%</v>
      </c>
      <c r="M578" s="36">
        <f>IFERROR(__xludf.DUMMYFUNCTION("""COMPUTED_VALUE"""),1.0)</f>
        <v>1</v>
      </c>
      <c r="N578" s="37"/>
      <c r="O578" s="38"/>
      <c r="P578" s="34" t="str">
        <f>IFERROR(__xludf.DUMMYFUNCTION("""COMPUTED_VALUE"""),"")</f>
        <v/>
      </c>
      <c r="Q578" s="35" t="str">
        <f>IFERROR(__xludf.DUMMYFUNCTION("""COMPUTED_VALUE"""),"AP")</f>
        <v>AP</v>
      </c>
      <c r="R578" s="34" t="str">
        <f>IFERROR(__xludf.DUMMYFUNCTION("""COMPUTED_VALUE"""),"")</f>
        <v/>
      </c>
      <c r="S578" s="35" t="str">
        <f>IFERROR(__xludf.DUMMYFUNCTION("""COMPUTED_VALUE"""),"%")</f>
        <v>%</v>
      </c>
      <c r="T578" s="36">
        <f>IFERROR(__xludf.DUMMYFUNCTION("""COMPUTED_VALUE"""),2.0)</f>
        <v>2</v>
      </c>
      <c r="U578" s="37"/>
      <c r="V578" s="38"/>
      <c r="W578" s="34" t="str">
        <f>IFERROR(__xludf.DUMMYFUNCTION("""COMPUTED_VALUE"""),"")</f>
        <v/>
      </c>
      <c r="X578" s="35" t="str">
        <f>IFERROR(__xludf.DUMMYFUNCTION("""COMPUTED_VALUE"""),"AP")</f>
        <v>AP</v>
      </c>
      <c r="Y578" s="34" t="str">
        <f>IFERROR(__xludf.DUMMYFUNCTION("""COMPUTED_VALUE"""),"")</f>
        <v/>
      </c>
      <c r="Z578" s="35" t="str">
        <f>IFERROR(__xludf.DUMMYFUNCTION("""COMPUTED_VALUE"""),"%")</f>
        <v>%</v>
      </c>
      <c r="AA578" s="36">
        <f>IFERROR(__xludf.DUMMYFUNCTION("""COMPUTED_VALUE"""),3.0)</f>
        <v>3</v>
      </c>
      <c r="AB578" s="37"/>
      <c r="AC578" s="38"/>
      <c r="AD578" s="34" t="str">
        <f>IFERROR(__xludf.DUMMYFUNCTION("""COMPUTED_VALUE"""),"")</f>
        <v/>
      </c>
      <c r="AE578" s="35" t="str">
        <f>IFERROR(__xludf.DUMMYFUNCTION("""COMPUTED_VALUE"""),"AP")</f>
        <v>AP</v>
      </c>
      <c r="AF578" s="34" t="str">
        <f>IFERROR(__xludf.DUMMYFUNCTION("""COMPUTED_VALUE"""),"")</f>
        <v/>
      </c>
      <c r="AG578" s="35" t="str">
        <f>IFERROR(__xludf.DUMMYFUNCTION("""COMPUTED_VALUE"""),"%")</f>
        <v>%</v>
      </c>
      <c r="AH578" s="31"/>
      <c r="AI578" s="32"/>
      <c r="AJ578" s="67"/>
    </row>
    <row r="579" ht="24.75" customHeight="1">
      <c r="A579" s="40">
        <f>IFERROR(__xludf.DUMMYFUNCTION("""COMPUTED_VALUE"""),2.0)</f>
        <v>2</v>
      </c>
      <c r="B579" s="40" t="str">
        <f>IFERROR(__xludf.DUMMYFUNCTION("""COMPUTED_VALUE"""),"A217")</f>
        <v>A217</v>
      </c>
      <c r="C579" s="40"/>
      <c r="D579" s="41"/>
      <c r="E579" s="66"/>
      <c r="F579" s="43"/>
      <c r="G579" s="44"/>
      <c r="H579" s="33" t="str">
        <f>IFERROR(__xludf.DUMMYFUNCTION("""COMPUTED_VALUE""")," ")</f>
        <v> </v>
      </c>
      <c r="I579" s="45"/>
      <c r="J579" s="46" t="str">
        <f>IFERROR(__xludf.DUMMYFUNCTION("""COMPUTED_VALUE"""),"AP")</f>
        <v>AP</v>
      </c>
      <c r="K579" s="47"/>
      <c r="L579" s="48" t="str">
        <f>IFERROR(__xludf.DUMMYFUNCTION("""COMPUTED_VALUE"""),"%")</f>
        <v>%</v>
      </c>
      <c r="M579" s="49">
        <f>IFERROR(__xludf.DUMMYFUNCTION("""COMPUTED_VALUE"""),1.0)</f>
        <v>1</v>
      </c>
      <c r="N579" s="50"/>
      <c r="O579" s="38"/>
      <c r="P579" s="45" t="str">
        <f>IFERROR(__xludf.DUMMYFUNCTION("""COMPUTED_VALUE"""),"")</f>
        <v/>
      </c>
      <c r="Q579" s="46" t="str">
        <f>IFERROR(__xludf.DUMMYFUNCTION("""COMPUTED_VALUE"""),"AP")</f>
        <v>AP</v>
      </c>
      <c r="R579" s="47" t="str">
        <f>IFERROR(__xludf.DUMMYFUNCTION("""COMPUTED_VALUE"""),"")</f>
        <v/>
      </c>
      <c r="S579" s="48" t="str">
        <f>IFERROR(__xludf.DUMMYFUNCTION("""COMPUTED_VALUE"""),"%")</f>
        <v>%</v>
      </c>
      <c r="T579" s="49">
        <f>IFERROR(__xludf.DUMMYFUNCTION("""COMPUTED_VALUE"""),2.0)</f>
        <v>2</v>
      </c>
      <c r="U579" s="50"/>
      <c r="V579" s="38"/>
      <c r="W579" s="45" t="str">
        <f>IFERROR(__xludf.DUMMYFUNCTION("""COMPUTED_VALUE"""),"")</f>
        <v/>
      </c>
      <c r="X579" s="46" t="str">
        <f>IFERROR(__xludf.DUMMYFUNCTION("""COMPUTED_VALUE"""),"AP")</f>
        <v>AP</v>
      </c>
      <c r="Y579" s="47" t="str">
        <f>IFERROR(__xludf.DUMMYFUNCTION("""COMPUTED_VALUE"""),"")</f>
        <v/>
      </c>
      <c r="Z579" s="48" t="str">
        <f>IFERROR(__xludf.DUMMYFUNCTION("""COMPUTED_VALUE"""),"%")</f>
        <v>%</v>
      </c>
      <c r="AA579" s="49">
        <f>IFERROR(__xludf.DUMMYFUNCTION("""COMPUTED_VALUE"""),3.0)</f>
        <v>3</v>
      </c>
      <c r="AB579" s="50"/>
      <c r="AC579" s="38"/>
      <c r="AD579" s="45" t="str">
        <f>IFERROR(__xludf.DUMMYFUNCTION("""COMPUTED_VALUE"""),"")</f>
        <v/>
      </c>
      <c r="AE579" s="46" t="str">
        <f>IFERROR(__xludf.DUMMYFUNCTION("""COMPUTED_VALUE"""),"AP")</f>
        <v>AP</v>
      </c>
      <c r="AF579" s="47" t="str">
        <f>IFERROR(__xludf.DUMMYFUNCTION("""COMPUTED_VALUE"""),"")</f>
        <v/>
      </c>
      <c r="AG579" s="48" t="str">
        <f>IFERROR(__xludf.DUMMYFUNCTION("""COMPUTED_VALUE"""),"%")</f>
        <v>%</v>
      </c>
      <c r="AH579" s="43"/>
      <c r="AI579" s="44"/>
      <c r="AJ579" s="66"/>
    </row>
    <row r="580" ht="24.75" customHeight="1">
      <c r="A580" s="28">
        <f>IFERROR(__xludf.DUMMYFUNCTION("""COMPUTED_VALUE"""),3.0)</f>
        <v>3</v>
      </c>
      <c r="B580" s="28" t="str">
        <f>IFERROR(__xludf.DUMMYFUNCTION("""COMPUTED_VALUE"""),"A217")</f>
        <v>A217</v>
      </c>
      <c r="C580" s="28"/>
      <c r="D580" s="29"/>
      <c r="E580" s="67"/>
      <c r="F580" s="31"/>
      <c r="G580" s="32"/>
      <c r="H580" s="33" t="str">
        <f>IFERROR(__xludf.DUMMYFUNCTION("""COMPUTED_VALUE""")," ")</f>
        <v> </v>
      </c>
      <c r="I580" s="34"/>
      <c r="J580" s="35" t="str">
        <f>IFERROR(__xludf.DUMMYFUNCTION("""COMPUTED_VALUE"""),"AP")</f>
        <v>AP</v>
      </c>
      <c r="K580" s="34"/>
      <c r="L580" s="35" t="str">
        <f>IFERROR(__xludf.DUMMYFUNCTION("""COMPUTED_VALUE"""),"%")</f>
        <v>%</v>
      </c>
      <c r="M580" s="36">
        <f>IFERROR(__xludf.DUMMYFUNCTION("""COMPUTED_VALUE"""),1.0)</f>
        <v>1</v>
      </c>
      <c r="N580" s="37"/>
      <c r="O580" s="38"/>
      <c r="P580" s="34" t="str">
        <f>IFERROR(__xludf.DUMMYFUNCTION("""COMPUTED_VALUE"""),"")</f>
        <v/>
      </c>
      <c r="Q580" s="35" t="str">
        <f>IFERROR(__xludf.DUMMYFUNCTION("""COMPUTED_VALUE"""),"AP")</f>
        <v>AP</v>
      </c>
      <c r="R580" s="34" t="str">
        <f>IFERROR(__xludf.DUMMYFUNCTION("""COMPUTED_VALUE"""),"")</f>
        <v/>
      </c>
      <c r="S580" s="35" t="str">
        <f>IFERROR(__xludf.DUMMYFUNCTION("""COMPUTED_VALUE"""),"%")</f>
        <v>%</v>
      </c>
      <c r="T580" s="36">
        <f>IFERROR(__xludf.DUMMYFUNCTION("""COMPUTED_VALUE"""),2.0)</f>
        <v>2</v>
      </c>
      <c r="U580" s="37"/>
      <c r="V580" s="38"/>
      <c r="W580" s="34" t="str">
        <f>IFERROR(__xludf.DUMMYFUNCTION("""COMPUTED_VALUE"""),"")</f>
        <v/>
      </c>
      <c r="X580" s="35" t="str">
        <f>IFERROR(__xludf.DUMMYFUNCTION("""COMPUTED_VALUE"""),"AP")</f>
        <v>AP</v>
      </c>
      <c r="Y580" s="34" t="str">
        <f>IFERROR(__xludf.DUMMYFUNCTION("""COMPUTED_VALUE"""),"")</f>
        <v/>
      </c>
      <c r="Z580" s="35" t="str">
        <f>IFERROR(__xludf.DUMMYFUNCTION("""COMPUTED_VALUE"""),"%")</f>
        <v>%</v>
      </c>
      <c r="AA580" s="36">
        <f>IFERROR(__xludf.DUMMYFUNCTION("""COMPUTED_VALUE"""),3.0)</f>
        <v>3</v>
      </c>
      <c r="AB580" s="37"/>
      <c r="AC580" s="38"/>
      <c r="AD580" s="34" t="str">
        <f>IFERROR(__xludf.DUMMYFUNCTION("""COMPUTED_VALUE"""),"")</f>
        <v/>
      </c>
      <c r="AE580" s="35" t="str">
        <f>IFERROR(__xludf.DUMMYFUNCTION("""COMPUTED_VALUE"""),"AP")</f>
        <v>AP</v>
      </c>
      <c r="AF580" s="34" t="str">
        <f>IFERROR(__xludf.DUMMYFUNCTION("""COMPUTED_VALUE"""),"")</f>
        <v/>
      </c>
      <c r="AG580" s="35" t="str">
        <f>IFERROR(__xludf.DUMMYFUNCTION("""COMPUTED_VALUE"""),"%")</f>
        <v>%</v>
      </c>
      <c r="AH580" s="31"/>
      <c r="AI580" s="32"/>
      <c r="AJ580" s="67"/>
    </row>
    <row r="581" ht="24.75" customHeight="1">
      <c r="A581" s="40">
        <f>IFERROR(__xludf.DUMMYFUNCTION("""COMPUTED_VALUE"""),4.0)</f>
        <v>4</v>
      </c>
      <c r="B581" s="40" t="str">
        <f>IFERROR(__xludf.DUMMYFUNCTION("""COMPUTED_VALUE"""),"A217")</f>
        <v>A217</v>
      </c>
      <c r="C581" s="40"/>
      <c r="D581" s="41"/>
      <c r="E581" s="66"/>
      <c r="F581" s="43"/>
      <c r="G581" s="44"/>
      <c r="H581" s="33" t="str">
        <f>IFERROR(__xludf.DUMMYFUNCTION("""COMPUTED_VALUE""")," ")</f>
        <v> </v>
      </c>
      <c r="I581" s="45"/>
      <c r="J581" s="46" t="str">
        <f>IFERROR(__xludf.DUMMYFUNCTION("""COMPUTED_VALUE"""),"AP")</f>
        <v>AP</v>
      </c>
      <c r="K581" s="47"/>
      <c r="L581" s="48" t="str">
        <f>IFERROR(__xludf.DUMMYFUNCTION("""COMPUTED_VALUE"""),"%")</f>
        <v>%</v>
      </c>
      <c r="M581" s="49">
        <f>IFERROR(__xludf.DUMMYFUNCTION("""COMPUTED_VALUE"""),1.0)</f>
        <v>1</v>
      </c>
      <c r="N581" s="50"/>
      <c r="O581" s="38"/>
      <c r="P581" s="45" t="str">
        <f>IFERROR(__xludf.DUMMYFUNCTION("""COMPUTED_VALUE"""),"")</f>
        <v/>
      </c>
      <c r="Q581" s="46" t="str">
        <f>IFERROR(__xludf.DUMMYFUNCTION("""COMPUTED_VALUE"""),"AP")</f>
        <v>AP</v>
      </c>
      <c r="R581" s="47" t="str">
        <f>IFERROR(__xludf.DUMMYFUNCTION("""COMPUTED_VALUE"""),"")</f>
        <v/>
      </c>
      <c r="S581" s="48" t="str">
        <f>IFERROR(__xludf.DUMMYFUNCTION("""COMPUTED_VALUE"""),"%")</f>
        <v>%</v>
      </c>
      <c r="T581" s="49">
        <f>IFERROR(__xludf.DUMMYFUNCTION("""COMPUTED_VALUE"""),2.0)</f>
        <v>2</v>
      </c>
      <c r="U581" s="50"/>
      <c r="V581" s="38"/>
      <c r="W581" s="45" t="str">
        <f>IFERROR(__xludf.DUMMYFUNCTION("""COMPUTED_VALUE"""),"")</f>
        <v/>
      </c>
      <c r="X581" s="46" t="str">
        <f>IFERROR(__xludf.DUMMYFUNCTION("""COMPUTED_VALUE"""),"AP")</f>
        <v>AP</v>
      </c>
      <c r="Y581" s="47" t="str">
        <f>IFERROR(__xludf.DUMMYFUNCTION("""COMPUTED_VALUE"""),"")</f>
        <v/>
      </c>
      <c r="Z581" s="48" t="str">
        <f>IFERROR(__xludf.DUMMYFUNCTION("""COMPUTED_VALUE"""),"%")</f>
        <v>%</v>
      </c>
      <c r="AA581" s="49">
        <f>IFERROR(__xludf.DUMMYFUNCTION("""COMPUTED_VALUE"""),3.0)</f>
        <v>3</v>
      </c>
      <c r="AB581" s="50"/>
      <c r="AC581" s="38"/>
      <c r="AD581" s="45" t="str">
        <f>IFERROR(__xludf.DUMMYFUNCTION("""COMPUTED_VALUE"""),"")</f>
        <v/>
      </c>
      <c r="AE581" s="46" t="str">
        <f>IFERROR(__xludf.DUMMYFUNCTION("""COMPUTED_VALUE"""),"AP")</f>
        <v>AP</v>
      </c>
      <c r="AF581" s="47" t="str">
        <f>IFERROR(__xludf.DUMMYFUNCTION("""COMPUTED_VALUE"""),"")</f>
        <v/>
      </c>
      <c r="AG581" s="48" t="str">
        <f>IFERROR(__xludf.DUMMYFUNCTION("""COMPUTED_VALUE"""),"%")</f>
        <v>%</v>
      </c>
      <c r="AH581" s="43"/>
      <c r="AI581" s="44"/>
      <c r="AJ581" s="66"/>
    </row>
    <row r="582" ht="24.75" customHeight="1">
      <c r="A582" s="28">
        <f>IFERROR(__xludf.DUMMYFUNCTION("""COMPUTED_VALUE"""),5.0)</f>
        <v>5</v>
      </c>
      <c r="B582" s="28" t="str">
        <f>IFERROR(__xludf.DUMMYFUNCTION("""COMPUTED_VALUE"""),"A217")</f>
        <v>A217</v>
      </c>
      <c r="C582" s="28"/>
      <c r="D582" s="29"/>
      <c r="E582" s="67"/>
      <c r="F582" s="31"/>
      <c r="G582" s="32"/>
      <c r="H582" s="33" t="str">
        <f>IFERROR(__xludf.DUMMYFUNCTION("""COMPUTED_VALUE""")," ")</f>
        <v> </v>
      </c>
      <c r="I582" s="34"/>
      <c r="J582" s="35" t="str">
        <f>IFERROR(__xludf.DUMMYFUNCTION("""COMPUTED_VALUE"""),"AP")</f>
        <v>AP</v>
      </c>
      <c r="K582" s="34"/>
      <c r="L582" s="35" t="str">
        <f>IFERROR(__xludf.DUMMYFUNCTION("""COMPUTED_VALUE"""),"%")</f>
        <v>%</v>
      </c>
      <c r="M582" s="36">
        <f>IFERROR(__xludf.DUMMYFUNCTION("""COMPUTED_VALUE"""),1.0)</f>
        <v>1</v>
      </c>
      <c r="N582" s="37"/>
      <c r="O582" s="38"/>
      <c r="P582" s="34" t="str">
        <f>IFERROR(__xludf.DUMMYFUNCTION("""COMPUTED_VALUE"""),"")</f>
        <v/>
      </c>
      <c r="Q582" s="35" t="str">
        <f>IFERROR(__xludf.DUMMYFUNCTION("""COMPUTED_VALUE"""),"AP")</f>
        <v>AP</v>
      </c>
      <c r="R582" s="34" t="str">
        <f>IFERROR(__xludf.DUMMYFUNCTION("""COMPUTED_VALUE"""),"")</f>
        <v/>
      </c>
      <c r="S582" s="35" t="str">
        <f>IFERROR(__xludf.DUMMYFUNCTION("""COMPUTED_VALUE"""),"%")</f>
        <v>%</v>
      </c>
      <c r="T582" s="36">
        <f>IFERROR(__xludf.DUMMYFUNCTION("""COMPUTED_VALUE"""),2.0)</f>
        <v>2</v>
      </c>
      <c r="U582" s="37"/>
      <c r="V582" s="38"/>
      <c r="W582" s="34" t="str">
        <f>IFERROR(__xludf.DUMMYFUNCTION("""COMPUTED_VALUE"""),"")</f>
        <v/>
      </c>
      <c r="X582" s="35" t="str">
        <f>IFERROR(__xludf.DUMMYFUNCTION("""COMPUTED_VALUE"""),"AP")</f>
        <v>AP</v>
      </c>
      <c r="Y582" s="34" t="str">
        <f>IFERROR(__xludf.DUMMYFUNCTION("""COMPUTED_VALUE"""),"")</f>
        <v/>
      </c>
      <c r="Z582" s="35" t="str">
        <f>IFERROR(__xludf.DUMMYFUNCTION("""COMPUTED_VALUE"""),"%")</f>
        <v>%</v>
      </c>
      <c r="AA582" s="36">
        <f>IFERROR(__xludf.DUMMYFUNCTION("""COMPUTED_VALUE"""),3.0)</f>
        <v>3</v>
      </c>
      <c r="AB582" s="37"/>
      <c r="AC582" s="38"/>
      <c r="AD582" s="34" t="str">
        <f>IFERROR(__xludf.DUMMYFUNCTION("""COMPUTED_VALUE"""),"")</f>
        <v/>
      </c>
      <c r="AE582" s="35" t="str">
        <f>IFERROR(__xludf.DUMMYFUNCTION("""COMPUTED_VALUE"""),"AP")</f>
        <v>AP</v>
      </c>
      <c r="AF582" s="34" t="str">
        <f>IFERROR(__xludf.DUMMYFUNCTION("""COMPUTED_VALUE"""),"")</f>
        <v/>
      </c>
      <c r="AG582" s="35" t="str">
        <f>IFERROR(__xludf.DUMMYFUNCTION("""COMPUTED_VALUE"""),"%")</f>
        <v>%</v>
      </c>
      <c r="AH582" s="31"/>
      <c r="AI582" s="32"/>
      <c r="AJ582" s="67"/>
    </row>
    <row r="583" ht="24.75" customHeight="1">
      <c r="A583" s="40">
        <f>IFERROR(__xludf.DUMMYFUNCTION("""COMPUTED_VALUE"""),6.0)</f>
        <v>6</v>
      </c>
      <c r="B583" s="40" t="str">
        <f>IFERROR(__xludf.DUMMYFUNCTION("""COMPUTED_VALUE"""),"A217")</f>
        <v>A217</v>
      </c>
      <c r="C583" s="40"/>
      <c r="D583" s="41"/>
      <c r="E583" s="66"/>
      <c r="F583" s="43"/>
      <c r="G583" s="44"/>
      <c r="H583" s="33" t="str">
        <f>IFERROR(__xludf.DUMMYFUNCTION("""COMPUTED_VALUE""")," ")</f>
        <v> </v>
      </c>
      <c r="I583" s="45"/>
      <c r="J583" s="46" t="str">
        <f>IFERROR(__xludf.DUMMYFUNCTION("""COMPUTED_VALUE"""),"AP")</f>
        <v>AP</v>
      </c>
      <c r="K583" s="47"/>
      <c r="L583" s="48" t="str">
        <f>IFERROR(__xludf.DUMMYFUNCTION("""COMPUTED_VALUE"""),"%")</f>
        <v>%</v>
      </c>
      <c r="M583" s="49">
        <f>IFERROR(__xludf.DUMMYFUNCTION("""COMPUTED_VALUE"""),1.0)</f>
        <v>1</v>
      </c>
      <c r="N583" s="50"/>
      <c r="O583" s="38"/>
      <c r="P583" s="45" t="str">
        <f>IFERROR(__xludf.DUMMYFUNCTION("""COMPUTED_VALUE"""),"")</f>
        <v/>
      </c>
      <c r="Q583" s="46" t="str">
        <f>IFERROR(__xludf.DUMMYFUNCTION("""COMPUTED_VALUE"""),"AP")</f>
        <v>AP</v>
      </c>
      <c r="R583" s="47" t="str">
        <f>IFERROR(__xludf.DUMMYFUNCTION("""COMPUTED_VALUE"""),"")</f>
        <v/>
      </c>
      <c r="S583" s="48" t="str">
        <f>IFERROR(__xludf.DUMMYFUNCTION("""COMPUTED_VALUE"""),"%")</f>
        <v>%</v>
      </c>
      <c r="T583" s="49">
        <f>IFERROR(__xludf.DUMMYFUNCTION("""COMPUTED_VALUE"""),2.0)</f>
        <v>2</v>
      </c>
      <c r="U583" s="50"/>
      <c r="V583" s="38"/>
      <c r="W583" s="45" t="str">
        <f>IFERROR(__xludf.DUMMYFUNCTION("""COMPUTED_VALUE"""),"")</f>
        <v/>
      </c>
      <c r="X583" s="46" t="str">
        <f>IFERROR(__xludf.DUMMYFUNCTION("""COMPUTED_VALUE"""),"AP")</f>
        <v>AP</v>
      </c>
      <c r="Y583" s="47" t="str">
        <f>IFERROR(__xludf.DUMMYFUNCTION("""COMPUTED_VALUE"""),"")</f>
        <v/>
      </c>
      <c r="Z583" s="48" t="str">
        <f>IFERROR(__xludf.DUMMYFUNCTION("""COMPUTED_VALUE"""),"%")</f>
        <v>%</v>
      </c>
      <c r="AA583" s="49">
        <f>IFERROR(__xludf.DUMMYFUNCTION("""COMPUTED_VALUE"""),3.0)</f>
        <v>3</v>
      </c>
      <c r="AB583" s="50"/>
      <c r="AC583" s="38"/>
      <c r="AD583" s="45" t="str">
        <f>IFERROR(__xludf.DUMMYFUNCTION("""COMPUTED_VALUE"""),"")</f>
        <v/>
      </c>
      <c r="AE583" s="46" t="str">
        <f>IFERROR(__xludf.DUMMYFUNCTION("""COMPUTED_VALUE"""),"AP")</f>
        <v>AP</v>
      </c>
      <c r="AF583" s="47" t="str">
        <f>IFERROR(__xludf.DUMMYFUNCTION("""COMPUTED_VALUE"""),"")</f>
        <v/>
      </c>
      <c r="AG583" s="48" t="str">
        <f>IFERROR(__xludf.DUMMYFUNCTION("""COMPUTED_VALUE"""),"%")</f>
        <v>%</v>
      </c>
      <c r="AH583" s="43"/>
      <c r="AI583" s="44"/>
      <c r="AJ583" s="66"/>
    </row>
    <row r="584" ht="24.75" customHeight="1">
      <c r="A584" s="28">
        <f>IFERROR(__xludf.DUMMYFUNCTION("""COMPUTED_VALUE"""),7.0)</f>
        <v>7</v>
      </c>
      <c r="B584" s="28" t="str">
        <f>IFERROR(__xludf.DUMMYFUNCTION("""COMPUTED_VALUE"""),"A217")</f>
        <v>A217</v>
      </c>
      <c r="C584" s="28"/>
      <c r="D584" s="29"/>
      <c r="E584" s="67"/>
      <c r="F584" s="31"/>
      <c r="G584" s="32"/>
      <c r="H584" s="33" t="str">
        <f>IFERROR(__xludf.DUMMYFUNCTION("""COMPUTED_VALUE""")," ")</f>
        <v> </v>
      </c>
      <c r="I584" s="34"/>
      <c r="J584" s="35" t="str">
        <f>IFERROR(__xludf.DUMMYFUNCTION("""COMPUTED_VALUE"""),"AP")</f>
        <v>AP</v>
      </c>
      <c r="K584" s="34"/>
      <c r="L584" s="35" t="str">
        <f>IFERROR(__xludf.DUMMYFUNCTION("""COMPUTED_VALUE"""),"%")</f>
        <v>%</v>
      </c>
      <c r="M584" s="36">
        <f>IFERROR(__xludf.DUMMYFUNCTION("""COMPUTED_VALUE"""),1.0)</f>
        <v>1</v>
      </c>
      <c r="N584" s="37"/>
      <c r="O584" s="38"/>
      <c r="P584" s="34" t="str">
        <f>IFERROR(__xludf.DUMMYFUNCTION("""COMPUTED_VALUE"""),"")</f>
        <v/>
      </c>
      <c r="Q584" s="35" t="str">
        <f>IFERROR(__xludf.DUMMYFUNCTION("""COMPUTED_VALUE"""),"AP")</f>
        <v>AP</v>
      </c>
      <c r="R584" s="34" t="str">
        <f>IFERROR(__xludf.DUMMYFUNCTION("""COMPUTED_VALUE"""),"")</f>
        <v/>
      </c>
      <c r="S584" s="35" t="str">
        <f>IFERROR(__xludf.DUMMYFUNCTION("""COMPUTED_VALUE"""),"%")</f>
        <v>%</v>
      </c>
      <c r="T584" s="36">
        <f>IFERROR(__xludf.DUMMYFUNCTION("""COMPUTED_VALUE"""),2.0)</f>
        <v>2</v>
      </c>
      <c r="U584" s="37"/>
      <c r="V584" s="38"/>
      <c r="W584" s="34" t="str">
        <f>IFERROR(__xludf.DUMMYFUNCTION("""COMPUTED_VALUE"""),"")</f>
        <v/>
      </c>
      <c r="X584" s="35" t="str">
        <f>IFERROR(__xludf.DUMMYFUNCTION("""COMPUTED_VALUE"""),"AP")</f>
        <v>AP</v>
      </c>
      <c r="Y584" s="34" t="str">
        <f>IFERROR(__xludf.DUMMYFUNCTION("""COMPUTED_VALUE"""),"")</f>
        <v/>
      </c>
      <c r="Z584" s="35" t="str">
        <f>IFERROR(__xludf.DUMMYFUNCTION("""COMPUTED_VALUE"""),"%")</f>
        <v>%</v>
      </c>
      <c r="AA584" s="36">
        <f>IFERROR(__xludf.DUMMYFUNCTION("""COMPUTED_VALUE"""),3.0)</f>
        <v>3</v>
      </c>
      <c r="AB584" s="37"/>
      <c r="AC584" s="38"/>
      <c r="AD584" s="34" t="str">
        <f>IFERROR(__xludf.DUMMYFUNCTION("""COMPUTED_VALUE"""),"")</f>
        <v/>
      </c>
      <c r="AE584" s="35" t="str">
        <f>IFERROR(__xludf.DUMMYFUNCTION("""COMPUTED_VALUE"""),"AP")</f>
        <v>AP</v>
      </c>
      <c r="AF584" s="34" t="str">
        <f>IFERROR(__xludf.DUMMYFUNCTION("""COMPUTED_VALUE"""),"")</f>
        <v/>
      </c>
      <c r="AG584" s="35" t="str">
        <f>IFERROR(__xludf.DUMMYFUNCTION("""COMPUTED_VALUE"""),"%")</f>
        <v>%</v>
      </c>
      <c r="AH584" s="31"/>
      <c r="AI584" s="32"/>
      <c r="AJ584" s="67"/>
    </row>
    <row r="585" ht="24.75" customHeight="1">
      <c r="A585" s="40">
        <f>IFERROR(__xludf.DUMMYFUNCTION("""COMPUTED_VALUE"""),8.0)</f>
        <v>8</v>
      </c>
      <c r="B585" s="40" t="str">
        <f>IFERROR(__xludf.DUMMYFUNCTION("""COMPUTED_VALUE"""),"A217")</f>
        <v>A217</v>
      </c>
      <c r="C585" s="40"/>
      <c r="D585" s="41"/>
      <c r="E585" s="66"/>
      <c r="F585" s="43"/>
      <c r="G585" s="44"/>
      <c r="H585" s="33" t="str">
        <f>IFERROR(__xludf.DUMMYFUNCTION("""COMPUTED_VALUE""")," ")</f>
        <v> </v>
      </c>
      <c r="I585" s="45"/>
      <c r="J585" s="46" t="str">
        <f>IFERROR(__xludf.DUMMYFUNCTION("""COMPUTED_VALUE"""),"AP")</f>
        <v>AP</v>
      </c>
      <c r="K585" s="47"/>
      <c r="L585" s="48" t="str">
        <f>IFERROR(__xludf.DUMMYFUNCTION("""COMPUTED_VALUE"""),"%")</f>
        <v>%</v>
      </c>
      <c r="M585" s="49">
        <f>IFERROR(__xludf.DUMMYFUNCTION("""COMPUTED_VALUE"""),1.0)</f>
        <v>1</v>
      </c>
      <c r="N585" s="50"/>
      <c r="O585" s="38"/>
      <c r="P585" s="45" t="str">
        <f>IFERROR(__xludf.DUMMYFUNCTION("""COMPUTED_VALUE"""),"")</f>
        <v/>
      </c>
      <c r="Q585" s="46" t="str">
        <f>IFERROR(__xludf.DUMMYFUNCTION("""COMPUTED_VALUE"""),"AP")</f>
        <v>AP</v>
      </c>
      <c r="R585" s="47" t="str">
        <f>IFERROR(__xludf.DUMMYFUNCTION("""COMPUTED_VALUE"""),"")</f>
        <v/>
      </c>
      <c r="S585" s="48" t="str">
        <f>IFERROR(__xludf.DUMMYFUNCTION("""COMPUTED_VALUE"""),"%")</f>
        <v>%</v>
      </c>
      <c r="T585" s="49">
        <f>IFERROR(__xludf.DUMMYFUNCTION("""COMPUTED_VALUE"""),2.0)</f>
        <v>2</v>
      </c>
      <c r="U585" s="50"/>
      <c r="V585" s="38"/>
      <c r="W585" s="45" t="str">
        <f>IFERROR(__xludf.DUMMYFUNCTION("""COMPUTED_VALUE"""),"")</f>
        <v/>
      </c>
      <c r="X585" s="46" t="str">
        <f>IFERROR(__xludf.DUMMYFUNCTION("""COMPUTED_VALUE"""),"AP")</f>
        <v>AP</v>
      </c>
      <c r="Y585" s="47" t="str">
        <f>IFERROR(__xludf.DUMMYFUNCTION("""COMPUTED_VALUE"""),"")</f>
        <v/>
      </c>
      <c r="Z585" s="48" t="str">
        <f>IFERROR(__xludf.DUMMYFUNCTION("""COMPUTED_VALUE"""),"%")</f>
        <v>%</v>
      </c>
      <c r="AA585" s="49">
        <f>IFERROR(__xludf.DUMMYFUNCTION("""COMPUTED_VALUE"""),3.0)</f>
        <v>3</v>
      </c>
      <c r="AB585" s="50"/>
      <c r="AC585" s="38"/>
      <c r="AD585" s="45" t="str">
        <f>IFERROR(__xludf.DUMMYFUNCTION("""COMPUTED_VALUE"""),"")</f>
        <v/>
      </c>
      <c r="AE585" s="46" t="str">
        <f>IFERROR(__xludf.DUMMYFUNCTION("""COMPUTED_VALUE"""),"AP")</f>
        <v>AP</v>
      </c>
      <c r="AF585" s="47" t="str">
        <f>IFERROR(__xludf.DUMMYFUNCTION("""COMPUTED_VALUE"""),"")</f>
        <v/>
      </c>
      <c r="AG585" s="48" t="str">
        <f>IFERROR(__xludf.DUMMYFUNCTION("""COMPUTED_VALUE"""),"%")</f>
        <v>%</v>
      </c>
      <c r="AH585" s="43"/>
      <c r="AI585" s="44"/>
      <c r="AJ585" s="66"/>
    </row>
    <row r="586" ht="24.75" hidden="1" customHeight="1">
      <c r="A586" s="28">
        <f>IFERROR(__xludf.DUMMYFUNCTION("""COMPUTED_VALUE"""),9.0)</f>
        <v>9</v>
      </c>
      <c r="B586" s="28" t="str">
        <f>IFERROR(__xludf.DUMMYFUNCTION("""COMPUTED_VALUE"""),"A217")</f>
        <v>A217</v>
      </c>
      <c r="C586" s="28"/>
      <c r="D586" s="29"/>
      <c r="E586" s="67"/>
      <c r="F586" s="31"/>
      <c r="G586" s="32"/>
      <c r="H586" s="33" t="str">
        <f>IFERROR(__xludf.DUMMYFUNCTION("""COMPUTED_VALUE""")," ")</f>
        <v> </v>
      </c>
      <c r="I586" s="34"/>
      <c r="J586" s="35" t="str">
        <f>IFERROR(__xludf.DUMMYFUNCTION("""COMPUTED_VALUE"""),"AP")</f>
        <v>AP</v>
      </c>
      <c r="K586" s="34"/>
      <c r="L586" s="35" t="str">
        <f>IFERROR(__xludf.DUMMYFUNCTION("""COMPUTED_VALUE"""),"%")</f>
        <v>%</v>
      </c>
      <c r="M586" s="36">
        <f>IFERROR(__xludf.DUMMYFUNCTION("""COMPUTED_VALUE"""),1.0)</f>
        <v>1</v>
      </c>
      <c r="N586" s="37"/>
      <c r="O586" s="38"/>
      <c r="P586" s="34" t="str">
        <f>IFERROR(__xludf.DUMMYFUNCTION("""COMPUTED_VALUE"""),"")</f>
        <v/>
      </c>
      <c r="Q586" s="35" t="str">
        <f>IFERROR(__xludf.DUMMYFUNCTION("""COMPUTED_VALUE"""),"AP")</f>
        <v>AP</v>
      </c>
      <c r="R586" s="34" t="str">
        <f>IFERROR(__xludf.DUMMYFUNCTION("""COMPUTED_VALUE"""),"")</f>
        <v/>
      </c>
      <c r="S586" s="35" t="str">
        <f>IFERROR(__xludf.DUMMYFUNCTION("""COMPUTED_VALUE"""),"%")</f>
        <v>%</v>
      </c>
      <c r="T586" s="36">
        <f>IFERROR(__xludf.DUMMYFUNCTION("""COMPUTED_VALUE"""),2.0)</f>
        <v>2</v>
      </c>
      <c r="U586" s="37"/>
      <c r="V586" s="38"/>
      <c r="W586" s="34" t="str">
        <f>IFERROR(__xludf.DUMMYFUNCTION("""COMPUTED_VALUE"""),"")</f>
        <v/>
      </c>
      <c r="X586" s="35" t="str">
        <f>IFERROR(__xludf.DUMMYFUNCTION("""COMPUTED_VALUE"""),"AP")</f>
        <v>AP</v>
      </c>
      <c r="Y586" s="34" t="str">
        <f>IFERROR(__xludf.DUMMYFUNCTION("""COMPUTED_VALUE"""),"")</f>
        <v/>
      </c>
      <c r="Z586" s="35" t="str">
        <f>IFERROR(__xludf.DUMMYFUNCTION("""COMPUTED_VALUE"""),"%")</f>
        <v>%</v>
      </c>
      <c r="AA586" s="36">
        <f>IFERROR(__xludf.DUMMYFUNCTION("""COMPUTED_VALUE"""),3.0)</f>
        <v>3</v>
      </c>
      <c r="AB586" s="37"/>
      <c r="AC586" s="38"/>
      <c r="AD586" s="34" t="str">
        <f>IFERROR(__xludf.DUMMYFUNCTION("""COMPUTED_VALUE"""),"")</f>
        <v/>
      </c>
      <c r="AE586" s="35" t="str">
        <f>IFERROR(__xludf.DUMMYFUNCTION("""COMPUTED_VALUE"""),"AP")</f>
        <v>AP</v>
      </c>
      <c r="AF586" s="34" t="str">
        <f>IFERROR(__xludf.DUMMYFUNCTION("""COMPUTED_VALUE"""),"")</f>
        <v/>
      </c>
      <c r="AG586" s="35" t="str">
        <f>IFERROR(__xludf.DUMMYFUNCTION("""COMPUTED_VALUE"""),"%")</f>
        <v>%</v>
      </c>
      <c r="AH586" s="31"/>
      <c r="AI586" s="32"/>
      <c r="AJ586" s="67"/>
    </row>
    <row r="587" ht="24.75" hidden="1" customHeight="1">
      <c r="A587" s="40">
        <f>IFERROR(__xludf.DUMMYFUNCTION("""COMPUTED_VALUE"""),10.0)</f>
        <v>10</v>
      </c>
      <c r="B587" s="40" t="str">
        <f>IFERROR(__xludf.DUMMYFUNCTION("""COMPUTED_VALUE"""),"A217")</f>
        <v>A217</v>
      </c>
      <c r="C587" s="40"/>
      <c r="D587" s="41"/>
      <c r="E587" s="66"/>
      <c r="F587" s="43"/>
      <c r="G587" s="44"/>
      <c r="H587" s="33" t="str">
        <f>IFERROR(__xludf.DUMMYFUNCTION("""COMPUTED_VALUE""")," ")</f>
        <v> </v>
      </c>
      <c r="I587" s="45"/>
      <c r="J587" s="46" t="str">
        <f>IFERROR(__xludf.DUMMYFUNCTION("""COMPUTED_VALUE"""),"AP")</f>
        <v>AP</v>
      </c>
      <c r="K587" s="47"/>
      <c r="L587" s="48" t="str">
        <f>IFERROR(__xludf.DUMMYFUNCTION("""COMPUTED_VALUE"""),"%")</f>
        <v>%</v>
      </c>
      <c r="M587" s="49">
        <f>IFERROR(__xludf.DUMMYFUNCTION("""COMPUTED_VALUE"""),1.0)</f>
        <v>1</v>
      </c>
      <c r="N587" s="50"/>
      <c r="O587" s="38"/>
      <c r="P587" s="45" t="str">
        <f>IFERROR(__xludf.DUMMYFUNCTION("""COMPUTED_VALUE"""),"")</f>
        <v/>
      </c>
      <c r="Q587" s="46" t="str">
        <f>IFERROR(__xludf.DUMMYFUNCTION("""COMPUTED_VALUE"""),"AP")</f>
        <v>AP</v>
      </c>
      <c r="R587" s="47" t="str">
        <f>IFERROR(__xludf.DUMMYFUNCTION("""COMPUTED_VALUE"""),"")</f>
        <v/>
      </c>
      <c r="S587" s="48" t="str">
        <f>IFERROR(__xludf.DUMMYFUNCTION("""COMPUTED_VALUE"""),"%")</f>
        <v>%</v>
      </c>
      <c r="T587" s="49">
        <f>IFERROR(__xludf.DUMMYFUNCTION("""COMPUTED_VALUE"""),2.0)</f>
        <v>2</v>
      </c>
      <c r="U587" s="50"/>
      <c r="V587" s="38"/>
      <c r="W587" s="45" t="str">
        <f>IFERROR(__xludf.DUMMYFUNCTION("""COMPUTED_VALUE"""),"")</f>
        <v/>
      </c>
      <c r="X587" s="46" t="str">
        <f>IFERROR(__xludf.DUMMYFUNCTION("""COMPUTED_VALUE"""),"AP")</f>
        <v>AP</v>
      </c>
      <c r="Y587" s="47" t="str">
        <f>IFERROR(__xludf.DUMMYFUNCTION("""COMPUTED_VALUE"""),"")</f>
        <v/>
      </c>
      <c r="Z587" s="48" t="str">
        <f>IFERROR(__xludf.DUMMYFUNCTION("""COMPUTED_VALUE"""),"%")</f>
        <v>%</v>
      </c>
      <c r="AA587" s="49">
        <f>IFERROR(__xludf.DUMMYFUNCTION("""COMPUTED_VALUE"""),3.0)</f>
        <v>3</v>
      </c>
      <c r="AB587" s="50"/>
      <c r="AC587" s="38"/>
      <c r="AD587" s="45" t="str">
        <f>IFERROR(__xludf.DUMMYFUNCTION("""COMPUTED_VALUE"""),"")</f>
        <v/>
      </c>
      <c r="AE587" s="46" t="str">
        <f>IFERROR(__xludf.DUMMYFUNCTION("""COMPUTED_VALUE"""),"AP")</f>
        <v>AP</v>
      </c>
      <c r="AF587" s="47" t="str">
        <f>IFERROR(__xludf.DUMMYFUNCTION("""COMPUTED_VALUE"""),"")</f>
        <v/>
      </c>
      <c r="AG587" s="48" t="str">
        <f>IFERROR(__xludf.DUMMYFUNCTION("""COMPUTED_VALUE"""),"%")</f>
        <v>%</v>
      </c>
      <c r="AH587" s="43"/>
      <c r="AI587" s="44"/>
      <c r="AJ587" s="66"/>
    </row>
    <row r="588" ht="24.75" hidden="1" customHeight="1">
      <c r="A588" s="28">
        <f>IFERROR(__xludf.DUMMYFUNCTION("""COMPUTED_VALUE"""),11.0)</f>
        <v>11</v>
      </c>
      <c r="B588" s="28" t="str">
        <f>IFERROR(__xludf.DUMMYFUNCTION("""COMPUTED_VALUE"""),"A217")</f>
        <v>A217</v>
      </c>
      <c r="C588" s="28"/>
      <c r="D588" s="29"/>
      <c r="E588" s="67"/>
      <c r="F588" s="31"/>
      <c r="G588" s="32"/>
      <c r="H588" s="33" t="str">
        <f>IFERROR(__xludf.DUMMYFUNCTION("""COMPUTED_VALUE""")," ")</f>
        <v> </v>
      </c>
      <c r="I588" s="34"/>
      <c r="J588" s="35" t="str">
        <f>IFERROR(__xludf.DUMMYFUNCTION("""COMPUTED_VALUE"""),"AP")</f>
        <v>AP</v>
      </c>
      <c r="K588" s="34"/>
      <c r="L588" s="35" t="str">
        <f>IFERROR(__xludf.DUMMYFUNCTION("""COMPUTED_VALUE"""),"%")</f>
        <v>%</v>
      </c>
      <c r="M588" s="36">
        <f>IFERROR(__xludf.DUMMYFUNCTION("""COMPUTED_VALUE"""),1.0)</f>
        <v>1</v>
      </c>
      <c r="N588" s="37"/>
      <c r="O588" s="38"/>
      <c r="P588" s="34" t="str">
        <f>IFERROR(__xludf.DUMMYFUNCTION("""COMPUTED_VALUE"""),"")</f>
        <v/>
      </c>
      <c r="Q588" s="35" t="str">
        <f>IFERROR(__xludf.DUMMYFUNCTION("""COMPUTED_VALUE"""),"AP")</f>
        <v>AP</v>
      </c>
      <c r="R588" s="34" t="str">
        <f>IFERROR(__xludf.DUMMYFUNCTION("""COMPUTED_VALUE"""),"")</f>
        <v/>
      </c>
      <c r="S588" s="35" t="str">
        <f>IFERROR(__xludf.DUMMYFUNCTION("""COMPUTED_VALUE"""),"%")</f>
        <v>%</v>
      </c>
      <c r="T588" s="36">
        <f>IFERROR(__xludf.DUMMYFUNCTION("""COMPUTED_VALUE"""),2.0)</f>
        <v>2</v>
      </c>
      <c r="U588" s="37"/>
      <c r="V588" s="38"/>
      <c r="W588" s="34" t="str">
        <f>IFERROR(__xludf.DUMMYFUNCTION("""COMPUTED_VALUE"""),"")</f>
        <v/>
      </c>
      <c r="X588" s="35" t="str">
        <f>IFERROR(__xludf.DUMMYFUNCTION("""COMPUTED_VALUE"""),"AP")</f>
        <v>AP</v>
      </c>
      <c r="Y588" s="34" t="str">
        <f>IFERROR(__xludf.DUMMYFUNCTION("""COMPUTED_VALUE"""),"")</f>
        <v/>
      </c>
      <c r="Z588" s="35" t="str">
        <f>IFERROR(__xludf.DUMMYFUNCTION("""COMPUTED_VALUE"""),"%")</f>
        <v>%</v>
      </c>
      <c r="AA588" s="36">
        <f>IFERROR(__xludf.DUMMYFUNCTION("""COMPUTED_VALUE"""),3.0)</f>
        <v>3</v>
      </c>
      <c r="AB588" s="37"/>
      <c r="AC588" s="38"/>
      <c r="AD588" s="34" t="str">
        <f>IFERROR(__xludf.DUMMYFUNCTION("""COMPUTED_VALUE"""),"")</f>
        <v/>
      </c>
      <c r="AE588" s="35" t="str">
        <f>IFERROR(__xludf.DUMMYFUNCTION("""COMPUTED_VALUE"""),"AP")</f>
        <v>AP</v>
      </c>
      <c r="AF588" s="34" t="str">
        <f>IFERROR(__xludf.DUMMYFUNCTION("""COMPUTED_VALUE"""),"")</f>
        <v/>
      </c>
      <c r="AG588" s="35" t="str">
        <f>IFERROR(__xludf.DUMMYFUNCTION("""COMPUTED_VALUE"""),"%")</f>
        <v>%</v>
      </c>
      <c r="AH588" s="31"/>
      <c r="AI588" s="32"/>
      <c r="AJ588" s="67"/>
    </row>
    <row r="589" ht="24.75" hidden="1" customHeight="1">
      <c r="A589" s="40">
        <f>IFERROR(__xludf.DUMMYFUNCTION("""COMPUTED_VALUE"""),12.0)</f>
        <v>12</v>
      </c>
      <c r="B589" s="40" t="str">
        <f>IFERROR(__xludf.DUMMYFUNCTION("""COMPUTED_VALUE"""),"A217")</f>
        <v>A217</v>
      </c>
      <c r="C589" s="40"/>
      <c r="D589" s="41"/>
      <c r="E589" s="66"/>
      <c r="F589" s="43"/>
      <c r="G589" s="44"/>
      <c r="H589" s="33" t="str">
        <f>IFERROR(__xludf.DUMMYFUNCTION("""COMPUTED_VALUE""")," ")</f>
        <v> </v>
      </c>
      <c r="I589" s="45"/>
      <c r="J589" s="46" t="str">
        <f>IFERROR(__xludf.DUMMYFUNCTION("""COMPUTED_VALUE"""),"AP")</f>
        <v>AP</v>
      </c>
      <c r="K589" s="47"/>
      <c r="L589" s="48" t="str">
        <f>IFERROR(__xludf.DUMMYFUNCTION("""COMPUTED_VALUE"""),"%")</f>
        <v>%</v>
      </c>
      <c r="M589" s="49">
        <f>IFERROR(__xludf.DUMMYFUNCTION("""COMPUTED_VALUE"""),1.0)</f>
        <v>1</v>
      </c>
      <c r="N589" s="50"/>
      <c r="O589" s="38"/>
      <c r="P589" s="45" t="str">
        <f>IFERROR(__xludf.DUMMYFUNCTION("""COMPUTED_VALUE"""),"")</f>
        <v/>
      </c>
      <c r="Q589" s="46" t="str">
        <f>IFERROR(__xludf.DUMMYFUNCTION("""COMPUTED_VALUE"""),"AP")</f>
        <v>AP</v>
      </c>
      <c r="R589" s="47" t="str">
        <f>IFERROR(__xludf.DUMMYFUNCTION("""COMPUTED_VALUE"""),"")</f>
        <v/>
      </c>
      <c r="S589" s="48" t="str">
        <f>IFERROR(__xludf.DUMMYFUNCTION("""COMPUTED_VALUE"""),"%")</f>
        <v>%</v>
      </c>
      <c r="T589" s="49">
        <f>IFERROR(__xludf.DUMMYFUNCTION("""COMPUTED_VALUE"""),2.0)</f>
        <v>2</v>
      </c>
      <c r="U589" s="50"/>
      <c r="V589" s="38"/>
      <c r="W589" s="45" t="str">
        <f>IFERROR(__xludf.DUMMYFUNCTION("""COMPUTED_VALUE"""),"")</f>
        <v/>
      </c>
      <c r="X589" s="46" t="str">
        <f>IFERROR(__xludf.DUMMYFUNCTION("""COMPUTED_VALUE"""),"AP")</f>
        <v>AP</v>
      </c>
      <c r="Y589" s="47" t="str">
        <f>IFERROR(__xludf.DUMMYFUNCTION("""COMPUTED_VALUE"""),"")</f>
        <v/>
      </c>
      <c r="Z589" s="48" t="str">
        <f>IFERROR(__xludf.DUMMYFUNCTION("""COMPUTED_VALUE"""),"%")</f>
        <v>%</v>
      </c>
      <c r="AA589" s="49">
        <f>IFERROR(__xludf.DUMMYFUNCTION("""COMPUTED_VALUE"""),3.0)</f>
        <v>3</v>
      </c>
      <c r="AB589" s="50"/>
      <c r="AC589" s="38"/>
      <c r="AD589" s="45" t="str">
        <f>IFERROR(__xludf.DUMMYFUNCTION("""COMPUTED_VALUE"""),"")</f>
        <v/>
      </c>
      <c r="AE589" s="46" t="str">
        <f>IFERROR(__xludf.DUMMYFUNCTION("""COMPUTED_VALUE"""),"AP")</f>
        <v>AP</v>
      </c>
      <c r="AF589" s="47" t="str">
        <f>IFERROR(__xludf.DUMMYFUNCTION("""COMPUTED_VALUE"""),"")</f>
        <v/>
      </c>
      <c r="AG589" s="48" t="str">
        <f>IFERROR(__xludf.DUMMYFUNCTION("""COMPUTED_VALUE"""),"%")</f>
        <v>%</v>
      </c>
      <c r="AH589" s="43"/>
      <c r="AI589" s="44"/>
      <c r="AJ589" s="66"/>
    </row>
    <row r="590" ht="24.75" hidden="1" customHeight="1">
      <c r="A590" s="28">
        <f>IFERROR(__xludf.DUMMYFUNCTION("""COMPUTED_VALUE"""),13.0)</f>
        <v>13</v>
      </c>
      <c r="B590" s="28" t="str">
        <f>IFERROR(__xludf.DUMMYFUNCTION("""COMPUTED_VALUE"""),"A217")</f>
        <v>A217</v>
      </c>
      <c r="C590" s="28"/>
      <c r="D590" s="29"/>
      <c r="E590" s="67"/>
      <c r="F590" s="31"/>
      <c r="G590" s="32"/>
      <c r="H590" s="33" t="str">
        <f>IFERROR(__xludf.DUMMYFUNCTION("""COMPUTED_VALUE""")," ")</f>
        <v> </v>
      </c>
      <c r="I590" s="34"/>
      <c r="J590" s="35" t="str">
        <f>IFERROR(__xludf.DUMMYFUNCTION("""COMPUTED_VALUE"""),"AP")</f>
        <v>AP</v>
      </c>
      <c r="K590" s="34"/>
      <c r="L590" s="35" t="str">
        <f>IFERROR(__xludf.DUMMYFUNCTION("""COMPUTED_VALUE"""),"%")</f>
        <v>%</v>
      </c>
      <c r="M590" s="36">
        <f>IFERROR(__xludf.DUMMYFUNCTION("""COMPUTED_VALUE"""),1.0)</f>
        <v>1</v>
      </c>
      <c r="N590" s="37"/>
      <c r="O590" s="38"/>
      <c r="P590" s="34" t="str">
        <f>IFERROR(__xludf.DUMMYFUNCTION("""COMPUTED_VALUE"""),"")</f>
        <v/>
      </c>
      <c r="Q590" s="35" t="str">
        <f>IFERROR(__xludf.DUMMYFUNCTION("""COMPUTED_VALUE"""),"AP")</f>
        <v>AP</v>
      </c>
      <c r="R590" s="34" t="str">
        <f>IFERROR(__xludf.DUMMYFUNCTION("""COMPUTED_VALUE"""),"")</f>
        <v/>
      </c>
      <c r="S590" s="35" t="str">
        <f>IFERROR(__xludf.DUMMYFUNCTION("""COMPUTED_VALUE"""),"%")</f>
        <v>%</v>
      </c>
      <c r="T590" s="36">
        <f>IFERROR(__xludf.DUMMYFUNCTION("""COMPUTED_VALUE"""),2.0)</f>
        <v>2</v>
      </c>
      <c r="U590" s="37"/>
      <c r="V590" s="38"/>
      <c r="W590" s="34" t="str">
        <f>IFERROR(__xludf.DUMMYFUNCTION("""COMPUTED_VALUE"""),"")</f>
        <v/>
      </c>
      <c r="X590" s="35" t="str">
        <f>IFERROR(__xludf.DUMMYFUNCTION("""COMPUTED_VALUE"""),"AP")</f>
        <v>AP</v>
      </c>
      <c r="Y590" s="34" t="str">
        <f>IFERROR(__xludf.DUMMYFUNCTION("""COMPUTED_VALUE"""),"")</f>
        <v/>
      </c>
      <c r="Z590" s="35" t="str">
        <f>IFERROR(__xludf.DUMMYFUNCTION("""COMPUTED_VALUE"""),"%")</f>
        <v>%</v>
      </c>
      <c r="AA590" s="36">
        <f>IFERROR(__xludf.DUMMYFUNCTION("""COMPUTED_VALUE"""),3.0)</f>
        <v>3</v>
      </c>
      <c r="AB590" s="37"/>
      <c r="AC590" s="38"/>
      <c r="AD590" s="34" t="str">
        <f>IFERROR(__xludf.DUMMYFUNCTION("""COMPUTED_VALUE"""),"")</f>
        <v/>
      </c>
      <c r="AE590" s="35" t="str">
        <f>IFERROR(__xludf.DUMMYFUNCTION("""COMPUTED_VALUE"""),"AP")</f>
        <v>AP</v>
      </c>
      <c r="AF590" s="34" t="str">
        <f>IFERROR(__xludf.DUMMYFUNCTION("""COMPUTED_VALUE"""),"")</f>
        <v/>
      </c>
      <c r="AG590" s="35" t="str">
        <f>IFERROR(__xludf.DUMMYFUNCTION("""COMPUTED_VALUE"""),"%")</f>
        <v>%</v>
      </c>
      <c r="AH590" s="31"/>
      <c r="AI590" s="32"/>
      <c r="AJ590" s="67"/>
    </row>
    <row r="591" ht="24.75" hidden="1" customHeight="1">
      <c r="A591" s="40">
        <f>IFERROR(__xludf.DUMMYFUNCTION("""COMPUTED_VALUE"""),14.0)</f>
        <v>14</v>
      </c>
      <c r="B591" s="40" t="str">
        <f>IFERROR(__xludf.DUMMYFUNCTION("""COMPUTED_VALUE"""),"A217")</f>
        <v>A217</v>
      </c>
      <c r="C591" s="40"/>
      <c r="D591" s="41"/>
      <c r="E591" s="66"/>
      <c r="F591" s="43"/>
      <c r="G591" s="44"/>
      <c r="H591" s="33" t="str">
        <f>IFERROR(__xludf.DUMMYFUNCTION("""COMPUTED_VALUE""")," ")</f>
        <v> </v>
      </c>
      <c r="I591" s="45"/>
      <c r="J591" s="46" t="str">
        <f>IFERROR(__xludf.DUMMYFUNCTION("""COMPUTED_VALUE"""),"AP")</f>
        <v>AP</v>
      </c>
      <c r="K591" s="47"/>
      <c r="L591" s="48" t="str">
        <f>IFERROR(__xludf.DUMMYFUNCTION("""COMPUTED_VALUE"""),"%")</f>
        <v>%</v>
      </c>
      <c r="M591" s="49">
        <f>IFERROR(__xludf.DUMMYFUNCTION("""COMPUTED_VALUE"""),1.0)</f>
        <v>1</v>
      </c>
      <c r="N591" s="50"/>
      <c r="O591" s="38"/>
      <c r="P591" s="45" t="str">
        <f>IFERROR(__xludf.DUMMYFUNCTION("""COMPUTED_VALUE"""),"")</f>
        <v/>
      </c>
      <c r="Q591" s="46" t="str">
        <f>IFERROR(__xludf.DUMMYFUNCTION("""COMPUTED_VALUE"""),"AP")</f>
        <v>AP</v>
      </c>
      <c r="R591" s="47" t="str">
        <f>IFERROR(__xludf.DUMMYFUNCTION("""COMPUTED_VALUE"""),"")</f>
        <v/>
      </c>
      <c r="S591" s="48" t="str">
        <f>IFERROR(__xludf.DUMMYFUNCTION("""COMPUTED_VALUE"""),"%")</f>
        <v>%</v>
      </c>
      <c r="T591" s="49">
        <f>IFERROR(__xludf.DUMMYFUNCTION("""COMPUTED_VALUE"""),2.0)</f>
        <v>2</v>
      </c>
      <c r="U591" s="50"/>
      <c r="V591" s="38"/>
      <c r="W591" s="45" t="str">
        <f>IFERROR(__xludf.DUMMYFUNCTION("""COMPUTED_VALUE"""),"")</f>
        <v/>
      </c>
      <c r="X591" s="46" t="str">
        <f>IFERROR(__xludf.DUMMYFUNCTION("""COMPUTED_VALUE"""),"AP")</f>
        <v>AP</v>
      </c>
      <c r="Y591" s="47" t="str">
        <f>IFERROR(__xludf.DUMMYFUNCTION("""COMPUTED_VALUE"""),"")</f>
        <v/>
      </c>
      <c r="Z591" s="48" t="str">
        <f>IFERROR(__xludf.DUMMYFUNCTION("""COMPUTED_VALUE"""),"%")</f>
        <v>%</v>
      </c>
      <c r="AA591" s="49">
        <f>IFERROR(__xludf.DUMMYFUNCTION("""COMPUTED_VALUE"""),3.0)</f>
        <v>3</v>
      </c>
      <c r="AB591" s="50"/>
      <c r="AC591" s="38"/>
      <c r="AD591" s="45" t="str">
        <f>IFERROR(__xludf.DUMMYFUNCTION("""COMPUTED_VALUE"""),"")</f>
        <v/>
      </c>
      <c r="AE591" s="46" t="str">
        <f>IFERROR(__xludf.DUMMYFUNCTION("""COMPUTED_VALUE"""),"AP")</f>
        <v>AP</v>
      </c>
      <c r="AF591" s="47" t="str">
        <f>IFERROR(__xludf.DUMMYFUNCTION("""COMPUTED_VALUE"""),"")</f>
        <v/>
      </c>
      <c r="AG591" s="48" t="str">
        <f>IFERROR(__xludf.DUMMYFUNCTION("""COMPUTED_VALUE"""),"%")</f>
        <v>%</v>
      </c>
      <c r="AH591" s="43"/>
      <c r="AI591" s="44"/>
      <c r="AJ591" s="66"/>
    </row>
    <row r="592" ht="24.75" hidden="1" customHeight="1">
      <c r="A592" s="28">
        <f>IFERROR(__xludf.DUMMYFUNCTION("""COMPUTED_VALUE"""),15.0)</f>
        <v>15</v>
      </c>
      <c r="B592" s="28" t="str">
        <f>IFERROR(__xludf.DUMMYFUNCTION("""COMPUTED_VALUE"""),"A217")</f>
        <v>A217</v>
      </c>
      <c r="C592" s="28"/>
      <c r="D592" s="29"/>
      <c r="E592" s="67"/>
      <c r="F592" s="31"/>
      <c r="G592" s="32"/>
      <c r="H592" s="33" t="str">
        <f>IFERROR(__xludf.DUMMYFUNCTION("""COMPUTED_VALUE""")," ")</f>
        <v> </v>
      </c>
      <c r="I592" s="34"/>
      <c r="J592" s="35" t="str">
        <f>IFERROR(__xludf.DUMMYFUNCTION("""COMPUTED_VALUE"""),"AP")</f>
        <v>AP</v>
      </c>
      <c r="K592" s="34"/>
      <c r="L592" s="35" t="str">
        <f>IFERROR(__xludf.DUMMYFUNCTION("""COMPUTED_VALUE"""),"%")</f>
        <v>%</v>
      </c>
      <c r="M592" s="36">
        <f>IFERROR(__xludf.DUMMYFUNCTION("""COMPUTED_VALUE"""),1.0)</f>
        <v>1</v>
      </c>
      <c r="N592" s="37"/>
      <c r="O592" s="38"/>
      <c r="P592" s="34" t="str">
        <f>IFERROR(__xludf.DUMMYFUNCTION("""COMPUTED_VALUE"""),"")</f>
        <v/>
      </c>
      <c r="Q592" s="35" t="str">
        <f>IFERROR(__xludf.DUMMYFUNCTION("""COMPUTED_VALUE"""),"AP")</f>
        <v>AP</v>
      </c>
      <c r="R592" s="34" t="str">
        <f>IFERROR(__xludf.DUMMYFUNCTION("""COMPUTED_VALUE"""),"")</f>
        <v/>
      </c>
      <c r="S592" s="35" t="str">
        <f>IFERROR(__xludf.DUMMYFUNCTION("""COMPUTED_VALUE"""),"%")</f>
        <v>%</v>
      </c>
      <c r="T592" s="36">
        <f>IFERROR(__xludf.DUMMYFUNCTION("""COMPUTED_VALUE"""),2.0)</f>
        <v>2</v>
      </c>
      <c r="U592" s="37"/>
      <c r="V592" s="38"/>
      <c r="W592" s="34" t="str">
        <f>IFERROR(__xludf.DUMMYFUNCTION("""COMPUTED_VALUE"""),"")</f>
        <v/>
      </c>
      <c r="X592" s="35" t="str">
        <f>IFERROR(__xludf.DUMMYFUNCTION("""COMPUTED_VALUE"""),"AP")</f>
        <v>AP</v>
      </c>
      <c r="Y592" s="34" t="str">
        <f>IFERROR(__xludf.DUMMYFUNCTION("""COMPUTED_VALUE"""),"")</f>
        <v/>
      </c>
      <c r="Z592" s="35" t="str">
        <f>IFERROR(__xludf.DUMMYFUNCTION("""COMPUTED_VALUE"""),"%")</f>
        <v>%</v>
      </c>
      <c r="AA592" s="36">
        <f>IFERROR(__xludf.DUMMYFUNCTION("""COMPUTED_VALUE"""),3.0)</f>
        <v>3</v>
      </c>
      <c r="AB592" s="37"/>
      <c r="AC592" s="38"/>
      <c r="AD592" s="34" t="str">
        <f>IFERROR(__xludf.DUMMYFUNCTION("""COMPUTED_VALUE"""),"")</f>
        <v/>
      </c>
      <c r="AE592" s="35" t="str">
        <f>IFERROR(__xludf.DUMMYFUNCTION("""COMPUTED_VALUE"""),"AP")</f>
        <v>AP</v>
      </c>
      <c r="AF592" s="34" t="str">
        <f>IFERROR(__xludf.DUMMYFUNCTION("""COMPUTED_VALUE"""),"")</f>
        <v/>
      </c>
      <c r="AG592" s="35" t="str">
        <f>IFERROR(__xludf.DUMMYFUNCTION("""COMPUTED_VALUE"""),"%")</f>
        <v>%</v>
      </c>
      <c r="AH592" s="31"/>
      <c r="AI592" s="32"/>
      <c r="AJ592" s="67"/>
    </row>
    <row r="593" ht="24.75" hidden="1" customHeight="1">
      <c r="A593" s="40">
        <f>IFERROR(__xludf.DUMMYFUNCTION("""COMPUTED_VALUE"""),16.0)</f>
        <v>16</v>
      </c>
      <c r="B593" s="40" t="str">
        <f>IFERROR(__xludf.DUMMYFUNCTION("""COMPUTED_VALUE"""),"A217")</f>
        <v>A217</v>
      </c>
      <c r="C593" s="40"/>
      <c r="D593" s="41"/>
      <c r="E593" s="66"/>
      <c r="F593" s="43"/>
      <c r="G593" s="44"/>
      <c r="H593" s="33" t="str">
        <f>IFERROR(__xludf.DUMMYFUNCTION("""COMPUTED_VALUE""")," ")</f>
        <v> </v>
      </c>
      <c r="I593" s="45"/>
      <c r="J593" s="46" t="str">
        <f>IFERROR(__xludf.DUMMYFUNCTION("""COMPUTED_VALUE"""),"AP")</f>
        <v>AP</v>
      </c>
      <c r="K593" s="47"/>
      <c r="L593" s="48" t="str">
        <f>IFERROR(__xludf.DUMMYFUNCTION("""COMPUTED_VALUE"""),"%")</f>
        <v>%</v>
      </c>
      <c r="M593" s="49">
        <f>IFERROR(__xludf.DUMMYFUNCTION("""COMPUTED_VALUE"""),1.0)</f>
        <v>1</v>
      </c>
      <c r="N593" s="50"/>
      <c r="O593" s="38"/>
      <c r="P593" s="45" t="str">
        <f>IFERROR(__xludf.DUMMYFUNCTION("""COMPUTED_VALUE"""),"")</f>
        <v/>
      </c>
      <c r="Q593" s="46" t="str">
        <f>IFERROR(__xludf.DUMMYFUNCTION("""COMPUTED_VALUE"""),"AP")</f>
        <v>AP</v>
      </c>
      <c r="R593" s="47" t="str">
        <f>IFERROR(__xludf.DUMMYFUNCTION("""COMPUTED_VALUE"""),"")</f>
        <v/>
      </c>
      <c r="S593" s="48" t="str">
        <f>IFERROR(__xludf.DUMMYFUNCTION("""COMPUTED_VALUE"""),"%")</f>
        <v>%</v>
      </c>
      <c r="T593" s="49">
        <f>IFERROR(__xludf.DUMMYFUNCTION("""COMPUTED_VALUE"""),2.0)</f>
        <v>2</v>
      </c>
      <c r="U593" s="50"/>
      <c r="V593" s="38"/>
      <c r="W593" s="45" t="str">
        <f>IFERROR(__xludf.DUMMYFUNCTION("""COMPUTED_VALUE"""),"")</f>
        <v/>
      </c>
      <c r="X593" s="46" t="str">
        <f>IFERROR(__xludf.DUMMYFUNCTION("""COMPUTED_VALUE"""),"AP")</f>
        <v>AP</v>
      </c>
      <c r="Y593" s="47" t="str">
        <f>IFERROR(__xludf.DUMMYFUNCTION("""COMPUTED_VALUE"""),"")</f>
        <v/>
      </c>
      <c r="Z593" s="48" t="str">
        <f>IFERROR(__xludf.DUMMYFUNCTION("""COMPUTED_VALUE"""),"%")</f>
        <v>%</v>
      </c>
      <c r="AA593" s="49">
        <f>IFERROR(__xludf.DUMMYFUNCTION("""COMPUTED_VALUE"""),3.0)</f>
        <v>3</v>
      </c>
      <c r="AB593" s="50"/>
      <c r="AC593" s="38"/>
      <c r="AD593" s="45" t="str">
        <f>IFERROR(__xludf.DUMMYFUNCTION("""COMPUTED_VALUE"""),"")</f>
        <v/>
      </c>
      <c r="AE593" s="46" t="str">
        <f>IFERROR(__xludf.DUMMYFUNCTION("""COMPUTED_VALUE"""),"AP")</f>
        <v>AP</v>
      </c>
      <c r="AF593" s="47" t="str">
        <f>IFERROR(__xludf.DUMMYFUNCTION("""COMPUTED_VALUE"""),"")</f>
        <v/>
      </c>
      <c r="AG593" s="48" t="str">
        <f>IFERROR(__xludf.DUMMYFUNCTION("""COMPUTED_VALUE"""),"%")</f>
        <v>%</v>
      </c>
      <c r="AH593" s="43"/>
      <c r="AI593" s="44"/>
      <c r="AJ593" s="66"/>
    </row>
    <row r="594" ht="24.75" hidden="1" customHeight="1">
      <c r="A594" s="28">
        <f>IFERROR(__xludf.DUMMYFUNCTION("""COMPUTED_VALUE"""),17.0)</f>
        <v>17</v>
      </c>
      <c r="B594" s="28" t="str">
        <f>IFERROR(__xludf.DUMMYFUNCTION("""COMPUTED_VALUE"""),"A217")</f>
        <v>A217</v>
      </c>
      <c r="C594" s="28"/>
      <c r="D594" s="29"/>
      <c r="E594" s="67"/>
      <c r="F594" s="31"/>
      <c r="G594" s="32"/>
      <c r="H594" s="33" t="str">
        <f>IFERROR(__xludf.DUMMYFUNCTION("""COMPUTED_VALUE""")," ")</f>
        <v> </v>
      </c>
      <c r="I594" s="34"/>
      <c r="J594" s="35" t="str">
        <f>IFERROR(__xludf.DUMMYFUNCTION("""COMPUTED_VALUE"""),"AP")</f>
        <v>AP</v>
      </c>
      <c r="K594" s="34"/>
      <c r="L594" s="35" t="str">
        <f>IFERROR(__xludf.DUMMYFUNCTION("""COMPUTED_VALUE"""),"%")</f>
        <v>%</v>
      </c>
      <c r="M594" s="36">
        <f>IFERROR(__xludf.DUMMYFUNCTION("""COMPUTED_VALUE"""),1.0)</f>
        <v>1</v>
      </c>
      <c r="N594" s="37"/>
      <c r="O594" s="38"/>
      <c r="P594" s="34" t="str">
        <f>IFERROR(__xludf.DUMMYFUNCTION("""COMPUTED_VALUE"""),"")</f>
        <v/>
      </c>
      <c r="Q594" s="35" t="str">
        <f>IFERROR(__xludf.DUMMYFUNCTION("""COMPUTED_VALUE"""),"AP")</f>
        <v>AP</v>
      </c>
      <c r="R594" s="34" t="str">
        <f>IFERROR(__xludf.DUMMYFUNCTION("""COMPUTED_VALUE"""),"")</f>
        <v/>
      </c>
      <c r="S594" s="35" t="str">
        <f>IFERROR(__xludf.DUMMYFUNCTION("""COMPUTED_VALUE"""),"%")</f>
        <v>%</v>
      </c>
      <c r="T594" s="36">
        <f>IFERROR(__xludf.DUMMYFUNCTION("""COMPUTED_VALUE"""),2.0)</f>
        <v>2</v>
      </c>
      <c r="U594" s="37"/>
      <c r="V594" s="38"/>
      <c r="W594" s="34" t="str">
        <f>IFERROR(__xludf.DUMMYFUNCTION("""COMPUTED_VALUE"""),"")</f>
        <v/>
      </c>
      <c r="X594" s="35" t="str">
        <f>IFERROR(__xludf.DUMMYFUNCTION("""COMPUTED_VALUE"""),"AP")</f>
        <v>AP</v>
      </c>
      <c r="Y594" s="34" t="str">
        <f>IFERROR(__xludf.DUMMYFUNCTION("""COMPUTED_VALUE"""),"")</f>
        <v/>
      </c>
      <c r="Z594" s="35" t="str">
        <f>IFERROR(__xludf.DUMMYFUNCTION("""COMPUTED_VALUE"""),"%")</f>
        <v>%</v>
      </c>
      <c r="AA594" s="36">
        <f>IFERROR(__xludf.DUMMYFUNCTION("""COMPUTED_VALUE"""),3.0)</f>
        <v>3</v>
      </c>
      <c r="AB594" s="37"/>
      <c r="AC594" s="38"/>
      <c r="AD594" s="34" t="str">
        <f>IFERROR(__xludf.DUMMYFUNCTION("""COMPUTED_VALUE"""),"")</f>
        <v/>
      </c>
      <c r="AE594" s="35" t="str">
        <f>IFERROR(__xludf.DUMMYFUNCTION("""COMPUTED_VALUE"""),"AP")</f>
        <v>AP</v>
      </c>
      <c r="AF594" s="34" t="str">
        <f>IFERROR(__xludf.DUMMYFUNCTION("""COMPUTED_VALUE"""),"")</f>
        <v/>
      </c>
      <c r="AG594" s="35" t="str">
        <f>IFERROR(__xludf.DUMMYFUNCTION("""COMPUTED_VALUE"""),"%")</f>
        <v>%</v>
      </c>
      <c r="AH594" s="31"/>
      <c r="AI594" s="32"/>
      <c r="AJ594" s="67"/>
    </row>
    <row r="595" ht="24.75" hidden="1" customHeight="1">
      <c r="A595" s="40">
        <f>IFERROR(__xludf.DUMMYFUNCTION("""COMPUTED_VALUE"""),18.0)</f>
        <v>18</v>
      </c>
      <c r="B595" s="40" t="str">
        <f>IFERROR(__xludf.DUMMYFUNCTION("""COMPUTED_VALUE"""),"A217")</f>
        <v>A217</v>
      </c>
      <c r="C595" s="40"/>
      <c r="D595" s="41"/>
      <c r="E595" s="66"/>
      <c r="F595" s="43"/>
      <c r="G595" s="44"/>
      <c r="H595" s="33" t="str">
        <f>IFERROR(__xludf.DUMMYFUNCTION("""COMPUTED_VALUE""")," ")</f>
        <v> </v>
      </c>
      <c r="I595" s="45"/>
      <c r="J595" s="46" t="str">
        <f>IFERROR(__xludf.DUMMYFUNCTION("""COMPUTED_VALUE"""),"AP")</f>
        <v>AP</v>
      </c>
      <c r="K595" s="47"/>
      <c r="L595" s="48" t="str">
        <f>IFERROR(__xludf.DUMMYFUNCTION("""COMPUTED_VALUE"""),"%")</f>
        <v>%</v>
      </c>
      <c r="M595" s="49">
        <f>IFERROR(__xludf.DUMMYFUNCTION("""COMPUTED_VALUE"""),1.0)</f>
        <v>1</v>
      </c>
      <c r="N595" s="50"/>
      <c r="O595" s="38"/>
      <c r="P595" s="45" t="str">
        <f>IFERROR(__xludf.DUMMYFUNCTION("""COMPUTED_VALUE"""),"")</f>
        <v/>
      </c>
      <c r="Q595" s="46" t="str">
        <f>IFERROR(__xludf.DUMMYFUNCTION("""COMPUTED_VALUE"""),"AP")</f>
        <v>AP</v>
      </c>
      <c r="R595" s="47" t="str">
        <f>IFERROR(__xludf.DUMMYFUNCTION("""COMPUTED_VALUE"""),"")</f>
        <v/>
      </c>
      <c r="S595" s="48" t="str">
        <f>IFERROR(__xludf.DUMMYFUNCTION("""COMPUTED_VALUE"""),"%")</f>
        <v>%</v>
      </c>
      <c r="T595" s="49">
        <f>IFERROR(__xludf.DUMMYFUNCTION("""COMPUTED_VALUE"""),2.0)</f>
        <v>2</v>
      </c>
      <c r="U595" s="50"/>
      <c r="V595" s="38"/>
      <c r="W595" s="45" t="str">
        <f>IFERROR(__xludf.DUMMYFUNCTION("""COMPUTED_VALUE"""),"")</f>
        <v/>
      </c>
      <c r="X595" s="46" t="str">
        <f>IFERROR(__xludf.DUMMYFUNCTION("""COMPUTED_VALUE"""),"AP")</f>
        <v>AP</v>
      </c>
      <c r="Y595" s="47" t="str">
        <f>IFERROR(__xludf.DUMMYFUNCTION("""COMPUTED_VALUE"""),"")</f>
        <v/>
      </c>
      <c r="Z595" s="48" t="str">
        <f>IFERROR(__xludf.DUMMYFUNCTION("""COMPUTED_VALUE"""),"%")</f>
        <v>%</v>
      </c>
      <c r="AA595" s="49">
        <f>IFERROR(__xludf.DUMMYFUNCTION("""COMPUTED_VALUE"""),3.0)</f>
        <v>3</v>
      </c>
      <c r="AB595" s="50"/>
      <c r="AC595" s="38"/>
      <c r="AD595" s="45" t="str">
        <f>IFERROR(__xludf.DUMMYFUNCTION("""COMPUTED_VALUE"""),"")</f>
        <v/>
      </c>
      <c r="AE595" s="46" t="str">
        <f>IFERROR(__xludf.DUMMYFUNCTION("""COMPUTED_VALUE"""),"AP")</f>
        <v>AP</v>
      </c>
      <c r="AF595" s="47" t="str">
        <f>IFERROR(__xludf.DUMMYFUNCTION("""COMPUTED_VALUE"""),"")</f>
        <v/>
      </c>
      <c r="AG595" s="48" t="str">
        <f>IFERROR(__xludf.DUMMYFUNCTION("""COMPUTED_VALUE"""),"%")</f>
        <v>%</v>
      </c>
      <c r="AH595" s="43"/>
      <c r="AI595" s="44"/>
      <c r="AJ595" s="66"/>
    </row>
    <row r="596" ht="24.75" hidden="1" customHeight="1">
      <c r="A596" s="28">
        <f>IFERROR(__xludf.DUMMYFUNCTION("""COMPUTED_VALUE"""),19.0)</f>
        <v>19</v>
      </c>
      <c r="B596" s="28" t="str">
        <f>IFERROR(__xludf.DUMMYFUNCTION("""COMPUTED_VALUE"""),"A217")</f>
        <v>A217</v>
      </c>
      <c r="C596" s="28"/>
      <c r="D596" s="29"/>
      <c r="E596" s="67"/>
      <c r="F596" s="31"/>
      <c r="G596" s="32"/>
      <c r="H596" s="33" t="str">
        <f>IFERROR(__xludf.DUMMYFUNCTION("""COMPUTED_VALUE""")," ")</f>
        <v> </v>
      </c>
      <c r="I596" s="34"/>
      <c r="J596" s="35" t="str">
        <f>IFERROR(__xludf.DUMMYFUNCTION("""COMPUTED_VALUE"""),"AP")</f>
        <v>AP</v>
      </c>
      <c r="K596" s="34"/>
      <c r="L596" s="35" t="str">
        <f>IFERROR(__xludf.DUMMYFUNCTION("""COMPUTED_VALUE"""),"%")</f>
        <v>%</v>
      </c>
      <c r="M596" s="36">
        <f>IFERROR(__xludf.DUMMYFUNCTION("""COMPUTED_VALUE"""),1.0)</f>
        <v>1</v>
      </c>
      <c r="N596" s="37"/>
      <c r="O596" s="38"/>
      <c r="P596" s="34" t="str">
        <f>IFERROR(__xludf.DUMMYFUNCTION("""COMPUTED_VALUE"""),"")</f>
        <v/>
      </c>
      <c r="Q596" s="35" t="str">
        <f>IFERROR(__xludf.DUMMYFUNCTION("""COMPUTED_VALUE"""),"AP")</f>
        <v>AP</v>
      </c>
      <c r="R596" s="34" t="str">
        <f>IFERROR(__xludf.DUMMYFUNCTION("""COMPUTED_VALUE"""),"")</f>
        <v/>
      </c>
      <c r="S596" s="35" t="str">
        <f>IFERROR(__xludf.DUMMYFUNCTION("""COMPUTED_VALUE"""),"%")</f>
        <v>%</v>
      </c>
      <c r="T596" s="36">
        <f>IFERROR(__xludf.DUMMYFUNCTION("""COMPUTED_VALUE"""),2.0)</f>
        <v>2</v>
      </c>
      <c r="U596" s="37"/>
      <c r="V596" s="38"/>
      <c r="W596" s="34" t="str">
        <f>IFERROR(__xludf.DUMMYFUNCTION("""COMPUTED_VALUE"""),"")</f>
        <v/>
      </c>
      <c r="X596" s="35" t="str">
        <f>IFERROR(__xludf.DUMMYFUNCTION("""COMPUTED_VALUE"""),"AP")</f>
        <v>AP</v>
      </c>
      <c r="Y596" s="34" t="str">
        <f>IFERROR(__xludf.DUMMYFUNCTION("""COMPUTED_VALUE"""),"")</f>
        <v/>
      </c>
      <c r="Z596" s="35" t="str">
        <f>IFERROR(__xludf.DUMMYFUNCTION("""COMPUTED_VALUE"""),"%")</f>
        <v>%</v>
      </c>
      <c r="AA596" s="36">
        <f>IFERROR(__xludf.DUMMYFUNCTION("""COMPUTED_VALUE"""),3.0)</f>
        <v>3</v>
      </c>
      <c r="AB596" s="37"/>
      <c r="AC596" s="38"/>
      <c r="AD596" s="34" t="str">
        <f>IFERROR(__xludf.DUMMYFUNCTION("""COMPUTED_VALUE"""),"")</f>
        <v/>
      </c>
      <c r="AE596" s="35" t="str">
        <f>IFERROR(__xludf.DUMMYFUNCTION("""COMPUTED_VALUE"""),"AP")</f>
        <v>AP</v>
      </c>
      <c r="AF596" s="34" t="str">
        <f>IFERROR(__xludf.DUMMYFUNCTION("""COMPUTED_VALUE"""),"")</f>
        <v/>
      </c>
      <c r="AG596" s="35" t="str">
        <f>IFERROR(__xludf.DUMMYFUNCTION("""COMPUTED_VALUE"""),"%")</f>
        <v>%</v>
      </c>
      <c r="AH596" s="31"/>
      <c r="AI596" s="32"/>
      <c r="AJ596" s="67"/>
    </row>
    <row r="597" ht="24.75" hidden="1" customHeight="1">
      <c r="A597" s="40">
        <f>IFERROR(__xludf.DUMMYFUNCTION("""COMPUTED_VALUE"""),20.0)</f>
        <v>20</v>
      </c>
      <c r="B597" s="40" t="str">
        <f>IFERROR(__xludf.DUMMYFUNCTION("""COMPUTED_VALUE"""),"A217")</f>
        <v>A217</v>
      </c>
      <c r="C597" s="40"/>
      <c r="D597" s="41"/>
      <c r="E597" s="66"/>
      <c r="F597" s="43"/>
      <c r="G597" s="44"/>
      <c r="H597" s="33" t="str">
        <f>IFERROR(__xludf.DUMMYFUNCTION("""COMPUTED_VALUE""")," ")</f>
        <v> </v>
      </c>
      <c r="I597" s="45"/>
      <c r="J597" s="46" t="str">
        <f>IFERROR(__xludf.DUMMYFUNCTION("""COMPUTED_VALUE"""),"AP")</f>
        <v>AP</v>
      </c>
      <c r="K597" s="47"/>
      <c r="L597" s="48" t="str">
        <f>IFERROR(__xludf.DUMMYFUNCTION("""COMPUTED_VALUE"""),"%")</f>
        <v>%</v>
      </c>
      <c r="M597" s="49">
        <f>IFERROR(__xludf.DUMMYFUNCTION("""COMPUTED_VALUE"""),1.0)</f>
        <v>1</v>
      </c>
      <c r="N597" s="50"/>
      <c r="O597" s="38"/>
      <c r="P597" s="45" t="str">
        <f>IFERROR(__xludf.DUMMYFUNCTION("""COMPUTED_VALUE"""),"")</f>
        <v/>
      </c>
      <c r="Q597" s="46" t="str">
        <f>IFERROR(__xludf.DUMMYFUNCTION("""COMPUTED_VALUE"""),"AP")</f>
        <v>AP</v>
      </c>
      <c r="R597" s="47" t="str">
        <f>IFERROR(__xludf.DUMMYFUNCTION("""COMPUTED_VALUE"""),"")</f>
        <v/>
      </c>
      <c r="S597" s="48" t="str">
        <f>IFERROR(__xludf.DUMMYFUNCTION("""COMPUTED_VALUE"""),"%")</f>
        <v>%</v>
      </c>
      <c r="T597" s="49">
        <f>IFERROR(__xludf.DUMMYFUNCTION("""COMPUTED_VALUE"""),2.0)</f>
        <v>2</v>
      </c>
      <c r="U597" s="50"/>
      <c r="V597" s="38"/>
      <c r="W597" s="45" t="str">
        <f>IFERROR(__xludf.DUMMYFUNCTION("""COMPUTED_VALUE"""),"")</f>
        <v/>
      </c>
      <c r="X597" s="46" t="str">
        <f>IFERROR(__xludf.DUMMYFUNCTION("""COMPUTED_VALUE"""),"AP")</f>
        <v>AP</v>
      </c>
      <c r="Y597" s="47" t="str">
        <f>IFERROR(__xludf.DUMMYFUNCTION("""COMPUTED_VALUE"""),"")</f>
        <v/>
      </c>
      <c r="Z597" s="48" t="str">
        <f>IFERROR(__xludf.DUMMYFUNCTION("""COMPUTED_VALUE"""),"%")</f>
        <v>%</v>
      </c>
      <c r="AA597" s="49">
        <f>IFERROR(__xludf.DUMMYFUNCTION("""COMPUTED_VALUE"""),3.0)</f>
        <v>3</v>
      </c>
      <c r="AB597" s="50"/>
      <c r="AC597" s="38"/>
      <c r="AD597" s="45" t="str">
        <f>IFERROR(__xludf.DUMMYFUNCTION("""COMPUTED_VALUE"""),"")</f>
        <v/>
      </c>
      <c r="AE597" s="46" t="str">
        <f>IFERROR(__xludf.DUMMYFUNCTION("""COMPUTED_VALUE"""),"AP")</f>
        <v>AP</v>
      </c>
      <c r="AF597" s="47" t="str">
        <f>IFERROR(__xludf.DUMMYFUNCTION("""COMPUTED_VALUE"""),"")</f>
        <v/>
      </c>
      <c r="AG597" s="48" t="str">
        <f>IFERROR(__xludf.DUMMYFUNCTION("""COMPUTED_VALUE"""),"%")</f>
        <v>%</v>
      </c>
      <c r="AH597" s="43"/>
      <c r="AI597" s="44"/>
      <c r="AJ597" s="66"/>
    </row>
    <row r="598">
      <c r="A598" s="52"/>
      <c r="B598" s="53"/>
      <c r="C598" s="54"/>
      <c r="D598" s="56"/>
      <c r="E598" s="56"/>
      <c r="F598" s="53"/>
      <c r="G598" s="53"/>
      <c r="H598" s="53"/>
      <c r="I598" s="53"/>
      <c r="J598" s="57"/>
      <c r="K598" s="53"/>
      <c r="L598" s="57"/>
      <c r="M598" s="53"/>
      <c r="N598" s="53"/>
      <c r="O598" s="53"/>
      <c r="P598" s="53"/>
      <c r="Q598" s="57"/>
      <c r="R598" s="53"/>
      <c r="S598" s="57"/>
      <c r="T598" s="53"/>
      <c r="U598" s="53"/>
      <c r="V598" s="53"/>
      <c r="W598" s="53"/>
      <c r="X598" s="57"/>
      <c r="Y598" s="53"/>
      <c r="Z598" s="57"/>
      <c r="AA598" s="53"/>
      <c r="AB598" s="53"/>
      <c r="AC598" s="53"/>
      <c r="AD598" s="53"/>
      <c r="AE598" s="57"/>
      <c r="AF598" s="53"/>
      <c r="AG598" s="57"/>
      <c r="AH598" s="53"/>
      <c r="AI598" s="53"/>
      <c r="AJ598" s="56"/>
    </row>
    <row r="599">
      <c r="A599" s="59"/>
      <c r="B599" s="60"/>
      <c r="C599" s="61"/>
      <c r="D599" s="63"/>
      <c r="E599" s="63"/>
      <c r="F599" s="60"/>
      <c r="G599" s="60"/>
      <c r="H599" s="60"/>
      <c r="I599" s="60"/>
      <c r="J599" s="64"/>
      <c r="K599" s="60"/>
      <c r="L599" s="64"/>
      <c r="M599" s="60"/>
      <c r="N599" s="60"/>
      <c r="O599" s="60"/>
      <c r="P599" s="60"/>
      <c r="Q599" s="64"/>
      <c r="R599" s="60"/>
      <c r="S599" s="64"/>
      <c r="T599" s="60"/>
      <c r="U599" s="60"/>
      <c r="V599" s="60"/>
      <c r="W599" s="60"/>
      <c r="X599" s="64"/>
      <c r="Y599" s="60"/>
      <c r="Z599" s="64"/>
      <c r="AA599" s="60"/>
      <c r="AB599" s="60"/>
      <c r="AC599" s="60"/>
      <c r="AD599" s="60"/>
      <c r="AE599" s="64"/>
      <c r="AF599" s="60"/>
      <c r="AG599" s="64"/>
      <c r="AH599" s="60"/>
      <c r="AI599" s="60"/>
      <c r="AJ599" s="63"/>
    </row>
    <row r="600" ht="33.0" customHeight="1">
      <c r="A600" s="20" t="str">
        <f>IFERROR(__xludf.DUMMYFUNCTION("""COMPUTED_VALUE""")," ")</f>
        <v> </v>
      </c>
      <c r="B600" s="21" t="str">
        <f>IFERROR(__xludf.DUMMYFUNCTION("""COMPUTED_VALUE"""),"A218")</f>
        <v>A218</v>
      </c>
      <c r="C600" s="20"/>
      <c r="D600" s="257" t="str">
        <f>IFERROR(__xludf.DUMMYFUNCTION("""COMPUTED_VALUE"""),"")</f>
        <v/>
      </c>
      <c r="E600" s="23" t="str">
        <f>IFERROR(__xludf.DUMMYFUNCTION("""COMPUTED_VALUE"""),"Moonlit Tiara")</f>
        <v>Moonlit Tiara</v>
      </c>
      <c r="F600" s="24"/>
      <c r="G600" s="24"/>
      <c r="H600" s="25"/>
      <c r="I600" s="25"/>
      <c r="J600" s="26"/>
      <c r="K600" s="25"/>
      <c r="L600" s="26"/>
      <c r="M600" s="25"/>
      <c r="N600" s="25"/>
      <c r="O600" s="25"/>
      <c r="P600" s="25"/>
      <c r="Q600" s="26"/>
      <c r="R600" s="25"/>
      <c r="S600" s="26"/>
      <c r="T600" s="25"/>
      <c r="U600" s="25"/>
      <c r="V600" s="25"/>
      <c r="W600" s="25"/>
      <c r="X600" s="26"/>
      <c r="Y600" s="25"/>
      <c r="Z600" s="26"/>
      <c r="AA600" s="25"/>
      <c r="AB600" s="25"/>
      <c r="AC600" s="25"/>
      <c r="AD600" s="25"/>
      <c r="AE600" s="26"/>
      <c r="AF600" s="25"/>
      <c r="AG600" s="26"/>
      <c r="AH600" s="24"/>
      <c r="AI600" s="25"/>
      <c r="AJ600" s="23"/>
    </row>
    <row r="601" ht="24.75" hidden="1" customHeight="1">
      <c r="A601" s="28">
        <f>IFERROR(__xludf.DUMMYFUNCTION("""COMPUTED_VALUE"""),1.0)</f>
        <v>1</v>
      </c>
      <c r="B601" s="28" t="str">
        <f>IFERROR(__xludf.DUMMYFUNCTION("""COMPUTED_VALUE"""),"A218")</f>
        <v>A218</v>
      </c>
      <c r="C601" s="28"/>
      <c r="D601" s="29"/>
      <c r="E601" s="67"/>
      <c r="F601" s="31"/>
      <c r="G601" s="32"/>
      <c r="H601" s="33" t="str">
        <f>IFERROR(__xludf.DUMMYFUNCTION("""COMPUTED_VALUE""")," ")</f>
        <v> </v>
      </c>
      <c r="I601" s="34"/>
      <c r="J601" s="35" t="str">
        <f>IFERROR(__xludf.DUMMYFUNCTION("""COMPUTED_VALUE"""),"AP")</f>
        <v>AP</v>
      </c>
      <c r="K601" s="34"/>
      <c r="L601" s="35" t="str">
        <f>IFERROR(__xludf.DUMMYFUNCTION("""COMPUTED_VALUE"""),"%")</f>
        <v>%</v>
      </c>
      <c r="M601" s="36">
        <f>IFERROR(__xludf.DUMMYFUNCTION("""COMPUTED_VALUE"""),1.0)</f>
        <v>1</v>
      </c>
      <c r="N601" s="37"/>
      <c r="O601" s="38"/>
      <c r="P601" s="34" t="str">
        <f>IFERROR(__xludf.DUMMYFUNCTION("""COMPUTED_VALUE"""),"")</f>
        <v/>
      </c>
      <c r="Q601" s="35" t="str">
        <f>IFERROR(__xludf.DUMMYFUNCTION("""COMPUTED_VALUE"""),"AP")</f>
        <v>AP</v>
      </c>
      <c r="R601" s="34" t="str">
        <f>IFERROR(__xludf.DUMMYFUNCTION("""COMPUTED_VALUE"""),"")</f>
        <v/>
      </c>
      <c r="S601" s="35" t="str">
        <f>IFERROR(__xludf.DUMMYFUNCTION("""COMPUTED_VALUE"""),"%")</f>
        <v>%</v>
      </c>
      <c r="T601" s="36">
        <f>IFERROR(__xludf.DUMMYFUNCTION("""COMPUTED_VALUE"""),2.0)</f>
        <v>2</v>
      </c>
      <c r="U601" s="37"/>
      <c r="V601" s="38"/>
      <c r="W601" s="34" t="str">
        <f>IFERROR(__xludf.DUMMYFUNCTION("""COMPUTED_VALUE"""),"")</f>
        <v/>
      </c>
      <c r="X601" s="35" t="str">
        <f>IFERROR(__xludf.DUMMYFUNCTION("""COMPUTED_VALUE"""),"AP")</f>
        <v>AP</v>
      </c>
      <c r="Y601" s="34" t="str">
        <f>IFERROR(__xludf.DUMMYFUNCTION("""COMPUTED_VALUE"""),"")</f>
        <v/>
      </c>
      <c r="Z601" s="35" t="str">
        <f>IFERROR(__xludf.DUMMYFUNCTION("""COMPUTED_VALUE"""),"%")</f>
        <v>%</v>
      </c>
      <c r="AA601" s="36">
        <f>IFERROR(__xludf.DUMMYFUNCTION("""COMPUTED_VALUE"""),3.0)</f>
        <v>3</v>
      </c>
      <c r="AB601" s="37"/>
      <c r="AC601" s="38"/>
      <c r="AD601" s="34" t="str">
        <f>IFERROR(__xludf.DUMMYFUNCTION("""COMPUTED_VALUE"""),"")</f>
        <v/>
      </c>
      <c r="AE601" s="35" t="str">
        <f>IFERROR(__xludf.DUMMYFUNCTION("""COMPUTED_VALUE"""),"AP")</f>
        <v>AP</v>
      </c>
      <c r="AF601" s="34" t="str">
        <f>IFERROR(__xludf.DUMMYFUNCTION("""COMPUTED_VALUE"""),"")</f>
        <v/>
      </c>
      <c r="AG601" s="35" t="str">
        <f>IFERROR(__xludf.DUMMYFUNCTION("""COMPUTED_VALUE"""),"%")</f>
        <v>%</v>
      </c>
      <c r="AH601" s="31"/>
      <c r="AI601" s="32"/>
      <c r="AJ601" s="67"/>
    </row>
    <row r="602" ht="24.75" hidden="1" customHeight="1">
      <c r="A602" s="40">
        <f>IFERROR(__xludf.DUMMYFUNCTION("""COMPUTED_VALUE"""),2.0)</f>
        <v>2</v>
      </c>
      <c r="B602" s="40" t="str">
        <f>IFERROR(__xludf.DUMMYFUNCTION("""COMPUTED_VALUE"""),"A218")</f>
        <v>A218</v>
      </c>
      <c r="C602" s="40"/>
      <c r="D602" s="41"/>
      <c r="E602" s="66"/>
      <c r="F602" s="43"/>
      <c r="G602" s="44"/>
      <c r="H602" s="33" t="str">
        <f>IFERROR(__xludf.DUMMYFUNCTION("""COMPUTED_VALUE""")," ")</f>
        <v> </v>
      </c>
      <c r="I602" s="45"/>
      <c r="J602" s="46" t="str">
        <f>IFERROR(__xludf.DUMMYFUNCTION("""COMPUTED_VALUE"""),"AP")</f>
        <v>AP</v>
      </c>
      <c r="K602" s="47"/>
      <c r="L602" s="48" t="str">
        <f>IFERROR(__xludf.DUMMYFUNCTION("""COMPUTED_VALUE"""),"%")</f>
        <v>%</v>
      </c>
      <c r="M602" s="49">
        <f>IFERROR(__xludf.DUMMYFUNCTION("""COMPUTED_VALUE"""),1.0)</f>
        <v>1</v>
      </c>
      <c r="N602" s="50"/>
      <c r="O602" s="38"/>
      <c r="P602" s="45" t="str">
        <f>IFERROR(__xludf.DUMMYFUNCTION("""COMPUTED_VALUE"""),"")</f>
        <v/>
      </c>
      <c r="Q602" s="46" t="str">
        <f>IFERROR(__xludf.DUMMYFUNCTION("""COMPUTED_VALUE"""),"AP")</f>
        <v>AP</v>
      </c>
      <c r="R602" s="47" t="str">
        <f>IFERROR(__xludf.DUMMYFUNCTION("""COMPUTED_VALUE"""),"")</f>
        <v/>
      </c>
      <c r="S602" s="48" t="str">
        <f>IFERROR(__xludf.DUMMYFUNCTION("""COMPUTED_VALUE"""),"%")</f>
        <v>%</v>
      </c>
      <c r="T602" s="49">
        <f>IFERROR(__xludf.DUMMYFUNCTION("""COMPUTED_VALUE"""),2.0)</f>
        <v>2</v>
      </c>
      <c r="U602" s="50"/>
      <c r="V602" s="38"/>
      <c r="W602" s="45" t="str">
        <f>IFERROR(__xludf.DUMMYFUNCTION("""COMPUTED_VALUE"""),"")</f>
        <v/>
      </c>
      <c r="X602" s="46" t="str">
        <f>IFERROR(__xludf.DUMMYFUNCTION("""COMPUTED_VALUE"""),"AP")</f>
        <v>AP</v>
      </c>
      <c r="Y602" s="47" t="str">
        <f>IFERROR(__xludf.DUMMYFUNCTION("""COMPUTED_VALUE"""),"")</f>
        <v/>
      </c>
      <c r="Z602" s="48" t="str">
        <f>IFERROR(__xludf.DUMMYFUNCTION("""COMPUTED_VALUE"""),"%")</f>
        <v>%</v>
      </c>
      <c r="AA602" s="49">
        <f>IFERROR(__xludf.DUMMYFUNCTION("""COMPUTED_VALUE"""),3.0)</f>
        <v>3</v>
      </c>
      <c r="AB602" s="50"/>
      <c r="AC602" s="38"/>
      <c r="AD602" s="45" t="str">
        <f>IFERROR(__xludf.DUMMYFUNCTION("""COMPUTED_VALUE"""),"")</f>
        <v/>
      </c>
      <c r="AE602" s="46" t="str">
        <f>IFERROR(__xludf.DUMMYFUNCTION("""COMPUTED_VALUE"""),"AP")</f>
        <v>AP</v>
      </c>
      <c r="AF602" s="47" t="str">
        <f>IFERROR(__xludf.DUMMYFUNCTION("""COMPUTED_VALUE"""),"")</f>
        <v/>
      </c>
      <c r="AG602" s="48" t="str">
        <f>IFERROR(__xludf.DUMMYFUNCTION("""COMPUTED_VALUE"""),"%")</f>
        <v>%</v>
      </c>
      <c r="AH602" s="43"/>
      <c r="AI602" s="44"/>
      <c r="AJ602" s="66"/>
    </row>
    <row r="603" ht="24.75" hidden="1" customHeight="1">
      <c r="A603" s="28">
        <f>IFERROR(__xludf.DUMMYFUNCTION("""COMPUTED_VALUE"""),3.0)</f>
        <v>3</v>
      </c>
      <c r="B603" s="28" t="str">
        <f>IFERROR(__xludf.DUMMYFUNCTION("""COMPUTED_VALUE"""),"A218")</f>
        <v>A218</v>
      </c>
      <c r="C603" s="28"/>
      <c r="D603" s="29"/>
      <c r="E603" s="67"/>
      <c r="F603" s="31"/>
      <c r="G603" s="32"/>
      <c r="H603" s="33" t="str">
        <f>IFERROR(__xludf.DUMMYFUNCTION("""COMPUTED_VALUE""")," ")</f>
        <v> </v>
      </c>
      <c r="I603" s="34"/>
      <c r="J603" s="35" t="str">
        <f>IFERROR(__xludf.DUMMYFUNCTION("""COMPUTED_VALUE"""),"AP")</f>
        <v>AP</v>
      </c>
      <c r="K603" s="34"/>
      <c r="L603" s="35" t="str">
        <f>IFERROR(__xludf.DUMMYFUNCTION("""COMPUTED_VALUE"""),"%")</f>
        <v>%</v>
      </c>
      <c r="M603" s="36">
        <f>IFERROR(__xludf.DUMMYFUNCTION("""COMPUTED_VALUE"""),1.0)</f>
        <v>1</v>
      </c>
      <c r="N603" s="37"/>
      <c r="O603" s="38"/>
      <c r="P603" s="34" t="str">
        <f>IFERROR(__xludf.DUMMYFUNCTION("""COMPUTED_VALUE"""),"")</f>
        <v/>
      </c>
      <c r="Q603" s="35" t="str">
        <f>IFERROR(__xludf.DUMMYFUNCTION("""COMPUTED_VALUE"""),"AP")</f>
        <v>AP</v>
      </c>
      <c r="R603" s="34" t="str">
        <f>IFERROR(__xludf.DUMMYFUNCTION("""COMPUTED_VALUE"""),"")</f>
        <v/>
      </c>
      <c r="S603" s="35" t="str">
        <f>IFERROR(__xludf.DUMMYFUNCTION("""COMPUTED_VALUE"""),"%")</f>
        <v>%</v>
      </c>
      <c r="T603" s="36">
        <f>IFERROR(__xludf.DUMMYFUNCTION("""COMPUTED_VALUE"""),2.0)</f>
        <v>2</v>
      </c>
      <c r="U603" s="37"/>
      <c r="V603" s="38"/>
      <c r="W603" s="34" t="str">
        <f>IFERROR(__xludf.DUMMYFUNCTION("""COMPUTED_VALUE"""),"")</f>
        <v/>
      </c>
      <c r="X603" s="35" t="str">
        <f>IFERROR(__xludf.DUMMYFUNCTION("""COMPUTED_VALUE"""),"AP")</f>
        <v>AP</v>
      </c>
      <c r="Y603" s="34" t="str">
        <f>IFERROR(__xludf.DUMMYFUNCTION("""COMPUTED_VALUE"""),"")</f>
        <v/>
      </c>
      <c r="Z603" s="35" t="str">
        <f>IFERROR(__xludf.DUMMYFUNCTION("""COMPUTED_VALUE"""),"%")</f>
        <v>%</v>
      </c>
      <c r="AA603" s="36">
        <f>IFERROR(__xludf.DUMMYFUNCTION("""COMPUTED_VALUE"""),3.0)</f>
        <v>3</v>
      </c>
      <c r="AB603" s="37"/>
      <c r="AC603" s="38"/>
      <c r="AD603" s="34" t="str">
        <f>IFERROR(__xludf.DUMMYFUNCTION("""COMPUTED_VALUE"""),"")</f>
        <v/>
      </c>
      <c r="AE603" s="35" t="str">
        <f>IFERROR(__xludf.DUMMYFUNCTION("""COMPUTED_VALUE"""),"AP")</f>
        <v>AP</v>
      </c>
      <c r="AF603" s="34" t="str">
        <f>IFERROR(__xludf.DUMMYFUNCTION("""COMPUTED_VALUE"""),"")</f>
        <v/>
      </c>
      <c r="AG603" s="35" t="str">
        <f>IFERROR(__xludf.DUMMYFUNCTION("""COMPUTED_VALUE"""),"%")</f>
        <v>%</v>
      </c>
      <c r="AH603" s="31"/>
      <c r="AI603" s="32"/>
      <c r="AJ603" s="67"/>
    </row>
    <row r="604" ht="24.75" hidden="1" customHeight="1">
      <c r="A604" s="40">
        <f>IFERROR(__xludf.DUMMYFUNCTION("""COMPUTED_VALUE"""),4.0)</f>
        <v>4</v>
      </c>
      <c r="B604" s="40" t="str">
        <f>IFERROR(__xludf.DUMMYFUNCTION("""COMPUTED_VALUE"""),"A218")</f>
        <v>A218</v>
      </c>
      <c r="C604" s="40"/>
      <c r="D604" s="41"/>
      <c r="E604" s="66"/>
      <c r="F604" s="43"/>
      <c r="G604" s="44"/>
      <c r="H604" s="33" t="str">
        <f>IFERROR(__xludf.DUMMYFUNCTION("""COMPUTED_VALUE""")," ")</f>
        <v> </v>
      </c>
      <c r="I604" s="45"/>
      <c r="J604" s="46" t="str">
        <f>IFERROR(__xludf.DUMMYFUNCTION("""COMPUTED_VALUE"""),"AP")</f>
        <v>AP</v>
      </c>
      <c r="K604" s="47"/>
      <c r="L604" s="48" t="str">
        <f>IFERROR(__xludf.DUMMYFUNCTION("""COMPUTED_VALUE"""),"%")</f>
        <v>%</v>
      </c>
      <c r="M604" s="49">
        <f>IFERROR(__xludf.DUMMYFUNCTION("""COMPUTED_VALUE"""),1.0)</f>
        <v>1</v>
      </c>
      <c r="N604" s="50"/>
      <c r="O604" s="38"/>
      <c r="P604" s="45" t="str">
        <f>IFERROR(__xludf.DUMMYFUNCTION("""COMPUTED_VALUE"""),"")</f>
        <v/>
      </c>
      <c r="Q604" s="46" t="str">
        <f>IFERROR(__xludf.DUMMYFUNCTION("""COMPUTED_VALUE"""),"AP")</f>
        <v>AP</v>
      </c>
      <c r="R604" s="47" t="str">
        <f>IFERROR(__xludf.DUMMYFUNCTION("""COMPUTED_VALUE"""),"")</f>
        <v/>
      </c>
      <c r="S604" s="48" t="str">
        <f>IFERROR(__xludf.DUMMYFUNCTION("""COMPUTED_VALUE"""),"%")</f>
        <v>%</v>
      </c>
      <c r="T604" s="49">
        <f>IFERROR(__xludf.DUMMYFUNCTION("""COMPUTED_VALUE"""),2.0)</f>
        <v>2</v>
      </c>
      <c r="U604" s="50"/>
      <c r="V604" s="38"/>
      <c r="W604" s="45" t="str">
        <f>IFERROR(__xludf.DUMMYFUNCTION("""COMPUTED_VALUE"""),"")</f>
        <v/>
      </c>
      <c r="X604" s="46" t="str">
        <f>IFERROR(__xludf.DUMMYFUNCTION("""COMPUTED_VALUE"""),"AP")</f>
        <v>AP</v>
      </c>
      <c r="Y604" s="47" t="str">
        <f>IFERROR(__xludf.DUMMYFUNCTION("""COMPUTED_VALUE"""),"")</f>
        <v/>
      </c>
      <c r="Z604" s="48" t="str">
        <f>IFERROR(__xludf.DUMMYFUNCTION("""COMPUTED_VALUE"""),"%")</f>
        <v>%</v>
      </c>
      <c r="AA604" s="49">
        <f>IFERROR(__xludf.DUMMYFUNCTION("""COMPUTED_VALUE"""),3.0)</f>
        <v>3</v>
      </c>
      <c r="AB604" s="50"/>
      <c r="AC604" s="38"/>
      <c r="AD604" s="45" t="str">
        <f>IFERROR(__xludf.DUMMYFUNCTION("""COMPUTED_VALUE"""),"")</f>
        <v/>
      </c>
      <c r="AE604" s="46" t="str">
        <f>IFERROR(__xludf.DUMMYFUNCTION("""COMPUTED_VALUE"""),"AP")</f>
        <v>AP</v>
      </c>
      <c r="AF604" s="47" t="str">
        <f>IFERROR(__xludf.DUMMYFUNCTION("""COMPUTED_VALUE"""),"")</f>
        <v/>
      </c>
      <c r="AG604" s="48" t="str">
        <f>IFERROR(__xludf.DUMMYFUNCTION("""COMPUTED_VALUE"""),"%")</f>
        <v>%</v>
      </c>
      <c r="AH604" s="43"/>
      <c r="AI604" s="44"/>
      <c r="AJ604" s="66"/>
    </row>
    <row r="605" ht="24.75" hidden="1" customHeight="1">
      <c r="A605" s="28">
        <f>IFERROR(__xludf.DUMMYFUNCTION("""COMPUTED_VALUE"""),5.0)</f>
        <v>5</v>
      </c>
      <c r="B605" s="28" t="str">
        <f>IFERROR(__xludf.DUMMYFUNCTION("""COMPUTED_VALUE"""),"A218")</f>
        <v>A218</v>
      </c>
      <c r="C605" s="28"/>
      <c r="D605" s="29"/>
      <c r="E605" s="67"/>
      <c r="F605" s="31"/>
      <c r="G605" s="32"/>
      <c r="H605" s="33" t="str">
        <f>IFERROR(__xludf.DUMMYFUNCTION("""COMPUTED_VALUE""")," ")</f>
        <v> </v>
      </c>
      <c r="I605" s="34"/>
      <c r="J605" s="35" t="str">
        <f>IFERROR(__xludf.DUMMYFUNCTION("""COMPUTED_VALUE"""),"AP")</f>
        <v>AP</v>
      </c>
      <c r="K605" s="34"/>
      <c r="L605" s="35" t="str">
        <f>IFERROR(__xludf.DUMMYFUNCTION("""COMPUTED_VALUE"""),"%")</f>
        <v>%</v>
      </c>
      <c r="M605" s="36">
        <f>IFERROR(__xludf.DUMMYFUNCTION("""COMPUTED_VALUE"""),1.0)</f>
        <v>1</v>
      </c>
      <c r="N605" s="37"/>
      <c r="O605" s="38"/>
      <c r="P605" s="34" t="str">
        <f>IFERROR(__xludf.DUMMYFUNCTION("""COMPUTED_VALUE"""),"")</f>
        <v/>
      </c>
      <c r="Q605" s="35" t="str">
        <f>IFERROR(__xludf.DUMMYFUNCTION("""COMPUTED_VALUE"""),"AP")</f>
        <v>AP</v>
      </c>
      <c r="R605" s="34" t="str">
        <f>IFERROR(__xludf.DUMMYFUNCTION("""COMPUTED_VALUE"""),"")</f>
        <v/>
      </c>
      <c r="S605" s="35" t="str">
        <f>IFERROR(__xludf.DUMMYFUNCTION("""COMPUTED_VALUE"""),"%")</f>
        <v>%</v>
      </c>
      <c r="T605" s="36">
        <f>IFERROR(__xludf.DUMMYFUNCTION("""COMPUTED_VALUE"""),2.0)</f>
        <v>2</v>
      </c>
      <c r="U605" s="37"/>
      <c r="V605" s="38"/>
      <c r="W605" s="34" t="str">
        <f>IFERROR(__xludf.DUMMYFUNCTION("""COMPUTED_VALUE"""),"")</f>
        <v/>
      </c>
      <c r="X605" s="35" t="str">
        <f>IFERROR(__xludf.DUMMYFUNCTION("""COMPUTED_VALUE"""),"AP")</f>
        <v>AP</v>
      </c>
      <c r="Y605" s="34" t="str">
        <f>IFERROR(__xludf.DUMMYFUNCTION("""COMPUTED_VALUE"""),"")</f>
        <v/>
      </c>
      <c r="Z605" s="35" t="str">
        <f>IFERROR(__xludf.DUMMYFUNCTION("""COMPUTED_VALUE"""),"%")</f>
        <v>%</v>
      </c>
      <c r="AA605" s="36">
        <f>IFERROR(__xludf.DUMMYFUNCTION("""COMPUTED_VALUE"""),3.0)</f>
        <v>3</v>
      </c>
      <c r="AB605" s="37"/>
      <c r="AC605" s="38"/>
      <c r="AD605" s="34" t="str">
        <f>IFERROR(__xludf.DUMMYFUNCTION("""COMPUTED_VALUE"""),"")</f>
        <v/>
      </c>
      <c r="AE605" s="35" t="str">
        <f>IFERROR(__xludf.DUMMYFUNCTION("""COMPUTED_VALUE"""),"AP")</f>
        <v>AP</v>
      </c>
      <c r="AF605" s="34" t="str">
        <f>IFERROR(__xludf.DUMMYFUNCTION("""COMPUTED_VALUE"""),"")</f>
        <v/>
      </c>
      <c r="AG605" s="35" t="str">
        <f>IFERROR(__xludf.DUMMYFUNCTION("""COMPUTED_VALUE"""),"%")</f>
        <v>%</v>
      </c>
      <c r="AH605" s="31"/>
      <c r="AI605" s="32"/>
      <c r="AJ605" s="67"/>
    </row>
    <row r="606" ht="24.75" hidden="1" customHeight="1">
      <c r="A606" s="40">
        <f>IFERROR(__xludf.DUMMYFUNCTION("""COMPUTED_VALUE"""),6.0)</f>
        <v>6</v>
      </c>
      <c r="B606" s="40" t="str">
        <f>IFERROR(__xludf.DUMMYFUNCTION("""COMPUTED_VALUE"""),"A218")</f>
        <v>A218</v>
      </c>
      <c r="C606" s="40"/>
      <c r="D606" s="41"/>
      <c r="E606" s="66"/>
      <c r="F606" s="43"/>
      <c r="G606" s="44"/>
      <c r="H606" s="33" t="str">
        <f>IFERROR(__xludf.DUMMYFUNCTION("""COMPUTED_VALUE""")," ")</f>
        <v> </v>
      </c>
      <c r="I606" s="45"/>
      <c r="J606" s="46" t="str">
        <f>IFERROR(__xludf.DUMMYFUNCTION("""COMPUTED_VALUE"""),"AP")</f>
        <v>AP</v>
      </c>
      <c r="K606" s="47"/>
      <c r="L606" s="48" t="str">
        <f>IFERROR(__xludf.DUMMYFUNCTION("""COMPUTED_VALUE"""),"%")</f>
        <v>%</v>
      </c>
      <c r="M606" s="49">
        <f>IFERROR(__xludf.DUMMYFUNCTION("""COMPUTED_VALUE"""),1.0)</f>
        <v>1</v>
      </c>
      <c r="N606" s="50"/>
      <c r="O606" s="38"/>
      <c r="P606" s="45" t="str">
        <f>IFERROR(__xludf.DUMMYFUNCTION("""COMPUTED_VALUE"""),"")</f>
        <v/>
      </c>
      <c r="Q606" s="46" t="str">
        <f>IFERROR(__xludf.DUMMYFUNCTION("""COMPUTED_VALUE"""),"AP")</f>
        <v>AP</v>
      </c>
      <c r="R606" s="47" t="str">
        <f>IFERROR(__xludf.DUMMYFUNCTION("""COMPUTED_VALUE"""),"")</f>
        <v/>
      </c>
      <c r="S606" s="48" t="str">
        <f>IFERROR(__xludf.DUMMYFUNCTION("""COMPUTED_VALUE"""),"%")</f>
        <v>%</v>
      </c>
      <c r="T606" s="49">
        <f>IFERROR(__xludf.DUMMYFUNCTION("""COMPUTED_VALUE"""),2.0)</f>
        <v>2</v>
      </c>
      <c r="U606" s="50"/>
      <c r="V606" s="38"/>
      <c r="W606" s="45" t="str">
        <f>IFERROR(__xludf.DUMMYFUNCTION("""COMPUTED_VALUE"""),"")</f>
        <v/>
      </c>
      <c r="X606" s="46" t="str">
        <f>IFERROR(__xludf.DUMMYFUNCTION("""COMPUTED_VALUE"""),"AP")</f>
        <v>AP</v>
      </c>
      <c r="Y606" s="47" t="str">
        <f>IFERROR(__xludf.DUMMYFUNCTION("""COMPUTED_VALUE"""),"")</f>
        <v/>
      </c>
      <c r="Z606" s="48" t="str">
        <f>IFERROR(__xludf.DUMMYFUNCTION("""COMPUTED_VALUE"""),"%")</f>
        <v>%</v>
      </c>
      <c r="AA606" s="49">
        <f>IFERROR(__xludf.DUMMYFUNCTION("""COMPUTED_VALUE"""),3.0)</f>
        <v>3</v>
      </c>
      <c r="AB606" s="50"/>
      <c r="AC606" s="38"/>
      <c r="AD606" s="45" t="str">
        <f>IFERROR(__xludf.DUMMYFUNCTION("""COMPUTED_VALUE"""),"")</f>
        <v/>
      </c>
      <c r="AE606" s="46" t="str">
        <f>IFERROR(__xludf.DUMMYFUNCTION("""COMPUTED_VALUE"""),"AP")</f>
        <v>AP</v>
      </c>
      <c r="AF606" s="47" t="str">
        <f>IFERROR(__xludf.DUMMYFUNCTION("""COMPUTED_VALUE"""),"")</f>
        <v/>
      </c>
      <c r="AG606" s="48" t="str">
        <f>IFERROR(__xludf.DUMMYFUNCTION("""COMPUTED_VALUE"""),"%")</f>
        <v>%</v>
      </c>
      <c r="AH606" s="43"/>
      <c r="AI606" s="44"/>
      <c r="AJ606" s="66"/>
    </row>
    <row r="607" ht="24.75" hidden="1" customHeight="1">
      <c r="A607" s="28">
        <f>IFERROR(__xludf.DUMMYFUNCTION("""COMPUTED_VALUE"""),7.0)</f>
        <v>7</v>
      </c>
      <c r="B607" s="28" t="str">
        <f>IFERROR(__xludf.DUMMYFUNCTION("""COMPUTED_VALUE"""),"A218")</f>
        <v>A218</v>
      </c>
      <c r="C607" s="28"/>
      <c r="D607" s="29"/>
      <c r="E607" s="67"/>
      <c r="F607" s="31"/>
      <c r="G607" s="32"/>
      <c r="H607" s="33" t="str">
        <f>IFERROR(__xludf.DUMMYFUNCTION("""COMPUTED_VALUE""")," ")</f>
        <v> </v>
      </c>
      <c r="I607" s="34"/>
      <c r="J607" s="35" t="str">
        <f>IFERROR(__xludf.DUMMYFUNCTION("""COMPUTED_VALUE"""),"AP")</f>
        <v>AP</v>
      </c>
      <c r="K607" s="34"/>
      <c r="L607" s="35" t="str">
        <f>IFERROR(__xludf.DUMMYFUNCTION("""COMPUTED_VALUE"""),"%")</f>
        <v>%</v>
      </c>
      <c r="M607" s="36">
        <f>IFERROR(__xludf.DUMMYFUNCTION("""COMPUTED_VALUE"""),1.0)</f>
        <v>1</v>
      </c>
      <c r="N607" s="37"/>
      <c r="O607" s="38"/>
      <c r="P607" s="34" t="str">
        <f>IFERROR(__xludf.DUMMYFUNCTION("""COMPUTED_VALUE"""),"")</f>
        <v/>
      </c>
      <c r="Q607" s="35" t="str">
        <f>IFERROR(__xludf.DUMMYFUNCTION("""COMPUTED_VALUE"""),"AP")</f>
        <v>AP</v>
      </c>
      <c r="R607" s="34" t="str">
        <f>IFERROR(__xludf.DUMMYFUNCTION("""COMPUTED_VALUE"""),"")</f>
        <v/>
      </c>
      <c r="S607" s="35" t="str">
        <f>IFERROR(__xludf.DUMMYFUNCTION("""COMPUTED_VALUE"""),"%")</f>
        <v>%</v>
      </c>
      <c r="T607" s="36">
        <f>IFERROR(__xludf.DUMMYFUNCTION("""COMPUTED_VALUE"""),2.0)</f>
        <v>2</v>
      </c>
      <c r="U607" s="37"/>
      <c r="V607" s="38"/>
      <c r="W607" s="34" t="str">
        <f>IFERROR(__xludf.DUMMYFUNCTION("""COMPUTED_VALUE"""),"")</f>
        <v/>
      </c>
      <c r="X607" s="35" t="str">
        <f>IFERROR(__xludf.DUMMYFUNCTION("""COMPUTED_VALUE"""),"AP")</f>
        <v>AP</v>
      </c>
      <c r="Y607" s="34" t="str">
        <f>IFERROR(__xludf.DUMMYFUNCTION("""COMPUTED_VALUE"""),"")</f>
        <v/>
      </c>
      <c r="Z607" s="35" t="str">
        <f>IFERROR(__xludf.DUMMYFUNCTION("""COMPUTED_VALUE"""),"%")</f>
        <v>%</v>
      </c>
      <c r="AA607" s="36">
        <f>IFERROR(__xludf.DUMMYFUNCTION("""COMPUTED_VALUE"""),3.0)</f>
        <v>3</v>
      </c>
      <c r="AB607" s="37"/>
      <c r="AC607" s="38"/>
      <c r="AD607" s="34" t="str">
        <f>IFERROR(__xludf.DUMMYFUNCTION("""COMPUTED_VALUE"""),"")</f>
        <v/>
      </c>
      <c r="AE607" s="35" t="str">
        <f>IFERROR(__xludf.DUMMYFUNCTION("""COMPUTED_VALUE"""),"AP")</f>
        <v>AP</v>
      </c>
      <c r="AF607" s="34" t="str">
        <f>IFERROR(__xludf.DUMMYFUNCTION("""COMPUTED_VALUE"""),"")</f>
        <v/>
      </c>
      <c r="AG607" s="35" t="str">
        <f>IFERROR(__xludf.DUMMYFUNCTION("""COMPUTED_VALUE"""),"%")</f>
        <v>%</v>
      </c>
      <c r="AH607" s="31"/>
      <c r="AI607" s="32"/>
      <c r="AJ607" s="67"/>
    </row>
    <row r="608" ht="24.75" hidden="1" customHeight="1">
      <c r="A608" s="40">
        <f>IFERROR(__xludf.DUMMYFUNCTION("""COMPUTED_VALUE"""),8.0)</f>
        <v>8</v>
      </c>
      <c r="B608" s="40" t="str">
        <f>IFERROR(__xludf.DUMMYFUNCTION("""COMPUTED_VALUE"""),"A218")</f>
        <v>A218</v>
      </c>
      <c r="C608" s="40"/>
      <c r="D608" s="41"/>
      <c r="E608" s="66"/>
      <c r="F608" s="43"/>
      <c r="G608" s="44"/>
      <c r="H608" s="33" t="str">
        <f>IFERROR(__xludf.DUMMYFUNCTION("""COMPUTED_VALUE""")," ")</f>
        <v> </v>
      </c>
      <c r="I608" s="45"/>
      <c r="J608" s="46" t="str">
        <f>IFERROR(__xludf.DUMMYFUNCTION("""COMPUTED_VALUE"""),"AP")</f>
        <v>AP</v>
      </c>
      <c r="K608" s="47"/>
      <c r="L608" s="48" t="str">
        <f>IFERROR(__xludf.DUMMYFUNCTION("""COMPUTED_VALUE"""),"%")</f>
        <v>%</v>
      </c>
      <c r="M608" s="49">
        <f>IFERROR(__xludf.DUMMYFUNCTION("""COMPUTED_VALUE"""),1.0)</f>
        <v>1</v>
      </c>
      <c r="N608" s="50"/>
      <c r="O608" s="38"/>
      <c r="P608" s="45" t="str">
        <f>IFERROR(__xludf.DUMMYFUNCTION("""COMPUTED_VALUE"""),"")</f>
        <v/>
      </c>
      <c r="Q608" s="46" t="str">
        <f>IFERROR(__xludf.DUMMYFUNCTION("""COMPUTED_VALUE"""),"AP")</f>
        <v>AP</v>
      </c>
      <c r="R608" s="47" t="str">
        <f>IFERROR(__xludf.DUMMYFUNCTION("""COMPUTED_VALUE"""),"")</f>
        <v/>
      </c>
      <c r="S608" s="48" t="str">
        <f>IFERROR(__xludf.DUMMYFUNCTION("""COMPUTED_VALUE"""),"%")</f>
        <v>%</v>
      </c>
      <c r="T608" s="49">
        <f>IFERROR(__xludf.DUMMYFUNCTION("""COMPUTED_VALUE"""),2.0)</f>
        <v>2</v>
      </c>
      <c r="U608" s="50"/>
      <c r="V608" s="38"/>
      <c r="W608" s="45" t="str">
        <f>IFERROR(__xludf.DUMMYFUNCTION("""COMPUTED_VALUE"""),"")</f>
        <v/>
      </c>
      <c r="X608" s="46" t="str">
        <f>IFERROR(__xludf.DUMMYFUNCTION("""COMPUTED_VALUE"""),"AP")</f>
        <v>AP</v>
      </c>
      <c r="Y608" s="47" t="str">
        <f>IFERROR(__xludf.DUMMYFUNCTION("""COMPUTED_VALUE"""),"")</f>
        <v/>
      </c>
      <c r="Z608" s="48" t="str">
        <f>IFERROR(__xludf.DUMMYFUNCTION("""COMPUTED_VALUE"""),"%")</f>
        <v>%</v>
      </c>
      <c r="AA608" s="49">
        <f>IFERROR(__xludf.DUMMYFUNCTION("""COMPUTED_VALUE"""),3.0)</f>
        <v>3</v>
      </c>
      <c r="AB608" s="50"/>
      <c r="AC608" s="38"/>
      <c r="AD608" s="45" t="str">
        <f>IFERROR(__xludf.DUMMYFUNCTION("""COMPUTED_VALUE"""),"")</f>
        <v/>
      </c>
      <c r="AE608" s="46" t="str">
        <f>IFERROR(__xludf.DUMMYFUNCTION("""COMPUTED_VALUE"""),"AP")</f>
        <v>AP</v>
      </c>
      <c r="AF608" s="47" t="str">
        <f>IFERROR(__xludf.DUMMYFUNCTION("""COMPUTED_VALUE"""),"")</f>
        <v/>
      </c>
      <c r="AG608" s="48" t="str">
        <f>IFERROR(__xludf.DUMMYFUNCTION("""COMPUTED_VALUE"""),"%")</f>
        <v>%</v>
      </c>
      <c r="AH608" s="43"/>
      <c r="AI608" s="44"/>
      <c r="AJ608" s="66"/>
    </row>
    <row r="609" ht="24.75" hidden="1" customHeight="1">
      <c r="A609" s="28">
        <f>IFERROR(__xludf.DUMMYFUNCTION("""COMPUTED_VALUE"""),9.0)</f>
        <v>9</v>
      </c>
      <c r="B609" s="28" t="str">
        <f>IFERROR(__xludf.DUMMYFUNCTION("""COMPUTED_VALUE"""),"A218")</f>
        <v>A218</v>
      </c>
      <c r="C609" s="28"/>
      <c r="D609" s="29"/>
      <c r="E609" s="67"/>
      <c r="F609" s="31"/>
      <c r="G609" s="32"/>
      <c r="H609" s="33" t="str">
        <f>IFERROR(__xludf.DUMMYFUNCTION("""COMPUTED_VALUE""")," ")</f>
        <v> </v>
      </c>
      <c r="I609" s="34"/>
      <c r="J609" s="35" t="str">
        <f>IFERROR(__xludf.DUMMYFUNCTION("""COMPUTED_VALUE"""),"AP")</f>
        <v>AP</v>
      </c>
      <c r="K609" s="34"/>
      <c r="L609" s="35" t="str">
        <f>IFERROR(__xludf.DUMMYFUNCTION("""COMPUTED_VALUE"""),"%")</f>
        <v>%</v>
      </c>
      <c r="M609" s="36">
        <f>IFERROR(__xludf.DUMMYFUNCTION("""COMPUTED_VALUE"""),1.0)</f>
        <v>1</v>
      </c>
      <c r="N609" s="37"/>
      <c r="O609" s="38"/>
      <c r="P609" s="34" t="str">
        <f>IFERROR(__xludf.DUMMYFUNCTION("""COMPUTED_VALUE"""),"")</f>
        <v/>
      </c>
      <c r="Q609" s="35" t="str">
        <f>IFERROR(__xludf.DUMMYFUNCTION("""COMPUTED_VALUE"""),"AP")</f>
        <v>AP</v>
      </c>
      <c r="R609" s="34" t="str">
        <f>IFERROR(__xludf.DUMMYFUNCTION("""COMPUTED_VALUE"""),"")</f>
        <v/>
      </c>
      <c r="S609" s="35" t="str">
        <f>IFERROR(__xludf.DUMMYFUNCTION("""COMPUTED_VALUE"""),"%")</f>
        <v>%</v>
      </c>
      <c r="T609" s="36">
        <f>IFERROR(__xludf.DUMMYFUNCTION("""COMPUTED_VALUE"""),2.0)</f>
        <v>2</v>
      </c>
      <c r="U609" s="37"/>
      <c r="V609" s="38"/>
      <c r="W609" s="34" t="str">
        <f>IFERROR(__xludf.DUMMYFUNCTION("""COMPUTED_VALUE"""),"")</f>
        <v/>
      </c>
      <c r="X609" s="35" t="str">
        <f>IFERROR(__xludf.DUMMYFUNCTION("""COMPUTED_VALUE"""),"AP")</f>
        <v>AP</v>
      </c>
      <c r="Y609" s="34" t="str">
        <f>IFERROR(__xludf.DUMMYFUNCTION("""COMPUTED_VALUE"""),"")</f>
        <v/>
      </c>
      <c r="Z609" s="35" t="str">
        <f>IFERROR(__xludf.DUMMYFUNCTION("""COMPUTED_VALUE"""),"%")</f>
        <v>%</v>
      </c>
      <c r="AA609" s="36">
        <f>IFERROR(__xludf.DUMMYFUNCTION("""COMPUTED_VALUE"""),3.0)</f>
        <v>3</v>
      </c>
      <c r="AB609" s="37"/>
      <c r="AC609" s="38"/>
      <c r="AD609" s="34" t="str">
        <f>IFERROR(__xludf.DUMMYFUNCTION("""COMPUTED_VALUE"""),"")</f>
        <v/>
      </c>
      <c r="AE609" s="35" t="str">
        <f>IFERROR(__xludf.DUMMYFUNCTION("""COMPUTED_VALUE"""),"AP")</f>
        <v>AP</v>
      </c>
      <c r="AF609" s="34" t="str">
        <f>IFERROR(__xludf.DUMMYFUNCTION("""COMPUTED_VALUE"""),"")</f>
        <v/>
      </c>
      <c r="AG609" s="35" t="str">
        <f>IFERROR(__xludf.DUMMYFUNCTION("""COMPUTED_VALUE"""),"%")</f>
        <v>%</v>
      </c>
      <c r="AH609" s="31"/>
      <c r="AI609" s="32"/>
      <c r="AJ609" s="67"/>
    </row>
    <row r="610" ht="24.75" hidden="1" customHeight="1">
      <c r="A610" s="40">
        <f>IFERROR(__xludf.DUMMYFUNCTION("""COMPUTED_VALUE"""),10.0)</f>
        <v>10</v>
      </c>
      <c r="B610" s="40" t="str">
        <f>IFERROR(__xludf.DUMMYFUNCTION("""COMPUTED_VALUE"""),"A218")</f>
        <v>A218</v>
      </c>
      <c r="C610" s="40"/>
      <c r="D610" s="41"/>
      <c r="E610" s="66"/>
      <c r="F610" s="43"/>
      <c r="G610" s="44"/>
      <c r="H610" s="33" t="str">
        <f>IFERROR(__xludf.DUMMYFUNCTION("""COMPUTED_VALUE""")," ")</f>
        <v> </v>
      </c>
      <c r="I610" s="45"/>
      <c r="J610" s="46" t="str">
        <f>IFERROR(__xludf.DUMMYFUNCTION("""COMPUTED_VALUE"""),"AP")</f>
        <v>AP</v>
      </c>
      <c r="K610" s="47"/>
      <c r="L610" s="48" t="str">
        <f>IFERROR(__xludf.DUMMYFUNCTION("""COMPUTED_VALUE"""),"%")</f>
        <v>%</v>
      </c>
      <c r="M610" s="49">
        <f>IFERROR(__xludf.DUMMYFUNCTION("""COMPUTED_VALUE"""),1.0)</f>
        <v>1</v>
      </c>
      <c r="N610" s="50"/>
      <c r="O610" s="38"/>
      <c r="P610" s="45" t="str">
        <f>IFERROR(__xludf.DUMMYFUNCTION("""COMPUTED_VALUE"""),"")</f>
        <v/>
      </c>
      <c r="Q610" s="46" t="str">
        <f>IFERROR(__xludf.DUMMYFUNCTION("""COMPUTED_VALUE"""),"AP")</f>
        <v>AP</v>
      </c>
      <c r="R610" s="47" t="str">
        <f>IFERROR(__xludf.DUMMYFUNCTION("""COMPUTED_VALUE"""),"")</f>
        <v/>
      </c>
      <c r="S610" s="48" t="str">
        <f>IFERROR(__xludf.DUMMYFUNCTION("""COMPUTED_VALUE"""),"%")</f>
        <v>%</v>
      </c>
      <c r="T610" s="49">
        <f>IFERROR(__xludf.DUMMYFUNCTION("""COMPUTED_VALUE"""),2.0)</f>
        <v>2</v>
      </c>
      <c r="U610" s="50"/>
      <c r="V610" s="38"/>
      <c r="W610" s="45" t="str">
        <f>IFERROR(__xludf.DUMMYFUNCTION("""COMPUTED_VALUE"""),"")</f>
        <v/>
      </c>
      <c r="X610" s="46" t="str">
        <f>IFERROR(__xludf.DUMMYFUNCTION("""COMPUTED_VALUE"""),"AP")</f>
        <v>AP</v>
      </c>
      <c r="Y610" s="47" t="str">
        <f>IFERROR(__xludf.DUMMYFUNCTION("""COMPUTED_VALUE"""),"")</f>
        <v/>
      </c>
      <c r="Z610" s="48" t="str">
        <f>IFERROR(__xludf.DUMMYFUNCTION("""COMPUTED_VALUE"""),"%")</f>
        <v>%</v>
      </c>
      <c r="AA610" s="49">
        <f>IFERROR(__xludf.DUMMYFUNCTION("""COMPUTED_VALUE"""),3.0)</f>
        <v>3</v>
      </c>
      <c r="AB610" s="50"/>
      <c r="AC610" s="38"/>
      <c r="AD610" s="45" t="str">
        <f>IFERROR(__xludf.DUMMYFUNCTION("""COMPUTED_VALUE"""),"")</f>
        <v/>
      </c>
      <c r="AE610" s="46" t="str">
        <f>IFERROR(__xludf.DUMMYFUNCTION("""COMPUTED_VALUE"""),"AP")</f>
        <v>AP</v>
      </c>
      <c r="AF610" s="47" t="str">
        <f>IFERROR(__xludf.DUMMYFUNCTION("""COMPUTED_VALUE"""),"")</f>
        <v/>
      </c>
      <c r="AG610" s="48" t="str">
        <f>IFERROR(__xludf.DUMMYFUNCTION("""COMPUTED_VALUE"""),"%")</f>
        <v>%</v>
      </c>
      <c r="AH610" s="43"/>
      <c r="AI610" s="44"/>
      <c r="AJ610" s="66"/>
    </row>
    <row r="611" ht="24.75" hidden="1" customHeight="1">
      <c r="A611" s="28">
        <f>IFERROR(__xludf.DUMMYFUNCTION("""COMPUTED_VALUE"""),11.0)</f>
        <v>11</v>
      </c>
      <c r="B611" s="28" t="str">
        <f>IFERROR(__xludf.DUMMYFUNCTION("""COMPUTED_VALUE"""),"A218")</f>
        <v>A218</v>
      </c>
      <c r="C611" s="28"/>
      <c r="D611" s="29"/>
      <c r="E611" s="67"/>
      <c r="F611" s="31"/>
      <c r="G611" s="32"/>
      <c r="H611" s="33" t="str">
        <f>IFERROR(__xludf.DUMMYFUNCTION("""COMPUTED_VALUE""")," ")</f>
        <v> </v>
      </c>
      <c r="I611" s="34"/>
      <c r="J611" s="35" t="str">
        <f>IFERROR(__xludf.DUMMYFUNCTION("""COMPUTED_VALUE"""),"AP")</f>
        <v>AP</v>
      </c>
      <c r="K611" s="34"/>
      <c r="L611" s="35" t="str">
        <f>IFERROR(__xludf.DUMMYFUNCTION("""COMPUTED_VALUE"""),"%")</f>
        <v>%</v>
      </c>
      <c r="M611" s="36">
        <f>IFERROR(__xludf.DUMMYFUNCTION("""COMPUTED_VALUE"""),1.0)</f>
        <v>1</v>
      </c>
      <c r="N611" s="37"/>
      <c r="O611" s="38"/>
      <c r="P611" s="34" t="str">
        <f>IFERROR(__xludf.DUMMYFUNCTION("""COMPUTED_VALUE"""),"")</f>
        <v/>
      </c>
      <c r="Q611" s="35" t="str">
        <f>IFERROR(__xludf.DUMMYFUNCTION("""COMPUTED_VALUE"""),"AP")</f>
        <v>AP</v>
      </c>
      <c r="R611" s="34" t="str">
        <f>IFERROR(__xludf.DUMMYFUNCTION("""COMPUTED_VALUE"""),"")</f>
        <v/>
      </c>
      <c r="S611" s="35" t="str">
        <f>IFERROR(__xludf.DUMMYFUNCTION("""COMPUTED_VALUE"""),"%")</f>
        <v>%</v>
      </c>
      <c r="T611" s="36">
        <f>IFERROR(__xludf.DUMMYFUNCTION("""COMPUTED_VALUE"""),2.0)</f>
        <v>2</v>
      </c>
      <c r="U611" s="37"/>
      <c r="V611" s="38"/>
      <c r="W611" s="34" t="str">
        <f>IFERROR(__xludf.DUMMYFUNCTION("""COMPUTED_VALUE"""),"")</f>
        <v/>
      </c>
      <c r="X611" s="35" t="str">
        <f>IFERROR(__xludf.DUMMYFUNCTION("""COMPUTED_VALUE"""),"AP")</f>
        <v>AP</v>
      </c>
      <c r="Y611" s="34" t="str">
        <f>IFERROR(__xludf.DUMMYFUNCTION("""COMPUTED_VALUE"""),"")</f>
        <v/>
      </c>
      <c r="Z611" s="35" t="str">
        <f>IFERROR(__xludf.DUMMYFUNCTION("""COMPUTED_VALUE"""),"%")</f>
        <v>%</v>
      </c>
      <c r="AA611" s="36">
        <f>IFERROR(__xludf.DUMMYFUNCTION("""COMPUTED_VALUE"""),3.0)</f>
        <v>3</v>
      </c>
      <c r="AB611" s="37"/>
      <c r="AC611" s="38"/>
      <c r="AD611" s="34" t="str">
        <f>IFERROR(__xludf.DUMMYFUNCTION("""COMPUTED_VALUE"""),"")</f>
        <v/>
      </c>
      <c r="AE611" s="35" t="str">
        <f>IFERROR(__xludf.DUMMYFUNCTION("""COMPUTED_VALUE"""),"AP")</f>
        <v>AP</v>
      </c>
      <c r="AF611" s="34" t="str">
        <f>IFERROR(__xludf.DUMMYFUNCTION("""COMPUTED_VALUE"""),"")</f>
        <v/>
      </c>
      <c r="AG611" s="35" t="str">
        <f>IFERROR(__xludf.DUMMYFUNCTION("""COMPUTED_VALUE"""),"%")</f>
        <v>%</v>
      </c>
      <c r="AH611" s="31"/>
      <c r="AI611" s="32"/>
      <c r="AJ611" s="67"/>
    </row>
    <row r="612" ht="24.75" hidden="1" customHeight="1">
      <c r="A612" s="40">
        <f>IFERROR(__xludf.DUMMYFUNCTION("""COMPUTED_VALUE"""),12.0)</f>
        <v>12</v>
      </c>
      <c r="B612" s="40" t="str">
        <f>IFERROR(__xludf.DUMMYFUNCTION("""COMPUTED_VALUE"""),"A218")</f>
        <v>A218</v>
      </c>
      <c r="C612" s="40"/>
      <c r="D612" s="41"/>
      <c r="E612" s="66"/>
      <c r="F612" s="43"/>
      <c r="G612" s="44"/>
      <c r="H612" s="33" t="str">
        <f>IFERROR(__xludf.DUMMYFUNCTION("""COMPUTED_VALUE""")," ")</f>
        <v> </v>
      </c>
      <c r="I612" s="45"/>
      <c r="J612" s="46" t="str">
        <f>IFERROR(__xludf.DUMMYFUNCTION("""COMPUTED_VALUE"""),"AP")</f>
        <v>AP</v>
      </c>
      <c r="K612" s="47"/>
      <c r="L612" s="48" t="str">
        <f>IFERROR(__xludf.DUMMYFUNCTION("""COMPUTED_VALUE"""),"%")</f>
        <v>%</v>
      </c>
      <c r="M612" s="49">
        <f>IFERROR(__xludf.DUMMYFUNCTION("""COMPUTED_VALUE"""),1.0)</f>
        <v>1</v>
      </c>
      <c r="N612" s="50"/>
      <c r="O612" s="38"/>
      <c r="P612" s="45" t="str">
        <f>IFERROR(__xludf.DUMMYFUNCTION("""COMPUTED_VALUE"""),"")</f>
        <v/>
      </c>
      <c r="Q612" s="46" t="str">
        <f>IFERROR(__xludf.DUMMYFUNCTION("""COMPUTED_VALUE"""),"AP")</f>
        <v>AP</v>
      </c>
      <c r="R612" s="47" t="str">
        <f>IFERROR(__xludf.DUMMYFUNCTION("""COMPUTED_VALUE"""),"")</f>
        <v/>
      </c>
      <c r="S612" s="48" t="str">
        <f>IFERROR(__xludf.DUMMYFUNCTION("""COMPUTED_VALUE"""),"%")</f>
        <v>%</v>
      </c>
      <c r="T612" s="49">
        <f>IFERROR(__xludf.DUMMYFUNCTION("""COMPUTED_VALUE"""),2.0)</f>
        <v>2</v>
      </c>
      <c r="U612" s="50"/>
      <c r="V612" s="38"/>
      <c r="W612" s="45" t="str">
        <f>IFERROR(__xludf.DUMMYFUNCTION("""COMPUTED_VALUE"""),"")</f>
        <v/>
      </c>
      <c r="X612" s="46" t="str">
        <f>IFERROR(__xludf.DUMMYFUNCTION("""COMPUTED_VALUE"""),"AP")</f>
        <v>AP</v>
      </c>
      <c r="Y612" s="47" t="str">
        <f>IFERROR(__xludf.DUMMYFUNCTION("""COMPUTED_VALUE"""),"")</f>
        <v/>
      </c>
      <c r="Z612" s="48" t="str">
        <f>IFERROR(__xludf.DUMMYFUNCTION("""COMPUTED_VALUE"""),"%")</f>
        <v>%</v>
      </c>
      <c r="AA612" s="49">
        <f>IFERROR(__xludf.DUMMYFUNCTION("""COMPUTED_VALUE"""),3.0)</f>
        <v>3</v>
      </c>
      <c r="AB612" s="50"/>
      <c r="AC612" s="38"/>
      <c r="AD612" s="45" t="str">
        <f>IFERROR(__xludf.DUMMYFUNCTION("""COMPUTED_VALUE"""),"")</f>
        <v/>
      </c>
      <c r="AE612" s="46" t="str">
        <f>IFERROR(__xludf.DUMMYFUNCTION("""COMPUTED_VALUE"""),"AP")</f>
        <v>AP</v>
      </c>
      <c r="AF612" s="47" t="str">
        <f>IFERROR(__xludf.DUMMYFUNCTION("""COMPUTED_VALUE"""),"")</f>
        <v/>
      </c>
      <c r="AG612" s="48" t="str">
        <f>IFERROR(__xludf.DUMMYFUNCTION("""COMPUTED_VALUE"""),"%")</f>
        <v>%</v>
      </c>
      <c r="AH612" s="43"/>
      <c r="AI612" s="44"/>
      <c r="AJ612" s="66"/>
    </row>
    <row r="613" ht="24.75" hidden="1" customHeight="1">
      <c r="A613" s="28">
        <f>IFERROR(__xludf.DUMMYFUNCTION("""COMPUTED_VALUE"""),13.0)</f>
        <v>13</v>
      </c>
      <c r="B613" s="28" t="str">
        <f>IFERROR(__xludf.DUMMYFUNCTION("""COMPUTED_VALUE"""),"A218")</f>
        <v>A218</v>
      </c>
      <c r="C613" s="28"/>
      <c r="D613" s="29"/>
      <c r="E613" s="67"/>
      <c r="F613" s="31"/>
      <c r="G613" s="32"/>
      <c r="H613" s="33" t="str">
        <f>IFERROR(__xludf.DUMMYFUNCTION("""COMPUTED_VALUE""")," ")</f>
        <v> </v>
      </c>
      <c r="I613" s="34"/>
      <c r="J613" s="35" t="str">
        <f>IFERROR(__xludf.DUMMYFUNCTION("""COMPUTED_VALUE"""),"AP")</f>
        <v>AP</v>
      </c>
      <c r="K613" s="34"/>
      <c r="L613" s="35" t="str">
        <f>IFERROR(__xludf.DUMMYFUNCTION("""COMPUTED_VALUE"""),"%")</f>
        <v>%</v>
      </c>
      <c r="M613" s="36">
        <f>IFERROR(__xludf.DUMMYFUNCTION("""COMPUTED_VALUE"""),1.0)</f>
        <v>1</v>
      </c>
      <c r="N613" s="37"/>
      <c r="O613" s="38"/>
      <c r="P613" s="34" t="str">
        <f>IFERROR(__xludf.DUMMYFUNCTION("""COMPUTED_VALUE"""),"")</f>
        <v/>
      </c>
      <c r="Q613" s="35" t="str">
        <f>IFERROR(__xludf.DUMMYFUNCTION("""COMPUTED_VALUE"""),"AP")</f>
        <v>AP</v>
      </c>
      <c r="R613" s="34" t="str">
        <f>IFERROR(__xludf.DUMMYFUNCTION("""COMPUTED_VALUE"""),"")</f>
        <v/>
      </c>
      <c r="S613" s="35" t="str">
        <f>IFERROR(__xludf.DUMMYFUNCTION("""COMPUTED_VALUE"""),"%")</f>
        <v>%</v>
      </c>
      <c r="T613" s="36">
        <f>IFERROR(__xludf.DUMMYFUNCTION("""COMPUTED_VALUE"""),2.0)</f>
        <v>2</v>
      </c>
      <c r="U613" s="37"/>
      <c r="V613" s="38"/>
      <c r="W613" s="34" t="str">
        <f>IFERROR(__xludf.DUMMYFUNCTION("""COMPUTED_VALUE"""),"")</f>
        <v/>
      </c>
      <c r="X613" s="35" t="str">
        <f>IFERROR(__xludf.DUMMYFUNCTION("""COMPUTED_VALUE"""),"AP")</f>
        <v>AP</v>
      </c>
      <c r="Y613" s="34" t="str">
        <f>IFERROR(__xludf.DUMMYFUNCTION("""COMPUTED_VALUE"""),"")</f>
        <v/>
      </c>
      <c r="Z613" s="35" t="str">
        <f>IFERROR(__xludf.DUMMYFUNCTION("""COMPUTED_VALUE"""),"%")</f>
        <v>%</v>
      </c>
      <c r="AA613" s="36">
        <f>IFERROR(__xludf.DUMMYFUNCTION("""COMPUTED_VALUE"""),3.0)</f>
        <v>3</v>
      </c>
      <c r="AB613" s="37"/>
      <c r="AC613" s="38"/>
      <c r="AD613" s="34" t="str">
        <f>IFERROR(__xludf.DUMMYFUNCTION("""COMPUTED_VALUE"""),"")</f>
        <v/>
      </c>
      <c r="AE613" s="35" t="str">
        <f>IFERROR(__xludf.DUMMYFUNCTION("""COMPUTED_VALUE"""),"AP")</f>
        <v>AP</v>
      </c>
      <c r="AF613" s="34" t="str">
        <f>IFERROR(__xludf.DUMMYFUNCTION("""COMPUTED_VALUE"""),"")</f>
        <v/>
      </c>
      <c r="AG613" s="35" t="str">
        <f>IFERROR(__xludf.DUMMYFUNCTION("""COMPUTED_VALUE"""),"%")</f>
        <v>%</v>
      </c>
      <c r="AH613" s="31"/>
      <c r="AI613" s="32"/>
      <c r="AJ613" s="67"/>
    </row>
    <row r="614" ht="24.75" hidden="1" customHeight="1">
      <c r="A614" s="40">
        <f>IFERROR(__xludf.DUMMYFUNCTION("""COMPUTED_VALUE"""),14.0)</f>
        <v>14</v>
      </c>
      <c r="B614" s="40" t="str">
        <f>IFERROR(__xludf.DUMMYFUNCTION("""COMPUTED_VALUE"""),"A218")</f>
        <v>A218</v>
      </c>
      <c r="C614" s="40"/>
      <c r="D614" s="41"/>
      <c r="E614" s="66"/>
      <c r="F614" s="43"/>
      <c r="G614" s="44"/>
      <c r="H614" s="33" t="str">
        <f>IFERROR(__xludf.DUMMYFUNCTION("""COMPUTED_VALUE""")," ")</f>
        <v> </v>
      </c>
      <c r="I614" s="45"/>
      <c r="J614" s="46" t="str">
        <f>IFERROR(__xludf.DUMMYFUNCTION("""COMPUTED_VALUE"""),"AP")</f>
        <v>AP</v>
      </c>
      <c r="K614" s="47"/>
      <c r="L614" s="48" t="str">
        <f>IFERROR(__xludf.DUMMYFUNCTION("""COMPUTED_VALUE"""),"%")</f>
        <v>%</v>
      </c>
      <c r="M614" s="49">
        <f>IFERROR(__xludf.DUMMYFUNCTION("""COMPUTED_VALUE"""),1.0)</f>
        <v>1</v>
      </c>
      <c r="N614" s="50"/>
      <c r="O614" s="38"/>
      <c r="P614" s="45" t="str">
        <f>IFERROR(__xludf.DUMMYFUNCTION("""COMPUTED_VALUE"""),"")</f>
        <v/>
      </c>
      <c r="Q614" s="46" t="str">
        <f>IFERROR(__xludf.DUMMYFUNCTION("""COMPUTED_VALUE"""),"AP")</f>
        <v>AP</v>
      </c>
      <c r="R614" s="47" t="str">
        <f>IFERROR(__xludf.DUMMYFUNCTION("""COMPUTED_VALUE"""),"")</f>
        <v/>
      </c>
      <c r="S614" s="48" t="str">
        <f>IFERROR(__xludf.DUMMYFUNCTION("""COMPUTED_VALUE"""),"%")</f>
        <v>%</v>
      </c>
      <c r="T614" s="49">
        <f>IFERROR(__xludf.DUMMYFUNCTION("""COMPUTED_VALUE"""),2.0)</f>
        <v>2</v>
      </c>
      <c r="U614" s="50"/>
      <c r="V614" s="38"/>
      <c r="W614" s="45" t="str">
        <f>IFERROR(__xludf.DUMMYFUNCTION("""COMPUTED_VALUE"""),"")</f>
        <v/>
      </c>
      <c r="X614" s="46" t="str">
        <f>IFERROR(__xludf.DUMMYFUNCTION("""COMPUTED_VALUE"""),"AP")</f>
        <v>AP</v>
      </c>
      <c r="Y614" s="47" t="str">
        <f>IFERROR(__xludf.DUMMYFUNCTION("""COMPUTED_VALUE"""),"")</f>
        <v/>
      </c>
      <c r="Z614" s="48" t="str">
        <f>IFERROR(__xludf.DUMMYFUNCTION("""COMPUTED_VALUE"""),"%")</f>
        <v>%</v>
      </c>
      <c r="AA614" s="49">
        <f>IFERROR(__xludf.DUMMYFUNCTION("""COMPUTED_VALUE"""),3.0)</f>
        <v>3</v>
      </c>
      <c r="AB614" s="50"/>
      <c r="AC614" s="38"/>
      <c r="AD614" s="45" t="str">
        <f>IFERROR(__xludf.DUMMYFUNCTION("""COMPUTED_VALUE"""),"")</f>
        <v/>
      </c>
      <c r="AE614" s="46" t="str">
        <f>IFERROR(__xludf.DUMMYFUNCTION("""COMPUTED_VALUE"""),"AP")</f>
        <v>AP</v>
      </c>
      <c r="AF614" s="47" t="str">
        <f>IFERROR(__xludf.DUMMYFUNCTION("""COMPUTED_VALUE"""),"")</f>
        <v/>
      </c>
      <c r="AG614" s="48" t="str">
        <f>IFERROR(__xludf.DUMMYFUNCTION("""COMPUTED_VALUE"""),"%")</f>
        <v>%</v>
      </c>
      <c r="AH614" s="43"/>
      <c r="AI614" s="44"/>
      <c r="AJ614" s="66"/>
    </row>
    <row r="615" ht="24.75" hidden="1" customHeight="1">
      <c r="A615" s="28">
        <f>IFERROR(__xludf.DUMMYFUNCTION("""COMPUTED_VALUE"""),15.0)</f>
        <v>15</v>
      </c>
      <c r="B615" s="28" t="str">
        <f>IFERROR(__xludf.DUMMYFUNCTION("""COMPUTED_VALUE"""),"A218")</f>
        <v>A218</v>
      </c>
      <c r="C615" s="28"/>
      <c r="D615" s="29"/>
      <c r="E615" s="67"/>
      <c r="F615" s="31"/>
      <c r="G615" s="32"/>
      <c r="H615" s="33" t="str">
        <f>IFERROR(__xludf.DUMMYFUNCTION("""COMPUTED_VALUE""")," ")</f>
        <v> </v>
      </c>
      <c r="I615" s="34"/>
      <c r="J615" s="35" t="str">
        <f>IFERROR(__xludf.DUMMYFUNCTION("""COMPUTED_VALUE"""),"AP")</f>
        <v>AP</v>
      </c>
      <c r="K615" s="34"/>
      <c r="L615" s="35" t="str">
        <f>IFERROR(__xludf.DUMMYFUNCTION("""COMPUTED_VALUE"""),"%")</f>
        <v>%</v>
      </c>
      <c r="M615" s="36">
        <f>IFERROR(__xludf.DUMMYFUNCTION("""COMPUTED_VALUE"""),1.0)</f>
        <v>1</v>
      </c>
      <c r="N615" s="37"/>
      <c r="O615" s="38"/>
      <c r="P615" s="34" t="str">
        <f>IFERROR(__xludf.DUMMYFUNCTION("""COMPUTED_VALUE"""),"")</f>
        <v/>
      </c>
      <c r="Q615" s="35" t="str">
        <f>IFERROR(__xludf.DUMMYFUNCTION("""COMPUTED_VALUE"""),"AP")</f>
        <v>AP</v>
      </c>
      <c r="R615" s="34" t="str">
        <f>IFERROR(__xludf.DUMMYFUNCTION("""COMPUTED_VALUE"""),"")</f>
        <v/>
      </c>
      <c r="S615" s="35" t="str">
        <f>IFERROR(__xludf.DUMMYFUNCTION("""COMPUTED_VALUE"""),"%")</f>
        <v>%</v>
      </c>
      <c r="T615" s="36">
        <f>IFERROR(__xludf.DUMMYFUNCTION("""COMPUTED_VALUE"""),2.0)</f>
        <v>2</v>
      </c>
      <c r="U615" s="37"/>
      <c r="V615" s="38"/>
      <c r="W615" s="34" t="str">
        <f>IFERROR(__xludf.DUMMYFUNCTION("""COMPUTED_VALUE"""),"")</f>
        <v/>
      </c>
      <c r="X615" s="35" t="str">
        <f>IFERROR(__xludf.DUMMYFUNCTION("""COMPUTED_VALUE"""),"AP")</f>
        <v>AP</v>
      </c>
      <c r="Y615" s="34" t="str">
        <f>IFERROR(__xludf.DUMMYFUNCTION("""COMPUTED_VALUE"""),"")</f>
        <v/>
      </c>
      <c r="Z615" s="35" t="str">
        <f>IFERROR(__xludf.DUMMYFUNCTION("""COMPUTED_VALUE"""),"%")</f>
        <v>%</v>
      </c>
      <c r="AA615" s="36">
        <f>IFERROR(__xludf.DUMMYFUNCTION("""COMPUTED_VALUE"""),3.0)</f>
        <v>3</v>
      </c>
      <c r="AB615" s="37"/>
      <c r="AC615" s="38"/>
      <c r="AD615" s="34" t="str">
        <f>IFERROR(__xludf.DUMMYFUNCTION("""COMPUTED_VALUE"""),"")</f>
        <v/>
      </c>
      <c r="AE615" s="35" t="str">
        <f>IFERROR(__xludf.DUMMYFUNCTION("""COMPUTED_VALUE"""),"AP")</f>
        <v>AP</v>
      </c>
      <c r="AF615" s="34" t="str">
        <f>IFERROR(__xludf.DUMMYFUNCTION("""COMPUTED_VALUE"""),"")</f>
        <v/>
      </c>
      <c r="AG615" s="35" t="str">
        <f>IFERROR(__xludf.DUMMYFUNCTION("""COMPUTED_VALUE"""),"%")</f>
        <v>%</v>
      </c>
      <c r="AH615" s="31"/>
      <c r="AI615" s="32"/>
      <c r="AJ615" s="67"/>
    </row>
    <row r="616" ht="24.75" hidden="1" customHeight="1">
      <c r="A616" s="40">
        <f>IFERROR(__xludf.DUMMYFUNCTION("""COMPUTED_VALUE"""),16.0)</f>
        <v>16</v>
      </c>
      <c r="B616" s="40" t="str">
        <f>IFERROR(__xludf.DUMMYFUNCTION("""COMPUTED_VALUE"""),"A218")</f>
        <v>A218</v>
      </c>
      <c r="C616" s="40"/>
      <c r="D616" s="41"/>
      <c r="E616" s="66"/>
      <c r="F616" s="43"/>
      <c r="G616" s="44"/>
      <c r="H616" s="33" t="str">
        <f>IFERROR(__xludf.DUMMYFUNCTION("""COMPUTED_VALUE""")," ")</f>
        <v> </v>
      </c>
      <c r="I616" s="45"/>
      <c r="J616" s="46" t="str">
        <f>IFERROR(__xludf.DUMMYFUNCTION("""COMPUTED_VALUE"""),"AP")</f>
        <v>AP</v>
      </c>
      <c r="K616" s="47"/>
      <c r="L616" s="48" t="str">
        <f>IFERROR(__xludf.DUMMYFUNCTION("""COMPUTED_VALUE"""),"%")</f>
        <v>%</v>
      </c>
      <c r="M616" s="49">
        <f>IFERROR(__xludf.DUMMYFUNCTION("""COMPUTED_VALUE"""),1.0)</f>
        <v>1</v>
      </c>
      <c r="N616" s="50"/>
      <c r="O616" s="38"/>
      <c r="P616" s="45" t="str">
        <f>IFERROR(__xludf.DUMMYFUNCTION("""COMPUTED_VALUE"""),"")</f>
        <v/>
      </c>
      <c r="Q616" s="46" t="str">
        <f>IFERROR(__xludf.DUMMYFUNCTION("""COMPUTED_VALUE"""),"AP")</f>
        <v>AP</v>
      </c>
      <c r="R616" s="47" t="str">
        <f>IFERROR(__xludf.DUMMYFUNCTION("""COMPUTED_VALUE"""),"")</f>
        <v/>
      </c>
      <c r="S616" s="48" t="str">
        <f>IFERROR(__xludf.DUMMYFUNCTION("""COMPUTED_VALUE"""),"%")</f>
        <v>%</v>
      </c>
      <c r="T616" s="49">
        <f>IFERROR(__xludf.DUMMYFUNCTION("""COMPUTED_VALUE"""),2.0)</f>
        <v>2</v>
      </c>
      <c r="U616" s="50"/>
      <c r="V616" s="38"/>
      <c r="W616" s="45" t="str">
        <f>IFERROR(__xludf.DUMMYFUNCTION("""COMPUTED_VALUE"""),"")</f>
        <v/>
      </c>
      <c r="X616" s="46" t="str">
        <f>IFERROR(__xludf.DUMMYFUNCTION("""COMPUTED_VALUE"""),"AP")</f>
        <v>AP</v>
      </c>
      <c r="Y616" s="47" t="str">
        <f>IFERROR(__xludf.DUMMYFUNCTION("""COMPUTED_VALUE"""),"")</f>
        <v/>
      </c>
      <c r="Z616" s="48" t="str">
        <f>IFERROR(__xludf.DUMMYFUNCTION("""COMPUTED_VALUE"""),"%")</f>
        <v>%</v>
      </c>
      <c r="AA616" s="49">
        <f>IFERROR(__xludf.DUMMYFUNCTION("""COMPUTED_VALUE"""),3.0)</f>
        <v>3</v>
      </c>
      <c r="AB616" s="50"/>
      <c r="AC616" s="38"/>
      <c r="AD616" s="45" t="str">
        <f>IFERROR(__xludf.DUMMYFUNCTION("""COMPUTED_VALUE"""),"")</f>
        <v/>
      </c>
      <c r="AE616" s="46" t="str">
        <f>IFERROR(__xludf.DUMMYFUNCTION("""COMPUTED_VALUE"""),"AP")</f>
        <v>AP</v>
      </c>
      <c r="AF616" s="47" t="str">
        <f>IFERROR(__xludf.DUMMYFUNCTION("""COMPUTED_VALUE"""),"")</f>
        <v/>
      </c>
      <c r="AG616" s="48" t="str">
        <f>IFERROR(__xludf.DUMMYFUNCTION("""COMPUTED_VALUE"""),"%")</f>
        <v>%</v>
      </c>
      <c r="AH616" s="43"/>
      <c r="AI616" s="44"/>
      <c r="AJ616" s="66"/>
    </row>
    <row r="617" ht="24.75" hidden="1" customHeight="1">
      <c r="A617" s="28">
        <f>IFERROR(__xludf.DUMMYFUNCTION("""COMPUTED_VALUE"""),17.0)</f>
        <v>17</v>
      </c>
      <c r="B617" s="28" t="str">
        <f>IFERROR(__xludf.DUMMYFUNCTION("""COMPUTED_VALUE"""),"A218")</f>
        <v>A218</v>
      </c>
      <c r="C617" s="28"/>
      <c r="D617" s="29"/>
      <c r="E617" s="67"/>
      <c r="F617" s="31"/>
      <c r="G617" s="32"/>
      <c r="H617" s="33" t="str">
        <f>IFERROR(__xludf.DUMMYFUNCTION("""COMPUTED_VALUE""")," ")</f>
        <v> </v>
      </c>
      <c r="I617" s="34"/>
      <c r="J617" s="35" t="str">
        <f>IFERROR(__xludf.DUMMYFUNCTION("""COMPUTED_VALUE"""),"AP")</f>
        <v>AP</v>
      </c>
      <c r="K617" s="34"/>
      <c r="L617" s="35" t="str">
        <f>IFERROR(__xludf.DUMMYFUNCTION("""COMPUTED_VALUE"""),"%")</f>
        <v>%</v>
      </c>
      <c r="M617" s="36">
        <f>IFERROR(__xludf.DUMMYFUNCTION("""COMPUTED_VALUE"""),1.0)</f>
        <v>1</v>
      </c>
      <c r="N617" s="37"/>
      <c r="O617" s="38"/>
      <c r="P617" s="34" t="str">
        <f>IFERROR(__xludf.DUMMYFUNCTION("""COMPUTED_VALUE"""),"")</f>
        <v/>
      </c>
      <c r="Q617" s="35" t="str">
        <f>IFERROR(__xludf.DUMMYFUNCTION("""COMPUTED_VALUE"""),"AP")</f>
        <v>AP</v>
      </c>
      <c r="R617" s="34" t="str">
        <f>IFERROR(__xludf.DUMMYFUNCTION("""COMPUTED_VALUE"""),"")</f>
        <v/>
      </c>
      <c r="S617" s="35" t="str">
        <f>IFERROR(__xludf.DUMMYFUNCTION("""COMPUTED_VALUE"""),"%")</f>
        <v>%</v>
      </c>
      <c r="T617" s="36">
        <f>IFERROR(__xludf.DUMMYFUNCTION("""COMPUTED_VALUE"""),2.0)</f>
        <v>2</v>
      </c>
      <c r="U617" s="37"/>
      <c r="V617" s="38"/>
      <c r="W617" s="34" t="str">
        <f>IFERROR(__xludf.DUMMYFUNCTION("""COMPUTED_VALUE"""),"")</f>
        <v/>
      </c>
      <c r="X617" s="35" t="str">
        <f>IFERROR(__xludf.DUMMYFUNCTION("""COMPUTED_VALUE"""),"AP")</f>
        <v>AP</v>
      </c>
      <c r="Y617" s="34" t="str">
        <f>IFERROR(__xludf.DUMMYFUNCTION("""COMPUTED_VALUE"""),"")</f>
        <v/>
      </c>
      <c r="Z617" s="35" t="str">
        <f>IFERROR(__xludf.DUMMYFUNCTION("""COMPUTED_VALUE"""),"%")</f>
        <v>%</v>
      </c>
      <c r="AA617" s="36">
        <f>IFERROR(__xludf.DUMMYFUNCTION("""COMPUTED_VALUE"""),3.0)</f>
        <v>3</v>
      </c>
      <c r="AB617" s="37"/>
      <c r="AC617" s="38"/>
      <c r="AD617" s="34" t="str">
        <f>IFERROR(__xludf.DUMMYFUNCTION("""COMPUTED_VALUE"""),"")</f>
        <v/>
      </c>
      <c r="AE617" s="35" t="str">
        <f>IFERROR(__xludf.DUMMYFUNCTION("""COMPUTED_VALUE"""),"AP")</f>
        <v>AP</v>
      </c>
      <c r="AF617" s="34" t="str">
        <f>IFERROR(__xludf.DUMMYFUNCTION("""COMPUTED_VALUE"""),"")</f>
        <v/>
      </c>
      <c r="AG617" s="35" t="str">
        <f>IFERROR(__xludf.DUMMYFUNCTION("""COMPUTED_VALUE"""),"%")</f>
        <v>%</v>
      </c>
      <c r="AH617" s="31"/>
      <c r="AI617" s="32"/>
      <c r="AJ617" s="67"/>
    </row>
    <row r="618" ht="24.75" hidden="1" customHeight="1">
      <c r="A618" s="40">
        <f>IFERROR(__xludf.DUMMYFUNCTION("""COMPUTED_VALUE"""),18.0)</f>
        <v>18</v>
      </c>
      <c r="B618" s="40" t="str">
        <f>IFERROR(__xludf.DUMMYFUNCTION("""COMPUTED_VALUE"""),"A218")</f>
        <v>A218</v>
      </c>
      <c r="C618" s="40"/>
      <c r="D618" s="41"/>
      <c r="E618" s="66"/>
      <c r="F618" s="43"/>
      <c r="G618" s="44"/>
      <c r="H618" s="33" t="str">
        <f>IFERROR(__xludf.DUMMYFUNCTION("""COMPUTED_VALUE""")," ")</f>
        <v> </v>
      </c>
      <c r="I618" s="45"/>
      <c r="J618" s="46" t="str">
        <f>IFERROR(__xludf.DUMMYFUNCTION("""COMPUTED_VALUE"""),"AP")</f>
        <v>AP</v>
      </c>
      <c r="K618" s="47"/>
      <c r="L618" s="48" t="str">
        <f>IFERROR(__xludf.DUMMYFUNCTION("""COMPUTED_VALUE"""),"%")</f>
        <v>%</v>
      </c>
      <c r="M618" s="49">
        <f>IFERROR(__xludf.DUMMYFUNCTION("""COMPUTED_VALUE"""),1.0)</f>
        <v>1</v>
      </c>
      <c r="N618" s="50"/>
      <c r="O618" s="38"/>
      <c r="P618" s="45" t="str">
        <f>IFERROR(__xludf.DUMMYFUNCTION("""COMPUTED_VALUE"""),"")</f>
        <v/>
      </c>
      <c r="Q618" s="46" t="str">
        <f>IFERROR(__xludf.DUMMYFUNCTION("""COMPUTED_VALUE"""),"AP")</f>
        <v>AP</v>
      </c>
      <c r="R618" s="47" t="str">
        <f>IFERROR(__xludf.DUMMYFUNCTION("""COMPUTED_VALUE"""),"")</f>
        <v/>
      </c>
      <c r="S618" s="48" t="str">
        <f>IFERROR(__xludf.DUMMYFUNCTION("""COMPUTED_VALUE"""),"%")</f>
        <v>%</v>
      </c>
      <c r="T618" s="49">
        <f>IFERROR(__xludf.DUMMYFUNCTION("""COMPUTED_VALUE"""),2.0)</f>
        <v>2</v>
      </c>
      <c r="U618" s="50"/>
      <c r="V618" s="38"/>
      <c r="W618" s="45" t="str">
        <f>IFERROR(__xludf.DUMMYFUNCTION("""COMPUTED_VALUE"""),"")</f>
        <v/>
      </c>
      <c r="X618" s="46" t="str">
        <f>IFERROR(__xludf.DUMMYFUNCTION("""COMPUTED_VALUE"""),"AP")</f>
        <v>AP</v>
      </c>
      <c r="Y618" s="47" t="str">
        <f>IFERROR(__xludf.DUMMYFUNCTION("""COMPUTED_VALUE"""),"")</f>
        <v/>
      </c>
      <c r="Z618" s="48" t="str">
        <f>IFERROR(__xludf.DUMMYFUNCTION("""COMPUTED_VALUE"""),"%")</f>
        <v>%</v>
      </c>
      <c r="AA618" s="49">
        <f>IFERROR(__xludf.DUMMYFUNCTION("""COMPUTED_VALUE"""),3.0)</f>
        <v>3</v>
      </c>
      <c r="AB618" s="50"/>
      <c r="AC618" s="38"/>
      <c r="AD618" s="45" t="str">
        <f>IFERROR(__xludf.DUMMYFUNCTION("""COMPUTED_VALUE"""),"")</f>
        <v/>
      </c>
      <c r="AE618" s="46" t="str">
        <f>IFERROR(__xludf.DUMMYFUNCTION("""COMPUTED_VALUE"""),"AP")</f>
        <v>AP</v>
      </c>
      <c r="AF618" s="47" t="str">
        <f>IFERROR(__xludf.DUMMYFUNCTION("""COMPUTED_VALUE"""),"")</f>
        <v/>
      </c>
      <c r="AG618" s="48" t="str">
        <f>IFERROR(__xludf.DUMMYFUNCTION("""COMPUTED_VALUE"""),"%")</f>
        <v>%</v>
      </c>
      <c r="AH618" s="43"/>
      <c r="AI618" s="44"/>
      <c r="AJ618" s="66"/>
    </row>
    <row r="619" ht="24.75" hidden="1" customHeight="1">
      <c r="A619" s="28">
        <f>IFERROR(__xludf.DUMMYFUNCTION("""COMPUTED_VALUE"""),19.0)</f>
        <v>19</v>
      </c>
      <c r="B619" s="28" t="str">
        <f>IFERROR(__xludf.DUMMYFUNCTION("""COMPUTED_VALUE"""),"A218")</f>
        <v>A218</v>
      </c>
      <c r="C619" s="28"/>
      <c r="D619" s="29"/>
      <c r="E619" s="67"/>
      <c r="F619" s="31"/>
      <c r="G619" s="32"/>
      <c r="H619" s="33" t="str">
        <f>IFERROR(__xludf.DUMMYFUNCTION("""COMPUTED_VALUE""")," ")</f>
        <v> </v>
      </c>
      <c r="I619" s="34"/>
      <c r="J619" s="35" t="str">
        <f>IFERROR(__xludf.DUMMYFUNCTION("""COMPUTED_VALUE"""),"AP")</f>
        <v>AP</v>
      </c>
      <c r="K619" s="34"/>
      <c r="L619" s="35" t="str">
        <f>IFERROR(__xludf.DUMMYFUNCTION("""COMPUTED_VALUE"""),"%")</f>
        <v>%</v>
      </c>
      <c r="M619" s="36">
        <f>IFERROR(__xludf.DUMMYFUNCTION("""COMPUTED_VALUE"""),1.0)</f>
        <v>1</v>
      </c>
      <c r="N619" s="37"/>
      <c r="O619" s="38"/>
      <c r="P619" s="34" t="str">
        <f>IFERROR(__xludf.DUMMYFUNCTION("""COMPUTED_VALUE"""),"")</f>
        <v/>
      </c>
      <c r="Q619" s="35" t="str">
        <f>IFERROR(__xludf.DUMMYFUNCTION("""COMPUTED_VALUE"""),"AP")</f>
        <v>AP</v>
      </c>
      <c r="R619" s="34" t="str">
        <f>IFERROR(__xludf.DUMMYFUNCTION("""COMPUTED_VALUE"""),"")</f>
        <v/>
      </c>
      <c r="S619" s="35" t="str">
        <f>IFERROR(__xludf.DUMMYFUNCTION("""COMPUTED_VALUE"""),"%")</f>
        <v>%</v>
      </c>
      <c r="T619" s="36">
        <f>IFERROR(__xludf.DUMMYFUNCTION("""COMPUTED_VALUE"""),2.0)</f>
        <v>2</v>
      </c>
      <c r="U619" s="37"/>
      <c r="V619" s="38"/>
      <c r="W619" s="34" t="str">
        <f>IFERROR(__xludf.DUMMYFUNCTION("""COMPUTED_VALUE"""),"")</f>
        <v/>
      </c>
      <c r="X619" s="35" t="str">
        <f>IFERROR(__xludf.DUMMYFUNCTION("""COMPUTED_VALUE"""),"AP")</f>
        <v>AP</v>
      </c>
      <c r="Y619" s="34" t="str">
        <f>IFERROR(__xludf.DUMMYFUNCTION("""COMPUTED_VALUE"""),"")</f>
        <v/>
      </c>
      <c r="Z619" s="35" t="str">
        <f>IFERROR(__xludf.DUMMYFUNCTION("""COMPUTED_VALUE"""),"%")</f>
        <v>%</v>
      </c>
      <c r="AA619" s="36">
        <f>IFERROR(__xludf.DUMMYFUNCTION("""COMPUTED_VALUE"""),3.0)</f>
        <v>3</v>
      </c>
      <c r="AB619" s="37"/>
      <c r="AC619" s="38"/>
      <c r="AD619" s="34" t="str">
        <f>IFERROR(__xludf.DUMMYFUNCTION("""COMPUTED_VALUE"""),"")</f>
        <v/>
      </c>
      <c r="AE619" s="35" t="str">
        <f>IFERROR(__xludf.DUMMYFUNCTION("""COMPUTED_VALUE"""),"AP")</f>
        <v>AP</v>
      </c>
      <c r="AF619" s="34" t="str">
        <f>IFERROR(__xludf.DUMMYFUNCTION("""COMPUTED_VALUE"""),"")</f>
        <v/>
      </c>
      <c r="AG619" s="35" t="str">
        <f>IFERROR(__xludf.DUMMYFUNCTION("""COMPUTED_VALUE"""),"%")</f>
        <v>%</v>
      </c>
      <c r="AH619" s="31"/>
      <c r="AI619" s="32"/>
      <c r="AJ619" s="67"/>
    </row>
    <row r="620" ht="24.75" hidden="1" customHeight="1">
      <c r="A620" s="40">
        <f>IFERROR(__xludf.DUMMYFUNCTION("""COMPUTED_VALUE"""),20.0)</f>
        <v>20</v>
      </c>
      <c r="B620" s="40" t="str">
        <f>IFERROR(__xludf.DUMMYFUNCTION("""COMPUTED_VALUE"""),"A218")</f>
        <v>A218</v>
      </c>
      <c r="C620" s="40"/>
      <c r="D620" s="41"/>
      <c r="E620" s="66"/>
      <c r="F620" s="43"/>
      <c r="G620" s="44"/>
      <c r="H620" s="33" t="str">
        <f>IFERROR(__xludf.DUMMYFUNCTION("""COMPUTED_VALUE""")," ")</f>
        <v> </v>
      </c>
      <c r="I620" s="45"/>
      <c r="J620" s="46" t="str">
        <f>IFERROR(__xludf.DUMMYFUNCTION("""COMPUTED_VALUE"""),"AP")</f>
        <v>AP</v>
      </c>
      <c r="K620" s="47"/>
      <c r="L620" s="48" t="str">
        <f>IFERROR(__xludf.DUMMYFUNCTION("""COMPUTED_VALUE"""),"%")</f>
        <v>%</v>
      </c>
      <c r="M620" s="49">
        <f>IFERROR(__xludf.DUMMYFUNCTION("""COMPUTED_VALUE"""),1.0)</f>
        <v>1</v>
      </c>
      <c r="N620" s="50"/>
      <c r="O620" s="38"/>
      <c r="P620" s="45" t="str">
        <f>IFERROR(__xludf.DUMMYFUNCTION("""COMPUTED_VALUE"""),"")</f>
        <v/>
      </c>
      <c r="Q620" s="46" t="str">
        <f>IFERROR(__xludf.DUMMYFUNCTION("""COMPUTED_VALUE"""),"AP")</f>
        <v>AP</v>
      </c>
      <c r="R620" s="47" t="str">
        <f>IFERROR(__xludf.DUMMYFUNCTION("""COMPUTED_VALUE"""),"")</f>
        <v/>
      </c>
      <c r="S620" s="48" t="str">
        <f>IFERROR(__xludf.DUMMYFUNCTION("""COMPUTED_VALUE"""),"%")</f>
        <v>%</v>
      </c>
      <c r="T620" s="49">
        <f>IFERROR(__xludf.DUMMYFUNCTION("""COMPUTED_VALUE"""),2.0)</f>
        <v>2</v>
      </c>
      <c r="U620" s="50"/>
      <c r="V620" s="38"/>
      <c r="W620" s="45" t="str">
        <f>IFERROR(__xludf.DUMMYFUNCTION("""COMPUTED_VALUE"""),"")</f>
        <v/>
      </c>
      <c r="X620" s="46" t="str">
        <f>IFERROR(__xludf.DUMMYFUNCTION("""COMPUTED_VALUE"""),"AP")</f>
        <v>AP</v>
      </c>
      <c r="Y620" s="47" t="str">
        <f>IFERROR(__xludf.DUMMYFUNCTION("""COMPUTED_VALUE"""),"")</f>
        <v/>
      </c>
      <c r="Z620" s="48" t="str">
        <f>IFERROR(__xludf.DUMMYFUNCTION("""COMPUTED_VALUE"""),"%")</f>
        <v>%</v>
      </c>
      <c r="AA620" s="49">
        <f>IFERROR(__xludf.DUMMYFUNCTION("""COMPUTED_VALUE"""),3.0)</f>
        <v>3</v>
      </c>
      <c r="AB620" s="50"/>
      <c r="AC620" s="38"/>
      <c r="AD620" s="45" t="str">
        <f>IFERROR(__xludf.DUMMYFUNCTION("""COMPUTED_VALUE"""),"")</f>
        <v/>
      </c>
      <c r="AE620" s="46" t="str">
        <f>IFERROR(__xludf.DUMMYFUNCTION("""COMPUTED_VALUE"""),"AP")</f>
        <v>AP</v>
      </c>
      <c r="AF620" s="47" t="str">
        <f>IFERROR(__xludf.DUMMYFUNCTION("""COMPUTED_VALUE"""),"")</f>
        <v/>
      </c>
      <c r="AG620" s="48" t="str">
        <f>IFERROR(__xludf.DUMMYFUNCTION("""COMPUTED_VALUE"""),"%")</f>
        <v>%</v>
      </c>
      <c r="AH620" s="43"/>
      <c r="AI620" s="44"/>
      <c r="AJ620" s="66"/>
    </row>
    <row r="621" hidden="1">
      <c r="A621" s="52"/>
      <c r="B621" s="53"/>
      <c r="C621" s="54"/>
      <c r="D621" s="56"/>
      <c r="E621" s="56"/>
      <c r="F621" s="53"/>
      <c r="G621" s="53"/>
      <c r="H621" s="53"/>
      <c r="I621" s="53"/>
      <c r="J621" s="57"/>
      <c r="K621" s="53"/>
      <c r="L621" s="57"/>
      <c r="M621" s="53"/>
      <c r="N621" s="53"/>
      <c r="O621" s="53"/>
      <c r="P621" s="53"/>
      <c r="Q621" s="57"/>
      <c r="R621" s="53"/>
      <c r="S621" s="57"/>
      <c r="T621" s="53"/>
      <c r="U621" s="53"/>
      <c r="V621" s="53"/>
      <c r="W621" s="53"/>
      <c r="X621" s="57"/>
      <c r="Y621" s="53"/>
      <c r="Z621" s="57"/>
      <c r="AA621" s="53"/>
      <c r="AB621" s="53"/>
      <c r="AC621" s="53"/>
      <c r="AD621" s="53"/>
      <c r="AE621" s="57"/>
      <c r="AF621" s="53"/>
      <c r="AG621" s="57"/>
      <c r="AH621" s="53"/>
      <c r="AI621" s="53"/>
      <c r="AJ621" s="56"/>
    </row>
    <row r="622" hidden="1">
      <c r="A622" s="59"/>
      <c r="B622" s="60"/>
      <c r="C622" s="61"/>
      <c r="D622" s="63"/>
      <c r="E622" s="63"/>
      <c r="F622" s="60"/>
      <c r="G622" s="60"/>
      <c r="H622" s="60"/>
      <c r="I622" s="60"/>
      <c r="J622" s="64"/>
      <c r="K622" s="60"/>
      <c r="L622" s="64"/>
      <c r="M622" s="60"/>
      <c r="N622" s="60"/>
      <c r="O622" s="60"/>
      <c r="P622" s="60"/>
      <c r="Q622" s="64"/>
      <c r="R622" s="60"/>
      <c r="S622" s="64"/>
      <c r="T622" s="60"/>
      <c r="U622" s="60"/>
      <c r="V622" s="60"/>
      <c r="W622" s="60"/>
      <c r="X622" s="64"/>
      <c r="Y622" s="60"/>
      <c r="Z622" s="64"/>
      <c r="AA622" s="60"/>
      <c r="AB622" s="60"/>
      <c r="AC622" s="60"/>
      <c r="AD622" s="60"/>
      <c r="AE622" s="64"/>
      <c r="AF622" s="60"/>
      <c r="AG622" s="64"/>
      <c r="AH622" s="60"/>
      <c r="AI622" s="60"/>
      <c r="AJ622" s="63"/>
    </row>
    <row r="623" ht="33.0" customHeight="1">
      <c r="A623" s="20" t="str">
        <f>IFERROR(__xludf.DUMMYFUNCTION("""COMPUTED_VALUE""")," ")</f>
        <v> </v>
      </c>
      <c r="B623" s="21" t="str">
        <f>IFERROR(__xludf.DUMMYFUNCTION("""COMPUTED_VALUE"""),"A219")</f>
        <v>A219</v>
      </c>
      <c r="C623" s="20"/>
      <c r="D623" s="257" t="str">
        <f>IFERROR(__xludf.DUMMYFUNCTION("""COMPUTED_VALUE"""),"")</f>
        <v/>
      </c>
      <c r="E623" s="23" t="str">
        <f>IFERROR(__xludf.DUMMYFUNCTION("""COMPUTED_VALUE"""),"Divine Spirit Particle")</f>
        <v>Divine Spirit Particle</v>
      </c>
      <c r="F623" s="24"/>
      <c r="G623" s="24"/>
      <c r="H623" s="25"/>
      <c r="I623" s="25"/>
      <c r="J623" s="26"/>
      <c r="K623" s="25"/>
      <c r="L623" s="26"/>
      <c r="M623" s="25"/>
      <c r="N623" s="25"/>
      <c r="O623" s="25"/>
      <c r="P623" s="25"/>
      <c r="Q623" s="26"/>
      <c r="R623" s="25"/>
      <c r="S623" s="26"/>
      <c r="T623" s="25"/>
      <c r="U623" s="25"/>
      <c r="V623" s="25"/>
      <c r="W623" s="25"/>
      <c r="X623" s="26"/>
      <c r="Y623" s="25"/>
      <c r="Z623" s="26"/>
      <c r="AA623" s="25"/>
      <c r="AB623" s="25"/>
      <c r="AC623" s="25"/>
      <c r="AD623" s="25"/>
      <c r="AE623" s="26"/>
      <c r="AF623" s="25"/>
      <c r="AG623" s="26"/>
      <c r="AH623" s="24"/>
      <c r="AI623" s="25"/>
      <c r="AJ623" s="23"/>
    </row>
    <row r="624" ht="24.75" hidden="1" customHeight="1">
      <c r="A624" s="28">
        <f>IFERROR(__xludf.DUMMYFUNCTION("""COMPUTED_VALUE"""),1.0)</f>
        <v>1</v>
      </c>
      <c r="B624" s="28" t="str">
        <f>IFERROR(__xludf.DUMMYFUNCTION("""COMPUTED_VALUE"""),"A219")</f>
        <v>A219</v>
      </c>
      <c r="C624" s="28"/>
      <c r="D624" s="29"/>
      <c r="E624" s="67"/>
      <c r="F624" s="31"/>
      <c r="G624" s="32"/>
      <c r="H624" s="33" t="str">
        <f>IFERROR(__xludf.DUMMYFUNCTION("""COMPUTED_VALUE""")," ")</f>
        <v> </v>
      </c>
      <c r="I624" s="34"/>
      <c r="J624" s="35" t="str">
        <f>IFERROR(__xludf.DUMMYFUNCTION("""COMPUTED_VALUE"""),"AP")</f>
        <v>AP</v>
      </c>
      <c r="K624" s="34"/>
      <c r="L624" s="35" t="str">
        <f>IFERROR(__xludf.DUMMYFUNCTION("""COMPUTED_VALUE"""),"%")</f>
        <v>%</v>
      </c>
      <c r="M624" s="36">
        <f>IFERROR(__xludf.DUMMYFUNCTION("""COMPUTED_VALUE"""),1.0)</f>
        <v>1</v>
      </c>
      <c r="N624" s="37"/>
      <c r="O624" s="38"/>
      <c r="P624" s="34" t="str">
        <f>IFERROR(__xludf.DUMMYFUNCTION("""COMPUTED_VALUE"""),"")</f>
        <v/>
      </c>
      <c r="Q624" s="35" t="str">
        <f>IFERROR(__xludf.DUMMYFUNCTION("""COMPUTED_VALUE"""),"AP")</f>
        <v>AP</v>
      </c>
      <c r="R624" s="34" t="str">
        <f>IFERROR(__xludf.DUMMYFUNCTION("""COMPUTED_VALUE"""),"")</f>
        <v/>
      </c>
      <c r="S624" s="35" t="str">
        <f>IFERROR(__xludf.DUMMYFUNCTION("""COMPUTED_VALUE"""),"%")</f>
        <v>%</v>
      </c>
      <c r="T624" s="36">
        <f>IFERROR(__xludf.DUMMYFUNCTION("""COMPUTED_VALUE"""),2.0)</f>
        <v>2</v>
      </c>
      <c r="U624" s="37"/>
      <c r="V624" s="38"/>
      <c r="W624" s="34" t="str">
        <f>IFERROR(__xludf.DUMMYFUNCTION("""COMPUTED_VALUE"""),"")</f>
        <v/>
      </c>
      <c r="X624" s="35" t="str">
        <f>IFERROR(__xludf.DUMMYFUNCTION("""COMPUTED_VALUE"""),"AP")</f>
        <v>AP</v>
      </c>
      <c r="Y624" s="34" t="str">
        <f>IFERROR(__xludf.DUMMYFUNCTION("""COMPUTED_VALUE"""),"")</f>
        <v/>
      </c>
      <c r="Z624" s="35" t="str">
        <f>IFERROR(__xludf.DUMMYFUNCTION("""COMPUTED_VALUE"""),"%")</f>
        <v>%</v>
      </c>
      <c r="AA624" s="36">
        <f>IFERROR(__xludf.DUMMYFUNCTION("""COMPUTED_VALUE"""),3.0)</f>
        <v>3</v>
      </c>
      <c r="AB624" s="37"/>
      <c r="AC624" s="38"/>
      <c r="AD624" s="34" t="str">
        <f>IFERROR(__xludf.DUMMYFUNCTION("""COMPUTED_VALUE"""),"")</f>
        <v/>
      </c>
      <c r="AE624" s="35" t="str">
        <f>IFERROR(__xludf.DUMMYFUNCTION("""COMPUTED_VALUE"""),"AP")</f>
        <v>AP</v>
      </c>
      <c r="AF624" s="34" t="str">
        <f>IFERROR(__xludf.DUMMYFUNCTION("""COMPUTED_VALUE"""),"")</f>
        <v/>
      </c>
      <c r="AG624" s="35" t="str">
        <f>IFERROR(__xludf.DUMMYFUNCTION("""COMPUTED_VALUE"""),"%")</f>
        <v>%</v>
      </c>
      <c r="AH624" s="31"/>
      <c r="AI624" s="32"/>
      <c r="AJ624" s="67"/>
    </row>
    <row r="625" ht="24.75" hidden="1" customHeight="1">
      <c r="A625" s="40">
        <f>IFERROR(__xludf.DUMMYFUNCTION("""COMPUTED_VALUE"""),2.0)</f>
        <v>2</v>
      </c>
      <c r="B625" s="40" t="str">
        <f>IFERROR(__xludf.DUMMYFUNCTION("""COMPUTED_VALUE"""),"A219")</f>
        <v>A219</v>
      </c>
      <c r="C625" s="40"/>
      <c r="D625" s="41"/>
      <c r="E625" s="66"/>
      <c r="F625" s="43"/>
      <c r="G625" s="44"/>
      <c r="H625" s="33" t="str">
        <f>IFERROR(__xludf.DUMMYFUNCTION("""COMPUTED_VALUE""")," ")</f>
        <v> </v>
      </c>
      <c r="I625" s="45"/>
      <c r="J625" s="46" t="str">
        <f>IFERROR(__xludf.DUMMYFUNCTION("""COMPUTED_VALUE"""),"AP")</f>
        <v>AP</v>
      </c>
      <c r="K625" s="47"/>
      <c r="L625" s="48" t="str">
        <f>IFERROR(__xludf.DUMMYFUNCTION("""COMPUTED_VALUE"""),"%")</f>
        <v>%</v>
      </c>
      <c r="M625" s="49">
        <f>IFERROR(__xludf.DUMMYFUNCTION("""COMPUTED_VALUE"""),1.0)</f>
        <v>1</v>
      </c>
      <c r="N625" s="50"/>
      <c r="O625" s="38"/>
      <c r="P625" s="45" t="str">
        <f>IFERROR(__xludf.DUMMYFUNCTION("""COMPUTED_VALUE"""),"")</f>
        <v/>
      </c>
      <c r="Q625" s="46" t="str">
        <f>IFERROR(__xludf.DUMMYFUNCTION("""COMPUTED_VALUE"""),"AP")</f>
        <v>AP</v>
      </c>
      <c r="R625" s="47" t="str">
        <f>IFERROR(__xludf.DUMMYFUNCTION("""COMPUTED_VALUE"""),"")</f>
        <v/>
      </c>
      <c r="S625" s="48" t="str">
        <f>IFERROR(__xludf.DUMMYFUNCTION("""COMPUTED_VALUE"""),"%")</f>
        <v>%</v>
      </c>
      <c r="T625" s="49">
        <f>IFERROR(__xludf.DUMMYFUNCTION("""COMPUTED_VALUE"""),2.0)</f>
        <v>2</v>
      </c>
      <c r="U625" s="50"/>
      <c r="V625" s="38"/>
      <c r="W625" s="45" t="str">
        <f>IFERROR(__xludf.DUMMYFUNCTION("""COMPUTED_VALUE"""),"")</f>
        <v/>
      </c>
      <c r="X625" s="46" t="str">
        <f>IFERROR(__xludf.DUMMYFUNCTION("""COMPUTED_VALUE"""),"AP")</f>
        <v>AP</v>
      </c>
      <c r="Y625" s="47" t="str">
        <f>IFERROR(__xludf.DUMMYFUNCTION("""COMPUTED_VALUE"""),"")</f>
        <v/>
      </c>
      <c r="Z625" s="48" t="str">
        <f>IFERROR(__xludf.DUMMYFUNCTION("""COMPUTED_VALUE"""),"%")</f>
        <v>%</v>
      </c>
      <c r="AA625" s="49">
        <f>IFERROR(__xludf.DUMMYFUNCTION("""COMPUTED_VALUE"""),3.0)</f>
        <v>3</v>
      </c>
      <c r="AB625" s="50"/>
      <c r="AC625" s="38"/>
      <c r="AD625" s="45" t="str">
        <f>IFERROR(__xludf.DUMMYFUNCTION("""COMPUTED_VALUE"""),"")</f>
        <v/>
      </c>
      <c r="AE625" s="46" t="str">
        <f>IFERROR(__xludf.DUMMYFUNCTION("""COMPUTED_VALUE"""),"AP")</f>
        <v>AP</v>
      </c>
      <c r="AF625" s="47" t="str">
        <f>IFERROR(__xludf.DUMMYFUNCTION("""COMPUTED_VALUE"""),"")</f>
        <v/>
      </c>
      <c r="AG625" s="48" t="str">
        <f>IFERROR(__xludf.DUMMYFUNCTION("""COMPUTED_VALUE"""),"%")</f>
        <v>%</v>
      </c>
      <c r="AH625" s="43"/>
      <c r="AI625" s="44"/>
      <c r="AJ625" s="66"/>
    </row>
    <row r="626" ht="24.75" hidden="1" customHeight="1">
      <c r="A626" s="28">
        <f>IFERROR(__xludf.DUMMYFUNCTION("""COMPUTED_VALUE"""),3.0)</f>
        <v>3</v>
      </c>
      <c r="B626" s="28" t="str">
        <f>IFERROR(__xludf.DUMMYFUNCTION("""COMPUTED_VALUE"""),"A219")</f>
        <v>A219</v>
      </c>
      <c r="C626" s="28"/>
      <c r="D626" s="29"/>
      <c r="E626" s="67"/>
      <c r="F626" s="31"/>
      <c r="G626" s="32"/>
      <c r="H626" s="33" t="str">
        <f>IFERROR(__xludf.DUMMYFUNCTION("""COMPUTED_VALUE""")," ")</f>
        <v> </v>
      </c>
      <c r="I626" s="34"/>
      <c r="J626" s="35" t="str">
        <f>IFERROR(__xludf.DUMMYFUNCTION("""COMPUTED_VALUE"""),"AP")</f>
        <v>AP</v>
      </c>
      <c r="K626" s="34"/>
      <c r="L626" s="35" t="str">
        <f>IFERROR(__xludf.DUMMYFUNCTION("""COMPUTED_VALUE"""),"%")</f>
        <v>%</v>
      </c>
      <c r="M626" s="36">
        <f>IFERROR(__xludf.DUMMYFUNCTION("""COMPUTED_VALUE"""),1.0)</f>
        <v>1</v>
      </c>
      <c r="N626" s="37"/>
      <c r="O626" s="38"/>
      <c r="P626" s="34" t="str">
        <f>IFERROR(__xludf.DUMMYFUNCTION("""COMPUTED_VALUE"""),"")</f>
        <v/>
      </c>
      <c r="Q626" s="35" t="str">
        <f>IFERROR(__xludf.DUMMYFUNCTION("""COMPUTED_VALUE"""),"AP")</f>
        <v>AP</v>
      </c>
      <c r="R626" s="34" t="str">
        <f>IFERROR(__xludf.DUMMYFUNCTION("""COMPUTED_VALUE"""),"")</f>
        <v/>
      </c>
      <c r="S626" s="35" t="str">
        <f>IFERROR(__xludf.DUMMYFUNCTION("""COMPUTED_VALUE"""),"%")</f>
        <v>%</v>
      </c>
      <c r="T626" s="36">
        <f>IFERROR(__xludf.DUMMYFUNCTION("""COMPUTED_VALUE"""),2.0)</f>
        <v>2</v>
      </c>
      <c r="U626" s="37"/>
      <c r="V626" s="38"/>
      <c r="W626" s="34" t="str">
        <f>IFERROR(__xludf.DUMMYFUNCTION("""COMPUTED_VALUE"""),"")</f>
        <v/>
      </c>
      <c r="X626" s="35" t="str">
        <f>IFERROR(__xludf.DUMMYFUNCTION("""COMPUTED_VALUE"""),"AP")</f>
        <v>AP</v>
      </c>
      <c r="Y626" s="34" t="str">
        <f>IFERROR(__xludf.DUMMYFUNCTION("""COMPUTED_VALUE"""),"")</f>
        <v/>
      </c>
      <c r="Z626" s="35" t="str">
        <f>IFERROR(__xludf.DUMMYFUNCTION("""COMPUTED_VALUE"""),"%")</f>
        <v>%</v>
      </c>
      <c r="AA626" s="36">
        <f>IFERROR(__xludf.DUMMYFUNCTION("""COMPUTED_VALUE"""),3.0)</f>
        <v>3</v>
      </c>
      <c r="AB626" s="37"/>
      <c r="AC626" s="38"/>
      <c r="AD626" s="34" t="str">
        <f>IFERROR(__xludf.DUMMYFUNCTION("""COMPUTED_VALUE"""),"")</f>
        <v/>
      </c>
      <c r="AE626" s="35" t="str">
        <f>IFERROR(__xludf.DUMMYFUNCTION("""COMPUTED_VALUE"""),"AP")</f>
        <v>AP</v>
      </c>
      <c r="AF626" s="34" t="str">
        <f>IFERROR(__xludf.DUMMYFUNCTION("""COMPUTED_VALUE"""),"")</f>
        <v/>
      </c>
      <c r="AG626" s="35" t="str">
        <f>IFERROR(__xludf.DUMMYFUNCTION("""COMPUTED_VALUE"""),"%")</f>
        <v>%</v>
      </c>
      <c r="AH626" s="31"/>
      <c r="AI626" s="32"/>
      <c r="AJ626" s="67"/>
    </row>
    <row r="627" ht="24.75" hidden="1" customHeight="1">
      <c r="A627" s="40">
        <f>IFERROR(__xludf.DUMMYFUNCTION("""COMPUTED_VALUE"""),4.0)</f>
        <v>4</v>
      </c>
      <c r="B627" s="40" t="str">
        <f>IFERROR(__xludf.DUMMYFUNCTION("""COMPUTED_VALUE"""),"A219")</f>
        <v>A219</v>
      </c>
      <c r="C627" s="40"/>
      <c r="D627" s="41"/>
      <c r="E627" s="66"/>
      <c r="F627" s="43"/>
      <c r="G627" s="44"/>
      <c r="H627" s="33" t="str">
        <f>IFERROR(__xludf.DUMMYFUNCTION("""COMPUTED_VALUE""")," ")</f>
        <v> </v>
      </c>
      <c r="I627" s="45"/>
      <c r="J627" s="46" t="str">
        <f>IFERROR(__xludf.DUMMYFUNCTION("""COMPUTED_VALUE"""),"AP")</f>
        <v>AP</v>
      </c>
      <c r="K627" s="47"/>
      <c r="L627" s="48" t="str">
        <f>IFERROR(__xludf.DUMMYFUNCTION("""COMPUTED_VALUE"""),"%")</f>
        <v>%</v>
      </c>
      <c r="M627" s="49">
        <f>IFERROR(__xludf.DUMMYFUNCTION("""COMPUTED_VALUE"""),1.0)</f>
        <v>1</v>
      </c>
      <c r="N627" s="50"/>
      <c r="O627" s="38"/>
      <c r="P627" s="45" t="str">
        <f>IFERROR(__xludf.DUMMYFUNCTION("""COMPUTED_VALUE"""),"")</f>
        <v/>
      </c>
      <c r="Q627" s="46" t="str">
        <f>IFERROR(__xludf.DUMMYFUNCTION("""COMPUTED_VALUE"""),"AP")</f>
        <v>AP</v>
      </c>
      <c r="R627" s="47" t="str">
        <f>IFERROR(__xludf.DUMMYFUNCTION("""COMPUTED_VALUE"""),"")</f>
        <v/>
      </c>
      <c r="S627" s="48" t="str">
        <f>IFERROR(__xludf.DUMMYFUNCTION("""COMPUTED_VALUE"""),"%")</f>
        <v>%</v>
      </c>
      <c r="T627" s="49">
        <f>IFERROR(__xludf.DUMMYFUNCTION("""COMPUTED_VALUE"""),2.0)</f>
        <v>2</v>
      </c>
      <c r="U627" s="50"/>
      <c r="V627" s="38"/>
      <c r="W627" s="45" t="str">
        <f>IFERROR(__xludf.DUMMYFUNCTION("""COMPUTED_VALUE"""),"")</f>
        <v/>
      </c>
      <c r="X627" s="46" t="str">
        <f>IFERROR(__xludf.DUMMYFUNCTION("""COMPUTED_VALUE"""),"AP")</f>
        <v>AP</v>
      </c>
      <c r="Y627" s="47" t="str">
        <f>IFERROR(__xludf.DUMMYFUNCTION("""COMPUTED_VALUE"""),"")</f>
        <v/>
      </c>
      <c r="Z627" s="48" t="str">
        <f>IFERROR(__xludf.DUMMYFUNCTION("""COMPUTED_VALUE"""),"%")</f>
        <v>%</v>
      </c>
      <c r="AA627" s="49">
        <f>IFERROR(__xludf.DUMMYFUNCTION("""COMPUTED_VALUE"""),3.0)</f>
        <v>3</v>
      </c>
      <c r="AB627" s="50"/>
      <c r="AC627" s="38"/>
      <c r="AD627" s="45" t="str">
        <f>IFERROR(__xludf.DUMMYFUNCTION("""COMPUTED_VALUE"""),"")</f>
        <v/>
      </c>
      <c r="AE627" s="46" t="str">
        <f>IFERROR(__xludf.DUMMYFUNCTION("""COMPUTED_VALUE"""),"AP")</f>
        <v>AP</v>
      </c>
      <c r="AF627" s="47" t="str">
        <f>IFERROR(__xludf.DUMMYFUNCTION("""COMPUTED_VALUE"""),"")</f>
        <v/>
      </c>
      <c r="AG627" s="48" t="str">
        <f>IFERROR(__xludf.DUMMYFUNCTION("""COMPUTED_VALUE"""),"%")</f>
        <v>%</v>
      </c>
      <c r="AH627" s="43"/>
      <c r="AI627" s="44"/>
      <c r="AJ627" s="66"/>
    </row>
    <row r="628" ht="24.75" hidden="1" customHeight="1">
      <c r="A628" s="28">
        <f>IFERROR(__xludf.DUMMYFUNCTION("""COMPUTED_VALUE"""),5.0)</f>
        <v>5</v>
      </c>
      <c r="B628" s="28" t="str">
        <f>IFERROR(__xludf.DUMMYFUNCTION("""COMPUTED_VALUE"""),"A219")</f>
        <v>A219</v>
      </c>
      <c r="C628" s="28"/>
      <c r="D628" s="29"/>
      <c r="E628" s="67"/>
      <c r="F628" s="31"/>
      <c r="G628" s="32"/>
      <c r="H628" s="33" t="str">
        <f>IFERROR(__xludf.DUMMYFUNCTION("""COMPUTED_VALUE""")," ")</f>
        <v> </v>
      </c>
      <c r="I628" s="34"/>
      <c r="J628" s="35" t="str">
        <f>IFERROR(__xludf.DUMMYFUNCTION("""COMPUTED_VALUE"""),"AP")</f>
        <v>AP</v>
      </c>
      <c r="K628" s="34"/>
      <c r="L628" s="35" t="str">
        <f>IFERROR(__xludf.DUMMYFUNCTION("""COMPUTED_VALUE"""),"%")</f>
        <v>%</v>
      </c>
      <c r="M628" s="36">
        <f>IFERROR(__xludf.DUMMYFUNCTION("""COMPUTED_VALUE"""),1.0)</f>
        <v>1</v>
      </c>
      <c r="N628" s="37"/>
      <c r="O628" s="38"/>
      <c r="P628" s="34" t="str">
        <f>IFERROR(__xludf.DUMMYFUNCTION("""COMPUTED_VALUE"""),"")</f>
        <v/>
      </c>
      <c r="Q628" s="35" t="str">
        <f>IFERROR(__xludf.DUMMYFUNCTION("""COMPUTED_VALUE"""),"AP")</f>
        <v>AP</v>
      </c>
      <c r="R628" s="34" t="str">
        <f>IFERROR(__xludf.DUMMYFUNCTION("""COMPUTED_VALUE"""),"")</f>
        <v/>
      </c>
      <c r="S628" s="35" t="str">
        <f>IFERROR(__xludf.DUMMYFUNCTION("""COMPUTED_VALUE"""),"%")</f>
        <v>%</v>
      </c>
      <c r="T628" s="36">
        <f>IFERROR(__xludf.DUMMYFUNCTION("""COMPUTED_VALUE"""),2.0)</f>
        <v>2</v>
      </c>
      <c r="U628" s="37"/>
      <c r="V628" s="38"/>
      <c r="W628" s="34" t="str">
        <f>IFERROR(__xludf.DUMMYFUNCTION("""COMPUTED_VALUE"""),"")</f>
        <v/>
      </c>
      <c r="X628" s="35" t="str">
        <f>IFERROR(__xludf.DUMMYFUNCTION("""COMPUTED_VALUE"""),"AP")</f>
        <v>AP</v>
      </c>
      <c r="Y628" s="34" t="str">
        <f>IFERROR(__xludf.DUMMYFUNCTION("""COMPUTED_VALUE"""),"")</f>
        <v/>
      </c>
      <c r="Z628" s="35" t="str">
        <f>IFERROR(__xludf.DUMMYFUNCTION("""COMPUTED_VALUE"""),"%")</f>
        <v>%</v>
      </c>
      <c r="AA628" s="36">
        <f>IFERROR(__xludf.DUMMYFUNCTION("""COMPUTED_VALUE"""),3.0)</f>
        <v>3</v>
      </c>
      <c r="AB628" s="37"/>
      <c r="AC628" s="38"/>
      <c r="AD628" s="34" t="str">
        <f>IFERROR(__xludf.DUMMYFUNCTION("""COMPUTED_VALUE"""),"")</f>
        <v/>
      </c>
      <c r="AE628" s="35" t="str">
        <f>IFERROR(__xludf.DUMMYFUNCTION("""COMPUTED_VALUE"""),"AP")</f>
        <v>AP</v>
      </c>
      <c r="AF628" s="34" t="str">
        <f>IFERROR(__xludf.DUMMYFUNCTION("""COMPUTED_VALUE"""),"")</f>
        <v/>
      </c>
      <c r="AG628" s="35" t="str">
        <f>IFERROR(__xludf.DUMMYFUNCTION("""COMPUTED_VALUE"""),"%")</f>
        <v>%</v>
      </c>
      <c r="AH628" s="31"/>
      <c r="AI628" s="32"/>
      <c r="AJ628" s="67"/>
    </row>
    <row r="629" ht="24.75" hidden="1" customHeight="1">
      <c r="A629" s="40">
        <f>IFERROR(__xludf.DUMMYFUNCTION("""COMPUTED_VALUE"""),6.0)</f>
        <v>6</v>
      </c>
      <c r="B629" s="40" t="str">
        <f>IFERROR(__xludf.DUMMYFUNCTION("""COMPUTED_VALUE"""),"A219")</f>
        <v>A219</v>
      </c>
      <c r="C629" s="40"/>
      <c r="D629" s="41"/>
      <c r="E629" s="66"/>
      <c r="F629" s="43"/>
      <c r="G629" s="44"/>
      <c r="H629" s="33" t="str">
        <f>IFERROR(__xludf.DUMMYFUNCTION("""COMPUTED_VALUE""")," ")</f>
        <v> </v>
      </c>
      <c r="I629" s="45"/>
      <c r="J629" s="46" t="str">
        <f>IFERROR(__xludf.DUMMYFUNCTION("""COMPUTED_VALUE"""),"AP")</f>
        <v>AP</v>
      </c>
      <c r="K629" s="47"/>
      <c r="L629" s="48" t="str">
        <f>IFERROR(__xludf.DUMMYFUNCTION("""COMPUTED_VALUE"""),"%")</f>
        <v>%</v>
      </c>
      <c r="M629" s="49">
        <f>IFERROR(__xludf.DUMMYFUNCTION("""COMPUTED_VALUE"""),1.0)</f>
        <v>1</v>
      </c>
      <c r="N629" s="50"/>
      <c r="O629" s="38"/>
      <c r="P629" s="45" t="str">
        <f>IFERROR(__xludf.DUMMYFUNCTION("""COMPUTED_VALUE"""),"")</f>
        <v/>
      </c>
      <c r="Q629" s="46" t="str">
        <f>IFERROR(__xludf.DUMMYFUNCTION("""COMPUTED_VALUE"""),"AP")</f>
        <v>AP</v>
      </c>
      <c r="R629" s="47" t="str">
        <f>IFERROR(__xludf.DUMMYFUNCTION("""COMPUTED_VALUE"""),"")</f>
        <v/>
      </c>
      <c r="S629" s="48" t="str">
        <f>IFERROR(__xludf.DUMMYFUNCTION("""COMPUTED_VALUE"""),"%")</f>
        <v>%</v>
      </c>
      <c r="T629" s="49">
        <f>IFERROR(__xludf.DUMMYFUNCTION("""COMPUTED_VALUE"""),2.0)</f>
        <v>2</v>
      </c>
      <c r="U629" s="50"/>
      <c r="V629" s="38"/>
      <c r="W629" s="45" t="str">
        <f>IFERROR(__xludf.DUMMYFUNCTION("""COMPUTED_VALUE"""),"")</f>
        <v/>
      </c>
      <c r="X629" s="46" t="str">
        <f>IFERROR(__xludf.DUMMYFUNCTION("""COMPUTED_VALUE"""),"AP")</f>
        <v>AP</v>
      </c>
      <c r="Y629" s="47" t="str">
        <f>IFERROR(__xludf.DUMMYFUNCTION("""COMPUTED_VALUE"""),"")</f>
        <v/>
      </c>
      <c r="Z629" s="48" t="str">
        <f>IFERROR(__xludf.DUMMYFUNCTION("""COMPUTED_VALUE"""),"%")</f>
        <v>%</v>
      </c>
      <c r="AA629" s="49">
        <f>IFERROR(__xludf.DUMMYFUNCTION("""COMPUTED_VALUE"""),3.0)</f>
        <v>3</v>
      </c>
      <c r="AB629" s="50"/>
      <c r="AC629" s="38"/>
      <c r="AD629" s="45" t="str">
        <f>IFERROR(__xludf.DUMMYFUNCTION("""COMPUTED_VALUE"""),"")</f>
        <v/>
      </c>
      <c r="AE629" s="46" t="str">
        <f>IFERROR(__xludf.DUMMYFUNCTION("""COMPUTED_VALUE"""),"AP")</f>
        <v>AP</v>
      </c>
      <c r="AF629" s="47" t="str">
        <f>IFERROR(__xludf.DUMMYFUNCTION("""COMPUTED_VALUE"""),"")</f>
        <v/>
      </c>
      <c r="AG629" s="48" t="str">
        <f>IFERROR(__xludf.DUMMYFUNCTION("""COMPUTED_VALUE"""),"%")</f>
        <v>%</v>
      </c>
      <c r="AH629" s="43"/>
      <c r="AI629" s="44"/>
      <c r="AJ629" s="66"/>
    </row>
    <row r="630" ht="24.75" hidden="1" customHeight="1">
      <c r="A630" s="28">
        <f>IFERROR(__xludf.DUMMYFUNCTION("""COMPUTED_VALUE"""),7.0)</f>
        <v>7</v>
      </c>
      <c r="B630" s="28" t="str">
        <f>IFERROR(__xludf.DUMMYFUNCTION("""COMPUTED_VALUE"""),"A219")</f>
        <v>A219</v>
      </c>
      <c r="C630" s="28"/>
      <c r="D630" s="29"/>
      <c r="E630" s="67"/>
      <c r="F630" s="31"/>
      <c r="G630" s="32"/>
      <c r="H630" s="33" t="str">
        <f>IFERROR(__xludf.DUMMYFUNCTION("""COMPUTED_VALUE""")," ")</f>
        <v> </v>
      </c>
      <c r="I630" s="34"/>
      <c r="J630" s="35" t="str">
        <f>IFERROR(__xludf.DUMMYFUNCTION("""COMPUTED_VALUE"""),"AP")</f>
        <v>AP</v>
      </c>
      <c r="K630" s="34"/>
      <c r="L630" s="35" t="str">
        <f>IFERROR(__xludf.DUMMYFUNCTION("""COMPUTED_VALUE"""),"%")</f>
        <v>%</v>
      </c>
      <c r="M630" s="36">
        <f>IFERROR(__xludf.DUMMYFUNCTION("""COMPUTED_VALUE"""),1.0)</f>
        <v>1</v>
      </c>
      <c r="N630" s="37"/>
      <c r="O630" s="38"/>
      <c r="P630" s="34" t="str">
        <f>IFERROR(__xludf.DUMMYFUNCTION("""COMPUTED_VALUE"""),"")</f>
        <v/>
      </c>
      <c r="Q630" s="35" t="str">
        <f>IFERROR(__xludf.DUMMYFUNCTION("""COMPUTED_VALUE"""),"AP")</f>
        <v>AP</v>
      </c>
      <c r="R630" s="34" t="str">
        <f>IFERROR(__xludf.DUMMYFUNCTION("""COMPUTED_VALUE"""),"")</f>
        <v/>
      </c>
      <c r="S630" s="35" t="str">
        <f>IFERROR(__xludf.DUMMYFUNCTION("""COMPUTED_VALUE"""),"%")</f>
        <v>%</v>
      </c>
      <c r="T630" s="36">
        <f>IFERROR(__xludf.DUMMYFUNCTION("""COMPUTED_VALUE"""),2.0)</f>
        <v>2</v>
      </c>
      <c r="U630" s="37"/>
      <c r="V630" s="38"/>
      <c r="W630" s="34" t="str">
        <f>IFERROR(__xludf.DUMMYFUNCTION("""COMPUTED_VALUE"""),"")</f>
        <v/>
      </c>
      <c r="X630" s="35" t="str">
        <f>IFERROR(__xludf.DUMMYFUNCTION("""COMPUTED_VALUE"""),"AP")</f>
        <v>AP</v>
      </c>
      <c r="Y630" s="34" t="str">
        <f>IFERROR(__xludf.DUMMYFUNCTION("""COMPUTED_VALUE"""),"")</f>
        <v/>
      </c>
      <c r="Z630" s="35" t="str">
        <f>IFERROR(__xludf.DUMMYFUNCTION("""COMPUTED_VALUE"""),"%")</f>
        <v>%</v>
      </c>
      <c r="AA630" s="36">
        <f>IFERROR(__xludf.DUMMYFUNCTION("""COMPUTED_VALUE"""),3.0)</f>
        <v>3</v>
      </c>
      <c r="AB630" s="37"/>
      <c r="AC630" s="38"/>
      <c r="AD630" s="34" t="str">
        <f>IFERROR(__xludf.DUMMYFUNCTION("""COMPUTED_VALUE"""),"")</f>
        <v/>
      </c>
      <c r="AE630" s="35" t="str">
        <f>IFERROR(__xludf.DUMMYFUNCTION("""COMPUTED_VALUE"""),"AP")</f>
        <v>AP</v>
      </c>
      <c r="AF630" s="34" t="str">
        <f>IFERROR(__xludf.DUMMYFUNCTION("""COMPUTED_VALUE"""),"")</f>
        <v/>
      </c>
      <c r="AG630" s="35" t="str">
        <f>IFERROR(__xludf.DUMMYFUNCTION("""COMPUTED_VALUE"""),"%")</f>
        <v>%</v>
      </c>
      <c r="AH630" s="31"/>
      <c r="AI630" s="32"/>
      <c r="AJ630" s="67"/>
    </row>
    <row r="631" ht="24.75" hidden="1" customHeight="1">
      <c r="A631" s="40">
        <f>IFERROR(__xludf.DUMMYFUNCTION("""COMPUTED_VALUE"""),8.0)</f>
        <v>8</v>
      </c>
      <c r="B631" s="40" t="str">
        <f>IFERROR(__xludf.DUMMYFUNCTION("""COMPUTED_VALUE"""),"A219")</f>
        <v>A219</v>
      </c>
      <c r="C631" s="40"/>
      <c r="D631" s="41"/>
      <c r="E631" s="66"/>
      <c r="F631" s="43"/>
      <c r="G631" s="44"/>
      <c r="H631" s="33" t="str">
        <f>IFERROR(__xludf.DUMMYFUNCTION("""COMPUTED_VALUE""")," ")</f>
        <v> </v>
      </c>
      <c r="I631" s="45"/>
      <c r="J631" s="46" t="str">
        <f>IFERROR(__xludf.DUMMYFUNCTION("""COMPUTED_VALUE"""),"AP")</f>
        <v>AP</v>
      </c>
      <c r="K631" s="47"/>
      <c r="L631" s="48" t="str">
        <f>IFERROR(__xludf.DUMMYFUNCTION("""COMPUTED_VALUE"""),"%")</f>
        <v>%</v>
      </c>
      <c r="M631" s="49">
        <f>IFERROR(__xludf.DUMMYFUNCTION("""COMPUTED_VALUE"""),1.0)</f>
        <v>1</v>
      </c>
      <c r="N631" s="50"/>
      <c r="O631" s="38"/>
      <c r="P631" s="45" t="str">
        <f>IFERROR(__xludf.DUMMYFUNCTION("""COMPUTED_VALUE"""),"")</f>
        <v/>
      </c>
      <c r="Q631" s="46" t="str">
        <f>IFERROR(__xludf.DUMMYFUNCTION("""COMPUTED_VALUE"""),"AP")</f>
        <v>AP</v>
      </c>
      <c r="R631" s="47" t="str">
        <f>IFERROR(__xludf.DUMMYFUNCTION("""COMPUTED_VALUE"""),"")</f>
        <v/>
      </c>
      <c r="S631" s="48" t="str">
        <f>IFERROR(__xludf.DUMMYFUNCTION("""COMPUTED_VALUE"""),"%")</f>
        <v>%</v>
      </c>
      <c r="T631" s="49">
        <f>IFERROR(__xludf.DUMMYFUNCTION("""COMPUTED_VALUE"""),2.0)</f>
        <v>2</v>
      </c>
      <c r="U631" s="50"/>
      <c r="V631" s="38"/>
      <c r="W631" s="45" t="str">
        <f>IFERROR(__xludf.DUMMYFUNCTION("""COMPUTED_VALUE"""),"")</f>
        <v/>
      </c>
      <c r="X631" s="46" t="str">
        <f>IFERROR(__xludf.DUMMYFUNCTION("""COMPUTED_VALUE"""),"AP")</f>
        <v>AP</v>
      </c>
      <c r="Y631" s="47" t="str">
        <f>IFERROR(__xludf.DUMMYFUNCTION("""COMPUTED_VALUE"""),"")</f>
        <v/>
      </c>
      <c r="Z631" s="48" t="str">
        <f>IFERROR(__xludf.DUMMYFUNCTION("""COMPUTED_VALUE"""),"%")</f>
        <v>%</v>
      </c>
      <c r="AA631" s="49">
        <f>IFERROR(__xludf.DUMMYFUNCTION("""COMPUTED_VALUE"""),3.0)</f>
        <v>3</v>
      </c>
      <c r="AB631" s="50"/>
      <c r="AC631" s="38"/>
      <c r="AD631" s="45" t="str">
        <f>IFERROR(__xludf.DUMMYFUNCTION("""COMPUTED_VALUE"""),"")</f>
        <v/>
      </c>
      <c r="AE631" s="46" t="str">
        <f>IFERROR(__xludf.DUMMYFUNCTION("""COMPUTED_VALUE"""),"AP")</f>
        <v>AP</v>
      </c>
      <c r="AF631" s="47" t="str">
        <f>IFERROR(__xludf.DUMMYFUNCTION("""COMPUTED_VALUE"""),"")</f>
        <v/>
      </c>
      <c r="AG631" s="48" t="str">
        <f>IFERROR(__xludf.DUMMYFUNCTION("""COMPUTED_VALUE"""),"%")</f>
        <v>%</v>
      </c>
      <c r="AH631" s="43"/>
      <c r="AI631" s="44"/>
      <c r="AJ631" s="66"/>
    </row>
    <row r="632" ht="24.75" hidden="1" customHeight="1">
      <c r="A632" s="28">
        <f>IFERROR(__xludf.DUMMYFUNCTION("""COMPUTED_VALUE"""),9.0)</f>
        <v>9</v>
      </c>
      <c r="B632" s="28" t="str">
        <f>IFERROR(__xludf.DUMMYFUNCTION("""COMPUTED_VALUE"""),"A219")</f>
        <v>A219</v>
      </c>
      <c r="C632" s="28"/>
      <c r="D632" s="29"/>
      <c r="E632" s="67"/>
      <c r="F632" s="31"/>
      <c r="G632" s="32"/>
      <c r="H632" s="33" t="str">
        <f>IFERROR(__xludf.DUMMYFUNCTION("""COMPUTED_VALUE""")," ")</f>
        <v> </v>
      </c>
      <c r="I632" s="34"/>
      <c r="J632" s="35" t="str">
        <f>IFERROR(__xludf.DUMMYFUNCTION("""COMPUTED_VALUE"""),"AP")</f>
        <v>AP</v>
      </c>
      <c r="K632" s="34"/>
      <c r="L632" s="35" t="str">
        <f>IFERROR(__xludf.DUMMYFUNCTION("""COMPUTED_VALUE"""),"%")</f>
        <v>%</v>
      </c>
      <c r="M632" s="36">
        <f>IFERROR(__xludf.DUMMYFUNCTION("""COMPUTED_VALUE"""),1.0)</f>
        <v>1</v>
      </c>
      <c r="N632" s="37"/>
      <c r="O632" s="38"/>
      <c r="P632" s="34" t="str">
        <f>IFERROR(__xludf.DUMMYFUNCTION("""COMPUTED_VALUE"""),"")</f>
        <v/>
      </c>
      <c r="Q632" s="35" t="str">
        <f>IFERROR(__xludf.DUMMYFUNCTION("""COMPUTED_VALUE"""),"AP")</f>
        <v>AP</v>
      </c>
      <c r="R632" s="34" t="str">
        <f>IFERROR(__xludf.DUMMYFUNCTION("""COMPUTED_VALUE"""),"")</f>
        <v/>
      </c>
      <c r="S632" s="35" t="str">
        <f>IFERROR(__xludf.DUMMYFUNCTION("""COMPUTED_VALUE"""),"%")</f>
        <v>%</v>
      </c>
      <c r="T632" s="36">
        <f>IFERROR(__xludf.DUMMYFUNCTION("""COMPUTED_VALUE"""),2.0)</f>
        <v>2</v>
      </c>
      <c r="U632" s="37"/>
      <c r="V632" s="38"/>
      <c r="W632" s="34" t="str">
        <f>IFERROR(__xludf.DUMMYFUNCTION("""COMPUTED_VALUE"""),"")</f>
        <v/>
      </c>
      <c r="X632" s="35" t="str">
        <f>IFERROR(__xludf.DUMMYFUNCTION("""COMPUTED_VALUE"""),"AP")</f>
        <v>AP</v>
      </c>
      <c r="Y632" s="34" t="str">
        <f>IFERROR(__xludf.DUMMYFUNCTION("""COMPUTED_VALUE"""),"")</f>
        <v/>
      </c>
      <c r="Z632" s="35" t="str">
        <f>IFERROR(__xludf.DUMMYFUNCTION("""COMPUTED_VALUE"""),"%")</f>
        <v>%</v>
      </c>
      <c r="AA632" s="36">
        <f>IFERROR(__xludf.DUMMYFUNCTION("""COMPUTED_VALUE"""),3.0)</f>
        <v>3</v>
      </c>
      <c r="AB632" s="37"/>
      <c r="AC632" s="38"/>
      <c r="AD632" s="34" t="str">
        <f>IFERROR(__xludf.DUMMYFUNCTION("""COMPUTED_VALUE"""),"")</f>
        <v/>
      </c>
      <c r="AE632" s="35" t="str">
        <f>IFERROR(__xludf.DUMMYFUNCTION("""COMPUTED_VALUE"""),"AP")</f>
        <v>AP</v>
      </c>
      <c r="AF632" s="34" t="str">
        <f>IFERROR(__xludf.DUMMYFUNCTION("""COMPUTED_VALUE"""),"")</f>
        <v/>
      </c>
      <c r="AG632" s="35" t="str">
        <f>IFERROR(__xludf.DUMMYFUNCTION("""COMPUTED_VALUE"""),"%")</f>
        <v>%</v>
      </c>
      <c r="AH632" s="31"/>
      <c r="AI632" s="32"/>
      <c r="AJ632" s="67"/>
    </row>
    <row r="633" ht="24.75" hidden="1" customHeight="1">
      <c r="A633" s="40">
        <f>IFERROR(__xludf.DUMMYFUNCTION("""COMPUTED_VALUE"""),10.0)</f>
        <v>10</v>
      </c>
      <c r="B633" s="40" t="str">
        <f>IFERROR(__xludf.DUMMYFUNCTION("""COMPUTED_VALUE"""),"A219")</f>
        <v>A219</v>
      </c>
      <c r="C633" s="40"/>
      <c r="D633" s="41"/>
      <c r="E633" s="66"/>
      <c r="F633" s="43"/>
      <c r="G633" s="44"/>
      <c r="H633" s="33" t="str">
        <f>IFERROR(__xludf.DUMMYFUNCTION("""COMPUTED_VALUE""")," ")</f>
        <v> </v>
      </c>
      <c r="I633" s="45"/>
      <c r="J633" s="46" t="str">
        <f>IFERROR(__xludf.DUMMYFUNCTION("""COMPUTED_VALUE"""),"AP")</f>
        <v>AP</v>
      </c>
      <c r="K633" s="47"/>
      <c r="L633" s="48" t="str">
        <f>IFERROR(__xludf.DUMMYFUNCTION("""COMPUTED_VALUE"""),"%")</f>
        <v>%</v>
      </c>
      <c r="M633" s="49">
        <f>IFERROR(__xludf.DUMMYFUNCTION("""COMPUTED_VALUE"""),1.0)</f>
        <v>1</v>
      </c>
      <c r="N633" s="50"/>
      <c r="O633" s="38"/>
      <c r="P633" s="45" t="str">
        <f>IFERROR(__xludf.DUMMYFUNCTION("""COMPUTED_VALUE"""),"")</f>
        <v/>
      </c>
      <c r="Q633" s="46" t="str">
        <f>IFERROR(__xludf.DUMMYFUNCTION("""COMPUTED_VALUE"""),"AP")</f>
        <v>AP</v>
      </c>
      <c r="R633" s="47" t="str">
        <f>IFERROR(__xludf.DUMMYFUNCTION("""COMPUTED_VALUE"""),"")</f>
        <v/>
      </c>
      <c r="S633" s="48" t="str">
        <f>IFERROR(__xludf.DUMMYFUNCTION("""COMPUTED_VALUE"""),"%")</f>
        <v>%</v>
      </c>
      <c r="T633" s="49">
        <f>IFERROR(__xludf.DUMMYFUNCTION("""COMPUTED_VALUE"""),2.0)</f>
        <v>2</v>
      </c>
      <c r="U633" s="50"/>
      <c r="V633" s="38"/>
      <c r="W633" s="45" t="str">
        <f>IFERROR(__xludf.DUMMYFUNCTION("""COMPUTED_VALUE"""),"")</f>
        <v/>
      </c>
      <c r="X633" s="46" t="str">
        <f>IFERROR(__xludf.DUMMYFUNCTION("""COMPUTED_VALUE"""),"AP")</f>
        <v>AP</v>
      </c>
      <c r="Y633" s="47" t="str">
        <f>IFERROR(__xludf.DUMMYFUNCTION("""COMPUTED_VALUE"""),"")</f>
        <v/>
      </c>
      <c r="Z633" s="48" t="str">
        <f>IFERROR(__xludf.DUMMYFUNCTION("""COMPUTED_VALUE"""),"%")</f>
        <v>%</v>
      </c>
      <c r="AA633" s="49">
        <f>IFERROR(__xludf.DUMMYFUNCTION("""COMPUTED_VALUE"""),3.0)</f>
        <v>3</v>
      </c>
      <c r="AB633" s="50"/>
      <c r="AC633" s="38"/>
      <c r="AD633" s="45" t="str">
        <f>IFERROR(__xludf.DUMMYFUNCTION("""COMPUTED_VALUE"""),"")</f>
        <v/>
      </c>
      <c r="AE633" s="46" t="str">
        <f>IFERROR(__xludf.DUMMYFUNCTION("""COMPUTED_VALUE"""),"AP")</f>
        <v>AP</v>
      </c>
      <c r="AF633" s="47" t="str">
        <f>IFERROR(__xludf.DUMMYFUNCTION("""COMPUTED_VALUE"""),"")</f>
        <v/>
      </c>
      <c r="AG633" s="48" t="str">
        <f>IFERROR(__xludf.DUMMYFUNCTION("""COMPUTED_VALUE"""),"%")</f>
        <v>%</v>
      </c>
      <c r="AH633" s="43"/>
      <c r="AI633" s="44"/>
      <c r="AJ633" s="66"/>
    </row>
    <row r="634" ht="24.75" hidden="1" customHeight="1">
      <c r="A634" s="28">
        <f>IFERROR(__xludf.DUMMYFUNCTION("""COMPUTED_VALUE"""),11.0)</f>
        <v>11</v>
      </c>
      <c r="B634" s="28" t="str">
        <f>IFERROR(__xludf.DUMMYFUNCTION("""COMPUTED_VALUE"""),"A219")</f>
        <v>A219</v>
      </c>
      <c r="C634" s="28"/>
      <c r="D634" s="29"/>
      <c r="E634" s="67"/>
      <c r="F634" s="31"/>
      <c r="G634" s="32"/>
      <c r="H634" s="33" t="str">
        <f>IFERROR(__xludf.DUMMYFUNCTION("""COMPUTED_VALUE""")," ")</f>
        <v> </v>
      </c>
      <c r="I634" s="34"/>
      <c r="J634" s="35" t="str">
        <f>IFERROR(__xludf.DUMMYFUNCTION("""COMPUTED_VALUE"""),"AP")</f>
        <v>AP</v>
      </c>
      <c r="K634" s="34"/>
      <c r="L634" s="35" t="str">
        <f>IFERROR(__xludf.DUMMYFUNCTION("""COMPUTED_VALUE"""),"%")</f>
        <v>%</v>
      </c>
      <c r="M634" s="36">
        <f>IFERROR(__xludf.DUMMYFUNCTION("""COMPUTED_VALUE"""),1.0)</f>
        <v>1</v>
      </c>
      <c r="N634" s="37"/>
      <c r="O634" s="38"/>
      <c r="P634" s="34" t="str">
        <f>IFERROR(__xludf.DUMMYFUNCTION("""COMPUTED_VALUE"""),"")</f>
        <v/>
      </c>
      <c r="Q634" s="35" t="str">
        <f>IFERROR(__xludf.DUMMYFUNCTION("""COMPUTED_VALUE"""),"AP")</f>
        <v>AP</v>
      </c>
      <c r="R634" s="34" t="str">
        <f>IFERROR(__xludf.DUMMYFUNCTION("""COMPUTED_VALUE"""),"")</f>
        <v/>
      </c>
      <c r="S634" s="35" t="str">
        <f>IFERROR(__xludf.DUMMYFUNCTION("""COMPUTED_VALUE"""),"%")</f>
        <v>%</v>
      </c>
      <c r="T634" s="36">
        <f>IFERROR(__xludf.DUMMYFUNCTION("""COMPUTED_VALUE"""),2.0)</f>
        <v>2</v>
      </c>
      <c r="U634" s="37"/>
      <c r="V634" s="38"/>
      <c r="W634" s="34" t="str">
        <f>IFERROR(__xludf.DUMMYFUNCTION("""COMPUTED_VALUE"""),"")</f>
        <v/>
      </c>
      <c r="X634" s="35" t="str">
        <f>IFERROR(__xludf.DUMMYFUNCTION("""COMPUTED_VALUE"""),"AP")</f>
        <v>AP</v>
      </c>
      <c r="Y634" s="34" t="str">
        <f>IFERROR(__xludf.DUMMYFUNCTION("""COMPUTED_VALUE"""),"")</f>
        <v/>
      </c>
      <c r="Z634" s="35" t="str">
        <f>IFERROR(__xludf.DUMMYFUNCTION("""COMPUTED_VALUE"""),"%")</f>
        <v>%</v>
      </c>
      <c r="AA634" s="36">
        <f>IFERROR(__xludf.DUMMYFUNCTION("""COMPUTED_VALUE"""),3.0)</f>
        <v>3</v>
      </c>
      <c r="AB634" s="37"/>
      <c r="AC634" s="38"/>
      <c r="AD634" s="34" t="str">
        <f>IFERROR(__xludf.DUMMYFUNCTION("""COMPUTED_VALUE"""),"")</f>
        <v/>
      </c>
      <c r="AE634" s="35" t="str">
        <f>IFERROR(__xludf.DUMMYFUNCTION("""COMPUTED_VALUE"""),"AP")</f>
        <v>AP</v>
      </c>
      <c r="AF634" s="34" t="str">
        <f>IFERROR(__xludf.DUMMYFUNCTION("""COMPUTED_VALUE"""),"")</f>
        <v/>
      </c>
      <c r="AG634" s="35" t="str">
        <f>IFERROR(__xludf.DUMMYFUNCTION("""COMPUTED_VALUE"""),"%")</f>
        <v>%</v>
      </c>
      <c r="AH634" s="31"/>
      <c r="AI634" s="32"/>
      <c r="AJ634" s="67"/>
    </row>
    <row r="635" ht="24.75" hidden="1" customHeight="1">
      <c r="A635" s="40">
        <f>IFERROR(__xludf.DUMMYFUNCTION("""COMPUTED_VALUE"""),12.0)</f>
        <v>12</v>
      </c>
      <c r="B635" s="40" t="str">
        <f>IFERROR(__xludf.DUMMYFUNCTION("""COMPUTED_VALUE"""),"A219")</f>
        <v>A219</v>
      </c>
      <c r="C635" s="40"/>
      <c r="D635" s="41"/>
      <c r="E635" s="66"/>
      <c r="F635" s="43"/>
      <c r="G635" s="44"/>
      <c r="H635" s="33" t="str">
        <f>IFERROR(__xludf.DUMMYFUNCTION("""COMPUTED_VALUE""")," ")</f>
        <v> </v>
      </c>
      <c r="I635" s="45"/>
      <c r="J635" s="46" t="str">
        <f>IFERROR(__xludf.DUMMYFUNCTION("""COMPUTED_VALUE"""),"AP")</f>
        <v>AP</v>
      </c>
      <c r="K635" s="47"/>
      <c r="L635" s="48" t="str">
        <f>IFERROR(__xludf.DUMMYFUNCTION("""COMPUTED_VALUE"""),"%")</f>
        <v>%</v>
      </c>
      <c r="M635" s="49">
        <f>IFERROR(__xludf.DUMMYFUNCTION("""COMPUTED_VALUE"""),1.0)</f>
        <v>1</v>
      </c>
      <c r="N635" s="50"/>
      <c r="O635" s="38"/>
      <c r="P635" s="45" t="str">
        <f>IFERROR(__xludf.DUMMYFUNCTION("""COMPUTED_VALUE"""),"")</f>
        <v/>
      </c>
      <c r="Q635" s="46" t="str">
        <f>IFERROR(__xludf.DUMMYFUNCTION("""COMPUTED_VALUE"""),"AP")</f>
        <v>AP</v>
      </c>
      <c r="R635" s="47" t="str">
        <f>IFERROR(__xludf.DUMMYFUNCTION("""COMPUTED_VALUE"""),"")</f>
        <v/>
      </c>
      <c r="S635" s="48" t="str">
        <f>IFERROR(__xludf.DUMMYFUNCTION("""COMPUTED_VALUE"""),"%")</f>
        <v>%</v>
      </c>
      <c r="T635" s="49">
        <f>IFERROR(__xludf.DUMMYFUNCTION("""COMPUTED_VALUE"""),2.0)</f>
        <v>2</v>
      </c>
      <c r="U635" s="50"/>
      <c r="V635" s="38"/>
      <c r="W635" s="45" t="str">
        <f>IFERROR(__xludf.DUMMYFUNCTION("""COMPUTED_VALUE"""),"")</f>
        <v/>
      </c>
      <c r="X635" s="46" t="str">
        <f>IFERROR(__xludf.DUMMYFUNCTION("""COMPUTED_VALUE"""),"AP")</f>
        <v>AP</v>
      </c>
      <c r="Y635" s="47" t="str">
        <f>IFERROR(__xludf.DUMMYFUNCTION("""COMPUTED_VALUE"""),"")</f>
        <v/>
      </c>
      <c r="Z635" s="48" t="str">
        <f>IFERROR(__xludf.DUMMYFUNCTION("""COMPUTED_VALUE"""),"%")</f>
        <v>%</v>
      </c>
      <c r="AA635" s="49">
        <f>IFERROR(__xludf.DUMMYFUNCTION("""COMPUTED_VALUE"""),3.0)</f>
        <v>3</v>
      </c>
      <c r="AB635" s="50"/>
      <c r="AC635" s="38"/>
      <c r="AD635" s="45" t="str">
        <f>IFERROR(__xludf.DUMMYFUNCTION("""COMPUTED_VALUE"""),"")</f>
        <v/>
      </c>
      <c r="AE635" s="46" t="str">
        <f>IFERROR(__xludf.DUMMYFUNCTION("""COMPUTED_VALUE"""),"AP")</f>
        <v>AP</v>
      </c>
      <c r="AF635" s="47" t="str">
        <f>IFERROR(__xludf.DUMMYFUNCTION("""COMPUTED_VALUE"""),"")</f>
        <v/>
      </c>
      <c r="AG635" s="48" t="str">
        <f>IFERROR(__xludf.DUMMYFUNCTION("""COMPUTED_VALUE"""),"%")</f>
        <v>%</v>
      </c>
      <c r="AH635" s="43"/>
      <c r="AI635" s="44"/>
      <c r="AJ635" s="66"/>
    </row>
    <row r="636" ht="24.75" hidden="1" customHeight="1">
      <c r="A636" s="28">
        <f>IFERROR(__xludf.DUMMYFUNCTION("""COMPUTED_VALUE"""),13.0)</f>
        <v>13</v>
      </c>
      <c r="B636" s="28" t="str">
        <f>IFERROR(__xludf.DUMMYFUNCTION("""COMPUTED_VALUE"""),"A219")</f>
        <v>A219</v>
      </c>
      <c r="C636" s="28"/>
      <c r="D636" s="29"/>
      <c r="E636" s="67"/>
      <c r="F636" s="31"/>
      <c r="G636" s="32"/>
      <c r="H636" s="33" t="str">
        <f>IFERROR(__xludf.DUMMYFUNCTION("""COMPUTED_VALUE""")," ")</f>
        <v> </v>
      </c>
      <c r="I636" s="34"/>
      <c r="J636" s="35" t="str">
        <f>IFERROR(__xludf.DUMMYFUNCTION("""COMPUTED_VALUE"""),"AP")</f>
        <v>AP</v>
      </c>
      <c r="K636" s="34"/>
      <c r="L636" s="35" t="str">
        <f>IFERROR(__xludf.DUMMYFUNCTION("""COMPUTED_VALUE"""),"%")</f>
        <v>%</v>
      </c>
      <c r="M636" s="36">
        <f>IFERROR(__xludf.DUMMYFUNCTION("""COMPUTED_VALUE"""),1.0)</f>
        <v>1</v>
      </c>
      <c r="N636" s="37"/>
      <c r="O636" s="38"/>
      <c r="P636" s="34" t="str">
        <f>IFERROR(__xludf.DUMMYFUNCTION("""COMPUTED_VALUE"""),"")</f>
        <v/>
      </c>
      <c r="Q636" s="35" t="str">
        <f>IFERROR(__xludf.DUMMYFUNCTION("""COMPUTED_VALUE"""),"AP")</f>
        <v>AP</v>
      </c>
      <c r="R636" s="34" t="str">
        <f>IFERROR(__xludf.DUMMYFUNCTION("""COMPUTED_VALUE"""),"")</f>
        <v/>
      </c>
      <c r="S636" s="35" t="str">
        <f>IFERROR(__xludf.DUMMYFUNCTION("""COMPUTED_VALUE"""),"%")</f>
        <v>%</v>
      </c>
      <c r="T636" s="36">
        <f>IFERROR(__xludf.DUMMYFUNCTION("""COMPUTED_VALUE"""),2.0)</f>
        <v>2</v>
      </c>
      <c r="U636" s="37"/>
      <c r="V636" s="38"/>
      <c r="W636" s="34" t="str">
        <f>IFERROR(__xludf.DUMMYFUNCTION("""COMPUTED_VALUE"""),"")</f>
        <v/>
      </c>
      <c r="X636" s="35" t="str">
        <f>IFERROR(__xludf.DUMMYFUNCTION("""COMPUTED_VALUE"""),"AP")</f>
        <v>AP</v>
      </c>
      <c r="Y636" s="34" t="str">
        <f>IFERROR(__xludf.DUMMYFUNCTION("""COMPUTED_VALUE"""),"")</f>
        <v/>
      </c>
      <c r="Z636" s="35" t="str">
        <f>IFERROR(__xludf.DUMMYFUNCTION("""COMPUTED_VALUE"""),"%")</f>
        <v>%</v>
      </c>
      <c r="AA636" s="36">
        <f>IFERROR(__xludf.DUMMYFUNCTION("""COMPUTED_VALUE"""),3.0)</f>
        <v>3</v>
      </c>
      <c r="AB636" s="37"/>
      <c r="AC636" s="38"/>
      <c r="AD636" s="34" t="str">
        <f>IFERROR(__xludf.DUMMYFUNCTION("""COMPUTED_VALUE"""),"")</f>
        <v/>
      </c>
      <c r="AE636" s="35" t="str">
        <f>IFERROR(__xludf.DUMMYFUNCTION("""COMPUTED_VALUE"""),"AP")</f>
        <v>AP</v>
      </c>
      <c r="AF636" s="34" t="str">
        <f>IFERROR(__xludf.DUMMYFUNCTION("""COMPUTED_VALUE"""),"")</f>
        <v/>
      </c>
      <c r="AG636" s="35" t="str">
        <f>IFERROR(__xludf.DUMMYFUNCTION("""COMPUTED_VALUE"""),"%")</f>
        <v>%</v>
      </c>
      <c r="AH636" s="31"/>
      <c r="AI636" s="32"/>
      <c r="AJ636" s="67"/>
    </row>
    <row r="637" ht="24.75" hidden="1" customHeight="1">
      <c r="A637" s="40">
        <f>IFERROR(__xludf.DUMMYFUNCTION("""COMPUTED_VALUE"""),14.0)</f>
        <v>14</v>
      </c>
      <c r="B637" s="40" t="str">
        <f>IFERROR(__xludf.DUMMYFUNCTION("""COMPUTED_VALUE"""),"A219")</f>
        <v>A219</v>
      </c>
      <c r="C637" s="40"/>
      <c r="D637" s="41"/>
      <c r="E637" s="66"/>
      <c r="F637" s="43"/>
      <c r="G637" s="44"/>
      <c r="H637" s="33" t="str">
        <f>IFERROR(__xludf.DUMMYFUNCTION("""COMPUTED_VALUE""")," ")</f>
        <v> </v>
      </c>
      <c r="I637" s="45"/>
      <c r="J637" s="46" t="str">
        <f>IFERROR(__xludf.DUMMYFUNCTION("""COMPUTED_VALUE"""),"AP")</f>
        <v>AP</v>
      </c>
      <c r="K637" s="47"/>
      <c r="L637" s="48" t="str">
        <f>IFERROR(__xludf.DUMMYFUNCTION("""COMPUTED_VALUE"""),"%")</f>
        <v>%</v>
      </c>
      <c r="M637" s="49">
        <f>IFERROR(__xludf.DUMMYFUNCTION("""COMPUTED_VALUE"""),1.0)</f>
        <v>1</v>
      </c>
      <c r="N637" s="50"/>
      <c r="O637" s="38"/>
      <c r="P637" s="45" t="str">
        <f>IFERROR(__xludf.DUMMYFUNCTION("""COMPUTED_VALUE"""),"")</f>
        <v/>
      </c>
      <c r="Q637" s="46" t="str">
        <f>IFERROR(__xludf.DUMMYFUNCTION("""COMPUTED_VALUE"""),"AP")</f>
        <v>AP</v>
      </c>
      <c r="R637" s="47" t="str">
        <f>IFERROR(__xludf.DUMMYFUNCTION("""COMPUTED_VALUE"""),"")</f>
        <v/>
      </c>
      <c r="S637" s="48" t="str">
        <f>IFERROR(__xludf.DUMMYFUNCTION("""COMPUTED_VALUE"""),"%")</f>
        <v>%</v>
      </c>
      <c r="T637" s="49">
        <f>IFERROR(__xludf.DUMMYFUNCTION("""COMPUTED_VALUE"""),2.0)</f>
        <v>2</v>
      </c>
      <c r="U637" s="50"/>
      <c r="V637" s="38"/>
      <c r="W637" s="45" t="str">
        <f>IFERROR(__xludf.DUMMYFUNCTION("""COMPUTED_VALUE"""),"")</f>
        <v/>
      </c>
      <c r="X637" s="46" t="str">
        <f>IFERROR(__xludf.DUMMYFUNCTION("""COMPUTED_VALUE"""),"AP")</f>
        <v>AP</v>
      </c>
      <c r="Y637" s="47" t="str">
        <f>IFERROR(__xludf.DUMMYFUNCTION("""COMPUTED_VALUE"""),"")</f>
        <v/>
      </c>
      <c r="Z637" s="48" t="str">
        <f>IFERROR(__xludf.DUMMYFUNCTION("""COMPUTED_VALUE"""),"%")</f>
        <v>%</v>
      </c>
      <c r="AA637" s="49">
        <f>IFERROR(__xludf.DUMMYFUNCTION("""COMPUTED_VALUE"""),3.0)</f>
        <v>3</v>
      </c>
      <c r="AB637" s="50"/>
      <c r="AC637" s="38"/>
      <c r="AD637" s="45" t="str">
        <f>IFERROR(__xludf.DUMMYFUNCTION("""COMPUTED_VALUE"""),"")</f>
        <v/>
      </c>
      <c r="AE637" s="46" t="str">
        <f>IFERROR(__xludf.DUMMYFUNCTION("""COMPUTED_VALUE"""),"AP")</f>
        <v>AP</v>
      </c>
      <c r="AF637" s="47" t="str">
        <f>IFERROR(__xludf.DUMMYFUNCTION("""COMPUTED_VALUE"""),"")</f>
        <v/>
      </c>
      <c r="AG637" s="48" t="str">
        <f>IFERROR(__xludf.DUMMYFUNCTION("""COMPUTED_VALUE"""),"%")</f>
        <v>%</v>
      </c>
      <c r="AH637" s="43"/>
      <c r="AI637" s="44"/>
      <c r="AJ637" s="66"/>
    </row>
    <row r="638" ht="24.75" hidden="1" customHeight="1">
      <c r="A638" s="28">
        <f>IFERROR(__xludf.DUMMYFUNCTION("""COMPUTED_VALUE"""),15.0)</f>
        <v>15</v>
      </c>
      <c r="B638" s="28" t="str">
        <f>IFERROR(__xludf.DUMMYFUNCTION("""COMPUTED_VALUE"""),"A219")</f>
        <v>A219</v>
      </c>
      <c r="C638" s="28"/>
      <c r="D638" s="29"/>
      <c r="E638" s="67"/>
      <c r="F638" s="31"/>
      <c r="G638" s="32"/>
      <c r="H638" s="33" t="str">
        <f>IFERROR(__xludf.DUMMYFUNCTION("""COMPUTED_VALUE""")," ")</f>
        <v> </v>
      </c>
      <c r="I638" s="34"/>
      <c r="J638" s="35" t="str">
        <f>IFERROR(__xludf.DUMMYFUNCTION("""COMPUTED_VALUE"""),"AP")</f>
        <v>AP</v>
      </c>
      <c r="K638" s="34"/>
      <c r="L638" s="35" t="str">
        <f>IFERROR(__xludf.DUMMYFUNCTION("""COMPUTED_VALUE"""),"%")</f>
        <v>%</v>
      </c>
      <c r="M638" s="36">
        <f>IFERROR(__xludf.DUMMYFUNCTION("""COMPUTED_VALUE"""),1.0)</f>
        <v>1</v>
      </c>
      <c r="N638" s="37"/>
      <c r="O638" s="38"/>
      <c r="P638" s="34" t="str">
        <f>IFERROR(__xludf.DUMMYFUNCTION("""COMPUTED_VALUE"""),"")</f>
        <v/>
      </c>
      <c r="Q638" s="35" t="str">
        <f>IFERROR(__xludf.DUMMYFUNCTION("""COMPUTED_VALUE"""),"AP")</f>
        <v>AP</v>
      </c>
      <c r="R638" s="34" t="str">
        <f>IFERROR(__xludf.DUMMYFUNCTION("""COMPUTED_VALUE"""),"")</f>
        <v/>
      </c>
      <c r="S638" s="35" t="str">
        <f>IFERROR(__xludf.DUMMYFUNCTION("""COMPUTED_VALUE"""),"%")</f>
        <v>%</v>
      </c>
      <c r="T638" s="36">
        <f>IFERROR(__xludf.DUMMYFUNCTION("""COMPUTED_VALUE"""),2.0)</f>
        <v>2</v>
      </c>
      <c r="U638" s="37"/>
      <c r="V638" s="38"/>
      <c r="W638" s="34" t="str">
        <f>IFERROR(__xludf.DUMMYFUNCTION("""COMPUTED_VALUE"""),"")</f>
        <v/>
      </c>
      <c r="X638" s="35" t="str">
        <f>IFERROR(__xludf.DUMMYFUNCTION("""COMPUTED_VALUE"""),"AP")</f>
        <v>AP</v>
      </c>
      <c r="Y638" s="34" t="str">
        <f>IFERROR(__xludf.DUMMYFUNCTION("""COMPUTED_VALUE"""),"")</f>
        <v/>
      </c>
      <c r="Z638" s="35" t="str">
        <f>IFERROR(__xludf.DUMMYFUNCTION("""COMPUTED_VALUE"""),"%")</f>
        <v>%</v>
      </c>
      <c r="AA638" s="36">
        <f>IFERROR(__xludf.DUMMYFUNCTION("""COMPUTED_VALUE"""),3.0)</f>
        <v>3</v>
      </c>
      <c r="AB638" s="37"/>
      <c r="AC638" s="38"/>
      <c r="AD638" s="34" t="str">
        <f>IFERROR(__xludf.DUMMYFUNCTION("""COMPUTED_VALUE"""),"")</f>
        <v/>
      </c>
      <c r="AE638" s="35" t="str">
        <f>IFERROR(__xludf.DUMMYFUNCTION("""COMPUTED_VALUE"""),"AP")</f>
        <v>AP</v>
      </c>
      <c r="AF638" s="34" t="str">
        <f>IFERROR(__xludf.DUMMYFUNCTION("""COMPUTED_VALUE"""),"")</f>
        <v/>
      </c>
      <c r="AG638" s="35" t="str">
        <f>IFERROR(__xludf.DUMMYFUNCTION("""COMPUTED_VALUE"""),"%")</f>
        <v>%</v>
      </c>
      <c r="AH638" s="31"/>
      <c r="AI638" s="32"/>
      <c r="AJ638" s="67"/>
    </row>
    <row r="639" ht="24.75" hidden="1" customHeight="1">
      <c r="A639" s="40">
        <f>IFERROR(__xludf.DUMMYFUNCTION("""COMPUTED_VALUE"""),16.0)</f>
        <v>16</v>
      </c>
      <c r="B639" s="40" t="str">
        <f>IFERROR(__xludf.DUMMYFUNCTION("""COMPUTED_VALUE"""),"A219")</f>
        <v>A219</v>
      </c>
      <c r="C639" s="40"/>
      <c r="D639" s="41"/>
      <c r="E639" s="66"/>
      <c r="F639" s="43"/>
      <c r="G639" s="44"/>
      <c r="H639" s="33" t="str">
        <f>IFERROR(__xludf.DUMMYFUNCTION("""COMPUTED_VALUE""")," ")</f>
        <v> </v>
      </c>
      <c r="I639" s="45"/>
      <c r="J639" s="46" t="str">
        <f>IFERROR(__xludf.DUMMYFUNCTION("""COMPUTED_VALUE"""),"AP")</f>
        <v>AP</v>
      </c>
      <c r="K639" s="47"/>
      <c r="L639" s="48" t="str">
        <f>IFERROR(__xludf.DUMMYFUNCTION("""COMPUTED_VALUE"""),"%")</f>
        <v>%</v>
      </c>
      <c r="M639" s="49">
        <f>IFERROR(__xludf.DUMMYFUNCTION("""COMPUTED_VALUE"""),1.0)</f>
        <v>1</v>
      </c>
      <c r="N639" s="50"/>
      <c r="O639" s="38"/>
      <c r="P639" s="45" t="str">
        <f>IFERROR(__xludf.DUMMYFUNCTION("""COMPUTED_VALUE"""),"")</f>
        <v/>
      </c>
      <c r="Q639" s="46" t="str">
        <f>IFERROR(__xludf.DUMMYFUNCTION("""COMPUTED_VALUE"""),"AP")</f>
        <v>AP</v>
      </c>
      <c r="R639" s="47" t="str">
        <f>IFERROR(__xludf.DUMMYFUNCTION("""COMPUTED_VALUE"""),"")</f>
        <v/>
      </c>
      <c r="S639" s="48" t="str">
        <f>IFERROR(__xludf.DUMMYFUNCTION("""COMPUTED_VALUE"""),"%")</f>
        <v>%</v>
      </c>
      <c r="T639" s="49">
        <f>IFERROR(__xludf.DUMMYFUNCTION("""COMPUTED_VALUE"""),2.0)</f>
        <v>2</v>
      </c>
      <c r="U639" s="50"/>
      <c r="V639" s="38"/>
      <c r="W639" s="45" t="str">
        <f>IFERROR(__xludf.DUMMYFUNCTION("""COMPUTED_VALUE"""),"")</f>
        <v/>
      </c>
      <c r="X639" s="46" t="str">
        <f>IFERROR(__xludf.DUMMYFUNCTION("""COMPUTED_VALUE"""),"AP")</f>
        <v>AP</v>
      </c>
      <c r="Y639" s="47" t="str">
        <f>IFERROR(__xludf.DUMMYFUNCTION("""COMPUTED_VALUE"""),"")</f>
        <v/>
      </c>
      <c r="Z639" s="48" t="str">
        <f>IFERROR(__xludf.DUMMYFUNCTION("""COMPUTED_VALUE"""),"%")</f>
        <v>%</v>
      </c>
      <c r="AA639" s="49">
        <f>IFERROR(__xludf.DUMMYFUNCTION("""COMPUTED_VALUE"""),3.0)</f>
        <v>3</v>
      </c>
      <c r="AB639" s="50"/>
      <c r="AC639" s="38"/>
      <c r="AD639" s="45" t="str">
        <f>IFERROR(__xludf.DUMMYFUNCTION("""COMPUTED_VALUE"""),"")</f>
        <v/>
      </c>
      <c r="AE639" s="46" t="str">
        <f>IFERROR(__xludf.DUMMYFUNCTION("""COMPUTED_VALUE"""),"AP")</f>
        <v>AP</v>
      </c>
      <c r="AF639" s="47" t="str">
        <f>IFERROR(__xludf.DUMMYFUNCTION("""COMPUTED_VALUE"""),"")</f>
        <v/>
      </c>
      <c r="AG639" s="48" t="str">
        <f>IFERROR(__xludf.DUMMYFUNCTION("""COMPUTED_VALUE"""),"%")</f>
        <v>%</v>
      </c>
      <c r="AH639" s="43"/>
      <c r="AI639" s="44"/>
      <c r="AJ639" s="66"/>
    </row>
    <row r="640" ht="24.75" hidden="1" customHeight="1">
      <c r="A640" s="28">
        <f>IFERROR(__xludf.DUMMYFUNCTION("""COMPUTED_VALUE"""),17.0)</f>
        <v>17</v>
      </c>
      <c r="B640" s="28" t="str">
        <f>IFERROR(__xludf.DUMMYFUNCTION("""COMPUTED_VALUE"""),"A219")</f>
        <v>A219</v>
      </c>
      <c r="C640" s="28"/>
      <c r="D640" s="29"/>
      <c r="E640" s="67"/>
      <c r="F640" s="31"/>
      <c r="G640" s="32"/>
      <c r="H640" s="33" t="str">
        <f>IFERROR(__xludf.DUMMYFUNCTION("""COMPUTED_VALUE""")," ")</f>
        <v> </v>
      </c>
      <c r="I640" s="34"/>
      <c r="J640" s="35" t="str">
        <f>IFERROR(__xludf.DUMMYFUNCTION("""COMPUTED_VALUE"""),"AP")</f>
        <v>AP</v>
      </c>
      <c r="K640" s="34"/>
      <c r="L640" s="35" t="str">
        <f>IFERROR(__xludf.DUMMYFUNCTION("""COMPUTED_VALUE"""),"%")</f>
        <v>%</v>
      </c>
      <c r="M640" s="36">
        <f>IFERROR(__xludf.DUMMYFUNCTION("""COMPUTED_VALUE"""),1.0)</f>
        <v>1</v>
      </c>
      <c r="N640" s="37"/>
      <c r="O640" s="38"/>
      <c r="P640" s="34" t="str">
        <f>IFERROR(__xludf.DUMMYFUNCTION("""COMPUTED_VALUE"""),"")</f>
        <v/>
      </c>
      <c r="Q640" s="35" t="str">
        <f>IFERROR(__xludf.DUMMYFUNCTION("""COMPUTED_VALUE"""),"AP")</f>
        <v>AP</v>
      </c>
      <c r="R640" s="34" t="str">
        <f>IFERROR(__xludf.DUMMYFUNCTION("""COMPUTED_VALUE"""),"")</f>
        <v/>
      </c>
      <c r="S640" s="35" t="str">
        <f>IFERROR(__xludf.DUMMYFUNCTION("""COMPUTED_VALUE"""),"%")</f>
        <v>%</v>
      </c>
      <c r="T640" s="36">
        <f>IFERROR(__xludf.DUMMYFUNCTION("""COMPUTED_VALUE"""),2.0)</f>
        <v>2</v>
      </c>
      <c r="U640" s="37"/>
      <c r="V640" s="38"/>
      <c r="W640" s="34" t="str">
        <f>IFERROR(__xludf.DUMMYFUNCTION("""COMPUTED_VALUE"""),"")</f>
        <v/>
      </c>
      <c r="X640" s="35" t="str">
        <f>IFERROR(__xludf.DUMMYFUNCTION("""COMPUTED_VALUE"""),"AP")</f>
        <v>AP</v>
      </c>
      <c r="Y640" s="34" t="str">
        <f>IFERROR(__xludf.DUMMYFUNCTION("""COMPUTED_VALUE"""),"")</f>
        <v/>
      </c>
      <c r="Z640" s="35" t="str">
        <f>IFERROR(__xludf.DUMMYFUNCTION("""COMPUTED_VALUE"""),"%")</f>
        <v>%</v>
      </c>
      <c r="AA640" s="36">
        <f>IFERROR(__xludf.DUMMYFUNCTION("""COMPUTED_VALUE"""),3.0)</f>
        <v>3</v>
      </c>
      <c r="AB640" s="37"/>
      <c r="AC640" s="38"/>
      <c r="AD640" s="34" t="str">
        <f>IFERROR(__xludf.DUMMYFUNCTION("""COMPUTED_VALUE"""),"")</f>
        <v/>
      </c>
      <c r="AE640" s="35" t="str">
        <f>IFERROR(__xludf.DUMMYFUNCTION("""COMPUTED_VALUE"""),"AP")</f>
        <v>AP</v>
      </c>
      <c r="AF640" s="34" t="str">
        <f>IFERROR(__xludf.DUMMYFUNCTION("""COMPUTED_VALUE"""),"")</f>
        <v/>
      </c>
      <c r="AG640" s="35" t="str">
        <f>IFERROR(__xludf.DUMMYFUNCTION("""COMPUTED_VALUE"""),"%")</f>
        <v>%</v>
      </c>
      <c r="AH640" s="31"/>
      <c r="AI640" s="32"/>
      <c r="AJ640" s="67"/>
    </row>
    <row r="641" ht="24.75" hidden="1" customHeight="1">
      <c r="A641" s="40">
        <f>IFERROR(__xludf.DUMMYFUNCTION("""COMPUTED_VALUE"""),18.0)</f>
        <v>18</v>
      </c>
      <c r="B641" s="40" t="str">
        <f>IFERROR(__xludf.DUMMYFUNCTION("""COMPUTED_VALUE"""),"A219")</f>
        <v>A219</v>
      </c>
      <c r="C641" s="40"/>
      <c r="D641" s="41"/>
      <c r="E641" s="66"/>
      <c r="F641" s="43"/>
      <c r="G641" s="44"/>
      <c r="H641" s="33" t="str">
        <f>IFERROR(__xludf.DUMMYFUNCTION("""COMPUTED_VALUE""")," ")</f>
        <v> </v>
      </c>
      <c r="I641" s="45"/>
      <c r="J641" s="46" t="str">
        <f>IFERROR(__xludf.DUMMYFUNCTION("""COMPUTED_VALUE"""),"AP")</f>
        <v>AP</v>
      </c>
      <c r="K641" s="47"/>
      <c r="L641" s="48" t="str">
        <f>IFERROR(__xludf.DUMMYFUNCTION("""COMPUTED_VALUE"""),"%")</f>
        <v>%</v>
      </c>
      <c r="M641" s="49">
        <f>IFERROR(__xludf.DUMMYFUNCTION("""COMPUTED_VALUE"""),1.0)</f>
        <v>1</v>
      </c>
      <c r="N641" s="50"/>
      <c r="O641" s="38"/>
      <c r="P641" s="45" t="str">
        <f>IFERROR(__xludf.DUMMYFUNCTION("""COMPUTED_VALUE"""),"")</f>
        <v/>
      </c>
      <c r="Q641" s="46" t="str">
        <f>IFERROR(__xludf.DUMMYFUNCTION("""COMPUTED_VALUE"""),"AP")</f>
        <v>AP</v>
      </c>
      <c r="R641" s="47" t="str">
        <f>IFERROR(__xludf.DUMMYFUNCTION("""COMPUTED_VALUE"""),"")</f>
        <v/>
      </c>
      <c r="S641" s="48" t="str">
        <f>IFERROR(__xludf.DUMMYFUNCTION("""COMPUTED_VALUE"""),"%")</f>
        <v>%</v>
      </c>
      <c r="T641" s="49">
        <f>IFERROR(__xludf.DUMMYFUNCTION("""COMPUTED_VALUE"""),2.0)</f>
        <v>2</v>
      </c>
      <c r="U641" s="50"/>
      <c r="V641" s="38"/>
      <c r="W641" s="45" t="str">
        <f>IFERROR(__xludf.DUMMYFUNCTION("""COMPUTED_VALUE"""),"")</f>
        <v/>
      </c>
      <c r="X641" s="46" t="str">
        <f>IFERROR(__xludf.DUMMYFUNCTION("""COMPUTED_VALUE"""),"AP")</f>
        <v>AP</v>
      </c>
      <c r="Y641" s="47" t="str">
        <f>IFERROR(__xludf.DUMMYFUNCTION("""COMPUTED_VALUE"""),"")</f>
        <v/>
      </c>
      <c r="Z641" s="48" t="str">
        <f>IFERROR(__xludf.DUMMYFUNCTION("""COMPUTED_VALUE"""),"%")</f>
        <v>%</v>
      </c>
      <c r="AA641" s="49">
        <f>IFERROR(__xludf.DUMMYFUNCTION("""COMPUTED_VALUE"""),3.0)</f>
        <v>3</v>
      </c>
      <c r="AB641" s="50"/>
      <c r="AC641" s="38"/>
      <c r="AD641" s="45" t="str">
        <f>IFERROR(__xludf.DUMMYFUNCTION("""COMPUTED_VALUE"""),"")</f>
        <v/>
      </c>
      <c r="AE641" s="46" t="str">
        <f>IFERROR(__xludf.DUMMYFUNCTION("""COMPUTED_VALUE"""),"AP")</f>
        <v>AP</v>
      </c>
      <c r="AF641" s="47" t="str">
        <f>IFERROR(__xludf.DUMMYFUNCTION("""COMPUTED_VALUE"""),"")</f>
        <v/>
      </c>
      <c r="AG641" s="48" t="str">
        <f>IFERROR(__xludf.DUMMYFUNCTION("""COMPUTED_VALUE"""),"%")</f>
        <v>%</v>
      </c>
      <c r="AH641" s="43"/>
      <c r="AI641" s="44"/>
      <c r="AJ641" s="66"/>
    </row>
    <row r="642" ht="24.75" hidden="1" customHeight="1">
      <c r="A642" s="28">
        <f>IFERROR(__xludf.DUMMYFUNCTION("""COMPUTED_VALUE"""),19.0)</f>
        <v>19</v>
      </c>
      <c r="B642" s="28" t="str">
        <f>IFERROR(__xludf.DUMMYFUNCTION("""COMPUTED_VALUE"""),"A219")</f>
        <v>A219</v>
      </c>
      <c r="C642" s="28"/>
      <c r="D642" s="29"/>
      <c r="E642" s="67"/>
      <c r="F642" s="31"/>
      <c r="G642" s="32"/>
      <c r="H642" s="33" t="str">
        <f>IFERROR(__xludf.DUMMYFUNCTION("""COMPUTED_VALUE""")," ")</f>
        <v> </v>
      </c>
      <c r="I642" s="34"/>
      <c r="J642" s="35" t="str">
        <f>IFERROR(__xludf.DUMMYFUNCTION("""COMPUTED_VALUE"""),"AP")</f>
        <v>AP</v>
      </c>
      <c r="K642" s="34"/>
      <c r="L642" s="35" t="str">
        <f>IFERROR(__xludf.DUMMYFUNCTION("""COMPUTED_VALUE"""),"%")</f>
        <v>%</v>
      </c>
      <c r="M642" s="36">
        <f>IFERROR(__xludf.DUMMYFUNCTION("""COMPUTED_VALUE"""),1.0)</f>
        <v>1</v>
      </c>
      <c r="N642" s="37"/>
      <c r="O642" s="38"/>
      <c r="P642" s="34" t="str">
        <f>IFERROR(__xludf.DUMMYFUNCTION("""COMPUTED_VALUE"""),"")</f>
        <v/>
      </c>
      <c r="Q642" s="35" t="str">
        <f>IFERROR(__xludf.DUMMYFUNCTION("""COMPUTED_VALUE"""),"AP")</f>
        <v>AP</v>
      </c>
      <c r="R642" s="34" t="str">
        <f>IFERROR(__xludf.DUMMYFUNCTION("""COMPUTED_VALUE"""),"")</f>
        <v/>
      </c>
      <c r="S642" s="35" t="str">
        <f>IFERROR(__xludf.DUMMYFUNCTION("""COMPUTED_VALUE"""),"%")</f>
        <v>%</v>
      </c>
      <c r="T642" s="36">
        <f>IFERROR(__xludf.DUMMYFUNCTION("""COMPUTED_VALUE"""),2.0)</f>
        <v>2</v>
      </c>
      <c r="U642" s="37"/>
      <c r="V642" s="38"/>
      <c r="W642" s="34" t="str">
        <f>IFERROR(__xludf.DUMMYFUNCTION("""COMPUTED_VALUE"""),"")</f>
        <v/>
      </c>
      <c r="X642" s="35" t="str">
        <f>IFERROR(__xludf.DUMMYFUNCTION("""COMPUTED_VALUE"""),"AP")</f>
        <v>AP</v>
      </c>
      <c r="Y642" s="34" t="str">
        <f>IFERROR(__xludf.DUMMYFUNCTION("""COMPUTED_VALUE"""),"")</f>
        <v/>
      </c>
      <c r="Z642" s="35" t="str">
        <f>IFERROR(__xludf.DUMMYFUNCTION("""COMPUTED_VALUE"""),"%")</f>
        <v>%</v>
      </c>
      <c r="AA642" s="36">
        <f>IFERROR(__xludf.DUMMYFUNCTION("""COMPUTED_VALUE"""),3.0)</f>
        <v>3</v>
      </c>
      <c r="AB642" s="37"/>
      <c r="AC642" s="38"/>
      <c r="AD642" s="34" t="str">
        <f>IFERROR(__xludf.DUMMYFUNCTION("""COMPUTED_VALUE"""),"")</f>
        <v/>
      </c>
      <c r="AE642" s="35" t="str">
        <f>IFERROR(__xludf.DUMMYFUNCTION("""COMPUTED_VALUE"""),"AP")</f>
        <v>AP</v>
      </c>
      <c r="AF642" s="34" t="str">
        <f>IFERROR(__xludf.DUMMYFUNCTION("""COMPUTED_VALUE"""),"")</f>
        <v/>
      </c>
      <c r="AG642" s="35" t="str">
        <f>IFERROR(__xludf.DUMMYFUNCTION("""COMPUTED_VALUE"""),"%")</f>
        <v>%</v>
      </c>
      <c r="AH642" s="31"/>
      <c r="AI642" s="32"/>
      <c r="AJ642" s="67"/>
    </row>
    <row r="643" ht="24.75" hidden="1" customHeight="1">
      <c r="A643" s="40">
        <f>IFERROR(__xludf.DUMMYFUNCTION("""COMPUTED_VALUE"""),20.0)</f>
        <v>20</v>
      </c>
      <c r="B643" s="40" t="str">
        <f>IFERROR(__xludf.DUMMYFUNCTION("""COMPUTED_VALUE"""),"A219")</f>
        <v>A219</v>
      </c>
      <c r="C643" s="40"/>
      <c r="D643" s="41"/>
      <c r="E643" s="66"/>
      <c r="F643" s="43"/>
      <c r="G643" s="44"/>
      <c r="H643" s="33" t="str">
        <f>IFERROR(__xludf.DUMMYFUNCTION("""COMPUTED_VALUE""")," ")</f>
        <v> </v>
      </c>
      <c r="I643" s="45"/>
      <c r="J643" s="46" t="str">
        <f>IFERROR(__xludf.DUMMYFUNCTION("""COMPUTED_VALUE"""),"AP")</f>
        <v>AP</v>
      </c>
      <c r="K643" s="47"/>
      <c r="L643" s="48" t="str">
        <f>IFERROR(__xludf.DUMMYFUNCTION("""COMPUTED_VALUE"""),"%")</f>
        <v>%</v>
      </c>
      <c r="M643" s="49">
        <f>IFERROR(__xludf.DUMMYFUNCTION("""COMPUTED_VALUE"""),1.0)</f>
        <v>1</v>
      </c>
      <c r="N643" s="50"/>
      <c r="O643" s="38"/>
      <c r="P643" s="45" t="str">
        <f>IFERROR(__xludf.DUMMYFUNCTION("""COMPUTED_VALUE"""),"")</f>
        <v/>
      </c>
      <c r="Q643" s="46" t="str">
        <f>IFERROR(__xludf.DUMMYFUNCTION("""COMPUTED_VALUE"""),"AP")</f>
        <v>AP</v>
      </c>
      <c r="R643" s="47" t="str">
        <f>IFERROR(__xludf.DUMMYFUNCTION("""COMPUTED_VALUE"""),"")</f>
        <v/>
      </c>
      <c r="S643" s="48" t="str">
        <f>IFERROR(__xludf.DUMMYFUNCTION("""COMPUTED_VALUE"""),"%")</f>
        <v>%</v>
      </c>
      <c r="T643" s="49">
        <f>IFERROR(__xludf.DUMMYFUNCTION("""COMPUTED_VALUE"""),2.0)</f>
        <v>2</v>
      </c>
      <c r="U643" s="50"/>
      <c r="V643" s="38"/>
      <c r="W643" s="45" t="str">
        <f>IFERROR(__xludf.DUMMYFUNCTION("""COMPUTED_VALUE"""),"")</f>
        <v/>
      </c>
      <c r="X643" s="46" t="str">
        <f>IFERROR(__xludf.DUMMYFUNCTION("""COMPUTED_VALUE"""),"AP")</f>
        <v>AP</v>
      </c>
      <c r="Y643" s="47" t="str">
        <f>IFERROR(__xludf.DUMMYFUNCTION("""COMPUTED_VALUE"""),"")</f>
        <v/>
      </c>
      <c r="Z643" s="48" t="str">
        <f>IFERROR(__xludf.DUMMYFUNCTION("""COMPUTED_VALUE"""),"%")</f>
        <v>%</v>
      </c>
      <c r="AA643" s="49">
        <f>IFERROR(__xludf.DUMMYFUNCTION("""COMPUTED_VALUE"""),3.0)</f>
        <v>3</v>
      </c>
      <c r="AB643" s="50"/>
      <c r="AC643" s="38"/>
      <c r="AD643" s="45" t="str">
        <f>IFERROR(__xludf.DUMMYFUNCTION("""COMPUTED_VALUE"""),"")</f>
        <v/>
      </c>
      <c r="AE643" s="46" t="str">
        <f>IFERROR(__xludf.DUMMYFUNCTION("""COMPUTED_VALUE"""),"AP")</f>
        <v>AP</v>
      </c>
      <c r="AF643" s="47" t="str">
        <f>IFERROR(__xludf.DUMMYFUNCTION("""COMPUTED_VALUE"""),"")</f>
        <v/>
      </c>
      <c r="AG643" s="48" t="str">
        <f>IFERROR(__xludf.DUMMYFUNCTION("""COMPUTED_VALUE"""),"%")</f>
        <v>%</v>
      </c>
      <c r="AH643" s="43"/>
      <c r="AI643" s="44"/>
      <c r="AJ643" s="66"/>
    </row>
    <row r="644">
      <c r="A644" s="52"/>
      <c r="B644" s="53"/>
      <c r="C644" s="54"/>
      <c r="D644" s="56"/>
      <c r="E644" s="56"/>
      <c r="F644" s="53"/>
      <c r="G644" s="53"/>
      <c r="H644" s="53"/>
      <c r="I644" s="53"/>
      <c r="J644" s="57"/>
      <c r="K644" s="53"/>
      <c r="L644" s="57"/>
      <c r="M644" s="53"/>
      <c r="N644" s="53"/>
      <c r="O644" s="53"/>
      <c r="P644" s="53"/>
      <c r="Q644" s="57"/>
      <c r="R644" s="53"/>
      <c r="S644" s="57"/>
      <c r="T644" s="53"/>
      <c r="U644" s="53"/>
      <c r="V644" s="53"/>
      <c r="W644" s="53"/>
      <c r="X644" s="57"/>
      <c r="Y644" s="53"/>
      <c r="Z644" s="57"/>
      <c r="AA644" s="53"/>
      <c r="AB644" s="53"/>
      <c r="AC644" s="53"/>
      <c r="AD644" s="53"/>
      <c r="AE644" s="57"/>
      <c r="AF644" s="53"/>
      <c r="AG644" s="57"/>
      <c r="AH644" s="53"/>
      <c r="AI644" s="53"/>
      <c r="AJ644" s="56"/>
    </row>
    <row r="645">
      <c r="A645" s="59"/>
      <c r="B645" s="60"/>
      <c r="C645" s="61"/>
      <c r="D645" s="63"/>
      <c r="E645" s="63"/>
      <c r="F645" s="60"/>
      <c r="G645" s="60"/>
      <c r="H645" s="60"/>
      <c r="I645" s="60"/>
      <c r="J645" s="64"/>
      <c r="K645" s="60"/>
      <c r="L645" s="64"/>
      <c r="M645" s="60"/>
      <c r="N645" s="60"/>
      <c r="O645" s="60"/>
      <c r="P645" s="60"/>
      <c r="Q645" s="64"/>
      <c r="R645" s="60"/>
      <c r="S645" s="64"/>
      <c r="T645" s="60"/>
      <c r="U645" s="60"/>
      <c r="V645" s="60"/>
      <c r="W645" s="60"/>
      <c r="X645" s="64"/>
      <c r="Y645" s="60"/>
      <c r="Z645" s="64"/>
      <c r="AA645" s="60"/>
      <c r="AB645" s="60"/>
      <c r="AC645" s="60"/>
      <c r="AD645" s="60"/>
      <c r="AE645" s="64"/>
      <c r="AF645" s="60"/>
      <c r="AG645" s="64"/>
      <c r="AH645" s="60"/>
      <c r="AI645" s="60"/>
      <c r="AJ645" s="63"/>
    </row>
    <row r="646" ht="33.0" customHeight="1">
      <c r="A646" s="20" t="str">
        <f>IFERROR(__xludf.DUMMYFUNCTION("""COMPUTED_VALUE""")," ")</f>
        <v> </v>
      </c>
      <c r="B646" s="21" t="str">
        <f>IFERROR(__xludf.DUMMYFUNCTION("""COMPUTED_VALUE"""),"A101")</f>
        <v>A101</v>
      </c>
      <c r="C646" s="20"/>
      <c r="D646" s="257" t="str">
        <f>IFERROR(__xludf.DUMMYFUNCTION("""COMPUTED_VALUE"""),"")</f>
        <v/>
      </c>
      <c r="E646" s="23" t="str">
        <f>IFERROR(__xludf.DUMMYFUNCTION("""COMPUTED_VALUE"""),"Claw of Chaos")</f>
        <v>Claw of Chaos</v>
      </c>
      <c r="F646" s="24"/>
      <c r="G646" s="24"/>
      <c r="H646" s="25"/>
      <c r="I646" s="25"/>
      <c r="J646" s="26"/>
      <c r="K646" s="25"/>
      <c r="L646" s="26"/>
      <c r="M646" s="25"/>
      <c r="N646" s="25"/>
      <c r="O646" s="25"/>
      <c r="P646" s="25"/>
      <c r="Q646" s="26"/>
      <c r="R646" s="25"/>
      <c r="S646" s="26"/>
      <c r="T646" s="25"/>
      <c r="U646" s="25"/>
      <c r="V646" s="25"/>
      <c r="W646" s="25"/>
      <c r="X646" s="26"/>
      <c r="Y646" s="25"/>
      <c r="Z646" s="26"/>
      <c r="AA646" s="25"/>
      <c r="AB646" s="25"/>
      <c r="AC646" s="25"/>
      <c r="AD646" s="25"/>
      <c r="AE646" s="26"/>
      <c r="AF646" s="25"/>
      <c r="AG646" s="26"/>
      <c r="AH646" s="24"/>
      <c r="AI646" s="25"/>
      <c r="AJ646" s="23"/>
    </row>
    <row r="647" ht="24.75" customHeight="1">
      <c r="A647" s="28">
        <f>IFERROR(__xludf.DUMMYFUNCTION("""COMPUTED_VALUE"""),1.0)</f>
        <v>1</v>
      </c>
      <c r="B647" s="28" t="str">
        <f>IFERROR(__xludf.DUMMYFUNCTION("""COMPUTED_VALUE"""),"A101")</f>
        <v>A101</v>
      </c>
      <c r="C647" s="28" t="str">
        <f>IFERROR(__xludf.DUMMYFUNCTION("""COMPUTED_VALUE"""),"EPU7")</f>
        <v>EPU7</v>
      </c>
      <c r="D647" s="29" t="str">
        <f>IFERROR(__xludf.DUMMYFUNCTION("""COMPUTED_VALUE"""),"E Pluribus Unum")</f>
        <v>E Pluribus Unum</v>
      </c>
      <c r="E647" s="30" t="str">
        <f>IFERROR(__xludf.DUMMYFUNCTION("""COMPUTED_VALUE"""),"Des Moines")</f>
        <v>Des Moines</v>
      </c>
      <c r="F647" s="31">
        <f>IFERROR(__xludf.DUMMYFUNCTION("""COMPUTED_VALUE"""),18.0)</f>
        <v>18</v>
      </c>
      <c r="G647" s="32">
        <f>IFERROR(__xludf.DUMMYFUNCTION("""COMPUTED_VALUE"""),28194.0)</f>
        <v>28194</v>
      </c>
      <c r="H647" s="33" t="str">
        <f>IFERROR(__xludf.DUMMYFUNCTION("""COMPUTED_VALUE"""),"")</f>
        <v/>
      </c>
      <c r="I647" s="34">
        <f>IFERROR(__xludf.DUMMYFUNCTION("""COMPUTED_VALUE"""),89.45314097402698)</f>
        <v>89.45314097</v>
      </c>
      <c r="J647" s="35" t="str">
        <f>IFERROR(__xludf.DUMMYFUNCTION("""COMPUTED_VALUE"""),"AP")</f>
        <v>AP</v>
      </c>
      <c r="K647" s="34">
        <f>IFERROR(__xludf.DUMMYFUNCTION("""COMPUTED_VALUE"""),20.1222671490388)</f>
        <v>20.12226715</v>
      </c>
      <c r="L647" s="35" t="str">
        <f>IFERROR(__xludf.DUMMYFUNCTION("""COMPUTED_VALUE"""),"%")</f>
        <v>%</v>
      </c>
      <c r="M647" s="36">
        <f>IFERROR(__xludf.DUMMYFUNCTION("""COMPUTED_VALUE"""),1.0)</f>
        <v>1</v>
      </c>
      <c r="N647" s="37" t="str">
        <f>IFERROR(__xludf.DUMMYFUNCTION("""COMPUTED_VALUE"""),"A201")</f>
        <v>A201</v>
      </c>
      <c r="O647" s="38" t="str">
        <f>IFERROR(__xludf.DUMMYFUNCTION("""COMPUTED_VALUE"""),"")</f>
        <v/>
      </c>
      <c r="P647" s="34">
        <f>IFERROR(__xludf.DUMMYFUNCTION("""COMPUTED_VALUE"""),196.38080909394856)</f>
        <v>196.3808091</v>
      </c>
      <c r="Q647" s="35" t="str">
        <f>IFERROR(__xludf.DUMMYFUNCTION("""COMPUTED_VALUE"""),"AP")</f>
        <v>AP</v>
      </c>
      <c r="R647" s="34">
        <f>IFERROR(__xludf.DUMMYFUNCTION("""COMPUTED_VALUE"""),9.1658650776761)</f>
        <v>9.165865078</v>
      </c>
      <c r="S647" s="35" t="str">
        <f>IFERROR(__xludf.DUMMYFUNCTION("""COMPUTED_VALUE"""),"%")</f>
        <v>%</v>
      </c>
      <c r="T647" s="36">
        <f>IFERROR(__xludf.DUMMYFUNCTION("""COMPUTED_VALUE"""),2.0)</f>
        <v>2</v>
      </c>
      <c r="U647" s="37" t="str">
        <f>IFERROR(__xludf.DUMMYFUNCTION("""COMPUTED_VALUE"""),"A304")</f>
        <v>A304</v>
      </c>
      <c r="V647" s="38" t="str">
        <f>IFERROR(__xludf.DUMMYFUNCTION("""COMPUTED_VALUE"""),"")</f>
        <v/>
      </c>
      <c r="W647" s="34">
        <f>IFERROR(__xludf.DUMMYFUNCTION("""COMPUTED_VALUE"""),113.2125475834819)</f>
        <v>113.2125476</v>
      </c>
      <c r="X647" s="35" t="str">
        <f>IFERROR(__xludf.DUMMYFUNCTION("""COMPUTED_VALUE"""),"AP")</f>
        <v>AP</v>
      </c>
      <c r="Y647" s="34">
        <f>IFERROR(__xludf.DUMMYFUNCTION("""COMPUTED_VALUE"""),15.89929772291977)</f>
        <v>15.89929772</v>
      </c>
      <c r="Z647" s="35" t="str">
        <f>IFERROR(__xludf.DUMMYFUNCTION("""COMPUTED_VALUE"""),"%")</f>
        <v>%</v>
      </c>
      <c r="AA647" s="36">
        <f>IFERROR(__xludf.DUMMYFUNCTION("""COMPUTED_VALUE"""),3.0)</f>
        <v>3</v>
      </c>
      <c r="AB647" s="37" t="str">
        <f>IFERROR(__xludf.DUMMYFUNCTION("""COMPUTED_VALUE"""),"B116")</f>
        <v>B116</v>
      </c>
      <c r="AC647" s="38" t="str">
        <f>IFERROR(__xludf.DUMMYFUNCTION("""COMPUTED_VALUE"""),"")</f>
        <v/>
      </c>
      <c r="AD647" s="34">
        <f>IFERROR(__xludf.DUMMYFUNCTION("""COMPUTED_VALUE"""),197.94234173017415)</f>
        <v>197.9423417</v>
      </c>
      <c r="AE647" s="35" t="str">
        <f>IFERROR(__xludf.DUMMYFUNCTION("""COMPUTED_VALUE"""),"AP")</f>
        <v>AP</v>
      </c>
      <c r="AF647" s="34">
        <f>IFERROR(__xludf.DUMMYFUNCTION("""COMPUTED_VALUE"""),9.09355716551882)</f>
        <v>9.093557166</v>
      </c>
      <c r="AG647" s="35" t="str">
        <f>IFERROR(__xludf.DUMMYFUNCTION("""COMPUTED_VALUE"""),"%")</f>
        <v>%</v>
      </c>
      <c r="AH647" s="31">
        <f>IFERROR(__xludf.DUMMYFUNCTION("""COMPUTED_VALUE"""),18.0)</f>
        <v>18</v>
      </c>
      <c r="AI647" s="32">
        <f>IFERROR(__xludf.DUMMYFUNCTION("""COMPUTED_VALUE"""),28194.0)</f>
        <v>28194</v>
      </c>
      <c r="AJ647" s="30" t="str">
        <f>IFERROR(__xludf.DUMMYFUNCTION("""COMPUTED_VALUE"""),"Des Moines")</f>
        <v>Des Moines</v>
      </c>
    </row>
    <row r="648" ht="24.75" customHeight="1">
      <c r="A648" s="40">
        <f>IFERROR(__xludf.DUMMYFUNCTION("""COMPUTED_VALUE"""),2.0)</f>
        <v>2</v>
      </c>
      <c r="B648" s="40" t="str">
        <f>IFERROR(__xludf.DUMMYFUNCTION("""COMPUTED_VALUE"""),"A101")</f>
        <v>A101</v>
      </c>
      <c r="C648" s="40" t="str">
        <f>IFERROR(__xludf.DUMMYFUNCTION("""COMPUTED_VALUE"""),"AGT1")</f>
        <v>AGT1</v>
      </c>
      <c r="D648" s="41" t="str">
        <f>IFERROR(__xludf.DUMMYFUNCTION("""COMPUTED_VALUE"""),"Agartha")</f>
        <v>Agartha</v>
      </c>
      <c r="E648" s="42" t="str">
        <f>IFERROR(__xludf.DUMMYFUNCTION("""COMPUTED_VALUE"""),"Underground Plains")</f>
        <v>Underground Plains</v>
      </c>
      <c r="F648" s="43">
        <f>IFERROR(__xludf.DUMMYFUNCTION("""COMPUTED_VALUE"""),20.0)</f>
        <v>20</v>
      </c>
      <c r="G648" s="44">
        <f>IFERROR(__xludf.DUMMYFUNCTION("""COMPUTED_VALUE"""),26982.0)</f>
        <v>26982</v>
      </c>
      <c r="H648" s="33" t="str">
        <f>IFERROR(__xludf.DUMMYFUNCTION("""COMPUTED_VALUE"""),"")</f>
        <v/>
      </c>
      <c r="I648" s="45">
        <f>IFERROR(__xludf.DUMMYFUNCTION("""COMPUTED_VALUE"""),97.66002543973887)</f>
        <v>97.66002544</v>
      </c>
      <c r="J648" s="46" t="str">
        <f>IFERROR(__xludf.DUMMYFUNCTION("""COMPUTED_VALUE"""),"AP")</f>
        <v>AP</v>
      </c>
      <c r="K648" s="47">
        <f>IFERROR(__xludf.DUMMYFUNCTION("""COMPUTED_VALUE"""),20.479208263509005)</f>
        <v>20.47920826</v>
      </c>
      <c r="L648" s="48" t="str">
        <f>IFERROR(__xludf.DUMMYFUNCTION("""COMPUTED_VALUE"""),"%")</f>
        <v>%</v>
      </c>
      <c r="M648" s="49">
        <f>IFERROR(__xludf.DUMMYFUNCTION("""COMPUTED_VALUE"""),1.0)</f>
        <v>1</v>
      </c>
      <c r="N648" s="50" t="str">
        <f>IFERROR(__xludf.DUMMYFUNCTION("""COMPUTED_VALUE"""),"A303")</f>
        <v>A303</v>
      </c>
      <c r="O648" s="38" t="str">
        <f>IFERROR(__xludf.DUMMYFUNCTION("""COMPUTED_VALUE"""),"")</f>
        <v/>
      </c>
      <c r="P648" s="45">
        <f>IFERROR(__xludf.DUMMYFUNCTION("""COMPUTED_VALUE"""),50.1866514890269)</f>
        <v>50.18665149</v>
      </c>
      <c r="Q648" s="46" t="str">
        <f>IFERROR(__xludf.DUMMYFUNCTION("""COMPUTED_VALUE"""),"AP")</f>
        <v>AP</v>
      </c>
      <c r="R648" s="47">
        <f>IFERROR(__xludf.DUMMYFUNCTION("""COMPUTED_VALUE"""),39.85123415610407)</f>
        <v>39.85123416</v>
      </c>
      <c r="S648" s="48" t="str">
        <f>IFERROR(__xludf.DUMMYFUNCTION("""COMPUTED_VALUE"""),"%")</f>
        <v>%</v>
      </c>
      <c r="T648" s="49">
        <f>IFERROR(__xludf.DUMMYFUNCTION("""COMPUTED_VALUE"""),2.0)</f>
        <v>2</v>
      </c>
      <c r="U648" s="50" t="str">
        <f>IFERROR(__xludf.DUMMYFUNCTION("""COMPUTED_VALUE"""),"B107")</f>
        <v>B107</v>
      </c>
      <c r="V648" s="38" t="str">
        <f>IFERROR(__xludf.DUMMYFUNCTION("""COMPUTED_VALUE"""),"")</f>
        <v/>
      </c>
      <c r="W648" s="45">
        <f>IFERROR(__xludf.DUMMYFUNCTION("""COMPUTED_VALUE"""),391.798684420695)</f>
        <v>391.7986844</v>
      </c>
      <c r="X648" s="46" t="str">
        <f>IFERROR(__xludf.DUMMYFUNCTION("""COMPUTED_VALUE"""),"AP")</f>
        <v>AP</v>
      </c>
      <c r="Y648" s="47">
        <f>IFERROR(__xludf.DUMMYFUNCTION("""COMPUTED_VALUE"""),5.104662367504262)</f>
        <v>5.104662368</v>
      </c>
      <c r="Z648" s="48" t="str">
        <f>IFERROR(__xludf.DUMMYFUNCTION("""COMPUTED_VALUE"""),"%")</f>
        <v>%</v>
      </c>
      <c r="AA648" s="49">
        <f>IFERROR(__xludf.DUMMYFUNCTION("""COMPUTED_VALUE"""),3.0)</f>
        <v>3</v>
      </c>
      <c r="AB648" s="50"/>
      <c r="AC648" s="38"/>
      <c r="AD648" s="45" t="str">
        <f>IFERROR(__xludf.DUMMYFUNCTION("""COMPUTED_VALUE"""),"")</f>
        <v/>
      </c>
      <c r="AE648" s="46" t="str">
        <f>IFERROR(__xludf.DUMMYFUNCTION("""COMPUTED_VALUE"""),"AP")</f>
        <v>AP</v>
      </c>
      <c r="AF648" s="47" t="str">
        <f>IFERROR(__xludf.DUMMYFUNCTION("""COMPUTED_VALUE"""),"")</f>
        <v/>
      </c>
      <c r="AG648" s="48" t="str">
        <f>IFERROR(__xludf.DUMMYFUNCTION("""COMPUTED_VALUE"""),"%")</f>
        <v>%</v>
      </c>
      <c r="AH648" s="43">
        <f>IFERROR(__xludf.DUMMYFUNCTION("""COMPUTED_VALUE"""),20.0)</f>
        <v>20</v>
      </c>
      <c r="AI648" s="44">
        <f>IFERROR(__xludf.DUMMYFUNCTION("""COMPUTED_VALUE"""),26982.0)</f>
        <v>26982</v>
      </c>
      <c r="AJ648" s="42" t="str">
        <f>IFERROR(__xludf.DUMMYFUNCTION("""COMPUTED_VALUE"""),"Underground Plains")</f>
        <v>Underground Plains</v>
      </c>
    </row>
    <row r="649" ht="24.75" customHeight="1">
      <c r="A649" s="28">
        <f>IFERROR(__xludf.DUMMYFUNCTION("""COMPUTED_VALUE"""),3.0)</f>
        <v>3</v>
      </c>
      <c r="B649" s="28" t="str">
        <f>IFERROR(__xludf.DUMMYFUNCTION("""COMPUTED_VALUE"""),"A101")</f>
        <v>A101</v>
      </c>
      <c r="C649" s="28" t="str">
        <f>IFERROR(__xludf.DUMMYFUNCTION("""COMPUTED_VALUE"""),"ANA14")</f>
        <v>ANA14</v>
      </c>
      <c r="D649" s="29" t="str">
        <f>IFERROR(__xludf.DUMMYFUNCTION("""COMPUTED_VALUE"""),"Anastasia")</f>
        <v>Anastasia</v>
      </c>
      <c r="E649" s="30" t="str">
        <f>IFERROR(__xludf.DUMMYFUNCTION("""COMPUTED_VALUE"""),"Yaga Ryazan")</f>
        <v>Yaga Ryazan</v>
      </c>
      <c r="F649" s="31">
        <f>IFERROR(__xludf.DUMMYFUNCTION("""COMPUTED_VALUE"""),21.0)</f>
        <v>21</v>
      </c>
      <c r="G649" s="32">
        <f>IFERROR(__xludf.DUMMYFUNCTION("""COMPUTED_VALUE"""),24143.0)</f>
        <v>24143</v>
      </c>
      <c r="H649" s="33" t="str">
        <f>IFERROR(__xludf.DUMMYFUNCTION("""COMPUTED_VALUE"""),"")</f>
        <v/>
      </c>
      <c r="I649" s="34">
        <f>IFERROR(__xludf.DUMMYFUNCTION("""COMPUTED_VALUE"""),101.95781987719283)</f>
        <v>101.9578199</v>
      </c>
      <c r="J649" s="35" t="str">
        <f>IFERROR(__xludf.DUMMYFUNCTION("""COMPUTED_VALUE"""),"AP")</f>
        <v>AP</v>
      </c>
      <c r="K649" s="34">
        <f>IFERROR(__xludf.DUMMYFUNCTION("""COMPUTED_VALUE"""),20.596752681936795)</f>
        <v>20.59675268</v>
      </c>
      <c r="L649" s="35" t="str">
        <f>IFERROR(__xludf.DUMMYFUNCTION("""COMPUTED_VALUE"""),"%")</f>
        <v>%</v>
      </c>
      <c r="M649" s="36">
        <f>IFERROR(__xludf.DUMMYFUNCTION("""COMPUTED_VALUE"""),1.0)</f>
        <v>1</v>
      </c>
      <c r="N649" s="37" t="str">
        <f>IFERROR(__xludf.DUMMYFUNCTION("""COMPUTED_VALUE"""),"A213")</f>
        <v>A213</v>
      </c>
      <c r="O649" s="38" t="str">
        <f>IFERROR(__xludf.DUMMYFUNCTION("""COMPUTED_VALUE"""),"")</f>
        <v/>
      </c>
      <c r="P649" s="34">
        <f>IFERROR(__xludf.DUMMYFUNCTION("""COMPUTED_VALUE"""),84.15336735964149)</f>
        <v>84.15336736</v>
      </c>
      <c r="Q649" s="35" t="str">
        <f>IFERROR(__xludf.DUMMYFUNCTION("""COMPUTED_VALUE"""),"AP")</f>
        <v>AP</v>
      </c>
      <c r="R649" s="34">
        <f>IFERROR(__xludf.DUMMYFUNCTION("""COMPUTED_VALUE"""),24.954438139419292)</f>
        <v>24.95443814</v>
      </c>
      <c r="S649" s="35" t="str">
        <f>IFERROR(__xludf.DUMMYFUNCTION("""COMPUTED_VALUE"""),"%")</f>
        <v>%</v>
      </c>
      <c r="T649" s="36">
        <f>IFERROR(__xludf.DUMMYFUNCTION("""COMPUTED_VALUE"""),2.0)</f>
        <v>2</v>
      </c>
      <c r="U649" s="37" t="str">
        <f>IFERROR(__xludf.DUMMYFUNCTION("""COMPUTED_VALUE"""),"B107")</f>
        <v>B107</v>
      </c>
      <c r="V649" s="38" t="str">
        <f>IFERROR(__xludf.DUMMYFUNCTION("""COMPUTED_VALUE"""),"")</f>
        <v/>
      </c>
      <c r="W649" s="34">
        <f>IFERROR(__xludf.DUMMYFUNCTION("""COMPUTED_VALUE"""),658.1173355144512)</f>
        <v>658.1173355</v>
      </c>
      <c r="X649" s="35" t="str">
        <f>IFERROR(__xludf.DUMMYFUNCTION("""COMPUTED_VALUE"""),"AP")</f>
        <v>AP</v>
      </c>
      <c r="Y649" s="34">
        <f>IFERROR(__xludf.DUMMYFUNCTION("""COMPUTED_VALUE"""),3.1909203521563936)</f>
        <v>3.190920352</v>
      </c>
      <c r="Z649" s="35" t="str">
        <f>IFERROR(__xludf.DUMMYFUNCTION("""COMPUTED_VALUE"""),"%")</f>
        <v>%</v>
      </c>
      <c r="AA649" s="36">
        <f>IFERROR(__xludf.DUMMYFUNCTION("""COMPUTED_VALUE"""),3.0)</f>
        <v>3</v>
      </c>
      <c r="AB649" s="37" t="str">
        <f>IFERROR(__xludf.DUMMYFUNCTION("""COMPUTED_VALUE"""),"B116")</f>
        <v>B116</v>
      </c>
      <c r="AC649" s="38" t="str">
        <f>IFERROR(__xludf.DUMMYFUNCTION("""COMPUTED_VALUE"""),"")</f>
        <v/>
      </c>
      <c r="AD649" s="34">
        <f>IFERROR(__xludf.DUMMYFUNCTION("""COMPUTED_VALUE"""),59.62815786085435)</f>
        <v>59.62815786</v>
      </c>
      <c r="AE649" s="35" t="str">
        <f>IFERROR(__xludf.DUMMYFUNCTION("""COMPUTED_VALUE"""),"AP")</f>
        <v>AP</v>
      </c>
      <c r="AF649" s="34">
        <f>IFERROR(__xludf.DUMMYFUNCTION("""COMPUTED_VALUE"""),35.21826055570034)</f>
        <v>35.21826056</v>
      </c>
      <c r="AG649" s="35" t="str">
        <f>IFERROR(__xludf.DUMMYFUNCTION("""COMPUTED_VALUE"""),"%")</f>
        <v>%</v>
      </c>
      <c r="AH649" s="31">
        <f>IFERROR(__xludf.DUMMYFUNCTION("""COMPUTED_VALUE"""),21.0)</f>
        <v>21</v>
      </c>
      <c r="AI649" s="32">
        <f>IFERROR(__xludf.DUMMYFUNCTION("""COMPUTED_VALUE"""),24143.0)</f>
        <v>24143</v>
      </c>
      <c r="AJ649" s="30" t="str">
        <f>IFERROR(__xludf.DUMMYFUNCTION("""COMPUTED_VALUE"""),"Yaga Ryazan")</f>
        <v>Yaga Ryazan</v>
      </c>
    </row>
    <row r="650" ht="24.75" customHeight="1">
      <c r="A650" s="40">
        <f>IFERROR(__xludf.DUMMYFUNCTION("""COMPUTED_VALUE"""),4.0)</f>
        <v>4</v>
      </c>
      <c r="B650" s="40" t="str">
        <f>IFERROR(__xludf.DUMMYFUNCTION("""COMPUTED_VALUE"""),"A101")</f>
        <v>A101</v>
      </c>
      <c r="C650" s="40" t="str">
        <f>IFERROR(__xludf.DUMMYFUNCTION("""COMPUTED_VALUE"""),"SJK4")</f>
        <v>SJK4</v>
      </c>
      <c r="D650" s="41" t="str">
        <f>IFERROR(__xludf.DUMMYFUNCTION("""COMPUTED_VALUE"""),"Shinjuku")</f>
        <v>Shinjuku</v>
      </c>
      <c r="E650" s="42" t="str">
        <f>IFERROR(__xludf.DUMMYFUNCTION("""COMPUTED_VALUE"""),"Shinjuku 4-Chome")</f>
        <v>Shinjuku 4-Chome</v>
      </c>
      <c r="F650" s="43">
        <f>IFERROR(__xludf.DUMMYFUNCTION("""COMPUTED_VALUE"""),21.0)</f>
        <v>21</v>
      </c>
      <c r="G650" s="44">
        <f>IFERROR(__xludf.DUMMYFUNCTION("""COMPUTED_VALUE"""),50704.0)</f>
        <v>50704</v>
      </c>
      <c r="H650" s="33" t="str">
        <f>IFERROR(__xludf.DUMMYFUNCTION("""COMPUTED_VALUE"""),"")</f>
        <v/>
      </c>
      <c r="I650" s="45">
        <f>IFERROR(__xludf.DUMMYFUNCTION("""COMPUTED_VALUE"""),115.74997282313294)</f>
        <v>115.7499728</v>
      </c>
      <c r="J650" s="46" t="str">
        <f>IFERROR(__xludf.DUMMYFUNCTION("""COMPUTED_VALUE"""),"AP")</f>
        <v>AP</v>
      </c>
      <c r="K650" s="47">
        <f>IFERROR(__xludf.DUMMYFUNCTION("""COMPUTED_VALUE"""),18.142552855790473)</f>
        <v>18.14255286</v>
      </c>
      <c r="L650" s="48" t="str">
        <f>IFERROR(__xludf.DUMMYFUNCTION("""COMPUTED_VALUE"""),"%")</f>
        <v>%</v>
      </c>
      <c r="M650" s="49">
        <f>IFERROR(__xludf.DUMMYFUNCTION("""COMPUTED_VALUE"""),1.0)</f>
        <v>1</v>
      </c>
      <c r="N650" s="50" t="str">
        <f>IFERROR(__xludf.DUMMYFUNCTION("""COMPUTED_VALUE"""),"A307")</f>
        <v>A307</v>
      </c>
      <c r="O650" s="38" t="str">
        <f>IFERROR(__xludf.DUMMYFUNCTION("""COMPUTED_VALUE"""),"")</f>
        <v/>
      </c>
      <c r="P650" s="45">
        <f>IFERROR(__xludf.DUMMYFUNCTION("""COMPUTED_VALUE"""),51.721183270996264)</f>
        <v>51.72118327</v>
      </c>
      <c r="Q650" s="46" t="str">
        <f>IFERROR(__xludf.DUMMYFUNCTION("""COMPUTED_VALUE"""),"AP")</f>
        <v>AP</v>
      </c>
      <c r="R650" s="47">
        <f>IFERROR(__xludf.DUMMYFUNCTION("""COMPUTED_VALUE"""),40.602319343641526)</f>
        <v>40.60231934</v>
      </c>
      <c r="S650" s="48" t="str">
        <f>IFERROR(__xludf.DUMMYFUNCTION("""COMPUTED_VALUE"""),"%")</f>
        <v>%</v>
      </c>
      <c r="T650" s="49">
        <f>IFERROR(__xludf.DUMMYFUNCTION("""COMPUTED_VALUE"""),2.0)</f>
        <v>2</v>
      </c>
      <c r="U650" s="50" t="str">
        <f>IFERROR(__xludf.DUMMYFUNCTION("""COMPUTED_VALUE"""),"B107")</f>
        <v>B107</v>
      </c>
      <c r="V650" s="38" t="str">
        <f>IFERROR(__xludf.DUMMYFUNCTION("""COMPUTED_VALUE"""),"")</f>
        <v/>
      </c>
      <c r="W650" s="45">
        <f>IFERROR(__xludf.DUMMYFUNCTION("""COMPUTED_VALUE"""),413.02715283165253)</f>
        <v>413.0271528</v>
      </c>
      <c r="X650" s="46" t="str">
        <f>IFERROR(__xludf.DUMMYFUNCTION("""COMPUTED_VALUE"""),"AP")</f>
        <v>AP</v>
      </c>
      <c r="Y650" s="47">
        <f>IFERROR(__xludf.DUMMYFUNCTION("""COMPUTED_VALUE"""),5.084411486273272)</f>
        <v>5.084411486</v>
      </c>
      <c r="Z650" s="48" t="str">
        <f>IFERROR(__xludf.DUMMYFUNCTION("""COMPUTED_VALUE"""),"%")</f>
        <v>%</v>
      </c>
      <c r="AA650" s="49">
        <f>IFERROR(__xludf.DUMMYFUNCTION("""COMPUTED_VALUE"""),3.0)</f>
        <v>3</v>
      </c>
      <c r="AB650" s="50"/>
      <c r="AC650" s="38"/>
      <c r="AD650" s="45" t="str">
        <f>IFERROR(__xludf.DUMMYFUNCTION("""COMPUTED_VALUE"""),"")</f>
        <v/>
      </c>
      <c r="AE650" s="46" t="str">
        <f>IFERROR(__xludf.DUMMYFUNCTION("""COMPUTED_VALUE"""),"AP")</f>
        <v>AP</v>
      </c>
      <c r="AF650" s="47" t="str">
        <f>IFERROR(__xludf.DUMMYFUNCTION("""COMPUTED_VALUE"""),"")</f>
        <v/>
      </c>
      <c r="AG650" s="48" t="str">
        <f>IFERROR(__xludf.DUMMYFUNCTION("""COMPUTED_VALUE"""),"%")</f>
        <v>%</v>
      </c>
      <c r="AH650" s="43">
        <f>IFERROR(__xludf.DUMMYFUNCTION("""COMPUTED_VALUE"""),21.0)</f>
        <v>21</v>
      </c>
      <c r="AI650" s="44">
        <f>IFERROR(__xludf.DUMMYFUNCTION("""COMPUTED_VALUE"""),50704.0)</f>
        <v>50704</v>
      </c>
      <c r="AJ650" s="42" t="str">
        <f>IFERROR(__xludf.DUMMYFUNCTION("""COMPUTED_VALUE"""),"Shinjuku 4-Chome")</f>
        <v>Shinjuku 4-Chome</v>
      </c>
    </row>
    <row r="651" ht="24.75" customHeight="1">
      <c r="A651" s="28">
        <f>IFERROR(__xludf.DUMMYFUNCTION("""COMPUTED_VALUE"""),5.0)</f>
        <v>5</v>
      </c>
      <c r="B651" s="28" t="str">
        <f>IFERROR(__xludf.DUMMYFUNCTION("""COMPUTED_VALUE"""),"A101")</f>
        <v>A101</v>
      </c>
      <c r="C651" s="28" t="str">
        <f>IFERROR(__xludf.DUMMYFUNCTION("""COMPUTED_VALUE"""),"BBL6")</f>
        <v>BBL6</v>
      </c>
      <c r="D651" s="29" t="str">
        <f>IFERROR(__xludf.DUMMYFUNCTION("""COMPUTED_VALUE"""),"Babylonia")</f>
        <v>Babylonia</v>
      </c>
      <c r="E651" s="30" t="str">
        <f>IFERROR(__xludf.DUMMYFUNCTION("""COMPUTED_VALUE"""),"Ur")</f>
        <v>Ur</v>
      </c>
      <c r="F651" s="31">
        <f>IFERROR(__xludf.DUMMYFUNCTION("""COMPUTED_VALUE"""),21.0)</f>
        <v>21</v>
      </c>
      <c r="G651" s="32">
        <f>IFERROR(__xludf.DUMMYFUNCTION("""COMPUTED_VALUE"""),22829.0)</f>
        <v>22829</v>
      </c>
      <c r="H651" s="33" t="str">
        <f>IFERROR(__xludf.DUMMYFUNCTION("""COMPUTED_VALUE"""),"")</f>
        <v/>
      </c>
      <c r="I651" s="34">
        <f>IFERROR(__xludf.DUMMYFUNCTION("""COMPUTED_VALUE"""),115.80755532279602)</f>
        <v>115.8075553</v>
      </c>
      <c r="J651" s="35" t="str">
        <f>IFERROR(__xludf.DUMMYFUNCTION("""COMPUTED_VALUE"""),"AP")</f>
        <v>AP</v>
      </c>
      <c r="K651" s="34">
        <f>IFERROR(__xludf.DUMMYFUNCTION("""COMPUTED_VALUE"""),18.133531911165623)</f>
        <v>18.13353191</v>
      </c>
      <c r="L651" s="35" t="str">
        <f>IFERROR(__xludf.DUMMYFUNCTION("""COMPUTED_VALUE"""),"%")</f>
        <v>%</v>
      </c>
      <c r="M651" s="36">
        <f>IFERROR(__xludf.DUMMYFUNCTION("""COMPUTED_VALUE"""),1.0)</f>
        <v>1</v>
      </c>
      <c r="N651" s="37" t="str">
        <f>IFERROR(__xludf.DUMMYFUNCTION("""COMPUTED_VALUE"""),"A201")</f>
        <v>A201</v>
      </c>
      <c r="O651" s="38" t="str">
        <f>IFERROR(__xludf.DUMMYFUNCTION("""COMPUTED_VALUE"""),"")</f>
        <v/>
      </c>
      <c r="P651" s="34">
        <f>IFERROR(__xludf.DUMMYFUNCTION("""COMPUTED_VALUE"""),88.37045289652039)</f>
        <v>88.3704529</v>
      </c>
      <c r="Q651" s="35" t="str">
        <f>IFERROR(__xludf.DUMMYFUNCTION("""COMPUTED_VALUE"""),"AP")</f>
        <v>AP</v>
      </c>
      <c r="R651" s="34">
        <f>IFERROR(__xludf.DUMMYFUNCTION("""COMPUTED_VALUE"""),23.763598931184024)</f>
        <v>23.76359893</v>
      </c>
      <c r="S651" s="35" t="str">
        <f>IFERROR(__xludf.DUMMYFUNCTION("""COMPUTED_VALUE"""),"%")</f>
        <v>%</v>
      </c>
      <c r="T651" s="36">
        <f>IFERROR(__xludf.DUMMYFUNCTION("""COMPUTED_VALUE"""),2.0)</f>
        <v>2</v>
      </c>
      <c r="U651" s="37" t="str">
        <f>IFERROR(__xludf.DUMMYFUNCTION("""COMPUTED_VALUE"""),"B111")</f>
        <v>B111</v>
      </c>
      <c r="V651" s="38" t="str">
        <f>IFERROR(__xludf.DUMMYFUNCTION("""COMPUTED_VALUE"""),"")</f>
        <v/>
      </c>
      <c r="W651" s="34">
        <f>IFERROR(__xludf.DUMMYFUNCTION("""COMPUTED_VALUE"""),240.8112685904417)</f>
        <v>240.8112686</v>
      </c>
      <c r="X651" s="35" t="str">
        <f>IFERROR(__xludf.DUMMYFUNCTION("""COMPUTED_VALUE"""),"AP")</f>
        <v>AP</v>
      </c>
      <c r="Y651" s="34">
        <f>IFERROR(__xludf.DUMMYFUNCTION("""COMPUTED_VALUE"""),8.72052214288843)</f>
        <v>8.720522143</v>
      </c>
      <c r="Z651" s="35" t="str">
        <f>IFERROR(__xludf.DUMMYFUNCTION("""COMPUTED_VALUE"""),"%")</f>
        <v>%</v>
      </c>
      <c r="AA651" s="36">
        <f>IFERROR(__xludf.DUMMYFUNCTION("""COMPUTED_VALUE"""),3.0)</f>
        <v>3</v>
      </c>
      <c r="AB651" s="37" t="str">
        <f>IFERROR(__xludf.DUMMYFUNCTION("""COMPUTED_VALUE"""),"B116")</f>
        <v>B116</v>
      </c>
      <c r="AC651" s="38" t="str">
        <f>IFERROR(__xludf.DUMMYFUNCTION("""COMPUTED_VALUE"""),"")</f>
        <v/>
      </c>
      <c r="AD651" s="34">
        <f>IFERROR(__xludf.DUMMYFUNCTION("""COMPUTED_VALUE"""),231.02444938760877)</f>
        <v>231.0244494</v>
      </c>
      <c r="AE651" s="35" t="str">
        <f>IFERROR(__xludf.DUMMYFUNCTION("""COMPUTED_VALUE"""),"AP")</f>
        <v>AP</v>
      </c>
      <c r="AF651" s="34">
        <f>IFERROR(__xludf.DUMMYFUNCTION("""COMPUTED_VALUE"""),9.089946997240352)</f>
        <v>9.089946997</v>
      </c>
      <c r="AG651" s="35" t="str">
        <f>IFERROR(__xludf.DUMMYFUNCTION("""COMPUTED_VALUE"""),"%")</f>
        <v>%</v>
      </c>
      <c r="AH651" s="31">
        <f>IFERROR(__xludf.DUMMYFUNCTION("""COMPUTED_VALUE"""),21.0)</f>
        <v>21</v>
      </c>
      <c r="AI651" s="32">
        <f>IFERROR(__xludf.DUMMYFUNCTION("""COMPUTED_VALUE"""),22829.0)</f>
        <v>22829</v>
      </c>
      <c r="AJ651" s="30" t="str">
        <f>IFERROR(__xludf.DUMMYFUNCTION("""COMPUTED_VALUE"""),"Ur")</f>
        <v>Ur</v>
      </c>
    </row>
    <row r="652" ht="24.75" customHeight="1">
      <c r="A652" s="40">
        <f>IFERROR(__xludf.DUMMYFUNCTION("""COMPUTED_VALUE"""),6.0)</f>
        <v>6</v>
      </c>
      <c r="B652" s="40" t="str">
        <f>IFERROR(__xludf.DUMMYFUNCTION("""COMPUTED_VALUE"""),"A101")</f>
        <v>A101</v>
      </c>
      <c r="C652" s="40" t="str">
        <f>IFERROR(__xludf.DUMMYFUNCTION("""COMPUTED_VALUE"""),"TRF11")</f>
        <v>TRF11</v>
      </c>
      <c r="D652" s="41" t="str">
        <f>IFERROR(__xludf.DUMMYFUNCTION("""COMPUTED_VALUE"""),"Chaldea Gate (Wed)")</f>
        <v>Chaldea Gate (Wed)</v>
      </c>
      <c r="E652" s="42" t="str">
        <f>IFERROR(__xludf.DUMMYFUNCTION("""COMPUTED_VALUE"""),"WED Berserker Training Ground- Adv")</f>
        <v>WED Berserker Training Ground- Adv</v>
      </c>
      <c r="F652" s="43">
        <f>IFERROR(__xludf.DUMMYFUNCTION("""COMPUTED_VALUE"""),30.0)</f>
        <v>30</v>
      </c>
      <c r="G652" s="44">
        <f>IFERROR(__xludf.DUMMYFUNCTION("""COMPUTED_VALUE"""),1103.0)</f>
        <v>1103</v>
      </c>
      <c r="H652" s="33" t="str">
        <f>IFERROR(__xludf.DUMMYFUNCTION("""COMPUTED_VALUE"""),"")</f>
        <v/>
      </c>
      <c r="I652" s="45">
        <f>IFERROR(__xludf.DUMMYFUNCTION("""COMPUTED_VALUE"""),389.29411764705884)</f>
        <v>389.2941176</v>
      </c>
      <c r="J652" s="46" t="str">
        <f>IFERROR(__xludf.DUMMYFUNCTION("""COMPUTED_VALUE"""),"AP")</f>
        <v>AP</v>
      </c>
      <c r="K652" s="47">
        <f>IFERROR(__xludf.DUMMYFUNCTION("""COMPUTED_VALUE"""),7.70625566636446)</f>
        <v>7.706255666</v>
      </c>
      <c r="L652" s="48" t="str">
        <f>IFERROR(__xludf.DUMMYFUNCTION("""COMPUTED_VALUE"""),"%")</f>
        <v>%</v>
      </c>
      <c r="M652" s="49">
        <f>IFERROR(__xludf.DUMMYFUNCTION("""COMPUTED_VALUE"""),1.0)</f>
        <v>1</v>
      </c>
      <c r="N652" s="50" t="str">
        <f>IFERROR(__xludf.DUMMYFUNCTION("""COMPUTED_VALUE"""),"A203")</f>
        <v>A203</v>
      </c>
      <c r="O652" s="38" t="str">
        <f>IFERROR(__xludf.DUMMYFUNCTION("""COMPUTED_VALUE"""),"")</f>
        <v/>
      </c>
      <c r="P652" s="45">
        <f>IFERROR(__xludf.DUMMYFUNCTION("""COMPUTED_VALUE"""),228.20689655172416)</f>
        <v>228.2068966</v>
      </c>
      <c r="Q652" s="46" t="str">
        <f>IFERROR(__xludf.DUMMYFUNCTION("""COMPUTED_VALUE"""),"AP")</f>
        <v>AP</v>
      </c>
      <c r="R652" s="47">
        <f>IFERROR(__xludf.DUMMYFUNCTION("""COMPUTED_VALUE"""),13.14596554850408)</f>
        <v>13.14596555</v>
      </c>
      <c r="S652" s="48" t="str">
        <f>IFERROR(__xludf.DUMMYFUNCTION("""COMPUTED_VALUE"""),"%")</f>
        <v>%</v>
      </c>
      <c r="T652" s="49">
        <f>IFERROR(__xludf.DUMMYFUNCTION("""COMPUTED_VALUE"""),2.0)</f>
        <v>2</v>
      </c>
      <c r="U652" s="50" t="str">
        <f>IFERROR(__xludf.DUMMYFUNCTION("""COMPUTED_VALUE"""),"A301")</f>
        <v>A301</v>
      </c>
      <c r="V652" s="38" t="str">
        <f>IFERROR(__xludf.DUMMYFUNCTION("""COMPUTED_VALUE"""),"")</f>
        <v/>
      </c>
      <c r="W652" s="45">
        <f>IFERROR(__xludf.DUMMYFUNCTION("""COMPUTED_VALUE"""),213.48387096774195)</f>
        <v>213.483871</v>
      </c>
      <c r="X652" s="46" t="str">
        <f>IFERROR(__xludf.DUMMYFUNCTION("""COMPUTED_VALUE"""),"AP")</f>
        <v>AP</v>
      </c>
      <c r="Y652" s="47">
        <f>IFERROR(__xludf.DUMMYFUNCTION("""COMPUTED_VALUE"""),14.052583862194016)</f>
        <v>14.05258386</v>
      </c>
      <c r="Z652" s="48" t="str">
        <f>IFERROR(__xludf.DUMMYFUNCTION("""COMPUTED_VALUE"""),"%")</f>
        <v>%</v>
      </c>
      <c r="AA652" s="49">
        <f>IFERROR(__xludf.DUMMYFUNCTION("""COMPUTED_VALUE"""),3.0)</f>
        <v>3</v>
      </c>
      <c r="AB652" s="50" t="str">
        <f>IFERROR(__xludf.DUMMYFUNCTION("""COMPUTED_VALUE"""),"A304")</f>
        <v>A304</v>
      </c>
      <c r="AC652" s="38" t="str">
        <f>IFERROR(__xludf.DUMMYFUNCTION("""COMPUTED_VALUE"""),"")</f>
        <v/>
      </c>
      <c r="AD652" s="45">
        <f>IFERROR(__xludf.DUMMYFUNCTION("""COMPUTED_VALUE"""),149.05405405405406)</f>
        <v>149.0540541</v>
      </c>
      <c r="AE652" s="46" t="str">
        <f>IFERROR(__xludf.DUMMYFUNCTION("""COMPUTED_VALUE"""),"AP")</f>
        <v>AP</v>
      </c>
      <c r="AF652" s="47">
        <f>IFERROR(__xludf.DUMMYFUNCTION("""COMPUTED_VALUE"""),20.12692656391659)</f>
        <v>20.12692656</v>
      </c>
      <c r="AG652" s="48" t="str">
        <f>IFERROR(__xludf.DUMMYFUNCTION("""COMPUTED_VALUE"""),"%")</f>
        <v>%</v>
      </c>
      <c r="AH652" s="43">
        <f>IFERROR(__xludf.DUMMYFUNCTION("""COMPUTED_VALUE"""),30.0)</f>
        <v>30</v>
      </c>
      <c r="AI652" s="44">
        <f>IFERROR(__xludf.DUMMYFUNCTION("""COMPUTED_VALUE"""),1103.0)</f>
        <v>1103</v>
      </c>
      <c r="AJ652" s="42" t="str">
        <f>IFERROR(__xludf.DUMMYFUNCTION("""COMPUTED_VALUE"""),"WED Berserker Training Ground- Adv")</f>
        <v>WED Berserker Training Ground- Adv</v>
      </c>
    </row>
    <row r="653" ht="24.75" customHeight="1">
      <c r="A653" s="28">
        <f>IFERROR(__xludf.DUMMYFUNCTION("""COMPUTED_VALUE"""),7.0)</f>
        <v>7</v>
      </c>
      <c r="B653" s="28" t="str">
        <f>IFERROR(__xludf.DUMMYFUNCTION("""COMPUTED_VALUE"""),"A101")</f>
        <v>A101</v>
      </c>
      <c r="C653" s="28" t="str">
        <f>IFERROR(__xludf.DUMMYFUNCTION("""COMPUTED_VALUE"""),"SEP6")</f>
        <v>SEP6</v>
      </c>
      <c r="D653" s="29" t="str">
        <f>IFERROR(__xludf.DUMMYFUNCTION("""COMPUTED_VALUE"""),"Septem")</f>
        <v>Septem</v>
      </c>
      <c r="E653" s="30" t="str">
        <f>IFERROR(__xludf.DUMMYFUNCTION("""COMPUTED_VALUE"""),"Germania")</f>
        <v>Germania</v>
      </c>
      <c r="F653" s="31">
        <f>IFERROR(__xludf.DUMMYFUNCTION("""COMPUTED_VALUE"""),15.0)</f>
        <v>15</v>
      </c>
      <c r="G653" s="32">
        <f>IFERROR(__xludf.DUMMYFUNCTION("""COMPUTED_VALUE"""),4301.0)</f>
        <v>4301</v>
      </c>
      <c r="H653" s="33" t="str">
        <f>IFERROR(__xludf.DUMMYFUNCTION("""COMPUTED_VALUE"""),"")</f>
        <v/>
      </c>
      <c r="I653" s="34">
        <f>IFERROR(__xludf.DUMMYFUNCTION("""COMPUTED_VALUE"""),436.70886075949363)</f>
        <v>436.7088608</v>
      </c>
      <c r="J653" s="35" t="str">
        <f>IFERROR(__xludf.DUMMYFUNCTION("""COMPUTED_VALUE"""),"AP")</f>
        <v>AP</v>
      </c>
      <c r="K653" s="34">
        <f>IFERROR(__xludf.DUMMYFUNCTION("""COMPUTED_VALUE"""),3.4347826086956523)</f>
        <v>3.434782609</v>
      </c>
      <c r="L653" s="35" t="str">
        <f>IFERROR(__xludf.DUMMYFUNCTION("""COMPUTED_VALUE"""),"%")</f>
        <v>%</v>
      </c>
      <c r="M653" s="36">
        <f>IFERROR(__xludf.DUMMYFUNCTION("""COMPUTED_VALUE"""),1.0)</f>
        <v>1</v>
      </c>
      <c r="N653" s="37" t="str">
        <f>IFERROR(__xludf.DUMMYFUNCTION("""COMPUTED_VALUE"""),"A302")</f>
        <v>A302</v>
      </c>
      <c r="O653" s="38" t="str">
        <f>IFERROR(__xludf.DUMMYFUNCTION("""COMPUTED_VALUE"""),"")</f>
        <v/>
      </c>
      <c r="P653" s="34">
        <f>IFERROR(__xludf.DUMMYFUNCTION("""COMPUTED_VALUE"""),31.507080119259538)</f>
        <v>31.50708012</v>
      </c>
      <c r="Q653" s="35" t="str">
        <f>IFERROR(__xludf.DUMMYFUNCTION("""COMPUTED_VALUE"""),"AP")</f>
        <v>AP</v>
      </c>
      <c r="R653" s="34">
        <f>IFERROR(__xludf.DUMMYFUNCTION("""COMPUTED_VALUE"""),47.60834689607068)</f>
        <v>47.6083469</v>
      </c>
      <c r="S653" s="35" t="str">
        <f>IFERROR(__xludf.DUMMYFUNCTION("""COMPUTED_VALUE"""),"%")</f>
        <v>%</v>
      </c>
      <c r="T653" s="36">
        <f>IFERROR(__xludf.DUMMYFUNCTION("""COMPUTED_VALUE"""),2.0)</f>
        <v>2</v>
      </c>
      <c r="U653" s="37" t="str">
        <f>IFERROR(__xludf.DUMMYFUNCTION("""COMPUTED_VALUE"""),"B117")</f>
        <v>B117</v>
      </c>
      <c r="V653" s="38" t="str">
        <f>IFERROR(__xludf.DUMMYFUNCTION("""COMPUTED_VALUE"""),"")</f>
        <v/>
      </c>
      <c r="W653" s="34">
        <f>IFERROR(__xludf.DUMMYFUNCTION("""COMPUTED_VALUE"""),187.9221804390822)</f>
        <v>187.9221804</v>
      </c>
      <c r="X653" s="35" t="str">
        <f>IFERROR(__xludf.DUMMYFUNCTION("""COMPUTED_VALUE"""),"AP")</f>
        <v>AP</v>
      </c>
      <c r="Y653" s="34">
        <f>IFERROR(__xludf.DUMMYFUNCTION("""COMPUTED_VALUE"""),7.982027435480122)</f>
        <v>7.982027435</v>
      </c>
      <c r="Z653" s="35" t="str">
        <f>IFERROR(__xludf.DUMMYFUNCTION("""COMPUTED_VALUE"""),"%")</f>
        <v>%</v>
      </c>
      <c r="AA653" s="36">
        <f>IFERROR(__xludf.DUMMYFUNCTION("""COMPUTED_VALUE"""),3.0)</f>
        <v>3</v>
      </c>
      <c r="AB653" s="37"/>
      <c r="AC653" s="38"/>
      <c r="AD653" s="34" t="str">
        <f>IFERROR(__xludf.DUMMYFUNCTION("""COMPUTED_VALUE"""),"")</f>
        <v/>
      </c>
      <c r="AE653" s="35" t="str">
        <f>IFERROR(__xludf.DUMMYFUNCTION("""COMPUTED_VALUE"""),"AP")</f>
        <v>AP</v>
      </c>
      <c r="AF653" s="34" t="str">
        <f>IFERROR(__xludf.DUMMYFUNCTION("""COMPUTED_VALUE"""),"")</f>
        <v/>
      </c>
      <c r="AG653" s="35" t="str">
        <f>IFERROR(__xludf.DUMMYFUNCTION("""COMPUTED_VALUE"""),"%")</f>
        <v>%</v>
      </c>
      <c r="AH653" s="31">
        <f>IFERROR(__xludf.DUMMYFUNCTION("""COMPUTED_VALUE"""),15.0)</f>
        <v>15</v>
      </c>
      <c r="AI653" s="32">
        <f>IFERROR(__xludf.DUMMYFUNCTION("""COMPUTED_VALUE"""),4301.0)</f>
        <v>4301</v>
      </c>
      <c r="AJ653" s="30" t="str">
        <f>IFERROR(__xludf.DUMMYFUNCTION("""COMPUTED_VALUE"""),"Germania")</f>
        <v>Germania</v>
      </c>
    </row>
    <row r="654" ht="24.75" customHeight="1">
      <c r="A654" s="40">
        <f>IFERROR(__xludf.DUMMYFUNCTION("""COMPUTED_VALUE"""),8.0)</f>
        <v>8</v>
      </c>
      <c r="B654" s="40" t="str">
        <f>IFERROR(__xludf.DUMMYFUNCTION("""COMPUTED_VALUE"""),"A101")</f>
        <v>A101</v>
      </c>
      <c r="C654" s="40" t="str">
        <f>IFERROR(__xludf.DUMMYFUNCTION("""COMPUTED_VALUE"""),"TRF12")</f>
        <v>TRF12</v>
      </c>
      <c r="D654" s="41" t="str">
        <f>IFERROR(__xludf.DUMMYFUNCTION("""COMPUTED_VALUE"""),"Chaldea Gate (Wed)")</f>
        <v>Chaldea Gate (Wed)</v>
      </c>
      <c r="E654" s="42" t="str">
        <f>IFERROR(__xludf.DUMMYFUNCTION("""COMPUTED_VALUE"""),"WED Berserker Training Ground- Exp")</f>
        <v>WED Berserker Training Ground- Exp</v>
      </c>
      <c r="F654" s="43">
        <f>IFERROR(__xludf.DUMMYFUNCTION("""COMPUTED_VALUE"""),40.0)</f>
        <v>40</v>
      </c>
      <c r="G654" s="44">
        <f>IFERROR(__xludf.DUMMYFUNCTION("""COMPUTED_VALUE"""),3737.0)</f>
        <v>3737</v>
      </c>
      <c r="H654" s="33" t="str">
        <f>IFERROR(__xludf.DUMMYFUNCTION("""COMPUTED_VALUE"""),"")</f>
        <v/>
      </c>
      <c r="I654" s="45">
        <f>IFERROR(__xludf.DUMMYFUNCTION("""COMPUTED_VALUE"""),491.8885122906316)</f>
        <v>491.8885123</v>
      </c>
      <c r="J654" s="46" t="str">
        <f>IFERROR(__xludf.DUMMYFUNCTION("""COMPUTED_VALUE"""),"AP")</f>
        <v>AP</v>
      </c>
      <c r="K654" s="47">
        <f>IFERROR(__xludf.DUMMYFUNCTION("""COMPUTED_VALUE"""),8.13192400321113)</f>
        <v>8.131924003</v>
      </c>
      <c r="L654" s="48" t="str">
        <f>IFERROR(__xludf.DUMMYFUNCTION("""COMPUTED_VALUE"""),"%")</f>
        <v>%</v>
      </c>
      <c r="M654" s="49">
        <f>IFERROR(__xludf.DUMMYFUNCTION("""COMPUTED_VALUE"""),1.0)</f>
        <v>1</v>
      </c>
      <c r="N654" s="50" t="str">
        <f>IFERROR(__xludf.DUMMYFUNCTION("""COMPUTED_VALUE"""),"A203")</f>
        <v>A203</v>
      </c>
      <c r="O654" s="38" t="str">
        <f>IFERROR(__xludf.DUMMYFUNCTION("""COMPUTED_VALUE"""),"")</f>
        <v/>
      </c>
      <c r="P654" s="45">
        <f>IFERROR(__xludf.DUMMYFUNCTION("""COMPUTED_VALUE"""),252.6002720674592)</f>
        <v>252.6002721</v>
      </c>
      <c r="Q654" s="46" t="str">
        <f>IFERROR(__xludf.DUMMYFUNCTION("""COMPUTED_VALUE"""),"AP")</f>
        <v>AP</v>
      </c>
      <c r="R654" s="47">
        <f>IFERROR(__xludf.DUMMYFUNCTION("""COMPUTED_VALUE"""),15.835295691731336)</f>
        <v>15.83529569</v>
      </c>
      <c r="S654" s="48" t="str">
        <f>IFERROR(__xludf.DUMMYFUNCTION("""COMPUTED_VALUE"""),"%")</f>
        <v>%</v>
      </c>
      <c r="T654" s="49">
        <f>IFERROR(__xludf.DUMMYFUNCTION("""COMPUTED_VALUE"""),2.0)</f>
        <v>2</v>
      </c>
      <c r="U654" s="50" t="str">
        <f>IFERROR(__xludf.DUMMYFUNCTION("""COMPUTED_VALUE"""),"A301")</f>
        <v>A301</v>
      </c>
      <c r="V654" s="38" t="str">
        <f>IFERROR(__xludf.DUMMYFUNCTION("""COMPUTED_VALUE"""),"")</f>
        <v/>
      </c>
      <c r="W654" s="45">
        <f>IFERROR(__xludf.DUMMYFUNCTION("""COMPUTED_VALUE"""),174.17445410267763)</f>
        <v>174.1744541</v>
      </c>
      <c r="X654" s="46" t="str">
        <f>IFERROR(__xludf.DUMMYFUNCTION("""COMPUTED_VALUE"""),"AP")</f>
        <v>AP</v>
      </c>
      <c r="Y654" s="47">
        <f>IFERROR(__xludf.DUMMYFUNCTION("""COMPUTED_VALUE"""),22.965480331816966)</f>
        <v>22.96548033</v>
      </c>
      <c r="Z654" s="48" t="str">
        <f>IFERROR(__xludf.DUMMYFUNCTION("""COMPUTED_VALUE"""),"%")</f>
        <v>%</v>
      </c>
      <c r="AA654" s="49">
        <f>IFERROR(__xludf.DUMMYFUNCTION("""COMPUTED_VALUE"""),3.0)</f>
        <v>3</v>
      </c>
      <c r="AB654" s="50" t="str">
        <f>IFERROR(__xludf.DUMMYFUNCTION("""COMPUTED_VALUE"""),"A304")</f>
        <v>A304</v>
      </c>
      <c r="AC654" s="38" t="str">
        <f>IFERROR(__xludf.DUMMYFUNCTION("""COMPUTED_VALUE"""),"")</f>
        <v/>
      </c>
      <c r="AD654" s="45">
        <f>IFERROR(__xludf.DUMMYFUNCTION("""COMPUTED_VALUE"""),170.93293843875608)</f>
        <v>170.9329384</v>
      </c>
      <c r="AE654" s="46" t="str">
        <f>IFERROR(__xludf.DUMMYFUNCTION("""COMPUTED_VALUE"""),"AP")</f>
        <v>AP</v>
      </c>
      <c r="AF654" s="47">
        <f>IFERROR(__xludf.DUMMYFUNCTION("""COMPUTED_VALUE"""),23.400990099009903)</f>
        <v>23.4009901</v>
      </c>
      <c r="AG654" s="48" t="str">
        <f>IFERROR(__xludf.DUMMYFUNCTION("""COMPUTED_VALUE"""),"%")</f>
        <v>%</v>
      </c>
      <c r="AH654" s="43">
        <f>IFERROR(__xludf.DUMMYFUNCTION("""COMPUTED_VALUE"""),40.0)</f>
        <v>40</v>
      </c>
      <c r="AI654" s="44">
        <f>IFERROR(__xludf.DUMMYFUNCTION("""COMPUTED_VALUE"""),3737.0)</f>
        <v>3737</v>
      </c>
      <c r="AJ654" s="42" t="str">
        <f>IFERROR(__xludf.DUMMYFUNCTION("""COMPUTED_VALUE"""),"WED Berserker Training Ground- Exp")</f>
        <v>WED Berserker Training Ground- Exp</v>
      </c>
    </row>
    <row r="655" ht="24.75" customHeight="1">
      <c r="A655" s="28">
        <f>IFERROR(__xludf.DUMMYFUNCTION("""COMPUTED_VALUE"""),9.0)</f>
        <v>9</v>
      </c>
      <c r="B655" s="28" t="str">
        <f>IFERROR(__xludf.DUMMYFUNCTION("""COMPUTED_VALUE"""),"A101")</f>
        <v>A101</v>
      </c>
      <c r="C655" s="28" t="str">
        <f>IFERROR(__xludf.DUMMYFUNCTION("""COMPUTED_VALUE"""),"TRF10")</f>
        <v>TRF10</v>
      </c>
      <c r="D655" s="29" t="str">
        <f>IFERROR(__xludf.DUMMYFUNCTION("""COMPUTED_VALUE"""),"Chaldea Gate (Wed)")</f>
        <v>Chaldea Gate (Wed)</v>
      </c>
      <c r="E655" s="30" t="str">
        <f>IFERROR(__xludf.DUMMYFUNCTION("""COMPUTED_VALUE"""),"WED Berserker Training Ground- Int")</f>
        <v>WED Berserker Training Ground- Int</v>
      </c>
      <c r="F655" s="31">
        <f>IFERROR(__xludf.DUMMYFUNCTION("""COMPUTED_VALUE"""),20.0)</f>
        <v>20</v>
      </c>
      <c r="G655" s="32">
        <f>IFERROR(__xludf.DUMMYFUNCTION("""COMPUTED_VALUE"""),1173.0)</f>
        <v>1173</v>
      </c>
      <c r="H655" s="33" t="str">
        <f>IFERROR(__xludf.DUMMYFUNCTION("""COMPUTED_VALUE"""),"")</f>
        <v/>
      </c>
      <c r="I655" s="34">
        <f>IFERROR(__xludf.DUMMYFUNCTION("""COMPUTED_VALUE"""),678.1522807423253)</f>
        <v>678.1522807</v>
      </c>
      <c r="J655" s="35" t="str">
        <f>IFERROR(__xludf.DUMMYFUNCTION("""COMPUTED_VALUE"""),"AP")</f>
        <v>AP</v>
      </c>
      <c r="K655" s="34">
        <f>IFERROR(__xludf.DUMMYFUNCTION("""COMPUTED_VALUE"""),2.9491901108269394)</f>
        <v>2.949190111</v>
      </c>
      <c r="L655" s="35" t="str">
        <f>IFERROR(__xludf.DUMMYFUNCTION("""COMPUTED_VALUE"""),"%")</f>
        <v>%</v>
      </c>
      <c r="M655" s="36">
        <f>IFERROR(__xludf.DUMMYFUNCTION("""COMPUTED_VALUE"""),1.0)</f>
        <v>1</v>
      </c>
      <c r="N655" s="37" t="str">
        <f>IFERROR(__xludf.DUMMYFUNCTION("""COMPUTED_VALUE"""),"A203")</f>
        <v>A203</v>
      </c>
      <c r="O655" s="38" t="str">
        <f>IFERROR(__xludf.DUMMYFUNCTION("""COMPUTED_VALUE"""),"")</f>
        <v/>
      </c>
      <c r="P655" s="34">
        <f>IFERROR(__xludf.DUMMYFUNCTION("""COMPUTED_VALUE"""),168.67019440929485)</f>
        <v>168.6701944</v>
      </c>
      <c r="Q655" s="35" t="str">
        <f>IFERROR(__xludf.DUMMYFUNCTION("""COMPUTED_VALUE"""),"AP")</f>
        <v>AP</v>
      </c>
      <c r="R655" s="34">
        <f>IFERROR(__xludf.DUMMYFUNCTION("""COMPUTED_VALUE"""),11.857459505541346)</f>
        <v>11.85745951</v>
      </c>
      <c r="S655" s="35" t="str">
        <f>IFERROR(__xludf.DUMMYFUNCTION("""COMPUTED_VALUE"""),"%")</f>
        <v>%</v>
      </c>
      <c r="T655" s="36">
        <f>IFERROR(__xludf.DUMMYFUNCTION("""COMPUTED_VALUE"""),2.0)</f>
        <v>2</v>
      </c>
      <c r="U655" s="37" t="str">
        <f>IFERROR(__xludf.DUMMYFUNCTION("""COMPUTED_VALUE"""),"A301")</f>
        <v>A301</v>
      </c>
      <c r="V655" s="38" t="str">
        <f>IFERROR(__xludf.DUMMYFUNCTION("""COMPUTED_VALUE"""),"")</f>
        <v/>
      </c>
      <c r="W655" s="34">
        <f>IFERROR(__xludf.DUMMYFUNCTION("""COMPUTED_VALUE"""),304.35910742086145)</f>
        <v>304.3591074</v>
      </c>
      <c r="X655" s="35" t="str">
        <f>IFERROR(__xludf.DUMMYFUNCTION("""COMPUTED_VALUE"""),"AP")</f>
        <v>AP</v>
      </c>
      <c r="Y655" s="34">
        <f>IFERROR(__xludf.DUMMYFUNCTION("""COMPUTED_VALUE"""),6.5711849957374255)</f>
        <v>6.571184996</v>
      </c>
      <c r="Z655" s="35" t="str">
        <f>IFERROR(__xludf.DUMMYFUNCTION("""COMPUTED_VALUE"""),"%")</f>
        <v>%</v>
      </c>
      <c r="AA655" s="36">
        <f>IFERROR(__xludf.DUMMYFUNCTION("""COMPUTED_VALUE"""),3.0)</f>
        <v>3</v>
      </c>
      <c r="AB655" s="37" t="str">
        <f>IFERROR(__xludf.DUMMYFUNCTION("""COMPUTED_VALUE"""),"A304")</f>
        <v>A304</v>
      </c>
      <c r="AC655" s="38" t="str">
        <f>IFERROR(__xludf.DUMMYFUNCTION("""COMPUTED_VALUE"""),"")</f>
        <v/>
      </c>
      <c r="AD655" s="34">
        <f>IFERROR(__xludf.DUMMYFUNCTION("""COMPUTED_VALUE"""),107.40774654335684)</f>
        <v>107.4077465</v>
      </c>
      <c r="AE655" s="35" t="str">
        <f>IFERROR(__xludf.DUMMYFUNCTION("""COMPUTED_VALUE"""),"AP")</f>
        <v>AP</v>
      </c>
      <c r="AF655" s="34">
        <f>IFERROR(__xludf.DUMMYFUNCTION("""COMPUTED_VALUE"""),18.62063086104007)</f>
        <v>18.62063086</v>
      </c>
      <c r="AG655" s="35" t="str">
        <f>IFERROR(__xludf.DUMMYFUNCTION("""COMPUTED_VALUE"""),"%")</f>
        <v>%</v>
      </c>
      <c r="AH655" s="31">
        <f>IFERROR(__xludf.DUMMYFUNCTION("""COMPUTED_VALUE"""),20.0)</f>
        <v>20</v>
      </c>
      <c r="AI655" s="32">
        <f>IFERROR(__xludf.DUMMYFUNCTION("""COMPUTED_VALUE"""),1173.0)</f>
        <v>1173</v>
      </c>
      <c r="AJ655" s="30" t="str">
        <f>IFERROR(__xludf.DUMMYFUNCTION("""COMPUTED_VALUE"""),"WED Berserker Training Ground- Int")</f>
        <v>WED Berserker Training Ground- Int</v>
      </c>
    </row>
    <row r="656" ht="24.75" customHeight="1">
      <c r="A656" s="40">
        <f>IFERROR(__xludf.DUMMYFUNCTION("""COMPUTED_VALUE"""),10.0)</f>
        <v>10</v>
      </c>
      <c r="B656" s="40" t="str">
        <f>IFERROR(__xludf.DUMMYFUNCTION("""COMPUTED_VALUE"""),"A101")</f>
        <v>A101</v>
      </c>
      <c r="C656" s="40"/>
      <c r="D656" s="41"/>
      <c r="E656" s="66"/>
      <c r="F656" s="43"/>
      <c r="G656" s="44"/>
      <c r="H656" s="33" t="str">
        <f>IFERROR(__xludf.DUMMYFUNCTION("""COMPUTED_VALUE""")," ")</f>
        <v> </v>
      </c>
      <c r="I656" s="45"/>
      <c r="J656" s="46" t="str">
        <f>IFERROR(__xludf.DUMMYFUNCTION("""COMPUTED_VALUE"""),"AP")</f>
        <v>AP</v>
      </c>
      <c r="K656" s="47"/>
      <c r="L656" s="48" t="str">
        <f>IFERROR(__xludf.DUMMYFUNCTION("""COMPUTED_VALUE"""),"%")</f>
        <v>%</v>
      </c>
      <c r="M656" s="49">
        <f>IFERROR(__xludf.DUMMYFUNCTION("""COMPUTED_VALUE"""),1.0)</f>
        <v>1</v>
      </c>
      <c r="N656" s="50"/>
      <c r="O656" s="38"/>
      <c r="P656" s="45" t="str">
        <f>IFERROR(__xludf.DUMMYFUNCTION("""COMPUTED_VALUE"""),"")</f>
        <v/>
      </c>
      <c r="Q656" s="46" t="str">
        <f>IFERROR(__xludf.DUMMYFUNCTION("""COMPUTED_VALUE"""),"AP")</f>
        <v>AP</v>
      </c>
      <c r="R656" s="47" t="str">
        <f>IFERROR(__xludf.DUMMYFUNCTION("""COMPUTED_VALUE"""),"")</f>
        <v/>
      </c>
      <c r="S656" s="48" t="str">
        <f>IFERROR(__xludf.DUMMYFUNCTION("""COMPUTED_VALUE"""),"%")</f>
        <v>%</v>
      </c>
      <c r="T656" s="49">
        <f>IFERROR(__xludf.DUMMYFUNCTION("""COMPUTED_VALUE"""),2.0)</f>
        <v>2</v>
      </c>
      <c r="U656" s="50"/>
      <c r="V656" s="38"/>
      <c r="W656" s="45" t="str">
        <f>IFERROR(__xludf.DUMMYFUNCTION("""COMPUTED_VALUE"""),"")</f>
        <v/>
      </c>
      <c r="X656" s="46" t="str">
        <f>IFERROR(__xludf.DUMMYFUNCTION("""COMPUTED_VALUE"""),"AP")</f>
        <v>AP</v>
      </c>
      <c r="Y656" s="47" t="str">
        <f>IFERROR(__xludf.DUMMYFUNCTION("""COMPUTED_VALUE"""),"")</f>
        <v/>
      </c>
      <c r="Z656" s="48" t="str">
        <f>IFERROR(__xludf.DUMMYFUNCTION("""COMPUTED_VALUE"""),"%")</f>
        <v>%</v>
      </c>
      <c r="AA656" s="49">
        <f>IFERROR(__xludf.DUMMYFUNCTION("""COMPUTED_VALUE"""),3.0)</f>
        <v>3</v>
      </c>
      <c r="AB656" s="50"/>
      <c r="AC656" s="38"/>
      <c r="AD656" s="45" t="str">
        <f>IFERROR(__xludf.DUMMYFUNCTION("""COMPUTED_VALUE"""),"")</f>
        <v/>
      </c>
      <c r="AE656" s="46" t="str">
        <f>IFERROR(__xludf.DUMMYFUNCTION("""COMPUTED_VALUE"""),"AP")</f>
        <v>AP</v>
      </c>
      <c r="AF656" s="47" t="str">
        <f>IFERROR(__xludf.DUMMYFUNCTION("""COMPUTED_VALUE"""),"")</f>
        <v/>
      </c>
      <c r="AG656" s="48" t="str">
        <f>IFERROR(__xludf.DUMMYFUNCTION("""COMPUTED_VALUE"""),"%")</f>
        <v>%</v>
      </c>
      <c r="AH656" s="43"/>
      <c r="AI656" s="44"/>
      <c r="AJ656" s="66"/>
    </row>
    <row r="657" ht="24.75" hidden="1" customHeight="1">
      <c r="A657" s="28">
        <f>IFERROR(__xludf.DUMMYFUNCTION("""COMPUTED_VALUE"""),11.0)</f>
        <v>11</v>
      </c>
      <c r="B657" s="28" t="str">
        <f>IFERROR(__xludf.DUMMYFUNCTION("""COMPUTED_VALUE"""),"A101")</f>
        <v>A101</v>
      </c>
      <c r="C657" s="28"/>
      <c r="D657" s="29"/>
      <c r="E657" s="67"/>
      <c r="F657" s="31"/>
      <c r="G657" s="32"/>
      <c r="H657" s="33" t="str">
        <f>IFERROR(__xludf.DUMMYFUNCTION("""COMPUTED_VALUE""")," ")</f>
        <v> </v>
      </c>
      <c r="I657" s="34"/>
      <c r="J657" s="35" t="str">
        <f>IFERROR(__xludf.DUMMYFUNCTION("""COMPUTED_VALUE"""),"AP")</f>
        <v>AP</v>
      </c>
      <c r="K657" s="34"/>
      <c r="L657" s="35" t="str">
        <f>IFERROR(__xludf.DUMMYFUNCTION("""COMPUTED_VALUE"""),"%")</f>
        <v>%</v>
      </c>
      <c r="M657" s="36">
        <f>IFERROR(__xludf.DUMMYFUNCTION("""COMPUTED_VALUE"""),1.0)</f>
        <v>1</v>
      </c>
      <c r="N657" s="37"/>
      <c r="O657" s="38"/>
      <c r="P657" s="34" t="str">
        <f>IFERROR(__xludf.DUMMYFUNCTION("""COMPUTED_VALUE"""),"")</f>
        <v/>
      </c>
      <c r="Q657" s="35" t="str">
        <f>IFERROR(__xludf.DUMMYFUNCTION("""COMPUTED_VALUE"""),"AP")</f>
        <v>AP</v>
      </c>
      <c r="R657" s="34" t="str">
        <f>IFERROR(__xludf.DUMMYFUNCTION("""COMPUTED_VALUE"""),"")</f>
        <v/>
      </c>
      <c r="S657" s="35" t="str">
        <f>IFERROR(__xludf.DUMMYFUNCTION("""COMPUTED_VALUE"""),"%")</f>
        <v>%</v>
      </c>
      <c r="T657" s="36">
        <f>IFERROR(__xludf.DUMMYFUNCTION("""COMPUTED_VALUE"""),2.0)</f>
        <v>2</v>
      </c>
      <c r="U657" s="37"/>
      <c r="V657" s="38"/>
      <c r="W657" s="34" t="str">
        <f>IFERROR(__xludf.DUMMYFUNCTION("""COMPUTED_VALUE"""),"")</f>
        <v/>
      </c>
      <c r="X657" s="35" t="str">
        <f>IFERROR(__xludf.DUMMYFUNCTION("""COMPUTED_VALUE"""),"AP")</f>
        <v>AP</v>
      </c>
      <c r="Y657" s="34" t="str">
        <f>IFERROR(__xludf.DUMMYFUNCTION("""COMPUTED_VALUE"""),"")</f>
        <v/>
      </c>
      <c r="Z657" s="35" t="str">
        <f>IFERROR(__xludf.DUMMYFUNCTION("""COMPUTED_VALUE"""),"%")</f>
        <v>%</v>
      </c>
      <c r="AA657" s="36">
        <f>IFERROR(__xludf.DUMMYFUNCTION("""COMPUTED_VALUE"""),3.0)</f>
        <v>3</v>
      </c>
      <c r="AB657" s="37"/>
      <c r="AC657" s="38"/>
      <c r="AD657" s="34" t="str">
        <f>IFERROR(__xludf.DUMMYFUNCTION("""COMPUTED_VALUE"""),"")</f>
        <v/>
      </c>
      <c r="AE657" s="35" t="str">
        <f>IFERROR(__xludf.DUMMYFUNCTION("""COMPUTED_VALUE"""),"AP")</f>
        <v>AP</v>
      </c>
      <c r="AF657" s="34" t="str">
        <f>IFERROR(__xludf.DUMMYFUNCTION("""COMPUTED_VALUE"""),"")</f>
        <v/>
      </c>
      <c r="AG657" s="35" t="str">
        <f>IFERROR(__xludf.DUMMYFUNCTION("""COMPUTED_VALUE"""),"%")</f>
        <v>%</v>
      </c>
      <c r="AH657" s="31"/>
      <c r="AI657" s="32"/>
      <c r="AJ657" s="67"/>
    </row>
    <row r="658" ht="24.75" hidden="1" customHeight="1">
      <c r="A658" s="40">
        <f>IFERROR(__xludf.DUMMYFUNCTION("""COMPUTED_VALUE"""),12.0)</f>
        <v>12</v>
      </c>
      <c r="B658" s="40" t="str">
        <f>IFERROR(__xludf.DUMMYFUNCTION("""COMPUTED_VALUE"""),"A101")</f>
        <v>A101</v>
      </c>
      <c r="C658" s="40"/>
      <c r="D658" s="41"/>
      <c r="E658" s="66"/>
      <c r="F658" s="43"/>
      <c r="G658" s="44"/>
      <c r="H658" s="33" t="str">
        <f>IFERROR(__xludf.DUMMYFUNCTION("""COMPUTED_VALUE""")," ")</f>
        <v> </v>
      </c>
      <c r="I658" s="45"/>
      <c r="J658" s="46" t="str">
        <f>IFERROR(__xludf.DUMMYFUNCTION("""COMPUTED_VALUE"""),"AP")</f>
        <v>AP</v>
      </c>
      <c r="K658" s="47"/>
      <c r="L658" s="48" t="str">
        <f>IFERROR(__xludf.DUMMYFUNCTION("""COMPUTED_VALUE"""),"%")</f>
        <v>%</v>
      </c>
      <c r="M658" s="49">
        <f>IFERROR(__xludf.DUMMYFUNCTION("""COMPUTED_VALUE"""),1.0)</f>
        <v>1</v>
      </c>
      <c r="N658" s="50"/>
      <c r="O658" s="38"/>
      <c r="P658" s="45" t="str">
        <f>IFERROR(__xludf.DUMMYFUNCTION("""COMPUTED_VALUE"""),"")</f>
        <v/>
      </c>
      <c r="Q658" s="46" t="str">
        <f>IFERROR(__xludf.DUMMYFUNCTION("""COMPUTED_VALUE"""),"AP")</f>
        <v>AP</v>
      </c>
      <c r="R658" s="47" t="str">
        <f>IFERROR(__xludf.DUMMYFUNCTION("""COMPUTED_VALUE"""),"")</f>
        <v/>
      </c>
      <c r="S658" s="48" t="str">
        <f>IFERROR(__xludf.DUMMYFUNCTION("""COMPUTED_VALUE"""),"%")</f>
        <v>%</v>
      </c>
      <c r="T658" s="49">
        <f>IFERROR(__xludf.DUMMYFUNCTION("""COMPUTED_VALUE"""),2.0)</f>
        <v>2</v>
      </c>
      <c r="U658" s="50"/>
      <c r="V658" s="38"/>
      <c r="W658" s="45" t="str">
        <f>IFERROR(__xludf.DUMMYFUNCTION("""COMPUTED_VALUE"""),"")</f>
        <v/>
      </c>
      <c r="X658" s="46" t="str">
        <f>IFERROR(__xludf.DUMMYFUNCTION("""COMPUTED_VALUE"""),"AP")</f>
        <v>AP</v>
      </c>
      <c r="Y658" s="47" t="str">
        <f>IFERROR(__xludf.DUMMYFUNCTION("""COMPUTED_VALUE"""),"")</f>
        <v/>
      </c>
      <c r="Z658" s="48" t="str">
        <f>IFERROR(__xludf.DUMMYFUNCTION("""COMPUTED_VALUE"""),"%")</f>
        <v>%</v>
      </c>
      <c r="AA658" s="49">
        <f>IFERROR(__xludf.DUMMYFUNCTION("""COMPUTED_VALUE"""),3.0)</f>
        <v>3</v>
      </c>
      <c r="AB658" s="50"/>
      <c r="AC658" s="38"/>
      <c r="AD658" s="45" t="str">
        <f>IFERROR(__xludf.DUMMYFUNCTION("""COMPUTED_VALUE"""),"")</f>
        <v/>
      </c>
      <c r="AE658" s="46" t="str">
        <f>IFERROR(__xludf.DUMMYFUNCTION("""COMPUTED_VALUE"""),"AP")</f>
        <v>AP</v>
      </c>
      <c r="AF658" s="47" t="str">
        <f>IFERROR(__xludf.DUMMYFUNCTION("""COMPUTED_VALUE"""),"")</f>
        <v/>
      </c>
      <c r="AG658" s="48" t="str">
        <f>IFERROR(__xludf.DUMMYFUNCTION("""COMPUTED_VALUE"""),"%")</f>
        <v>%</v>
      </c>
      <c r="AH658" s="43"/>
      <c r="AI658" s="44"/>
      <c r="AJ658" s="66"/>
    </row>
    <row r="659" ht="24.75" hidden="1" customHeight="1">
      <c r="A659" s="28">
        <f>IFERROR(__xludf.DUMMYFUNCTION("""COMPUTED_VALUE"""),13.0)</f>
        <v>13</v>
      </c>
      <c r="B659" s="28" t="str">
        <f>IFERROR(__xludf.DUMMYFUNCTION("""COMPUTED_VALUE"""),"A101")</f>
        <v>A101</v>
      </c>
      <c r="C659" s="28"/>
      <c r="D659" s="29"/>
      <c r="E659" s="67"/>
      <c r="F659" s="31"/>
      <c r="G659" s="32"/>
      <c r="H659" s="33" t="str">
        <f>IFERROR(__xludf.DUMMYFUNCTION("""COMPUTED_VALUE""")," ")</f>
        <v> </v>
      </c>
      <c r="I659" s="34"/>
      <c r="J659" s="35" t="str">
        <f>IFERROR(__xludf.DUMMYFUNCTION("""COMPUTED_VALUE"""),"AP")</f>
        <v>AP</v>
      </c>
      <c r="K659" s="34"/>
      <c r="L659" s="35" t="str">
        <f>IFERROR(__xludf.DUMMYFUNCTION("""COMPUTED_VALUE"""),"%")</f>
        <v>%</v>
      </c>
      <c r="M659" s="36">
        <f>IFERROR(__xludf.DUMMYFUNCTION("""COMPUTED_VALUE"""),1.0)</f>
        <v>1</v>
      </c>
      <c r="N659" s="37"/>
      <c r="O659" s="38"/>
      <c r="P659" s="34" t="str">
        <f>IFERROR(__xludf.DUMMYFUNCTION("""COMPUTED_VALUE"""),"")</f>
        <v/>
      </c>
      <c r="Q659" s="35" t="str">
        <f>IFERROR(__xludf.DUMMYFUNCTION("""COMPUTED_VALUE"""),"AP")</f>
        <v>AP</v>
      </c>
      <c r="R659" s="34" t="str">
        <f>IFERROR(__xludf.DUMMYFUNCTION("""COMPUTED_VALUE"""),"")</f>
        <v/>
      </c>
      <c r="S659" s="35" t="str">
        <f>IFERROR(__xludf.DUMMYFUNCTION("""COMPUTED_VALUE"""),"%")</f>
        <v>%</v>
      </c>
      <c r="T659" s="36">
        <f>IFERROR(__xludf.DUMMYFUNCTION("""COMPUTED_VALUE"""),2.0)</f>
        <v>2</v>
      </c>
      <c r="U659" s="37"/>
      <c r="V659" s="38"/>
      <c r="W659" s="34" t="str">
        <f>IFERROR(__xludf.DUMMYFUNCTION("""COMPUTED_VALUE"""),"")</f>
        <v/>
      </c>
      <c r="X659" s="35" t="str">
        <f>IFERROR(__xludf.DUMMYFUNCTION("""COMPUTED_VALUE"""),"AP")</f>
        <v>AP</v>
      </c>
      <c r="Y659" s="34" t="str">
        <f>IFERROR(__xludf.DUMMYFUNCTION("""COMPUTED_VALUE"""),"")</f>
        <v/>
      </c>
      <c r="Z659" s="35" t="str">
        <f>IFERROR(__xludf.DUMMYFUNCTION("""COMPUTED_VALUE"""),"%")</f>
        <v>%</v>
      </c>
      <c r="AA659" s="36">
        <f>IFERROR(__xludf.DUMMYFUNCTION("""COMPUTED_VALUE"""),3.0)</f>
        <v>3</v>
      </c>
      <c r="AB659" s="37"/>
      <c r="AC659" s="38"/>
      <c r="AD659" s="34" t="str">
        <f>IFERROR(__xludf.DUMMYFUNCTION("""COMPUTED_VALUE"""),"")</f>
        <v/>
      </c>
      <c r="AE659" s="35" t="str">
        <f>IFERROR(__xludf.DUMMYFUNCTION("""COMPUTED_VALUE"""),"AP")</f>
        <v>AP</v>
      </c>
      <c r="AF659" s="34" t="str">
        <f>IFERROR(__xludf.DUMMYFUNCTION("""COMPUTED_VALUE"""),"")</f>
        <v/>
      </c>
      <c r="AG659" s="35" t="str">
        <f>IFERROR(__xludf.DUMMYFUNCTION("""COMPUTED_VALUE"""),"%")</f>
        <v>%</v>
      </c>
      <c r="AH659" s="31"/>
      <c r="AI659" s="32"/>
      <c r="AJ659" s="67"/>
    </row>
    <row r="660" ht="24.75" hidden="1" customHeight="1">
      <c r="A660" s="40">
        <f>IFERROR(__xludf.DUMMYFUNCTION("""COMPUTED_VALUE"""),14.0)</f>
        <v>14</v>
      </c>
      <c r="B660" s="40" t="str">
        <f>IFERROR(__xludf.DUMMYFUNCTION("""COMPUTED_VALUE"""),"A101")</f>
        <v>A101</v>
      </c>
      <c r="C660" s="40"/>
      <c r="D660" s="41"/>
      <c r="E660" s="66"/>
      <c r="F660" s="43"/>
      <c r="G660" s="44"/>
      <c r="H660" s="33" t="str">
        <f>IFERROR(__xludf.DUMMYFUNCTION("""COMPUTED_VALUE""")," ")</f>
        <v> </v>
      </c>
      <c r="I660" s="45"/>
      <c r="J660" s="46" t="str">
        <f>IFERROR(__xludf.DUMMYFUNCTION("""COMPUTED_VALUE"""),"AP")</f>
        <v>AP</v>
      </c>
      <c r="K660" s="47"/>
      <c r="L660" s="48" t="str">
        <f>IFERROR(__xludf.DUMMYFUNCTION("""COMPUTED_VALUE"""),"%")</f>
        <v>%</v>
      </c>
      <c r="M660" s="49">
        <f>IFERROR(__xludf.DUMMYFUNCTION("""COMPUTED_VALUE"""),1.0)</f>
        <v>1</v>
      </c>
      <c r="N660" s="50"/>
      <c r="O660" s="38"/>
      <c r="P660" s="45" t="str">
        <f>IFERROR(__xludf.DUMMYFUNCTION("""COMPUTED_VALUE"""),"")</f>
        <v/>
      </c>
      <c r="Q660" s="46" t="str">
        <f>IFERROR(__xludf.DUMMYFUNCTION("""COMPUTED_VALUE"""),"AP")</f>
        <v>AP</v>
      </c>
      <c r="R660" s="47" t="str">
        <f>IFERROR(__xludf.DUMMYFUNCTION("""COMPUTED_VALUE"""),"")</f>
        <v/>
      </c>
      <c r="S660" s="48" t="str">
        <f>IFERROR(__xludf.DUMMYFUNCTION("""COMPUTED_VALUE"""),"%")</f>
        <v>%</v>
      </c>
      <c r="T660" s="49">
        <f>IFERROR(__xludf.DUMMYFUNCTION("""COMPUTED_VALUE"""),2.0)</f>
        <v>2</v>
      </c>
      <c r="U660" s="50"/>
      <c r="V660" s="38"/>
      <c r="W660" s="45" t="str">
        <f>IFERROR(__xludf.DUMMYFUNCTION("""COMPUTED_VALUE"""),"")</f>
        <v/>
      </c>
      <c r="X660" s="46" t="str">
        <f>IFERROR(__xludf.DUMMYFUNCTION("""COMPUTED_VALUE"""),"AP")</f>
        <v>AP</v>
      </c>
      <c r="Y660" s="47" t="str">
        <f>IFERROR(__xludf.DUMMYFUNCTION("""COMPUTED_VALUE"""),"")</f>
        <v/>
      </c>
      <c r="Z660" s="48" t="str">
        <f>IFERROR(__xludf.DUMMYFUNCTION("""COMPUTED_VALUE"""),"%")</f>
        <v>%</v>
      </c>
      <c r="AA660" s="49">
        <f>IFERROR(__xludf.DUMMYFUNCTION("""COMPUTED_VALUE"""),3.0)</f>
        <v>3</v>
      </c>
      <c r="AB660" s="50"/>
      <c r="AC660" s="38"/>
      <c r="AD660" s="45" t="str">
        <f>IFERROR(__xludf.DUMMYFUNCTION("""COMPUTED_VALUE"""),"")</f>
        <v/>
      </c>
      <c r="AE660" s="46" t="str">
        <f>IFERROR(__xludf.DUMMYFUNCTION("""COMPUTED_VALUE"""),"AP")</f>
        <v>AP</v>
      </c>
      <c r="AF660" s="47" t="str">
        <f>IFERROR(__xludf.DUMMYFUNCTION("""COMPUTED_VALUE"""),"")</f>
        <v/>
      </c>
      <c r="AG660" s="48" t="str">
        <f>IFERROR(__xludf.DUMMYFUNCTION("""COMPUTED_VALUE"""),"%")</f>
        <v>%</v>
      </c>
      <c r="AH660" s="43"/>
      <c r="AI660" s="44"/>
      <c r="AJ660" s="66"/>
    </row>
    <row r="661" ht="24.75" hidden="1" customHeight="1">
      <c r="A661" s="28">
        <f>IFERROR(__xludf.DUMMYFUNCTION("""COMPUTED_VALUE"""),15.0)</f>
        <v>15</v>
      </c>
      <c r="B661" s="28" t="str">
        <f>IFERROR(__xludf.DUMMYFUNCTION("""COMPUTED_VALUE"""),"A101")</f>
        <v>A101</v>
      </c>
      <c r="C661" s="28"/>
      <c r="D661" s="29"/>
      <c r="E661" s="67"/>
      <c r="F661" s="31"/>
      <c r="G661" s="32"/>
      <c r="H661" s="33" t="str">
        <f>IFERROR(__xludf.DUMMYFUNCTION("""COMPUTED_VALUE""")," ")</f>
        <v> </v>
      </c>
      <c r="I661" s="34"/>
      <c r="J661" s="35" t="str">
        <f>IFERROR(__xludf.DUMMYFUNCTION("""COMPUTED_VALUE"""),"AP")</f>
        <v>AP</v>
      </c>
      <c r="K661" s="34"/>
      <c r="L661" s="35" t="str">
        <f>IFERROR(__xludf.DUMMYFUNCTION("""COMPUTED_VALUE"""),"%")</f>
        <v>%</v>
      </c>
      <c r="M661" s="36">
        <f>IFERROR(__xludf.DUMMYFUNCTION("""COMPUTED_VALUE"""),1.0)</f>
        <v>1</v>
      </c>
      <c r="N661" s="37"/>
      <c r="O661" s="38"/>
      <c r="P661" s="34" t="str">
        <f>IFERROR(__xludf.DUMMYFUNCTION("""COMPUTED_VALUE"""),"")</f>
        <v/>
      </c>
      <c r="Q661" s="35" t="str">
        <f>IFERROR(__xludf.DUMMYFUNCTION("""COMPUTED_VALUE"""),"AP")</f>
        <v>AP</v>
      </c>
      <c r="R661" s="34" t="str">
        <f>IFERROR(__xludf.DUMMYFUNCTION("""COMPUTED_VALUE"""),"")</f>
        <v/>
      </c>
      <c r="S661" s="35" t="str">
        <f>IFERROR(__xludf.DUMMYFUNCTION("""COMPUTED_VALUE"""),"%")</f>
        <v>%</v>
      </c>
      <c r="T661" s="36">
        <f>IFERROR(__xludf.DUMMYFUNCTION("""COMPUTED_VALUE"""),2.0)</f>
        <v>2</v>
      </c>
      <c r="U661" s="37"/>
      <c r="V661" s="38"/>
      <c r="W661" s="34" t="str">
        <f>IFERROR(__xludf.DUMMYFUNCTION("""COMPUTED_VALUE"""),"")</f>
        <v/>
      </c>
      <c r="X661" s="35" t="str">
        <f>IFERROR(__xludf.DUMMYFUNCTION("""COMPUTED_VALUE"""),"AP")</f>
        <v>AP</v>
      </c>
      <c r="Y661" s="34" t="str">
        <f>IFERROR(__xludf.DUMMYFUNCTION("""COMPUTED_VALUE"""),"")</f>
        <v/>
      </c>
      <c r="Z661" s="35" t="str">
        <f>IFERROR(__xludf.DUMMYFUNCTION("""COMPUTED_VALUE"""),"%")</f>
        <v>%</v>
      </c>
      <c r="AA661" s="36">
        <f>IFERROR(__xludf.DUMMYFUNCTION("""COMPUTED_VALUE"""),3.0)</f>
        <v>3</v>
      </c>
      <c r="AB661" s="37"/>
      <c r="AC661" s="38"/>
      <c r="AD661" s="34" t="str">
        <f>IFERROR(__xludf.DUMMYFUNCTION("""COMPUTED_VALUE"""),"")</f>
        <v/>
      </c>
      <c r="AE661" s="35" t="str">
        <f>IFERROR(__xludf.DUMMYFUNCTION("""COMPUTED_VALUE"""),"AP")</f>
        <v>AP</v>
      </c>
      <c r="AF661" s="34" t="str">
        <f>IFERROR(__xludf.DUMMYFUNCTION("""COMPUTED_VALUE"""),"")</f>
        <v/>
      </c>
      <c r="AG661" s="35" t="str">
        <f>IFERROR(__xludf.DUMMYFUNCTION("""COMPUTED_VALUE"""),"%")</f>
        <v>%</v>
      </c>
      <c r="AH661" s="31"/>
      <c r="AI661" s="32"/>
      <c r="AJ661" s="67"/>
    </row>
    <row r="662" ht="24.75" hidden="1" customHeight="1">
      <c r="A662" s="40">
        <f>IFERROR(__xludf.DUMMYFUNCTION("""COMPUTED_VALUE"""),16.0)</f>
        <v>16</v>
      </c>
      <c r="B662" s="40" t="str">
        <f>IFERROR(__xludf.DUMMYFUNCTION("""COMPUTED_VALUE"""),"A101")</f>
        <v>A101</v>
      </c>
      <c r="C662" s="40"/>
      <c r="D662" s="41"/>
      <c r="E662" s="66"/>
      <c r="F662" s="43"/>
      <c r="G662" s="44"/>
      <c r="H662" s="33" t="str">
        <f>IFERROR(__xludf.DUMMYFUNCTION("""COMPUTED_VALUE""")," ")</f>
        <v> </v>
      </c>
      <c r="I662" s="45"/>
      <c r="J662" s="46" t="str">
        <f>IFERROR(__xludf.DUMMYFUNCTION("""COMPUTED_VALUE"""),"AP")</f>
        <v>AP</v>
      </c>
      <c r="K662" s="47"/>
      <c r="L662" s="48" t="str">
        <f>IFERROR(__xludf.DUMMYFUNCTION("""COMPUTED_VALUE"""),"%")</f>
        <v>%</v>
      </c>
      <c r="M662" s="49">
        <f>IFERROR(__xludf.DUMMYFUNCTION("""COMPUTED_VALUE"""),1.0)</f>
        <v>1</v>
      </c>
      <c r="N662" s="50"/>
      <c r="O662" s="38"/>
      <c r="P662" s="45" t="str">
        <f>IFERROR(__xludf.DUMMYFUNCTION("""COMPUTED_VALUE"""),"")</f>
        <v/>
      </c>
      <c r="Q662" s="46" t="str">
        <f>IFERROR(__xludf.DUMMYFUNCTION("""COMPUTED_VALUE"""),"AP")</f>
        <v>AP</v>
      </c>
      <c r="R662" s="47" t="str">
        <f>IFERROR(__xludf.DUMMYFUNCTION("""COMPUTED_VALUE"""),"")</f>
        <v/>
      </c>
      <c r="S662" s="48" t="str">
        <f>IFERROR(__xludf.DUMMYFUNCTION("""COMPUTED_VALUE"""),"%")</f>
        <v>%</v>
      </c>
      <c r="T662" s="49">
        <f>IFERROR(__xludf.DUMMYFUNCTION("""COMPUTED_VALUE"""),2.0)</f>
        <v>2</v>
      </c>
      <c r="U662" s="50"/>
      <c r="V662" s="38"/>
      <c r="W662" s="45" t="str">
        <f>IFERROR(__xludf.DUMMYFUNCTION("""COMPUTED_VALUE"""),"")</f>
        <v/>
      </c>
      <c r="X662" s="46" t="str">
        <f>IFERROR(__xludf.DUMMYFUNCTION("""COMPUTED_VALUE"""),"AP")</f>
        <v>AP</v>
      </c>
      <c r="Y662" s="47" t="str">
        <f>IFERROR(__xludf.DUMMYFUNCTION("""COMPUTED_VALUE"""),"")</f>
        <v/>
      </c>
      <c r="Z662" s="48" t="str">
        <f>IFERROR(__xludf.DUMMYFUNCTION("""COMPUTED_VALUE"""),"%")</f>
        <v>%</v>
      </c>
      <c r="AA662" s="49">
        <f>IFERROR(__xludf.DUMMYFUNCTION("""COMPUTED_VALUE"""),3.0)</f>
        <v>3</v>
      </c>
      <c r="AB662" s="50"/>
      <c r="AC662" s="38"/>
      <c r="AD662" s="45" t="str">
        <f>IFERROR(__xludf.DUMMYFUNCTION("""COMPUTED_VALUE"""),"")</f>
        <v/>
      </c>
      <c r="AE662" s="46" t="str">
        <f>IFERROR(__xludf.DUMMYFUNCTION("""COMPUTED_VALUE"""),"AP")</f>
        <v>AP</v>
      </c>
      <c r="AF662" s="47" t="str">
        <f>IFERROR(__xludf.DUMMYFUNCTION("""COMPUTED_VALUE"""),"")</f>
        <v/>
      </c>
      <c r="AG662" s="48" t="str">
        <f>IFERROR(__xludf.DUMMYFUNCTION("""COMPUTED_VALUE"""),"%")</f>
        <v>%</v>
      </c>
      <c r="AH662" s="43"/>
      <c r="AI662" s="44"/>
      <c r="AJ662" s="66"/>
    </row>
    <row r="663" ht="24.75" hidden="1" customHeight="1">
      <c r="A663" s="28">
        <f>IFERROR(__xludf.DUMMYFUNCTION("""COMPUTED_VALUE"""),17.0)</f>
        <v>17</v>
      </c>
      <c r="B663" s="28" t="str">
        <f>IFERROR(__xludf.DUMMYFUNCTION("""COMPUTED_VALUE"""),"A101")</f>
        <v>A101</v>
      </c>
      <c r="C663" s="28"/>
      <c r="D663" s="29"/>
      <c r="E663" s="67"/>
      <c r="F663" s="31"/>
      <c r="G663" s="32"/>
      <c r="H663" s="33" t="str">
        <f>IFERROR(__xludf.DUMMYFUNCTION("""COMPUTED_VALUE""")," ")</f>
        <v> </v>
      </c>
      <c r="I663" s="34"/>
      <c r="J663" s="35" t="str">
        <f>IFERROR(__xludf.DUMMYFUNCTION("""COMPUTED_VALUE"""),"AP")</f>
        <v>AP</v>
      </c>
      <c r="K663" s="34"/>
      <c r="L663" s="35" t="str">
        <f>IFERROR(__xludf.DUMMYFUNCTION("""COMPUTED_VALUE"""),"%")</f>
        <v>%</v>
      </c>
      <c r="M663" s="36">
        <f>IFERROR(__xludf.DUMMYFUNCTION("""COMPUTED_VALUE"""),1.0)</f>
        <v>1</v>
      </c>
      <c r="N663" s="37"/>
      <c r="O663" s="38"/>
      <c r="P663" s="34" t="str">
        <f>IFERROR(__xludf.DUMMYFUNCTION("""COMPUTED_VALUE"""),"")</f>
        <v/>
      </c>
      <c r="Q663" s="35" t="str">
        <f>IFERROR(__xludf.DUMMYFUNCTION("""COMPUTED_VALUE"""),"AP")</f>
        <v>AP</v>
      </c>
      <c r="R663" s="34" t="str">
        <f>IFERROR(__xludf.DUMMYFUNCTION("""COMPUTED_VALUE"""),"")</f>
        <v/>
      </c>
      <c r="S663" s="35" t="str">
        <f>IFERROR(__xludf.DUMMYFUNCTION("""COMPUTED_VALUE"""),"%")</f>
        <v>%</v>
      </c>
      <c r="T663" s="36">
        <f>IFERROR(__xludf.DUMMYFUNCTION("""COMPUTED_VALUE"""),2.0)</f>
        <v>2</v>
      </c>
      <c r="U663" s="37"/>
      <c r="V663" s="38"/>
      <c r="W663" s="34" t="str">
        <f>IFERROR(__xludf.DUMMYFUNCTION("""COMPUTED_VALUE"""),"")</f>
        <v/>
      </c>
      <c r="X663" s="35" t="str">
        <f>IFERROR(__xludf.DUMMYFUNCTION("""COMPUTED_VALUE"""),"AP")</f>
        <v>AP</v>
      </c>
      <c r="Y663" s="34" t="str">
        <f>IFERROR(__xludf.DUMMYFUNCTION("""COMPUTED_VALUE"""),"")</f>
        <v/>
      </c>
      <c r="Z663" s="35" t="str">
        <f>IFERROR(__xludf.DUMMYFUNCTION("""COMPUTED_VALUE"""),"%")</f>
        <v>%</v>
      </c>
      <c r="AA663" s="36">
        <f>IFERROR(__xludf.DUMMYFUNCTION("""COMPUTED_VALUE"""),3.0)</f>
        <v>3</v>
      </c>
      <c r="AB663" s="37"/>
      <c r="AC663" s="38"/>
      <c r="AD663" s="34" t="str">
        <f>IFERROR(__xludf.DUMMYFUNCTION("""COMPUTED_VALUE"""),"")</f>
        <v/>
      </c>
      <c r="AE663" s="35" t="str">
        <f>IFERROR(__xludf.DUMMYFUNCTION("""COMPUTED_VALUE"""),"AP")</f>
        <v>AP</v>
      </c>
      <c r="AF663" s="34" t="str">
        <f>IFERROR(__xludf.DUMMYFUNCTION("""COMPUTED_VALUE"""),"")</f>
        <v/>
      </c>
      <c r="AG663" s="35" t="str">
        <f>IFERROR(__xludf.DUMMYFUNCTION("""COMPUTED_VALUE"""),"%")</f>
        <v>%</v>
      </c>
      <c r="AH663" s="31"/>
      <c r="AI663" s="32"/>
      <c r="AJ663" s="67"/>
    </row>
    <row r="664" ht="24.75" hidden="1" customHeight="1">
      <c r="A664" s="40">
        <f>IFERROR(__xludf.DUMMYFUNCTION("""COMPUTED_VALUE"""),18.0)</f>
        <v>18</v>
      </c>
      <c r="B664" s="40" t="str">
        <f>IFERROR(__xludf.DUMMYFUNCTION("""COMPUTED_VALUE"""),"A101")</f>
        <v>A101</v>
      </c>
      <c r="C664" s="40"/>
      <c r="D664" s="41"/>
      <c r="E664" s="66"/>
      <c r="F664" s="43"/>
      <c r="G664" s="44"/>
      <c r="H664" s="33" t="str">
        <f>IFERROR(__xludf.DUMMYFUNCTION("""COMPUTED_VALUE""")," ")</f>
        <v> </v>
      </c>
      <c r="I664" s="45"/>
      <c r="J664" s="46" t="str">
        <f>IFERROR(__xludf.DUMMYFUNCTION("""COMPUTED_VALUE"""),"AP")</f>
        <v>AP</v>
      </c>
      <c r="K664" s="47"/>
      <c r="L664" s="48" t="str">
        <f>IFERROR(__xludf.DUMMYFUNCTION("""COMPUTED_VALUE"""),"%")</f>
        <v>%</v>
      </c>
      <c r="M664" s="49">
        <f>IFERROR(__xludf.DUMMYFUNCTION("""COMPUTED_VALUE"""),1.0)</f>
        <v>1</v>
      </c>
      <c r="N664" s="50"/>
      <c r="O664" s="38"/>
      <c r="P664" s="45" t="str">
        <f>IFERROR(__xludf.DUMMYFUNCTION("""COMPUTED_VALUE"""),"")</f>
        <v/>
      </c>
      <c r="Q664" s="46" t="str">
        <f>IFERROR(__xludf.DUMMYFUNCTION("""COMPUTED_VALUE"""),"AP")</f>
        <v>AP</v>
      </c>
      <c r="R664" s="47" t="str">
        <f>IFERROR(__xludf.DUMMYFUNCTION("""COMPUTED_VALUE"""),"")</f>
        <v/>
      </c>
      <c r="S664" s="48" t="str">
        <f>IFERROR(__xludf.DUMMYFUNCTION("""COMPUTED_VALUE"""),"%")</f>
        <v>%</v>
      </c>
      <c r="T664" s="49">
        <f>IFERROR(__xludf.DUMMYFUNCTION("""COMPUTED_VALUE"""),2.0)</f>
        <v>2</v>
      </c>
      <c r="U664" s="50"/>
      <c r="V664" s="38"/>
      <c r="W664" s="45" t="str">
        <f>IFERROR(__xludf.DUMMYFUNCTION("""COMPUTED_VALUE"""),"")</f>
        <v/>
      </c>
      <c r="X664" s="46" t="str">
        <f>IFERROR(__xludf.DUMMYFUNCTION("""COMPUTED_VALUE"""),"AP")</f>
        <v>AP</v>
      </c>
      <c r="Y664" s="47" t="str">
        <f>IFERROR(__xludf.DUMMYFUNCTION("""COMPUTED_VALUE"""),"")</f>
        <v/>
      </c>
      <c r="Z664" s="48" t="str">
        <f>IFERROR(__xludf.DUMMYFUNCTION("""COMPUTED_VALUE"""),"%")</f>
        <v>%</v>
      </c>
      <c r="AA664" s="49">
        <f>IFERROR(__xludf.DUMMYFUNCTION("""COMPUTED_VALUE"""),3.0)</f>
        <v>3</v>
      </c>
      <c r="AB664" s="50"/>
      <c r="AC664" s="38"/>
      <c r="AD664" s="45" t="str">
        <f>IFERROR(__xludf.DUMMYFUNCTION("""COMPUTED_VALUE"""),"")</f>
        <v/>
      </c>
      <c r="AE664" s="46" t="str">
        <f>IFERROR(__xludf.DUMMYFUNCTION("""COMPUTED_VALUE"""),"AP")</f>
        <v>AP</v>
      </c>
      <c r="AF664" s="47" t="str">
        <f>IFERROR(__xludf.DUMMYFUNCTION("""COMPUTED_VALUE"""),"")</f>
        <v/>
      </c>
      <c r="AG664" s="48" t="str">
        <f>IFERROR(__xludf.DUMMYFUNCTION("""COMPUTED_VALUE"""),"%")</f>
        <v>%</v>
      </c>
      <c r="AH664" s="43"/>
      <c r="AI664" s="44"/>
      <c r="AJ664" s="66"/>
    </row>
    <row r="665" ht="24.75" hidden="1" customHeight="1">
      <c r="A665" s="28">
        <f>IFERROR(__xludf.DUMMYFUNCTION("""COMPUTED_VALUE"""),19.0)</f>
        <v>19</v>
      </c>
      <c r="B665" s="28" t="str">
        <f>IFERROR(__xludf.DUMMYFUNCTION("""COMPUTED_VALUE"""),"A101")</f>
        <v>A101</v>
      </c>
      <c r="C665" s="28"/>
      <c r="D665" s="29"/>
      <c r="E665" s="67"/>
      <c r="F665" s="31"/>
      <c r="G665" s="32"/>
      <c r="H665" s="33" t="str">
        <f>IFERROR(__xludf.DUMMYFUNCTION("""COMPUTED_VALUE""")," ")</f>
        <v> </v>
      </c>
      <c r="I665" s="34"/>
      <c r="J665" s="35" t="str">
        <f>IFERROR(__xludf.DUMMYFUNCTION("""COMPUTED_VALUE"""),"AP")</f>
        <v>AP</v>
      </c>
      <c r="K665" s="34"/>
      <c r="L665" s="35" t="str">
        <f>IFERROR(__xludf.DUMMYFUNCTION("""COMPUTED_VALUE"""),"%")</f>
        <v>%</v>
      </c>
      <c r="M665" s="36">
        <f>IFERROR(__xludf.DUMMYFUNCTION("""COMPUTED_VALUE"""),1.0)</f>
        <v>1</v>
      </c>
      <c r="N665" s="37"/>
      <c r="O665" s="38"/>
      <c r="P665" s="34" t="str">
        <f>IFERROR(__xludf.DUMMYFUNCTION("""COMPUTED_VALUE"""),"")</f>
        <v/>
      </c>
      <c r="Q665" s="35" t="str">
        <f>IFERROR(__xludf.DUMMYFUNCTION("""COMPUTED_VALUE"""),"AP")</f>
        <v>AP</v>
      </c>
      <c r="R665" s="34" t="str">
        <f>IFERROR(__xludf.DUMMYFUNCTION("""COMPUTED_VALUE"""),"")</f>
        <v/>
      </c>
      <c r="S665" s="35" t="str">
        <f>IFERROR(__xludf.DUMMYFUNCTION("""COMPUTED_VALUE"""),"%")</f>
        <v>%</v>
      </c>
      <c r="T665" s="36">
        <f>IFERROR(__xludf.DUMMYFUNCTION("""COMPUTED_VALUE"""),2.0)</f>
        <v>2</v>
      </c>
      <c r="U665" s="37"/>
      <c r="V665" s="38"/>
      <c r="W665" s="34" t="str">
        <f>IFERROR(__xludf.DUMMYFUNCTION("""COMPUTED_VALUE"""),"")</f>
        <v/>
      </c>
      <c r="X665" s="35" t="str">
        <f>IFERROR(__xludf.DUMMYFUNCTION("""COMPUTED_VALUE"""),"AP")</f>
        <v>AP</v>
      </c>
      <c r="Y665" s="34" t="str">
        <f>IFERROR(__xludf.DUMMYFUNCTION("""COMPUTED_VALUE"""),"")</f>
        <v/>
      </c>
      <c r="Z665" s="35" t="str">
        <f>IFERROR(__xludf.DUMMYFUNCTION("""COMPUTED_VALUE"""),"%")</f>
        <v>%</v>
      </c>
      <c r="AA665" s="36">
        <f>IFERROR(__xludf.DUMMYFUNCTION("""COMPUTED_VALUE"""),3.0)</f>
        <v>3</v>
      </c>
      <c r="AB665" s="37"/>
      <c r="AC665" s="38"/>
      <c r="AD665" s="34" t="str">
        <f>IFERROR(__xludf.DUMMYFUNCTION("""COMPUTED_VALUE"""),"")</f>
        <v/>
      </c>
      <c r="AE665" s="35" t="str">
        <f>IFERROR(__xludf.DUMMYFUNCTION("""COMPUTED_VALUE"""),"AP")</f>
        <v>AP</v>
      </c>
      <c r="AF665" s="34" t="str">
        <f>IFERROR(__xludf.DUMMYFUNCTION("""COMPUTED_VALUE"""),"")</f>
        <v/>
      </c>
      <c r="AG665" s="35" t="str">
        <f>IFERROR(__xludf.DUMMYFUNCTION("""COMPUTED_VALUE"""),"%")</f>
        <v>%</v>
      </c>
      <c r="AH665" s="31"/>
      <c r="AI665" s="32"/>
      <c r="AJ665" s="67"/>
    </row>
    <row r="666" ht="24.75" hidden="1" customHeight="1">
      <c r="A666" s="40">
        <f>IFERROR(__xludf.DUMMYFUNCTION("""COMPUTED_VALUE"""),20.0)</f>
        <v>20</v>
      </c>
      <c r="B666" s="40" t="str">
        <f>IFERROR(__xludf.DUMMYFUNCTION("""COMPUTED_VALUE"""),"A101")</f>
        <v>A101</v>
      </c>
      <c r="C666" s="40"/>
      <c r="D666" s="41"/>
      <c r="E666" s="66"/>
      <c r="F666" s="43"/>
      <c r="G666" s="44"/>
      <c r="H666" s="33" t="str">
        <f>IFERROR(__xludf.DUMMYFUNCTION("""COMPUTED_VALUE""")," ")</f>
        <v> </v>
      </c>
      <c r="I666" s="45"/>
      <c r="J666" s="46" t="str">
        <f>IFERROR(__xludf.DUMMYFUNCTION("""COMPUTED_VALUE"""),"AP")</f>
        <v>AP</v>
      </c>
      <c r="K666" s="47"/>
      <c r="L666" s="48" t="str">
        <f>IFERROR(__xludf.DUMMYFUNCTION("""COMPUTED_VALUE"""),"%")</f>
        <v>%</v>
      </c>
      <c r="M666" s="49">
        <f>IFERROR(__xludf.DUMMYFUNCTION("""COMPUTED_VALUE"""),1.0)</f>
        <v>1</v>
      </c>
      <c r="N666" s="50"/>
      <c r="O666" s="38"/>
      <c r="P666" s="45" t="str">
        <f>IFERROR(__xludf.DUMMYFUNCTION("""COMPUTED_VALUE"""),"")</f>
        <v/>
      </c>
      <c r="Q666" s="46" t="str">
        <f>IFERROR(__xludf.DUMMYFUNCTION("""COMPUTED_VALUE"""),"AP")</f>
        <v>AP</v>
      </c>
      <c r="R666" s="47" t="str">
        <f>IFERROR(__xludf.DUMMYFUNCTION("""COMPUTED_VALUE"""),"")</f>
        <v/>
      </c>
      <c r="S666" s="48" t="str">
        <f>IFERROR(__xludf.DUMMYFUNCTION("""COMPUTED_VALUE"""),"%")</f>
        <v>%</v>
      </c>
      <c r="T666" s="49">
        <f>IFERROR(__xludf.DUMMYFUNCTION("""COMPUTED_VALUE"""),2.0)</f>
        <v>2</v>
      </c>
      <c r="U666" s="50"/>
      <c r="V666" s="38"/>
      <c r="W666" s="45" t="str">
        <f>IFERROR(__xludf.DUMMYFUNCTION("""COMPUTED_VALUE"""),"")</f>
        <v/>
      </c>
      <c r="X666" s="46" t="str">
        <f>IFERROR(__xludf.DUMMYFUNCTION("""COMPUTED_VALUE"""),"AP")</f>
        <v>AP</v>
      </c>
      <c r="Y666" s="47" t="str">
        <f>IFERROR(__xludf.DUMMYFUNCTION("""COMPUTED_VALUE"""),"")</f>
        <v/>
      </c>
      <c r="Z666" s="48" t="str">
        <f>IFERROR(__xludf.DUMMYFUNCTION("""COMPUTED_VALUE"""),"%")</f>
        <v>%</v>
      </c>
      <c r="AA666" s="49">
        <f>IFERROR(__xludf.DUMMYFUNCTION("""COMPUTED_VALUE"""),3.0)</f>
        <v>3</v>
      </c>
      <c r="AB666" s="50"/>
      <c r="AC666" s="38"/>
      <c r="AD666" s="45" t="str">
        <f>IFERROR(__xludf.DUMMYFUNCTION("""COMPUTED_VALUE"""),"")</f>
        <v/>
      </c>
      <c r="AE666" s="46" t="str">
        <f>IFERROR(__xludf.DUMMYFUNCTION("""COMPUTED_VALUE"""),"AP")</f>
        <v>AP</v>
      </c>
      <c r="AF666" s="47" t="str">
        <f>IFERROR(__xludf.DUMMYFUNCTION("""COMPUTED_VALUE"""),"")</f>
        <v/>
      </c>
      <c r="AG666" s="48" t="str">
        <f>IFERROR(__xludf.DUMMYFUNCTION("""COMPUTED_VALUE"""),"%")</f>
        <v>%</v>
      </c>
      <c r="AH666" s="43"/>
      <c r="AI666" s="44"/>
      <c r="AJ666" s="66"/>
    </row>
    <row r="667">
      <c r="A667" s="52"/>
      <c r="B667" s="53"/>
      <c r="C667" s="54"/>
      <c r="D667" s="56"/>
      <c r="E667" s="56"/>
      <c r="F667" s="53"/>
      <c r="G667" s="53"/>
      <c r="H667" s="53"/>
      <c r="I667" s="53"/>
      <c r="J667" s="57"/>
      <c r="K667" s="53"/>
      <c r="L667" s="57"/>
      <c r="M667" s="53"/>
      <c r="N667" s="53"/>
      <c r="O667" s="53"/>
      <c r="P667" s="53"/>
      <c r="Q667" s="57"/>
      <c r="R667" s="53"/>
      <c r="S667" s="57"/>
      <c r="T667" s="53"/>
      <c r="U667" s="53"/>
      <c r="V667" s="53"/>
      <c r="W667" s="53"/>
      <c r="X667" s="57"/>
      <c r="Y667" s="53"/>
      <c r="Z667" s="57"/>
      <c r="AA667" s="53"/>
      <c r="AB667" s="53"/>
      <c r="AC667" s="53"/>
      <c r="AD667" s="53"/>
      <c r="AE667" s="57"/>
      <c r="AF667" s="53"/>
      <c r="AG667" s="57"/>
      <c r="AH667" s="53"/>
      <c r="AI667" s="53"/>
      <c r="AJ667" s="56"/>
    </row>
    <row r="668">
      <c r="A668" s="59"/>
      <c r="B668" s="60"/>
      <c r="C668" s="61"/>
      <c r="D668" s="63"/>
      <c r="E668" s="63"/>
      <c r="F668" s="60"/>
      <c r="G668" s="60"/>
      <c r="H668" s="60"/>
      <c r="I668" s="60"/>
      <c r="J668" s="64"/>
      <c r="K668" s="60"/>
      <c r="L668" s="64"/>
      <c r="M668" s="60"/>
      <c r="N668" s="60"/>
      <c r="O668" s="60"/>
      <c r="P668" s="60"/>
      <c r="Q668" s="64"/>
      <c r="R668" s="60"/>
      <c r="S668" s="64"/>
      <c r="T668" s="60"/>
      <c r="U668" s="60"/>
      <c r="V668" s="60"/>
      <c r="W668" s="60"/>
      <c r="X668" s="64"/>
      <c r="Y668" s="60"/>
      <c r="Z668" s="64"/>
      <c r="AA668" s="60"/>
      <c r="AB668" s="60"/>
      <c r="AC668" s="60"/>
      <c r="AD668" s="60"/>
      <c r="AE668" s="64"/>
      <c r="AF668" s="60"/>
      <c r="AG668" s="64"/>
      <c r="AH668" s="60"/>
      <c r="AI668" s="60"/>
      <c r="AJ668" s="63"/>
    </row>
    <row r="669" ht="33.0" customHeight="1">
      <c r="A669" s="20" t="str">
        <f>IFERROR(__xludf.DUMMYFUNCTION("""COMPUTED_VALUE""")," ")</f>
        <v> </v>
      </c>
      <c r="B669" s="21" t="str">
        <f>IFERROR(__xludf.DUMMYFUNCTION("""COMPUTED_VALUE"""),"A102")</f>
        <v>A102</v>
      </c>
      <c r="C669" s="20"/>
      <c r="D669" s="257" t="str">
        <f>IFERROR(__xludf.DUMMYFUNCTION("""COMPUTED_VALUE"""),"")</f>
        <v/>
      </c>
      <c r="E669" s="23" t="str">
        <f>IFERROR(__xludf.DUMMYFUNCTION("""COMPUTED_VALUE"""),"Heart of the Foreign God")</f>
        <v>Heart of the Foreign God</v>
      </c>
      <c r="F669" s="24"/>
      <c r="G669" s="24"/>
      <c r="H669" s="25"/>
      <c r="I669" s="25"/>
      <c r="J669" s="26"/>
      <c r="K669" s="25"/>
      <c r="L669" s="26"/>
      <c r="M669" s="25"/>
      <c r="N669" s="25"/>
      <c r="O669" s="25"/>
      <c r="P669" s="25"/>
      <c r="Q669" s="26"/>
      <c r="R669" s="25"/>
      <c r="S669" s="26"/>
      <c r="T669" s="25"/>
      <c r="U669" s="25"/>
      <c r="V669" s="25"/>
      <c r="W669" s="25"/>
      <c r="X669" s="26"/>
      <c r="Y669" s="25"/>
      <c r="Z669" s="26"/>
      <c r="AA669" s="25"/>
      <c r="AB669" s="25"/>
      <c r="AC669" s="25"/>
      <c r="AD669" s="25"/>
      <c r="AE669" s="26"/>
      <c r="AF669" s="25"/>
      <c r="AG669" s="26"/>
      <c r="AH669" s="24"/>
      <c r="AI669" s="25"/>
      <c r="AJ669" s="23"/>
    </row>
    <row r="670" ht="24.75" customHeight="1">
      <c r="A670" s="28">
        <f>IFERROR(__xludf.DUMMYFUNCTION("""COMPUTED_VALUE"""),1.0)</f>
        <v>1</v>
      </c>
      <c r="B670" s="28" t="str">
        <f>IFERROR(__xludf.DUMMYFUNCTION("""COMPUTED_VALUE"""),"A102")</f>
        <v>A102</v>
      </c>
      <c r="C670" s="28" t="str">
        <f>IFERROR(__xludf.DUMMYFUNCTION("""COMPUTED_VALUE"""),"SLM2")</f>
        <v>SLM2</v>
      </c>
      <c r="D670" s="29" t="str">
        <f>IFERROR(__xludf.DUMMYFUNCTION("""COMPUTED_VALUE"""),"Salem")</f>
        <v>Salem</v>
      </c>
      <c r="E670" s="30" t="str">
        <f>IFERROR(__xludf.DUMMYFUNCTION("""COMPUTED_VALUE"""),"Carter Residence")</f>
        <v>Carter Residence</v>
      </c>
      <c r="F670" s="31">
        <f>IFERROR(__xludf.DUMMYFUNCTION("""COMPUTED_VALUE"""),20.0)</f>
        <v>20</v>
      </c>
      <c r="G670" s="32">
        <f>IFERROR(__xludf.DUMMYFUNCTION("""COMPUTED_VALUE"""),122981.0)</f>
        <v>122981</v>
      </c>
      <c r="H670" s="33" t="str">
        <f>IFERROR(__xludf.DUMMYFUNCTION("""COMPUTED_VALUE"""),"")</f>
        <v/>
      </c>
      <c r="I670" s="34">
        <f>IFERROR(__xludf.DUMMYFUNCTION("""COMPUTED_VALUE"""),162.64765696303664)</f>
        <v>162.647657</v>
      </c>
      <c r="J670" s="35" t="str">
        <f>IFERROR(__xludf.DUMMYFUNCTION("""COMPUTED_VALUE"""),"AP")</f>
        <v>AP</v>
      </c>
      <c r="K670" s="34">
        <f>IFERROR(__xludf.DUMMYFUNCTION("""COMPUTED_VALUE"""),12.296518974475733)</f>
        <v>12.29651897</v>
      </c>
      <c r="L670" s="35" t="str">
        <f>IFERROR(__xludf.DUMMYFUNCTION("""COMPUTED_VALUE"""),"%")</f>
        <v>%</v>
      </c>
      <c r="M670" s="36">
        <f>IFERROR(__xludf.DUMMYFUNCTION("""COMPUTED_VALUE"""),1.0)</f>
        <v>1</v>
      </c>
      <c r="N670" s="37" t="str">
        <f>IFERROR(__xludf.DUMMYFUNCTION("""COMPUTED_VALUE"""),"A308")</f>
        <v>A308</v>
      </c>
      <c r="O670" s="38" t="str">
        <f>IFERROR(__xludf.DUMMYFUNCTION("""COMPUTED_VALUE"""),"")</f>
        <v/>
      </c>
      <c r="P670" s="34">
        <f>IFERROR(__xludf.DUMMYFUNCTION("""COMPUTED_VALUE"""),49.990650710546)</f>
        <v>49.99065071</v>
      </c>
      <c r="Q670" s="35" t="str">
        <f>IFERROR(__xludf.DUMMYFUNCTION("""COMPUTED_VALUE"""),"AP")</f>
        <v>AP</v>
      </c>
      <c r="R670" s="34">
        <f>IFERROR(__xludf.DUMMYFUNCTION("""COMPUTED_VALUE"""),40.007480830372174)</f>
        <v>40.00748083</v>
      </c>
      <c r="S670" s="35" t="str">
        <f>IFERROR(__xludf.DUMMYFUNCTION("""COMPUTED_VALUE"""),"%")</f>
        <v>%</v>
      </c>
      <c r="T670" s="36">
        <f>IFERROR(__xludf.DUMMYFUNCTION("""COMPUTED_VALUE"""),2.0)</f>
        <v>2</v>
      </c>
      <c r="U670" s="37" t="str">
        <f>IFERROR(__xludf.DUMMYFUNCTION("""COMPUTED_VALUE"""),"B105")</f>
        <v>B105</v>
      </c>
      <c r="V670" s="38" t="str">
        <f>IFERROR(__xludf.DUMMYFUNCTION("""COMPUTED_VALUE"""),"")</f>
        <v/>
      </c>
      <c r="W670" s="34">
        <f>IFERROR(__xludf.DUMMYFUNCTION("""COMPUTED_VALUE"""),455.6451935153025)</f>
        <v>455.6451935</v>
      </c>
      <c r="X670" s="35" t="str">
        <f>IFERROR(__xludf.DUMMYFUNCTION("""COMPUTED_VALUE"""),"AP")</f>
        <v>AP</v>
      </c>
      <c r="Y670" s="34">
        <f>IFERROR(__xludf.DUMMYFUNCTION("""COMPUTED_VALUE"""),4.389380220539584)</f>
        <v>4.389380221</v>
      </c>
      <c r="Z670" s="35" t="str">
        <f>IFERROR(__xludf.DUMMYFUNCTION("""COMPUTED_VALUE"""),"%")</f>
        <v>%</v>
      </c>
      <c r="AA670" s="36">
        <f>IFERROR(__xludf.DUMMYFUNCTION("""COMPUTED_VALUE"""),3.0)</f>
        <v>3</v>
      </c>
      <c r="AB670" s="37" t="str">
        <f>IFERROR(__xludf.DUMMYFUNCTION("""COMPUTED_VALUE"""),"B116")</f>
        <v>B116</v>
      </c>
      <c r="AC670" s="38" t="str">
        <f>IFERROR(__xludf.DUMMYFUNCTION("""COMPUTED_VALUE"""),"")</f>
        <v/>
      </c>
      <c r="AD670" s="34">
        <f>IFERROR(__xludf.DUMMYFUNCTION("""COMPUTED_VALUE"""),80.35242912087588)</f>
        <v>80.35242912</v>
      </c>
      <c r="AE670" s="35" t="str">
        <f>IFERROR(__xludf.DUMMYFUNCTION("""COMPUTED_VALUE"""),"AP")</f>
        <v>AP</v>
      </c>
      <c r="AF670" s="34">
        <f>IFERROR(__xludf.DUMMYFUNCTION("""COMPUTED_VALUE"""),24.890348952504688)</f>
        <v>24.89034895</v>
      </c>
      <c r="AG670" s="35" t="str">
        <f>IFERROR(__xludf.DUMMYFUNCTION("""COMPUTED_VALUE"""),"%")</f>
        <v>%</v>
      </c>
      <c r="AH670" s="31">
        <f>IFERROR(__xludf.DUMMYFUNCTION("""COMPUTED_VALUE"""),20.0)</f>
        <v>20</v>
      </c>
      <c r="AI670" s="32">
        <f>IFERROR(__xludf.DUMMYFUNCTION("""COMPUTED_VALUE"""),122981.0)</f>
        <v>122981</v>
      </c>
      <c r="AJ670" s="30" t="str">
        <f>IFERROR(__xludf.DUMMYFUNCTION("""COMPUTED_VALUE"""),"Carter Residence")</f>
        <v>Carter Residence</v>
      </c>
    </row>
    <row r="671" ht="24.75" customHeight="1">
      <c r="A671" s="40">
        <f>IFERROR(__xludf.DUMMYFUNCTION("""COMPUTED_VALUE"""),2.0)</f>
        <v>2</v>
      </c>
      <c r="B671" s="40" t="str">
        <f>IFERROR(__xludf.DUMMYFUNCTION("""COMPUTED_VALUE"""),"A102")</f>
        <v>A102</v>
      </c>
      <c r="C671" s="40" t="str">
        <f>IFERROR(__xludf.DUMMYFUNCTION("""COMPUTED_VALUE"""),"SJK9")</f>
        <v>SJK9</v>
      </c>
      <c r="D671" s="41" t="str">
        <f>IFERROR(__xludf.DUMMYFUNCTION("""COMPUTED_VALUE"""),"Shinjuku")</f>
        <v>Shinjuku</v>
      </c>
      <c r="E671" s="42" t="str">
        <f>IFERROR(__xludf.DUMMYFUNCTION("""COMPUTED_VALUE"""),"Shinjuku Gyoen")</f>
        <v>Shinjuku Gyoen</v>
      </c>
      <c r="F671" s="43">
        <f>IFERROR(__xludf.DUMMYFUNCTION("""COMPUTED_VALUE"""),21.0)</f>
        <v>21</v>
      </c>
      <c r="G671" s="44">
        <f>IFERROR(__xludf.DUMMYFUNCTION("""COMPUTED_VALUE"""),62147.0)</f>
        <v>62147</v>
      </c>
      <c r="H671" s="33" t="str">
        <f>IFERROR(__xludf.DUMMYFUNCTION("""COMPUTED_VALUE"""),"")</f>
        <v/>
      </c>
      <c r="I671" s="45">
        <f>IFERROR(__xludf.DUMMYFUNCTION("""COMPUTED_VALUE"""),175.27356970185335)</f>
        <v>175.2735697</v>
      </c>
      <c r="J671" s="46" t="str">
        <f>IFERROR(__xludf.DUMMYFUNCTION("""COMPUTED_VALUE"""),"AP")</f>
        <v>AP</v>
      </c>
      <c r="K671" s="47">
        <f>IFERROR(__xludf.DUMMYFUNCTION("""COMPUTED_VALUE"""),11.98127021416963)</f>
        <v>11.98127021</v>
      </c>
      <c r="L671" s="48" t="str">
        <f>IFERROR(__xludf.DUMMYFUNCTION("""COMPUTED_VALUE"""),"%")</f>
        <v>%</v>
      </c>
      <c r="M671" s="49">
        <f>IFERROR(__xludf.DUMMYFUNCTION("""COMPUTED_VALUE"""),1.0)</f>
        <v>1</v>
      </c>
      <c r="N671" s="50" t="str">
        <f>IFERROR(__xludf.DUMMYFUNCTION("""COMPUTED_VALUE"""),"A307")</f>
        <v>A307</v>
      </c>
      <c r="O671" s="38" t="str">
        <f>IFERROR(__xludf.DUMMYFUNCTION("""COMPUTED_VALUE"""),"")</f>
        <v/>
      </c>
      <c r="P671" s="45">
        <f>IFERROR(__xludf.DUMMYFUNCTION("""COMPUTED_VALUE"""),69.4193366507004)</f>
        <v>69.41933665</v>
      </c>
      <c r="Q671" s="46" t="str">
        <f>IFERROR(__xludf.DUMMYFUNCTION("""COMPUTED_VALUE"""),"AP")</f>
        <v>AP</v>
      </c>
      <c r="R671" s="47">
        <f>IFERROR(__xludf.DUMMYFUNCTION("""COMPUTED_VALUE"""),30.250937293835584)</f>
        <v>30.25093729</v>
      </c>
      <c r="S671" s="48" t="str">
        <f>IFERROR(__xludf.DUMMYFUNCTION("""COMPUTED_VALUE"""),"%")</f>
        <v>%</v>
      </c>
      <c r="T671" s="49">
        <f>IFERROR(__xludf.DUMMYFUNCTION("""COMPUTED_VALUE"""),2.0)</f>
        <v>2</v>
      </c>
      <c r="U671" s="50" t="str">
        <f>IFERROR(__xludf.DUMMYFUNCTION("""COMPUTED_VALUE"""),"B105")</f>
        <v>B105</v>
      </c>
      <c r="V671" s="38" t="str">
        <f>IFERROR(__xludf.DUMMYFUNCTION("""COMPUTED_VALUE"""),"")</f>
        <v/>
      </c>
      <c r="W671" s="45">
        <f>IFERROR(__xludf.DUMMYFUNCTION("""COMPUTED_VALUE"""),470.5802124421522)</f>
        <v>470.5802124</v>
      </c>
      <c r="X671" s="46" t="str">
        <f>IFERROR(__xludf.DUMMYFUNCTION("""COMPUTED_VALUE"""),"AP")</f>
        <v>AP</v>
      </c>
      <c r="Y671" s="47">
        <f>IFERROR(__xludf.DUMMYFUNCTION("""COMPUTED_VALUE"""),4.462576080497967)</f>
        <v>4.46257608</v>
      </c>
      <c r="Z671" s="48" t="str">
        <f>IFERROR(__xludf.DUMMYFUNCTION("""COMPUTED_VALUE"""),"%")</f>
        <v>%</v>
      </c>
      <c r="AA671" s="49">
        <f>IFERROR(__xludf.DUMMYFUNCTION("""COMPUTED_VALUE"""),3.0)</f>
        <v>3</v>
      </c>
      <c r="AB671" s="50"/>
      <c r="AC671" s="38"/>
      <c r="AD671" s="45" t="str">
        <f>IFERROR(__xludf.DUMMYFUNCTION("""COMPUTED_VALUE"""),"")</f>
        <v/>
      </c>
      <c r="AE671" s="46" t="str">
        <f>IFERROR(__xludf.DUMMYFUNCTION("""COMPUTED_VALUE"""),"AP")</f>
        <v>AP</v>
      </c>
      <c r="AF671" s="47" t="str">
        <f>IFERROR(__xludf.DUMMYFUNCTION("""COMPUTED_VALUE"""),"")</f>
        <v/>
      </c>
      <c r="AG671" s="48" t="str">
        <f>IFERROR(__xludf.DUMMYFUNCTION("""COMPUTED_VALUE"""),"%")</f>
        <v>%</v>
      </c>
      <c r="AH671" s="43">
        <f>IFERROR(__xludf.DUMMYFUNCTION("""COMPUTED_VALUE"""),21.0)</f>
        <v>21</v>
      </c>
      <c r="AI671" s="44">
        <f>IFERROR(__xludf.DUMMYFUNCTION("""COMPUTED_VALUE"""),62147.0)</f>
        <v>62147</v>
      </c>
      <c r="AJ671" s="42" t="str">
        <f>IFERROR(__xludf.DUMMYFUNCTION("""COMPUTED_VALUE"""),"Shinjuku Gyoen")</f>
        <v>Shinjuku Gyoen</v>
      </c>
    </row>
    <row r="672" ht="24.75" customHeight="1">
      <c r="A672" s="28">
        <f>IFERROR(__xludf.DUMMYFUNCTION("""COMPUTED_VALUE"""),3.0)</f>
        <v>3</v>
      </c>
      <c r="B672" s="28" t="str">
        <f>IFERROR(__xludf.DUMMYFUNCTION("""COMPUTED_VALUE"""),"A102")</f>
        <v>A102</v>
      </c>
      <c r="C672" s="28" t="str">
        <f>IFERROR(__xludf.DUMMYFUNCTION("""COMPUTED_VALUE"""),"TRF20")</f>
        <v>TRF20</v>
      </c>
      <c r="D672" s="29" t="str">
        <f>IFERROR(__xludf.DUMMYFUNCTION("""COMPUTED_VALUE"""),"Chaldea Gate (Fri)")</f>
        <v>Chaldea Gate (Fri)</v>
      </c>
      <c r="E672" s="30" t="str">
        <f>IFERROR(__xludf.DUMMYFUNCTION("""COMPUTED_VALUE"""),"FRI Caster Training Ground- Exp")</f>
        <v>FRI Caster Training Ground- Exp</v>
      </c>
      <c r="F672" s="31">
        <f>IFERROR(__xludf.DUMMYFUNCTION("""COMPUTED_VALUE"""),40.0)</f>
        <v>40</v>
      </c>
      <c r="G672" s="32">
        <f>IFERROR(__xludf.DUMMYFUNCTION("""COMPUTED_VALUE"""),13329.0)</f>
        <v>13329</v>
      </c>
      <c r="H672" s="33" t="str">
        <f>IFERROR(__xludf.DUMMYFUNCTION("""COMPUTED_VALUE"""),"")</f>
        <v/>
      </c>
      <c r="I672" s="34">
        <f>IFERROR(__xludf.DUMMYFUNCTION("""COMPUTED_VALUE"""),639.3500659023124)</f>
        <v>639.3500659</v>
      </c>
      <c r="J672" s="35" t="str">
        <f>IFERROR(__xludf.DUMMYFUNCTION("""COMPUTED_VALUE"""),"AP")</f>
        <v>AP</v>
      </c>
      <c r="K672" s="34">
        <f>IFERROR(__xludf.DUMMYFUNCTION("""COMPUTED_VALUE"""),6.256353464756142)</f>
        <v>6.256353465</v>
      </c>
      <c r="L672" s="35" t="str">
        <f>IFERROR(__xludf.DUMMYFUNCTION("""COMPUTED_VALUE"""),"%")</f>
        <v>%</v>
      </c>
      <c r="M672" s="36">
        <f>IFERROR(__xludf.DUMMYFUNCTION("""COMPUTED_VALUE"""),1.0)</f>
        <v>1</v>
      </c>
      <c r="N672" s="37" t="str">
        <f>IFERROR(__xludf.DUMMYFUNCTION("""COMPUTED_VALUE"""),"A204")</f>
        <v>A204</v>
      </c>
      <c r="O672" s="38" t="str">
        <f>IFERROR(__xludf.DUMMYFUNCTION("""COMPUTED_VALUE"""),"")</f>
        <v/>
      </c>
      <c r="P672" s="34">
        <f>IFERROR(__xludf.DUMMYFUNCTION("""COMPUTED_VALUE"""),161.05860604038156)</f>
        <v>161.058606</v>
      </c>
      <c r="Q672" s="35" t="str">
        <f>IFERROR(__xludf.DUMMYFUNCTION("""COMPUTED_VALUE"""),"AP")</f>
        <v>AP</v>
      </c>
      <c r="R672" s="34">
        <f>IFERROR(__xludf.DUMMYFUNCTION("""COMPUTED_VALUE"""),24.835679994629388)</f>
        <v>24.83567999</v>
      </c>
      <c r="S672" s="35" t="str">
        <f>IFERROR(__xludf.DUMMYFUNCTION("""COMPUTED_VALUE"""),"%")</f>
        <v>%</v>
      </c>
      <c r="T672" s="36">
        <f>IFERROR(__xludf.DUMMYFUNCTION("""COMPUTED_VALUE"""),2.0)</f>
        <v>2</v>
      </c>
      <c r="U672" s="37" t="str">
        <f>IFERROR(__xludf.DUMMYFUNCTION("""COMPUTED_VALUE"""),"A207")</f>
        <v>A207</v>
      </c>
      <c r="V672" s="38" t="str">
        <f>IFERROR(__xludf.DUMMYFUNCTION("""COMPUTED_VALUE"""),"")</f>
        <v/>
      </c>
      <c r="W672" s="34">
        <f>IFERROR(__xludf.DUMMYFUNCTION("""COMPUTED_VALUE"""),194.3664613593877)</f>
        <v>194.3664614</v>
      </c>
      <c r="X672" s="35" t="str">
        <f>IFERROR(__xludf.DUMMYFUNCTION("""COMPUTED_VALUE"""),"AP")</f>
        <v>AP</v>
      </c>
      <c r="Y672" s="34">
        <f>IFERROR(__xludf.DUMMYFUNCTION("""COMPUTED_VALUE"""),20.57968217368487)</f>
        <v>20.57968217</v>
      </c>
      <c r="Z672" s="35" t="str">
        <f>IFERROR(__xludf.DUMMYFUNCTION("""COMPUTED_VALUE"""),"%")</f>
        <v>%</v>
      </c>
      <c r="AA672" s="36">
        <f>IFERROR(__xludf.DUMMYFUNCTION("""COMPUTED_VALUE"""),3.0)</f>
        <v>3</v>
      </c>
      <c r="AB672" s="37" t="str">
        <f>IFERROR(__xludf.DUMMYFUNCTION("""COMPUTED_VALUE"""),"A304")</f>
        <v>A304</v>
      </c>
      <c r="AC672" s="38" t="str">
        <f>IFERROR(__xludf.DUMMYFUNCTION("""COMPUTED_VALUE"""),"")</f>
        <v/>
      </c>
      <c r="AD672" s="34">
        <f>IFERROR(__xludf.DUMMYFUNCTION("""COMPUTED_VALUE"""),163.58755067033417)</f>
        <v>163.5875507</v>
      </c>
      <c r="AE672" s="35" t="str">
        <f>IFERROR(__xludf.DUMMYFUNCTION("""COMPUTED_VALUE"""),"AP")</f>
        <v>AP</v>
      </c>
      <c r="AF672" s="34">
        <f>IFERROR(__xludf.DUMMYFUNCTION("""COMPUTED_VALUE"""),24.45173843369599)</f>
        <v>24.45173843</v>
      </c>
      <c r="AG672" s="35" t="str">
        <f>IFERROR(__xludf.DUMMYFUNCTION("""COMPUTED_VALUE"""),"%")</f>
        <v>%</v>
      </c>
      <c r="AH672" s="31">
        <f>IFERROR(__xludf.DUMMYFUNCTION("""COMPUTED_VALUE"""),40.0)</f>
        <v>40</v>
      </c>
      <c r="AI672" s="32">
        <f>IFERROR(__xludf.DUMMYFUNCTION("""COMPUTED_VALUE"""),13329.0)</f>
        <v>13329</v>
      </c>
      <c r="AJ672" s="30" t="str">
        <f>IFERROR(__xludf.DUMMYFUNCTION("""COMPUTED_VALUE"""),"FRI Caster Training Ground- Exp")</f>
        <v>FRI Caster Training Ground- Exp</v>
      </c>
    </row>
    <row r="673" ht="24.75" customHeight="1">
      <c r="A673" s="40">
        <f>IFERROR(__xludf.DUMMYFUNCTION("""COMPUTED_VALUE"""),4.0)</f>
        <v>4</v>
      </c>
      <c r="B673" s="40" t="str">
        <f>IFERROR(__xludf.DUMMYFUNCTION("""COMPUTED_VALUE"""),"A102")</f>
        <v>A102</v>
      </c>
      <c r="C673" s="40" t="str">
        <f>IFERROR(__xludf.DUMMYFUNCTION("""COMPUTED_VALUE"""),"TRF19")</f>
        <v>TRF19</v>
      </c>
      <c r="D673" s="41" t="str">
        <f>IFERROR(__xludf.DUMMYFUNCTION("""COMPUTED_VALUE"""),"Chaldea Gate (Fri)")</f>
        <v>Chaldea Gate (Fri)</v>
      </c>
      <c r="E673" s="42" t="str">
        <f>IFERROR(__xludf.DUMMYFUNCTION("""COMPUTED_VALUE"""),"FRI Caster Training Ground- Adv")</f>
        <v>FRI Caster Training Ground- Adv</v>
      </c>
      <c r="F673" s="43">
        <f>IFERROR(__xludf.DUMMYFUNCTION("""COMPUTED_VALUE"""),30.0)</f>
        <v>30</v>
      </c>
      <c r="G673" s="44">
        <f>IFERROR(__xludf.DUMMYFUNCTION("""COMPUTED_VALUE"""),2136.0)</f>
        <v>2136</v>
      </c>
      <c r="H673" s="33" t="str">
        <f>IFERROR(__xludf.DUMMYFUNCTION("""COMPUTED_VALUE"""),"")</f>
        <v/>
      </c>
      <c r="I673" s="45">
        <f>IFERROR(__xludf.DUMMYFUNCTION("""COMPUTED_VALUE"""),720.226588140089)</f>
        <v>720.2265881</v>
      </c>
      <c r="J673" s="46" t="str">
        <f>IFERROR(__xludf.DUMMYFUNCTION("""COMPUTED_VALUE"""),"AP")</f>
        <v>AP</v>
      </c>
      <c r="K673" s="47">
        <f>IFERROR(__xludf.DUMMYFUNCTION("""COMPUTED_VALUE"""),4.165355805243446)</f>
        <v>4.165355805</v>
      </c>
      <c r="L673" s="48" t="str">
        <f>IFERROR(__xludf.DUMMYFUNCTION("""COMPUTED_VALUE"""),"%")</f>
        <v>%</v>
      </c>
      <c r="M673" s="49">
        <f>IFERROR(__xludf.DUMMYFUNCTION("""COMPUTED_VALUE"""),1.0)</f>
        <v>1</v>
      </c>
      <c r="N673" s="50" t="str">
        <f>IFERROR(__xludf.DUMMYFUNCTION("""COMPUTED_VALUE"""),"A204")</f>
        <v>A204</v>
      </c>
      <c r="O673" s="38" t="str">
        <f>IFERROR(__xludf.DUMMYFUNCTION("""COMPUTED_VALUE"""),"")</f>
        <v/>
      </c>
      <c r="P673" s="45">
        <f>IFERROR(__xludf.DUMMYFUNCTION("""COMPUTED_VALUE"""),131.405721316518)</f>
        <v>131.4057213</v>
      </c>
      <c r="Q673" s="46" t="str">
        <f>IFERROR(__xludf.DUMMYFUNCTION("""COMPUTED_VALUE"""),"AP")</f>
        <v>AP</v>
      </c>
      <c r="R673" s="47">
        <f>IFERROR(__xludf.DUMMYFUNCTION("""COMPUTED_VALUE"""),22.83005617977528)</f>
        <v>22.83005618</v>
      </c>
      <c r="S673" s="48" t="str">
        <f>IFERROR(__xludf.DUMMYFUNCTION("""COMPUTED_VALUE"""),"%")</f>
        <v>%</v>
      </c>
      <c r="T673" s="49">
        <f>IFERROR(__xludf.DUMMYFUNCTION("""COMPUTED_VALUE"""),2.0)</f>
        <v>2</v>
      </c>
      <c r="U673" s="50" t="str">
        <f>IFERROR(__xludf.DUMMYFUNCTION("""COMPUTED_VALUE"""),"A207")</f>
        <v>A207</v>
      </c>
      <c r="V673" s="38" t="str">
        <f>IFERROR(__xludf.DUMMYFUNCTION("""COMPUTED_VALUE"""),"")</f>
        <v/>
      </c>
      <c r="W673" s="45">
        <f>IFERROR(__xludf.DUMMYFUNCTION("""COMPUTED_VALUE"""),186.02814807933487)</f>
        <v>186.0281481</v>
      </c>
      <c r="X673" s="46" t="str">
        <f>IFERROR(__xludf.DUMMYFUNCTION("""COMPUTED_VALUE"""),"AP")</f>
        <v>AP</v>
      </c>
      <c r="Y673" s="47">
        <f>IFERROR(__xludf.DUMMYFUNCTION("""COMPUTED_VALUE"""),16.126591760299625)</f>
        <v>16.12659176</v>
      </c>
      <c r="Z673" s="48" t="str">
        <f>IFERROR(__xludf.DUMMYFUNCTION("""COMPUTED_VALUE"""),"%")</f>
        <v>%</v>
      </c>
      <c r="AA673" s="49">
        <f>IFERROR(__xludf.DUMMYFUNCTION("""COMPUTED_VALUE"""),3.0)</f>
        <v>3</v>
      </c>
      <c r="AB673" s="50" t="str">
        <f>IFERROR(__xludf.DUMMYFUNCTION("""COMPUTED_VALUE"""),"A304")</f>
        <v>A304</v>
      </c>
      <c r="AC673" s="38" t="str">
        <f>IFERROR(__xludf.DUMMYFUNCTION("""COMPUTED_VALUE"""),"")</f>
        <v/>
      </c>
      <c r="AD673" s="45">
        <f>IFERROR(__xludf.DUMMYFUNCTION("""COMPUTED_VALUE"""),145.00296432402098)</f>
        <v>145.0029643</v>
      </c>
      <c r="AE673" s="46" t="str">
        <f>IFERROR(__xludf.DUMMYFUNCTION("""COMPUTED_VALUE"""),"AP")</f>
        <v>AP</v>
      </c>
      <c r="AF673" s="47">
        <f>IFERROR(__xludf.DUMMYFUNCTION("""COMPUTED_VALUE"""),20.689232209737828)</f>
        <v>20.68923221</v>
      </c>
      <c r="AG673" s="48" t="str">
        <f>IFERROR(__xludf.DUMMYFUNCTION("""COMPUTED_VALUE"""),"%")</f>
        <v>%</v>
      </c>
      <c r="AH673" s="43">
        <f>IFERROR(__xludf.DUMMYFUNCTION("""COMPUTED_VALUE"""),30.0)</f>
        <v>30</v>
      </c>
      <c r="AI673" s="44">
        <f>IFERROR(__xludf.DUMMYFUNCTION("""COMPUTED_VALUE"""),2136.0)</f>
        <v>2136</v>
      </c>
      <c r="AJ673" s="42" t="str">
        <f>IFERROR(__xludf.DUMMYFUNCTION("""COMPUTED_VALUE"""),"FRI Caster Training Ground- Adv")</f>
        <v>FRI Caster Training Ground- Adv</v>
      </c>
    </row>
    <row r="674" ht="24.75" customHeight="1">
      <c r="A674" s="28">
        <f>IFERROR(__xludf.DUMMYFUNCTION("""COMPUTED_VALUE"""),5.0)</f>
        <v>5</v>
      </c>
      <c r="B674" s="28" t="str">
        <f>IFERROR(__xludf.DUMMYFUNCTION("""COMPUTED_VALUE"""),"A102")</f>
        <v>A102</v>
      </c>
      <c r="C674" s="28"/>
      <c r="D674" s="29"/>
      <c r="E674" s="67"/>
      <c r="F674" s="31"/>
      <c r="G674" s="32"/>
      <c r="H674" s="33" t="str">
        <f>IFERROR(__xludf.DUMMYFUNCTION("""COMPUTED_VALUE""")," ")</f>
        <v> </v>
      </c>
      <c r="I674" s="34"/>
      <c r="J674" s="35" t="str">
        <f>IFERROR(__xludf.DUMMYFUNCTION("""COMPUTED_VALUE"""),"AP")</f>
        <v>AP</v>
      </c>
      <c r="K674" s="34"/>
      <c r="L674" s="35" t="str">
        <f>IFERROR(__xludf.DUMMYFUNCTION("""COMPUTED_VALUE"""),"%")</f>
        <v>%</v>
      </c>
      <c r="M674" s="36">
        <f>IFERROR(__xludf.DUMMYFUNCTION("""COMPUTED_VALUE"""),1.0)</f>
        <v>1</v>
      </c>
      <c r="N674" s="37"/>
      <c r="O674" s="38"/>
      <c r="P674" s="34" t="str">
        <f>IFERROR(__xludf.DUMMYFUNCTION("""COMPUTED_VALUE"""),"")</f>
        <v/>
      </c>
      <c r="Q674" s="35" t="str">
        <f>IFERROR(__xludf.DUMMYFUNCTION("""COMPUTED_VALUE"""),"AP")</f>
        <v>AP</v>
      </c>
      <c r="R674" s="34" t="str">
        <f>IFERROR(__xludf.DUMMYFUNCTION("""COMPUTED_VALUE"""),"")</f>
        <v/>
      </c>
      <c r="S674" s="35" t="str">
        <f>IFERROR(__xludf.DUMMYFUNCTION("""COMPUTED_VALUE"""),"%")</f>
        <v>%</v>
      </c>
      <c r="T674" s="36">
        <f>IFERROR(__xludf.DUMMYFUNCTION("""COMPUTED_VALUE"""),2.0)</f>
        <v>2</v>
      </c>
      <c r="U674" s="37"/>
      <c r="V674" s="38"/>
      <c r="W674" s="34" t="str">
        <f>IFERROR(__xludf.DUMMYFUNCTION("""COMPUTED_VALUE"""),"")</f>
        <v/>
      </c>
      <c r="X674" s="35" t="str">
        <f>IFERROR(__xludf.DUMMYFUNCTION("""COMPUTED_VALUE"""),"AP")</f>
        <v>AP</v>
      </c>
      <c r="Y674" s="34" t="str">
        <f>IFERROR(__xludf.DUMMYFUNCTION("""COMPUTED_VALUE"""),"")</f>
        <v/>
      </c>
      <c r="Z674" s="35" t="str">
        <f>IFERROR(__xludf.DUMMYFUNCTION("""COMPUTED_VALUE"""),"%")</f>
        <v>%</v>
      </c>
      <c r="AA674" s="36">
        <f>IFERROR(__xludf.DUMMYFUNCTION("""COMPUTED_VALUE"""),3.0)</f>
        <v>3</v>
      </c>
      <c r="AB674" s="37"/>
      <c r="AC674" s="38"/>
      <c r="AD674" s="34" t="str">
        <f>IFERROR(__xludf.DUMMYFUNCTION("""COMPUTED_VALUE"""),"")</f>
        <v/>
      </c>
      <c r="AE674" s="35" t="str">
        <f>IFERROR(__xludf.DUMMYFUNCTION("""COMPUTED_VALUE"""),"AP")</f>
        <v>AP</v>
      </c>
      <c r="AF674" s="34" t="str">
        <f>IFERROR(__xludf.DUMMYFUNCTION("""COMPUTED_VALUE"""),"")</f>
        <v/>
      </c>
      <c r="AG674" s="35" t="str">
        <f>IFERROR(__xludf.DUMMYFUNCTION("""COMPUTED_VALUE"""),"%")</f>
        <v>%</v>
      </c>
      <c r="AH674" s="31"/>
      <c r="AI674" s="32"/>
      <c r="AJ674" s="67"/>
    </row>
    <row r="675" ht="24.75" hidden="1" customHeight="1">
      <c r="A675" s="40">
        <f>IFERROR(__xludf.DUMMYFUNCTION("""COMPUTED_VALUE"""),6.0)</f>
        <v>6</v>
      </c>
      <c r="B675" s="40" t="str">
        <f>IFERROR(__xludf.DUMMYFUNCTION("""COMPUTED_VALUE"""),"A102")</f>
        <v>A102</v>
      </c>
      <c r="C675" s="40"/>
      <c r="D675" s="41"/>
      <c r="E675" s="66"/>
      <c r="F675" s="43"/>
      <c r="G675" s="44"/>
      <c r="H675" s="33" t="str">
        <f>IFERROR(__xludf.DUMMYFUNCTION("""COMPUTED_VALUE""")," ")</f>
        <v> </v>
      </c>
      <c r="I675" s="45"/>
      <c r="J675" s="46" t="str">
        <f>IFERROR(__xludf.DUMMYFUNCTION("""COMPUTED_VALUE"""),"AP")</f>
        <v>AP</v>
      </c>
      <c r="K675" s="47"/>
      <c r="L675" s="48" t="str">
        <f>IFERROR(__xludf.DUMMYFUNCTION("""COMPUTED_VALUE"""),"%")</f>
        <v>%</v>
      </c>
      <c r="M675" s="49">
        <f>IFERROR(__xludf.DUMMYFUNCTION("""COMPUTED_VALUE"""),1.0)</f>
        <v>1</v>
      </c>
      <c r="N675" s="50"/>
      <c r="O675" s="38"/>
      <c r="P675" s="45" t="str">
        <f>IFERROR(__xludf.DUMMYFUNCTION("""COMPUTED_VALUE"""),"")</f>
        <v/>
      </c>
      <c r="Q675" s="46" t="str">
        <f>IFERROR(__xludf.DUMMYFUNCTION("""COMPUTED_VALUE"""),"AP")</f>
        <v>AP</v>
      </c>
      <c r="R675" s="47" t="str">
        <f>IFERROR(__xludf.DUMMYFUNCTION("""COMPUTED_VALUE"""),"")</f>
        <v/>
      </c>
      <c r="S675" s="48" t="str">
        <f>IFERROR(__xludf.DUMMYFUNCTION("""COMPUTED_VALUE"""),"%")</f>
        <v>%</v>
      </c>
      <c r="T675" s="49">
        <f>IFERROR(__xludf.DUMMYFUNCTION("""COMPUTED_VALUE"""),2.0)</f>
        <v>2</v>
      </c>
      <c r="U675" s="50"/>
      <c r="V675" s="38"/>
      <c r="W675" s="45" t="str">
        <f>IFERROR(__xludf.DUMMYFUNCTION("""COMPUTED_VALUE"""),"")</f>
        <v/>
      </c>
      <c r="X675" s="46" t="str">
        <f>IFERROR(__xludf.DUMMYFUNCTION("""COMPUTED_VALUE"""),"AP")</f>
        <v>AP</v>
      </c>
      <c r="Y675" s="47" t="str">
        <f>IFERROR(__xludf.DUMMYFUNCTION("""COMPUTED_VALUE"""),"")</f>
        <v/>
      </c>
      <c r="Z675" s="48" t="str">
        <f>IFERROR(__xludf.DUMMYFUNCTION("""COMPUTED_VALUE"""),"%")</f>
        <v>%</v>
      </c>
      <c r="AA675" s="49">
        <f>IFERROR(__xludf.DUMMYFUNCTION("""COMPUTED_VALUE"""),3.0)</f>
        <v>3</v>
      </c>
      <c r="AB675" s="50"/>
      <c r="AC675" s="38"/>
      <c r="AD675" s="45" t="str">
        <f>IFERROR(__xludf.DUMMYFUNCTION("""COMPUTED_VALUE"""),"")</f>
        <v/>
      </c>
      <c r="AE675" s="46" t="str">
        <f>IFERROR(__xludf.DUMMYFUNCTION("""COMPUTED_VALUE"""),"AP")</f>
        <v>AP</v>
      </c>
      <c r="AF675" s="47" t="str">
        <f>IFERROR(__xludf.DUMMYFUNCTION("""COMPUTED_VALUE"""),"")</f>
        <v/>
      </c>
      <c r="AG675" s="48" t="str">
        <f>IFERROR(__xludf.DUMMYFUNCTION("""COMPUTED_VALUE"""),"%")</f>
        <v>%</v>
      </c>
      <c r="AH675" s="43"/>
      <c r="AI675" s="44"/>
      <c r="AJ675" s="66"/>
    </row>
    <row r="676" ht="24.75" hidden="1" customHeight="1">
      <c r="A676" s="28">
        <f>IFERROR(__xludf.DUMMYFUNCTION("""COMPUTED_VALUE"""),7.0)</f>
        <v>7</v>
      </c>
      <c r="B676" s="28" t="str">
        <f>IFERROR(__xludf.DUMMYFUNCTION("""COMPUTED_VALUE"""),"A102")</f>
        <v>A102</v>
      </c>
      <c r="C676" s="28"/>
      <c r="D676" s="29"/>
      <c r="E676" s="67"/>
      <c r="F676" s="31"/>
      <c r="G676" s="32"/>
      <c r="H676" s="33" t="str">
        <f>IFERROR(__xludf.DUMMYFUNCTION("""COMPUTED_VALUE""")," ")</f>
        <v> </v>
      </c>
      <c r="I676" s="34"/>
      <c r="J676" s="35" t="str">
        <f>IFERROR(__xludf.DUMMYFUNCTION("""COMPUTED_VALUE"""),"AP")</f>
        <v>AP</v>
      </c>
      <c r="K676" s="34"/>
      <c r="L676" s="35" t="str">
        <f>IFERROR(__xludf.DUMMYFUNCTION("""COMPUTED_VALUE"""),"%")</f>
        <v>%</v>
      </c>
      <c r="M676" s="36">
        <f>IFERROR(__xludf.DUMMYFUNCTION("""COMPUTED_VALUE"""),1.0)</f>
        <v>1</v>
      </c>
      <c r="N676" s="37"/>
      <c r="O676" s="38"/>
      <c r="P676" s="34" t="str">
        <f>IFERROR(__xludf.DUMMYFUNCTION("""COMPUTED_VALUE"""),"")</f>
        <v/>
      </c>
      <c r="Q676" s="35" t="str">
        <f>IFERROR(__xludf.DUMMYFUNCTION("""COMPUTED_VALUE"""),"AP")</f>
        <v>AP</v>
      </c>
      <c r="R676" s="34" t="str">
        <f>IFERROR(__xludf.DUMMYFUNCTION("""COMPUTED_VALUE"""),"")</f>
        <v/>
      </c>
      <c r="S676" s="35" t="str">
        <f>IFERROR(__xludf.DUMMYFUNCTION("""COMPUTED_VALUE"""),"%")</f>
        <v>%</v>
      </c>
      <c r="T676" s="36">
        <f>IFERROR(__xludf.DUMMYFUNCTION("""COMPUTED_VALUE"""),2.0)</f>
        <v>2</v>
      </c>
      <c r="U676" s="37"/>
      <c r="V676" s="38"/>
      <c r="W676" s="34" t="str">
        <f>IFERROR(__xludf.DUMMYFUNCTION("""COMPUTED_VALUE"""),"")</f>
        <v/>
      </c>
      <c r="X676" s="35" t="str">
        <f>IFERROR(__xludf.DUMMYFUNCTION("""COMPUTED_VALUE"""),"AP")</f>
        <v>AP</v>
      </c>
      <c r="Y676" s="34" t="str">
        <f>IFERROR(__xludf.DUMMYFUNCTION("""COMPUTED_VALUE"""),"")</f>
        <v/>
      </c>
      <c r="Z676" s="35" t="str">
        <f>IFERROR(__xludf.DUMMYFUNCTION("""COMPUTED_VALUE"""),"%")</f>
        <v>%</v>
      </c>
      <c r="AA676" s="36">
        <f>IFERROR(__xludf.DUMMYFUNCTION("""COMPUTED_VALUE"""),3.0)</f>
        <v>3</v>
      </c>
      <c r="AB676" s="37"/>
      <c r="AC676" s="38"/>
      <c r="AD676" s="34" t="str">
        <f>IFERROR(__xludf.DUMMYFUNCTION("""COMPUTED_VALUE"""),"")</f>
        <v/>
      </c>
      <c r="AE676" s="35" t="str">
        <f>IFERROR(__xludf.DUMMYFUNCTION("""COMPUTED_VALUE"""),"AP")</f>
        <v>AP</v>
      </c>
      <c r="AF676" s="34" t="str">
        <f>IFERROR(__xludf.DUMMYFUNCTION("""COMPUTED_VALUE"""),"")</f>
        <v/>
      </c>
      <c r="AG676" s="35" t="str">
        <f>IFERROR(__xludf.DUMMYFUNCTION("""COMPUTED_VALUE"""),"%")</f>
        <v>%</v>
      </c>
      <c r="AH676" s="31"/>
      <c r="AI676" s="32"/>
      <c r="AJ676" s="67"/>
    </row>
    <row r="677" ht="24.75" hidden="1" customHeight="1">
      <c r="A677" s="40">
        <f>IFERROR(__xludf.DUMMYFUNCTION("""COMPUTED_VALUE"""),8.0)</f>
        <v>8</v>
      </c>
      <c r="B677" s="40" t="str">
        <f>IFERROR(__xludf.DUMMYFUNCTION("""COMPUTED_VALUE"""),"A102")</f>
        <v>A102</v>
      </c>
      <c r="C677" s="40"/>
      <c r="D677" s="41"/>
      <c r="E677" s="66"/>
      <c r="F677" s="43"/>
      <c r="G677" s="44"/>
      <c r="H677" s="33" t="str">
        <f>IFERROR(__xludf.DUMMYFUNCTION("""COMPUTED_VALUE""")," ")</f>
        <v> </v>
      </c>
      <c r="I677" s="45"/>
      <c r="J677" s="46" t="str">
        <f>IFERROR(__xludf.DUMMYFUNCTION("""COMPUTED_VALUE"""),"AP")</f>
        <v>AP</v>
      </c>
      <c r="K677" s="47"/>
      <c r="L677" s="48" t="str">
        <f>IFERROR(__xludf.DUMMYFUNCTION("""COMPUTED_VALUE"""),"%")</f>
        <v>%</v>
      </c>
      <c r="M677" s="49">
        <f>IFERROR(__xludf.DUMMYFUNCTION("""COMPUTED_VALUE"""),1.0)</f>
        <v>1</v>
      </c>
      <c r="N677" s="50"/>
      <c r="O677" s="38"/>
      <c r="P677" s="45" t="str">
        <f>IFERROR(__xludf.DUMMYFUNCTION("""COMPUTED_VALUE"""),"")</f>
        <v/>
      </c>
      <c r="Q677" s="46" t="str">
        <f>IFERROR(__xludf.DUMMYFUNCTION("""COMPUTED_VALUE"""),"AP")</f>
        <v>AP</v>
      </c>
      <c r="R677" s="47" t="str">
        <f>IFERROR(__xludf.DUMMYFUNCTION("""COMPUTED_VALUE"""),"")</f>
        <v/>
      </c>
      <c r="S677" s="48" t="str">
        <f>IFERROR(__xludf.DUMMYFUNCTION("""COMPUTED_VALUE"""),"%")</f>
        <v>%</v>
      </c>
      <c r="T677" s="49">
        <f>IFERROR(__xludf.DUMMYFUNCTION("""COMPUTED_VALUE"""),2.0)</f>
        <v>2</v>
      </c>
      <c r="U677" s="50"/>
      <c r="V677" s="38"/>
      <c r="W677" s="45" t="str">
        <f>IFERROR(__xludf.DUMMYFUNCTION("""COMPUTED_VALUE"""),"")</f>
        <v/>
      </c>
      <c r="X677" s="46" t="str">
        <f>IFERROR(__xludf.DUMMYFUNCTION("""COMPUTED_VALUE"""),"AP")</f>
        <v>AP</v>
      </c>
      <c r="Y677" s="47" t="str">
        <f>IFERROR(__xludf.DUMMYFUNCTION("""COMPUTED_VALUE"""),"")</f>
        <v/>
      </c>
      <c r="Z677" s="48" t="str">
        <f>IFERROR(__xludf.DUMMYFUNCTION("""COMPUTED_VALUE"""),"%")</f>
        <v>%</v>
      </c>
      <c r="AA677" s="49">
        <f>IFERROR(__xludf.DUMMYFUNCTION("""COMPUTED_VALUE"""),3.0)</f>
        <v>3</v>
      </c>
      <c r="AB677" s="50"/>
      <c r="AC677" s="38"/>
      <c r="AD677" s="45" t="str">
        <f>IFERROR(__xludf.DUMMYFUNCTION("""COMPUTED_VALUE"""),"")</f>
        <v/>
      </c>
      <c r="AE677" s="46" t="str">
        <f>IFERROR(__xludf.DUMMYFUNCTION("""COMPUTED_VALUE"""),"AP")</f>
        <v>AP</v>
      </c>
      <c r="AF677" s="47" t="str">
        <f>IFERROR(__xludf.DUMMYFUNCTION("""COMPUTED_VALUE"""),"")</f>
        <v/>
      </c>
      <c r="AG677" s="48" t="str">
        <f>IFERROR(__xludf.DUMMYFUNCTION("""COMPUTED_VALUE"""),"%")</f>
        <v>%</v>
      </c>
      <c r="AH677" s="43"/>
      <c r="AI677" s="44"/>
      <c r="AJ677" s="66"/>
    </row>
    <row r="678" ht="24.75" hidden="1" customHeight="1">
      <c r="A678" s="28">
        <f>IFERROR(__xludf.DUMMYFUNCTION("""COMPUTED_VALUE"""),9.0)</f>
        <v>9</v>
      </c>
      <c r="B678" s="28" t="str">
        <f>IFERROR(__xludf.DUMMYFUNCTION("""COMPUTED_VALUE"""),"A102")</f>
        <v>A102</v>
      </c>
      <c r="C678" s="28"/>
      <c r="D678" s="29"/>
      <c r="E678" s="67"/>
      <c r="F678" s="31"/>
      <c r="G678" s="32"/>
      <c r="H678" s="33" t="str">
        <f>IFERROR(__xludf.DUMMYFUNCTION("""COMPUTED_VALUE""")," ")</f>
        <v> </v>
      </c>
      <c r="I678" s="34"/>
      <c r="J678" s="35" t="str">
        <f>IFERROR(__xludf.DUMMYFUNCTION("""COMPUTED_VALUE"""),"AP")</f>
        <v>AP</v>
      </c>
      <c r="K678" s="34"/>
      <c r="L678" s="35" t="str">
        <f>IFERROR(__xludf.DUMMYFUNCTION("""COMPUTED_VALUE"""),"%")</f>
        <v>%</v>
      </c>
      <c r="M678" s="36">
        <f>IFERROR(__xludf.DUMMYFUNCTION("""COMPUTED_VALUE"""),1.0)</f>
        <v>1</v>
      </c>
      <c r="N678" s="37"/>
      <c r="O678" s="38"/>
      <c r="P678" s="34" t="str">
        <f>IFERROR(__xludf.DUMMYFUNCTION("""COMPUTED_VALUE"""),"")</f>
        <v/>
      </c>
      <c r="Q678" s="35" t="str">
        <f>IFERROR(__xludf.DUMMYFUNCTION("""COMPUTED_VALUE"""),"AP")</f>
        <v>AP</v>
      </c>
      <c r="R678" s="34" t="str">
        <f>IFERROR(__xludf.DUMMYFUNCTION("""COMPUTED_VALUE"""),"")</f>
        <v/>
      </c>
      <c r="S678" s="35" t="str">
        <f>IFERROR(__xludf.DUMMYFUNCTION("""COMPUTED_VALUE"""),"%")</f>
        <v>%</v>
      </c>
      <c r="T678" s="36">
        <f>IFERROR(__xludf.DUMMYFUNCTION("""COMPUTED_VALUE"""),2.0)</f>
        <v>2</v>
      </c>
      <c r="U678" s="37"/>
      <c r="V678" s="38"/>
      <c r="W678" s="34" t="str">
        <f>IFERROR(__xludf.DUMMYFUNCTION("""COMPUTED_VALUE"""),"")</f>
        <v/>
      </c>
      <c r="X678" s="35" t="str">
        <f>IFERROR(__xludf.DUMMYFUNCTION("""COMPUTED_VALUE"""),"AP")</f>
        <v>AP</v>
      </c>
      <c r="Y678" s="34" t="str">
        <f>IFERROR(__xludf.DUMMYFUNCTION("""COMPUTED_VALUE"""),"")</f>
        <v/>
      </c>
      <c r="Z678" s="35" t="str">
        <f>IFERROR(__xludf.DUMMYFUNCTION("""COMPUTED_VALUE"""),"%")</f>
        <v>%</v>
      </c>
      <c r="AA678" s="36">
        <f>IFERROR(__xludf.DUMMYFUNCTION("""COMPUTED_VALUE"""),3.0)</f>
        <v>3</v>
      </c>
      <c r="AB678" s="37"/>
      <c r="AC678" s="38"/>
      <c r="AD678" s="34" t="str">
        <f>IFERROR(__xludf.DUMMYFUNCTION("""COMPUTED_VALUE"""),"")</f>
        <v/>
      </c>
      <c r="AE678" s="35" t="str">
        <f>IFERROR(__xludf.DUMMYFUNCTION("""COMPUTED_VALUE"""),"AP")</f>
        <v>AP</v>
      </c>
      <c r="AF678" s="34" t="str">
        <f>IFERROR(__xludf.DUMMYFUNCTION("""COMPUTED_VALUE"""),"")</f>
        <v/>
      </c>
      <c r="AG678" s="35" t="str">
        <f>IFERROR(__xludf.DUMMYFUNCTION("""COMPUTED_VALUE"""),"%")</f>
        <v>%</v>
      </c>
      <c r="AH678" s="31"/>
      <c r="AI678" s="32"/>
      <c r="AJ678" s="67"/>
    </row>
    <row r="679" ht="24.75" hidden="1" customHeight="1">
      <c r="A679" s="40">
        <f>IFERROR(__xludf.DUMMYFUNCTION("""COMPUTED_VALUE"""),10.0)</f>
        <v>10</v>
      </c>
      <c r="B679" s="40" t="str">
        <f>IFERROR(__xludf.DUMMYFUNCTION("""COMPUTED_VALUE"""),"A102")</f>
        <v>A102</v>
      </c>
      <c r="C679" s="40"/>
      <c r="D679" s="41"/>
      <c r="E679" s="66"/>
      <c r="F679" s="43"/>
      <c r="G679" s="44"/>
      <c r="H679" s="33" t="str">
        <f>IFERROR(__xludf.DUMMYFUNCTION("""COMPUTED_VALUE""")," ")</f>
        <v> </v>
      </c>
      <c r="I679" s="45"/>
      <c r="J679" s="46" t="str">
        <f>IFERROR(__xludf.DUMMYFUNCTION("""COMPUTED_VALUE"""),"AP")</f>
        <v>AP</v>
      </c>
      <c r="K679" s="47"/>
      <c r="L679" s="48" t="str">
        <f>IFERROR(__xludf.DUMMYFUNCTION("""COMPUTED_VALUE"""),"%")</f>
        <v>%</v>
      </c>
      <c r="M679" s="49">
        <f>IFERROR(__xludf.DUMMYFUNCTION("""COMPUTED_VALUE"""),1.0)</f>
        <v>1</v>
      </c>
      <c r="N679" s="50"/>
      <c r="O679" s="38"/>
      <c r="P679" s="45" t="str">
        <f>IFERROR(__xludf.DUMMYFUNCTION("""COMPUTED_VALUE"""),"")</f>
        <v/>
      </c>
      <c r="Q679" s="46" t="str">
        <f>IFERROR(__xludf.DUMMYFUNCTION("""COMPUTED_VALUE"""),"AP")</f>
        <v>AP</v>
      </c>
      <c r="R679" s="47" t="str">
        <f>IFERROR(__xludf.DUMMYFUNCTION("""COMPUTED_VALUE"""),"")</f>
        <v/>
      </c>
      <c r="S679" s="48" t="str">
        <f>IFERROR(__xludf.DUMMYFUNCTION("""COMPUTED_VALUE"""),"%")</f>
        <v>%</v>
      </c>
      <c r="T679" s="49">
        <f>IFERROR(__xludf.DUMMYFUNCTION("""COMPUTED_VALUE"""),2.0)</f>
        <v>2</v>
      </c>
      <c r="U679" s="50"/>
      <c r="V679" s="38"/>
      <c r="W679" s="45" t="str">
        <f>IFERROR(__xludf.DUMMYFUNCTION("""COMPUTED_VALUE"""),"")</f>
        <v/>
      </c>
      <c r="X679" s="46" t="str">
        <f>IFERROR(__xludf.DUMMYFUNCTION("""COMPUTED_VALUE"""),"AP")</f>
        <v>AP</v>
      </c>
      <c r="Y679" s="47" t="str">
        <f>IFERROR(__xludf.DUMMYFUNCTION("""COMPUTED_VALUE"""),"")</f>
        <v/>
      </c>
      <c r="Z679" s="48" t="str">
        <f>IFERROR(__xludf.DUMMYFUNCTION("""COMPUTED_VALUE"""),"%")</f>
        <v>%</v>
      </c>
      <c r="AA679" s="49">
        <f>IFERROR(__xludf.DUMMYFUNCTION("""COMPUTED_VALUE"""),3.0)</f>
        <v>3</v>
      </c>
      <c r="AB679" s="50"/>
      <c r="AC679" s="38"/>
      <c r="AD679" s="45" t="str">
        <f>IFERROR(__xludf.DUMMYFUNCTION("""COMPUTED_VALUE"""),"")</f>
        <v/>
      </c>
      <c r="AE679" s="46" t="str">
        <f>IFERROR(__xludf.DUMMYFUNCTION("""COMPUTED_VALUE"""),"AP")</f>
        <v>AP</v>
      </c>
      <c r="AF679" s="47" t="str">
        <f>IFERROR(__xludf.DUMMYFUNCTION("""COMPUTED_VALUE"""),"")</f>
        <v/>
      </c>
      <c r="AG679" s="48" t="str">
        <f>IFERROR(__xludf.DUMMYFUNCTION("""COMPUTED_VALUE"""),"%")</f>
        <v>%</v>
      </c>
      <c r="AH679" s="43"/>
      <c r="AI679" s="44"/>
      <c r="AJ679" s="66"/>
    </row>
    <row r="680" ht="24.75" hidden="1" customHeight="1">
      <c r="A680" s="28">
        <f>IFERROR(__xludf.DUMMYFUNCTION("""COMPUTED_VALUE"""),11.0)</f>
        <v>11</v>
      </c>
      <c r="B680" s="28" t="str">
        <f>IFERROR(__xludf.DUMMYFUNCTION("""COMPUTED_VALUE"""),"A102")</f>
        <v>A102</v>
      </c>
      <c r="C680" s="28"/>
      <c r="D680" s="29"/>
      <c r="E680" s="67"/>
      <c r="F680" s="31"/>
      <c r="G680" s="32"/>
      <c r="H680" s="33" t="str">
        <f>IFERROR(__xludf.DUMMYFUNCTION("""COMPUTED_VALUE""")," ")</f>
        <v> </v>
      </c>
      <c r="I680" s="34"/>
      <c r="J680" s="35" t="str">
        <f>IFERROR(__xludf.DUMMYFUNCTION("""COMPUTED_VALUE"""),"AP")</f>
        <v>AP</v>
      </c>
      <c r="K680" s="34"/>
      <c r="L680" s="35" t="str">
        <f>IFERROR(__xludf.DUMMYFUNCTION("""COMPUTED_VALUE"""),"%")</f>
        <v>%</v>
      </c>
      <c r="M680" s="36">
        <f>IFERROR(__xludf.DUMMYFUNCTION("""COMPUTED_VALUE"""),1.0)</f>
        <v>1</v>
      </c>
      <c r="N680" s="37"/>
      <c r="O680" s="38"/>
      <c r="P680" s="34" t="str">
        <f>IFERROR(__xludf.DUMMYFUNCTION("""COMPUTED_VALUE"""),"")</f>
        <v/>
      </c>
      <c r="Q680" s="35" t="str">
        <f>IFERROR(__xludf.DUMMYFUNCTION("""COMPUTED_VALUE"""),"AP")</f>
        <v>AP</v>
      </c>
      <c r="R680" s="34" t="str">
        <f>IFERROR(__xludf.DUMMYFUNCTION("""COMPUTED_VALUE"""),"")</f>
        <v/>
      </c>
      <c r="S680" s="35" t="str">
        <f>IFERROR(__xludf.DUMMYFUNCTION("""COMPUTED_VALUE"""),"%")</f>
        <v>%</v>
      </c>
      <c r="T680" s="36">
        <f>IFERROR(__xludf.DUMMYFUNCTION("""COMPUTED_VALUE"""),2.0)</f>
        <v>2</v>
      </c>
      <c r="U680" s="37"/>
      <c r="V680" s="38"/>
      <c r="W680" s="34" t="str">
        <f>IFERROR(__xludf.DUMMYFUNCTION("""COMPUTED_VALUE"""),"")</f>
        <v/>
      </c>
      <c r="X680" s="35" t="str">
        <f>IFERROR(__xludf.DUMMYFUNCTION("""COMPUTED_VALUE"""),"AP")</f>
        <v>AP</v>
      </c>
      <c r="Y680" s="34" t="str">
        <f>IFERROR(__xludf.DUMMYFUNCTION("""COMPUTED_VALUE"""),"")</f>
        <v/>
      </c>
      <c r="Z680" s="35" t="str">
        <f>IFERROR(__xludf.DUMMYFUNCTION("""COMPUTED_VALUE"""),"%")</f>
        <v>%</v>
      </c>
      <c r="AA680" s="36">
        <f>IFERROR(__xludf.DUMMYFUNCTION("""COMPUTED_VALUE"""),3.0)</f>
        <v>3</v>
      </c>
      <c r="AB680" s="37"/>
      <c r="AC680" s="38"/>
      <c r="AD680" s="34" t="str">
        <f>IFERROR(__xludf.DUMMYFUNCTION("""COMPUTED_VALUE"""),"")</f>
        <v/>
      </c>
      <c r="AE680" s="35" t="str">
        <f>IFERROR(__xludf.DUMMYFUNCTION("""COMPUTED_VALUE"""),"AP")</f>
        <v>AP</v>
      </c>
      <c r="AF680" s="34" t="str">
        <f>IFERROR(__xludf.DUMMYFUNCTION("""COMPUTED_VALUE"""),"")</f>
        <v/>
      </c>
      <c r="AG680" s="35" t="str">
        <f>IFERROR(__xludf.DUMMYFUNCTION("""COMPUTED_VALUE"""),"%")</f>
        <v>%</v>
      </c>
      <c r="AH680" s="31"/>
      <c r="AI680" s="32"/>
      <c r="AJ680" s="67"/>
    </row>
    <row r="681" ht="24.75" hidden="1" customHeight="1">
      <c r="A681" s="40">
        <f>IFERROR(__xludf.DUMMYFUNCTION("""COMPUTED_VALUE"""),12.0)</f>
        <v>12</v>
      </c>
      <c r="B681" s="40" t="str">
        <f>IFERROR(__xludf.DUMMYFUNCTION("""COMPUTED_VALUE"""),"A102")</f>
        <v>A102</v>
      </c>
      <c r="C681" s="40"/>
      <c r="D681" s="41"/>
      <c r="E681" s="66"/>
      <c r="F681" s="43"/>
      <c r="G681" s="44"/>
      <c r="H681" s="33" t="str">
        <f>IFERROR(__xludf.DUMMYFUNCTION("""COMPUTED_VALUE""")," ")</f>
        <v> </v>
      </c>
      <c r="I681" s="45"/>
      <c r="J681" s="46" t="str">
        <f>IFERROR(__xludf.DUMMYFUNCTION("""COMPUTED_VALUE"""),"AP")</f>
        <v>AP</v>
      </c>
      <c r="K681" s="47"/>
      <c r="L681" s="48" t="str">
        <f>IFERROR(__xludf.DUMMYFUNCTION("""COMPUTED_VALUE"""),"%")</f>
        <v>%</v>
      </c>
      <c r="M681" s="49">
        <f>IFERROR(__xludf.DUMMYFUNCTION("""COMPUTED_VALUE"""),1.0)</f>
        <v>1</v>
      </c>
      <c r="N681" s="50"/>
      <c r="O681" s="38"/>
      <c r="P681" s="45" t="str">
        <f>IFERROR(__xludf.DUMMYFUNCTION("""COMPUTED_VALUE"""),"")</f>
        <v/>
      </c>
      <c r="Q681" s="46" t="str">
        <f>IFERROR(__xludf.DUMMYFUNCTION("""COMPUTED_VALUE"""),"AP")</f>
        <v>AP</v>
      </c>
      <c r="R681" s="47" t="str">
        <f>IFERROR(__xludf.DUMMYFUNCTION("""COMPUTED_VALUE"""),"")</f>
        <v/>
      </c>
      <c r="S681" s="48" t="str">
        <f>IFERROR(__xludf.DUMMYFUNCTION("""COMPUTED_VALUE"""),"%")</f>
        <v>%</v>
      </c>
      <c r="T681" s="49">
        <f>IFERROR(__xludf.DUMMYFUNCTION("""COMPUTED_VALUE"""),2.0)</f>
        <v>2</v>
      </c>
      <c r="U681" s="50"/>
      <c r="V681" s="38"/>
      <c r="W681" s="45" t="str">
        <f>IFERROR(__xludf.DUMMYFUNCTION("""COMPUTED_VALUE"""),"")</f>
        <v/>
      </c>
      <c r="X681" s="46" t="str">
        <f>IFERROR(__xludf.DUMMYFUNCTION("""COMPUTED_VALUE"""),"AP")</f>
        <v>AP</v>
      </c>
      <c r="Y681" s="47" t="str">
        <f>IFERROR(__xludf.DUMMYFUNCTION("""COMPUTED_VALUE"""),"")</f>
        <v/>
      </c>
      <c r="Z681" s="48" t="str">
        <f>IFERROR(__xludf.DUMMYFUNCTION("""COMPUTED_VALUE"""),"%")</f>
        <v>%</v>
      </c>
      <c r="AA681" s="49">
        <f>IFERROR(__xludf.DUMMYFUNCTION("""COMPUTED_VALUE"""),3.0)</f>
        <v>3</v>
      </c>
      <c r="AB681" s="50"/>
      <c r="AC681" s="38"/>
      <c r="AD681" s="45" t="str">
        <f>IFERROR(__xludf.DUMMYFUNCTION("""COMPUTED_VALUE"""),"")</f>
        <v/>
      </c>
      <c r="AE681" s="46" t="str">
        <f>IFERROR(__xludf.DUMMYFUNCTION("""COMPUTED_VALUE"""),"AP")</f>
        <v>AP</v>
      </c>
      <c r="AF681" s="47" t="str">
        <f>IFERROR(__xludf.DUMMYFUNCTION("""COMPUTED_VALUE"""),"")</f>
        <v/>
      </c>
      <c r="AG681" s="48" t="str">
        <f>IFERROR(__xludf.DUMMYFUNCTION("""COMPUTED_VALUE"""),"%")</f>
        <v>%</v>
      </c>
      <c r="AH681" s="43"/>
      <c r="AI681" s="44"/>
      <c r="AJ681" s="66"/>
    </row>
    <row r="682" ht="24.75" hidden="1" customHeight="1">
      <c r="A682" s="28">
        <f>IFERROR(__xludf.DUMMYFUNCTION("""COMPUTED_VALUE"""),13.0)</f>
        <v>13</v>
      </c>
      <c r="B682" s="28" t="str">
        <f>IFERROR(__xludf.DUMMYFUNCTION("""COMPUTED_VALUE"""),"A102")</f>
        <v>A102</v>
      </c>
      <c r="C682" s="28"/>
      <c r="D682" s="29"/>
      <c r="E682" s="67"/>
      <c r="F682" s="31"/>
      <c r="G682" s="32"/>
      <c r="H682" s="33" t="str">
        <f>IFERROR(__xludf.DUMMYFUNCTION("""COMPUTED_VALUE""")," ")</f>
        <v> </v>
      </c>
      <c r="I682" s="34"/>
      <c r="J682" s="35" t="str">
        <f>IFERROR(__xludf.DUMMYFUNCTION("""COMPUTED_VALUE"""),"AP")</f>
        <v>AP</v>
      </c>
      <c r="K682" s="34"/>
      <c r="L682" s="35" t="str">
        <f>IFERROR(__xludf.DUMMYFUNCTION("""COMPUTED_VALUE"""),"%")</f>
        <v>%</v>
      </c>
      <c r="M682" s="36">
        <f>IFERROR(__xludf.DUMMYFUNCTION("""COMPUTED_VALUE"""),1.0)</f>
        <v>1</v>
      </c>
      <c r="N682" s="37"/>
      <c r="O682" s="38"/>
      <c r="P682" s="34" t="str">
        <f>IFERROR(__xludf.DUMMYFUNCTION("""COMPUTED_VALUE"""),"")</f>
        <v/>
      </c>
      <c r="Q682" s="35" t="str">
        <f>IFERROR(__xludf.DUMMYFUNCTION("""COMPUTED_VALUE"""),"AP")</f>
        <v>AP</v>
      </c>
      <c r="R682" s="34" t="str">
        <f>IFERROR(__xludf.DUMMYFUNCTION("""COMPUTED_VALUE"""),"")</f>
        <v/>
      </c>
      <c r="S682" s="35" t="str">
        <f>IFERROR(__xludf.DUMMYFUNCTION("""COMPUTED_VALUE"""),"%")</f>
        <v>%</v>
      </c>
      <c r="T682" s="36">
        <f>IFERROR(__xludf.DUMMYFUNCTION("""COMPUTED_VALUE"""),2.0)</f>
        <v>2</v>
      </c>
      <c r="U682" s="37"/>
      <c r="V682" s="38"/>
      <c r="W682" s="34" t="str">
        <f>IFERROR(__xludf.DUMMYFUNCTION("""COMPUTED_VALUE"""),"")</f>
        <v/>
      </c>
      <c r="X682" s="35" t="str">
        <f>IFERROR(__xludf.DUMMYFUNCTION("""COMPUTED_VALUE"""),"AP")</f>
        <v>AP</v>
      </c>
      <c r="Y682" s="34" t="str">
        <f>IFERROR(__xludf.DUMMYFUNCTION("""COMPUTED_VALUE"""),"")</f>
        <v/>
      </c>
      <c r="Z682" s="35" t="str">
        <f>IFERROR(__xludf.DUMMYFUNCTION("""COMPUTED_VALUE"""),"%")</f>
        <v>%</v>
      </c>
      <c r="AA682" s="36">
        <f>IFERROR(__xludf.DUMMYFUNCTION("""COMPUTED_VALUE"""),3.0)</f>
        <v>3</v>
      </c>
      <c r="AB682" s="37"/>
      <c r="AC682" s="38"/>
      <c r="AD682" s="34" t="str">
        <f>IFERROR(__xludf.DUMMYFUNCTION("""COMPUTED_VALUE"""),"")</f>
        <v/>
      </c>
      <c r="AE682" s="35" t="str">
        <f>IFERROR(__xludf.DUMMYFUNCTION("""COMPUTED_VALUE"""),"AP")</f>
        <v>AP</v>
      </c>
      <c r="AF682" s="34" t="str">
        <f>IFERROR(__xludf.DUMMYFUNCTION("""COMPUTED_VALUE"""),"")</f>
        <v/>
      </c>
      <c r="AG682" s="35" t="str">
        <f>IFERROR(__xludf.DUMMYFUNCTION("""COMPUTED_VALUE"""),"%")</f>
        <v>%</v>
      </c>
      <c r="AH682" s="31"/>
      <c r="AI682" s="32"/>
      <c r="AJ682" s="67"/>
    </row>
    <row r="683" ht="24.75" hidden="1" customHeight="1">
      <c r="A683" s="40">
        <f>IFERROR(__xludf.DUMMYFUNCTION("""COMPUTED_VALUE"""),14.0)</f>
        <v>14</v>
      </c>
      <c r="B683" s="40" t="str">
        <f>IFERROR(__xludf.DUMMYFUNCTION("""COMPUTED_VALUE"""),"A102")</f>
        <v>A102</v>
      </c>
      <c r="C683" s="40"/>
      <c r="D683" s="41"/>
      <c r="E683" s="66"/>
      <c r="F683" s="43"/>
      <c r="G683" s="44"/>
      <c r="H683" s="33" t="str">
        <f>IFERROR(__xludf.DUMMYFUNCTION("""COMPUTED_VALUE""")," ")</f>
        <v> </v>
      </c>
      <c r="I683" s="45"/>
      <c r="J683" s="46" t="str">
        <f>IFERROR(__xludf.DUMMYFUNCTION("""COMPUTED_VALUE"""),"AP")</f>
        <v>AP</v>
      </c>
      <c r="K683" s="47"/>
      <c r="L683" s="48" t="str">
        <f>IFERROR(__xludf.DUMMYFUNCTION("""COMPUTED_VALUE"""),"%")</f>
        <v>%</v>
      </c>
      <c r="M683" s="49">
        <f>IFERROR(__xludf.DUMMYFUNCTION("""COMPUTED_VALUE"""),1.0)</f>
        <v>1</v>
      </c>
      <c r="N683" s="50"/>
      <c r="O683" s="38"/>
      <c r="P683" s="45" t="str">
        <f>IFERROR(__xludf.DUMMYFUNCTION("""COMPUTED_VALUE"""),"")</f>
        <v/>
      </c>
      <c r="Q683" s="46" t="str">
        <f>IFERROR(__xludf.DUMMYFUNCTION("""COMPUTED_VALUE"""),"AP")</f>
        <v>AP</v>
      </c>
      <c r="R683" s="47" t="str">
        <f>IFERROR(__xludf.DUMMYFUNCTION("""COMPUTED_VALUE"""),"")</f>
        <v/>
      </c>
      <c r="S683" s="48" t="str">
        <f>IFERROR(__xludf.DUMMYFUNCTION("""COMPUTED_VALUE"""),"%")</f>
        <v>%</v>
      </c>
      <c r="T683" s="49">
        <f>IFERROR(__xludf.DUMMYFUNCTION("""COMPUTED_VALUE"""),2.0)</f>
        <v>2</v>
      </c>
      <c r="U683" s="50"/>
      <c r="V683" s="38"/>
      <c r="W683" s="45" t="str">
        <f>IFERROR(__xludf.DUMMYFUNCTION("""COMPUTED_VALUE"""),"")</f>
        <v/>
      </c>
      <c r="X683" s="46" t="str">
        <f>IFERROR(__xludf.DUMMYFUNCTION("""COMPUTED_VALUE"""),"AP")</f>
        <v>AP</v>
      </c>
      <c r="Y683" s="47" t="str">
        <f>IFERROR(__xludf.DUMMYFUNCTION("""COMPUTED_VALUE"""),"")</f>
        <v/>
      </c>
      <c r="Z683" s="48" t="str">
        <f>IFERROR(__xludf.DUMMYFUNCTION("""COMPUTED_VALUE"""),"%")</f>
        <v>%</v>
      </c>
      <c r="AA683" s="49">
        <f>IFERROR(__xludf.DUMMYFUNCTION("""COMPUTED_VALUE"""),3.0)</f>
        <v>3</v>
      </c>
      <c r="AB683" s="50"/>
      <c r="AC683" s="38"/>
      <c r="AD683" s="45" t="str">
        <f>IFERROR(__xludf.DUMMYFUNCTION("""COMPUTED_VALUE"""),"")</f>
        <v/>
      </c>
      <c r="AE683" s="46" t="str">
        <f>IFERROR(__xludf.DUMMYFUNCTION("""COMPUTED_VALUE"""),"AP")</f>
        <v>AP</v>
      </c>
      <c r="AF683" s="47" t="str">
        <f>IFERROR(__xludf.DUMMYFUNCTION("""COMPUTED_VALUE"""),"")</f>
        <v/>
      </c>
      <c r="AG683" s="48" t="str">
        <f>IFERROR(__xludf.DUMMYFUNCTION("""COMPUTED_VALUE"""),"%")</f>
        <v>%</v>
      </c>
      <c r="AH683" s="43"/>
      <c r="AI683" s="44"/>
      <c r="AJ683" s="66"/>
    </row>
    <row r="684" ht="24.75" hidden="1" customHeight="1">
      <c r="A684" s="28">
        <f>IFERROR(__xludf.DUMMYFUNCTION("""COMPUTED_VALUE"""),15.0)</f>
        <v>15</v>
      </c>
      <c r="B684" s="28" t="str">
        <f>IFERROR(__xludf.DUMMYFUNCTION("""COMPUTED_VALUE"""),"A102")</f>
        <v>A102</v>
      </c>
      <c r="C684" s="28"/>
      <c r="D684" s="29"/>
      <c r="E684" s="67"/>
      <c r="F684" s="31"/>
      <c r="G684" s="32"/>
      <c r="H684" s="33" t="str">
        <f>IFERROR(__xludf.DUMMYFUNCTION("""COMPUTED_VALUE""")," ")</f>
        <v> </v>
      </c>
      <c r="I684" s="34"/>
      <c r="J684" s="35" t="str">
        <f>IFERROR(__xludf.DUMMYFUNCTION("""COMPUTED_VALUE"""),"AP")</f>
        <v>AP</v>
      </c>
      <c r="K684" s="34"/>
      <c r="L684" s="35" t="str">
        <f>IFERROR(__xludf.DUMMYFUNCTION("""COMPUTED_VALUE"""),"%")</f>
        <v>%</v>
      </c>
      <c r="M684" s="36">
        <f>IFERROR(__xludf.DUMMYFUNCTION("""COMPUTED_VALUE"""),1.0)</f>
        <v>1</v>
      </c>
      <c r="N684" s="37"/>
      <c r="O684" s="38"/>
      <c r="P684" s="34" t="str">
        <f>IFERROR(__xludf.DUMMYFUNCTION("""COMPUTED_VALUE"""),"")</f>
        <v/>
      </c>
      <c r="Q684" s="35" t="str">
        <f>IFERROR(__xludf.DUMMYFUNCTION("""COMPUTED_VALUE"""),"AP")</f>
        <v>AP</v>
      </c>
      <c r="R684" s="34" t="str">
        <f>IFERROR(__xludf.DUMMYFUNCTION("""COMPUTED_VALUE"""),"")</f>
        <v/>
      </c>
      <c r="S684" s="35" t="str">
        <f>IFERROR(__xludf.DUMMYFUNCTION("""COMPUTED_VALUE"""),"%")</f>
        <v>%</v>
      </c>
      <c r="T684" s="36">
        <f>IFERROR(__xludf.DUMMYFUNCTION("""COMPUTED_VALUE"""),2.0)</f>
        <v>2</v>
      </c>
      <c r="U684" s="37"/>
      <c r="V684" s="38"/>
      <c r="W684" s="34" t="str">
        <f>IFERROR(__xludf.DUMMYFUNCTION("""COMPUTED_VALUE"""),"")</f>
        <v/>
      </c>
      <c r="X684" s="35" t="str">
        <f>IFERROR(__xludf.DUMMYFUNCTION("""COMPUTED_VALUE"""),"AP")</f>
        <v>AP</v>
      </c>
      <c r="Y684" s="34" t="str">
        <f>IFERROR(__xludf.DUMMYFUNCTION("""COMPUTED_VALUE"""),"")</f>
        <v/>
      </c>
      <c r="Z684" s="35" t="str">
        <f>IFERROR(__xludf.DUMMYFUNCTION("""COMPUTED_VALUE"""),"%")</f>
        <v>%</v>
      </c>
      <c r="AA684" s="36">
        <f>IFERROR(__xludf.DUMMYFUNCTION("""COMPUTED_VALUE"""),3.0)</f>
        <v>3</v>
      </c>
      <c r="AB684" s="37"/>
      <c r="AC684" s="38"/>
      <c r="AD684" s="34" t="str">
        <f>IFERROR(__xludf.DUMMYFUNCTION("""COMPUTED_VALUE"""),"")</f>
        <v/>
      </c>
      <c r="AE684" s="35" t="str">
        <f>IFERROR(__xludf.DUMMYFUNCTION("""COMPUTED_VALUE"""),"AP")</f>
        <v>AP</v>
      </c>
      <c r="AF684" s="34" t="str">
        <f>IFERROR(__xludf.DUMMYFUNCTION("""COMPUTED_VALUE"""),"")</f>
        <v/>
      </c>
      <c r="AG684" s="35" t="str">
        <f>IFERROR(__xludf.DUMMYFUNCTION("""COMPUTED_VALUE"""),"%")</f>
        <v>%</v>
      </c>
      <c r="AH684" s="31"/>
      <c r="AI684" s="32"/>
      <c r="AJ684" s="67"/>
    </row>
    <row r="685" ht="24.75" hidden="1" customHeight="1">
      <c r="A685" s="40">
        <f>IFERROR(__xludf.DUMMYFUNCTION("""COMPUTED_VALUE"""),16.0)</f>
        <v>16</v>
      </c>
      <c r="B685" s="40" t="str">
        <f>IFERROR(__xludf.DUMMYFUNCTION("""COMPUTED_VALUE"""),"A102")</f>
        <v>A102</v>
      </c>
      <c r="C685" s="40"/>
      <c r="D685" s="41"/>
      <c r="E685" s="66"/>
      <c r="F685" s="43"/>
      <c r="G685" s="44"/>
      <c r="H685" s="33" t="str">
        <f>IFERROR(__xludf.DUMMYFUNCTION("""COMPUTED_VALUE""")," ")</f>
        <v> </v>
      </c>
      <c r="I685" s="45"/>
      <c r="J685" s="46" t="str">
        <f>IFERROR(__xludf.DUMMYFUNCTION("""COMPUTED_VALUE"""),"AP")</f>
        <v>AP</v>
      </c>
      <c r="K685" s="47"/>
      <c r="L685" s="48" t="str">
        <f>IFERROR(__xludf.DUMMYFUNCTION("""COMPUTED_VALUE"""),"%")</f>
        <v>%</v>
      </c>
      <c r="M685" s="49">
        <f>IFERROR(__xludf.DUMMYFUNCTION("""COMPUTED_VALUE"""),1.0)</f>
        <v>1</v>
      </c>
      <c r="N685" s="50"/>
      <c r="O685" s="38"/>
      <c r="P685" s="45" t="str">
        <f>IFERROR(__xludf.DUMMYFUNCTION("""COMPUTED_VALUE"""),"")</f>
        <v/>
      </c>
      <c r="Q685" s="46" t="str">
        <f>IFERROR(__xludf.DUMMYFUNCTION("""COMPUTED_VALUE"""),"AP")</f>
        <v>AP</v>
      </c>
      <c r="R685" s="47" t="str">
        <f>IFERROR(__xludf.DUMMYFUNCTION("""COMPUTED_VALUE"""),"")</f>
        <v/>
      </c>
      <c r="S685" s="48" t="str">
        <f>IFERROR(__xludf.DUMMYFUNCTION("""COMPUTED_VALUE"""),"%")</f>
        <v>%</v>
      </c>
      <c r="T685" s="49">
        <f>IFERROR(__xludf.DUMMYFUNCTION("""COMPUTED_VALUE"""),2.0)</f>
        <v>2</v>
      </c>
      <c r="U685" s="50"/>
      <c r="V685" s="38"/>
      <c r="W685" s="45" t="str">
        <f>IFERROR(__xludf.DUMMYFUNCTION("""COMPUTED_VALUE"""),"")</f>
        <v/>
      </c>
      <c r="X685" s="46" t="str">
        <f>IFERROR(__xludf.DUMMYFUNCTION("""COMPUTED_VALUE"""),"AP")</f>
        <v>AP</v>
      </c>
      <c r="Y685" s="47" t="str">
        <f>IFERROR(__xludf.DUMMYFUNCTION("""COMPUTED_VALUE"""),"")</f>
        <v/>
      </c>
      <c r="Z685" s="48" t="str">
        <f>IFERROR(__xludf.DUMMYFUNCTION("""COMPUTED_VALUE"""),"%")</f>
        <v>%</v>
      </c>
      <c r="AA685" s="49">
        <f>IFERROR(__xludf.DUMMYFUNCTION("""COMPUTED_VALUE"""),3.0)</f>
        <v>3</v>
      </c>
      <c r="AB685" s="50"/>
      <c r="AC685" s="38"/>
      <c r="AD685" s="45" t="str">
        <f>IFERROR(__xludf.DUMMYFUNCTION("""COMPUTED_VALUE"""),"")</f>
        <v/>
      </c>
      <c r="AE685" s="46" t="str">
        <f>IFERROR(__xludf.DUMMYFUNCTION("""COMPUTED_VALUE"""),"AP")</f>
        <v>AP</v>
      </c>
      <c r="AF685" s="47" t="str">
        <f>IFERROR(__xludf.DUMMYFUNCTION("""COMPUTED_VALUE"""),"")</f>
        <v/>
      </c>
      <c r="AG685" s="48" t="str">
        <f>IFERROR(__xludf.DUMMYFUNCTION("""COMPUTED_VALUE"""),"%")</f>
        <v>%</v>
      </c>
      <c r="AH685" s="43"/>
      <c r="AI685" s="44"/>
      <c r="AJ685" s="66"/>
    </row>
    <row r="686" ht="24.75" hidden="1" customHeight="1">
      <c r="A686" s="28">
        <f>IFERROR(__xludf.DUMMYFUNCTION("""COMPUTED_VALUE"""),17.0)</f>
        <v>17</v>
      </c>
      <c r="B686" s="28" t="str">
        <f>IFERROR(__xludf.DUMMYFUNCTION("""COMPUTED_VALUE"""),"A102")</f>
        <v>A102</v>
      </c>
      <c r="C686" s="28"/>
      <c r="D686" s="29"/>
      <c r="E686" s="67"/>
      <c r="F686" s="31"/>
      <c r="G686" s="32"/>
      <c r="H686" s="33" t="str">
        <f>IFERROR(__xludf.DUMMYFUNCTION("""COMPUTED_VALUE""")," ")</f>
        <v> </v>
      </c>
      <c r="I686" s="34"/>
      <c r="J686" s="35" t="str">
        <f>IFERROR(__xludf.DUMMYFUNCTION("""COMPUTED_VALUE"""),"AP")</f>
        <v>AP</v>
      </c>
      <c r="K686" s="34"/>
      <c r="L686" s="35" t="str">
        <f>IFERROR(__xludf.DUMMYFUNCTION("""COMPUTED_VALUE"""),"%")</f>
        <v>%</v>
      </c>
      <c r="M686" s="36">
        <f>IFERROR(__xludf.DUMMYFUNCTION("""COMPUTED_VALUE"""),1.0)</f>
        <v>1</v>
      </c>
      <c r="N686" s="37"/>
      <c r="O686" s="38"/>
      <c r="P686" s="34" t="str">
        <f>IFERROR(__xludf.DUMMYFUNCTION("""COMPUTED_VALUE"""),"")</f>
        <v/>
      </c>
      <c r="Q686" s="35" t="str">
        <f>IFERROR(__xludf.DUMMYFUNCTION("""COMPUTED_VALUE"""),"AP")</f>
        <v>AP</v>
      </c>
      <c r="R686" s="34" t="str">
        <f>IFERROR(__xludf.DUMMYFUNCTION("""COMPUTED_VALUE"""),"")</f>
        <v/>
      </c>
      <c r="S686" s="35" t="str">
        <f>IFERROR(__xludf.DUMMYFUNCTION("""COMPUTED_VALUE"""),"%")</f>
        <v>%</v>
      </c>
      <c r="T686" s="36">
        <f>IFERROR(__xludf.DUMMYFUNCTION("""COMPUTED_VALUE"""),2.0)</f>
        <v>2</v>
      </c>
      <c r="U686" s="37"/>
      <c r="V686" s="38"/>
      <c r="W686" s="34" t="str">
        <f>IFERROR(__xludf.DUMMYFUNCTION("""COMPUTED_VALUE"""),"")</f>
        <v/>
      </c>
      <c r="X686" s="35" t="str">
        <f>IFERROR(__xludf.DUMMYFUNCTION("""COMPUTED_VALUE"""),"AP")</f>
        <v>AP</v>
      </c>
      <c r="Y686" s="34" t="str">
        <f>IFERROR(__xludf.DUMMYFUNCTION("""COMPUTED_VALUE"""),"")</f>
        <v/>
      </c>
      <c r="Z686" s="35" t="str">
        <f>IFERROR(__xludf.DUMMYFUNCTION("""COMPUTED_VALUE"""),"%")</f>
        <v>%</v>
      </c>
      <c r="AA686" s="36">
        <f>IFERROR(__xludf.DUMMYFUNCTION("""COMPUTED_VALUE"""),3.0)</f>
        <v>3</v>
      </c>
      <c r="AB686" s="37"/>
      <c r="AC686" s="38"/>
      <c r="AD686" s="34" t="str">
        <f>IFERROR(__xludf.DUMMYFUNCTION("""COMPUTED_VALUE"""),"")</f>
        <v/>
      </c>
      <c r="AE686" s="35" t="str">
        <f>IFERROR(__xludf.DUMMYFUNCTION("""COMPUTED_VALUE"""),"AP")</f>
        <v>AP</v>
      </c>
      <c r="AF686" s="34" t="str">
        <f>IFERROR(__xludf.DUMMYFUNCTION("""COMPUTED_VALUE"""),"")</f>
        <v/>
      </c>
      <c r="AG686" s="35" t="str">
        <f>IFERROR(__xludf.DUMMYFUNCTION("""COMPUTED_VALUE"""),"%")</f>
        <v>%</v>
      </c>
      <c r="AH686" s="31"/>
      <c r="AI686" s="32"/>
      <c r="AJ686" s="67"/>
    </row>
    <row r="687" ht="24.75" hidden="1" customHeight="1">
      <c r="A687" s="40">
        <f>IFERROR(__xludf.DUMMYFUNCTION("""COMPUTED_VALUE"""),18.0)</f>
        <v>18</v>
      </c>
      <c r="B687" s="40" t="str">
        <f>IFERROR(__xludf.DUMMYFUNCTION("""COMPUTED_VALUE"""),"A102")</f>
        <v>A102</v>
      </c>
      <c r="C687" s="40"/>
      <c r="D687" s="41"/>
      <c r="E687" s="66"/>
      <c r="F687" s="43"/>
      <c r="G687" s="44"/>
      <c r="H687" s="33" t="str">
        <f>IFERROR(__xludf.DUMMYFUNCTION("""COMPUTED_VALUE""")," ")</f>
        <v> </v>
      </c>
      <c r="I687" s="45"/>
      <c r="J687" s="46" t="str">
        <f>IFERROR(__xludf.DUMMYFUNCTION("""COMPUTED_VALUE"""),"AP")</f>
        <v>AP</v>
      </c>
      <c r="K687" s="47"/>
      <c r="L687" s="48" t="str">
        <f>IFERROR(__xludf.DUMMYFUNCTION("""COMPUTED_VALUE"""),"%")</f>
        <v>%</v>
      </c>
      <c r="M687" s="49">
        <f>IFERROR(__xludf.DUMMYFUNCTION("""COMPUTED_VALUE"""),1.0)</f>
        <v>1</v>
      </c>
      <c r="N687" s="50"/>
      <c r="O687" s="38"/>
      <c r="P687" s="45" t="str">
        <f>IFERROR(__xludf.DUMMYFUNCTION("""COMPUTED_VALUE"""),"")</f>
        <v/>
      </c>
      <c r="Q687" s="46" t="str">
        <f>IFERROR(__xludf.DUMMYFUNCTION("""COMPUTED_VALUE"""),"AP")</f>
        <v>AP</v>
      </c>
      <c r="R687" s="47" t="str">
        <f>IFERROR(__xludf.DUMMYFUNCTION("""COMPUTED_VALUE"""),"")</f>
        <v/>
      </c>
      <c r="S687" s="48" t="str">
        <f>IFERROR(__xludf.DUMMYFUNCTION("""COMPUTED_VALUE"""),"%")</f>
        <v>%</v>
      </c>
      <c r="T687" s="49">
        <f>IFERROR(__xludf.DUMMYFUNCTION("""COMPUTED_VALUE"""),2.0)</f>
        <v>2</v>
      </c>
      <c r="U687" s="50"/>
      <c r="V687" s="38"/>
      <c r="W687" s="45" t="str">
        <f>IFERROR(__xludf.DUMMYFUNCTION("""COMPUTED_VALUE"""),"")</f>
        <v/>
      </c>
      <c r="X687" s="46" t="str">
        <f>IFERROR(__xludf.DUMMYFUNCTION("""COMPUTED_VALUE"""),"AP")</f>
        <v>AP</v>
      </c>
      <c r="Y687" s="47" t="str">
        <f>IFERROR(__xludf.DUMMYFUNCTION("""COMPUTED_VALUE"""),"")</f>
        <v/>
      </c>
      <c r="Z687" s="48" t="str">
        <f>IFERROR(__xludf.DUMMYFUNCTION("""COMPUTED_VALUE"""),"%")</f>
        <v>%</v>
      </c>
      <c r="AA687" s="49">
        <f>IFERROR(__xludf.DUMMYFUNCTION("""COMPUTED_VALUE"""),3.0)</f>
        <v>3</v>
      </c>
      <c r="AB687" s="50"/>
      <c r="AC687" s="38"/>
      <c r="AD687" s="45" t="str">
        <f>IFERROR(__xludf.DUMMYFUNCTION("""COMPUTED_VALUE"""),"")</f>
        <v/>
      </c>
      <c r="AE687" s="46" t="str">
        <f>IFERROR(__xludf.DUMMYFUNCTION("""COMPUTED_VALUE"""),"AP")</f>
        <v>AP</v>
      </c>
      <c r="AF687" s="47" t="str">
        <f>IFERROR(__xludf.DUMMYFUNCTION("""COMPUTED_VALUE"""),"")</f>
        <v/>
      </c>
      <c r="AG687" s="48" t="str">
        <f>IFERROR(__xludf.DUMMYFUNCTION("""COMPUTED_VALUE"""),"%")</f>
        <v>%</v>
      </c>
      <c r="AH687" s="43"/>
      <c r="AI687" s="44"/>
      <c r="AJ687" s="66"/>
    </row>
    <row r="688" ht="24.75" hidden="1" customHeight="1">
      <c r="A688" s="28">
        <f>IFERROR(__xludf.DUMMYFUNCTION("""COMPUTED_VALUE"""),19.0)</f>
        <v>19</v>
      </c>
      <c r="B688" s="28" t="str">
        <f>IFERROR(__xludf.DUMMYFUNCTION("""COMPUTED_VALUE"""),"A102")</f>
        <v>A102</v>
      </c>
      <c r="C688" s="28"/>
      <c r="D688" s="29"/>
      <c r="E688" s="67"/>
      <c r="F688" s="31"/>
      <c r="G688" s="32"/>
      <c r="H688" s="33" t="str">
        <f>IFERROR(__xludf.DUMMYFUNCTION("""COMPUTED_VALUE""")," ")</f>
        <v> </v>
      </c>
      <c r="I688" s="34"/>
      <c r="J688" s="35" t="str">
        <f>IFERROR(__xludf.DUMMYFUNCTION("""COMPUTED_VALUE"""),"AP")</f>
        <v>AP</v>
      </c>
      <c r="K688" s="34"/>
      <c r="L688" s="35" t="str">
        <f>IFERROR(__xludf.DUMMYFUNCTION("""COMPUTED_VALUE"""),"%")</f>
        <v>%</v>
      </c>
      <c r="M688" s="36">
        <f>IFERROR(__xludf.DUMMYFUNCTION("""COMPUTED_VALUE"""),1.0)</f>
        <v>1</v>
      </c>
      <c r="N688" s="37"/>
      <c r="O688" s="38"/>
      <c r="P688" s="34" t="str">
        <f>IFERROR(__xludf.DUMMYFUNCTION("""COMPUTED_VALUE"""),"")</f>
        <v/>
      </c>
      <c r="Q688" s="35" t="str">
        <f>IFERROR(__xludf.DUMMYFUNCTION("""COMPUTED_VALUE"""),"AP")</f>
        <v>AP</v>
      </c>
      <c r="R688" s="34" t="str">
        <f>IFERROR(__xludf.DUMMYFUNCTION("""COMPUTED_VALUE"""),"")</f>
        <v/>
      </c>
      <c r="S688" s="35" t="str">
        <f>IFERROR(__xludf.DUMMYFUNCTION("""COMPUTED_VALUE"""),"%")</f>
        <v>%</v>
      </c>
      <c r="T688" s="36">
        <f>IFERROR(__xludf.DUMMYFUNCTION("""COMPUTED_VALUE"""),2.0)</f>
        <v>2</v>
      </c>
      <c r="U688" s="37"/>
      <c r="V688" s="38"/>
      <c r="W688" s="34" t="str">
        <f>IFERROR(__xludf.DUMMYFUNCTION("""COMPUTED_VALUE"""),"")</f>
        <v/>
      </c>
      <c r="X688" s="35" t="str">
        <f>IFERROR(__xludf.DUMMYFUNCTION("""COMPUTED_VALUE"""),"AP")</f>
        <v>AP</v>
      </c>
      <c r="Y688" s="34" t="str">
        <f>IFERROR(__xludf.DUMMYFUNCTION("""COMPUTED_VALUE"""),"")</f>
        <v/>
      </c>
      <c r="Z688" s="35" t="str">
        <f>IFERROR(__xludf.DUMMYFUNCTION("""COMPUTED_VALUE"""),"%")</f>
        <v>%</v>
      </c>
      <c r="AA688" s="36">
        <f>IFERROR(__xludf.DUMMYFUNCTION("""COMPUTED_VALUE"""),3.0)</f>
        <v>3</v>
      </c>
      <c r="AB688" s="37"/>
      <c r="AC688" s="38"/>
      <c r="AD688" s="34" t="str">
        <f>IFERROR(__xludf.DUMMYFUNCTION("""COMPUTED_VALUE"""),"")</f>
        <v/>
      </c>
      <c r="AE688" s="35" t="str">
        <f>IFERROR(__xludf.DUMMYFUNCTION("""COMPUTED_VALUE"""),"AP")</f>
        <v>AP</v>
      </c>
      <c r="AF688" s="34" t="str">
        <f>IFERROR(__xludf.DUMMYFUNCTION("""COMPUTED_VALUE"""),"")</f>
        <v/>
      </c>
      <c r="AG688" s="35" t="str">
        <f>IFERROR(__xludf.DUMMYFUNCTION("""COMPUTED_VALUE"""),"%")</f>
        <v>%</v>
      </c>
      <c r="AH688" s="31"/>
      <c r="AI688" s="32"/>
      <c r="AJ688" s="67"/>
    </row>
    <row r="689" ht="24.75" hidden="1" customHeight="1">
      <c r="A689" s="40">
        <f>IFERROR(__xludf.DUMMYFUNCTION("""COMPUTED_VALUE"""),20.0)</f>
        <v>20</v>
      </c>
      <c r="B689" s="40" t="str">
        <f>IFERROR(__xludf.DUMMYFUNCTION("""COMPUTED_VALUE"""),"A102")</f>
        <v>A102</v>
      </c>
      <c r="C689" s="40"/>
      <c r="D689" s="41"/>
      <c r="E689" s="66"/>
      <c r="F689" s="43"/>
      <c r="G689" s="44"/>
      <c r="H689" s="33" t="str">
        <f>IFERROR(__xludf.DUMMYFUNCTION("""COMPUTED_VALUE""")," ")</f>
        <v> </v>
      </c>
      <c r="I689" s="45"/>
      <c r="J689" s="46" t="str">
        <f>IFERROR(__xludf.DUMMYFUNCTION("""COMPUTED_VALUE"""),"AP")</f>
        <v>AP</v>
      </c>
      <c r="K689" s="47"/>
      <c r="L689" s="48" t="str">
        <f>IFERROR(__xludf.DUMMYFUNCTION("""COMPUTED_VALUE"""),"%")</f>
        <v>%</v>
      </c>
      <c r="M689" s="49">
        <f>IFERROR(__xludf.DUMMYFUNCTION("""COMPUTED_VALUE"""),1.0)</f>
        <v>1</v>
      </c>
      <c r="N689" s="50"/>
      <c r="O689" s="38"/>
      <c r="P689" s="45" t="str">
        <f>IFERROR(__xludf.DUMMYFUNCTION("""COMPUTED_VALUE"""),"")</f>
        <v/>
      </c>
      <c r="Q689" s="46" t="str">
        <f>IFERROR(__xludf.DUMMYFUNCTION("""COMPUTED_VALUE"""),"AP")</f>
        <v>AP</v>
      </c>
      <c r="R689" s="47" t="str">
        <f>IFERROR(__xludf.DUMMYFUNCTION("""COMPUTED_VALUE"""),"")</f>
        <v/>
      </c>
      <c r="S689" s="48" t="str">
        <f>IFERROR(__xludf.DUMMYFUNCTION("""COMPUTED_VALUE"""),"%")</f>
        <v>%</v>
      </c>
      <c r="T689" s="49">
        <f>IFERROR(__xludf.DUMMYFUNCTION("""COMPUTED_VALUE"""),2.0)</f>
        <v>2</v>
      </c>
      <c r="U689" s="50"/>
      <c r="V689" s="38"/>
      <c r="W689" s="45" t="str">
        <f>IFERROR(__xludf.DUMMYFUNCTION("""COMPUTED_VALUE"""),"")</f>
        <v/>
      </c>
      <c r="X689" s="46" t="str">
        <f>IFERROR(__xludf.DUMMYFUNCTION("""COMPUTED_VALUE"""),"AP")</f>
        <v>AP</v>
      </c>
      <c r="Y689" s="47" t="str">
        <f>IFERROR(__xludf.DUMMYFUNCTION("""COMPUTED_VALUE"""),"")</f>
        <v/>
      </c>
      <c r="Z689" s="48" t="str">
        <f>IFERROR(__xludf.DUMMYFUNCTION("""COMPUTED_VALUE"""),"%")</f>
        <v>%</v>
      </c>
      <c r="AA689" s="49">
        <f>IFERROR(__xludf.DUMMYFUNCTION("""COMPUTED_VALUE"""),3.0)</f>
        <v>3</v>
      </c>
      <c r="AB689" s="50"/>
      <c r="AC689" s="38"/>
      <c r="AD689" s="45" t="str">
        <f>IFERROR(__xludf.DUMMYFUNCTION("""COMPUTED_VALUE"""),"")</f>
        <v/>
      </c>
      <c r="AE689" s="46" t="str">
        <f>IFERROR(__xludf.DUMMYFUNCTION("""COMPUTED_VALUE"""),"AP")</f>
        <v>AP</v>
      </c>
      <c r="AF689" s="47" t="str">
        <f>IFERROR(__xludf.DUMMYFUNCTION("""COMPUTED_VALUE"""),"")</f>
        <v/>
      </c>
      <c r="AG689" s="48" t="str">
        <f>IFERROR(__xludf.DUMMYFUNCTION("""COMPUTED_VALUE"""),"%")</f>
        <v>%</v>
      </c>
      <c r="AH689" s="43"/>
      <c r="AI689" s="44"/>
      <c r="AJ689" s="66"/>
    </row>
    <row r="690">
      <c r="A690" s="52"/>
      <c r="B690" s="53"/>
      <c r="C690" s="54"/>
      <c r="D690" s="56"/>
      <c r="E690" s="56"/>
      <c r="F690" s="53"/>
      <c r="G690" s="53"/>
      <c r="H690" s="53"/>
      <c r="I690" s="53"/>
      <c r="J690" s="57"/>
      <c r="K690" s="53"/>
      <c r="L690" s="57"/>
      <c r="M690" s="53"/>
      <c r="N690" s="53"/>
      <c r="O690" s="53"/>
      <c r="P690" s="53"/>
      <c r="Q690" s="57"/>
      <c r="R690" s="53"/>
      <c r="S690" s="57"/>
      <c r="T690" s="53"/>
      <c r="U690" s="53"/>
      <c r="V690" s="53"/>
      <c r="W690" s="53"/>
      <c r="X690" s="57"/>
      <c r="Y690" s="53"/>
      <c r="Z690" s="57"/>
      <c r="AA690" s="53"/>
      <c r="AB690" s="53"/>
      <c r="AC690" s="53"/>
      <c r="AD690" s="53"/>
      <c r="AE690" s="57"/>
      <c r="AF690" s="53"/>
      <c r="AG690" s="57"/>
      <c r="AH690" s="53"/>
      <c r="AI690" s="53"/>
      <c r="AJ690" s="56"/>
    </row>
    <row r="691">
      <c r="A691" s="59"/>
      <c r="B691" s="60"/>
      <c r="C691" s="61"/>
      <c r="D691" s="63"/>
      <c r="E691" s="63"/>
      <c r="F691" s="60"/>
      <c r="G691" s="60"/>
      <c r="H691" s="60"/>
      <c r="I691" s="60"/>
      <c r="J691" s="64"/>
      <c r="K691" s="60"/>
      <c r="L691" s="64"/>
      <c r="M691" s="60"/>
      <c r="N691" s="60"/>
      <c r="O691" s="60"/>
      <c r="P691" s="60"/>
      <c r="Q691" s="64"/>
      <c r="R691" s="60"/>
      <c r="S691" s="64"/>
      <c r="T691" s="60"/>
      <c r="U691" s="60"/>
      <c r="V691" s="60"/>
      <c r="W691" s="60"/>
      <c r="X691" s="64"/>
      <c r="Y691" s="60"/>
      <c r="Z691" s="64"/>
      <c r="AA691" s="60"/>
      <c r="AB691" s="60"/>
      <c r="AC691" s="60"/>
      <c r="AD691" s="60"/>
      <c r="AE691" s="64"/>
      <c r="AF691" s="60"/>
      <c r="AG691" s="64"/>
      <c r="AH691" s="60"/>
      <c r="AI691" s="60"/>
      <c r="AJ691" s="63"/>
    </row>
    <row r="692" ht="33.0" customHeight="1">
      <c r="A692" s="20" t="str">
        <f>IFERROR(__xludf.DUMMYFUNCTION("""COMPUTED_VALUE""")," ")</f>
        <v> </v>
      </c>
      <c r="B692" s="21" t="str">
        <f>IFERROR(__xludf.DUMMYFUNCTION("""COMPUTED_VALUE"""),"A103")</f>
        <v>A103</v>
      </c>
      <c r="C692" s="20"/>
      <c r="D692" s="257" t="str">
        <f>IFERROR(__xludf.DUMMYFUNCTION("""COMPUTED_VALUE"""),"")</f>
        <v/>
      </c>
      <c r="E692" s="23" t="str">
        <f>IFERROR(__xludf.DUMMYFUNCTION("""COMPUTED_VALUE"""),"Dragon's Reverse Scale")</f>
        <v>Dragon's Reverse Scale</v>
      </c>
      <c r="F692" s="24"/>
      <c r="G692" s="24"/>
      <c r="H692" s="25"/>
      <c r="I692" s="25"/>
      <c r="J692" s="26"/>
      <c r="K692" s="25"/>
      <c r="L692" s="26"/>
      <c r="M692" s="25"/>
      <c r="N692" s="25"/>
      <c r="O692" s="25"/>
      <c r="P692" s="25"/>
      <c r="Q692" s="26"/>
      <c r="R692" s="25"/>
      <c r="S692" s="26"/>
      <c r="T692" s="25"/>
      <c r="U692" s="25"/>
      <c r="V692" s="25"/>
      <c r="W692" s="25"/>
      <c r="X692" s="26"/>
      <c r="Y692" s="25"/>
      <c r="Z692" s="26"/>
      <c r="AA692" s="25"/>
      <c r="AB692" s="25"/>
      <c r="AC692" s="25"/>
      <c r="AD692" s="25"/>
      <c r="AE692" s="26"/>
      <c r="AF692" s="25"/>
      <c r="AG692" s="26"/>
      <c r="AH692" s="24"/>
      <c r="AI692" s="25"/>
      <c r="AJ692" s="23"/>
    </row>
    <row r="693" ht="24.75" customHeight="1">
      <c r="A693" s="28">
        <f>IFERROR(__xludf.DUMMYFUNCTION("""COMPUTED_VALUE"""),1.0)</f>
        <v>1</v>
      </c>
      <c r="B693" s="28" t="str">
        <f>IFERROR(__xludf.DUMMYFUNCTION("""COMPUTED_VALUE"""),"A103")</f>
        <v>A103</v>
      </c>
      <c r="C693" s="28" t="str">
        <f>IFERROR(__xludf.DUMMYFUNCTION("""COMPUTED_VALUE"""),"BBL12")</f>
        <v>BBL12</v>
      </c>
      <c r="D693" s="29" t="str">
        <f>IFERROR(__xludf.DUMMYFUNCTION("""COMPUTED_VALUE"""),"Babylonia")</f>
        <v>Babylonia</v>
      </c>
      <c r="E693" s="30" t="str">
        <f>IFERROR(__xludf.DUMMYFUNCTION("""COMPUTED_VALUE"""),"Nippur")</f>
        <v>Nippur</v>
      </c>
      <c r="F693" s="31">
        <f>IFERROR(__xludf.DUMMYFUNCTION("""COMPUTED_VALUE"""),21.0)</f>
        <v>21</v>
      </c>
      <c r="G693" s="32">
        <f>IFERROR(__xludf.DUMMYFUNCTION("""COMPUTED_VALUE"""),70296.0)</f>
        <v>70296</v>
      </c>
      <c r="H693" s="33" t="str">
        <f>IFERROR(__xludf.DUMMYFUNCTION("""COMPUTED_VALUE"""),"")</f>
        <v/>
      </c>
      <c r="I693" s="34">
        <f>IFERROR(__xludf.DUMMYFUNCTION("""COMPUTED_VALUE"""),173.70404385267673)</f>
        <v>173.7040439</v>
      </c>
      <c r="J693" s="35" t="str">
        <f>IFERROR(__xludf.DUMMYFUNCTION("""COMPUTED_VALUE"""),"AP")</f>
        <v>AP</v>
      </c>
      <c r="K693" s="34">
        <f>IFERROR(__xludf.DUMMYFUNCTION("""COMPUTED_VALUE"""),12.089528564925459)</f>
        <v>12.08952856</v>
      </c>
      <c r="L693" s="35" t="str">
        <f>IFERROR(__xludf.DUMMYFUNCTION("""COMPUTED_VALUE"""),"%")</f>
        <v>%</v>
      </c>
      <c r="M693" s="36">
        <f>IFERROR(__xludf.DUMMYFUNCTION("""COMPUTED_VALUE"""),1.0)</f>
        <v>1</v>
      </c>
      <c r="N693" s="37" t="str">
        <f>IFERROR(__xludf.DUMMYFUNCTION("""COMPUTED_VALUE"""),"A306")</f>
        <v>A306</v>
      </c>
      <c r="O693" s="38" t="str">
        <f>IFERROR(__xludf.DUMMYFUNCTION("""COMPUTED_VALUE"""),"")</f>
        <v/>
      </c>
      <c r="P693" s="34">
        <f>IFERROR(__xludf.DUMMYFUNCTION("""COMPUTED_VALUE"""),69.92473296544537)</f>
        <v>69.92473297</v>
      </c>
      <c r="Q693" s="35" t="str">
        <f>IFERROR(__xludf.DUMMYFUNCTION("""COMPUTED_VALUE"""),"AP")</f>
        <v>AP</v>
      </c>
      <c r="R693" s="34">
        <f>IFERROR(__xludf.DUMMYFUNCTION("""COMPUTED_VALUE"""),30.03229202230568)</f>
        <v>30.03229202</v>
      </c>
      <c r="S693" s="35" t="str">
        <f>IFERROR(__xludf.DUMMYFUNCTION("""COMPUTED_VALUE"""),"%")</f>
        <v>%</v>
      </c>
      <c r="T693" s="36">
        <f>IFERROR(__xludf.DUMMYFUNCTION("""COMPUTED_VALUE"""),2.0)</f>
        <v>2</v>
      </c>
      <c r="U693" s="37" t="str">
        <f>IFERROR(__xludf.DUMMYFUNCTION("""COMPUTED_VALUE"""),"B104")</f>
        <v>B104</v>
      </c>
      <c r="V693" s="38" t="str">
        <f>IFERROR(__xludf.DUMMYFUNCTION("""COMPUTED_VALUE"""),"")</f>
        <v/>
      </c>
      <c r="W693" s="34">
        <f>IFERROR(__xludf.DUMMYFUNCTION("""COMPUTED_VALUE"""),656.8667236223836)</f>
        <v>656.8667236</v>
      </c>
      <c r="X693" s="35" t="str">
        <f>IFERROR(__xludf.DUMMYFUNCTION("""COMPUTED_VALUE"""),"AP")</f>
        <v>AP</v>
      </c>
      <c r="Y693" s="34">
        <f>IFERROR(__xludf.DUMMYFUNCTION("""COMPUTED_VALUE"""),3.196995561625128)</f>
        <v>3.196995562</v>
      </c>
      <c r="Z693" s="35" t="str">
        <f>IFERROR(__xludf.DUMMYFUNCTION("""COMPUTED_VALUE"""),"%")</f>
        <v>%</v>
      </c>
      <c r="AA693" s="36">
        <f>IFERROR(__xludf.DUMMYFUNCTION("""COMPUTED_VALUE"""),3.0)</f>
        <v>3</v>
      </c>
      <c r="AB693" s="37"/>
      <c r="AC693" s="38"/>
      <c r="AD693" s="34" t="str">
        <f>IFERROR(__xludf.DUMMYFUNCTION("""COMPUTED_VALUE"""),"")</f>
        <v/>
      </c>
      <c r="AE693" s="35" t="str">
        <f>IFERROR(__xludf.DUMMYFUNCTION("""COMPUTED_VALUE"""),"AP")</f>
        <v>AP</v>
      </c>
      <c r="AF693" s="34" t="str">
        <f>IFERROR(__xludf.DUMMYFUNCTION("""COMPUTED_VALUE"""),"")</f>
        <v/>
      </c>
      <c r="AG693" s="35" t="str">
        <f>IFERROR(__xludf.DUMMYFUNCTION("""COMPUTED_VALUE"""),"%")</f>
        <v>%</v>
      </c>
      <c r="AH693" s="31">
        <f>IFERROR(__xludf.DUMMYFUNCTION("""COMPUTED_VALUE"""),21.0)</f>
        <v>21</v>
      </c>
      <c r="AI693" s="32">
        <f>IFERROR(__xludf.DUMMYFUNCTION("""COMPUTED_VALUE"""),70296.0)</f>
        <v>70296</v>
      </c>
      <c r="AJ693" s="30" t="str">
        <f>IFERROR(__xludf.DUMMYFUNCTION("""COMPUTED_VALUE"""),"Nippur")</f>
        <v>Nippur</v>
      </c>
    </row>
    <row r="694" ht="24.75" customHeight="1">
      <c r="A694" s="40">
        <f>IFERROR(__xludf.DUMMYFUNCTION("""COMPUTED_VALUE"""),2.0)</f>
        <v>2</v>
      </c>
      <c r="B694" s="40" t="str">
        <f>IFERROR(__xludf.DUMMYFUNCTION("""COMPUTED_VALUE"""),"A103")</f>
        <v>A103</v>
      </c>
      <c r="C694" s="40" t="str">
        <f>IFERROR(__xludf.DUMMYFUNCTION("""COMPUTED_VALUE"""),"TRF16")</f>
        <v>TRF16</v>
      </c>
      <c r="D694" s="41" t="str">
        <f>IFERROR(__xludf.DUMMYFUNCTION("""COMPUTED_VALUE"""),"Chaldea Gate (Thu)")</f>
        <v>Chaldea Gate (Thu)</v>
      </c>
      <c r="E694" s="42" t="str">
        <f>IFERROR(__xludf.DUMMYFUNCTION("""COMPUTED_VALUE"""),"THU Rider Training Ground- Exp")</f>
        <v>THU Rider Training Ground- Exp</v>
      </c>
      <c r="F694" s="43">
        <f>IFERROR(__xludf.DUMMYFUNCTION("""COMPUTED_VALUE"""),40.0)</f>
        <v>40</v>
      </c>
      <c r="G694" s="44">
        <f>IFERROR(__xludf.DUMMYFUNCTION("""COMPUTED_VALUE"""),4725.0)</f>
        <v>4725</v>
      </c>
      <c r="H694" s="33" t="str">
        <f>IFERROR(__xludf.DUMMYFUNCTION("""COMPUTED_VALUE"""),"")</f>
        <v/>
      </c>
      <c r="I694" s="45">
        <f>IFERROR(__xludf.DUMMYFUNCTION("""COMPUTED_VALUE"""),544.9072792693053)</f>
        <v>544.9072793</v>
      </c>
      <c r="J694" s="46" t="str">
        <f>IFERROR(__xludf.DUMMYFUNCTION("""COMPUTED_VALUE"""),"AP")</f>
        <v>AP</v>
      </c>
      <c r="K694" s="47">
        <f>IFERROR(__xludf.DUMMYFUNCTION("""COMPUTED_VALUE"""),7.340698412698413)</f>
        <v>7.340698413</v>
      </c>
      <c r="L694" s="48" t="str">
        <f>IFERROR(__xludf.DUMMYFUNCTION("""COMPUTED_VALUE"""),"%")</f>
        <v>%</v>
      </c>
      <c r="M694" s="49">
        <f>IFERROR(__xludf.DUMMYFUNCTION("""COMPUTED_VALUE"""),1.0)</f>
        <v>1</v>
      </c>
      <c r="N694" s="50" t="str">
        <f>IFERROR(__xludf.DUMMYFUNCTION("""COMPUTED_VALUE"""),"A209")</f>
        <v>A209</v>
      </c>
      <c r="O694" s="38" t="str">
        <f>IFERROR(__xludf.DUMMYFUNCTION("""COMPUTED_VALUE"""),"")</f>
        <v/>
      </c>
      <c r="P694" s="45">
        <f>IFERROR(__xludf.DUMMYFUNCTION("""COMPUTED_VALUE"""),206.98990677787904)</f>
        <v>206.9899068</v>
      </c>
      <c r="Q694" s="46" t="str">
        <f>IFERROR(__xludf.DUMMYFUNCTION("""COMPUTED_VALUE"""),"AP")</f>
        <v>AP</v>
      </c>
      <c r="R694" s="47">
        <f>IFERROR(__xludf.DUMMYFUNCTION("""COMPUTED_VALUE"""),19.324613756613754)</f>
        <v>19.32461376</v>
      </c>
      <c r="S694" s="48" t="str">
        <f>IFERROR(__xludf.DUMMYFUNCTION("""COMPUTED_VALUE"""),"%")</f>
        <v>%</v>
      </c>
      <c r="T694" s="49">
        <f>IFERROR(__xludf.DUMMYFUNCTION("""COMPUTED_VALUE"""),2.0)</f>
        <v>2</v>
      </c>
      <c r="U694" s="50" t="str">
        <f>IFERROR(__xludf.DUMMYFUNCTION("""COMPUTED_VALUE"""),"A303")</f>
        <v>A303</v>
      </c>
      <c r="V694" s="38" t="str">
        <f>IFERROR(__xludf.DUMMYFUNCTION("""COMPUTED_VALUE"""),"")</f>
        <v/>
      </c>
      <c r="W694" s="45">
        <f>IFERROR(__xludf.DUMMYFUNCTION("""COMPUTED_VALUE"""),85.81999415152632)</f>
        <v>85.81999415</v>
      </c>
      <c r="X694" s="46" t="str">
        <f>IFERROR(__xludf.DUMMYFUNCTION("""COMPUTED_VALUE"""),"AP")</f>
        <v>AP</v>
      </c>
      <c r="Y694" s="47">
        <f>IFERROR(__xludf.DUMMYFUNCTION("""COMPUTED_VALUE"""),46.60918518518519)</f>
        <v>46.60918519</v>
      </c>
      <c r="Z694" s="48" t="str">
        <f>IFERROR(__xludf.DUMMYFUNCTION("""COMPUTED_VALUE"""),"%")</f>
        <v>%</v>
      </c>
      <c r="AA694" s="49">
        <f>IFERROR(__xludf.DUMMYFUNCTION("""COMPUTED_VALUE"""),3.0)</f>
        <v>3</v>
      </c>
      <c r="AB694" s="50" t="str">
        <f>IFERROR(__xludf.DUMMYFUNCTION("""COMPUTED_VALUE"""),"A304")</f>
        <v>A304</v>
      </c>
      <c r="AC694" s="38" t="str">
        <f>IFERROR(__xludf.DUMMYFUNCTION("""COMPUTED_VALUE"""),"")</f>
        <v/>
      </c>
      <c r="AD694" s="45">
        <f>IFERROR(__xludf.DUMMYFUNCTION("""COMPUTED_VALUE"""),242.73340936411546)</f>
        <v>242.7334094</v>
      </c>
      <c r="AE694" s="46" t="str">
        <f>IFERROR(__xludf.DUMMYFUNCTION("""COMPUTED_VALUE"""),"AP")</f>
        <v>AP</v>
      </c>
      <c r="AF694" s="47">
        <f>IFERROR(__xludf.DUMMYFUNCTION("""COMPUTED_VALUE"""),16.47898412698413)</f>
        <v>16.47898413</v>
      </c>
      <c r="AG694" s="48" t="str">
        <f>IFERROR(__xludf.DUMMYFUNCTION("""COMPUTED_VALUE"""),"%")</f>
        <v>%</v>
      </c>
      <c r="AH694" s="43">
        <f>IFERROR(__xludf.DUMMYFUNCTION("""COMPUTED_VALUE"""),40.0)</f>
        <v>40</v>
      </c>
      <c r="AI694" s="44">
        <f>IFERROR(__xludf.DUMMYFUNCTION("""COMPUTED_VALUE"""),4725.0)</f>
        <v>4725</v>
      </c>
      <c r="AJ694" s="42" t="str">
        <f>IFERROR(__xludf.DUMMYFUNCTION("""COMPUTED_VALUE"""),"THU Rider Training Ground- Exp")</f>
        <v>THU Rider Training Ground- Exp</v>
      </c>
    </row>
    <row r="695" ht="24.75" customHeight="1">
      <c r="A695" s="28">
        <f>IFERROR(__xludf.DUMMYFUNCTION("""COMPUTED_VALUE"""),3.0)</f>
        <v>3</v>
      </c>
      <c r="B695" s="28" t="str">
        <f>IFERROR(__xludf.DUMMYFUNCTION("""COMPUTED_VALUE"""),"A103")</f>
        <v>A103</v>
      </c>
      <c r="C695" s="28" t="str">
        <f>IFERROR(__xludf.DUMMYFUNCTION("""COMPUTED_VALUE"""),"TRF15")</f>
        <v>TRF15</v>
      </c>
      <c r="D695" s="29" t="str">
        <f>IFERROR(__xludf.DUMMYFUNCTION("""COMPUTED_VALUE"""),"Chaldea Gate (Thu)")</f>
        <v>Chaldea Gate (Thu)</v>
      </c>
      <c r="E695" s="30" t="str">
        <f>IFERROR(__xludf.DUMMYFUNCTION("""COMPUTED_VALUE"""),"THU Rider Training Ground- Adv")</f>
        <v>THU Rider Training Ground- Adv</v>
      </c>
      <c r="F695" s="31">
        <f>IFERROR(__xludf.DUMMYFUNCTION("""COMPUTED_VALUE"""),30.0)</f>
        <v>30</v>
      </c>
      <c r="G695" s="32">
        <f>IFERROR(__xludf.DUMMYFUNCTION("""COMPUTED_VALUE"""),2248.0)</f>
        <v>2248</v>
      </c>
      <c r="H695" s="33" t="str">
        <f>IFERROR(__xludf.DUMMYFUNCTION("""COMPUTED_VALUE"""),"")</f>
        <v/>
      </c>
      <c r="I695" s="34">
        <f>IFERROR(__xludf.DUMMYFUNCTION("""COMPUTED_VALUE"""),1015.9839708341494)</f>
        <v>1015.983971</v>
      </c>
      <c r="J695" s="35" t="str">
        <f>IFERROR(__xludf.DUMMYFUNCTION("""COMPUTED_VALUE"""),"AP")</f>
        <v>AP</v>
      </c>
      <c r="K695" s="34">
        <f>IFERROR(__xludf.DUMMYFUNCTION("""COMPUTED_VALUE"""),2.9528024911032027)</f>
        <v>2.952802491</v>
      </c>
      <c r="L695" s="35" t="str">
        <f>IFERROR(__xludf.DUMMYFUNCTION("""COMPUTED_VALUE"""),"%")</f>
        <v>%</v>
      </c>
      <c r="M695" s="36">
        <f>IFERROR(__xludf.DUMMYFUNCTION("""COMPUTED_VALUE"""),1.0)</f>
        <v>1</v>
      </c>
      <c r="N695" s="37" t="str">
        <f>IFERROR(__xludf.DUMMYFUNCTION("""COMPUTED_VALUE"""),"A209")</f>
        <v>A209</v>
      </c>
      <c r="O695" s="38" t="str">
        <f>IFERROR(__xludf.DUMMYFUNCTION("""COMPUTED_VALUE"""),"")</f>
        <v/>
      </c>
      <c r="P695" s="34">
        <f>IFERROR(__xludf.DUMMYFUNCTION("""COMPUTED_VALUE"""),204.48694818996913)</f>
        <v>204.4869482</v>
      </c>
      <c r="Q695" s="35" t="str">
        <f>IFERROR(__xludf.DUMMYFUNCTION("""COMPUTED_VALUE"""),"AP")</f>
        <v>AP</v>
      </c>
      <c r="R695" s="34">
        <f>IFERROR(__xludf.DUMMYFUNCTION("""COMPUTED_VALUE"""),14.670862989323842)</f>
        <v>14.67086299</v>
      </c>
      <c r="S695" s="35" t="str">
        <f>IFERROR(__xludf.DUMMYFUNCTION("""COMPUTED_VALUE"""),"%")</f>
        <v>%</v>
      </c>
      <c r="T695" s="36">
        <f>IFERROR(__xludf.DUMMYFUNCTION("""COMPUTED_VALUE"""),2.0)</f>
        <v>2</v>
      </c>
      <c r="U695" s="37" t="str">
        <f>IFERROR(__xludf.DUMMYFUNCTION("""COMPUTED_VALUE"""),"A303")</f>
        <v>A303</v>
      </c>
      <c r="V695" s="38" t="str">
        <f>IFERROR(__xludf.DUMMYFUNCTION("""COMPUTED_VALUE"""),"")</f>
        <v/>
      </c>
      <c r="W695" s="34">
        <f>IFERROR(__xludf.DUMMYFUNCTION("""COMPUTED_VALUE"""),65.98780634574909)</f>
        <v>65.98780635</v>
      </c>
      <c r="X695" s="35" t="str">
        <f>IFERROR(__xludf.DUMMYFUNCTION("""COMPUTED_VALUE"""),"AP")</f>
        <v>AP</v>
      </c>
      <c r="Y695" s="34">
        <f>IFERROR(__xludf.DUMMYFUNCTION("""COMPUTED_VALUE"""),45.462944839857656)</f>
        <v>45.46294484</v>
      </c>
      <c r="Z695" s="35" t="str">
        <f>IFERROR(__xludf.DUMMYFUNCTION("""COMPUTED_VALUE"""),"%")</f>
        <v>%</v>
      </c>
      <c r="AA695" s="36">
        <f>IFERROR(__xludf.DUMMYFUNCTION("""COMPUTED_VALUE"""),3.0)</f>
        <v>3</v>
      </c>
      <c r="AB695" s="37" t="str">
        <f>IFERROR(__xludf.DUMMYFUNCTION("""COMPUTED_VALUE"""),"A304")</f>
        <v>A304</v>
      </c>
      <c r="AC695" s="38" t="str">
        <f>IFERROR(__xludf.DUMMYFUNCTION("""COMPUTED_VALUE"""),"")</f>
        <v/>
      </c>
      <c r="AD695" s="34">
        <f>IFERROR(__xludf.DUMMYFUNCTION("""COMPUTED_VALUE"""),232.9702672732737)</f>
        <v>232.9702673</v>
      </c>
      <c r="AE695" s="35" t="str">
        <f>IFERROR(__xludf.DUMMYFUNCTION("""COMPUTED_VALUE"""),"AP")</f>
        <v>AP</v>
      </c>
      <c r="AF695" s="34">
        <f>IFERROR(__xludf.DUMMYFUNCTION("""COMPUTED_VALUE"""),12.877179715302491)</f>
        <v>12.87717972</v>
      </c>
      <c r="AG695" s="35" t="str">
        <f>IFERROR(__xludf.DUMMYFUNCTION("""COMPUTED_VALUE"""),"%")</f>
        <v>%</v>
      </c>
      <c r="AH695" s="31">
        <f>IFERROR(__xludf.DUMMYFUNCTION("""COMPUTED_VALUE"""),30.0)</f>
        <v>30</v>
      </c>
      <c r="AI695" s="32">
        <f>IFERROR(__xludf.DUMMYFUNCTION("""COMPUTED_VALUE"""),2248.0)</f>
        <v>2248</v>
      </c>
      <c r="AJ695" s="30" t="str">
        <f>IFERROR(__xludf.DUMMYFUNCTION("""COMPUTED_VALUE"""),"THU Rider Training Ground- Adv")</f>
        <v>THU Rider Training Ground- Adv</v>
      </c>
    </row>
    <row r="696" ht="24.75" customHeight="1">
      <c r="A696" s="40">
        <f>IFERROR(__xludf.DUMMYFUNCTION("""COMPUTED_VALUE"""),4.0)</f>
        <v>4</v>
      </c>
      <c r="B696" s="40" t="str">
        <f>IFERROR(__xludf.DUMMYFUNCTION("""COMPUTED_VALUE"""),"A103")</f>
        <v>A103</v>
      </c>
      <c r="C696" s="40"/>
      <c r="D696" s="41"/>
      <c r="E696" s="66"/>
      <c r="F696" s="43"/>
      <c r="G696" s="44"/>
      <c r="H696" s="33" t="str">
        <f>IFERROR(__xludf.DUMMYFUNCTION("""COMPUTED_VALUE""")," ")</f>
        <v> </v>
      </c>
      <c r="I696" s="45"/>
      <c r="J696" s="46" t="str">
        <f>IFERROR(__xludf.DUMMYFUNCTION("""COMPUTED_VALUE"""),"AP")</f>
        <v>AP</v>
      </c>
      <c r="K696" s="47"/>
      <c r="L696" s="48" t="str">
        <f>IFERROR(__xludf.DUMMYFUNCTION("""COMPUTED_VALUE"""),"%")</f>
        <v>%</v>
      </c>
      <c r="M696" s="49">
        <f>IFERROR(__xludf.DUMMYFUNCTION("""COMPUTED_VALUE"""),1.0)</f>
        <v>1</v>
      </c>
      <c r="N696" s="50"/>
      <c r="O696" s="38"/>
      <c r="P696" s="45" t="str">
        <f>IFERROR(__xludf.DUMMYFUNCTION("""COMPUTED_VALUE"""),"")</f>
        <v/>
      </c>
      <c r="Q696" s="46" t="str">
        <f>IFERROR(__xludf.DUMMYFUNCTION("""COMPUTED_VALUE"""),"AP")</f>
        <v>AP</v>
      </c>
      <c r="R696" s="47" t="str">
        <f>IFERROR(__xludf.DUMMYFUNCTION("""COMPUTED_VALUE"""),"")</f>
        <v/>
      </c>
      <c r="S696" s="48" t="str">
        <f>IFERROR(__xludf.DUMMYFUNCTION("""COMPUTED_VALUE"""),"%")</f>
        <v>%</v>
      </c>
      <c r="T696" s="49">
        <f>IFERROR(__xludf.DUMMYFUNCTION("""COMPUTED_VALUE"""),2.0)</f>
        <v>2</v>
      </c>
      <c r="U696" s="50"/>
      <c r="V696" s="38"/>
      <c r="W696" s="45" t="str">
        <f>IFERROR(__xludf.DUMMYFUNCTION("""COMPUTED_VALUE"""),"")</f>
        <v/>
      </c>
      <c r="X696" s="46" t="str">
        <f>IFERROR(__xludf.DUMMYFUNCTION("""COMPUTED_VALUE"""),"AP")</f>
        <v>AP</v>
      </c>
      <c r="Y696" s="47" t="str">
        <f>IFERROR(__xludf.DUMMYFUNCTION("""COMPUTED_VALUE"""),"")</f>
        <v/>
      </c>
      <c r="Z696" s="48" t="str">
        <f>IFERROR(__xludf.DUMMYFUNCTION("""COMPUTED_VALUE"""),"%")</f>
        <v>%</v>
      </c>
      <c r="AA696" s="49">
        <f>IFERROR(__xludf.DUMMYFUNCTION("""COMPUTED_VALUE"""),3.0)</f>
        <v>3</v>
      </c>
      <c r="AB696" s="50"/>
      <c r="AC696" s="38"/>
      <c r="AD696" s="45" t="str">
        <f>IFERROR(__xludf.DUMMYFUNCTION("""COMPUTED_VALUE"""),"")</f>
        <v/>
      </c>
      <c r="AE696" s="46" t="str">
        <f>IFERROR(__xludf.DUMMYFUNCTION("""COMPUTED_VALUE"""),"AP")</f>
        <v>AP</v>
      </c>
      <c r="AF696" s="47" t="str">
        <f>IFERROR(__xludf.DUMMYFUNCTION("""COMPUTED_VALUE"""),"")</f>
        <v/>
      </c>
      <c r="AG696" s="48" t="str">
        <f>IFERROR(__xludf.DUMMYFUNCTION("""COMPUTED_VALUE"""),"%")</f>
        <v>%</v>
      </c>
      <c r="AH696" s="43"/>
      <c r="AI696" s="44"/>
      <c r="AJ696" s="66"/>
    </row>
    <row r="697" ht="24.75" hidden="1" customHeight="1">
      <c r="A697" s="28">
        <f>IFERROR(__xludf.DUMMYFUNCTION("""COMPUTED_VALUE"""),5.0)</f>
        <v>5</v>
      </c>
      <c r="B697" s="28" t="str">
        <f>IFERROR(__xludf.DUMMYFUNCTION("""COMPUTED_VALUE"""),"A103")</f>
        <v>A103</v>
      </c>
      <c r="C697" s="28"/>
      <c r="D697" s="29"/>
      <c r="E697" s="67"/>
      <c r="F697" s="31"/>
      <c r="G697" s="32"/>
      <c r="H697" s="33" t="str">
        <f>IFERROR(__xludf.DUMMYFUNCTION("""COMPUTED_VALUE""")," ")</f>
        <v> </v>
      </c>
      <c r="I697" s="34"/>
      <c r="J697" s="35" t="str">
        <f>IFERROR(__xludf.DUMMYFUNCTION("""COMPUTED_VALUE"""),"AP")</f>
        <v>AP</v>
      </c>
      <c r="K697" s="34"/>
      <c r="L697" s="35" t="str">
        <f>IFERROR(__xludf.DUMMYFUNCTION("""COMPUTED_VALUE"""),"%")</f>
        <v>%</v>
      </c>
      <c r="M697" s="36">
        <f>IFERROR(__xludf.DUMMYFUNCTION("""COMPUTED_VALUE"""),1.0)</f>
        <v>1</v>
      </c>
      <c r="N697" s="37"/>
      <c r="O697" s="38"/>
      <c r="P697" s="34" t="str">
        <f>IFERROR(__xludf.DUMMYFUNCTION("""COMPUTED_VALUE"""),"")</f>
        <v/>
      </c>
      <c r="Q697" s="35" t="str">
        <f>IFERROR(__xludf.DUMMYFUNCTION("""COMPUTED_VALUE"""),"AP")</f>
        <v>AP</v>
      </c>
      <c r="R697" s="34" t="str">
        <f>IFERROR(__xludf.DUMMYFUNCTION("""COMPUTED_VALUE"""),"")</f>
        <v/>
      </c>
      <c r="S697" s="35" t="str">
        <f>IFERROR(__xludf.DUMMYFUNCTION("""COMPUTED_VALUE"""),"%")</f>
        <v>%</v>
      </c>
      <c r="T697" s="36">
        <f>IFERROR(__xludf.DUMMYFUNCTION("""COMPUTED_VALUE"""),2.0)</f>
        <v>2</v>
      </c>
      <c r="U697" s="37"/>
      <c r="V697" s="38"/>
      <c r="W697" s="34" t="str">
        <f>IFERROR(__xludf.DUMMYFUNCTION("""COMPUTED_VALUE"""),"")</f>
        <v/>
      </c>
      <c r="X697" s="35" t="str">
        <f>IFERROR(__xludf.DUMMYFUNCTION("""COMPUTED_VALUE"""),"AP")</f>
        <v>AP</v>
      </c>
      <c r="Y697" s="34" t="str">
        <f>IFERROR(__xludf.DUMMYFUNCTION("""COMPUTED_VALUE"""),"")</f>
        <v/>
      </c>
      <c r="Z697" s="35" t="str">
        <f>IFERROR(__xludf.DUMMYFUNCTION("""COMPUTED_VALUE"""),"%")</f>
        <v>%</v>
      </c>
      <c r="AA697" s="36">
        <f>IFERROR(__xludf.DUMMYFUNCTION("""COMPUTED_VALUE"""),3.0)</f>
        <v>3</v>
      </c>
      <c r="AB697" s="37"/>
      <c r="AC697" s="38"/>
      <c r="AD697" s="34" t="str">
        <f>IFERROR(__xludf.DUMMYFUNCTION("""COMPUTED_VALUE"""),"")</f>
        <v/>
      </c>
      <c r="AE697" s="35" t="str">
        <f>IFERROR(__xludf.DUMMYFUNCTION("""COMPUTED_VALUE"""),"AP")</f>
        <v>AP</v>
      </c>
      <c r="AF697" s="34" t="str">
        <f>IFERROR(__xludf.DUMMYFUNCTION("""COMPUTED_VALUE"""),"")</f>
        <v/>
      </c>
      <c r="AG697" s="35" t="str">
        <f>IFERROR(__xludf.DUMMYFUNCTION("""COMPUTED_VALUE"""),"%")</f>
        <v>%</v>
      </c>
      <c r="AH697" s="31"/>
      <c r="AI697" s="32"/>
      <c r="AJ697" s="67"/>
    </row>
    <row r="698" ht="24.75" hidden="1" customHeight="1">
      <c r="A698" s="40">
        <f>IFERROR(__xludf.DUMMYFUNCTION("""COMPUTED_VALUE"""),6.0)</f>
        <v>6</v>
      </c>
      <c r="B698" s="40" t="str">
        <f>IFERROR(__xludf.DUMMYFUNCTION("""COMPUTED_VALUE"""),"A103")</f>
        <v>A103</v>
      </c>
      <c r="C698" s="40"/>
      <c r="D698" s="41"/>
      <c r="E698" s="66"/>
      <c r="F698" s="43"/>
      <c r="G698" s="44"/>
      <c r="H698" s="33" t="str">
        <f>IFERROR(__xludf.DUMMYFUNCTION("""COMPUTED_VALUE""")," ")</f>
        <v> </v>
      </c>
      <c r="I698" s="45"/>
      <c r="J698" s="46" t="str">
        <f>IFERROR(__xludf.DUMMYFUNCTION("""COMPUTED_VALUE"""),"AP")</f>
        <v>AP</v>
      </c>
      <c r="K698" s="47"/>
      <c r="L698" s="48" t="str">
        <f>IFERROR(__xludf.DUMMYFUNCTION("""COMPUTED_VALUE"""),"%")</f>
        <v>%</v>
      </c>
      <c r="M698" s="49">
        <f>IFERROR(__xludf.DUMMYFUNCTION("""COMPUTED_VALUE"""),1.0)</f>
        <v>1</v>
      </c>
      <c r="N698" s="50"/>
      <c r="O698" s="38"/>
      <c r="P698" s="45" t="str">
        <f>IFERROR(__xludf.DUMMYFUNCTION("""COMPUTED_VALUE"""),"")</f>
        <v/>
      </c>
      <c r="Q698" s="46" t="str">
        <f>IFERROR(__xludf.DUMMYFUNCTION("""COMPUTED_VALUE"""),"AP")</f>
        <v>AP</v>
      </c>
      <c r="R698" s="47" t="str">
        <f>IFERROR(__xludf.DUMMYFUNCTION("""COMPUTED_VALUE"""),"")</f>
        <v/>
      </c>
      <c r="S698" s="48" t="str">
        <f>IFERROR(__xludf.DUMMYFUNCTION("""COMPUTED_VALUE"""),"%")</f>
        <v>%</v>
      </c>
      <c r="T698" s="49">
        <f>IFERROR(__xludf.DUMMYFUNCTION("""COMPUTED_VALUE"""),2.0)</f>
        <v>2</v>
      </c>
      <c r="U698" s="50"/>
      <c r="V698" s="38"/>
      <c r="W698" s="45" t="str">
        <f>IFERROR(__xludf.DUMMYFUNCTION("""COMPUTED_VALUE"""),"")</f>
        <v/>
      </c>
      <c r="X698" s="46" t="str">
        <f>IFERROR(__xludf.DUMMYFUNCTION("""COMPUTED_VALUE"""),"AP")</f>
        <v>AP</v>
      </c>
      <c r="Y698" s="47" t="str">
        <f>IFERROR(__xludf.DUMMYFUNCTION("""COMPUTED_VALUE"""),"")</f>
        <v/>
      </c>
      <c r="Z698" s="48" t="str">
        <f>IFERROR(__xludf.DUMMYFUNCTION("""COMPUTED_VALUE"""),"%")</f>
        <v>%</v>
      </c>
      <c r="AA698" s="49">
        <f>IFERROR(__xludf.DUMMYFUNCTION("""COMPUTED_VALUE"""),3.0)</f>
        <v>3</v>
      </c>
      <c r="AB698" s="50"/>
      <c r="AC698" s="38"/>
      <c r="AD698" s="45" t="str">
        <f>IFERROR(__xludf.DUMMYFUNCTION("""COMPUTED_VALUE"""),"")</f>
        <v/>
      </c>
      <c r="AE698" s="46" t="str">
        <f>IFERROR(__xludf.DUMMYFUNCTION("""COMPUTED_VALUE"""),"AP")</f>
        <v>AP</v>
      </c>
      <c r="AF698" s="47" t="str">
        <f>IFERROR(__xludf.DUMMYFUNCTION("""COMPUTED_VALUE"""),"")</f>
        <v/>
      </c>
      <c r="AG698" s="48" t="str">
        <f>IFERROR(__xludf.DUMMYFUNCTION("""COMPUTED_VALUE"""),"%")</f>
        <v>%</v>
      </c>
      <c r="AH698" s="43"/>
      <c r="AI698" s="44"/>
      <c r="AJ698" s="66"/>
    </row>
    <row r="699" ht="24.75" hidden="1" customHeight="1">
      <c r="A699" s="28">
        <f>IFERROR(__xludf.DUMMYFUNCTION("""COMPUTED_VALUE"""),7.0)</f>
        <v>7</v>
      </c>
      <c r="B699" s="28" t="str">
        <f>IFERROR(__xludf.DUMMYFUNCTION("""COMPUTED_VALUE"""),"A103")</f>
        <v>A103</v>
      </c>
      <c r="C699" s="28"/>
      <c r="D699" s="29"/>
      <c r="E699" s="67"/>
      <c r="F699" s="31"/>
      <c r="G699" s="32"/>
      <c r="H699" s="33" t="str">
        <f>IFERROR(__xludf.DUMMYFUNCTION("""COMPUTED_VALUE""")," ")</f>
        <v> </v>
      </c>
      <c r="I699" s="34"/>
      <c r="J699" s="35" t="str">
        <f>IFERROR(__xludf.DUMMYFUNCTION("""COMPUTED_VALUE"""),"AP")</f>
        <v>AP</v>
      </c>
      <c r="K699" s="34"/>
      <c r="L699" s="35" t="str">
        <f>IFERROR(__xludf.DUMMYFUNCTION("""COMPUTED_VALUE"""),"%")</f>
        <v>%</v>
      </c>
      <c r="M699" s="36">
        <f>IFERROR(__xludf.DUMMYFUNCTION("""COMPUTED_VALUE"""),1.0)</f>
        <v>1</v>
      </c>
      <c r="N699" s="37"/>
      <c r="O699" s="38"/>
      <c r="P699" s="34" t="str">
        <f>IFERROR(__xludf.DUMMYFUNCTION("""COMPUTED_VALUE"""),"")</f>
        <v/>
      </c>
      <c r="Q699" s="35" t="str">
        <f>IFERROR(__xludf.DUMMYFUNCTION("""COMPUTED_VALUE"""),"AP")</f>
        <v>AP</v>
      </c>
      <c r="R699" s="34" t="str">
        <f>IFERROR(__xludf.DUMMYFUNCTION("""COMPUTED_VALUE"""),"")</f>
        <v/>
      </c>
      <c r="S699" s="35" t="str">
        <f>IFERROR(__xludf.DUMMYFUNCTION("""COMPUTED_VALUE"""),"%")</f>
        <v>%</v>
      </c>
      <c r="T699" s="36">
        <f>IFERROR(__xludf.DUMMYFUNCTION("""COMPUTED_VALUE"""),2.0)</f>
        <v>2</v>
      </c>
      <c r="U699" s="37"/>
      <c r="V699" s="38"/>
      <c r="W699" s="34" t="str">
        <f>IFERROR(__xludf.DUMMYFUNCTION("""COMPUTED_VALUE"""),"")</f>
        <v/>
      </c>
      <c r="X699" s="35" t="str">
        <f>IFERROR(__xludf.DUMMYFUNCTION("""COMPUTED_VALUE"""),"AP")</f>
        <v>AP</v>
      </c>
      <c r="Y699" s="34" t="str">
        <f>IFERROR(__xludf.DUMMYFUNCTION("""COMPUTED_VALUE"""),"")</f>
        <v/>
      </c>
      <c r="Z699" s="35" t="str">
        <f>IFERROR(__xludf.DUMMYFUNCTION("""COMPUTED_VALUE"""),"%")</f>
        <v>%</v>
      </c>
      <c r="AA699" s="36">
        <f>IFERROR(__xludf.DUMMYFUNCTION("""COMPUTED_VALUE"""),3.0)</f>
        <v>3</v>
      </c>
      <c r="AB699" s="37"/>
      <c r="AC699" s="38"/>
      <c r="AD699" s="34" t="str">
        <f>IFERROR(__xludf.DUMMYFUNCTION("""COMPUTED_VALUE"""),"")</f>
        <v/>
      </c>
      <c r="AE699" s="35" t="str">
        <f>IFERROR(__xludf.DUMMYFUNCTION("""COMPUTED_VALUE"""),"AP")</f>
        <v>AP</v>
      </c>
      <c r="AF699" s="34" t="str">
        <f>IFERROR(__xludf.DUMMYFUNCTION("""COMPUTED_VALUE"""),"")</f>
        <v/>
      </c>
      <c r="AG699" s="35" t="str">
        <f>IFERROR(__xludf.DUMMYFUNCTION("""COMPUTED_VALUE"""),"%")</f>
        <v>%</v>
      </c>
      <c r="AH699" s="31"/>
      <c r="AI699" s="32"/>
      <c r="AJ699" s="67"/>
    </row>
    <row r="700" ht="24.75" hidden="1" customHeight="1">
      <c r="A700" s="40">
        <f>IFERROR(__xludf.DUMMYFUNCTION("""COMPUTED_VALUE"""),8.0)</f>
        <v>8</v>
      </c>
      <c r="B700" s="40" t="str">
        <f>IFERROR(__xludf.DUMMYFUNCTION("""COMPUTED_VALUE"""),"A103")</f>
        <v>A103</v>
      </c>
      <c r="C700" s="40"/>
      <c r="D700" s="41"/>
      <c r="E700" s="66"/>
      <c r="F700" s="43"/>
      <c r="G700" s="44"/>
      <c r="H700" s="33" t="str">
        <f>IFERROR(__xludf.DUMMYFUNCTION("""COMPUTED_VALUE""")," ")</f>
        <v> </v>
      </c>
      <c r="I700" s="45"/>
      <c r="J700" s="46" t="str">
        <f>IFERROR(__xludf.DUMMYFUNCTION("""COMPUTED_VALUE"""),"AP")</f>
        <v>AP</v>
      </c>
      <c r="K700" s="47"/>
      <c r="L700" s="48" t="str">
        <f>IFERROR(__xludf.DUMMYFUNCTION("""COMPUTED_VALUE"""),"%")</f>
        <v>%</v>
      </c>
      <c r="M700" s="49">
        <f>IFERROR(__xludf.DUMMYFUNCTION("""COMPUTED_VALUE"""),1.0)</f>
        <v>1</v>
      </c>
      <c r="N700" s="50"/>
      <c r="O700" s="38"/>
      <c r="P700" s="45" t="str">
        <f>IFERROR(__xludf.DUMMYFUNCTION("""COMPUTED_VALUE"""),"")</f>
        <v/>
      </c>
      <c r="Q700" s="46" t="str">
        <f>IFERROR(__xludf.DUMMYFUNCTION("""COMPUTED_VALUE"""),"AP")</f>
        <v>AP</v>
      </c>
      <c r="R700" s="47" t="str">
        <f>IFERROR(__xludf.DUMMYFUNCTION("""COMPUTED_VALUE"""),"")</f>
        <v/>
      </c>
      <c r="S700" s="48" t="str">
        <f>IFERROR(__xludf.DUMMYFUNCTION("""COMPUTED_VALUE"""),"%")</f>
        <v>%</v>
      </c>
      <c r="T700" s="49">
        <f>IFERROR(__xludf.DUMMYFUNCTION("""COMPUTED_VALUE"""),2.0)</f>
        <v>2</v>
      </c>
      <c r="U700" s="50"/>
      <c r="V700" s="38"/>
      <c r="W700" s="45" t="str">
        <f>IFERROR(__xludf.DUMMYFUNCTION("""COMPUTED_VALUE"""),"")</f>
        <v/>
      </c>
      <c r="X700" s="46" t="str">
        <f>IFERROR(__xludf.DUMMYFUNCTION("""COMPUTED_VALUE"""),"AP")</f>
        <v>AP</v>
      </c>
      <c r="Y700" s="47" t="str">
        <f>IFERROR(__xludf.DUMMYFUNCTION("""COMPUTED_VALUE"""),"")</f>
        <v/>
      </c>
      <c r="Z700" s="48" t="str">
        <f>IFERROR(__xludf.DUMMYFUNCTION("""COMPUTED_VALUE"""),"%")</f>
        <v>%</v>
      </c>
      <c r="AA700" s="49">
        <f>IFERROR(__xludf.DUMMYFUNCTION("""COMPUTED_VALUE"""),3.0)</f>
        <v>3</v>
      </c>
      <c r="AB700" s="50"/>
      <c r="AC700" s="38"/>
      <c r="AD700" s="45" t="str">
        <f>IFERROR(__xludf.DUMMYFUNCTION("""COMPUTED_VALUE"""),"")</f>
        <v/>
      </c>
      <c r="AE700" s="46" t="str">
        <f>IFERROR(__xludf.DUMMYFUNCTION("""COMPUTED_VALUE"""),"AP")</f>
        <v>AP</v>
      </c>
      <c r="AF700" s="47" t="str">
        <f>IFERROR(__xludf.DUMMYFUNCTION("""COMPUTED_VALUE"""),"")</f>
        <v/>
      </c>
      <c r="AG700" s="48" t="str">
        <f>IFERROR(__xludf.DUMMYFUNCTION("""COMPUTED_VALUE"""),"%")</f>
        <v>%</v>
      </c>
      <c r="AH700" s="43"/>
      <c r="AI700" s="44"/>
      <c r="AJ700" s="66"/>
    </row>
    <row r="701" ht="24.75" hidden="1" customHeight="1">
      <c r="A701" s="28">
        <f>IFERROR(__xludf.DUMMYFUNCTION("""COMPUTED_VALUE"""),9.0)</f>
        <v>9</v>
      </c>
      <c r="B701" s="28" t="str">
        <f>IFERROR(__xludf.DUMMYFUNCTION("""COMPUTED_VALUE"""),"A103")</f>
        <v>A103</v>
      </c>
      <c r="C701" s="28"/>
      <c r="D701" s="29"/>
      <c r="E701" s="67"/>
      <c r="F701" s="31"/>
      <c r="G701" s="32"/>
      <c r="H701" s="33" t="str">
        <f>IFERROR(__xludf.DUMMYFUNCTION("""COMPUTED_VALUE""")," ")</f>
        <v> </v>
      </c>
      <c r="I701" s="34"/>
      <c r="J701" s="35" t="str">
        <f>IFERROR(__xludf.DUMMYFUNCTION("""COMPUTED_VALUE"""),"AP")</f>
        <v>AP</v>
      </c>
      <c r="K701" s="34"/>
      <c r="L701" s="35" t="str">
        <f>IFERROR(__xludf.DUMMYFUNCTION("""COMPUTED_VALUE"""),"%")</f>
        <v>%</v>
      </c>
      <c r="M701" s="36">
        <f>IFERROR(__xludf.DUMMYFUNCTION("""COMPUTED_VALUE"""),1.0)</f>
        <v>1</v>
      </c>
      <c r="N701" s="37"/>
      <c r="O701" s="38"/>
      <c r="P701" s="34" t="str">
        <f>IFERROR(__xludf.DUMMYFUNCTION("""COMPUTED_VALUE"""),"")</f>
        <v/>
      </c>
      <c r="Q701" s="35" t="str">
        <f>IFERROR(__xludf.DUMMYFUNCTION("""COMPUTED_VALUE"""),"AP")</f>
        <v>AP</v>
      </c>
      <c r="R701" s="34" t="str">
        <f>IFERROR(__xludf.DUMMYFUNCTION("""COMPUTED_VALUE"""),"")</f>
        <v/>
      </c>
      <c r="S701" s="35" t="str">
        <f>IFERROR(__xludf.DUMMYFUNCTION("""COMPUTED_VALUE"""),"%")</f>
        <v>%</v>
      </c>
      <c r="T701" s="36">
        <f>IFERROR(__xludf.DUMMYFUNCTION("""COMPUTED_VALUE"""),2.0)</f>
        <v>2</v>
      </c>
      <c r="U701" s="37"/>
      <c r="V701" s="38"/>
      <c r="W701" s="34" t="str">
        <f>IFERROR(__xludf.DUMMYFUNCTION("""COMPUTED_VALUE"""),"")</f>
        <v/>
      </c>
      <c r="X701" s="35" t="str">
        <f>IFERROR(__xludf.DUMMYFUNCTION("""COMPUTED_VALUE"""),"AP")</f>
        <v>AP</v>
      </c>
      <c r="Y701" s="34" t="str">
        <f>IFERROR(__xludf.DUMMYFUNCTION("""COMPUTED_VALUE"""),"")</f>
        <v/>
      </c>
      <c r="Z701" s="35" t="str">
        <f>IFERROR(__xludf.DUMMYFUNCTION("""COMPUTED_VALUE"""),"%")</f>
        <v>%</v>
      </c>
      <c r="AA701" s="36">
        <f>IFERROR(__xludf.DUMMYFUNCTION("""COMPUTED_VALUE"""),3.0)</f>
        <v>3</v>
      </c>
      <c r="AB701" s="37"/>
      <c r="AC701" s="38"/>
      <c r="AD701" s="34" t="str">
        <f>IFERROR(__xludf.DUMMYFUNCTION("""COMPUTED_VALUE"""),"")</f>
        <v/>
      </c>
      <c r="AE701" s="35" t="str">
        <f>IFERROR(__xludf.DUMMYFUNCTION("""COMPUTED_VALUE"""),"AP")</f>
        <v>AP</v>
      </c>
      <c r="AF701" s="34" t="str">
        <f>IFERROR(__xludf.DUMMYFUNCTION("""COMPUTED_VALUE"""),"")</f>
        <v/>
      </c>
      <c r="AG701" s="35" t="str">
        <f>IFERROR(__xludf.DUMMYFUNCTION("""COMPUTED_VALUE"""),"%")</f>
        <v>%</v>
      </c>
      <c r="AH701" s="31"/>
      <c r="AI701" s="32"/>
      <c r="AJ701" s="67"/>
    </row>
    <row r="702" ht="24.75" hidden="1" customHeight="1">
      <c r="A702" s="40">
        <f>IFERROR(__xludf.DUMMYFUNCTION("""COMPUTED_VALUE"""),10.0)</f>
        <v>10</v>
      </c>
      <c r="B702" s="40" t="str">
        <f>IFERROR(__xludf.DUMMYFUNCTION("""COMPUTED_VALUE"""),"A103")</f>
        <v>A103</v>
      </c>
      <c r="C702" s="40"/>
      <c r="D702" s="41"/>
      <c r="E702" s="66"/>
      <c r="F702" s="43"/>
      <c r="G702" s="44"/>
      <c r="H702" s="33" t="str">
        <f>IFERROR(__xludf.DUMMYFUNCTION("""COMPUTED_VALUE""")," ")</f>
        <v> </v>
      </c>
      <c r="I702" s="45"/>
      <c r="J702" s="46" t="str">
        <f>IFERROR(__xludf.DUMMYFUNCTION("""COMPUTED_VALUE"""),"AP")</f>
        <v>AP</v>
      </c>
      <c r="K702" s="47"/>
      <c r="L702" s="48" t="str">
        <f>IFERROR(__xludf.DUMMYFUNCTION("""COMPUTED_VALUE"""),"%")</f>
        <v>%</v>
      </c>
      <c r="M702" s="49">
        <f>IFERROR(__xludf.DUMMYFUNCTION("""COMPUTED_VALUE"""),1.0)</f>
        <v>1</v>
      </c>
      <c r="N702" s="50"/>
      <c r="O702" s="38"/>
      <c r="P702" s="45" t="str">
        <f>IFERROR(__xludf.DUMMYFUNCTION("""COMPUTED_VALUE"""),"")</f>
        <v/>
      </c>
      <c r="Q702" s="46" t="str">
        <f>IFERROR(__xludf.DUMMYFUNCTION("""COMPUTED_VALUE"""),"AP")</f>
        <v>AP</v>
      </c>
      <c r="R702" s="47" t="str">
        <f>IFERROR(__xludf.DUMMYFUNCTION("""COMPUTED_VALUE"""),"")</f>
        <v/>
      </c>
      <c r="S702" s="48" t="str">
        <f>IFERROR(__xludf.DUMMYFUNCTION("""COMPUTED_VALUE"""),"%")</f>
        <v>%</v>
      </c>
      <c r="T702" s="49">
        <f>IFERROR(__xludf.DUMMYFUNCTION("""COMPUTED_VALUE"""),2.0)</f>
        <v>2</v>
      </c>
      <c r="U702" s="50"/>
      <c r="V702" s="38"/>
      <c r="W702" s="45" t="str">
        <f>IFERROR(__xludf.DUMMYFUNCTION("""COMPUTED_VALUE"""),"")</f>
        <v/>
      </c>
      <c r="X702" s="46" t="str">
        <f>IFERROR(__xludf.DUMMYFUNCTION("""COMPUTED_VALUE"""),"AP")</f>
        <v>AP</v>
      </c>
      <c r="Y702" s="47" t="str">
        <f>IFERROR(__xludf.DUMMYFUNCTION("""COMPUTED_VALUE"""),"")</f>
        <v/>
      </c>
      <c r="Z702" s="48" t="str">
        <f>IFERROR(__xludf.DUMMYFUNCTION("""COMPUTED_VALUE"""),"%")</f>
        <v>%</v>
      </c>
      <c r="AA702" s="49">
        <f>IFERROR(__xludf.DUMMYFUNCTION("""COMPUTED_VALUE"""),3.0)</f>
        <v>3</v>
      </c>
      <c r="AB702" s="50"/>
      <c r="AC702" s="38"/>
      <c r="AD702" s="45" t="str">
        <f>IFERROR(__xludf.DUMMYFUNCTION("""COMPUTED_VALUE"""),"")</f>
        <v/>
      </c>
      <c r="AE702" s="46" t="str">
        <f>IFERROR(__xludf.DUMMYFUNCTION("""COMPUTED_VALUE"""),"AP")</f>
        <v>AP</v>
      </c>
      <c r="AF702" s="47" t="str">
        <f>IFERROR(__xludf.DUMMYFUNCTION("""COMPUTED_VALUE"""),"")</f>
        <v/>
      </c>
      <c r="AG702" s="48" t="str">
        <f>IFERROR(__xludf.DUMMYFUNCTION("""COMPUTED_VALUE"""),"%")</f>
        <v>%</v>
      </c>
      <c r="AH702" s="43"/>
      <c r="AI702" s="44"/>
      <c r="AJ702" s="66"/>
    </row>
    <row r="703" ht="24.75" hidden="1" customHeight="1">
      <c r="A703" s="28">
        <f>IFERROR(__xludf.DUMMYFUNCTION("""COMPUTED_VALUE"""),11.0)</f>
        <v>11</v>
      </c>
      <c r="B703" s="28" t="str">
        <f>IFERROR(__xludf.DUMMYFUNCTION("""COMPUTED_VALUE"""),"A103")</f>
        <v>A103</v>
      </c>
      <c r="C703" s="28"/>
      <c r="D703" s="29"/>
      <c r="E703" s="67"/>
      <c r="F703" s="31"/>
      <c r="G703" s="32"/>
      <c r="H703" s="33" t="str">
        <f>IFERROR(__xludf.DUMMYFUNCTION("""COMPUTED_VALUE""")," ")</f>
        <v> </v>
      </c>
      <c r="I703" s="34"/>
      <c r="J703" s="35" t="str">
        <f>IFERROR(__xludf.DUMMYFUNCTION("""COMPUTED_VALUE"""),"AP")</f>
        <v>AP</v>
      </c>
      <c r="K703" s="34"/>
      <c r="L703" s="35" t="str">
        <f>IFERROR(__xludf.DUMMYFUNCTION("""COMPUTED_VALUE"""),"%")</f>
        <v>%</v>
      </c>
      <c r="M703" s="36">
        <f>IFERROR(__xludf.DUMMYFUNCTION("""COMPUTED_VALUE"""),1.0)</f>
        <v>1</v>
      </c>
      <c r="N703" s="37"/>
      <c r="O703" s="38"/>
      <c r="P703" s="34" t="str">
        <f>IFERROR(__xludf.DUMMYFUNCTION("""COMPUTED_VALUE"""),"")</f>
        <v/>
      </c>
      <c r="Q703" s="35" t="str">
        <f>IFERROR(__xludf.DUMMYFUNCTION("""COMPUTED_VALUE"""),"AP")</f>
        <v>AP</v>
      </c>
      <c r="R703" s="34" t="str">
        <f>IFERROR(__xludf.DUMMYFUNCTION("""COMPUTED_VALUE"""),"")</f>
        <v/>
      </c>
      <c r="S703" s="35" t="str">
        <f>IFERROR(__xludf.DUMMYFUNCTION("""COMPUTED_VALUE"""),"%")</f>
        <v>%</v>
      </c>
      <c r="T703" s="36">
        <f>IFERROR(__xludf.DUMMYFUNCTION("""COMPUTED_VALUE"""),2.0)</f>
        <v>2</v>
      </c>
      <c r="U703" s="37"/>
      <c r="V703" s="38"/>
      <c r="W703" s="34" t="str">
        <f>IFERROR(__xludf.DUMMYFUNCTION("""COMPUTED_VALUE"""),"")</f>
        <v/>
      </c>
      <c r="X703" s="35" t="str">
        <f>IFERROR(__xludf.DUMMYFUNCTION("""COMPUTED_VALUE"""),"AP")</f>
        <v>AP</v>
      </c>
      <c r="Y703" s="34" t="str">
        <f>IFERROR(__xludf.DUMMYFUNCTION("""COMPUTED_VALUE"""),"")</f>
        <v/>
      </c>
      <c r="Z703" s="35" t="str">
        <f>IFERROR(__xludf.DUMMYFUNCTION("""COMPUTED_VALUE"""),"%")</f>
        <v>%</v>
      </c>
      <c r="AA703" s="36">
        <f>IFERROR(__xludf.DUMMYFUNCTION("""COMPUTED_VALUE"""),3.0)</f>
        <v>3</v>
      </c>
      <c r="AB703" s="37"/>
      <c r="AC703" s="38"/>
      <c r="AD703" s="34" t="str">
        <f>IFERROR(__xludf.DUMMYFUNCTION("""COMPUTED_VALUE"""),"")</f>
        <v/>
      </c>
      <c r="AE703" s="35" t="str">
        <f>IFERROR(__xludf.DUMMYFUNCTION("""COMPUTED_VALUE"""),"AP")</f>
        <v>AP</v>
      </c>
      <c r="AF703" s="34" t="str">
        <f>IFERROR(__xludf.DUMMYFUNCTION("""COMPUTED_VALUE"""),"")</f>
        <v/>
      </c>
      <c r="AG703" s="35" t="str">
        <f>IFERROR(__xludf.DUMMYFUNCTION("""COMPUTED_VALUE"""),"%")</f>
        <v>%</v>
      </c>
      <c r="AH703" s="31"/>
      <c r="AI703" s="32"/>
      <c r="AJ703" s="67"/>
    </row>
    <row r="704" ht="24.75" hidden="1" customHeight="1">
      <c r="A704" s="40">
        <f>IFERROR(__xludf.DUMMYFUNCTION("""COMPUTED_VALUE"""),12.0)</f>
        <v>12</v>
      </c>
      <c r="B704" s="40" t="str">
        <f>IFERROR(__xludf.DUMMYFUNCTION("""COMPUTED_VALUE"""),"A103")</f>
        <v>A103</v>
      </c>
      <c r="C704" s="40"/>
      <c r="D704" s="41"/>
      <c r="E704" s="66"/>
      <c r="F704" s="43"/>
      <c r="G704" s="44"/>
      <c r="H704" s="33" t="str">
        <f>IFERROR(__xludf.DUMMYFUNCTION("""COMPUTED_VALUE""")," ")</f>
        <v> </v>
      </c>
      <c r="I704" s="45"/>
      <c r="J704" s="46" t="str">
        <f>IFERROR(__xludf.DUMMYFUNCTION("""COMPUTED_VALUE"""),"AP")</f>
        <v>AP</v>
      </c>
      <c r="K704" s="47"/>
      <c r="L704" s="48" t="str">
        <f>IFERROR(__xludf.DUMMYFUNCTION("""COMPUTED_VALUE"""),"%")</f>
        <v>%</v>
      </c>
      <c r="M704" s="49">
        <f>IFERROR(__xludf.DUMMYFUNCTION("""COMPUTED_VALUE"""),1.0)</f>
        <v>1</v>
      </c>
      <c r="N704" s="50"/>
      <c r="O704" s="38"/>
      <c r="P704" s="45" t="str">
        <f>IFERROR(__xludf.DUMMYFUNCTION("""COMPUTED_VALUE"""),"")</f>
        <v/>
      </c>
      <c r="Q704" s="46" t="str">
        <f>IFERROR(__xludf.DUMMYFUNCTION("""COMPUTED_VALUE"""),"AP")</f>
        <v>AP</v>
      </c>
      <c r="R704" s="47" t="str">
        <f>IFERROR(__xludf.DUMMYFUNCTION("""COMPUTED_VALUE"""),"")</f>
        <v/>
      </c>
      <c r="S704" s="48" t="str">
        <f>IFERROR(__xludf.DUMMYFUNCTION("""COMPUTED_VALUE"""),"%")</f>
        <v>%</v>
      </c>
      <c r="T704" s="49">
        <f>IFERROR(__xludf.DUMMYFUNCTION("""COMPUTED_VALUE"""),2.0)</f>
        <v>2</v>
      </c>
      <c r="U704" s="50"/>
      <c r="V704" s="38"/>
      <c r="W704" s="45" t="str">
        <f>IFERROR(__xludf.DUMMYFUNCTION("""COMPUTED_VALUE"""),"")</f>
        <v/>
      </c>
      <c r="X704" s="46" t="str">
        <f>IFERROR(__xludf.DUMMYFUNCTION("""COMPUTED_VALUE"""),"AP")</f>
        <v>AP</v>
      </c>
      <c r="Y704" s="47" t="str">
        <f>IFERROR(__xludf.DUMMYFUNCTION("""COMPUTED_VALUE"""),"")</f>
        <v/>
      </c>
      <c r="Z704" s="48" t="str">
        <f>IFERROR(__xludf.DUMMYFUNCTION("""COMPUTED_VALUE"""),"%")</f>
        <v>%</v>
      </c>
      <c r="AA704" s="49">
        <f>IFERROR(__xludf.DUMMYFUNCTION("""COMPUTED_VALUE"""),3.0)</f>
        <v>3</v>
      </c>
      <c r="AB704" s="50"/>
      <c r="AC704" s="38"/>
      <c r="AD704" s="45" t="str">
        <f>IFERROR(__xludf.DUMMYFUNCTION("""COMPUTED_VALUE"""),"")</f>
        <v/>
      </c>
      <c r="AE704" s="46" t="str">
        <f>IFERROR(__xludf.DUMMYFUNCTION("""COMPUTED_VALUE"""),"AP")</f>
        <v>AP</v>
      </c>
      <c r="AF704" s="47" t="str">
        <f>IFERROR(__xludf.DUMMYFUNCTION("""COMPUTED_VALUE"""),"")</f>
        <v/>
      </c>
      <c r="AG704" s="48" t="str">
        <f>IFERROR(__xludf.DUMMYFUNCTION("""COMPUTED_VALUE"""),"%")</f>
        <v>%</v>
      </c>
      <c r="AH704" s="43"/>
      <c r="AI704" s="44"/>
      <c r="AJ704" s="66"/>
    </row>
    <row r="705" ht="24.75" hidden="1" customHeight="1">
      <c r="A705" s="28">
        <f>IFERROR(__xludf.DUMMYFUNCTION("""COMPUTED_VALUE"""),13.0)</f>
        <v>13</v>
      </c>
      <c r="B705" s="28" t="str">
        <f>IFERROR(__xludf.DUMMYFUNCTION("""COMPUTED_VALUE"""),"A103")</f>
        <v>A103</v>
      </c>
      <c r="C705" s="28"/>
      <c r="D705" s="29"/>
      <c r="E705" s="67"/>
      <c r="F705" s="31"/>
      <c r="G705" s="32"/>
      <c r="H705" s="33" t="str">
        <f>IFERROR(__xludf.DUMMYFUNCTION("""COMPUTED_VALUE""")," ")</f>
        <v> </v>
      </c>
      <c r="I705" s="34"/>
      <c r="J705" s="35" t="str">
        <f>IFERROR(__xludf.DUMMYFUNCTION("""COMPUTED_VALUE"""),"AP")</f>
        <v>AP</v>
      </c>
      <c r="K705" s="34"/>
      <c r="L705" s="35" t="str">
        <f>IFERROR(__xludf.DUMMYFUNCTION("""COMPUTED_VALUE"""),"%")</f>
        <v>%</v>
      </c>
      <c r="M705" s="36">
        <f>IFERROR(__xludf.DUMMYFUNCTION("""COMPUTED_VALUE"""),1.0)</f>
        <v>1</v>
      </c>
      <c r="N705" s="37"/>
      <c r="O705" s="38"/>
      <c r="P705" s="34" t="str">
        <f>IFERROR(__xludf.DUMMYFUNCTION("""COMPUTED_VALUE"""),"")</f>
        <v/>
      </c>
      <c r="Q705" s="35" t="str">
        <f>IFERROR(__xludf.DUMMYFUNCTION("""COMPUTED_VALUE"""),"AP")</f>
        <v>AP</v>
      </c>
      <c r="R705" s="34" t="str">
        <f>IFERROR(__xludf.DUMMYFUNCTION("""COMPUTED_VALUE"""),"")</f>
        <v/>
      </c>
      <c r="S705" s="35" t="str">
        <f>IFERROR(__xludf.DUMMYFUNCTION("""COMPUTED_VALUE"""),"%")</f>
        <v>%</v>
      </c>
      <c r="T705" s="36">
        <f>IFERROR(__xludf.DUMMYFUNCTION("""COMPUTED_VALUE"""),2.0)</f>
        <v>2</v>
      </c>
      <c r="U705" s="37"/>
      <c r="V705" s="38"/>
      <c r="W705" s="34" t="str">
        <f>IFERROR(__xludf.DUMMYFUNCTION("""COMPUTED_VALUE"""),"")</f>
        <v/>
      </c>
      <c r="X705" s="35" t="str">
        <f>IFERROR(__xludf.DUMMYFUNCTION("""COMPUTED_VALUE"""),"AP")</f>
        <v>AP</v>
      </c>
      <c r="Y705" s="34" t="str">
        <f>IFERROR(__xludf.DUMMYFUNCTION("""COMPUTED_VALUE"""),"")</f>
        <v/>
      </c>
      <c r="Z705" s="35" t="str">
        <f>IFERROR(__xludf.DUMMYFUNCTION("""COMPUTED_VALUE"""),"%")</f>
        <v>%</v>
      </c>
      <c r="AA705" s="36">
        <f>IFERROR(__xludf.DUMMYFUNCTION("""COMPUTED_VALUE"""),3.0)</f>
        <v>3</v>
      </c>
      <c r="AB705" s="37"/>
      <c r="AC705" s="38"/>
      <c r="AD705" s="34" t="str">
        <f>IFERROR(__xludf.DUMMYFUNCTION("""COMPUTED_VALUE"""),"")</f>
        <v/>
      </c>
      <c r="AE705" s="35" t="str">
        <f>IFERROR(__xludf.DUMMYFUNCTION("""COMPUTED_VALUE"""),"AP")</f>
        <v>AP</v>
      </c>
      <c r="AF705" s="34" t="str">
        <f>IFERROR(__xludf.DUMMYFUNCTION("""COMPUTED_VALUE"""),"")</f>
        <v/>
      </c>
      <c r="AG705" s="35" t="str">
        <f>IFERROR(__xludf.DUMMYFUNCTION("""COMPUTED_VALUE"""),"%")</f>
        <v>%</v>
      </c>
      <c r="AH705" s="31"/>
      <c r="AI705" s="32"/>
      <c r="AJ705" s="67"/>
    </row>
    <row r="706" ht="24.75" hidden="1" customHeight="1">
      <c r="A706" s="40">
        <f>IFERROR(__xludf.DUMMYFUNCTION("""COMPUTED_VALUE"""),14.0)</f>
        <v>14</v>
      </c>
      <c r="B706" s="40" t="str">
        <f>IFERROR(__xludf.DUMMYFUNCTION("""COMPUTED_VALUE"""),"A103")</f>
        <v>A103</v>
      </c>
      <c r="C706" s="40"/>
      <c r="D706" s="41"/>
      <c r="E706" s="66"/>
      <c r="F706" s="43"/>
      <c r="G706" s="44"/>
      <c r="H706" s="33" t="str">
        <f>IFERROR(__xludf.DUMMYFUNCTION("""COMPUTED_VALUE""")," ")</f>
        <v> </v>
      </c>
      <c r="I706" s="45"/>
      <c r="J706" s="46" t="str">
        <f>IFERROR(__xludf.DUMMYFUNCTION("""COMPUTED_VALUE"""),"AP")</f>
        <v>AP</v>
      </c>
      <c r="K706" s="47"/>
      <c r="L706" s="48" t="str">
        <f>IFERROR(__xludf.DUMMYFUNCTION("""COMPUTED_VALUE"""),"%")</f>
        <v>%</v>
      </c>
      <c r="M706" s="49">
        <f>IFERROR(__xludf.DUMMYFUNCTION("""COMPUTED_VALUE"""),1.0)</f>
        <v>1</v>
      </c>
      <c r="N706" s="50"/>
      <c r="O706" s="38"/>
      <c r="P706" s="45" t="str">
        <f>IFERROR(__xludf.DUMMYFUNCTION("""COMPUTED_VALUE"""),"")</f>
        <v/>
      </c>
      <c r="Q706" s="46" t="str">
        <f>IFERROR(__xludf.DUMMYFUNCTION("""COMPUTED_VALUE"""),"AP")</f>
        <v>AP</v>
      </c>
      <c r="R706" s="47" t="str">
        <f>IFERROR(__xludf.DUMMYFUNCTION("""COMPUTED_VALUE"""),"")</f>
        <v/>
      </c>
      <c r="S706" s="48" t="str">
        <f>IFERROR(__xludf.DUMMYFUNCTION("""COMPUTED_VALUE"""),"%")</f>
        <v>%</v>
      </c>
      <c r="T706" s="49">
        <f>IFERROR(__xludf.DUMMYFUNCTION("""COMPUTED_VALUE"""),2.0)</f>
        <v>2</v>
      </c>
      <c r="U706" s="50"/>
      <c r="V706" s="38"/>
      <c r="W706" s="45" t="str">
        <f>IFERROR(__xludf.DUMMYFUNCTION("""COMPUTED_VALUE"""),"")</f>
        <v/>
      </c>
      <c r="X706" s="46" t="str">
        <f>IFERROR(__xludf.DUMMYFUNCTION("""COMPUTED_VALUE"""),"AP")</f>
        <v>AP</v>
      </c>
      <c r="Y706" s="47" t="str">
        <f>IFERROR(__xludf.DUMMYFUNCTION("""COMPUTED_VALUE"""),"")</f>
        <v/>
      </c>
      <c r="Z706" s="48" t="str">
        <f>IFERROR(__xludf.DUMMYFUNCTION("""COMPUTED_VALUE"""),"%")</f>
        <v>%</v>
      </c>
      <c r="AA706" s="49">
        <f>IFERROR(__xludf.DUMMYFUNCTION("""COMPUTED_VALUE"""),3.0)</f>
        <v>3</v>
      </c>
      <c r="AB706" s="50"/>
      <c r="AC706" s="38"/>
      <c r="AD706" s="45" t="str">
        <f>IFERROR(__xludf.DUMMYFUNCTION("""COMPUTED_VALUE"""),"")</f>
        <v/>
      </c>
      <c r="AE706" s="46" t="str">
        <f>IFERROR(__xludf.DUMMYFUNCTION("""COMPUTED_VALUE"""),"AP")</f>
        <v>AP</v>
      </c>
      <c r="AF706" s="47" t="str">
        <f>IFERROR(__xludf.DUMMYFUNCTION("""COMPUTED_VALUE"""),"")</f>
        <v/>
      </c>
      <c r="AG706" s="48" t="str">
        <f>IFERROR(__xludf.DUMMYFUNCTION("""COMPUTED_VALUE"""),"%")</f>
        <v>%</v>
      </c>
      <c r="AH706" s="43"/>
      <c r="AI706" s="44"/>
      <c r="AJ706" s="66"/>
    </row>
    <row r="707" ht="24.75" hidden="1" customHeight="1">
      <c r="A707" s="28">
        <f>IFERROR(__xludf.DUMMYFUNCTION("""COMPUTED_VALUE"""),15.0)</f>
        <v>15</v>
      </c>
      <c r="B707" s="28" t="str">
        <f>IFERROR(__xludf.DUMMYFUNCTION("""COMPUTED_VALUE"""),"A103")</f>
        <v>A103</v>
      </c>
      <c r="C707" s="28"/>
      <c r="D707" s="29"/>
      <c r="E707" s="67"/>
      <c r="F707" s="31"/>
      <c r="G707" s="32"/>
      <c r="H707" s="33" t="str">
        <f>IFERROR(__xludf.DUMMYFUNCTION("""COMPUTED_VALUE""")," ")</f>
        <v> </v>
      </c>
      <c r="I707" s="34"/>
      <c r="J707" s="35" t="str">
        <f>IFERROR(__xludf.DUMMYFUNCTION("""COMPUTED_VALUE"""),"AP")</f>
        <v>AP</v>
      </c>
      <c r="K707" s="34"/>
      <c r="L707" s="35" t="str">
        <f>IFERROR(__xludf.DUMMYFUNCTION("""COMPUTED_VALUE"""),"%")</f>
        <v>%</v>
      </c>
      <c r="M707" s="36">
        <f>IFERROR(__xludf.DUMMYFUNCTION("""COMPUTED_VALUE"""),1.0)</f>
        <v>1</v>
      </c>
      <c r="N707" s="37"/>
      <c r="O707" s="38"/>
      <c r="P707" s="34" t="str">
        <f>IFERROR(__xludf.DUMMYFUNCTION("""COMPUTED_VALUE"""),"")</f>
        <v/>
      </c>
      <c r="Q707" s="35" t="str">
        <f>IFERROR(__xludf.DUMMYFUNCTION("""COMPUTED_VALUE"""),"AP")</f>
        <v>AP</v>
      </c>
      <c r="R707" s="34" t="str">
        <f>IFERROR(__xludf.DUMMYFUNCTION("""COMPUTED_VALUE"""),"")</f>
        <v/>
      </c>
      <c r="S707" s="35" t="str">
        <f>IFERROR(__xludf.DUMMYFUNCTION("""COMPUTED_VALUE"""),"%")</f>
        <v>%</v>
      </c>
      <c r="T707" s="36">
        <f>IFERROR(__xludf.DUMMYFUNCTION("""COMPUTED_VALUE"""),2.0)</f>
        <v>2</v>
      </c>
      <c r="U707" s="37"/>
      <c r="V707" s="38"/>
      <c r="W707" s="34" t="str">
        <f>IFERROR(__xludf.DUMMYFUNCTION("""COMPUTED_VALUE"""),"")</f>
        <v/>
      </c>
      <c r="X707" s="35" t="str">
        <f>IFERROR(__xludf.DUMMYFUNCTION("""COMPUTED_VALUE"""),"AP")</f>
        <v>AP</v>
      </c>
      <c r="Y707" s="34" t="str">
        <f>IFERROR(__xludf.DUMMYFUNCTION("""COMPUTED_VALUE"""),"")</f>
        <v/>
      </c>
      <c r="Z707" s="35" t="str">
        <f>IFERROR(__xludf.DUMMYFUNCTION("""COMPUTED_VALUE"""),"%")</f>
        <v>%</v>
      </c>
      <c r="AA707" s="36">
        <f>IFERROR(__xludf.DUMMYFUNCTION("""COMPUTED_VALUE"""),3.0)</f>
        <v>3</v>
      </c>
      <c r="AB707" s="37"/>
      <c r="AC707" s="38"/>
      <c r="AD707" s="34" t="str">
        <f>IFERROR(__xludf.DUMMYFUNCTION("""COMPUTED_VALUE"""),"")</f>
        <v/>
      </c>
      <c r="AE707" s="35" t="str">
        <f>IFERROR(__xludf.DUMMYFUNCTION("""COMPUTED_VALUE"""),"AP")</f>
        <v>AP</v>
      </c>
      <c r="AF707" s="34" t="str">
        <f>IFERROR(__xludf.DUMMYFUNCTION("""COMPUTED_VALUE"""),"")</f>
        <v/>
      </c>
      <c r="AG707" s="35" t="str">
        <f>IFERROR(__xludf.DUMMYFUNCTION("""COMPUTED_VALUE"""),"%")</f>
        <v>%</v>
      </c>
      <c r="AH707" s="31"/>
      <c r="AI707" s="32"/>
      <c r="AJ707" s="67"/>
    </row>
    <row r="708" ht="24.75" hidden="1" customHeight="1">
      <c r="A708" s="40">
        <f>IFERROR(__xludf.DUMMYFUNCTION("""COMPUTED_VALUE"""),16.0)</f>
        <v>16</v>
      </c>
      <c r="B708" s="40" t="str">
        <f>IFERROR(__xludf.DUMMYFUNCTION("""COMPUTED_VALUE"""),"A103")</f>
        <v>A103</v>
      </c>
      <c r="C708" s="40"/>
      <c r="D708" s="41"/>
      <c r="E708" s="66"/>
      <c r="F708" s="43"/>
      <c r="G708" s="44"/>
      <c r="H708" s="33" t="str">
        <f>IFERROR(__xludf.DUMMYFUNCTION("""COMPUTED_VALUE""")," ")</f>
        <v> </v>
      </c>
      <c r="I708" s="45"/>
      <c r="J708" s="46" t="str">
        <f>IFERROR(__xludf.DUMMYFUNCTION("""COMPUTED_VALUE"""),"AP")</f>
        <v>AP</v>
      </c>
      <c r="K708" s="47"/>
      <c r="L708" s="48" t="str">
        <f>IFERROR(__xludf.DUMMYFUNCTION("""COMPUTED_VALUE"""),"%")</f>
        <v>%</v>
      </c>
      <c r="M708" s="49">
        <f>IFERROR(__xludf.DUMMYFUNCTION("""COMPUTED_VALUE"""),1.0)</f>
        <v>1</v>
      </c>
      <c r="N708" s="50"/>
      <c r="O708" s="38"/>
      <c r="P708" s="45" t="str">
        <f>IFERROR(__xludf.DUMMYFUNCTION("""COMPUTED_VALUE"""),"")</f>
        <v/>
      </c>
      <c r="Q708" s="46" t="str">
        <f>IFERROR(__xludf.DUMMYFUNCTION("""COMPUTED_VALUE"""),"AP")</f>
        <v>AP</v>
      </c>
      <c r="R708" s="47" t="str">
        <f>IFERROR(__xludf.DUMMYFUNCTION("""COMPUTED_VALUE"""),"")</f>
        <v/>
      </c>
      <c r="S708" s="48" t="str">
        <f>IFERROR(__xludf.DUMMYFUNCTION("""COMPUTED_VALUE"""),"%")</f>
        <v>%</v>
      </c>
      <c r="T708" s="49">
        <f>IFERROR(__xludf.DUMMYFUNCTION("""COMPUTED_VALUE"""),2.0)</f>
        <v>2</v>
      </c>
      <c r="U708" s="50"/>
      <c r="V708" s="38"/>
      <c r="W708" s="45" t="str">
        <f>IFERROR(__xludf.DUMMYFUNCTION("""COMPUTED_VALUE"""),"")</f>
        <v/>
      </c>
      <c r="X708" s="46" t="str">
        <f>IFERROR(__xludf.DUMMYFUNCTION("""COMPUTED_VALUE"""),"AP")</f>
        <v>AP</v>
      </c>
      <c r="Y708" s="47" t="str">
        <f>IFERROR(__xludf.DUMMYFUNCTION("""COMPUTED_VALUE"""),"")</f>
        <v/>
      </c>
      <c r="Z708" s="48" t="str">
        <f>IFERROR(__xludf.DUMMYFUNCTION("""COMPUTED_VALUE"""),"%")</f>
        <v>%</v>
      </c>
      <c r="AA708" s="49">
        <f>IFERROR(__xludf.DUMMYFUNCTION("""COMPUTED_VALUE"""),3.0)</f>
        <v>3</v>
      </c>
      <c r="AB708" s="50"/>
      <c r="AC708" s="38"/>
      <c r="AD708" s="45" t="str">
        <f>IFERROR(__xludf.DUMMYFUNCTION("""COMPUTED_VALUE"""),"")</f>
        <v/>
      </c>
      <c r="AE708" s="46" t="str">
        <f>IFERROR(__xludf.DUMMYFUNCTION("""COMPUTED_VALUE"""),"AP")</f>
        <v>AP</v>
      </c>
      <c r="AF708" s="47" t="str">
        <f>IFERROR(__xludf.DUMMYFUNCTION("""COMPUTED_VALUE"""),"")</f>
        <v/>
      </c>
      <c r="AG708" s="48" t="str">
        <f>IFERROR(__xludf.DUMMYFUNCTION("""COMPUTED_VALUE"""),"%")</f>
        <v>%</v>
      </c>
      <c r="AH708" s="43"/>
      <c r="AI708" s="44"/>
      <c r="AJ708" s="66"/>
    </row>
    <row r="709" ht="24.75" hidden="1" customHeight="1">
      <c r="A709" s="28">
        <f>IFERROR(__xludf.DUMMYFUNCTION("""COMPUTED_VALUE"""),17.0)</f>
        <v>17</v>
      </c>
      <c r="B709" s="28" t="str">
        <f>IFERROR(__xludf.DUMMYFUNCTION("""COMPUTED_VALUE"""),"A103")</f>
        <v>A103</v>
      </c>
      <c r="C709" s="28"/>
      <c r="D709" s="29"/>
      <c r="E709" s="67"/>
      <c r="F709" s="31"/>
      <c r="G709" s="32"/>
      <c r="H709" s="33" t="str">
        <f>IFERROR(__xludf.DUMMYFUNCTION("""COMPUTED_VALUE""")," ")</f>
        <v> </v>
      </c>
      <c r="I709" s="34"/>
      <c r="J709" s="35" t="str">
        <f>IFERROR(__xludf.DUMMYFUNCTION("""COMPUTED_VALUE"""),"AP")</f>
        <v>AP</v>
      </c>
      <c r="K709" s="34"/>
      <c r="L709" s="35" t="str">
        <f>IFERROR(__xludf.DUMMYFUNCTION("""COMPUTED_VALUE"""),"%")</f>
        <v>%</v>
      </c>
      <c r="M709" s="36">
        <f>IFERROR(__xludf.DUMMYFUNCTION("""COMPUTED_VALUE"""),1.0)</f>
        <v>1</v>
      </c>
      <c r="N709" s="37"/>
      <c r="O709" s="38"/>
      <c r="P709" s="34" t="str">
        <f>IFERROR(__xludf.DUMMYFUNCTION("""COMPUTED_VALUE"""),"")</f>
        <v/>
      </c>
      <c r="Q709" s="35" t="str">
        <f>IFERROR(__xludf.DUMMYFUNCTION("""COMPUTED_VALUE"""),"AP")</f>
        <v>AP</v>
      </c>
      <c r="R709" s="34" t="str">
        <f>IFERROR(__xludf.DUMMYFUNCTION("""COMPUTED_VALUE"""),"")</f>
        <v/>
      </c>
      <c r="S709" s="35" t="str">
        <f>IFERROR(__xludf.DUMMYFUNCTION("""COMPUTED_VALUE"""),"%")</f>
        <v>%</v>
      </c>
      <c r="T709" s="36">
        <f>IFERROR(__xludf.DUMMYFUNCTION("""COMPUTED_VALUE"""),2.0)</f>
        <v>2</v>
      </c>
      <c r="U709" s="37"/>
      <c r="V709" s="38"/>
      <c r="W709" s="34" t="str">
        <f>IFERROR(__xludf.DUMMYFUNCTION("""COMPUTED_VALUE"""),"")</f>
        <v/>
      </c>
      <c r="X709" s="35" t="str">
        <f>IFERROR(__xludf.DUMMYFUNCTION("""COMPUTED_VALUE"""),"AP")</f>
        <v>AP</v>
      </c>
      <c r="Y709" s="34" t="str">
        <f>IFERROR(__xludf.DUMMYFUNCTION("""COMPUTED_VALUE"""),"")</f>
        <v/>
      </c>
      <c r="Z709" s="35" t="str">
        <f>IFERROR(__xludf.DUMMYFUNCTION("""COMPUTED_VALUE"""),"%")</f>
        <v>%</v>
      </c>
      <c r="AA709" s="36">
        <f>IFERROR(__xludf.DUMMYFUNCTION("""COMPUTED_VALUE"""),3.0)</f>
        <v>3</v>
      </c>
      <c r="AB709" s="37"/>
      <c r="AC709" s="38"/>
      <c r="AD709" s="34" t="str">
        <f>IFERROR(__xludf.DUMMYFUNCTION("""COMPUTED_VALUE"""),"")</f>
        <v/>
      </c>
      <c r="AE709" s="35" t="str">
        <f>IFERROR(__xludf.DUMMYFUNCTION("""COMPUTED_VALUE"""),"AP")</f>
        <v>AP</v>
      </c>
      <c r="AF709" s="34" t="str">
        <f>IFERROR(__xludf.DUMMYFUNCTION("""COMPUTED_VALUE"""),"")</f>
        <v/>
      </c>
      <c r="AG709" s="35" t="str">
        <f>IFERROR(__xludf.DUMMYFUNCTION("""COMPUTED_VALUE"""),"%")</f>
        <v>%</v>
      </c>
      <c r="AH709" s="31"/>
      <c r="AI709" s="32"/>
      <c r="AJ709" s="67"/>
    </row>
    <row r="710" ht="24.75" hidden="1" customHeight="1">
      <c r="A710" s="40">
        <f>IFERROR(__xludf.DUMMYFUNCTION("""COMPUTED_VALUE"""),18.0)</f>
        <v>18</v>
      </c>
      <c r="B710" s="40" t="str">
        <f>IFERROR(__xludf.DUMMYFUNCTION("""COMPUTED_VALUE"""),"A103")</f>
        <v>A103</v>
      </c>
      <c r="C710" s="40"/>
      <c r="D710" s="41"/>
      <c r="E710" s="66"/>
      <c r="F710" s="43"/>
      <c r="G710" s="44"/>
      <c r="H710" s="33" t="str">
        <f>IFERROR(__xludf.DUMMYFUNCTION("""COMPUTED_VALUE""")," ")</f>
        <v> </v>
      </c>
      <c r="I710" s="45"/>
      <c r="J710" s="46" t="str">
        <f>IFERROR(__xludf.DUMMYFUNCTION("""COMPUTED_VALUE"""),"AP")</f>
        <v>AP</v>
      </c>
      <c r="K710" s="47"/>
      <c r="L710" s="48" t="str">
        <f>IFERROR(__xludf.DUMMYFUNCTION("""COMPUTED_VALUE"""),"%")</f>
        <v>%</v>
      </c>
      <c r="M710" s="49">
        <f>IFERROR(__xludf.DUMMYFUNCTION("""COMPUTED_VALUE"""),1.0)</f>
        <v>1</v>
      </c>
      <c r="N710" s="50"/>
      <c r="O710" s="38"/>
      <c r="P710" s="45" t="str">
        <f>IFERROR(__xludf.DUMMYFUNCTION("""COMPUTED_VALUE"""),"")</f>
        <v/>
      </c>
      <c r="Q710" s="46" t="str">
        <f>IFERROR(__xludf.DUMMYFUNCTION("""COMPUTED_VALUE"""),"AP")</f>
        <v>AP</v>
      </c>
      <c r="R710" s="47" t="str">
        <f>IFERROR(__xludf.DUMMYFUNCTION("""COMPUTED_VALUE"""),"")</f>
        <v/>
      </c>
      <c r="S710" s="48" t="str">
        <f>IFERROR(__xludf.DUMMYFUNCTION("""COMPUTED_VALUE"""),"%")</f>
        <v>%</v>
      </c>
      <c r="T710" s="49">
        <f>IFERROR(__xludf.DUMMYFUNCTION("""COMPUTED_VALUE"""),2.0)</f>
        <v>2</v>
      </c>
      <c r="U710" s="50"/>
      <c r="V710" s="38"/>
      <c r="W710" s="45" t="str">
        <f>IFERROR(__xludf.DUMMYFUNCTION("""COMPUTED_VALUE"""),"")</f>
        <v/>
      </c>
      <c r="X710" s="46" t="str">
        <f>IFERROR(__xludf.DUMMYFUNCTION("""COMPUTED_VALUE"""),"AP")</f>
        <v>AP</v>
      </c>
      <c r="Y710" s="47" t="str">
        <f>IFERROR(__xludf.DUMMYFUNCTION("""COMPUTED_VALUE"""),"")</f>
        <v/>
      </c>
      <c r="Z710" s="48" t="str">
        <f>IFERROR(__xludf.DUMMYFUNCTION("""COMPUTED_VALUE"""),"%")</f>
        <v>%</v>
      </c>
      <c r="AA710" s="49">
        <f>IFERROR(__xludf.DUMMYFUNCTION("""COMPUTED_VALUE"""),3.0)</f>
        <v>3</v>
      </c>
      <c r="AB710" s="50"/>
      <c r="AC710" s="38"/>
      <c r="AD710" s="45" t="str">
        <f>IFERROR(__xludf.DUMMYFUNCTION("""COMPUTED_VALUE"""),"")</f>
        <v/>
      </c>
      <c r="AE710" s="46" t="str">
        <f>IFERROR(__xludf.DUMMYFUNCTION("""COMPUTED_VALUE"""),"AP")</f>
        <v>AP</v>
      </c>
      <c r="AF710" s="47" t="str">
        <f>IFERROR(__xludf.DUMMYFUNCTION("""COMPUTED_VALUE"""),"")</f>
        <v/>
      </c>
      <c r="AG710" s="48" t="str">
        <f>IFERROR(__xludf.DUMMYFUNCTION("""COMPUTED_VALUE"""),"%")</f>
        <v>%</v>
      </c>
      <c r="AH710" s="43"/>
      <c r="AI710" s="44"/>
      <c r="AJ710" s="66"/>
    </row>
    <row r="711" ht="24.75" hidden="1" customHeight="1">
      <c r="A711" s="28">
        <f>IFERROR(__xludf.DUMMYFUNCTION("""COMPUTED_VALUE"""),19.0)</f>
        <v>19</v>
      </c>
      <c r="B711" s="28" t="str">
        <f>IFERROR(__xludf.DUMMYFUNCTION("""COMPUTED_VALUE"""),"A103")</f>
        <v>A103</v>
      </c>
      <c r="C711" s="28"/>
      <c r="D711" s="29"/>
      <c r="E711" s="67"/>
      <c r="F711" s="31"/>
      <c r="G711" s="32"/>
      <c r="H711" s="33" t="str">
        <f>IFERROR(__xludf.DUMMYFUNCTION("""COMPUTED_VALUE""")," ")</f>
        <v> </v>
      </c>
      <c r="I711" s="34"/>
      <c r="J711" s="35" t="str">
        <f>IFERROR(__xludf.DUMMYFUNCTION("""COMPUTED_VALUE"""),"AP")</f>
        <v>AP</v>
      </c>
      <c r="K711" s="34"/>
      <c r="L711" s="35" t="str">
        <f>IFERROR(__xludf.DUMMYFUNCTION("""COMPUTED_VALUE"""),"%")</f>
        <v>%</v>
      </c>
      <c r="M711" s="36">
        <f>IFERROR(__xludf.DUMMYFUNCTION("""COMPUTED_VALUE"""),1.0)</f>
        <v>1</v>
      </c>
      <c r="N711" s="37"/>
      <c r="O711" s="38"/>
      <c r="P711" s="34" t="str">
        <f>IFERROR(__xludf.DUMMYFUNCTION("""COMPUTED_VALUE"""),"")</f>
        <v/>
      </c>
      <c r="Q711" s="35" t="str">
        <f>IFERROR(__xludf.DUMMYFUNCTION("""COMPUTED_VALUE"""),"AP")</f>
        <v>AP</v>
      </c>
      <c r="R711" s="34" t="str">
        <f>IFERROR(__xludf.DUMMYFUNCTION("""COMPUTED_VALUE"""),"")</f>
        <v/>
      </c>
      <c r="S711" s="35" t="str">
        <f>IFERROR(__xludf.DUMMYFUNCTION("""COMPUTED_VALUE"""),"%")</f>
        <v>%</v>
      </c>
      <c r="T711" s="36">
        <f>IFERROR(__xludf.DUMMYFUNCTION("""COMPUTED_VALUE"""),2.0)</f>
        <v>2</v>
      </c>
      <c r="U711" s="37"/>
      <c r="V711" s="38"/>
      <c r="W711" s="34" t="str">
        <f>IFERROR(__xludf.DUMMYFUNCTION("""COMPUTED_VALUE"""),"")</f>
        <v/>
      </c>
      <c r="X711" s="35" t="str">
        <f>IFERROR(__xludf.DUMMYFUNCTION("""COMPUTED_VALUE"""),"AP")</f>
        <v>AP</v>
      </c>
      <c r="Y711" s="34" t="str">
        <f>IFERROR(__xludf.DUMMYFUNCTION("""COMPUTED_VALUE"""),"")</f>
        <v/>
      </c>
      <c r="Z711" s="35" t="str">
        <f>IFERROR(__xludf.DUMMYFUNCTION("""COMPUTED_VALUE"""),"%")</f>
        <v>%</v>
      </c>
      <c r="AA711" s="36">
        <f>IFERROR(__xludf.DUMMYFUNCTION("""COMPUTED_VALUE"""),3.0)</f>
        <v>3</v>
      </c>
      <c r="AB711" s="37"/>
      <c r="AC711" s="38"/>
      <c r="AD711" s="34" t="str">
        <f>IFERROR(__xludf.DUMMYFUNCTION("""COMPUTED_VALUE"""),"")</f>
        <v/>
      </c>
      <c r="AE711" s="35" t="str">
        <f>IFERROR(__xludf.DUMMYFUNCTION("""COMPUTED_VALUE"""),"AP")</f>
        <v>AP</v>
      </c>
      <c r="AF711" s="34" t="str">
        <f>IFERROR(__xludf.DUMMYFUNCTION("""COMPUTED_VALUE"""),"")</f>
        <v/>
      </c>
      <c r="AG711" s="35" t="str">
        <f>IFERROR(__xludf.DUMMYFUNCTION("""COMPUTED_VALUE"""),"%")</f>
        <v>%</v>
      </c>
      <c r="AH711" s="31"/>
      <c r="AI711" s="32"/>
      <c r="AJ711" s="67"/>
    </row>
    <row r="712" ht="24.75" hidden="1" customHeight="1">
      <c r="A712" s="40">
        <f>IFERROR(__xludf.DUMMYFUNCTION("""COMPUTED_VALUE"""),20.0)</f>
        <v>20</v>
      </c>
      <c r="B712" s="40" t="str">
        <f>IFERROR(__xludf.DUMMYFUNCTION("""COMPUTED_VALUE"""),"A103")</f>
        <v>A103</v>
      </c>
      <c r="C712" s="40"/>
      <c r="D712" s="41"/>
      <c r="E712" s="66"/>
      <c r="F712" s="43"/>
      <c r="G712" s="44"/>
      <c r="H712" s="33" t="str">
        <f>IFERROR(__xludf.DUMMYFUNCTION("""COMPUTED_VALUE""")," ")</f>
        <v> </v>
      </c>
      <c r="I712" s="45"/>
      <c r="J712" s="46" t="str">
        <f>IFERROR(__xludf.DUMMYFUNCTION("""COMPUTED_VALUE"""),"AP")</f>
        <v>AP</v>
      </c>
      <c r="K712" s="47"/>
      <c r="L712" s="48" t="str">
        <f>IFERROR(__xludf.DUMMYFUNCTION("""COMPUTED_VALUE"""),"%")</f>
        <v>%</v>
      </c>
      <c r="M712" s="49">
        <f>IFERROR(__xludf.DUMMYFUNCTION("""COMPUTED_VALUE"""),1.0)</f>
        <v>1</v>
      </c>
      <c r="N712" s="50"/>
      <c r="O712" s="38"/>
      <c r="P712" s="45" t="str">
        <f>IFERROR(__xludf.DUMMYFUNCTION("""COMPUTED_VALUE"""),"")</f>
        <v/>
      </c>
      <c r="Q712" s="46" t="str">
        <f>IFERROR(__xludf.DUMMYFUNCTION("""COMPUTED_VALUE"""),"AP")</f>
        <v>AP</v>
      </c>
      <c r="R712" s="47" t="str">
        <f>IFERROR(__xludf.DUMMYFUNCTION("""COMPUTED_VALUE"""),"")</f>
        <v/>
      </c>
      <c r="S712" s="48" t="str">
        <f>IFERROR(__xludf.DUMMYFUNCTION("""COMPUTED_VALUE"""),"%")</f>
        <v>%</v>
      </c>
      <c r="T712" s="49">
        <f>IFERROR(__xludf.DUMMYFUNCTION("""COMPUTED_VALUE"""),2.0)</f>
        <v>2</v>
      </c>
      <c r="U712" s="50"/>
      <c r="V712" s="38"/>
      <c r="W712" s="45" t="str">
        <f>IFERROR(__xludf.DUMMYFUNCTION("""COMPUTED_VALUE"""),"")</f>
        <v/>
      </c>
      <c r="X712" s="46" t="str">
        <f>IFERROR(__xludf.DUMMYFUNCTION("""COMPUTED_VALUE"""),"AP")</f>
        <v>AP</v>
      </c>
      <c r="Y712" s="47" t="str">
        <f>IFERROR(__xludf.DUMMYFUNCTION("""COMPUTED_VALUE"""),"")</f>
        <v/>
      </c>
      <c r="Z712" s="48" t="str">
        <f>IFERROR(__xludf.DUMMYFUNCTION("""COMPUTED_VALUE"""),"%")</f>
        <v>%</v>
      </c>
      <c r="AA712" s="49">
        <f>IFERROR(__xludf.DUMMYFUNCTION("""COMPUTED_VALUE"""),3.0)</f>
        <v>3</v>
      </c>
      <c r="AB712" s="50"/>
      <c r="AC712" s="38"/>
      <c r="AD712" s="45" t="str">
        <f>IFERROR(__xludf.DUMMYFUNCTION("""COMPUTED_VALUE"""),"")</f>
        <v/>
      </c>
      <c r="AE712" s="46" t="str">
        <f>IFERROR(__xludf.DUMMYFUNCTION("""COMPUTED_VALUE"""),"AP")</f>
        <v>AP</v>
      </c>
      <c r="AF712" s="47" t="str">
        <f>IFERROR(__xludf.DUMMYFUNCTION("""COMPUTED_VALUE"""),"")</f>
        <v/>
      </c>
      <c r="AG712" s="48" t="str">
        <f>IFERROR(__xludf.DUMMYFUNCTION("""COMPUTED_VALUE"""),"%")</f>
        <v>%</v>
      </c>
      <c r="AH712" s="43"/>
      <c r="AI712" s="44"/>
      <c r="AJ712" s="66"/>
    </row>
    <row r="713">
      <c r="A713" s="52"/>
      <c r="B713" s="53"/>
      <c r="C713" s="54"/>
      <c r="D713" s="56"/>
      <c r="E713" s="56"/>
      <c r="F713" s="53"/>
      <c r="G713" s="53"/>
      <c r="H713" s="53"/>
      <c r="I713" s="53"/>
      <c r="J713" s="57"/>
      <c r="K713" s="53"/>
      <c r="L713" s="57"/>
      <c r="M713" s="53"/>
      <c r="N713" s="53"/>
      <c r="O713" s="53"/>
      <c r="P713" s="53"/>
      <c r="Q713" s="57"/>
      <c r="R713" s="53"/>
      <c r="S713" s="57"/>
      <c r="T713" s="53"/>
      <c r="U713" s="53"/>
      <c r="V713" s="53"/>
      <c r="W713" s="53"/>
      <c r="X713" s="57"/>
      <c r="Y713" s="53"/>
      <c r="Z713" s="57"/>
      <c r="AA713" s="53"/>
      <c r="AB713" s="53"/>
      <c r="AC713" s="53"/>
      <c r="AD713" s="53"/>
      <c r="AE713" s="57"/>
      <c r="AF713" s="53"/>
      <c r="AG713" s="57"/>
      <c r="AH713" s="53"/>
      <c r="AI713" s="53"/>
      <c r="AJ713" s="56"/>
    </row>
    <row r="714">
      <c r="A714" s="59"/>
      <c r="B714" s="60"/>
      <c r="C714" s="61"/>
      <c r="D714" s="63"/>
      <c r="E714" s="63"/>
      <c r="F714" s="60"/>
      <c r="G714" s="60"/>
      <c r="H714" s="60"/>
      <c r="I714" s="60"/>
      <c r="J714" s="64"/>
      <c r="K714" s="60"/>
      <c r="L714" s="64"/>
      <c r="M714" s="60"/>
      <c r="N714" s="60"/>
      <c r="O714" s="60"/>
      <c r="P714" s="60"/>
      <c r="Q714" s="64"/>
      <c r="R714" s="60"/>
      <c r="S714" s="64"/>
      <c r="T714" s="60"/>
      <c r="U714" s="60"/>
      <c r="V714" s="60"/>
      <c r="W714" s="60"/>
      <c r="X714" s="64"/>
      <c r="Y714" s="60"/>
      <c r="Z714" s="64"/>
      <c r="AA714" s="60"/>
      <c r="AB714" s="60"/>
      <c r="AC714" s="60"/>
      <c r="AD714" s="60"/>
      <c r="AE714" s="64"/>
      <c r="AF714" s="60"/>
      <c r="AG714" s="64"/>
      <c r="AH714" s="60"/>
      <c r="AI714" s="60"/>
      <c r="AJ714" s="63"/>
    </row>
    <row r="715" ht="33.0" customHeight="1">
      <c r="A715" s="20" t="str">
        <f>IFERROR(__xludf.DUMMYFUNCTION("""COMPUTED_VALUE""")," ")</f>
        <v> </v>
      </c>
      <c r="B715" s="21" t="str">
        <f>IFERROR(__xludf.DUMMYFUNCTION("""COMPUTED_VALUE"""),"A104")</f>
        <v>A104</v>
      </c>
      <c r="C715" s="20"/>
      <c r="D715" s="257" t="str">
        <f>IFERROR(__xludf.DUMMYFUNCTION("""COMPUTED_VALUE"""),"")</f>
        <v/>
      </c>
      <c r="E715" s="23" t="str">
        <f>IFERROR(__xludf.DUMMYFUNCTION("""COMPUTED_VALUE"""),"Spirit Root")</f>
        <v>Spirit Root</v>
      </c>
      <c r="F715" s="24"/>
      <c r="G715" s="24"/>
      <c r="H715" s="25"/>
      <c r="I715" s="25"/>
      <c r="J715" s="26"/>
      <c r="K715" s="25"/>
      <c r="L715" s="26"/>
      <c r="M715" s="25"/>
      <c r="N715" s="25"/>
      <c r="O715" s="25"/>
      <c r="P715" s="25"/>
      <c r="Q715" s="26"/>
      <c r="R715" s="25"/>
      <c r="S715" s="26"/>
      <c r="T715" s="25"/>
      <c r="U715" s="25"/>
      <c r="V715" s="25"/>
      <c r="W715" s="25"/>
      <c r="X715" s="26"/>
      <c r="Y715" s="25"/>
      <c r="Z715" s="26"/>
      <c r="AA715" s="25"/>
      <c r="AB715" s="25"/>
      <c r="AC715" s="25"/>
      <c r="AD715" s="25"/>
      <c r="AE715" s="26"/>
      <c r="AF715" s="25"/>
      <c r="AG715" s="26"/>
      <c r="AH715" s="24"/>
      <c r="AI715" s="25"/>
      <c r="AJ715" s="23"/>
    </row>
    <row r="716" ht="24.75" customHeight="1">
      <c r="A716" s="28">
        <f>IFERROR(__xludf.DUMMYFUNCTION("""COMPUTED_VALUE"""),1.0)</f>
        <v>1</v>
      </c>
      <c r="B716" s="28" t="str">
        <f>IFERROR(__xludf.DUMMYFUNCTION("""COMPUTED_VALUE"""),"A104")</f>
        <v>A104</v>
      </c>
      <c r="C716" s="28" t="str">
        <f>IFERROR(__xludf.DUMMYFUNCTION("""COMPUTED_VALUE"""),"CML10")</f>
        <v>CML10</v>
      </c>
      <c r="D716" s="29" t="str">
        <f>IFERROR(__xludf.DUMMYFUNCTION("""COMPUTED_VALUE"""),"Camelot")</f>
        <v>Camelot</v>
      </c>
      <c r="E716" s="30" t="str">
        <f>IFERROR(__xludf.DUMMYFUNCTION("""COMPUTED_VALUE"""),"Holy City")</f>
        <v>Holy City</v>
      </c>
      <c r="F716" s="31">
        <f>IFERROR(__xludf.DUMMYFUNCTION("""COMPUTED_VALUE"""),20.0)</f>
        <v>20</v>
      </c>
      <c r="G716" s="32">
        <f>IFERROR(__xludf.DUMMYFUNCTION("""COMPUTED_VALUE"""),31633.0)</f>
        <v>31633</v>
      </c>
      <c r="H716" s="33" t="str">
        <f>IFERROR(__xludf.DUMMYFUNCTION("""COMPUTED_VALUE"""),"")</f>
        <v/>
      </c>
      <c r="I716" s="34">
        <f>IFERROR(__xludf.DUMMYFUNCTION("""COMPUTED_VALUE"""),167.03982595287633)</f>
        <v>167.039826</v>
      </c>
      <c r="J716" s="35" t="str">
        <f>IFERROR(__xludf.DUMMYFUNCTION("""COMPUTED_VALUE"""),"AP")</f>
        <v>AP</v>
      </c>
      <c r="K716" s="34">
        <f>IFERROR(__xludf.DUMMYFUNCTION("""COMPUTED_VALUE"""),11.973192552081686)</f>
        <v>11.97319255</v>
      </c>
      <c r="L716" s="35" t="str">
        <f>IFERROR(__xludf.DUMMYFUNCTION("""COMPUTED_VALUE"""),"%")</f>
        <v>%</v>
      </c>
      <c r="M716" s="36">
        <f>IFERROR(__xludf.DUMMYFUNCTION("""COMPUTED_VALUE"""),1.0)</f>
        <v>1</v>
      </c>
      <c r="N716" s="37" t="str">
        <f>IFERROR(__xludf.DUMMYFUNCTION("""COMPUTED_VALUE"""),"A203")</f>
        <v>A203</v>
      </c>
      <c r="O716" s="38" t="str">
        <f>IFERROR(__xludf.DUMMYFUNCTION("""COMPUTED_VALUE"""),"")</f>
        <v/>
      </c>
      <c r="P716" s="34">
        <f>IFERROR(__xludf.DUMMYFUNCTION("""COMPUTED_VALUE"""),72.82546361109596)</f>
        <v>72.82546361</v>
      </c>
      <c r="Q716" s="35" t="str">
        <f>IFERROR(__xludf.DUMMYFUNCTION("""COMPUTED_VALUE"""),"AP")</f>
        <v>AP</v>
      </c>
      <c r="R716" s="34">
        <f>IFERROR(__xludf.DUMMYFUNCTION("""COMPUTED_VALUE"""),27.46292163247242)</f>
        <v>27.46292163</v>
      </c>
      <c r="S716" s="35" t="str">
        <f>IFERROR(__xludf.DUMMYFUNCTION("""COMPUTED_VALUE"""),"%")</f>
        <v>%</v>
      </c>
      <c r="T716" s="36">
        <f>IFERROR(__xludf.DUMMYFUNCTION("""COMPUTED_VALUE"""),2.0)</f>
        <v>2</v>
      </c>
      <c r="U716" s="37" t="str">
        <f>IFERROR(__xludf.DUMMYFUNCTION("""COMPUTED_VALUE"""),"A301")</f>
        <v>A301</v>
      </c>
      <c r="V716" s="38" t="str">
        <f>IFERROR(__xludf.DUMMYFUNCTION("""COMPUTED_VALUE"""),"")</f>
        <v/>
      </c>
      <c r="W716" s="34">
        <f>IFERROR(__xludf.DUMMYFUNCTION("""COMPUTED_VALUE"""),55.93226242845354)</f>
        <v>55.93226243</v>
      </c>
      <c r="X716" s="35" t="str">
        <f>IFERROR(__xludf.DUMMYFUNCTION("""COMPUTED_VALUE"""),"AP")</f>
        <v>AP</v>
      </c>
      <c r="Y716" s="34">
        <f>IFERROR(__xludf.DUMMYFUNCTION("""COMPUTED_VALUE"""),35.7575380140992)</f>
        <v>35.75753801</v>
      </c>
      <c r="Z716" s="35" t="str">
        <f>IFERROR(__xludf.DUMMYFUNCTION("""COMPUTED_VALUE"""),"%")</f>
        <v>%</v>
      </c>
      <c r="AA716" s="36">
        <f>IFERROR(__xludf.DUMMYFUNCTION("""COMPUTED_VALUE"""),3.0)</f>
        <v>3</v>
      </c>
      <c r="AB716" s="37" t="str">
        <f>IFERROR(__xludf.DUMMYFUNCTION("""COMPUTED_VALUE"""),"B101")</f>
        <v>B101</v>
      </c>
      <c r="AC716" s="38" t="str">
        <f>IFERROR(__xludf.DUMMYFUNCTION("""COMPUTED_VALUE"""),"")</f>
        <v/>
      </c>
      <c r="AD716" s="34">
        <f>IFERROR(__xludf.DUMMYFUNCTION("""COMPUTED_VALUE"""),608.944577073889)</f>
        <v>608.9445771</v>
      </c>
      <c r="AE716" s="35" t="str">
        <f>IFERROR(__xludf.DUMMYFUNCTION("""COMPUTED_VALUE"""),"AP")</f>
        <v>AP</v>
      </c>
      <c r="AF716" s="34">
        <f>IFERROR(__xludf.DUMMYFUNCTION("""COMPUTED_VALUE"""),3.2843711485377445)</f>
        <v>3.284371149</v>
      </c>
      <c r="AG716" s="35" t="str">
        <f>IFERROR(__xludf.DUMMYFUNCTION("""COMPUTED_VALUE"""),"%")</f>
        <v>%</v>
      </c>
      <c r="AH716" s="31">
        <f>IFERROR(__xludf.DUMMYFUNCTION("""COMPUTED_VALUE"""),20.0)</f>
        <v>20</v>
      </c>
      <c r="AI716" s="32">
        <f>IFERROR(__xludf.DUMMYFUNCTION("""COMPUTED_VALUE"""),31633.0)</f>
        <v>31633</v>
      </c>
      <c r="AJ716" s="30" t="str">
        <f>IFERROR(__xludf.DUMMYFUNCTION("""COMPUTED_VALUE"""),"Holy City")</f>
        <v>Holy City</v>
      </c>
    </row>
    <row r="717" ht="24.75" customHeight="1">
      <c r="A717" s="40">
        <f>IFERROR(__xludf.DUMMYFUNCTION("""COMPUTED_VALUE"""),2.0)</f>
        <v>2</v>
      </c>
      <c r="B717" s="40" t="str">
        <f>IFERROR(__xludf.DUMMYFUNCTION("""COMPUTED_VALUE"""),"A104")</f>
        <v>A104</v>
      </c>
      <c r="C717" s="40" t="str">
        <f>IFERROR(__xludf.DUMMYFUNCTION("""COMPUTED_VALUE"""),"SJK8")</f>
        <v>SJK8</v>
      </c>
      <c r="D717" s="41" t="str">
        <f>IFERROR(__xludf.DUMMYFUNCTION("""COMPUTED_VALUE"""),"Shinjuku")</f>
        <v>Shinjuku</v>
      </c>
      <c r="E717" s="42" t="str">
        <f>IFERROR(__xludf.DUMMYFUNCTION("""COMPUTED_VALUE"""),"Tower - Top Floor")</f>
        <v>Tower - Top Floor</v>
      </c>
      <c r="F717" s="43">
        <f>IFERROR(__xludf.DUMMYFUNCTION("""COMPUTED_VALUE"""),21.0)</f>
        <v>21</v>
      </c>
      <c r="G717" s="44">
        <f>IFERROR(__xludf.DUMMYFUNCTION("""COMPUTED_VALUE"""),14109.0)</f>
        <v>14109</v>
      </c>
      <c r="H717" s="33" t="str">
        <f>IFERROR(__xludf.DUMMYFUNCTION("""COMPUTED_VALUE"""),"")</f>
        <v/>
      </c>
      <c r="I717" s="45">
        <f>IFERROR(__xludf.DUMMYFUNCTION("""COMPUTED_VALUE"""),180.01706063695474)</f>
        <v>180.0170606</v>
      </c>
      <c r="J717" s="46" t="str">
        <f>IFERROR(__xludf.DUMMYFUNCTION("""COMPUTED_VALUE"""),"AP")</f>
        <v>AP</v>
      </c>
      <c r="K717" s="47">
        <f>IFERROR(__xludf.DUMMYFUNCTION("""COMPUTED_VALUE"""),11.665560989439365)</f>
        <v>11.66556099</v>
      </c>
      <c r="L717" s="48" t="str">
        <f>IFERROR(__xludf.DUMMYFUNCTION("""COMPUTED_VALUE"""),"%")</f>
        <v>%</v>
      </c>
      <c r="M717" s="49">
        <f>IFERROR(__xludf.DUMMYFUNCTION("""COMPUTED_VALUE"""),1.0)</f>
        <v>1</v>
      </c>
      <c r="N717" s="50" t="str">
        <f>IFERROR(__xludf.DUMMYFUNCTION("""COMPUTED_VALUE"""),"A206")</f>
        <v>A206</v>
      </c>
      <c r="O717" s="38" t="str">
        <f>IFERROR(__xludf.DUMMYFUNCTION("""COMPUTED_VALUE"""),"")</f>
        <v/>
      </c>
      <c r="P717" s="45">
        <f>IFERROR(__xludf.DUMMYFUNCTION("""COMPUTED_VALUE"""),101.80731005686027)</f>
        <v>101.8073101</v>
      </c>
      <c r="Q717" s="46" t="str">
        <f>IFERROR(__xludf.DUMMYFUNCTION("""COMPUTED_VALUE"""),"AP")</f>
        <v>AP</v>
      </c>
      <c r="R717" s="47">
        <f>IFERROR(__xludf.DUMMYFUNCTION("""COMPUTED_VALUE"""),20.627202494861436)</f>
        <v>20.62720249</v>
      </c>
      <c r="S717" s="48" t="str">
        <f>IFERROR(__xludf.DUMMYFUNCTION("""COMPUTED_VALUE"""),"%")</f>
        <v>%</v>
      </c>
      <c r="T717" s="49">
        <f>IFERROR(__xludf.DUMMYFUNCTION("""COMPUTED_VALUE"""),2.0)</f>
        <v>2</v>
      </c>
      <c r="U717" s="50" t="str">
        <f>IFERROR(__xludf.DUMMYFUNCTION("""COMPUTED_VALUE"""),"B101")</f>
        <v>B101</v>
      </c>
      <c r="V717" s="38" t="str">
        <f>IFERROR(__xludf.DUMMYFUNCTION("""COMPUTED_VALUE"""),"")</f>
        <v/>
      </c>
      <c r="W717" s="45">
        <f>IFERROR(__xludf.DUMMYFUNCTION("""COMPUTED_VALUE"""),501.1012239018714)</f>
        <v>501.1012239</v>
      </c>
      <c r="X717" s="46" t="str">
        <f>IFERROR(__xludf.DUMMYFUNCTION("""COMPUTED_VALUE"""),"AP")</f>
        <v>AP</v>
      </c>
      <c r="Y717" s="47">
        <f>IFERROR(__xludf.DUMMYFUNCTION("""COMPUTED_VALUE"""),4.190770047712425)</f>
        <v>4.190770048</v>
      </c>
      <c r="Z717" s="48" t="str">
        <f>IFERROR(__xludf.DUMMYFUNCTION("""COMPUTED_VALUE"""),"%")</f>
        <v>%</v>
      </c>
      <c r="AA717" s="49">
        <f>IFERROR(__xludf.DUMMYFUNCTION("""COMPUTED_VALUE"""),3.0)</f>
        <v>3</v>
      </c>
      <c r="AB717" s="50" t="str">
        <f>IFERROR(__xludf.DUMMYFUNCTION("""COMPUTED_VALUE"""),"B116")</f>
        <v>B116</v>
      </c>
      <c r="AC717" s="38" t="str">
        <f>IFERROR(__xludf.DUMMYFUNCTION("""COMPUTED_VALUE"""),"")</f>
        <v/>
      </c>
      <c r="AD717" s="45">
        <f>IFERROR(__xludf.DUMMYFUNCTION("""COMPUTED_VALUE"""),79.18956450422499)</f>
        <v>79.1895645</v>
      </c>
      <c r="AE717" s="46" t="str">
        <f>IFERROR(__xludf.DUMMYFUNCTION("""COMPUTED_VALUE"""),"AP")</f>
        <v>AP</v>
      </c>
      <c r="AF717" s="47">
        <f>IFERROR(__xludf.DUMMYFUNCTION("""COMPUTED_VALUE"""),26.51864564664905)</f>
        <v>26.51864565</v>
      </c>
      <c r="AG717" s="48" t="str">
        <f>IFERROR(__xludf.DUMMYFUNCTION("""COMPUTED_VALUE"""),"%")</f>
        <v>%</v>
      </c>
      <c r="AH717" s="43">
        <f>IFERROR(__xludf.DUMMYFUNCTION("""COMPUTED_VALUE"""),21.0)</f>
        <v>21</v>
      </c>
      <c r="AI717" s="44">
        <f>IFERROR(__xludf.DUMMYFUNCTION("""COMPUTED_VALUE"""),14109.0)</f>
        <v>14109</v>
      </c>
      <c r="AJ717" s="42" t="str">
        <f>IFERROR(__xludf.DUMMYFUNCTION("""COMPUTED_VALUE"""),"Tower - Top Floor")</f>
        <v>Tower - Top Floor</v>
      </c>
    </row>
    <row r="718" ht="24.75" customHeight="1">
      <c r="A718" s="28">
        <f>IFERROR(__xludf.DUMMYFUNCTION("""COMPUTED_VALUE"""),3.0)</f>
        <v>3</v>
      </c>
      <c r="B718" s="28" t="str">
        <f>IFERROR(__xludf.DUMMYFUNCTION("""COMPUTED_VALUE"""),"A104")</f>
        <v>A104</v>
      </c>
      <c r="C718" s="28" t="str">
        <f>IFERROR(__xludf.DUMMYFUNCTION("""COMPUTED_VALUE"""),"GTT11")</f>
        <v>GTT11</v>
      </c>
      <c r="D718" s="29" t="str">
        <f>IFERROR(__xludf.DUMMYFUNCTION("""COMPUTED_VALUE"""),"Götterdämmerung")</f>
        <v>Götterdämmerung</v>
      </c>
      <c r="E718" s="30" t="str">
        <f>IFERROR(__xludf.DUMMYFUNCTION("""COMPUTED_VALUE"""),"Forgotten Shrine")</f>
        <v>Forgotten Shrine</v>
      </c>
      <c r="F718" s="31">
        <f>IFERROR(__xludf.DUMMYFUNCTION("""COMPUTED_VALUE"""),21.0)</f>
        <v>21</v>
      </c>
      <c r="G718" s="32">
        <f>IFERROR(__xludf.DUMMYFUNCTION("""COMPUTED_VALUE"""),4320.0)</f>
        <v>4320</v>
      </c>
      <c r="H718" s="33" t="str">
        <f>IFERROR(__xludf.DUMMYFUNCTION("""COMPUTED_VALUE"""),"")</f>
        <v/>
      </c>
      <c r="I718" s="34">
        <f>IFERROR(__xludf.DUMMYFUNCTION("""COMPUTED_VALUE"""),184.4824851450115)</f>
        <v>184.4824851</v>
      </c>
      <c r="J718" s="35" t="str">
        <f>IFERROR(__xludf.DUMMYFUNCTION("""COMPUTED_VALUE"""),"AP")</f>
        <v>AP</v>
      </c>
      <c r="K718" s="34">
        <f>IFERROR(__xludf.DUMMYFUNCTION("""COMPUTED_VALUE"""),11.383194444444445)</f>
        <v>11.38319444</v>
      </c>
      <c r="L718" s="35" t="str">
        <f>IFERROR(__xludf.DUMMYFUNCTION("""COMPUTED_VALUE"""),"%")</f>
        <v>%</v>
      </c>
      <c r="M718" s="36">
        <f>IFERROR(__xludf.DUMMYFUNCTION("""COMPUTED_VALUE"""),1.0)</f>
        <v>1</v>
      </c>
      <c r="N718" s="37" t="str">
        <f>IFERROR(__xludf.DUMMYFUNCTION("""COMPUTED_VALUE"""),"A215")</f>
        <v>A215</v>
      </c>
      <c r="O718" s="38" t="str">
        <f>IFERROR(__xludf.DUMMYFUNCTION("""COMPUTED_VALUE"""),"")</f>
        <v/>
      </c>
      <c r="P718" s="34">
        <f>IFERROR(__xludf.DUMMYFUNCTION("""COMPUTED_VALUE"""),87.91541048995978)</f>
        <v>87.91541049</v>
      </c>
      <c r="Q718" s="35" t="str">
        <f>IFERROR(__xludf.DUMMYFUNCTION("""COMPUTED_VALUE"""),"AP")</f>
        <v>AP</v>
      </c>
      <c r="R718" s="34">
        <f>IFERROR(__xludf.DUMMYFUNCTION("""COMPUTED_VALUE"""),23.886597222222225)</f>
        <v>23.88659722</v>
      </c>
      <c r="S718" s="35" t="str">
        <f>IFERROR(__xludf.DUMMYFUNCTION("""COMPUTED_VALUE"""),"%")</f>
        <v>%</v>
      </c>
      <c r="T718" s="36">
        <f>IFERROR(__xludf.DUMMYFUNCTION("""COMPUTED_VALUE"""),2.0)</f>
        <v>2</v>
      </c>
      <c r="U718" s="37" t="str">
        <f>IFERROR(__xludf.DUMMYFUNCTION("""COMPUTED_VALUE"""),"B101")</f>
        <v>B101</v>
      </c>
      <c r="V718" s="38" t="str">
        <f>IFERROR(__xludf.DUMMYFUNCTION("""COMPUTED_VALUE"""),"")</f>
        <v/>
      </c>
      <c r="W718" s="34">
        <f>IFERROR(__xludf.DUMMYFUNCTION("""COMPUTED_VALUE"""),525.7693549588932)</f>
        <v>525.769355</v>
      </c>
      <c r="X718" s="35" t="str">
        <f>IFERROR(__xludf.DUMMYFUNCTION("""COMPUTED_VALUE"""),"AP")</f>
        <v>AP</v>
      </c>
      <c r="Y718" s="34">
        <f>IFERROR(__xludf.DUMMYFUNCTION("""COMPUTED_VALUE"""),3.9941468253968253)</f>
        <v>3.994146825</v>
      </c>
      <c r="Z718" s="35" t="str">
        <f>IFERROR(__xludf.DUMMYFUNCTION("""COMPUTED_VALUE"""),"%")</f>
        <v>%</v>
      </c>
      <c r="AA718" s="36">
        <f>IFERROR(__xludf.DUMMYFUNCTION("""COMPUTED_VALUE"""),3.0)</f>
        <v>3</v>
      </c>
      <c r="AB718" s="37" t="str">
        <f>IFERROR(__xludf.DUMMYFUNCTION("""COMPUTED_VALUE"""),"B114")</f>
        <v>B114</v>
      </c>
      <c r="AC718" s="38" t="str">
        <f>IFERROR(__xludf.DUMMYFUNCTION("""COMPUTED_VALUE"""),"")</f>
        <v/>
      </c>
      <c r="AD718" s="34">
        <f>IFERROR(__xludf.DUMMYFUNCTION("""COMPUTED_VALUE"""),52.03399547816189)</f>
        <v>52.03399548</v>
      </c>
      <c r="AE718" s="35" t="str">
        <f>IFERROR(__xludf.DUMMYFUNCTION("""COMPUTED_VALUE"""),"AP")</f>
        <v>AP</v>
      </c>
      <c r="AF718" s="34">
        <f>IFERROR(__xludf.DUMMYFUNCTION("""COMPUTED_VALUE"""),40.35823082010582)</f>
        <v>40.35823082</v>
      </c>
      <c r="AG718" s="35" t="str">
        <f>IFERROR(__xludf.DUMMYFUNCTION("""COMPUTED_VALUE"""),"%")</f>
        <v>%</v>
      </c>
      <c r="AH718" s="31">
        <f>IFERROR(__xludf.DUMMYFUNCTION("""COMPUTED_VALUE"""),21.0)</f>
        <v>21</v>
      </c>
      <c r="AI718" s="32">
        <f>IFERROR(__xludf.DUMMYFUNCTION("""COMPUTED_VALUE"""),4320.0)</f>
        <v>4320</v>
      </c>
      <c r="AJ718" s="30" t="str">
        <f>IFERROR(__xludf.DUMMYFUNCTION("""COMPUTED_VALUE"""),"Forgotten Shrine")</f>
        <v>Forgotten Shrine</v>
      </c>
    </row>
    <row r="719" ht="24.75" customHeight="1">
      <c r="A719" s="40">
        <f>IFERROR(__xludf.DUMMYFUNCTION("""COMPUTED_VALUE"""),4.0)</f>
        <v>4</v>
      </c>
      <c r="B719" s="40" t="str">
        <f>IFERROR(__xludf.DUMMYFUNCTION("""COMPUTED_VALUE"""),"A104")</f>
        <v>A104</v>
      </c>
      <c r="C719" s="40" t="str">
        <f>IFERROR(__xludf.DUMMYFUNCTION("""COMPUTED_VALUE"""),"EPU13")</f>
        <v>EPU13</v>
      </c>
      <c r="D719" s="41" t="str">
        <f>IFERROR(__xludf.DUMMYFUNCTION("""COMPUTED_VALUE"""),"E Pluribus Unum")</f>
        <v>E Pluribus Unum</v>
      </c>
      <c r="E719" s="42" t="str">
        <f>IFERROR(__xludf.DUMMYFUNCTION("""COMPUTED_VALUE"""),"Washington")</f>
        <v>Washington</v>
      </c>
      <c r="F719" s="43">
        <f>IFERROR(__xludf.DUMMYFUNCTION("""COMPUTED_VALUE"""),20.0)</f>
        <v>20</v>
      </c>
      <c r="G719" s="44">
        <f>IFERROR(__xludf.DUMMYFUNCTION("""COMPUTED_VALUE"""),1660.0)</f>
        <v>1660</v>
      </c>
      <c r="H719" s="33" t="str">
        <f>IFERROR(__xludf.DUMMYFUNCTION("""COMPUTED_VALUE"""),"")</f>
        <v/>
      </c>
      <c r="I719" s="45">
        <f>IFERROR(__xludf.DUMMYFUNCTION("""COMPUTED_VALUE"""),246.41327662859138)</f>
        <v>246.4132766</v>
      </c>
      <c r="J719" s="46" t="str">
        <f>IFERROR(__xludf.DUMMYFUNCTION("""COMPUTED_VALUE"""),"AP")</f>
        <v>AP</v>
      </c>
      <c r="K719" s="47">
        <f>IFERROR(__xludf.DUMMYFUNCTION("""COMPUTED_VALUE"""),8.11644578313253)</f>
        <v>8.116445783</v>
      </c>
      <c r="L719" s="48" t="str">
        <f>IFERROR(__xludf.DUMMYFUNCTION("""COMPUTED_VALUE"""),"%")</f>
        <v>%</v>
      </c>
      <c r="M719" s="49">
        <f>IFERROR(__xludf.DUMMYFUNCTION("""COMPUTED_VALUE"""),1.0)</f>
        <v>1</v>
      </c>
      <c r="N719" s="50" t="str">
        <f>IFERROR(__xludf.DUMMYFUNCTION("""COMPUTED_VALUE"""),"A301")</f>
        <v>A301</v>
      </c>
      <c r="O719" s="38" t="str">
        <f>IFERROR(__xludf.DUMMYFUNCTION("""COMPUTED_VALUE"""),"")</f>
        <v/>
      </c>
      <c r="P719" s="45">
        <f>IFERROR(__xludf.DUMMYFUNCTION("""COMPUTED_VALUE"""),37.54055114504334)</f>
        <v>37.54055115</v>
      </c>
      <c r="Q719" s="46" t="str">
        <f>IFERROR(__xludf.DUMMYFUNCTION("""COMPUTED_VALUE"""),"AP")</f>
        <v>AP</v>
      </c>
      <c r="R719" s="47">
        <f>IFERROR(__xludf.DUMMYFUNCTION("""COMPUTED_VALUE"""),53.275722891566275)</f>
        <v>53.27572289</v>
      </c>
      <c r="S719" s="48" t="str">
        <f>IFERROR(__xludf.DUMMYFUNCTION("""COMPUTED_VALUE"""),"%")</f>
        <v>%</v>
      </c>
      <c r="T719" s="49">
        <f>IFERROR(__xludf.DUMMYFUNCTION("""COMPUTED_VALUE"""),2.0)</f>
        <v>2</v>
      </c>
      <c r="U719" s="50" t="str">
        <f>IFERROR(__xludf.DUMMYFUNCTION("""COMPUTED_VALUE"""),"B101")</f>
        <v>B101</v>
      </c>
      <c r="V719" s="38" t="str">
        <f>IFERROR(__xludf.DUMMYFUNCTION("""COMPUTED_VALUE"""),"")</f>
        <v/>
      </c>
      <c r="W719" s="45">
        <f>IFERROR(__xludf.DUMMYFUNCTION("""COMPUTED_VALUE"""),630.7949536403709)</f>
        <v>630.7949536</v>
      </c>
      <c r="X719" s="46" t="str">
        <f>IFERROR(__xludf.DUMMYFUNCTION("""COMPUTED_VALUE"""),"AP")</f>
        <v>AP</v>
      </c>
      <c r="Y719" s="47">
        <f>IFERROR(__xludf.DUMMYFUNCTION("""COMPUTED_VALUE"""),3.1706024096385548)</f>
        <v>3.17060241</v>
      </c>
      <c r="Z719" s="48" t="str">
        <f>IFERROR(__xludf.DUMMYFUNCTION("""COMPUTED_VALUE"""),"%")</f>
        <v>%</v>
      </c>
      <c r="AA719" s="49">
        <f>IFERROR(__xludf.DUMMYFUNCTION("""COMPUTED_VALUE"""),3.0)</f>
        <v>3</v>
      </c>
      <c r="AB719" s="50"/>
      <c r="AC719" s="38"/>
      <c r="AD719" s="45" t="str">
        <f>IFERROR(__xludf.DUMMYFUNCTION("""COMPUTED_VALUE"""),"")</f>
        <v/>
      </c>
      <c r="AE719" s="46" t="str">
        <f>IFERROR(__xludf.DUMMYFUNCTION("""COMPUTED_VALUE"""),"AP")</f>
        <v>AP</v>
      </c>
      <c r="AF719" s="47" t="str">
        <f>IFERROR(__xludf.DUMMYFUNCTION("""COMPUTED_VALUE"""),"")</f>
        <v/>
      </c>
      <c r="AG719" s="48" t="str">
        <f>IFERROR(__xludf.DUMMYFUNCTION("""COMPUTED_VALUE"""),"%")</f>
        <v>%</v>
      </c>
      <c r="AH719" s="43">
        <f>IFERROR(__xludf.DUMMYFUNCTION("""COMPUTED_VALUE"""),20.0)</f>
        <v>20</v>
      </c>
      <c r="AI719" s="44">
        <f>IFERROR(__xludf.DUMMYFUNCTION("""COMPUTED_VALUE"""),1660.0)</f>
        <v>1660</v>
      </c>
      <c r="AJ719" s="42" t="str">
        <f>IFERROR(__xludf.DUMMYFUNCTION("""COMPUTED_VALUE"""),"Washington")</f>
        <v>Washington</v>
      </c>
    </row>
    <row r="720" ht="24.75" customHeight="1">
      <c r="A720" s="28">
        <f>IFERROR(__xludf.DUMMYFUNCTION("""COMPUTED_VALUE"""),5.0)</f>
        <v>5</v>
      </c>
      <c r="B720" s="28" t="str">
        <f>IFERROR(__xludf.DUMMYFUNCTION("""COMPUTED_VALUE"""),"A104")</f>
        <v>A104</v>
      </c>
      <c r="C720" s="28" t="str">
        <f>IFERROR(__xludf.DUMMYFUNCTION("""COMPUTED_VALUE"""),"TRF28")</f>
        <v>TRF28</v>
      </c>
      <c r="D720" s="29" t="str">
        <f>IFERROR(__xludf.DUMMYFUNCTION("""COMPUTED_VALUE"""),"Chaldea Gate (Sun)")</f>
        <v>Chaldea Gate (Sun)</v>
      </c>
      <c r="E720" s="30" t="str">
        <f>IFERROR(__xludf.DUMMYFUNCTION("""COMPUTED_VALUE"""),"SUN Saber Training Ground- Exp")</f>
        <v>SUN Saber Training Ground- Exp</v>
      </c>
      <c r="F720" s="31">
        <f>IFERROR(__xludf.DUMMYFUNCTION("""COMPUTED_VALUE"""),40.0)</f>
        <v>40</v>
      </c>
      <c r="G720" s="32">
        <f>IFERROR(__xludf.DUMMYFUNCTION("""COMPUTED_VALUE"""),28657.0)</f>
        <v>28657</v>
      </c>
      <c r="H720" s="33" t="str">
        <f>IFERROR(__xludf.DUMMYFUNCTION("""COMPUTED_VALUE"""),"")</f>
        <v/>
      </c>
      <c r="I720" s="34">
        <f>IFERROR(__xludf.DUMMYFUNCTION("""COMPUTED_VALUE"""),499.78199829086657)</f>
        <v>499.7819983</v>
      </c>
      <c r="J720" s="35" t="str">
        <f>IFERROR(__xludf.DUMMYFUNCTION("""COMPUTED_VALUE"""),"AP")</f>
        <v>AP</v>
      </c>
      <c r="K720" s="34">
        <f>IFERROR(__xludf.DUMMYFUNCTION("""COMPUTED_VALUE"""),8.00348954880134)</f>
        <v>8.003489549</v>
      </c>
      <c r="L720" s="35" t="str">
        <f>IFERROR(__xludf.DUMMYFUNCTION("""COMPUTED_VALUE"""),"%")</f>
        <v>%</v>
      </c>
      <c r="M720" s="36">
        <f>IFERROR(__xludf.DUMMYFUNCTION("""COMPUTED_VALUE"""),1.0)</f>
        <v>1</v>
      </c>
      <c r="N720" s="37" t="str">
        <f>IFERROR(__xludf.DUMMYFUNCTION("""COMPUTED_VALUE"""),"A201")</f>
        <v>A201</v>
      </c>
      <c r="O720" s="38" t="str">
        <f>IFERROR(__xludf.DUMMYFUNCTION("""COMPUTED_VALUE"""),"")</f>
        <v/>
      </c>
      <c r="P720" s="34">
        <f>IFERROR(__xludf.DUMMYFUNCTION("""COMPUTED_VALUE"""),149.6821532877502)</f>
        <v>149.6821533</v>
      </c>
      <c r="Q720" s="35" t="str">
        <f>IFERROR(__xludf.DUMMYFUNCTION("""COMPUTED_VALUE"""),"AP")</f>
        <v>AP</v>
      </c>
      <c r="R720" s="34">
        <f>IFERROR(__xludf.DUMMYFUNCTION("""COMPUTED_VALUE"""),26.723292738248944)</f>
        <v>26.72329274</v>
      </c>
      <c r="S720" s="35" t="str">
        <f>IFERROR(__xludf.DUMMYFUNCTION("""COMPUTED_VALUE"""),"%")</f>
        <v>%</v>
      </c>
      <c r="T720" s="36">
        <f>IFERROR(__xludf.DUMMYFUNCTION("""COMPUTED_VALUE"""),2.0)</f>
        <v>2</v>
      </c>
      <c r="U720" s="37" t="str">
        <f>IFERROR(__xludf.DUMMYFUNCTION("""COMPUTED_VALUE"""),"A205")</f>
        <v>A205</v>
      </c>
      <c r="V720" s="38" t="str">
        <f>IFERROR(__xludf.DUMMYFUNCTION("""COMPUTED_VALUE"""),"")</f>
        <v/>
      </c>
      <c r="W720" s="34">
        <f>IFERROR(__xludf.DUMMYFUNCTION("""COMPUTED_VALUE"""),377.1536265682929)</f>
        <v>377.1536266</v>
      </c>
      <c r="X720" s="35" t="str">
        <f>IFERROR(__xludf.DUMMYFUNCTION("""COMPUTED_VALUE"""),"AP")</f>
        <v>AP</v>
      </c>
      <c r="Y720" s="34">
        <f>IFERROR(__xludf.DUMMYFUNCTION("""COMPUTED_VALUE"""),10.60575775552221)</f>
        <v>10.60575776</v>
      </c>
      <c r="Z720" s="35" t="str">
        <f>IFERROR(__xludf.DUMMYFUNCTION("""COMPUTED_VALUE"""),"%")</f>
        <v>%</v>
      </c>
      <c r="AA720" s="36">
        <f>IFERROR(__xludf.DUMMYFUNCTION("""COMPUTED_VALUE"""),3.0)</f>
        <v>3</v>
      </c>
      <c r="AB720" s="37" t="str">
        <f>IFERROR(__xludf.DUMMYFUNCTION("""COMPUTED_VALUE"""),"A206")</f>
        <v>A206</v>
      </c>
      <c r="AC720" s="38" t="str">
        <f>IFERROR(__xludf.DUMMYFUNCTION("""COMPUTED_VALUE"""),"")</f>
        <v/>
      </c>
      <c r="AD720" s="34">
        <f>IFERROR(__xludf.DUMMYFUNCTION("""COMPUTED_VALUE"""),196.53461478887445)</f>
        <v>196.5346148</v>
      </c>
      <c r="AE720" s="35" t="str">
        <f>IFERROR(__xludf.DUMMYFUNCTION("""COMPUTED_VALUE"""),"AP")</f>
        <v>AP</v>
      </c>
      <c r="AF720" s="34">
        <f>IFERROR(__xludf.DUMMYFUNCTION("""COMPUTED_VALUE"""),20.352648841513055)</f>
        <v>20.35264884</v>
      </c>
      <c r="AG720" s="35" t="str">
        <f>IFERROR(__xludf.DUMMYFUNCTION("""COMPUTED_VALUE"""),"%")</f>
        <v>%</v>
      </c>
      <c r="AH720" s="31">
        <f>IFERROR(__xludf.DUMMYFUNCTION("""COMPUTED_VALUE"""),40.0)</f>
        <v>40</v>
      </c>
      <c r="AI720" s="32">
        <f>IFERROR(__xludf.DUMMYFUNCTION("""COMPUTED_VALUE"""),28657.0)</f>
        <v>28657</v>
      </c>
      <c r="AJ720" s="30" t="str">
        <f>IFERROR(__xludf.DUMMYFUNCTION("""COMPUTED_VALUE"""),"SUN Saber Training Ground- Exp")</f>
        <v>SUN Saber Training Ground- Exp</v>
      </c>
    </row>
    <row r="721" ht="24.75" customHeight="1">
      <c r="A721" s="40">
        <f>IFERROR(__xludf.DUMMYFUNCTION("""COMPUTED_VALUE"""),6.0)</f>
        <v>6</v>
      </c>
      <c r="B721" s="40" t="str">
        <f>IFERROR(__xludf.DUMMYFUNCTION("""COMPUTED_VALUE"""),"A104")</f>
        <v>A104</v>
      </c>
      <c r="C721" s="40" t="str">
        <f>IFERROR(__xludf.DUMMYFUNCTION("""COMPUTED_VALUE"""),"TRF27")</f>
        <v>TRF27</v>
      </c>
      <c r="D721" s="41" t="str">
        <f>IFERROR(__xludf.DUMMYFUNCTION("""COMPUTED_VALUE"""),"Chaldea Gate (Sun)")</f>
        <v>Chaldea Gate (Sun)</v>
      </c>
      <c r="E721" s="42" t="str">
        <f>IFERROR(__xludf.DUMMYFUNCTION("""COMPUTED_VALUE"""),"SUN Saber Training Ground- Adv")</f>
        <v>SUN Saber Training Ground- Adv</v>
      </c>
      <c r="F721" s="43">
        <f>IFERROR(__xludf.DUMMYFUNCTION("""COMPUTED_VALUE"""),30.0)</f>
        <v>30</v>
      </c>
      <c r="G721" s="44">
        <f>IFERROR(__xludf.DUMMYFUNCTION("""COMPUTED_VALUE"""),4351.0)</f>
        <v>4351</v>
      </c>
      <c r="H721" s="33" t="str">
        <f>IFERROR(__xludf.DUMMYFUNCTION("""COMPUTED_VALUE"""),"")</f>
        <v/>
      </c>
      <c r="I721" s="45">
        <f>IFERROR(__xludf.DUMMYFUNCTION("""COMPUTED_VALUE"""),779.8236390574965)</f>
        <v>779.8236391</v>
      </c>
      <c r="J721" s="46" t="str">
        <f>IFERROR(__xludf.DUMMYFUNCTION("""COMPUTED_VALUE"""),"AP")</f>
        <v>AP</v>
      </c>
      <c r="K721" s="47">
        <f>IFERROR(__xludf.DUMMYFUNCTION("""COMPUTED_VALUE"""),3.8470236727189153)</f>
        <v>3.847023673</v>
      </c>
      <c r="L721" s="48" t="str">
        <f>IFERROR(__xludf.DUMMYFUNCTION("""COMPUTED_VALUE"""),"%")</f>
        <v>%</v>
      </c>
      <c r="M721" s="49">
        <f>IFERROR(__xludf.DUMMYFUNCTION("""COMPUTED_VALUE"""),1.0)</f>
        <v>1</v>
      </c>
      <c r="N721" s="50" t="str">
        <f>IFERROR(__xludf.DUMMYFUNCTION("""COMPUTED_VALUE"""),"A201")</f>
        <v>A201</v>
      </c>
      <c r="O721" s="38" t="str">
        <f>IFERROR(__xludf.DUMMYFUNCTION("""COMPUTED_VALUE"""),"")</f>
        <v/>
      </c>
      <c r="P721" s="45">
        <f>IFERROR(__xludf.DUMMYFUNCTION("""COMPUTED_VALUE"""),124.49925603754149)</f>
        <v>124.499256</v>
      </c>
      <c r="Q721" s="46" t="str">
        <f>IFERROR(__xludf.DUMMYFUNCTION("""COMPUTED_VALUE"""),"AP")</f>
        <v>AP</v>
      </c>
      <c r="R721" s="47">
        <f>IFERROR(__xludf.DUMMYFUNCTION("""COMPUTED_VALUE"""),24.096529533440588)</f>
        <v>24.09652953</v>
      </c>
      <c r="S721" s="48" t="str">
        <f>IFERROR(__xludf.DUMMYFUNCTION("""COMPUTED_VALUE"""),"%")</f>
        <v>%</v>
      </c>
      <c r="T721" s="49">
        <f>IFERROR(__xludf.DUMMYFUNCTION("""COMPUTED_VALUE"""),2.0)</f>
        <v>2</v>
      </c>
      <c r="U721" s="50" t="str">
        <f>IFERROR(__xludf.DUMMYFUNCTION("""COMPUTED_VALUE"""),"A205")</f>
        <v>A205</v>
      </c>
      <c r="V721" s="38" t="str">
        <f>IFERROR(__xludf.DUMMYFUNCTION("""COMPUTED_VALUE"""),"")</f>
        <v/>
      </c>
      <c r="W721" s="45">
        <f>IFERROR(__xludf.DUMMYFUNCTION("""COMPUTED_VALUE"""),170.83110845871155)</f>
        <v>170.8311085</v>
      </c>
      <c r="X721" s="46" t="str">
        <f>IFERROR(__xludf.DUMMYFUNCTION("""COMPUTED_VALUE"""),"AP")</f>
        <v>AP</v>
      </c>
      <c r="Y721" s="47">
        <f>IFERROR(__xludf.DUMMYFUNCTION("""COMPUTED_VALUE"""),17.561204320845782)</f>
        <v>17.56120432</v>
      </c>
      <c r="Z721" s="48" t="str">
        <f>IFERROR(__xludf.DUMMYFUNCTION("""COMPUTED_VALUE"""),"%")</f>
        <v>%</v>
      </c>
      <c r="AA721" s="49">
        <f>IFERROR(__xludf.DUMMYFUNCTION("""COMPUTED_VALUE"""),3.0)</f>
        <v>3</v>
      </c>
      <c r="AB721" s="50" t="str">
        <f>IFERROR(__xludf.DUMMYFUNCTION("""COMPUTED_VALUE"""),"A206")</f>
        <v>A206</v>
      </c>
      <c r="AC721" s="38" t="str">
        <f>IFERROR(__xludf.DUMMYFUNCTION("""COMPUTED_VALUE"""),"")</f>
        <v/>
      </c>
      <c r="AD721" s="45">
        <f>IFERROR(__xludf.DUMMYFUNCTION("""COMPUTED_VALUE"""),203.50541309119933)</f>
        <v>203.5054131</v>
      </c>
      <c r="AE721" s="46" t="str">
        <f>IFERROR(__xludf.DUMMYFUNCTION("""COMPUTED_VALUE"""),"AP")</f>
        <v>AP</v>
      </c>
      <c r="AF721" s="47">
        <f>IFERROR(__xludf.DUMMYFUNCTION("""COMPUTED_VALUE"""),14.741622615490693)</f>
        <v>14.74162262</v>
      </c>
      <c r="AG721" s="48" t="str">
        <f>IFERROR(__xludf.DUMMYFUNCTION("""COMPUTED_VALUE"""),"%")</f>
        <v>%</v>
      </c>
      <c r="AH721" s="43">
        <f>IFERROR(__xludf.DUMMYFUNCTION("""COMPUTED_VALUE"""),30.0)</f>
        <v>30</v>
      </c>
      <c r="AI721" s="44">
        <f>IFERROR(__xludf.DUMMYFUNCTION("""COMPUTED_VALUE"""),4351.0)</f>
        <v>4351</v>
      </c>
      <c r="AJ721" s="42" t="str">
        <f>IFERROR(__xludf.DUMMYFUNCTION("""COMPUTED_VALUE"""),"SUN Saber Training Ground- Adv")</f>
        <v>SUN Saber Training Ground- Adv</v>
      </c>
    </row>
    <row r="722" ht="24.75" customHeight="1">
      <c r="A722" s="28">
        <f>IFERROR(__xludf.DUMMYFUNCTION("""COMPUTED_VALUE"""),7.0)</f>
        <v>7</v>
      </c>
      <c r="B722" s="28" t="str">
        <f>IFERROR(__xludf.DUMMYFUNCTION("""COMPUTED_VALUE"""),"A104")</f>
        <v>A104</v>
      </c>
      <c r="C722" s="28"/>
      <c r="D722" s="29"/>
      <c r="E722" s="67"/>
      <c r="F722" s="31"/>
      <c r="G722" s="32"/>
      <c r="H722" s="33" t="str">
        <f>IFERROR(__xludf.DUMMYFUNCTION("""COMPUTED_VALUE""")," ")</f>
        <v> </v>
      </c>
      <c r="I722" s="34"/>
      <c r="J722" s="35" t="str">
        <f>IFERROR(__xludf.DUMMYFUNCTION("""COMPUTED_VALUE"""),"AP")</f>
        <v>AP</v>
      </c>
      <c r="K722" s="34"/>
      <c r="L722" s="35" t="str">
        <f>IFERROR(__xludf.DUMMYFUNCTION("""COMPUTED_VALUE"""),"%")</f>
        <v>%</v>
      </c>
      <c r="M722" s="36">
        <f>IFERROR(__xludf.DUMMYFUNCTION("""COMPUTED_VALUE"""),1.0)</f>
        <v>1</v>
      </c>
      <c r="N722" s="37"/>
      <c r="O722" s="38"/>
      <c r="P722" s="34" t="str">
        <f>IFERROR(__xludf.DUMMYFUNCTION("""COMPUTED_VALUE"""),"")</f>
        <v/>
      </c>
      <c r="Q722" s="35" t="str">
        <f>IFERROR(__xludf.DUMMYFUNCTION("""COMPUTED_VALUE"""),"AP")</f>
        <v>AP</v>
      </c>
      <c r="R722" s="34" t="str">
        <f>IFERROR(__xludf.DUMMYFUNCTION("""COMPUTED_VALUE"""),"")</f>
        <v/>
      </c>
      <c r="S722" s="35" t="str">
        <f>IFERROR(__xludf.DUMMYFUNCTION("""COMPUTED_VALUE"""),"%")</f>
        <v>%</v>
      </c>
      <c r="T722" s="36">
        <f>IFERROR(__xludf.DUMMYFUNCTION("""COMPUTED_VALUE"""),2.0)</f>
        <v>2</v>
      </c>
      <c r="U722" s="37"/>
      <c r="V722" s="38"/>
      <c r="W722" s="34" t="str">
        <f>IFERROR(__xludf.DUMMYFUNCTION("""COMPUTED_VALUE"""),"")</f>
        <v/>
      </c>
      <c r="X722" s="35" t="str">
        <f>IFERROR(__xludf.DUMMYFUNCTION("""COMPUTED_VALUE"""),"AP")</f>
        <v>AP</v>
      </c>
      <c r="Y722" s="34" t="str">
        <f>IFERROR(__xludf.DUMMYFUNCTION("""COMPUTED_VALUE"""),"")</f>
        <v/>
      </c>
      <c r="Z722" s="35" t="str">
        <f>IFERROR(__xludf.DUMMYFUNCTION("""COMPUTED_VALUE"""),"%")</f>
        <v>%</v>
      </c>
      <c r="AA722" s="36">
        <f>IFERROR(__xludf.DUMMYFUNCTION("""COMPUTED_VALUE"""),3.0)</f>
        <v>3</v>
      </c>
      <c r="AB722" s="37"/>
      <c r="AC722" s="38"/>
      <c r="AD722" s="34" t="str">
        <f>IFERROR(__xludf.DUMMYFUNCTION("""COMPUTED_VALUE"""),"")</f>
        <v/>
      </c>
      <c r="AE722" s="35" t="str">
        <f>IFERROR(__xludf.DUMMYFUNCTION("""COMPUTED_VALUE"""),"AP")</f>
        <v>AP</v>
      </c>
      <c r="AF722" s="34" t="str">
        <f>IFERROR(__xludf.DUMMYFUNCTION("""COMPUTED_VALUE"""),"")</f>
        <v/>
      </c>
      <c r="AG722" s="35" t="str">
        <f>IFERROR(__xludf.DUMMYFUNCTION("""COMPUTED_VALUE"""),"%")</f>
        <v>%</v>
      </c>
      <c r="AH722" s="31"/>
      <c r="AI722" s="32"/>
      <c r="AJ722" s="67"/>
    </row>
    <row r="723" ht="24.75" hidden="1" customHeight="1">
      <c r="A723" s="40">
        <f>IFERROR(__xludf.DUMMYFUNCTION("""COMPUTED_VALUE"""),8.0)</f>
        <v>8</v>
      </c>
      <c r="B723" s="40" t="str">
        <f>IFERROR(__xludf.DUMMYFUNCTION("""COMPUTED_VALUE"""),"A104")</f>
        <v>A104</v>
      </c>
      <c r="C723" s="40"/>
      <c r="D723" s="41"/>
      <c r="E723" s="66"/>
      <c r="F723" s="43"/>
      <c r="G723" s="44"/>
      <c r="H723" s="33" t="str">
        <f>IFERROR(__xludf.DUMMYFUNCTION("""COMPUTED_VALUE""")," ")</f>
        <v> </v>
      </c>
      <c r="I723" s="45"/>
      <c r="J723" s="46" t="str">
        <f>IFERROR(__xludf.DUMMYFUNCTION("""COMPUTED_VALUE"""),"AP")</f>
        <v>AP</v>
      </c>
      <c r="K723" s="47"/>
      <c r="L723" s="48" t="str">
        <f>IFERROR(__xludf.DUMMYFUNCTION("""COMPUTED_VALUE"""),"%")</f>
        <v>%</v>
      </c>
      <c r="M723" s="49">
        <f>IFERROR(__xludf.DUMMYFUNCTION("""COMPUTED_VALUE"""),1.0)</f>
        <v>1</v>
      </c>
      <c r="N723" s="50"/>
      <c r="O723" s="38"/>
      <c r="P723" s="45" t="str">
        <f>IFERROR(__xludf.DUMMYFUNCTION("""COMPUTED_VALUE"""),"")</f>
        <v/>
      </c>
      <c r="Q723" s="46" t="str">
        <f>IFERROR(__xludf.DUMMYFUNCTION("""COMPUTED_VALUE"""),"AP")</f>
        <v>AP</v>
      </c>
      <c r="R723" s="47" t="str">
        <f>IFERROR(__xludf.DUMMYFUNCTION("""COMPUTED_VALUE"""),"")</f>
        <v/>
      </c>
      <c r="S723" s="48" t="str">
        <f>IFERROR(__xludf.DUMMYFUNCTION("""COMPUTED_VALUE"""),"%")</f>
        <v>%</v>
      </c>
      <c r="T723" s="49">
        <f>IFERROR(__xludf.DUMMYFUNCTION("""COMPUTED_VALUE"""),2.0)</f>
        <v>2</v>
      </c>
      <c r="U723" s="50"/>
      <c r="V723" s="38"/>
      <c r="W723" s="45" t="str">
        <f>IFERROR(__xludf.DUMMYFUNCTION("""COMPUTED_VALUE"""),"")</f>
        <v/>
      </c>
      <c r="X723" s="46" t="str">
        <f>IFERROR(__xludf.DUMMYFUNCTION("""COMPUTED_VALUE"""),"AP")</f>
        <v>AP</v>
      </c>
      <c r="Y723" s="47" t="str">
        <f>IFERROR(__xludf.DUMMYFUNCTION("""COMPUTED_VALUE"""),"")</f>
        <v/>
      </c>
      <c r="Z723" s="48" t="str">
        <f>IFERROR(__xludf.DUMMYFUNCTION("""COMPUTED_VALUE"""),"%")</f>
        <v>%</v>
      </c>
      <c r="AA723" s="49">
        <f>IFERROR(__xludf.DUMMYFUNCTION("""COMPUTED_VALUE"""),3.0)</f>
        <v>3</v>
      </c>
      <c r="AB723" s="50"/>
      <c r="AC723" s="38"/>
      <c r="AD723" s="45" t="str">
        <f>IFERROR(__xludf.DUMMYFUNCTION("""COMPUTED_VALUE"""),"")</f>
        <v/>
      </c>
      <c r="AE723" s="46" t="str">
        <f>IFERROR(__xludf.DUMMYFUNCTION("""COMPUTED_VALUE"""),"AP")</f>
        <v>AP</v>
      </c>
      <c r="AF723" s="47" t="str">
        <f>IFERROR(__xludf.DUMMYFUNCTION("""COMPUTED_VALUE"""),"")</f>
        <v/>
      </c>
      <c r="AG723" s="48" t="str">
        <f>IFERROR(__xludf.DUMMYFUNCTION("""COMPUTED_VALUE"""),"%")</f>
        <v>%</v>
      </c>
      <c r="AH723" s="43"/>
      <c r="AI723" s="44"/>
      <c r="AJ723" s="66"/>
    </row>
    <row r="724" ht="24.75" hidden="1" customHeight="1">
      <c r="A724" s="28">
        <f>IFERROR(__xludf.DUMMYFUNCTION("""COMPUTED_VALUE"""),9.0)</f>
        <v>9</v>
      </c>
      <c r="B724" s="28" t="str">
        <f>IFERROR(__xludf.DUMMYFUNCTION("""COMPUTED_VALUE"""),"A104")</f>
        <v>A104</v>
      </c>
      <c r="C724" s="28"/>
      <c r="D724" s="29"/>
      <c r="E724" s="67"/>
      <c r="F724" s="31"/>
      <c r="G724" s="32"/>
      <c r="H724" s="33" t="str">
        <f>IFERROR(__xludf.DUMMYFUNCTION("""COMPUTED_VALUE""")," ")</f>
        <v> </v>
      </c>
      <c r="I724" s="34"/>
      <c r="J724" s="35" t="str">
        <f>IFERROR(__xludf.DUMMYFUNCTION("""COMPUTED_VALUE"""),"AP")</f>
        <v>AP</v>
      </c>
      <c r="K724" s="34"/>
      <c r="L724" s="35" t="str">
        <f>IFERROR(__xludf.DUMMYFUNCTION("""COMPUTED_VALUE"""),"%")</f>
        <v>%</v>
      </c>
      <c r="M724" s="36">
        <f>IFERROR(__xludf.DUMMYFUNCTION("""COMPUTED_VALUE"""),1.0)</f>
        <v>1</v>
      </c>
      <c r="N724" s="37"/>
      <c r="O724" s="38"/>
      <c r="P724" s="34" t="str">
        <f>IFERROR(__xludf.DUMMYFUNCTION("""COMPUTED_VALUE"""),"")</f>
        <v/>
      </c>
      <c r="Q724" s="35" t="str">
        <f>IFERROR(__xludf.DUMMYFUNCTION("""COMPUTED_VALUE"""),"AP")</f>
        <v>AP</v>
      </c>
      <c r="R724" s="34" t="str">
        <f>IFERROR(__xludf.DUMMYFUNCTION("""COMPUTED_VALUE"""),"")</f>
        <v/>
      </c>
      <c r="S724" s="35" t="str">
        <f>IFERROR(__xludf.DUMMYFUNCTION("""COMPUTED_VALUE"""),"%")</f>
        <v>%</v>
      </c>
      <c r="T724" s="36">
        <f>IFERROR(__xludf.DUMMYFUNCTION("""COMPUTED_VALUE"""),2.0)</f>
        <v>2</v>
      </c>
      <c r="U724" s="37"/>
      <c r="V724" s="38"/>
      <c r="W724" s="34" t="str">
        <f>IFERROR(__xludf.DUMMYFUNCTION("""COMPUTED_VALUE"""),"")</f>
        <v/>
      </c>
      <c r="X724" s="35" t="str">
        <f>IFERROR(__xludf.DUMMYFUNCTION("""COMPUTED_VALUE"""),"AP")</f>
        <v>AP</v>
      </c>
      <c r="Y724" s="34" t="str">
        <f>IFERROR(__xludf.DUMMYFUNCTION("""COMPUTED_VALUE"""),"")</f>
        <v/>
      </c>
      <c r="Z724" s="35" t="str">
        <f>IFERROR(__xludf.DUMMYFUNCTION("""COMPUTED_VALUE"""),"%")</f>
        <v>%</v>
      </c>
      <c r="AA724" s="36">
        <f>IFERROR(__xludf.DUMMYFUNCTION("""COMPUTED_VALUE"""),3.0)</f>
        <v>3</v>
      </c>
      <c r="AB724" s="37"/>
      <c r="AC724" s="38"/>
      <c r="AD724" s="34" t="str">
        <f>IFERROR(__xludf.DUMMYFUNCTION("""COMPUTED_VALUE"""),"")</f>
        <v/>
      </c>
      <c r="AE724" s="35" t="str">
        <f>IFERROR(__xludf.DUMMYFUNCTION("""COMPUTED_VALUE"""),"AP")</f>
        <v>AP</v>
      </c>
      <c r="AF724" s="34" t="str">
        <f>IFERROR(__xludf.DUMMYFUNCTION("""COMPUTED_VALUE"""),"")</f>
        <v/>
      </c>
      <c r="AG724" s="35" t="str">
        <f>IFERROR(__xludf.DUMMYFUNCTION("""COMPUTED_VALUE"""),"%")</f>
        <v>%</v>
      </c>
      <c r="AH724" s="31"/>
      <c r="AI724" s="32"/>
      <c r="AJ724" s="67"/>
    </row>
    <row r="725" ht="24.75" hidden="1" customHeight="1">
      <c r="A725" s="40">
        <f>IFERROR(__xludf.DUMMYFUNCTION("""COMPUTED_VALUE"""),10.0)</f>
        <v>10</v>
      </c>
      <c r="B725" s="40" t="str">
        <f>IFERROR(__xludf.DUMMYFUNCTION("""COMPUTED_VALUE"""),"A104")</f>
        <v>A104</v>
      </c>
      <c r="C725" s="40"/>
      <c r="D725" s="41"/>
      <c r="E725" s="66"/>
      <c r="F725" s="43"/>
      <c r="G725" s="44"/>
      <c r="H725" s="33" t="str">
        <f>IFERROR(__xludf.DUMMYFUNCTION("""COMPUTED_VALUE""")," ")</f>
        <v> </v>
      </c>
      <c r="I725" s="45"/>
      <c r="J725" s="46" t="str">
        <f>IFERROR(__xludf.DUMMYFUNCTION("""COMPUTED_VALUE"""),"AP")</f>
        <v>AP</v>
      </c>
      <c r="K725" s="47"/>
      <c r="L725" s="48" t="str">
        <f>IFERROR(__xludf.DUMMYFUNCTION("""COMPUTED_VALUE"""),"%")</f>
        <v>%</v>
      </c>
      <c r="M725" s="49">
        <f>IFERROR(__xludf.DUMMYFUNCTION("""COMPUTED_VALUE"""),1.0)</f>
        <v>1</v>
      </c>
      <c r="N725" s="50"/>
      <c r="O725" s="38"/>
      <c r="P725" s="45" t="str">
        <f>IFERROR(__xludf.DUMMYFUNCTION("""COMPUTED_VALUE"""),"")</f>
        <v/>
      </c>
      <c r="Q725" s="46" t="str">
        <f>IFERROR(__xludf.DUMMYFUNCTION("""COMPUTED_VALUE"""),"AP")</f>
        <v>AP</v>
      </c>
      <c r="R725" s="47" t="str">
        <f>IFERROR(__xludf.DUMMYFUNCTION("""COMPUTED_VALUE"""),"")</f>
        <v/>
      </c>
      <c r="S725" s="48" t="str">
        <f>IFERROR(__xludf.DUMMYFUNCTION("""COMPUTED_VALUE"""),"%")</f>
        <v>%</v>
      </c>
      <c r="T725" s="49">
        <f>IFERROR(__xludf.DUMMYFUNCTION("""COMPUTED_VALUE"""),2.0)</f>
        <v>2</v>
      </c>
      <c r="U725" s="50"/>
      <c r="V725" s="38"/>
      <c r="W725" s="45" t="str">
        <f>IFERROR(__xludf.DUMMYFUNCTION("""COMPUTED_VALUE"""),"")</f>
        <v/>
      </c>
      <c r="X725" s="46" t="str">
        <f>IFERROR(__xludf.DUMMYFUNCTION("""COMPUTED_VALUE"""),"AP")</f>
        <v>AP</v>
      </c>
      <c r="Y725" s="47" t="str">
        <f>IFERROR(__xludf.DUMMYFUNCTION("""COMPUTED_VALUE"""),"")</f>
        <v/>
      </c>
      <c r="Z725" s="48" t="str">
        <f>IFERROR(__xludf.DUMMYFUNCTION("""COMPUTED_VALUE"""),"%")</f>
        <v>%</v>
      </c>
      <c r="AA725" s="49">
        <f>IFERROR(__xludf.DUMMYFUNCTION("""COMPUTED_VALUE"""),3.0)</f>
        <v>3</v>
      </c>
      <c r="AB725" s="50"/>
      <c r="AC725" s="38"/>
      <c r="AD725" s="45" t="str">
        <f>IFERROR(__xludf.DUMMYFUNCTION("""COMPUTED_VALUE"""),"")</f>
        <v/>
      </c>
      <c r="AE725" s="46" t="str">
        <f>IFERROR(__xludf.DUMMYFUNCTION("""COMPUTED_VALUE"""),"AP")</f>
        <v>AP</v>
      </c>
      <c r="AF725" s="47" t="str">
        <f>IFERROR(__xludf.DUMMYFUNCTION("""COMPUTED_VALUE"""),"")</f>
        <v/>
      </c>
      <c r="AG725" s="48" t="str">
        <f>IFERROR(__xludf.DUMMYFUNCTION("""COMPUTED_VALUE"""),"%")</f>
        <v>%</v>
      </c>
      <c r="AH725" s="43"/>
      <c r="AI725" s="44"/>
      <c r="AJ725" s="66"/>
    </row>
    <row r="726" ht="24.75" hidden="1" customHeight="1">
      <c r="A726" s="28">
        <f>IFERROR(__xludf.DUMMYFUNCTION("""COMPUTED_VALUE"""),11.0)</f>
        <v>11</v>
      </c>
      <c r="B726" s="28" t="str">
        <f>IFERROR(__xludf.DUMMYFUNCTION("""COMPUTED_VALUE"""),"A104")</f>
        <v>A104</v>
      </c>
      <c r="C726" s="28"/>
      <c r="D726" s="29"/>
      <c r="E726" s="67"/>
      <c r="F726" s="31"/>
      <c r="G726" s="32"/>
      <c r="H726" s="33" t="str">
        <f>IFERROR(__xludf.DUMMYFUNCTION("""COMPUTED_VALUE""")," ")</f>
        <v> </v>
      </c>
      <c r="I726" s="34"/>
      <c r="J726" s="35" t="str">
        <f>IFERROR(__xludf.DUMMYFUNCTION("""COMPUTED_VALUE"""),"AP")</f>
        <v>AP</v>
      </c>
      <c r="K726" s="34"/>
      <c r="L726" s="35" t="str">
        <f>IFERROR(__xludf.DUMMYFUNCTION("""COMPUTED_VALUE"""),"%")</f>
        <v>%</v>
      </c>
      <c r="M726" s="36">
        <f>IFERROR(__xludf.DUMMYFUNCTION("""COMPUTED_VALUE"""),1.0)</f>
        <v>1</v>
      </c>
      <c r="N726" s="37"/>
      <c r="O726" s="38"/>
      <c r="P726" s="34" t="str">
        <f>IFERROR(__xludf.DUMMYFUNCTION("""COMPUTED_VALUE"""),"")</f>
        <v/>
      </c>
      <c r="Q726" s="35" t="str">
        <f>IFERROR(__xludf.DUMMYFUNCTION("""COMPUTED_VALUE"""),"AP")</f>
        <v>AP</v>
      </c>
      <c r="R726" s="34" t="str">
        <f>IFERROR(__xludf.DUMMYFUNCTION("""COMPUTED_VALUE"""),"")</f>
        <v/>
      </c>
      <c r="S726" s="35" t="str">
        <f>IFERROR(__xludf.DUMMYFUNCTION("""COMPUTED_VALUE"""),"%")</f>
        <v>%</v>
      </c>
      <c r="T726" s="36">
        <f>IFERROR(__xludf.DUMMYFUNCTION("""COMPUTED_VALUE"""),2.0)</f>
        <v>2</v>
      </c>
      <c r="U726" s="37"/>
      <c r="V726" s="38"/>
      <c r="W726" s="34" t="str">
        <f>IFERROR(__xludf.DUMMYFUNCTION("""COMPUTED_VALUE"""),"")</f>
        <v/>
      </c>
      <c r="X726" s="35" t="str">
        <f>IFERROR(__xludf.DUMMYFUNCTION("""COMPUTED_VALUE"""),"AP")</f>
        <v>AP</v>
      </c>
      <c r="Y726" s="34" t="str">
        <f>IFERROR(__xludf.DUMMYFUNCTION("""COMPUTED_VALUE"""),"")</f>
        <v/>
      </c>
      <c r="Z726" s="35" t="str">
        <f>IFERROR(__xludf.DUMMYFUNCTION("""COMPUTED_VALUE"""),"%")</f>
        <v>%</v>
      </c>
      <c r="AA726" s="36">
        <f>IFERROR(__xludf.DUMMYFUNCTION("""COMPUTED_VALUE"""),3.0)</f>
        <v>3</v>
      </c>
      <c r="AB726" s="37"/>
      <c r="AC726" s="38"/>
      <c r="AD726" s="34" t="str">
        <f>IFERROR(__xludf.DUMMYFUNCTION("""COMPUTED_VALUE"""),"")</f>
        <v/>
      </c>
      <c r="AE726" s="35" t="str">
        <f>IFERROR(__xludf.DUMMYFUNCTION("""COMPUTED_VALUE"""),"AP")</f>
        <v>AP</v>
      </c>
      <c r="AF726" s="34" t="str">
        <f>IFERROR(__xludf.DUMMYFUNCTION("""COMPUTED_VALUE"""),"")</f>
        <v/>
      </c>
      <c r="AG726" s="35" t="str">
        <f>IFERROR(__xludf.DUMMYFUNCTION("""COMPUTED_VALUE"""),"%")</f>
        <v>%</v>
      </c>
      <c r="AH726" s="31"/>
      <c r="AI726" s="32"/>
      <c r="AJ726" s="67"/>
    </row>
    <row r="727" ht="24.75" hidden="1" customHeight="1">
      <c r="A727" s="40">
        <f>IFERROR(__xludf.DUMMYFUNCTION("""COMPUTED_VALUE"""),12.0)</f>
        <v>12</v>
      </c>
      <c r="B727" s="40" t="str">
        <f>IFERROR(__xludf.DUMMYFUNCTION("""COMPUTED_VALUE"""),"A104")</f>
        <v>A104</v>
      </c>
      <c r="C727" s="40"/>
      <c r="D727" s="41"/>
      <c r="E727" s="66"/>
      <c r="F727" s="43"/>
      <c r="G727" s="44"/>
      <c r="H727" s="33" t="str">
        <f>IFERROR(__xludf.DUMMYFUNCTION("""COMPUTED_VALUE""")," ")</f>
        <v> </v>
      </c>
      <c r="I727" s="45"/>
      <c r="J727" s="46" t="str">
        <f>IFERROR(__xludf.DUMMYFUNCTION("""COMPUTED_VALUE"""),"AP")</f>
        <v>AP</v>
      </c>
      <c r="K727" s="47"/>
      <c r="L727" s="48" t="str">
        <f>IFERROR(__xludf.DUMMYFUNCTION("""COMPUTED_VALUE"""),"%")</f>
        <v>%</v>
      </c>
      <c r="M727" s="49">
        <f>IFERROR(__xludf.DUMMYFUNCTION("""COMPUTED_VALUE"""),1.0)</f>
        <v>1</v>
      </c>
      <c r="N727" s="50"/>
      <c r="O727" s="38"/>
      <c r="P727" s="45" t="str">
        <f>IFERROR(__xludf.DUMMYFUNCTION("""COMPUTED_VALUE"""),"")</f>
        <v/>
      </c>
      <c r="Q727" s="46" t="str">
        <f>IFERROR(__xludf.DUMMYFUNCTION("""COMPUTED_VALUE"""),"AP")</f>
        <v>AP</v>
      </c>
      <c r="R727" s="47" t="str">
        <f>IFERROR(__xludf.DUMMYFUNCTION("""COMPUTED_VALUE"""),"")</f>
        <v/>
      </c>
      <c r="S727" s="48" t="str">
        <f>IFERROR(__xludf.DUMMYFUNCTION("""COMPUTED_VALUE"""),"%")</f>
        <v>%</v>
      </c>
      <c r="T727" s="49">
        <f>IFERROR(__xludf.DUMMYFUNCTION("""COMPUTED_VALUE"""),2.0)</f>
        <v>2</v>
      </c>
      <c r="U727" s="50"/>
      <c r="V727" s="38"/>
      <c r="W727" s="45" t="str">
        <f>IFERROR(__xludf.DUMMYFUNCTION("""COMPUTED_VALUE"""),"")</f>
        <v/>
      </c>
      <c r="X727" s="46" t="str">
        <f>IFERROR(__xludf.DUMMYFUNCTION("""COMPUTED_VALUE"""),"AP")</f>
        <v>AP</v>
      </c>
      <c r="Y727" s="47" t="str">
        <f>IFERROR(__xludf.DUMMYFUNCTION("""COMPUTED_VALUE"""),"")</f>
        <v/>
      </c>
      <c r="Z727" s="48" t="str">
        <f>IFERROR(__xludf.DUMMYFUNCTION("""COMPUTED_VALUE"""),"%")</f>
        <v>%</v>
      </c>
      <c r="AA727" s="49">
        <f>IFERROR(__xludf.DUMMYFUNCTION("""COMPUTED_VALUE"""),3.0)</f>
        <v>3</v>
      </c>
      <c r="AB727" s="50"/>
      <c r="AC727" s="38"/>
      <c r="AD727" s="45" t="str">
        <f>IFERROR(__xludf.DUMMYFUNCTION("""COMPUTED_VALUE"""),"")</f>
        <v/>
      </c>
      <c r="AE727" s="46" t="str">
        <f>IFERROR(__xludf.DUMMYFUNCTION("""COMPUTED_VALUE"""),"AP")</f>
        <v>AP</v>
      </c>
      <c r="AF727" s="47" t="str">
        <f>IFERROR(__xludf.DUMMYFUNCTION("""COMPUTED_VALUE"""),"")</f>
        <v/>
      </c>
      <c r="AG727" s="48" t="str">
        <f>IFERROR(__xludf.DUMMYFUNCTION("""COMPUTED_VALUE"""),"%")</f>
        <v>%</v>
      </c>
      <c r="AH727" s="43"/>
      <c r="AI727" s="44"/>
      <c r="AJ727" s="66"/>
    </row>
    <row r="728" ht="24.75" hidden="1" customHeight="1">
      <c r="A728" s="28">
        <f>IFERROR(__xludf.DUMMYFUNCTION("""COMPUTED_VALUE"""),13.0)</f>
        <v>13</v>
      </c>
      <c r="B728" s="28" t="str">
        <f>IFERROR(__xludf.DUMMYFUNCTION("""COMPUTED_VALUE"""),"A104")</f>
        <v>A104</v>
      </c>
      <c r="C728" s="28"/>
      <c r="D728" s="29"/>
      <c r="E728" s="67"/>
      <c r="F728" s="31"/>
      <c r="G728" s="32"/>
      <c r="H728" s="33" t="str">
        <f>IFERROR(__xludf.DUMMYFUNCTION("""COMPUTED_VALUE""")," ")</f>
        <v> </v>
      </c>
      <c r="I728" s="34"/>
      <c r="J728" s="35" t="str">
        <f>IFERROR(__xludf.DUMMYFUNCTION("""COMPUTED_VALUE"""),"AP")</f>
        <v>AP</v>
      </c>
      <c r="K728" s="34"/>
      <c r="L728" s="35" t="str">
        <f>IFERROR(__xludf.DUMMYFUNCTION("""COMPUTED_VALUE"""),"%")</f>
        <v>%</v>
      </c>
      <c r="M728" s="36">
        <f>IFERROR(__xludf.DUMMYFUNCTION("""COMPUTED_VALUE"""),1.0)</f>
        <v>1</v>
      </c>
      <c r="N728" s="37"/>
      <c r="O728" s="38"/>
      <c r="P728" s="34" t="str">
        <f>IFERROR(__xludf.DUMMYFUNCTION("""COMPUTED_VALUE"""),"")</f>
        <v/>
      </c>
      <c r="Q728" s="35" t="str">
        <f>IFERROR(__xludf.DUMMYFUNCTION("""COMPUTED_VALUE"""),"AP")</f>
        <v>AP</v>
      </c>
      <c r="R728" s="34" t="str">
        <f>IFERROR(__xludf.DUMMYFUNCTION("""COMPUTED_VALUE"""),"")</f>
        <v/>
      </c>
      <c r="S728" s="35" t="str">
        <f>IFERROR(__xludf.DUMMYFUNCTION("""COMPUTED_VALUE"""),"%")</f>
        <v>%</v>
      </c>
      <c r="T728" s="36">
        <f>IFERROR(__xludf.DUMMYFUNCTION("""COMPUTED_VALUE"""),2.0)</f>
        <v>2</v>
      </c>
      <c r="U728" s="37"/>
      <c r="V728" s="38"/>
      <c r="W728" s="34" t="str">
        <f>IFERROR(__xludf.DUMMYFUNCTION("""COMPUTED_VALUE"""),"")</f>
        <v/>
      </c>
      <c r="X728" s="35" t="str">
        <f>IFERROR(__xludf.DUMMYFUNCTION("""COMPUTED_VALUE"""),"AP")</f>
        <v>AP</v>
      </c>
      <c r="Y728" s="34" t="str">
        <f>IFERROR(__xludf.DUMMYFUNCTION("""COMPUTED_VALUE"""),"")</f>
        <v/>
      </c>
      <c r="Z728" s="35" t="str">
        <f>IFERROR(__xludf.DUMMYFUNCTION("""COMPUTED_VALUE"""),"%")</f>
        <v>%</v>
      </c>
      <c r="AA728" s="36">
        <f>IFERROR(__xludf.DUMMYFUNCTION("""COMPUTED_VALUE"""),3.0)</f>
        <v>3</v>
      </c>
      <c r="AB728" s="37"/>
      <c r="AC728" s="38"/>
      <c r="AD728" s="34" t="str">
        <f>IFERROR(__xludf.DUMMYFUNCTION("""COMPUTED_VALUE"""),"")</f>
        <v/>
      </c>
      <c r="AE728" s="35" t="str">
        <f>IFERROR(__xludf.DUMMYFUNCTION("""COMPUTED_VALUE"""),"AP")</f>
        <v>AP</v>
      </c>
      <c r="AF728" s="34" t="str">
        <f>IFERROR(__xludf.DUMMYFUNCTION("""COMPUTED_VALUE"""),"")</f>
        <v/>
      </c>
      <c r="AG728" s="35" t="str">
        <f>IFERROR(__xludf.DUMMYFUNCTION("""COMPUTED_VALUE"""),"%")</f>
        <v>%</v>
      </c>
      <c r="AH728" s="31"/>
      <c r="AI728" s="32"/>
      <c r="AJ728" s="67"/>
    </row>
    <row r="729" ht="24.75" hidden="1" customHeight="1">
      <c r="A729" s="40">
        <f>IFERROR(__xludf.DUMMYFUNCTION("""COMPUTED_VALUE"""),14.0)</f>
        <v>14</v>
      </c>
      <c r="B729" s="40" t="str">
        <f>IFERROR(__xludf.DUMMYFUNCTION("""COMPUTED_VALUE"""),"A104")</f>
        <v>A104</v>
      </c>
      <c r="C729" s="40"/>
      <c r="D729" s="41"/>
      <c r="E729" s="66"/>
      <c r="F729" s="43"/>
      <c r="G729" s="44"/>
      <c r="H729" s="33" t="str">
        <f>IFERROR(__xludf.DUMMYFUNCTION("""COMPUTED_VALUE""")," ")</f>
        <v> </v>
      </c>
      <c r="I729" s="45"/>
      <c r="J729" s="46" t="str">
        <f>IFERROR(__xludf.DUMMYFUNCTION("""COMPUTED_VALUE"""),"AP")</f>
        <v>AP</v>
      </c>
      <c r="K729" s="47"/>
      <c r="L729" s="48" t="str">
        <f>IFERROR(__xludf.DUMMYFUNCTION("""COMPUTED_VALUE"""),"%")</f>
        <v>%</v>
      </c>
      <c r="M729" s="49">
        <f>IFERROR(__xludf.DUMMYFUNCTION("""COMPUTED_VALUE"""),1.0)</f>
        <v>1</v>
      </c>
      <c r="N729" s="50"/>
      <c r="O729" s="38"/>
      <c r="P729" s="45" t="str">
        <f>IFERROR(__xludf.DUMMYFUNCTION("""COMPUTED_VALUE"""),"")</f>
        <v/>
      </c>
      <c r="Q729" s="46" t="str">
        <f>IFERROR(__xludf.DUMMYFUNCTION("""COMPUTED_VALUE"""),"AP")</f>
        <v>AP</v>
      </c>
      <c r="R729" s="47" t="str">
        <f>IFERROR(__xludf.DUMMYFUNCTION("""COMPUTED_VALUE"""),"")</f>
        <v/>
      </c>
      <c r="S729" s="48" t="str">
        <f>IFERROR(__xludf.DUMMYFUNCTION("""COMPUTED_VALUE"""),"%")</f>
        <v>%</v>
      </c>
      <c r="T729" s="49">
        <f>IFERROR(__xludf.DUMMYFUNCTION("""COMPUTED_VALUE"""),2.0)</f>
        <v>2</v>
      </c>
      <c r="U729" s="50"/>
      <c r="V729" s="38"/>
      <c r="W729" s="45" t="str">
        <f>IFERROR(__xludf.DUMMYFUNCTION("""COMPUTED_VALUE"""),"")</f>
        <v/>
      </c>
      <c r="X729" s="46" t="str">
        <f>IFERROR(__xludf.DUMMYFUNCTION("""COMPUTED_VALUE"""),"AP")</f>
        <v>AP</v>
      </c>
      <c r="Y729" s="47" t="str">
        <f>IFERROR(__xludf.DUMMYFUNCTION("""COMPUTED_VALUE"""),"")</f>
        <v/>
      </c>
      <c r="Z729" s="48" t="str">
        <f>IFERROR(__xludf.DUMMYFUNCTION("""COMPUTED_VALUE"""),"%")</f>
        <v>%</v>
      </c>
      <c r="AA729" s="49">
        <f>IFERROR(__xludf.DUMMYFUNCTION("""COMPUTED_VALUE"""),3.0)</f>
        <v>3</v>
      </c>
      <c r="AB729" s="50"/>
      <c r="AC729" s="38"/>
      <c r="AD729" s="45" t="str">
        <f>IFERROR(__xludf.DUMMYFUNCTION("""COMPUTED_VALUE"""),"")</f>
        <v/>
      </c>
      <c r="AE729" s="46" t="str">
        <f>IFERROR(__xludf.DUMMYFUNCTION("""COMPUTED_VALUE"""),"AP")</f>
        <v>AP</v>
      </c>
      <c r="AF729" s="47" t="str">
        <f>IFERROR(__xludf.DUMMYFUNCTION("""COMPUTED_VALUE"""),"")</f>
        <v/>
      </c>
      <c r="AG729" s="48" t="str">
        <f>IFERROR(__xludf.DUMMYFUNCTION("""COMPUTED_VALUE"""),"%")</f>
        <v>%</v>
      </c>
      <c r="AH729" s="43"/>
      <c r="AI729" s="44"/>
      <c r="AJ729" s="66"/>
    </row>
    <row r="730" ht="24.75" hidden="1" customHeight="1">
      <c r="A730" s="28">
        <f>IFERROR(__xludf.DUMMYFUNCTION("""COMPUTED_VALUE"""),15.0)</f>
        <v>15</v>
      </c>
      <c r="B730" s="28" t="str">
        <f>IFERROR(__xludf.DUMMYFUNCTION("""COMPUTED_VALUE"""),"A104")</f>
        <v>A104</v>
      </c>
      <c r="C730" s="28"/>
      <c r="D730" s="29"/>
      <c r="E730" s="67"/>
      <c r="F730" s="31"/>
      <c r="G730" s="32"/>
      <c r="H730" s="33" t="str">
        <f>IFERROR(__xludf.DUMMYFUNCTION("""COMPUTED_VALUE""")," ")</f>
        <v> </v>
      </c>
      <c r="I730" s="34"/>
      <c r="J730" s="35" t="str">
        <f>IFERROR(__xludf.DUMMYFUNCTION("""COMPUTED_VALUE"""),"AP")</f>
        <v>AP</v>
      </c>
      <c r="K730" s="34"/>
      <c r="L730" s="35" t="str">
        <f>IFERROR(__xludf.DUMMYFUNCTION("""COMPUTED_VALUE"""),"%")</f>
        <v>%</v>
      </c>
      <c r="M730" s="36">
        <f>IFERROR(__xludf.DUMMYFUNCTION("""COMPUTED_VALUE"""),1.0)</f>
        <v>1</v>
      </c>
      <c r="N730" s="37"/>
      <c r="O730" s="38"/>
      <c r="P730" s="34" t="str">
        <f>IFERROR(__xludf.DUMMYFUNCTION("""COMPUTED_VALUE"""),"")</f>
        <v/>
      </c>
      <c r="Q730" s="35" t="str">
        <f>IFERROR(__xludf.DUMMYFUNCTION("""COMPUTED_VALUE"""),"AP")</f>
        <v>AP</v>
      </c>
      <c r="R730" s="34" t="str">
        <f>IFERROR(__xludf.DUMMYFUNCTION("""COMPUTED_VALUE"""),"")</f>
        <v/>
      </c>
      <c r="S730" s="35" t="str">
        <f>IFERROR(__xludf.DUMMYFUNCTION("""COMPUTED_VALUE"""),"%")</f>
        <v>%</v>
      </c>
      <c r="T730" s="36">
        <f>IFERROR(__xludf.DUMMYFUNCTION("""COMPUTED_VALUE"""),2.0)</f>
        <v>2</v>
      </c>
      <c r="U730" s="37"/>
      <c r="V730" s="38"/>
      <c r="W730" s="34" t="str">
        <f>IFERROR(__xludf.DUMMYFUNCTION("""COMPUTED_VALUE"""),"")</f>
        <v/>
      </c>
      <c r="X730" s="35" t="str">
        <f>IFERROR(__xludf.DUMMYFUNCTION("""COMPUTED_VALUE"""),"AP")</f>
        <v>AP</v>
      </c>
      <c r="Y730" s="34" t="str">
        <f>IFERROR(__xludf.DUMMYFUNCTION("""COMPUTED_VALUE"""),"")</f>
        <v/>
      </c>
      <c r="Z730" s="35" t="str">
        <f>IFERROR(__xludf.DUMMYFUNCTION("""COMPUTED_VALUE"""),"%")</f>
        <v>%</v>
      </c>
      <c r="AA730" s="36">
        <f>IFERROR(__xludf.DUMMYFUNCTION("""COMPUTED_VALUE"""),3.0)</f>
        <v>3</v>
      </c>
      <c r="AB730" s="37"/>
      <c r="AC730" s="38"/>
      <c r="AD730" s="34" t="str">
        <f>IFERROR(__xludf.DUMMYFUNCTION("""COMPUTED_VALUE"""),"")</f>
        <v/>
      </c>
      <c r="AE730" s="35" t="str">
        <f>IFERROR(__xludf.DUMMYFUNCTION("""COMPUTED_VALUE"""),"AP")</f>
        <v>AP</v>
      </c>
      <c r="AF730" s="34" t="str">
        <f>IFERROR(__xludf.DUMMYFUNCTION("""COMPUTED_VALUE"""),"")</f>
        <v/>
      </c>
      <c r="AG730" s="35" t="str">
        <f>IFERROR(__xludf.DUMMYFUNCTION("""COMPUTED_VALUE"""),"%")</f>
        <v>%</v>
      </c>
      <c r="AH730" s="31"/>
      <c r="AI730" s="32"/>
      <c r="AJ730" s="67"/>
    </row>
    <row r="731" ht="24.75" hidden="1" customHeight="1">
      <c r="A731" s="40">
        <f>IFERROR(__xludf.DUMMYFUNCTION("""COMPUTED_VALUE"""),16.0)</f>
        <v>16</v>
      </c>
      <c r="B731" s="40" t="str">
        <f>IFERROR(__xludf.DUMMYFUNCTION("""COMPUTED_VALUE"""),"A104")</f>
        <v>A104</v>
      </c>
      <c r="C731" s="40"/>
      <c r="D731" s="41"/>
      <c r="E731" s="66"/>
      <c r="F731" s="43"/>
      <c r="G731" s="44"/>
      <c r="H731" s="33" t="str">
        <f>IFERROR(__xludf.DUMMYFUNCTION("""COMPUTED_VALUE""")," ")</f>
        <v> </v>
      </c>
      <c r="I731" s="45"/>
      <c r="J731" s="46" t="str">
        <f>IFERROR(__xludf.DUMMYFUNCTION("""COMPUTED_VALUE"""),"AP")</f>
        <v>AP</v>
      </c>
      <c r="K731" s="47"/>
      <c r="L731" s="48" t="str">
        <f>IFERROR(__xludf.DUMMYFUNCTION("""COMPUTED_VALUE"""),"%")</f>
        <v>%</v>
      </c>
      <c r="M731" s="49">
        <f>IFERROR(__xludf.DUMMYFUNCTION("""COMPUTED_VALUE"""),1.0)</f>
        <v>1</v>
      </c>
      <c r="N731" s="50"/>
      <c r="O731" s="38"/>
      <c r="P731" s="45" t="str">
        <f>IFERROR(__xludf.DUMMYFUNCTION("""COMPUTED_VALUE"""),"")</f>
        <v/>
      </c>
      <c r="Q731" s="46" t="str">
        <f>IFERROR(__xludf.DUMMYFUNCTION("""COMPUTED_VALUE"""),"AP")</f>
        <v>AP</v>
      </c>
      <c r="R731" s="47" t="str">
        <f>IFERROR(__xludf.DUMMYFUNCTION("""COMPUTED_VALUE"""),"")</f>
        <v/>
      </c>
      <c r="S731" s="48" t="str">
        <f>IFERROR(__xludf.DUMMYFUNCTION("""COMPUTED_VALUE"""),"%")</f>
        <v>%</v>
      </c>
      <c r="T731" s="49">
        <f>IFERROR(__xludf.DUMMYFUNCTION("""COMPUTED_VALUE"""),2.0)</f>
        <v>2</v>
      </c>
      <c r="U731" s="50"/>
      <c r="V731" s="38"/>
      <c r="W731" s="45" t="str">
        <f>IFERROR(__xludf.DUMMYFUNCTION("""COMPUTED_VALUE"""),"")</f>
        <v/>
      </c>
      <c r="X731" s="46" t="str">
        <f>IFERROR(__xludf.DUMMYFUNCTION("""COMPUTED_VALUE"""),"AP")</f>
        <v>AP</v>
      </c>
      <c r="Y731" s="47" t="str">
        <f>IFERROR(__xludf.DUMMYFUNCTION("""COMPUTED_VALUE"""),"")</f>
        <v/>
      </c>
      <c r="Z731" s="48" t="str">
        <f>IFERROR(__xludf.DUMMYFUNCTION("""COMPUTED_VALUE"""),"%")</f>
        <v>%</v>
      </c>
      <c r="AA731" s="49">
        <f>IFERROR(__xludf.DUMMYFUNCTION("""COMPUTED_VALUE"""),3.0)</f>
        <v>3</v>
      </c>
      <c r="AB731" s="50"/>
      <c r="AC731" s="38"/>
      <c r="AD731" s="45" t="str">
        <f>IFERROR(__xludf.DUMMYFUNCTION("""COMPUTED_VALUE"""),"")</f>
        <v/>
      </c>
      <c r="AE731" s="46" t="str">
        <f>IFERROR(__xludf.DUMMYFUNCTION("""COMPUTED_VALUE"""),"AP")</f>
        <v>AP</v>
      </c>
      <c r="AF731" s="47" t="str">
        <f>IFERROR(__xludf.DUMMYFUNCTION("""COMPUTED_VALUE"""),"")</f>
        <v/>
      </c>
      <c r="AG731" s="48" t="str">
        <f>IFERROR(__xludf.DUMMYFUNCTION("""COMPUTED_VALUE"""),"%")</f>
        <v>%</v>
      </c>
      <c r="AH731" s="43"/>
      <c r="AI731" s="44"/>
      <c r="AJ731" s="66"/>
    </row>
    <row r="732" ht="24.75" hidden="1" customHeight="1">
      <c r="A732" s="28">
        <f>IFERROR(__xludf.DUMMYFUNCTION("""COMPUTED_VALUE"""),17.0)</f>
        <v>17</v>
      </c>
      <c r="B732" s="28" t="str">
        <f>IFERROR(__xludf.DUMMYFUNCTION("""COMPUTED_VALUE"""),"A104")</f>
        <v>A104</v>
      </c>
      <c r="C732" s="28"/>
      <c r="D732" s="29"/>
      <c r="E732" s="67"/>
      <c r="F732" s="31"/>
      <c r="G732" s="32"/>
      <c r="H732" s="33" t="str">
        <f>IFERROR(__xludf.DUMMYFUNCTION("""COMPUTED_VALUE""")," ")</f>
        <v> </v>
      </c>
      <c r="I732" s="34"/>
      <c r="J732" s="35" t="str">
        <f>IFERROR(__xludf.DUMMYFUNCTION("""COMPUTED_VALUE"""),"AP")</f>
        <v>AP</v>
      </c>
      <c r="K732" s="34"/>
      <c r="L732" s="35" t="str">
        <f>IFERROR(__xludf.DUMMYFUNCTION("""COMPUTED_VALUE"""),"%")</f>
        <v>%</v>
      </c>
      <c r="M732" s="36">
        <f>IFERROR(__xludf.DUMMYFUNCTION("""COMPUTED_VALUE"""),1.0)</f>
        <v>1</v>
      </c>
      <c r="N732" s="37"/>
      <c r="O732" s="38"/>
      <c r="P732" s="34" t="str">
        <f>IFERROR(__xludf.DUMMYFUNCTION("""COMPUTED_VALUE"""),"")</f>
        <v/>
      </c>
      <c r="Q732" s="35" t="str">
        <f>IFERROR(__xludf.DUMMYFUNCTION("""COMPUTED_VALUE"""),"AP")</f>
        <v>AP</v>
      </c>
      <c r="R732" s="34" t="str">
        <f>IFERROR(__xludf.DUMMYFUNCTION("""COMPUTED_VALUE"""),"")</f>
        <v/>
      </c>
      <c r="S732" s="35" t="str">
        <f>IFERROR(__xludf.DUMMYFUNCTION("""COMPUTED_VALUE"""),"%")</f>
        <v>%</v>
      </c>
      <c r="T732" s="36">
        <f>IFERROR(__xludf.DUMMYFUNCTION("""COMPUTED_VALUE"""),2.0)</f>
        <v>2</v>
      </c>
      <c r="U732" s="37"/>
      <c r="V732" s="38"/>
      <c r="W732" s="34" t="str">
        <f>IFERROR(__xludf.DUMMYFUNCTION("""COMPUTED_VALUE"""),"")</f>
        <v/>
      </c>
      <c r="X732" s="35" t="str">
        <f>IFERROR(__xludf.DUMMYFUNCTION("""COMPUTED_VALUE"""),"AP")</f>
        <v>AP</v>
      </c>
      <c r="Y732" s="34" t="str">
        <f>IFERROR(__xludf.DUMMYFUNCTION("""COMPUTED_VALUE"""),"")</f>
        <v/>
      </c>
      <c r="Z732" s="35" t="str">
        <f>IFERROR(__xludf.DUMMYFUNCTION("""COMPUTED_VALUE"""),"%")</f>
        <v>%</v>
      </c>
      <c r="AA732" s="36">
        <f>IFERROR(__xludf.DUMMYFUNCTION("""COMPUTED_VALUE"""),3.0)</f>
        <v>3</v>
      </c>
      <c r="AB732" s="37"/>
      <c r="AC732" s="38"/>
      <c r="AD732" s="34" t="str">
        <f>IFERROR(__xludf.DUMMYFUNCTION("""COMPUTED_VALUE"""),"")</f>
        <v/>
      </c>
      <c r="AE732" s="35" t="str">
        <f>IFERROR(__xludf.DUMMYFUNCTION("""COMPUTED_VALUE"""),"AP")</f>
        <v>AP</v>
      </c>
      <c r="AF732" s="34" t="str">
        <f>IFERROR(__xludf.DUMMYFUNCTION("""COMPUTED_VALUE"""),"")</f>
        <v/>
      </c>
      <c r="AG732" s="35" t="str">
        <f>IFERROR(__xludf.DUMMYFUNCTION("""COMPUTED_VALUE"""),"%")</f>
        <v>%</v>
      </c>
      <c r="AH732" s="31"/>
      <c r="AI732" s="32"/>
      <c r="AJ732" s="67"/>
    </row>
    <row r="733" ht="24.75" hidden="1" customHeight="1">
      <c r="A733" s="40">
        <f>IFERROR(__xludf.DUMMYFUNCTION("""COMPUTED_VALUE"""),18.0)</f>
        <v>18</v>
      </c>
      <c r="B733" s="40" t="str">
        <f>IFERROR(__xludf.DUMMYFUNCTION("""COMPUTED_VALUE"""),"A104")</f>
        <v>A104</v>
      </c>
      <c r="C733" s="40"/>
      <c r="D733" s="41"/>
      <c r="E733" s="66"/>
      <c r="F733" s="43"/>
      <c r="G733" s="44"/>
      <c r="H733" s="33" t="str">
        <f>IFERROR(__xludf.DUMMYFUNCTION("""COMPUTED_VALUE""")," ")</f>
        <v> </v>
      </c>
      <c r="I733" s="45"/>
      <c r="J733" s="46" t="str">
        <f>IFERROR(__xludf.DUMMYFUNCTION("""COMPUTED_VALUE"""),"AP")</f>
        <v>AP</v>
      </c>
      <c r="K733" s="47"/>
      <c r="L733" s="48" t="str">
        <f>IFERROR(__xludf.DUMMYFUNCTION("""COMPUTED_VALUE"""),"%")</f>
        <v>%</v>
      </c>
      <c r="M733" s="49">
        <f>IFERROR(__xludf.DUMMYFUNCTION("""COMPUTED_VALUE"""),1.0)</f>
        <v>1</v>
      </c>
      <c r="N733" s="50"/>
      <c r="O733" s="38"/>
      <c r="P733" s="45" t="str">
        <f>IFERROR(__xludf.DUMMYFUNCTION("""COMPUTED_VALUE"""),"")</f>
        <v/>
      </c>
      <c r="Q733" s="46" t="str">
        <f>IFERROR(__xludf.DUMMYFUNCTION("""COMPUTED_VALUE"""),"AP")</f>
        <v>AP</v>
      </c>
      <c r="R733" s="47" t="str">
        <f>IFERROR(__xludf.DUMMYFUNCTION("""COMPUTED_VALUE"""),"")</f>
        <v/>
      </c>
      <c r="S733" s="48" t="str">
        <f>IFERROR(__xludf.DUMMYFUNCTION("""COMPUTED_VALUE"""),"%")</f>
        <v>%</v>
      </c>
      <c r="T733" s="49">
        <f>IFERROR(__xludf.DUMMYFUNCTION("""COMPUTED_VALUE"""),2.0)</f>
        <v>2</v>
      </c>
      <c r="U733" s="50"/>
      <c r="V733" s="38"/>
      <c r="W733" s="45" t="str">
        <f>IFERROR(__xludf.DUMMYFUNCTION("""COMPUTED_VALUE"""),"")</f>
        <v/>
      </c>
      <c r="X733" s="46" t="str">
        <f>IFERROR(__xludf.DUMMYFUNCTION("""COMPUTED_VALUE"""),"AP")</f>
        <v>AP</v>
      </c>
      <c r="Y733" s="47" t="str">
        <f>IFERROR(__xludf.DUMMYFUNCTION("""COMPUTED_VALUE"""),"")</f>
        <v/>
      </c>
      <c r="Z733" s="48" t="str">
        <f>IFERROR(__xludf.DUMMYFUNCTION("""COMPUTED_VALUE"""),"%")</f>
        <v>%</v>
      </c>
      <c r="AA733" s="49">
        <f>IFERROR(__xludf.DUMMYFUNCTION("""COMPUTED_VALUE"""),3.0)</f>
        <v>3</v>
      </c>
      <c r="AB733" s="50"/>
      <c r="AC733" s="38"/>
      <c r="AD733" s="45" t="str">
        <f>IFERROR(__xludf.DUMMYFUNCTION("""COMPUTED_VALUE"""),"")</f>
        <v/>
      </c>
      <c r="AE733" s="46" t="str">
        <f>IFERROR(__xludf.DUMMYFUNCTION("""COMPUTED_VALUE"""),"AP")</f>
        <v>AP</v>
      </c>
      <c r="AF733" s="47" t="str">
        <f>IFERROR(__xludf.DUMMYFUNCTION("""COMPUTED_VALUE"""),"")</f>
        <v/>
      </c>
      <c r="AG733" s="48" t="str">
        <f>IFERROR(__xludf.DUMMYFUNCTION("""COMPUTED_VALUE"""),"%")</f>
        <v>%</v>
      </c>
      <c r="AH733" s="43"/>
      <c r="AI733" s="44"/>
      <c r="AJ733" s="66"/>
    </row>
    <row r="734" ht="24.75" hidden="1" customHeight="1">
      <c r="A734" s="28">
        <f>IFERROR(__xludf.DUMMYFUNCTION("""COMPUTED_VALUE"""),19.0)</f>
        <v>19</v>
      </c>
      <c r="B734" s="28" t="str">
        <f>IFERROR(__xludf.DUMMYFUNCTION("""COMPUTED_VALUE"""),"A104")</f>
        <v>A104</v>
      </c>
      <c r="C734" s="28"/>
      <c r="D734" s="29"/>
      <c r="E734" s="67"/>
      <c r="F734" s="31"/>
      <c r="G734" s="32"/>
      <c r="H734" s="33" t="str">
        <f>IFERROR(__xludf.DUMMYFUNCTION("""COMPUTED_VALUE""")," ")</f>
        <v> </v>
      </c>
      <c r="I734" s="34"/>
      <c r="J734" s="35" t="str">
        <f>IFERROR(__xludf.DUMMYFUNCTION("""COMPUTED_VALUE"""),"AP")</f>
        <v>AP</v>
      </c>
      <c r="K734" s="34"/>
      <c r="L734" s="35" t="str">
        <f>IFERROR(__xludf.DUMMYFUNCTION("""COMPUTED_VALUE"""),"%")</f>
        <v>%</v>
      </c>
      <c r="M734" s="36">
        <f>IFERROR(__xludf.DUMMYFUNCTION("""COMPUTED_VALUE"""),1.0)</f>
        <v>1</v>
      </c>
      <c r="N734" s="37"/>
      <c r="O734" s="38"/>
      <c r="P734" s="34" t="str">
        <f>IFERROR(__xludf.DUMMYFUNCTION("""COMPUTED_VALUE"""),"")</f>
        <v/>
      </c>
      <c r="Q734" s="35" t="str">
        <f>IFERROR(__xludf.DUMMYFUNCTION("""COMPUTED_VALUE"""),"AP")</f>
        <v>AP</v>
      </c>
      <c r="R734" s="34" t="str">
        <f>IFERROR(__xludf.DUMMYFUNCTION("""COMPUTED_VALUE"""),"")</f>
        <v/>
      </c>
      <c r="S734" s="35" t="str">
        <f>IFERROR(__xludf.DUMMYFUNCTION("""COMPUTED_VALUE"""),"%")</f>
        <v>%</v>
      </c>
      <c r="T734" s="36">
        <f>IFERROR(__xludf.DUMMYFUNCTION("""COMPUTED_VALUE"""),2.0)</f>
        <v>2</v>
      </c>
      <c r="U734" s="37"/>
      <c r="V734" s="38"/>
      <c r="W734" s="34" t="str">
        <f>IFERROR(__xludf.DUMMYFUNCTION("""COMPUTED_VALUE"""),"")</f>
        <v/>
      </c>
      <c r="X734" s="35" t="str">
        <f>IFERROR(__xludf.DUMMYFUNCTION("""COMPUTED_VALUE"""),"AP")</f>
        <v>AP</v>
      </c>
      <c r="Y734" s="34" t="str">
        <f>IFERROR(__xludf.DUMMYFUNCTION("""COMPUTED_VALUE"""),"")</f>
        <v/>
      </c>
      <c r="Z734" s="35" t="str">
        <f>IFERROR(__xludf.DUMMYFUNCTION("""COMPUTED_VALUE"""),"%")</f>
        <v>%</v>
      </c>
      <c r="AA734" s="36">
        <f>IFERROR(__xludf.DUMMYFUNCTION("""COMPUTED_VALUE"""),3.0)</f>
        <v>3</v>
      </c>
      <c r="AB734" s="37"/>
      <c r="AC734" s="38"/>
      <c r="AD734" s="34" t="str">
        <f>IFERROR(__xludf.DUMMYFUNCTION("""COMPUTED_VALUE"""),"")</f>
        <v/>
      </c>
      <c r="AE734" s="35" t="str">
        <f>IFERROR(__xludf.DUMMYFUNCTION("""COMPUTED_VALUE"""),"AP")</f>
        <v>AP</v>
      </c>
      <c r="AF734" s="34" t="str">
        <f>IFERROR(__xludf.DUMMYFUNCTION("""COMPUTED_VALUE"""),"")</f>
        <v/>
      </c>
      <c r="AG734" s="35" t="str">
        <f>IFERROR(__xludf.DUMMYFUNCTION("""COMPUTED_VALUE"""),"%")</f>
        <v>%</v>
      </c>
      <c r="AH734" s="31"/>
      <c r="AI734" s="32"/>
      <c r="AJ734" s="67"/>
    </row>
    <row r="735" ht="24.75" hidden="1" customHeight="1">
      <c r="A735" s="40">
        <f>IFERROR(__xludf.DUMMYFUNCTION("""COMPUTED_VALUE"""),20.0)</f>
        <v>20</v>
      </c>
      <c r="B735" s="40" t="str">
        <f>IFERROR(__xludf.DUMMYFUNCTION("""COMPUTED_VALUE"""),"A104")</f>
        <v>A104</v>
      </c>
      <c r="C735" s="40"/>
      <c r="D735" s="41"/>
      <c r="E735" s="66"/>
      <c r="F735" s="43"/>
      <c r="G735" s="44"/>
      <c r="H735" s="33" t="str">
        <f>IFERROR(__xludf.DUMMYFUNCTION("""COMPUTED_VALUE""")," ")</f>
        <v> </v>
      </c>
      <c r="I735" s="45"/>
      <c r="J735" s="46" t="str">
        <f>IFERROR(__xludf.DUMMYFUNCTION("""COMPUTED_VALUE"""),"AP")</f>
        <v>AP</v>
      </c>
      <c r="K735" s="47"/>
      <c r="L735" s="48" t="str">
        <f>IFERROR(__xludf.DUMMYFUNCTION("""COMPUTED_VALUE"""),"%")</f>
        <v>%</v>
      </c>
      <c r="M735" s="49">
        <f>IFERROR(__xludf.DUMMYFUNCTION("""COMPUTED_VALUE"""),1.0)</f>
        <v>1</v>
      </c>
      <c r="N735" s="50"/>
      <c r="O735" s="38"/>
      <c r="P735" s="45" t="str">
        <f>IFERROR(__xludf.DUMMYFUNCTION("""COMPUTED_VALUE"""),"")</f>
        <v/>
      </c>
      <c r="Q735" s="46" t="str">
        <f>IFERROR(__xludf.DUMMYFUNCTION("""COMPUTED_VALUE"""),"AP")</f>
        <v>AP</v>
      </c>
      <c r="R735" s="47" t="str">
        <f>IFERROR(__xludf.DUMMYFUNCTION("""COMPUTED_VALUE"""),"")</f>
        <v/>
      </c>
      <c r="S735" s="48" t="str">
        <f>IFERROR(__xludf.DUMMYFUNCTION("""COMPUTED_VALUE"""),"%")</f>
        <v>%</v>
      </c>
      <c r="T735" s="49">
        <f>IFERROR(__xludf.DUMMYFUNCTION("""COMPUTED_VALUE"""),2.0)</f>
        <v>2</v>
      </c>
      <c r="U735" s="50"/>
      <c r="V735" s="38"/>
      <c r="W735" s="45" t="str">
        <f>IFERROR(__xludf.DUMMYFUNCTION("""COMPUTED_VALUE"""),"")</f>
        <v/>
      </c>
      <c r="X735" s="46" t="str">
        <f>IFERROR(__xludf.DUMMYFUNCTION("""COMPUTED_VALUE"""),"AP")</f>
        <v>AP</v>
      </c>
      <c r="Y735" s="47" t="str">
        <f>IFERROR(__xludf.DUMMYFUNCTION("""COMPUTED_VALUE"""),"")</f>
        <v/>
      </c>
      <c r="Z735" s="48" t="str">
        <f>IFERROR(__xludf.DUMMYFUNCTION("""COMPUTED_VALUE"""),"%")</f>
        <v>%</v>
      </c>
      <c r="AA735" s="49">
        <f>IFERROR(__xludf.DUMMYFUNCTION("""COMPUTED_VALUE"""),3.0)</f>
        <v>3</v>
      </c>
      <c r="AB735" s="50"/>
      <c r="AC735" s="38"/>
      <c r="AD735" s="45" t="str">
        <f>IFERROR(__xludf.DUMMYFUNCTION("""COMPUTED_VALUE"""),"")</f>
        <v/>
      </c>
      <c r="AE735" s="46" t="str">
        <f>IFERROR(__xludf.DUMMYFUNCTION("""COMPUTED_VALUE"""),"AP")</f>
        <v>AP</v>
      </c>
      <c r="AF735" s="47" t="str">
        <f>IFERROR(__xludf.DUMMYFUNCTION("""COMPUTED_VALUE"""),"")</f>
        <v/>
      </c>
      <c r="AG735" s="48" t="str">
        <f>IFERROR(__xludf.DUMMYFUNCTION("""COMPUTED_VALUE"""),"%")</f>
        <v>%</v>
      </c>
      <c r="AH735" s="43"/>
      <c r="AI735" s="44"/>
      <c r="AJ735" s="66"/>
    </row>
    <row r="736">
      <c r="A736" s="52"/>
      <c r="B736" s="53"/>
      <c r="C736" s="54"/>
      <c r="D736" s="56"/>
      <c r="E736" s="56"/>
      <c r="F736" s="53"/>
      <c r="G736" s="53"/>
      <c r="H736" s="53"/>
      <c r="I736" s="53"/>
      <c r="J736" s="57"/>
      <c r="K736" s="53"/>
      <c r="L736" s="57"/>
      <c r="M736" s="53"/>
      <c r="N736" s="53"/>
      <c r="O736" s="53"/>
      <c r="P736" s="53"/>
      <c r="Q736" s="57"/>
      <c r="R736" s="53"/>
      <c r="S736" s="57"/>
      <c r="T736" s="53"/>
      <c r="U736" s="53"/>
      <c r="V736" s="53"/>
      <c r="W736" s="53"/>
      <c r="X736" s="57"/>
      <c r="Y736" s="53"/>
      <c r="Z736" s="57"/>
      <c r="AA736" s="53"/>
      <c r="AB736" s="53"/>
      <c r="AC736" s="53"/>
      <c r="AD736" s="53"/>
      <c r="AE736" s="57"/>
      <c r="AF736" s="53"/>
      <c r="AG736" s="57"/>
      <c r="AH736" s="53"/>
      <c r="AI736" s="53"/>
      <c r="AJ736" s="56"/>
    </row>
    <row r="737">
      <c r="A737" s="59"/>
      <c r="B737" s="60"/>
      <c r="C737" s="61"/>
      <c r="D737" s="63"/>
      <c r="E737" s="63"/>
      <c r="F737" s="60"/>
      <c r="G737" s="60"/>
      <c r="H737" s="60"/>
      <c r="I737" s="60"/>
      <c r="J737" s="64"/>
      <c r="K737" s="60"/>
      <c r="L737" s="64"/>
      <c r="M737" s="60"/>
      <c r="N737" s="60"/>
      <c r="O737" s="60"/>
      <c r="P737" s="60"/>
      <c r="Q737" s="64"/>
      <c r="R737" s="60"/>
      <c r="S737" s="64"/>
      <c r="T737" s="60"/>
      <c r="U737" s="60"/>
      <c r="V737" s="60"/>
      <c r="W737" s="60"/>
      <c r="X737" s="64"/>
      <c r="Y737" s="60"/>
      <c r="Z737" s="64"/>
      <c r="AA737" s="60"/>
      <c r="AB737" s="60"/>
      <c r="AC737" s="60"/>
      <c r="AD737" s="60"/>
      <c r="AE737" s="64"/>
      <c r="AF737" s="60"/>
      <c r="AG737" s="64"/>
      <c r="AH737" s="60"/>
      <c r="AI737" s="60"/>
      <c r="AJ737" s="63"/>
    </row>
    <row r="738" ht="33.0" customHeight="1">
      <c r="A738" s="20" t="str">
        <f>IFERROR(__xludf.DUMMYFUNCTION("""COMPUTED_VALUE""")," ")</f>
        <v> </v>
      </c>
      <c r="B738" s="21" t="str">
        <f>IFERROR(__xludf.DUMMYFUNCTION("""COMPUTED_VALUE"""),"A105")</f>
        <v>A105</v>
      </c>
      <c r="C738" s="20"/>
      <c r="D738" s="257" t="str">
        <f>IFERROR(__xludf.DUMMYFUNCTION("""COMPUTED_VALUE"""),"")</f>
        <v/>
      </c>
      <c r="E738" s="23" t="str">
        <f>IFERROR(__xludf.DUMMYFUNCTION("""COMPUTED_VALUE"""),"Warhorse's Young Horn")</f>
        <v>Warhorse's Young Horn</v>
      </c>
      <c r="F738" s="24"/>
      <c r="G738" s="24"/>
      <c r="H738" s="25"/>
      <c r="I738" s="25"/>
      <c r="J738" s="26"/>
      <c r="K738" s="25"/>
      <c r="L738" s="26"/>
      <c r="M738" s="25"/>
      <c r="N738" s="25"/>
      <c r="O738" s="25"/>
      <c r="P738" s="25"/>
      <c r="Q738" s="26"/>
      <c r="R738" s="25"/>
      <c r="S738" s="26"/>
      <c r="T738" s="25"/>
      <c r="U738" s="25"/>
      <c r="V738" s="25"/>
      <c r="W738" s="25"/>
      <c r="X738" s="26"/>
      <c r="Y738" s="25"/>
      <c r="Z738" s="26"/>
      <c r="AA738" s="25"/>
      <c r="AB738" s="25"/>
      <c r="AC738" s="25"/>
      <c r="AD738" s="25"/>
      <c r="AE738" s="26"/>
      <c r="AF738" s="25"/>
      <c r="AG738" s="26"/>
      <c r="AH738" s="24"/>
      <c r="AI738" s="25"/>
      <c r="AJ738" s="23"/>
    </row>
    <row r="739" ht="24.75" customHeight="1">
      <c r="A739" s="28">
        <f>IFERROR(__xludf.DUMMYFUNCTION("""COMPUTED_VALUE"""),1.0)</f>
        <v>1</v>
      </c>
      <c r="B739" s="28" t="str">
        <f>IFERROR(__xludf.DUMMYFUNCTION("""COMPUTED_VALUE"""),"A105")</f>
        <v>A105</v>
      </c>
      <c r="C739" s="28" t="str">
        <f>IFERROR(__xludf.DUMMYFUNCTION("""COMPUTED_VALUE"""),"AGT2")</f>
        <v>AGT2</v>
      </c>
      <c r="D739" s="29" t="str">
        <f>IFERROR(__xludf.DUMMYFUNCTION("""COMPUTED_VALUE"""),"Agartha")</f>
        <v>Agartha</v>
      </c>
      <c r="E739" s="30" t="str">
        <f>IFERROR(__xludf.DUMMYFUNCTION("""COMPUTED_VALUE"""),"Camping Ground")</f>
        <v>Camping Ground</v>
      </c>
      <c r="F739" s="31">
        <f>IFERROR(__xludf.DUMMYFUNCTION("""COMPUTED_VALUE"""),20.0)</f>
        <v>20</v>
      </c>
      <c r="G739" s="32">
        <f>IFERROR(__xludf.DUMMYFUNCTION("""COMPUTED_VALUE"""),2464.0)</f>
        <v>2464</v>
      </c>
      <c r="H739" s="33" t="str">
        <f>IFERROR(__xludf.DUMMYFUNCTION("""COMPUTED_VALUE"""),"")</f>
        <v/>
      </c>
      <c r="I739" s="34">
        <f>IFERROR(__xludf.DUMMYFUNCTION("""COMPUTED_VALUE"""),93.32378885492773)</f>
        <v>93.32378885</v>
      </c>
      <c r="J739" s="35" t="str">
        <f>IFERROR(__xludf.DUMMYFUNCTION("""COMPUTED_VALUE"""),"AP")</f>
        <v>AP</v>
      </c>
      <c r="K739" s="34">
        <f>IFERROR(__xludf.DUMMYFUNCTION("""COMPUTED_VALUE"""),21.430762987012987)</f>
        <v>21.43076299</v>
      </c>
      <c r="L739" s="35" t="str">
        <f>IFERROR(__xludf.DUMMYFUNCTION("""COMPUTED_VALUE"""),"%")</f>
        <v>%</v>
      </c>
      <c r="M739" s="36">
        <f>IFERROR(__xludf.DUMMYFUNCTION("""COMPUTED_VALUE"""),1.0)</f>
        <v>1</v>
      </c>
      <c r="N739" s="37" t="str">
        <f>IFERROR(__xludf.DUMMYFUNCTION("""COMPUTED_VALUE"""),"A201")</f>
        <v>A201</v>
      </c>
      <c r="O739" s="38" t="str">
        <f>IFERROR(__xludf.DUMMYFUNCTION("""COMPUTED_VALUE"""),"")</f>
        <v/>
      </c>
      <c r="P739" s="34">
        <f>IFERROR(__xludf.DUMMYFUNCTION("""COMPUTED_VALUE"""),117.75106926955148)</f>
        <v>117.7510693</v>
      </c>
      <c r="Q739" s="35" t="str">
        <f>IFERROR(__xludf.DUMMYFUNCTION("""COMPUTED_VALUE"""),"AP")</f>
        <v>AP</v>
      </c>
      <c r="R739" s="34">
        <f>IFERROR(__xludf.DUMMYFUNCTION("""COMPUTED_VALUE"""),16.984983766233768)</f>
        <v>16.98498377</v>
      </c>
      <c r="S739" s="35" t="str">
        <f>IFERROR(__xludf.DUMMYFUNCTION("""COMPUTED_VALUE"""),"%")</f>
        <v>%</v>
      </c>
      <c r="T739" s="36">
        <f>IFERROR(__xludf.DUMMYFUNCTION("""COMPUTED_VALUE"""),2.0)</f>
        <v>2</v>
      </c>
      <c r="U739" s="37" t="str">
        <f>IFERROR(__xludf.DUMMYFUNCTION("""COMPUTED_VALUE"""),"A205")</f>
        <v>A205</v>
      </c>
      <c r="V739" s="38" t="str">
        <f>IFERROR(__xludf.DUMMYFUNCTION("""COMPUTED_VALUE"""),"")</f>
        <v/>
      </c>
      <c r="W739" s="34">
        <f>IFERROR(__xludf.DUMMYFUNCTION("""COMPUTED_VALUE"""),134.5907518018719)</f>
        <v>134.5907518</v>
      </c>
      <c r="X739" s="35" t="str">
        <f>IFERROR(__xludf.DUMMYFUNCTION("""COMPUTED_VALUE"""),"AP")</f>
        <v>AP</v>
      </c>
      <c r="Y739" s="34">
        <f>IFERROR(__xludf.DUMMYFUNCTION("""COMPUTED_VALUE"""),14.859862012987016)</f>
        <v>14.85986201</v>
      </c>
      <c r="Z739" s="35" t="str">
        <f>IFERROR(__xludf.DUMMYFUNCTION("""COMPUTED_VALUE"""),"%")</f>
        <v>%</v>
      </c>
      <c r="AA739" s="36">
        <f>IFERROR(__xludf.DUMMYFUNCTION("""COMPUTED_VALUE"""),3.0)</f>
        <v>3</v>
      </c>
      <c r="AB739" s="37" t="str">
        <f>IFERROR(__xludf.DUMMYFUNCTION("""COMPUTED_VALUE"""),"B113")</f>
        <v>B113</v>
      </c>
      <c r="AC739" s="38" t="str">
        <f>IFERROR(__xludf.DUMMYFUNCTION("""COMPUTED_VALUE"""),"")</f>
        <v/>
      </c>
      <c r="AD739" s="34">
        <f>IFERROR(__xludf.DUMMYFUNCTION("""COMPUTED_VALUE"""),112.34956033659272)</f>
        <v>112.3495603</v>
      </c>
      <c r="AE739" s="35" t="str">
        <f>IFERROR(__xludf.DUMMYFUNCTION("""COMPUTED_VALUE"""),"AP")</f>
        <v>AP</v>
      </c>
      <c r="AF739" s="34">
        <f>IFERROR(__xludf.DUMMYFUNCTION("""COMPUTED_VALUE"""),17.801582792207792)</f>
        <v>17.80158279</v>
      </c>
      <c r="AG739" s="35" t="str">
        <f>IFERROR(__xludf.DUMMYFUNCTION("""COMPUTED_VALUE"""),"%")</f>
        <v>%</v>
      </c>
      <c r="AH739" s="31">
        <f>IFERROR(__xludf.DUMMYFUNCTION("""COMPUTED_VALUE"""),20.0)</f>
        <v>20</v>
      </c>
      <c r="AI739" s="32">
        <f>IFERROR(__xludf.DUMMYFUNCTION("""COMPUTED_VALUE"""),2464.0)</f>
        <v>2464</v>
      </c>
      <c r="AJ739" s="30" t="str">
        <f>IFERROR(__xludf.DUMMYFUNCTION("""COMPUTED_VALUE"""),"Camping Ground")</f>
        <v>Camping Ground</v>
      </c>
    </row>
    <row r="740" ht="24.75" customHeight="1">
      <c r="A740" s="40">
        <f>IFERROR(__xludf.DUMMYFUNCTION("""COMPUTED_VALUE"""),2.0)</f>
        <v>2</v>
      </c>
      <c r="B740" s="40" t="str">
        <f>IFERROR(__xludf.DUMMYFUNCTION("""COMPUTED_VALUE"""),"A105")</f>
        <v>A105</v>
      </c>
      <c r="C740" s="40" t="str">
        <f>IFERROR(__xludf.DUMMYFUNCTION("""COMPUTED_VALUE"""),"ANA4")</f>
        <v>ANA4</v>
      </c>
      <c r="D740" s="41" t="str">
        <f>IFERROR(__xludf.DUMMYFUNCTION("""COMPUTED_VALUE"""),"Anastasia")</f>
        <v>Anastasia</v>
      </c>
      <c r="E740" s="42" t="str">
        <f>IFERROR(__xludf.DUMMYFUNCTION("""COMPUTED_VALUE"""),"Rebel Stronghold")</f>
        <v>Rebel Stronghold</v>
      </c>
      <c r="F740" s="43">
        <f>IFERROR(__xludf.DUMMYFUNCTION("""COMPUTED_VALUE"""),21.0)</f>
        <v>21</v>
      </c>
      <c r="G740" s="44">
        <f>IFERROR(__xludf.DUMMYFUNCTION("""COMPUTED_VALUE"""),3108.0)</f>
        <v>3108</v>
      </c>
      <c r="H740" s="33" t="str">
        <f>IFERROR(__xludf.DUMMYFUNCTION("""COMPUTED_VALUE"""),"")</f>
        <v/>
      </c>
      <c r="I740" s="45">
        <f>IFERROR(__xludf.DUMMYFUNCTION("""COMPUTED_VALUE"""),96.07701706092767)</f>
        <v>96.07701706</v>
      </c>
      <c r="J740" s="46" t="str">
        <f>IFERROR(__xludf.DUMMYFUNCTION("""COMPUTED_VALUE"""),"AP")</f>
        <v>AP</v>
      </c>
      <c r="K740" s="47">
        <f>IFERROR(__xludf.DUMMYFUNCTION("""COMPUTED_VALUE"""),21.857464607464607)</f>
        <v>21.85746461</v>
      </c>
      <c r="L740" s="48" t="str">
        <f>IFERROR(__xludf.DUMMYFUNCTION("""COMPUTED_VALUE"""),"%")</f>
        <v>%</v>
      </c>
      <c r="M740" s="49">
        <f>IFERROR(__xludf.DUMMYFUNCTION("""COMPUTED_VALUE"""),1.0)</f>
        <v>1</v>
      </c>
      <c r="N740" s="50" t="str">
        <f>IFERROR(__xludf.DUMMYFUNCTION("""COMPUTED_VALUE"""),"A309")</f>
        <v>A309</v>
      </c>
      <c r="O740" s="38" t="str">
        <f>IFERROR(__xludf.DUMMYFUNCTION("""COMPUTED_VALUE"""),"")</f>
        <v/>
      </c>
      <c r="P740" s="45">
        <f>IFERROR(__xludf.DUMMYFUNCTION("""COMPUTED_VALUE"""),50.55694123843902)</f>
        <v>50.55694124</v>
      </c>
      <c r="Q740" s="46" t="str">
        <f>IFERROR(__xludf.DUMMYFUNCTION("""COMPUTED_VALUE"""),"AP")</f>
        <v>AP</v>
      </c>
      <c r="R740" s="47">
        <f>IFERROR(__xludf.DUMMYFUNCTION("""COMPUTED_VALUE"""),41.537323037323034)</f>
        <v>41.53732304</v>
      </c>
      <c r="S740" s="48" t="str">
        <f>IFERROR(__xludf.DUMMYFUNCTION("""COMPUTED_VALUE"""),"%")</f>
        <v>%</v>
      </c>
      <c r="T740" s="49">
        <f>IFERROR(__xludf.DUMMYFUNCTION("""COMPUTED_VALUE"""),2.0)</f>
        <v>2</v>
      </c>
      <c r="U740" s="50" t="str">
        <f>IFERROR(__xludf.DUMMYFUNCTION("""COMPUTED_VALUE"""),"B113")</f>
        <v>B113</v>
      </c>
      <c r="V740" s="38" t="str">
        <f>IFERROR(__xludf.DUMMYFUNCTION("""COMPUTED_VALUE"""),"")</f>
        <v/>
      </c>
      <c r="W740" s="45">
        <f>IFERROR(__xludf.DUMMYFUNCTION("""COMPUTED_VALUE"""),258.15412085117924)</f>
        <v>258.1541209</v>
      </c>
      <c r="X740" s="46" t="str">
        <f>IFERROR(__xludf.DUMMYFUNCTION("""COMPUTED_VALUE"""),"AP")</f>
        <v>AP</v>
      </c>
      <c r="Y740" s="47">
        <f>IFERROR(__xludf.DUMMYFUNCTION("""COMPUTED_VALUE"""),8.134675491818347)</f>
        <v>8.134675492</v>
      </c>
      <c r="Z740" s="48" t="str">
        <f>IFERROR(__xludf.DUMMYFUNCTION("""COMPUTED_VALUE"""),"%")</f>
        <v>%</v>
      </c>
      <c r="AA740" s="49">
        <f>IFERROR(__xludf.DUMMYFUNCTION("""COMPUTED_VALUE"""),3.0)</f>
        <v>3</v>
      </c>
      <c r="AB740" s="50"/>
      <c r="AC740" s="38"/>
      <c r="AD740" s="45" t="str">
        <f>IFERROR(__xludf.DUMMYFUNCTION("""COMPUTED_VALUE"""),"")</f>
        <v/>
      </c>
      <c r="AE740" s="46" t="str">
        <f>IFERROR(__xludf.DUMMYFUNCTION("""COMPUTED_VALUE"""),"AP")</f>
        <v>AP</v>
      </c>
      <c r="AF740" s="47" t="str">
        <f>IFERROR(__xludf.DUMMYFUNCTION("""COMPUTED_VALUE"""),"")</f>
        <v/>
      </c>
      <c r="AG740" s="48" t="str">
        <f>IFERROR(__xludf.DUMMYFUNCTION("""COMPUTED_VALUE"""),"%")</f>
        <v>%</v>
      </c>
      <c r="AH740" s="43">
        <f>IFERROR(__xludf.DUMMYFUNCTION("""COMPUTED_VALUE"""),21.0)</f>
        <v>21</v>
      </c>
      <c r="AI740" s="44">
        <f>IFERROR(__xludf.DUMMYFUNCTION("""COMPUTED_VALUE"""),3108.0)</f>
        <v>3108</v>
      </c>
      <c r="AJ740" s="42" t="str">
        <f>IFERROR(__xludf.DUMMYFUNCTION("""COMPUTED_VALUE"""),"Rebel Stronghold")</f>
        <v>Rebel Stronghold</v>
      </c>
    </row>
    <row r="741" ht="24.75" customHeight="1">
      <c r="A741" s="28">
        <f>IFERROR(__xludf.DUMMYFUNCTION("""COMPUTED_VALUE"""),3.0)</f>
        <v>3</v>
      </c>
      <c r="B741" s="28" t="str">
        <f>IFERROR(__xludf.DUMMYFUNCTION("""COMPUTED_VALUE"""),"A105")</f>
        <v>A105</v>
      </c>
      <c r="C741" s="28" t="str">
        <f>IFERROR(__xludf.DUMMYFUNCTION("""COMPUTED_VALUE"""),"ANA1")</f>
        <v>ANA1</v>
      </c>
      <c r="D741" s="29" t="str">
        <f>IFERROR(__xludf.DUMMYFUNCTION("""COMPUTED_VALUE"""),"Anastasia")</f>
        <v>Anastasia</v>
      </c>
      <c r="E741" s="30" t="str">
        <f>IFERROR(__xludf.DUMMYFUNCTION("""COMPUTED_VALUE"""),"Anchor Point")</f>
        <v>Anchor Point</v>
      </c>
      <c r="F741" s="31">
        <f>IFERROR(__xludf.DUMMYFUNCTION("""COMPUTED_VALUE"""),20.0)</f>
        <v>20</v>
      </c>
      <c r="G741" s="32">
        <f>IFERROR(__xludf.DUMMYFUNCTION("""COMPUTED_VALUE"""),2691.0)</f>
        <v>2691</v>
      </c>
      <c r="H741" s="33" t="str">
        <f>IFERROR(__xludf.DUMMYFUNCTION("""COMPUTED_VALUE"""),"")</f>
        <v/>
      </c>
      <c r="I741" s="34">
        <f>IFERROR(__xludf.DUMMYFUNCTION("""COMPUTED_VALUE"""),98.7508440243079)</f>
        <v>98.75084402</v>
      </c>
      <c r="J741" s="35" t="str">
        <f>IFERROR(__xludf.DUMMYFUNCTION("""COMPUTED_VALUE"""),"AP")</f>
        <v>AP</v>
      </c>
      <c r="K741" s="34">
        <f>IFERROR(__xludf.DUMMYFUNCTION("""COMPUTED_VALUE"""),20.252991452991452)</f>
        <v>20.25299145</v>
      </c>
      <c r="L741" s="35" t="str">
        <f>IFERROR(__xludf.DUMMYFUNCTION("""COMPUTED_VALUE"""),"%")</f>
        <v>%</v>
      </c>
      <c r="M741" s="36">
        <f>IFERROR(__xludf.DUMMYFUNCTION("""COMPUTED_VALUE"""),1.0)</f>
        <v>1</v>
      </c>
      <c r="N741" s="37" t="str">
        <f>IFERROR(__xludf.DUMMYFUNCTION("""COMPUTED_VALUE"""),"A306")</f>
        <v>A306</v>
      </c>
      <c r="O741" s="38" t="str">
        <f>IFERROR(__xludf.DUMMYFUNCTION("""COMPUTED_VALUE"""),"")</f>
        <v/>
      </c>
      <c r="P741" s="34">
        <f>IFERROR(__xludf.DUMMYFUNCTION("""COMPUTED_VALUE"""),48.50291630318017)</f>
        <v>48.5029163</v>
      </c>
      <c r="Q741" s="35" t="str">
        <f>IFERROR(__xludf.DUMMYFUNCTION("""COMPUTED_VALUE"""),"AP")</f>
        <v>AP</v>
      </c>
      <c r="R741" s="34">
        <f>IFERROR(__xludf.DUMMYFUNCTION("""COMPUTED_VALUE"""),41.23463396506875)</f>
        <v>41.23463397</v>
      </c>
      <c r="S741" s="35" t="str">
        <f>IFERROR(__xludf.DUMMYFUNCTION("""COMPUTED_VALUE"""),"%")</f>
        <v>%</v>
      </c>
      <c r="T741" s="36">
        <f>IFERROR(__xludf.DUMMYFUNCTION("""COMPUTED_VALUE"""),2.0)</f>
        <v>2</v>
      </c>
      <c r="U741" s="37" t="str">
        <f>IFERROR(__xludf.DUMMYFUNCTION("""COMPUTED_VALUE"""),"B113")</f>
        <v>B113</v>
      </c>
      <c r="V741" s="38" t="str">
        <f>IFERROR(__xludf.DUMMYFUNCTION("""COMPUTED_VALUE"""),"")</f>
        <v/>
      </c>
      <c r="W741" s="34">
        <f>IFERROR(__xludf.DUMMYFUNCTION("""COMPUTED_VALUE"""),270.43504768540697)</f>
        <v>270.4350477</v>
      </c>
      <c r="X741" s="35" t="str">
        <f>IFERROR(__xludf.DUMMYFUNCTION("""COMPUTED_VALUE"""),"AP")</f>
        <v>AP</v>
      </c>
      <c r="Y741" s="34">
        <f>IFERROR(__xludf.DUMMYFUNCTION("""COMPUTED_VALUE"""),7.39549114331723)</f>
        <v>7.395491143</v>
      </c>
      <c r="Z741" s="35" t="str">
        <f>IFERROR(__xludf.DUMMYFUNCTION("""COMPUTED_VALUE"""),"%")</f>
        <v>%</v>
      </c>
      <c r="AA741" s="36">
        <f>IFERROR(__xludf.DUMMYFUNCTION("""COMPUTED_VALUE"""),3.0)</f>
        <v>3</v>
      </c>
      <c r="AB741" s="37"/>
      <c r="AC741" s="38"/>
      <c r="AD741" s="34" t="str">
        <f>IFERROR(__xludf.DUMMYFUNCTION("""COMPUTED_VALUE"""),"")</f>
        <v/>
      </c>
      <c r="AE741" s="35" t="str">
        <f>IFERROR(__xludf.DUMMYFUNCTION("""COMPUTED_VALUE"""),"AP")</f>
        <v>AP</v>
      </c>
      <c r="AF741" s="34" t="str">
        <f>IFERROR(__xludf.DUMMYFUNCTION("""COMPUTED_VALUE"""),"")</f>
        <v/>
      </c>
      <c r="AG741" s="35" t="str">
        <f>IFERROR(__xludf.DUMMYFUNCTION("""COMPUTED_VALUE"""),"%")</f>
        <v>%</v>
      </c>
      <c r="AH741" s="31">
        <f>IFERROR(__xludf.DUMMYFUNCTION("""COMPUTED_VALUE"""),20.0)</f>
        <v>20</v>
      </c>
      <c r="AI741" s="32">
        <f>IFERROR(__xludf.DUMMYFUNCTION("""COMPUTED_VALUE"""),2691.0)</f>
        <v>2691</v>
      </c>
      <c r="AJ741" s="30" t="str">
        <f>IFERROR(__xludf.DUMMYFUNCTION("""COMPUTED_VALUE"""),"Anchor Point")</f>
        <v>Anchor Point</v>
      </c>
    </row>
    <row r="742" ht="24.75" customHeight="1">
      <c r="A742" s="40">
        <f>IFERROR(__xludf.DUMMYFUNCTION("""COMPUTED_VALUE"""),4.0)</f>
        <v>4</v>
      </c>
      <c r="B742" s="40" t="str">
        <f>IFERROR(__xludf.DUMMYFUNCTION("""COMPUTED_VALUE"""),"A105")</f>
        <v>A105</v>
      </c>
      <c r="C742" s="40" t="str">
        <f>IFERROR(__xludf.DUMMYFUNCTION("""COMPUTED_VALUE"""),"ANA8")</f>
        <v>ANA8</v>
      </c>
      <c r="D742" s="41" t="str">
        <f>IFERROR(__xludf.DUMMYFUNCTION("""COMPUTED_VALUE"""),"Anastasia")</f>
        <v>Anastasia</v>
      </c>
      <c r="E742" s="42" t="str">
        <f>IFERROR(__xludf.DUMMYFUNCTION("""COMPUTED_VALUE"""),"Yaga Demensk")</f>
        <v>Yaga Demensk</v>
      </c>
      <c r="F742" s="43">
        <f>IFERROR(__xludf.DUMMYFUNCTION("""COMPUTED_VALUE"""),21.0)</f>
        <v>21</v>
      </c>
      <c r="G742" s="44">
        <f>IFERROR(__xludf.DUMMYFUNCTION("""COMPUTED_VALUE"""),5552.0)</f>
        <v>5552</v>
      </c>
      <c r="H742" s="33" t="str">
        <f>IFERROR(__xludf.DUMMYFUNCTION("""COMPUTED_VALUE"""),"")</f>
        <v/>
      </c>
      <c r="I742" s="45">
        <f>IFERROR(__xludf.DUMMYFUNCTION("""COMPUTED_VALUE"""),100.09787255962499)</f>
        <v>100.0978726</v>
      </c>
      <c r="J742" s="46" t="str">
        <f>IFERROR(__xludf.DUMMYFUNCTION("""COMPUTED_VALUE"""),"AP")</f>
        <v>AP</v>
      </c>
      <c r="K742" s="47">
        <f>IFERROR(__xludf.DUMMYFUNCTION("""COMPUTED_VALUE"""),20.979466858789625)</f>
        <v>20.97946686</v>
      </c>
      <c r="L742" s="48" t="str">
        <f>IFERROR(__xludf.DUMMYFUNCTION("""COMPUTED_VALUE"""),"%")</f>
        <v>%</v>
      </c>
      <c r="M742" s="49">
        <f>IFERROR(__xludf.DUMMYFUNCTION("""COMPUTED_VALUE"""),1.0)</f>
        <v>1</v>
      </c>
      <c r="N742" s="50" t="str">
        <f>IFERROR(__xludf.DUMMYFUNCTION("""COMPUTED_VALUE"""),"A213")</f>
        <v>A213</v>
      </c>
      <c r="O742" s="38" t="str">
        <f>IFERROR(__xludf.DUMMYFUNCTION("""COMPUTED_VALUE"""),"")</f>
        <v/>
      </c>
      <c r="P742" s="45">
        <f>IFERROR(__xludf.DUMMYFUNCTION("""COMPUTED_VALUE"""),81.18304202450699)</f>
        <v>81.18304202</v>
      </c>
      <c r="Q742" s="46" t="str">
        <f>IFERROR(__xludf.DUMMYFUNCTION("""COMPUTED_VALUE"""),"AP")</f>
        <v>AP</v>
      </c>
      <c r="R742" s="47">
        <f>IFERROR(__xludf.DUMMYFUNCTION("""COMPUTED_VALUE"""),25.867471181556194)</f>
        <v>25.86747118</v>
      </c>
      <c r="S742" s="48" t="str">
        <f>IFERROR(__xludf.DUMMYFUNCTION("""COMPUTED_VALUE"""),"%")</f>
        <v>%</v>
      </c>
      <c r="T742" s="49">
        <f>IFERROR(__xludf.DUMMYFUNCTION("""COMPUTED_VALUE"""),2.0)</f>
        <v>2</v>
      </c>
      <c r="U742" s="50" t="str">
        <f>IFERROR(__xludf.DUMMYFUNCTION("""COMPUTED_VALUE"""),"B113")</f>
        <v>B113</v>
      </c>
      <c r="V742" s="38" t="str">
        <f>IFERROR(__xludf.DUMMYFUNCTION("""COMPUTED_VALUE"""),"")</f>
        <v/>
      </c>
      <c r="W742" s="45">
        <f>IFERROR(__xludf.DUMMYFUNCTION("""COMPUTED_VALUE"""),256.4323923024989)</f>
        <v>256.4323923</v>
      </c>
      <c r="X742" s="46" t="str">
        <f>IFERROR(__xludf.DUMMYFUNCTION("""COMPUTED_VALUE"""),"AP")</f>
        <v>AP</v>
      </c>
      <c r="Y742" s="47">
        <f>IFERROR(__xludf.DUMMYFUNCTION("""COMPUTED_VALUE"""),8.189293018499582)</f>
        <v>8.189293018</v>
      </c>
      <c r="Z742" s="48" t="str">
        <f>IFERROR(__xludf.DUMMYFUNCTION("""COMPUTED_VALUE"""),"%")</f>
        <v>%</v>
      </c>
      <c r="AA742" s="49">
        <f>IFERROR(__xludf.DUMMYFUNCTION("""COMPUTED_VALUE"""),3.0)</f>
        <v>3</v>
      </c>
      <c r="AB742" s="50" t="str">
        <f>IFERROR(__xludf.DUMMYFUNCTION("""COMPUTED_VALUE"""),"B116")</f>
        <v>B116</v>
      </c>
      <c r="AC742" s="38" t="str">
        <f>IFERROR(__xludf.DUMMYFUNCTION("""COMPUTED_VALUE"""),"")</f>
        <v/>
      </c>
      <c r="AD742" s="45">
        <f>IFERROR(__xludf.DUMMYFUNCTION("""COMPUTED_VALUE"""),52.53632415272715)</f>
        <v>52.53632415</v>
      </c>
      <c r="AE742" s="46" t="str">
        <f>IFERROR(__xludf.DUMMYFUNCTION("""COMPUTED_VALUE"""),"AP")</f>
        <v>AP</v>
      </c>
      <c r="AF742" s="47">
        <f>IFERROR(__xludf.DUMMYFUNCTION("""COMPUTED_VALUE"""),39.97234359022032)</f>
        <v>39.97234359</v>
      </c>
      <c r="AG742" s="48" t="str">
        <f>IFERROR(__xludf.DUMMYFUNCTION("""COMPUTED_VALUE"""),"%")</f>
        <v>%</v>
      </c>
      <c r="AH742" s="43">
        <f>IFERROR(__xludf.DUMMYFUNCTION("""COMPUTED_VALUE"""),21.0)</f>
        <v>21</v>
      </c>
      <c r="AI742" s="44">
        <f>IFERROR(__xludf.DUMMYFUNCTION("""COMPUTED_VALUE"""),5552.0)</f>
        <v>5552</v>
      </c>
      <c r="AJ742" s="42" t="str">
        <f>IFERROR(__xludf.DUMMYFUNCTION("""COMPUTED_VALUE"""),"Yaga Demensk")</f>
        <v>Yaga Demensk</v>
      </c>
    </row>
    <row r="743" ht="24.75" customHeight="1">
      <c r="A743" s="28">
        <f>IFERROR(__xludf.DUMMYFUNCTION("""COMPUTED_VALUE"""),5.0)</f>
        <v>5</v>
      </c>
      <c r="B743" s="28" t="str">
        <f>IFERROR(__xludf.DUMMYFUNCTION("""COMPUTED_VALUE"""),"A105")</f>
        <v>A105</v>
      </c>
      <c r="C743" s="28" t="str">
        <f>IFERROR(__xludf.DUMMYFUNCTION("""COMPUTED_VALUE"""),"CML4")</f>
        <v>CML4</v>
      </c>
      <c r="D743" s="29" t="str">
        <f>IFERROR(__xludf.DUMMYFUNCTION("""COMPUTED_VALUE"""),"Camelot")</f>
        <v>Camelot</v>
      </c>
      <c r="E743" s="30" t="str">
        <f>IFERROR(__xludf.DUMMYFUNCTION("""COMPUTED_VALUE"""),"East Village")</f>
        <v>East Village</v>
      </c>
      <c r="F743" s="31">
        <f>IFERROR(__xludf.DUMMYFUNCTION("""COMPUTED_VALUE"""),19.0)</f>
        <v>19</v>
      </c>
      <c r="G743" s="32">
        <f>IFERROR(__xludf.DUMMYFUNCTION("""COMPUTED_VALUE"""),1479.0)</f>
        <v>1479</v>
      </c>
      <c r="H743" s="33" t="str">
        <f>IFERROR(__xludf.DUMMYFUNCTION("""COMPUTED_VALUE"""),"")</f>
        <v/>
      </c>
      <c r="I743" s="34">
        <f>IFERROR(__xludf.DUMMYFUNCTION("""COMPUTED_VALUE"""),117.25360927981305)</f>
        <v>117.2536093</v>
      </c>
      <c r="J743" s="35" t="str">
        <f>IFERROR(__xludf.DUMMYFUNCTION("""COMPUTED_VALUE"""),"AP")</f>
        <v>AP</v>
      </c>
      <c r="K743" s="34">
        <f>IFERROR(__xludf.DUMMYFUNCTION("""COMPUTED_VALUE"""),16.204192021636242)</f>
        <v>16.20419202</v>
      </c>
      <c r="L743" s="35" t="str">
        <f>IFERROR(__xludf.DUMMYFUNCTION("""COMPUTED_VALUE"""),"%")</f>
        <v>%</v>
      </c>
      <c r="M743" s="36">
        <f>IFERROR(__xludf.DUMMYFUNCTION("""COMPUTED_VALUE"""),1.0)</f>
        <v>1</v>
      </c>
      <c r="N743" s="37" t="str">
        <f>IFERROR(__xludf.DUMMYFUNCTION("""COMPUTED_VALUE"""),"A303")</f>
        <v>A303</v>
      </c>
      <c r="O743" s="38" t="str">
        <f>IFERROR(__xludf.DUMMYFUNCTION("""COMPUTED_VALUE"""),"")</f>
        <v/>
      </c>
      <c r="P743" s="34">
        <f>IFERROR(__xludf.DUMMYFUNCTION("""COMPUTED_VALUE"""),45.64518224936651)</f>
        <v>45.64518225</v>
      </c>
      <c r="Q743" s="35" t="str">
        <f>IFERROR(__xludf.DUMMYFUNCTION("""COMPUTED_VALUE"""),"AP")</f>
        <v>AP</v>
      </c>
      <c r="R743" s="34">
        <f>IFERROR(__xludf.DUMMYFUNCTION("""COMPUTED_VALUE"""),41.62542258282623)</f>
        <v>41.62542258</v>
      </c>
      <c r="S743" s="35" t="str">
        <f>IFERROR(__xludf.DUMMYFUNCTION("""COMPUTED_VALUE"""),"%")</f>
        <v>%</v>
      </c>
      <c r="T743" s="36">
        <f>IFERROR(__xludf.DUMMYFUNCTION("""COMPUTED_VALUE"""),2.0)</f>
        <v>2</v>
      </c>
      <c r="U743" s="37" t="str">
        <f>IFERROR(__xludf.DUMMYFUNCTION("""COMPUTED_VALUE"""),"B113")</f>
        <v>B113</v>
      </c>
      <c r="V743" s="38" t="str">
        <f>IFERROR(__xludf.DUMMYFUNCTION("""COMPUTED_VALUE"""),"")</f>
        <v/>
      </c>
      <c r="W743" s="34">
        <f>IFERROR(__xludf.DUMMYFUNCTION("""COMPUTED_VALUE"""),226.87870353156202)</f>
        <v>226.8787035</v>
      </c>
      <c r="X743" s="35" t="str">
        <f>IFERROR(__xludf.DUMMYFUNCTION("""COMPUTED_VALUE"""),"AP")</f>
        <v>AP</v>
      </c>
      <c r="Y743" s="34">
        <f>IFERROR(__xludf.DUMMYFUNCTION("""COMPUTED_VALUE"""),8.37451894084754)</f>
        <v>8.374518941</v>
      </c>
      <c r="Z743" s="35" t="str">
        <f>IFERROR(__xludf.DUMMYFUNCTION("""COMPUTED_VALUE"""),"%")</f>
        <v>%</v>
      </c>
      <c r="AA743" s="36">
        <f>IFERROR(__xludf.DUMMYFUNCTION("""COMPUTED_VALUE"""),3.0)</f>
        <v>3</v>
      </c>
      <c r="AB743" s="37"/>
      <c r="AC743" s="38"/>
      <c r="AD743" s="34" t="str">
        <f>IFERROR(__xludf.DUMMYFUNCTION("""COMPUTED_VALUE"""),"")</f>
        <v/>
      </c>
      <c r="AE743" s="35" t="str">
        <f>IFERROR(__xludf.DUMMYFUNCTION("""COMPUTED_VALUE"""),"AP")</f>
        <v>AP</v>
      </c>
      <c r="AF743" s="34" t="str">
        <f>IFERROR(__xludf.DUMMYFUNCTION("""COMPUTED_VALUE"""),"")</f>
        <v/>
      </c>
      <c r="AG743" s="35" t="str">
        <f>IFERROR(__xludf.DUMMYFUNCTION("""COMPUTED_VALUE"""),"%")</f>
        <v>%</v>
      </c>
      <c r="AH743" s="31">
        <f>IFERROR(__xludf.DUMMYFUNCTION("""COMPUTED_VALUE"""),19.0)</f>
        <v>19</v>
      </c>
      <c r="AI743" s="32">
        <f>IFERROR(__xludf.DUMMYFUNCTION("""COMPUTED_VALUE"""),1479.0)</f>
        <v>1479</v>
      </c>
      <c r="AJ743" s="30" t="str">
        <f>IFERROR(__xludf.DUMMYFUNCTION("""COMPUTED_VALUE"""),"East Village")</f>
        <v>East Village</v>
      </c>
    </row>
    <row r="744" ht="24.75" customHeight="1">
      <c r="A744" s="40">
        <f>IFERROR(__xludf.DUMMYFUNCTION("""COMPUTED_VALUE"""),6.0)</f>
        <v>6</v>
      </c>
      <c r="B744" s="40" t="str">
        <f>IFERROR(__xludf.DUMMYFUNCTION("""COMPUTED_VALUE"""),"A105")</f>
        <v>A105</v>
      </c>
      <c r="C744" s="40" t="str">
        <f>IFERROR(__xludf.DUMMYFUNCTION("""COMPUTED_VALUE"""),"EPU11")</f>
        <v>EPU11</v>
      </c>
      <c r="D744" s="41" t="str">
        <f>IFERROR(__xludf.DUMMYFUNCTION("""COMPUTED_VALUE"""),"E Pluribus Unum")</f>
        <v>E Pluribus Unum</v>
      </c>
      <c r="E744" s="42" t="str">
        <f>IFERROR(__xludf.DUMMYFUNCTION("""COMPUTED_VALUE"""),"Kearney")</f>
        <v>Kearney</v>
      </c>
      <c r="F744" s="43">
        <f>IFERROR(__xludf.DUMMYFUNCTION("""COMPUTED_VALUE"""),18.0)</f>
        <v>18</v>
      </c>
      <c r="G744" s="44">
        <f>IFERROR(__xludf.DUMMYFUNCTION("""COMPUTED_VALUE"""),2611.0)</f>
        <v>2611</v>
      </c>
      <c r="H744" s="33" t="str">
        <f>IFERROR(__xludf.DUMMYFUNCTION("""COMPUTED_VALUE"""),"")</f>
        <v/>
      </c>
      <c r="I744" s="45">
        <f>IFERROR(__xludf.DUMMYFUNCTION("""COMPUTED_VALUE"""),142.2371527147267)</f>
        <v>142.2371527</v>
      </c>
      <c r="J744" s="46" t="str">
        <f>IFERROR(__xludf.DUMMYFUNCTION("""COMPUTED_VALUE"""),"AP")</f>
        <v>AP</v>
      </c>
      <c r="K744" s="47">
        <f>IFERROR(__xludf.DUMMYFUNCTION("""COMPUTED_VALUE"""),12.654921486020681)</f>
        <v>12.65492149</v>
      </c>
      <c r="L744" s="48" t="str">
        <f>IFERROR(__xludf.DUMMYFUNCTION("""COMPUTED_VALUE"""),"%")</f>
        <v>%</v>
      </c>
      <c r="M744" s="49">
        <f>IFERROR(__xludf.DUMMYFUNCTION("""COMPUTED_VALUE"""),1.0)</f>
        <v>1</v>
      </c>
      <c r="N744" s="50" t="str">
        <f>IFERROR(__xludf.DUMMYFUNCTION("""COMPUTED_VALUE"""),"A301")</f>
        <v>A301</v>
      </c>
      <c r="O744" s="38" t="str">
        <f>IFERROR(__xludf.DUMMYFUNCTION("""COMPUTED_VALUE"""),"")</f>
        <v/>
      </c>
      <c r="P744" s="45">
        <f>IFERROR(__xludf.DUMMYFUNCTION("""COMPUTED_VALUE"""),32.84793206479006)</f>
        <v>32.84793206</v>
      </c>
      <c r="Q744" s="46" t="str">
        <f>IFERROR(__xludf.DUMMYFUNCTION("""COMPUTED_VALUE"""),"AP")</f>
        <v>AP</v>
      </c>
      <c r="R744" s="47">
        <f>IFERROR(__xludf.DUMMYFUNCTION("""COMPUTED_VALUE"""),54.79797012638836)</f>
        <v>54.79797013</v>
      </c>
      <c r="S744" s="48" t="str">
        <f>IFERROR(__xludf.DUMMYFUNCTION("""COMPUTED_VALUE"""),"%")</f>
        <v>%</v>
      </c>
      <c r="T744" s="49">
        <f>IFERROR(__xludf.DUMMYFUNCTION("""COMPUTED_VALUE"""),2.0)</f>
        <v>2</v>
      </c>
      <c r="U744" s="50" t="str">
        <f>IFERROR(__xludf.DUMMYFUNCTION("""COMPUTED_VALUE"""),"B113")</f>
        <v>B113</v>
      </c>
      <c r="V744" s="38" t="str">
        <f>IFERROR(__xludf.DUMMYFUNCTION("""COMPUTED_VALUE"""),"")</f>
        <v/>
      </c>
      <c r="W744" s="45">
        <f>IFERROR(__xludf.DUMMYFUNCTION("""COMPUTED_VALUE"""),201.53203984195173)</f>
        <v>201.5320398</v>
      </c>
      <c r="X744" s="46" t="str">
        <f>IFERROR(__xludf.DUMMYFUNCTION("""COMPUTED_VALUE"""),"AP")</f>
        <v>AP</v>
      </c>
      <c r="Y744" s="47">
        <f>IFERROR(__xludf.DUMMYFUNCTION("""COMPUTED_VALUE"""),8.931582300321185)</f>
        <v>8.9315823</v>
      </c>
      <c r="Z744" s="48" t="str">
        <f>IFERROR(__xludf.DUMMYFUNCTION("""COMPUTED_VALUE"""),"%")</f>
        <v>%</v>
      </c>
      <c r="AA744" s="49">
        <f>IFERROR(__xludf.DUMMYFUNCTION("""COMPUTED_VALUE"""),3.0)</f>
        <v>3</v>
      </c>
      <c r="AB744" s="50"/>
      <c r="AC744" s="38"/>
      <c r="AD744" s="45" t="str">
        <f>IFERROR(__xludf.DUMMYFUNCTION("""COMPUTED_VALUE"""),"")</f>
        <v/>
      </c>
      <c r="AE744" s="46" t="str">
        <f>IFERROR(__xludf.DUMMYFUNCTION("""COMPUTED_VALUE"""),"AP")</f>
        <v>AP</v>
      </c>
      <c r="AF744" s="47" t="str">
        <f>IFERROR(__xludf.DUMMYFUNCTION("""COMPUTED_VALUE"""),"")</f>
        <v/>
      </c>
      <c r="AG744" s="48" t="str">
        <f>IFERROR(__xludf.DUMMYFUNCTION("""COMPUTED_VALUE"""),"%")</f>
        <v>%</v>
      </c>
      <c r="AH744" s="43">
        <f>IFERROR(__xludf.DUMMYFUNCTION("""COMPUTED_VALUE"""),18.0)</f>
        <v>18</v>
      </c>
      <c r="AI744" s="44">
        <f>IFERROR(__xludf.DUMMYFUNCTION("""COMPUTED_VALUE"""),2611.0)</f>
        <v>2611</v>
      </c>
      <c r="AJ744" s="42" t="str">
        <f>IFERROR(__xludf.DUMMYFUNCTION("""COMPUTED_VALUE"""),"Kearney")</f>
        <v>Kearney</v>
      </c>
    </row>
    <row r="745" ht="24.75" customHeight="1">
      <c r="A745" s="28">
        <f>IFERROR(__xludf.DUMMYFUNCTION("""COMPUTED_VALUE"""),7.0)</f>
        <v>7</v>
      </c>
      <c r="B745" s="28" t="str">
        <f>IFERROR(__xludf.DUMMYFUNCTION("""COMPUTED_VALUE"""),"A105")</f>
        <v>A105</v>
      </c>
      <c r="C745" s="28" t="str">
        <f>IFERROR(__xludf.DUMMYFUNCTION("""COMPUTED_VALUE"""),"TRF8")</f>
        <v>TRF8</v>
      </c>
      <c r="D745" s="29" t="str">
        <f>IFERROR(__xludf.DUMMYFUNCTION("""COMPUTED_VALUE"""),"Chaldea Gate (Tue)")</f>
        <v>Chaldea Gate (Tue)</v>
      </c>
      <c r="E745" s="30" t="str">
        <f>IFERROR(__xludf.DUMMYFUNCTION("""COMPUTED_VALUE"""),"TUE Lancer Training Ground- Exp")</f>
        <v>TUE Lancer Training Ground- Exp</v>
      </c>
      <c r="F745" s="31">
        <f>IFERROR(__xludf.DUMMYFUNCTION("""COMPUTED_VALUE"""),40.0)</f>
        <v>40</v>
      </c>
      <c r="G745" s="32">
        <f>IFERROR(__xludf.DUMMYFUNCTION("""COMPUTED_VALUE"""),7227.0)</f>
        <v>7227</v>
      </c>
      <c r="H745" s="33" t="str">
        <f>IFERROR(__xludf.DUMMYFUNCTION("""COMPUTED_VALUE"""),"")</f>
        <v/>
      </c>
      <c r="I745" s="34">
        <f>IFERROR(__xludf.DUMMYFUNCTION("""COMPUTED_VALUE"""),313.494989806099)</f>
        <v>313.4949898</v>
      </c>
      <c r="J745" s="35" t="str">
        <f>IFERROR(__xludf.DUMMYFUNCTION("""COMPUTED_VALUE"""),"AP")</f>
        <v>AP</v>
      </c>
      <c r="K745" s="34">
        <f>IFERROR(__xludf.DUMMYFUNCTION("""COMPUTED_VALUE"""),12.759374567593746)</f>
        <v>12.75937457</v>
      </c>
      <c r="L745" s="35" t="str">
        <f>IFERROR(__xludf.DUMMYFUNCTION("""COMPUTED_VALUE"""),"%")</f>
        <v>%</v>
      </c>
      <c r="M745" s="36">
        <f>IFERROR(__xludf.DUMMYFUNCTION("""COMPUTED_VALUE"""),1.0)</f>
        <v>1</v>
      </c>
      <c r="N745" s="37" t="str">
        <f>IFERROR(__xludf.DUMMYFUNCTION("""COMPUTED_VALUE"""),"A201")</f>
        <v>A201</v>
      </c>
      <c r="O745" s="38" t="str">
        <f>IFERROR(__xludf.DUMMYFUNCTION("""COMPUTED_VALUE"""),"")</f>
        <v/>
      </c>
      <c r="P745" s="34">
        <f>IFERROR(__xludf.DUMMYFUNCTION("""COMPUTED_VALUE"""),156.2991678967089)</f>
        <v>156.2991679</v>
      </c>
      <c r="Q745" s="35" t="str">
        <f>IFERROR(__xludf.DUMMYFUNCTION("""COMPUTED_VALUE"""),"AP")</f>
        <v>AP</v>
      </c>
      <c r="R745" s="34">
        <f>IFERROR(__xludf.DUMMYFUNCTION("""COMPUTED_VALUE"""),25.591946865919468)</f>
        <v>25.59194687</v>
      </c>
      <c r="S745" s="35" t="str">
        <f>IFERROR(__xludf.DUMMYFUNCTION("""COMPUTED_VALUE"""),"%")</f>
        <v>%</v>
      </c>
      <c r="T745" s="36">
        <f>IFERROR(__xludf.DUMMYFUNCTION("""COMPUTED_VALUE"""),2.0)</f>
        <v>2</v>
      </c>
      <c r="U745" s="37" t="str">
        <f>IFERROR(__xludf.DUMMYFUNCTION("""COMPUTED_VALUE"""),"A205")</f>
        <v>A205</v>
      </c>
      <c r="V745" s="38" t="str">
        <f>IFERROR(__xludf.DUMMYFUNCTION("""COMPUTED_VALUE"""),"")</f>
        <v/>
      </c>
      <c r="W745" s="34">
        <f>IFERROR(__xludf.DUMMYFUNCTION("""COMPUTED_VALUE"""),355.1787688905271)</f>
        <v>355.1787689</v>
      </c>
      <c r="X745" s="35" t="str">
        <f>IFERROR(__xludf.DUMMYFUNCTION("""COMPUTED_VALUE"""),"AP")</f>
        <v>AP</v>
      </c>
      <c r="Y745" s="34">
        <f>IFERROR(__xludf.DUMMYFUNCTION("""COMPUTED_VALUE"""),11.261934412619343)</f>
        <v>11.26193441</v>
      </c>
      <c r="Z745" s="35" t="str">
        <f>IFERROR(__xludf.DUMMYFUNCTION("""COMPUTED_VALUE"""),"%")</f>
        <v>%</v>
      </c>
      <c r="AA745" s="36">
        <f>IFERROR(__xludf.DUMMYFUNCTION("""COMPUTED_VALUE"""),3.0)</f>
        <v>3</v>
      </c>
      <c r="AB745" s="37" t="str">
        <f>IFERROR(__xludf.DUMMYFUNCTION("""COMPUTED_VALUE"""),"A208")</f>
        <v>A208</v>
      </c>
      <c r="AC745" s="38" t="str">
        <f>IFERROR(__xludf.DUMMYFUNCTION("""COMPUTED_VALUE"""),"")</f>
        <v/>
      </c>
      <c r="AD745" s="34">
        <f>IFERROR(__xludf.DUMMYFUNCTION("""COMPUTED_VALUE"""),188.54805992734103)</f>
        <v>188.5480599</v>
      </c>
      <c r="AE745" s="35" t="str">
        <f>IFERROR(__xludf.DUMMYFUNCTION("""COMPUTED_VALUE"""),"AP")</f>
        <v>AP</v>
      </c>
      <c r="AF745" s="34">
        <f>IFERROR(__xludf.DUMMYFUNCTION("""COMPUTED_VALUE"""),21.214750242147502)</f>
        <v>21.21475024</v>
      </c>
      <c r="AG745" s="35" t="str">
        <f>IFERROR(__xludf.DUMMYFUNCTION("""COMPUTED_VALUE"""),"%")</f>
        <v>%</v>
      </c>
      <c r="AH745" s="31">
        <f>IFERROR(__xludf.DUMMYFUNCTION("""COMPUTED_VALUE"""),40.0)</f>
        <v>40</v>
      </c>
      <c r="AI745" s="32">
        <f>IFERROR(__xludf.DUMMYFUNCTION("""COMPUTED_VALUE"""),7227.0)</f>
        <v>7227</v>
      </c>
      <c r="AJ745" s="30" t="str">
        <f>IFERROR(__xludf.DUMMYFUNCTION("""COMPUTED_VALUE"""),"TUE Lancer Training Ground- Exp")</f>
        <v>TUE Lancer Training Ground- Exp</v>
      </c>
    </row>
    <row r="746" ht="24.75" customHeight="1">
      <c r="A746" s="40">
        <f>IFERROR(__xludf.DUMMYFUNCTION("""COMPUTED_VALUE"""),8.0)</f>
        <v>8</v>
      </c>
      <c r="B746" s="40" t="str">
        <f>IFERROR(__xludf.DUMMYFUNCTION("""COMPUTED_VALUE"""),"A105")</f>
        <v>A105</v>
      </c>
      <c r="C746" s="40" t="str">
        <f>IFERROR(__xludf.DUMMYFUNCTION("""COMPUTED_VALUE"""),"TRF7")</f>
        <v>TRF7</v>
      </c>
      <c r="D746" s="41" t="str">
        <f>IFERROR(__xludf.DUMMYFUNCTION("""COMPUTED_VALUE"""),"Chaldea Gate (Tue)")</f>
        <v>Chaldea Gate (Tue)</v>
      </c>
      <c r="E746" s="42" t="str">
        <f>IFERROR(__xludf.DUMMYFUNCTION("""COMPUTED_VALUE"""),"TUE Lancer Training Ground- Adv")</f>
        <v>TUE Lancer Training Ground- Adv</v>
      </c>
      <c r="F746" s="43">
        <f>IFERROR(__xludf.DUMMYFUNCTION("""COMPUTED_VALUE"""),30.0)</f>
        <v>30</v>
      </c>
      <c r="G746" s="44">
        <f>IFERROR(__xludf.DUMMYFUNCTION("""COMPUTED_VALUE"""),1232.0)</f>
        <v>1232</v>
      </c>
      <c r="H746" s="33" t="str">
        <f>IFERROR(__xludf.DUMMYFUNCTION("""COMPUTED_VALUE"""),"")</f>
        <v/>
      </c>
      <c r="I746" s="45">
        <f>IFERROR(__xludf.DUMMYFUNCTION("""COMPUTED_VALUE"""),484.35923309788086)</f>
        <v>484.3592331</v>
      </c>
      <c r="J746" s="46" t="str">
        <f>IFERROR(__xludf.DUMMYFUNCTION("""COMPUTED_VALUE"""),"AP")</f>
        <v>AP</v>
      </c>
      <c r="K746" s="47">
        <f>IFERROR(__xludf.DUMMYFUNCTION("""COMPUTED_VALUE"""),6.1937500000000005)</f>
        <v>6.19375</v>
      </c>
      <c r="L746" s="48" t="str">
        <f>IFERROR(__xludf.DUMMYFUNCTION("""COMPUTED_VALUE"""),"%")</f>
        <v>%</v>
      </c>
      <c r="M746" s="49">
        <f>IFERROR(__xludf.DUMMYFUNCTION("""COMPUTED_VALUE"""),1.0)</f>
        <v>1</v>
      </c>
      <c r="N746" s="50" t="str">
        <f>IFERROR(__xludf.DUMMYFUNCTION("""COMPUTED_VALUE"""),"A201")</f>
        <v>A201</v>
      </c>
      <c r="O746" s="38" t="str">
        <f>IFERROR(__xludf.DUMMYFUNCTION("""COMPUTED_VALUE"""),"")</f>
        <v/>
      </c>
      <c r="P746" s="45">
        <f>IFERROR(__xludf.DUMMYFUNCTION("""COMPUTED_VALUE"""),156.64800396705982)</f>
        <v>156.648004</v>
      </c>
      <c r="Q746" s="46" t="str">
        <f>IFERROR(__xludf.DUMMYFUNCTION("""COMPUTED_VALUE"""),"AP")</f>
        <v>AP</v>
      </c>
      <c r="R746" s="47">
        <f>IFERROR(__xludf.DUMMYFUNCTION("""COMPUTED_VALUE"""),19.151217532467534)</f>
        <v>19.15121753</v>
      </c>
      <c r="S746" s="48" t="str">
        <f>IFERROR(__xludf.DUMMYFUNCTION("""COMPUTED_VALUE"""),"%")</f>
        <v>%</v>
      </c>
      <c r="T746" s="49">
        <f>IFERROR(__xludf.DUMMYFUNCTION("""COMPUTED_VALUE"""),2.0)</f>
        <v>2</v>
      </c>
      <c r="U746" s="50" t="str">
        <f>IFERROR(__xludf.DUMMYFUNCTION("""COMPUTED_VALUE"""),"A205")</f>
        <v>A205</v>
      </c>
      <c r="V746" s="38" t="str">
        <f>IFERROR(__xludf.DUMMYFUNCTION("""COMPUTED_VALUE"""),"")</f>
        <v/>
      </c>
      <c r="W746" s="45">
        <f>IFERROR(__xludf.DUMMYFUNCTION("""COMPUTED_VALUE"""),361.3680361368036)</f>
        <v>361.3680361</v>
      </c>
      <c r="X746" s="46" t="str">
        <f>IFERROR(__xludf.DUMMYFUNCTION("""COMPUTED_VALUE"""),"AP")</f>
        <v>AP</v>
      </c>
      <c r="Y746" s="47">
        <f>IFERROR(__xludf.DUMMYFUNCTION("""COMPUTED_VALUE"""),8.301785714285714)</f>
        <v>8.301785714</v>
      </c>
      <c r="Z746" s="48" t="str">
        <f>IFERROR(__xludf.DUMMYFUNCTION("""COMPUTED_VALUE"""),"%")</f>
        <v>%</v>
      </c>
      <c r="AA746" s="49">
        <f>IFERROR(__xludf.DUMMYFUNCTION("""COMPUTED_VALUE"""),3.0)</f>
        <v>3</v>
      </c>
      <c r="AB746" s="50" t="str">
        <f>IFERROR(__xludf.DUMMYFUNCTION("""COMPUTED_VALUE"""),"A208")</f>
        <v>A208</v>
      </c>
      <c r="AC746" s="38" t="str">
        <f>IFERROR(__xludf.DUMMYFUNCTION("""COMPUTED_VALUE"""),"")</f>
        <v/>
      </c>
      <c r="AD746" s="45">
        <f>IFERROR(__xludf.DUMMYFUNCTION("""COMPUTED_VALUE"""),170.2127659574468)</f>
        <v>170.212766</v>
      </c>
      <c r="AE746" s="46" t="str">
        <f>IFERROR(__xludf.DUMMYFUNCTION("""COMPUTED_VALUE"""),"AP")</f>
        <v>AP</v>
      </c>
      <c r="AF746" s="47">
        <f>IFERROR(__xludf.DUMMYFUNCTION("""COMPUTED_VALUE"""),17.625)</f>
        <v>17.625</v>
      </c>
      <c r="AG746" s="48" t="str">
        <f>IFERROR(__xludf.DUMMYFUNCTION("""COMPUTED_VALUE"""),"%")</f>
        <v>%</v>
      </c>
      <c r="AH746" s="43">
        <f>IFERROR(__xludf.DUMMYFUNCTION("""COMPUTED_VALUE"""),30.0)</f>
        <v>30</v>
      </c>
      <c r="AI746" s="44">
        <f>IFERROR(__xludf.DUMMYFUNCTION("""COMPUTED_VALUE"""),1232.0)</f>
        <v>1232</v>
      </c>
      <c r="AJ746" s="42" t="str">
        <f>IFERROR(__xludf.DUMMYFUNCTION("""COMPUTED_VALUE"""),"TUE Lancer Training Ground- Adv")</f>
        <v>TUE Lancer Training Ground- Adv</v>
      </c>
    </row>
    <row r="747" ht="24.75" customHeight="1">
      <c r="A747" s="28">
        <f>IFERROR(__xludf.DUMMYFUNCTION("""COMPUTED_VALUE"""),9.0)</f>
        <v>9</v>
      </c>
      <c r="B747" s="28" t="str">
        <f>IFERROR(__xludf.DUMMYFUNCTION("""COMPUTED_VALUE"""),"A105")</f>
        <v>A105</v>
      </c>
      <c r="C747" s="28"/>
      <c r="D747" s="29"/>
      <c r="E747" s="67"/>
      <c r="F747" s="31"/>
      <c r="G747" s="32"/>
      <c r="H747" s="33" t="str">
        <f>IFERROR(__xludf.DUMMYFUNCTION("""COMPUTED_VALUE""")," ")</f>
        <v> </v>
      </c>
      <c r="I747" s="34"/>
      <c r="J747" s="35" t="str">
        <f>IFERROR(__xludf.DUMMYFUNCTION("""COMPUTED_VALUE"""),"AP")</f>
        <v>AP</v>
      </c>
      <c r="K747" s="34"/>
      <c r="L747" s="35" t="str">
        <f>IFERROR(__xludf.DUMMYFUNCTION("""COMPUTED_VALUE"""),"%")</f>
        <v>%</v>
      </c>
      <c r="M747" s="36">
        <f>IFERROR(__xludf.DUMMYFUNCTION("""COMPUTED_VALUE"""),1.0)</f>
        <v>1</v>
      </c>
      <c r="N747" s="37"/>
      <c r="O747" s="38"/>
      <c r="P747" s="34" t="str">
        <f>IFERROR(__xludf.DUMMYFUNCTION("""COMPUTED_VALUE"""),"")</f>
        <v/>
      </c>
      <c r="Q747" s="35" t="str">
        <f>IFERROR(__xludf.DUMMYFUNCTION("""COMPUTED_VALUE"""),"AP")</f>
        <v>AP</v>
      </c>
      <c r="R747" s="34" t="str">
        <f>IFERROR(__xludf.DUMMYFUNCTION("""COMPUTED_VALUE"""),"")</f>
        <v/>
      </c>
      <c r="S747" s="35" t="str">
        <f>IFERROR(__xludf.DUMMYFUNCTION("""COMPUTED_VALUE"""),"%")</f>
        <v>%</v>
      </c>
      <c r="T747" s="36">
        <f>IFERROR(__xludf.DUMMYFUNCTION("""COMPUTED_VALUE"""),2.0)</f>
        <v>2</v>
      </c>
      <c r="U747" s="37"/>
      <c r="V747" s="38"/>
      <c r="W747" s="34" t="str">
        <f>IFERROR(__xludf.DUMMYFUNCTION("""COMPUTED_VALUE"""),"")</f>
        <v/>
      </c>
      <c r="X747" s="35" t="str">
        <f>IFERROR(__xludf.DUMMYFUNCTION("""COMPUTED_VALUE"""),"AP")</f>
        <v>AP</v>
      </c>
      <c r="Y747" s="34" t="str">
        <f>IFERROR(__xludf.DUMMYFUNCTION("""COMPUTED_VALUE"""),"")</f>
        <v/>
      </c>
      <c r="Z747" s="35" t="str">
        <f>IFERROR(__xludf.DUMMYFUNCTION("""COMPUTED_VALUE"""),"%")</f>
        <v>%</v>
      </c>
      <c r="AA747" s="36">
        <f>IFERROR(__xludf.DUMMYFUNCTION("""COMPUTED_VALUE"""),3.0)</f>
        <v>3</v>
      </c>
      <c r="AB747" s="37"/>
      <c r="AC747" s="38"/>
      <c r="AD747" s="34" t="str">
        <f>IFERROR(__xludf.DUMMYFUNCTION("""COMPUTED_VALUE"""),"")</f>
        <v/>
      </c>
      <c r="AE747" s="35" t="str">
        <f>IFERROR(__xludf.DUMMYFUNCTION("""COMPUTED_VALUE"""),"AP")</f>
        <v>AP</v>
      </c>
      <c r="AF747" s="34" t="str">
        <f>IFERROR(__xludf.DUMMYFUNCTION("""COMPUTED_VALUE"""),"")</f>
        <v/>
      </c>
      <c r="AG747" s="35" t="str">
        <f>IFERROR(__xludf.DUMMYFUNCTION("""COMPUTED_VALUE"""),"%")</f>
        <v>%</v>
      </c>
      <c r="AH747" s="31"/>
      <c r="AI747" s="32"/>
      <c r="AJ747" s="67"/>
    </row>
    <row r="748" ht="24.75" hidden="1" customHeight="1">
      <c r="A748" s="40">
        <f>IFERROR(__xludf.DUMMYFUNCTION("""COMPUTED_VALUE"""),10.0)</f>
        <v>10</v>
      </c>
      <c r="B748" s="40" t="str">
        <f>IFERROR(__xludf.DUMMYFUNCTION("""COMPUTED_VALUE"""),"A105")</f>
        <v>A105</v>
      </c>
      <c r="C748" s="40"/>
      <c r="D748" s="41"/>
      <c r="E748" s="66"/>
      <c r="F748" s="43"/>
      <c r="G748" s="44"/>
      <c r="H748" s="33" t="str">
        <f>IFERROR(__xludf.DUMMYFUNCTION("""COMPUTED_VALUE""")," ")</f>
        <v> </v>
      </c>
      <c r="I748" s="45"/>
      <c r="J748" s="46" t="str">
        <f>IFERROR(__xludf.DUMMYFUNCTION("""COMPUTED_VALUE"""),"AP")</f>
        <v>AP</v>
      </c>
      <c r="K748" s="47"/>
      <c r="L748" s="48" t="str">
        <f>IFERROR(__xludf.DUMMYFUNCTION("""COMPUTED_VALUE"""),"%")</f>
        <v>%</v>
      </c>
      <c r="M748" s="49">
        <f>IFERROR(__xludf.DUMMYFUNCTION("""COMPUTED_VALUE"""),1.0)</f>
        <v>1</v>
      </c>
      <c r="N748" s="50"/>
      <c r="O748" s="38"/>
      <c r="P748" s="45" t="str">
        <f>IFERROR(__xludf.DUMMYFUNCTION("""COMPUTED_VALUE"""),"")</f>
        <v/>
      </c>
      <c r="Q748" s="46" t="str">
        <f>IFERROR(__xludf.DUMMYFUNCTION("""COMPUTED_VALUE"""),"AP")</f>
        <v>AP</v>
      </c>
      <c r="R748" s="47" t="str">
        <f>IFERROR(__xludf.DUMMYFUNCTION("""COMPUTED_VALUE"""),"")</f>
        <v/>
      </c>
      <c r="S748" s="48" t="str">
        <f>IFERROR(__xludf.DUMMYFUNCTION("""COMPUTED_VALUE"""),"%")</f>
        <v>%</v>
      </c>
      <c r="T748" s="49">
        <f>IFERROR(__xludf.DUMMYFUNCTION("""COMPUTED_VALUE"""),2.0)</f>
        <v>2</v>
      </c>
      <c r="U748" s="50"/>
      <c r="V748" s="38"/>
      <c r="W748" s="45" t="str">
        <f>IFERROR(__xludf.DUMMYFUNCTION("""COMPUTED_VALUE"""),"")</f>
        <v/>
      </c>
      <c r="X748" s="46" t="str">
        <f>IFERROR(__xludf.DUMMYFUNCTION("""COMPUTED_VALUE"""),"AP")</f>
        <v>AP</v>
      </c>
      <c r="Y748" s="47" t="str">
        <f>IFERROR(__xludf.DUMMYFUNCTION("""COMPUTED_VALUE"""),"")</f>
        <v/>
      </c>
      <c r="Z748" s="48" t="str">
        <f>IFERROR(__xludf.DUMMYFUNCTION("""COMPUTED_VALUE"""),"%")</f>
        <v>%</v>
      </c>
      <c r="AA748" s="49">
        <f>IFERROR(__xludf.DUMMYFUNCTION("""COMPUTED_VALUE"""),3.0)</f>
        <v>3</v>
      </c>
      <c r="AB748" s="50"/>
      <c r="AC748" s="38"/>
      <c r="AD748" s="45" t="str">
        <f>IFERROR(__xludf.DUMMYFUNCTION("""COMPUTED_VALUE"""),"")</f>
        <v/>
      </c>
      <c r="AE748" s="46" t="str">
        <f>IFERROR(__xludf.DUMMYFUNCTION("""COMPUTED_VALUE"""),"AP")</f>
        <v>AP</v>
      </c>
      <c r="AF748" s="47" t="str">
        <f>IFERROR(__xludf.DUMMYFUNCTION("""COMPUTED_VALUE"""),"")</f>
        <v/>
      </c>
      <c r="AG748" s="48" t="str">
        <f>IFERROR(__xludf.DUMMYFUNCTION("""COMPUTED_VALUE"""),"%")</f>
        <v>%</v>
      </c>
      <c r="AH748" s="43"/>
      <c r="AI748" s="44"/>
      <c r="AJ748" s="66"/>
    </row>
    <row r="749" ht="24.75" hidden="1" customHeight="1">
      <c r="A749" s="28">
        <f>IFERROR(__xludf.DUMMYFUNCTION("""COMPUTED_VALUE"""),11.0)</f>
        <v>11</v>
      </c>
      <c r="B749" s="28" t="str">
        <f>IFERROR(__xludf.DUMMYFUNCTION("""COMPUTED_VALUE"""),"A105")</f>
        <v>A105</v>
      </c>
      <c r="C749" s="28"/>
      <c r="D749" s="29"/>
      <c r="E749" s="67"/>
      <c r="F749" s="31"/>
      <c r="G749" s="32"/>
      <c r="H749" s="33" t="str">
        <f>IFERROR(__xludf.DUMMYFUNCTION("""COMPUTED_VALUE""")," ")</f>
        <v> </v>
      </c>
      <c r="I749" s="34"/>
      <c r="J749" s="35" t="str">
        <f>IFERROR(__xludf.DUMMYFUNCTION("""COMPUTED_VALUE"""),"AP")</f>
        <v>AP</v>
      </c>
      <c r="K749" s="34"/>
      <c r="L749" s="35" t="str">
        <f>IFERROR(__xludf.DUMMYFUNCTION("""COMPUTED_VALUE"""),"%")</f>
        <v>%</v>
      </c>
      <c r="M749" s="36">
        <f>IFERROR(__xludf.DUMMYFUNCTION("""COMPUTED_VALUE"""),1.0)</f>
        <v>1</v>
      </c>
      <c r="N749" s="37"/>
      <c r="O749" s="38"/>
      <c r="P749" s="34" t="str">
        <f>IFERROR(__xludf.DUMMYFUNCTION("""COMPUTED_VALUE"""),"")</f>
        <v/>
      </c>
      <c r="Q749" s="35" t="str">
        <f>IFERROR(__xludf.DUMMYFUNCTION("""COMPUTED_VALUE"""),"AP")</f>
        <v>AP</v>
      </c>
      <c r="R749" s="34" t="str">
        <f>IFERROR(__xludf.DUMMYFUNCTION("""COMPUTED_VALUE"""),"")</f>
        <v/>
      </c>
      <c r="S749" s="35" t="str">
        <f>IFERROR(__xludf.DUMMYFUNCTION("""COMPUTED_VALUE"""),"%")</f>
        <v>%</v>
      </c>
      <c r="T749" s="36">
        <f>IFERROR(__xludf.DUMMYFUNCTION("""COMPUTED_VALUE"""),2.0)</f>
        <v>2</v>
      </c>
      <c r="U749" s="37"/>
      <c r="V749" s="38"/>
      <c r="W749" s="34" t="str">
        <f>IFERROR(__xludf.DUMMYFUNCTION("""COMPUTED_VALUE"""),"")</f>
        <v/>
      </c>
      <c r="X749" s="35" t="str">
        <f>IFERROR(__xludf.DUMMYFUNCTION("""COMPUTED_VALUE"""),"AP")</f>
        <v>AP</v>
      </c>
      <c r="Y749" s="34" t="str">
        <f>IFERROR(__xludf.DUMMYFUNCTION("""COMPUTED_VALUE"""),"")</f>
        <v/>
      </c>
      <c r="Z749" s="35" t="str">
        <f>IFERROR(__xludf.DUMMYFUNCTION("""COMPUTED_VALUE"""),"%")</f>
        <v>%</v>
      </c>
      <c r="AA749" s="36">
        <f>IFERROR(__xludf.DUMMYFUNCTION("""COMPUTED_VALUE"""),3.0)</f>
        <v>3</v>
      </c>
      <c r="AB749" s="37"/>
      <c r="AC749" s="38"/>
      <c r="AD749" s="34" t="str">
        <f>IFERROR(__xludf.DUMMYFUNCTION("""COMPUTED_VALUE"""),"")</f>
        <v/>
      </c>
      <c r="AE749" s="35" t="str">
        <f>IFERROR(__xludf.DUMMYFUNCTION("""COMPUTED_VALUE"""),"AP")</f>
        <v>AP</v>
      </c>
      <c r="AF749" s="34" t="str">
        <f>IFERROR(__xludf.DUMMYFUNCTION("""COMPUTED_VALUE"""),"")</f>
        <v/>
      </c>
      <c r="AG749" s="35" t="str">
        <f>IFERROR(__xludf.DUMMYFUNCTION("""COMPUTED_VALUE"""),"%")</f>
        <v>%</v>
      </c>
      <c r="AH749" s="31"/>
      <c r="AI749" s="32"/>
      <c r="AJ749" s="67"/>
    </row>
    <row r="750" ht="24.75" hidden="1" customHeight="1">
      <c r="A750" s="40">
        <f>IFERROR(__xludf.DUMMYFUNCTION("""COMPUTED_VALUE"""),12.0)</f>
        <v>12</v>
      </c>
      <c r="B750" s="40" t="str">
        <f>IFERROR(__xludf.DUMMYFUNCTION("""COMPUTED_VALUE"""),"A105")</f>
        <v>A105</v>
      </c>
      <c r="C750" s="40"/>
      <c r="D750" s="41"/>
      <c r="E750" s="66"/>
      <c r="F750" s="43"/>
      <c r="G750" s="44"/>
      <c r="H750" s="33" t="str">
        <f>IFERROR(__xludf.DUMMYFUNCTION("""COMPUTED_VALUE""")," ")</f>
        <v> </v>
      </c>
      <c r="I750" s="45"/>
      <c r="J750" s="46" t="str">
        <f>IFERROR(__xludf.DUMMYFUNCTION("""COMPUTED_VALUE"""),"AP")</f>
        <v>AP</v>
      </c>
      <c r="K750" s="47"/>
      <c r="L750" s="48" t="str">
        <f>IFERROR(__xludf.DUMMYFUNCTION("""COMPUTED_VALUE"""),"%")</f>
        <v>%</v>
      </c>
      <c r="M750" s="49">
        <f>IFERROR(__xludf.DUMMYFUNCTION("""COMPUTED_VALUE"""),1.0)</f>
        <v>1</v>
      </c>
      <c r="N750" s="50"/>
      <c r="O750" s="38"/>
      <c r="P750" s="45" t="str">
        <f>IFERROR(__xludf.DUMMYFUNCTION("""COMPUTED_VALUE"""),"")</f>
        <v/>
      </c>
      <c r="Q750" s="46" t="str">
        <f>IFERROR(__xludf.DUMMYFUNCTION("""COMPUTED_VALUE"""),"AP")</f>
        <v>AP</v>
      </c>
      <c r="R750" s="47" t="str">
        <f>IFERROR(__xludf.DUMMYFUNCTION("""COMPUTED_VALUE"""),"")</f>
        <v/>
      </c>
      <c r="S750" s="48" t="str">
        <f>IFERROR(__xludf.DUMMYFUNCTION("""COMPUTED_VALUE"""),"%")</f>
        <v>%</v>
      </c>
      <c r="T750" s="49">
        <f>IFERROR(__xludf.DUMMYFUNCTION("""COMPUTED_VALUE"""),2.0)</f>
        <v>2</v>
      </c>
      <c r="U750" s="50"/>
      <c r="V750" s="38"/>
      <c r="W750" s="45" t="str">
        <f>IFERROR(__xludf.DUMMYFUNCTION("""COMPUTED_VALUE"""),"")</f>
        <v/>
      </c>
      <c r="X750" s="46" t="str">
        <f>IFERROR(__xludf.DUMMYFUNCTION("""COMPUTED_VALUE"""),"AP")</f>
        <v>AP</v>
      </c>
      <c r="Y750" s="47" t="str">
        <f>IFERROR(__xludf.DUMMYFUNCTION("""COMPUTED_VALUE"""),"")</f>
        <v/>
      </c>
      <c r="Z750" s="48" t="str">
        <f>IFERROR(__xludf.DUMMYFUNCTION("""COMPUTED_VALUE"""),"%")</f>
        <v>%</v>
      </c>
      <c r="AA750" s="49">
        <f>IFERROR(__xludf.DUMMYFUNCTION("""COMPUTED_VALUE"""),3.0)</f>
        <v>3</v>
      </c>
      <c r="AB750" s="50"/>
      <c r="AC750" s="38"/>
      <c r="AD750" s="45" t="str">
        <f>IFERROR(__xludf.DUMMYFUNCTION("""COMPUTED_VALUE"""),"")</f>
        <v/>
      </c>
      <c r="AE750" s="46" t="str">
        <f>IFERROR(__xludf.DUMMYFUNCTION("""COMPUTED_VALUE"""),"AP")</f>
        <v>AP</v>
      </c>
      <c r="AF750" s="47" t="str">
        <f>IFERROR(__xludf.DUMMYFUNCTION("""COMPUTED_VALUE"""),"")</f>
        <v/>
      </c>
      <c r="AG750" s="48" t="str">
        <f>IFERROR(__xludf.DUMMYFUNCTION("""COMPUTED_VALUE"""),"%")</f>
        <v>%</v>
      </c>
      <c r="AH750" s="43"/>
      <c r="AI750" s="44"/>
      <c r="AJ750" s="66"/>
    </row>
    <row r="751" ht="24.75" hidden="1" customHeight="1">
      <c r="A751" s="28">
        <f>IFERROR(__xludf.DUMMYFUNCTION("""COMPUTED_VALUE"""),13.0)</f>
        <v>13</v>
      </c>
      <c r="B751" s="28" t="str">
        <f>IFERROR(__xludf.DUMMYFUNCTION("""COMPUTED_VALUE"""),"A105")</f>
        <v>A105</v>
      </c>
      <c r="C751" s="28"/>
      <c r="D751" s="29"/>
      <c r="E751" s="67"/>
      <c r="F751" s="31"/>
      <c r="G751" s="32"/>
      <c r="H751" s="33" t="str">
        <f>IFERROR(__xludf.DUMMYFUNCTION("""COMPUTED_VALUE""")," ")</f>
        <v> </v>
      </c>
      <c r="I751" s="34"/>
      <c r="J751" s="35" t="str">
        <f>IFERROR(__xludf.DUMMYFUNCTION("""COMPUTED_VALUE"""),"AP")</f>
        <v>AP</v>
      </c>
      <c r="K751" s="34"/>
      <c r="L751" s="35" t="str">
        <f>IFERROR(__xludf.DUMMYFUNCTION("""COMPUTED_VALUE"""),"%")</f>
        <v>%</v>
      </c>
      <c r="M751" s="36">
        <f>IFERROR(__xludf.DUMMYFUNCTION("""COMPUTED_VALUE"""),1.0)</f>
        <v>1</v>
      </c>
      <c r="N751" s="37"/>
      <c r="O751" s="38"/>
      <c r="P751" s="34" t="str">
        <f>IFERROR(__xludf.DUMMYFUNCTION("""COMPUTED_VALUE"""),"")</f>
        <v/>
      </c>
      <c r="Q751" s="35" t="str">
        <f>IFERROR(__xludf.DUMMYFUNCTION("""COMPUTED_VALUE"""),"AP")</f>
        <v>AP</v>
      </c>
      <c r="R751" s="34" t="str">
        <f>IFERROR(__xludf.DUMMYFUNCTION("""COMPUTED_VALUE"""),"")</f>
        <v/>
      </c>
      <c r="S751" s="35" t="str">
        <f>IFERROR(__xludf.DUMMYFUNCTION("""COMPUTED_VALUE"""),"%")</f>
        <v>%</v>
      </c>
      <c r="T751" s="36">
        <f>IFERROR(__xludf.DUMMYFUNCTION("""COMPUTED_VALUE"""),2.0)</f>
        <v>2</v>
      </c>
      <c r="U751" s="37"/>
      <c r="V751" s="38"/>
      <c r="W751" s="34" t="str">
        <f>IFERROR(__xludf.DUMMYFUNCTION("""COMPUTED_VALUE"""),"")</f>
        <v/>
      </c>
      <c r="X751" s="35" t="str">
        <f>IFERROR(__xludf.DUMMYFUNCTION("""COMPUTED_VALUE"""),"AP")</f>
        <v>AP</v>
      </c>
      <c r="Y751" s="34" t="str">
        <f>IFERROR(__xludf.DUMMYFUNCTION("""COMPUTED_VALUE"""),"")</f>
        <v/>
      </c>
      <c r="Z751" s="35" t="str">
        <f>IFERROR(__xludf.DUMMYFUNCTION("""COMPUTED_VALUE"""),"%")</f>
        <v>%</v>
      </c>
      <c r="AA751" s="36">
        <f>IFERROR(__xludf.DUMMYFUNCTION("""COMPUTED_VALUE"""),3.0)</f>
        <v>3</v>
      </c>
      <c r="AB751" s="37"/>
      <c r="AC751" s="38"/>
      <c r="AD751" s="34" t="str">
        <f>IFERROR(__xludf.DUMMYFUNCTION("""COMPUTED_VALUE"""),"")</f>
        <v/>
      </c>
      <c r="AE751" s="35" t="str">
        <f>IFERROR(__xludf.DUMMYFUNCTION("""COMPUTED_VALUE"""),"AP")</f>
        <v>AP</v>
      </c>
      <c r="AF751" s="34" t="str">
        <f>IFERROR(__xludf.DUMMYFUNCTION("""COMPUTED_VALUE"""),"")</f>
        <v/>
      </c>
      <c r="AG751" s="35" t="str">
        <f>IFERROR(__xludf.DUMMYFUNCTION("""COMPUTED_VALUE"""),"%")</f>
        <v>%</v>
      </c>
      <c r="AH751" s="31"/>
      <c r="AI751" s="32"/>
      <c r="AJ751" s="67"/>
    </row>
    <row r="752" ht="24.75" hidden="1" customHeight="1">
      <c r="A752" s="40">
        <f>IFERROR(__xludf.DUMMYFUNCTION("""COMPUTED_VALUE"""),14.0)</f>
        <v>14</v>
      </c>
      <c r="B752" s="40" t="str">
        <f>IFERROR(__xludf.DUMMYFUNCTION("""COMPUTED_VALUE"""),"A105")</f>
        <v>A105</v>
      </c>
      <c r="C752" s="40"/>
      <c r="D752" s="41"/>
      <c r="E752" s="66"/>
      <c r="F752" s="43"/>
      <c r="G752" s="44"/>
      <c r="H752" s="33" t="str">
        <f>IFERROR(__xludf.DUMMYFUNCTION("""COMPUTED_VALUE""")," ")</f>
        <v> </v>
      </c>
      <c r="I752" s="45"/>
      <c r="J752" s="46" t="str">
        <f>IFERROR(__xludf.DUMMYFUNCTION("""COMPUTED_VALUE"""),"AP")</f>
        <v>AP</v>
      </c>
      <c r="K752" s="47"/>
      <c r="L752" s="48" t="str">
        <f>IFERROR(__xludf.DUMMYFUNCTION("""COMPUTED_VALUE"""),"%")</f>
        <v>%</v>
      </c>
      <c r="M752" s="49">
        <f>IFERROR(__xludf.DUMMYFUNCTION("""COMPUTED_VALUE"""),1.0)</f>
        <v>1</v>
      </c>
      <c r="N752" s="50"/>
      <c r="O752" s="38"/>
      <c r="P752" s="45" t="str">
        <f>IFERROR(__xludf.DUMMYFUNCTION("""COMPUTED_VALUE"""),"")</f>
        <v/>
      </c>
      <c r="Q752" s="46" t="str">
        <f>IFERROR(__xludf.DUMMYFUNCTION("""COMPUTED_VALUE"""),"AP")</f>
        <v>AP</v>
      </c>
      <c r="R752" s="47" t="str">
        <f>IFERROR(__xludf.DUMMYFUNCTION("""COMPUTED_VALUE"""),"")</f>
        <v/>
      </c>
      <c r="S752" s="48" t="str">
        <f>IFERROR(__xludf.DUMMYFUNCTION("""COMPUTED_VALUE"""),"%")</f>
        <v>%</v>
      </c>
      <c r="T752" s="49">
        <f>IFERROR(__xludf.DUMMYFUNCTION("""COMPUTED_VALUE"""),2.0)</f>
        <v>2</v>
      </c>
      <c r="U752" s="50"/>
      <c r="V752" s="38"/>
      <c r="W752" s="45" t="str">
        <f>IFERROR(__xludf.DUMMYFUNCTION("""COMPUTED_VALUE"""),"")</f>
        <v/>
      </c>
      <c r="X752" s="46" t="str">
        <f>IFERROR(__xludf.DUMMYFUNCTION("""COMPUTED_VALUE"""),"AP")</f>
        <v>AP</v>
      </c>
      <c r="Y752" s="47" t="str">
        <f>IFERROR(__xludf.DUMMYFUNCTION("""COMPUTED_VALUE"""),"")</f>
        <v/>
      </c>
      <c r="Z752" s="48" t="str">
        <f>IFERROR(__xludf.DUMMYFUNCTION("""COMPUTED_VALUE"""),"%")</f>
        <v>%</v>
      </c>
      <c r="AA752" s="49">
        <f>IFERROR(__xludf.DUMMYFUNCTION("""COMPUTED_VALUE"""),3.0)</f>
        <v>3</v>
      </c>
      <c r="AB752" s="50"/>
      <c r="AC752" s="38"/>
      <c r="AD752" s="45" t="str">
        <f>IFERROR(__xludf.DUMMYFUNCTION("""COMPUTED_VALUE"""),"")</f>
        <v/>
      </c>
      <c r="AE752" s="46" t="str">
        <f>IFERROR(__xludf.DUMMYFUNCTION("""COMPUTED_VALUE"""),"AP")</f>
        <v>AP</v>
      </c>
      <c r="AF752" s="47" t="str">
        <f>IFERROR(__xludf.DUMMYFUNCTION("""COMPUTED_VALUE"""),"")</f>
        <v/>
      </c>
      <c r="AG752" s="48" t="str">
        <f>IFERROR(__xludf.DUMMYFUNCTION("""COMPUTED_VALUE"""),"%")</f>
        <v>%</v>
      </c>
      <c r="AH752" s="43"/>
      <c r="AI752" s="44"/>
      <c r="AJ752" s="66"/>
    </row>
    <row r="753" ht="24.75" hidden="1" customHeight="1">
      <c r="A753" s="28">
        <f>IFERROR(__xludf.DUMMYFUNCTION("""COMPUTED_VALUE"""),15.0)</f>
        <v>15</v>
      </c>
      <c r="B753" s="28" t="str">
        <f>IFERROR(__xludf.DUMMYFUNCTION("""COMPUTED_VALUE"""),"A105")</f>
        <v>A105</v>
      </c>
      <c r="C753" s="28"/>
      <c r="D753" s="29"/>
      <c r="E753" s="67"/>
      <c r="F753" s="31"/>
      <c r="G753" s="32"/>
      <c r="H753" s="33" t="str">
        <f>IFERROR(__xludf.DUMMYFUNCTION("""COMPUTED_VALUE""")," ")</f>
        <v> </v>
      </c>
      <c r="I753" s="34"/>
      <c r="J753" s="35" t="str">
        <f>IFERROR(__xludf.DUMMYFUNCTION("""COMPUTED_VALUE"""),"AP")</f>
        <v>AP</v>
      </c>
      <c r="K753" s="34"/>
      <c r="L753" s="35" t="str">
        <f>IFERROR(__xludf.DUMMYFUNCTION("""COMPUTED_VALUE"""),"%")</f>
        <v>%</v>
      </c>
      <c r="M753" s="36">
        <f>IFERROR(__xludf.DUMMYFUNCTION("""COMPUTED_VALUE"""),1.0)</f>
        <v>1</v>
      </c>
      <c r="N753" s="37"/>
      <c r="O753" s="38"/>
      <c r="P753" s="34" t="str">
        <f>IFERROR(__xludf.DUMMYFUNCTION("""COMPUTED_VALUE"""),"")</f>
        <v/>
      </c>
      <c r="Q753" s="35" t="str">
        <f>IFERROR(__xludf.DUMMYFUNCTION("""COMPUTED_VALUE"""),"AP")</f>
        <v>AP</v>
      </c>
      <c r="R753" s="34" t="str">
        <f>IFERROR(__xludf.DUMMYFUNCTION("""COMPUTED_VALUE"""),"")</f>
        <v/>
      </c>
      <c r="S753" s="35" t="str">
        <f>IFERROR(__xludf.DUMMYFUNCTION("""COMPUTED_VALUE"""),"%")</f>
        <v>%</v>
      </c>
      <c r="T753" s="36">
        <f>IFERROR(__xludf.DUMMYFUNCTION("""COMPUTED_VALUE"""),2.0)</f>
        <v>2</v>
      </c>
      <c r="U753" s="37"/>
      <c r="V753" s="38"/>
      <c r="W753" s="34" t="str">
        <f>IFERROR(__xludf.DUMMYFUNCTION("""COMPUTED_VALUE"""),"")</f>
        <v/>
      </c>
      <c r="X753" s="35" t="str">
        <f>IFERROR(__xludf.DUMMYFUNCTION("""COMPUTED_VALUE"""),"AP")</f>
        <v>AP</v>
      </c>
      <c r="Y753" s="34" t="str">
        <f>IFERROR(__xludf.DUMMYFUNCTION("""COMPUTED_VALUE"""),"")</f>
        <v/>
      </c>
      <c r="Z753" s="35" t="str">
        <f>IFERROR(__xludf.DUMMYFUNCTION("""COMPUTED_VALUE"""),"%")</f>
        <v>%</v>
      </c>
      <c r="AA753" s="36">
        <f>IFERROR(__xludf.DUMMYFUNCTION("""COMPUTED_VALUE"""),3.0)</f>
        <v>3</v>
      </c>
      <c r="AB753" s="37"/>
      <c r="AC753" s="38"/>
      <c r="AD753" s="34" t="str">
        <f>IFERROR(__xludf.DUMMYFUNCTION("""COMPUTED_VALUE"""),"")</f>
        <v/>
      </c>
      <c r="AE753" s="35" t="str">
        <f>IFERROR(__xludf.DUMMYFUNCTION("""COMPUTED_VALUE"""),"AP")</f>
        <v>AP</v>
      </c>
      <c r="AF753" s="34" t="str">
        <f>IFERROR(__xludf.DUMMYFUNCTION("""COMPUTED_VALUE"""),"")</f>
        <v/>
      </c>
      <c r="AG753" s="35" t="str">
        <f>IFERROR(__xludf.DUMMYFUNCTION("""COMPUTED_VALUE"""),"%")</f>
        <v>%</v>
      </c>
      <c r="AH753" s="31"/>
      <c r="AI753" s="32"/>
      <c r="AJ753" s="67"/>
    </row>
    <row r="754" ht="24.75" hidden="1" customHeight="1">
      <c r="A754" s="40">
        <f>IFERROR(__xludf.DUMMYFUNCTION("""COMPUTED_VALUE"""),16.0)</f>
        <v>16</v>
      </c>
      <c r="B754" s="40" t="str">
        <f>IFERROR(__xludf.DUMMYFUNCTION("""COMPUTED_VALUE"""),"A105")</f>
        <v>A105</v>
      </c>
      <c r="C754" s="40"/>
      <c r="D754" s="41"/>
      <c r="E754" s="66"/>
      <c r="F754" s="43"/>
      <c r="G754" s="44"/>
      <c r="H754" s="33" t="str">
        <f>IFERROR(__xludf.DUMMYFUNCTION("""COMPUTED_VALUE""")," ")</f>
        <v> </v>
      </c>
      <c r="I754" s="45"/>
      <c r="J754" s="46" t="str">
        <f>IFERROR(__xludf.DUMMYFUNCTION("""COMPUTED_VALUE"""),"AP")</f>
        <v>AP</v>
      </c>
      <c r="K754" s="47"/>
      <c r="L754" s="48" t="str">
        <f>IFERROR(__xludf.DUMMYFUNCTION("""COMPUTED_VALUE"""),"%")</f>
        <v>%</v>
      </c>
      <c r="M754" s="49">
        <f>IFERROR(__xludf.DUMMYFUNCTION("""COMPUTED_VALUE"""),1.0)</f>
        <v>1</v>
      </c>
      <c r="N754" s="50"/>
      <c r="O754" s="38"/>
      <c r="P754" s="45" t="str">
        <f>IFERROR(__xludf.DUMMYFUNCTION("""COMPUTED_VALUE"""),"")</f>
        <v/>
      </c>
      <c r="Q754" s="46" t="str">
        <f>IFERROR(__xludf.DUMMYFUNCTION("""COMPUTED_VALUE"""),"AP")</f>
        <v>AP</v>
      </c>
      <c r="R754" s="47" t="str">
        <f>IFERROR(__xludf.DUMMYFUNCTION("""COMPUTED_VALUE"""),"")</f>
        <v/>
      </c>
      <c r="S754" s="48" t="str">
        <f>IFERROR(__xludf.DUMMYFUNCTION("""COMPUTED_VALUE"""),"%")</f>
        <v>%</v>
      </c>
      <c r="T754" s="49">
        <f>IFERROR(__xludf.DUMMYFUNCTION("""COMPUTED_VALUE"""),2.0)</f>
        <v>2</v>
      </c>
      <c r="U754" s="50"/>
      <c r="V754" s="38"/>
      <c r="W754" s="45" t="str">
        <f>IFERROR(__xludf.DUMMYFUNCTION("""COMPUTED_VALUE"""),"")</f>
        <v/>
      </c>
      <c r="X754" s="46" t="str">
        <f>IFERROR(__xludf.DUMMYFUNCTION("""COMPUTED_VALUE"""),"AP")</f>
        <v>AP</v>
      </c>
      <c r="Y754" s="47" t="str">
        <f>IFERROR(__xludf.DUMMYFUNCTION("""COMPUTED_VALUE"""),"")</f>
        <v/>
      </c>
      <c r="Z754" s="48" t="str">
        <f>IFERROR(__xludf.DUMMYFUNCTION("""COMPUTED_VALUE"""),"%")</f>
        <v>%</v>
      </c>
      <c r="AA754" s="49">
        <f>IFERROR(__xludf.DUMMYFUNCTION("""COMPUTED_VALUE"""),3.0)</f>
        <v>3</v>
      </c>
      <c r="AB754" s="50"/>
      <c r="AC754" s="38"/>
      <c r="AD754" s="45" t="str">
        <f>IFERROR(__xludf.DUMMYFUNCTION("""COMPUTED_VALUE"""),"")</f>
        <v/>
      </c>
      <c r="AE754" s="46" t="str">
        <f>IFERROR(__xludf.DUMMYFUNCTION("""COMPUTED_VALUE"""),"AP")</f>
        <v>AP</v>
      </c>
      <c r="AF754" s="47" t="str">
        <f>IFERROR(__xludf.DUMMYFUNCTION("""COMPUTED_VALUE"""),"")</f>
        <v/>
      </c>
      <c r="AG754" s="48" t="str">
        <f>IFERROR(__xludf.DUMMYFUNCTION("""COMPUTED_VALUE"""),"%")</f>
        <v>%</v>
      </c>
      <c r="AH754" s="43"/>
      <c r="AI754" s="44"/>
      <c r="AJ754" s="66"/>
    </row>
    <row r="755" ht="24.75" hidden="1" customHeight="1">
      <c r="A755" s="28">
        <f>IFERROR(__xludf.DUMMYFUNCTION("""COMPUTED_VALUE"""),17.0)</f>
        <v>17</v>
      </c>
      <c r="B755" s="28" t="str">
        <f>IFERROR(__xludf.DUMMYFUNCTION("""COMPUTED_VALUE"""),"A105")</f>
        <v>A105</v>
      </c>
      <c r="C755" s="28"/>
      <c r="D755" s="29"/>
      <c r="E755" s="67"/>
      <c r="F755" s="31"/>
      <c r="G755" s="32"/>
      <c r="H755" s="33" t="str">
        <f>IFERROR(__xludf.DUMMYFUNCTION("""COMPUTED_VALUE""")," ")</f>
        <v> </v>
      </c>
      <c r="I755" s="34"/>
      <c r="J755" s="35" t="str">
        <f>IFERROR(__xludf.DUMMYFUNCTION("""COMPUTED_VALUE"""),"AP")</f>
        <v>AP</v>
      </c>
      <c r="K755" s="34"/>
      <c r="L755" s="35" t="str">
        <f>IFERROR(__xludf.DUMMYFUNCTION("""COMPUTED_VALUE"""),"%")</f>
        <v>%</v>
      </c>
      <c r="M755" s="36">
        <f>IFERROR(__xludf.DUMMYFUNCTION("""COMPUTED_VALUE"""),1.0)</f>
        <v>1</v>
      </c>
      <c r="N755" s="37"/>
      <c r="O755" s="38"/>
      <c r="P755" s="34" t="str">
        <f>IFERROR(__xludf.DUMMYFUNCTION("""COMPUTED_VALUE"""),"")</f>
        <v/>
      </c>
      <c r="Q755" s="35" t="str">
        <f>IFERROR(__xludf.DUMMYFUNCTION("""COMPUTED_VALUE"""),"AP")</f>
        <v>AP</v>
      </c>
      <c r="R755" s="34" t="str">
        <f>IFERROR(__xludf.DUMMYFUNCTION("""COMPUTED_VALUE"""),"")</f>
        <v/>
      </c>
      <c r="S755" s="35" t="str">
        <f>IFERROR(__xludf.DUMMYFUNCTION("""COMPUTED_VALUE"""),"%")</f>
        <v>%</v>
      </c>
      <c r="T755" s="36">
        <f>IFERROR(__xludf.DUMMYFUNCTION("""COMPUTED_VALUE"""),2.0)</f>
        <v>2</v>
      </c>
      <c r="U755" s="37"/>
      <c r="V755" s="38"/>
      <c r="W755" s="34" t="str">
        <f>IFERROR(__xludf.DUMMYFUNCTION("""COMPUTED_VALUE"""),"")</f>
        <v/>
      </c>
      <c r="X755" s="35" t="str">
        <f>IFERROR(__xludf.DUMMYFUNCTION("""COMPUTED_VALUE"""),"AP")</f>
        <v>AP</v>
      </c>
      <c r="Y755" s="34" t="str">
        <f>IFERROR(__xludf.DUMMYFUNCTION("""COMPUTED_VALUE"""),"")</f>
        <v/>
      </c>
      <c r="Z755" s="35" t="str">
        <f>IFERROR(__xludf.DUMMYFUNCTION("""COMPUTED_VALUE"""),"%")</f>
        <v>%</v>
      </c>
      <c r="AA755" s="36">
        <f>IFERROR(__xludf.DUMMYFUNCTION("""COMPUTED_VALUE"""),3.0)</f>
        <v>3</v>
      </c>
      <c r="AB755" s="37"/>
      <c r="AC755" s="38"/>
      <c r="AD755" s="34" t="str">
        <f>IFERROR(__xludf.DUMMYFUNCTION("""COMPUTED_VALUE"""),"")</f>
        <v/>
      </c>
      <c r="AE755" s="35" t="str">
        <f>IFERROR(__xludf.DUMMYFUNCTION("""COMPUTED_VALUE"""),"AP")</f>
        <v>AP</v>
      </c>
      <c r="AF755" s="34" t="str">
        <f>IFERROR(__xludf.DUMMYFUNCTION("""COMPUTED_VALUE"""),"")</f>
        <v/>
      </c>
      <c r="AG755" s="35" t="str">
        <f>IFERROR(__xludf.DUMMYFUNCTION("""COMPUTED_VALUE"""),"%")</f>
        <v>%</v>
      </c>
      <c r="AH755" s="31"/>
      <c r="AI755" s="32"/>
      <c r="AJ755" s="67"/>
    </row>
    <row r="756" ht="24.75" hidden="1" customHeight="1">
      <c r="A756" s="40">
        <f>IFERROR(__xludf.DUMMYFUNCTION("""COMPUTED_VALUE"""),18.0)</f>
        <v>18</v>
      </c>
      <c r="B756" s="40" t="str">
        <f>IFERROR(__xludf.DUMMYFUNCTION("""COMPUTED_VALUE"""),"A105")</f>
        <v>A105</v>
      </c>
      <c r="C756" s="40"/>
      <c r="D756" s="41"/>
      <c r="E756" s="66"/>
      <c r="F756" s="43"/>
      <c r="G756" s="44"/>
      <c r="H756" s="33" t="str">
        <f>IFERROR(__xludf.DUMMYFUNCTION("""COMPUTED_VALUE""")," ")</f>
        <v> </v>
      </c>
      <c r="I756" s="45"/>
      <c r="J756" s="46" t="str">
        <f>IFERROR(__xludf.DUMMYFUNCTION("""COMPUTED_VALUE"""),"AP")</f>
        <v>AP</v>
      </c>
      <c r="K756" s="47"/>
      <c r="L756" s="48" t="str">
        <f>IFERROR(__xludf.DUMMYFUNCTION("""COMPUTED_VALUE"""),"%")</f>
        <v>%</v>
      </c>
      <c r="M756" s="49">
        <f>IFERROR(__xludf.DUMMYFUNCTION("""COMPUTED_VALUE"""),1.0)</f>
        <v>1</v>
      </c>
      <c r="N756" s="50"/>
      <c r="O756" s="38"/>
      <c r="P756" s="45" t="str">
        <f>IFERROR(__xludf.DUMMYFUNCTION("""COMPUTED_VALUE"""),"")</f>
        <v/>
      </c>
      <c r="Q756" s="46" t="str">
        <f>IFERROR(__xludf.DUMMYFUNCTION("""COMPUTED_VALUE"""),"AP")</f>
        <v>AP</v>
      </c>
      <c r="R756" s="47" t="str">
        <f>IFERROR(__xludf.DUMMYFUNCTION("""COMPUTED_VALUE"""),"")</f>
        <v/>
      </c>
      <c r="S756" s="48" t="str">
        <f>IFERROR(__xludf.DUMMYFUNCTION("""COMPUTED_VALUE"""),"%")</f>
        <v>%</v>
      </c>
      <c r="T756" s="49">
        <f>IFERROR(__xludf.DUMMYFUNCTION("""COMPUTED_VALUE"""),2.0)</f>
        <v>2</v>
      </c>
      <c r="U756" s="50"/>
      <c r="V756" s="38"/>
      <c r="W756" s="45" t="str">
        <f>IFERROR(__xludf.DUMMYFUNCTION("""COMPUTED_VALUE"""),"")</f>
        <v/>
      </c>
      <c r="X756" s="46" t="str">
        <f>IFERROR(__xludf.DUMMYFUNCTION("""COMPUTED_VALUE"""),"AP")</f>
        <v>AP</v>
      </c>
      <c r="Y756" s="47" t="str">
        <f>IFERROR(__xludf.DUMMYFUNCTION("""COMPUTED_VALUE"""),"")</f>
        <v/>
      </c>
      <c r="Z756" s="48" t="str">
        <f>IFERROR(__xludf.DUMMYFUNCTION("""COMPUTED_VALUE"""),"%")</f>
        <v>%</v>
      </c>
      <c r="AA756" s="49">
        <f>IFERROR(__xludf.DUMMYFUNCTION("""COMPUTED_VALUE"""),3.0)</f>
        <v>3</v>
      </c>
      <c r="AB756" s="50"/>
      <c r="AC756" s="38"/>
      <c r="AD756" s="45" t="str">
        <f>IFERROR(__xludf.DUMMYFUNCTION("""COMPUTED_VALUE"""),"")</f>
        <v/>
      </c>
      <c r="AE756" s="46" t="str">
        <f>IFERROR(__xludf.DUMMYFUNCTION("""COMPUTED_VALUE"""),"AP")</f>
        <v>AP</v>
      </c>
      <c r="AF756" s="47" t="str">
        <f>IFERROR(__xludf.DUMMYFUNCTION("""COMPUTED_VALUE"""),"")</f>
        <v/>
      </c>
      <c r="AG756" s="48" t="str">
        <f>IFERROR(__xludf.DUMMYFUNCTION("""COMPUTED_VALUE"""),"%")</f>
        <v>%</v>
      </c>
      <c r="AH756" s="43"/>
      <c r="AI756" s="44"/>
      <c r="AJ756" s="66"/>
    </row>
    <row r="757" ht="24.75" hidden="1" customHeight="1">
      <c r="A757" s="28">
        <f>IFERROR(__xludf.DUMMYFUNCTION("""COMPUTED_VALUE"""),19.0)</f>
        <v>19</v>
      </c>
      <c r="B757" s="28" t="str">
        <f>IFERROR(__xludf.DUMMYFUNCTION("""COMPUTED_VALUE"""),"A105")</f>
        <v>A105</v>
      </c>
      <c r="C757" s="28"/>
      <c r="D757" s="29"/>
      <c r="E757" s="67"/>
      <c r="F757" s="31"/>
      <c r="G757" s="32"/>
      <c r="H757" s="33" t="str">
        <f>IFERROR(__xludf.DUMMYFUNCTION("""COMPUTED_VALUE""")," ")</f>
        <v> </v>
      </c>
      <c r="I757" s="34"/>
      <c r="J757" s="35" t="str">
        <f>IFERROR(__xludf.DUMMYFUNCTION("""COMPUTED_VALUE"""),"AP")</f>
        <v>AP</v>
      </c>
      <c r="K757" s="34"/>
      <c r="L757" s="35" t="str">
        <f>IFERROR(__xludf.DUMMYFUNCTION("""COMPUTED_VALUE"""),"%")</f>
        <v>%</v>
      </c>
      <c r="M757" s="36">
        <f>IFERROR(__xludf.DUMMYFUNCTION("""COMPUTED_VALUE"""),1.0)</f>
        <v>1</v>
      </c>
      <c r="N757" s="37"/>
      <c r="O757" s="38"/>
      <c r="P757" s="34" t="str">
        <f>IFERROR(__xludf.DUMMYFUNCTION("""COMPUTED_VALUE"""),"")</f>
        <v/>
      </c>
      <c r="Q757" s="35" t="str">
        <f>IFERROR(__xludf.DUMMYFUNCTION("""COMPUTED_VALUE"""),"AP")</f>
        <v>AP</v>
      </c>
      <c r="R757" s="34" t="str">
        <f>IFERROR(__xludf.DUMMYFUNCTION("""COMPUTED_VALUE"""),"")</f>
        <v/>
      </c>
      <c r="S757" s="35" t="str">
        <f>IFERROR(__xludf.DUMMYFUNCTION("""COMPUTED_VALUE"""),"%")</f>
        <v>%</v>
      </c>
      <c r="T757" s="36">
        <f>IFERROR(__xludf.DUMMYFUNCTION("""COMPUTED_VALUE"""),2.0)</f>
        <v>2</v>
      </c>
      <c r="U757" s="37"/>
      <c r="V757" s="38"/>
      <c r="W757" s="34" t="str">
        <f>IFERROR(__xludf.DUMMYFUNCTION("""COMPUTED_VALUE"""),"")</f>
        <v/>
      </c>
      <c r="X757" s="35" t="str">
        <f>IFERROR(__xludf.DUMMYFUNCTION("""COMPUTED_VALUE"""),"AP")</f>
        <v>AP</v>
      </c>
      <c r="Y757" s="34" t="str">
        <f>IFERROR(__xludf.DUMMYFUNCTION("""COMPUTED_VALUE"""),"")</f>
        <v/>
      </c>
      <c r="Z757" s="35" t="str">
        <f>IFERROR(__xludf.DUMMYFUNCTION("""COMPUTED_VALUE"""),"%")</f>
        <v>%</v>
      </c>
      <c r="AA757" s="36">
        <f>IFERROR(__xludf.DUMMYFUNCTION("""COMPUTED_VALUE"""),3.0)</f>
        <v>3</v>
      </c>
      <c r="AB757" s="37"/>
      <c r="AC757" s="38"/>
      <c r="AD757" s="34" t="str">
        <f>IFERROR(__xludf.DUMMYFUNCTION("""COMPUTED_VALUE"""),"")</f>
        <v/>
      </c>
      <c r="AE757" s="35" t="str">
        <f>IFERROR(__xludf.DUMMYFUNCTION("""COMPUTED_VALUE"""),"AP")</f>
        <v>AP</v>
      </c>
      <c r="AF757" s="34" t="str">
        <f>IFERROR(__xludf.DUMMYFUNCTION("""COMPUTED_VALUE"""),"")</f>
        <v/>
      </c>
      <c r="AG757" s="35" t="str">
        <f>IFERROR(__xludf.DUMMYFUNCTION("""COMPUTED_VALUE"""),"%")</f>
        <v>%</v>
      </c>
      <c r="AH757" s="31"/>
      <c r="AI757" s="32"/>
      <c r="AJ757" s="67"/>
    </row>
    <row r="758" ht="24.75" hidden="1" customHeight="1">
      <c r="A758" s="40">
        <f>IFERROR(__xludf.DUMMYFUNCTION("""COMPUTED_VALUE"""),20.0)</f>
        <v>20</v>
      </c>
      <c r="B758" s="40" t="str">
        <f>IFERROR(__xludf.DUMMYFUNCTION("""COMPUTED_VALUE"""),"A105")</f>
        <v>A105</v>
      </c>
      <c r="C758" s="40"/>
      <c r="D758" s="41"/>
      <c r="E758" s="66"/>
      <c r="F758" s="43"/>
      <c r="G758" s="44"/>
      <c r="H758" s="33" t="str">
        <f>IFERROR(__xludf.DUMMYFUNCTION("""COMPUTED_VALUE""")," ")</f>
        <v> </v>
      </c>
      <c r="I758" s="45"/>
      <c r="J758" s="46" t="str">
        <f>IFERROR(__xludf.DUMMYFUNCTION("""COMPUTED_VALUE"""),"AP")</f>
        <v>AP</v>
      </c>
      <c r="K758" s="47"/>
      <c r="L758" s="48" t="str">
        <f>IFERROR(__xludf.DUMMYFUNCTION("""COMPUTED_VALUE"""),"%")</f>
        <v>%</v>
      </c>
      <c r="M758" s="49">
        <f>IFERROR(__xludf.DUMMYFUNCTION("""COMPUTED_VALUE"""),1.0)</f>
        <v>1</v>
      </c>
      <c r="N758" s="50"/>
      <c r="O758" s="38"/>
      <c r="P758" s="45" t="str">
        <f>IFERROR(__xludf.DUMMYFUNCTION("""COMPUTED_VALUE"""),"")</f>
        <v/>
      </c>
      <c r="Q758" s="46" t="str">
        <f>IFERROR(__xludf.DUMMYFUNCTION("""COMPUTED_VALUE"""),"AP")</f>
        <v>AP</v>
      </c>
      <c r="R758" s="47" t="str">
        <f>IFERROR(__xludf.DUMMYFUNCTION("""COMPUTED_VALUE"""),"")</f>
        <v/>
      </c>
      <c r="S758" s="48" t="str">
        <f>IFERROR(__xludf.DUMMYFUNCTION("""COMPUTED_VALUE"""),"%")</f>
        <v>%</v>
      </c>
      <c r="T758" s="49">
        <f>IFERROR(__xludf.DUMMYFUNCTION("""COMPUTED_VALUE"""),2.0)</f>
        <v>2</v>
      </c>
      <c r="U758" s="50"/>
      <c r="V758" s="38"/>
      <c r="W758" s="45" t="str">
        <f>IFERROR(__xludf.DUMMYFUNCTION("""COMPUTED_VALUE"""),"")</f>
        <v/>
      </c>
      <c r="X758" s="46" t="str">
        <f>IFERROR(__xludf.DUMMYFUNCTION("""COMPUTED_VALUE"""),"AP")</f>
        <v>AP</v>
      </c>
      <c r="Y758" s="47" t="str">
        <f>IFERROR(__xludf.DUMMYFUNCTION("""COMPUTED_VALUE"""),"")</f>
        <v/>
      </c>
      <c r="Z758" s="48" t="str">
        <f>IFERROR(__xludf.DUMMYFUNCTION("""COMPUTED_VALUE"""),"%")</f>
        <v>%</v>
      </c>
      <c r="AA758" s="49">
        <f>IFERROR(__xludf.DUMMYFUNCTION("""COMPUTED_VALUE"""),3.0)</f>
        <v>3</v>
      </c>
      <c r="AB758" s="50"/>
      <c r="AC758" s="38"/>
      <c r="AD758" s="45" t="str">
        <f>IFERROR(__xludf.DUMMYFUNCTION("""COMPUTED_VALUE"""),"")</f>
        <v/>
      </c>
      <c r="AE758" s="46" t="str">
        <f>IFERROR(__xludf.DUMMYFUNCTION("""COMPUTED_VALUE"""),"AP")</f>
        <v>AP</v>
      </c>
      <c r="AF758" s="47" t="str">
        <f>IFERROR(__xludf.DUMMYFUNCTION("""COMPUTED_VALUE"""),"")</f>
        <v/>
      </c>
      <c r="AG758" s="48" t="str">
        <f>IFERROR(__xludf.DUMMYFUNCTION("""COMPUTED_VALUE"""),"%")</f>
        <v>%</v>
      </c>
      <c r="AH758" s="43"/>
      <c r="AI758" s="44"/>
      <c r="AJ758" s="66"/>
    </row>
    <row r="759">
      <c r="A759" s="52"/>
      <c r="B759" s="53"/>
      <c r="C759" s="54"/>
      <c r="D759" s="56"/>
      <c r="E759" s="56"/>
      <c r="F759" s="53"/>
      <c r="G759" s="53"/>
      <c r="H759" s="53"/>
      <c r="I759" s="53"/>
      <c r="J759" s="57"/>
      <c r="K759" s="53"/>
      <c r="L759" s="57"/>
      <c r="M759" s="53"/>
      <c r="N759" s="53"/>
      <c r="O759" s="53"/>
      <c r="P759" s="53"/>
      <c r="Q759" s="57"/>
      <c r="R759" s="53"/>
      <c r="S759" s="57"/>
      <c r="T759" s="53"/>
      <c r="U759" s="53"/>
      <c r="V759" s="53"/>
      <c r="W759" s="53"/>
      <c r="X759" s="57"/>
      <c r="Y759" s="53"/>
      <c r="Z759" s="57"/>
      <c r="AA759" s="53"/>
      <c r="AB759" s="53"/>
      <c r="AC759" s="53"/>
      <c r="AD759" s="53"/>
      <c r="AE759" s="57"/>
      <c r="AF759" s="53"/>
      <c r="AG759" s="57"/>
      <c r="AH759" s="53"/>
      <c r="AI759" s="53"/>
      <c r="AJ759" s="56"/>
    </row>
    <row r="760">
      <c r="A760" s="59"/>
      <c r="B760" s="60"/>
      <c r="C760" s="61"/>
      <c r="D760" s="63"/>
      <c r="E760" s="63"/>
      <c r="F760" s="60"/>
      <c r="G760" s="60"/>
      <c r="H760" s="60"/>
      <c r="I760" s="60"/>
      <c r="J760" s="64"/>
      <c r="K760" s="60"/>
      <c r="L760" s="64"/>
      <c r="M760" s="60"/>
      <c r="N760" s="60"/>
      <c r="O760" s="60"/>
      <c r="P760" s="60"/>
      <c r="Q760" s="64"/>
      <c r="R760" s="60"/>
      <c r="S760" s="64"/>
      <c r="T760" s="60"/>
      <c r="U760" s="60"/>
      <c r="V760" s="60"/>
      <c r="W760" s="60"/>
      <c r="X760" s="64"/>
      <c r="Y760" s="60"/>
      <c r="Z760" s="64"/>
      <c r="AA760" s="60"/>
      <c r="AB760" s="60"/>
      <c r="AC760" s="60"/>
      <c r="AD760" s="60"/>
      <c r="AE760" s="64"/>
      <c r="AF760" s="60"/>
      <c r="AG760" s="64"/>
      <c r="AH760" s="60"/>
      <c r="AI760" s="60"/>
      <c r="AJ760" s="63"/>
    </row>
    <row r="761" ht="33.0" customHeight="1">
      <c r="A761" s="20" t="str">
        <f>IFERROR(__xludf.DUMMYFUNCTION("""COMPUTED_VALUE""")," ")</f>
        <v> </v>
      </c>
      <c r="B761" s="21" t="str">
        <f>IFERROR(__xludf.DUMMYFUNCTION("""COMPUTED_VALUE"""),"A106")</f>
        <v>A106</v>
      </c>
      <c r="C761" s="20"/>
      <c r="D761" s="257" t="str">
        <f>IFERROR(__xludf.DUMMYFUNCTION("""COMPUTED_VALUE"""),"")</f>
        <v/>
      </c>
      <c r="E761" s="23" t="str">
        <f>IFERROR(__xludf.DUMMYFUNCTION("""COMPUTED_VALUE"""),"Tearstone of Blood")</f>
        <v>Tearstone of Blood</v>
      </c>
      <c r="F761" s="24"/>
      <c r="G761" s="24"/>
      <c r="H761" s="25"/>
      <c r="I761" s="25"/>
      <c r="J761" s="26"/>
      <c r="K761" s="25"/>
      <c r="L761" s="26"/>
      <c r="M761" s="25"/>
      <c r="N761" s="25"/>
      <c r="O761" s="25"/>
      <c r="P761" s="25"/>
      <c r="Q761" s="26"/>
      <c r="R761" s="25"/>
      <c r="S761" s="26"/>
      <c r="T761" s="25"/>
      <c r="U761" s="25"/>
      <c r="V761" s="25"/>
      <c r="W761" s="25"/>
      <c r="X761" s="26"/>
      <c r="Y761" s="25"/>
      <c r="Z761" s="26"/>
      <c r="AA761" s="25"/>
      <c r="AB761" s="25"/>
      <c r="AC761" s="25"/>
      <c r="AD761" s="25"/>
      <c r="AE761" s="26"/>
      <c r="AF761" s="25"/>
      <c r="AG761" s="26"/>
      <c r="AH761" s="24"/>
      <c r="AI761" s="25"/>
      <c r="AJ761" s="23"/>
    </row>
    <row r="762" ht="24.75" customHeight="1">
      <c r="A762" s="28">
        <f>IFERROR(__xludf.DUMMYFUNCTION("""COMPUTED_VALUE"""),1.0)</f>
        <v>1</v>
      </c>
      <c r="B762" s="28" t="str">
        <f>IFERROR(__xludf.DUMMYFUNCTION("""COMPUTED_VALUE"""),"A106")</f>
        <v>A106</v>
      </c>
      <c r="C762" s="28" t="str">
        <f>IFERROR(__xludf.DUMMYFUNCTION("""COMPUTED_VALUE"""),"SJK10")</f>
        <v>SJK10</v>
      </c>
      <c r="D762" s="29" t="str">
        <f>IFERROR(__xludf.DUMMYFUNCTION("""COMPUTED_VALUE"""),"Shinjuku")</f>
        <v>Shinjuku</v>
      </c>
      <c r="E762" s="30" t="str">
        <f>IFERROR(__xludf.DUMMYFUNCTION("""COMPUTED_VALUE"""),"Shinjuku 2-chome")</f>
        <v>Shinjuku 2-chome</v>
      </c>
      <c r="F762" s="31">
        <f>IFERROR(__xludf.DUMMYFUNCTION("""COMPUTED_VALUE"""),21.0)</f>
        <v>21</v>
      </c>
      <c r="G762" s="32">
        <f>IFERROR(__xludf.DUMMYFUNCTION("""COMPUTED_VALUE"""),72297.0)</f>
        <v>72297</v>
      </c>
      <c r="H762" s="33" t="str">
        <f>IFERROR(__xludf.DUMMYFUNCTION("""COMPUTED_VALUE"""),"")</f>
        <v/>
      </c>
      <c r="I762" s="34">
        <f>IFERROR(__xludf.DUMMYFUNCTION("""COMPUTED_VALUE"""),115.8069950563081)</f>
        <v>115.8069951</v>
      </c>
      <c r="J762" s="35" t="str">
        <f>IFERROR(__xludf.DUMMYFUNCTION("""COMPUTED_VALUE"""),"AP")</f>
        <v>AP</v>
      </c>
      <c r="K762" s="34">
        <f>IFERROR(__xludf.DUMMYFUNCTION("""COMPUTED_VALUE"""),18.133619639978832)</f>
        <v>18.13361964</v>
      </c>
      <c r="L762" s="35" t="str">
        <f>IFERROR(__xludf.DUMMYFUNCTION("""COMPUTED_VALUE"""),"%")</f>
        <v>%</v>
      </c>
      <c r="M762" s="36">
        <f>IFERROR(__xludf.DUMMYFUNCTION("""COMPUTED_VALUE"""),1.0)</f>
        <v>1</v>
      </c>
      <c r="N762" s="37" t="str">
        <f>IFERROR(__xludf.DUMMYFUNCTION("""COMPUTED_VALUE"""),"A207")</f>
        <v>A207</v>
      </c>
      <c r="O762" s="38" t="str">
        <f>IFERROR(__xludf.DUMMYFUNCTION("""COMPUTED_VALUE"""),"")</f>
        <v/>
      </c>
      <c r="P762" s="34">
        <f>IFERROR(__xludf.DUMMYFUNCTION("""COMPUTED_VALUE"""),69.49871690056644)</f>
        <v>69.4987169</v>
      </c>
      <c r="Q762" s="35" t="str">
        <f>IFERROR(__xludf.DUMMYFUNCTION("""COMPUTED_VALUE"""),"AP")</f>
        <v>AP</v>
      </c>
      <c r="R762" s="34">
        <f>IFERROR(__xludf.DUMMYFUNCTION("""COMPUTED_VALUE"""),30.216385188873673)</f>
        <v>30.21638519</v>
      </c>
      <c r="S762" s="35" t="str">
        <f>IFERROR(__xludf.DUMMYFUNCTION("""COMPUTED_VALUE"""),"%")</f>
        <v>%</v>
      </c>
      <c r="T762" s="36">
        <f>IFERROR(__xludf.DUMMYFUNCTION("""COMPUTED_VALUE"""),2.0)</f>
        <v>2</v>
      </c>
      <c r="U762" s="37" t="str">
        <f>IFERROR(__xludf.DUMMYFUNCTION("""COMPUTED_VALUE"""),"B105")</f>
        <v>B105</v>
      </c>
      <c r="V762" s="38" t="str">
        <f>IFERROR(__xludf.DUMMYFUNCTION("""COMPUTED_VALUE"""),"")</f>
        <v/>
      </c>
      <c r="W762" s="34">
        <f>IFERROR(__xludf.DUMMYFUNCTION("""COMPUTED_VALUE"""),636.4140493169989)</f>
        <v>636.4140493</v>
      </c>
      <c r="X762" s="35" t="str">
        <f>IFERROR(__xludf.DUMMYFUNCTION("""COMPUTED_VALUE"""),"AP")</f>
        <v>AP</v>
      </c>
      <c r="Y762" s="34">
        <f>IFERROR(__xludf.DUMMYFUNCTION("""COMPUTED_VALUE"""),3.2997385935362757)</f>
        <v>3.299738594</v>
      </c>
      <c r="Z762" s="35" t="str">
        <f>IFERROR(__xludf.DUMMYFUNCTION("""COMPUTED_VALUE"""),"%")</f>
        <v>%</v>
      </c>
      <c r="AA762" s="36">
        <f>IFERROR(__xludf.DUMMYFUNCTION("""COMPUTED_VALUE"""),3.0)</f>
        <v>3</v>
      </c>
      <c r="AB762" s="37" t="str">
        <f>IFERROR(__xludf.DUMMYFUNCTION("""COMPUTED_VALUE"""),"B112")</f>
        <v>B112</v>
      </c>
      <c r="AC762" s="38" t="str">
        <f>IFERROR(__xludf.DUMMYFUNCTION("""COMPUTED_VALUE"""),"")</f>
        <v/>
      </c>
      <c r="AD762" s="34">
        <f>IFERROR(__xludf.DUMMYFUNCTION("""COMPUTED_VALUE"""),255.91424033590638)</f>
        <v>255.9142403</v>
      </c>
      <c r="AE762" s="35" t="str">
        <f>IFERROR(__xludf.DUMMYFUNCTION("""COMPUTED_VALUE"""),"AP")</f>
        <v>AP</v>
      </c>
      <c r="AF762" s="34">
        <f>IFERROR(__xludf.DUMMYFUNCTION("""COMPUTED_VALUE"""),8.20587395700839)</f>
        <v>8.205873957</v>
      </c>
      <c r="AG762" s="35" t="str">
        <f>IFERROR(__xludf.DUMMYFUNCTION("""COMPUTED_VALUE"""),"%")</f>
        <v>%</v>
      </c>
      <c r="AH762" s="31">
        <f>IFERROR(__xludf.DUMMYFUNCTION("""COMPUTED_VALUE"""),21.0)</f>
        <v>21</v>
      </c>
      <c r="AI762" s="32">
        <f>IFERROR(__xludf.DUMMYFUNCTION("""COMPUTED_VALUE"""),72297.0)</f>
        <v>72297</v>
      </c>
      <c r="AJ762" s="30" t="str">
        <f>IFERROR(__xludf.DUMMYFUNCTION("""COMPUTED_VALUE"""),"Shinjuku 2-chome")</f>
        <v>Shinjuku 2-chome</v>
      </c>
    </row>
    <row r="763" ht="24.75" customHeight="1">
      <c r="A763" s="40">
        <f>IFERROR(__xludf.DUMMYFUNCTION("""COMPUTED_VALUE"""),2.0)</f>
        <v>2</v>
      </c>
      <c r="B763" s="40" t="str">
        <f>IFERROR(__xludf.DUMMYFUNCTION("""COMPUTED_VALUE"""),"A106")</f>
        <v>A106</v>
      </c>
      <c r="C763" s="40" t="str">
        <f>IFERROR(__xludf.DUMMYFUNCTION("""COMPUTED_VALUE"""),"EPU10")</f>
        <v>EPU10</v>
      </c>
      <c r="D763" s="41" t="str">
        <f>IFERROR(__xludf.DUMMYFUNCTION("""COMPUTED_VALUE"""),"E Pluribus Unum")</f>
        <v>E Pluribus Unum</v>
      </c>
      <c r="E763" s="42" t="str">
        <f>IFERROR(__xludf.DUMMYFUNCTION("""COMPUTED_VALUE"""),"Alexandria")</f>
        <v>Alexandria</v>
      </c>
      <c r="F763" s="43">
        <f>IFERROR(__xludf.DUMMYFUNCTION("""COMPUTED_VALUE"""),18.0)</f>
        <v>18</v>
      </c>
      <c r="G763" s="44">
        <f>IFERROR(__xludf.DUMMYFUNCTION("""COMPUTED_VALUE"""),13074.0)</f>
        <v>13074</v>
      </c>
      <c r="H763" s="33" t="str">
        <f>IFERROR(__xludf.DUMMYFUNCTION("""COMPUTED_VALUE"""),"")</f>
        <v/>
      </c>
      <c r="I763" s="45">
        <f>IFERROR(__xludf.DUMMYFUNCTION("""COMPUTED_VALUE"""),149.2072106800844)</f>
        <v>149.2072107</v>
      </c>
      <c r="J763" s="46" t="str">
        <f>IFERROR(__xludf.DUMMYFUNCTION("""COMPUTED_VALUE"""),"AP")</f>
        <v>AP</v>
      </c>
      <c r="K763" s="47">
        <f>IFERROR(__xludf.DUMMYFUNCTION("""COMPUTED_VALUE"""),12.063760134618327)</f>
        <v>12.06376013</v>
      </c>
      <c r="L763" s="48" t="str">
        <f>IFERROR(__xludf.DUMMYFUNCTION("""COMPUTED_VALUE"""),"%")</f>
        <v>%</v>
      </c>
      <c r="M763" s="49">
        <f>IFERROR(__xludf.DUMMYFUNCTION("""COMPUTED_VALUE"""),1.0)</f>
        <v>1</v>
      </c>
      <c r="N763" s="50" t="str">
        <f>IFERROR(__xludf.DUMMYFUNCTION("""COMPUTED_VALUE"""),"A301")</f>
        <v>A301</v>
      </c>
      <c r="O763" s="38" t="str">
        <f>IFERROR(__xludf.DUMMYFUNCTION("""COMPUTED_VALUE"""),"")</f>
        <v/>
      </c>
      <c r="P763" s="45">
        <f>IFERROR(__xludf.DUMMYFUNCTION("""COMPUTED_VALUE"""),33.74581855391943)</f>
        <v>33.74581855</v>
      </c>
      <c r="Q763" s="46" t="str">
        <f>IFERROR(__xludf.DUMMYFUNCTION("""COMPUTED_VALUE"""),"AP")</f>
        <v>AP</v>
      </c>
      <c r="R763" s="47">
        <f>IFERROR(__xludf.DUMMYFUNCTION("""COMPUTED_VALUE"""),53.33994186935904)</f>
        <v>53.33994187</v>
      </c>
      <c r="S763" s="48" t="str">
        <f>IFERROR(__xludf.DUMMYFUNCTION("""COMPUTED_VALUE"""),"%")</f>
        <v>%</v>
      </c>
      <c r="T763" s="49">
        <f>IFERROR(__xludf.DUMMYFUNCTION("""COMPUTED_VALUE"""),2.0)</f>
        <v>2</v>
      </c>
      <c r="U763" s="50" t="str">
        <f>IFERROR(__xludf.DUMMYFUNCTION("""COMPUTED_VALUE"""),"B112")</f>
        <v>B112</v>
      </c>
      <c r="V763" s="38" t="str">
        <f>IFERROR(__xludf.DUMMYFUNCTION("""COMPUTED_VALUE"""),"")</f>
        <v/>
      </c>
      <c r="W763" s="45">
        <f>IFERROR(__xludf.DUMMYFUNCTION("""COMPUTED_VALUE"""),225.26706742734618)</f>
        <v>225.2670674</v>
      </c>
      <c r="X763" s="46" t="str">
        <f>IFERROR(__xludf.DUMMYFUNCTION("""COMPUTED_VALUE"""),"AP")</f>
        <v>AP</v>
      </c>
      <c r="Y763" s="47">
        <f>IFERROR(__xludf.DUMMYFUNCTION("""COMPUTED_VALUE"""),7.990515527000153)</f>
        <v>7.990515527</v>
      </c>
      <c r="Z763" s="48" t="str">
        <f>IFERROR(__xludf.DUMMYFUNCTION("""COMPUTED_VALUE"""),"%")</f>
        <v>%</v>
      </c>
      <c r="AA763" s="49">
        <f>IFERROR(__xludf.DUMMYFUNCTION("""COMPUTED_VALUE"""),3.0)</f>
        <v>3</v>
      </c>
      <c r="AB763" s="50"/>
      <c r="AC763" s="38"/>
      <c r="AD763" s="45" t="str">
        <f>IFERROR(__xludf.DUMMYFUNCTION("""COMPUTED_VALUE"""),"")</f>
        <v/>
      </c>
      <c r="AE763" s="46" t="str">
        <f>IFERROR(__xludf.DUMMYFUNCTION("""COMPUTED_VALUE"""),"AP")</f>
        <v>AP</v>
      </c>
      <c r="AF763" s="47" t="str">
        <f>IFERROR(__xludf.DUMMYFUNCTION("""COMPUTED_VALUE"""),"")</f>
        <v/>
      </c>
      <c r="AG763" s="48" t="str">
        <f>IFERROR(__xludf.DUMMYFUNCTION("""COMPUTED_VALUE"""),"%")</f>
        <v>%</v>
      </c>
      <c r="AH763" s="43">
        <f>IFERROR(__xludf.DUMMYFUNCTION("""COMPUTED_VALUE"""),18.0)</f>
        <v>18</v>
      </c>
      <c r="AI763" s="44">
        <f>IFERROR(__xludf.DUMMYFUNCTION("""COMPUTED_VALUE"""),13074.0)</f>
        <v>13074</v>
      </c>
      <c r="AJ763" s="42" t="str">
        <f>IFERROR(__xludf.DUMMYFUNCTION("""COMPUTED_VALUE"""),"Alexandria")</f>
        <v>Alexandria</v>
      </c>
    </row>
    <row r="764" ht="24.75" customHeight="1">
      <c r="A764" s="28">
        <f>IFERROR(__xludf.DUMMYFUNCTION("""COMPUTED_VALUE"""),3.0)</f>
        <v>3</v>
      </c>
      <c r="B764" s="28" t="str">
        <f>IFERROR(__xludf.DUMMYFUNCTION("""COMPUTED_VALUE"""),"A106")</f>
        <v>A106</v>
      </c>
      <c r="C764" s="28" t="str">
        <f>IFERROR(__xludf.DUMMYFUNCTION("""COMPUTED_VALUE"""),"TRF4")</f>
        <v>TRF4</v>
      </c>
      <c r="D764" s="29" t="str">
        <f>IFERROR(__xludf.DUMMYFUNCTION("""COMPUTED_VALUE"""),"Chaldea Gate (Mon)")</f>
        <v>Chaldea Gate (Mon)</v>
      </c>
      <c r="E764" s="30" t="str">
        <f>IFERROR(__xludf.DUMMYFUNCTION("""COMPUTED_VALUE"""),"MON Archer Training Ground- Exp")</f>
        <v>MON Archer Training Ground- Exp</v>
      </c>
      <c r="F764" s="31">
        <f>IFERROR(__xludf.DUMMYFUNCTION("""COMPUTED_VALUE"""),40.0)</f>
        <v>40</v>
      </c>
      <c r="G764" s="32">
        <f>IFERROR(__xludf.DUMMYFUNCTION("""COMPUTED_VALUE"""),10924.0)</f>
        <v>10924</v>
      </c>
      <c r="H764" s="33" t="str">
        <f>IFERROR(__xludf.DUMMYFUNCTION("""COMPUTED_VALUE"""),"")</f>
        <v/>
      </c>
      <c r="I764" s="34">
        <f>IFERROR(__xludf.DUMMYFUNCTION("""COMPUTED_VALUE"""),317.41857686119107)</f>
        <v>317.4185769</v>
      </c>
      <c r="J764" s="35" t="str">
        <f>IFERROR(__xludf.DUMMYFUNCTION("""COMPUTED_VALUE"""),"AP")</f>
        <v>AP</v>
      </c>
      <c r="K764" s="34">
        <f>IFERROR(__xludf.DUMMYFUNCTION("""COMPUTED_VALUE"""),12.601656902233614)</f>
        <v>12.6016569</v>
      </c>
      <c r="L764" s="35" t="str">
        <f>IFERROR(__xludf.DUMMYFUNCTION("""COMPUTED_VALUE"""),"%")</f>
        <v>%</v>
      </c>
      <c r="M764" s="36">
        <f>IFERROR(__xludf.DUMMYFUNCTION("""COMPUTED_VALUE"""),1.0)</f>
        <v>1</v>
      </c>
      <c r="N764" s="37" t="str">
        <f>IFERROR(__xludf.DUMMYFUNCTION("""COMPUTED_VALUE"""),"A201")</f>
        <v>A201</v>
      </c>
      <c r="O764" s="38" t="str">
        <f>IFERROR(__xludf.DUMMYFUNCTION("""COMPUTED_VALUE"""),"")</f>
        <v/>
      </c>
      <c r="P764" s="34">
        <f>IFERROR(__xludf.DUMMYFUNCTION("""COMPUTED_VALUE"""),213.59560255849362)</f>
        <v>213.5956026</v>
      </c>
      <c r="Q764" s="35" t="str">
        <f>IFERROR(__xludf.DUMMYFUNCTION("""COMPUTED_VALUE"""),"AP")</f>
        <v>AP</v>
      </c>
      <c r="R764" s="34">
        <f>IFERROR(__xludf.DUMMYFUNCTION("""COMPUTED_VALUE"""),18.726977297693153)</f>
        <v>18.7269773</v>
      </c>
      <c r="S764" s="35" t="str">
        <f>IFERROR(__xludf.DUMMYFUNCTION("""COMPUTED_VALUE"""),"%")</f>
        <v>%</v>
      </c>
      <c r="T764" s="36">
        <f>IFERROR(__xludf.DUMMYFUNCTION("""COMPUTED_VALUE"""),2.0)</f>
        <v>2</v>
      </c>
      <c r="U764" s="37" t="str">
        <f>IFERROR(__xludf.DUMMYFUNCTION("""COMPUTED_VALUE"""),"A205")</f>
        <v>A205</v>
      </c>
      <c r="V764" s="38" t="str">
        <f>IFERROR(__xludf.DUMMYFUNCTION("""COMPUTED_VALUE"""),"")</f>
        <v/>
      </c>
      <c r="W764" s="34">
        <f>IFERROR(__xludf.DUMMYFUNCTION("""COMPUTED_VALUE"""),200.42979384115057)</f>
        <v>200.4297938</v>
      </c>
      <c r="X764" s="35" t="str">
        <f>IFERROR(__xludf.DUMMYFUNCTION("""COMPUTED_VALUE"""),"AP")</f>
        <v>AP</v>
      </c>
      <c r="Y764" s="34">
        <f>IFERROR(__xludf.DUMMYFUNCTION("""COMPUTED_VALUE"""),19.957112779201758)</f>
        <v>19.95711278</v>
      </c>
      <c r="Z764" s="35" t="str">
        <f>IFERROR(__xludf.DUMMYFUNCTION("""COMPUTED_VALUE"""),"%")</f>
        <v>%</v>
      </c>
      <c r="AA764" s="36">
        <f>IFERROR(__xludf.DUMMYFUNCTION("""COMPUTED_VALUE"""),3.0)</f>
        <v>3</v>
      </c>
      <c r="AB764" s="37" t="str">
        <f>IFERROR(__xludf.DUMMYFUNCTION("""COMPUTED_VALUE"""),"A209")</f>
        <v>A209</v>
      </c>
      <c r="AC764" s="38" t="str">
        <f>IFERROR(__xludf.DUMMYFUNCTION("""COMPUTED_VALUE"""),"")</f>
        <v/>
      </c>
      <c r="AD764" s="34">
        <f>IFERROR(__xludf.DUMMYFUNCTION("""COMPUTED_VALUE"""),209.1638424569667)</f>
        <v>209.1638425</v>
      </c>
      <c r="AE764" s="35" t="str">
        <f>IFERROR(__xludf.DUMMYFUNCTION("""COMPUTED_VALUE"""),"AP")</f>
        <v>AP</v>
      </c>
      <c r="AF764" s="34">
        <f>IFERROR(__xludf.DUMMYFUNCTION("""COMPUTED_VALUE"""),19.12376418894178)</f>
        <v>19.12376419</v>
      </c>
      <c r="AG764" s="35" t="str">
        <f>IFERROR(__xludf.DUMMYFUNCTION("""COMPUTED_VALUE"""),"%")</f>
        <v>%</v>
      </c>
      <c r="AH764" s="31">
        <f>IFERROR(__xludf.DUMMYFUNCTION("""COMPUTED_VALUE"""),40.0)</f>
        <v>40</v>
      </c>
      <c r="AI764" s="32">
        <f>IFERROR(__xludf.DUMMYFUNCTION("""COMPUTED_VALUE"""),10924.0)</f>
        <v>10924</v>
      </c>
      <c r="AJ764" s="30" t="str">
        <f>IFERROR(__xludf.DUMMYFUNCTION("""COMPUTED_VALUE"""),"MON Archer Training Ground- Exp")</f>
        <v>MON Archer Training Ground- Exp</v>
      </c>
    </row>
    <row r="765" ht="24.75" customHeight="1">
      <c r="A765" s="40">
        <f>IFERROR(__xludf.DUMMYFUNCTION("""COMPUTED_VALUE"""),4.0)</f>
        <v>4</v>
      </c>
      <c r="B765" s="40" t="str">
        <f>IFERROR(__xludf.DUMMYFUNCTION("""COMPUTED_VALUE"""),"A106")</f>
        <v>A106</v>
      </c>
      <c r="C765" s="40" t="str">
        <f>IFERROR(__xludf.DUMMYFUNCTION("""COMPUTED_VALUE"""),"TRF3")</f>
        <v>TRF3</v>
      </c>
      <c r="D765" s="41" t="str">
        <f>IFERROR(__xludf.DUMMYFUNCTION("""COMPUTED_VALUE"""),"Chaldea Gate (Mon)")</f>
        <v>Chaldea Gate (Mon)</v>
      </c>
      <c r="E765" s="42" t="str">
        <f>IFERROR(__xludf.DUMMYFUNCTION("""COMPUTED_VALUE"""),"MON Archer Training Ground- Adv")</f>
        <v>MON Archer Training Ground- Adv</v>
      </c>
      <c r="F765" s="43">
        <f>IFERROR(__xludf.DUMMYFUNCTION("""COMPUTED_VALUE"""),30.0)</f>
        <v>30</v>
      </c>
      <c r="G765" s="44">
        <f>IFERROR(__xludf.DUMMYFUNCTION("""COMPUTED_VALUE"""),1454.0)</f>
        <v>1454</v>
      </c>
      <c r="H765" s="33" t="str">
        <f>IFERROR(__xludf.DUMMYFUNCTION("""COMPUTED_VALUE"""),"")</f>
        <v/>
      </c>
      <c r="I765" s="45">
        <f>IFERROR(__xludf.DUMMYFUNCTION("""COMPUTED_VALUE"""),505.4461181923523)</f>
        <v>505.4461182</v>
      </c>
      <c r="J765" s="46" t="str">
        <f>IFERROR(__xludf.DUMMYFUNCTION("""COMPUTED_VALUE"""),"AP")</f>
        <v>AP</v>
      </c>
      <c r="K765" s="47">
        <f>IFERROR(__xludf.DUMMYFUNCTION("""COMPUTED_VALUE"""),5.9353507565337)</f>
        <v>5.935350757</v>
      </c>
      <c r="L765" s="48" t="str">
        <f>IFERROR(__xludf.DUMMYFUNCTION("""COMPUTED_VALUE"""),"%")</f>
        <v>%</v>
      </c>
      <c r="M765" s="49">
        <f>IFERROR(__xludf.DUMMYFUNCTION("""COMPUTED_VALUE"""),1.0)</f>
        <v>1</v>
      </c>
      <c r="N765" s="50" t="str">
        <f>IFERROR(__xludf.DUMMYFUNCTION("""COMPUTED_VALUE"""),"A201")</f>
        <v>A201</v>
      </c>
      <c r="O765" s="38" t="str">
        <f>IFERROR(__xludf.DUMMYFUNCTION("""COMPUTED_VALUE"""),"")</f>
        <v/>
      </c>
      <c r="P765" s="45">
        <f>IFERROR(__xludf.DUMMYFUNCTION("""COMPUTED_VALUE"""),209.97400596899973)</f>
        <v>209.974006</v>
      </c>
      <c r="Q765" s="46" t="str">
        <f>IFERROR(__xludf.DUMMYFUNCTION("""COMPUTED_VALUE"""),"AP")</f>
        <v>AP</v>
      </c>
      <c r="R765" s="47">
        <f>IFERROR(__xludf.DUMMYFUNCTION("""COMPUTED_VALUE"""),14.28748280605227)</f>
        <v>14.28748281</v>
      </c>
      <c r="S765" s="48" t="str">
        <f>IFERROR(__xludf.DUMMYFUNCTION("""COMPUTED_VALUE"""),"%")</f>
        <v>%</v>
      </c>
      <c r="T765" s="49">
        <f>IFERROR(__xludf.DUMMYFUNCTION("""COMPUTED_VALUE"""),2.0)</f>
        <v>2</v>
      </c>
      <c r="U765" s="50" t="str">
        <f>IFERROR(__xludf.DUMMYFUNCTION("""COMPUTED_VALUE"""),"A205")</f>
        <v>A205</v>
      </c>
      <c r="V765" s="38" t="str">
        <f>IFERROR(__xludf.DUMMYFUNCTION("""COMPUTED_VALUE"""),"")</f>
        <v/>
      </c>
      <c r="W765" s="45">
        <f>IFERROR(__xludf.DUMMYFUNCTION("""COMPUTED_VALUE"""),347.1271685500557)</f>
        <v>347.1271686</v>
      </c>
      <c r="X765" s="46" t="str">
        <f>IFERROR(__xludf.DUMMYFUNCTION("""COMPUTED_VALUE"""),"AP")</f>
        <v>AP</v>
      </c>
      <c r="Y765" s="47">
        <f>IFERROR(__xludf.DUMMYFUNCTION("""COMPUTED_VALUE"""),8.642365887207703)</f>
        <v>8.642365887</v>
      </c>
      <c r="Z765" s="48" t="str">
        <f>IFERROR(__xludf.DUMMYFUNCTION("""COMPUTED_VALUE"""),"%")</f>
        <v>%</v>
      </c>
      <c r="AA765" s="49">
        <f>IFERROR(__xludf.DUMMYFUNCTION("""COMPUTED_VALUE"""),3.0)</f>
        <v>3</v>
      </c>
      <c r="AB765" s="50" t="str">
        <f>IFERROR(__xludf.DUMMYFUNCTION("""COMPUTED_VALUE"""),"A209")</f>
        <v>A209</v>
      </c>
      <c r="AC765" s="38" t="str">
        <f>IFERROR(__xludf.DUMMYFUNCTION("""COMPUTED_VALUE"""),"")</f>
        <v/>
      </c>
      <c r="AD765" s="45">
        <f>IFERROR(__xludf.DUMMYFUNCTION("""COMPUTED_VALUE"""),230.98919720398223)</f>
        <v>230.9891972</v>
      </c>
      <c r="AE765" s="46" t="str">
        <f>IFERROR(__xludf.DUMMYFUNCTION("""COMPUTED_VALUE"""),"AP")</f>
        <v>AP</v>
      </c>
      <c r="AF765" s="47">
        <f>IFERROR(__xludf.DUMMYFUNCTION("""COMPUTED_VALUE"""),12.987620357634112)</f>
        <v>12.98762036</v>
      </c>
      <c r="AG765" s="48" t="str">
        <f>IFERROR(__xludf.DUMMYFUNCTION("""COMPUTED_VALUE"""),"%")</f>
        <v>%</v>
      </c>
      <c r="AH765" s="43">
        <f>IFERROR(__xludf.DUMMYFUNCTION("""COMPUTED_VALUE"""),30.0)</f>
        <v>30</v>
      </c>
      <c r="AI765" s="44">
        <f>IFERROR(__xludf.DUMMYFUNCTION("""COMPUTED_VALUE"""),1454.0)</f>
        <v>1454</v>
      </c>
      <c r="AJ765" s="42" t="str">
        <f>IFERROR(__xludf.DUMMYFUNCTION("""COMPUTED_VALUE"""),"MON Archer Training Ground- Adv")</f>
        <v>MON Archer Training Ground- Adv</v>
      </c>
    </row>
    <row r="766" ht="24.75" customHeight="1">
      <c r="A766" s="28">
        <f>IFERROR(__xludf.DUMMYFUNCTION("""COMPUTED_VALUE"""),5.0)</f>
        <v>5</v>
      </c>
      <c r="B766" s="28" t="str">
        <f>IFERROR(__xludf.DUMMYFUNCTION("""COMPUTED_VALUE"""),"A106")</f>
        <v>A106</v>
      </c>
      <c r="C766" s="28"/>
      <c r="D766" s="29"/>
      <c r="E766" s="67"/>
      <c r="F766" s="31"/>
      <c r="G766" s="32"/>
      <c r="H766" s="33" t="str">
        <f>IFERROR(__xludf.DUMMYFUNCTION("""COMPUTED_VALUE""")," ")</f>
        <v> </v>
      </c>
      <c r="I766" s="34"/>
      <c r="J766" s="35" t="str">
        <f>IFERROR(__xludf.DUMMYFUNCTION("""COMPUTED_VALUE"""),"AP")</f>
        <v>AP</v>
      </c>
      <c r="K766" s="34"/>
      <c r="L766" s="35" t="str">
        <f>IFERROR(__xludf.DUMMYFUNCTION("""COMPUTED_VALUE"""),"%")</f>
        <v>%</v>
      </c>
      <c r="M766" s="36">
        <f>IFERROR(__xludf.DUMMYFUNCTION("""COMPUTED_VALUE"""),1.0)</f>
        <v>1</v>
      </c>
      <c r="N766" s="37"/>
      <c r="O766" s="38"/>
      <c r="P766" s="34" t="str">
        <f>IFERROR(__xludf.DUMMYFUNCTION("""COMPUTED_VALUE"""),"")</f>
        <v/>
      </c>
      <c r="Q766" s="35" t="str">
        <f>IFERROR(__xludf.DUMMYFUNCTION("""COMPUTED_VALUE"""),"AP")</f>
        <v>AP</v>
      </c>
      <c r="R766" s="34" t="str">
        <f>IFERROR(__xludf.DUMMYFUNCTION("""COMPUTED_VALUE"""),"")</f>
        <v/>
      </c>
      <c r="S766" s="35" t="str">
        <f>IFERROR(__xludf.DUMMYFUNCTION("""COMPUTED_VALUE"""),"%")</f>
        <v>%</v>
      </c>
      <c r="T766" s="36">
        <f>IFERROR(__xludf.DUMMYFUNCTION("""COMPUTED_VALUE"""),2.0)</f>
        <v>2</v>
      </c>
      <c r="U766" s="37"/>
      <c r="V766" s="38"/>
      <c r="W766" s="34" t="str">
        <f>IFERROR(__xludf.DUMMYFUNCTION("""COMPUTED_VALUE"""),"")</f>
        <v/>
      </c>
      <c r="X766" s="35" t="str">
        <f>IFERROR(__xludf.DUMMYFUNCTION("""COMPUTED_VALUE"""),"AP")</f>
        <v>AP</v>
      </c>
      <c r="Y766" s="34" t="str">
        <f>IFERROR(__xludf.DUMMYFUNCTION("""COMPUTED_VALUE"""),"")</f>
        <v/>
      </c>
      <c r="Z766" s="35" t="str">
        <f>IFERROR(__xludf.DUMMYFUNCTION("""COMPUTED_VALUE"""),"%")</f>
        <v>%</v>
      </c>
      <c r="AA766" s="36">
        <f>IFERROR(__xludf.DUMMYFUNCTION("""COMPUTED_VALUE"""),3.0)</f>
        <v>3</v>
      </c>
      <c r="AB766" s="37"/>
      <c r="AC766" s="38"/>
      <c r="AD766" s="34" t="str">
        <f>IFERROR(__xludf.DUMMYFUNCTION("""COMPUTED_VALUE"""),"")</f>
        <v/>
      </c>
      <c r="AE766" s="35" t="str">
        <f>IFERROR(__xludf.DUMMYFUNCTION("""COMPUTED_VALUE"""),"AP")</f>
        <v>AP</v>
      </c>
      <c r="AF766" s="34" t="str">
        <f>IFERROR(__xludf.DUMMYFUNCTION("""COMPUTED_VALUE"""),"")</f>
        <v/>
      </c>
      <c r="AG766" s="35" t="str">
        <f>IFERROR(__xludf.DUMMYFUNCTION("""COMPUTED_VALUE"""),"%")</f>
        <v>%</v>
      </c>
      <c r="AH766" s="31"/>
      <c r="AI766" s="32"/>
      <c r="AJ766" s="67"/>
    </row>
    <row r="767" ht="24.75" hidden="1" customHeight="1">
      <c r="A767" s="40">
        <f>IFERROR(__xludf.DUMMYFUNCTION("""COMPUTED_VALUE"""),6.0)</f>
        <v>6</v>
      </c>
      <c r="B767" s="40" t="str">
        <f>IFERROR(__xludf.DUMMYFUNCTION("""COMPUTED_VALUE"""),"A106")</f>
        <v>A106</v>
      </c>
      <c r="C767" s="40"/>
      <c r="D767" s="41"/>
      <c r="E767" s="66"/>
      <c r="F767" s="43"/>
      <c r="G767" s="44"/>
      <c r="H767" s="33" t="str">
        <f>IFERROR(__xludf.DUMMYFUNCTION("""COMPUTED_VALUE""")," ")</f>
        <v> </v>
      </c>
      <c r="I767" s="45"/>
      <c r="J767" s="46" t="str">
        <f>IFERROR(__xludf.DUMMYFUNCTION("""COMPUTED_VALUE"""),"AP")</f>
        <v>AP</v>
      </c>
      <c r="K767" s="47"/>
      <c r="L767" s="48" t="str">
        <f>IFERROR(__xludf.DUMMYFUNCTION("""COMPUTED_VALUE"""),"%")</f>
        <v>%</v>
      </c>
      <c r="M767" s="49">
        <f>IFERROR(__xludf.DUMMYFUNCTION("""COMPUTED_VALUE"""),1.0)</f>
        <v>1</v>
      </c>
      <c r="N767" s="50"/>
      <c r="O767" s="38"/>
      <c r="P767" s="45" t="str">
        <f>IFERROR(__xludf.DUMMYFUNCTION("""COMPUTED_VALUE"""),"")</f>
        <v/>
      </c>
      <c r="Q767" s="46" t="str">
        <f>IFERROR(__xludf.DUMMYFUNCTION("""COMPUTED_VALUE"""),"AP")</f>
        <v>AP</v>
      </c>
      <c r="R767" s="47" t="str">
        <f>IFERROR(__xludf.DUMMYFUNCTION("""COMPUTED_VALUE"""),"")</f>
        <v/>
      </c>
      <c r="S767" s="48" t="str">
        <f>IFERROR(__xludf.DUMMYFUNCTION("""COMPUTED_VALUE"""),"%")</f>
        <v>%</v>
      </c>
      <c r="T767" s="49">
        <f>IFERROR(__xludf.DUMMYFUNCTION("""COMPUTED_VALUE"""),2.0)</f>
        <v>2</v>
      </c>
      <c r="U767" s="50"/>
      <c r="V767" s="38"/>
      <c r="W767" s="45" t="str">
        <f>IFERROR(__xludf.DUMMYFUNCTION("""COMPUTED_VALUE"""),"")</f>
        <v/>
      </c>
      <c r="X767" s="46" t="str">
        <f>IFERROR(__xludf.DUMMYFUNCTION("""COMPUTED_VALUE"""),"AP")</f>
        <v>AP</v>
      </c>
      <c r="Y767" s="47" t="str">
        <f>IFERROR(__xludf.DUMMYFUNCTION("""COMPUTED_VALUE"""),"")</f>
        <v/>
      </c>
      <c r="Z767" s="48" t="str">
        <f>IFERROR(__xludf.DUMMYFUNCTION("""COMPUTED_VALUE"""),"%")</f>
        <v>%</v>
      </c>
      <c r="AA767" s="49">
        <f>IFERROR(__xludf.DUMMYFUNCTION("""COMPUTED_VALUE"""),3.0)</f>
        <v>3</v>
      </c>
      <c r="AB767" s="50"/>
      <c r="AC767" s="38"/>
      <c r="AD767" s="45" t="str">
        <f>IFERROR(__xludf.DUMMYFUNCTION("""COMPUTED_VALUE"""),"")</f>
        <v/>
      </c>
      <c r="AE767" s="46" t="str">
        <f>IFERROR(__xludf.DUMMYFUNCTION("""COMPUTED_VALUE"""),"AP")</f>
        <v>AP</v>
      </c>
      <c r="AF767" s="47" t="str">
        <f>IFERROR(__xludf.DUMMYFUNCTION("""COMPUTED_VALUE"""),"")</f>
        <v/>
      </c>
      <c r="AG767" s="48" t="str">
        <f>IFERROR(__xludf.DUMMYFUNCTION("""COMPUTED_VALUE"""),"%")</f>
        <v>%</v>
      </c>
      <c r="AH767" s="43"/>
      <c r="AI767" s="44"/>
      <c r="AJ767" s="66"/>
    </row>
    <row r="768" ht="24.75" hidden="1" customHeight="1">
      <c r="A768" s="28">
        <f>IFERROR(__xludf.DUMMYFUNCTION("""COMPUTED_VALUE"""),7.0)</f>
        <v>7</v>
      </c>
      <c r="B768" s="28" t="str">
        <f>IFERROR(__xludf.DUMMYFUNCTION("""COMPUTED_VALUE"""),"A106")</f>
        <v>A106</v>
      </c>
      <c r="C768" s="28"/>
      <c r="D768" s="29"/>
      <c r="E768" s="67"/>
      <c r="F768" s="31"/>
      <c r="G768" s="32"/>
      <c r="H768" s="33" t="str">
        <f>IFERROR(__xludf.DUMMYFUNCTION("""COMPUTED_VALUE""")," ")</f>
        <v> </v>
      </c>
      <c r="I768" s="34"/>
      <c r="J768" s="35" t="str">
        <f>IFERROR(__xludf.DUMMYFUNCTION("""COMPUTED_VALUE"""),"AP")</f>
        <v>AP</v>
      </c>
      <c r="K768" s="34"/>
      <c r="L768" s="35" t="str">
        <f>IFERROR(__xludf.DUMMYFUNCTION("""COMPUTED_VALUE"""),"%")</f>
        <v>%</v>
      </c>
      <c r="M768" s="36">
        <f>IFERROR(__xludf.DUMMYFUNCTION("""COMPUTED_VALUE"""),1.0)</f>
        <v>1</v>
      </c>
      <c r="N768" s="37"/>
      <c r="O768" s="38"/>
      <c r="P768" s="34" t="str">
        <f>IFERROR(__xludf.DUMMYFUNCTION("""COMPUTED_VALUE"""),"")</f>
        <v/>
      </c>
      <c r="Q768" s="35" t="str">
        <f>IFERROR(__xludf.DUMMYFUNCTION("""COMPUTED_VALUE"""),"AP")</f>
        <v>AP</v>
      </c>
      <c r="R768" s="34" t="str">
        <f>IFERROR(__xludf.DUMMYFUNCTION("""COMPUTED_VALUE"""),"")</f>
        <v/>
      </c>
      <c r="S768" s="35" t="str">
        <f>IFERROR(__xludf.DUMMYFUNCTION("""COMPUTED_VALUE"""),"%")</f>
        <v>%</v>
      </c>
      <c r="T768" s="36">
        <f>IFERROR(__xludf.DUMMYFUNCTION("""COMPUTED_VALUE"""),2.0)</f>
        <v>2</v>
      </c>
      <c r="U768" s="37"/>
      <c r="V768" s="38"/>
      <c r="W768" s="34" t="str">
        <f>IFERROR(__xludf.DUMMYFUNCTION("""COMPUTED_VALUE"""),"")</f>
        <v/>
      </c>
      <c r="X768" s="35" t="str">
        <f>IFERROR(__xludf.DUMMYFUNCTION("""COMPUTED_VALUE"""),"AP")</f>
        <v>AP</v>
      </c>
      <c r="Y768" s="34" t="str">
        <f>IFERROR(__xludf.DUMMYFUNCTION("""COMPUTED_VALUE"""),"")</f>
        <v/>
      </c>
      <c r="Z768" s="35" t="str">
        <f>IFERROR(__xludf.DUMMYFUNCTION("""COMPUTED_VALUE"""),"%")</f>
        <v>%</v>
      </c>
      <c r="AA768" s="36">
        <f>IFERROR(__xludf.DUMMYFUNCTION("""COMPUTED_VALUE"""),3.0)</f>
        <v>3</v>
      </c>
      <c r="AB768" s="37"/>
      <c r="AC768" s="38"/>
      <c r="AD768" s="34" t="str">
        <f>IFERROR(__xludf.DUMMYFUNCTION("""COMPUTED_VALUE"""),"")</f>
        <v/>
      </c>
      <c r="AE768" s="35" t="str">
        <f>IFERROR(__xludf.DUMMYFUNCTION("""COMPUTED_VALUE"""),"AP")</f>
        <v>AP</v>
      </c>
      <c r="AF768" s="34" t="str">
        <f>IFERROR(__xludf.DUMMYFUNCTION("""COMPUTED_VALUE"""),"")</f>
        <v/>
      </c>
      <c r="AG768" s="35" t="str">
        <f>IFERROR(__xludf.DUMMYFUNCTION("""COMPUTED_VALUE"""),"%")</f>
        <v>%</v>
      </c>
      <c r="AH768" s="31"/>
      <c r="AI768" s="32"/>
      <c r="AJ768" s="67"/>
    </row>
    <row r="769" ht="24.75" hidden="1" customHeight="1">
      <c r="A769" s="40">
        <f>IFERROR(__xludf.DUMMYFUNCTION("""COMPUTED_VALUE"""),8.0)</f>
        <v>8</v>
      </c>
      <c r="B769" s="40" t="str">
        <f>IFERROR(__xludf.DUMMYFUNCTION("""COMPUTED_VALUE"""),"A106")</f>
        <v>A106</v>
      </c>
      <c r="C769" s="40"/>
      <c r="D769" s="41"/>
      <c r="E769" s="66"/>
      <c r="F769" s="43"/>
      <c r="G769" s="44"/>
      <c r="H769" s="33" t="str">
        <f>IFERROR(__xludf.DUMMYFUNCTION("""COMPUTED_VALUE""")," ")</f>
        <v> </v>
      </c>
      <c r="I769" s="45"/>
      <c r="J769" s="46" t="str">
        <f>IFERROR(__xludf.DUMMYFUNCTION("""COMPUTED_VALUE"""),"AP")</f>
        <v>AP</v>
      </c>
      <c r="K769" s="47"/>
      <c r="L769" s="48" t="str">
        <f>IFERROR(__xludf.DUMMYFUNCTION("""COMPUTED_VALUE"""),"%")</f>
        <v>%</v>
      </c>
      <c r="M769" s="49">
        <f>IFERROR(__xludf.DUMMYFUNCTION("""COMPUTED_VALUE"""),1.0)</f>
        <v>1</v>
      </c>
      <c r="N769" s="50"/>
      <c r="O769" s="38"/>
      <c r="P769" s="45" t="str">
        <f>IFERROR(__xludf.DUMMYFUNCTION("""COMPUTED_VALUE"""),"")</f>
        <v/>
      </c>
      <c r="Q769" s="46" t="str">
        <f>IFERROR(__xludf.DUMMYFUNCTION("""COMPUTED_VALUE"""),"AP")</f>
        <v>AP</v>
      </c>
      <c r="R769" s="47" t="str">
        <f>IFERROR(__xludf.DUMMYFUNCTION("""COMPUTED_VALUE"""),"")</f>
        <v/>
      </c>
      <c r="S769" s="48" t="str">
        <f>IFERROR(__xludf.DUMMYFUNCTION("""COMPUTED_VALUE"""),"%")</f>
        <v>%</v>
      </c>
      <c r="T769" s="49">
        <f>IFERROR(__xludf.DUMMYFUNCTION("""COMPUTED_VALUE"""),2.0)</f>
        <v>2</v>
      </c>
      <c r="U769" s="50"/>
      <c r="V769" s="38"/>
      <c r="W769" s="45" t="str">
        <f>IFERROR(__xludf.DUMMYFUNCTION("""COMPUTED_VALUE"""),"")</f>
        <v/>
      </c>
      <c r="X769" s="46" t="str">
        <f>IFERROR(__xludf.DUMMYFUNCTION("""COMPUTED_VALUE"""),"AP")</f>
        <v>AP</v>
      </c>
      <c r="Y769" s="47" t="str">
        <f>IFERROR(__xludf.DUMMYFUNCTION("""COMPUTED_VALUE"""),"")</f>
        <v/>
      </c>
      <c r="Z769" s="48" t="str">
        <f>IFERROR(__xludf.DUMMYFUNCTION("""COMPUTED_VALUE"""),"%")</f>
        <v>%</v>
      </c>
      <c r="AA769" s="49">
        <f>IFERROR(__xludf.DUMMYFUNCTION("""COMPUTED_VALUE"""),3.0)</f>
        <v>3</v>
      </c>
      <c r="AB769" s="50"/>
      <c r="AC769" s="38"/>
      <c r="AD769" s="45" t="str">
        <f>IFERROR(__xludf.DUMMYFUNCTION("""COMPUTED_VALUE"""),"")</f>
        <v/>
      </c>
      <c r="AE769" s="46" t="str">
        <f>IFERROR(__xludf.DUMMYFUNCTION("""COMPUTED_VALUE"""),"AP")</f>
        <v>AP</v>
      </c>
      <c r="AF769" s="47" t="str">
        <f>IFERROR(__xludf.DUMMYFUNCTION("""COMPUTED_VALUE"""),"")</f>
        <v/>
      </c>
      <c r="AG769" s="48" t="str">
        <f>IFERROR(__xludf.DUMMYFUNCTION("""COMPUTED_VALUE"""),"%")</f>
        <v>%</v>
      </c>
      <c r="AH769" s="43"/>
      <c r="AI769" s="44"/>
      <c r="AJ769" s="66"/>
    </row>
    <row r="770" ht="24.75" hidden="1" customHeight="1">
      <c r="A770" s="28">
        <f>IFERROR(__xludf.DUMMYFUNCTION("""COMPUTED_VALUE"""),9.0)</f>
        <v>9</v>
      </c>
      <c r="B770" s="28" t="str">
        <f>IFERROR(__xludf.DUMMYFUNCTION("""COMPUTED_VALUE"""),"A106")</f>
        <v>A106</v>
      </c>
      <c r="C770" s="28"/>
      <c r="D770" s="29"/>
      <c r="E770" s="67"/>
      <c r="F770" s="31"/>
      <c r="G770" s="32"/>
      <c r="H770" s="33" t="str">
        <f>IFERROR(__xludf.DUMMYFUNCTION("""COMPUTED_VALUE""")," ")</f>
        <v> </v>
      </c>
      <c r="I770" s="34"/>
      <c r="J770" s="35" t="str">
        <f>IFERROR(__xludf.DUMMYFUNCTION("""COMPUTED_VALUE"""),"AP")</f>
        <v>AP</v>
      </c>
      <c r="K770" s="34"/>
      <c r="L770" s="35" t="str">
        <f>IFERROR(__xludf.DUMMYFUNCTION("""COMPUTED_VALUE"""),"%")</f>
        <v>%</v>
      </c>
      <c r="M770" s="36">
        <f>IFERROR(__xludf.DUMMYFUNCTION("""COMPUTED_VALUE"""),1.0)</f>
        <v>1</v>
      </c>
      <c r="N770" s="37"/>
      <c r="O770" s="38"/>
      <c r="P770" s="34" t="str">
        <f>IFERROR(__xludf.DUMMYFUNCTION("""COMPUTED_VALUE"""),"")</f>
        <v/>
      </c>
      <c r="Q770" s="35" t="str">
        <f>IFERROR(__xludf.DUMMYFUNCTION("""COMPUTED_VALUE"""),"AP")</f>
        <v>AP</v>
      </c>
      <c r="R770" s="34" t="str">
        <f>IFERROR(__xludf.DUMMYFUNCTION("""COMPUTED_VALUE"""),"")</f>
        <v/>
      </c>
      <c r="S770" s="35" t="str">
        <f>IFERROR(__xludf.DUMMYFUNCTION("""COMPUTED_VALUE"""),"%")</f>
        <v>%</v>
      </c>
      <c r="T770" s="36">
        <f>IFERROR(__xludf.DUMMYFUNCTION("""COMPUTED_VALUE"""),2.0)</f>
        <v>2</v>
      </c>
      <c r="U770" s="37"/>
      <c r="V770" s="38"/>
      <c r="W770" s="34" t="str">
        <f>IFERROR(__xludf.DUMMYFUNCTION("""COMPUTED_VALUE"""),"")</f>
        <v/>
      </c>
      <c r="X770" s="35" t="str">
        <f>IFERROR(__xludf.DUMMYFUNCTION("""COMPUTED_VALUE"""),"AP")</f>
        <v>AP</v>
      </c>
      <c r="Y770" s="34" t="str">
        <f>IFERROR(__xludf.DUMMYFUNCTION("""COMPUTED_VALUE"""),"")</f>
        <v/>
      </c>
      <c r="Z770" s="35" t="str">
        <f>IFERROR(__xludf.DUMMYFUNCTION("""COMPUTED_VALUE"""),"%")</f>
        <v>%</v>
      </c>
      <c r="AA770" s="36">
        <f>IFERROR(__xludf.DUMMYFUNCTION("""COMPUTED_VALUE"""),3.0)</f>
        <v>3</v>
      </c>
      <c r="AB770" s="37"/>
      <c r="AC770" s="38"/>
      <c r="AD770" s="34" t="str">
        <f>IFERROR(__xludf.DUMMYFUNCTION("""COMPUTED_VALUE"""),"")</f>
        <v/>
      </c>
      <c r="AE770" s="35" t="str">
        <f>IFERROR(__xludf.DUMMYFUNCTION("""COMPUTED_VALUE"""),"AP")</f>
        <v>AP</v>
      </c>
      <c r="AF770" s="34" t="str">
        <f>IFERROR(__xludf.DUMMYFUNCTION("""COMPUTED_VALUE"""),"")</f>
        <v/>
      </c>
      <c r="AG770" s="35" t="str">
        <f>IFERROR(__xludf.DUMMYFUNCTION("""COMPUTED_VALUE"""),"%")</f>
        <v>%</v>
      </c>
      <c r="AH770" s="31"/>
      <c r="AI770" s="32"/>
      <c r="AJ770" s="67"/>
    </row>
    <row r="771" ht="24.75" hidden="1" customHeight="1">
      <c r="A771" s="40">
        <f>IFERROR(__xludf.DUMMYFUNCTION("""COMPUTED_VALUE"""),10.0)</f>
        <v>10</v>
      </c>
      <c r="B771" s="40" t="str">
        <f>IFERROR(__xludf.DUMMYFUNCTION("""COMPUTED_VALUE"""),"A106")</f>
        <v>A106</v>
      </c>
      <c r="C771" s="40"/>
      <c r="D771" s="41"/>
      <c r="E771" s="66"/>
      <c r="F771" s="43"/>
      <c r="G771" s="44"/>
      <c r="H771" s="33" t="str">
        <f>IFERROR(__xludf.DUMMYFUNCTION("""COMPUTED_VALUE""")," ")</f>
        <v> </v>
      </c>
      <c r="I771" s="45"/>
      <c r="J771" s="46" t="str">
        <f>IFERROR(__xludf.DUMMYFUNCTION("""COMPUTED_VALUE"""),"AP")</f>
        <v>AP</v>
      </c>
      <c r="K771" s="47"/>
      <c r="L771" s="48" t="str">
        <f>IFERROR(__xludf.DUMMYFUNCTION("""COMPUTED_VALUE"""),"%")</f>
        <v>%</v>
      </c>
      <c r="M771" s="49">
        <f>IFERROR(__xludf.DUMMYFUNCTION("""COMPUTED_VALUE"""),1.0)</f>
        <v>1</v>
      </c>
      <c r="N771" s="50"/>
      <c r="O771" s="38"/>
      <c r="P771" s="45" t="str">
        <f>IFERROR(__xludf.DUMMYFUNCTION("""COMPUTED_VALUE"""),"")</f>
        <v/>
      </c>
      <c r="Q771" s="46" t="str">
        <f>IFERROR(__xludf.DUMMYFUNCTION("""COMPUTED_VALUE"""),"AP")</f>
        <v>AP</v>
      </c>
      <c r="R771" s="47" t="str">
        <f>IFERROR(__xludf.DUMMYFUNCTION("""COMPUTED_VALUE"""),"")</f>
        <v/>
      </c>
      <c r="S771" s="48" t="str">
        <f>IFERROR(__xludf.DUMMYFUNCTION("""COMPUTED_VALUE"""),"%")</f>
        <v>%</v>
      </c>
      <c r="T771" s="49">
        <f>IFERROR(__xludf.DUMMYFUNCTION("""COMPUTED_VALUE"""),2.0)</f>
        <v>2</v>
      </c>
      <c r="U771" s="50"/>
      <c r="V771" s="38"/>
      <c r="W771" s="45" t="str">
        <f>IFERROR(__xludf.DUMMYFUNCTION("""COMPUTED_VALUE"""),"")</f>
        <v/>
      </c>
      <c r="X771" s="46" t="str">
        <f>IFERROR(__xludf.DUMMYFUNCTION("""COMPUTED_VALUE"""),"AP")</f>
        <v>AP</v>
      </c>
      <c r="Y771" s="47" t="str">
        <f>IFERROR(__xludf.DUMMYFUNCTION("""COMPUTED_VALUE"""),"")</f>
        <v/>
      </c>
      <c r="Z771" s="48" t="str">
        <f>IFERROR(__xludf.DUMMYFUNCTION("""COMPUTED_VALUE"""),"%")</f>
        <v>%</v>
      </c>
      <c r="AA771" s="49">
        <f>IFERROR(__xludf.DUMMYFUNCTION("""COMPUTED_VALUE"""),3.0)</f>
        <v>3</v>
      </c>
      <c r="AB771" s="50"/>
      <c r="AC771" s="38"/>
      <c r="AD771" s="45" t="str">
        <f>IFERROR(__xludf.DUMMYFUNCTION("""COMPUTED_VALUE"""),"")</f>
        <v/>
      </c>
      <c r="AE771" s="46" t="str">
        <f>IFERROR(__xludf.DUMMYFUNCTION("""COMPUTED_VALUE"""),"AP")</f>
        <v>AP</v>
      </c>
      <c r="AF771" s="47" t="str">
        <f>IFERROR(__xludf.DUMMYFUNCTION("""COMPUTED_VALUE"""),"")</f>
        <v/>
      </c>
      <c r="AG771" s="48" t="str">
        <f>IFERROR(__xludf.DUMMYFUNCTION("""COMPUTED_VALUE"""),"%")</f>
        <v>%</v>
      </c>
      <c r="AH771" s="43"/>
      <c r="AI771" s="44"/>
      <c r="AJ771" s="66"/>
    </row>
    <row r="772" ht="24.75" hidden="1" customHeight="1">
      <c r="A772" s="28">
        <f>IFERROR(__xludf.DUMMYFUNCTION("""COMPUTED_VALUE"""),11.0)</f>
        <v>11</v>
      </c>
      <c r="B772" s="28" t="str">
        <f>IFERROR(__xludf.DUMMYFUNCTION("""COMPUTED_VALUE"""),"A106")</f>
        <v>A106</v>
      </c>
      <c r="C772" s="28"/>
      <c r="D772" s="29"/>
      <c r="E772" s="67"/>
      <c r="F772" s="31"/>
      <c r="G772" s="32"/>
      <c r="H772" s="33" t="str">
        <f>IFERROR(__xludf.DUMMYFUNCTION("""COMPUTED_VALUE""")," ")</f>
        <v> </v>
      </c>
      <c r="I772" s="34"/>
      <c r="J772" s="35" t="str">
        <f>IFERROR(__xludf.DUMMYFUNCTION("""COMPUTED_VALUE"""),"AP")</f>
        <v>AP</v>
      </c>
      <c r="K772" s="34"/>
      <c r="L772" s="35" t="str">
        <f>IFERROR(__xludf.DUMMYFUNCTION("""COMPUTED_VALUE"""),"%")</f>
        <v>%</v>
      </c>
      <c r="M772" s="36">
        <f>IFERROR(__xludf.DUMMYFUNCTION("""COMPUTED_VALUE"""),1.0)</f>
        <v>1</v>
      </c>
      <c r="N772" s="37"/>
      <c r="O772" s="38"/>
      <c r="P772" s="34" t="str">
        <f>IFERROR(__xludf.DUMMYFUNCTION("""COMPUTED_VALUE"""),"")</f>
        <v/>
      </c>
      <c r="Q772" s="35" t="str">
        <f>IFERROR(__xludf.DUMMYFUNCTION("""COMPUTED_VALUE"""),"AP")</f>
        <v>AP</v>
      </c>
      <c r="R772" s="34" t="str">
        <f>IFERROR(__xludf.DUMMYFUNCTION("""COMPUTED_VALUE"""),"")</f>
        <v/>
      </c>
      <c r="S772" s="35" t="str">
        <f>IFERROR(__xludf.DUMMYFUNCTION("""COMPUTED_VALUE"""),"%")</f>
        <v>%</v>
      </c>
      <c r="T772" s="36">
        <f>IFERROR(__xludf.DUMMYFUNCTION("""COMPUTED_VALUE"""),2.0)</f>
        <v>2</v>
      </c>
      <c r="U772" s="37"/>
      <c r="V772" s="38"/>
      <c r="W772" s="34" t="str">
        <f>IFERROR(__xludf.DUMMYFUNCTION("""COMPUTED_VALUE"""),"")</f>
        <v/>
      </c>
      <c r="X772" s="35" t="str">
        <f>IFERROR(__xludf.DUMMYFUNCTION("""COMPUTED_VALUE"""),"AP")</f>
        <v>AP</v>
      </c>
      <c r="Y772" s="34" t="str">
        <f>IFERROR(__xludf.DUMMYFUNCTION("""COMPUTED_VALUE"""),"")</f>
        <v/>
      </c>
      <c r="Z772" s="35" t="str">
        <f>IFERROR(__xludf.DUMMYFUNCTION("""COMPUTED_VALUE"""),"%")</f>
        <v>%</v>
      </c>
      <c r="AA772" s="36">
        <f>IFERROR(__xludf.DUMMYFUNCTION("""COMPUTED_VALUE"""),3.0)</f>
        <v>3</v>
      </c>
      <c r="AB772" s="37"/>
      <c r="AC772" s="38"/>
      <c r="AD772" s="34" t="str">
        <f>IFERROR(__xludf.DUMMYFUNCTION("""COMPUTED_VALUE"""),"")</f>
        <v/>
      </c>
      <c r="AE772" s="35" t="str">
        <f>IFERROR(__xludf.DUMMYFUNCTION("""COMPUTED_VALUE"""),"AP")</f>
        <v>AP</v>
      </c>
      <c r="AF772" s="34" t="str">
        <f>IFERROR(__xludf.DUMMYFUNCTION("""COMPUTED_VALUE"""),"")</f>
        <v/>
      </c>
      <c r="AG772" s="35" t="str">
        <f>IFERROR(__xludf.DUMMYFUNCTION("""COMPUTED_VALUE"""),"%")</f>
        <v>%</v>
      </c>
      <c r="AH772" s="31"/>
      <c r="AI772" s="32"/>
      <c r="AJ772" s="67"/>
    </row>
    <row r="773" ht="24.75" hidden="1" customHeight="1">
      <c r="A773" s="40">
        <f>IFERROR(__xludf.DUMMYFUNCTION("""COMPUTED_VALUE"""),12.0)</f>
        <v>12</v>
      </c>
      <c r="B773" s="40" t="str">
        <f>IFERROR(__xludf.DUMMYFUNCTION("""COMPUTED_VALUE"""),"A106")</f>
        <v>A106</v>
      </c>
      <c r="C773" s="40"/>
      <c r="D773" s="41"/>
      <c r="E773" s="66"/>
      <c r="F773" s="43"/>
      <c r="G773" s="44"/>
      <c r="H773" s="33" t="str">
        <f>IFERROR(__xludf.DUMMYFUNCTION("""COMPUTED_VALUE""")," ")</f>
        <v> </v>
      </c>
      <c r="I773" s="45"/>
      <c r="J773" s="46" t="str">
        <f>IFERROR(__xludf.DUMMYFUNCTION("""COMPUTED_VALUE"""),"AP")</f>
        <v>AP</v>
      </c>
      <c r="K773" s="47"/>
      <c r="L773" s="48" t="str">
        <f>IFERROR(__xludf.DUMMYFUNCTION("""COMPUTED_VALUE"""),"%")</f>
        <v>%</v>
      </c>
      <c r="M773" s="49">
        <f>IFERROR(__xludf.DUMMYFUNCTION("""COMPUTED_VALUE"""),1.0)</f>
        <v>1</v>
      </c>
      <c r="N773" s="50"/>
      <c r="O773" s="38"/>
      <c r="P773" s="45" t="str">
        <f>IFERROR(__xludf.DUMMYFUNCTION("""COMPUTED_VALUE"""),"")</f>
        <v/>
      </c>
      <c r="Q773" s="46" t="str">
        <f>IFERROR(__xludf.DUMMYFUNCTION("""COMPUTED_VALUE"""),"AP")</f>
        <v>AP</v>
      </c>
      <c r="R773" s="47" t="str">
        <f>IFERROR(__xludf.DUMMYFUNCTION("""COMPUTED_VALUE"""),"")</f>
        <v/>
      </c>
      <c r="S773" s="48" t="str">
        <f>IFERROR(__xludf.DUMMYFUNCTION("""COMPUTED_VALUE"""),"%")</f>
        <v>%</v>
      </c>
      <c r="T773" s="49">
        <f>IFERROR(__xludf.DUMMYFUNCTION("""COMPUTED_VALUE"""),2.0)</f>
        <v>2</v>
      </c>
      <c r="U773" s="50"/>
      <c r="V773" s="38"/>
      <c r="W773" s="45" t="str">
        <f>IFERROR(__xludf.DUMMYFUNCTION("""COMPUTED_VALUE"""),"")</f>
        <v/>
      </c>
      <c r="X773" s="46" t="str">
        <f>IFERROR(__xludf.DUMMYFUNCTION("""COMPUTED_VALUE"""),"AP")</f>
        <v>AP</v>
      </c>
      <c r="Y773" s="47" t="str">
        <f>IFERROR(__xludf.DUMMYFUNCTION("""COMPUTED_VALUE"""),"")</f>
        <v/>
      </c>
      <c r="Z773" s="48" t="str">
        <f>IFERROR(__xludf.DUMMYFUNCTION("""COMPUTED_VALUE"""),"%")</f>
        <v>%</v>
      </c>
      <c r="AA773" s="49">
        <f>IFERROR(__xludf.DUMMYFUNCTION("""COMPUTED_VALUE"""),3.0)</f>
        <v>3</v>
      </c>
      <c r="AB773" s="50"/>
      <c r="AC773" s="38"/>
      <c r="AD773" s="45" t="str">
        <f>IFERROR(__xludf.DUMMYFUNCTION("""COMPUTED_VALUE"""),"")</f>
        <v/>
      </c>
      <c r="AE773" s="46" t="str">
        <f>IFERROR(__xludf.DUMMYFUNCTION("""COMPUTED_VALUE"""),"AP")</f>
        <v>AP</v>
      </c>
      <c r="AF773" s="47" t="str">
        <f>IFERROR(__xludf.DUMMYFUNCTION("""COMPUTED_VALUE"""),"")</f>
        <v/>
      </c>
      <c r="AG773" s="48" t="str">
        <f>IFERROR(__xludf.DUMMYFUNCTION("""COMPUTED_VALUE"""),"%")</f>
        <v>%</v>
      </c>
      <c r="AH773" s="43"/>
      <c r="AI773" s="44"/>
      <c r="AJ773" s="66"/>
    </row>
    <row r="774" ht="24.75" hidden="1" customHeight="1">
      <c r="A774" s="28">
        <f>IFERROR(__xludf.DUMMYFUNCTION("""COMPUTED_VALUE"""),13.0)</f>
        <v>13</v>
      </c>
      <c r="B774" s="28" t="str">
        <f>IFERROR(__xludf.DUMMYFUNCTION("""COMPUTED_VALUE"""),"A106")</f>
        <v>A106</v>
      </c>
      <c r="C774" s="28"/>
      <c r="D774" s="29"/>
      <c r="E774" s="67"/>
      <c r="F774" s="31"/>
      <c r="G774" s="32"/>
      <c r="H774" s="33" t="str">
        <f>IFERROR(__xludf.DUMMYFUNCTION("""COMPUTED_VALUE""")," ")</f>
        <v> </v>
      </c>
      <c r="I774" s="34"/>
      <c r="J774" s="35" t="str">
        <f>IFERROR(__xludf.DUMMYFUNCTION("""COMPUTED_VALUE"""),"AP")</f>
        <v>AP</v>
      </c>
      <c r="K774" s="34"/>
      <c r="L774" s="35" t="str">
        <f>IFERROR(__xludf.DUMMYFUNCTION("""COMPUTED_VALUE"""),"%")</f>
        <v>%</v>
      </c>
      <c r="M774" s="36">
        <f>IFERROR(__xludf.DUMMYFUNCTION("""COMPUTED_VALUE"""),1.0)</f>
        <v>1</v>
      </c>
      <c r="N774" s="37"/>
      <c r="O774" s="38"/>
      <c r="P774" s="34" t="str">
        <f>IFERROR(__xludf.DUMMYFUNCTION("""COMPUTED_VALUE"""),"")</f>
        <v/>
      </c>
      <c r="Q774" s="35" t="str">
        <f>IFERROR(__xludf.DUMMYFUNCTION("""COMPUTED_VALUE"""),"AP")</f>
        <v>AP</v>
      </c>
      <c r="R774" s="34" t="str">
        <f>IFERROR(__xludf.DUMMYFUNCTION("""COMPUTED_VALUE"""),"")</f>
        <v/>
      </c>
      <c r="S774" s="35" t="str">
        <f>IFERROR(__xludf.DUMMYFUNCTION("""COMPUTED_VALUE"""),"%")</f>
        <v>%</v>
      </c>
      <c r="T774" s="36">
        <f>IFERROR(__xludf.DUMMYFUNCTION("""COMPUTED_VALUE"""),2.0)</f>
        <v>2</v>
      </c>
      <c r="U774" s="37"/>
      <c r="V774" s="38"/>
      <c r="W774" s="34" t="str">
        <f>IFERROR(__xludf.DUMMYFUNCTION("""COMPUTED_VALUE"""),"")</f>
        <v/>
      </c>
      <c r="X774" s="35" t="str">
        <f>IFERROR(__xludf.DUMMYFUNCTION("""COMPUTED_VALUE"""),"AP")</f>
        <v>AP</v>
      </c>
      <c r="Y774" s="34" t="str">
        <f>IFERROR(__xludf.DUMMYFUNCTION("""COMPUTED_VALUE"""),"")</f>
        <v/>
      </c>
      <c r="Z774" s="35" t="str">
        <f>IFERROR(__xludf.DUMMYFUNCTION("""COMPUTED_VALUE"""),"%")</f>
        <v>%</v>
      </c>
      <c r="AA774" s="36">
        <f>IFERROR(__xludf.DUMMYFUNCTION("""COMPUTED_VALUE"""),3.0)</f>
        <v>3</v>
      </c>
      <c r="AB774" s="37"/>
      <c r="AC774" s="38"/>
      <c r="AD774" s="34" t="str">
        <f>IFERROR(__xludf.DUMMYFUNCTION("""COMPUTED_VALUE"""),"")</f>
        <v/>
      </c>
      <c r="AE774" s="35" t="str">
        <f>IFERROR(__xludf.DUMMYFUNCTION("""COMPUTED_VALUE"""),"AP")</f>
        <v>AP</v>
      </c>
      <c r="AF774" s="34" t="str">
        <f>IFERROR(__xludf.DUMMYFUNCTION("""COMPUTED_VALUE"""),"")</f>
        <v/>
      </c>
      <c r="AG774" s="35" t="str">
        <f>IFERROR(__xludf.DUMMYFUNCTION("""COMPUTED_VALUE"""),"%")</f>
        <v>%</v>
      </c>
      <c r="AH774" s="31"/>
      <c r="AI774" s="32"/>
      <c r="AJ774" s="67"/>
    </row>
    <row r="775" ht="24.75" hidden="1" customHeight="1">
      <c r="A775" s="40">
        <f>IFERROR(__xludf.DUMMYFUNCTION("""COMPUTED_VALUE"""),14.0)</f>
        <v>14</v>
      </c>
      <c r="B775" s="40" t="str">
        <f>IFERROR(__xludf.DUMMYFUNCTION("""COMPUTED_VALUE"""),"A106")</f>
        <v>A106</v>
      </c>
      <c r="C775" s="40"/>
      <c r="D775" s="41"/>
      <c r="E775" s="66"/>
      <c r="F775" s="43"/>
      <c r="G775" s="44"/>
      <c r="H775" s="33" t="str">
        <f>IFERROR(__xludf.DUMMYFUNCTION("""COMPUTED_VALUE""")," ")</f>
        <v> </v>
      </c>
      <c r="I775" s="45"/>
      <c r="J775" s="46" t="str">
        <f>IFERROR(__xludf.DUMMYFUNCTION("""COMPUTED_VALUE"""),"AP")</f>
        <v>AP</v>
      </c>
      <c r="K775" s="47"/>
      <c r="L775" s="48" t="str">
        <f>IFERROR(__xludf.DUMMYFUNCTION("""COMPUTED_VALUE"""),"%")</f>
        <v>%</v>
      </c>
      <c r="M775" s="49">
        <f>IFERROR(__xludf.DUMMYFUNCTION("""COMPUTED_VALUE"""),1.0)</f>
        <v>1</v>
      </c>
      <c r="N775" s="50"/>
      <c r="O775" s="38"/>
      <c r="P775" s="45" t="str">
        <f>IFERROR(__xludf.DUMMYFUNCTION("""COMPUTED_VALUE"""),"")</f>
        <v/>
      </c>
      <c r="Q775" s="46" t="str">
        <f>IFERROR(__xludf.DUMMYFUNCTION("""COMPUTED_VALUE"""),"AP")</f>
        <v>AP</v>
      </c>
      <c r="R775" s="47" t="str">
        <f>IFERROR(__xludf.DUMMYFUNCTION("""COMPUTED_VALUE"""),"")</f>
        <v/>
      </c>
      <c r="S775" s="48" t="str">
        <f>IFERROR(__xludf.DUMMYFUNCTION("""COMPUTED_VALUE"""),"%")</f>
        <v>%</v>
      </c>
      <c r="T775" s="49">
        <f>IFERROR(__xludf.DUMMYFUNCTION("""COMPUTED_VALUE"""),2.0)</f>
        <v>2</v>
      </c>
      <c r="U775" s="50"/>
      <c r="V775" s="38"/>
      <c r="W775" s="45" t="str">
        <f>IFERROR(__xludf.DUMMYFUNCTION("""COMPUTED_VALUE"""),"")</f>
        <v/>
      </c>
      <c r="X775" s="46" t="str">
        <f>IFERROR(__xludf.DUMMYFUNCTION("""COMPUTED_VALUE"""),"AP")</f>
        <v>AP</v>
      </c>
      <c r="Y775" s="47" t="str">
        <f>IFERROR(__xludf.DUMMYFUNCTION("""COMPUTED_VALUE"""),"")</f>
        <v/>
      </c>
      <c r="Z775" s="48" t="str">
        <f>IFERROR(__xludf.DUMMYFUNCTION("""COMPUTED_VALUE"""),"%")</f>
        <v>%</v>
      </c>
      <c r="AA775" s="49">
        <f>IFERROR(__xludf.DUMMYFUNCTION("""COMPUTED_VALUE"""),3.0)</f>
        <v>3</v>
      </c>
      <c r="AB775" s="50"/>
      <c r="AC775" s="38"/>
      <c r="AD775" s="45" t="str">
        <f>IFERROR(__xludf.DUMMYFUNCTION("""COMPUTED_VALUE"""),"")</f>
        <v/>
      </c>
      <c r="AE775" s="46" t="str">
        <f>IFERROR(__xludf.DUMMYFUNCTION("""COMPUTED_VALUE"""),"AP")</f>
        <v>AP</v>
      </c>
      <c r="AF775" s="47" t="str">
        <f>IFERROR(__xludf.DUMMYFUNCTION("""COMPUTED_VALUE"""),"")</f>
        <v/>
      </c>
      <c r="AG775" s="48" t="str">
        <f>IFERROR(__xludf.DUMMYFUNCTION("""COMPUTED_VALUE"""),"%")</f>
        <v>%</v>
      </c>
      <c r="AH775" s="43"/>
      <c r="AI775" s="44"/>
      <c r="AJ775" s="66"/>
    </row>
    <row r="776" ht="24.75" hidden="1" customHeight="1">
      <c r="A776" s="28">
        <f>IFERROR(__xludf.DUMMYFUNCTION("""COMPUTED_VALUE"""),15.0)</f>
        <v>15</v>
      </c>
      <c r="B776" s="28" t="str">
        <f>IFERROR(__xludf.DUMMYFUNCTION("""COMPUTED_VALUE"""),"A106")</f>
        <v>A106</v>
      </c>
      <c r="C776" s="28"/>
      <c r="D776" s="29"/>
      <c r="E776" s="67"/>
      <c r="F776" s="31"/>
      <c r="G776" s="32"/>
      <c r="H776" s="33" t="str">
        <f>IFERROR(__xludf.DUMMYFUNCTION("""COMPUTED_VALUE""")," ")</f>
        <v> </v>
      </c>
      <c r="I776" s="34"/>
      <c r="J776" s="35" t="str">
        <f>IFERROR(__xludf.DUMMYFUNCTION("""COMPUTED_VALUE"""),"AP")</f>
        <v>AP</v>
      </c>
      <c r="K776" s="34"/>
      <c r="L776" s="35" t="str">
        <f>IFERROR(__xludf.DUMMYFUNCTION("""COMPUTED_VALUE"""),"%")</f>
        <v>%</v>
      </c>
      <c r="M776" s="36">
        <f>IFERROR(__xludf.DUMMYFUNCTION("""COMPUTED_VALUE"""),1.0)</f>
        <v>1</v>
      </c>
      <c r="N776" s="37"/>
      <c r="O776" s="38"/>
      <c r="P776" s="34" t="str">
        <f>IFERROR(__xludf.DUMMYFUNCTION("""COMPUTED_VALUE"""),"")</f>
        <v/>
      </c>
      <c r="Q776" s="35" t="str">
        <f>IFERROR(__xludf.DUMMYFUNCTION("""COMPUTED_VALUE"""),"AP")</f>
        <v>AP</v>
      </c>
      <c r="R776" s="34" t="str">
        <f>IFERROR(__xludf.DUMMYFUNCTION("""COMPUTED_VALUE"""),"")</f>
        <v/>
      </c>
      <c r="S776" s="35" t="str">
        <f>IFERROR(__xludf.DUMMYFUNCTION("""COMPUTED_VALUE"""),"%")</f>
        <v>%</v>
      </c>
      <c r="T776" s="36">
        <f>IFERROR(__xludf.DUMMYFUNCTION("""COMPUTED_VALUE"""),2.0)</f>
        <v>2</v>
      </c>
      <c r="U776" s="37"/>
      <c r="V776" s="38"/>
      <c r="W776" s="34" t="str">
        <f>IFERROR(__xludf.DUMMYFUNCTION("""COMPUTED_VALUE"""),"")</f>
        <v/>
      </c>
      <c r="X776" s="35" t="str">
        <f>IFERROR(__xludf.DUMMYFUNCTION("""COMPUTED_VALUE"""),"AP")</f>
        <v>AP</v>
      </c>
      <c r="Y776" s="34" t="str">
        <f>IFERROR(__xludf.DUMMYFUNCTION("""COMPUTED_VALUE"""),"")</f>
        <v/>
      </c>
      <c r="Z776" s="35" t="str">
        <f>IFERROR(__xludf.DUMMYFUNCTION("""COMPUTED_VALUE"""),"%")</f>
        <v>%</v>
      </c>
      <c r="AA776" s="36">
        <f>IFERROR(__xludf.DUMMYFUNCTION("""COMPUTED_VALUE"""),3.0)</f>
        <v>3</v>
      </c>
      <c r="AB776" s="37"/>
      <c r="AC776" s="38"/>
      <c r="AD776" s="34" t="str">
        <f>IFERROR(__xludf.DUMMYFUNCTION("""COMPUTED_VALUE"""),"")</f>
        <v/>
      </c>
      <c r="AE776" s="35" t="str">
        <f>IFERROR(__xludf.DUMMYFUNCTION("""COMPUTED_VALUE"""),"AP")</f>
        <v>AP</v>
      </c>
      <c r="AF776" s="34" t="str">
        <f>IFERROR(__xludf.DUMMYFUNCTION("""COMPUTED_VALUE"""),"")</f>
        <v/>
      </c>
      <c r="AG776" s="35" t="str">
        <f>IFERROR(__xludf.DUMMYFUNCTION("""COMPUTED_VALUE"""),"%")</f>
        <v>%</v>
      </c>
      <c r="AH776" s="31"/>
      <c r="AI776" s="32"/>
      <c r="AJ776" s="67"/>
    </row>
    <row r="777" ht="24.75" hidden="1" customHeight="1">
      <c r="A777" s="40">
        <f>IFERROR(__xludf.DUMMYFUNCTION("""COMPUTED_VALUE"""),16.0)</f>
        <v>16</v>
      </c>
      <c r="B777" s="40" t="str">
        <f>IFERROR(__xludf.DUMMYFUNCTION("""COMPUTED_VALUE"""),"A106")</f>
        <v>A106</v>
      </c>
      <c r="C777" s="40"/>
      <c r="D777" s="41"/>
      <c r="E777" s="66"/>
      <c r="F777" s="43"/>
      <c r="G777" s="44"/>
      <c r="H777" s="33" t="str">
        <f>IFERROR(__xludf.DUMMYFUNCTION("""COMPUTED_VALUE""")," ")</f>
        <v> </v>
      </c>
      <c r="I777" s="45"/>
      <c r="J777" s="46" t="str">
        <f>IFERROR(__xludf.DUMMYFUNCTION("""COMPUTED_VALUE"""),"AP")</f>
        <v>AP</v>
      </c>
      <c r="K777" s="47"/>
      <c r="L777" s="48" t="str">
        <f>IFERROR(__xludf.DUMMYFUNCTION("""COMPUTED_VALUE"""),"%")</f>
        <v>%</v>
      </c>
      <c r="M777" s="49">
        <f>IFERROR(__xludf.DUMMYFUNCTION("""COMPUTED_VALUE"""),1.0)</f>
        <v>1</v>
      </c>
      <c r="N777" s="50"/>
      <c r="O777" s="38"/>
      <c r="P777" s="45" t="str">
        <f>IFERROR(__xludf.DUMMYFUNCTION("""COMPUTED_VALUE"""),"")</f>
        <v/>
      </c>
      <c r="Q777" s="46" t="str">
        <f>IFERROR(__xludf.DUMMYFUNCTION("""COMPUTED_VALUE"""),"AP")</f>
        <v>AP</v>
      </c>
      <c r="R777" s="47" t="str">
        <f>IFERROR(__xludf.DUMMYFUNCTION("""COMPUTED_VALUE"""),"")</f>
        <v/>
      </c>
      <c r="S777" s="48" t="str">
        <f>IFERROR(__xludf.DUMMYFUNCTION("""COMPUTED_VALUE"""),"%")</f>
        <v>%</v>
      </c>
      <c r="T777" s="49">
        <f>IFERROR(__xludf.DUMMYFUNCTION("""COMPUTED_VALUE"""),2.0)</f>
        <v>2</v>
      </c>
      <c r="U777" s="50"/>
      <c r="V777" s="38"/>
      <c r="W777" s="45" t="str">
        <f>IFERROR(__xludf.DUMMYFUNCTION("""COMPUTED_VALUE"""),"")</f>
        <v/>
      </c>
      <c r="X777" s="46" t="str">
        <f>IFERROR(__xludf.DUMMYFUNCTION("""COMPUTED_VALUE"""),"AP")</f>
        <v>AP</v>
      </c>
      <c r="Y777" s="47" t="str">
        <f>IFERROR(__xludf.DUMMYFUNCTION("""COMPUTED_VALUE"""),"")</f>
        <v/>
      </c>
      <c r="Z777" s="48" t="str">
        <f>IFERROR(__xludf.DUMMYFUNCTION("""COMPUTED_VALUE"""),"%")</f>
        <v>%</v>
      </c>
      <c r="AA777" s="49">
        <f>IFERROR(__xludf.DUMMYFUNCTION("""COMPUTED_VALUE"""),3.0)</f>
        <v>3</v>
      </c>
      <c r="AB777" s="50"/>
      <c r="AC777" s="38"/>
      <c r="AD777" s="45" t="str">
        <f>IFERROR(__xludf.DUMMYFUNCTION("""COMPUTED_VALUE"""),"")</f>
        <v/>
      </c>
      <c r="AE777" s="46" t="str">
        <f>IFERROR(__xludf.DUMMYFUNCTION("""COMPUTED_VALUE"""),"AP")</f>
        <v>AP</v>
      </c>
      <c r="AF777" s="47" t="str">
        <f>IFERROR(__xludf.DUMMYFUNCTION("""COMPUTED_VALUE"""),"")</f>
        <v/>
      </c>
      <c r="AG777" s="48" t="str">
        <f>IFERROR(__xludf.DUMMYFUNCTION("""COMPUTED_VALUE"""),"%")</f>
        <v>%</v>
      </c>
      <c r="AH777" s="43"/>
      <c r="AI777" s="44"/>
      <c r="AJ777" s="66"/>
    </row>
    <row r="778" ht="24.75" hidden="1" customHeight="1">
      <c r="A778" s="28">
        <f>IFERROR(__xludf.DUMMYFUNCTION("""COMPUTED_VALUE"""),17.0)</f>
        <v>17</v>
      </c>
      <c r="B778" s="28" t="str">
        <f>IFERROR(__xludf.DUMMYFUNCTION("""COMPUTED_VALUE"""),"A106")</f>
        <v>A106</v>
      </c>
      <c r="C778" s="28"/>
      <c r="D778" s="29"/>
      <c r="E778" s="67"/>
      <c r="F778" s="31"/>
      <c r="G778" s="32"/>
      <c r="H778" s="33" t="str">
        <f>IFERROR(__xludf.DUMMYFUNCTION("""COMPUTED_VALUE""")," ")</f>
        <v> </v>
      </c>
      <c r="I778" s="34"/>
      <c r="J778" s="35" t="str">
        <f>IFERROR(__xludf.DUMMYFUNCTION("""COMPUTED_VALUE"""),"AP")</f>
        <v>AP</v>
      </c>
      <c r="K778" s="34"/>
      <c r="L778" s="35" t="str">
        <f>IFERROR(__xludf.DUMMYFUNCTION("""COMPUTED_VALUE"""),"%")</f>
        <v>%</v>
      </c>
      <c r="M778" s="36">
        <f>IFERROR(__xludf.DUMMYFUNCTION("""COMPUTED_VALUE"""),1.0)</f>
        <v>1</v>
      </c>
      <c r="N778" s="37"/>
      <c r="O778" s="38"/>
      <c r="P778" s="34" t="str">
        <f>IFERROR(__xludf.DUMMYFUNCTION("""COMPUTED_VALUE"""),"")</f>
        <v/>
      </c>
      <c r="Q778" s="35" t="str">
        <f>IFERROR(__xludf.DUMMYFUNCTION("""COMPUTED_VALUE"""),"AP")</f>
        <v>AP</v>
      </c>
      <c r="R778" s="34" t="str">
        <f>IFERROR(__xludf.DUMMYFUNCTION("""COMPUTED_VALUE"""),"")</f>
        <v/>
      </c>
      <c r="S778" s="35" t="str">
        <f>IFERROR(__xludf.DUMMYFUNCTION("""COMPUTED_VALUE"""),"%")</f>
        <v>%</v>
      </c>
      <c r="T778" s="36">
        <f>IFERROR(__xludf.DUMMYFUNCTION("""COMPUTED_VALUE"""),2.0)</f>
        <v>2</v>
      </c>
      <c r="U778" s="37"/>
      <c r="V778" s="38"/>
      <c r="W778" s="34" t="str">
        <f>IFERROR(__xludf.DUMMYFUNCTION("""COMPUTED_VALUE"""),"")</f>
        <v/>
      </c>
      <c r="X778" s="35" t="str">
        <f>IFERROR(__xludf.DUMMYFUNCTION("""COMPUTED_VALUE"""),"AP")</f>
        <v>AP</v>
      </c>
      <c r="Y778" s="34" t="str">
        <f>IFERROR(__xludf.DUMMYFUNCTION("""COMPUTED_VALUE"""),"")</f>
        <v/>
      </c>
      <c r="Z778" s="35" t="str">
        <f>IFERROR(__xludf.DUMMYFUNCTION("""COMPUTED_VALUE"""),"%")</f>
        <v>%</v>
      </c>
      <c r="AA778" s="36">
        <f>IFERROR(__xludf.DUMMYFUNCTION("""COMPUTED_VALUE"""),3.0)</f>
        <v>3</v>
      </c>
      <c r="AB778" s="37"/>
      <c r="AC778" s="38"/>
      <c r="AD778" s="34" t="str">
        <f>IFERROR(__xludf.DUMMYFUNCTION("""COMPUTED_VALUE"""),"")</f>
        <v/>
      </c>
      <c r="AE778" s="35" t="str">
        <f>IFERROR(__xludf.DUMMYFUNCTION("""COMPUTED_VALUE"""),"AP")</f>
        <v>AP</v>
      </c>
      <c r="AF778" s="34" t="str">
        <f>IFERROR(__xludf.DUMMYFUNCTION("""COMPUTED_VALUE"""),"")</f>
        <v/>
      </c>
      <c r="AG778" s="35" t="str">
        <f>IFERROR(__xludf.DUMMYFUNCTION("""COMPUTED_VALUE"""),"%")</f>
        <v>%</v>
      </c>
      <c r="AH778" s="31"/>
      <c r="AI778" s="32"/>
      <c r="AJ778" s="67"/>
    </row>
    <row r="779" ht="24.75" hidden="1" customHeight="1">
      <c r="A779" s="40">
        <f>IFERROR(__xludf.DUMMYFUNCTION("""COMPUTED_VALUE"""),18.0)</f>
        <v>18</v>
      </c>
      <c r="B779" s="40" t="str">
        <f>IFERROR(__xludf.DUMMYFUNCTION("""COMPUTED_VALUE"""),"A106")</f>
        <v>A106</v>
      </c>
      <c r="C779" s="40"/>
      <c r="D779" s="41"/>
      <c r="E779" s="66"/>
      <c r="F779" s="43"/>
      <c r="G779" s="44"/>
      <c r="H779" s="33" t="str">
        <f>IFERROR(__xludf.DUMMYFUNCTION("""COMPUTED_VALUE""")," ")</f>
        <v> </v>
      </c>
      <c r="I779" s="45"/>
      <c r="J779" s="46" t="str">
        <f>IFERROR(__xludf.DUMMYFUNCTION("""COMPUTED_VALUE"""),"AP")</f>
        <v>AP</v>
      </c>
      <c r="K779" s="47"/>
      <c r="L779" s="48" t="str">
        <f>IFERROR(__xludf.DUMMYFUNCTION("""COMPUTED_VALUE"""),"%")</f>
        <v>%</v>
      </c>
      <c r="M779" s="49">
        <f>IFERROR(__xludf.DUMMYFUNCTION("""COMPUTED_VALUE"""),1.0)</f>
        <v>1</v>
      </c>
      <c r="N779" s="50"/>
      <c r="O779" s="38"/>
      <c r="P779" s="45" t="str">
        <f>IFERROR(__xludf.DUMMYFUNCTION("""COMPUTED_VALUE"""),"")</f>
        <v/>
      </c>
      <c r="Q779" s="46" t="str">
        <f>IFERROR(__xludf.DUMMYFUNCTION("""COMPUTED_VALUE"""),"AP")</f>
        <v>AP</v>
      </c>
      <c r="R779" s="47" t="str">
        <f>IFERROR(__xludf.DUMMYFUNCTION("""COMPUTED_VALUE"""),"")</f>
        <v/>
      </c>
      <c r="S779" s="48" t="str">
        <f>IFERROR(__xludf.DUMMYFUNCTION("""COMPUTED_VALUE"""),"%")</f>
        <v>%</v>
      </c>
      <c r="T779" s="49">
        <f>IFERROR(__xludf.DUMMYFUNCTION("""COMPUTED_VALUE"""),2.0)</f>
        <v>2</v>
      </c>
      <c r="U779" s="50"/>
      <c r="V779" s="38"/>
      <c r="W779" s="45" t="str">
        <f>IFERROR(__xludf.DUMMYFUNCTION("""COMPUTED_VALUE"""),"")</f>
        <v/>
      </c>
      <c r="X779" s="46" t="str">
        <f>IFERROR(__xludf.DUMMYFUNCTION("""COMPUTED_VALUE"""),"AP")</f>
        <v>AP</v>
      </c>
      <c r="Y779" s="47" t="str">
        <f>IFERROR(__xludf.DUMMYFUNCTION("""COMPUTED_VALUE"""),"")</f>
        <v/>
      </c>
      <c r="Z779" s="48" t="str">
        <f>IFERROR(__xludf.DUMMYFUNCTION("""COMPUTED_VALUE"""),"%")</f>
        <v>%</v>
      </c>
      <c r="AA779" s="49">
        <f>IFERROR(__xludf.DUMMYFUNCTION("""COMPUTED_VALUE"""),3.0)</f>
        <v>3</v>
      </c>
      <c r="AB779" s="50"/>
      <c r="AC779" s="38"/>
      <c r="AD779" s="45" t="str">
        <f>IFERROR(__xludf.DUMMYFUNCTION("""COMPUTED_VALUE"""),"")</f>
        <v/>
      </c>
      <c r="AE779" s="46" t="str">
        <f>IFERROR(__xludf.DUMMYFUNCTION("""COMPUTED_VALUE"""),"AP")</f>
        <v>AP</v>
      </c>
      <c r="AF779" s="47" t="str">
        <f>IFERROR(__xludf.DUMMYFUNCTION("""COMPUTED_VALUE"""),"")</f>
        <v/>
      </c>
      <c r="AG779" s="48" t="str">
        <f>IFERROR(__xludf.DUMMYFUNCTION("""COMPUTED_VALUE"""),"%")</f>
        <v>%</v>
      </c>
      <c r="AH779" s="43"/>
      <c r="AI779" s="44"/>
      <c r="AJ779" s="66"/>
    </row>
    <row r="780" ht="24.75" hidden="1" customHeight="1">
      <c r="A780" s="28">
        <f>IFERROR(__xludf.DUMMYFUNCTION("""COMPUTED_VALUE"""),19.0)</f>
        <v>19</v>
      </c>
      <c r="B780" s="28" t="str">
        <f>IFERROR(__xludf.DUMMYFUNCTION("""COMPUTED_VALUE"""),"A106")</f>
        <v>A106</v>
      </c>
      <c r="C780" s="28"/>
      <c r="D780" s="29"/>
      <c r="E780" s="67"/>
      <c r="F780" s="31"/>
      <c r="G780" s="32"/>
      <c r="H780" s="33" t="str">
        <f>IFERROR(__xludf.DUMMYFUNCTION("""COMPUTED_VALUE""")," ")</f>
        <v> </v>
      </c>
      <c r="I780" s="34"/>
      <c r="J780" s="35" t="str">
        <f>IFERROR(__xludf.DUMMYFUNCTION("""COMPUTED_VALUE"""),"AP")</f>
        <v>AP</v>
      </c>
      <c r="K780" s="34"/>
      <c r="L780" s="35" t="str">
        <f>IFERROR(__xludf.DUMMYFUNCTION("""COMPUTED_VALUE"""),"%")</f>
        <v>%</v>
      </c>
      <c r="M780" s="36">
        <f>IFERROR(__xludf.DUMMYFUNCTION("""COMPUTED_VALUE"""),1.0)</f>
        <v>1</v>
      </c>
      <c r="N780" s="37"/>
      <c r="O780" s="38"/>
      <c r="P780" s="34" t="str">
        <f>IFERROR(__xludf.DUMMYFUNCTION("""COMPUTED_VALUE"""),"")</f>
        <v/>
      </c>
      <c r="Q780" s="35" t="str">
        <f>IFERROR(__xludf.DUMMYFUNCTION("""COMPUTED_VALUE"""),"AP")</f>
        <v>AP</v>
      </c>
      <c r="R780" s="34" t="str">
        <f>IFERROR(__xludf.DUMMYFUNCTION("""COMPUTED_VALUE"""),"")</f>
        <v/>
      </c>
      <c r="S780" s="35" t="str">
        <f>IFERROR(__xludf.DUMMYFUNCTION("""COMPUTED_VALUE"""),"%")</f>
        <v>%</v>
      </c>
      <c r="T780" s="36">
        <f>IFERROR(__xludf.DUMMYFUNCTION("""COMPUTED_VALUE"""),2.0)</f>
        <v>2</v>
      </c>
      <c r="U780" s="37"/>
      <c r="V780" s="38"/>
      <c r="W780" s="34" t="str">
        <f>IFERROR(__xludf.DUMMYFUNCTION("""COMPUTED_VALUE"""),"")</f>
        <v/>
      </c>
      <c r="X780" s="35" t="str">
        <f>IFERROR(__xludf.DUMMYFUNCTION("""COMPUTED_VALUE"""),"AP")</f>
        <v>AP</v>
      </c>
      <c r="Y780" s="34" t="str">
        <f>IFERROR(__xludf.DUMMYFUNCTION("""COMPUTED_VALUE"""),"")</f>
        <v/>
      </c>
      <c r="Z780" s="35" t="str">
        <f>IFERROR(__xludf.DUMMYFUNCTION("""COMPUTED_VALUE"""),"%")</f>
        <v>%</v>
      </c>
      <c r="AA780" s="36">
        <f>IFERROR(__xludf.DUMMYFUNCTION("""COMPUTED_VALUE"""),3.0)</f>
        <v>3</v>
      </c>
      <c r="AB780" s="37"/>
      <c r="AC780" s="38"/>
      <c r="AD780" s="34" t="str">
        <f>IFERROR(__xludf.DUMMYFUNCTION("""COMPUTED_VALUE"""),"")</f>
        <v/>
      </c>
      <c r="AE780" s="35" t="str">
        <f>IFERROR(__xludf.DUMMYFUNCTION("""COMPUTED_VALUE"""),"AP")</f>
        <v>AP</v>
      </c>
      <c r="AF780" s="34" t="str">
        <f>IFERROR(__xludf.DUMMYFUNCTION("""COMPUTED_VALUE"""),"")</f>
        <v/>
      </c>
      <c r="AG780" s="35" t="str">
        <f>IFERROR(__xludf.DUMMYFUNCTION("""COMPUTED_VALUE"""),"%")</f>
        <v>%</v>
      </c>
      <c r="AH780" s="31"/>
      <c r="AI780" s="32"/>
      <c r="AJ780" s="67"/>
    </row>
    <row r="781" ht="24.75" hidden="1" customHeight="1">
      <c r="A781" s="40">
        <f>IFERROR(__xludf.DUMMYFUNCTION("""COMPUTED_VALUE"""),20.0)</f>
        <v>20</v>
      </c>
      <c r="B781" s="40" t="str">
        <f>IFERROR(__xludf.DUMMYFUNCTION("""COMPUTED_VALUE"""),"A106")</f>
        <v>A106</v>
      </c>
      <c r="C781" s="40"/>
      <c r="D781" s="41"/>
      <c r="E781" s="66"/>
      <c r="F781" s="43"/>
      <c r="G781" s="44"/>
      <c r="H781" s="33" t="str">
        <f>IFERROR(__xludf.DUMMYFUNCTION("""COMPUTED_VALUE""")," ")</f>
        <v> </v>
      </c>
      <c r="I781" s="45"/>
      <c r="J781" s="46" t="str">
        <f>IFERROR(__xludf.DUMMYFUNCTION("""COMPUTED_VALUE"""),"AP")</f>
        <v>AP</v>
      </c>
      <c r="K781" s="47"/>
      <c r="L781" s="48" t="str">
        <f>IFERROR(__xludf.DUMMYFUNCTION("""COMPUTED_VALUE"""),"%")</f>
        <v>%</v>
      </c>
      <c r="M781" s="49">
        <f>IFERROR(__xludf.DUMMYFUNCTION("""COMPUTED_VALUE"""),1.0)</f>
        <v>1</v>
      </c>
      <c r="N781" s="50"/>
      <c r="O781" s="38"/>
      <c r="P781" s="45" t="str">
        <f>IFERROR(__xludf.DUMMYFUNCTION("""COMPUTED_VALUE"""),"")</f>
        <v/>
      </c>
      <c r="Q781" s="46" t="str">
        <f>IFERROR(__xludf.DUMMYFUNCTION("""COMPUTED_VALUE"""),"AP")</f>
        <v>AP</v>
      </c>
      <c r="R781" s="47" t="str">
        <f>IFERROR(__xludf.DUMMYFUNCTION("""COMPUTED_VALUE"""),"")</f>
        <v/>
      </c>
      <c r="S781" s="48" t="str">
        <f>IFERROR(__xludf.DUMMYFUNCTION("""COMPUTED_VALUE"""),"%")</f>
        <v>%</v>
      </c>
      <c r="T781" s="49">
        <f>IFERROR(__xludf.DUMMYFUNCTION("""COMPUTED_VALUE"""),2.0)</f>
        <v>2</v>
      </c>
      <c r="U781" s="50"/>
      <c r="V781" s="38"/>
      <c r="W781" s="45" t="str">
        <f>IFERROR(__xludf.DUMMYFUNCTION("""COMPUTED_VALUE"""),"")</f>
        <v/>
      </c>
      <c r="X781" s="46" t="str">
        <f>IFERROR(__xludf.DUMMYFUNCTION("""COMPUTED_VALUE"""),"AP")</f>
        <v>AP</v>
      </c>
      <c r="Y781" s="47" t="str">
        <f>IFERROR(__xludf.DUMMYFUNCTION("""COMPUTED_VALUE"""),"")</f>
        <v/>
      </c>
      <c r="Z781" s="48" t="str">
        <f>IFERROR(__xludf.DUMMYFUNCTION("""COMPUTED_VALUE"""),"%")</f>
        <v>%</v>
      </c>
      <c r="AA781" s="49">
        <f>IFERROR(__xludf.DUMMYFUNCTION("""COMPUTED_VALUE"""),3.0)</f>
        <v>3</v>
      </c>
      <c r="AB781" s="50"/>
      <c r="AC781" s="38"/>
      <c r="AD781" s="45" t="str">
        <f>IFERROR(__xludf.DUMMYFUNCTION("""COMPUTED_VALUE"""),"")</f>
        <v/>
      </c>
      <c r="AE781" s="46" t="str">
        <f>IFERROR(__xludf.DUMMYFUNCTION("""COMPUTED_VALUE"""),"AP")</f>
        <v>AP</v>
      </c>
      <c r="AF781" s="47" t="str">
        <f>IFERROR(__xludf.DUMMYFUNCTION("""COMPUTED_VALUE"""),"")</f>
        <v/>
      </c>
      <c r="AG781" s="48" t="str">
        <f>IFERROR(__xludf.DUMMYFUNCTION("""COMPUTED_VALUE"""),"%")</f>
        <v>%</v>
      </c>
      <c r="AH781" s="43"/>
      <c r="AI781" s="44"/>
      <c r="AJ781" s="66"/>
    </row>
    <row r="782">
      <c r="A782" s="52"/>
      <c r="B782" s="53"/>
      <c r="C782" s="54"/>
      <c r="D782" s="56"/>
      <c r="E782" s="56"/>
      <c r="F782" s="53"/>
      <c r="G782" s="53"/>
      <c r="H782" s="53"/>
      <c r="I782" s="53"/>
      <c r="J782" s="57"/>
      <c r="K782" s="53"/>
      <c r="L782" s="57"/>
      <c r="M782" s="53"/>
      <c r="N782" s="53"/>
      <c r="O782" s="53"/>
      <c r="P782" s="53"/>
      <c r="Q782" s="57"/>
      <c r="R782" s="53"/>
      <c r="S782" s="57"/>
      <c r="T782" s="53"/>
      <c r="U782" s="53"/>
      <c r="V782" s="53"/>
      <c r="W782" s="53"/>
      <c r="X782" s="57"/>
      <c r="Y782" s="53"/>
      <c r="Z782" s="57"/>
      <c r="AA782" s="53"/>
      <c r="AB782" s="53"/>
      <c r="AC782" s="53"/>
      <c r="AD782" s="53"/>
      <c r="AE782" s="57"/>
      <c r="AF782" s="53"/>
      <c r="AG782" s="57"/>
      <c r="AH782" s="53"/>
      <c r="AI782" s="53"/>
      <c r="AJ782" s="56"/>
    </row>
    <row r="783">
      <c r="A783" s="59"/>
      <c r="B783" s="60"/>
      <c r="C783" s="61"/>
      <c r="D783" s="63"/>
      <c r="E783" s="63"/>
      <c r="F783" s="60"/>
      <c r="G783" s="60"/>
      <c r="H783" s="60"/>
      <c r="I783" s="60"/>
      <c r="J783" s="64"/>
      <c r="K783" s="60"/>
      <c r="L783" s="64"/>
      <c r="M783" s="60"/>
      <c r="N783" s="60"/>
      <c r="O783" s="60"/>
      <c r="P783" s="60"/>
      <c r="Q783" s="64"/>
      <c r="R783" s="60"/>
      <c r="S783" s="64"/>
      <c r="T783" s="60"/>
      <c r="U783" s="60"/>
      <c r="V783" s="60"/>
      <c r="W783" s="60"/>
      <c r="X783" s="64"/>
      <c r="Y783" s="60"/>
      <c r="Z783" s="64"/>
      <c r="AA783" s="60"/>
      <c r="AB783" s="60"/>
      <c r="AC783" s="60"/>
      <c r="AD783" s="60"/>
      <c r="AE783" s="64"/>
      <c r="AF783" s="60"/>
      <c r="AG783" s="64"/>
      <c r="AH783" s="60"/>
      <c r="AI783" s="60"/>
      <c r="AJ783" s="63"/>
    </row>
    <row r="784" ht="33.0" customHeight="1">
      <c r="A784" s="20" t="str">
        <f>IFERROR(__xludf.DUMMYFUNCTION("""COMPUTED_VALUE""")," ")</f>
        <v> </v>
      </c>
      <c r="B784" s="21" t="str">
        <f>IFERROR(__xludf.DUMMYFUNCTION("""COMPUTED_VALUE"""),"A107")</f>
        <v>A107</v>
      </c>
      <c r="C784" s="20"/>
      <c r="D784" s="257" t="str">
        <f>IFERROR(__xludf.DUMMYFUNCTION("""COMPUTED_VALUE"""),"")</f>
        <v/>
      </c>
      <c r="E784" s="23" t="str">
        <f>IFERROR(__xludf.DUMMYFUNCTION("""COMPUTED_VALUE"""),"Black Beast Grease")</f>
        <v>Black Beast Grease</v>
      </c>
      <c r="F784" s="24"/>
      <c r="G784" s="24"/>
      <c r="H784" s="25"/>
      <c r="I784" s="25"/>
      <c r="J784" s="26"/>
      <c r="K784" s="25"/>
      <c r="L784" s="26"/>
      <c r="M784" s="25"/>
      <c r="N784" s="25"/>
      <c r="O784" s="25"/>
      <c r="P784" s="25"/>
      <c r="Q784" s="26"/>
      <c r="R784" s="25"/>
      <c r="S784" s="26"/>
      <c r="T784" s="25"/>
      <c r="U784" s="25"/>
      <c r="V784" s="25"/>
      <c r="W784" s="25"/>
      <c r="X784" s="26"/>
      <c r="Y784" s="25"/>
      <c r="Z784" s="26"/>
      <c r="AA784" s="25"/>
      <c r="AB784" s="25"/>
      <c r="AC784" s="25"/>
      <c r="AD784" s="25"/>
      <c r="AE784" s="26"/>
      <c r="AF784" s="25"/>
      <c r="AG784" s="26"/>
      <c r="AH784" s="24"/>
      <c r="AI784" s="25"/>
      <c r="AJ784" s="23"/>
    </row>
    <row r="785" ht="24.75" customHeight="1">
      <c r="A785" s="28">
        <f>IFERROR(__xludf.DUMMYFUNCTION("""COMPUTED_VALUE"""),1.0)</f>
        <v>1</v>
      </c>
      <c r="B785" s="28" t="str">
        <f>IFERROR(__xludf.DUMMYFUNCTION("""COMPUTED_VALUE"""),"A107")</f>
        <v>A107</v>
      </c>
      <c r="C785" s="28" t="str">
        <f>IFERROR(__xludf.DUMMYFUNCTION("""COMPUTED_VALUE"""),"AGT6")</f>
        <v>AGT6</v>
      </c>
      <c r="D785" s="29" t="str">
        <f>IFERROR(__xludf.DUMMYFUNCTION("""COMPUTED_VALUE"""),"Agartha")</f>
        <v>Agartha</v>
      </c>
      <c r="E785" s="30" t="str">
        <f>IFERROR(__xludf.DUMMYFUNCTION("""COMPUTED_VALUE"""),"Northern Cliffs")</f>
        <v>Northern Cliffs</v>
      </c>
      <c r="F785" s="31">
        <f>IFERROR(__xludf.DUMMYFUNCTION("""COMPUTED_VALUE"""),21.0)</f>
        <v>21</v>
      </c>
      <c r="G785" s="32">
        <f>IFERROR(__xludf.DUMMYFUNCTION("""COMPUTED_VALUE"""),2295.0)</f>
        <v>2295</v>
      </c>
      <c r="H785" s="33" t="str">
        <f>IFERROR(__xludf.DUMMYFUNCTION("""COMPUTED_VALUE"""),"")</f>
        <v/>
      </c>
      <c r="I785" s="34">
        <f>IFERROR(__xludf.DUMMYFUNCTION("""COMPUTED_VALUE"""),102.01295402590804)</f>
        <v>102.012954</v>
      </c>
      <c r="J785" s="35" t="str">
        <f>IFERROR(__xludf.DUMMYFUNCTION("""COMPUTED_VALUE"""),"AP")</f>
        <v>AP</v>
      </c>
      <c r="K785" s="34">
        <f>IFERROR(__xludf.DUMMYFUNCTION("""COMPUTED_VALUE"""),20.58562091503268)</f>
        <v>20.58562092</v>
      </c>
      <c r="L785" s="35" t="str">
        <f>IFERROR(__xludf.DUMMYFUNCTION("""COMPUTED_VALUE"""),"%")</f>
        <v>%</v>
      </c>
      <c r="M785" s="36">
        <f>IFERROR(__xludf.DUMMYFUNCTION("""COMPUTED_VALUE"""),1.0)</f>
        <v>1</v>
      </c>
      <c r="N785" s="37" t="str">
        <f>IFERROR(__xludf.DUMMYFUNCTION("""COMPUTED_VALUE"""),"A305")</f>
        <v>A305</v>
      </c>
      <c r="O785" s="38" t="str">
        <f>IFERROR(__xludf.DUMMYFUNCTION("""COMPUTED_VALUE"""),"")</f>
        <v/>
      </c>
      <c r="P785" s="34">
        <f>IFERROR(__xludf.DUMMYFUNCTION("""COMPUTED_VALUE"""),53.22356215213358)</f>
        <v>53.22356215</v>
      </c>
      <c r="Q785" s="35" t="str">
        <f>IFERROR(__xludf.DUMMYFUNCTION("""COMPUTED_VALUE"""),"AP")</f>
        <v>AP</v>
      </c>
      <c r="R785" s="34">
        <f>IFERROR(__xludf.DUMMYFUNCTION("""COMPUTED_VALUE"""),39.4562091503268)</f>
        <v>39.45620915</v>
      </c>
      <c r="S785" s="35" t="str">
        <f>IFERROR(__xludf.DUMMYFUNCTION("""COMPUTED_VALUE"""),"%")</f>
        <v>%</v>
      </c>
      <c r="T785" s="36">
        <f>IFERROR(__xludf.DUMMYFUNCTION("""COMPUTED_VALUE"""),2.0)</f>
        <v>2</v>
      </c>
      <c r="U785" s="37" t="str">
        <f>IFERROR(__xludf.DUMMYFUNCTION("""COMPUTED_VALUE"""),"B116")</f>
        <v>B116</v>
      </c>
      <c r="V785" s="38" t="str">
        <f>IFERROR(__xludf.DUMMYFUNCTION("""COMPUTED_VALUE"""),"")</f>
        <v/>
      </c>
      <c r="W785" s="34">
        <f>IFERROR(__xludf.DUMMYFUNCTION("""COMPUTED_VALUE"""),67.91471732145877)</f>
        <v>67.91471732</v>
      </c>
      <c r="X785" s="35" t="str">
        <f>IFERROR(__xludf.DUMMYFUNCTION("""COMPUTED_VALUE"""),"AP")</f>
        <v>AP</v>
      </c>
      <c r="Y785" s="34">
        <f>IFERROR(__xludf.DUMMYFUNCTION("""COMPUTED_VALUE"""),30.921132897603485)</f>
        <v>30.9211329</v>
      </c>
      <c r="Z785" s="35" t="str">
        <f>IFERROR(__xludf.DUMMYFUNCTION("""COMPUTED_VALUE"""),"%")</f>
        <v>%</v>
      </c>
      <c r="AA785" s="36">
        <f>IFERROR(__xludf.DUMMYFUNCTION("""COMPUTED_VALUE"""),3.0)</f>
        <v>3</v>
      </c>
      <c r="AB785" s="37"/>
      <c r="AC785" s="38"/>
      <c r="AD785" s="34" t="str">
        <f>IFERROR(__xludf.DUMMYFUNCTION("""COMPUTED_VALUE"""),"")</f>
        <v/>
      </c>
      <c r="AE785" s="35" t="str">
        <f>IFERROR(__xludf.DUMMYFUNCTION("""COMPUTED_VALUE"""),"AP")</f>
        <v>AP</v>
      </c>
      <c r="AF785" s="34" t="str">
        <f>IFERROR(__xludf.DUMMYFUNCTION("""COMPUTED_VALUE"""),"")</f>
        <v/>
      </c>
      <c r="AG785" s="35" t="str">
        <f>IFERROR(__xludf.DUMMYFUNCTION("""COMPUTED_VALUE"""),"%")</f>
        <v>%</v>
      </c>
      <c r="AH785" s="31">
        <f>IFERROR(__xludf.DUMMYFUNCTION("""COMPUTED_VALUE"""),21.0)</f>
        <v>21</v>
      </c>
      <c r="AI785" s="32">
        <f>IFERROR(__xludf.DUMMYFUNCTION("""COMPUTED_VALUE"""),2295.0)</f>
        <v>2295</v>
      </c>
      <c r="AJ785" s="30" t="str">
        <f>IFERROR(__xludf.DUMMYFUNCTION("""COMPUTED_VALUE"""),"Northern Cliffs")</f>
        <v>Northern Cliffs</v>
      </c>
    </row>
    <row r="786" ht="24.75" customHeight="1">
      <c r="A786" s="40">
        <f>IFERROR(__xludf.DUMMYFUNCTION("""COMPUTED_VALUE"""),2.0)</f>
        <v>2</v>
      </c>
      <c r="B786" s="40" t="str">
        <f>IFERROR(__xludf.DUMMYFUNCTION("""COMPUTED_VALUE"""),"A107")</f>
        <v>A107</v>
      </c>
      <c r="C786" s="40" t="str">
        <f>IFERROR(__xludf.DUMMYFUNCTION("""COMPUTED_VALUE"""),"BBL2")</f>
        <v>BBL2</v>
      </c>
      <c r="D786" s="41" t="str">
        <f>IFERROR(__xludf.DUMMYFUNCTION("""COMPUTED_VALUE"""),"Babylonia")</f>
        <v>Babylonia</v>
      </c>
      <c r="E786" s="42" t="str">
        <f>IFERROR(__xludf.DUMMYFUNCTION("""COMPUTED_VALUE"""),"Northern Hill")</f>
        <v>Northern Hill</v>
      </c>
      <c r="F786" s="43">
        <f>IFERROR(__xludf.DUMMYFUNCTION("""COMPUTED_VALUE"""),20.0)</f>
        <v>20</v>
      </c>
      <c r="G786" s="44">
        <f>IFERROR(__xludf.DUMMYFUNCTION("""COMPUTED_VALUE"""),14225.0)</f>
        <v>14225</v>
      </c>
      <c r="H786" s="33" t="str">
        <f>IFERROR(__xludf.DUMMYFUNCTION("""COMPUTED_VALUE"""),"")</f>
        <v/>
      </c>
      <c r="I786" s="45">
        <f>IFERROR(__xludf.DUMMYFUNCTION("""COMPUTED_VALUE"""),113.12599531988413)</f>
        <v>113.1259953</v>
      </c>
      <c r="J786" s="46" t="str">
        <f>IFERROR(__xludf.DUMMYFUNCTION("""COMPUTED_VALUE"""),"AP")</f>
        <v>AP</v>
      </c>
      <c r="K786" s="47">
        <f>IFERROR(__xludf.DUMMYFUNCTION("""COMPUTED_VALUE"""),17.67940246045694)</f>
        <v>17.67940246</v>
      </c>
      <c r="L786" s="48" t="str">
        <f>IFERROR(__xludf.DUMMYFUNCTION("""COMPUTED_VALUE"""),"%")</f>
        <v>%</v>
      </c>
      <c r="M786" s="49">
        <f>IFERROR(__xludf.DUMMYFUNCTION("""COMPUTED_VALUE"""),1.0)</f>
        <v>1</v>
      </c>
      <c r="N786" s="50" t="str">
        <f>IFERROR(__xludf.DUMMYFUNCTION("""COMPUTED_VALUE"""),"A201")</f>
        <v>A201</v>
      </c>
      <c r="O786" s="38" t="str">
        <f>IFERROR(__xludf.DUMMYFUNCTION("""COMPUTED_VALUE"""),"")</f>
        <v/>
      </c>
      <c r="P786" s="45">
        <f>IFERROR(__xludf.DUMMYFUNCTION("""COMPUTED_VALUE"""),80.23995837111474)</f>
        <v>80.23995837</v>
      </c>
      <c r="Q786" s="46" t="str">
        <f>IFERROR(__xludf.DUMMYFUNCTION("""COMPUTED_VALUE"""),"AP")</f>
        <v>AP</v>
      </c>
      <c r="R786" s="47">
        <f>IFERROR(__xludf.DUMMYFUNCTION("""COMPUTED_VALUE"""),24.92523725834798)</f>
        <v>24.92523726</v>
      </c>
      <c r="S786" s="48" t="str">
        <f>IFERROR(__xludf.DUMMYFUNCTION("""COMPUTED_VALUE"""),"%")</f>
        <v>%</v>
      </c>
      <c r="T786" s="49">
        <f>IFERROR(__xludf.DUMMYFUNCTION("""COMPUTED_VALUE"""),2.0)</f>
        <v>2</v>
      </c>
      <c r="U786" s="50" t="str">
        <f>IFERROR(__xludf.DUMMYFUNCTION("""COMPUTED_VALUE"""),"B116")</f>
        <v>B116</v>
      </c>
      <c r="V786" s="38" t="str">
        <f>IFERROR(__xludf.DUMMYFUNCTION("""COMPUTED_VALUE"""),"")</f>
        <v/>
      </c>
      <c r="W786" s="45">
        <f>IFERROR(__xludf.DUMMYFUNCTION("""COMPUTED_VALUE"""),249.3618353929243)</f>
        <v>249.3618354</v>
      </c>
      <c r="X786" s="46" t="str">
        <f>IFERROR(__xludf.DUMMYFUNCTION("""COMPUTED_VALUE"""),"AP")</f>
        <v>AP</v>
      </c>
      <c r="Y786" s="47">
        <f>IFERROR(__xludf.DUMMYFUNCTION("""COMPUTED_VALUE"""),8.020473529353685)</f>
        <v>8.020473529</v>
      </c>
      <c r="Z786" s="48" t="str">
        <f>IFERROR(__xludf.DUMMYFUNCTION("""COMPUTED_VALUE"""),"%")</f>
        <v>%</v>
      </c>
      <c r="AA786" s="49">
        <f>IFERROR(__xludf.DUMMYFUNCTION("""COMPUTED_VALUE"""),3.0)</f>
        <v>3</v>
      </c>
      <c r="AB786" s="50"/>
      <c r="AC786" s="38"/>
      <c r="AD786" s="45" t="str">
        <f>IFERROR(__xludf.DUMMYFUNCTION("""COMPUTED_VALUE"""),"")</f>
        <v/>
      </c>
      <c r="AE786" s="46" t="str">
        <f>IFERROR(__xludf.DUMMYFUNCTION("""COMPUTED_VALUE"""),"AP")</f>
        <v>AP</v>
      </c>
      <c r="AF786" s="47" t="str">
        <f>IFERROR(__xludf.DUMMYFUNCTION("""COMPUTED_VALUE"""),"")</f>
        <v/>
      </c>
      <c r="AG786" s="48" t="str">
        <f>IFERROR(__xludf.DUMMYFUNCTION("""COMPUTED_VALUE"""),"%")</f>
        <v>%</v>
      </c>
      <c r="AH786" s="43">
        <f>IFERROR(__xludf.DUMMYFUNCTION("""COMPUTED_VALUE"""),20.0)</f>
        <v>20</v>
      </c>
      <c r="AI786" s="44">
        <f>IFERROR(__xludf.DUMMYFUNCTION("""COMPUTED_VALUE"""),14225.0)</f>
        <v>14225</v>
      </c>
      <c r="AJ786" s="42" t="str">
        <f>IFERROR(__xludf.DUMMYFUNCTION("""COMPUTED_VALUE"""),"Northern Hill")</f>
        <v>Northern Hill</v>
      </c>
    </row>
    <row r="787" ht="24.75" customHeight="1">
      <c r="A787" s="28">
        <f>IFERROR(__xludf.DUMMYFUNCTION("""COMPUTED_VALUE"""),3.0)</f>
        <v>3</v>
      </c>
      <c r="B787" s="28" t="str">
        <f>IFERROR(__xludf.DUMMYFUNCTION("""COMPUTED_VALUE"""),"A107")</f>
        <v>A107</v>
      </c>
      <c r="C787" s="28" t="str">
        <f>IFERROR(__xludf.DUMMYFUNCTION("""COMPUTED_VALUE"""),"EPU9")</f>
        <v>EPU9</v>
      </c>
      <c r="D787" s="29" t="str">
        <f>IFERROR(__xludf.DUMMYFUNCTION("""COMPUTED_VALUE"""),"E Pluribus Unum")</f>
        <v>E Pluribus Unum</v>
      </c>
      <c r="E787" s="30" t="str">
        <f>IFERROR(__xludf.DUMMYFUNCTION("""COMPUTED_VALUE"""),"Lubbock")</f>
        <v>Lubbock</v>
      </c>
      <c r="F787" s="31">
        <f>IFERROR(__xludf.DUMMYFUNCTION("""COMPUTED_VALUE"""),18.0)</f>
        <v>18</v>
      </c>
      <c r="G787" s="32">
        <f>IFERROR(__xludf.DUMMYFUNCTION("""COMPUTED_VALUE"""),1070.0)</f>
        <v>1070</v>
      </c>
      <c r="H787" s="33" t="str">
        <f>IFERROR(__xludf.DUMMYFUNCTION("""COMPUTED_VALUE"""),"")</f>
        <v/>
      </c>
      <c r="I787" s="34">
        <f>IFERROR(__xludf.DUMMYFUNCTION("""COMPUTED_VALUE"""),148.59391274158082)</f>
        <v>148.5939127</v>
      </c>
      <c r="J787" s="35" t="str">
        <f>IFERROR(__xludf.DUMMYFUNCTION("""COMPUTED_VALUE"""),"AP")</f>
        <v>AP</v>
      </c>
      <c r="K787" s="34">
        <f>IFERROR(__xludf.DUMMYFUNCTION("""COMPUTED_VALUE"""),12.11355140186916)</f>
        <v>12.1135514</v>
      </c>
      <c r="L787" s="35" t="str">
        <f>IFERROR(__xludf.DUMMYFUNCTION("""COMPUTED_VALUE"""),"%")</f>
        <v>%</v>
      </c>
      <c r="M787" s="36">
        <f>IFERROR(__xludf.DUMMYFUNCTION("""COMPUTED_VALUE"""),1.0)</f>
        <v>1</v>
      </c>
      <c r="N787" s="37" t="str">
        <f>IFERROR(__xludf.DUMMYFUNCTION("""COMPUTED_VALUE"""),"A301")</f>
        <v>A301</v>
      </c>
      <c r="O787" s="38" t="str">
        <f>IFERROR(__xludf.DUMMYFUNCTION("""COMPUTED_VALUE"""),"")</f>
        <v/>
      </c>
      <c r="P787" s="34">
        <f>IFERROR(__xludf.DUMMYFUNCTION("""COMPUTED_VALUE"""),33.16658199946617)</f>
        <v>33.166582</v>
      </c>
      <c r="Q787" s="35" t="str">
        <f>IFERROR(__xludf.DUMMYFUNCTION("""COMPUTED_VALUE"""),"AP")</f>
        <v>AP</v>
      </c>
      <c r="R787" s="34">
        <f>IFERROR(__xludf.DUMMYFUNCTION("""COMPUTED_VALUE"""),54.271495327102805)</f>
        <v>54.27149533</v>
      </c>
      <c r="S787" s="35" t="str">
        <f>IFERROR(__xludf.DUMMYFUNCTION("""COMPUTED_VALUE"""),"%")</f>
        <v>%</v>
      </c>
      <c r="T787" s="36">
        <f>IFERROR(__xludf.DUMMYFUNCTION("""COMPUTED_VALUE"""),2.0)</f>
        <v>2</v>
      </c>
      <c r="U787" s="37" t="str">
        <f>IFERROR(__xludf.DUMMYFUNCTION("""COMPUTED_VALUE"""),"B116")</f>
        <v>B116</v>
      </c>
      <c r="V787" s="38" t="str">
        <f>IFERROR(__xludf.DUMMYFUNCTION("""COMPUTED_VALUE"""),"")</f>
        <v/>
      </c>
      <c r="W787" s="34">
        <f>IFERROR(__xludf.DUMMYFUNCTION("""COMPUTED_VALUE"""),213.01775147928996)</f>
        <v>213.0177515</v>
      </c>
      <c r="X787" s="35" t="str">
        <f>IFERROR(__xludf.DUMMYFUNCTION("""COMPUTED_VALUE"""),"AP")</f>
        <v>AP</v>
      </c>
      <c r="Y787" s="34">
        <f>IFERROR(__xludf.DUMMYFUNCTION("""COMPUTED_VALUE"""),8.45)</f>
        <v>8.45</v>
      </c>
      <c r="Z787" s="35" t="str">
        <f>IFERROR(__xludf.DUMMYFUNCTION("""COMPUTED_VALUE"""),"%")</f>
        <v>%</v>
      </c>
      <c r="AA787" s="36">
        <f>IFERROR(__xludf.DUMMYFUNCTION("""COMPUTED_VALUE"""),3.0)</f>
        <v>3</v>
      </c>
      <c r="AB787" s="37"/>
      <c r="AC787" s="38"/>
      <c r="AD787" s="34" t="str">
        <f>IFERROR(__xludf.DUMMYFUNCTION("""COMPUTED_VALUE"""),"")</f>
        <v/>
      </c>
      <c r="AE787" s="35" t="str">
        <f>IFERROR(__xludf.DUMMYFUNCTION("""COMPUTED_VALUE"""),"AP")</f>
        <v>AP</v>
      </c>
      <c r="AF787" s="34" t="str">
        <f>IFERROR(__xludf.DUMMYFUNCTION("""COMPUTED_VALUE"""),"")</f>
        <v/>
      </c>
      <c r="AG787" s="35" t="str">
        <f>IFERROR(__xludf.DUMMYFUNCTION("""COMPUTED_VALUE"""),"%")</f>
        <v>%</v>
      </c>
      <c r="AH787" s="31">
        <f>IFERROR(__xludf.DUMMYFUNCTION("""COMPUTED_VALUE"""),18.0)</f>
        <v>18</v>
      </c>
      <c r="AI787" s="32">
        <f>IFERROR(__xludf.DUMMYFUNCTION("""COMPUTED_VALUE"""),1070.0)</f>
        <v>1070</v>
      </c>
      <c r="AJ787" s="30" t="str">
        <f>IFERROR(__xludf.DUMMYFUNCTION("""COMPUTED_VALUE"""),"Lubbock")</f>
        <v>Lubbock</v>
      </c>
    </row>
    <row r="788" ht="24.75" customHeight="1">
      <c r="A788" s="40">
        <f>IFERROR(__xludf.DUMMYFUNCTION("""COMPUTED_VALUE"""),4.0)</f>
        <v>4</v>
      </c>
      <c r="B788" s="40" t="str">
        <f>IFERROR(__xludf.DUMMYFUNCTION("""COMPUTED_VALUE"""),"A107")</f>
        <v>A107</v>
      </c>
      <c r="C788" s="40" t="str">
        <f>IFERROR(__xludf.DUMMYFUNCTION("""COMPUTED_VALUE"""),"TRF24")</f>
        <v>TRF24</v>
      </c>
      <c r="D788" s="41" t="str">
        <f>IFERROR(__xludf.DUMMYFUNCTION("""COMPUTED_VALUE"""),"Chaldea Gate (Sat)")</f>
        <v>Chaldea Gate (Sat)</v>
      </c>
      <c r="E788" s="42" t="str">
        <f>IFERROR(__xludf.DUMMYFUNCTION("""COMPUTED_VALUE"""),"SAT Assassin Training Ground- Exp")</f>
        <v>SAT Assassin Training Ground- Exp</v>
      </c>
      <c r="F788" s="43">
        <f>IFERROR(__xludf.DUMMYFUNCTION("""COMPUTED_VALUE"""),40.0)</f>
        <v>40</v>
      </c>
      <c r="G788" s="44">
        <f>IFERROR(__xludf.DUMMYFUNCTION("""COMPUTED_VALUE"""),7508.0)</f>
        <v>7508</v>
      </c>
      <c r="H788" s="33" t="str">
        <f>IFERROR(__xludf.DUMMYFUNCTION("""COMPUTED_VALUE"""),"")</f>
        <v/>
      </c>
      <c r="I788" s="45">
        <f>IFERROR(__xludf.DUMMYFUNCTION("""COMPUTED_VALUE"""),332.8005152685394)</f>
        <v>332.8005153</v>
      </c>
      <c r="J788" s="46" t="str">
        <f>IFERROR(__xludf.DUMMYFUNCTION("""COMPUTED_VALUE"""),"AP")</f>
        <v>AP</v>
      </c>
      <c r="K788" s="47">
        <f>IFERROR(__xludf.DUMMYFUNCTION("""COMPUTED_VALUE"""),12.019212160090461)</f>
        <v>12.01921216</v>
      </c>
      <c r="L788" s="48" t="str">
        <f>IFERROR(__xludf.DUMMYFUNCTION("""COMPUTED_VALUE"""),"%")</f>
        <v>%</v>
      </c>
      <c r="M788" s="49">
        <f>IFERROR(__xludf.DUMMYFUNCTION("""COMPUTED_VALUE"""),1.0)</f>
        <v>1</v>
      </c>
      <c r="N788" s="50" t="str">
        <f>IFERROR(__xludf.DUMMYFUNCTION("""COMPUTED_VALUE"""),"A201")</f>
        <v>A201</v>
      </c>
      <c r="O788" s="38" t="str">
        <f>IFERROR(__xludf.DUMMYFUNCTION("""COMPUTED_VALUE"""),"")</f>
        <v/>
      </c>
      <c r="P788" s="45">
        <f>IFERROR(__xludf.DUMMYFUNCTION("""COMPUTED_VALUE"""),126.78968204211094)</f>
        <v>126.789682</v>
      </c>
      <c r="Q788" s="46" t="str">
        <f>IFERROR(__xludf.DUMMYFUNCTION("""COMPUTED_VALUE"""),"AP")</f>
        <v>AP</v>
      </c>
      <c r="R788" s="47">
        <f>IFERROR(__xludf.DUMMYFUNCTION("""COMPUTED_VALUE"""),31.548308470964308)</f>
        <v>31.54830847</v>
      </c>
      <c r="S788" s="48" t="str">
        <f>IFERROR(__xludf.DUMMYFUNCTION("""COMPUTED_VALUE"""),"%")</f>
        <v>%</v>
      </c>
      <c r="T788" s="49">
        <f>IFERROR(__xludf.DUMMYFUNCTION("""COMPUTED_VALUE"""),2.0)</f>
        <v>2</v>
      </c>
      <c r="U788" s="50" t="str">
        <f>IFERROR(__xludf.DUMMYFUNCTION("""COMPUTED_VALUE"""),"A202")</f>
        <v>A202</v>
      </c>
      <c r="V788" s="38" t="str">
        <f>IFERROR(__xludf.DUMMYFUNCTION("""COMPUTED_VALUE"""),"")</f>
        <v/>
      </c>
      <c r="W788" s="45">
        <f>IFERROR(__xludf.DUMMYFUNCTION("""COMPUTED_VALUE"""),215.08192013575655)</f>
        <v>215.0819201</v>
      </c>
      <c r="X788" s="46" t="str">
        <f>IFERROR(__xludf.DUMMYFUNCTION("""COMPUTED_VALUE"""),"AP")</f>
        <v>AP</v>
      </c>
      <c r="Y788" s="47">
        <f>IFERROR(__xludf.DUMMYFUNCTION("""COMPUTED_VALUE"""),18.597565046263576)</f>
        <v>18.59756505</v>
      </c>
      <c r="Z788" s="48" t="str">
        <f>IFERROR(__xludf.DUMMYFUNCTION("""COMPUTED_VALUE"""),"%")</f>
        <v>%</v>
      </c>
      <c r="AA788" s="49">
        <f>IFERROR(__xludf.DUMMYFUNCTION("""COMPUTED_VALUE"""),3.0)</f>
        <v>3</v>
      </c>
      <c r="AB788" s="50" t="str">
        <f>IFERROR(__xludf.DUMMYFUNCTION("""COMPUTED_VALUE"""),"A206")</f>
        <v>A206</v>
      </c>
      <c r="AC788" s="38" t="str">
        <f>IFERROR(__xludf.DUMMYFUNCTION("""COMPUTED_VALUE"""),"")</f>
        <v/>
      </c>
      <c r="AD788" s="45">
        <f>IFERROR(__xludf.DUMMYFUNCTION("""COMPUTED_VALUE"""),4463.76659780647)</f>
        <v>4463.766598</v>
      </c>
      <c r="AE788" s="46" t="str">
        <f>IFERROR(__xludf.DUMMYFUNCTION("""COMPUTED_VALUE"""),"AP")</f>
        <v>AP</v>
      </c>
      <c r="AF788" s="47">
        <f>IFERROR(__xludf.DUMMYFUNCTION("""COMPUTED_VALUE"""),0.8961042008705453)</f>
        <v>0.8961042009</v>
      </c>
      <c r="AG788" s="48" t="str">
        <f>IFERROR(__xludf.DUMMYFUNCTION("""COMPUTED_VALUE"""),"%")</f>
        <v>%</v>
      </c>
      <c r="AH788" s="43">
        <f>IFERROR(__xludf.DUMMYFUNCTION("""COMPUTED_VALUE"""),40.0)</f>
        <v>40</v>
      </c>
      <c r="AI788" s="44">
        <f>IFERROR(__xludf.DUMMYFUNCTION("""COMPUTED_VALUE"""),7508.0)</f>
        <v>7508</v>
      </c>
      <c r="AJ788" s="42" t="str">
        <f>IFERROR(__xludf.DUMMYFUNCTION("""COMPUTED_VALUE"""),"SAT Assassin Training Ground- Exp")</f>
        <v>SAT Assassin Training Ground- Exp</v>
      </c>
    </row>
    <row r="789" ht="24.75" customHeight="1">
      <c r="A789" s="28">
        <f>IFERROR(__xludf.DUMMYFUNCTION("""COMPUTED_VALUE"""),5.0)</f>
        <v>5</v>
      </c>
      <c r="B789" s="28" t="str">
        <f>IFERROR(__xludf.DUMMYFUNCTION("""COMPUTED_VALUE"""),"A107")</f>
        <v>A107</v>
      </c>
      <c r="C789" s="28" t="str">
        <f>IFERROR(__xludf.DUMMYFUNCTION("""COMPUTED_VALUE"""),"TRF23")</f>
        <v>TRF23</v>
      </c>
      <c r="D789" s="29" t="str">
        <f>IFERROR(__xludf.DUMMYFUNCTION("""COMPUTED_VALUE"""),"Chaldea Gate (Sat)")</f>
        <v>Chaldea Gate (Sat)</v>
      </c>
      <c r="E789" s="30" t="str">
        <f>IFERROR(__xludf.DUMMYFUNCTION("""COMPUTED_VALUE"""),"SAT Assassin Training Ground- Adv")</f>
        <v>SAT Assassin Training Ground- Adv</v>
      </c>
      <c r="F789" s="31">
        <f>IFERROR(__xludf.DUMMYFUNCTION("""COMPUTED_VALUE"""),30.0)</f>
        <v>30</v>
      </c>
      <c r="G789" s="32">
        <f>IFERROR(__xludf.DUMMYFUNCTION("""COMPUTED_VALUE"""),1445.0)</f>
        <v>1445</v>
      </c>
      <c r="H789" s="33" t="str">
        <f>IFERROR(__xludf.DUMMYFUNCTION("""COMPUTED_VALUE"""),"")</f>
        <v/>
      </c>
      <c r="I789" s="34">
        <f>IFERROR(__xludf.DUMMYFUNCTION("""COMPUTED_VALUE"""),520.2145660078482)</f>
        <v>520.214566</v>
      </c>
      <c r="J789" s="35" t="str">
        <f>IFERROR(__xludf.DUMMYFUNCTION("""COMPUTED_VALUE"""),"AP")</f>
        <v>AP</v>
      </c>
      <c r="K789" s="34">
        <f>IFERROR(__xludf.DUMMYFUNCTION("""COMPUTED_VALUE"""),5.766851211072664)</f>
        <v>5.766851211</v>
      </c>
      <c r="L789" s="35" t="str">
        <f>IFERROR(__xludf.DUMMYFUNCTION("""COMPUTED_VALUE"""),"%")</f>
        <v>%</v>
      </c>
      <c r="M789" s="36">
        <f>IFERROR(__xludf.DUMMYFUNCTION("""COMPUTED_VALUE"""),1.0)</f>
        <v>1</v>
      </c>
      <c r="N789" s="37" t="str">
        <f>IFERROR(__xludf.DUMMYFUNCTION("""COMPUTED_VALUE"""),"A201")</f>
        <v>A201</v>
      </c>
      <c r="O789" s="38" t="str">
        <f>IFERROR(__xludf.DUMMYFUNCTION("""COMPUTED_VALUE"""),"")</f>
        <v/>
      </c>
      <c r="P789" s="34">
        <f>IFERROR(__xludf.DUMMYFUNCTION("""COMPUTED_VALUE"""),186.36824818145865)</f>
        <v>186.3682482</v>
      </c>
      <c r="Q789" s="35" t="str">
        <f>IFERROR(__xludf.DUMMYFUNCTION("""COMPUTED_VALUE"""),"AP")</f>
        <v>AP</v>
      </c>
      <c r="R789" s="34">
        <f>IFERROR(__xludf.DUMMYFUNCTION("""COMPUTED_VALUE"""),16.097162629757783)</f>
        <v>16.09716263</v>
      </c>
      <c r="S789" s="35" t="str">
        <f>IFERROR(__xludf.DUMMYFUNCTION("""COMPUTED_VALUE"""),"%")</f>
        <v>%</v>
      </c>
      <c r="T789" s="36">
        <f>IFERROR(__xludf.DUMMYFUNCTION("""COMPUTED_VALUE"""),2.0)</f>
        <v>2</v>
      </c>
      <c r="U789" s="37" t="str">
        <f>IFERROR(__xludf.DUMMYFUNCTION("""COMPUTED_VALUE"""),"A202")</f>
        <v>A202</v>
      </c>
      <c r="V789" s="38" t="str">
        <f>IFERROR(__xludf.DUMMYFUNCTION("""COMPUTED_VALUE"""),"")</f>
        <v/>
      </c>
      <c r="W789" s="34">
        <f>IFERROR(__xludf.DUMMYFUNCTION("""COMPUTED_VALUE"""),177.19263107554087)</f>
        <v>177.1926311</v>
      </c>
      <c r="X789" s="35" t="str">
        <f>IFERROR(__xludf.DUMMYFUNCTION("""COMPUTED_VALUE"""),"AP")</f>
        <v>AP</v>
      </c>
      <c r="Y789" s="34">
        <f>IFERROR(__xludf.DUMMYFUNCTION("""COMPUTED_VALUE"""),16.930726643598618)</f>
        <v>16.93072664</v>
      </c>
      <c r="Z789" s="35" t="str">
        <f>IFERROR(__xludf.DUMMYFUNCTION("""COMPUTED_VALUE"""),"%")</f>
        <v>%</v>
      </c>
      <c r="AA789" s="36">
        <f>IFERROR(__xludf.DUMMYFUNCTION("""COMPUTED_VALUE"""),3.0)</f>
        <v>3</v>
      </c>
      <c r="AB789" s="37" t="str">
        <f>IFERROR(__xludf.DUMMYFUNCTION("""COMPUTED_VALUE"""),"A206")</f>
        <v>A206</v>
      </c>
      <c r="AC789" s="38" t="str">
        <f>IFERROR(__xludf.DUMMYFUNCTION("""COMPUTED_VALUE"""),"")</f>
        <v/>
      </c>
      <c r="AD789" s="34">
        <f>IFERROR(__xludf.DUMMYFUNCTION("""COMPUTED_VALUE"""),185.07370928698592)</f>
        <v>185.0737093</v>
      </c>
      <c r="AE789" s="35" t="str">
        <f>IFERROR(__xludf.DUMMYFUNCTION("""COMPUTED_VALUE"""),"AP")</f>
        <v>AP</v>
      </c>
      <c r="AF789" s="34">
        <f>IFERROR(__xludf.DUMMYFUNCTION("""COMPUTED_VALUE"""),16.20975778546713)</f>
        <v>16.20975779</v>
      </c>
      <c r="AG789" s="35" t="str">
        <f>IFERROR(__xludf.DUMMYFUNCTION("""COMPUTED_VALUE"""),"%")</f>
        <v>%</v>
      </c>
      <c r="AH789" s="31">
        <f>IFERROR(__xludf.DUMMYFUNCTION("""COMPUTED_VALUE"""),30.0)</f>
        <v>30</v>
      </c>
      <c r="AI789" s="32">
        <f>IFERROR(__xludf.DUMMYFUNCTION("""COMPUTED_VALUE"""),1445.0)</f>
        <v>1445</v>
      </c>
      <c r="AJ789" s="30" t="str">
        <f>IFERROR(__xludf.DUMMYFUNCTION("""COMPUTED_VALUE"""),"SAT Assassin Training Ground- Adv")</f>
        <v>SAT Assassin Training Ground- Adv</v>
      </c>
    </row>
    <row r="790" ht="24.75" customHeight="1">
      <c r="A790" s="40">
        <f>IFERROR(__xludf.DUMMYFUNCTION("""COMPUTED_VALUE"""),6.0)</f>
        <v>6</v>
      </c>
      <c r="B790" s="40" t="str">
        <f>IFERROR(__xludf.DUMMYFUNCTION("""COMPUTED_VALUE"""),"A107")</f>
        <v>A107</v>
      </c>
      <c r="C790" s="40"/>
      <c r="D790" s="41"/>
      <c r="E790" s="66"/>
      <c r="F790" s="43"/>
      <c r="G790" s="44"/>
      <c r="H790" s="33" t="str">
        <f>IFERROR(__xludf.DUMMYFUNCTION("""COMPUTED_VALUE""")," ")</f>
        <v> </v>
      </c>
      <c r="I790" s="45"/>
      <c r="J790" s="46" t="str">
        <f>IFERROR(__xludf.DUMMYFUNCTION("""COMPUTED_VALUE"""),"AP")</f>
        <v>AP</v>
      </c>
      <c r="K790" s="47"/>
      <c r="L790" s="48" t="str">
        <f>IFERROR(__xludf.DUMMYFUNCTION("""COMPUTED_VALUE"""),"%")</f>
        <v>%</v>
      </c>
      <c r="M790" s="49">
        <f>IFERROR(__xludf.DUMMYFUNCTION("""COMPUTED_VALUE"""),1.0)</f>
        <v>1</v>
      </c>
      <c r="N790" s="50"/>
      <c r="O790" s="38"/>
      <c r="P790" s="45" t="str">
        <f>IFERROR(__xludf.DUMMYFUNCTION("""COMPUTED_VALUE"""),"")</f>
        <v/>
      </c>
      <c r="Q790" s="46" t="str">
        <f>IFERROR(__xludf.DUMMYFUNCTION("""COMPUTED_VALUE"""),"AP")</f>
        <v>AP</v>
      </c>
      <c r="R790" s="47" t="str">
        <f>IFERROR(__xludf.DUMMYFUNCTION("""COMPUTED_VALUE"""),"")</f>
        <v/>
      </c>
      <c r="S790" s="48" t="str">
        <f>IFERROR(__xludf.DUMMYFUNCTION("""COMPUTED_VALUE"""),"%")</f>
        <v>%</v>
      </c>
      <c r="T790" s="49">
        <f>IFERROR(__xludf.DUMMYFUNCTION("""COMPUTED_VALUE"""),2.0)</f>
        <v>2</v>
      </c>
      <c r="U790" s="50"/>
      <c r="V790" s="38"/>
      <c r="W790" s="45" t="str">
        <f>IFERROR(__xludf.DUMMYFUNCTION("""COMPUTED_VALUE"""),"")</f>
        <v/>
      </c>
      <c r="X790" s="46" t="str">
        <f>IFERROR(__xludf.DUMMYFUNCTION("""COMPUTED_VALUE"""),"AP")</f>
        <v>AP</v>
      </c>
      <c r="Y790" s="47" t="str">
        <f>IFERROR(__xludf.DUMMYFUNCTION("""COMPUTED_VALUE"""),"")</f>
        <v/>
      </c>
      <c r="Z790" s="48" t="str">
        <f>IFERROR(__xludf.DUMMYFUNCTION("""COMPUTED_VALUE"""),"%")</f>
        <v>%</v>
      </c>
      <c r="AA790" s="49">
        <f>IFERROR(__xludf.DUMMYFUNCTION("""COMPUTED_VALUE"""),3.0)</f>
        <v>3</v>
      </c>
      <c r="AB790" s="50"/>
      <c r="AC790" s="38"/>
      <c r="AD790" s="45" t="str">
        <f>IFERROR(__xludf.DUMMYFUNCTION("""COMPUTED_VALUE"""),"")</f>
        <v/>
      </c>
      <c r="AE790" s="46" t="str">
        <f>IFERROR(__xludf.DUMMYFUNCTION("""COMPUTED_VALUE"""),"AP")</f>
        <v>AP</v>
      </c>
      <c r="AF790" s="47" t="str">
        <f>IFERROR(__xludf.DUMMYFUNCTION("""COMPUTED_VALUE"""),"")</f>
        <v/>
      </c>
      <c r="AG790" s="48" t="str">
        <f>IFERROR(__xludf.DUMMYFUNCTION("""COMPUTED_VALUE"""),"%")</f>
        <v>%</v>
      </c>
      <c r="AH790" s="43"/>
      <c r="AI790" s="44"/>
      <c r="AJ790" s="66"/>
    </row>
    <row r="791" ht="24.75" hidden="1" customHeight="1">
      <c r="A791" s="28">
        <f>IFERROR(__xludf.DUMMYFUNCTION("""COMPUTED_VALUE"""),7.0)</f>
        <v>7</v>
      </c>
      <c r="B791" s="28" t="str">
        <f>IFERROR(__xludf.DUMMYFUNCTION("""COMPUTED_VALUE"""),"A107")</f>
        <v>A107</v>
      </c>
      <c r="C791" s="28"/>
      <c r="D791" s="29"/>
      <c r="E791" s="67"/>
      <c r="F791" s="31"/>
      <c r="G791" s="32"/>
      <c r="H791" s="33" t="str">
        <f>IFERROR(__xludf.DUMMYFUNCTION("""COMPUTED_VALUE""")," ")</f>
        <v> </v>
      </c>
      <c r="I791" s="34"/>
      <c r="J791" s="35" t="str">
        <f>IFERROR(__xludf.DUMMYFUNCTION("""COMPUTED_VALUE"""),"AP")</f>
        <v>AP</v>
      </c>
      <c r="K791" s="34"/>
      <c r="L791" s="35" t="str">
        <f>IFERROR(__xludf.DUMMYFUNCTION("""COMPUTED_VALUE"""),"%")</f>
        <v>%</v>
      </c>
      <c r="M791" s="36">
        <f>IFERROR(__xludf.DUMMYFUNCTION("""COMPUTED_VALUE"""),1.0)</f>
        <v>1</v>
      </c>
      <c r="N791" s="37"/>
      <c r="O791" s="38"/>
      <c r="P791" s="34" t="str">
        <f>IFERROR(__xludf.DUMMYFUNCTION("""COMPUTED_VALUE"""),"")</f>
        <v/>
      </c>
      <c r="Q791" s="35" t="str">
        <f>IFERROR(__xludf.DUMMYFUNCTION("""COMPUTED_VALUE"""),"AP")</f>
        <v>AP</v>
      </c>
      <c r="R791" s="34" t="str">
        <f>IFERROR(__xludf.DUMMYFUNCTION("""COMPUTED_VALUE"""),"")</f>
        <v/>
      </c>
      <c r="S791" s="35" t="str">
        <f>IFERROR(__xludf.DUMMYFUNCTION("""COMPUTED_VALUE"""),"%")</f>
        <v>%</v>
      </c>
      <c r="T791" s="36">
        <f>IFERROR(__xludf.DUMMYFUNCTION("""COMPUTED_VALUE"""),2.0)</f>
        <v>2</v>
      </c>
      <c r="U791" s="37"/>
      <c r="V791" s="38"/>
      <c r="W791" s="34" t="str">
        <f>IFERROR(__xludf.DUMMYFUNCTION("""COMPUTED_VALUE"""),"")</f>
        <v/>
      </c>
      <c r="X791" s="35" t="str">
        <f>IFERROR(__xludf.DUMMYFUNCTION("""COMPUTED_VALUE"""),"AP")</f>
        <v>AP</v>
      </c>
      <c r="Y791" s="34" t="str">
        <f>IFERROR(__xludf.DUMMYFUNCTION("""COMPUTED_VALUE"""),"")</f>
        <v/>
      </c>
      <c r="Z791" s="35" t="str">
        <f>IFERROR(__xludf.DUMMYFUNCTION("""COMPUTED_VALUE"""),"%")</f>
        <v>%</v>
      </c>
      <c r="AA791" s="36">
        <f>IFERROR(__xludf.DUMMYFUNCTION("""COMPUTED_VALUE"""),3.0)</f>
        <v>3</v>
      </c>
      <c r="AB791" s="37"/>
      <c r="AC791" s="38"/>
      <c r="AD791" s="34" t="str">
        <f>IFERROR(__xludf.DUMMYFUNCTION("""COMPUTED_VALUE"""),"")</f>
        <v/>
      </c>
      <c r="AE791" s="35" t="str">
        <f>IFERROR(__xludf.DUMMYFUNCTION("""COMPUTED_VALUE"""),"AP")</f>
        <v>AP</v>
      </c>
      <c r="AF791" s="34" t="str">
        <f>IFERROR(__xludf.DUMMYFUNCTION("""COMPUTED_VALUE"""),"")</f>
        <v/>
      </c>
      <c r="AG791" s="35" t="str">
        <f>IFERROR(__xludf.DUMMYFUNCTION("""COMPUTED_VALUE"""),"%")</f>
        <v>%</v>
      </c>
      <c r="AH791" s="31"/>
      <c r="AI791" s="32"/>
      <c r="AJ791" s="67"/>
    </row>
    <row r="792" ht="24.75" hidden="1" customHeight="1">
      <c r="A792" s="40">
        <f>IFERROR(__xludf.DUMMYFUNCTION("""COMPUTED_VALUE"""),8.0)</f>
        <v>8</v>
      </c>
      <c r="B792" s="40" t="str">
        <f>IFERROR(__xludf.DUMMYFUNCTION("""COMPUTED_VALUE"""),"A107")</f>
        <v>A107</v>
      </c>
      <c r="C792" s="40"/>
      <c r="D792" s="41"/>
      <c r="E792" s="66"/>
      <c r="F792" s="43"/>
      <c r="G792" s="44"/>
      <c r="H792" s="33" t="str">
        <f>IFERROR(__xludf.DUMMYFUNCTION("""COMPUTED_VALUE""")," ")</f>
        <v> </v>
      </c>
      <c r="I792" s="45"/>
      <c r="J792" s="46" t="str">
        <f>IFERROR(__xludf.DUMMYFUNCTION("""COMPUTED_VALUE"""),"AP")</f>
        <v>AP</v>
      </c>
      <c r="K792" s="47"/>
      <c r="L792" s="48" t="str">
        <f>IFERROR(__xludf.DUMMYFUNCTION("""COMPUTED_VALUE"""),"%")</f>
        <v>%</v>
      </c>
      <c r="M792" s="49">
        <f>IFERROR(__xludf.DUMMYFUNCTION("""COMPUTED_VALUE"""),1.0)</f>
        <v>1</v>
      </c>
      <c r="N792" s="50"/>
      <c r="O792" s="38"/>
      <c r="P792" s="45" t="str">
        <f>IFERROR(__xludf.DUMMYFUNCTION("""COMPUTED_VALUE"""),"")</f>
        <v/>
      </c>
      <c r="Q792" s="46" t="str">
        <f>IFERROR(__xludf.DUMMYFUNCTION("""COMPUTED_VALUE"""),"AP")</f>
        <v>AP</v>
      </c>
      <c r="R792" s="47" t="str">
        <f>IFERROR(__xludf.DUMMYFUNCTION("""COMPUTED_VALUE"""),"")</f>
        <v/>
      </c>
      <c r="S792" s="48" t="str">
        <f>IFERROR(__xludf.DUMMYFUNCTION("""COMPUTED_VALUE"""),"%")</f>
        <v>%</v>
      </c>
      <c r="T792" s="49">
        <f>IFERROR(__xludf.DUMMYFUNCTION("""COMPUTED_VALUE"""),2.0)</f>
        <v>2</v>
      </c>
      <c r="U792" s="50"/>
      <c r="V792" s="38"/>
      <c r="W792" s="45" t="str">
        <f>IFERROR(__xludf.DUMMYFUNCTION("""COMPUTED_VALUE"""),"")</f>
        <v/>
      </c>
      <c r="X792" s="46" t="str">
        <f>IFERROR(__xludf.DUMMYFUNCTION("""COMPUTED_VALUE"""),"AP")</f>
        <v>AP</v>
      </c>
      <c r="Y792" s="47" t="str">
        <f>IFERROR(__xludf.DUMMYFUNCTION("""COMPUTED_VALUE"""),"")</f>
        <v/>
      </c>
      <c r="Z792" s="48" t="str">
        <f>IFERROR(__xludf.DUMMYFUNCTION("""COMPUTED_VALUE"""),"%")</f>
        <v>%</v>
      </c>
      <c r="AA792" s="49">
        <f>IFERROR(__xludf.DUMMYFUNCTION("""COMPUTED_VALUE"""),3.0)</f>
        <v>3</v>
      </c>
      <c r="AB792" s="50"/>
      <c r="AC792" s="38"/>
      <c r="AD792" s="45" t="str">
        <f>IFERROR(__xludf.DUMMYFUNCTION("""COMPUTED_VALUE"""),"")</f>
        <v/>
      </c>
      <c r="AE792" s="46" t="str">
        <f>IFERROR(__xludf.DUMMYFUNCTION("""COMPUTED_VALUE"""),"AP")</f>
        <v>AP</v>
      </c>
      <c r="AF792" s="47" t="str">
        <f>IFERROR(__xludf.DUMMYFUNCTION("""COMPUTED_VALUE"""),"")</f>
        <v/>
      </c>
      <c r="AG792" s="48" t="str">
        <f>IFERROR(__xludf.DUMMYFUNCTION("""COMPUTED_VALUE"""),"%")</f>
        <v>%</v>
      </c>
      <c r="AH792" s="43"/>
      <c r="AI792" s="44"/>
      <c r="AJ792" s="66"/>
    </row>
    <row r="793" ht="24.75" hidden="1" customHeight="1">
      <c r="A793" s="28">
        <f>IFERROR(__xludf.DUMMYFUNCTION("""COMPUTED_VALUE"""),9.0)</f>
        <v>9</v>
      </c>
      <c r="B793" s="28" t="str">
        <f>IFERROR(__xludf.DUMMYFUNCTION("""COMPUTED_VALUE"""),"A107")</f>
        <v>A107</v>
      </c>
      <c r="C793" s="28"/>
      <c r="D793" s="29"/>
      <c r="E793" s="67"/>
      <c r="F793" s="31"/>
      <c r="G793" s="32"/>
      <c r="H793" s="33" t="str">
        <f>IFERROR(__xludf.DUMMYFUNCTION("""COMPUTED_VALUE""")," ")</f>
        <v> </v>
      </c>
      <c r="I793" s="34"/>
      <c r="J793" s="35" t="str">
        <f>IFERROR(__xludf.DUMMYFUNCTION("""COMPUTED_VALUE"""),"AP")</f>
        <v>AP</v>
      </c>
      <c r="K793" s="34"/>
      <c r="L793" s="35" t="str">
        <f>IFERROR(__xludf.DUMMYFUNCTION("""COMPUTED_VALUE"""),"%")</f>
        <v>%</v>
      </c>
      <c r="M793" s="36">
        <f>IFERROR(__xludf.DUMMYFUNCTION("""COMPUTED_VALUE"""),1.0)</f>
        <v>1</v>
      </c>
      <c r="N793" s="37"/>
      <c r="O793" s="38"/>
      <c r="P793" s="34" t="str">
        <f>IFERROR(__xludf.DUMMYFUNCTION("""COMPUTED_VALUE"""),"")</f>
        <v/>
      </c>
      <c r="Q793" s="35" t="str">
        <f>IFERROR(__xludf.DUMMYFUNCTION("""COMPUTED_VALUE"""),"AP")</f>
        <v>AP</v>
      </c>
      <c r="R793" s="34" t="str">
        <f>IFERROR(__xludf.DUMMYFUNCTION("""COMPUTED_VALUE"""),"")</f>
        <v/>
      </c>
      <c r="S793" s="35" t="str">
        <f>IFERROR(__xludf.DUMMYFUNCTION("""COMPUTED_VALUE"""),"%")</f>
        <v>%</v>
      </c>
      <c r="T793" s="36">
        <f>IFERROR(__xludf.DUMMYFUNCTION("""COMPUTED_VALUE"""),2.0)</f>
        <v>2</v>
      </c>
      <c r="U793" s="37"/>
      <c r="V793" s="38"/>
      <c r="W793" s="34" t="str">
        <f>IFERROR(__xludf.DUMMYFUNCTION("""COMPUTED_VALUE"""),"")</f>
        <v/>
      </c>
      <c r="X793" s="35" t="str">
        <f>IFERROR(__xludf.DUMMYFUNCTION("""COMPUTED_VALUE"""),"AP")</f>
        <v>AP</v>
      </c>
      <c r="Y793" s="34" t="str">
        <f>IFERROR(__xludf.DUMMYFUNCTION("""COMPUTED_VALUE"""),"")</f>
        <v/>
      </c>
      <c r="Z793" s="35" t="str">
        <f>IFERROR(__xludf.DUMMYFUNCTION("""COMPUTED_VALUE"""),"%")</f>
        <v>%</v>
      </c>
      <c r="AA793" s="36">
        <f>IFERROR(__xludf.DUMMYFUNCTION("""COMPUTED_VALUE"""),3.0)</f>
        <v>3</v>
      </c>
      <c r="AB793" s="37"/>
      <c r="AC793" s="38"/>
      <c r="AD793" s="34" t="str">
        <f>IFERROR(__xludf.DUMMYFUNCTION("""COMPUTED_VALUE"""),"")</f>
        <v/>
      </c>
      <c r="AE793" s="35" t="str">
        <f>IFERROR(__xludf.DUMMYFUNCTION("""COMPUTED_VALUE"""),"AP")</f>
        <v>AP</v>
      </c>
      <c r="AF793" s="34" t="str">
        <f>IFERROR(__xludf.DUMMYFUNCTION("""COMPUTED_VALUE"""),"")</f>
        <v/>
      </c>
      <c r="AG793" s="35" t="str">
        <f>IFERROR(__xludf.DUMMYFUNCTION("""COMPUTED_VALUE"""),"%")</f>
        <v>%</v>
      </c>
      <c r="AH793" s="31"/>
      <c r="AI793" s="32"/>
      <c r="AJ793" s="67"/>
    </row>
    <row r="794" ht="24.75" hidden="1" customHeight="1">
      <c r="A794" s="40">
        <f>IFERROR(__xludf.DUMMYFUNCTION("""COMPUTED_VALUE"""),10.0)</f>
        <v>10</v>
      </c>
      <c r="B794" s="40" t="str">
        <f>IFERROR(__xludf.DUMMYFUNCTION("""COMPUTED_VALUE"""),"A107")</f>
        <v>A107</v>
      </c>
      <c r="C794" s="40"/>
      <c r="D794" s="41"/>
      <c r="E794" s="66"/>
      <c r="F794" s="43"/>
      <c r="G794" s="44"/>
      <c r="H794" s="33" t="str">
        <f>IFERROR(__xludf.DUMMYFUNCTION("""COMPUTED_VALUE""")," ")</f>
        <v> </v>
      </c>
      <c r="I794" s="45"/>
      <c r="J794" s="46" t="str">
        <f>IFERROR(__xludf.DUMMYFUNCTION("""COMPUTED_VALUE"""),"AP")</f>
        <v>AP</v>
      </c>
      <c r="K794" s="47"/>
      <c r="L794" s="48" t="str">
        <f>IFERROR(__xludf.DUMMYFUNCTION("""COMPUTED_VALUE"""),"%")</f>
        <v>%</v>
      </c>
      <c r="M794" s="49">
        <f>IFERROR(__xludf.DUMMYFUNCTION("""COMPUTED_VALUE"""),1.0)</f>
        <v>1</v>
      </c>
      <c r="N794" s="50"/>
      <c r="O794" s="38"/>
      <c r="P794" s="45" t="str">
        <f>IFERROR(__xludf.DUMMYFUNCTION("""COMPUTED_VALUE"""),"")</f>
        <v/>
      </c>
      <c r="Q794" s="46" t="str">
        <f>IFERROR(__xludf.DUMMYFUNCTION("""COMPUTED_VALUE"""),"AP")</f>
        <v>AP</v>
      </c>
      <c r="R794" s="47" t="str">
        <f>IFERROR(__xludf.DUMMYFUNCTION("""COMPUTED_VALUE"""),"")</f>
        <v/>
      </c>
      <c r="S794" s="48" t="str">
        <f>IFERROR(__xludf.DUMMYFUNCTION("""COMPUTED_VALUE"""),"%")</f>
        <v>%</v>
      </c>
      <c r="T794" s="49">
        <f>IFERROR(__xludf.DUMMYFUNCTION("""COMPUTED_VALUE"""),2.0)</f>
        <v>2</v>
      </c>
      <c r="U794" s="50"/>
      <c r="V794" s="38"/>
      <c r="W794" s="45" t="str">
        <f>IFERROR(__xludf.DUMMYFUNCTION("""COMPUTED_VALUE"""),"")</f>
        <v/>
      </c>
      <c r="X794" s="46" t="str">
        <f>IFERROR(__xludf.DUMMYFUNCTION("""COMPUTED_VALUE"""),"AP")</f>
        <v>AP</v>
      </c>
      <c r="Y794" s="47" t="str">
        <f>IFERROR(__xludf.DUMMYFUNCTION("""COMPUTED_VALUE"""),"")</f>
        <v/>
      </c>
      <c r="Z794" s="48" t="str">
        <f>IFERROR(__xludf.DUMMYFUNCTION("""COMPUTED_VALUE"""),"%")</f>
        <v>%</v>
      </c>
      <c r="AA794" s="49">
        <f>IFERROR(__xludf.DUMMYFUNCTION("""COMPUTED_VALUE"""),3.0)</f>
        <v>3</v>
      </c>
      <c r="AB794" s="50"/>
      <c r="AC794" s="38"/>
      <c r="AD794" s="45" t="str">
        <f>IFERROR(__xludf.DUMMYFUNCTION("""COMPUTED_VALUE"""),"")</f>
        <v/>
      </c>
      <c r="AE794" s="46" t="str">
        <f>IFERROR(__xludf.DUMMYFUNCTION("""COMPUTED_VALUE"""),"AP")</f>
        <v>AP</v>
      </c>
      <c r="AF794" s="47" t="str">
        <f>IFERROR(__xludf.DUMMYFUNCTION("""COMPUTED_VALUE"""),"")</f>
        <v/>
      </c>
      <c r="AG794" s="48" t="str">
        <f>IFERROR(__xludf.DUMMYFUNCTION("""COMPUTED_VALUE"""),"%")</f>
        <v>%</v>
      </c>
      <c r="AH794" s="43"/>
      <c r="AI794" s="44"/>
      <c r="AJ794" s="66"/>
    </row>
    <row r="795" ht="24.75" hidden="1" customHeight="1">
      <c r="A795" s="28">
        <f>IFERROR(__xludf.DUMMYFUNCTION("""COMPUTED_VALUE"""),11.0)</f>
        <v>11</v>
      </c>
      <c r="B795" s="28" t="str">
        <f>IFERROR(__xludf.DUMMYFUNCTION("""COMPUTED_VALUE"""),"A107")</f>
        <v>A107</v>
      </c>
      <c r="C795" s="28"/>
      <c r="D795" s="29"/>
      <c r="E795" s="67"/>
      <c r="F795" s="31"/>
      <c r="G795" s="32"/>
      <c r="H795" s="33" t="str">
        <f>IFERROR(__xludf.DUMMYFUNCTION("""COMPUTED_VALUE""")," ")</f>
        <v> </v>
      </c>
      <c r="I795" s="34"/>
      <c r="J795" s="35" t="str">
        <f>IFERROR(__xludf.DUMMYFUNCTION("""COMPUTED_VALUE"""),"AP")</f>
        <v>AP</v>
      </c>
      <c r="K795" s="34"/>
      <c r="L795" s="35" t="str">
        <f>IFERROR(__xludf.DUMMYFUNCTION("""COMPUTED_VALUE"""),"%")</f>
        <v>%</v>
      </c>
      <c r="M795" s="36">
        <f>IFERROR(__xludf.DUMMYFUNCTION("""COMPUTED_VALUE"""),1.0)</f>
        <v>1</v>
      </c>
      <c r="N795" s="37"/>
      <c r="O795" s="38"/>
      <c r="P795" s="34" t="str">
        <f>IFERROR(__xludf.DUMMYFUNCTION("""COMPUTED_VALUE"""),"")</f>
        <v/>
      </c>
      <c r="Q795" s="35" t="str">
        <f>IFERROR(__xludf.DUMMYFUNCTION("""COMPUTED_VALUE"""),"AP")</f>
        <v>AP</v>
      </c>
      <c r="R795" s="34" t="str">
        <f>IFERROR(__xludf.DUMMYFUNCTION("""COMPUTED_VALUE"""),"")</f>
        <v/>
      </c>
      <c r="S795" s="35" t="str">
        <f>IFERROR(__xludf.DUMMYFUNCTION("""COMPUTED_VALUE"""),"%")</f>
        <v>%</v>
      </c>
      <c r="T795" s="36">
        <f>IFERROR(__xludf.DUMMYFUNCTION("""COMPUTED_VALUE"""),2.0)</f>
        <v>2</v>
      </c>
      <c r="U795" s="37"/>
      <c r="V795" s="38"/>
      <c r="W795" s="34" t="str">
        <f>IFERROR(__xludf.DUMMYFUNCTION("""COMPUTED_VALUE"""),"")</f>
        <v/>
      </c>
      <c r="X795" s="35" t="str">
        <f>IFERROR(__xludf.DUMMYFUNCTION("""COMPUTED_VALUE"""),"AP")</f>
        <v>AP</v>
      </c>
      <c r="Y795" s="34" t="str">
        <f>IFERROR(__xludf.DUMMYFUNCTION("""COMPUTED_VALUE"""),"")</f>
        <v/>
      </c>
      <c r="Z795" s="35" t="str">
        <f>IFERROR(__xludf.DUMMYFUNCTION("""COMPUTED_VALUE"""),"%")</f>
        <v>%</v>
      </c>
      <c r="AA795" s="36">
        <f>IFERROR(__xludf.DUMMYFUNCTION("""COMPUTED_VALUE"""),3.0)</f>
        <v>3</v>
      </c>
      <c r="AB795" s="37"/>
      <c r="AC795" s="38"/>
      <c r="AD795" s="34" t="str">
        <f>IFERROR(__xludf.DUMMYFUNCTION("""COMPUTED_VALUE"""),"")</f>
        <v/>
      </c>
      <c r="AE795" s="35" t="str">
        <f>IFERROR(__xludf.DUMMYFUNCTION("""COMPUTED_VALUE"""),"AP")</f>
        <v>AP</v>
      </c>
      <c r="AF795" s="34" t="str">
        <f>IFERROR(__xludf.DUMMYFUNCTION("""COMPUTED_VALUE"""),"")</f>
        <v/>
      </c>
      <c r="AG795" s="35" t="str">
        <f>IFERROR(__xludf.DUMMYFUNCTION("""COMPUTED_VALUE"""),"%")</f>
        <v>%</v>
      </c>
      <c r="AH795" s="31"/>
      <c r="AI795" s="32"/>
      <c r="AJ795" s="67"/>
    </row>
    <row r="796" ht="24.75" hidden="1" customHeight="1">
      <c r="A796" s="40">
        <f>IFERROR(__xludf.DUMMYFUNCTION("""COMPUTED_VALUE"""),12.0)</f>
        <v>12</v>
      </c>
      <c r="B796" s="40" t="str">
        <f>IFERROR(__xludf.DUMMYFUNCTION("""COMPUTED_VALUE"""),"A107")</f>
        <v>A107</v>
      </c>
      <c r="C796" s="40"/>
      <c r="D796" s="41"/>
      <c r="E796" s="66"/>
      <c r="F796" s="43"/>
      <c r="G796" s="44"/>
      <c r="H796" s="33" t="str">
        <f>IFERROR(__xludf.DUMMYFUNCTION("""COMPUTED_VALUE""")," ")</f>
        <v> </v>
      </c>
      <c r="I796" s="45"/>
      <c r="J796" s="46" t="str">
        <f>IFERROR(__xludf.DUMMYFUNCTION("""COMPUTED_VALUE"""),"AP")</f>
        <v>AP</v>
      </c>
      <c r="K796" s="47"/>
      <c r="L796" s="48" t="str">
        <f>IFERROR(__xludf.DUMMYFUNCTION("""COMPUTED_VALUE"""),"%")</f>
        <v>%</v>
      </c>
      <c r="M796" s="49">
        <f>IFERROR(__xludf.DUMMYFUNCTION("""COMPUTED_VALUE"""),1.0)</f>
        <v>1</v>
      </c>
      <c r="N796" s="50"/>
      <c r="O796" s="38"/>
      <c r="P796" s="45" t="str">
        <f>IFERROR(__xludf.DUMMYFUNCTION("""COMPUTED_VALUE"""),"")</f>
        <v/>
      </c>
      <c r="Q796" s="46" t="str">
        <f>IFERROR(__xludf.DUMMYFUNCTION("""COMPUTED_VALUE"""),"AP")</f>
        <v>AP</v>
      </c>
      <c r="R796" s="47" t="str">
        <f>IFERROR(__xludf.DUMMYFUNCTION("""COMPUTED_VALUE"""),"")</f>
        <v/>
      </c>
      <c r="S796" s="48" t="str">
        <f>IFERROR(__xludf.DUMMYFUNCTION("""COMPUTED_VALUE"""),"%")</f>
        <v>%</v>
      </c>
      <c r="T796" s="49">
        <f>IFERROR(__xludf.DUMMYFUNCTION("""COMPUTED_VALUE"""),2.0)</f>
        <v>2</v>
      </c>
      <c r="U796" s="50"/>
      <c r="V796" s="38"/>
      <c r="W796" s="45" t="str">
        <f>IFERROR(__xludf.DUMMYFUNCTION("""COMPUTED_VALUE"""),"")</f>
        <v/>
      </c>
      <c r="X796" s="46" t="str">
        <f>IFERROR(__xludf.DUMMYFUNCTION("""COMPUTED_VALUE"""),"AP")</f>
        <v>AP</v>
      </c>
      <c r="Y796" s="47" t="str">
        <f>IFERROR(__xludf.DUMMYFUNCTION("""COMPUTED_VALUE"""),"")</f>
        <v/>
      </c>
      <c r="Z796" s="48" t="str">
        <f>IFERROR(__xludf.DUMMYFUNCTION("""COMPUTED_VALUE"""),"%")</f>
        <v>%</v>
      </c>
      <c r="AA796" s="49">
        <f>IFERROR(__xludf.DUMMYFUNCTION("""COMPUTED_VALUE"""),3.0)</f>
        <v>3</v>
      </c>
      <c r="AB796" s="50"/>
      <c r="AC796" s="38"/>
      <c r="AD796" s="45" t="str">
        <f>IFERROR(__xludf.DUMMYFUNCTION("""COMPUTED_VALUE"""),"")</f>
        <v/>
      </c>
      <c r="AE796" s="46" t="str">
        <f>IFERROR(__xludf.DUMMYFUNCTION("""COMPUTED_VALUE"""),"AP")</f>
        <v>AP</v>
      </c>
      <c r="AF796" s="47" t="str">
        <f>IFERROR(__xludf.DUMMYFUNCTION("""COMPUTED_VALUE"""),"")</f>
        <v/>
      </c>
      <c r="AG796" s="48" t="str">
        <f>IFERROR(__xludf.DUMMYFUNCTION("""COMPUTED_VALUE"""),"%")</f>
        <v>%</v>
      </c>
      <c r="AH796" s="43"/>
      <c r="AI796" s="44"/>
      <c r="AJ796" s="66"/>
    </row>
    <row r="797" ht="24.75" hidden="1" customHeight="1">
      <c r="A797" s="28">
        <f>IFERROR(__xludf.DUMMYFUNCTION("""COMPUTED_VALUE"""),13.0)</f>
        <v>13</v>
      </c>
      <c r="B797" s="28" t="str">
        <f>IFERROR(__xludf.DUMMYFUNCTION("""COMPUTED_VALUE"""),"A107")</f>
        <v>A107</v>
      </c>
      <c r="C797" s="28"/>
      <c r="D797" s="29"/>
      <c r="E797" s="67"/>
      <c r="F797" s="31"/>
      <c r="G797" s="32"/>
      <c r="H797" s="33" t="str">
        <f>IFERROR(__xludf.DUMMYFUNCTION("""COMPUTED_VALUE""")," ")</f>
        <v> </v>
      </c>
      <c r="I797" s="34"/>
      <c r="J797" s="35" t="str">
        <f>IFERROR(__xludf.DUMMYFUNCTION("""COMPUTED_VALUE"""),"AP")</f>
        <v>AP</v>
      </c>
      <c r="K797" s="34"/>
      <c r="L797" s="35" t="str">
        <f>IFERROR(__xludf.DUMMYFUNCTION("""COMPUTED_VALUE"""),"%")</f>
        <v>%</v>
      </c>
      <c r="M797" s="36">
        <f>IFERROR(__xludf.DUMMYFUNCTION("""COMPUTED_VALUE"""),1.0)</f>
        <v>1</v>
      </c>
      <c r="N797" s="37"/>
      <c r="O797" s="38"/>
      <c r="P797" s="34" t="str">
        <f>IFERROR(__xludf.DUMMYFUNCTION("""COMPUTED_VALUE"""),"")</f>
        <v/>
      </c>
      <c r="Q797" s="35" t="str">
        <f>IFERROR(__xludf.DUMMYFUNCTION("""COMPUTED_VALUE"""),"AP")</f>
        <v>AP</v>
      </c>
      <c r="R797" s="34" t="str">
        <f>IFERROR(__xludf.DUMMYFUNCTION("""COMPUTED_VALUE"""),"")</f>
        <v/>
      </c>
      <c r="S797" s="35" t="str">
        <f>IFERROR(__xludf.DUMMYFUNCTION("""COMPUTED_VALUE"""),"%")</f>
        <v>%</v>
      </c>
      <c r="T797" s="36">
        <f>IFERROR(__xludf.DUMMYFUNCTION("""COMPUTED_VALUE"""),2.0)</f>
        <v>2</v>
      </c>
      <c r="U797" s="37"/>
      <c r="V797" s="38"/>
      <c r="W797" s="34" t="str">
        <f>IFERROR(__xludf.DUMMYFUNCTION("""COMPUTED_VALUE"""),"")</f>
        <v/>
      </c>
      <c r="X797" s="35" t="str">
        <f>IFERROR(__xludf.DUMMYFUNCTION("""COMPUTED_VALUE"""),"AP")</f>
        <v>AP</v>
      </c>
      <c r="Y797" s="34" t="str">
        <f>IFERROR(__xludf.DUMMYFUNCTION("""COMPUTED_VALUE"""),"")</f>
        <v/>
      </c>
      <c r="Z797" s="35" t="str">
        <f>IFERROR(__xludf.DUMMYFUNCTION("""COMPUTED_VALUE"""),"%")</f>
        <v>%</v>
      </c>
      <c r="AA797" s="36">
        <f>IFERROR(__xludf.DUMMYFUNCTION("""COMPUTED_VALUE"""),3.0)</f>
        <v>3</v>
      </c>
      <c r="AB797" s="37"/>
      <c r="AC797" s="38"/>
      <c r="AD797" s="34" t="str">
        <f>IFERROR(__xludf.DUMMYFUNCTION("""COMPUTED_VALUE"""),"")</f>
        <v/>
      </c>
      <c r="AE797" s="35" t="str">
        <f>IFERROR(__xludf.DUMMYFUNCTION("""COMPUTED_VALUE"""),"AP")</f>
        <v>AP</v>
      </c>
      <c r="AF797" s="34" t="str">
        <f>IFERROR(__xludf.DUMMYFUNCTION("""COMPUTED_VALUE"""),"")</f>
        <v/>
      </c>
      <c r="AG797" s="35" t="str">
        <f>IFERROR(__xludf.DUMMYFUNCTION("""COMPUTED_VALUE"""),"%")</f>
        <v>%</v>
      </c>
      <c r="AH797" s="31"/>
      <c r="AI797" s="32"/>
      <c r="AJ797" s="67"/>
    </row>
    <row r="798" ht="24.75" hidden="1" customHeight="1">
      <c r="A798" s="40">
        <f>IFERROR(__xludf.DUMMYFUNCTION("""COMPUTED_VALUE"""),14.0)</f>
        <v>14</v>
      </c>
      <c r="B798" s="40" t="str">
        <f>IFERROR(__xludf.DUMMYFUNCTION("""COMPUTED_VALUE"""),"A107")</f>
        <v>A107</v>
      </c>
      <c r="C798" s="40"/>
      <c r="D798" s="41"/>
      <c r="E798" s="66"/>
      <c r="F798" s="43"/>
      <c r="G798" s="44"/>
      <c r="H798" s="33" t="str">
        <f>IFERROR(__xludf.DUMMYFUNCTION("""COMPUTED_VALUE""")," ")</f>
        <v> </v>
      </c>
      <c r="I798" s="45"/>
      <c r="J798" s="46" t="str">
        <f>IFERROR(__xludf.DUMMYFUNCTION("""COMPUTED_VALUE"""),"AP")</f>
        <v>AP</v>
      </c>
      <c r="K798" s="47"/>
      <c r="L798" s="48" t="str">
        <f>IFERROR(__xludf.DUMMYFUNCTION("""COMPUTED_VALUE"""),"%")</f>
        <v>%</v>
      </c>
      <c r="M798" s="49">
        <f>IFERROR(__xludf.DUMMYFUNCTION("""COMPUTED_VALUE"""),1.0)</f>
        <v>1</v>
      </c>
      <c r="N798" s="50"/>
      <c r="O798" s="38"/>
      <c r="P798" s="45" t="str">
        <f>IFERROR(__xludf.DUMMYFUNCTION("""COMPUTED_VALUE"""),"")</f>
        <v/>
      </c>
      <c r="Q798" s="46" t="str">
        <f>IFERROR(__xludf.DUMMYFUNCTION("""COMPUTED_VALUE"""),"AP")</f>
        <v>AP</v>
      </c>
      <c r="R798" s="47" t="str">
        <f>IFERROR(__xludf.DUMMYFUNCTION("""COMPUTED_VALUE"""),"")</f>
        <v/>
      </c>
      <c r="S798" s="48" t="str">
        <f>IFERROR(__xludf.DUMMYFUNCTION("""COMPUTED_VALUE"""),"%")</f>
        <v>%</v>
      </c>
      <c r="T798" s="49">
        <f>IFERROR(__xludf.DUMMYFUNCTION("""COMPUTED_VALUE"""),2.0)</f>
        <v>2</v>
      </c>
      <c r="U798" s="50"/>
      <c r="V798" s="38"/>
      <c r="W798" s="45" t="str">
        <f>IFERROR(__xludf.DUMMYFUNCTION("""COMPUTED_VALUE"""),"")</f>
        <v/>
      </c>
      <c r="X798" s="46" t="str">
        <f>IFERROR(__xludf.DUMMYFUNCTION("""COMPUTED_VALUE"""),"AP")</f>
        <v>AP</v>
      </c>
      <c r="Y798" s="47" t="str">
        <f>IFERROR(__xludf.DUMMYFUNCTION("""COMPUTED_VALUE"""),"")</f>
        <v/>
      </c>
      <c r="Z798" s="48" t="str">
        <f>IFERROR(__xludf.DUMMYFUNCTION("""COMPUTED_VALUE"""),"%")</f>
        <v>%</v>
      </c>
      <c r="AA798" s="49">
        <f>IFERROR(__xludf.DUMMYFUNCTION("""COMPUTED_VALUE"""),3.0)</f>
        <v>3</v>
      </c>
      <c r="AB798" s="50"/>
      <c r="AC798" s="38"/>
      <c r="AD798" s="45" t="str">
        <f>IFERROR(__xludf.DUMMYFUNCTION("""COMPUTED_VALUE"""),"")</f>
        <v/>
      </c>
      <c r="AE798" s="46" t="str">
        <f>IFERROR(__xludf.DUMMYFUNCTION("""COMPUTED_VALUE"""),"AP")</f>
        <v>AP</v>
      </c>
      <c r="AF798" s="47" t="str">
        <f>IFERROR(__xludf.DUMMYFUNCTION("""COMPUTED_VALUE"""),"")</f>
        <v/>
      </c>
      <c r="AG798" s="48" t="str">
        <f>IFERROR(__xludf.DUMMYFUNCTION("""COMPUTED_VALUE"""),"%")</f>
        <v>%</v>
      </c>
      <c r="AH798" s="43"/>
      <c r="AI798" s="44"/>
      <c r="AJ798" s="66"/>
    </row>
    <row r="799" ht="24.75" hidden="1" customHeight="1">
      <c r="A799" s="28">
        <f>IFERROR(__xludf.DUMMYFUNCTION("""COMPUTED_VALUE"""),15.0)</f>
        <v>15</v>
      </c>
      <c r="B799" s="28" t="str">
        <f>IFERROR(__xludf.DUMMYFUNCTION("""COMPUTED_VALUE"""),"A107")</f>
        <v>A107</v>
      </c>
      <c r="C799" s="28"/>
      <c r="D799" s="29"/>
      <c r="E799" s="67"/>
      <c r="F799" s="31"/>
      <c r="G799" s="32"/>
      <c r="H799" s="33" t="str">
        <f>IFERROR(__xludf.DUMMYFUNCTION("""COMPUTED_VALUE""")," ")</f>
        <v> </v>
      </c>
      <c r="I799" s="34"/>
      <c r="J799" s="35" t="str">
        <f>IFERROR(__xludf.DUMMYFUNCTION("""COMPUTED_VALUE"""),"AP")</f>
        <v>AP</v>
      </c>
      <c r="K799" s="34"/>
      <c r="L799" s="35" t="str">
        <f>IFERROR(__xludf.DUMMYFUNCTION("""COMPUTED_VALUE"""),"%")</f>
        <v>%</v>
      </c>
      <c r="M799" s="36">
        <f>IFERROR(__xludf.DUMMYFUNCTION("""COMPUTED_VALUE"""),1.0)</f>
        <v>1</v>
      </c>
      <c r="N799" s="37"/>
      <c r="O799" s="38"/>
      <c r="P799" s="34" t="str">
        <f>IFERROR(__xludf.DUMMYFUNCTION("""COMPUTED_VALUE"""),"")</f>
        <v/>
      </c>
      <c r="Q799" s="35" t="str">
        <f>IFERROR(__xludf.DUMMYFUNCTION("""COMPUTED_VALUE"""),"AP")</f>
        <v>AP</v>
      </c>
      <c r="R799" s="34" t="str">
        <f>IFERROR(__xludf.DUMMYFUNCTION("""COMPUTED_VALUE"""),"")</f>
        <v/>
      </c>
      <c r="S799" s="35" t="str">
        <f>IFERROR(__xludf.DUMMYFUNCTION("""COMPUTED_VALUE"""),"%")</f>
        <v>%</v>
      </c>
      <c r="T799" s="36">
        <f>IFERROR(__xludf.DUMMYFUNCTION("""COMPUTED_VALUE"""),2.0)</f>
        <v>2</v>
      </c>
      <c r="U799" s="37"/>
      <c r="V799" s="38"/>
      <c r="W799" s="34" t="str">
        <f>IFERROR(__xludf.DUMMYFUNCTION("""COMPUTED_VALUE"""),"")</f>
        <v/>
      </c>
      <c r="X799" s="35" t="str">
        <f>IFERROR(__xludf.DUMMYFUNCTION("""COMPUTED_VALUE"""),"AP")</f>
        <v>AP</v>
      </c>
      <c r="Y799" s="34" t="str">
        <f>IFERROR(__xludf.DUMMYFUNCTION("""COMPUTED_VALUE"""),"")</f>
        <v/>
      </c>
      <c r="Z799" s="35" t="str">
        <f>IFERROR(__xludf.DUMMYFUNCTION("""COMPUTED_VALUE"""),"%")</f>
        <v>%</v>
      </c>
      <c r="AA799" s="36">
        <f>IFERROR(__xludf.DUMMYFUNCTION("""COMPUTED_VALUE"""),3.0)</f>
        <v>3</v>
      </c>
      <c r="AB799" s="37"/>
      <c r="AC799" s="38"/>
      <c r="AD799" s="34" t="str">
        <f>IFERROR(__xludf.DUMMYFUNCTION("""COMPUTED_VALUE"""),"")</f>
        <v/>
      </c>
      <c r="AE799" s="35" t="str">
        <f>IFERROR(__xludf.DUMMYFUNCTION("""COMPUTED_VALUE"""),"AP")</f>
        <v>AP</v>
      </c>
      <c r="AF799" s="34" t="str">
        <f>IFERROR(__xludf.DUMMYFUNCTION("""COMPUTED_VALUE"""),"")</f>
        <v/>
      </c>
      <c r="AG799" s="35" t="str">
        <f>IFERROR(__xludf.DUMMYFUNCTION("""COMPUTED_VALUE"""),"%")</f>
        <v>%</v>
      </c>
      <c r="AH799" s="31"/>
      <c r="AI799" s="32"/>
      <c r="AJ799" s="67"/>
    </row>
    <row r="800" ht="24.75" hidden="1" customHeight="1">
      <c r="A800" s="40">
        <f>IFERROR(__xludf.DUMMYFUNCTION("""COMPUTED_VALUE"""),16.0)</f>
        <v>16</v>
      </c>
      <c r="B800" s="40" t="str">
        <f>IFERROR(__xludf.DUMMYFUNCTION("""COMPUTED_VALUE"""),"A107")</f>
        <v>A107</v>
      </c>
      <c r="C800" s="40"/>
      <c r="D800" s="41"/>
      <c r="E800" s="66"/>
      <c r="F800" s="43"/>
      <c r="G800" s="44"/>
      <c r="H800" s="33" t="str">
        <f>IFERROR(__xludf.DUMMYFUNCTION("""COMPUTED_VALUE""")," ")</f>
        <v> </v>
      </c>
      <c r="I800" s="45"/>
      <c r="J800" s="46" t="str">
        <f>IFERROR(__xludf.DUMMYFUNCTION("""COMPUTED_VALUE"""),"AP")</f>
        <v>AP</v>
      </c>
      <c r="K800" s="47"/>
      <c r="L800" s="48" t="str">
        <f>IFERROR(__xludf.DUMMYFUNCTION("""COMPUTED_VALUE"""),"%")</f>
        <v>%</v>
      </c>
      <c r="M800" s="49">
        <f>IFERROR(__xludf.DUMMYFUNCTION("""COMPUTED_VALUE"""),1.0)</f>
        <v>1</v>
      </c>
      <c r="N800" s="50"/>
      <c r="O800" s="38"/>
      <c r="P800" s="45" t="str">
        <f>IFERROR(__xludf.DUMMYFUNCTION("""COMPUTED_VALUE"""),"")</f>
        <v/>
      </c>
      <c r="Q800" s="46" t="str">
        <f>IFERROR(__xludf.DUMMYFUNCTION("""COMPUTED_VALUE"""),"AP")</f>
        <v>AP</v>
      </c>
      <c r="R800" s="47" t="str">
        <f>IFERROR(__xludf.DUMMYFUNCTION("""COMPUTED_VALUE"""),"")</f>
        <v/>
      </c>
      <c r="S800" s="48" t="str">
        <f>IFERROR(__xludf.DUMMYFUNCTION("""COMPUTED_VALUE"""),"%")</f>
        <v>%</v>
      </c>
      <c r="T800" s="49">
        <f>IFERROR(__xludf.DUMMYFUNCTION("""COMPUTED_VALUE"""),2.0)</f>
        <v>2</v>
      </c>
      <c r="U800" s="50"/>
      <c r="V800" s="38"/>
      <c r="W800" s="45" t="str">
        <f>IFERROR(__xludf.DUMMYFUNCTION("""COMPUTED_VALUE"""),"")</f>
        <v/>
      </c>
      <c r="X800" s="46" t="str">
        <f>IFERROR(__xludf.DUMMYFUNCTION("""COMPUTED_VALUE"""),"AP")</f>
        <v>AP</v>
      </c>
      <c r="Y800" s="47" t="str">
        <f>IFERROR(__xludf.DUMMYFUNCTION("""COMPUTED_VALUE"""),"")</f>
        <v/>
      </c>
      <c r="Z800" s="48" t="str">
        <f>IFERROR(__xludf.DUMMYFUNCTION("""COMPUTED_VALUE"""),"%")</f>
        <v>%</v>
      </c>
      <c r="AA800" s="49">
        <f>IFERROR(__xludf.DUMMYFUNCTION("""COMPUTED_VALUE"""),3.0)</f>
        <v>3</v>
      </c>
      <c r="AB800" s="50"/>
      <c r="AC800" s="38"/>
      <c r="AD800" s="45" t="str">
        <f>IFERROR(__xludf.DUMMYFUNCTION("""COMPUTED_VALUE"""),"")</f>
        <v/>
      </c>
      <c r="AE800" s="46" t="str">
        <f>IFERROR(__xludf.DUMMYFUNCTION("""COMPUTED_VALUE"""),"AP")</f>
        <v>AP</v>
      </c>
      <c r="AF800" s="47" t="str">
        <f>IFERROR(__xludf.DUMMYFUNCTION("""COMPUTED_VALUE"""),"")</f>
        <v/>
      </c>
      <c r="AG800" s="48" t="str">
        <f>IFERROR(__xludf.DUMMYFUNCTION("""COMPUTED_VALUE"""),"%")</f>
        <v>%</v>
      </c>
      <c r="AH800" s="43"/>
      <c r="AI800" s="44"/>
      <c r="AJ800" s="66"/>
    </row>
    <row r="801" ht="24.75" hidden="1" customHeight="1">
      <c r="A801" s="28">
        <f>IFERROR(__xludf.DUMMYFUNCTION("""COMPUTED_VALUE"""),17.0)</f>
        <v>17</v>
      </c>
      <c r="B801" s="28" t="str">
        <f>IFERROR(__xludf.DUMMYFUNCTION("""COMPUTED_VALUE"""),"A107")</f>
        <v>A107</v>
      </c>
      <c r="C801" s="28"/>
      <c r="D801" s="29"/>
      <c r="E801" s="67"/>
      <c r="F801" s="31"/>
      <c r="G801" s="32"/>
      <c r="H801" s="33" t="str">
        <f>IFERROR(__xludf.DUMMYFUNCTION("""COMPUTED_VALUE""")," ")</f>
        <v> </v>
      </c>
      <c r="I801" s="34"/>
      <c r="J801" s="35" t="str">
        <f>IFERROR(__xludf.DUMMYFUNCTION("""COMPUTED_VALUE"""),"AP")</f>
        <v>AP</v>
      </c>
      <c r="K801" s="34"/>
      <c r="L801" s="35" t="str">
        <f>IFERROR(__xludf.DUMMYFUNCTION("""COMPUTED_VALUE"""),"%")</f>
        <v>%</v>
      </c>
      <c r="M801" s="36">
        <f>IFERROR(__xludf.DUMMYFUNCTION("""COMPUTED_VALUE"""),1.0)</f>
        <v>1</v>
      </c>
      <c r="N801" s="37"/>
      <c r="O801" s="38"/>
      <c r="P801" s="34" t="str">
        <f>IFERROR(__xludf.DUMMYFUNCTION("""COMPUTED_VALUE"""),"")</f>
        <v/>
      </c>
      <c r="Q801" s="35" t="str">
        <f>IFERROR(__xludf.DUMMYFUNCTION("""COMPUTED_VALUE"""),"AP")</f>
        <v>AP</v>
      </c>
      <c r="R801" s="34" t="str">
        <f>IFERROR(__xludf.DUMMYFUNCTION("""COMPUTED_VALUE"""),"")</f>
        <v/>
      </c>
      <c r="S801" s="35" t="str">
        <f>IFERROR(__xludf.DUMMYFUNCTION("""COMPUTED_VALUE"""),"%")</f>
        <v>%</v>
      </c>
      <c r="T801" s="36">
        <f>IFERROR(__xludf.DUMMYFUNCTION("""COMPUTED_VALUE"""),2.0)</f>
        <v>2</v>
      </c>
      <c r="U801" s="37"/>
      <c r="V801" s="38"/>
      <c r="W801" s="34" t="str">
        <f>IFERROR(__xludf.DUMMYFUNCTION("""COMPUTED_VALUE"""),"")</f>
        <v/>
      </c>
      <c r="X801" s="35" t="str">
        <f>IFERROR(__xludf.DUMMYFUNCTION("""COMPUTED_VALUE"""),"AP")</f>
        <v>AP</v>
      </c>
      <c r="Y801" s="34" t="str">
        <f>IFERROR(__xludf.DUMMYFUNCTION("""COMPUTED_VALUE"""),"")</f>
        <v/>
      </c>
      <c r="Z801" s="35" t="str">
        <f>IFERROR(__xludf.DUMMYFUNCTION("""COMPUTED_VALUE"""),"%")</f>
        <v>%</v>
      </c>
      <c r="AA801" s="36">
        <f>IFERROR(__xludf.DUMMYFUNCTION("""COMPUTED_VALUE"""),3.0)</f>
        <v>3</v>
      </c>
      <c r="AB801" s="37"/>
      <c r="AC801" s="38"/>
      <c r="AD801" s="34" t="str">
        <f>IFERROR(__xludf.DUMMYFUNCTION("""COMPUTED_VALUE"""),"")</f>
        <v/>
      </c>
      <c r="AE801" s="35" t="str">
        <f>IFERROR(__xludf.DUMMYFUNCTION("""COMPUTED_VALUE"""),"AP")</f>
        <v>AP</v>
      </c>
      <c r="AF801" s="34" t="str">
        <f>IFERROR(__xludf.DUMMYFUNCTION("""COMPUTED_VALUE"""),"")</f>
        <v/>
      </c>
      <c r="AG801" s="35" t="str">
        <f>IFERROR(__xludf.DUMMYFUNCTION("""COMPUTED_VALUE"""),"%")</f>
        <v>%</v>
      </c>
      <c r="AH801" s="31"/>
      <c r="AI801" s="32"/>
      <c r="AJ801" s="67"/>
    </row>
    <row r="802" ht="24.75" hidden="1" customHeight="1">
      <c r="A802" s="40">
        <f>IFERROR(__xludf.DUMMYFUNCTION("""COMPUTED_VALUE"""),18.0)</f>
        <v>18</v>
      </c>
      <c r="B802" s="40" t="str">
        <f>IFERROR(__xludf.DUMMYFUNCTION("""COMPUTED_VALUE"""),"A107")</f>
        <v>A107</v>
      </c>
      <c r="C802" s="40"/>
      <c r="D802" s="41"/>
      <c r="E802" s="66"/>
      <c r="F802" s="43"/>
      <c r="G802" s="44"/>
      <c r="H802" s="33" t="str">
        <f>IFERROR(__xludf.DUMMYFUNCTION("""COMPUTED_VALUE""")," ")</f>
        <v> </v>
      </c>
      <c r="I802" s="45"/>
      <c r="J802" s="46" t="str">
        <f>IFERROR(__xludf.DUMMYFUNCTION("""COMPUTED_VALUE"""),"AP")</f>
        <v>AP</v>
      </c>
      <c r="K802" s="47"/>
      <c r="L802" s="48" t="str">
        <f>IFERROR(__xludf.DUMMYFUNCTION("""COMPUTED_VALUE"""),"%")</f>
        <v>%</v>
      </c>
      <c r="M802" s="49">
        <f>IFERROR(__xludf.DUMMYFUNCTION("""COMPUTED_VALUE"""),1.0)</f>
        <v>1</v>
      </c>
      <c r="N802" s="50"/>
      <c r="O802" s="38"/>
      <c r="P802" s="45" t="str">
        <f>IFERROR(__xludf.DUMMYFUNCTION("""COMPUTED_VALUE"""),"")</f>
        <v/>
      </c>
      <c r="Q802" s="46" t="str">
        <f>IFERROR(__xludf.DUMMYFUNCTION("""COMPUTED_VALUE"""),"AP")</f>
        <v>AP</v>
      </c>
      <c r="R802" s="47" t="str">
        <f>IFERROR(__xludf.DUMMYFUNCTION("""COMPUTED_VALUE"""),"")</f>
        <v/>
      </c>
      <c r="S802" s="48" t="str">
        <f>IFERROR(__xludf.DUMMYFUNCTION("""COMPUTED_VALUE"""),"%")</f>
        <v>%</v>
      </c>
      <c r="T802" s="49">
        <f>IFERROR(__xludf.DUMMYFUNCTION("""COMPUTED_VALUE"""),2.0)</f>
        <v>2</v>
      </c>
      <c r="U802" s="50"/>
      <c r="V802" s="38"/>
      <c r="W802" s="45" t="str">
        <f>IFERROR(__xludf.DUMMYFUNCTION("""COMPUTED_VALUE"""),"")</f>
        <v/>
      </c>
      <c r="X802" s="46" t="str">
        <f>IFERROR(__xludf.DUMMYFUNCTION("""COMPUTED_VALUE"""),"AP")</f>
        <v>AP</v>
      </c>
      <c r="Y802" s="47" t="str">
        <f>IFERROR(__xludf.DUMMYFUNCTION("""COMPUTED_VALUE"""),"")</f>
        <v/>
      </c>
      <c r="Z802" s="48" t="str">
        <f>IFERROR(__xludf.DUMMYFUNCTION("""COMPUTED_VALUE"""),"%")</f>
        <v>%</v>
      </c>
      <c r="AA802" s="49">
        <f>IFERROR(__xludf.DUMMYFUNCTION("""COMPUTED_VALUE"""),3.0)</f>
        <v>3</v>
      </c>
      <c r="AB802" s="50"/>
      <c r="AC802" s="38"/>
      <c r="AD802" s="45" t="str">
        <f>IFERROR(__xludf.DUMMYFUNCTION("""COMPUTED_VALUE"""),"")</f>
        <v/>
      </c>
      <c r="AE802" s="46" t="str">
        <f>IFERROR(__xludf.DUMMYFUNCTION("""COMPUTED_VALUE"""),"AP")</f>
        <v>AP</v>
      </c>
      <c r="AF802" s="47" t="str">
        <f>IFERROR(__xludf.DUMMYFUNCTION("""COMPUTED_VALUE"""),"")</f>
        <v/>
      </c>
      <c r="AG802" s="48" t="str">
        <f>IFERROR(__xludf.DUMMYFUNCTION("""COMPUTED_VALUE"""),"%")</f>
        <v>%</v>
      </c>
      <c r="AH802" s="43"/>
      <c r="AI802" s="44"/>
      <c r="AJ802" s="66"/>
    </row>
    <row r="803" ht="24.75" hidden="1" customHeight="1">
      <c r="A803" s="28">
        <f>IFERROR(__xludf.DUMMYFUNCTION("""COMPUTED_VALUE"""),19.0)</f>
        <v>19</v>
      </c>
      <c r="B803" s="28" t="str">
        <f>IFERROR(__xludf.DUMMYFUNCTION("""COMPUTED_VALUE"""),"A107")</f>
        <v>A107</v>
      </c>
      <c r="C803" s="28"/>
      <c r="D803" s="29"/>
      <c r="E803" s="67"/>
      <c r="F803" s="31"/>
      <c r="G803" s="32"/>
      <c r="H803" s="33" t="str">
        <f>IFERROR(__xludf.DUMMYFUNCTION("""COMPUTED_VALUE""")," ")</f>
        <v> </v>
      </c>
      <c r="I803" s="34"/>
      <c r="J803" s="35" t="str">
        <f>IFERROR(__xludf.DUMMYFUNCTION("""COMPUTED_VALUE"""),"AP")</f>
        <v>AP</v>
      </c>
      <c r="K803" s="34"/>
      <c r="L803" s="35" t="str">
        <f>IFERROR(__xludf.DUMMYFUNCTION("""COMPUTED_VALUE"""),"%")</f>
        <v>%</v>
      </c>
      <c r="M803" s="36">
        <f>IFERROR(__xludf.DUMMYFUNCTION("""COMPUTED_VALUE"""),1.0)</f>
        <v>1</v>
      </c>
      <c r="N803" s="37"/>
      <c r="O803" s="38"/>
      <c r="P803" s="34" t="str">
        <f>IFERROR(__xludf.DUMMYFUNCTION("""COMPUTED_VALUE"""),"")</f>
        <v/>
      </c>
      <c r="Q803" s="35" t="str">
        <f>IFERROR(__xludf.DUMMYFUNCTION("""COMPUTED_VALUE"""),"AP")</f>
        <v>AP</v>
      </c>
      <c r="R803" s="34" t="str">
        <f>IFERROR(__xludf.DUMMYFUNCTION("""COMPUTED_VALUE"""),"")</f>
        <v/>
      </c>
      <c r="S803" s="35" t="str">
        <f>IFERROR(__xludf.DUMMYFUNCTION("""COMPUTED_VALUE"""),"%")</f>
        <v>%</v>
      </c>
      <c r="T803" s="36">
        <f>IFERROR(__xludf.DUMMYFUNCTION("""COMPUTED_VALUE"""),2.0)</f>
        <v>2</v>
      </c>
      <c r="U803" s="37"/>
      <c r="V803" s="38"/>
      <c r="W803" s="34" t="str">
        <f>IFERROR(__xludf.DUMMYFUNCTION("""COMPUTED_VALUE"""),"")</f>
        <v/>
      </c>
      <c r="X803" s="35" t="str">
        <f>IFERROR(__xludf.DUMMYFUNCTION("""COMPUTED_VALUE"""),"AP")</f>
        <v>AP</v>
      </c>
      <c r="Y803" s="34" t="str">
        <f>IFERROR(__xludf.DUMMYFUNCTION("""COMPUTED_VALUE"""),"")</f>
        <v/>
      </c>
      <c r="Z803" s="35" t="str">
        <f>IFERROR(__xludf.DUMMYFUNCTION("""COMPUTED_VALUE"""),"%")</f>
        <v>%</v>
      </c>
      <c r="AA803" s="36">
        <f>IFERROR(__xludf.DUMMYFUNCTION("""COMPUTED_VALUE"""),3.0)</f>
        <v>3</v>
      </c>
      <c r="AB803" s="37"/>
      <c r="AC803" s="38"/>
      <c r="AD803" s="34" t="str">
        <f>IFERROR(__xludf.DUMMYFUNCTION("""COMPUTED_VALUE"""),"")</f>
        <v/>
      </c>
      <c r="AE803" s="35" t="str">
        <f>IFERROR(__xludf.DUMMYFUNCTION("""COMPUTED_VALUE"""),"AP")</f>
        <v>AP</v>
      </c>
      <c r="AF803" s="34" t="str">
        <f>IFERROR(__xludf.DUMMYFUNCTION("""COMPUTED_VALUE"""),"")</f>
        <v/>
      </c>
      <c r="AG803" s="35" t="str">
        <f>IFERROR(__xludf.DUMMYFUNCTION("""COMPUTED_VALUE"""),"%")</f>
        <v>%</v>
      </c>
      <c r="AH803" s="31"/>
      <c r="AI803" s="32"/>
      <c r="AJ803" s="67"/>
    </row>
    <row r="804" ht="24.75" hidden="1" customHeight="1">
      <c r="A804" s="40">
        <f>IFERROR(__xludf.DUMMYFUNCTION("""COMPUTED_VALUE"""),20.0)</f>
        <v>20</v>
      </c>
      <c r="B804" s="40" t="str">
        <f>IFERROR(__xludf.DUMMYFUNCTION("""COMPUTED_VALUE"""),"A107")</f>
        <v>A107</v>
      </c>
      <c r="C804" s="40"/>
      <c r="D804" s="41"/>
      <c r="E804" s="66"/>
      <c r="F804" s="43"/>
      <c r="G804" s="44"/>
      <c r="H804" s="33" t="str">
        <f>IFERROR(__xludf.DUMMYFUNCTION("""COMPUTED_VALUE""")," ")</f>
        <v> </v>
      </c>
      <c r="I804" s="45"/>
      <c r="J804" s="46" t="str">
        <f>IFERROR(__xludf.DUMMYFUNCTION("""COMPUTED_VALUE"""),"AP")</f>
        <v>AP</v>
      </c>
      <c r="K804" s="47"/>
      <c r="L804" s="48" t="str">
        <f>IFERROR(__xludf.DUMMYFUNCTION("""COMPUTED_VALUE"""),"%")</f>
        <v>%</v>
      </c>
      <c r="M804" s="49">
        <f>IFERROR(__xludf.DUMMYFUNCTION("""COMPUTED_VALUE"""),1.0)</f>
        <v>1</v>
      </c>
      <c r="N804" s="50"/>
      <c r="O804" s="38"/>
      <c r="P804" s="45" t="str">
        <f>IFERROR(__xludf.DUMMYFUNCTION("""COMPUTED_VALUE"""),"")</f>
        <v/>
      </c>
      <c r="Q804" s="46" t="str">
        <f>IFERROR(__xludf.DUMMYFUNCTION("""COMPUTED_VALUE"""),"AP")</f>
        <v>AP</v>
      </c>
      <c r="R804" s="47" t="str">
        <f>IFERROR(__xludf.DUMMYFUNCTION("""COMPUTED_VALUE"""),"")</f>
        <v/>
      </c>
      <c r="S804" s="48" t="str">
        <f>IFERROR(__xludf.DUMMYFUNCTION("""COMPUTED_VALUE"""),"%")</f>
        <v>%</v>
      </c>
      <c r="T804" s="49">
        <f>IFERROR(__xludf.DUMMYFUNCTION("""COMPUTED_VALUE"""),2.0)</f>
        <v>2</v>
      </c>
      <c r="U804" s="50"/>
      <c r="V804" s="38"/>
      <c r="W804" s="45" t="str">
        <f>IFERROR(__xludf.DUMMYFUNCTION("""COMPUTED_VALUE"""),"")</f>
        <v/>
      </c>
      <c r="X804" s="46" t="str">
        <f>IFERROR(__xludf.DUMMYFUNCTION("""COMPUTED_VALUE"""),"AP")</f>
        <v>AP</v>
      </c>
      <c r="Y804" s="47" t="str">
        <f>IFERROR(__xludf.DUMMYFUNCTION("""COMPUTED_VALUE"""),"")</f>
        <v/>
      </c>
      <c r="Z804" s="48" t="str">
        <f>IFERROR(__xludf.DUMMYFUNCTION("""COMPUTED_VALUE"""),"%")</f>
        <v>%</v>
      </c>
      <c r="AA804" s="49">
        <f>IFERROR(__xludf.DUMMYFUNCTION("""COMPUTED_VALUE"""),3.0)</f>
        <v>3</v>
      </c>
      <c r="AB804" s="50"/>
      <c r="AC804" s="38"/>
      <c r="AD804" s="45" t="str">
        <f>IFERROR(__xludf.DUMMYFUNCTION("""COMPUTED_VALUE"""),"")</f>
        <v/>
      </c>
      <c r="AE804" s="46" t="str">
        <f>IFERROR(__xludf.DUMMYFUNCTION("""COMPUTED_VALUE"""),"AP")</f>
        <v>AP</v>
      </c>
      <c r="AF804" s="47" t="str">
        <f>IFERROR(__xludf.DUMMYFUNCTION("""COMPUTED_VALUE"""),"")</f>
        <v/>
      </c>
      <c r="AG804" s="48" t="str">
        <f>IFERROR(__xludf.DUMMYFUNCTION("""COMPUTED_VALUE"""),"%")</f>
        <v>%</v>
      </c>
      <c r="AH804" s="43"/>
      <c r="AI804" s="44"/>
      <c r="AJ804" s="66"/>
    </row>
    <row r="805">
      <c r="A805" s="52"/>
      <c r="B805" s="53"/>
      <c r="C805" s="54"/>
      <c r="D805" s="56"/>
      <c r="E805" s="56"/>
      <c r="F805" s="53"/>
      <c r="G805" s="53"/>
      <c r="H805" s="53"/>
      <c r="I805" s="53"/>
      <c r="J805" s="57"/>
      <c r="K805" s="53"/>
      <c r="L805" s="57"/>
      <c r="M805" s="53"/>
      <c r="N805" s="53"/>
      <c r="O805" s="53"/>
      <c r="P805" s="53"/>
      <c r="Q805" s="57"/>
      <c r="R805" s="53"/>
      <c r="S805" s="57"/>
      <c r="T805" s="53"/>
      <c r="U805" s="53"/>
      <c r="V805" s="53"/>
      <c r="W805" s="53"/>
      <c r="X805" s="57"/>
      <c r="Y805" s="53"/>
      <c r="Z805" s="57"/>
      <c r="AA805" s="53"/>
      <c r="AB805" s="53"/>
      <c r="AC805" s="53"/>
      <c r="AD805" s="53"/>
      <c r="AE805" s="57"/>
      <c r="AF805" s="53"/>
      <c r="AG805" s="57"/>
      <c r="AH805" s="53"/>
      <c r="AI805" s="53"/>
      <c r="AJ805" s="56"/>
    </row>
    <row r="806">
      <c r="A806" s="59"/>
      <c r="B806" s="60"/>
      <c r="C806" s="61"/>
      <c r="D806" s="63"/>
      <c r="E806" s="63"/>
      <c r="F806" s="60"/>
      <c r="G806" s="60"/>
      <c r="H806" s="60"/>
      <c r="I806" s="60"/>
      <c r="J806" s="64"/>
      <c r="K806" s="60"/>
      <c r="L806" s="64"/>
      <c r="M806" s="60"/>
      <c r="N806" s="60"/>
      <c r="O806" s="60"/>
      <c r="P806" s="60"/>
      <c r="Q806" s="64"/>
      <c r="R806" s="60"/>
      <c r="S806" s="64"/>
      <c r="T806" s="60"/>
      <c r="U806" s="60"/>
      <c r="V806" s="60"/>
      <c r="W806" s="60"/>
      <c r="X806" s="64"/>
      <c r="Y806" s="60"/>
      <c r="Z806" s="64"/>
      <c r="AA806" s="60"/>
      <c r="AB806" s="60"/>
      <c r="AC806" s="60"/>
      <c r="AD806" s="60"/>
      <c r="AE806" s="64"/>
      <c r="AF806" s="60"/>
      <c r="AG806" s="64"/>
      <c r="AH806" s="60"/>
      <c r="AI806" s="60"/>
      <c r="AJ806" s="63"/>
    </row>
    <row r="807" ht="33.0" customHeight="1">
      <c r="A807" s="20" t="str">
        <f>IFERROR(__xludf.DUMMYFUNCTION("""COMPUTED_VALUE""")," ")</f>
        <v> </v>
      </c>
      <c r="B807" s="21" t="str">
        <f>IFERROR(__xludf.DUMMYFUNCTION("""COMPUTED_VALUE"""),"A108")</f>
        <v>A108</v>
      </c>
      <c r="C807" s="20"/>
      <c r="D807" s="257" t="str">
        <f>IFERROR(__xludf.DUMMYFUNCTION("""COMPUTED_VALUE"""),"")</f>
        <v/>
      </c>
      <c r="E807" s="23" t="str">
        <f>IFERROR(__xludf.DUMMYFUNCTION("""COMPUTED_VALUE"""),"Lamp of Evil-Sealing")</f>
        <v>Lamp of Evil-Sealing</v>
      </c>
      <c r="F807" s="24"/>
      <c r="G807" s="24"/>
      <c r="H807" s="25"/>
      <c r="I807" s="25"/>
      <c r="J807" s="26"/>
      <c r="K807" s="25"/>
      <c r="L807" s="26"/>
      <c r="M807" s="25"/>
      <c r="N807" s="25"/>
      <c r="O807" s="25"/>
      <c r="P807" s="25"/>
      <c r="Q807" s="26"/>
      <c r="R807" s="25"/>
      <c r="S807" s="26"/>
      <c r="T807" s="25"/>
      <c r="U807" s="25"/>
      <c r="V807" s="25"/>
      <c r="W807" s="25"/>
      <c r="X807" s="26"/>
      <c r="Y807" s="25"/>
      <c r="Z807" s="26"/>
      <c r="AA807" s="25"/>
      <c r="AB807" s="25"/>
      <c r="AC807" s="25"/>
      <c r="AD807" s="25"/>
      <c r="AE807" s="26"/>
      <c r="AF807" s="25"/>
      <c r="AG807" s="26"/>
      <c r="AH807" s="24"/>
      <c r="AI807" s="25"/>
      <c r="AJ807" s="23"/>
    </row>
    <row r="808" ht="24.75" customHeight="1">
      <c r="A808" s="28">
        <f>IFERROR(__xludf.DUMMYFUNCTION("""COMPUTED_VALUE"""),1.0)</f>
        <v>1</v>
      </c>
      <c r="B808" s="28" t="str">
        <f>IFERROR(__xludf.DUMMYFUNCTION("""COMPUTED_VALUE"""),"A108")</f>
        <v>A108</v>
      </c>
      <c r="C808" s="28" t="str">
        <f>IFERROR(__xludf.DUMMYFUNCTION("""COMPUTED_VALUE"""),"SLM11")</f>
        <v>SLM11</v>
      </c>
      <c r="D808" s="29" t="str">
        <f>IFERROR(__xludf.DUMMYFUNCTION("""COMPUTED_VALUE"""),"Salem")</f>
        <v>Salem</v>
      </c>
      <c r="E808" s="30" t="str">
        <f>IFERROR(__xludf.DUMMYFUNCTION("""COMPUTED_VALUE"""),"Jail")</f>
        <v>Jail</v>
      </c>
      <c r="F808" s="31">
        <f>IFERROR(__xludf.DUMMYFUNCTION("""COMPUTED_VALUE"""),21.0)</f>
        <v>21</v>
      </c>
      <c r="G808" s="32">
        <f>IFERROR(__xludf.DUMMYFUNCTION("""COMPUTED_VALUE"""),2812.0)</f>
        <v>2812</v>
      </c>
      <c r="H808" s="33" t="str">
        <f>IFERROR(__xludf.DUMMYFUNCTION("""COMPUTED_VALUE"""),"")</f>
        <v/>
      </c>
      <c r="I808" s="34">
        <f>IFERROR(__xludf.DUMMYFUNCTION("""COMPUTED_VALUE"""),100.92633737822592)</f>
        <v>100.9263374</v>
      </c>
      <c r="J808" s="35" t="str">
        <f>IFERROR(__xludf.DUMMYFUNCTION("""COMPUTED_VALUE"""),"AP")</f>
        <v>AP</v>
      </c>
      <c r="K808" s="34">
        <f>IFERROR(__xludf.DUMMYFUNCTION("""COMPUTED_VALUE"""),20.8072546230441)</f>
        <v>20.80725462</v>
      </c>
      <c r="L808" s="35" t="str">
        <f>IFERROR(__xludf.DUMMYFUNCTION("""COMPUTED_VALUE"""),"%")</f>
        <v>%</v>
      </c>
      <c r="M808" s="36">
        <f>IFERROR(__xludf.DUMMYFUNCTION("""COMPUTED_VALUE"""),1.0)</f>
        <v>1</v>
      </c>
      <c r="N808" s="37" t="str">
        <f>IFERROR(__xludf.DUMMYFUNCTION("""COMPUTED_VALUE"""),"A303")</f>
        <v>A303</v>
      </c>
      <c r="O808" s="38" t="str">
        <f>IFERROR(__xludf.DUMMYFUNCTION("""COMPUTED_VALUE"""),"")</f>
        <v/>
      </c>
      <c r="P808" s="34">
        <f>IFERROR(__xludf.DUMMYFUNCTION("""COMPUTED_VALUE"""),52.34387745788208)</f>
        <v>52.34387746</v>
      </c>
      <c r="Q808" s="35" t="str">
        <f>IFERROR(__xludf.DUMMYFUNCTION("""COMPUTED_VALUE"""),"AP")</f>
        <v>AP</v>
      </c>
      <c r="R808" s="34">
        <f>IFERROR(__xludf.DUMMYFUNCTION("""COMPUTED_VALUE"""),40.11930529391411)</f>
        <v>40.11930529</v>
      </c>
      <c r="S808" s="35" t="str">
        <f>IFERROR(__xludf.DUMMYFUNCTION("""COMPUTED_VALUE"""),"%")</f>
        <v>%</v>
      </c>
      <c r="T808" s="36">
        <f>IFERROR(__xludf.DUMMYFUNCTION("""COMPUTED_VALUE"""),2.0)</f>
        <v>2</v>
      </c>
      <c r="U808" s="37" t="str">
        <f>IFERROR(__xludf.DUMMYFUNCTION("""COMPUTED_VALUE"""),"B115")</f>
        <v>B115</v>
      </c>
      <c r="V808" s="38" t="str">
        <f>IFERROR(__xludf.DUMMYFUNCTION("""COMPUTED_VALUE"""),"")</f>
        <v/>
      </c>
      <c r="W808" s="34">
        <f>IFERROR(__xludf.DUMMYFUNCTION("""COMPUTED_VALUE"""),277.18304570275217)</f>
        <v>277.1830457</v>
      </c>
      <c r="X808" s="35" t="str">
        <f>IFERROR(__xludf.DUMMYFUNCTION("""COMPUTED_VALUE"""),"AP")</f>
        <v>AP</v>
      </c>
      <c r="Y808" s="34">
        <f>IFERROR(__xludf.DUMMYFUNCTION("""COMPUTED_VALUE"""),7.5762209577999045)</f>
        <v>7.576220958</v>
      </c>
      <c r="Z808" s="35" t="str">
        <f>IFERROR(__xludf.DUMMYFUNCTION("""COMPUTED_VALUE"""),"%")</f>
        <v>%</v>
      </c>
      <c r="AA808" s="36">
        <f>IFERROR(__xludf.DUMMYFUNCTION("""COMPUTED_VALUE"""),3.0)</f>
        <v>3</v>
      </c>
      <c r="AB808" s="37"/>
      <c r="AC808" s="38"/>
      <c r="AD808" s="34" t="str">
        <f>IFERROR(__xludf.DUMMYFUNCTION("""COMPUTED_VALUE"""),"")</f>
        <v/>
      </c>
      <c r="AE808" s="35" t="str">
        <f>IFERROR(__xludf.DUMMYFUNCTION("""COMPUTED_VALUE"""),"AP")</f>
        <v>AP</v>
      </c>
      <c r="AF808" s="34" t="str">
        <f>IFERROR(__xludf.DUMMYFUNCTION("""COMPUTED_VALUE"""),"")</f>
        <v/>
      </c>
      <c r="AG808" s="35" t="str">
        <f>IFERROR(__xludf.DUMMYFUNCTION("""COMPUTED_VALUE"""),"%")</f>
        <v>%</v>
      </c>
      <c r="AH808" s="31">
        <f>IFERROR(__xludf.DUMMYFUNCTION("""COMPUTED_VALUE"""),21.0)</f>
        <v>21</v>
      </c>
      <c r="AI808" s="32">
        <f>IFERROR(__xludf.DUMMYFUNCTION("""COMPUTED_VALUE"""),2812.0)</f>
        <v>2812</v>
      </c>
      <c r="AJ808" s="30" t="str">
        <f>IFERROR(__xludf.DUMMYFUNCTION("""COMPUTED_VALUE"""),"Jail")</f>
        <v>Jail</v>
      </c>
    </row>
    <row r="809" ht="24.75" customHeight="1">
      <c r="A809" s="40">
        <f>IFERROR(__xludf.DUMMYFUNCTION("""COMPUTED_VALUE"""),2.0)</f>
        <v>2</v>
      </c>
      <c r="B809" s="40" t="str">
        <f>IFERROR(__xludf.DUMMYFUNCTION("""COMPUTED_VALUE"""),"A108")</f>
        <v>A108</v>
      </c>
      <c r="C809" s="40" t="str">
        <f>IFERROR(__xludf.DUMMYFUNCTION("""COMPUTED_VALUE"""),"CML11")</f>
        <v>CML11</v>
      </c>
      <c r="D809" s="41" t="str">
        <f>IFERROR(__xludf.DUMMYFUNCTION("""COMPUTED_VALUE"""),"Camelot")</f>
        <v>Camelot</v>
      </c>
      <c r="E809" s="42" t="str">
        <f>IFERROR(__xludf.DUMMYFUNCTION("""COMPUTED_VALUE"""),"Hidden Village")</f>
        <v>Hidden Village</v>
      </c>
      <c r="F809" s="43">
        <f>IFERROR(__xludf.DUMMYFUNCTION("""COMPUTED_VALUE"""),21.0)</f>
        <v>21</v>
      </c>
      <c r="G809" s="44">
        <f>IFERROR(__xludf.DUMMYFUNCTION("""COMPUTED_VALUE"""),125149.0)</f>
        <v>125149</v>
      </c>
      <c r="H809" s="33" t="str">
        <f>IFERROR(__xludf.DUMMYFUNCTION("""COMPUTED_VALUE"""),"")</f>
        <v/>
      </c>
      <c r="I809" s="45">
        <f>IFERROR(__xludf.DUMMYFUNCTION("""COMPUTED_VALUE"""),130.30308904802249)</f>
        <v>130.303089</v>
      </c>
      <c r="J809" s="46" t="str">
        <f>IFERROR(__xludf.DUMMYFUNCTION("""COMPUTED_VALUE"""),"AP")</f>
        <v>AP</v>
      </c>
      <c r="K809" s="47">
        <f>IFERROR(__xludf.DUMMYFUNCTION("""COMPUTED_VALUE"""),16.116271804009624)</f>
        <v>16.1162718</v>
      </c>
      <c r="L809" s="48" t="str">
        <f>IFERROR(__xludf.DUMMYFUNCTION("""COMPUTED_VALUE"""),"%")</f>
        <v>%</v>
      </c>
      <c r="M809" s="49">
        <f>IFERROR(__xludf.DUMMYFUNCTION("""COMPUTED_VALUE"""),1.0)</f>
        <v>1</v>
      </c>
      <c r="N809" s="50" t="str">
        <f>IFERROR(__xludf.DUMMYFUNCTION("""COMPUTED_VALUE"""),"A305")</f>
        <v>A305</v>
      </c>
      <c r="O809" s="38" t="str">
        <f>IFERROR(__xludf.DUMMYFUNCTION("""COMPUTED_VALUE"""),"")</f>
        <v/>
      </c>
      <c r="P809" s="45">
        <f>IFERROR(__xludf.DUMMYFUNCTION("""COMPUTED_VALUE"""),69.05537308427226)</f>
        <v>69.05537308</v>
      </c>
      <c r="Q809" s="46" t="str">
        <f>IFERROR(__xludf.DUMMYFUNCTION("""COMPUTED_VALUE"""),"AP")</f>
        <v>AP</v>
      </c>
      <c r="R809" s="47">
        <f>IFERROR(__xludf.DUMMYFUNCTION("""COMPUTED_VALUE"""),30.41037802282595)</f>
        <v>30.41037802</v>
      </c>
      <c r="S809" s="48" t="str">
        <f>IFERROR(__xludf.DUMMYFUNCTION("""COMPUTED_VALUE"""),"%")</f>
        <v>%</v>
      </c>
      <c r="T809" s="49">
        <f>IFERROR(__xludf.DUMMYFUNCTION("""COMPUTED_VALUE"""),2.0)</f>
        <v>2</v>
      </c>
      <c r="U809" s="50" t="str">
        <f>IFERROR(__xludf.DUMMYFUNCTION("""COMPUTED_VALUE"""),"B115")</f>
        <v>B115</v>
      </c>
      <c r="V809" s="38" t="str">
        <f>IFERROR(__xludf.DUMMYFUNCTION("""COMPUTED_VALUE"""),"")</f>
        <v/>
      </c>
      <c r="W809" s="45">
        <f>IFERROR(__xludf.DUMMYFUNCTION("""COMPUTED_VALUE"""),265.04870671862074)</f>
        <v>265.0487067</v>
      </c>
      <c r="X809" s="46" t="str">
        <f>IFERROR(__xludf.DUMMYFUNCTION("""COMPUTED_VALUE"""),"AP")</f>
        <v>AP</v>
      </c>
      <c r="Y809" s="47">
        <f>IFERROR(__xludf.DUMMYFUNCTION("""COMPUTED_VALUE"""),7.923072049656851)</f>
        <v>7.92307205</v>
      </c>
      <c r="Z809" s="48" t="str">
        <f>IFERROR(__xludf.DUMMYFUNCTION("""COMPUTED_VALUE"""),"%")</f>
        <v>%</v>
      </c>
      <c r="AA809" s="49">
        <f>IFERROR(__xludf.DUMMYFUNCTION("""COMPUTED_VALUE"""),3.0)</f>
        <v>3</v>
      </c>
      <c r="AB809" s="50"/>
      <c r="AC809" s="38"/>
      <c r="AD809" s="45" t="str">
        <f>IFERROR(__xludf.DUMMYFUNCTION("""COMPUTED_VALUE"""),"")</f>
        <v/>
      </c>
      <c r="AE809" s="46" t="str">
        <f>IFERROR(__xludf.DUMMYFUNCTION("""COMPUTED_VALUE"""),"AP")</f>
        <v>AP</v>
      </c>
      <c r="AF809" s="47" t="str">
        <f>IFERROR(__xludf.DUMMYFUNCTION("""COMPUTED_VALUE"""),"")</f>
        <v/>
      </c>
      <c r="AG809" s="48" t="str">
        <f>IFERROR(__xludf.DUMMYFUNCTION("""COMPUTED_VALUE"""),"%")</f>
        <v>%</v>
      </c>
      <c r="AH809" s="43">
        <f>IFERROR(__xludf.DUMMYFUNCTION("""COMPUTED_VALUE"""),21.0)</f>
        <v>21</v>
      </c>
      <c r="AI809" s="44">
        <f>IFERROR(__xludf.DUMMYFUNCTION("""COMPUTED_VALUE"""),125149.0)</f>
        <v>125149</v>
      </c>
      <c r="AJ809" s="42" t="str">
        <f>IFERROR(__xludf.DUMMYFUNCTION("""COMPUTED_VALUE"""),"Hidden Village")</f>
        <v>Hidden Village</v>
      </c>
    </row>
    <row r="810" ht="24.75" customHeight="1">
      <c r="A810" s="28">
        <f>IFERROR(__xludf.DUMMYFUNCTION("""COMPUTED_VALUE"""),3.0)</f>
        <v>3</v>
      </c>
      <c r="B810" s="28" t="str">
        <f>IFERROR(__xludf.DUMMYFUNCTION("""COMPUTED_VALUE"""),"A108")</f>
        <v>A108</v>
      </c>
      <c r="C810" s="28" t="str">
        <f>IFERROR(__xludf.DUMMYFUNCTION("""COMPUTED_VALUE"""),"CML2")</f>
        <v>CML2</v>
      </c>
      <c r="D810" s="29" t="str">
        <f>IFERROR(__xludf.DUMMYFUNCTION("""COMPUTED_VALUE"""),"Camelot")</f>
        <v>Camelot</v>
      </c>
      <c r="E810" s="30" t="str">
        <f>IFERROR(__xludf.DUMMYFUNCTION("""COMPUTED_VALUE"""),"Dune of Dawn")</f>
        <v>Dune of Dawn</v>
      </c>
      <c r="F810" s="31">
        <f>IFERROR(__xludf.DUMMYFUNCTION("""COMPUTED_VALUE"""),19.0)</f>
        <v>19</v>
      </c>
      <c r="G810" s="32">
        <f>IFERROR(__xludf.DUMMYFUNCTION("""COMPUTED_VALUE"""),1191.0)</f>
        <v>1191</v>
      </c>
      <c r="H810" s="33" t="str">
        <f>IFERROR(__xludf.DUMMYFUNCTION("""COMPUTED_VALUE"""),"")</f>
        <v/>
      </c>
      <c r="I810" s="34">
        <f>IFERROR(__xludf.DUMMYFUNCTION("""COMPUTED_VALUE"""),169.99203713998105)</f>
        <v>169.9920371</v>
      </c>
      <c r="J810" s="35" t="str">
        <f>IFERROR(__xludf.DUMMYFUNCTION("""COMPUTED_VALUE"""),"AP")</f>
        <v>AP</v>
      </c>
      <c r="K810" s="34">
        <f>IFERROR(__xludf.DUMMYFUNCTION("""COMPUTED_VALUE"""),11.176994122586063)</f>
        <v>11.17699412</v>
      </c>
      <c r="L810" s="35" t="str">
        <f>IFERROR(__xludf.DUMMYFUNCTION("""COMPUTED_VALUE"""),"%")</f>
        <v>%</v>
      </c>
      <c r="M810" s="36">
        <f>IFERROR(__xludf.DUMMYFUNCTION("""COMPUTED_VALUE"""),1.0)</f>
        <v>1</v>
      </c>
      <c r="N810" s="37" t="str">
        <f>IFERROR(__xludf.DUMMYFUNCTION("""COMPUTED_VALUE"""),"A204")</f>
        <v>A204</v>
      </c>
      <c r="O810" s="38" t="str">
        <f>IFERROR(__xludf.DUMMYFUNCTION("""COMPUTED_VALUE"""),"")</f>
        <v/>
      </c>
      <c r="P810" s="34">
        <f>IFERROR(__xludf.DUMMYFUNCTION("""COMPUTED_VALUE"""),134.47230805799856)</f>
        <v>134.4723081</v>
      </c>
      <c r="Q810" s="35" t="str">
        <f>IFERROR(__xludf.DUMMYFUNCTION("""COMPUTED_VALUE"""),"AP")</f>
        <v>AP</v>
      </c>
      <c r="R810" s="34">
        <f>IFERROR(__xludf.DUMMYFUNCTION("""COMPUTED_VALUE"""),14.129303106633081)</f>
        <v>14.12930311</v>
      </c>
      <c r="S810" s="35" t="str">
        <f>IFERROR(__xludf.DUMMYFUNCTION("""COMPUTED_VALUE"""),"%")</f>
        <v>%</v>
      </c>
      <c r="T810" s="36">
        <f>IFERROR(__xludf.DUMMYFUNCTION("""COMPUTED_VALUE"""),2.0)</f>
        <v>2</v>
      </c>
      <c r="U810" s="37" t="str">
        <f>IFERROR(__xludf.DUMMYFUNCTION("""COMPUTED_VALUE"""),"B115")</f>
        <v>B115</v>
      </c>
      <c r="V810" s="38" t="str">
        <f>IFERROR(__xludf.DUMMYFUNCTION("""COMPUTED_VALUE"""),"")</f>
        <v/>
      </c>
      <c r="W810" s="34">
        <f>IFERROR(__xludf.DUMMYFUNCTION("""COMPUTED_VALUE"""),44.10911551306578)</f>
        <v>44.10911551</v>
      </c>
      <c r="X810" s="35" t="str">
        <f>IFERROR(__xludf.DUMMYFUNCTION("""COMPUTED_VALUE"""),"AP")</f>
        <v>AP</v>
      </c>
      <c r="Y810" s="34">
        <f>IFERROR(__xludf.DUMMYFUNCTION("""COMPUTED_VALUE"""),43.07499658289887)</f>
        <v>43.07499658</v>
      </c>
      <c r="Z810" s="35" t="str">
        <f>IFERROR(__xludf.DUMMYFUNCTION("""COMPUTED_VALUE"""),"%")</f>
        <v>%</v>
      </c>
      <c r="AA810" s="36">
        <f>IFERROR(__xludf.DUMMYFUNCTION("""COMPUTED_VALUE"""),3.0)</f>
        <v>3</v>
      </c>
      <c r="AB810" s="37"/>
      <c r="AC810" s="38"/>
      <c r="AD810" s="34" t="str">
        <f>IFERROR(__xludf.DUMMYFUNCTION("""COMPUTED_VALUE"""),"")</f>
        <v/>
      </c>
      <c r="AE810" s="35" t="str">
        <f>IFERROR(__xludf.DUMMYFUNCTION("""COMPUTED_VALUE"""),"AP")</f>
        <v>AP</v>
      </c>
      <c r="AF810" s="34" t="str">
        <f>IFERROR(__xludf.DUMMYFUNCTION("""COMPUTED_VALUE"""),"")</f>
        <v/>
      </c>
      <c r="AG810" s="35" t="str">
        <f>IFERROR(__xludf.DUMMYFUNCTION("""COMPUTED_VALUE"""),"%")</f>
        <v>%</v>
      </c>
      <c r="AH810" s="31">
        <f>IFERROR(__xludf.DUMMYFUNCTION("""COMPUTED_VALUE"""),19.0)</f>
        <v>19</v>
      </c>
      <c r="AI810" s="32">
        <f>IFERROR(__xludf.DUMMYFUNCTION("""COMPUTED_VALUE"""),1191.0)</f>
        <v>1191</v>
      </c>
      <c r="AJ810" s="30" t="str">
        <f>IFERROR(__xludf.DUMMYFUNCTION("""COMPUTED_VALUE"""),"Dune of Dawn")</f>
        <v>Dune of Dawn</v>
      </c>
    </row>
    <row r="811" ht="24.75" customHeight="1">
      <c r="A811" s="40">
        <f>IFERROR(__xludf.DUMMYFUNCTION("""COMPUTED_VALUE"""),4.0)</f>
        <v>4</v>
      </c>
      <c r="B811" s="40" t="str">
        <f>IFERROR(__xludf.DUMMYFUNCTION("""COMPUTED_VALUE"""),"A108")</f>
        <v>A108</v>
      </c>
      <c r="C811" s="40"/>
      <c r="D811" s="41"/>
      <c r="E811" s="66"/>
      <c r="F811" s="43"/>
      <c r="G811" s="44"/>
      <c r="H811" s="33" t="str">
        <f>IFERROR(__xludf.DUMMYFUNCTION("""COMPUTED_VALUE""")," ")</f>
        <v> </v>
      </c>
      <c r="I811" s="45"/>
      <c r="J811" s="46" t="str">
        <f>IFERROR(__xludf.DUMMYFUNCTION("""COMPUTED_VALUE"""),"AP")</f>
        <v>AP</v>
      </c>
      <c r="K811" s="47"/>
      <c r="L811" s="48" t="str">
        <f>IFERROR(__xludf.DUMMYFUNCTION("""COMPUTED_VALUE"""),"%")</f>
        <v>%</v>
      </c>
      <c r="M811" s="49">
        <f>IFERROR(__xludf.DUMMYFUNCTION("""COMPUTED_VALUE"""),1.0)</f>
        <v>1</v>
      </c>
      <c r="N811" s="50"/>
      <c r="O811" s="38"/>
      <c r="P811" s="45" t="str">
        <f>IFERROR(__xludf.DUMMYFUNCTION("""COMPUTED_VALUE"""),"")</f>
        <v/>
      </c>
      <c r="Q811" s="46" t="str">
        <f>IFERROR(__xludf.DUMMYFUNCTION("""COMPUTED_VALUE"""),"AP")</f>
        <v>AP</v>
      </c>
      <c r="R811" s="47" t="str">
        <f>IFERROR(__xludf.DUMMYFUNCTION("""COMPUTED_VALUE"""),"")</f>
        <v/>
      </c>
      <c r="S811" s="48" t="str">
        <f>IFERROR(__xludf.DUMMYFUNCTION("""COMPUTED_VALUE"""),"%")</f>
        <v>%</v>
      </c>
      <c r="T811" s="49">
        <f>IFERROR(__xludf.DUMMYFUNCTION("""COMPUTED_VALUE"""),2.0)</f>
        <v>2</v>
      </c>
      <c r="U811" s="50"/>
      <c r="V811" s="38"/>
      <c r="W811" s="45" t="str">
        <f>IFERROR(__xludf.DUMMYFUNCTION("""COMPUTED_VALUE"""),"")</f>
        <v/>
      </c>
      <c r="X811" s="46" t="str">
        <f>IFERROR(__xludf.DUMMYFUNCTION("""COMPUTED_VALUE"""),"AP")</f>
        <v>AP</v>
      </c>
      <c r="Y811" s="47" t="str">
        <f>IFERROR(__xludf.DUMMYFUNCTION("""COMPUTED_VALUE"""),"")</f>
        <v/>
      </c>
      <c r="Z811" s="48" t="str">
        <f>IFERROR(__xludf.DUMMYFUNCTION("""COMPUTED_VALUE"""),"%")</f>
        <v>%</v>
      </c>
      <c r="AA811" s="49">
        <f>IFERROR(__xludf.DUMMYFUNCTION("""COMPUTED_VALUE"""),3.0)</f>
        <v>3</v>
      </c>
      <c r="AB811" s="50"/>
      <c r="AC811" s="38"/>
      <c r="AD811" s="45" t="str">
        <f>IFERROR(__xludf.DUMMYFUNCTION("""COMPUTED_VALUE"""),"")</f>
        <v/>
      </c>
      <c r="AE811" s="46" t="str">
        <f>IFERROR(__xludf.DUMMYFUNCTION("""COMPUTED_VALUE"""),"AP")</f>
        <v>AP</v>
      </c>
      <c r="AF811" s="47" t="str">
        <f>IFERROR(__xludf.DUMMYFUNCTION("""COMPUTED_VALUE"""),"")</f>
        <v/>
      </c>
      <c r="AG811" s="48" t="str">
        <f>IFERROR(__xludf.DUMMYFUNCTION("""COMPUTED_VALUE"""),"%")</f>
        <v>%</v>
      </c>
      <c r="AH811" s="43"/>
      <c r="AI811" s="44"/>
      <c r="AJ811" s="66"/>
    </row>
    <row r="812" ht="24.75" hidden="1" customHeight="1">
      <c r="A812" s="28">
        <f>IFERROR(__xludf.DUMMYFUNCTION("""COMPUTED_VALUE"""),5.0)</f>
        <v>5</v>
      </c>
      <c r="B812" s="28" t="str">
        <f>IFERROR(__xludf.DUMMYFUNCTION("""COMPUTED_VALUE"""),"A108")</f>
        <v>A108</v>
      </c>
      <c r="C812" s="28"/>
      <c r="D812" s="29"/>
      <c r="E812" s="67"/>
      <c r="F812" s="31"/>
      <c r="G812" s="32"/>
      <c r="H812" s="33" t="str">
        <f>IFERROR(__xludf.DUMMYFUNCTION("""COMPUTED_VALUE""")," ")</f>
        <v> </v>
      </c>
      <c r="I812" s="34"/>
      <c r="J812" s="35" t="str">
        <f>IFERROR(__xludf.DUMMYFUNCTION("""COMPUTED_VALUE"""),"AP")</f>
        <v>AP</v>
      </c>
      <c r="K812" s="34"/>
      <c r="L812" s="35" t="str">
        <f>IFERROR(__xludf.DUMMYFUNCTION("""COMPUTED_VALUE"""),"%")</f>
        <v>%</v>
      </c>
      <c r="M812" s="36">
        <f>IFERROR(__xludf.DUMMYFUNCTION("""COMPUTED_VALUE"""),1.0)</f>
        <v>1</v>
      </c>
      <c r="N812" s="37"/>
      <c r="O812" s="38"/>
      <c r="P812" s="34" t="str">
        <f>IFERROR(__xludf.DUMMYFUNCTION("""COMPUTED_VALUE"""),"")</f>
        <v/>
      </c>
      <c r="Q812" s="35" t="str">
        <f>IFERROR(__xludf.DUMMYFUNCTION("""COMPUTED_VALUE"""),"AP")</f>
        <v>AP</v>
      </c>
      <c r="R812" s="34" t="str">
        <f>IFERROR(__xludf.DUMMYFUNCTION("""COMPUTED_VALUE"""),"")</f>
        <v/>
      </c>
      <c r="S812" s="35" t="str">
        <f>IFERROR(__xludf.DUMMYFUNCTION("""COMPUTED_VALUE"""),"%")</f>
        <v>%</v>
      </c>
      <c r="T812" s="36">
        <f>IFERROR(__xludf.DUMMYFUNCTION("""COMPUTED_VALUE"""),2.0)</f>
        <v>2</v>
      </c>
      <c r="U812" s="37"/>
      <c r="V812" s="38"/>
      <c r="W812" s="34" t="str">
        <f>IFERROR(__xludf.DUMMYFUNCTION("""COMPUTED_VALUE"""),"")</f>
        <v/>
      </c>
      <c r="X812" s="35" t="str">
        <f>IFERROR(__xludf.DUMMYFUNCTION("""COMPUTED_VALUE"""),"AP")</f>
        <v>AP</v>
      </c>
      <c r="Y812" s="34" t="str">
        <f>IFERROR(__xludf.DUMMYFUNCTION("""COMPUTED_VALUE"""),"")</f>
        <v/>
      </c>
      <c r="Z812" s="35" t="str">
        <f>IFERROR(__xludf.DUMMYFUNCTION("""COMPUTED_VALUE"""),"%")</f>
        <v>%</v>
      </c>
      <c r="AA812" s="36">
        <f>IFERROR(__xludf.DUMMYFUNCTION("""COMPUTED_VALUE"""),3.0)</f>
        <v>3</v>
      </c>
      <c r="AB812" s="37"/>
      <c r="AC812" s="38"/>
      <c r="AD812" s="34" t="str">
        <f>IFERROR(__xludf.DUMMYFUNCTION("""COMPUTED_VALUE"""),"")</f>
        <v/>
      </c>
      <c r="AE812" s="35" t="str">
        <f>IFERROR(__xludf.DUMMYFUNCTION("""COMPUTED_VALUE"""),"AP")</f>
        <v>AP</v>
      </c>
      <c r="AF812" s="34" t="str">
        <f>IFERROR(__xludf.DUMMYFUNCTION("""COMPUTED_VALUE"""),"")</f>
        <v/>
      </c>
      <c r="AG812" s="35" t="str">
        <f>IFERROR(__xludf.DUMMYFUNCTION("""COMPUTED_VALUE"""),"%")</f>
        <v>%</v>
      </c>
      <c r="AH812" s="31"/>
      <c r="AI812" s="32"/>
      <c r="AJ812" s="67"/>
    </row>
    <row r="813" ht="24.75" hidden="1" customHeight="1">
      <c r="A813" s="40">
        <f>IFERROR(__xludf.DUMMYFUNCTION("""COMPUTED_VALUE"""),6.0)</f>
        <v>6</v>
      </c>
      <c r="B813" s="40" t="str">
        <f>IFERROR(__xludf.DUMMYFUNCTION("""COMPUTED_VALUE"""),"A108")</f>
        <v>A108</v>
      </c>
      <c r="C813" s="40"/>
      <c r="D813" s="41"/>
      <c r="E813" s="66"/>
      <c r="F813" s="43"/>
      <c r="G813" s="44"/>
      <c r="H813" s="33" t="str">
        <f>IFERROR(__xludf.DUMMYFUNCTION("""COMPUTED_VALUE""")," ")</f>
        <v> </v>
      </c>
      <c r="I813" s="45"/>
      <c r="J813" s="46" t="str">
        <f>IFERROR(__xludf.DUMMYFUNCTION("""COMPUTED_VALUE"""),"AP")</f>
        <v>AP</v>
      </c>
      <c r="K813" s="47"/>
      <c r="L813" s="48" t="str">
        <f>IFERROR(__xludf.DUMMYFUNCTION("""COMPUTED_VALUE"""),"%")</f>
        <v>%</v>
      </c>
      <c r="M813" s="49">
        <f>IFERROR(__xludf.DUMMYFUNCTION("""COMPUTED_VALUE"""),1.0)</f>
        <v>1</v>
      </c>
      <c r="N813" s="50"/>
      <c r="O813" s="38"/>
      <c r="P813" s="45" t="str">
        <f>IFERROR(__xludf.DUMMYFUNCTION("""COMPUTED_VALUE"""),"")</f>
        <v/>
      </c>
      <c r="Q813" s="46" t="str">
        <f>IFERROR(__xludf.DUMMYFUNCTION("""COMPUTED_VALUE"""),"AP")</f>
        <v>AP</v>
      </c>
      <c r="R813" s="47" t="str">
        <f>IFERROR(__xludf.DUMMYFUNCTION("""COMPUTED_VALUE"""),"")</f>
        <v/>
      </c>
      <c r="S813" s="48" t="str">
        <f>IFERROR(__xludf.DUMMYFUNCTION("""COMPUTED_VALUE"""),"%")</f>
        <v>%</v>
      </c>
      <c r="T813" s="49">
        <f>IFERROR(__xludf.DUMMYFUNCTION("""COMPUTED_VALUE"""),2.0)</f>
        <v>2</v>
      </c>
      <c r="U813" s="50"/>
      <c r="V813" s="38"/>
      <c r="W813" s="45" t="str">
        <f>IFERROR(__xludf.DUMMYFUNCTION("""COMPUTED_VALUE"""),"")</f>
        <v/>
      </c>
      <c r="X813" s="46" t="str">
        <f>IFERROR(__xludf.DUMMYFUNCTION("""COMPUTED_VALUE"""),"AP")</f>
        <v>AP</v>
      </c>
      <c r="Y813" s="47" t="str">
        <f>IFERROR(__xludf.DUMMYFUNCTION("""COMPUTED_VALUE"""),"")</f>
        <v/>
      </c>
      <c r="Z813" s="48" t="str">
        <f>IFERROR(__xludf.DUMMYFUNCTION("""COMPUTED_VALUE"""),"%")</f>
        <v>%</v>
      </c>
      <c r="AA813" s="49">
        <f>IFERROR(__xludf.DUMMYFUNCTION("""COMPUTED_VALUE"""),3.0)</f>
        <v>3</v>
      </c>
      <c r="AB813" s="50"/>
      <c r="AC813" s="38"/>
      <c r="AD813" s="45" t="str">
        <f>IFERROR(__xludf.DUMMYFUNCTION("""COMPUTED_VALUE"""),"")</f>
        <v/>
      </c>
      <c r="AE813" s="46" t="str">
        <f>IFERROR(__xludf.DUMMYFUNCTION("""COMPUTED_VALUE"""),"AP")</f>
        <v>AP</v>
      </c>
      <c r="AF813" s="47" t="str">
        <f>IFERROR(__xludf.DUMMYFUNCTION("""COMPUTED_VALUE"""),"")</f>
        <v/>
      </c>
      <c r="AG813" s="48" t="str">
        <f>IFERROR(__xludf.DUMMYFUNCTION("""COMPUTED_VALUE"""),"%")</f>
        <v>%</v>
      </c>
      <c r="AH813" s="43"/>
      <c r="AI813" s="44"/>
      <c r="AJ813" s="66"/>
    </row>
    <row r="814" ht="24.75" hidden="1" customHeight="1">
      <c r="A814" s="28">
        <f>IFERROR(__xludf.DUMMYFUNCTION("""COMPUTED_VALUE"""),7.0)</f>
        <v>7</v>
      </c>
      <c r="B814" s="28" t="str">
        <f>IFERROR(__xludf.DUMMYFUNCTION("""COMPUTED_VALUE"""),"A108")</f>
        <v>A108</v>
      </c>
      <c r="C814" s="28"/>
      <c r="D814" s="29"/>
      <c r="E814" s="67"/>
      <c r="F814" s="31"/>
      <c r="G814" s="32"/>
      <c r="H814" s="33" t="str">
        <f>IFERROR(__xludf.DUMMYFUNCTION("""COMPUTED_VALUE""")," ")</f>
        <v> </v>
      </c>
      <c r="I814" s="34"/>
      <c r="J814" s="35" t="str">
        <f>IFERROR(__xludf.DUMMYFUNCTION("""COMPUTED_VALUE"""),"AP")</f>
        <v>AP</v>
      </c>
      <c r="K814" s="34"/>
      <c r="L814" s="35" t="str">
        <f>IFERROR(__xludf.DUMMYFUNCTION("""COMPUTED_VALUE"""),"%")</f>
        <v>%</v>
      </c>
      <c r="M814" s="36">
        <f>IFERROR(__xludf.DUMMYFUNCTION("""COMPUTED_VALUE"""),1.0)</f>
        <v>1</v>
      </c>
      <c r="N814" s="37"/>
      <c r="O814" s="38"/>
      <c r="P814" s="34" t="str">
        <f>IFERROR(__xludf.DUMMYFUNCTION("""COMPUTED_VALUE"""),"")</f>
        <v/>
      </c>
      <c r="Q814" s="35" t="str">
        <f>IFERROR(__xludf.DUMMYFUNCTION("""COMPUTED_VALUE"""),"AP")</f>
        <v>AP</v>
      </c>
      <c r="R814" s="34" t="str">
        <f>IFERROR(__xludf.DUMMYFUNCTION("""COMPUTED_VALUE"""),"")</f>
        <v/>
      </c>
      <c r="S814" s="35" t="str">
        <f>IFERROR(__xludf.DUMMYFUNCTION("""COMPUTED_VALUE"""),"%")</f>
        <v>%</v>
      </c>
      <c r="T814" s="36">
        <f>IFERROR(__xludf.DUMMYFUNCTION("""COMPUTED_VALUE"""),2.0)</f>
        <v>2</v>
      </c>
      <c r="U814" s="37"/>
      <c r="V814" s="38"/>
      <c r="W814" s="34" t="str">
        <f>IFERROR(__xludf.DUMMYFUNCTION("""COMPUTED_VALUE"""),"")</f>
        <v/>
      </c>
      <c r="X814" s="35" t="str">
        <f>IFERROR(__xludf.DUMMYFUNCTION("""COMPUTED_VALUE"""),"AP")</f>
        <v>AP</v>
      </c>
      <c r="Y814" s="34" t="str">
        <f>IFERROR(__xludf.DUMMYFUNCTION("""COMPUTED_VALUE"""),"")</f>
        <v/>
      </c>
      <c r="Z814" s="35" t="str">
        <f>IFERROR(__xludf.DUMMYFUNCTION("""COMPUTED_VALUE"""),"%")</f>
        <v>%</v>
      </c>
      <c r="AA814" s="36">
        <f>IFERROR(__xludf.DUMMYFUNCTION("""COMPUTED_VALUE"""),3.0)</f>
        <v>3</v>
      </c>
      <c r="AB814" s="37"/>
      <c r="AC814" s="38"/>
      <c r="AD814" s="34" t="str">
        <f>IFERROR(__xludf.DUMMYFUNCTION("""COMPUTED_VALUE"""),"")</f>
        <v/>
      </c>
      <c r="AE814" s="35" t="str">
        <f>IFERROR(__xludf.DUMMYFUNCTION("""COMPUTED_VALUE"""),"AP")</f>
        <v>AP</v>
      </c>
      <c r="AF814" s="34" t="str">
        <f>IFERROR(__xludf.DUMMYFUNCTION("""COMPUTED_VALUE"""),"")</f>
        <v/>
      </c>
      <c r="AG814" s="35" t="str">
        <f>IFERROR(__xludf.DUMMYFUNCTION("""COMPUTED_VALUE"""),"%")</f>
        <v>%</v>
      </c>
      <c r="AH814" s="31"/>
      <c r="AI814" s="32"/>
      <c r="AJ814" s="67"/>
    </row>
    <row r="815" ht="24.75" hidden="1" customHeight="1">
      <c r="A815" s="40">
        <f>IFERROR(__xludf.DUMMYFUNCTION("""COMPUTED_VALUE"""),8.0)</f>
        <v>8</v>
      </c>
      <c r="B815" s="40" t="str">
        <f>IFERROR(__xludf.DUMMYFUNCTION("""COMPUTED_VALUE"""),"A108")</f>
        <v>A108</v>
      </c>
      <c r="C815" s="40"/>
      <c r="D815" s="41"/>
      <c r="E815" s="66"/>
      <c r="F815" s="43"/>
      <c r="G815" s="44"/>
      <c r="H815" s="33" t="str">
        <f>IFERROR(__xludf.DUMMYFUNCTION("""COMPUTED_VALUE""")," ")</f>
        <v> </v>
      </c>
      <c r="I815" s="45"/>
      <c r="J815" s="46" t="str">
        <f>IFERROR(__xludf.DUMMYFUNCTION("""COMPUTED_VALUE"""),"AP")</f>
        <v>AP</v>
      </c>
      <c r="K815" s="47"/>
      <c r="L815" s="48" t="str">
        <f>IFERROR(__xludf.DUMMYFUNCTION("""COMPUTED_VALUE"""),"%")</f>
        <v>%</v>
      </c>
      <c r="M815" s="49">
        <f>IFERROR(__xludf.DUMMYFUNCTION("""COMPUTED_VALUE"""),1.0)</f>
        <v>1</v>
      </c>
      <c r="N815" s="50"/>
      <c r="O815" s="38"/>
      <c r="P815" s="45" t="str">
        <f>IFERROR(__xludf.DUMMYFUNCTION("""COMPUTED_VALUE"""),"")</f>
        <v/>
      </c>
      <c r="Q815" s="46" t="str">
        <f>IFERROR(__xludf.DUMMYFUNCTION("""COMPUTED_VALUE"""),"AP")</f>
        <v>AP</v>
      </c>
      <c r="R815" s="47" t="str">
        <f>IFERROR(__xludf.DUMMYFUNCTION("""COMPUTED_VALUE"""),"")</f>
        <v/>
      </c>
      <c r="S815" s="48" t="str">
        <f>IFERROR(__xludf.DUMMYFUNCTION("""COMPUTED_VALUE"""),"%")</f>
        <v>%</v>
      </c>
      <c r="T815" s="49">
        <f>IFERROR(__xludf.DUMMYFUNCTION("""COMPUTED_VALUE"""),2.0)</f>
        <v>2</v>
      </c>
      <c r="U815" s="50"/>
      <c r="V815" s="38"/>
      <c r="W815" s="45" t="str">
        <f>IFERROR(__xludf.DUMMYFUNCTION("""COMPUTED_VALUE"""),"")</f>
        <v/>
      </c>
      <c r="X815" s="46" t="str">
        <f>IFERROR(__xludf.DUMMYFUNCTION("""COMPUTED_VALUE"""),"AP")</f>
        <v>AP</v>
      </c>
      <c r="Y815" s="47" t="str">
        <f>IFERROR(__xludf.DUMMYFUNCTION("""COMPUTED_VALUE"""),"")</f>
        <v/>
      </c>
      <c r="Z815" s="48" t="str">
        <f>IFERROR(__xludf.DUMMYFUNCTION("""COMPUTED_VALUE"""),"%")</f>
        <v>%</v>
      </c>
      <c r="AA815" s="49">
        <f>IFERROR(__xludf.DUMMYFUNCTION("""COMPUTED_VALUE"""),3.0)</f>
        <v>3</v>
      </c>
      <c r="AB815" s="50"/>
      <c r="AC815" s="38"/>
      <c r="AD815" s="45" t="str">
        <f>IFERROR(__xludf.DUMMYFUNCTION("""COMPUTED_VALUE"""),"")</f>
        <v/>
      </c>
      <c r="AE815" s="46" t="str">
        <f>IFERROR(__xludf.DUMMYFUNCTION("""COMPUTED_VALUE"""),"AP")</f>
        <v>AP</v>
      </c>
      <c r="AF815" s="47" t="str">
        <f>IFERROR(__xludf.DUMMYFUNCTION("""COMPUTED_VALUE"""),"")</f>
        <v/>
      </c>
      <c r="AG815" s="48" t="str">
        <f>IFERROR(__xludf.DUMMYFUNCTION("""COMPUTED_VALUE"""),"%")</f>
        <v>%</v>
      </c>
      <c r="AH815" s="43"/>
      <c r="AI815" s="44"/>
      <c r="AJ815" s="66"/>
    </row>
    <row r="816" ht="24.75" hidden="1" customHeight="1">
      <c r="A816" s="28">
        <f>IFERROR(__xludf.DUMMYFUNCTION("""COMPUTED_VALUE"""),9.0)</f>
        <v>9</v>
      </c>
      <c r="B816" s="28" t="str">
        <f>IFERROR(__xludf.DUMMYFUNCTION("""COMPUTED_VALUE"""),"A108")</f>
        <v>A108</v>
      </c>
      <c r="C816" s="28"/>
      <c r="D816" s="29"/>
      <c r="E816" s="67"/>
      <c r="F816" s="31"/>
      <c r="G816" s="32"/>
      <c r="H816" s="33" t="str">
        <f>IFERROR(__xludf.DUMMYFUNCTION("""COMPUTED_VALUE""")," ")</f>
        <v> </v>
      </c>
      <c r="I816" s="34"/>
      <c r="J816" s="35" t="str">
        <f>IFERROR(__xludf.DUMMYFUNCTION("""COMPUTED_VALUE"""),"AP")</f>
        <v>AP</v>
      </c>
      <c r="K816" s="34"/>
      <c r="L816" s="35" t="str">
        <f>IFERROR(__xludf.DUMMYFUNCTION("""COMPUTED_VALUE"""),"%")</f>
        <v>%</v>
      </c>
      <c r="M816" s="36">
        <f>IFERROR(__xludf.DUMMYFUNCTION("""COMPUTED_VALUE"""),1.0)</f>
        <v>1</v>
      </c>
      <c r="N816" s="37"/>
      <c r="O816" s="38"/>
      <c r="P816" s="34" t="str">
        <f>IFERROR(__xludf.DUMMYFUNCTION("""COMPUTED_VALUE"""),"")</f>
        <v/>
      </c>
      <c r="Q816" s="35" t="str">
        <f>IFERROR(__xludf.DUMMYFUNCTION("""COMPUTED_VALUE"""),"AP")</f>
        <v>AP</v>
      </c>
      <c r="R816" s="34" t="str">
        <f>IFERROR(__xludf.DUMMYFUNCTION("""COMPUTED_VALUE"""),"")</f>
        <v/>
      </c>
      <c r="S816" s="35" t="str">
        <f>IFERROR(__xludf.DUMMYFUNCTION("""COMPUTED_VALUE"""),"%")</f>
        <v>%</v>
      </c>
      <c r="T816" s="36">
        <f>IFERROR(__xludf.DUMMYFUNCTION("""COMPUTED_VALUE"""),2.0)</f>
        <v>2</v>
      </c>
      <c r="U816" s="37"/>
      <c r="V816" s="38"/>
      <c r="W816" s="34" t="str">
        <f>IFERROR(__xludf.DUMMYFUNCTION("""COMPUTED_VALUE"""),"")</f>
        <v/>
      </c>
      <c r="X816" s="35" t="str">
        <f>IFERROR(__xludf.DUMMYFUNCTION("""COMPUTED_VALUE"""),"AP")</f>
        <v>AP</v>
      </c>
      <c r="Y816" s="34" t="str">
        <f>IFERROR(__xludf.DUMMYFUNCTION("""COMPUTED_VALUE"""),"")</f>
        <v/>
      </c>
      <c r="Z816" s="35" t="str">
        <f>IFERROR(__xludf.DUMMYFUNCTION("""COMPUTED_VALUE"""),"%")</f>
        <v>%</v>
      </c>
      <c r="AA816" s="36">
        <f>IFERROR(__xludf.DUMMYFUNCTION("""COMPUTED_VALUE"""),3.0)</f>
        <v>3</v>
      </c>
      <c r="AB816" s="37"/>
      <c r="AC816" s="38"/>
      <c r="AD816" s="34" t="str">
        <f>IFERROR(__xludf.DUMMYFUNCTION("""COMPUTED_VALUE"""),"")</f>
        <v/>
      </c>
      <c r="AE816" s="35" t="str">
        <f>IFERROR(__xludf.DUMMYFUNCTION("""COMPUTED_VALUE"""),"AP")</f>
        <v>AP</v>
      </c>
      <c r="AF816" s="34" t="str">
        <f>IFERROR(__xludf.DUMMYFUNCTION("""COMPUTED_VALUE"""),"")</f>
        <v/>
      </c>
      <c r="AG816" s="35" t="str">
        <f>IFERROR(__xludf.DUMMYFUNCTION("""COMPUTED_VALUE"""),"%")</f>
        <v>%</v>
      </c>
      <c r="AH816" s="31"/>
      <c r="AI816" s="32"/>
      <c r="AJ816" s="67"/>
    </row>
    <row r="817" ht="24.75" hidden="1" customHeight="1">
      <c r="A817" s="40">
        <f>IFERROR(__xludf.DUMMYFUNCTION("""COMPUTED_VALUE"""),10.0)</f>
        <v>10</v>
      </c>
      <c r="B817" s="40" t="str">
        <f>IFERROR(__xludf.DUMMYFUNCTION("""COMPUTED_VALUE"""),"A108")</f>
        <v>A108</v>
      </c>
      <c r="C817" s="40"/>
      <c r="D817" s="41"/>
      <c r="E817" s="66"/>
      <c r="F817" s="43"/>
      <c r="G817" s="44"/>
      <c r="H817" s="33" t="str">
        <f>IFERROR(__xludf.DUMMYFUNCTION("""COMPUTED_VALUE""")," ")</f>
        <v> </v>
      </c>
      <c r="I817" s="45"/>
      <c r="J817" s="46" t="str">
        <f>IFERROR(__xludf.DUMMYFUNCTION("""COMPUTED_VALUE"""),"AP")</f>
        <v>AP</v>
      </c>
      <c r="K817" s="47"/>
      <c r="L817" s="48" t="str">
        <f>IFERROR(__xludf.DUMMYFUNCTION("""COMPUTED_VALUE"""),"%")</f>
        <v>%</v>
      </c>
      <c r="M817" s="49">
        <f>IFERROR(__xludf.DUMMYFUNCTION("""COMPUTED_VALUE"""),1.0)</f>
        <v>1</v>
      </c>
      <c r="N817" s="50"/>
      <c r="O817" s="38"/>
      <c r="P817" s="45" t="str">
        <f>IFERROR(__xludf.DUMMYFUNCTION("""COMPUTED_VALUE"""),"")</f>
        <v/>
      </c>
      <c r="Q817" s="46" t="str">
        <f>IFERROR(__xludf.DUMMYFUNCTION("""COMPUTED_VALUE"""),"AP")</f>
        <v>AP</v>
      </c>
      <c r="R817" s="47" t="str">
        <f>IFERROR(__xludf.DUMMYFUNCTION("""COMPUTED_VALUE"""),"")</f>
        <v/>
      </c>
      <c r="S817" s="48" t="str">
        <f>IFERROR(__xludf.DUMMYFUNCTION("""COMPUTED_VALUE"""),"%")</f>
        <v>%</v>
      </c>
      <c r="T817" s="49">
        <f>IFERROR(__xludf.DUMMYFUNCTION("""COMPUTED_VALUE"""),2.0)</f>
        <v>2</v>
      </c>
      <c r="U817" s="50"/>
      <c r="V817" s="38"/>
      <c r="W817" s="45" t="str">
        <f>IFERROR(__xludf.DUMMYFUNCTION("""COMPUTED_VALUE"""),"")</f>
        <v/>
      </c>
      <c r="X817" s="46" t="str">
        <f>IFERROR(__xludf.DUMMYFUNCTION("""COMPUTED_VALUE"""),"AP")</f>
        <v>AP</v>
      </c>
      <c r="Y817" s="47" t="str">
        <f>IFERROR(__xludf.DUMMYFUNCTION("""COMPUTED_VALUE"""),"")</f>
        <v/>
      </c>
      <c r="Z817" s="48" t="str">
        <f>IFERROR(__xludf.DUMMYFUNCTION("""COMPUTED_VALUE"""),"%")</f>
        <v>%</v>
      </c>
      <c r="AA817" s="49">
        <f>IFERROR(__xludf.DUMMYFUNCTION("""COMPUTED_VALUE"""),3.0)</f>
        <v>3</v>
      </c>
      <c r="AB817" s="50"/>
      <c r="AC817" s="38"/>
      <c r="AD817" s="45" t="str">
        <f>IFERROR(__xludf.DUMMYFUNCTION("""COMPUTED_VALUE"""),"")</f>
        <v/>
      </c>
      <c r="AE817" s="46" t="str">
        <f>IFERROR(__xludf.DUMMYFUNCTION("""COMPUTED_VALUE"""),"AP")</f>
        <v>AP</v>
      </c>
      <c r="AF817" s="47" t="str">
        <f>IFERROR(__xludf.DUMMYFUNCTION("""COMPUTED_VALUE"""),"")</f>
        <v/>
      </c>
      <c r="AG817" s="48" t="str">
        <f>IFERROR(__xludf.DUMMYFUNCTION("""COMPUTED_VALUE"""),"%")</f>
        <v>%</v>
      </c>
      <c r="AH817" s="43"/>
      <c r="AI817" s="44"/>
      <c r="AJ817" s="66"/>
    </row>
    <row r="818" ht="24.75" hidden="1" customHeight="1">
      <c r="A818" s="28">
        <f>IFERROR(__xludf.DUMMYFUNCTION("""COMPUTED_VALUE"""),11.0)</f>
        <v>11</v>
      </c>
      <c r="B818" s="28" t="str">
        <f>IFERROR(__xludf.DUMMYFUNCTION("""COMPUTED_VALUE"""),"A108")</f>
        <v>A108</v>
      </c>
      <c r="C818" s="28"/>
      <c r="D818" s="29"/>
      <c r="E818" s="67"/>
      <c r="F818" s="31"/>
      <c r="G818" s="32"/>
      <c r="H818" s="33" t="str">
        <f>IFERROR(__xludf.DUMMYFUNCTION("""COMPUTED_VALUE""")," ")</f>
        <v> </v>
      </c>
      <c r="I818" s="34"/>
      <c r="J818" s="35" t="str">
        <f>IFERROR(__xludf.DUMMYFUNCTION("""COMPUTED_VALUE"""),"AP")</f>
        <v>AP</v>
      </c>
      <c r="K818" s="34"/>
      <c r="L818" s="35" t="str">
        <f>IFERROR(__xludf.DUMMYFUNCTION("""COMPUTED_VALUE"""),"%")</f>
        <v>%</v>
      </c>
      <c r="M818" s="36">
        <f>IFERROR(__xludf.DUMMYFUNCTION("""COMPUTED_VALUE"""),1.0)</f>
        <v>1</v>
      </c>
      <c r="N818" s="37"/>
      <c r="O818" s="38"/>
      <c r="P818" s="34" t="str">
        <f>IFERROR(__xludf.DUMMYFUNCTION("""COMPUTED_VALUE"""),"")</f>
        <v/>
      </c>
      <c r="Q818" s="35" t="str">
        <f>IFERROR(__xludf.DUMMYFUNCTION("""COMPUTED_VALUE"""),"AP")</f>
        <v>AP</v>
      </c>
      <c r="R818" s="34" t="str">
        <f>IFERROR(__xludf.DUMMYFUNCTION("""COMPUTED_VALUE"""),"")</f>
        <v/>
      </c>
      <c r="S818" s="35" t="str">
        <f>IFERROR(__xludf.DUMMYFUNCTION("""COMPUTED_VALUE"""),"%")</f>
        <v>%</v>
      </c>
      <c r="T818" s="36">
        <f>IFERROR(__xludf.DUMMYFUNCTION("""COMPUTED_VALUE"""),2.0)</f>
        <v>2</v>
      </c>
      <c r="U818" s="37"/>
      <c r="V818" s="38"/>
      <c r="W818" s="34" t="str">
        <f>IFERROR(__xludf.DUMMYFUNCTION("""COMPUTED_VALUE"""),"")</f>
        <v/>
      </c>
      <c r="X818" s="35" t="str">
        <f>IFERROR(__xludf.DUMMYFUNCTION("""COMPUTED_VALUE"""),"AP")</f>
        <v>AP</v>
      </c>
      <c r="Y818" s="34" t="str">
        <f>IFERROR(__xludf.DUMMYFUNCTION("""COMPUTED_VALUE"""),"")</f>
        <v/>
      </c>
      <c r="Z818" s="35" t="str">
        <f>IFERROR(__xludf.DUMMYFUNCTION("""COMPUTED_VALUE"""),"%")</f>
        <v>%</v>
      </c>
      <c r="AA818" s="36">
        <f>IFERROR(__xludf.DUMMYFUNCTION("""COMPUTED_VALUE"""),3.0)</f>
        <v>3</v>
      </c>
      <c r="AB818" s="37"/>
      <c r="AC818" s="38"/>
      <c r="AD818" s="34" t="str">
        <f>IFERROR(__xludf.DUMMYFUNCTION("""COMPUTED_VALUE"""),"")</f>
        <v/>
      </c>
      <c r="AE818" s="35" t="str">
        <f>IFERROR(__xludf.DUMMYFUNCTION("""COMPUTED_VALUE"""),"AP")</f>
        <v>AP</v>
      </c>
      <c r="AF818" s="34" t="str">
        <f>IFERROR(__xludf.DUMMYFUNCTION("""COMPUTED_VALUE"""),"")</f>
        <v/>
      </c>
      <c r="AG818" s="35" t="str">
        <f>IFERROR(__xludf.DUMMYFUNCTION("""COMPUTED_VALUE"""),"%")</f>
        <v>%</v>
      </c>
      <c r="AH818" s="31"/>
      <c r="AI818" s="32"/>
      <c r="AJ818" s="67"/>
    </row>
    <row r="819" ht="24.75" hidden="1" customHeight="1">
      <c r="A819" s="40">
        <f>IFERROR(__xludf.DUMMYFUNCTION("""COMPUTED_VALUE"""),12.0)</f>
        <v>12</v>
      </c>
      <c r="B819" s="40" t="str">
        <f>IFERROR(__xludf.DUMMYFUNCTION("""COMPUTED_VALUE"""),"A108")</f>
        <v>A108</v>
      </c>
      <c r="C819" s="40"/>
      <c r="D819" s="41"/>
      <c r="E819" s="66"/>
      <c r="F819" s="43"/>
      <c r="G819" s="44"/>
      <c r="H819" s="33" t="str">
        <f>IFERROR(__xludf.DUMMYFUNCTION("""COMPUTED_VALUE""")," ")</f>
        <v> </v>
      </c>
      <c r="I819" s="45"/>
      <c r="J819" s="46" t="str">
        <f>IFERROR(__xludf.DUMMYFUNCTION("""COMPUTED_VALUE"""),"AP")</f>
        <v>AP</v>
      </c>
      <c r="K819" s="47"/>
      <c r="L819" s="48" t="str">
        <f>IFERROR(__xludf.DUMMYFUNCTION("""COMPUTED_VALUE"""),"%")</f>
        <v>%</v>
      </c>
      <c r="M819" s="49">
        <f>IFERROR(__xludf.DUMMYFUNCTION("""COMPUTED_VALUE"""),1.0)</f>
        <v>1</v>
      </c>
      <c r="N819" s="50"/>
      <c r="O819" s="38"/>
      <c r="P819" s="45" t="str">
        <f>IFERROR(__xludf.DUMMYFUNCTION("""COMPUTED_VALUE"""),"")</f>
        <v/>
      </c>
      <c r="Q819" s="46" t="str">
        <f>IFERROR(__xludf.DUMMYFUNCTION("""COMPUTED_VALUE"""),"AP")</f>
        <v>AP</v>
      </c>
      <c r="R819" s="47" t="str">
        <f>IFERROR(__xludf.DUMMYFUNCTION("""COMPUTED_VALUE"""),"")</f>
        <v/>
      </c>
      <c r="S819" s="48" t="str">
        <f>IFERROR(__xludf.DUMMYFUNCTION("""COMPUTED_VALUE"""),"%")</f>
        <v>%</v>
      </c>
      <c r="T819" s="49">
        <f>IFERROR(__xludf.DUMMYFUNCTION("""COMPUTED_VALUE"""),2.0)</f>
        <v>2</v>
      </c>
      <c r="U819" s="50"/>
      <c r="V819" s="38"/>
      <c r="W819" s="45" t="str">
        <f>IFERROR(__xludf.DUMMYFUNCTION("""COMPUTED_VALUE"""),"")</f>
        <v/>
      </c>
      <c r="X819" s="46" t="str">
        <f>IFERROR(__xludf.DUMMYFUNCTION("""COMPUTED_VALUE"""),"AP")</f>
        <v>AP</v>
      </c>
      <c r="Y819" s="47" t="str">
        <f>IFERROR(__xludf.DUMMYFUNCTION("""COMPUTED_VALUE"""),"")</f>
        <v/>
      </c>
      <c r="Z819" s="48" t="str">
        <f>IFERROR(__xludf.DUMMYFUNCTION("""COMPUTED_VALUE"""),"%")</f>
        <v>%</v>
      </c>
      <c r="AA819" s="49">
        <f>IFERROR(__xludf.DUMMYFUNCTION("""COMPUTED_VALUE"""),3.0)</f>
        <v>3</v>
      </c>
      <c r="AB819" s="50"/>
      <c r="AC819" s="38"/>
      <c r="AD819" s="45" t="str">
        <f>IFERROR(__xludf.DUMMYFUNCTION("""COMPUTED_VALUE"""),"")</f>
        <v/>
      </c>
      <c r="AE819" s="46" t="str">
        <f>IFERROR(__xludf.DUMMYFUNCTION("""COMPUTED_VALUE"""),"AP")</f>
        <v>AP</v>
      </c>
      <c r="AF819" s="47" t="str">
        <f>IFERROR(__xludf.DUMMYFUNCTION("""COMPUTED_VALUE"""),"")</f>
        <v/>
      </c>
      <c r="AG819" s="48" t="str">
        <f>IFERROR(__xludf.DUMMYFUNCTION("""COMPUTED_VALUE"""),"%")</f>
        <v>%</v>
      </c>
      <c r="AH819" s="43"/>
      <c r="AI819" s="44"/>
      <c r="AJ819" s="66"/>
    </row>
    <row r="820" ht="24.75" hidden="1" customHeight="1">
      <c r="A820" s="28">
        <f>IFERROR(__xludf.DUMMYFUNCTION("""COMPUTED_VALUE"""),13.0)</f>
        <v>13</v>
      </c>
      <c r="B820" s="28" t="str">
        <f>IFERROR(__xludf.DUMMYFUNCTION("""COMPUTED_VALUE"""),"A108")</f>
        <v>A108</v>
      </c>
      <c r="C820" s="28"/>
      <c r="D820" s="29"/>
      <c r="E820" s="67"/>
      <c r="F820" s="31"/>
      <c r="G820" s="32"/>
      <c r="H820" s="33" t="str">
        <f>IFERROR(__xludf.DUMMYFUNCTION("""COMPUTED_VALUE""")," ")</f>
        <v> </v>
      </c>
      <c r="I820" s="34"/>
      <c r="J820" s="35" t="str">
        <f>IFERROR(__xludf.DUMMYFUNCTION("""COMPUTED_VALUE"""),"AP")</f>
        <v>AP</v>
      </c>
      <c r="K820" s="34"/>
      <c r="L820" s="35" t="str">
        <f>IFERROR(__xludf.DUMMYFUNCTION("""COMPUTED_VALUE"""),"%")</f>
        <v>%</v>
      </c>
      <c r="M820" s="36">
        <f>IFERROR(__xludf.DUMMYFUNCTION("""COMPUTED_VALUE"""),1.0)</f>
        <v>1</v>
      </c>
      <c r="N820" s="37"/>
      <c r="O820" s="38"/>
      <c r="P820" s="34" t="str">
        <f>IFERROR(__xludf.DUMMYFUNCTION("""COMPUTED_VALUE"""),"")</f>
        <v/>
      </c>
      <c r="Q820" s="35" t="str">
        <f>IFERROR(__xludf.DUMMYFUNCTION("""COMPUTED_VALUE"""),"AP")</f>
        <v>AP</v>
      </c>
      <c r="R820" s="34" t="str">
        <f>IFERROR(__xludf.DUMMYFUNCTION("""COMPUTED_VALUE"""),"")</f>
        <v/>
      </c>
      <c r="S820" s="35" t="str">
        <f>IFERROR(__xludf.DUMMYFUNCTION("""COMPUTED_VALUE"""),"%")</f>
        <v>%</v>
      </c>
      <c r="T820" s="36">
        <f>IFERROR(__xludf.DUMMYFUNCTION("""COMPUTED_VALUE"""),2.0)</f>
        <v>2</v>
      </c>
      <c r="U820" s="37"/>
      <c r="V820" s="38"/>
      <c r="W820" s="34" t="str">
        <f>IFERROR(__xludf.DUMMYFUNCTION("""COMPUTED_VALUE"""),"")</f>
        <v/>
      </c>
      <c r="X820" s="35" t="str">
        <f>IFERROR(__xludf.DUMMYFUNCTION("""COMPUTED_VALUE"""),"AP")</f>
        <v>AP</v>
      </c>
      <c r="Y820" s="34" t="str">
        <f>IFERROR(__xludf.DUMMYFUNCTION("""COMPUTED_VALUE"""),"")</f>
        <v/>
      </c>
      <c r="Z820" s="35" t="str">
        <f>IFERROR(__xludf.DUMMYFUNCTION("""COMPUTED_VALUE"""),"%")</f>
        <v>%</v>
      </c>
      <c r="AA820" s="36">
        <f>IFERROR(__xludf.DUMMYFUNCTION("""COMPUTED_VALUE"""),3.0)</f>
        <v>3</v>
      </c>
      <c r="AB820" s="37"/>
      <c r="AC820" s="38"/>
      <c r="AD820" s="34" t="str">
        <f>IFERROR(__xludf.DUMMYFUNCTION("""COMPUTED_VALUE"""),"")</f>
        <v/>
      </c>
      <c r="AE820" s="35" t="str">
        <f>IFERROR(__xludf.DUMMYFUNCTION("""COMPUTED_VALUE"""),"AP")</f>
        <v>AP</v>
      </c>
      <c r="AF820" s="34" t="str">
        <f>IFERROR(__xludf.DUMMYFUNCTION("""COMPUTED_VALUE"""),"")</f>
        <v/>
      </c>
      <c r="AG820" s="35" t="str">
        <f>IFERROR(__xludf.DUMMYFUNCTION("""COMPUTED_VALUE"""),"%")</f>
        <v>%</v>
      </c>
      <c r="AH820" s="31"/>
      <c r="AI820" s="32"/>
      <c r="AJ820" s="67"/>
    </row>
    <row r="821" ht="24.75" hidden="1" customHeight="1">
      <c r="A821" s="40">
        <f>IFERROR(__xludf.DUMMYFUNCTION("""COMPUTED_VALUE"""),14.0)</f>
        <v>14</v>
      </c>
      <c r="B821" s="40" t="str">
        <f>IFERROR(__xludf.DUMMYFUNCTION("""COMPUTED_VALUE"""),"A108")</f>
        <v>A108</v>
      </c>
      <c r="C821" s="40"/>
      <c r="D821" s="41"/>
      <c r="E821" s="66"/>
      <c r="F821" s="43"/>
      <c r="G821" s="44"/>
      <c r="H821" s="33" t="str">
        <f>IFERROR(__xludf.DUMMYFUNCTION("""COMPUTED_VALUE""")," ")</f>
        <v> </v>
      </c>
      <c r="I821" s="45"/>
      <c r="J821" s="46" t="str">
        <f>IFERROR(__xludf.DUMMYFUNCTION("""COMPUTED_VALUE"""),"AP")</f>
        <v>AP</v>
      </c>
      <c r="K821" s="47"/>
      <c r="L821" s="48" t="str">
        <f>IFERROR(__xludf.DUMMYFUNCTION("""COMPUTED_VALUE"""),"%")</f>
        <v>%</v>
      </c>
      <c r="M821" s="49">
        <f>IFERROR(__xludf.DUMMYFUNCTION("""COMPUTED_VALUE"""),1.0)</f>
        <v>1</v>
      </c>
      <c r="N821" s="50"/>
      <c r="O821" s="38"/>
      <c r="P821" s="45" t="str">
        <f>IFERROR(__xludf.DUMMYFUNCTION("""COMPUTED_VALUE"""),"")</f>
        <v/>
      </c>
      <c r="Q821" s="46" t="str">
        <f>IFERROR(__xludf.DUMMYFUNCTION("""COMPUTED_VALUE"""),"AP")</f>
        <v>AP</v>
      </c>
      <c r="R821" s="47" t="str">
        <f>IFERROR(__xludf.DUMMYFUNCTION("""COMPUTED_VALUE"""),"")</f>
        <v/>
      </c>
      <c r="S821" s="48" t="str">
        <f>IFERROR(__xludf.DUMMYFUNCTION("""COMPUTED_VALUE"""),"%")</f>
        <v>%</v>
      </c>
      <c r="T821" s="49">
        <f>IFERROR(__xludf.DUMMYFUNCTION("""COMPUTED_VALUE"""),2.0)</f>
        <v>2</v>
      </c>
      <c r="U821" s="50"/>
      <c r="V821" s="38"/>
      <c r="W821" s="45" t="str">
        <f>IFERROR(__xludf.DUMMYFUNCTION("""COMPUTED_VALUE"""),"")</f>
        <v/>
      </c>
      <c r="X821" s="46" t="str">
        <f>IFERROR(__xludf.DUMMYFUNCTION("""COMPUTED_VALUE"""),"AP")</f>
        <v>AP</v>
      </c>
      <c r="Y821" s="47" t="str">
        <f>IFERROR(__xludf.DUMMYFUNCTION("""COMPUTED_VALUE"""),"")</f>
        <v/>
      </c>
      <c r="Z821" s="48" t="str">
        <f>IFERROR(__xludf.DUMMYFUNCTION("""COMPUTED_VALUE"""),"%")</f>
        <v>%</v>
      </c>
      <c r="AA821" s="49">
        <f>IFERROR(__xludf.DUMMYFUNCTION("""COMPUTED_VALUE"""),3.0)</f>
        <v>3</v>
      </c>
      <c r="AB821" s="50"/>
      <c r="AC821" s="38"/>
      <c r="AD821" s="45" t="str">
        <f>IFERROR(__xludf.DUMMYFUNCTION("""COMPUTED_VALUE"""),"")</f>
        <v/>
      </c>
      <c r="AE821" s="46" t="str">
        <f>IFERROR(__xludf.DUMMYFUNCTION("""COMPUTED_VALUE"""),"AP")</f>
        <v>AP</v>
      </c>
      <c r="AF821" s="47" t="str">
        <f>IFERROR(__xludf.DUMMYFUNCTION("""COMPUTED_VALUE"""),"")</f>
        <v/>
      </c>
      <c r="AG821" s="48" t="str">
        <f>IFERROR(__xludf.DUMMYFUNCTION("""COMPUTED_VALUE"""),"%")</f>
        <v>%</v>
      </c>
      <c r="AH821" s="43"/>
      <c r="AI821" s="44"/>
      <c r="AJ821" s="66"/>
    </row>
    <row r="822" ht="24.75" hidden="1" customHeight="1">
      <c r="A822" s="28">
        <f>IFERROR(__xludf.DUMMYFUNCTION("""COMPUTED_VALUE"""),15.0)</f>
        <v>15</v>
      </c>
      <c r="B822" s="28" t="str">
        <f>IFERROR(__xludf.DUMMYFUNCTION("""COMPUTED_VALUE"""),"A108")</f>
        <v>A108</v>
      </c>
      <c r="C822" s="28"/>
      <c r="D822" s="29"/>
      <c r="E822" s="67"/>
      <c r="F822" s="31"/>
      <c r="G822" s="32"/>
      <c r="H822" s="33" t="str">
        <f>IFERROR(__xludf.DUMMYFUNCTION("""COMPUTED_VALUE""")," ")</f>
        <v> </v>
      </c>
      <c r="I822" s="34"/>
      <c r="J822" s="35" t="str">
        <f>IFERROR(__xludf.DUMMYFUNCTION("""COMPUTED_VALUE"""),"AP")</f>
        <v>AP</v>
      </c>
      <c r="K822" s="34"/>
      <c r="L822" s="35" t="str">
        <f>IFERROR(__xludf.DUMMYFUNCTION("""COMPUTED_VALUE"""),"%")</f>
        <v>%</v>
      </c>
      <c r="M822" s="36">
        <f>IFERROR(__xludf.DUMMYFUNCTION("""COMPUTED_VALUE"""),1.0)</f>
        <v>1</v>
      </c>
      <c r="N822" s="37"/>
      <c r="O822" s="38"/>
      <c r="P822" s="34" t="str">
        <f>IFERROR(__xludf.DUMMYFUNCTION("""COMPUTED_VALUE"""),"")</f>
        <v/>
      </c>
      <c r="Q822" s="35" t="str">
        <f>IFERROR(__xludf.DUMMYFUNCTION("""COMPUTED_VALUE"""),"AP")</f>
        <v>AP</v>
      </c>
      <c r="R822" s="34" t="str">
        <f>IFERROR(__xludf.DUMMYFUNCTION("""COMPUTED_VALUE"""),"")</f>
        <v/>
      </c>
      <c r="S822" s="35" t="str">
        <f>IFERROR(__xludf.DUMMYFUNCTION("""COMPUTED_VALUE"""),"%")</f>
        <v>%</v>
      </c>
      <c r="T822" s="36">
        <f>IFERROR(__xludf.DUMMYFUNCTION("""COMPUTED_VALUE"""),2.0)</f>
        <v>2</v>
      </c>
      <c r="U822" s="37"/>
      <c r="V822" s="38"/>
      <c r="W822" s="34" t="str">
        <f>IFERROR(__xludf.DUMMYFUNCTION("""COMPUTED_VALUE"""),"")</f>
        <v/>
      </c>
      <c r="X822" s="35" t="str">
        <f>IFERROR(__xludf.DUMMYFUNCTION("""COMPUTED_VALUE"""),"AP")</f>
        <v>AP</v>
      </c>
      <c r="Y822" s="34" t="str">
        <f>IFERROR(__xludf.DUMMYFUNCTION("""COMPUTED_VALUE"""),"")</f>
        <v/>
      </c>
      <c r="Z822" s="35" t="str">
        <f>IFERROR(__xludf.DUMMYFUNCTION("""COMPUTED_VALUE"""),"%")</f>
        <v>%</v>
      </c>
      <c r="AA822" s="36">
        <f>IFERROR(__xludf.DUMMYFUNCTION("""COMPUTED_VALUE"""),3.0)</f>
        <v>3</v>
      </c>
      <c r="AB822" s="37"/>
      <c r="AC822" s="38"/>
      <c r="AD822" s="34" t="str">
        <f>IFERROR(__xludf.DUMMYFUNCTION("""COMPUTED_VALUE"""),"")</f>
        <v/>
      </c>
      <c r="AE822" s="35" t="str">
        <f>IFERROR(__xludf.DUMMYFUNCTION("""COMPUTED_VALUE"""),"AP")</f>
        <v>AP</v>
      </c>
      <c r="AF822" s="34" t="str">
        <f>IFERROR(__xludf.DUMMYFUNCTION("""COMPUTED_VALUE"""),"")</f>
        <v/>
      </c>
      <c r="AG822" s="35" t="str">
        <f>IFERROR(__xludf.DUMMYFUNCTION("""COMPUTED_VALUE"""),"%")</f>
        <v>%</v>
      </c>
      <c r="AH822" s="31"/>
      <c r="AI822" s="32"/>
      <c r="AJ822" s="67"/>
    </row>
    <row r="823" ht="24.75" hidden="1" customHeight="1">
      <c r="A823" s="40">
        <f>IFERROR(__xludf.DUMMYFUNCTION("""COMPUTED_VALUE"""),16.0)</f>
        <v>16</v>
      </c>
      <c r="B823" s="40" t="str">
        <f>IFERROR(__xludf.DUMMYFUNCTION("""COMPUTED_VALUE"""),"A108")</f>
        <v>A108</v>
      </c>
      <c r="C823" s="40"/>
      <c r="D823" s="41"/>
      <c r="E823" s="66"/>
      <c r="F823" s="43"/>
      <c r="G823" s="44"/>
      <c r="H823" s="33" t="str">
        <f>IFERROR(__xludf.DUMMYFUNCTION("""COMPUTED_VALUE""")," ")</f>
        <v> </v>
      </c>
      <c r="I823" s="45"/>
      <c r="J823" s="46" t="str">
        <f>IFERROR(__xludf.DUMMYFUNCTION("""COMPUTED_VALUE"""),"AP")</f>
        <v>AP</v>
      </c>
      <c r="K823" s="47"/>
      <c r="L823" s="48" t="str">
        <f>IFERROR(__xludf.DUMMYFUNCTION("""COMPUTED_VALUE"""),"%")</f>
        <v>%</v>
      </c>
      <c r="M823" s="49">
        <f>IFERROR(__xludf.DUMMYFUNCTION("""COMPUTED_VALUE"""),1.0)</f>
        <v>1</v>
      </c>
      <c r="N823" s="50"/>
      <c r="O823" s="38"/>
      <c r="P823" s="45" t="str">
        <f>IFERROR(__xludf.DUMMYFUNCTION("""COMPUTED_VALUE"""),"")</f>
        <v/>
      </c>
      <c r="Q823" s="46" t="str">
        <f>IFERROR(__xludf.DUMMYFUNCTION("""COMPUTED_VALUE"""),"AP")</f>
        <v>AP</v>
      </c>
      <c r="R823" s="47" t="str">
        <f>IFERROR(__xludf.DUMMYFUNCTION("""COMPUTED_VALUE"""),"")</f>
        <v/>
      </c>
      <c r="S823" s="48" t="str">
        <f>IFERROR(__xludf.DUMMYFUNCTION("""COMPUTED_VALUE"""),"%")</f>
        <v>%</v>
      </c>
      <c r="T823" s="49">
        <f>IFERROR(__xludf.DUMMYFUNCTION("""COMPUTED_VALUE"""),2.0)</f>
        <v>2</v>
      </c>
      <c r="U823" s="50"/>
      <c r="V823" s="38"/>
      <c r="W823" s="45" t="str">
        <f>IFERROR(__xludf.DUMMYFUNCTION("""COMPUTED_VALUE"""),"")</f>
        <v/>
      </c>
      <c r="X823" s="46" t="str">
        <f>IFERROR(__xludf.DUMMYFUNCTION("""COMPUTED_VALUE"""),"AP")</f>
        <v>AP</v>
      </c>
      <c r="Y823" s="47" t="str">
        <f>IFERROR(__xludf.DUMMYFUNCTION("""COMPUTED_VALUE"""),"")</f>
        <v/>
      </c>
      <c r="Z823" s="48" t="str">
        <f>IFERROR(__xludf.DUMMYFUNCTION("""COMPUTED_VALUE"""),"%")</f>
        <v>%</v>
      </c>
      <c r="AA823" s="49">
        <f>IFERROR(__xludf.DUMMYFUNCTION("""COMPUTED_VALUE"""),3.0)</f>
        <v>3</v>
      </c>
      <c r="AB823" s="50"/>
      <c r="AC823" s="38"/>
      <c r="AD823" s="45" t="str">
        <f>IFERROR(__xludf.DUMMYFUNCTION("""COMPUTED_VALUE"""),"")</f>
        <v/>
      </c>
      <c r="AE823" s="46" t="str">
        <f>IFERROR(__xludf.DUMMYFUNCTION("""COMPUTED_VALUE"""),"AP")</f>
        <v>AP</v>
      </c>
      <c r="AF823" s="47" t="str">
        <f>IFERROR(__xludf.DUMMYFUNCTION("""COMPUTED_VALUE"""),"")</f>
        <v/>
      </c>
      <c r="AG823" s="48" t="str">
        <f>IFERROR(__xludf.DUMMYFUNCTION("""COMPUTED_VALUE"""),"%")</f>
        <v>%</v>
      </c>
      <c r="AH823" s="43"/>
      <c r="AI823" s="44"/>
      <c r="AJ823" s="66"/>
    </row>
    <row r="824" ht="24.75" hidden="1" customHeight="1">
      <c r="A824" s="28">
        <f>IFERROR(__xludf.DUMMYFUNCTION("""COMPUTED_VALUE"""),17.0)</f>
        <v>17</v>
      </c>
      <c r="B824" s="28" t="str">
        <f>IFERROR(__xludf.DUMMYFUNCTION("""COMPUTED_VALUE"""),"A108")</f>
        <v>A108</v>
      </c>
      <c r="C824" s="28"/>
      <c r="D824" s="29"/>
      <c r="E824" s="67"/>
      <c r="F824" s="31"/>
      <c r="G824" s="32"/>
      <c r="H824" s="33" t="str">
        <f>IFERROR(__xludf.DUMMYFUNCTION("""COMPUTED_VALUE""")," ")</f>
        <v> </v>
      </c>
      <c r="I824" s="34"/>
      <c r="J824" s="35" t="str">
        <f>IFERROR(__xludf.DUMMYFUNCTION("""COMPUTED_VALUE"""),"AP")</f>
        <v>AP</v>
      </c>
      <c r="K824" s="34"/>
      <c r="L824" s="35" t="str">
        <f>IFERROR(__xludf.DUMMYFUNCTION("""COMPUTED_VALUE"""),"%")</f>
        <v>%</v>
      </c>
      <c r="M824" s="36">
        <f>IFERROR(__xludf.DUMMYFUNCTION("""COMPUTED_VALUE"""),1.0)</f>
        <v>1</v>
      </c>
      <c r="N824" s="37"/>
      <c r="O824" s="38"/>
      <c r="P824" s="34" t="str">
        <f>IFERROR(__xludf.DUMMYFUNCTION("""COMPUTED_VALUE"""),"")</f>
        <v/>
      </c>
      <c r="Q824" s="35" t="str">
        <f>IFERROR(__xludf.DUMMYFUNCTION("""COMPUTED_VALUE"""),"AP")</f>
        <v>AP</v>
      </c>
      <c r="R824" s="34" t="str">
        <f>IFERROR(__xludf.DUMMYFUNCTION("""COMPUTED_VALUE"""),"")</f>
        <v/>
      </c>
      <c r="S824" s="35" t="str">
        <f>IFERROR(__xludf.DUMMYFUNCTION("""COMPUTED_VALUE"""),"%")</f>
        <v>%</v>
      </c>
      <c r="T824" s="36">
        <f>IFERROR(__xludf.DUMMYFUNCTION("""COMPUTED_VALUE"""),2.0)</f>
        <v>2</v>
      </c>
      <c r="U824" s="37"/>
      <c r="V824" s="38"/>
      <c r="W824" s="34" t="str">
        <f>IFERROR(__xludf.DUMMYFUNCTION("""COMPUTED_VALUE"""),"")</f>
        <v/>
      </c>
      <c r="X824" s="35" t="str">
        <f>IFERROR(__xludf.DUMMYFUNCTION("""COMPUTED_VALUE"""),"AP")</f>
        <v>AP</v>
      </c>
      <c r="Y824" s="34" t="str">
        <f>IFERROR(__xludf.DUMMYFUNCTION("""COMPUTED_VALUE"""),"")</f>
        <v/>
      </c>
      <c r="Z824" s="35" t="str">
        <f>IFERROR(__xludf.DUMMYFUNCTION("""COMPUTED_VALUE"""),"%")</f>
        <v>%</v>
      </c>
      <c r="AA824" s="36">
        <f>IFERROR(__xludf.DUMMYFUNCTION("""COMPUTED_VALUE"""),3.0)</f>
        <v>3</v>
      </c>
      <c r="AB824" s="37"/>
      <c r="AC824" s="38"/>
      <c r="AD824" s="34" t="str">
        <f>IFERROR(__xludf.DUMMYFUNCTION("""COMPUTED_VALUE"""),"")</f>
        <v/>
      </c>
      <c r="AE824" s="35" t="str">
        <f>IFERROR(__xludf.DUMMYFUNCTION("""COMPUTED_VALUE"""),"AP")</f>
        <v>AP</v>
      </c>
      <c r="AF824" s="34" t="str">
        <f>IFERROR(__xludf.DUMMYFUNCTION("""COMPUTED_VALUE"""),"")</f>
        <v/>
      </c>
      <c r="AG824" s="35" t="str">
        <f>IFERROR(__xludf.DUMMYFUNCTION("""COMPUTED_VALUE"""),"%")</f>
        <v>%</v>
      </c>
      <c r="AH824" s="31"/>
      <c r="AI824" s="32"/>
      <c r="AJ824" s="67"/>
    </row>
    <row r="825" ht="24.75" hidden="1" customHeight="1">
      <c r="A825" s="40">
        <f>IFERROR(__xludf.DUMMYFUNCTION("""COMPUTED_VALUE"""),18.0)</f>
        <v>18</v>
      </c>
      <c r="B825" s="40" t="str">
        <f>IFERROR(__xludf.DUMMYFUNCTION("""COMPUTED_VALUE"""),"A108")</f>
        <v>A108</v>
      </c>
      <c r="C825" s="40"/>
      <c r="D825" s="41"/>
      <c r="E825" s="66"/>
      <c r="F825" s="43"/>
      <c r="G825" s="44"/>
      <c r="H825" s="33" t="str">
        <f>IFERROR(__xludf.DUMMYFUNCTION("""COMPUTED_VALUE""")," ")</f>
        <v> </v>
      </c>
      <c r="I825" s="45"/>
      <c r="J825" s="46" t="str">
        <f>IFERROR(__xludf.DUMMYFUNCTION("""COMPUTED_VALUE"""),"AP")</f>
        <v>AP</v>
      </c>
      <c r="K825" s="47"/>
      <c r="L825" s="48" t="str">
        <f>IFERROR(__xludf.DUMMYFUNCTION("""COMPUTED_VALUE"""),"%")</f>
        <v>%</v>
      </c>
      <c r="M825" s="49">
        <f>IFERROR(__xludf.DUMMYFUNCTION("""COMPUTED_VALUE"""),1.0)</f>
        <v>1</v>
      </c>
      <c r="N825" s="50"/>
      <c r="O825" s="38"/>
      <c r="P825" s="45" t="str">
        <f>IFERROR(__xludf.DUMMYFUNCTION("""COMPUTED_VALUE"""),"")</f>
        <v/>
      </c>
      <c r="Q825" s="46" t="str">
        <f>IFERROR(__xludf.DUMMYFUNCTION("""COMPUTED_VALUE"""),"AP")</f>
        <v>AP</v>
      </c>
      <c r="R825" s="47" t="str">
        <f>IFERROR(__xludf.DUMMYFUNCTION("""COMPUTED_VALUE"""),"")</f>
        <v/>
      </c>
      <c r="S825" s="48" t="str">
        <f>IFERROR(__xludf.DUMMYFUNCTION("""COMPUTED_VALUE"""),"%")</f>
        <v>%</v>
      </c>
      <c r="T825" s="49">
        <f>IFERROR(__xludf.DUMMYFUNCTION("""COMPUTED_VALUE"""),2.0)</f>
        <v>2</v>
      </c>
      <c r="U825" s="50"/>
      <c r="V825" s="38"/>
      <c r="W825" s="45" t="str">
        <f>IFERROR(__xludf.DUMMYFUNCTION("""COMPUTED_VALUE"""),"")</f>
        <v/>
      </c>
      <c r="X825" s="46" t="str">
        <f>IFERROR(__xludf.DUMMYFUNCTION("""COMPUTED_VALUE"""),"AP")</f>
        <v>AP</v>
      </c>
      <c r="Y825" s="47" t="str">
        <f>IFERROR(__xludf.DUMMYFUNCTION("""COMPUTED_VALUE"""),"")</f>
        <v/>
      </c>
      <c r="Z825" s="48" t="str">
        <f>IFERROR(__xludf.DUMMYFUNCTION("""COMPUTED_VALUE"""),"%")</f>
        <v>%</v>
      </c>
      <c r="AA825" s="49">
        <f>IFERROR(__xludf.DUMMYFUNCTION("""COMPUTED_VALUE"""),3.0)</f>
        <v>3</v>
      </c>
      <c r="AB825" s="50"/>
      <c r="AC825" s="38"/>
      <c r="AD825" s="45" t="str">
        <f>IFERROR(__xludf.DUMMYFUNCTION("""COMPUTED_VALUE"""),"")</f>
        <v/>
      </c>
      <c r="AE825" s="46" t="str">
        <f>IFERROR(__xludf.DUMMYFUNCTION("""COMPUTED_VALUE"""),"AP")</f>
        <v>AP</v>
      </c>
      <c r="AF825" s="47" t="str">
        <f>IFERROR(__xludf.DUMMYFUNCTION("""COMPUTED_VALUE"""),"")</f>
        <v/>
      </c>
      <c r="AG825" s="48" t="str">
        <f>IFERROR(__xludf.DUMMYFUNCTION("""COMPUTED_VALUE"""),"%")</f>
        <v>%</v>
      </c>
      <c r="AH825" s="43"/>
      <c r="AI825" s="44"/>
      <c r="AJ825" s="66"/>
    </row>
    <row r="826" ht="24.75" hidden="1" customHeight="1">
      <c r="A826" s="28">
        <f>IFERROR(__xludf.DUMMYFUNCTION("""COMPUTED_VALUE"""),19.0)</f>
        <v>19</v>
      </c>
      <c r="B826" s="28" t="str">
        <f>IFERROR(__xludf.DUMMYFUNCTION("""COMPUTED_VALUE"""),"A108")</f>
        <v>A108</v>
      </c>
      <c r="C826" s="28"/>
      <c r="D826" s="29"/>
      <c r="E826" s="67"/>
      <c r="F826" s="31"/>
      <c r="G826" s="32"/>
      <c r="H826" s="33" t="str">
        <f>IFERROR(__xludf.DUMMYFUNCTION("""COMPUTED_VALUE""")," ")</f>
        <v> </v>
      </c>
      <c r="I826" s="34"/>
      <c r="J826" s="35" t="str">
        <f>IFERROR(__xludf.DUMMYFUNCTION("""COMPUTED_VALUE"""),"AP")</f>
        <v>AP</v>
      </c>
      <c r="K826" s="34"/>
      <c r="L826" s="35" t="str">
        <f>IFERROR(__xludf.DUMMYFUNCTION("""COMPUTED_VALUE"""),"%")</f>
        <v>%</v>
      </c>
      <c r="M826" s="36">
        <f>IFERROR(__xludf.DUMMYFUNCTION("""COMPUTED_VALUE"""),1.0)</f>
        <v>1</v>
      </c>
      <c r="N826" s="37"/>
      <c r="O826" s="38"/>
      <c r="P826" s="34" t="str">
        <f>IFERROR(__xludf.DUMMYFUNCTION("""COMPUTED_VALUE"""),"")</f>
        <v/>
      </c>
      <c r="Q826" s="35" t="str">
        <f>IFERROR(__xludf.DUMMYFUNCTION("""COMPUTED_VALUE"""),"AP")</f>
        <v>AP</v>
      </c>
      <c r="R826" s="34" t="str">
        <f>IFERROR(__xludf.DUMMYFUNCTION("""COMPUTED_VALUE"""),"")</f>
        <v/>
      </c>
      <c r="S826" s="35" t="str">
        <f>IFERROR(__xludf.DUMMYFUNCTION("""COMPUTED_VALUE"""),"%")</f>
        <v>%</v>
      </c>
      <c r="T826" s="36">
        <f>IFERROR(__xludf.DUMMYFUNCTION("""COMPUTED_VALUE"""),2.0)</f>
        <v>2</v>
      </c>
      <c r="U826" s="37"/>
      <c r="V826" s="38"/>
      <c r="W826" s="34" t="str">
        <f>IFERROR(__xludf.DUMMYFUNCTION("""COMPUTED_VALUE"""),"")</f>
        <v/>
      </c>
      <c r="X826" s="35" t="str">
        <f>IFERROR(__xludf.DUMMYFUNCTION("""COMPUTED_VALUE"""),"AP")</f>
        <v>AP</v>
      </c>
      <c r="Y826" s="34" t="str">
        <f>IFERROR(__xludf.DUMMYFUNCTION("""COMPUTED_VALUE"""),"")</f>
        <v/>
      </c>
      <c r="Z826" s="35" t="str">
        <f>IFERROR(__xludf.DUMMYFUNCTION("""COMPUTED_VALUE"""),"%")</f>
        <v>%</v>
      </c>
      <c r="AA826" s="36">
        <f>IFERROR(__xludf.DUMMYFUNCTION("""COMPUTED_VALUE"""),3.0)</f>
        <v>3</v>
      </c>
      <c r="AB826" s="37"/>
      <c r="AC826" s="38"/>
      <c r="AD826" s="34" t="str">
        <f>IFERROR(__xludf.DUMMYFUNCTION("""COMPUTED_VALUE"""),"")</f>
        <v/>
      </c>
      <c r="AE826" s="35" t="str">
        <f>IFERROR(__xludf.DUMMYFUNCTION("""COMPUTED_VALUE"""),"AP")</f>
        <v>AP</v>
      </c>
      <c r="AF826" s="34" t="str">
        <f>IFERROR(__xludf.DUMMYFUNCTION("""COMPUTED_VALUE"""),"")</f>
        <v/>
      </c>
      <c r="AG826" s="35" t="str">
        <f>IFERROR(__xludf.DUMMYFUNCTION("""COMPUTED_VALUE"""),"%")</f>
        <v>%</v>
      </c>
      <c r="AH826" s="31"/>
      <c r="AI826" s="32"/>
      <c r="AJ826" s="67"/>
    </row>
    <row r="827" ht="24.75" hidden="1" customHeight="1">
      <c r="A827" s="40">
        <f>IFERROR(__xludf.DUMMYFUNCTION("""COMPUTED_VALUE"""),20.0)</f>
        <v>20</v>
      </c>
      <c r="B827" s="40" t="str">
        <f>IFERROR(__xludf.DUMMYFUNCTION("""COMPUTED_VALUE"""),"A108")</f>
        <v>A108</v>
      </c>
      <c r="C827" s="40"/>
      <c r="D827" s="41"/>
      <c r="E827" s="66"/>
      <c r="F827" s="43"/>
      <c r="G827" s="44"/>
      <c r="H827" s="33" t="str">
        <f>IFERROR(__xludf.DUMMYFUNCTION("""COMPUTED_VALUE""")," ")</f>
        <v> </v>
      </c>
      <c r="I827" s="45"/>
      <c r="J827" s="46" t="str">
        <f>IFERROR(__xludf.DUMMYFUNCTION("""COMPUTED_VALUE"""),"AP")</f>
        <v>AP</v>
      </c>
      <c r="K827" s="47"/>
      <c r="L827" s="48" t="str">
        <f>IFERROR(__xludf.DUMMYFUNCTION("""COMPUTED_VALUE"""),"%")</f>
        <v>%</v>
      </c>
      <c r="M827" s="49">
        <f>IFERROR(__xludf.DUMMYFUNCTION("""COMPUTED_VALUE"""),1.0)</f>
        <v>1</v>
      </c>
      <c r="N827" s="50"/>
      <c r="O827" s="38"/>
      <c r="P827" s="45" t="str">
        <f>IFERROR(__xludf.DUMMYFUNCTION("""COMPUTED_VALUE"""),"")</f>
        <v/>
      </c>
      <c r="Q827" s="46" t="str">
        <f>IFERROR(__xludf.DUMMYFUNCTION("""COMPUTED_VALUE"""),"AP")</f>
        <v>AP</v>
      </c>
      <c r="R827" s="47" t="str">
        <f>IFERROR(__xludf.DUMMYFUNCTION("""COMPUTED_VALUE"""),"")</f>
        <v/>
      </c>
      <c r="S827" s="48" t="str">
        <f>IFERROR(__xludf.DUMMYFUNCTION("""COMPUTED_VALUE"""),"%")</f>
        <v>%</v>
      </c>
      <c r="T827" s="49">
        <f>IFERROR(__xludf.DUMMYFUNCTION("""COMPUTED_VALUE"""),2.0)</f>
        <v>2</v>
      </c>
      <c r="U827" s="50"/>
      <c r="V827" s="38"/>
      <c r="W827" s="45" t="str">
        <f>IFERROR(__xludf.DUMMYFUNCTION("""COMPUTED_VALUE"""),"")</f>
        <v/>
      </c>
      <c r="X827" s="46" t="str">
        <f>IFERROR(__xludf.DUMMYFUNCTION("""COMPUTED_VALUE"""),"AP")</f>
        <v>AP</v>
      </c>
      <c r="Y827" s="47" t="str">
        <f>IFERROR(__xludf.DUMMYFUNCTION("""COMPUTED_VALUE"""),"")</f>
        <v/>
      </c>
      <c r="Z827" s="48" t="str">
        <f>IFERROR(__xludf.DUMMYFUNCTION("""COMPUTED_VALUE"""),"%")</f>
        <v>%</v>
      </c>
      <c r="AA827" s="49">
        <f>IFERROR(__xludf.DUMMYFUNCTION("""COMPUTED_VALUE"""),3.0)</f>
        <v>3</v>
      </c>
      <c r="AB827" s="50"/>
      <c r="AC827" s="38"/>
      <c r="AD827" s="45" t="str">
        <f>IFERROR(__xludf.DUMMYFUNCTION("""COMPUTED_VALUE"""),"")</f>
        <v/>
      </c>
      <c r="AE827" s="46" t="str">
        <f>IFERROR(__xludf.DUMMYFUNCTION("""COMPUTED_VALUE"""),"AP")</f>
        <v>AP</v>
      </c>
      <c r="AF827" s="47" t="str">
        <f>IFERROR(__xludf.DUMMYFUNCTION("""COMPUTED_VALUE"""),"")</f>
        <v/>
      </c>
      <c r="AG827" s="48" t="str">
        <f>IFERROR(__xludf.DUMMYFUNCTION("""COMPUTED_VALUE"""),"%")</f>
        <v>%</v>
      </c>
      <c r="AH827" s="43"/>
      <c r="AI827" s="44"/>
      <c r="AJ827" s="66"/>
    </row>
    <row r="828">
      <c r="A828" s="52"/>
      <c r="B828" s="53"/>
      <c r="C828" s="54"/>
      <c r="D828" s="56"/>
      <c r="E828" s="56"/>
      <c r="F828" s="53"/>
      <c r="G828" s="53"/>
      <c r="H828" s="53"/>
      <c r="I828" s="53"/>
      <c r="J828" s="57"/>
      <c r="K828" s="53"/>
      <c r="L828" s="57"/>
      <c r="M828" s="53"/>
      <c r="N828" s="53"/>
      <c r="O828" s="53"/>
      <c r="P828" s="53"/>
      <c r="Q828" s="57"/>
      <c r="R828" s="53"/>
      <c r="S828" s="57"/>
      <c r="T828" s="53"/>
      <c r="U828" s="53"/>
      <c r="V828" s="53"/>
      <c r="W828" s="53"/>
      <c r="X828" s="57"/>
      <c r="Y828" s="53"/>
      <c r="Z828" s="57"/>
      <c r="AA828" s="53"/>
      <c r="AB828" s="53"/>
      <c r="AC828" s="53"/>
      <c r="AD828" s="53"/>
      <c r="AE828" s="57"/>
      <c r="AF828" s="53"/>
      <c r="AG828" s="57"/>
      <c r="AH828" s="53"/>
      <c r="AI828" s="53"/>
      <c r="AJ828" s="56"/>
    </row>
    <row r="829">
      <c r="A829" s="59"/>
      <c r="B829" s="60"/>
      <c r="C829" s="61"/>
      <c r="D829" s="63"/>
      <c r="E829" s="63"/>
      <c r="F829" s="60"/>
      <c r="G829" s="60"/>
      <c r="H829" s="60"/>
      <c r="I829" s="60"/>
      <c r="J829" s="64"/>
      <c r="K829" s="60"/>
      <c r="L829" s="64"/>
      <c r="M829" s="60"/>
      <c r="N829" s="60"/>
      <c r="O829" s="60"/>
      <c r="P829" s="60"/>
      <c r="Q829" s="64"/>
      <c r="R829" s="60"/>
      <c r="S829" s="64"/>
      <c r="T829" s="60"/>
      <c r="U829" s="60"/>
      <c r="V829" s="60"/>
      <c r="W829" s="60"/>
      <c r="X829" s="64"/>
      <c r="Y829" s="60"/>
      <c r="Z829" s="64"/>
      <c r="AA829" s="60"/>
      <c r="AB829" s="60"/>
      <c r="AC829" s="60"/>
      <c r="AD829" s="60"/>
      <c r="AE829" s="64"/>
      <c r="AF829" s="60"/>
      <c r="AG829" s="64"/>
      <c r="AH829" s="60"/>
      <c r="AI829" s="60"/>
      <c r="AJ829" s="63"/>
    </row>
    <row r="830" ht="33.0" customHeight="1">
      <c r="A830" s="20" t="str">
        <f>IFERROR(__xludf.DUMMYFUNCTION("""COMPUTED_VALUE""")," ")</f>
        <v> </v>
      </c>
      <c r="B830" s="21" t="str">
        <f>IFERROR(__xludf.DUMMYFUNCTION("""COMPUTED_VALUE"""),"A109")</f>
        <v>A109</v>
      </c>
      <c r="C830" s="20"/>
      <c r="D830" s="257" t="str">
        <f>IFERROR(__xludf.DUMMYFUNCTION("""COMPUTED_VALUE"""),"")</f>
        <v/>
      </c>
      <c r="E830" s="23" t="str">
        <f>IFERROR(__xludf.DUMMYFUNCTION("""COMPUTED_VALUE"""),"Scarab of Wisdom")</f>
        <v>Scarab of Wisdom</v>
      </c>
      <c r="F830" s="24"/>
      <c r="G830" s="24"/>
      <c r="H830" s="25"/>
      <c r="I830" s="25"/>
      <c r="J830" s="26"/>
      <c r="K830" s="25"/>
      <c r="L830" s="26"/>
      <c r="M830" s="25"/>
      <c r="N830" s="25"/>
      <c r="O830" s="25"/>
      <c r="P830" s="25"/>
      <c r="Q830" s="26"/>
      <c r="R830" s="25"/>
      <c r="S830" s="26"/>
      <c r="T830" s="25"/>
      <c r="U830" s="25"/>
      <c r="V830" s="25"/>
      <c r="W830" s="25"/>
      <c r="X830" s="26"/>
      <c r="Y830" s="25"/>
      <c r="Z830" s="26"/>
      <c r="AA830" s="25"/>
      <c r="AB830" s="25"/>
      <c r="AC830" s="25"/>
      <c r="AD830" s="25"/>
      <c r="AE830" s="26"/>
      <c r="AF830" s="25"/>
      <c r="AG830" s="26"/>
      <c r="AH830" s="24"/>
      <c r="AI830" s="25"/>
      <c r="AJ830" s="23"/>
    </row>
    <row r="831" ht="24.75" customHeight="1">
      <c r="A831" s="28">
        <f>IFERROR(__xludf.DUMMYFUNCTION("""COMPUTED_VALUE"""),1.0)</f>
        <v>1</v>
      </c>
      <c r="B831" s="28" t="str">
        <f>IFERROR(__xludf.DUMMYFUNCTION("""COMPUTED_VALUE"""),"A109")</f>
        <v>A109</v>
      </c>
      <c r="C831" s="28" t="str">
        <f>IFERROR(__xludf.DUMMYFUNCTION("""COMPUTED_VALUE"""),"CML14")</f>
        <v>CML14</v>
      </c>
      <c r="D831" s="29" t="str">
        <f>IFERROR(__xludf.DUMMYFUNCTION("""COMPUTED_VALUE"""),"Camelot")</f>
        <v>Camelot</v>
      </c>
      <c r="E831" s="30" t="str">
        <f>IFERROR(__xludf.DUMMYFUNCTION("""COMPUTED_VALUE"""),"Great Temple")</f>
        <v>Great Temple</v>
      </c>
      <c r="F831" s="31">
        <f>IFERROR(__xludf.DUMMYFUNCTION("""COMPUTED_VALUE"""),22.0)</f>
        <v>22</v>
      </c>
      <c r="G831" s="32">
        <f>IFERROR(__xludf.DUMMYFUNCTION("""COMPUTED_VALUE"""),43523.0)</f>
        <v>43523</v>
      </c>
      <c r="H831" s="33" t="str">
        <f>IFERROR(__xludf.DUMMYFUNCTION("""COMPUTED_VALUE"""),"")</f>
        <v/>
      </c>
      <c r="I831" s="34">
        <f>IFERROR(__xludf.DUMMYFUNCTION("""COMPUTED_VALUE"""),181.68677131253114)</f>
        <v>181.6867713</v>
      </c>
      <c r="J831" s="35" t="str">
        <f>IFERROR(__xludf.DUMMYFUNCTION("""COMPUTED_VALUE"""),"AP")</f>
        <v>AP</v>
      </c>
      <c r="K831" s="34">
        <f>IFERROR(__xludf.DUMMYFUNCTION("""COMPUTED_VALUE"""),12.108751694506354)</f>
        <v>12.10875169</v>
      </c>
      <c r="L831" s="35" t="str">
        <f>IFERROR(__xludf.DUMMYFUNCTION("""COMPUTED_VALUE"""),"%")</f>
        <v>%</v>
      </c>
      <c r="M831" s="36">
        <f>IFERROR(__xludf.DUMMYFUNCTION("""COMPUTED_VALUE"""),1.0)</f>
        <v>1</v>
      </c>
      <c r="N831" s="37" t="str">
        <f>IFERROR(__xludf.DUMMYFUNCTION("""COMPUTED_VALUE"""),"A305")</f>
        <v>A305</v>
      </c>
      <c r="O831" s="38" t="str">
        <f>IFERROR(__xludf.DUMMYFUNCTION("""COMPUTED_VALUE"""),"")</f>
        <v/>
      </c>
      <c r="P831" s="34">
        <f>IFERROR(__xludf.DUMMYFUNCTION("""COMPUTED_VALUE"""),52.128324922442246)</f>
        <v>52.12832492</v>
      </c>
      <c r="Q831" s="35" t="str">
        <f>IFERROR(__xludf.DUMMYFUNCTION("""COMPUTED_VALUE"""),"AP")</f>
        <v>AP</v>
      </c>
      <c r="R831" s="34">
        <f>IFERROR(__xludf.DUMMYFUNCTION("""COMPUTED_VALUE"""),42.203542954300026)</f>
        <v>42.20354295</v>
      </c>
      <c r="S831" s="35" t="str">
        <f>IFERROR(__xludf.DUMMYFUNCTION("""COMPUTED_VALUE"""),"%")</f>
        <v>%</v>
      </c>
      <c r="T831" s="36">
        <f>IFERROR(__xludf.DUMMYFUNCTION("""COMPUTED_VALUE"""),2.0)</f>
        <v>2</v>
      </c>
      <c r="U831" s="37" t="str">
        <f>IFERROR(__xludf.DUMMYFUNCTION("""COMPUTED_VALUE"""),"B105")</f>
        <v>B105</v>
      </c>
      <c r="V831" s="38" t="str">
        <f>IFERROR(__xludf.DUMMYFUNCTION("""COMPUTED_VALUE"""),"")</f>
        <v/>
      </c>
      <c r="W831" s="34">
        <f>IFERROR(__xludf.DUMMYFUNCTION("""COMPUTED_VALUE"""),361.1703732762002)</f>
        <v>361.1703733</v>
      </c>
      <c r="X831" s="35" t="str">
        <f>IFERROR(__xludf.DUMMYFUNCTION("""COMPUTED_VALUE"""),"AP")</f>
        <v>AP</v>
      </c>
      <c r="Y831" s="34">
        <f>IFERROR(__xludf.DUMMYFUNCTION("""COMPUTED_VALUE"""),6.091308044022701)</f>
        <v>6.091308044</v>
      </c>
      <c r="Z831" s="35" t="str">
        <f>IFERROR(__xludf.DUMMYFUNCTION("""COMPUTED_VALUE"""),"%")</f>
        <v>%</v>
      </c>
      <c r="AA831" s="36">
        <f>IFERROR(__xludf.DUMMYFUNCTION("""COMPUTED_VALUE"""),3.0)</f>
        <v>3</v>
      </c>
      <c r="AB831" s="37"/>
      <c r="AC831" s="38"/>
      <c r="AD831" s="34" t="str">
        <f>IFERROR(__xludf.DUMMYFUNCTION("""COMPUTED_VALUE"""),"")</f>
        <v/>
      </c>
      <c r="AE831" s="35" t="str">
        <f>IFERROR(__xludf.DUMMYFUNCTION("""COMPUTED_VALUE"""),"AP")</f>
        <v>AP</v>
      </c>
      <c r="AF831" s="34" t="str">
        <f>IFERROR(__xludf.DUMMYFUNCTION("""COMPUTED_VALUE"""),"")</f>
        <v/>
      </c>
      <c r="AG831" s="35" t="str">
        <f>IFERROR(__xludf.DUMMYFUNCTION("""COMPUTED_VALUE"""),"%")</f>
        <v>%</v>
      </c>
      <c r="AH831" s="31">
        <f>IFERROR(__xludf.DUMMYFUNCTION("""COMPUTED_VALUE"""),22.0)</f>
        <v>22</v>
      </c>
      <c r="AI831" s="32">
        <f>IFERROR(__xludf.DUMMYFUNCTION("""COMPUTED_VALUE"""),43523.0)</f>
        <v>43523</v>
      </c>
      <c r="AJ831" s="30" t="str">
        <f>IFERROR(__xludf.DUMMYFUNCTION("""COMPUTED_VALUE"""),"Great Temple")</f>
        <v>Great Temple</v>
      </c>
    </row>
    <row r="832" ht="24.75" customHeight="1">
      <c r="A832" s="40">
        <f>IFERROR(__xludf.DUMMYFUNCTION("""COMPUTED_VALUE"""),2.0)</f>
        <v>2</v>
      </c>
      <c r="B832" s="40" t="str">
        <f>IFERROR(__xludf.DUMMYFUNCTION("""COMPUTED_VALUE"""),"A109")</f>
        <v>A109</v>
      </c>
      <c r="C832" s="40" t="str">
        <f>IFERROR(__xludf.DUMMYFUNCTION("""COMPUTED_VALUE"""),"CML1")</f>
        <v>CML1</v>
      </c>
      <c r="D832" s="41" t="str">
        <f>IFERROR(__xludf.DUMMYFUNCTION("""COMPUTED_VALUE"""),"Camelot")</f>
        <v>Camelot</v>
      </c>
      <c r="E832" s="42" t="str">
        <f>IFERROR(__xludf.DUMMYFUNCTION("""COMPUTED_VALUE"""),"Sandstorm Desert")</f>
        <v>Sandstorm Desert</v>
      </c>
      <c r="F832" s="43">
        <f>IFERROR(__xludf.DUMMYFUNCTION("""COMPUTED_VALUE"""),19.0)</f>
        <v>19</v>
      </c>
      <c r="G832" s="44">
        <f>IFERROR(__xludf.DUMMYFUNCTION("""COMPUTED_VALUE"""),71029.0)</f>
        <v>71029</v>
      </c>
      <c r="H832" s="33" t="str">
        <f>IFERROR(__xludf.DUMMYFUNCTION("""COMPUTED_VALUE"""),"")</f>
        <v/>
      </c>
      <c r="I832" s="45">
        <f>IFERROR(__xludf.DUMMYFUNCTION("""COMPUTED_VALUE"""),234.61467451942752)</f>
        <v>234.6146745</v>
      </c>
      <c r="J832" s="46" t="str">
        <f>IFERROR(__xludf.DUMMYFUNCTION("""COMPUTED_VALUE"""),"AP")</f>
        <v>AP</v>
      </c>
      <c r="K832" s="47">
        <f>IFERROR(__xludf.DUMMYFUNCTION("""COMPUTED_VALUE"""),8.098385166622084)</f>
        <v>8.098385167</v>
      </c>
      <c r="L832" s="48" t="str">
        <f>IFERROR(__xludf.DUMMYFUNCTION("""COMPUTED_VALUE"""),"%")</f>
        <v>%</v>
      </c>
      <c r="M832" s="49">
        <f>IFERROR(__xludf.DUMMYFUNCTION("""COMPUTED_VALUE"""),1.0)</f>
        <v>1</v>
      </c>
      <c r="N832" s="50" t="str">
        <f>IFERROR(__xludf.DUMMYFUNCTION("""COMPUTED_VALUE"""),"A302")</f>
        <v>A302</v>
      </c>
      <c r="O832" s="38" t="str">
        <f>IFERROR(__xludf.DUMMYFUNCTION("""COMPUTED_VALUE"""),"")</f>
        <v/>
      </c>
      <c r="P832" s="45">
        <f>IFERROR(__xludf.DUMMYFUNCTION("""COMPUTED_VALUE"""),30.16669177668506)</f>
        <v>30.16669178</v>
      </c>
      <c r="Q832" s="46" t="str">
        <f>IFERROR(__xludf.DUMMYFUNCTION("""COMPUTED_VALUE"""),"AP")</f>
        <v>AP</v>
      </c>
      <c r="R832" s="47">
        <f>IFERROR(__xludf.DUMMYFUNCTION("""COMPUTED_VALUE"""),62.983372988497656)</f>
        <v>62.98337299</v>
      </c>
      <c r="S832" s="48" t="str">
        <f>IFERROR(__xludf.DUMMYFUNCTION("""COMPUTED_VALUE"""),"%")</f>
        <v>%</v>
      </c>
      <c r="T832" s="49">
        <f>IFERROR(__xludf.DUMMYFUNCTION("""COMPUTED_VALUE"""),2.0)</f>
        <v>2</v>
      </c>
      <c r="U832" s="50" t="str">
        <f>IFERROR(__xludf.DUMMYFUNCTION("""COMPUTED_VALUE"""),"B105")</f>
        <v>B105</v>
      </c>
      <c r="V832" s="38" t="str">
        <f>IFERROR(__xludf.DUMMYFUNCTION("""COMPUTED_VALUE"""),"")</f>
        <v/>
      </c>
      <c r="W832" s="45">
        <f>IFERROR(__xludf.DUMMYFUNCTION("""COMPUTED_VALUE"""),612.5685510702637)</f>
        <v>612.5685511</v>
      </c>
      <c r="X832" s="46" t="str">
        <f>IFERROR(__xludf.DUMMYFUNCTION("""COMPUTED_VALUE"""),"AP")</f>
        <v>AP</v>
      </c>
      <c r="Y832" s="47">
        <f>IFERROR(__xludf.DUMMYFUNCTION("""COMPUTED_VALUE"""),3.1016936744146757)</f>
        <v>3.101693674</v>
      </c>
      <c r="Z832" s="48" t="str">
        <f>IFERROR(__xludf.DUMMYFUNCTION("""COMPUTED_VALUE"""),"%")</f>
        <v>%</v>
      </c>
      <c r="AA832" s="49">
        <f>IFERROR(__xludf.DUMMYFUNCTION("""COMPUTED_VALUE"""),3.0)</f>
        <v>3</v>
      </c>
      <c r="AB832" s="50"/>
      <c r="AC832" s="38"/>
      <c r="AD832" s="45" t="str">
        <f>IFERROR(__xludf.DUMMYFUNCTION("""COMPUTED_VALUE"""),"")</f>
        <v/>
      </c>
      <c r="AE832" s="46" t="str">
        <f>IFERROR(__xludf.DUMMYFUNCTION("""COMPUTED_VALUE"""),"AP")</f>
        <v>AP</v>
      </c>
      <c r="AF832" s="47" t="str">
        <f>IFERROR(__xludf.DUMMYFUNCTION("""COMPUTED_VALUE"""),"")</f>
        <v/>
      </c>
      <c r="AG832" s="48" t="str">
        <f>IFERROR(__xludf.DUMMYFUNCTION("""COMPUTED_VALUE"""),"%")</f>
        <v>%</v>
      </c>
      <c r="AH832" s="43">
        <f>IFERROR(__xludf.DUMMYFUNCTION("""COMPUTED_VALUE"""),19.0)</f>
        <v>19</v>
      </c>
      <c r="AI832" s="44">
        <f>IFERROR(__xludf.DUMMYFUNCTION("""COMPUTED_VALUE"""),71029.0)</f>
        <v>71029</v>
      </c>
      <c r="AJ832" s="42" t="str">
        <f>IFERROR(__xludf.DUMMYFUNCTION("""COMPUTED_VALUE"""),"Sandstorm Desert")</f>
        <v>Sandstorm Desert</v>
      </c>
    </row>
    <row r="833" ht="24.75" customHeight="1">
      <c r="A833" s="28">
        <f>IFERROR(__xludf.DUMMYFUNCTION("""COMPUTED_VALUE"""),3.0)</f>
        <v>3</v>
      </c>
      <c r="B833" s="28" t="str">
        <f>IFERROR(__xludf.DUMMYFUNCTION("""COMPUTED_VALUE"""),"A109")</f>
        <v>A109</v>
      </c>
      <c r="C833" s="28"/>
      <c r="D833" s="29"/>
      <c r="E833" s="67"/>
      <c r="F833" s="31"/>
      <c r="G833" s="32"/>
      <c r="H833" s="33" t="str">
        <f>IFERROR(__xludf.DUMMYFUNCTION("""COMPUTED_VALUE""")," ")</f>
        <v> </v>
      </c>
      <c r="I833" s="34"/>
      <c r="J833" s="35" t="str">
        <f>IFERROR(__xludf.DUMMYFUNCTION("""COMPUTED_VALUE"""),"AP")</f>
        <v>AP</v>
      </c>
      <c r="K833" s="34"/>
      <c r="L833" s="35" t="str">
        <f>IFERROR(__xludf.DUMMYFUNCTION("""COMPUTED_VALUE"""),"%")</f>
        <v>%</v>
      </c>
      <c r="M833" s="36">
        <f>IFERROR(__xludf.DUMMYFUNCTION("""COMPUTED_VALUE"""),1.0)</f>
        <v>1</v>
      </c>
      <c r="N833" s="37"/>
      <c r="O833" s="38"/>
      <c r="P833" s="34" t="str">
        <f>IFERROR(__xludf.DUMMYFUNCTION("""COMPUTED_VALUE"""),"")</f>
        <v/>
      </c>
      <c r="Q833" s="35" t="str">
        <f>IFERROR(__xludf.DUMMYFUNCTION("""COMPUTED_VALUE"""),"AP")</f>
        <v>AP</v>
      </c>
      <c r="R833" s="34" t="str">
        <f>IFERROR(__xludf.DUMMYFUNCTION("""COMPUTED_VALUE"""),"")</f>
        <v/>
      </c>
      <c r="S833" s="35" t="str">
        <f>IFERROR(__xludf.DUMMYFUNCTION("""COMPUTED_VALUE"""),"%")</f>
        <v>%</v>
      </c>
      <c r="T833" s="36">
        <f>IFERROR(__xludf.DUMMYFUNCTION("""COMPUTED_VALUE"""),2.0)</f>
        <v>2</v>
      </c>
      <c r="U833" s="37"/>
      <c r="V833" s="38"/>
      <c r="W833" s="34" t="str">
        <f>IFERROR(__xludf.DUMMYFUNCTION("""COMPUTED_VALUE"""),"")</f>
        <v/>
      </c>
      <c r="X833" s="35" t="str">
        <f>IFERROR(__xludf.DUMMYFUNCTION("""COMPUTED_VALUE"""),"AP")</f>
        <v>AP</v>
      </c>
      <c r="Y833" s="34" t="str">
        <f>IFERROR(__xludf.DUMMYFUNCTION("""COMPUTED_VALUE"""),"")</f>
        <v/>
      </c>
      <c r="Z833" s="35" t="str">
        <f>IFERROR(__xludf.DUMMYFUNCTION("""COMPUTED_VALUE"""),"%")</f>
        <v>%</v>
      </c>
      <c r="AA833" s="36">
        <f>IFERROR(__xludf.DUMMYFUNCTION("""COMPUTED_VALUE"""),3.0)</f>
        <v>3</v>
      </c>
      <c r="AB833" s="37"/>
      <c r="AC833" s="38"/>
      <c r="AD833" s="34" t="str">
        <f>IFERROR(__xludf.DUMMYFUNCTION("""COMPUTED_VALUE"""),"")</f>
        <v/>
      </c>
      <c r="AE833" s="35" t="str">
        <f>IFERROR(__xludf.DUMMYFUNCTION("""COMPUTED_VALUE"""),"AP")</f>
        <v>AP</v>
      </c>
      <c r="AF833" s="34" t="str">
        <f>IFERROR(__xludf.DUMMYFUNCTION("""COMPUTED_VALUE"""),"")</f>
        <v/>
      </c>
      <c r="AG833" s="35" t="str">
        <f>IFERROR(__xludf.DUMMYFUNCTION("""COMPUTED_VALUE"""),"%")</f>
        <v>%</v>
      </c>
      <c r="AH833" s="31"/>
      <c r="AI833" s="32"/>
      <c r="AJ833" s="67"/>
    </row>
    <row r="834" ht="24.75" hidden="1" customHeight="1">
      <c r="A834" s="40">
        <f>IFERROR(__xludf.DUMMYFUNCTION("""COMPUTED_VALUE"""),4.0)</f>
        <v>4</v>
      </c>
      <c r="B834" s="40" t="str">
        <f>IFERROR(__xludf.DUMMYFUNCTION("""COMPUTED_VALUE"""),"A109")</f>
        <v>A109</v>
      </c>
      <c r="C834" s="40"/>
      <c r="D834" s="41"/>
      <c r="E834" s="66"/>
      <c r="F834" s="43"/>
      <c r="G834" s="44"/>
      <c r="H834" s="33" t="str">
        <f>IFERROR(__xludf.DUMMYFUNCTION("""COMPUTED_VALUE""")," ")</f>
        <v> </v>
      </c>
      <c r="I834" s="45"/>
      <c r="J834" s="46" t="str">
        <f>IFERROR(__xludf.DUMMYFUNCTION("""COMPUTED_VALUE"""),"AP")</f>
        <v>AP</v>
      </c>
      <c r="K834" s="47"/>
      <c r="L834" s="48" t="str">
        <f>IFERROR(__xludf.DUMMYFUNCTION("""COMPUTED_VALUE"""),"%")</f>
        <v>%</v>
      </c>
      <c r="M834" s="49">
        <f>IFERROR(__xludf.DUMMYFUNCTION("""COMPUTED_VALUE"""),1.0)</f>
        <v>1</v>
      </c>
      <c r="N834" s="50"/>
      <c r="O834" s="38"/>
      <c r="P834" s="45" t="str">
        <f>IFERROR(__xludf.DUMMYFUNCTION("""COMPUTED_VALUE"""),"")</f>
        <v/>
      </c>
      <c r="Q834" s="46" t="str">
        <f>IFERROR(__xludf.DUMMYFUNCTION("""COMPUTED_VALUE"""),"AP")</f>
        <v>AP</v>
      </c>
      <c r="R834" s="47" t="str">
        <f>IFERROR(__xludf.DUMMYFUNCTION("""COMPUTED_VALUE"""),"")</f>
        <v/>
      </c>
      <c r="S834" s="48" t="str">
        <f>IFERROR(__xludf.DUMMYFUNCTION("""COMPUTED_VALUE"""),"%")</f>
        <v>%</v>
      </c>
      <c r="T834" s="49">
        <f>IFERROR(__xludf.DUMMYFUNCTION("""COMPUTED_VALUE"""),2.0)</f>
        <v>2</v>
      </c>
      <c r="U834" s="50"/>
      <c r="V834" s="38"/>
      <c r="W834" s="45" t="str">
        <f>IFERROR(__xludf.DUMMYFUNCTION("""COMPUTED_VALUE"""),"")</f>
        <v/>
      </c>
      <c r="X834" s="46" t="str">
        <f>IFERROR(__xludf.DUMMYFUNCTION("""COMPUTED_VALUE"""),"AP")</f>
        <v>AP</v>
      </c>
      <c r="Y834" s="47" t="str">
        <f>IFERROR(__xludf.DUMMYFUNCTION("""COMPUTED_VALUE"""),"")</f>
        <v/>
      </c>
      <c r="Z834" s="48" t="str">
        <f>IFERROR(__xludf.DUMMYFUNCTION("""COMPUTED_VALUE"""),"%")</f>
        <v>%</v>
      </c>
      <c r="AA834" s="49">
        <f>IFERROR(__xludf.DUMMYFUNCTION("""COMPUTED_VALUE"""),3.0)</f>
        <v>3</v>
      </c>
      <c r="AB834" s="50"/>
      <c r="AC834" s="38"/>
      <c r="AD834" s="45" t="str">
        <f>IFERROR(__xludf.DUMMYFUNCTION("""COMPUTED_VALUE"""),"")</f>
        <v/>
      </c>
      <c r="AE834" s="46" t="str">
        <f>IFERROR(__xludf.DUMMYFUNCTION("""COMPUTED_VALUE"""),"AP")</f>
        <v>AP</v>
      </c>
      <c r="AF834" s="47" t="str">
        <f>IFERROR(__xludf.DUMMYFUNCTION("""COMPUTED_VALUE"""),"")</f>
        <v/>
      </c>
      <c r="AG834" s="48" t="str">
        <f>IFERROR(__xludf.DUMMYFUNCTION("""COMPUTED_VALUE"""),"%")</f>
        <v>%</v>
      </c>
      <c r="AH834" s="43"/>
      <c r="AI834" s="44"/>
      <c r="AJ834" s="66"/>
    </row>
    <row r="835" ht="24.75" hidden="1" customHeight="1">
      <c r="A835" s="28">
        <f>IFERROR(__xludf.DUMMYFUNCTION("""COMPUTED_VALUE"""),5.0)</f>
        <v>5</v>
      </c>
      <c r="B835" s="28" t="str">
        <f>IFERROR(__xludf.DUMMYFUNCTION("""COMPUTED_VALUE"""),"A109")</f>
        <v>A109</v>
      </c>
      <c r="C835" s="28"/>
      <c r="D835" s="29"/>
      <c r="E835" s="67"/>
      <c r="F835" s="31"/>
      <c r="G835" s="32"/>
      <c r="H835" s="33" t="str">
        <f>IFERROR(__xludf.DUMMYFUNCTION("""COMPUTED_VALUE""")," ")</f>
        <v> </v>
      </c>
      <c r="I835" s="34"/>
      <c r="J835" s="35" t="str">
        <f>IFERROR(__xludf.DUMMYFUNCTION("""COMPUTED_VALUE"""),"AP")</f>
        <v>AP</v>
      </c>
      <c r="K835" s="34"/>
      <c r="L835" s="35" t="str">
        <f>IFERROR(__xludf.DUMMYFUNCTION("""COMPUTED_VALUE"""),"%")</f>
        <v>%</v>
      </c>
      <c r="M835" s="36">
        <f>IFERROR(__xludf.DUMMYFUNCTION("""COMPUTED_VALUE"""),1.0)</f>
        <v>1</v>
      </c>
      <c r="N835" s="37"/>
      <c r="O835" s="38"/>
      <c r="P835" s="34" t="str">
        <f>IFERROR(__xludf.DUMMYFUNCTION("""COMPUTED_VALUE"""),"")</f>
        <v/>
      </c>
      <c r="Q835" s="35" t="str">
        <f>IFERROR(__xludf.DUMMYFUNCTION("""COMPUTED_VALUE"""),"AP")</f>
        <v>AP</v>
      </c>
      <c r="R835" s="34" t="str">
        <f>IFERROR(__xludf.DUMMYFUNCTION("""COMPUTED_VALUE"""),"")</f>
        <v/>
      </c>
      <c r="S835" s="35" t="str">
        <f>IFERROR(__xludf.DUMMYFUNCTION("""COMPUTED_VALUE"""),"%")</f>
        <v>%</v>
      </c>
      <c r="T835" s="36">
        <f>IFERROR(__xludf.DUMMYFUNCTION("""COMPUTED_VALUE"""),2.0)</f>
        <v>2</v>
      </c>
      <c r="U835" s="37"/>
      <c r="V835" s="38"/>
      <c r="W835" s="34" t="str">
        <f>IFERROR(__xludf.DUMMYFUNCTION("""COMPUTED_VALUE"""),"")</f>
        <v/>
      </c>
      <c r="X835" s="35" t="str">
        <f>IFERROR(__xludf.DUMMYFUNCTION("""COMPUTED_VALUE"""),"AP")</f>
        <v>AP</v>
      </c>
      <c r="Y835" s="34" t="str">
        <f>IFERROR(__xludf.DUMMYFUNCTION("""COMPUTED_VALUE"""),"")</f>
        <v/>
      </c>
      <c r="Z835" s="35" t="str">
        <f>IFERROR(__xludf.DUMMYFUNCTION("""COMPUTED_VALUE"""),"%")</f>
        <v>%</v>
      </c>
      <c r="AA835" s="36">
        <f>IFERROR(__xludf.DUMMYFUNCTION("""COMPUTED_VALUE"""),3.0)</f>
        <v>3</v>
      </c>
      <c r="AB835" s="37"/>
      <c r="AC835" s="38"/>
      <c r="AD835" s="34" t="str">
        <f>IFERROR(__xludf.DUMMYFUNCTION("""COMPUTED_VALUE"""),"")</f>
        <v/>
      </c>
      <c r="AE835" s="35" t="str">
        <f>IFERROR(__xludf.DUMMYFUNCTION("""COMPUTED_VALUE"""),"AP")</f>
        <v>AP</v>
      </c>
      <c r="AF835" s="34" t="str">
        <f>IFERROR(__xludf.DUMMYFUNCTION("""COMPUTED_VALUE"""),"")</f>
        <v/>
      </c>
      <c r="AG835" s="35" t="str">
        <f>IFERROR(__xludf.DUMMYFUNCTION("""COMPUTED_VALUE"""),"%")</f>
        <v>%</v>
      </c>
      <c r="AH835" s="31"/>
      <c r="AI835" s="32"/>
      <c r="AJ835" s="67"/>
    </row>
    <row r="836" ht="24.75" hidden="1" customHeight="1">
      <c r="A836" s="40">
        <f>IFERROR(__xludf.DUMMYFUNCTION("""COMPUTED_VALUE"""),6.0)</f>
        <v>6</v>
      </c>
      <c r="B836" s="40" t="str">
        <f>IFERROR(__xludf.DUMMYFUNCTION("""COMPUTED_VALUE"""),"A109")</f>
        <v>A109</v>
      </c>
      <c r="C836" s="40"/>
      <c r="D836" s="41"/>
      <c r="E836" s="66"/>
      <c r="F836" s="43"/>
      <c r="G836" s="44"/>
      <c r="H836" s="33" t="str">
        <f>IFERROR(__xludf.DUMMYFUNCTION("""COMPUTED_VALUE""")," ")</f>
        <v> </v>
      </c>
      <c r="I836" s="45"/>
      <c r="J836" s="46" t="str">
        <f>IFERROR(__xludf.DUMMYFUNCTION("""COMPUTED_VALUE"""),"AP")</f>
        <v>AP</v>
      </c>
      <c r="K836" s="47"/>
      <c r="L836" s="48" t="str">
        <f>IFERROR(__xludf.DUMMYFUNCTION("""COMPUTED_VALUE"""),"%")</f>
        <v>%</v>
      </c>
      <c r="M836" s="49">
        <f>IFERROR(__xludf.DUMMYFUNCTION("""COMPUTED_VALUE"""),1.0)</f>
        <v>1</v>
      </c>
      <c r="N836" s="50"/>
      <c r="O836" s="38"/>
      <c r="P836" s="45" t="str">
        <f>IFERROR(__xludf.DUMMYFUNCTION("""COMPUTED_VALUE"""),"")</f>
        <v/>
      </c>
      <c r="Q836" s="46" t="str">
        <f>IFERROR(__xludf.DUMMYFUNCTION("""COMPUTED_VALUE"""),"AP")</f>
        <v>AP</v>
      </c>
      <c r="R836" s="47" t="str">
        <f>IFERROR(__xludf.DUMMYFUNCTION("""COMPUTED_VALUE"""),"")</f>
        <v/>
      </c>
      <c r="S836" s="48" t="str">
        <f>IFERROR(__xludf.DUMMYFUNCTION("""COMPUTED_VALUE"""),"%")</f>
        <v>%</v>
      </c>
      <c r="T836" s="49">
        <f>IFERROR(__xludf.DUMMYFUNCTION("""COMPUTED_VALUE"""),2.0)</f>
        <v>2</v>
      </c>
      <c r="U836" s="50"/>
      <c r="V836" s="38"/>
      <c r="W836" s="45" t="str">
        <f>IFERROR(__xludf.DUMMYFUNCTION("""COMPUTED_VALUE"""),"")</f>
        <v/>
      </c>
      <c r="X836" s="46" t="str">
        <f>IFERROR(__xludf.DUMMYFUNCTION("""COMPUTED_VALUE"""),"AP")</f>
        <v>AP</v>
      </c>
      <c r="Y836" s="47" t="str">
        <f>IFERROR(__xludf.DUMMYFUNCTION("""COMPUTED_VALUE"""),"")</f>
        <v/>
      </c>
      <c r="Z836" s="48" t="str">
        <f>IFERROR(__xludf.DUMMYFUNCTION("""COMPUTED_VALUE"""),"%")</f>
        <v>%</v>
      </c>
      <c r="AA836" s="49">
        <f>IFERROR(__xludf.DUMMYFUNCTION("""COMPUTED_VALUE"""),3.0)</f>
        <v>3</v>
      </c>
      <c r="AB836" s="50"/>
      <c r="AC836" s="38"/>
      <c r="AD836" s="45" t="str">
        <f>IFERROR(__xludf.DUMMYFUNCTION("""COMPUTED_VALUE"""),"")</f>
        <v/>
      </c>
      <c r="AE836" s="46" t="str">
        <f>IFERROR(__xludf.DUMMYFUNCTION("""COMPUTED_VALUE"""),"AP")</f>
        <v>AP</v>
      </c>
      <c r="AF836" s="47" t="str">
        <f>IFERROR(__xludf.DUMMYFUNCTION("""COMPUTED_VALUE"""),"")</f>
        <v/>
      </c>
      <c r="AG836" s="48" t="str">
        <f>IFERROR(__xludf.DUMMYFUNCTION("""COMPUTED_VALUE"""),"%")</f>
        <v>%</v>
      </c>
      <c r="AH836" s="43"/>
      <c r="AI836" s="44"/>
      <c r="AJ836" s="66"/>
    </row>
    <row r="837" ht="24.75" hidden="1" customHeight="1">
      <c r="A837" s="28">
        <f>IFERROR(__xludf.DUMMYFUNCTION("""COMPUTED_VALUE"""),7.0)</f>
        <v>7</v>
      </c>
      <c r="B837" s="28" t="str">
        <f>IFERROR(__xludf.DUMMYFUNCTION("""COMPUTED_VALUE"""),"A109")</f>
        <v>A109</v>
      </c>
      <c r="C837" s="28"/>
      <c r="D837" s="29"/>
      <c r="E837" s="67"/>
      <c r="F837" s="31"/>
      <c r="G837" s="32"/>
      <c r="H837" s="33" t="str">
        <f>IFERROR(__xludf.DUMMYFUNCTION("""COMPUTED_VALUE""")," ")</f>
        <v> </v>
      </c>
      <c r="I837" s="34"/>
      <c r="J837" s="35" t="str">
        <f>IFERROR(__xludf.DUMMYFUNCTION("""COMPUTED_VALUE"""),"AP")</f>
        <v>AP</v>
      </c>
      <c r="K837" s="34"/>
      <c r="L837" s="35" t="str">
        <f>IFERROR(__xludf.DUMMYFUNCTION("""COMPUTED_VALUE"""),"%")</f>
        <v>%</v>
      </c>
      <c r="M837" s="36">
        <f>IFERROR(__xludf.DUMMYFUNCTION("""COMPUTED_VALUE"""),1.0)</f>
        <v>1</v>
      </c>
      <c r="N837" s="37"/>
      <c r="O837" s="38"/>
      <c r="P837" s="34" t="str">
        <f>IFERROR(__xludf.DUMMYFUNCTION("""COMPUTED_VALUE"""),"")</f>
        <v/>
      </c>
      <c r="Q837" s="35" t="str">
        <f>IFERROR(__xludf.DUMMYFUNCTION("""COMPUTED_VALUE"""),"AP")</f>
        <v>AP</v>
      </c>
      <c r="R837" s="34" t="str">
        <f>IFERROR(__xludf.DUMMYFUNCTION("""COMPUTED_VALUE"""),"")</f>
        <v/>
      </c>
      <c r="S837" s="35" t="str">
        <f>IFERROR(__xludf.DUMMYFUNCTION("""COMPUTED_VALUE"""),"%")</f>
        <v>%</v>
      </c>
      <c r="T837" s="36">
        <f>IFERROR(__xludf.DUMMYFUNCTION("""COMPUTED_VALUE"""),2.0)</f>
        <v>2</v>
      </c>
      <c r="U837" s="37"/>
      <c r="V837" s="38"/>
      <c r="W837" s="34" t="str">
        <f>IFERROR(__xludf.DUMMYFUNCTION("""COMPUTED_VALUE"""),"")</f>
        <v/>
      </c>
      <c r="X837" s="35" t="str">
        <f>IFERROR(__xludf.DUMMYFUNCTION("""COMPUTED_VALUE"""),"AP")</f>
        <v>AP</v>
      </c>
      <c r="Y837" s="34" t="str">
        <f>IFERROR(__xludf.DUMMYFUNCTION("""COMPUTED_VALUE"""),"")</f>
        <v/>
      </c>
      <c r="Z837" s="35" t="str">
        <f>IFERROR(__xludf.DUMMYFUNCTION("""COMPUTED_VALUE"""),"%")</f>
        <v>%</v>
      </c>
      <c r="AA837" s="36">
        <f>IFERROR(__xludf.DUMMYFUNCTION("""COMPUTED_VALUE"""),3.0)</f>
        <v>3</v>
      </c>
      <c r="AB837" s="37"/>
      <c r="AC837" s="38"/>
      <c r="AD837" s="34" t="str">
        <f>IFERROR(__xludf.DUMMYFUNCTION("""COMPUTED_VALUE"""),"")</f>
        <v/>
      </c>
      <c r="AE837" s="35" t="str">
        <f>IFERROR(__xludf.DUMMYFUNCTION("""COMPUTED_VALUE"""),"AP")</f>
        <v>AP</v>
      </c>
      <c r="AF837" s="34" t="str">
        <f>IFERROR(__xludf.DUMMYFUNCTION("""COMPUTED_VALUE"""),"")</f>
        <v/>
      </c>
      <c r="AG837" s="35" t="str">
        <f>IFERROR(__xludf.DUMMYFUNCTION("""COMPUTED_VALUE"""),"%")</f>
        <v>%</v>
      </c>
      <c r="AH837" s="31"/>
      <c r="AI837" s="32"/>
      <c r="AJ837" s="67"/>
    </row>
    <row r="838" ht="24.75" hidden="1" customHeight="1">
      <c r="A838" s="40">
        <f>IFERROR(__xludf.DUMMYFUNCTION("""COMPUTED_VALUE"""),8.0)</f>
        <v>8</v>
      </c>
      <c r="B838" s="40" t="str">
        <f>IFERROR(__xludf.DUMMYFUNCTION("""COMPUTED_VALUE"""),"A109")</f>
        <v>A109</v>
      </c>
      <c r="C838" s="40"/>
      <c r="D838" s="41"/>
      <c r="E838" s="66"/>
      <c r="F838" s="43"/>
      <c r="G838" s="44"/>
      <c r="H838" s="33" t="str">
        <f>IFERROR(__xludf.DUMMYFUNCTION("""COMPUTED_VALUE""")," ")</f>
        <v> </v>
      </c>
      <c r="I838" s="45"/>
      <c r="J838" s="46" t="str">
        <f>IFERROR(__xludf.DUMMYFUNCTION("""COMPUTED_VALUE"""),"AP")</f>
        <v>AP</v>
      </c>
      <c r="K838" s="47"/>
      <c r="L838" s="48" t="str">
        <f>IFERROR(__xludf.DUMMYFUNCTION("""COMPUTED_VALUE"""),"%")</f>
        <v>%</v>
      </c>
      <c r="M838" s="49">
        <f>IFERROR(__xludf.DUMMYFUNCTION("""COMPUTED_VALUE"""),1.0)</f>
        <v>1</v>
      </c>
      <c r="N838" s="50"/>
      <c r="O838" s="38"/>
      <c r="P838" s="45" t="str">
        <f>IFERROR(__xludf.DUMMYFUNCTION("""COMPUTED_VALUE"""),"")</f>
        <v/>
      </c>
      <c r="Q838" s="46" t="str">
        <f>IFERROR(__xludf.DUMMYFUNCTION("""COMPUTED_VALUE"""),"AP")</f>
        <v>AP</v>
      </c>
      <c r="R838" s="47" t="str">
        <f>IFERROR(__xludf.DUMMYFUNCTION("""COMPUTED_VALUE"""),"")</f>
        <v/>
      </c>
      <c r="S838" s="48" t="str">
        <f>IFERROR(__xludf.DUMMYFUNCTION("""COMPUTED_VALUE"""),"%")</f>
        <v>%</v>
      </c>
      <c r="T838" s="49">
        <f>IFERROR(__xludf.DUMMYFUNCTION("""COMPUTED_VALUE"""),2.0)</f>
        <v>2</v>
      </c>
      <c r="U838" s="50"/>
      <c r="V838" s="38"/>
      <c r="W838" s="45" t="str">
        <f>IFERROR(__xludf.DUMMYFUNCTION("""COMPUTED_VALUE"""),"")</f>
        <v/>
      </c>
      <c r="X838" s="46" t="str">
        <f>IFERROR(__xludf.DUMMYFUNCTION("""COMPUTED_VALUE"""),"AP")</f>
        <v>AP</v>
      </c>
      <c r="Y838" s="47" t="str">
        <f>IFERROR(__xludf.DUMMYFUNCTION("""COMPUTED_VALUE"""),"")</f>
        <v/>
      </c>
      <c r="Z838" s="48" t="str">
        <f>IFERROR(__xludf.DUMMYFUNCTION("""COMPUTED_VALUE"""),"%")</f>
        <v>%</v>
      </c>
      <c r="AA838" s="49">
        <f>IFERROR(__xludf.DUMMYFUNCTION("""COMPUTED_VALUE"""),3.0)</f>
        <v>3</v>
      </c>
      <c r="AB838" s="50"/>
      <c r="AC838" s="38"/>
      <c r="AD838" s="45" t="str">
        <f>IFERROR(__xludf.DUMMYFUNCTION("""COMPUTED_VALUE"""),"")</f>
        <v/>
      </c>
      <c r="AE838" s="46" t="str">
        <f>IFERROR(__xludf.DUMMYFUNCTION("""COMPUTED_VALUE"""),"AP")</f>
        <v>AP</v>
      </c>
      <c r="AF838" s="47" t="str">
        <f>IFERROR(__xludf.DUMMYFUNCTION("""COMPUTED_VALUE"""),"")</f>
        <v/>
      </c>
      <c r="AG838" s="48" t="str">
        <f>IFERROR(__xludf.DUMMYFUNCTION("""COMPUTED_VALUE"""),"%")</f>
        <v>%</v>
      </c>
      <c r="AH838" s="43"/>
      <c r="AI838" s="44"/>
      <c r="AJ838" s="66"/>
    </row>
    <row r="839" ht="24.75" hidden="1" customHeight="1">
      <c r="A839" s="28">
        <f>IFERROR(__xludf.DUMMYFUNCTION("""COMPUTED_VALUE"""),9.0)</f>
        <v>9</v>
      </c>
      <c r="B839" s="28" t="str">
        <f>IFERROR(__xludf.DUMMYFUNCTION("""COMPUTED_VALUE"""),"A109")</f>
        <v>A109</v>
      </c>
      <c r="C839" s="28"/>
      <c r="D839" s="29"/>
      <c r="E839" s="67"/>
      <c r="F839" s="31"/>
      <c r="G839" s="32"/>
      <c r="H839" s="33" t="str">
        <f>IFERROR(__xludf.DUMMYFUNCTION("""COMPUTED_VALUE""")," ")</f>
        <v> </v>
      </c>
      <c r="I839" s="34"/>
      <c r="J839" s="35" t="str">
        <f>IFERROR(__xludf.DUMMYFUNCTION("""COMPUTED_VALUE"""),"AP")</f>
        <v>AP</v>
      </c>
      <c r="K839" s="34"/>
      <c r="L839" s="35" t="str">
        <f>IFERROR(__xludf.DUMMYFUNCTION("""COMPUTED_VALUE"""),"%")</f>
        <v>%</v>
      </c>
      <c r="M839" s="36">
        <f>IFERROR(__xludf.DUMMYFUNCTION("""COMPUTED_VALUE"""),1.0)</f>
        <v>1</v>
      </c>
      <c r="N839" s="37"/>
      <c r="O839" s="38"/>
      <c r="P839" s="34" t="str">
        <f>IFERROR(__xludf.DUMMYFUNCTION("""COMPUTED_VALUE"""),"")</f>
        <v/>
      </c>
      <c r="Q839" s="35" t="str">
        <f>IFERROR(__xludf.DUMMYFUNCTION("""COMPUTED_VALUE"""),"AP")</f>
        <v>AP</v>
      </c>
      <c r="R839" s="34" t="str">
        <f>IFERROR(__xludf.DUMMYFUNCTION("""COMPUTED_VALUE"""),"")</f>
        <v/>
      </c>
      <c r="S839" s="35" t="str">
        <f>IFERROR(__xludf.DUMMYFUNCTION("""COMPUTED_VALUE"""),"%")</f>
        <v>%</v>
      </c>
      <c r="T839" s="36">
        <f>IFERROR(__xludf.DUMMYFUNCTION("""COMPUTED_VALUE"""),2.0)</f>
        <v>2</v>
      </c>
      <c r="U839" s="37"/>
      <c r="V839" s="38"/>
      <c r="W839" s="34" t="str">
        <f>IFERROR(__xludf.DUMMYFUNCTION("""COMPUTED_VALUE"""),"")</f>
        <v/>
      </c>
      <c r="X839" s="35" t="str">
        <f>IFERROR(__xludf.DUMMYFUNCTION("""COMPUTED_VALUE"""),"AP")</f>
        <v>AP</v>
      </c>
      <c r="Y839" s="34" t="str">
        <f>IFERROR(__xludf.DUMMYFUNCTION("""COMPUTED_VALUE"""),"")</f>
        <v/>
      </c>
      <c r="Z839" s="35" t="str">
        <f>IFERROR(__xludf.DUMMYFUNCTION("""COMPUTED_VALUE"""),"%")</f>
        <v>%</v>
      </c>
      <c r="AA839" s="36">
        <f>IFERROR(__xludf.DUMMYFUNCTION("""COMPUTED_VALUE"""),3.0)</f>
        <v>3</v>
      </c>
      <c r="AB839" s="37"/>
      <c r="AC839" s="38"/>
      <c r="AD839" s="34" t="str">
        <f>IFERROR(__xludf.DUMMYFUNCTION("""COMPUTED_VALUE"""),"")</f>
        <v/>
      </c>
      <c r="AE839" s="35" t="str">
        <f>IFERROR(__xludf.DUMMYFUNCTION("""COMPUTED_VALUE"""),"AP")</f>
        <v>AP</v>
      </c>
      <c r="AF839" s="34" t="str">
        <f>IFERROR(__xludf.DUMMYFUNCTION("""COMPUTED_VALUE"""),"")</f>
        <v/>
      </c>
      <c r="AG839" s="35" t="str">
        <f>IFERROR(__xludf.DUMMYFUNCTION("""COMPUTED_VALUE"""),"%")</f>
        <v>%</v>
      </c>
      <c r="AH839" s="31"/>
      <c r="AI839" s="32"/>
      <c r="AJ839" s="67"/>
    </row>
    <row r="840" ht="24.75" hidden="1" customHeight="1">
      <c r="A840" s="40">
        <f>IFERROR(__xludf.DUMMYFUNCTION("""COMPUTED_VALUE"""),10.0)</f>
        <v>10</v>
      </c>
      <c r="B840" s="40" t="str">
        <f>IFERROR(__xludf.DUMMYFUNCTION("""COMPUTED_VALUE"""),"A109")</f>
        <v>A109</v>
      </c>
      <c r="C840" s="40"/>
      <c r="D840" s="41"/>
      <c r="E840" s="66"/>
      <c r="F840" s="43"/>
      <c r="G840" s="44"/>
      <c r="H840" s="33" t="str">
        <f>IFERROR(__xludf.DUMMYFUNCTION("""COMPUTED_VALUE""")," ")</f>
        <v> </v>
      </c>
      <c r="I840" s="45"/>
      <c r="J840" s="46" t="str">
        <f>IFERROR(__xludf.DUMMYFUNCTION("""COMPUTED_VALUE"""),"AP")</f>
        <v>AP</v>
      </c>
      <c r="K840" s="47"/>
      <c r="L840" s="48" t="str">
        <f>IFERROR(__xludf.DUMMYFUNCTION("""COMPUTED_VALUE"""),"%")</f>
        <v>%</v>
      </c>
      <c r="M840" s="49">
        <f>IFERROR(__xludf.DUMMYFUNCTION("""COMPUTED_VALUE"""),1.0)</f>
        <v>1</v>
      </c>
      <c r="N840" s="50"/>
      <c r="O840" s="38"/>
      <c r="P840" s="45" t="str">
        <f>IFERROR(__xludf.DUMMYFUNCTION("""COMPUTED_VALUE"""),"")</f>
        <v/>
      </c>
      <c r="Q840" s="46" t="str">
        <f>IFERROR(__xludf.DUMMYFUNCTION("""COMPUTED_VALUE"""),"AP")</f>
        <v>AP</v>
      </c>
      <c r="R840" s="47" t="str">
        <f>IFERROR(__xludf.DUMMYFUNCTION("""COMPUTED_VALUE"""),"")</f>
        <v/>
      </c>
      <c r="S840" s="48" t="str">
        <f>IFERROR(__xludf.DUMMYFUNCTION("""COMPUTED_VALUE"""),"%")</f>
        <v>%</v>
      </c>
      <c r="T840" s="49">
        <f>IFERROR(__xludf.DUMMYFUNCTION("""COMPUTED_VALUE"""),2.0)</f>
        <v>2</v>
      </c>
      <c r="U840" s="50"/>
      <c r="V840" s="38"/>
      <c r="W840" s="45" t="str">
        <f>IFERROR(__xludf.DUMMYFUNCTION("""COMPUTED_VALUE"""),"")</f>
        <v/>
      </c>
      <c r="X840" s="46" t="str">
        <f>IFERROR(__xludf.DUMMYFUNCTION("""COMPUTED_VALUE"""),"AP")</f>
        <v>AP</v>
      </c>
      <c r="Y840" s="47" t="str">
        <f>IFERROR(__xludf.DUMMYFUNCTION("""COMPUTED_VALUE"""),"")</f>
        <v/>
      </c>
      <c r="Z840" s="48" t="str">
        <f>IFERROR(__xludf.DUMMYFUNCTION("""COMPUTED_VALUE"""),"%")</f>
        <v>%</v>
      </c>
      <c r="AA840" s="49">
        <f>IFERROR(__xludf.DUMMYFUNCTION("""COMPUTED_VALUE"""),3.0)</f>
        <v>3</v>
      </c>
      <c r="AB840" s="50"/>
      <c r="AC840" s="38"/>
      <c r="AD840" s="45" t="str">
        <f>IFERROR(__xludf.DUMMYFUNCTION("""COMPUTED_VALUE"""),"")</f>
        <v/>
      </c>
      <c r="AE840" s="46" t="str">
        <f>IFERROR(__xludf.DUMMYFUNCTION("""COMPUTED_VALUE"""),"AP")</f>
        <v>AP</v>
      </c>
      <c r="AF840" s="47" t="str">
        <f>IFERROR(__xludf.DUMMYFUNCTION("""COMPUTED_VALUE"""),"")</f>
        <v/>
      </c>
      <c r="AG840" s="48" t="str">
        <f>IFERROR(__xludf.DUMMYFUNCTION("""COMPUTED_VALUE"""),"%")</f>
        <v>%</v>
      </c>
      <c r="AH840" s="43"/>
      <c r="AI840" s="44"/>
      <c r="AJ840" s="66"/>
    </row>
    <row r="841" ht="24.75" hidden="1" customHeight="1">
      <c r="A841" s="28">
        <f>IFERROR(__xludf.DUMMYFUNCTION("""COMPUTED_VALUE"""),11.0)</f>
        <v>11</v>
      </c>
      <c r="B841" s="28" t="str">
        <f>IFERROR(__xludf.DUMMYFUNCTION("""COMPUTED_VALUE"""),"A109")</f>
        <v>A109</v>
      </c>
      <c r="C841" s="28"/>
      <c r="D841" s="29"/>
      <c r="E841" s="67"/>
      <c r="F841" s="31"/>
      <c r="G841" s="32"/>
      <c r="H841" s="33" t="str">
        <f>IFERROR(__xludf.DUMMYFUNCTION("""COMPUTED_VALUE""")," ")</f>
        <v> </v>
      </c>
      <c r="I841" s="34"/>
      <c r="J841" s="35" t="str">
        <f>IFERROR(__xludf.DUMMYFUNCTION("""COMPUTED_VALUE"""),"AP")</f>
        <v>AP</v>
      </c>
      <c r="K841" s="34"/>
      <c r="L841" s="35" t="str">
        <f>IFERROR(__xludf.DUMMYFUNCTION("""COMPUTED_VALUE"""),"%")</f>
        <v>%</v>
      </c>
      <c r="M841" s="36">
        <f>IFERROR(__xludf.DUMMYFUNCTION("""COMPUTED_VALUE"""),1.0)</f>
        <v>1</v>
      </c>
      <c r="N841" s="37"/>
      <c r="O841" s="38"/>
      <c r="P841" s="34" t="str">
        <f>IFERROR(__xludf.DUMMYFUNCTION("""COMPUTED_VALUE"""),"")</f>
        <v/>
      </c>
      <c r="Q841" s="35" t="str">
        <f>IFERROR(__xludf.DUMMYFUNCTION("""COMPUTED_VALUE"""),"AP")</f>
        <v>AP</v>
      </c>
      <c r="R841" s="34" t="str">
        <f>IFERROR(__xludf.DUMMYFUNCTION("""COMPUTED_VALUE"""),"")</f>
        <v/>
      </c>
      <c r="S841" s="35" t="str">
        <f>IFERROR(__xludf.DUMMYFUNCTION("""COMPUTED_VALUE"""),"%")</f>
        <v>%</v>
      </c>
      <c r="T841" s="36">
        <f>IFERROR(__xludf.DUMMYFUNCTION("""COMPUTED_VALUE"""),2.0)</f>
        <v>2</v>
      </c>
      <c r="U841" s="37"/>
      <c r="V841" s="38"/>
      <c r="W841" s="34" t="str">
        <f>IFERROR(__xludf.DUMMYFUNCTION("""COMPUTED_VALUE"""),"")</f>
        <v/>
      </c>
      <c r="X841" s="35" t="str">
        <f>IFERROR(__xludf.DUMMYFUNCTION("""COMPUTED_VALUE"""),"AP")</f>
        <v>AP</v>
      </c>
      <c r="Y841" s="34" t="str">
        <f>IFERROR(__xludf.DUMMYFUNCTION("""COMPUTED_VALUE"""),"")</f>
        <v/>
      </c>
      <c r="Z841" s="35" t="str">
        <f>IFERROR(__xludf.DUMMYFUNCTION("""COMPUTED_VALUE"""),"%")</f>
        <v>%</v>
      </c>
      <c r="AA841" s="36">
        <f>IFERROR(__xludf.DUMMYFUNCTION("""COMPUTED_VALUE"""),3.0)</f>
        <v>3</v>
      </c>
      <c r="AB841" s="37"/>
      <c r="AC841" s="38"/>
      <c r="AD841" s="34" t="str">
        <f>IFERROR(__xludf.DUMMYFUNCTION("""COMPUTED_VALUE"""),"")</f>
        <v/>
      </c>
      <c r="AE841" s="35" t="str">
        <f>IFERROR(__xludf.DUMMYFUNCTION("""COMPUTED_VALUE"""),"AP")</f>
        <v>AP</v>
      </c>
      <c r="AF841" s="34" t="str">
        <f>IFERROR(__xludf.DUMMYFUNCTION("""COMPUTED_VALUE"""),"")</f>
        <v/>
      </c>
      <c r="AG841" s="35" t="str">
        <f>IFERROR(__xludf.DUMMYFUNCTION("""COMPUTED_VALUE"""),"%")</f>
        <v>%</v>
      </c>
      <c r="AH841" s="31"/>
      <c r="AI841" s="32"/>
      <c r="AJ841" s="67"/>
    </row>
    <row r="842" ht="24.75" hidden="1" customHeight="1">
      <c r="A842" s="40">
        <f>IFERROR(__xludf.DUMMYFUNCTION("""COMPUTED_VALUE"""),12.0)</f>
        <v>12</v>
      </c>
      <c r="B842" s="40" t="str">
        <f>IFERROR(__xludf.DUMMYFUNCTION("""COMPUTED_VALUE"""),"A109")</f>
        <v>A109</v>
      </c>
      <c r="C842" s="40"/>
      <c r="D842" s="41"/>
      <c r="E842" s="66"/>
      <c r="F842" s="43"/>
      <c r="G842" s="44"/>
      <c r="H842" s="33" t="str">
        <f>IFERROR(__xludf.DUMMYFUNCTION("""COMPUTED_VALUE""")," ")</f>
        <v> </v>
      </c>
      <c r="I842" s="45"/>
      <c r="J842" s="46" t="str">
        <f>IFERROR(__xludf.DUMMYFUNCTION("""COMPUTED_VALUE"""),"AP")</f>
        <v>AP</v>
      </c>
      <c r="K842" s="47"/>
      <c r="L842" s="48" t="str">
        <f>IFERROR(__xludf.DUMMYFUNCTION("""COMPUTED_VALUE"""),"%")</f>
        <v>%</v>
      </c>
      <c r="M842" s="49">
        <f>IFERROR(__xludf.DUMMYFUNCTION("""COMPUTED_VALUE"""),1.0)</f>
        <v>1</v>
      </c>
      <c r="N842" s="50"/>
      <c r="O842" s="38"/>
      <c r="P842" s="45" t="str">
        <f>IFERROR(__xludf.DUMMYFUNCTION("""COMPUTED_VALUE"""),"")</f>
        <v/>
      </c>
      <c r="Q842" s="46" t="str">
        <f>IFERROR(__xludf.DUMMYFUNCTION("""COMPUTED_VALUE"""),"AP")</f>
        <v>AP</v>
      </c>
      <c r="R842" s="47" t="str">
        <f>IFERROR(__xludf.DUMMYFUNCTION("""COMPUTED_VALUE"""),"")</f>
        <v/>
      </c>
      <c r="S842" s="48" t="str">
        <f>IFERROR(__xludf.DUMMYFUNCTION("""COMPUTED_VALUE"""),"%")</f>
        <v>%</v>
      </c>
      <c r="T842" s="49">
        <f>IFERROR(__xludf.DUMMYFUNCTION("""COMPUTED_VALUE"""),2.0)</f>
        <v>2</v>
      </c>
      <c r="U842" s="50"/>
      <c r="V842" s="38"/>
      <c r="W842" s="45" t="str">
        <f>IFERROR(__xludf.DUMMYFUNCTION("""COMPUTED_VALUE"""),"")</f>
        <v/>
      </c>
      <c r="X842" s="46" t="str">
        <f>IFERROR(__xludf.DUMMYFUNCTION("""COMPUTED_VALUE"""),"AP")</f>
        <v>AP</v>
      </c>
      <c r="Y842" s="47" t="str">
        <f>IFERROR(__xludf.DUMMYFUNCTION("""COMPUTED_VALUE"""),"")</f>
        <v/>
      </c>
      <c r="Z842" s="48" t="str">
        <f>IFERROR(__xludf.DUMMYFUNCTION("""COMPUTED_VALUE"""),"%")</f>
        <v>%</v>
      </c>
      <c r="AA842" s="49">
        <f>IFERROR(__xludf.DUMMYFUNCTION("""COMPUTED_VALUE"""),3.0)</f>
        <v>3</v>
      </c>
      <c r="AB842" s="50"/>
      <c r="AC842" s="38"/>
      <c r="AD842" s="45" t="str">
        <f>IFERROR(__xludf.DUMMYFUNCTION("""COMPUTED_VALUE"""),"")</f>
        <v/>
      </c>
      <c r="AE842" s="46" t="str">
        <f>IFERROR(__xludf.DUMMYFUNCTION("""COMPUTED_VALUE"""),"AP")</f>
        <v>AP</v>
      </c>
      <c r="AF842" s="47" t="str">
        <f>IFERROR(__xludf.DUMMYFUNCTION("""COMPUTED_VALUE"""),"")</f>
        <v/>
      </c>
      <c r="AG842" s="48" t="str">
        <f>IFERROR(__xludf.DUMMYFUNCTION("""COMPUTED_VALUE"""),"%")</f>
        <v>%</v>
      </c>
      <c r="AH842" s="43"/>
      <c r="AI842" s="44"/>
      <c r="AJ842" s="66"/>
    </row>
    <row r="843" ht="24.75" hidden="1" customHeight="1">
      <c r="A843" s="28">
        <f>IFERROR(__xludf.DUMMYFUNCTION("""COMPUTED_VALUE"""),13.0)</f>
        <v>13</v>
      </c>
      <c r="B843" s="28" t="str">
        <f>IFERROR(__xludf.DUMMYFUNCTION("""COMPUTED_VALUE"""),"A109")</f>
        <v>A109</v>
      </c>
      <c r="C843" s="28"/>
      <c r="D843" s="29"/>
      <c r="E843" s="67"/>
      <c r="F843" s="31"/>
      <c r="G843" s="32"/>
      <c r="H843" s="33" t="str">
        <f>IFERROR(__xludf.DUMMYFUNCTION("""COMPUTED_VALUE""")," ")</f>
        <v> </v>
      </c>
      <c r="I843" s="34"/>
      <c r="J843" s="35" t="str">
        <f>IFERROR(__xludf.DUMMYFUNCTION("""COMPUTED_VALUE"""),"AP")</f>
        <v>AP</v>
      </c>
      <c r="K843" s="34"/>
      <c r="L843" s="35" t="str">
        <f>IFERROR(__xludf.DUMMYFUNCTION("""COMPUTED_VALUE"""),"%")</f>
        <v>%</v>
      </c>
      <c r="M843" s="36">
        <f>IFERROR(__xludf.DUMMYFUNCTION("""COMPUTED_VALUE"""),1.0)</f>
        <v>1</v>
      </c>
      <c r="N843" s="37"/>
      <c r="O843" s="38"/>
      <c r="P843" s="34" t="str">
        <f>IFERROR(__xludf.DUMMYFUNCTION("""COMPUTED_VALUE"""),"")</f>
        <v/>
      </c>
      <c r="Q843" s="35" t="str">
        <f>IFERROR(__xludf.DUMMYFUNCTION("""COMPUTED_VALUE"""),"AP")</f>
        <v>AP</v>
      </c>
      <c r="R843" s="34" t="str">
        <f>IFERROR(__xludf.DUMMYFUNCTION("""COMPUTED_VALUE"""),"")</f>
        <v/>
      </c>
      <c r="S843" s="35" t="str">
        <f>IFERROR(__xludf.DUMMYFUNCTION("""COMPUTED_VALUE"""),"%")</f>
        <v>%</v>
      </c>
      <c r="T843" s="36">
        <f>IFERROR(__xludf.DUMMYFUNCTION("""COMPUTED_VALUE"""),2.0)</f>
        <v>2</v>
      </c>
      <c r="U843" s="37"/>
      <c r="V843" s="38"/>
      <c r="W843" s="34" t="str">
        <f>IFERROR(__xludf.DUMMYFUNCTION("""COMPUTED_VALUE"""),"")</f>
        <v/>
      </c>
      <c r="X843" s="35" t="str">
        <f>IFERROR(__xludf.DUMMYFUNCTION("""COMPUTED_VALUE"""),"AP")</f>
        <v>AP</v>
      </c>
      <c r="Y843" s="34" t="str">
        <f>IFERROR(__xludf.DUMMYFUNCTION("""COMPUTED_VALUE"""),"")</f>
        <v/>
      </c>
      <c r="Z843" s="35" t="str">
        <f>IFERROR(__xludf.DUMMYFUNCTION("""COMPUTED_VALUE"""),"%")</f>
        <v>%</v>
      </c>
      <c r="AA843" s="36">
        <f>IFERROR(__xludf.DUMMYFUNCTION("""COMPUTED_VALUE"""),3.0)</f>
        <v>3</v>
      </c>
      <c r="AB843" s="37"/>
      <c r="AC843" s="38"/>
      <c r="AD843" s="34" t="str">
        <f>IFERROR(__xludf.DUMMYFUNCTION("""COMPUTED_VALUE"""),"")</f>
        <v/>
      </c>
      <c r="AE843" s="35" t="str">
        <f>IFERROR(__xludf.DUMMYFUNCTION("""COMPUTED_VALUE"""),"AP")</f>
        <v>AP</v>
      </c>
      <c r="AF843" s="34" t="str">
        <f>IFERROR(__xludf.DUMMYFUNCTION("""COMPUTED_VALUE"""),"")</f>
        <v/>
      </c>
      <c r="AG843" s="35" t="str">
        <f>IFERROR(__xludf.DUMMYFUNCTION("""COMPUTED_VALUE"""),"%")</f>
        <v>%</v>
      </c>
      <c r="AH843" s="31"/>
      <c r="AI843" s="32"/>
      <c r="AJ843" s="67"/>
    </row>
    <row r="844" ht="24.75" hidden="1" customHeight="1">
      <c r="A844" s="40">
        <f>IFERROR(__xludf.DUMMYFUNCTION("""COMPUTED_VALUE"""),14.0)</f>
        <v>14</v>
      </c>
      <c r="B844" s="40" t="str">
        <f>IFERROR(__xludf.DUMMYFUNCTION("""COMPUTED_VALUE"""),"A109")</f>
        <v>A109</v>
      </c>
      <c r="C844" s="40"/>
      <c r="D844" s="41"/>
      <c r="E844" s="66"/>
      <c r="F844" s="43"/>
      <c r="G844" s="44"/>
      <c r="H844" s="33" t="str">
        <f>IFERROR(__xludf.DUMMYFUNCTION("""COMPUTED_VALUE""")," ")</f>
        <v> </v>
      </c>
      <c r="I844" s="45"/>
      <c r="J844" s="46" t="str">
        <f>IFERROR(__xludf.DUMMYFUNCTION("""COMPUTED_VALUE"""),"AP")</f>
        <v>AP</v>
      </c>
      <c r="K844" s="47"/>
      <c r="L844" s="48" t="str">
        <f>IFERROR(__xludf.DUMMYFUNCTION("""COMPUTED_VALUE"""),"%")</f>
        <v>%</v>
      </c>
      <c r="M844" s="49">
        <f>IFERROR(__xludf.DUMMYFUNCTION("""COMPUTED_VALUE"""),1.0)</f>
        <v>1</v>
      </c>
      <c r="N844" s="50"/>
      <c r="O844" s="38"/>
      <c r="P844" s="45" t="str">
        <f>IFERROR(__xludf.DUMMYFUNCTION("""COMPUTED_VALUE"""),"")</f>
        <v/>
      </c>
      <c r="Q844" s="46" t="str">
        <f>IFERROR(__xludf.DUMMYFUNCTION("""COMPUTED_VALUE"""),"AP")</f>
        <v>AP</v>
      </c>
      <c r="R844" s="47" t="str">
        <f>IFERROR(__xludf.DUMMYFUNCTION("""COMPUTED_VALUE"""),"")</f>
        <v/>
      </c>
      <c r="S844" s="48" t="str">
        <f>IFERROR(__xludf.DUMMYFUNCTION("""COMPUTED_VALUE"""),"%")</f>
        <v>%</v>
      </c>
      <c r="T844" s="49">
        <f>IFERROR(__xludf.DUMMYFUNCTION("""COMPUTED_VALUE"""),2.0)</f>
        <v>2</v>
      </c>
      <c r="U844" s="50"/>
      <c r="V844" s="38"/>
      <c r="W844" s="45" t="str">
        <f>IFERROR(__xludf.DUMMYFUNCTION("""COMPUTED_VALUE"""),"")</f>
        <v/>
      </c>
      <c r="X844" s="46" t="str">
        <f>IFERROR(__xludf.DUMMYFUNCTION("""COMPUTED_VALUE"""),"AP")</f>
        <v>AP</v>
      </c>
      <c r="Y844" s="47" t="str">
        <f>IFERROR(__xludf.DUMMYFUNCTION("""COMPUTED_VALUE"""),"")</f>
        <v/>
      </c>
      <c r="Z844" s="48" t="str">
        <f>IFERROR(__xludf.DUMMYFUNCTION("""COMPUTED_VALUE"""),"%")</f>
        <v>%</v>
      </c>
      <c r="AA844" s="49">
        <f>IFERROR(__xludf.DUMMYFUNCTION("""COMPUTED_VALUE"""),3.0)</f>
        <v>3</v>
      </c>
      <c r="AB844" s="50"/>
      <c r="AC844" s="38"/>
      <c r="AD844" s="45" t="str">
        <f>IFERROR(__xludf.DUMMYFUNCTION("""COMPUTED_VALUE"""),"")</f>
        <v/>
      </c>
      <c r="AE844" s="46" t="str">
        <f>IFERROR(__xludf.DUMMYFUNCTION("""COMPUTED_VALUE"""),"AP")</f>
        <v>AP</v>
      </c>
      <c r="AF844" s="47" t="str">
        <f>IFERROR(__xludf.DUMMYFUNCTION("""COMPUTED_VALUE"""),"")</f>
        <v/>
      </c>
      <c r="AG844" s="48" t="str">
        <f>IFERROR(__xludf.DUMMYFUNCTION("""COMPUTED_VALUE"""),"%")</f>
        <v>%</v>
      </c>
      <c r="AH844" s="43"/>
      <c r="AI844" s="44"/>
      <c r="AJ844" s="66"/>
    </row>
    <row r="845" ht="24.75" hidden="1" customHeight="1">
      <c r="A845" s="28">
        <f>IFERROR(__xludf.DUMMYFUNCTION("""COMPUTED_VALUE"""),15.0)</f>
        <v>15</v>
      </c>
      <c r="B845" s="28" t="str">
        <f>IFERROR(__xludf.DUMMYFUNCTION("""COMPUTED_VALUE"""),"A109")</f>
        <v>A109</v>
      </c>
      <c r="C845" s="28"/>
      <c r="D845" s="29"/>
      <c r="E845" s="67"/>
      <c r="F845" s="31"/>
      <c r="G845" s="32"/>
      <c r="H845" s="33" t="str">
        <f>IFERROR(__xludf.DUMMYFUNCTION("""COMPUTED_VALUE""")," ")</f>
        <v> </v>
      </c>
      <c r="I845" s="34"/>
      <c r="J845" s="35" t="str">
        <f>IFERROR(__xludf.DUMMYFUNCTION("""COMPUTED_VALUE"""),"AP")</f>
        <v>AP</v>
      </c>
      <c r="K845" s="34"/>
      <c r="L845" s="35" t="str">
        <f>IFERROR(__xludf.DUMMYFUNCTION("""COMPUTED_VALUE"""),"%")</f>
        <v>%</v>
      </c>
      <c r="M845" s="36">
        <f>IFERROR(__xludf.DUMMYFUNCTION("""COMPUTED_VALUE"""),1.0)</f>
        <v>1</v>
      </c>
      <c r="N845" s="37"/>
      <c r="O845" s="38"/>
      <c r="P845" s="34" t="str">
        <f>IFERROR(__xludf.DUMMYFUNCTION("""COMPUTED_VALUE"""),"")</f>
        <v/>
      </c>
      <c r="Q845" s="35" t="str">
        <f>IFERROR(__xludf.DUMMYFUNCTION("""COMPUTED_VALUE"""),"AP")</f>
        <v>AP</v>
      </c>
      <c r="R845" s="34" t="str">
        <f>IFERROR(__xludf.DUMMYFUNCTION("""COMPUTED_VALUE"""),"")</f>
        <v/>
      </c>
      <c r="S845" s="35" t="str">
        <f>IFERROR(__xludf.DUMMYFUNCTION("""COMPUTED_VALUE"""),"%")</f>
        <v>%</v>
      </c>
      <c r="T845" s="36">
        <f>IFERROR(__xludf.DUMMYFUNCTION("""COMPUTED_VALUE"""),2.0)</f>
        <v>2</v>
      </c>
      <c r="U845" s="37"/>
      <c r="V845" s="38"/>
      <c r="W845" s="34" t="str">
        <f>IFERROR(__xludf.DUMMYFUNCTION("""COMPUTED_VALUE"""),"")</f>
        <v/>
      </c>
      <c r="X845" s="35" t="str">
        <f>IFERROR(__xludf.DUMMYFUNCTION("""COMPUTED_VALUE"""),"AP")</f>
        <v>AP</v>
      </c>
      <c r="Y845" s="34" t="str">
        <f>IFERROR(__xludf.DUMMYFUNCTION("""COMPUTED_VALUE"""),"")</f>
        <v/>
      </c>
      <c r="Z845" s="35" t="str">
        <f>IFERROR(__xludf.DUMMYFUNCTION("""COMPUTED_VALUE"""),"%")</f>
        <v>%</v>
      </c>
      <c r="AA845" s="36">
        <f>IFERROR(__xludf.DUMMYFUNCTION("""COMPUTED_VALUE"""),3.0)</f>
        <v>3</v>
      </c>
      <c r="AB845" s="37"/>
      <c r="AC845" s="38"/>
      <c r="AD845" s="34" t="str">
        <f>IFERROR(__xludf.DUMMYFUNCTION("""COMPUTED_VALUE"""),"")</f>
        <v/>
      </c>
      <c r="AE845" s="35" t="str">
        <f>IFERROR(__xludf.DUMMYFUNCTION("""COMPUTED_VALUE"""),"AP")</f>
        <v>AP</v>
      </c>
      <c r="AF845" s="34" t="str">
        <f>IFERROR(__xludf.DUMMYFUNCTION("""COMPUTED_VALUE"""),"")</f>
        <v/>
      </c>
      <c r="AG845" s="35" t="str">
        <f>IFERROR(__xludf.DUMMYFUNCTION("""COMPUTED_VALUE"""),"%")</f>
        <v>%</v>
      </c>
      <c r="AH845" s="31"/>
      <c r="AI845" s="32"/>
      <c r="AJ845" s="67"/>
    </row>
    <row r="846" ht="24.75" hidden="1" customHeight="1">
      <c r="A846" s="40">
        <f>IFERROR(__xludf.DUMMYFUNCTION("""COMPUTED_VALUE"""),16.0)</f>
        <v>16</v>
      </c>
      <c r="B846" s="40" t="str">
        <f>IFERROR(__xludf.DUMMYFUNCTION("""COMPUTED_VALUE"""),"A109")</f>
        <v>A109</v>
      </c>
      <c r="C846" s="40"/>
      <c r="D846" s="41"/>
      <c r="E846" s="66"/>
      <c r="F846" s="43"/>
      <c r="G846" s="44"/>
      <c r="H846" s="33" t="str">
        <f>IFERROR(__xludf.DUMMYFUNCTION("""COMPUTED_VALUE""")," ")</f>
        <v> </v>
      </c>
      <c r="I846" s="45"/>
      <c r="J846" s="46" t="str">
        <f>IFERROR(__xludf.DUMMYFUNCTION("""COMPUTED_VALUE"""),"AP")</f>
        <v>AP</v>
      </c>
      <c r="K846" s="47"/>
      <c r="L846" s="48" t="str">
        <f>IFERROR(__xludf.DUMMYFUNCTION("""COMPUTED_VALUE"""),"%")</f>
        <v>%</v>
      </c>
      <c r="M846" s="49">
        <f>IFERROR(__xludf.DUMMYFUNCTION("""COMPUTED_VALUE"""),1.0)</f>
        <v>1</v>
      </c>
      <c r="N846" s="50"/>
      <c r="O846" s="38"/>
      <c r="P846" s="45" t="str">
        <f>IFERROR(__xludf.DUMMYFUNCTION("""COMPUTED_VALUE"""),"")</f>
        <v/>
      </c>
      <c r="Q846" s="46" t="str">
        <f>IFERROR(__xludf.DUMMYFUNCTION("""COMPUTED_VALUE"""),"AP")</f>
        <v>AP</v>
      </c>
      <c r="R846" s="47" t="str">
        <f>IFERROR(__xludf.DUMMYFUNCTION("""COMPUTED_VALUE"""),"")</f>
        <v/>
      </c>
      <c r="S846" s="48" t="str">
        <f>IFERROR(__xludf.DUMMYFUNCTION("""COMPUTED_VALUE"""),"%")</f>
        <v>%</v>
      </c>
      <c r="T846" s="49">
        <f>IFERROR(__xludf.DUMMYFUNCTION("""COMPUTED_VALUE"""),2.0)</f>
        <v>2</v>
      </c>
      <c r="U846" s="50"/>
      <c r="V846" s="38"/>
      <c r="W846" s="45" t="str">
        <f>IFERROR(__xludf.DUMMYFUNCTION("""COMPUTED_VALUE"""),"")</f>
        <v/>
      </c>
      <c r="X846" s="46" t="str">
        <f>IFERROR(__xludf.DUMMYFUNCTION("""COMPUTED_VALUE"""),"AP")</f>
        <v>AP</v>
      </c>
      <c r="Y846" s="47" t="str">
        <f>IFERROR(__xludf.DUMMYFUNCTION("""COMPUTED_VALUE"""),"")</f>
        <v/>
      </c>
      <c r="Z846" s="48" t="str">
        <f>IFERROR(__xludf.DUMMYFUNCTION("""COMPUTED_VALUE"""),"%")</f>
        <v>%</v>
      </c>
      <c r="AA846" s="49">
        <f>IFERROR(__xludf.DUMMYFUNCTION("""COMPUTED_VALUE"""),3.0)</f>
        <v>3</v>
      </c>
      <c r="AB846" s="50"/>
      <c r="AC846" s="38"/>
      <c r="AD846" s="45" t="str">
        <f>IFERROR(__xludf.DUMMYFUNCTION("""COMPUTED_VALUE"""),"")</f>
        <v/>
      </c>
      <c r="AE846" s="46" t="str">
        <f>IFERROR(__xludf.DUMMYFUNCTION("""COMPUTED_VALUE"""),"AP")</f>
        <v>AP</v>
      </c>
      <c r="AF846" s="47" t="str">
        <f>IFERROR(__xludf.DUMMYFUNCTION("""COMPUTED_VALUE"""),"")</f>
        <v/>
      </c>
      <c r="AG846" s="48" t="str">
        <f>IFERROR(__xludf.DUMMYFUNCTION("""COMPUTED_VALUE"""),"%")</f>
        <v>%</v>
      </c>
      <c r="AH846" s="43"/>
      <c r="AI846" s="44"/>
      <c r="AJ846" s="66"/>
    </row>
    <row r="847" ht="24.75" hidden="1" customHeight="1">
      <c r="A847" s="28">
        <f>IFERROR(__xludf.DUMMYFUNCTION("""COMPUTED_VALUE"""),17.0)</f>
        <v>17</v>
      </c>
      <c r="B847" s="28" t="str">
        <f>IFERROR(__xludf.DUMMYFUNCTION("""COMPUTED_VALUE"""),"A109")</f>
        <v>A109</v>
      </c>
      <c r="C847" s="28"/>
      <c r="D847" s="29"/>
      <c r="E847" s="67"/>
      <c r="F847" s="31"/>
      <c r="G847" s="32"/>
      <c r="H847" s="33" t="str">
        <f>IFERROR(__xludf.DUMMYFUNCTION("""COMPUTED_VALUE""")," ")</f>
        <v> </v>
      </c>
      <c r="I847" s="34"/>
      <c r="J847" s="35" t="str">
        <f>IFERROR(__xludf.DUMMYFUNCTION("""COMPUTED_VALUE"""),"AP")</f>
        <v>AP</v>
      </c>
      <c r="K847" s="34"/>
      <c r="L847" s="35" t="str">
        <f>IFERROR(__xludf.DUMMYFUNCTION("""COMPUTED_VALUE"""),"%")</f>
        <v>%</v>
      </c>
      <c r="M847" s="36">
        <f>IFERROR(__xludf.DUMMYFUNCTION("""COMPUTED_VALUE"""),1.0)</f>
        <v>1</v>
      </c>
      <c r="N847" s="37"/>
      <c r="O847" s="38"/>
      <c r="P847" s="34" t="str">
        <f>IFERROR(__xludf.DUMMYFUNCTION("""COMPUTED_VALUE"""),"")</f>
        <v/>
      </c>
      <c r="Q847" s="35" t="str">
        <f>IFERROR(__xludf.DUMMYFUNCTION("""COMPUTED_VALUE"""),"AP")</f>
        <v>AP</v>
      </c>
      <c r="R847" s="34" t="str">
        <f>IFERROR(__xludf.DUMMYFUNCTION("""COMPUTED_VALUE"""),"")</f>
        <v/>
      </c>
      <c r="S847" s="35" t="str">
        <f>IFERROR(__xludf.DUMMYFUNCTION("""COMPUTED_VALUE"""),"%")</f>
        <v>%</v>
      </c>
      <c r="T847" s="36">
        <f>IFERROR(__xludf.DUMMYFUNCTION("""COMPUTED_VALUE"""),2.0)</f>
        <v>2</v>
      </c>
      <c r="U847" s="37"/>
      <c r="V847" s="38"/>
      <c r="W847" s="34" t="str">
        <f>IFERROR(__xludf.DUMMYFUNCTION("""COMPUTED_VALUE"""),"")</f>
        <v/>
      </c>
      <c r="X847" s="35" t="str">
        <f>IFERROR(__xludf.DUMMYFUNCTION("""COMPUTED_VALUE"""),"AP")</f>
        <v>AP</v>
      </c>
      <c r="Y847" s="34" t="str">
        <f>IFERROR(__xludf.DUMMYFUNCTION("""COMPUTED_VALUE"""),"")</f>
        <v/>
      </c>
      <c r="Z847" s="35" t="str">
        <f>IFERROR(__xludf.DUMMYFUNCTION("""COMPUTED_VALUE"""),"%")</f>
        <v>%</v>
      </c>
      <c r="AA847" s="36">
        <f>IFERROR(__xludf.DUMMYFUNCTION("""COMPUTED_VALUE"""),3.0)</f>
        <v>3</v>
      </c>
      <c r="AB847" s="37"/>
      <c r="AC847" s="38"/>
      <c r="AD847" s="34" t="str">
        <f>IFERROR(__xludf.DUMMYFUNCTION("""COMPUTED_VALUE"""),"")</f>
        <v/>
      </c>
      <c r="AE847" s="35" t="str">
        <f>IFERROR(__xludf.DUMMYFUNCTION("""COMPUTED_VALUE"""),"AP")</f>
        <v>AP</v>
      </c>
      <c r="AF847" s="34" t="str">
        <f>IFERROR(__xludf.DUMMYFUNCTION("""COMPUTED_VALUE"""),"")</f>
        <v/>
      </c>
      <c r="AG847" s="35" t="str">
        <f>IFERROR(__xludf.DUMMYFUNCTION("""COMPUTED_VALUE"""),"%")</f>
        <v>%</v>
      </c>
      <c r="AH847" s="31"/>
      <c r="AI847" s="32"/>
      <c r="AJ847" s="67"/>
    </row>
    <row r="848" ht="24.75" hidden="1" customHeight="1">
      <c r="A848" s="40">
        <f>IFERROR(__xludf.DUMMYFUNCTION("""COMPUTED_VALUE"""),18.0)</f>
        <v>18</v>
      </c>
      <c r="B848" s="40" t="str">
        <f>IFERROR(__xludf.DUMMYFUNCTION("""COMPUTED_VALUE"""),"A109")</f>
        <v>A109</v>
      </c>
      <c r="C848" s="40"/>
      <c r="D848" s="41"/>
      <c r="E848" s="66"/>
      <c r="F848" s="43"/>
      <c r="G848" s="44"/>
      <c r="H848" s="33" t="str">
        <f>IFERROR(__xludf.DUMMYFUNCTION("""COMPUTED_VALUE""")," ")</f>
        <v> </v>
      </c>
      <c r="I848" s="45"/>
      <c r="J848" s="46" t="str">
        <f>IFERROR(__xludf.DUMMYFUNCTION("""COMPUTED_VALUE"""),"AP")</f>
        <v>AP</v>
      </c>
      <c r="K848" s="47"/>
      <c r="L848" s="48" t="str">
        <f>IFERROR(__xludf.DUMMYFUNCTION("""COMPUTED_VALUE"""),"%")</f>
        <v>%</v>
      </c>
      <c r="M848" s="49">
        <f>IFERROR(__xludf.DUMMYFUNCTION("""COMPUTED_VALUE"""),1.0)</f>
        <v>1</v>
      </c>
      <c r="N848" s="50"/>
      <c r="O848" s="38"/>
      <c r="P848" s="45" t="str">
        <f>IFERROR(__xludf.DUMMYFUNCTION("""COMPUTED_VALUE"""),"")</f>
        <v/>
      </c>
      <c r="Q848" s="46" t="str">
        <f>IFERROR(__xludf.DUMMYFUNCTION("""COMPUTED_VALUE"""),"AP")</f>
        <v>AP</v>
      </c>
      <c r="R848" s="47" t="str">
        <f>IFERROR(__xludf.DUMMYFUNCTION("""COMPUTED_VALUE"""),"")</f>
        <v/>
      </c>
      <c r="S848" s="48" t="str">
        <f>IFERROR(__xludf.DUMMYFUNCTION("""COMPUTED_VALUE"""),"%")</f>
        <v>%</v>
      </c>
      <c r="T848" s="49">
        <f>IFERROR(__xludf.DUMMYFUNCTION("""COMPUTED_VALUE"""),2.0)</f>
        <v>2</v>
      </c>
      <c r="U848" s="50"/>
      <c r="V848" s="38"/>
      <c r="W848" s="45" t="str">
        <f>IFERROR(__xludf.DUMMYFUNCTION("""COMPUTED_VALUE"""),"")</f>
        <v/>
      </c>
      <c r="X848" s="46" t="str">
        <f>IFERROR(__xludf.DUMMYFUNCTION("""COMPUTED_VALUE"""),"AP")</f>
        <v>AP</v>
      </c>
      <c r="Y848" s="47" t="str">
        <f>IFERROR(__xludf.DUMMYFUNCTION("""COMPUTED_VALUE"""),"")</f>
        <v/>
      </c>
      <c r="Z848" s="48" t="str">
        <f>IFERROR(__xludf.DUMMYFUNCTION("""COMPUTED_VALUE"""),"%")</f>
        <v>%</v>
      </c>
      <c r="AA848" s="49">
        <f>IFERROR(__xludf.DUMMYFUNCTION("""COMPUTED_VALUE"""),3.0)</f>
        <v>3</v>
      </c>
      <c r="AB848" s="50"/>
      <c r="AC848" s="38"/>
      <c r="AD848" s="45" t="str">
        <f>IFERROR(__xludf.DUMMYFUNCTION("""COMPUTED_VALUE"""),"")</f>
        <v/>
      </c>
      <c r="AE848" s="46" t="str">
        <f>IFERROR(__xludf.DUMMYFUNCTION("""COMPUTED_VALUE"""),"AP")</f>
        <v>AP</v>
      </c>
      <c r="AF848" s="47" t="str">
        <f>IFERROR(__xludf.DUMMYFUNCTION("""COMPUTED_VALUE"""),"")</f>
        <v/>
      </c>
      <c r="AG848" s="48" t="str">
        <f>IFERROR(__xludf.DUMMYFUNCTION("""COMPUTED_VALUE"""),"%")</f>
        <v>%</v>
      </c>
      <c r="AH848" s="43"/>
      <c r="AI848" s="44"/>
      <c r="AJ848" s="66"/>
    </row>
    <row r="849" ht="24.75" hidden="1" customHeight="1">
      <c r="A849" s="28">
        <f>IFERROR(__xludf.DUMMYFUNCTION("""COMPUTED_VALUE"""),19.0)</f>
        <v>19</v>
      </c>
      <c r="B849" s="28" t="str">
        <f>IFERROR(__xludf.DUMMYFUNCTION("""COMPUTED_VALUE"""),"A109")</f>
        <v>A109</v>
      </c>
      <c r="C849" s="28"/>
      <c r="D849" s="29"/>
      <c r="E849" s="67"/>
      <c r="F849" s="31"/>
      <c r="G849" s="32"/>
      <c r="H849" s="33" t="str">
        <f>IFERROR(__xludf.DUMMYFUNCTION("""COMPUTED_VALUE""")," ")</f>
        <v> </v>
      </c>
      <c r="I849" s="34"/>
      <c r="J849" s="35" t="str">
        <f>IFERROR(__xludf.DUMMYFUNCTION("""COMPUTED_VALUE"""),"AP")</f>
        <v>AP</v>
      </c>
      <c r="K849" s="34"/>
      <c r="L849" s="35" t="str">
        <f>IFERROR(__xludf.DUMMYFUNCTION("""COMPUTED_VALUE"""),"%")</f>
        <v>%</v>
      </c>
      <c r="M849" s="36">
        <f>IFERROR(__xludf.DUMMYFUNCTION("""COMPUTED_VALUE"""),1.0)</f>
        <v>1</v>
      </c>
      <c r="N849" s="37"/>
      <c r="O849" s="38"/>
      <c r="P849" s="34" t="str">
        <f>IFERROR(__xludf.DUMMYFUNCTION("""COMPUTED_VALUE"""),"")</f>
        <v/>
      </c>
      <c r="Q849" s="35" t="str">
        <f>IFERROR(__xludf.DUMMYFUNCTION("""COMPUTED_VALUE"""),"AP")</f>
        <v>AP</v>
      </c>
      <c r="R849" s="34" t="str">
        <f>IFERROR(__xludf.DUMMYFUNCTION("""COMPUTED_VALUE"""),"")</f>
        <v/>
      </c>
      <c r="S849" s="35" t="str">
        <f>IFERROR(__xludf.DUMMYFUNCTION("""COMPUTED_VALUE"""),"%")</f>
        <v>%</v>
      </c>
      <c r="T849" s="36">
        <f>IFERROR(__xludf.DUMMYFUNCTION("""COMPUTED_VALUE"""),2.0)</f>
        <v>2</v>
      </c>
      <c r="U849" s="37"/>
      <c r="V849" s="38"/>
      <c r="W849" s="34" t="str">
        <f>IFERROR(__xludf.DUMMYFUNCTION("""COMPUTED_VALUE"""),"")</f>
        <v/>
      </c>
      <c r="X849" s="35" t="str">
        <f>IFERROR(__xludf.DUMMYFUNCTION("""COMPUTED_VALUE"""),"AP")</f>
        <v>AP</v>
      </c>
      <c r="Y849" s="34" t="str">
        <f>IFERROR(__xludf.DUMMYFUNCTION("""COMPUTED_VALUE"""),"")</f>
        <v/>
      </c>
      <c r="Z849" s="35" t="str">
        <f>IFERROR(__xludf.DUMMYFUNCTION("""COMPUTED_VALUE"""),"%")</f>
        <v>%</v>
      </c>
      <c r="AA849" s="36">
        <f>IFERROR(__xludf.DUMMYFUNCTION("""COMPUTED_VALUE"""),3.0)</f>
        <v>3</v>
      </c>
      <c r="AB849" s="37"/>
      <c r="AC849" s="38"/>
      <c r="AD849" s="34" t="str">
        <f>IFERROR(__xludf.DUMMYFUNCTION("""COMPUTED_VALUE"""),"")</f>
        <v/>
      </c>
      <c r="AE849" s="35" t="str">
        <f>IFERROR(__xludf.DUMMYFUNCTION("""COMPUTED_VALUE"""),"AP")</f>
        <v>AP</v>
      </c>
      <c r="AF849" s="34" t="str">
        <f>IFERROR(__xludf.DUMMYFUNCTION("""COMPUTED_VALUE"""),"")</f>
        <v/>
      </c>
      <c r="AG849" s="35" t="str">
        <f>IFERROR(__xludf.DUMMYFUNCTION("""COMPUTED_VALUE"""),"%")</f>
        <v>%</v>
      </c>
      <c r="AH849" s="31"/>
      <c r="AI849" s="32"/>
      <c r="AJ849" s="67"/>
    </row>
    <row r="850" ht="24.75" hidden="1" customHeight="1">
      <c r="A850" s="40">
        <f>IFERROR(__xludf.DUMMYFUNCTION("""COMPUTED_VALUE"""),20.0)</f>
        <v>20</v>
      </c>
      <c r="B850" s="40" t="str">
        <f>IFERROR(__xludf.DUMMYFUNCTION("""COMPUTED_VALUE"""),"A109")</f>
        <v>A109</v>
      </c>
      <c r="C850" s="40"/>
      <c r="D850" s="41"/>
      <c r="E850" s="66"/>
      <c r="F850" s="43"/>
      <c r="G850" s="44"/>
      <c r="H850" s="33" t="str">
        <f>IFERROR(__xludf.DUMMYFUNCTION("""COMPUTED_VALUE""")," ")</f>
        <v> </v>
      </c>
      <c r="I850" s="45"/>
      <c r="J850" s="46" t="str">
        <f>IFERROR(__xludf.DUMMYFUNCTION("""COMPUTED_VALUE"""),"AP")</f>
        <v>AP</v>
      </c>
      <c r="K850" s="47"/>
      <c r="L850" s="48" t="str">
        <f>IFERROR(__xludf.DUMMYFUNCTION("""COMPUTED_VALUE"""),"%")</f>
        <v>%</v>
      </c>
      <c r="M850" s="49">
        <f>IFERROR(__xludf.DUMMYFUNCTION("""COMPUTED_VALUE"""),1.0)</f>
        <v>1</v>
      </c>
      <c r="N850" s="50"/>
      <c r="O850" s="38"/>
      <c r="P850" s="45" t="str">
        <f>IFERROR(__xludf.DUMMYFUNCTION("""COMPUTED_VALUE"""),"")</f>
        <v/>
      </c>
      <c r="Q850" s="46" t="str">
        <f>IFERROR(__xludf.DUMMYFUNCTION("""COMPUTED_VALUE"""),"AP")</f>
        <v>AP</v>
      </c>
      <c r="R850" s="47" t="str">
        <f>IFERROR(__xludf.DUMMYFUNCTION("""COMPUTED_VALUE"""),"")</f>
        <v/>
      </c>
      <c r="S850" s="48" t="str">
        <f>IFERROR(__xludf.DUMMYFUNCTION("""COMPUTED_VALUE"""),"%")</f>
        <v>%</v>
      </c>
      <c r="T850" s="49">
        <f>IFERROR(__xludf.DUMMYFUNCTION("""COMPUTED_VALUE"""),2.0)</f>
        <v>2</v>
      </c>
      <c r="U850" s="50"/>
      <c r="V850" s="38"/>
      <c r="W850" s="45" t="str">
        <f>IFERROR(__xludf.DUMMYFUNCTION("""COMPUTED_VALUE"""),"")</f>
        <v/>
      </c>
      <c r="X850" s="46" t="str">
        <f>IFERROR(__xludf.DUMMYFUNCTION("""COMPUTED_VALUE"""),"AP")</f>
        <v>AP</v>
      </c>
      <c r="Y850" s="47" t="str">
        <f>IFERROR(__xludf.DUMMYFUNCTION("""COMPUTED_VALUE"""),"")</f>
        <v/>
      </c>
      <c r="Z850" s="48" t="str">
        <f>IFERROR(__xludf.DUMMYFUNCTION("""COMPUTED_VALUE"""),"%")</f>
        <v>%</v>
      </c>
      <c r="AA850" s="49">
        <f>IFERROR(__xludf.DUMMYFUNCTION("""COMPUTED_VALUE"""),3.0)</f>
        <v>3</v>
      </c>
      <c r="AB850" s="50"/>
      <c r="AC850" s="38"/>
      <c r="AD850" s="45" t="str">
        <f>IFERROR(__xludf.DUMMYFUNCTION("""COMPUTED_VALUE"""),"")</f>
        <v/>
      </c>
      <c r="AE850" s="46" t="str">
        <f>IFERROR(__xludf.DUMMYFUNCTION("""COMPUTED_VALUE"""),"AP")</f>
        <v>AP</v>
      </c>
      <c r="AF850" s="47" t="str">
        <f>IFERROR(__xludf.DUMMYFUNCTION("""COMPUTED_VALUE"""),"")</f>
        <v/>
      </c>
      <c r="AG850" s="48" t="str">
        <f>IFERROR(__xludf.DUMMYFUNCTION("""COMPUTED_VALUE"""),"%")</f>
        <v>%</v>
      </c>
      <c r="AH850" s="43"/>
      <c r="AI850" s="44"/>
      <c r="AJ850" s="66"/>
    </row>
    <row r="851">
      <c r="A851" s="52"/>
      <c r="B851" s="53"/>
      <c r="C851" s="54"/>
      <c r="D851" s="56"/>
      <c r="E851" s="56"/>
      <c r="F851" s="53"/>
      <c r="G851" s="53"/>
      <c r="H851" s="53"/>
      <c r="I851" s="53"/>
      <c r="J851" s="57"/>
      <c r="K851" s="53"/>
      <c r="L851" s="57"/>
      <c r="M851" s="53"/>
      <c r="N851" s="53"/>
      <c r="O851" s="53"/>
      <c r="P851" s="53"/>
      <c r="Q851" s="57"/>
      <c r="R851" s="53"/>
      <c r="S851" s="57"/>
      <c r="T851" s="53"/>
      <c r="U851" s="53"/>
      <c r="V851" s="53"/>
      <c r="W851" s="53"/>
      <c r="X851" s="57"/>
      <c r="Y851" s="53"/>
      <c r="Z851" s="57"/>
      <c r="AA851" s="53"/>
      <c r="AB851" s="53"/>
      <c r="AC851" s="53"/>
      <c r="AD851" s="53"/>
      <c r="AE851" s="57"/>
      <c r="AF851" s="53"/>
      <c r="AG851" s="57"/>
      <c r="AH851" s="53"/>
      <c r="AI851" s="53"/>
      <c r="AJ851" s="56"/>
    </row>
    <row r="852">
      <c r="A852" s="59"/>
      <c r="B852" s="60"/>
      <c r="C852" s="61"/>
      <c r="D852" s="63"/>
      <c r="E852" s="63"/>
      <c r="F852" s="60"/>
      <c r="G852" s="60"/>
      <c r="H852" s="60"/>
      <c r="I852" s="60"/>
      <c r="J852" s="64"/>
      <c r="K852" s="60"/>
      <c r="L852" s="64"/>
      <c r="M852" s="60"/>
      <c r="N852" s="60"/>
      <c r="O852" s="60"/>
      <c r="P852" s="60"/>
      <c r="Q852" s="64"/>
      <c r="R852" s="60"/>
      <c r="S852" s="64"/>
      <c r="T852" s="60"/>
      <c r="U852" s="60"/>
      <c r="V852" s="60"/>
      <c r="W852" s="60"/>
      <c r="X852" s="64"/>
      <c r="Y852" s="60"/>
      <c r="Z852" s="64"/>
      <c r="AA852" s="60"/>
      <c r="AB852" s="60"/>
      <c r="AC852" s="60"/>
      <c r="AD852" s="60"/>
      <c r="AE852" s="64"/>
      <c r="AF852" s="60"/>
      <c r="AG852" s="64"/>
      <c r="AH852" s="60"/>
      <c r="AI852" s="60"/>
      <c r="AJ852" s="63"/>
    </row>
    <row r="853" ht="33.0" customHeight="1">
      <c r="A853" s="20" t="str">
        <f>IFERROR(__xludf.DUMMYFUNCTION("""COMPUTED_VALUE""")," ")</f>
        <v> </v>
      </c>
      <c r="B853" s="21" t="str">
        <f>IFERROR(__xludf.DUMMYFUNCTION("""COMPUTED_VALUE"""),"A110")</f>
        <v>A110</v>
      </c>
      <c r="C853" s="20"/>
      <c r="D853" s="257" t="str">
        <f>IFERROR(__xludf.DUMMYFUNCTION("""COMPUTED_VALUE"""),"")</f>
        <v/>
      </c>
      <c r="E853" s="23" t="str">
        <f>IFERROR(__xludf.DUMMYFUNCTION("""COMPUTED_VALUE"""),"Primordial Lanugo")</f>
        <v>Primordial Lanugo</v>
      </c>
      <c r="F853" s="24"/>
      <c r="G853" s="24"/>
      <c r="H853" s="25"/>
      <c r="I853" s="25"/>
      <c r="J853" s="26"/>
      <c r="K853" s="25"/>
      <c r="L853" s="26"/>
      <c r="M853" s="25"/>
      <c r="N853" s="25"/>
      <c r="O853" s="25"/>
      <c r="P853" s="25"/>
      <c r="Q853" s="26"/>
      <c r="R853" s="25"/>
      <c r="S853" s="26"/>
      <c r="T853" s="25"/>
      <c r="U853" s="25"/>
      <c r="V853" s="25"/>
      <c r="W853" s="25"/>
      <c r="X853" s="26"/>
      <c r="Y853" s="25"/>
      <c r="Z853" s="26"/>
      <c r="AA853" s="25"/>
      <c r="AB853" s="25"/>
      <c r="AC853" s="25"/>
      <c r="AD853" s="25"/>
      <c r="AE853" s="26"/>
      <c r="AF853" s="25"/>
      <c r="AG853" s="26"/>
      <c r="AH853" s="24"/>
      <c r="AI853" s="25"/>
      <c r="AJ853" s="23"/>
    </row>
    <row r="854" ht="24.75" customHeight="1">
      <c r="A854" s="28">
        <f>IFERROR(__xludf.DUMMYFUNCTION("""COMPUTED_VALUE"""),1.0)</f>
        <v>1</v>
      </c>
      <c r="B854" s="28" t="str">
        <f>IFERROR(__xludf.DUMMYFUNCTION("""COMPUTED_VALUE"""),"A110")</f>
        <v>A110</v>
      </c>
      <c r="C854" s="28" t="str">
        <f>IFERROR(__xludf.DUMMYFUNCTION("""COMPUTED_VALUE"""),"GTT9")</f>
        <v>GTT9</v>
      </c>
      <c r="D854" s="29" t="str">
        <f>IFERROR(__xludf.DUMMYFUNCTION("""COMPUTED_VALUE"""),"Götterdämmerung")</f>
        <v>Götterdämmerung</v>
      </c>
      <c r="E854" s="30" t="str">
        <f>IFERROR(__xludf.DUMMYFUNCTION("""COMPUTED_VALUE"""),"Village 67")</f>
        <v>Village 67</v>
      </c>
      <c r="F854" s="31">
        <f>IFERROR(__xludf.DUMMYFUNCTION("""COMPUTED_VALUE"""),21.0)</f>
        <v>21</v>
      </c>
      <c r="G854" s="32">
        <f>IFERROR(__xludf.DUMMYFUNCTION("""COMPUTED_VALUE"""),1168.0)</f>
        <v>1168</v>
      </c>
      <c r="H854" s="33" t="str">
        <f>IFERROR(__xludf.DUMMYFUNCTION("""COMPUTED_VALUE"""),"")</f>
        <v/>
      </c>
      <c r="I854" s="34">
        <f>IFERROR(__xludf.DUMMYFUNCTION("""COMPUTED_VALUE"""),113.96339678571928)</f>
        <v>113.9633968</v>
      </c>
      <c r="J854" s="35" t="str">
        <f>IFERROR(__xludf.DUMMYFUNCTION("""COMPUTED_VALUE"""),"AP")</f>
        <v>AP</v>
      </c>
      <c r="K854" s="34">
        <f>IFERROR(__xludf.DUMMYFUNCTION("""COMPUTED_VALUE"""),18.42696917808219)</f>
        <v>18.42696918</v>
      </c>
      <c r="L854" s="35" t="str">
        <f>IFERROR(__xludf.DUMMYFUNCTION("""COMPUTED_VALUE"""),"%")</f>
        <v>%</v>
      </c>
      <c r="M854" s="36">
        <f>IFERROR(__xludf.DUMMYFUNCTION("""COMPUTED_VALUE"""),1.0)</f>
        <v>1</v>
      </c>
      <c r="N854" s="37" t="str">
        <f>IFERROR(__xludf.DUMMYFUNCTION("""COMPUTED_VALUE"""),"A215")</f>
        <v>A215</v>
      </c>
      <c r="O854" s="38" t="str">
        <f>IFERROR(__xludf.DUMMYFUNCTION("""COMPUTED_VALUE"""),"")</f>
        <v/>
      </c>
      <c r="P854" s="34">
        <f>IFERROR(__xludf.DUMMYFUNCTION("""COMPUTED_VALUE"""),82.63733301888381)</f>
        <v>82.63733302</v>
      </c>
      <c r="Q854" s="35" t="str">
        <f>IFERROR(__xludf.DUMMYFUNCTION("""COMPUTED_VALUE"""),"AP")</f>
        <v>AP</v>
      </c>
      <c r="R854" s="34">
        <f>IFERROR(__xludf.DUMMYFUNCTION("""COMPUTED_VALUE"""),25.412243150684933)</f>
        <v>25.41224315</v>
      </c>
      <c r="S854" s="35" t="str">
        <f>IFERROR(__xludf.DUMMYFUNCTION("""COMPUTED_VALUE"""),"%")</f>
        <v>%</v>
      </c>
      <c r="T854" s="36">
        <f>IFERROR(__xludf.DUMMYFUNCTION("""COMPUTED_VALUE"""),2.0)</f>
        <v>2</v>
      </c>
      <c r="U854" s="37" t="str">
        <f>IFERROR(__xludf.DUMMYFUNCTION("""COMPUTED_VALUE"""),"B114")</f>
        <v>B114</v>
      </c>
      <c r="V854" s="38" t="str">
        <f>IFERROR(__xludf.DUMMYFUNCTION("""COMPUTED_VALUE"""),"")</f>
        <v/>
      </c>
      <c r="W854" s="34">
        <f>IFERROR(__xludf.DUMMYFUNCTION("""COMPUTED_VALUE"""),62.28738294891096)</f>
        <v>62.28738295</v>
      </c>
      <c r="X854" s="35" t="str">
        <f>IFERROR(__xludf.DUMMYFUNCTION("""COMPUTED_VALUE"""),"AP")</f>
        <v>AP</v>
      </c>
      <c r="Y854" s="34">
        <f>IFERROR(__xludf.DUMMYFUNCTION("""COMPUTED_VALUE"""),33.714693097997895)</f>
        <v>33.7146931</v>
      </c>
      <c r="Z854" s="35" t="str">
        <f>IFERROR(__xludf.DUMMYFUNCTION("""COMPUTED_VALUE"""),"%")</f>
        <v>%</v>
      </c>
      <c r="AA854" s="36">
        <f>IFERROR(__xludf.DUMMYFUNCTION("""COMPUTED_VALUE"""),3.0)</f>
        <v>3</v>
      </c>
      <c r="AB854" s="37" t="str">
        <f>IFERROR(__xludf.DUMMYFUNCTION("""COMPUTED_VALUE"""),"B116")</f>
        <v>B116</v>
      </c>
      <c r="AC854" s="38" t="str">
        <f>IFERROR(__xludf.DUMMYFUNCTION("""COMPUTED_VALUE"""),"")</f>
        <v/>
      </c>
      <c r="AD854" s="34">
        <f>IFERROR(__xludf.DUMMYFUNCTION("""COMPUTED_VALUE"""),286.94508912140253)</f>
        <v>286.9450891</v>
      </c>
      <c r="AE854" s="35" t="str">
        <f>IFERROR(__xludf.DUMMYFUNCTION("""COMPUTED_VALUE"""),"AP")</f>
        <v>AP</v>
      </c>
      <c r="AF854" s="34">
        <f>IFERROR(__xludf.DUMMYFUNCTION("""COMPUTED_VALUE"""),7.318473393045311)</f>
        <v>7.318473393</v>
      </c>
      <c r="AG854" s="35" t="str">
        <f>IFERROR(__xludf.DUMMYFUNCTION("""COMPUTED_VALUE"""),"%")</f>
        <v>%</v>
      </c>
      <c r="AH854" s="31">
        <f>IFERROR(__xludf.DUMMYFUNCTION("""COMPUTED_VALUE"""),21.0)</f>
        <v>21</v>
      </c>
      <c r="AI854" s="32">
        <f>IFERROR(__xludf.DUMMYFUNCTION("""COMPUTED_VALUE"""),1168.0)</f>
        <v>1168</v>
      </c>
      <c r="AJ854" s="30" t="str">
        <f>IFERROR(__xludf.DUMMYFUNCTION("""COMPUTED_VALUE"""),"Village 67")</f>
        <v>Village 67</v>
      </c>
    </row>
    <row r="855" ht="24.75" customHeight="1">
      <c r="A855" s="40">
        <f>IFERROR(__xludf.DUMMYFUNCTION("""COMPUTED_VALUE"""),2.0)</f>
        <v>2</v>
      </c>
      <c r="B855" s="40" t="str">
        <f>IFERROR(__xludf.DUMMYFUNCTION("""COMPUTED_VALUE"""),"A110")</f>
        <v>A110</v>
      </c>
      <c r="C855" s="40" t="str">
        <f>IFERROR(__xludf.DUMMYFUNCTION("""COMPUTED_VALUE"""),"BBL14")</f>
        <v>BBL14</v>
      </c>
      <c r="D855" s="41" t="str">
        <f>IFERROR(__xludf.DUMMYFUNCTION("""COMPUTED_VALUE"""),"Babylonia")</f>
        <v>Babylonia</v>
      </c>
      <c r="E855" s="42" t="str">
        <f>IFERROR(__xludf.DUMMYFUNCTION("""COMPUTED_VALUE"""),"Blood Fort")</f>
        <v>Blood Fort</v>
      </c>
      <c r="F855" s="43">
        <f>IFERROR(__xludf.DUMMYFUNCTION("""COMPUTED_VALUE"""),21.0)</f>
        <v>21</v>
      </c>
      <c r="G855" s="44">
        <f>IFERROR(__xludf.DUMMYFUNCTION("""COMPUTED_VALUE"""),81494.0)</f>
        <v>81494</v>
      </c>
      <c r="H855" s="33" t="str">
        <f>IFERROR(__xludf.DUMMYFUNCTION("""COMPUTED_VALUE"""),"")</f>
        <v/>
      </c>
      <c r="I855" s="45">
        <f>IFERROR(__xludf.DUMMYFUNCTION("""COMPUTED_VALUE"""),115.41446521166071)</f>
        <v>115.4144652</v>
      </c>
      <c r="J855" s="46" t="str">
        <f>IFERROR(__xludf.DUMMYFUNCTION("""COMPUTED_VALUE"""),"AP")</f>
        <v>AP</v>
      </c>
      <c r="K855" s="47">
        <f>IFERROR(__xludf.DUMMYFUNCTION("""COMPUTED_VALUE"""),18.19529290499914)</f>
        <v>18.1952929</v>
      </c>
      <c r="L855" s="48" t="str">
        <f>IFERROR(__xludf.DUMMYFUNCTION("""COMPUTED_VALUE"""),"%")</f>
        <v>%</v>
      </c>
      <c r="M855" s="49">
        <f>IFERROR(__xludf.DUMMYFUNCTION("""COMPUTED_VALUE"""),1.0)</f>
        <v>1</v>
      </c>
      <c r="N855" s="50" t="str">
        <f>IFERROR(__xludf.DUMMYFUNCTION("""COMPUTED_VALUE"""),"A201")</f>
        <v>A201</v>
      </c>
      <c r="O855" s="38" t="str">
        <f>IFERROR(__xludf.DUMMYFUNCTION("""COMPUTED_VALUE"""),"")</f>
        <v/>
      </c>
      <c r="P855" s="45">
        <f>IFERROR(__xludf.DUMMYFUNCTION("""COMPUTED_VALUE"""),87.08424452430538)</f>
        <v>87.08424452</v>
      </c>
      <c r="Q855" s="46" t="str">
        <f>IFERROR(__xludf.DUMMYFUNCTION("""COMPUTED_VALUE"""),"AP")</f>
        <v>AP</v>
      </c>
      <c r="R855" s="47">
        <f>IFERROR(__xludf.DUMMYFUNCTION("""COMPUTED_VALUE"""),24.11458021449432)</f>
        <v>24.11458021</v>
      </c>
      <c r="S855" s="48" t="str">
        <f>IFERROR(__xludf.DUMMYFUNCTION("""COMPUTED_VALUE"""),"%")</f>
        <v>%</v>
      </c>
      <c r="T855" s="49">
        <f>IFERROR(__xludf.DUMMYFUNCTION("""COMPUTED_VALUE"""),2.0)</f>
        <v>2</v>
      </c>
      <c r="U855" s="50" t="str">
        <f>IFERROR(__xludf.DUMMYFUNCTION("""COMPUTED_VALUE"""),"B114")</f>
        <v>B114</v>
      </c>
      <c r="V855" s="38" t="str">
        <f>IFERROR(__xludf.DUMMYFUNCTION("""COMPUTED_VALUE"""),"")</f>
        <v/>
      </c>
      <c r="W855" s="45">
        <f>IFERROR(__xludf.DUMMYFUNCTION("""COMPUTED_VALUE"""),132.095167392298)</f>
        <v>132.0951674</v>
      </c>
      <c r="X855" s="46" t="str">
        <f>IFERROR(__xludf.DUMMYFUNCTION("""COMPUTED_VALUE"""),"AP")</f>
        <v>AP</v>
      </c>
      <c r="Y855" s="47">
        <f>IFERROR(__xludf.DUMMYFUNCTION("""COMPUTED_VALUE"""),15.897629273320737)</f>
        <v>15.89762927</v>
      </c>
      <c r="Z855" s="48" t="str">
        <f>IFERROR(__xludf.DUMMYFUNCTION("""COMPUTED_VALUE"""),"%")</f>
        <v>%</v>
      </c>
      <c r="AA855" s="49">
        <f>IFERROR(__xludf.DUMMYFUNCTION("""COMPUTED_VALUE"""),3.0)</f>
        <v>3</v>
      </c>
      <c r="AB855" s="50"/>
      <c r="AC855" s="38"/>
      <c r="AD855" s="45" t="str">
        <f>IFERROR(__xludf.DUMMYFUNCTION("""COMPUTED_VALUE"""),"")</f>
        <v/>
      </c>
      <c r="AE855" s="46" t="str">
        <f>IFERROR(__xludf.DUMMYFUNCTION("""COMPUTED_VALUE"""),"AP")</f>
        <v>AP</v>
      </c>
      <c r="AF855" s="47" t="str">
        <f>IFERROR(__xludf.DUMMYFUNCTION("""COMPUTED_VALUE"""),"")</f>
        <v/>
      </c>
      <c r="AG855" s="48" t="str">
        <f>IFERROR(__xludf.DUMMYFUNCTION("""COMPUTED_VALUE"""),"%")</f>
        <v>%</v>
      </c>
      <c r="AH855" s="43">
        <f>IFERROR(__xludf.DUMMYFUNCTION("""COMPUTED_VALUE"""),21.0)</f>
        <v>21</v>
      </c>
      <c r="AI855" s="44">
        <f>IFERROR(__xludf.DUMMYFUNCTION("""COMPUTED_VALUE"""),81494.0)</f>
        <v>81494</v>
      </c>
      <c r="AJ855" s="42" t="str">
        <f>IFERROR(__xludf.DUMMYFUNCTION("""COMPUTED_VALUE"""),"Blood Fort")</f>
        <v>Blood Fort</v>
      </c>
    </row>
    <row r="856" ht="24.75" customHeight="1">
      <c r="A856" s="28">
        <f>IFERROR(__xludf.DUMMYFUNCTION("""COMPUTED_VALUE"""),3.0)</f>
        <v>3</v>
      </c>
      <c r="B856" s="28" t="str">
        <f>IFERROR(__xludf.DUMMYFUNCTION("""COMPUTED_VALUE"""),"A110")</f>
        <v>A110</v>
      </c>
      <c r="C856" s="28" t="str">
        <f>IFERROR(__xludf.DUMMYFUNCTION("""COMPUTED_VALUE"""),"GTT7")</f>
        <v>GTT7</v>
      </c>
      <c r="D856" s="29" t="str">
        <f>IFERROR(__xludf.DUMMYFUNCTION("""COMPUTED_VALUE"""),"Götterdämmerung")</f>
        <v>Götterdämmerung</v>
      </c>
      <c r="E856" s="30" t="str">
        <f>IFERROR(__xludf.DUMMYFUNCTION("""COMPUTED_VALUE"""),"Road to the End")</f>
        <v>Road to the End</v>
      </c>
      <c r="F856" s="31">
        <f>IFERROR(__xludf.DUMMYFUNCTION("""COMPUTED_VALUE"""),21.0)</f>
        <v>21</v>
      </c>
      <c r="G856" s="32">
        <f>IFERROR(__xludf.DUMMYFUNCTION("""COMPUTED_VALUE"""),16403.0)</f>
        <v>16403</v>
      </c>
      <c r="H856" s="33" t="str">
        <f>IFERROR(__xludf.DUMMYFUNCTION("""COMPUTED_VALUE"""),"")</f>
        <v/>
      </c>
      <c r="I856" s="34">
        <f>IFERROR(__xludf.DUMMYFUNCTION("""COMPUTED_VALUE"""),118.69329010782576)</f>
        <v>118.6932901</v>
      </c>
      <c r="J856" s="35" t="str">
        <f>IFERROR(__xludf.DUMMYFUNCTION("""COMPUTED_VALUE"""),"AP")</f>
        <v>AP</v>
      </c>
      <c r="K856" s="34">
        <f>IFERROR(__xludf.DUMMYFUNCTION("""COMPUTED_VALUE"""),17.692659779607386)</f>
        <v>17.69265978</v>
      </c>
      <c r="L856" s="35" t="str">
        <f>IFERROR(__xludf.DUMMYFUNCTION("""COMPUTED_VALUE"""),"%")</f>
        <v>%</v>
      </c>
      <c r="M856" s="36">
        <f>IFERROR(__xludf.DUMMYFUNCTION("""COMPUTED_VALUE"""),1.0)</f>
        <v>1</v>
      </c>
      <c r="N856" s="37" t="str">
        <f>IFERROR(__xludf.DUMMYFUNCTION("""COMPUTED_VALUE"""),"A214")</f>
        <v>A214</v>
      </c>
      <c r="O856" s="38" t="str">
        <f>IFERROR(__xludf.DUMMYFUNCTION("""COMPUTED_VALUE"""),"")</f>
        <v/>
      </c>
      <c r="P856" s="34">
        <f>IFERROR(__xludf.DUMMYFUNCTION("""COMPUTED_VALUE"""),84.73774479415742)</f>
        <v>84.73774479</v>
      </c>
      <c r="Q856" s="35" t="str">
        <f>IFERROR(__xludf.DUMMYFUNCTION("""COMPUTED_VALUE"""),"AP")</f>
        <v>AP</v>
      </c>
      <c r="R856" s="34">
        <f>IFERROR(__xludf.DUMMYFUNCTION("""COMPUTED_VALUE"""),24.782344693043953)</f>
        <v>24.78234469</v>
      </c>
      <c r="S856" s="35" t="str">
        <f>IFERROR(__xludf.DUMMYFUNCTION("""COMPUTED_VALUE"""),"%")</f>
        <v>%</v>
      </c>
      <c r="T856" s="36">
        <f>IFERROR(__xludf.DUMMYFUNCTION("""COMPUTED_VALUE"""),2.0)</f>
        <v>2</v>
      </c>
      <c r="U856" s="37" t="str">
        <f>IFERROR(__xludf.DUMMYFUNCTION("""COMPUTED_VALUE"""),"B116")</f>
        <v>B116</v>
      </c>
      <c r="V856" s="38" t="str">
        <f>IFERROR(__xludf.DUMMYFUNCTION("""COMPUTED_VALUE"""),"")</f>
        <v/>
      </c>
      <c r="W856" s="34">
        <f>IFERROR(__xludf.DUMMYFUNCTION("""COMPUTED_VALUE"""),250.4081020087675)</f>
        <v>250.408102</v>
      </c>
      <c r="X856" s="35" t="str">
        <f>IFERROR(__xludf.DUMMYFUNCTION("""COMPUTED_VALUE"""),"AP")</f>
        <v>AP</v>
      </c>
      <c r="Y856" s="34">
        <f>IFERROR(__xludf.DUMMYFUNCTION("""COMPUTED_VALUE"""),8.386310119975564)</f>
        <v>8.38631012</v>
      </c>
      <c r="Z856" s="35" t="str">
        <f>IFERROR(__xludf.DUMMYFUNCTION("""COMPUTED_VALUE"""),"%")</f>
        <v>%</v>
      </c>
      <c r="AA856" s="36">
        <f>IFERROR(__xludf.DUMMYFUNCTION("""COMPUTED_VALUE"""),3.0)</f>
        <v>3</v>
      </c>
      <c r="AB856" s="37" t="str">
        <f>IFERROR(__xludf.DUMMYFUNCTION("""COMPUTED_VALUE"""),"B117")</f>
        <v>B117</v>
      </c>
      <c r="AC856" s="38" t="str">
        <f>IFERROR(__xludf.DUMMYFUNCTION("""COMPUTED_VALUE"""),"")</f>
        <v/>
      </c>
      <c r="AD856" s="34">
        <f>IFERROR(__xludf.DUMMYFUNCTION("""COMPUTED_VALUE"""),51.93691514961229)</f>
        <v>51.93691515</v>
      </c>
      <c r="AE856" s="35" t="str">
        <f>IFERROR(__xludf.DUMMYFUNCTION("""COMPUTED_VALUE"""),"AP")</f>
        <v>AP</v>
      </c>
      <c r="AF856" s="34">
        <f>IFERROR(__xludf.DUMMYFUNCTION("""COMPUTED_VALUE"""),40.43366830607144)</f>
        <v>40.43366831</v>
      </c>
      <c r="AG856" s="35" t="str">
        <f>IFERROR(__xludf.DUMMYFUNCTION("""COMPUTED_VALUE"""),"%")</f>
        <v>%</v>
      </c>
      <c r="AH856" s="31">
        <f>IFERROR(__xludf.DUMMYFUNCTION("""COMPUTED_VALUE"""),21.0)</f>
        <v>21</v>
      </c>
      <c r="AI856" s="32">
        <f>IFERROR(__xludf.DUMMYFUNCTION("""COMPUTED_VALUE"""),16403.0)</f>
        <v>16403</v>
      </c>
      <c r="AJ856" s="30" t="str">
        <f>IFERROR(__xludf.DUMMYFUNCTION("""COMPUTED_VALUE"""),"Road to the End")</f>
        <v>Road to the End</v>
      </c>
    </row>
    <row r="857" ht="24.75" customHeight="1">
      <c r="A857" s="40">
        <f>IFERROR(__xludf.DUMMYFUNCTION("""COMPUTED_VALUE"""),4.0)</f>
        <v>4</v>
      </c>
      <c r="B857" s="40" t="str">
        <f>IFERROR(__xludf.DUMMYFUNCTION("""COMPUTED_VALUE"""),"A110")</f>
        <v>A110</v>
      </c>
      <c r="C857" s="40" t="str">
        <f>IFERROR(__xludf.DUMMYFUNCTION("""COMPUTED_VALUE"""),"BBL3")</f>
        <v>BBL3</v>
      </c>
      <c r="D857" s="41" t="str">
        <f>IFERROR(__xludf.DUMMYFUNCTION("""COMPUTED_VALUE"""),"Babylonia")</f>
        <v>Babylonia</v>
      </c>
      <c r="E857" s="42" t="str">
        <f>IFERROR(__xludf.DUMMYFUNCTION("""COMPUTED_VALUE"""),"Black Cedar Forest")</f>
        <v>Black Cedar Forest</v>
      </c>
      <c r="F857" s="43">
        <f>IFERROR(__xludf.DUMMYFUNCTION("""COMPUTED_VALUE"""),20.0)</f>
        <v>20</v>
      </c>
      <c r="G857" s="44">
        <f>IFERROR(__xludf.DUMMYFUNCTION("""COMPUTED_VALUE"""),1979.0)</f>
        <v>1979</v>
      </c>
      <c r="H857" s="33" t="str">
        <f>IFERROR(__xludf.DUMMYFUNCTION("""COMPUTED_VALUE"""),"")</f>
        <v/>
      </c>
      <c r="I857" s="45">
        <f>IFERROR(__xludf.DUMMYFUNCTION("""COMPUTED_VALUE"""),151.74751177020872)</f>
        <v>151.7475118</v>
      </c>
      <c r="J857" s="46" t="str">
        <f>IFERROR(__xludf.DUMMYFUNCTION("""COMPUTED_VALUE"""),"AP")</f>
        <v>AP</v>
      </c>
      <c r="K857" s="47">
        <f>IFERROR(__xludf.DUMMYFUNCTION("""COMPUTED_VALUE"""),13.17978777160182)</f>
        <v>13.17978777</v>
      </c>
      <c r="L857" s="48" t="str">
        <f>IFERROR(__xludf.DUMMYFUNCTION("""COMPUTED_VALUE"""),"%")</f>
        <v>%</v>
      </c>
      <c r="M857" s="49">
        <f>IFERROR(__xludf.DUMMYFUNCTION("""COMPUTED_VALUE"""),1.0)</f>
        <v>1</v>
      </c>
      <c r="N857" s="50" t="str">
        <f>IFERROR(__xludf.DUMMYFUNCTION("""COMPUTED_VALUE"""),"A201")</f>
        <v>A201</v>
      </c>
      <c r="O857" s="38" t="str">
        <f>IFERROR(__xludf.DUMMYFUNCTION("""COMPUTED_VALUE"""),"")</f>
        <v/>
      </c>
      <c r="P857" s="45">
        <f>IFERROR(__xludf.DUMMYFUNCTION("""COMPUTED_VALUE"""),58.60612773115216)</f>
        <v>58.60612773</v>
      </c>
      <c r="Q857" s="46" t="str">
        <f>IFERROR(__xludf.DUMMYFUNCTION("""COMPUTED_VALUE"""),"AP")</f>
        <v>AP</v>
      </c>
      <c r="R857" s="47">
        <f>IFERROR(__xludf.DUMMYFUNCTION("""COMPUTED_VALUE"""),34.126124305204655)</f>
        <v>34.12612431</v>
      </c>
      <c r="S857" s="48" t="str">
        <f>IFERROR(__xludf.DUMMYFUNCTION("""COMPUTED_VALUE"""),"%")</f>
        <v>%</v>
      </c>
      <c r="T857" s="49">
        <f>IFERROR(__xludf.DUMMYFUNCTION("""COMPUTED_VALUE"""),2.0)</f>
        <v>2</v>
      </c>
      <c r="U857" s="50" t="str">
        <f>IFERROR(__xludf.DUMMYFUNCTION("""COMPUTED_VALUE"""),"B114")</f>
        <v>B114</v>
      </c>
      <c r="V857" s="38" t="str">
        <f>IFERROR(__xludf.DUMMYFUNCTION("""COMPUTED_VALUE"""),"")</f>
        <v/>
      </c>
      <c r="W857" s="45">
        <f>IFERROR(__xludf.DUMMYFUNCTION("""COMPUTED_VALUE"""),227.76447840898632)</f>
        <v>227.7644784</v>
      </c>
      <c r="X857" s="46" t="str">
        <f>IFERROR(__xludf.DUMMYFUNCTION("""COMPUTED_VALUE"""),"AP")</f>
        <v>AP</v>
      </c>
      <c r="Y857" s="47">
        <f>IFERROR(__xludf.DUMMYFUNCTION("""COMPUTED_VALUE"""),8.781000505305709)</f>
        <v>8.781000505</v>
      </c>
      <c r="Z857" s="48" t="str">
        <f>IFERROR(__xludf.DUMMYFUNCTION("""COMPUTED_VALUE"""),"%")</f>
        <v>%</v>
      </c>
      <c r="AA857" s="49">
        <f>IFERROR(__xludf.DUMMYFUNCTION("""COMPUTED_VALUE"""),3.0)</f>
        <v>3</v>
      </c>
      <c r="AB857" s="50"/>
      <c r="AC857" s="38"/>
      <c r="AD857" s="45" t="str">
        <f>IFERROR(__xludf.DUMMYFUNCTION("""COMPUTED_VALUE"""),"")</f>
        <v/>
      </c>
      <c r="AE857" s="46" t="str">
        <f>IFERROR(__xludf.DUMMYFUNCTION("""COMPUTED_VALUE"""),"AP")</f>
        <v>AP</v>
      </c>
      <c r="AF857" s="47" t="str">
        <f>IFERROR(__xludf.DUMMYFUNCTION("""COMPUTED_VALUE"""),"")</f>
        <v/>
      </c>
      <c r="AG857" s="48" t="str">
        <f>IFERROR(__xludf.DUMMYFUNCTION("""COMPUTED_VALUE"""),"%")</f>
        <v>%</v>
      </c>
      <c r="AH857" s="43">
        <f>IFERROR(__xludf.DUMMYFUNCTION("""COMPUTED_VALUE"""),20.0)</f>
        <v>20</v>
      </c>
      <c r="AI857" s="44">
        <f>IFERROR(__xludf.DUMMYFUNCTION("""COMPUTED_VALUE"""),1979.0)</f>
        <v>1979</v>
      </c>
      <c r="AJ857" s="42" t="str">
        <f>IFERROR(__xludf.DUMMYFUNCTION("""COMPUTED_VALUE"""),"Black Cedar Forest")</f>
        <v>Black Cedar Forest</v>
      </c>
    </row>
    <row r="858" ht="24.75" customHeight="1">
      <c r="A858" s="28">
        <f>IFERROR(__xludf.DUMMYFUNCTION("""COMPUTED_VALUE"""),5.0)</f>
        <v>5</v>
      </c>
      <c r="B858" s="28" t="str">
        <f>IFERROR(__xludf.DUMMYFUNCTION("""COMPUTED_VALUE"""),"A110")</f>
        <v>A110</v>
      </c>
      <c r="C858" s="28" t="str">
        <f>IFERROR(__xludf.DUMMYFUNCTION("""COMPUTED_VALUE"""),"GTT1")</f>
        <v>GTT1</v>
      </c>
      <c r="D858" s="29" t="str">
        <f>IFERROR(__xludf.DUMMYFUNCTION("""COMPUTED_VALUE"""),"Götterdämmerung")</f>
        <v>Götterdämmerung</v>
      </c>
      <c r="E858" s="30" t="str">
        <f>IFERROR(__xludf.DUMMYFUNCTION("""COMPUTED_VALUE"""),"Landing Point")</f>
        <v>Landing Point</v>
      </c>
      <c r="F858" s="31">
        <f>IFERROR(__xludf.DUMMYFUNCTION("""COMPUTED_VALUE"""),20.0)</f>
        <v>20</v>
      </c>
      <c r="G858" s="32">
        <f>IFERROR(__xludf.DUMMYFUNCTION("""COMPUTED_VALUE"""),8048.0)</f>
        <v>8048</v>
      </c>
      <c r="H858" s="33" t="str">
        <f>IFERROR(__xludf.DUMMYFUNCTION("""COMPUTED_VALUE"""),"")</f>
        <v/>
      </c>
      <c r="I858" s="34">
        <f>IFERROR(__xludf.DUMMYFUNCTION("""COMPUTED_VALUE"""),165.33883367094123)</f>
        <v>165.3388337</v>
      </c>
      <c r="J858" s="35" t="str">
        <f>IFERROR(__xludf.DUMMYFUNCTION("""COMPUTED_VALUE"""),"AP")</f>
        <v>AP</v>
      </c>
      <c r="K858" s="34">
        <f>IFERROR(__xludf.DUMMYFUNCTION("""COMPUTED_VALUE"""),12.096371769383696)</f>
        <v>12.09637177</v>
      </c>
      <c r="L858" s="35" t="str">
        <f>IFERROR(__xludf.DUMMYFUNCTION("""COMPUTED_VALUE"""),"%")</f>
        <v>%</v>
      </c>
      <c r="M858" s="36">
        <f>IFERROR(__xludf.DUMMYFUNCTION("""COMPUTED_VALUE"""),1.0)</f>
        <v>1</v>
      </c>
      <c r="N858" s="37" t="str">
        <f>IFERROR(__xludf.DUMMYFUNCTION("""COMPUTED_VALUE"""),"A201")</f>
        <v>A201</v>
      </c>
      <c r="O858" s="38" t="str">
        <f>IFERROR(__xludf.DUMMYFUNCTION("""COMPUTED_VALUE"""),"")</f>
        <v/>
      </c>
      <c r="P858" s="34">
        <f>IFERROR(__xludf.DUMMYFUNCTION("""COMPUTED_VALUE"""),77.23741868861458)</f>
        <v>77.23741869</v>
      </c>
      <c r="Q858" s="35" t="str">
        <f>IFERROR(__xludf.DUMMYFUNCTION("""COMPUTED_VALUE"""),"AP")</f>
        <v>AP</v>
      </c>
      <c r="R858" s="34">
        <f>IFERROR(__xludf.DUMMYFUNCTION("""COMPUTED_VALUE"""),25.894184890656064)</f>
        <v>25.89418489</v>
      </c>
      <c r="S858" s="35" t="str">
        <f>IFERROR(__xludf.DUMMYFUNCTION("""COMPUTED_VALUE"""),"%")</f>
        <v>%</v>
      </c>
      <c r="T858" s="36">
        <f>IFERROR(__xludf.DUMMYFUNCTION("""COMPUTED_VALUE"""),2.0)</f>
        <v>2</v>
      </c>
      <c r="U858" s="37" t="str">
        <f>IFERROR(__xludf.DUMMYFUNCTION("""COMPUTED_VALUE"""),"A304")</f>
        <v>A304</v>
      </c>
      <c r="V858" s="38" t="str">
        <f>IFERROR(__xludf.DUMMYFUNCTION("""COMPUTED_VALUE"""),"")</f>
        <v/>
      </c>
      <c r="W858" s="34">
        <f>IFERROR(__xludf.DUMMYFUNCTION("""COMPUTED_VALUE"""),64.77868356321395)</f>
        <v>64.77868356</v>
      </c>
      <c r="X858" s="35" t="str">
        <f>IFERROR(__xludf.DUMMYFUNCTION("""COMPUTED_VALUE"""),"AP")</f>
        <v>AP</v>
      </c>
      <c r="Y858" s="34">
        <f>IFERROR(__xludf.DUMMYFUNCTION("""COMPUTED_VALUE"""),30.874353876739566)</f>
        <v>30.87435388</v>
      </c>
      <c r="Z858" s="35" t="str">
        <f>IFERROR(__xludf.DUMMYFUNCTION("""COMPUTED_VALUE"""),"%")</f>
        <v>%</v>
      </c>
      <c r="AA858" s="36">
        <f>IFERROR(__xludf.DUMMYFUNCTION("""COMPUTED_VALUE"""),3.0)</f>
        <v>3</v>
      </c>
      <c r="AB858" s="37" t="str">
        <f>IFERROR(__xludf.DUMMYFUNCTION("""COMPUTED_VALUE"""),"B116")</f>
        <v>B116</v>
      </c>
      <c r="AC858" s="38" t="str">
        <f>IFERROR(__xludf.DUMMYFUNCTION("""COMPUTED_VALUE"""),"")</f>
        <v/>
      </c>
      <c r="AD858" s="34">
        <f>IFERROR(__xludf.DUMMYFUNCTION("""COMPUTED_VALUE"""),242.79284171403057)</f>
        <v>242.7928417</v>
      </c>
      <c r="AE858" s="35" t="str">
        <f>IFERROR(__xludf.DUMMYFUNCTION("""COMPUTED_VALUE"""),"AP")</f>
        <v>AP</v>
      </c>
      <c r="AF858" s="34">
        <f>IFERROR(__xludf.DUMMYFUNCTION("""COMPUTED_VALUE"""),8.237475149105368)</f>
        <v>8.237475149</v>
      </c>
      <c r="AG858" s="35" t="str">
        <f>IFERROR(__xludf.DUMMYFUNCTION("""COMPUTED_VALUE"""),"%")</f>
        <v>%</v>
      </c>
      <c r="AH858" s="31">
        <f>IFERROR(__xludf.DUMMYFUNCTION("""COMPUTED_VALUE"""),20.0)</f>
        <v>20</v>
      </c>
      <c r="AI858" s="32">
        <f>IFERROR(__xludf.DUMMYFUNCTION("""COMPUTED_VALUE"""),8048.0)</f>
        <v>8048</v>
      </c>
      <c r="AJ858" s="30" t="str">
        <f>IFERROR(__xludf.DUMMYFUNCTION("""COMPUTED_VALUE"""),"Landing Point")</f>
        <v>Landing Point</v>
      </c>
    </row>
    <row r="859" ht="24.75" customHeight="1">
      <c r="A859" s="40">
        <f>IFERROR(__xludf.DUMMYFUNCTION("""COMPUTED_VALUE"""),6.0)</f>
        <v>6</v>
      </c>
      <c r="B859" s="40" t="str">
        <f>IFERROR(__xludf.DUMMYFUNCTION("""COMPUTED_VALUE"""),"A110")</f>
        <v>A110</v>
      </c>
      <c r="C859" s="40" t="str">
        <f>IFERROR(__xludf.DUMMYFUNCTION("""COMPUTED_VALUE"""),"BBL11")</f>
        <v>BBL11</v>
      </c>
      <c r="D859" s="41" t="str">
        <f>IFERROR(__xludf.DUMMYFUNCTION("""COMPUTED_VALUE"""),"Babylonia")</f>
        <v>Babylonia</v>
      </c>
      <c r="E859" s="42" t="str">
        <f>IFERROR(__xludf.DUMMYFUNCTION("""COMPUTED_VALUE"""),"Northern Wall")</f>
        <v>Northern Wall</v>
      </c>
      <c r="F859" s="43">
        <f>IFERROR(__xludf.DUMMYFUNCTION("""COMPUTED_VALUE"""),21.0)</f>
        <v>21</v>
      </c>
      <c r="G859" s="44">
        <f>IFERROR(__xludf.DUMMYFUNCTION("""COMPUTED_VALUE"""),6058.0)</f>
        <v>6058</v>
      </c>
      <c r="H859" s="33" t="str">
        <f>IFERROR(__xludf.DUMMYFUNCTION("""COMPUTED_VALUE"""),"")</f>
        <v/>
      </c>
      <c r="I859" s="45">
        <f>IFERROR(__xludf.DUMMYFUNCTION("""COMPUTED_VALUE"""),165.58634262151693)</f>
        <v>165.5863426</v>
      </c>
      <c r="J859" s="46" t="str">
        <f>IFERROR(__xludf.DUMMYFUNCTION("""COMPUTED_VALUE"""),"AP")</f>
        <v>AP</v>
      </c>
      <c r="K859" s="47">
        <f>IFERROR(__xludf.DUMMYFUNCTION("""COMPUTED_VALUE"""),12.68220534829977)</f>
        <v>12.68220535</v>
      </c>
      <c r="L859" s="48" t="str">
        <f>IFERROR(__xludf.DUMMYFUNCTION("""COMPUTED_VALUE"""),"%")</f>
        <v>%</v>
      </c>
      <c r="M859" s="49">
        <f>IFERROR(__xludf.DUMMYFUNCTION("""COMPUTED_VALUE"""),1.0)</f>
        <v>1</v>
      </c>
      <c r="N859" s="50" t="str">
        <f>IFERROR(__xludf.DUMMYFUNCTION("""COMPUTED_VALUE"""),"A306")</f>
        <v>A306</v>
      </c>
      <c r="O859" s="38" t="str">
        <f>IFERROR(__xludf.DUMMYFUNCTION("""COMPUTED_VALUE"""),"")</f>
        <v/>
      </c>
      <c r="P859" s="45">
        <f>IFERROR(__xludf.DUMMYFUNCTION("""COMPUTED_VALUE"""),50.857824520556925)</f>
        <v>50.85782452</v>
      </c>
      <c r="Q859" s="46" t="str">
        <f>IFERROR(__xludf.DUMMYFUNCTION("""COMPUTED_VALUE"""),"AP")</f>
        <v>AP</v>
      </c>
      <c r="R859" s="47">
        <f>IFERROR(__xludf.DUMMYFUNCTION("""COMPUTED_VALUE"""),41.291581379993396)</f>
        <v>41.29158138</v>
      </c>
      <c r="S859" s="48" t="str">
        <f>IFERROR(__xludf.DUMMYFUNCTION("""COMPUTED_VALUE"""),"%")</f>
        <v>%</v>
      </c>
      <c r="T859" s="49">
        <f>IFERROR(__xludf.DUMMYFUNCTION("""COMPUTED_VALUE"""),2.0)</f>
        <v>2</v>
      </c>
      <c r="U859" s="50" t="str">
        <f>IFERROR(__xludf.DUMMYFUNCTION("""COMPUTED_VALUE"""),"B114")</f>
        <v>B114</v>
      </c>
      <c r="V859" s="38" t="str">
        <f>IFERROR(__xludf.DUMMYFUNCTION("""COMPUTED_VALUE"""),"")</f>
        <v/>
      </c>
      <c r="W859" s="45">
        <f>IFERROR(__xludf.DUMMYFUNCTION("""COMPUTED_VALUE"""),271.8984030366242)</f>
        <v>271.898403</v>
      </c>
      <c r="X859" s="46" t="str">
        <f>IFERROR(__xludf.DUMMYFUNCTION("""COMPUTED_VALUE"""),"AP")</f>
        <v>AP</v>
      </c>
      <c r="Y859" s="47">
        <f>IFERROR(__xludf.DUMMYFUNCTION("""COMPUTED_VALUE"""),7.723473093430174)</f>
        <v>7.723473093</v>
      </c>
      <c r="Z859" s="48" t="str">
        <f>IFERROR(__xludf.DUMMYFUNCTION("""COMPUTED_VALUE"""),"%")</f>
        <v>%</v>
      </c>
      <c r="AA859" s="49">
        <f>IFERROR(__xludf.DUMMYFUNCTION("""COMPUTED_VALUE"""),3.0)</f>
        <v>3</v>
      </c>
      <c r="AB859" s="50"/>
      <c r="AC859" s="38"/>
      <c r="AD859" s="45" t="str">
        <f>IFERROR(__xludf.DUMMYFUNCTION("""COMPUTED_VALUE"""),"")</f>
        <v/>
      </c>
      <c r="AE859" s="46" t="str">
        <f>IFERROR(__xludf.DUMMYFUNCTION("""COMPUTED_VALUE"""),"AP")</f>
        <v>AP</v>
      </c>
      <c r="AF859" s="47" t="str">
        <f>IFERROR(__xludf.DUMMYFUNCTION("""COMPUTED_VALUE"""),"")</f>
        <v/>
      </c>
      <c r="AG859" s="48" t="str">
        <f>IFERROR(__xludf.DUMMYFUNCTION("""COMPUTED_VALUE"""),"%")</f>
        <v>%</v>
      </c>
      <c r="AH859" s="43">
        <f>IFERROR(__xludf.DUMMYFUNCTION("""COMPUTED_VALUE"""),21.0)</f>
        <v>21</v>
      </c>
      <c r="AI859" s="44">
        <f>IFERROR(__xludf.DUMMYFUNCTION("""COMPUTED_VALUE"""),6058.0)</f>
        <v>6058</v>
      </c>
      <c r="AJ859" s="42" t="str">
        <f>IFERROR(__xludf.DUMMYFUNCTION("""COMPUTED_VALUE"""),"Northern Wall")</f>
        <v>Northern Wall</v>
      </c>
    </row>
    <row r="860" ht="24.75" customHeight="1">
      <c r="A860" s="28">
        <f>IFERROR(__xludf.DUMMYFUNCTION("""COMPUTED_VALUE"""),7.0)</f>
        <v>7</v>
      </c>
      <c r="B860" s="28" t="str">
        <f>IFERROR(__xludf.DUMMYFUNCTION("""COMPUTED_VALUE"""),"A110")</f>
        <v>A110</v>
      </c>
      <c r="C860" s="28"/>
      <c r="D860" s="29"/>
      <c r="E860" s="67"/>
      <c r="F860" s="31"/>
      <c r="G860" s="32"/>
      <c r="H860" s="33" t="str">
        <f>IFERROR(__xludf.DUMMYFUNCTION("""COMPUTED_VALUE""")," ")</f>
        <v> </v>
      </c>
      <c r="I860" s="34"/>
      <c r="J860" s="35" t="str">
        <f>IFERROR(__xludf.DUMMYFUNCTION("""COMPUTED_VALUE"""),"AP")</f>
        <v>AP</v>
      </c>
      <c r="K860" s="34"/>
      <c r="L860" s="35" t="str">
        <f>IFERROR(__xludf.DUMMYFUNCTION("""COMPUTED_VALUE"""),"%")</f>
        <v>%</v>
      </c>
      <c r="M860" s="36">
        <f>IFERROR(__xludf.DUMMYFUNCTION("""COMPUTED_VALUE"""),1.0)</f>
        <v>1</v>
      </c>
      <c r="N860" s="37"/>
      <c r="O860" s="38"/>
      <c r="P860" s="34" t="str">
        <f>IFERROR(__xludf.DUMMYFUNCTION("""COMPUTED_VALUE"""),"")</f>
        <v/>
      </c>
      <c r="Q860" s="35" t="str">
        <f>IFERROR(__xludf.DUMMYFUNCTION("""COMPUTED_VALUE"""),"AP")</f>
        <v>AP</v>
      </c>
      <c r="R860" s="34" t="str">
        <f>IFERROR(__xludf.DUMMYFUNCTION("""COMPUTED_VALUE"""),"")</f>
        <v/>
      </c>
      <c r="S860" s="35" t="str">
        <f>IFERROR(__xludf.DUMMYFUNCTION("""COMPUTED_VALUE"""),"%")</f>
        <v>%</v>
      </c>
      <c r="T860" s="36">
        <f>IFERROR(__xludf.DUMMYFUNCTION("""COMPUTED_VALUE"""),2.0)</f>
        <v>2</v>
      </c>
      <c r="U860" s="37"/>
      <c r="V860" s="38"/>
      <c r="W860" s="34" t="str">
        <f>IFERROR(__xludf.DUMMYFUNCTION("""COMPUTED_VALUE"""),"")</f>
        <v/>
      </c>
      <c r="X860" s="35" t="str">
        <f>IFERROR(__xludf.DUMMYFUNCTION("""COMPUTED_VALUE"""),"AP")</f>
        <v>AP</v>
      </c>
      <c r="Y860" s="34" t="str">
        <f>IFERROR(__xludf.DUMMYFUNCTION("""COMPUTED_VALUE"""),"")</f>
        <v/>
      </c>
      <c r="Z860" s="35" t="str">
        <f>IFERROR(__xludf.DUMMYFUNCTION("""COMPUTED_VALUE"""),"%")</f>
        <v>%</v>
      </c>
      <c r="AA860" s="36">
        <f>IFERROR(__xludf.DUMMYFUNCTION("""COMPUTED_VALUE"""),3.0)</f>
        <v>3</v>
      </c>
      <c r="AB860" s="37"/>
      <c r="AC860" s="38"/>
      <c r="AD860" s="34" t="str">
        <f>IFERROR(__xludf.DUMMYFUNCTION("""COMPUTED_VALUE"""),"")</f>
        <v/>
      </c>
      <c r="AE860" s="35" t="str">
        <f>IFERROR(__xludf.DUMMYFUNCTION("""COMPUTED_VALUE"""),"AP")</f>
        <v>AP</v>
      </c>
      <c r="AF860" s="34" t="str">
        <f>IFERROR(__xludf.DUMMYFUNCTION("""COMPUTED_VALUE"""),"")</f>
        <v/>
      </c>
      <c r="AG860" s="35" t="str">
        <f>IFERROR(__xludf.DUMMYFUNCTION("""COMPUTED_VALUE"""),"%")</f>
        <v>%</v>
      </c>
      <c r="AH860" s="31"/>
      <c r="AI860" s="32"/>
      <c r="AJ860" s="67"/>
    </row>
    <row r="861" ht="24.75" hidden="1" customHeight="1">
      <c r="A861" s="40">
        <f>IFERROR(__xludf.DUMMYFUNCTION("""COMPUTED_VALUE"""),8.0)</f>
        <v>8</v>
      </c>
      <c r="B861" s="40" t="str">
        <f>IFERROR(__xludf.DUMMYFUNCTION("""COMPUTED_VALUE"""),"A110")</f>
        <v>A110</v>
      </c>
      <c r="C861" s="40"/>
      <c r="D861" s="41"/>
      <c r="E861" s="66"/>
      <c r="F861" s="43"/>
      <c r="G861" s="44"/>
      <c r="H861" s="33" t="str">
        <f>IFERROR(__xludf.DUMMYFUNCTION("""COMPUTED_VALUE""")," ")</f>
        <v> </v>
      </c>
      <c r="I861" s="45"/>
      <c r="J861" s="46" t="str">
        <f>IFERROR(__xludf.DUMMYFUNCTION("""COMPUTED_VALUE"""),"AP")</f>
        <v>AP</v>
      </c>
      <c r="K861" s="47"/>
      <c r="L861" s="48" t="str">
        <f>IFERROR(__xludf.DUMMYFUNCTION("""COMPUTED_VALUE"""),"%")</f>
        <v>%</v>
      </c>
      <c r="M861" s="49">
        <f>IFERROR(__xludf.DUMMYFUNCTION("""COMPUTED_VALUE"""),1.0)</f>
        <v>1</v>
      </c>
      <c r="N861" s="50"/>
      <c r="O861" s="38"/>
      <c r="P861" s="45" t="str">
        <f>IFERROR(__xludf.DUMMYFUNCTION("""COMPUTED_VALUE"""),"")</f>
        <v/>
      </c>
      <c r="Q861" s="46" t="str">
        <f>IFERROR(__xludf.DUMMYFUNCTION("""COMPUTED_VALUE"""),"AP")</f>
        <v>AP</v>
      </c>
      <c r="R861" s="47" t="str">
        <f>IFERROR(__xludf.DUMMYFUNCTION("""COMPUTED_VALUE"""),"")</f>
        <v/>
      </c>
      <c r="S861" s="48" t="str">
        <f>IFERROR(__xludf.DUMMYFUNCTION("""COMPUTED_VALUE"""),"%")</f>
        <v>%</v>
      </c>
      <c r="T861" s="49">
        <f>IFERROR(__xludf.DUMMYFUNCTION("""COMPUTED_VALUE"""),2.0)</f>
        <v>2</v>
      </c>
      <c r="U861" s="50"/>
      <c r="V861" s="38"/>
      <c r="W861" s="45" t="str">
        <f>IFERROR(__xludf.DUMMYFUNCTION("""COMPUTED_VALUE"""),"")</f>
        <v/>
      </c>
      <c r="X861" s="46" t="str">
        <f>IFERROR(__xludf.DUMMYFUNCTION("""COMPUTED_VALUE"""),"AP")</f>
        <v>AP</v>
      </c>
      <c r="Y861" s="47" t="str">
        <f>IFERROR(__xludf.DUMMYFUNCTION("""COMPUTED_VALUE"""),"")</f>
        <v/>
      </c>
      <c r="Z861" s="48" t="str">
        <f>IFERROR(__xludf.DUMMYFUNCTION("""COMPUTED_VALUE"""),"%")</f>
        <v>%</v>
      </c>
      <c r="AA861" s="49">
        <f>IFERROR(__xludf.DUMMYFUNCTION("""COMPUTED_VALUE"""),3.0)</f>
        <v>3</v>
      </c>
      <c r="AB861" s="50"/>
      <c r="AC861" s="38"/>
      <c r="AD861" s="45" t="str">
        <f>IFERROR(__xludf.DUMMYFUNCTION("""COMPUTED_VALUE"""),"")</f>
        <v/>
      </c>
      <c r="AE861" s="46" t="str">
        <f>IFERROR(__xludf.DUMMYFUNCTION("""COMPUTED_VALUE"""),"AP")</f>
        <v>AP</v>
      </c>
      <c r="AF861" s="47" t="str">
        <f>IFERROR(__xludf.DUMMYFUNCTION("""COMPUTED_VALUE"""),"")</f>
        <v/>
      </c>
      <c r="AG861" s="48" t="str">
        <f>IFERROR(__xludf.DUMMYFUNCTION("""COMPUTED_VALUE"""),"%")</f>
        <v>%</v>
      </c>
      <c r="AH861" s="43"/>
      <c r="AI861" s="44"/>
      <c r="AJ861" s="66"/>
    </row>
    <row r="862" ht="24.75" hidden="1" customHeight="1">
      <c r="A862" s="28">
        <f>IFERROR(__xludf.DUMMYFUNCTION("""COMPUTED_VALUE"""),9.0)</f>
        <v>9</v>
      </c>
      <c r="B862" s="28" t="str">
        <f>IFERROR(__xludf.DUMMYFUNCTION("""COMPUTED_VALUE"""),"A110")</f>
        <v>A110</v>
      </c>
      <c r="C862" s="28"/>
      <c r="D862" s="29"/>
      <c r="E862" s="67"/>
      <c r="F862" s="31"/>
      <c r="G862" s="32"/>
      <c r="H862" s="33" t="str">
        <f>IFERROR(__xludf.DUMMYFUNCTION("""COMPUTED_VALUE""")," ")</f>
        <v> </v>
      </c>
      <c r="I862" s="34"/>
      <c r="J862" s="35" t="str">
        <f>IFERROR(__xludf.DUMMYFUNCTION("""COMPUTED_VALUE"""),"AP")</f>
        <v>AP</v>
      </c>
      <c r="K862" s="34"/>
      <c r="L862" s="35" t="str">
        <f>IFERROR(__xludf.DUMMYFUNCTION("""COMPUTED_VALUE"""),"%")</f>
        <v>%</v>
      </c>
      <c r="M862" s="36">
        <f>IFERROR(__xludf.DUMMYFUNCTION("""COMPUTED_VALUE"""),1.0)</f>
        <v>1</v>
      </c>
      <c r="N862" s="37"/>
      <c r="O862" s="38"/>
      <c r="P862" s="34" t="str">
        <f>IFERROR(__xludf.DUMMYFUNCTION("""COMPUTED_VALUE"""),"")</f>
        <v/>
      </c>
      <c r="Q862" s="35" t="str">
        <f>IFERROR(__xludf.DUMMYFUNCTION("""COMPUTED_VALUE"""),"AP")</f>
        <v>AP</v>
      </c>
      <c r="R862" s="34" t="str">
        <f>IFERROR(__xludf.DUMMYFUNCTION("""COMPUTED_VALUE"""),"")</f>
        <v/>
      </c>
      <c r="S862" s="35" t="str">
        <f>IFERROR(__xludf.DUMMYFUNCTION("""COMPUTED_VALUE"""),"%")</f>
        <v>%</v>
      </c>
      <c r="T862" s="36">
        <f>IFERROR(__xludf.DUMMYFUNCTION("""COMPUTED_VALUE"""),2.0)</f>
        <v>2</v>
      </c>
      <c r="U862" s="37"/>
      <c r="V862" s="38"/>
      <c r="W862" s="34" t="str">
        <f>IFERROR(__xludf.DUMMYFUNCTION("""COMPUTED_VALUE"""),"")</f>
        <v/>
      </c>
      <c r="X862" s="35" t="str">
        <f>IFERROR(__xludf.DUMMYFUNCTION("""COMPUTED_VALUE"""),"AP")</f>
        <v>AP</v>
      </c>
      <c r="Y862" s="34" t="str">
        <f>IFERROR(__xludf.DUMMYFUNCTION("""COMPUTED_VALUE"""),"")</f>
        <v/>
      </c>
      <c r="Z862" s="35" t="str">
        <f>IFERROR(__xludf.DUMMYFUNCTION("""COMPUTED_VALUE"""),"%")</f>
        <v>%</v>
      </c>
      <c r="AA862" s="36">
        <f>IFERROR(__xludf.DUMMYFUNCTION("""COMPUTED_VALUE"""),3.0)</f>
        <v>3</v>
      </c>
      <c r="AB862" s="37"/>
      <c r="AC862" s="38"/>
      <c r="AD862" s="34" t="str">
        <f>IFERROR(__xludf.DUMMYFUNCTION("""COMPUTED_VALUE"""),"")</f>
        <v/>
      </c>
      <c r="AE862" s="35" t="str">
        <f>IFERROR(__xludf.DUMMYFUNCTION("""COMPUTED_VALUE"""),"AP")</f>
        <v>AP</v>
      </c>
      <c r="AF862" s="34" t="str">
        <f>IFERROR(__xludf.DUMMYFUNCTION("""COMPUTED_VALUE"""),"")</f>
        <v/>
      </c>
      <c r="AG862" s="35" t="str">
        <f>IFERROR(__xludf.DUMMYFUNCTION("""COMPUTED_VALUE"""),"%")</f>
        <v>%</v>
      </c>
      <c r="AH862" s="31"/>
      <c r="AI862" s="32"/>
      <c r="AJ862" s="67"/>
    </row>
    <row r="863" ht="24.75" hidden="1" customHeight="1">
      <c r="A863" s="40">
        <f>IFERROR(__xludf.DUMMYFUNCTION("""COMPUTED_VALUE"""),10.0)</f>
        <v>10</v>
      </c>
      <c r="B863" s="40" t="str">
        <f>IFERROR(__xludf.DUMMYFUNCTION("""COMPUTED_VALUE"""),"A110")</f>
        <v>A110</v>
      </c>
      <c r="C863" s="40"/>
      <c r="D863" s="41"/>
      <c r="E863" s="66"/>
      <c r="F863" s="43"/>
      <c r="G863" s="44"/>
      <c r="H863" s="33" t="str">
        <f>IFERROR(__xludf.DUMMYFUNCTION("""COMPUTED_VALUE""")," ")</f>
        <v> </v>
      </c>
      <c r="I863" s="45"/>
      <c r="J863" s="46" t="str">
        <f>IFERROR(__xludf.DUMMYFUNCTION("""COMPUTED_VALUE"""),"AP")</f>
        <v>AP</v>
      </c>
      <c r="K863" s="47"/>
      <c r="L863" s="48" t="str">
        <f>IFERROR(__xludf.DUMMYFUNCTION("""COMPUTED_VALUE"""),"%")</f>
        <v>%</v>
      </c>
      <c r="M863" s="49">
        <f>IFERROR(__xludf.DUMMYFUNCTION("""COMPUTED_VALUE"""),1.0)</f>
        <v>1</v>
      </c>
      <c r="N863" s="50"/>
      <c r="O863" s="38"/>
      <c r="P863" s="45" t="str">
        <f>IFERROR(__xludf.DUMMYFUNCTION("""COMPUTED_VALUE"""),"")</f>
        <v/>
      </c>
      <c r="Q863" s="46" t="str">
        <f>IFERROR(__xludf.DUMMYFUNCTION("""COMPUTED_VALUE"""),"AP")</f>
        <v>AP</v>
      </c>
      <c r="R863" s="47" t="str">
        <f>IFERROR(__xludf.DUMMYFUNCTION("""COMPUTED_VALUE"""),"")</f>
        <v/>
      </c>
      <c r="S863" s="48" t="str">
        <f>IFERROR(__xludf.DUMMYFUNCTION("""COMPUTED_VALUE"""),"%")</f>
        <v>%</v>
      </c>
      <c r="T863" s="49">
        <f>IFERROR(__xludf.DUMMYFUNCTION("""COMPUTED_VALUE"""),2.0)</f>
        <v>2</v>
      </c>
      <c r="U863" s="50"/>
      <c r="V863" s="38"/>
      <c r="W863" s="45" t="str">
        <f>IFERROR(__xludf.DUMMYFUNCTION("""COMPUTED_VALUE"""),"")</f>
        <v/>
      </c>
      <c r="X863" s="46" t="str">
        <f>IFERROR(__xludf.DUMMYFUNCTION("""COMPUTED_VALUE"""),"AP")</f>
        <v>AP</v>
      </c>
      <c r="Y863" s="47" t="str">
        <f>IFERROR(__xludf.DUMMYFUNCTION("""COMPUTED_VALUE"""),"")</f>
        <v/>
      </c>
      <c r="Z863" s="48" t="str">
        <f>IFERROR(__xludf.DUMMYFUNCTION("""COMPUTED_VALUE"""),"%")</f>
        <v>%</v>
      </c>
      <c r="AA863" s="49">
        <f>IFERROR(__xludf.DUMMYFUNCTION("""COMPUTED_VALUE"""),3.0)</f>
        <v>3</v>
      </c>
      <c r="AB863" s="50"/>
      <c r="AC863" s="38"/>
      <c r="AD863" s="45" t="str">
        <f>IFERROR(__xludf.DUMMYFUNCTION("""COMPUTED_VALUE"""),"")</f>
        <v/>
      </c>
      <c r="AE863" s="46" t="str">
        <f>IFERROR(__xludf.DUMMYFUNCTION("""COMPUTED_VALUE"""),"AP")</f>
        <v>AP</v>
      </c>
      <c r="AF863" s="47" t="str">
        <f>IFERROR(__xludf.DUMMYFUNCTION("""COMPUTED_VALUE"""),"")</f>
        <v/>
      </c>
      <c r="AG863" s="48" t="str">
        <f>IFERROR(__xludf.DUMMYFUNCTION("""COMPUTED_VALUE"""),"%")</f>
        <v>%</v>
      </c>
      <c r="AH863" s="43"/>
      <c r="AI863" s="44"/>
      <c r="AJ863" s="66"/>
    </row>
    <row r="864" ht="24.75" hidden="1" customHeight="1">
      <c r="A864" s="28">
        <f>IFERROR(__xludf.DUMMYFUNCTION("""COMPUTED_VALUE"""),11.0)</f>
        <v>11</v>
      </c>
      <c r="B864" s="28" t="str">
        <f>IFERROR(__xludf.DUMMYFUNCTION("""COMPUTED_VALUE"""),"A110")</f>
        <v>A110</v>
      </c>
      <c r="C864" s="28"/>
      <c r="D864" s="29"/>
      <c r="E864" s="67"/>
      <c r="F864" s="31"/>
      <c r="G864" s="32"/>
      <c r="H864" s="33" t="str">
        <f>IFERROR(__xludf.DUMMYFUNCTION("""COMPUTED_VALUE""")," ")</f>
        <v> </v>
      </c>
      <c r="I864" s="34"/>
      <c r="J864" s="35" t="str">
        <f>IFERROR(__xludf.DUMMYFUNCTION("""COMPUTED_VALUE"""),"AP")</f>
        <v>AP</v>
      </c>
      <c r="K864" s="34"/>
      <c r="L864" s="35" t="str">
        <f>IFERROR(__xludf.DUMMYFUNCTION("""COMPUTED_VALUE"""),"%")</f>
        <v>%</v>
      </c>
      <c r="M864" s="36">
        <f>IFERROR(__xludf.DUMMYFUNCTION("""COMPUTED_VALUE"""),1.0)</f>
        <v>1</v>
      </c>
      <c r="N864" s="37"/>
      <c r="O864" s="38"/>
      <c r="P864" s="34" t="str">
        <f>IFERROR(__xludf.DUMMYFUNCTION("""COMPUTED_VALUE"""),"")</f>
        <v/>
      </c>
      <c r="Q864" s="35" t="str">
        <f>IFERROR(__xludf.DUMMYFUNCTION("""COMPUTED_VALUE"""),"AP")</f>
        <v>AP</v>
      </c>
      <c r="R864" s="34" t="str">
        <f>IFERROR(__xludf.DUMMYFUNCTION("""COMPUTED_VALUE"""),"")</f>
        <v/>
      </c>
      <c r="S864" s="35" t="str">
        <f>IFERROR(__xludf.DUMMYFUNCTION("""COMPUTED_VALUE"""),"%")</f>
        <v>%</v>
      </c>
      <c r="T864" s="36">
        <f>IFERROR(__xludf.DUMMYFUNCTION("""COMPUTED_VALUE"""),2.0)</f>
        <v>2</v>
      </c>
      <c r="U864" s="37"/>
      <c r="V864" s="38"/>
      <c r="W864" s="34" t="str">
        <f>IFERROR(__xludf.DUMMYFUNCTION("""COMPUTED_VALUE"""),"")</f>
        <v/>
      </c>
      <c r="X864" s="35" t="str">
        <f>IFERROR(__xludf.DUMMYFUNCTION("""COMPUTED_VALUE"""),"AP")</f>
        <v>AP</v>
      </c>
      <c r="Y864" s="34" t="str">
        <f>IFERROR(__xludf.DUMMYFUNCTION("""COMPUTED_VALUE"""),"")</f>
        <v/>
      </c>
      <c r="Z864" s="35" t="str">
        <f>IFERROR(__xludf.DUMMYFUNCTION("""COMPUTED_VALUE"""),"%")</f>
        <v>%</v>
      </c>
      <c r="AA864" s="36">
        <f>IFERROR(__xludf.DUMMYFUNCTION("""COMPUTED_VALUE"""),3.0)</f>
        <v>3</v>
      </c>
      <c r="AB864" s="37"/>
      <c r="AC864" s="38"/>
      <c r="AD864" s="34" t="str">
        <f>IFERROR(__xludf.DUMMYFUNCTION("""COMPUTED_VALUE"""),"")</f>
        <v/>
      </c>
      <c r="AE864" s="35" t="str">
        <f>IFERROR(__xludf.DUMMYFUNCTION("""COMPUTED_VALUE"""),"AP")</f>
        <v>AP</v>
      </c>
      <c r="AF864" s="34" t="str">
        <f>IFERROR(__xludf.DUMMYFUNCTION("""COMPUTED_VALUE"""),"")</f>
        <v/>
      </c>
      <c r="AG864" s="35" t="str">
        <f>IFERROR(__xludf.DUMMYFUNCTION("""COMPUTED_VALUE"""),"%")</f>
        <v>%</v>
      </c>
      <c r="AH864" s="31"/>
      <c r="AI864" s="32"/>
      <c r="AJ864" s="67"/>
    </row>
    <row r="865" ht="24.75" hidden="1" customHeight="1">
      <c r="A865" s="40">
        <f>IFERROR(__xludf.DUMMYFUNCTION("""COMPUTED_VALUE"""),12.0)</f>
        <v>12</v>
      </c>
      <c r="B865" s="40" t="str">
        <f>IFERROR(__xludf.DUMMYFUNCTION("""COMPUTED_VALUE"""),"A110")</f>
        <v>A110</v>
      </c>
      <c r="C865" s="40"/>
      <c r="D865" s="41"/>
      <c r="E865" s="66"/>
      <c r="F865" s="43"/>
      <c r="G865" s="44"/>
      <c r="H865" s="33" t="str">
        <f>IFERROR(__xludf.DUMMYFUNCTION("""COMPUTED_VALUE""")," ")</f>
        <v> </v>
      </c>
      <c r="I865" s="45"/>
      <c r="J865" s="46" t="str">
        <f>IFERROR(__xludf.DUMMYFUNCTION("""COMPUTED_VALUE"""),"AP")</f>
        <v>AP</v>
      </c>
      <c r="K865" s="47"/>
      <c r="L865" s="48" t="str">
        <f>IFERROR(__xludf.DUMMYFUNCTION("""COMPUTED_VALUE"""),"%")</f>
        <v>%</v>
      </c>
      <c r="M865" s="49">
        <f>IFERROR(__xludf.DUMMYFUNCTION("""COMPUTED_VALUE"""),1.0)</f>
        <v>1</v>
      </c>
      <c r="N865" s="50"/>
      <c r="O865" s="38"/>
      <c r="P865" s="45" t="str">
        <f>IFERROR(__xludf.DUMMYFUNCTION("""COMPUTED_VALUE"""),"")</f>
        <v/>
      </c>
      <c r="Q865" s="46" t="str">
        <f>IFERROR(__xludf.DUMMYFUNCTION("""COMPUTED_VALUE"""),"AP")</f>
        <v>AP</v>
      </c>
      <c r="R865" s="47" t="str">
        <f>IFERROR(__xludf.DUMMYFUNCTION("""COMPUTED_VALUE"""),"")</f>
        <v/>
      </c>
      <c r="S865" s="48" t="str">
        <f>IFERROR(__xludf.DUMMYFUNCTION("""COMPUTED_VALUE"""),"%")</f>
        <v>%</v>
      </c>
      <c r="T865" s="49">
        <f>IFERROR(__xludf.DUMMYFUNCTION("""COMPUTED_VALUE"""),2.0)</f>
        <v>2</v>
      </c>
      <c r="U865" s="50"/>
      <c r="V865" s="38"/>
      <c r="W865" s="45" t="str">
        <f>IFERROR(__xludf.DUMMYFUNCTION("""COMPUTED_VALUE"""),"")</f>
        <v/>
      </c>
      <c r="X865" s="46" t="str">
        <f>IFERROR(__xludf.DUMMYFUNCTION("""COMPUTED_VALUE"""),"AP")</f>
        <v>AP</v>
      </c>
      <c r="Y865" s="47" t="str">
        <f>IFERROR(__xludf.DUMMYFUNCTION("""COMPUTED_VALUE"""),"")</f>
        <v/>
      </c>
      <c r="Z865" s="48" t="str">
        <f>IFERROR(__xludf.DUMMYFUNCTION("""COMPUTED_VALUE"""),"%")</f>
        <v>%</v>
      </c>
      <c r="AA865" s="49">
        <f>IFERROR(__xludf.DUMMYFUNCTION("""COMPUTED_VALUE"""),3.0)</f>
        <v>3</v>
      </c>
      <c r="AB865" s="50"/>
      <c r="AC865" s="38"/>
      <c r="AD865" s="45" t="str">
        <f>IFERROR(__xludf.DUMMYFUNCTION("""COMPUTED_VALUE"""),"")</f>
        <v/>
      </c>
      <c r="AE865" s="46" t="str">
        <f>IFERROR(__xludf.DUMMYFUNCTION("""COMPUTED_VALUE"""),"AP")</f>
        <v>AP</v>
      </c>
      <c r="AF865" s="47" t="str">
        <f>IFERROR(__xludf.DUMMYFUNCTION("""COMPUTED_VALUE"""),"")</f>
        <v/>
      </c>
      <c r="AG865" s="48" t="str">
        <f>IFERROR(__xludf.DUMMYFUNCTION("""COMPUTED_VALUE"""),"%")</f>
        <v>%</v>
      </c>
      <c r="AH865" s="43"/>
      <c r="AI865" s="44"/>
      <c r="AJ865" s="66"/>
    </row>
    <row r="866" ht="24.75" hidden="1" customHeight="1">
      <c r="A866" s="28">
        <f>IFERROR(__xludf.DUMMYFUNCTION("""COMPUTED_VALUE"""),13.0)</f>
        <v>13</v>
      </c>
      <c r="B866" s="28" t="str">
        <f>IFERROR(__xludf.DUMMYFUNCTION("""COMPUTED_VALUE"""),"A110")</f>
        <v>A110</v>
      </c>
      <c r="C866" s="28"/>
      <c r="D866" s="29"/>
      <c r="E866" s="67"/>
      <c r="F866" s="31"/>
      <c r="G866" s="32"/>
      <c r="H866" s="33" t="str">
        <f>IFERROR(__xludf.DUMMYFUNCTION("""COMPUTED_VALUE""")," ")</f>
        <v> </v>
      </c>
      <c r="I866" s="34"/>
      <c r="J866" s="35" t="str">
        <f>IFERROR(__xludf.DUMMYFUNCTION("""COMPUTED_VALUE"""),"AP")</f>
        <v>AP</v>
      </c>
      <c r="K866" s="34"/>
      <c r="L866" s="35" t="str">
        <f>IFERROR(__xludf.DUMMYFUNCTION("""COMPUTED_VALUE"""),"%")</f>
        <v>%</v>
      </c>
      <c r="M866" s="36">
        <f>IFERROR(__xludf.DUMMYFUNCTION("""COMPUTED_VALUE"""),1.0)</f>
        <v>1</v>
      </c>
      <c r="N866" s="37"/>
      <c r="O866" s="38"/>
      <c r="P866" s="34" t="str">
        <f>IFERROR(__xludf.DUMMYFUNCTION("""COMPUTED_VALUE"""),"")</f>
        <v/>
      </c>
      <c r="Q866" s="35" t="str">
        <f>IFERROR(__xludf.DUMMYFUNCTION("""COMPUTED_VALUE"""),"AP")</f>
        <v>AP</v>
      </c>
      <c r="R866" s="34" t="str">
        <f>IFERROR(__xludf.DUMMYFUNCTION("""COMPUTED_VALUE"""),"")</f>
        <v/>
      </c>
      <c r="S866" s="35" t="str">
        <f>IFERROR(__xludf.DUMMYFUNCTION("""COMPUTED_VALUE"""),"%")</f>
        <v>%</v>
      </c>
      <c r="T866" s="36">
        <f>IFERROR(__xludf.DUMMYFUNCTION("""COMPUTED_VALUE"""),2.0)</f>
        <v>2</v>
      </c>
      <c r="U866" s="37"/>
      <c r="V866" s="38"/>
      <c r="W866" s="34" t="str">
        <f>IFERROR(__xludf.DUMMYFUNCTION("""COMPUTED_VALUE"""),"")</f>
        <v/>
      </c>
      <c r="X866" s="35" t="str">
        <f>IFERROR(__xludf.DUMMYFUNCTION("""COMPUTED_VALUE"""),"AP")</f>
        <v>AP</v>
      </c>
      <c r="Y866" s="34" t="str">
        <f>IFERROR(__xludf.DUMMYFUNCTION("""COMPUTED_VALUE"""),"")</f>
        <v/>
      </c>
      <c r="Z866" s="35" t="str">
        <f>IFERROR(__xludf.DUMMYFUNCTION("""COMPUTED_VALUE"""),"%")</f>
        <v>%</v>
      </c>
      <c r="AA866" s="36">
        <f>IFERROR(__xludf.DUMMYFUNCTION("""COMPUTED_VALUE"""),3.0)</f>
        <v>3</v>
      </c>
      <c r="AB866" s="37"/>
      <c r="AC866" s="38"/>
      <c r="AD866" s="34" t="str">
        <f>IFERROR(__xludf.DUMMYFUNCTION("""COMPUTED_VALUE"""),"")</f>
        <v/>
      </c>
      <c r="AE866" s="35" t="str">
        <f>IFERROR(__xludf.DUMMYFUNCTION("""COMPUTED_VALUE"""),"AP")</f>
        <v>AP</v>
      </c>
      <c r="AF866" s="34" t="str">
        <f>IFERROR(__xludf.DUMMYFUNCTION("""COMPUTED_VALUE"""),"")</f>
        <v/>
      </c>
      <c r="AG866" s="35" t="str">
        <f>IFERROR(__xludf.DUMMYFUNCTION("""COMPUTED_VALUE"""),"%")</f>
        <v>%</v>
      </c>
      <c r="AH866" s="31"/>
      <c r="AI866" s="32"/>
      <c r="AJ866" s="67"/>
    </row>
    <row r="867" ht="24.75" hidden="1" customHeight="1">
      <c r="A867" s="40">
        <f>IFERROR(__xludf.DUMMYFUNCTION("""COMPUTED_VALUE"""),14.0)</f>
        <v>14</v>
      </c>
      <c r="B867" s="40" t="str">
        <f>IFERROR(__xludf.DUMMYFUNCTION("""COMPUTED_VALUE"""),"A110")</f>
        <v>A110</v>
      </c>
      <c r="C867" s="40"/>
      <c r="D867" s="41"/>
      <c r="E867" s="66"/>
      <c r="F867" s="43"/>
      <c r="G867" s="44"/>
      <c r="H867" s="33" t="str">
        <f>IFERROR(__xludf.DUMMYFUNCTION("""COMPUTED_VALUE""")," ")</f>
        <v> </v>
      </c>
      <c r="I867" s="45"/>
      <c r="J867" s="46" t="str">
        <f>IFERROR(__xludf.DUMMYFUNCTION("""COMPUTED_VALUE"""),"AP")</f>
        <v>AP</v>
      </c>
      <c r="K867" s="47"/>
      <c r="L867" s="48" t="str">
        <f>IFERROR(__xludf.DUMMYFUNCTION("""COMPUTED_VALUE"""),"%")</f>
        <v>%</v>
      </c>
      <c r="M867" s="49">
        <f>IFERROR(__xludf.DUMMYFUNCTION("""COMPUTED_VALUE"""),1.0)</f>
        <v>1</v>
      </c>
      <c r="N867" s="50"/>
      <c r="O867" s="38"/>
      <c r="P867" s="45" t="str">
        <f>IFERROR(__xludf.DUMMYFUNCTION("""COMPUTED_VALUE"""),"")</f>
        <v/>
      </c>
      <c r="Q867" s="46" t="str">
        <f>IFERROR(__xludf.DUMMYFUNCTION("""COMPUTED_VALUE"""),"AP")</f>
        <v>AP</v>
      </c>
      <c r="R867" s="47" t="str">
        <f>IFERROR(__xludf.DUMMYFUNCTION("""COMPUTED_VALUE"""),"")</f>
        <v/>
      </c>
      <c r="S867" s="48" t="str">
        <f>IFERROR(__xludf.DUMMYFUNCTION("""COMPUTED_VALUE"""),"%")</f>
        <v>%</v>
      </c>
      <c r="T867" s="49">
        <f>IFERROR(__xludf.DUMMYFUNCTION("""COMPUTED_VALUE"""),2.0)</f>
        <v>2</v>
      </c>
      <c r="U867" s="50"/>
      <c r="V867" s="38"/>
      <c r="W867" s="45" t="str">
        <f>IFERROR(__xludf.DUMMYFUNCTION("""COMPUTED_VALUE"""),"")</f>
        <v/>
      </c>
      <c r="X867" s="46" t="str">
        <f>IFERROR(__xludf.DUMMYFUNCTION("""COMPUTED_VALUE"""),"AP")</f>
        <v>AP</v>
      </c>
      <c r="Y867" s="47" t="str">
        <f>IFERROR(__xludf.DUMMYFUNCTION("""COMPUTED_VALUE"""),"")</f>
        <v/>
      </c>
      <c r="Z867" s="48" t="str">
        <f>IFERROR(__xludf.DUMMYFUNCTION("""COMPUTED_VALUE"""),"%")</f>
        <v>%</v>
      </c>
      <c r="AA867" s="49">
        <f>IFERROR(__xludf.DUMMYFUNCTION("""COMPUTED_VALUE"""),3.0)</f>
        <v>3</v>
      </c>
      <c r="AB867" s="50"/>
      <c r="AC867" s="38"/>
      <c r="AD867" s="45" t="str">
        <f>IFERROR(__xludf.DUMMYFUNCTION("""COMPUTED_VALUE"""),"")</f>
        <v/>
      </c>
      <c r="AE867" s="46" t="str">
        <f>IFERROR(__xludf.DUMMYFUNCTION("""COMPUTED_VALUE"""),"AP")</f>
        <v>AP</v>
      </c>
      <c r="AF867" s="47" t="str">
        <f>IFERROR(__xludf.DUMMYFUNCTION("""COMPUTED_VALUE"""),"")</f>
        <v/>
      </c>
      <c r="AG867" s="48" t="str">
        <f>IFERROR(__xludf.DUMMYFUNCTION("""COMPUTED_VALUE"""),"%")</f>
        <v>%</v>
      </c>
      <c r="AH867" s="43"/>
      <c r="AI867" s="44"/>
      <c r="AJ867" s="66"/>
    </row>
    <row r="868" ht="24.75" hidden="1" customHeight="1">
      <c r="A868" s="28">
        <f>IFERROR(__xludf.DUMMYFUNCTION("""COMPUTED_VALUE"""),15.0)</f>
        <v>15</v>
      </c>
      <c r="B868" s="28" t="str">
        <f>IFERROR(__xludf.DUMMYFUNCTION("""COMPUTED_VALUE"""),"A110")</f>
        <v>A110</v>
      </c>
      <c r="C868" s="28"/>
      <c r="D868" s="29"/>
      <c r="E868" s="67"/>
      <c r="F868" s="31"/>
      <c r="G868" s="32"/>
      <c r="H868" s="33" t="str">
        <f>IFERROR(__xludf.DUMMYFUNCTION("""COMPUTED_VALUE""")," ")</f>
        <v> </v>
      </c>
      <c r="I868" s="34"/>
      <c r="J868" s="35" t="str">
        <f>IFERROR(__xludf.DUMMYFUNCTION("""COMPUTED_VALUE"""),"AP")</f>
        <v>AP</v>
      </c>
      <c r="K868" s="34"/>
      <c r="L868" s="35" t="str">
        <f>IFERROR(__xludf.DUMMYFUNCTION("""COMPUTED_VALUE"""),"%")</f>
        <v>%</v>
      </c>
      <c r="M868" s="36">
        <f>IFERROR(__xludf.DUMMYFUNCTION("""COMPUTED_VALUE"""),1.0)</f>
        <v>1</v>
      </c>
      <c r="N868" s="37"/>
      <c r="O868" s="38"/>
      <c r="P868" s="34" t="str">
        <f>IFERROR(__xludf.DUMMYFUNCTION("""COMPUTED_VALUE"""),"")</f>
        <v/>
      </c>
      <c r="Q868" s="35" t="str">
        <f>IFERROR(__xludf.DUMMYFUNCTION("""COMPUTED_VALUE"""),"AP")</f>
        <v>AP</v>
      </c>
      <c r="R868" s="34" t="str">
        <f>IFERROR(__xludf.DUMMYFUNCTION("""COMPUTED_VALUE"""),"")</f>
        <v/>
      </c>
      <c r="S868" s="35" t="str">
        <f>IFERROR(__xludf.DUMMYFUNCTION("""COMPUTED_VALUE"""),"%")</f>
        <v>%</v>
      </c>
      <c r="T868" s="36">
        <f>IFERROR(__xludf.DUMMYFUNCTION("""COMPUTED_VALUE"""),2.0)</f>
        <v>2</v>
      </c>
      <c r="U868" s="37"/>
      <c r="V868" s="38"/>
      <c r="W868" s="34" t="str">
        <f>IFERROR(__xludf.DUMMYFUNCTION("""COMPUTED_VALUE"""),"")</f>
        <v/>
      </c>
      <c r="X868" s="35" t="str">
        <f>IFERROR(__xludf.DUMMYFUNCTION("""COMPUTED_VALUE"""),"AP")</f>
        <v>AP</v>
      </c>
      <c r="Y868" s="34" t="str">
        <f>IFERROR(__xludf.DUMMYFUNCTION("""COMPUTED_VALUE"""),"")</f>
        <v/>
      </c>
      <c r="Z868" s="35" t="str">
        <f>IFERROR(__xludf.DUMMYFUNCTION("""COMPUTED_VALUE"""),"%")</f>
        <v>%</v>
      </c>
      <c r="AA868" s="36">
        <f>IFERROR(__xludf.DUMMYFUNCTION("""COMPUTED_VALUE"""),3.0)</f>
        <v>3</v>
      </c>
      <c r="AB868" s="37"/>
      <c r="AC868" s="38"/>
      <c r="AD868" s="34" t="str">
        <f>IFERROR(__xludf.DUMMYFUNCTION("""COMPUTED_VALUE"""),"")</f>
        <v/>
      </c>
      <c r="AE868" s="35" t="str">
        <f>IFERROR(__xludf.DUMMYFUNCTION("""COMPUTED_VALUE"""),"AP")</f>
        <v>AP</v>
      </c>
      <c r="AF868" s="34" t="str">
        <f>IFERROR(__xludf.DUMMYFUNCTION("""COMPUTED_VALUE"""),"")</f>
        <v/>
      </c>
      <c r="AG868" s="35" t="str">
        <f>IFERROR(__xludf.DUMMYFUNCTION("""COMPUTED_VALUE"""),"%")</f>
        <v>%</v>
      </c>
      <c r="AH868" s="31"/>
      <c r="AI868" s="32"/>
      <c r="AJ868" s="67"/>
    </row>
    <row r="869" ht="24.75" hidden="1" customHeight="1">
      <c r="A869" s="40">
        <f>IFERROR(__xludf.DUMMYFUNCTION("""COMPUTED_VALUE"""),16.0)</f>
        <v>16</v>
      </c>
      <c r="B869" s="40" t="str">
        <f>IFERROR(__xludf.DUMMYFUNCTION("""COMPUTED_VALUE"""),"A110")</f>
        <v>A110</v>
      </c>
      <c r="C869" s="40"/>
      <c r="D869" s="41"/>
      <c r="E869" s="66"/>
      <c r="F869" s="43"/>
      <c r="G869" s="44"/>
      <c r="H869" s="33" t="str">
        <f>IFERROR(__xludf.DUMMYFUNCTION("""COMPUTED_VALUE""")," ")</f>
        <v> </v>
      </c>
      <c r="I869" s="45"/>
      <c r="J869" s="46" t="str">
        <f>IFERROR(__xludf.DUMMYFUNCTION("""COMPUTED_VALUE"""),"AP")</f>
        <v>AP</v>
      </c>
      <c r="K869" s="47"/>
      <c r="L869" s="48" t="str">
        <f>IFERROR(__xludf.DUMMYFUNCTION("""COMPUTED_VALUE"""),"%")</f>
        <v>%</v>
      </c>
      <c r="M869" s="49">
        <f>IFERROR(__xludf.DUMMYFUNCTION("""COMPUTED_VALUE"""),1.0)</f>
        <v>1</v>
      </c>
      <c r="N869" s="50"/>
      <c r="O869" s="38"/>
      <c r="P869" s="45" t="str">
        <f>IFERROR(__xludf.DUMMYFUNCTION("""COMPUTED_VALUE"""),"")</f>
        <v/>
      </c>
      <c r="Q869" s="46" t="str">
        <f>IFERROR(__xludf.DUMMYFUNCTION("""COMPUTED_VALUE"""),"AP")</f>
        <v>AP</v>
      </c>
      <c r="R869" s="47" t="str">
        <f>IFERROR(__xludf.DUMMYFUNCTION("""COMPUTED_VALUE"""),"")</f>
        <v/>
      </c>
      <c r="S869" s="48" t="str">
        <f>IFERROR(__xludf.DUMMYFUNCTION("""COMPUTED_VALUE"""),"%")</f>
        <v>%</v>
      </c>
      <c r="T869" s="49">
        <f>IFERROR(__xludf.DUMMYFUNCTION("""COMPUTED_VALUE"""),2.0)</f>
        <v>2</v>
      </c>
      <c r="U869" s="50"/>
      <c r="V869" s="38"/>
      <c r="W869" s="45" t="str">
        <f>IFERROR(__xludf.DUMMYFUNCTION("""COMPUTED_VALUE"""),"")</f>
        <v/>
      </c>
      <c r="X869" s="46" t="str">
        <f>IFERROR(__xludf.DUMMYFUNCTION("""COMPUTED_VALUE"""),"AP")</f>
        <v>AP</v>
      </c>
      <c r="Y869" s="47" t="str">
        <f>IFERROR(__xludf.DUMMYFUNCTION("""COMPUTED_VALUE"""),"")</f>
        <v/>
      </c>
      <c r="Z869" s="48" t="str">
        <f>IFERROR(__xludf.DUMMYFUNCTION("""COMPUTED_VALUE"""),"%")</f>
        <v>%</v>
      </c>
      <c r="AA869" s="49">
        <f>IFERROR(__xludf.DUMMYFUNCTION("""COMPUTED_VALUE"""),3.0)</f>
        <v>3</v>
      </c>
      <c r="AB869" s="50"/>
      <c r="AC869" s="38"/>
      <c r="AD869" s="45" t="str">
        <f>IFERROR(__xludf.DUMMYFUNCTION("""COMPUTED_VALUE"""),"")</f>
        <v/>
      </c>
      <c r="AE869" s="46" t="str">
        <f>IFERROR(__xludf.DUMMYFUNCTION("""COMPUTED_VALUE"""),"AP")</f>
        <v>AP</v>
      </c>
      <c r="AF869" s="47" t="str">
        <f>IFERROR(__xludf.DUMMYFUNCTION("""COMPUTED_VALUE"""),"")</f>
        <v/>
      </c>
      <c r="AG869" s="48" t="str">
        <f>IFERROR(__xludf.DUMMYFUNCTION("""COMPUTED_VALUE"""),"%")</f>
        <v>%</v>
      </c>
      <c r="AH869" s="43"/>
      <c r="AI869" s="44"/>
      <c r="AJ869" s="66"/>
    </row>
    <row r="870" ht="24.75" hidden="1" customHeight="1">
      <c r="A870" s="28">
        <f>IFERROR(__xludf.DUMMYFUNCTION("""COMPUTED_VALUE"""),17.0)</f>
        <v>17</v>
      </c>
      <c r="B870" s="28" t="str">
        <f>IFERROR(__xludf.DUMMYFUNCTION("""COMPUTED_VALUE"""),"A110")</f>
        <v>A110</v>
      </c>
      <c r="C870" s="28"/>
      <c r="D870" s="29"/>
      <c r="E870" s="67"/>
      <c r="F870" s="31"/>
      <c r="G870" s="32"/>
      <c r="H870" s="33" t="str">
        <f>IFERROR(__xludf.DUMMYFUNCTION("""COMPUTED_VALUE""")," ")</f>
        <v> </v>
      </c>
      <c r="I870" s="34"/>
      <c r="J870" s="35" t="str">
        <f>IFERROR(__xludf.DUMMYFUNCTION("""COMPUTED_VALUE"""),"AP")</f>
        <v>AP</v>
      </c>
      <c r="K870" s="34"/>
      <c r="L870" s="35" t="str">
        <f>IFERROR(__xludf.DUMMYFUNCTION("""COMPUTED_VALUE"""),"%")</f>
        <v>%</v>
      </c>
      <c r="M870" s="36">
        <f>IFERROR(__xludf.DUMMYFUNCTION("""COMPUTED_VALUE"""),1.0)</f>
        <v>1</v>
      </c>
      <c r="N870" s="37"/>
      <c r="O870" s="38"/>
      <c r="P870" s="34" t="str">
        <f>IFERROR(__xludf.DUMMYFUNCTION("""COMPUTED_VALUE"""),"")</f>
        <v/>
      </c>
      <c r="Q870" s="35" t="str">
        <f>IFERROR(__xludf.DUMMYFUNCTION("""COMPUTED_VALUE"""),"AP")</f>
        <v>AP</v>
      </c>
      <c r="R870" s="34" t="str">
        <f>IFERROR(__xludf.DUMMYFUNCTION("""COMPUTED_VALUE"""),"")</f>
        <v/>
      </c>
      <c r="S870" s="35" t="str">
        <f>IFERROR(__xludf.DUMMYFUNCTION("""COMPUTED_VALUE"""),"%")</f>
        <v>%</v>
      </c>
      <c r="T870" s="36">
        <f>IFERROR(__xludf.DUMMYFUNCTION("""COMPUTED_VALUE"""),2.0)</f>
        <v>2</v>
      </c>
      <c r="U870" s="37"/>
      <c r="V870" s="38"/>
      <c r="W870" s="34" t="str">
        <f>IFERROR(__xludf.DUMMYFUNCTION("""COMPUTED_VALUE"""),"")</f>
        <v/>
      </c>
      <c r="X870" s="35" t="str">
        <f>IFERROR(__xludf.DUMMYFUNCTION("""COMPUTED_VALUE"""),"AP")</f>
        <v>AP</v>
      </c>
      <c r="Y870" s="34" t="str">
        <f>IFERROR(__xludf.DUMMYFUNCTION("""COMPUTED_VALUE"""),"")</f>
        <v/>
      </c>
      <c r="Z870" s="35" t="str">
        <f>IFERROR(__xludf.DUMMYFUNCTION("""COMPUTED_VALUE"""),"%")</f>
        <v>%</v>
      </c>
      <c r="AA870" s="36">
        <f>IFERROR(__xludf.DUMMYFUNCTION("""COMPUTED_VALUE"""),3.0)</f>
        <v>3</v>
      </c>
      <c r="AB870" s="37"/>
      <c r="AC870" s="38"/>
      <c r="AD870" s="34" t="str">
        <f>IFERROR(__xludf.DUMMYFUNCTION("""COMPUTED_VALUE"""),"")</f>
        <v/>
      </c>
      <c r="AE870" s="35" t="str">
        <f>IFERROR(__xludf.DUMMYFUNCTION("""COMPUTED_VALUE"""),"AP")</f>
        <v>AP</v>
      </c>
      <c r="AF870" s="34" t="str">
        <f>IFERROR(__xludf.DUMMYFUNCTION("""COMPUTED_VALUE"""),"")</f>
        <v/>
      </c>
      <c r="AG870" s="35" t="str">
        <f>IFERROR(__xludf.DUMMYFUNCTION("""COMPUTED_VALUE"""),"%")</f>
        <v>%</v>
      </c>
      <c r="AH870" s="31"/>
      <c r="AI870" s="32"/>
      <c r="AJ870" s="67"/>
    </row>
    <row r="871" ht="24.75" hidden="1" customHeight="1">
      <c r="A871" s="40">
        <f>IFERROR(__xludf.DUMMYFUNCTION("""COMPUTED_VALUE"""),18.0)</f>
        <v>18</v>
      </c>
      <c r="B871" s="40" t="str">
        <f>IFERROR(__xludf.DUMMYFUNCTION("""COMPUTED_VALUE"""),"A110")</f>
        <v>A110</v>
      </c>
      <c r="C871" s="40"/>
      <c r="D871" s="41"/>
      <c r="E871" s="66"/>
      <c r="F871" s="43"/>
      <c r="G871" s="44"/>
      <c r="H871" s="33" t="str">
        <f>IFERROR(__xludf.DUMMYFUNCTION("""COMPUTED_VALUE""")," ")</f>
        <v> </v>
      </c>
      <c r="I871" s="45"/>
      <c r="J871" s="46" t="str">
        <f>IFERROR(__xludf.DUMMYFUNCTION("""COMPUTED_VALUE"""),"AP")</f>
        <v>AP</v>
      </c>
      <c r="K871" s="47"/>
      <c r="L871" s="48" t="str">
        <f>IFERROR(__xludf.DUMMYFUNCTION("""COMPUTED_VALUE"""),"%")</f>
        <v>%</v>
      </c>
      <c r="M871" s="49">
        <f>IFERROR(__xludf.DUMMYFUNCTION("""COMPUTED_VALUE"""),1.0)</f>
        <v>1</v>
      </c>
      <c r="N871" s="50"/>
      <c r="O871" s="38"/>
      <c r="P871" s="45" t="str">
        <f>IFERROR(__xludf.DUMMYFUNCTION("""COMPUTED_VALUE"""),"")</f>
        <v/>
      </c>
      <c r="Q871" s="46" t="str">
        <f>IFERROR(__xludf.DUMMYFUNCTION("""COMPUTED_VALUE"""),"AP")</f>
        <v>AP</v>
      </c>
      <c r="R871" s="47" t="str">
        <f>IFERROR(__xludf.DUMMYFUNCTION("""COMPUTED_VALUE"""),"")</f>
        <v/>
      </c>
      <c r="S871" s="48" t="str">
        <f>IFERROR(__xludf.DUMMYFUNCTION("""COMPUTED_VALUE"""),"%")</f>
        <v>%</v>
      </c>
      <c r="T871" s="49">
        <f>IFERROR(__xludf.DUMMYFUNCTION("""COMPUTED_VALUE"""),2.0)</f>
        <v>2</v>
      </c>
      <c r="U871" s="50"/>
      <c r="V871" s="38"/>
      <c r="W871" s="45" t="str">
        <f>IFERROR(__xludf.DUMMYFUNCTION("""COMPUTED_VALUE"""),"")</f>
        <v/>
      </c>
      <c r="X871" s="46" t="str">
        <f>IFERROR(__xludf.DUMMYFUNCTION("""COMPUTED_VALUE"""),"AP")</f>
        <v>AP</v>
      </c>
      <c r="Y871" s="47" t="str">
        <f>IFERROR(__xludf.DUMMYFUNCTION("""COMPUTED_VALUE"""),"")</f>
        <v/>
      </c>
      <c r="Z871" s="48" t="str">
        <f>IFERROR(__xludf.DUMMYFUNCTION("""COMPUTED_VALUE"""),"%")</f>
        <v>%</v>
      </c>
      <c r="AA871" s="49">
        <f>IFERROR(__xludf.DUMMYFUNCTION("""COMPUTED_VALUE"""),3.0)</f>
        <v>3</v>
      </c>
      <c r="AB871" s="50"/>
      <c r="AC871" s="38"/>
      <c r="AD871" s="45" t="str">
        <f>IFERROR(__xludf.DUMMYFUNCTION("""COMPUTED_VALUE"""),"")</f>
        <v/>
      </c>
      <c r="AE871" s="46" t="str">
        <f>IFERROR(__xludf.DUMMYFUNCTION("""COMPUTED_VALUE"""),"AP")</f>
        <v>AP</v>
      </c>
      <c r="AF871" s="47" t="str">
        <f>IFERROR(__xludf.DUMMYFUNCTION("""COMPUTED_VALUE"""),"")</f>
        <v/>
      </c>
      <c r="AG871" s="48" t="str">
        <f>IFERROR(__xludf.DUMMYFUNCTION("""COMPUTED_VALUE"""),"%")</f>
        <v>%</v>
      </c>
      <c r="AH871" s="43"/>
      <c r="AI871" s="44"/>
      <c r="AJ871" s="66"/>
    </row>
    <row r="872" ht="24.75" hidden="1" customHeight="1">
      <c r="A872" s="28">
        <f>IFERROR(__xludf.DUMMYFUNCTION("""COMPUTED_VALUE"""),19.0)</f>
        <v>19</v>
      </c>
      <c r="B872" s="28" t="str">
        <f>IFERROR(__xludf.DUMMYFUNCTION("""COMPUTED_VALUE"""),"A110")</f>
        <v>A110</v>
      </c>
      <c r="C872" s="28"/>
      <c r="D872" s="29"/>
      <c r="E872" s="67"/>
      <c r="F872" s="31"/>
      <c r="G872" s="32"/>
      <c r="H872" s="33" t="str">
        <f>IFERROR(__xludf.DUMMYFUNCTION("""COMPUTED_VALUE""")," ")</f>
        <v> </v>
      </c>
      <c r="I872" s="34"/>
      <c r="J872" s="35" t="str">
        <f>IFERROR(__xludf.DUMMYFUNCTION("""COMPUTED_VALUE"""),"AP")</f>
        <v>AP</v>
      </c>
      <c r="K872" s="34"/>
      <c r="L872" s="35" t="str">
        <f>IFERROR(__xludf.DUMMYFUNCTION("""COMPUTED_VALUE"""),"%")</f>
        <v>%</v>
      </c>
      <c r="M872" s="36">
        <f>IFERROR(__xludf.DUMMYFUNCTION("""COMPUTED_VALUE"""),1.0)</f>
        <v>1</v>
      </c>
      <c r="N872" s="37"/>
      <c r="O872" s="38"/>
      <c r="P872" s="34" t="str">
        <f>IFERROR(__xludf.DUMMYFUNCTION("""COMPUTED_VALUE"""),"")</f>
        <v/>
      </c>
      <c r="Q872" s="35" t="str">
        <f>IFERROR(__xludf.DUMMYFUNCTION("""COMPUTED_VALUE"""),"AP")</f>
        <v>AP</v>
      </c>
      <c r="R872" s="34" t="str">
        <f>IFERROR(__xludf.DUMMYFUNCTION("""COMPUTED_VALUE"""),"")</f>
        <v/>
      </c>
      <c r="S872" s="35" t="str">
        <f>IFERROR(__xludf.DUMMYFUNCTION("""COMPUTED_VALUE"""),"%")</f>
        <v>%</v>
      </c>
      <c r="T872" s="36">
        <f>IFERROR(__xludf.DUMMYFUNCTION("""COMPUTED_VALUE"""),2.0)</f>
        <v>2</v>
      </c>
      <c r="U872" s="37"/>
      <c r="V872" s="38"/>
      <c r="W872" s="34" t="str">
        <f>IFERROR(__xludf.DUMMYFUNCTION("""COMPUTED_VALUE"""),"")</f>
        <v/>
      </c>
      <c r="X872" s="35" t="str">
        <f>IFERROR(__xludf.DUMMYFUNCTION("""COMPUTED_VALUE"""),"AP")</f>
        <v>AP</v>
      </c>
      <c r="Y872" s="34" t="str">
        <f>IFERROR(__xludf.DUMMYFUNCTION("""COMPUTED_VALUE"""),"")</f>
        <v/>
      </c>
      <c r="Z872" s="35" t="str">
        <f>IFERROR(__xludf.DUMMYFUNCTION("""COMPUTED_VALUE"""),"%")</f>
        <v>%</v>
      </c>
      <c r="AA872" s="36">
        <f>IFERROR(__xludf.DUMMYFUNCTION("""COMPUTED_VALUE"""),3.0)</f>
        <v>3</v>
      </c>
      <c r="AB872" s="37"/>
      <c r="AC872" s="38"/>
      <c r="AD872" s="34" t="str">
        <f>IFERROR(__xludf.DUMMYFUNCTION("""COMPUTED_VALUE"""),"")</f>
        <v/>
      </c>
      <c r="AE872" s="35" t="str">
        <f>IFERROR(__xludf.DUMMYFUNCTION("""COMPUTED_VALUE"""),"AP")</f>
        <v>AP</v>
      </c>
      <c r="AF872" s="34" t="str">
        <f>IFERROR(__xludf.DUMMYFUNCTION("""COMPUTED_VALUE"""),"")</f>
        <v/>
      </c>
      <c r="AG872" s="35" t="str">
        <f>IFERROR(__xludf.DUMMYFUNCTION("""COMPUTED_VALUE"""),"%")</f>
        <v>%</v>
      </c>
      <c r="AH872" s="31"/>
      <c r="AI872" s="32"/>
      <c r="AJ872" s="67"/>
    </row>
    <row r="873" ht="24.75" hidden="1" customHeight="1">
      <c r="A873" s="40">
        <f>IFERROR(__xludf.DUMMYFUNCTION("""COMPUTED_VALUE"""),20.0)</f>
        <v>20</v>
      </c>
      <c r="B873" s="40" t="str">
        <f>IFERROR(__xludf.DUMMYFUNCTION("""COMPUTED_VALUE"""),"A110")</f>
        <v>A110</v>
      </c>
      <c r="C873" s="40"/>
      <c r="D873" s="41"/>
      <c r="E873" s="66"/>
      <c r="F873" s="43"/>
      <c r="G873" s="44"/>
      <c r="H873" s="33" t="str">
        <f>IFERROR(__xludf.DUMMYFUNCTION("""COMPUTED_VALUE""")," ")</f>
        <v> </v>
      </c>
      <c r="I873" s="45"/>
      <c r="J873" s="46" t="str">
        <f>IFERROR(__xludf.DUMMYFUNCTION("""COMPUTED_VALUE"""),"AP")</f>
        <v>AP</v>
      </c>
      <c r="K873" s="47"/>
      <c r="L873" s="48" t="str">
        <f>IFERROR(__xludf.DUMMYFUNCTION("""COMPUTED_VALUE"""),"%")</f>
        <v>%</v>
      </c>
      <c r="M873" s="49">
        <f>IFERROR(__xludf.DUMMYFUNCTION("""COMPUTED_VALUE"""),1.0)</f>
        <v>1</v>
      </c>
      <c r="N873" s="50"/>
      <c r="O873" s="38"/>
      <c r="P873" s="45" t="str">
        <f>IFERROR(__xludf.DUMMYFUNCTION("""COMPUTED_VALUE"""),"")</f>
        <v/>
      </c>
      <c r="Q873" s="46" t="str">
        <f>IFERROR(__xludf.DUMMYFUNCTION("""COMPUTED_VALUE"""),"AP")</f>
        <v>AP</v>
      </c>
      <c r="R873" s="47" t="str">
        <f>IFERROR(__xludf.DUMMYFUNCTION("""COMPUTED_VALUE"""),"")</f>
        <v/>
      </c>
      <c r="S873" s="48" t="str">
        <f>IFERROR(__xludf.DUMMYFUNCTION("""COMPUTED_VALUE"""),"%")</f>
        <v>%</v>
      </c>
      <c r="T873" s="49">
        <f>IFERROR(__xludf.DUMMYFUNCTION("""COMPUTED_VALUE"""),2.0)</f>
        <v>2</v>
      </c>
      <c r="U873" s="50"/>
      <c r="V873" s="38"/>
      <c r="W873" s="45" t="str">
        <f>IFERROR(__xludf.DUMMYFUNCTION("""COMPUTED_VALUE"""),"")</f>
        <v/>
      </c>
      <c r="X873" s="46" t="str">
        <f>IFERROR(__xludf.DUMMYFUNCTION("""COMPUTED_VALUE"""),"AP")</f>
        <v>AP</v>
      </c>
      <c r="Y873" s="47" t="str">
        <f>IFERROR(__xludf.DUMMYFUNCTION("""COMPUTED_VALUE"""),"")</f>
        <v/>
      </c>
      <c r="Z873" s="48" t="str">
        <f>IFERROR(__xludf.DUMMYFUNCTION("""COMPUTED_VALUE"""),"%")</f>
        <v>%</v>
      </c>
      <c r="AA873" s="49">
        <f>IFERROR(__xludf.DUMMYFUNCTION("""COMPUTED_VALUE"""),3.0)</f>
        <v>3</v>
      </c>
      <c r="AB873" s="50"/>
      <c r="AC873" s="38"/>
      <c r="AD873" s="45" t="str">
        <f>IFERROR(__xludf.DUMMYFUNCTION("""COMPUTED_VALUE"""),"")</f>
        <v/>
      </c>
      <c r="AE873" s="46" t="str">
        <f>IFERROR(__xludf.DUMMYFUNCTION("""COMPUTED_VALUE"""),"AP")</f>
        <v>AP</v>
      </c>
      <c r="AF873" s="47" t="str">
        <f>IFERROR(__xludf.DUMMYFUNCTION("""COMPUTED_VALUE"""),"")</f>
        <v/>
      </c>
      <c r="AG873" s="48" t="str">
        <f>IFERROR(__xludf.DUMMYFUNCTION("""COMPUTED_VALUE"""),"%")</f>
        <v>%</v>
      </c>
      <c r="AH873" s="43"/>
      <c r="AI873" s="44"/>
      <c r="AJ873" s="66"/>
    </row>
    <row r="874">
      <c r="A874" s="52"/>
      <c r="B874" s="53"/>
      <c r="C874" s="54"/>
      <c r="D874" s="56"/>
      <c r="E874" s="56"/>
      <c r="F874" s="53"/>
      <c r="G874" s="53"/>
      <c r="H874" s="53"/>
      <c r="I874" s="53"/>
      <c r="J874" s="57"/>
      <c r="K874" s="53"/>
      <c r="L874" s="57"/>
      <c r="M874" s="53"/>
      <c r="N874" s="53"/>
      <c r="O874" s="53"/>
      <c r="P874" s="53"/>
      <c r="Q874" s="57"/>
      <c r="R874" s="53"/>
      <c r="S874" s="57"/>
      <c r="T874" s="53"/>
      <c r="U874" s="53"/>
      <c r="V874" s="53"/>
      <c r="W874" s="53"/>
      <c r="X874" s="57"/>
      <c r="Y874" s="53"/>
      <c r="Z874" s="57"/>
      <c r="AA874" s="53"/>
      <c r="AB874" s="53"/>
      <c r="AC874" s="53"/>
      <c r="AD874" s="53"/>
      <c r="AE874" s="57"/>
      <c r="AF874" s="53"/>
      <c r="AG874" s="57"/>
      <c r="AH874" s="53"/>
      <c r="AI874" s="53"/>
      <c r="AJ874" s="56"/>
    </row>
    <row r="875">
      <c r="A875" s="59"/>
      <c r="B875" s="60"/>
      <c r="C875" s="61"/>
      <c r="D875" s="63"/>
      <c r="E875" s="63"/>
      <c r="F875" s="60"/>
      <c r="G875" s="60"/>
      <c r="H875" s="60"/>
      <c r="I875" s="60"/>
      <c r="J875" s="64"/>
      <c r="K875" s="60"/>
      <c r="L875" s="64"/>
      <c r="M875" s="60"/>
      <c r="N875" s="60"/>
      <c r="O875" s="60"/>
      <c r="P875" s="60"/>
      <c r="Q875" s="64"/>
      <c r="R875" s="60"/>
      <c r="S875" s="64"/>
      <c r="T875" s="60"/>
      <c r="U875" s="60"/>
      <c r="V875" s="60"/>
      <c r="W875" s="60"/>
      <c r="X875" s="64"/>
      <c r="Y875" s="60"/>
      <c r="Z875" s="64"/>
      <c r="AA875" s="60"/>
      <c r="AB875" s="60"/>
      <c r="AC875" s="60"/>
      <c r="AD875" s="60"/>
      <c r="AE875" s="64"/>
      <c r="AF875" s="60"/>
      <c r="AG875" s="64"/>
      <c r="AH875" s="60"/>
      <c r="AI875" s="60"/>
      <c r="AJ875" s="63"/>
    </row>
    <row r="876" ht="33.0" customHeight="1">
      <c r="A876" s="20" t="str">
        <f>IFERROR(__xludf.DUMMYFUNCTION("""COMPUTED_VALUE""")," ")</f>
        <v> </v>
      </c>
      <c r="B876" s="21" t="str">
        <f>IFERROR(__xludf.DUMMYFUNCTION("""COMPUTED_VALUE"""),"A111")</f>
        <v>A111</v>
      </c>
      <c r="C876" s="20"/>
      <c r="D876" s="257" t="str">
        <f>IFERROR(__xludf.DUMMYFUNCTION("""COMPUTED_VALUE"""),"")</f>
        <v/>
      </c>
      <c r="E876" s="23" t="str">
        <f>IFERROR(__xludf.DUMMYFUNCTION("""COMPUTED_VALUE"""),"Cursed Beast Gallstone")</f>
        <v>Cursed Beast Gallstone</v>
      </c>
      <c r="F876" s="24"/>
      <c r="G876" s="24"/>
      <c r="H876" s="25"/>
      <c r="I876" s="25"/>
      <c r="J876" s="26"/>
      <c r="K876" s="25"/>
      <c r="L876" s="26"/>
      <c r="M876" s="25"/>
      <c r="N876" s="25"/>
      <c r="O876" s="25"/>
      <c r="P876" s="25"/>
      <c r="Q876" s="26"/>
      <c r="R876" s="25"/>
      <c r="S876" s="26"/>
      <c r="T876" s="25"/>
      <c r="U876" s="25"/>
      <c r="V876" s="25"/>
      <c r="W876" s="25"/>
      <c r="X876" s="26"/>
      <c r="Y876" s="25"/>
      <c r="Z876" s="26"/>
      <c r="AA876" s="25"/>
      <c r="AB876" s="25"/>
      <c r="AC876" s="25"/>
      <c r="AD876" s="25"/>
      <c r="AE876" s="26"/>
      <c r="AF876" s="25"/>
      <c r="AG876" s="26"/>
      <c r="AH876" s="24"/>
      <c r="AI876" s="25"/>
      <c r="AJ876" s="23"/>
    </row>
    <row r="877" ht="24.75" customHeight="1">
      <c r="A877" s="28">
        <f>IFERROR(__xludf.DUMMYFUNCTION("""COMPUTED_VALUE"""),1.0)</f>
        <v>1</v>
      </c>
      <c r="B877" s="28" t="str">
        <f>IFERROR(__xludf.DUMMYFUNCTION("""COMPUTED_VALUE"""),"A111")</f>
        <v>A111</v>
      </c>
      <c r="C877" s="28" t="str">
        <f>IFERROR(__xludf.DUMMYFUNCTION("""COMPUTED_VALUE"""),"SMS8")</f>
        <v>SMS8</v>
      </c>
      <c r="D877" s="29" t="str">
        <f>IFERROR(__xludf.DUMMYFUNCTION("""COMPUTED_VALUE"""),"Shimosa")</f>
        <v>Shimosa</v>
      </c>
      <c r="E877" s="30" t="str">
        <f>IFERROR(__xludf.DUMMYFUNCTION("""COMPUTED_VALUE"""),"Arakawa Field")</f>
        <v>Arakawa Field</v>
      </c>
      <c r="F877" s="31">
        <f>IFERROR(__xludf.DUMMYFUNCTION("""COMPUTED_VALUE"""),21.0)</f>
        <v>21</v>
      </c>
      <c r="G877" s="32">
        <f>IFERROR(__xludf.DUMMYFUNCTION("""COMPUTED_VALUE"""),29395.0)</f>
        <v>29395</v>
      </c>
      <c r="H877" s="33" t="str">
        <f>IFERROR(__xludf.DUMMYFUNCTION("""COMPUTED_VALUE"""),"")</f>
        <v/>
      </c>
      <c r="I877" s="34">
        <f>IFERROR(__xludf.DUMMYFUNCTION("""COMPUTED_VALUE"""),170.85740777901563)</f>
        <v>170.8574078</v>
      </c>
      <c r="J877" s="35" t="str">
        <f>IFERROR(__xludf.DUMMYFUNCTION("""COMPUTED_VALUE"""),"AP")</f>
        <v>AP</v>
      </c>
      <c r="K877" s="34">
        <f>IFERROR(__xludf.DUMMYFUNCTION("""COMPUTED_VALUE"""),12.290950841979928)</f>
        <v>12.29095084</v>
      </c>
      <c r="L877" s="35" t="str">
        <f>IFERROR(__xludf.DUMMYFUNCTION("""COMPUTED_VALUE"""),"%")</f>
        <v>%</v>
      </c>
      <c r="M877" s="36">
        <f>IFERROR(__xludf.DUMMYFUNCTION("""COMPUTED_VALUE"""),1.0)</f>
        <v>1</v>
      </c>
      <c r="N877" s="37" t="str">
        <f>IFERROR(__xludf.DUMMYFUNCTION("""COMPUTED_VALUE"""),"A212")</f>
        <v>A212</v>
      </c>
      <c r="O877" s="38" t="str">
        <f>IFERROR(__xludf.DUMMYFUNCTION("""COMPUTED_VALUE"""),"")</f>
        <v/>
      </c>
      <c r="P877" s="34">
        <f>IFERROR(__xludf.DUMMYFUNCTION("""COMPUTED_VALUE"""),105.52006188007744)</f>
        <v>105.5200619</v>
      </c>
      <c r="Q877" s="35" t="str">
        <f>IFERROR(__xludf.DUMMYFUNCTION("""COMPUTED_VALUE"""),"AP")</f>
        <v>AP</v>
      </c>
      <c r="R877" s="34">
        <f>IFERROR(__xludf.DUMMYFUNCTION("""COMPUTED_VALUE"""),19.90142881442422)</f>
        <v>19.90142881</v>
      </c>
      <c r="S877" s="35" t="str">
        <f>IFERROR(__xludf.DUMMYFUNCTION("""COMPUTED_VALUE"""),"%")</f>
        <v>%</v>
      </c>
      <c r="T877" s="36">
        <f>IFERROR(__xludf.DUMMYFUNCTION("""COMPUTED_VALUE"""),2.0)</f>
        <v>2</v>
      </c>
      <c r="U877" s="37" t="str">
        <f>IFERROR(__xludf.DUMMYFUNCTION("""COMPUTED_VALUE"""),"A304")</f>
        <v>A304</v>
      </c>
      <c r="V877" s="38" t="str">
        <f>IFERROR(__xludf.DUMMYFUNCTION("""COMPUTED_VALUE"""),"")</f>
        <v/>
      </c>
      <c r="W877" s="34">
        <f>IFERROR(__xludf.DUMMYFUNCTION("""COMPUTED_VALUE"""),70.05560914713726)</f>
        <v>70.05560915</v>
      </c>
      <c r="X877" s="35" t="str">
        <f>IFERROR(__xludf.DUMMYFUNCTION("""COMPUTED_VALUE"""),"AP")</f>
        <v>AP</v>
      </c>
      <c r="Y877" s="34">
        <f>IFERROR(__xludf.DUMMYFUNCTION("""COMPUTED_VALUE"""),29.97618642626297)</f>
        <v>29.97618643</v>
      </c>
      <c r="Z877" s="35" t="str">
        <f>IFERROR(__xludf.DUMMYFUNCTION("""COMPUTED_VALUE"""),"%")</f>
        <v>%</v>
      </c>
      <c r="AA877" s="36">
        <f>IFERROR(__xludf.DUMMYFUNCTION("""COMPUTED_VALUE"""),3.0)</f>
        <v>3</v>
      </c>
      <c r="AB877" s="37" t="str">
        <f>IFERROR(__xludf.DUMMYFUNCTION("""COMPUTED_VALUE"""),"B107")</f>
        <v>B107</v>
      </c>
      <c r="AC877" s="38" t="str">
        <f>IFERROR(__xludf.DUMMYFUNCTION("""COMPUTED_VALUE"""),"")</f>
        <v/>
      </c>
      <c r="AD877" s="34">
        <f>IFERROR(__xludf.DUMMYFUNCTION("""COMPUTED_VALUE"""),680.3887690066965)</f>
        <v>680.388769</v>
      </c>
      <c r="AE877" s="35" t="str">
        <f>IFERROR(__xludf.DUMMYFUNCTION("""COMPUTED_VALUE"""),"AP")</f>
        <v>AP</v>
      </c>
      <c r="AF877" s="34">
        <f>IFERROR(__xludf.DUMMYFUNCTION("""COMPUTED_VALUE"""),3.0864706997821294)</f>
        <v>3.0864707</v>
      </c>
      <c r="AG877" s="35" t="str">
        <f>IFERROR(__xludf.DUMMYFUNCTION("""COMPUTED_VALUE"""),"%")</f>
        <v>%</v>
      </c>
      <c r="AH877" s="31">
        <f>IFERROR(__xludf.DUMMYFUNCTION("""COMPUTED_VALUE"""),21.0)</f>
        <v>21</v>
      </c>
      <c r="AI877" s="32">
        <f>IFERROR(__xludf.DUMMYFUNCTION("""COMPUTED_VALUE"""),29395.0)</f>
        <v>29395</v>
      </c>
      <c r="AJ877" s="30" t="str">
        <f>IFERROR(__xludf.DUMMYFUNCTION("""COMPUTED_VALUE"""),"Arakawa Field")</f>
        <v>Arakawa Field</v>
      </c>
    </row>
    <row r="878" ht="24.75" customHeight="1">
      <c r="A878" s="40">
        <f>IFERROR(__xludf.DUMMYFUNCTION("""COMPUTED_VALUE"""),2.0)</f>
        <v>2</v>
      </c>
      <c r="B878" s="40" t="str">
        <f>IFERROR(__xludf.DUMMYFUNCTION("""COMPUTED_VALUE"""),"A111")</f>
        <v>A111</v>
      </c>
      <c r="C878" s="40" t="str">
        <f>IFERROR(__xludf.DUMMYFUNCTION("""COMPUTED_VALUE"""),"BBL13")</f>
        <v>BBL13</v>
      </c>
      <c r="D878" s="41" t="str">
        <f>IFERROR(__xludf.DUMMYFUNCTION("""COMPUTED_VALUE"""),"Babylonia")</f>
        <v>Babylonia</v>
      </c>
      <c r="E878" s="42" t="str">
        <f>IFERROR(__xludf.DUMMYFUNCTION("""COMPUTED_VALUE"""),"Mt. Ebih")</f>
        <v>Mt. Ebih</v>
      </c>
      <c r="F878" s="43">
        <f>IFERROR(__xludf.DUMMYFUNCTION("""COMPUTED_VALUE"""),21.0)</f>
        <v>21</v>
      </c>
      <c r="G878" s="44">
        <f>IFERROR(__xludf.DUMMYFUNCTION("""COMPUTED_VALUE"""),31195.0)</f>
        <v>31195</v>
      </c>
      <c r="H878" s="33" t="str">
        <f>IFERROR(__xludf.DUMMYFUNCTION("""COMPUTED_VALUE"""),"")</f>
        <v/>
      </c>
      <c r="I878" s="45">
        <f>IFERROR(__xludf.DUMMYFUNCTION("""COMPUTED_VALUE"""),179.86955864555875)</f>
        <v>179.8695586</v>
      </c>
      <c r="J878" s="46" t="str">
        <f>IFERROR(__xludf.DUMMYFUNCTION("""COMPUTED_VALUE"""),"AP")</f>
        <v>AP</v>
      </c>
      <c r="K878" s="47">
        <f>IFERROR(__xludf.DUMMYFUNCTION("""COMPUTED_VALUE"""),11.675127330123418)</f>
        <v>11.67512733</v>
      </c>
      <c r="L878" s="48" t="str">
        <f>IFERROR(__xludf.DUMMYFUNCTION("""COMPUTED_VALUE"""),"%")</f>
        <v>%</v>
      </c>
      <c r="M878" s="49">
        <f>IFERROR(__xludf.DUMMYFUNCTION("""COMPUTED_VALUE"""),1.0)</f>
        <v>1</v>
      </c>
      <c r="N878" s="50" t="str">
        <f>IFERROR(__xludf.DUMMYFUNCTION("""COMPUTED_VALUE"""),"A201")</f>
        <v>A201</v>
      </c>
      <c r="O878" s="38" t="str">
        <f>IFERROR(__xludf.DUMMYFUNCTION("""COMPUTED_VALUE"""),"")</f>
        <v/>
      </c>
      <c r="P878" s="45">
        <f>IFERROR(__xludf.DUMMYFUNCTION("""COMPUTED_VALUE"""),82.5281184805942)</f>
        <v>82.52811848</v>
      </c>
      <c r="Q878" s="46" t="str">
        <f>IFERROR(__xludf.DUMMYFUNCTION("""COMPUTED_VALUE"""),"AP")</f>
        <v>AP</v>
      </c>
      <c r="R878" s="47">
        <f>IFERROR(__xludf.DUMMYFUNCTION("""COMPUTED_VALUE"""),25.44587273601539)</f>
        <v>25.44587274</v>
      </c>
      <c r="S878" s="48" t="str">
        <f>IFERROR(__xludf.DUMMYFUNCTION("""COMPUTED_VALUE"""),"%")</f>
        <v>%</v>
      </c>
      <c r="T878" s="49">
        <f>IFERROR(__xludf.DUMMYFUNCTION("""COMPUTED_VALUE"""),2.0)</f>
        <v>2</v>
      </c>
      <c r="U878" s="50" t="str">
        <f>IFERROR(__xludf.DUMMYFUNCTION("""COMPUTED_VALUE"""),"B107")</f>
        <v>B107</v>
      </c>
      <c r="V878" s="38" t="str">
        <f>IFERROR(__xludf.DUMMYFUNCTION("""COMPUTED_VALUE"""),"")</f>
        <v/>
      </c>
      <c r="W878" s="45">
        <f>IFERROR(__xludf.DUMMYFUNCTION("""COMPUTED_VALUE"""),672.0334915351689)</f>
        <v>672.0334915</v>
      </c>
      <c r="X878" s="46" t="str">
        <f>IFERROR(__xludf.DUMMYFUNCTION("""COMPUTED_VALUE"""),"AP")</f>
        <v>AP</v>
      </c>
      <c r="Y878" s="47">
        <f>IFERROR(__xludf.DUMMYFUNCTION("""COMPUTED_VALUE"""),3.1248442621555013)</f>
        <v>3.124844262</v>
      </c>
      <c r="Z878" s="48" t="str">
        <f>IFERROR(__xludf.DUMMYFUNCTION("""COMPUTED_VALUE"""),"%")</f>
        <v>%</v>
      </c>
      <c r="AA878" s="49">
        <f>IFERROR(__xludf.DUMMYFUNCTION("""COMPUTED_VALUE"""),3.0)</f>
        <v>3</v>
      </c>
      <c r="AB878" s="50" t="str">
        <f>IFERROR(__xludf.DUMMYFUNCTION("""COMPUTED_VALUE"""),"B117")</f>
        <v>B117</v>
      </c>
      <c r="AC878" s="38" t="str">
        <f>IFERROR(__xludf.DUMMYFUNCTION("""COMPUTED_VALUE"""),"")</f>
        <v/>
      </c>
      <c r="AD878" s="45">
        <f>IFERROR(__xludf.DUMMYFUNCTION("""COMPUTED_VALUE"""),86.6136258910945)</f>
        <v>86.61362589</v>
      </c>
      <c r="AE878" s="46" t="str">
        <f>IFERROR(__xludf.DUMMYFUNCTION("""COMPUTED_VALUE"""),"AP")</f>
        <v>AP</v>
      </c>
      <c r="AF878" s="47">
        <f>IFERROR(__xludf.DUMMYFUNCTION("""COMPUTED_VALUE"""),24.245607759689914)</f>
        <v>24.24560776</v>
      </c>
      <c r="AG878" s="48" t="str">
        <f>IFERROR(__xludf.DUMMYFUNCTION("""COMPUTED_VALUE"""),"%")</f>
        <v>%</v>
      </c>
      <c r="AH878" s="43">
        <f>IFERROR(__xludf.DUMMYFUNCTION("""COMPUTED_VALUE"""),21.0)</f>
        <v>21</v>
      </c>
      <c r="AI878" s="44">
        <f>IFERROR(__xludf.DUMMYFUNCTION("""COMPUTED_VALUE"""),31195.0)</f>
        <v>31195</v>
      </c>
      <c r="AJ878" s="42" t="str">
        <f>IFERROR(__xludf.DUMMYFUNCTION("""COMPUTED_VALUE"""),"Mt. Ebih")</f>
        <v>Mt. Ebih</v>
      </c>
    </row>
    <row r="879" ht="24.75" customHeight="1">
      <c r="A879" s="28">
        <f>IFERROR(__xludf.DUMMYFUNCTION("""COMPUTED_VALUE"""),3.0)</f>
        <v>3</v>
      </c>
      <c r="B879" s="28" t="str">
        <f>IFERROR(__xludf.DUMMYFUNCTION("""COMPUTED_VALUE"""),"A111")</f>
        <v>A111</v>
      </c>
      <c r="C879" s="28"/>
      <c r="D879" s="29"/>
      <c r="E879" s="67"/>
      <c r="F879" s="31"/>
      <c r="G879" s="32"/>
      <c r="H879" s="33" t="str">
        <f>IFERROR(__xludf.DUMMYFUNCTION("""COMPUTED_VALUE""")," ")</f>
        <v> </v>
      </c>
      <c r="I879" s="34"/>
      <c r="J879" s="35" t="str">
        <f>IFERROR(__xludf.DUMMYFUNCTION("""COMPUTED_VALUE"""),"AP")</f>
        <v>AP</v>
      </c>
      <c r="K879" s="34"/>
      <c r="L879" s="35" t="str">
        <f>IFERROR(__xludf.DUMMYFUNCTION("""COMPUTED_VALUE"""),"%")</f>
        <v>%</v>
      </c>
      <c r="M879" s="36">
        <f>IFERROR(__xludf.DUMMYFUNCTION("""COMPUTED_VALUE"""),1.0)</f>
        <v>1</v>
      </c>
      <c r="N879" s="37"/>
      <c r="O879" s="38"/>
      <c r="P879" s="34" t="str">
        <f>IFERROR(__xludf.DUMMYFUNCTION("""COMPUTED_VALUE"""),"")</f>
        <v/>
      </c>
      <c r="Q879" s="35" t="str">
        <f>IFERROR(__xludf.DUMMYFUNCTION("""COMPUTED_VALUE"""),"AP")</f>
        <v>AP</v>
      </c>
      <c r="R879" s="34" t="str">
        <f>IFERROR(__xludf.DUMMYFUNCTION("""COMPUTED_VALUE"""),"")</f>
        <v/>
      </c>
      <c r="S879" s="35" t="str">
        <f>IFERROR(__xludf.DUMMYFUNCTION("""COMPUTED_VALUE"""),"%")</f>
        <v>%</v>
      </c>
      <c r="T879" s="36">
        <f>IFERROR(__xludf.DUMMYFUNCTION("""COMPUTED_VALUE"""),2.0)</f>
        <v>2</v>
      </c>
      <c r="U879" s="37"/>
      <c r="V879" s="38"/>
      <c r="W879" s="34" t="str">
        <f>IFERROR(__xludf.DUMMYFUNCTION("""COMPUTED_VALUE"""),"")</f>
        <v/>
      </c>
      <c r="X879" s="35" t="str">
        <f>IFERROR(__xludf.DUMMYFUNCTION("""COMPUTED_VALUE"""),"AP")</f>
        <v>AP</v>
      </c>
      <c r="Y879" s="34" t="str">
        <f>IFERROR(__xludf.DUMMYFUNCTION("""COMPUTED_VALUE"""),"")</f>
        <v/>
      </c>
      <c r="Z879" s="35" t="str">
        <f>IFERROR(__xludf.DUMMYFUNCTION("""COMPUTED_VALUE"""),"%")</f>
        <v>%</v>
      </c>
      <c r="AA879" s="36">
        <f>IFERROR(__xludf.DUMMYFUNCTION("""COMPUTED_VALUE"""),3.0)</f>
        <v>3</v>
      </c>
      <c r="AB879" s="37"/>
      <c r="AC879" s="38"/>
      <c r="AD879" s="34" t="str">
        <f>IFERROR(__xludf.DUMMYFUNCTION("""COMPUTED_VALUE"""),"")</f>
        <v/>
      </c>
      <c r="AE879" s="35" t="str">
        <f>IFERROR(__xludf.DUMMYFUNCTION("""COMPUTED_VALUE"""),"AP")</f>
        <v>AP</v>
      </c>
      <c r="AF879" s="34" t="str">
        <f>IFERROR(__xludf.DUMMYFUNCTION("""COMPUTED_VALUE"""),"")</f>
        <v/>
      </c>
      <c r="AG879" s="35" t="str">
        <f>IFERROR(__xludf.DUMMYFUNCTION("""COMPUTED_VALUE"""),"%")</f>
        <v>%</v>
      </c>
      <c r="AH879" s="31"/>
      <c r="AI879" s="32"/>
      <c r="AJ879" s="67"/>
    </row>
    <row r="880" ht="24.75" hidden="1" customHeight="1">
      <c r="A880" s="40">
        <f>IFERROR(__xludf.DUMMYFUNCTION("""COMPUTED_VALUE"""),4.0)</f>
        <v>4</v>
      </c>
      <c r="B880" s="40" t="str">
        <f>IFERROR(__xludf.DUMMYFUNCTION("""COMPUTED_VALUE"""),"A111")</f>
        <v>A111</v>
      </c>
      <c r="C880" s="40"/>
      <c r="D880" s="41"/>
      <c r="E880" s="66"/>
      <c r="F880" s="43"/>
      <c r="G880" s="44"/>
      <c r="H880" s="33" t="str">
        <f>IFERROR(__xludf.DUMMYFUNCTION("""COMPUTED_VALUE""")," ")</f>
        <v> </v>
      </c>
      <c r="I880" s="45"/>
      <c r="J880" s="46" t="str">
        <f>IFERROR(__xludf.DUMMYFUNCTION("""COMPUTED_VALUE"""),"AP")</f>
        <v>AP</v>
      </c>
      <c r="K880" s="47"/>
      <c r="L880" s="48" t="str">
        <f>IFERROR(__xludf.DUMMYFUNCTION("""COMPUTED_VALUE"""),"%")</f>
        <v>%</v>
      </c>
      <c r="M880" s="49">
        <f>IFERROR(__xludf.DUMMYFUNCTION("""COMPUTED_VALUE"""),1.0)</f>
        <v>1</v>
      </c>
      <c r="N880" s="50"/>
      <c r="O880" s="38"/>
      <c r="P880" s="45" t="str">
        <f>IFERROR(__xludf.DUMMYFUNCTION("""COMPUTED_VALUE"""),"")</f>
        <v/>
      </c>
      <c r="Q880" s="46" t="str">
        <f>IFERROR(__xludf.DUMMYFUNCTION("""COMPUTED_VALUE"""),"AP")</f>
        <v>AP</v>
      </c>
      <c r="R880" s="47" t="str">
        <f>IFERROR(__xludf.DUMMYFUNCTION("""COMPUTED_VALUE"""),"")</f>
        <v/>
      </c>
      <c r="S880" s="48" t="str">
        <f>IFERROR(__xludf.DUMMYFUNCTION("""COMPUTED_VALUE"""),"%")</f>
        <v>%</v>
      </c>
      <c r="T880" s="49">
        <f>IFERROR(__xludf.DUMMYFUNCTION("""COMPUTED_VALUE"""),2.0)</f>
        <v>2</v>
      </c>
      <c r="U880" s="50"/>
      <c r="V880" s="38"/>
      <c r="W880" s="45" t="str">
        <f>IFERROR(__xludf.DUMMYFUNCTION("""COMPUTED_VALUE"""),"")</f>
        <v/>
      </c>
      <c r="X880" s="46" t="str">
        <f>IFERROR(__xludf.DUMMYFUNCTION("""COMPUTED_VALUE"""),"AP")</f>
        <v>AP</v>
      </c>
      <c r="Y880" s="47" t="str">
        <f>IFERROR(__xludf.DUMMYFUNCTION("""COMPUTED_VALUE"""),"")</f>
        <v/>
      </c>
      <c r="Z880" s="48" t="str">
        <f>IFERROR(__xludf.DUMMYFUNCTION("""COMPUTED_VALUE"""),"%")</f>
        <v>%</v>
      </c>
      <c r="AA880" s="49">
        <f>IFERROR(__xludf.DUMMYFUNCTION("""COMPUTED_VALUE"""),3.0)</f>
        <v>3</v>
      </c>
      <c r="AB880" s="50"/>
      <c r="AC880" s="38"/>
      <c r="AD880" s="45" t="str">
        <f>IFERROR(__xludf.DUMMYFUNCTION("""COMPUTED_VALUE"""),"")</f>
        <v/>
      </c>
      <c r="AE880" s="46" t="str">
        <f>IFERROR(__xludf.DUMMYFUNCTION("""COMPUTED_VALUE"""),"AP")</f>
        <v>AP</v>
      </c>
      <c r="AF880" s="47" t="str">
        <f>IFERROR(__xludf.DUMMYFUNCTION("""COMPUTED_VALUE"""),"")</f>
        <v/>
      </c>
      <c r="AG880" s="48" t="str">
        <f>IFERROR(__xludf.DUMMYFUNCTION("""COMPUTED_VALUE"""),"%")</f>
        <v>%</v>
      </c>
      <c r="AH880" s="43"/>
      <c r="AI880" s="44"/>
      <c r="AJ880" s="66"/>
    </row>
    <row r="881" ht="24.75" hidden="1" customHeight="1">
      <c r="A881" s="28">
        <f>IFERROR(__xludf.DUMMYFUNCTION("""COMPUTED_VALUE"""),5.0)</f>
        <v>5</v>
      </c>
      <c r="B881" s="28" t="str">
        <f>IFERROR(__xludf.DUMMYFUNCTION("""COMPUTED_VALUE"""),"A111")</f>
        <v>A111</v>
      </c>
      <c r="C881" s="28"/>
      <c r="D881" s="29"/>
      <c r="E881" s="67"/>
      <c r="F881" s="31"/>
      <c r="G881" s="32"/>
      <c r="H881" s="33" t="str">
        <f>IFERROR(__xludf.DUMMYFUNCTION("""COMPUTED_VALUE""")," ")</f>
        <v> </v>
      </c>
      <c r="I881" s="34"/>
      <c r="J881" s="35" t="str">
        <f>IFERROR(__xludf.DUMMYFUNCTION("""COMPUTED_VALUE"""),"AP")</f>
        <v>AP</v>
      </c>
      <c r="K881" s="34"/>
      <c r="L881" s="35" t="str">
        <f>IFERROR(__xludf.DUMMYFUNCTION("""COMPUTED_VALUE"""),"%")</f>
        <v>%</v>
      </c>
      <c r="M881" s="36">
        <f>IFERROR(__xludf.DUMMYFUNCTION("""COMPUTED_VALUE"""),1.0)</f>
        <v>1</v>
      </c>
      <c r="N881" s="37"/>
      <c r="O881" s="38"/>
      <c r="P881" s="34" t="str">
        <f>IFERROR(__xludf.DUMMYFUNCTION("""COMPUTED_VALUE"""),"")</f>
        <v/>
      </c>
      <c r="Q881" s="35" t="str">
        <f>IFERROR(__xludf.DUMMYFUNCTION("""COMPUTED_VALUE"""),"AP")</f>
        <v>AP</v>
      </c>
      <c r="R881" s="34" t="str">
        <f>IFERROR(__xludf.DUMMYFUNCTION("""COMPUTED_VALUE"""),"")</f>
        <v/>
      </c>
      <c r="S881" s="35" t="str">
        <f>IFERROR(__xludf.DUMMYFUNCTION("""COMPUTED_VALUE"""),"%")</f>
        <v>%</v>
      </c>
      <c r="T881" s="36">
        <f>IFERROR(__xludf.DUMMYFUNCTION("""COMPUTED_VALUE"""),2.0)</f>
        <v>2</v>
      </c>
      <c r="U881" s="37"/>
      <c r="V881" s="38"/>
      <c r="W881" s="34" t="str">
        <f>IFERROR(__xludf.DUMMYFUNCTION("""COMPUTED_VALUE"""),"")</f>
        <v/>
      </c>
      <c r="X881" s="35" t="str">
        <f>IFERROR(__xludf.DUMMYFUNCTION("""COMPUTED_VALUE"""),"AP")</f>
        <v>AP</v>
      </c>
      <c r="Y881" s="34" t="str">
        <f>IFERROR(__xludf.DUMMYFUNCTION("""COMPUTED_VALUE"""),"")</f>
        <v/>
      </c>
      <c r="Z881" s="35" t="str">
        <f>IFERROR(__xludf.DUMMYFUNCTION("""COMPUTED_VALUE"""),"%")</f>
        <v>%</v>
      </c>
      <c r="AA881" s="36">
        <f>IFERROR(__xludf.DUMMYFUNCTION("""COMPUTED_VALUE"""),3.0)</f>
        <v>3</v>
      </c>
      <c r="AB881" s="37"/>
      <c r="AC881" s="38"/>
      <c r="AD881" s="34" t="str">
        <f>IFERROR(__xludf.DUMMYFUNCTION("""COMPUTED_VALUE"""),"")</f>
        <v/>
      </c>
      <c r="AE881" s="35" t="str">
        <f>IFERROR(__xludf.DUMMYFUNCTION("""COMPUTED_VALUE"""),"AP")</f>
        <v>AP</v>
      </c>
      <c r="AF881" s="34" t="str">
        <f>IFERROR(__xludf.DUMMYFUNCTION("""COMPUTED_VALUE"""),"")</f>
        <v/>
      </c>
      <c r="AG881" s="35" t="str">
        <f>IFERROR(__xludf.DUMMYFUNCTION("""COMPUTED_VALUE"""),"%")</f>
        <v>%</v>
      </c>
      <c r="AH881" s="31"/>
      <c r="AI881" s="32"/>
      <c r="AJ881" s="67"/>
    </row>
    <row r="882" ht="24.75" hidden="1" customHeight="1">
      <c r="A882" s="40">
        <f>IFERROR(__xludf.DUMMYFUNCTION("""COMPUTED_VALUE"""),6.0)</f>
        <v>6</v>
      </c>
      <c r="B882" s="40" t="str">
        <f>IFERROR(__xludf.DUMMYFUNCTION("""COMPUTED_VALUE"""),"A111")</f>
        <v>A111</v>
      </c>
      <c r="C882" s="40"/>
      <c r="D882" s="41"/>
      <c r="E882" s="66"/>
      <c r="F882" s="43"/>
      <c r="G882" s="44"/>
      <c r="H882" s="33" t="str">
        <f>IFERROR(__xludf.DUMMYFUNCTION("""COMPUTED_VALUE""")," ")</f>
        <v> </v>
      </c>
      <c r="I882" s="45"/>
      <c r="J882" s="46" t="str">
        <f>IFERROR(__xludf.DUMMYFUNCTION("""COMPUTED_VALUE"""),"AP")</f>
        <v>AP</v>
      </c>
      <c r="K882" s="47"/>
      <c r="L882" s="48" t="str">
        <f>IFERROR(__xludf.DUMMYFUNCTION("""COMPUTED_VALUE"""),"%")</f>
        <v>%</v>
      </c>
      <c r="M882" s="49">
        <f>IFERROR(__xludf.DUMMYFUNCTION("""COMPUTED_VALUE"""),1.0)</f>
        <v>1</v>
      </c>
      <c r="N882" s="50"/>
      <c r="O882" s="38"/>
      <c r="P882" s="45" t="str">
        <f>IFERROR(__xludf.DUMMYFUNCTION("""COMPUTED_VALUE"""),"")</f>
        <v/>
      </c>
      <c r="Q882" s="46" t="str">
        <f>IFERROR(__xludf.DUMMYFUNCTION("""COMPUTED_VALUE"""),"AP")</f>
        <v>AP</v>
      </c>
      <c r="R882" s="47" t="str">
        <f>IFERROR(__xludf.DUMMYFUNCTION("""COMPUTED_VALUE"""),"")</f>
        <v/>
      </c>
      <c r="S882" s="48" t="str">
        <f>IFERROR(__xludf.DUMMYFUNCTION("""COMPUTED_VALUE"""),"%")</f>
        <v>%</v>
      </c>
      <c r="T882" s="49">
        <f>IFERROR(__xludf.DUMMYFUNCTION("""COMPUTED_VALUE"""),2.0)</f>
        <v>2</v>
      </c>
      <c r="U882" s="50"/>
      <c r="V882" s="38"/>
      <c r="W882" s="45" t="str">
        <f>IFERROR(__xludf.DUMMYFUNCTION("""COMPUTED_VALUE"""),"")</f>
        <v/>
      </c>
      <c r="X882" s="46" t="str">
        <f>IFERROR(__xludf.DUMMYFUNCTION("""COMPUTED_VALUE"""),"AP")</f>
        <v>AP</v>
      </c>
      <c r="Y882" s="47" t="str">
        <f>IFERROR(__xludf.DUMMYFUNCTION("""COMPUTED_VALUE"""),"")</f>
        <v/>
      </c>
      <c r="Z882" s="48" t="str">
        <f>IFERROR(__xludf.DUMMYFUNCTION("""COMPUTED_VALUE"""),"%")</f>
        <v>%</v>
      </c>
      <c r="AA882" s="49">
        <f>IFERROR(__xludf.DUMMYFUNCTION("""COMPUTED_VALUE"""),3.0)</f>
        <v>3</v>
      </c>
      <c r="AB882" s="50"/>
      <c r="AC882" s="38"/>
      <c r="AD882" s="45" t="str">
        <f>IFERROR(__xludf.DUMMYFUNCTION("""COMPUTED_VALUE"""),"")</f>
        <v/>
      </c>
      <c r="AE882" s="46" t="str">
        <f>IFERROR(__xludf.DUMMYFUNCTION("""COMPUTED_VALUE"""),"AP")</f>
        <v>AP</v>
      </c>
      <c r="AF882" s="47" t="str">
        <f>IFERROR(__xludf.DUMMYFUNCTION("""COMPUTED_VALUE"""),"")</f>
        <v/>
      </c>
      <c r="AG882" s="48" t="str">
        <f>IFERROR(__xludf.DUMMYFUNCTION("""COMPUTED_VALUE"""),"%")</f>
        <v>%</v>
      </c>
      <c r="AH882" s="43"/>
      <c r="AI882" s="44"/>
      <c r="AJ882" s="66"/>
    </row>
    <row r="883" ht="24.75" hidden="1" customHeight="1">
      <c r="A883" s="28">
        <f>IFERROR(__xludf.DUMMYFUNCTION("""COMPUTED_VALUE"""),7.0)</f>
        <v>7</v>
      </c>
      <c r="B883" s="28" t="str">
        <f>IFERROR(__xludf.DUMMYFUNCTION("""COMPUTED_VALUE"""),"A111")</f>
        <v>A111</v>
      </c>
      <c r="C883" s="28"/>
      <c r="D883" s="29"/>
      <c r="E883" s="67"/>
      <c r="F883" s="31"/>
      <c r="G883" s="32"/>
      <c r="H883" s="33" t="str">
        <f>IFERROR(__xludf.DUMMYFUNCTION("""COMPUTED_VALUE""")," ")</f>
        <v> </v>
      </c>
      <c r="I883" s="34"/>
      <c r="J883" s="35" t="str">
        <f>IFERROR(__xludf.DUMMYFUNCTION("""COMPUTED_VALUE"""),"AP")</f>
        <v>AP</v>
      </c>
      <c r="K883" s="34"/>
      <c r="L883" s="35" t="str">
        <f>IFERROR(__xludf.DUMMYFUNCTION("""COMPUTED_VALUE"""),"%")</f>
        <v>%</v>
      </c>
      <c r="M883" s="36">
        <f>IFERROR(__xludf.DUMMYFUNCTION("""COMPUTED_VALUE"""),1.0)</f>
        <v>1</v>
      </c>
      <c r="N883" s="37"/>
      <c r="O883" s="38"/>
      <c r="P883" s="34" t="str">
        <f>IFERROR(__xludf.DUMMYFUNCTION("""COMPUTED_VALUE"""),"")</f>
        <v/>
      </c>
      <c r="Q883" s="35" t="str">
        <f>IFERROR(__xludf.DUMMYFUNCTION("""COMPUTED_VALUE"""),"AP")</f>
        <v>AP</v>
      </c>
      <c r="R883" s="34" t="str">
        <f>IFERROR(__xludf.DUMMYFUNCTION("""COMPUTED_VALUE"""),"")</f>
        <v/>
      </c>
      <c r="S883" s="35" t="str">
        <f>IFERROR(__xludf.DUMMYFUNCTION("""COMPUTED_VALUE"""),"%")</f>
        <v>%</v>
      </c>
      <c r="T883" s="36">
        <f>IFERROR(__xludf.DUMMYFUNCTION("""COMPUTED_VALUE"""),2.0)</f>
        <v>2</v>
      </c>
      <c r="U883" s="37"/>
      <c r="V883" s="38"/>
      <c r="W883" s="34" t="str">
        <f>IFERROR(__xludf.DUMMYFUNCTION("""COMPUTED_VALUE"""),"")</f>
        <v/>
      </c>
      <c r="X883" s="35" t="str">
        <f>IFERROR(__xludf.DUMMYFUNCTION("""COMPUTED_VALUE"""),"AP")</f>
        <v>AP</v>
      </c>
      <c r="Y883" s="34" t="str">
        <f>IFERROR(__xludf.DUMMYFUNCTION("""COMPUTED_VALUE"""),"")</f>
        <v/>
      </c>
      <c r="Z883" s="35" t="str">
        <f>IFERROR(__xludf.DUMMYFUNCTION("""COMPUTED_VALUE"""),"%")</f>
        <v>%</v>
      </c>
      <c r="AA883" s="36">
        <f>IFERROR(__xludf.DUMMYFUNCTION("""COMPUTED_VALUE"""),3.0)</f>
        <v>3</v>
      </c>
      <c r="AB883" s="37"/>
      <c r="AC883" s="38"/>
      <c r="AD883" s="34" t="str">
        <f>IFERROR(__xludf.DUMMYFUNCTION("""COMPUTED_VALUE"""),"")</f>
        <v/>
      </c>
      <c r="AE883" s="35" t="str">
        <f>IFERROR(__xludf.DUMMYFUNCTION("""COMPUTED_VALUE"""),"AP")</f>
        <v>AP</v>
      </c>
      <c r="AF883" s="34" t="str">
        <f>IFERROR(__xludf.DUMMYFUNCTION("""COMPUTED_VALUE"""),"")</f>
        <v/>
      </c>
      <c r="AG883" s="35" t="str">
        <f>IFERROR(__xludf.DUMMYFUNCTION("""COMPUTED_VALUE"""),"%")</f>
        <v>%</v>
      </c>
      <c r="AH883" s="31"/>
      <c r="AI883" s="32"/>
      <c r="AJ883" s="67"/>
    </row>
    <row r="884" ht="24.75" hidden="1" customHeight="1">
      <c r="A884" s="40">
        <f>IFERROR(__xludf.DUMMYFUNCTION("""COMPUTED_VALUE"""),8.0)</f>
        <v>8</v>
      </c>
      <c r="B884" s="40" t="str">
        <f>IFERROR(__xludf.DUMMYFUNCTION("""COMPUTED_VALUE"""),"A111")</f>
        <v>A111</v>
      </c>
      <c r="C884" s="40"/>
      <c r="D884" s="41"/>
      <c r="E884" s="66"/>
      <c r="F884" s="43"/>
      <c r="G884" s="44"/>
      <c r="H884" s="33" t="str">
        <f>IFERROR(__xludf.DUMMYFUNCTION("""COMPUTED_VALUE""")," ")</f>
        <v> </v>
      </c>
      <c r="I884" s="45"/>
      <c r="J884" s="46" t="str">
        <f>IFERROR(__xludf.DUMMYFUNCTION("""COMPUTED_VALUE"""),"AP")</f>
        <v>AP</v>
      </c>
      <c r="K884" s="47"/>
      <c r="L884" s="48" t="str">
        <f>IFERROR(__xludf.DUMMYFUNCTION("""COMPUTED_VALUE"""),"%")</f>
        <v>%</v>
      </c>
      <c r="M884" s="49">
        <f>IFERROR(__xludf.DUMMYFUNCTION("""COMPUTED_VALUE"""),1.0)</f>
        <v>1</v>
      </c>
      <c r="N884" s="50"/>
      <c r="O884" s="38"/>
      <c r="P884" s="45" t="str">
        <f>IFERROR(__xludf.DUMMYFUNCTION("""COMPUTED_VALUE"""),"")</f>
        <v/>
      </c>
      <c r="Q884" s="46" t="str">
        <f>IFERROR(__xludf.DUMMYFUNCTION("""COMPUTED_VALUE"""),"AP")</f>
        <v>AP</v>
      </c>
      <c r="R884" s="47" t="str">
        <f>IFERROR(__xludf.DUMMYFUNCTION("""COMPUTED_VALUE"""),"")</f>
        <v/>
      </c>
      <c r="S884" s="48" t="str">
        <f>IFERROR(__xludf.DUMMYFUNCTION("""COMPUTED_VALUE"""),"%")</f>
        <v>%</v>
      </c>
      <c r="T884" s="49">
        <f>IFERROR(__xludf.DUMMYFUNCTION("""COMPUTED_VALUE"""),2.0)</f>
        <v>2</v>
      </c>
      <c r="U884" s="50"/>
      <c r="V884" s="38"/>
      <c r="W884" s="45" t="str">
        <f>IFERROR(__xludf.DUMMYFUNCTION("""COMPUTED_VALUE"""),"")</f>
        <v/>
      </c>
      <c r="X884" s="46" t="str">
        <f>IFERROR(__xludf.DUMMYFUNCTION("""COMPUTED_VALUE"""),"AP")</f>
        <v>AP</v>
      </c>
      <c r="Y884" s="47" t="str">
        <f>IFERROR(__xludf.DUMMYFUNCTION("""COMPUTED_VALUE"""),"")</f>
        <v/>
      </c>
      <c r="Z884" s="48" t="str">
        <f>IFERROR(__xludf.DUMMYFUNCTION("""COMPUTED_VALUE"""),"%")</f>
        <v>%</v>
      </c>
      <c r="AA884" s="49">
        <f>IFERROR(__xludf.DUMMYFUNCTION("""COMPUTED_VALUE"""),3.0)</f>
        <v>3</v>
      </c>
      <c r="AB884" s="50"/>
      <c r="AC884" s="38"/>
      <c r="AD884" s="45" t="str">
        <f>IFERROR(__xludf.DUMMYFUNCTION("""COMPUTED_VALUE"""),"")</f>
        <v/>
      </c>
      <c r="AE884" s="46" t="str">
        <f>IFERROR(__xludf.DUMMYFUNCTION("""COMPUTED_VALUE"""),"AP")</f>
        <v>AP</v>
      </c>
      <c r="AF884" s="47" t="str">
        <f>IFERROR(__xludf.DUMMYFUNCTION("""COMPUTED_VALUE"""),"")</f>
        <v/>
      </c>
      <c r="AG884" s="48" t="str">
        <f>IFERROR(__xludf.DUMMYFUNCTION("""COMPUTED_VALUE"""),"%")</f>
        <v>%</v>
      </c>
      <c r="AH884" s="43"/>
      <c r="AI884" s="44"/>
      <c r="AJ884" s="66"/>
    </row>
    <row r="885" ht="24.75" hidden="1" customHeight="1">
      <c r="A885" s="28">
        <f>IFERROR(__xludf.DUMMYFUNCTION("""COMPUTED_VALUE"""),9.0)</f>
        <v>9</v>
      </c>
      <c r="B885" s="28" t="str">
        <f>IFERROR(__xludf.DUMMYFUNCTION("""COMPUTED_VALUE"""),"A111")</f>
        <v>A111</v>
      </c>
      <c r="C885" s="28"/>
      <c r="D885" s="29"/>
      <c r="E885" s="67"/>
      <c r="F885" s="31"/>
      <c r="G885" s="32"/>
      <c r="H885" s="33" t="str">
        <f>IFERROR(__xludf.DUMMYFUNCTION("""COMPUTED_VALUE""")," ")</f>
        <v> </v>
      </c>
      <c r="I885" s="34"/>
      <c r="J885" s="35" t="str">
        <f>IFERROR(__xludf.DUMMYFUNCTION("""COMPUTED_VALUE"""),"AP")</f>
        <v>AP</v>
      </c>
      <c r="K885" s="34"/>
      <c r="L885" s="35" t="str">
        <f>IFERROR(__xludf.DUMMYFUNCTION("""COMPUTED_VALUE"""),"%")</f>
        <v>%</v>
      </c>
      <c r="M885" s="36">
        <f>IFERROR(__xludf.DUMMYFUNCTION("""COMPUTED_VALUE"""),1.0)</f>
        <v>1</v>
      </c>
      <c r="N885" s="37"/>
      <c r="O885" s="38"/>
      <c r="P885" s="34" t="str">
        <f>IFERROR(__xludf.DUMMYFUNCTION("""COMPUTED_VALUE"""),"")</f>
        <v/>
      </c>
      <c r="Q885" s="35" t="str">
        <f>IFERROR(__xludf.DUMMYFUNCTION("""COMPUTED_VALUE"""),"AP")</f>
        <v>AP</v>
      </c>
      <c r="R885" s="34" t="str">
        <f>IFERROR(__xludf.DUMMYFUNCTION("""COMPUTED_VALUE"""),"")</f>
        <v/>
      </c>
      <c r="S885" s="35" t="str">
        <f>IFERROR(__xludf.DUMMYFUNCTION("""COMPUTED_VALUE"""),"%")</f>
        <v>%</v>
      </c>
      <c r="T885" s="36">
        <f>IFERROR(__xludf.DUMMYFUNCTION("""COMPUTED_VALUE"""),2.0)</f>
        <v>2</v>
      </c>
      <c r="U885" s="37"/>
      <c r="V885" s="38"/>
      <c r="W885" s="34" t="str">
        <f>IFERROR(__xludf.DUMMYFUNCTION("""COMPUTED_VALUE"""),"")</f>
        <v/>
      </c>
      <c r="X885" s="35" t="str">
        <f>IFERROR(__xludf.DUMMYFUNCTION("""COMPUTED_VALUE"""),"AP")</f>
        <v>AP</v>
      </c>
      <c r="Y885" s="34" t="str">
        <f>IFERROR(__xludf.DUMMYFUNCTION("""COMPUTED_VALUE"""),"")</f>
        <v/>
      </c>
      <c r="Z885" s="35" t="str">
        <f>IFERROR(__xludf.DUMMYFUNCTION("""COMPUTED_VALUE"""),"%")</f>
        <v>%</v>
      </c>
      <c r="AA885" s="36">
        <f>IFERROR(__xludf.DUMMYFUNCTION("""COMPUTED_VALUE"""),3.0)</f>
        <v>3</v>
      </c>
      <c r="AB885" s="37"/>
      <c r="AC885" s="38"/>
      <c r="AD885" s="34" t="str">
        <f>IFERROR(__xludf.DUMMYFUNCTION("""COMPUTED_VALUE"""),"")</f>
        <v/>
      </c>
      <c r="AE885" s="35" t="str">
        <f>IFERROR(__xludf.DUMMYFUNCTION("""COMPUTED_VALUE"""),"AP")</f>
        <v>AP</v>
      </c>
      <c r="AF885" s="34" t="str">
        <f>IFERROR(__xludf.DUMMYFUNCTION("""COMPUTED_VALUE"""),"")</f>
        <v/>
      </c>
      <c r="AG885" s="35" t="str">
        <f>IFERROR(__xludf.DUMMYFUNCTION("""COMPUTED_VALUE"""),"%")</f>
        <v>%</v>
      </c>
      <c r="AH885" s="31"/>
      <c r="AI885" s="32"/>
      <c r="AJ885" s="67"/>
    </row>
    <row r="886" ht="24.75" hidden="1" customHeight="1">
      <c r="A886" s="40">
        <f>IFERROR(__xludf.DUMMYFUNCTION("""COMPUTED_VALUE"""),10.0)</f>
        <v>10</v>
      </c>
      <c r="B886" s="40" t="str">
        <f>IFERROR(__xludf.DUMMYFUNCTION("""COMPUTED_VALUE"""),"A111")</f>
        <v>A111</v>
      </c>
      <c r="C886" s="40"/>
      <c r="D886" s="41"/>
      <c r="E886" s="66"/>
      <c r="F886" s="43"/>
      <c r="G886" s="44"/>
      <c r="H886" s="33" t="str">
        <f>IFERROR(__xludf.DUMMYFUNCTION("""COMPUTED_VALUE""")," ")</f>
        <v> </v>
      </c>
      <c r="I886" s="45"/>
      <c r="J886" s="46" t="str">
        <f>IFERROR(__xludf.DUMMYFUNCTION("""COMPUTED_VALUE"""),"AP")</f>
        <v>AP</v>
      </c>
      <c r="K886" s="47"/>
      <c r="L886" s="48" t="str">
        <f>IFERROR(__xludf.DUMMYFUNCTION("""COMPUTED_VALUE"""),"%")</f>
        <v>%</v>
      </c>
      <c r="M886" s="49">
        <f>IFERROR(__xludf.DUMMYFUNCTION("""COMPUTED_VALUE"""),1.0)</f>
        <v>1</v>
      </c>
      <c r="N886" s="50"/>
      <c r="O886" s="38"/>
      <c r="P886" s="45" t="str">
        <f>IFERROR(__xludf.DUMMYFUNCTION("""COMPUTED_VALUE"""),"")</f>
        <v/>
      </c>
      <c r="Q886" s="46" t="str">
        <f>IFERROR(__xludf.DUMMYFUNCTION("""COMPUTED_VALUE"""),"AP")</f>
        <v>AP</v>
      </c>
      <c r="R886" s="47" t="str">
        <f>IFERROR(__xludf.DUMMYFUNCTION("""COMPUTED_VALUE"""),"")</f>
        <v/>
      </c>
      <c r="S886" s="48" t="str">
        <f>IFERROR(__xludf.DUMMYFUNCTION("""COMPUTED_VALUE"""),"%")</f>
        <v>%</v>
      </c>
      <c r="T886" s="49">
        <f>IFERROR(__xludf.DUMMYFUNCTION("""COMPUTED_VALUE"""),2.0)</f>
        <v>2</v>
      </c>
      <c r="U886" s="50"/>
      <c r="V886" s="38"/>
      <c r="W886" s="45" t="str">
        <f>IFERROR(__xludf.DUMMYFUNCTION("""COMPUTED_VALUE"""),"")</f>
        <v/>
      </c>
      <c r="X886" s="46" t="str">
        <f>IFERROR(__xludf.DUMMYFUNCTION("""COMPUTED_VALUE"""),"AP")</f>
        <v>AP</v>
      </c>
      <c r="Y886" s="47" t="str">
        <f>IFERROR(__xludf.DUMMYFUNCTION("""COMPUTED_VALUE"""),"")</f>
        <v/>
      </c>
      <c r="Z886" s="48" t="str">
        <f>IFERROR(__xludf.DUMMYFUNCTION("""COMPUTED_VALUE"""),"%")</f>
        <v>%</v>
      </c>
      <c r="AA886" s="49">
        <f>IFERROR(__xludf.DUMMYFUNCTION("""COMPUTED_VALUE"""),3.0)</f>
        <v>3</v>
      </c>
      <c r="AB886" s="50"/>
      <c r="AC886" s="38"/>
      <c r="AD886" s="45" t="str">
        <f>IFERROR(__xludf.DUMMYFUNCTION("""COMPUTED_VALUE"""),"")</f>
        <v/>
      </c>
      <c r="AE886" s="46" t="str">
        <f>IFERROR(__xludf.DUMMYFUNCTION("""COMPUTED_VALUE"""),"AP")</f>
        <v>AP</v>
      </c>
      <c r="AF886" s="47" t="str">
        <f>IFERROR(__xludf.DUMMYFUNCTION("""COMPUTED_VALUE"""),"")</f>
        <v/>
      </c>
      <c r="AG886" s="48" t="str">
        <f>IFERROR(__xludf.DUMMYFUNCTION("""COMPUTED_VALUE"""),"%")</f>
        <v>%</v>
      </c>
      <c r="AH886" s="43"/>
      <c r="AI886" s="44"/>
      <c r="AJ886" s="66"/>
    </row>
    <row r="887" ht="24.75" hidden="1" customHeight="1">
      <c r="A887" s="28">
        <f>IFERROR(__xludf.DUMMYFUNCTION("""COMPUTED_VALUE"""),11.0)</f>
        <v>11</v>
      </c>
      <c r="B887" s="28" t="str">
        <f>IFERROR(__xludf.DUMMYFUNCTION("""COMPUTED_VALUE"""),"A111")</f>
        <v>A111</v>
      </c>
      <c r="C887" s="28"/>
      <c r="D887" s="29"/>
      <c r="E887" s="67"/>
      <c r="F887" s="31"/>
      <c r="G887" s="32"/>
      <c r="H887" s="33" t="str">
        <f>IFERROR(__xludf.DUMMYFUNCTION("""COMPUTED_VALUE""")," ")</f>
        <v> </v>
      </c>
      <c r="I887" s="34"/>
      <c r="J887" s="35" t="str">
        <f>IFERROR(__xludf.DUMMYFUNCTION("""COMPUTED_VALUE"""),"AP")</f>
        <v>AP</v>
      </c>
      <c r="K887" s="34"/>
      <c r="L887" s="35" t="str">
        <f>IFERROR(__xludf.DUMMYFUNCTION("""COMPUTED_VALUE"""),"%")</f>
        <v>%</v>
      </c>
      <c r="M887" s="36">
        <f>IFERROR(__xludf.DUMMYFUNCTION("""COMPUTED_VALUE"""),1.0)</f>
        <v>1</v>
      </c>
      <c r="N887" s="37"/>
      <c r="O887" s="38"/>
      <c r="P887" s="34" t="str">
        <f>IFERROR(__xludf.DUMMYFUNCTION("""COMPUTED_VALUE"""),"")</f>
        <v/>
      </c>
      <c r="Q887" s="35" t="str">
        <f>IFERROR(__xludf.DUMMYFUNCTION("""COMPUTED_VALUE"""),"AP")</f>
        <v>AP</v>
      </c>
      <c r="R887" s="34" t="str">
        <f>IFERROR(__xludf.DUMMYFUNCTION("""COMPUTED_VALUE"""),"")</f>
        <v/>
      </c>
      <c r="S887" s="35" t="str">
        <f>IFERROR(__xludf.DUMMYFUNCTION("""COMPUTED_VALUE"""),"%")</f>
        <v>%</v>
      </c>
      <c r="T887" s="36">
        <f>IFERROR(__xludf.DUMMYFUNCTION("""COMPUTED_VALUE"""),2.0)</f>
        <v>2</v>
      </c>
      <c r="U887" s="37"/>
      <c r="V887" s="38"/>
      <c r="W887" s="34" t="str">
        <f>IFERROR(__xludf.DUMMYFUNCTION("""COMPUTED_VALUE"""),"")</f>
        <v/>
      </c>
      <c r="X887" s="35" t="str">
        <f>IFERROR(__xludf.DUMMYFUNCTION("""COMPUTED_VALUE"""),"AP")</f>
        <v>AP</v>
      </c>
      <c r="Y887" s="34" t="str">
        <f>IFERROR(__xludf.DUMMYFUNCTION("""COMPUTED_VALUE"""),"")</f>
        <v/>
      </c>
      <c r="Z887" s="35" t="str">
        <f>IFERROR(__xludf.DUMMYFUNCTION("""COMPUTED_VALUE"""),"%")</f>
        <v>%</v>
      </c>
      <c r="AA887" s="36">
        <f>IFERROR(__xludf.DUMMYFUNCTION("""COMPUTED_VALUE"""),3.0)</f>
        <v>3</v>
      </c>
      <c r="AB887" s="37"/>
      <c r="AC887" s="38"/>
      <c r="AD887" s="34" t="str">
        <f>IFERROR(__xludf.DUMMYFUNCTION("""COMPUTED_VALUE"""),"")</f>
        <v/>
      </c>
      <c r="AE887" s="35" t="str">
        <f>IFERROR(__xludf.DUMMYFUNCTION("""COMPUTED_VALUE"""),"AP")</f>
        <v>AP</v>
      </c>
      <c r="AF887" s="34" t="str">
        <f>IFERROR(__xludf.DUMMYFUNCTION("""COMPUTED_VALUE"""),"")</f>
        <v/>
      </c>
      <c r="AG887" s="35" t="str">
        <f>IFERROR(__xludf.DUMMYFUNCTION("""COMPUTED_VALUE"""),"%")</f>
        <v>%</v>
      </c>
      <c r="AH887" s="31"/>
      <c r="AI887" s="32"/>
      <c r="AJ887" s="67"/>
    </row>
    <row r="888" ht="24.75" hidden="1" customHeight="1">
      <c r="A888" s="40">
        <f>IFERROR(__xludf.DUMMYFUNCTION("""COMPUTED_VALUE"""),12.0)</f>
        <v>12</v>
      </c>
      <c r="B888" s="40" t="str">
        <f>IFERROR(__xludf.DUMMYFUNCTION("""COMPUTED_VALUE"""),"A111")</f>
        <v>A111</v>
      </c>
      <c r="C888" s="40"/>
      <c r="D888" s="41"/>
      <c r="E888" s="66"/>
      <c r="F888" s="43"/>
      <c r="G888" s="44"/>
      <c r="H888" s="33" t="str">
        <f>IFERROR(__xludf.DUMMYFUNCTION("""COMPUTED_VALUE""")," ")</f>
        <v> </v>
      </c>
      <c r="I888" s="45"/>
      <c r="J888" s="46" t="str">
        <f>IFERROR(__xludf.DUMMYFUNCTION("""COMPUTED_VALUE"""),"AP")</f>
        <v>AP</v>
      </c>
      <c r="K888" s="47"/>
      <c r="L888" s="48" t="str">
        <f>IFERROR(__xludf.DUMMYFUNCTION("""COMPUTED_VALUE"""),"%")</f>
        <v>%</v>
      </c>
      <c r="M888" s="49">
        <f>IFERROR(__xludf.DUMMYFUNCTION("""COMPUTED_VALUE"""),1.0)</f>
        <v>1</v>
      </c>
      <c r="N888" s="50"/>
      <c r="O888" s="38"/>
      <c r="P888" s="45" t="str">
        <f>IFERROR(__xludf.DUMMYFUNCTION("""COMPUTED_VALUE"""),"")</f>
        <v/>
      </c>
      <c r="Q888" s="46" t="str">
        <f>IFERROR(__xludf.DUMMYFUNCTION("""COMPUTED_VALUE"""),"AP")</f>
        <v>AP</v>
      </c>
      <c r="R888" s="47" t="str">
        <f>IFERROR(__xludf.DUMMYFUNCTION("""COMPUTED_VALUE"""),"")</f>
        <v/>
      </c>
      <c r="S888" s="48" t="str">
        <f>IFERROR(__xludf.DUMMYFUNCTION("""COMPUTED_VALUE"""),"%")</f>
        <v>%</v>
      </c>
      <c r="T888" s="49">
        <f>IFERROR(__xludf.DUMMYFUNCTION("""COMPUTED_VALUE"""),2.0)</f>
        <v>2</v>
      </c>
      <c r="U888" s="50"/>
      <c r="V888" s="38"/>
      <c r="W888" s="45" t="str">
        <f>IFERROR(__xludf.DUMMYFUNCTION("""COMPUTED_VALUE"""),"")</f>
        <v/>
      </c>
      <c r="X888" s="46" t="str">
        <f>IFERROR(__xludf.DUMMYFUNCTION("""COMPUTED_VALUE"""),"AP")</f>
        <v>AP</v>
      </c>
      <c r="Y888" s="47" t="str">
        <f>IFERROR(__xludf.DUMMYFUNCTION("""COMPUTED_VALUE"""),"")</f>
        <v/>
      </c>
      <c r="Z888" s="48" t="str">
        <f>IFERROR(__xludf.DUMMYFUNCTION("""COMPUTED_VALUE"""),"%")</f>
        <v>%</v>
      </c>
      <c r="AA888" s="49">
        <f>IFERROR(__xludf.DUMMYFUNCTION("""COMPUTED_VALUE"""),3.0)</f>
        <v>3</v>
      </c>
      <c r="AB888" s="50"/>
      <c r="AC888" s="38"/>
      <c r="AD888" s="45" t="str">
        <f>IFERROR(__xludf.DUMMYFUNCTION("""COMPUTED_VALUE"""),"")</f>
        <v/>
      </c>
      <c r="AE888" s="46" t="str">
        <f>IFERROR(__xludf.DUMMYFUNCTION("""COMPUTED_VALUE"""),"AP")</f>
        <v>AP</v>
      </c>
      <c r="AF888" s="47" t="str">
        <f>IFERROR(__xludf.DUMMYFUNCTION("""COMPUTED_VALUE"""),"")</f>
        <v/>
      </c>
      <c r="AG888" s="48" t="str">
        <f>IFERROR(__xludf.DUMMYFUNCTION("""COMPUTED_VALUE"""),"%")</f>
        <v>%</v>
      </c>
      <c r="AH888" s="43"/>
      <c r="AI888" s="44"/>
      <c r="AJ888" s="66"/>
    </row>
    <row r="889" ht="24.75" hidden="1" customHeight="1">
      <c r="A889" s="28">
        <f>IFERROR(__xludf.DUMMYFUNCTION("""COMPUTED_VALUE"""),13.0)</f>
        <v>13</v>
      </c>
      <c r="B889" s="28" t="str">
        <f>IFERROR(__xludf.DUMMYFUNCTION("""COMPUTED_VALUE"""),"A111")</f>
        <v>A111</v>
      </c>
      <c r="C889" s="28"/>
      <c r="D889" s="29"/>
      <c r="E889" s="67"/>
      <c r="F889" s="31"/>
      <c r="G889" s="32"/>
      <c r="H889" s="33" t="str">
        <f>IFERROR(__xludf.DUMMYFUNCTION("""COMPUTED_VALUE""")," ")</f>
        <v> </v>
      </c>
      <c r="I889" s="34"/>
      <c r="J889" s="35" t="str">
        <f>IFERROR(__xludf.DUMMYFUNCTION("""COMPUTED_VALUE"""),"AP")</f>
        <v>AP</v>
      </c>
      <c r="K889" s="34"/>
      <c r="L889" s="35" t="str">
        <f>IFERROR(__xludf.DUMMYFUNCTION("""COMPUTED_VALUE"""),"%")</f>
        <v>%</v>
      </c>
      <c r="M889" s="36">
        <f>IFERROR(__xludf.DUMMYFUNCTION("""COMPUTED_VALUE"""),1.0)</f>
        <v>1</v>
      </c>
      <c r="N889" s="37"/>
      <c r="O889" s="38"/>
      <c r="P889" s="34" t="str">
        <f>IFERROR(__xludf.DUMMYFUNCTION("""COMPUTED_VALUE"""),"")</f>
        <v/>
      </c>
      <c r="Q889" s="35" t="str">
        <f>IFERROR(__xludf.DUMMYFUNCTION("""COMPUTED_VALUE"""),"AP")</f>
        <v>AP</v>
      </c>
      <c r="R889" s="34" t="str">
        <f>IFERROR(__xludf.DUMMYFUNCTION("""COMPUTED_VALUE"""),"")</f>
        <v/>
      </c>
      <c r="S889" s="35" t="str">
        <f>IFERROR(__xludf.DUMMYFUNCTION("""COMPUTED_VALUE"""),"%")</f>
        <v>%</v>
      </c>
      <c r="T889" s="36">
        <f>IFERROR(__xludf.DUMMYFUNCTION("""COMPUTED_VALUE"""),2.0)</f>
        <v>2</v>
      </c>
      <c r="U889" s="37"/>
      <c r="V889" s="38"/>
      <c r="W889" s="34" t="str">
        <f>IFERROR(__xludf.DUMMYFUNCTION("""COMPUTED_VALUE"""),"")</f>
        <v/>
      </c>
      <c r="X889" s="35" t="str">
        <f>IFERROR(__xludf.DUMMYFUNCTION("""COMPUTED_VALUE"""),"AP")</f>
        <v>AP</v>
      </c>
      <c r="Y889" s="34" t="str">
        <f>IFERROR(__xludf.DUMMYFUNCTION("""COMPUTED_VALUE"""),"")</f>
        <v/>
      </c>
      <c r="Z889" s="35" t="str">
        <f>IFERROR(__xludf.DUMMYFUNCTION("""COMPUTED_VALUE"""),"%")</f>
        <v>%</v>
      </c>
      <c r="AA889" s="36">
        <f>IFERROR(__xludf.DUMMYFUNCTION("""COMPUTED_VALUE"""),3.0)</f>
        <v>3</v>
      </c>
      <c r="AB889" s="37"/>
      <c r="AC889" s="38"/>
      <c r="AD889" s="34" t="str">
        <f>IFERROR(__xludf.DUMMYFUNCTION("""COMPUTED_VALUE"""),"")</f>
        <v/>
      </c>
      <c r="AE889" s="35" t="str">
        <f>IFERROR(__xludf.DUMMYFUNCTION("""COMPUTED_VALUE"""),"AP")</f>
        <v>AP</v>
      </c>
      <c r="AF889" s="34" t="str">
        <f>IFERROR(__xludf.DUMMYFUNCTION("""COMPUTED_VALUE"""),"")</f>
        <v/>
      </c>
      <c r="AG889" s="35" t="str">
        <f>IFERROR(__xludf.DUMMYFUNCTION("""COMPUTED_VALUE"""),"%")</f>
        <v>%</v>
      </c>
      <c r="AH889" s="31"/>
      <c r="AI889" s="32"/>
      <c r="AJ889" s="67"/>
    </row>
    <row r="890" ht="24.75" hidden="1" customHeight="1">
      <c r="A890" s="40">
        <f>IFERROR(__xludf.DUMMYFUNCTION("""COMPUTED_VALUE"""),14.0)</f>
        <v>14</v>
      </c>
      <c r="B890" s="40" t="str">
        <f>IFERROR(__xludf.DUMMYFUNCTION("""COMPUTED_VALUE"""),"A111")</f>
        <v>A111</v>
      </c>
      <c r="C890" s="40"/>
      <c r="D890" s="41"/>
      <c r="E890" s="66"/>
      <c r="F890" s="43"/>
      <c r="G890" s="44"/>
      <c r="H890" s="33" t="str">
        <f>IFERROR(__xludf.DUMMYFUNCTION("""COMPUTED_VALUE""")," ")</f>
        <v> </v>
      </c>
      <c r="I890" s="45"/>
      <c r="J890" s="46" t="str">
        <f>IFERROR(__xludf.DUMMYFUNCTION("""COMPUTED_VALUE"""),"AP")</f>
        <v>AP</v>
      </c>
      <c r="K890" s="47"/>
      <c r="L890" s="48" t="str">
        <f>IFERROR(__xludf.DUMMYFUNCTION("""COMPUTED_VALUE"""),"%")</f>
        <v>%</v>
      </c>
      <c r="M890" s="49">
        <f>IFERROR(__xludf.DUMMYFUNCTION("""COMPUTED_VALUE"""),1.0)</f>
        <v>1</v>
      </c>
      <c r="N890" s="50"/>
      <c r="O890" s="38"/>
      <c r="P890" s="45" t="str">
        <f>IFERROR(__xludf.DUMMYFUNCTION("""COMPUTED_VALUE"""),"")</f>
        <v/>
      </c>
      <c r="Q890" s="46" t="str">
        <f>IFERROR(__xludf.DUMMYFUNCTION("""COMPUTED_VALUE"""),"AP")</f>
        <v>AP</v>
      </c>
      <c r="R890" s="47" t="str">
        <f>IFERROR(__xludf.DUMMYFUNCTION("""COMPUTED_VALUE"""),"")</f>
        <v/>
      </c>
      <c r="S890" s="48" t="str">
        <f>IFERROR(__xludf.DUMMYFUNCTION("""COMPUTED_VALUE"""),"%")</f>
        <v>%</v>
      </c>
      <c r="T890" s="49">
        <f>IFERROR(__xludf.DUMMYFUNCTION("""COMPUTED_VALUE"""),2.0)</f>
        <v>2</v>
      </c>
      <c r="U890" s="50"/>
      <c r="V890" s="38"/>
      <c r="W890" s="45" t="str">
        <f>IFERROR(__xludf.DUMMYFUNCTION("""COMPUTED_VALUE"""),"")</f>
        <v/>
      </c>
      <c r="X890" s="46" t="str">
        <f>IFERROR(__xludf.DUMMYFUNCTION("""COMPUTED_VALUE"""),"AP")</f>
        <v>AP</v>
      </c>
      <c r="Y890" s="47" t="str">
        <f>IFERROR(__xludf.DUMMYFUNCTION("""COMPUTED_VALUE"""),"")</f>
        <v/>
      </c>
      <c r="Z890" s="48" t="str">
        <f>IFERROR(__xludf.DUMMYFUNCTION("""COMPUTED_VALUE"""),"%")</f>
        <v>%</v>
      </c>
      <c r="AA890" s="49">
        <f>IFERROR(__xludf.DUMMYFUNCTION("""COMPUTED_VALUE"""),3.0)</f>
        <v>3</v>
      </c>
      <c r="AB890" s="50"/>
      <c r="AC890" s="38"/>
      <c r="AD890" s="45" t="str">
        <f>IFERROR(__xludf.DUMMYFUNCTION("""COMPUTED_VALUE"""),"")</f>
        <v/>
      </c>
      <c r="AE890" s="46" t="str">
        <f>IFERROR(__xludf.DUMMYFUNCTION("""COMPUTED_VALUE"""),"AP")</f>
        <v>AP</v>
      </c>
      <c r="AF890" s="47" t="str">
        <f>IFERROR(__xludf.DUMMYFUNCTION("""COMPUTED_VALUE"""),"")</f>
        <v/>
      </c>
      <c r="AG890" s="48" t="str">
        <f>IFERROR(__xludf.DUMMYFUNCTION("""COMPUTED_VALUE"""),"%")</f>
        <v>%</v>
      </c>
      <c r="AH890" s="43"/>
      <c r="AI890" s="44"/>
      <c r="AJ890" s="66"/>
    </row>
    <row r="891" ht="24.75" hidden="1" customHeight="1">
      <c r="A891" s="28">
        <f>IFERROR(__xludf.DUMMYFUNCTION("""COMPUTED_VALUE"""),15.0)</f>
        <v>15</v>
      </c>
      <c r="B891" s="28" t="str">
        <f>IFERROR(__xludf.DUMMYFUNCTION("""COMPUTED_VALUE"""),"A111")</f>
        <v>A111</v>
      </c>
      <c r="C891" s="28"/>
      <c r="D891" s="29"/>
      <c r="E891" s="67"/>
      <c r="F891" s="31"/>
      <c r="G891" s="32"/>
      <c r="H891" s="33" t="str">
        <f>IFERROR(__xludf.DUMMYFUNCTION("""COMPUTED_VALUE""")," ")</f>
        <v> </v>
      </c>
      <c r="I891" s="34"/>
      <c r="J891" s="35" t="str">
        <f>IFERROR(__xludf.DUMMYFUNCTION("""COMPUTED_VALUE"""),"AP")</f>
        <v>AP</v>
      </c>
      <c r="K891" s="34"/>
      <c r="L891" s="35" t="str">
        <f>IFERROR(__xludf.DUMMYFUNCTION("""COMPUTED_VALUE"""),"%")</f>
        <v>%</v>
      </c>
      <c r="M891" s="36">
        <f>IFERROR(__xludf.DUMMYFUNCTION("""COMPUTED_VALUE"""),1.0)</f>
        <v>1</v>
      </c>
      <c r="N891" s="37"/>
      <c r="O891" s="38"/>
      <c r="P891" s="34" t="str">
        <f>IFERROR(__xludf.DUMMYFUNCTION("""COMPUTED_VALUE"""),"")</f>
        <v/>
      </c>
      <c r="Q891" s="35" t="str">
        <f>IFERROR(__xludf.DUMMYFUNCTION("""COMPUTED_VALUE"""),"AP")</f>
        <v>AP</v>
      </c>
      <c r="R891" s="34" t="str">
        <f>IFERROR(__xludf.DUMMYFUNCTION("""COMPUTED_VALUE"""),"")</f>
        <v/>
      </c>
      <c r="S891" s="35" t="str">
        <f>IFERROR(__xludf.DUMMYFUNCTION("""COMPUTED_VALUE"""),"%")</f>
        <v>%</v>
      </c>
      <c r="T891" s="36">
        <f>IFERROR(__xludf.DUMMYFUNCTION("""COMPUTED_VALUE"""),2.0)</f>
        <v>2</v>
      </c>
      <c r="U891" s="37"/>
      <c r="V891" s="38"/>
      <c r="W891" s="34" t="str">
        <f>IFERROR(__xludf.DUMMYFUNCTION("""COMPUTED_VALUE"""),"")</f>
        <v/>
      </c>
      <c r="X891" s="35" t="str">
        <f>IFERROR(__xludf.DUMMYFUNCTION("""COMPUTED_VALUE"""),"AP")</f>
        <v>AP</v>
      </c>
      <c r="Y891" s="34" t="str">
        <f>IFERROR(__xludf.DUMMYFUNCTION("""COMPUTED_VALUE"""),"")</f>
        <v/>
      </c>
      <c r="Z891" s="35" t="str">
        <f>IFERROR(__xludf.DUMMYFUNCTION("""COMPUTED_VALUE"""),"%")</f>
        <v>%</v>
      </c>
      <c r="AA891" s="36">
        <f>IFERROR(__xludf.DUMMYFUNCTION("""COMPUTED_VALUE"""),3.0)</f>
        <v>3</v>
      </c>
      <c r="AB891" s="37"/>
      <c r="AC891" s="38"/>
      <c r="AD891" s="34" t="str">
        <f>IFERROR(__xludf.DUMMYFUNCTION("""COMPUTED_VALUE"""),"")</f>
        <v/>
      </c>
      <c r="AE891" s="35" t="str">
        <f>IFERROR(__xludf.DUMMYFUNCTION("""COMPUTED_VALUE"""),"AP")</f>
        <v>AP</v>
      </c>
      <c r="AF891" s="34" t="str">
        <f>IFERROR(__xludf.DUMMYFUNCTION("""COMPUTED_VALUE"""),"")</f>
        <v/>
      </c>
      <c r="AG891" s="35" t="str">
        <f>IFERROR(__xludf.DUMMYFUNCTION("""COMPUTED_VALUE"""),"%")</f>
        <v>%</v>
      </c>
      <c r="AH891" s="31"/>
      <c r="AI891" s="32"/>
      <c r="AJ891" s="67"/>
    </row>
    <row r="892" ht="24.75" hidden="1" customHeight="1">
      <c r="A892" s="40">
        <f>IFERROR(__xludf.DUMMYFUNCTION("""COMPUTED_VALUE"""),16.0)</f>
        <v>16</v>
      </c>
      <c r="B892" s="40" t="str">
        <f>IFERROR(__xludf.DUMMYFUNCTION("""COMPUTED_VALUE"""),"A111")</f>
        <v>A111</v>
      </c>
      <c r="C892" s="40"/>
      <c r="D892" s="41"/>
      <c r="E892" s="66"/>
      <c r="F892" s="43"/>
      <c r="G892" s="44"/>
      <c r="H892" s="33" t="str">
        <f>IFERROR(__xludf.DUMMYFUNCTION("""COMPUTED_VALUE""")," ")</f>
        <v> </v>
      </c>
      <c r="I892" s="45"/>
      <c r="J892" s="46" t="str">
        <f>IFERROR(__xludf.DUMMYFUNCTION("""COMPUTED_VALUE"""),"AP")</f>
        <v>AP</v>
      </c>
      <c r="K892" s="47"/>
      <c r="L892" s="48" t="str">
        <f>IFERROR(__xludf.DUMMYFUNCTION("""COMPUTED_VALUE"""),"%")</f>
        <v>%</v>
      </c>
      <c r="M892" s="49">
        <f>IFERROR(__xludf.DUMMYFUNCTION("""COMPUTED_VALUE"""),1.0)</f>
        <v>1</v>
      </c>
      <c r="N892" s="50"/>
      <c r="O892" s="38"/>
      <c r="P892" s="45" t="str">
        <f>IFERROR(__xludf.DUMMYFUNCTION("""COMPUTED_VALUE"""),"")</f>
        <v/>
      </c>
      <c r="Q892" s="46" t="str">
        <f>IFERROR(__xludf.DUMMYFUNCTION("""COMPUTED_VALUE"""),"AP")</f>
        <v>AP</v>
      </c>
      <c r="R892" s="47" t="str">
        <f>IFERROR(__xludf.DUMMYFUNCTION("""COMPUTED_VALUE"""),"")</f>
        <v/>
      </c>
      <c r="S892" s="48" t="str">
        <f>IFERROR(__xludf.DUMMYFUNCTION("""COMPUTED_VALUE"""),"%")</f>
        <v>%</v>
      </c>
      <c r="T892" s="49">
        <f>IFERROR(__xludf.DUMMYFUNCTION("""COMPUTED_VALUE"""),2.0)</f>
        <v>2</v>
      </c>
      <c r="U892" s="50"/>
      <c r="V892" s="38"/>
      <c r="W892" s="45" t="str">
        <f>IFERROR(__xludf.DUMMYFUNCTION("""COMPUTED_VALUE"""),"")</f>
        <v/>
      </c>
      <c r="X892" s="46" t="str">
        <f>IFERROR(__xludf.DUMMYFUNCTION("""COMPUTED_VALUE"""),"AP")</f>
        <v>AP</v>
      </c>
      <c r="Y892" s="47" t="str">
        <f>IFERROR(__xludf.DUMMYFUNCTION("""COMPUTED_VALUE"""),"")</f>
        <v/>
      </c>
      <c r="Z892" s="48" t="str">
        <f>IFERROR(__xludf.DUMMYFUNCTION("""COMPUTED_VALUE"""),"%")</f>
        <v>%</v>
      </c>
      <c r="AA892" s="49">
        <f>IFERROR(__xludf.DUMMYFUNCTION("""COMPUTED_VALUE"""),3.0)</f>
        <v>3</v>
      </c>
      <c r="AB892" s="50"/>
      <c r="AC892" s="38"/>
      <c r="AD892" s="45" t="str">
        <f>IFERROR(__xludf.DUMMYFUNCTION("""COMPUTED_VALUE"""),"")</f>
        <v/>
      </c>
      <c r="AE892" s="46" t="str">
        <f>IFERROR(__xludf.DUMMYFUNCTION("""COMPUTED_VALUE"""),"AP")</f>
        <v>AP</v>
      </c>
      <c r="AF892" s="47" t="str">
        <f>IFERROR(__xludf.DUMMYFUNCTION("""COMPUTED_VALUE"""),"")</f>
        <v/>
      </c>
      <c r="AG892" s="48" t="str">
        <f>IFERROR(__xludf.DUMMYFUNCTION("""COMPUTED_VALUE"""),"%")</f>
        <v>%</v>
      </c>
      <c r="AH892" s="43"/>
      <c r="AI892" s="44"/>
      <c r="AJ892" s="66"/>
    </row>
    <row r="893" ht="24.75" hidden="1" customHeight="1">
      <c r="A893" s="28">
        <f>IFERROR(__xludf.DUMMYFUNCTION("""COMPUTED_VALUE"""),17.0)</f>
        <v>17</v>
      </c>
      <c r="B893" s="28" t="str">
        <f>IFERROR(__xludf.DUMMYFUNCTION("""COMPUTED_VALUE"""),"A111")</f>
        <v>A111</v>
      </c>
      <c r="C893" s="28"/>
      <c r="D893" s="29"/>
      <c r="E893" s="67"/>
      <c r="F893" s="31"/>
      <c r="G893" s="32"/>
      <c r="H893" s="33" t="str">
        <f>IFERROR(__xludf.DUMMYFUNCTION("""COMPUTED_VALUE""")," ")</f>
        <v> </v>
      </c>
      <c r="I893" s="34"/>
      <c r="J893" s="35" t="str">
        <f>IFERROR(__xludf.DUMMYFUNCTION("""COMPUTED_VALUE"""),"AP")</f>
        <v>AP</v>
      </c>
      <c r="K893" s="34"/>
      <c r="L893" s="35" t="str">
        <f>IFERROR(__xludf.DUMMYFUNCTION("""COMPUTED_VALUE"""),"%")</f>
        <v>%</v>
      </c>
      <c r="M893" s="36">
        <f>IFERROR(__xludf.DUMMYFUNCTION("""COMPUTED_VALUE"""),1.0)</f>
        <v>1</v>
      </c>
      <c r="N893" s="37"/>
      <c r="O893" s="38"/>
      <c r="P893" s="34" t="str">
        <f>IFERROR(__xludf.DUMMYFUNCTION("""COMPUTED_VALUE"""),"")</f>
        <v/>
      </c>
      <c r="Q893" s="35" t="str">
        <f>IFERROR(__xludf.DUMMYFUNCTION("""COMPUTED_VALUE"""),"AP")</f>
        <v>AP</v>
      </c>
      <c r="R893" s="34" t="str">
        <f>IFERROR(__xludf.DUMMYFUNCTION("""COMPUTED_VALUE"""),"")</f>
        <v/>
      </c>
      <c r="S893" s="35" t="str">
        <f>IFERROR(__xludf.DUMMYFUNCTION("""COMPUTED_VALUE"""),"%")</f>
        <v>%</v>
      </c>
      <c r="T893" s="36">
        <f>IFERROR(__xludf.DUMMYFUNCTION("""COMPUTED_VALUE"""),2.0)</f>
        <v>2</v>
      </c>
      <c r="U893" s="37"/>
      <c r="V893" s="38"/>
      <c r="W893" s="34" t="str">
        <f>IFERROR(__xludf.DUMMYFUNCTION("""COMPUTED_VALUE"""),"")</f>
        <v/>
      </c>
      <c r="X893" s="35" t="str">
        <f>IFERROR(__xludf.DUMMYFUNCTION("""COMPUTED_VALUE"""),"AP")</f>
        <v>AP</v>
      </c>
      <c r="Y893" s="34" t="str">
        <f>IFERROR(__xludf.DUMMYFUNCTION("""COMPUTED_VALUE"""),"")</f>
        <v/>
      </c>
      <c r="Z893" s="35" t="str">
        <f>IFERROR(__xludf.DUMMYFUNCTION("""COMPUTED_VALUE"""),"%")</f>
        <v>%</v>
      </c>
      <c r="AA893" s="36">
        <f>IFERROR(__xludf.DUMMYFUNCTION("""COMPUTED_VALUE"""),3.0)</f>
        <v>3</v>
      </c>
      <c r="AB893" s="37"/>
      <c r="AC893" s="38"/>
      <c r="AD893" s="34" t="str">
        <f>IFERROR(__xludf.DUMMYFUNCTION("""COMPUTED_VALUE"""),"")</f>
        <v/>
      </c>
      <c r="AE893" s="35" t="str">
        <f>IFERROR(__xludf.DUMMYFUNCTION("""COMPUTED_VALUE"""),"AP")</f>
        <v>AP</v>
      </c>
      <c r="AF893" s="34" t="str">
        <f>IFERROR(__xludf.DUMMYFUNCTION("""COMPUTED_VALUE"""),"")</f>
        <v/>
      </c>
      <c r="AG893" s="35" t="str">
        <f>IFERROR(__xludf.DUMMYFUNCTION("""COMPUTED_VALUE"""),"%")</f>
        <v>%</v>
      </c>
      <c r="AH893" s="31"/>
      <c r="AI893" s="32"/>
      <c r="AJ893" s="67"/>
    </row>
    <row r="894" ht="24.75" hidden="1" customHeight="1">
      <c r="A894" s="40">
        <f>IFERROR(__xludf.DUMMYFUNCTION("""COMPUTED_VALUE"""),18.0)</f>
        <v>18</v>
      </c>
      <c r="B894" s="40" t="str">
        <f>IFERROR(__xludf.DUMMYFUNCTION("""COMPUTED_VALUE"""),"A111")</f>
        <v>A111</v>
      </c>
      <c r="C894" s="40"/>
      <c r="D894" s="41"/>
      <c r="E894" s="66"/>
      <c r="F894" s="43"/>
      <c r="G894" s="44"/>
      <c r="H894" s="33" t="str">
        <f>IFERROR(__xludf.DUMMYFUNCTION("""COMPUTED_VALUE""")," ")</f>
        <v> </v>
      </c>
      <c r="I894" s="45"/>
      <c r="J894" s="46" t="str">
        <f>IFERROR(__xludf.DUMMYFUNCTION("""COMPUTED_VALUE"""),"AP")</f>
        <v>AP</v>
      </c>
      <c r="K894" s="47"/>
      <c r="L894" s="48" t="str">
        <f>IFERROR(__xludf.DUMMYFUNCTION("""COMPUTED_VALUE"""),"%")</f>
        <v>%</v>
      </c>
      <c r="M894" s="49">
        <f>IFERROR(__xludf.DUMMYFUNCTION("""COMPUTED_VALUE"""),1.0)</f>
        <v>1</v>
      </c>
      <c r="N894" s="50"/>
      <c r="O894" s="38"/>
      <c r="P894" s="45" t="str">
        <f>IFERROR(__xludf.DUMMYFUNCTION("""COMPUTED_VALUE"""),"")</f>
        <v/>
      </c>
      <c r="Q894" s="46" t="str">
        <f>IFERROR(__xludf.DUMMYFUNCTION("""COMPUTED_VALUE"""),"AP")</f>
        <v>AP</v>
      </c>
      <c r="R894" s="47" t="str">
        <f>IFERROR(__xludf.DUMMYFUNCTION("""COMPUTED_VALUE"""),"")</f>
        <v/>
      </c>
      <c r="S894" s="48" t="str">
        <f>IFERROR(__xludf.DUMMYFUNCTION("""COMPUTED_VALUE"""),"%")</f>
        <v>%</v>
      </c>
      <c r="T894" s="49">
        <f>IFERROR(__xludf.DUMMYFUNCTION("""COMPUTED_VALUE"""),2.0)</f>
        <v>2</v>
      </c>
      <c r="U894" s="50"/>
      <c r="V894" s="38"/>
      <c r="W894" s="45" t="str">
        <f>IFERROR(__xludf.DUMMYFUNCTION("""COMPUTED_VALUE"""),"")</f>
        <v/>
      </c>
      <c r="X894" s="46" t="str">
        <f>IFERROR(__xludf.DUMMYFUNCTION("""COMPUTED_VALUE"""),"AP")</f>
        <v>AP</v>
      </c>
      <c r="Y894" s="47" t="str">
        <f>IFERROR(__xludf.DUMMYFUNCTION("""COMPUTED_VALUE"""),"")</f>
        <v/>
      </c>
      <c r="Z894" s="48" t="str">
        <f>IFERROR(__xludf.DUMMYFUNCTION("""COMPUTED_VALUE"""),"%")</f>
        <v>%</v>
      </c>
      <c r="AA894" s="49">
        <f>IFERROR(__xludf.DUMMYFUNCTION("""COMPUTED_VALUE"""),3.0)</f>
        <v>3</v>
      </c>
      <c r="AB894" s="50"/>
      <c r="AC894" s="38"/>
      <c r="AD894" s="45" t="str">
        <f>IFERROR(__xludf.DUMMYFUNCTION("""COMPUTED_VALUE"""),"")</f>
        <v/>
      </c>
      <c r="AE894" s="46" t="str">
        <f>IFERROR(__xludf.DUMMYFUNCTION("""COMPUTED_VALUE"""),"AP")</f>
        <v>AP</v>
      </c>
      <c r="AF894" s="47" t="str">
        <f>IFERROR(__xludf.DUMMYFUNCTION("""COMPUTED_VALUE"""),"")</f>
        <v/>
      </c>
      <c r="AG894" s="48" t="str">
        <f>IFERROR(__xludf.DUMMYFUNCTION("""COMPUTED_VALUE"""),"%")</f>
        <v>%</v>
      </c>
      <c r="AH894" s="43"/>
      <c r="AI894" s="44"/>
      <c r="AJ894" s="66"/>
    </row>
    <row r="895" ht="24.75" hidden="1" customHeight="1">
      <c r="A895" s="28">
        <f>IFERROR(__xludf.DUMMYFUNCTION("""COMPUTED_VALUE"""),19.0)</f>
        <v>19</v>
      </c>
      <c r="B895" s="28" t="str">
        <f>IFERROR(__xludf.DUMMYFUNCTION("""COMPUTED_VALUE"""),"A111")</f>
        <v>A111</v>
      </c>
      <c r="C895" s="28"/>
      <c r="D895" s="29"/>
      <c r="E895" s="67"/>
      <c r="F895" s="31"/>
      <c r="G895" s="32"/>
      <c r="H895" s="33" t="str">
        <f>IFERROR(__xludf.DUMMYFUNCTION("""COMPUTED_VALUE""")," ")</f>
        <v> </v>
      </c>
      <c r="I895" s="34"/>
      <c r="J895" s="35" t="str">
        <f>IFERROR(__xludf.DUMMYFUNCTION("""COMPUTED_VALUE"""),"AP")</f>
        <v>AP</v>
      </c>
      <c r="K895" s="34"/>
      <c r="L895" s="35" t="str">
        <f>IFERROR(__xludf.DUMMYFUNCTION("""COMPUTED_VALUE"""),"%")</f>
        <v>%</v>
      </c>
      <c r="M895" s="36">
        <f>IFERROR(__xludf.DUMMYFUNCTION("""COMPUTED_VALUE"""),1.0)</f>
        <v>1</v>
      </c>
      <c r="N895" s="37"/>
      <c r="O895" s="38"/>
      <c r="P895" s="34" t="str">
        <f>IFERROR(__xludf.DUMMYFUNCTION("""COMPUTED_VALUE"""),"")</f>
        <v/>
      </c>
      <c r="Q895" s="35" t="str">
        <f>IFERROR(__xludf.DUMMYFUNCTION("""COMPUTED_VALUE"""),"AP")</f>
        <v>AP</v>
      </c>
      <c r="R895" s="34" t="str">
        <f>IFERROR(__xludf.DUMMYFUNCTION("""COMPUTED_VALUE"""),"")</f>
        <v/>
      </c>
      <c r="S895" s="35" t="str">
        <f>IFERROR(__xludf.DUMMYFUNCTION("""COMPUTED_VALUE"""),"%")</f>
        <v>%</v>
      </c>
      <c r="T895" s="36">
        <f>IFERROR(__xludf.DUMMYFUNCTION("""COMPUTED_VALUE"""),2.0)</f>
        <v>2</v>
      </c>
      <c r="U895" s="37"/>
      <c r="V895" s="38"/>
      <c r="W895" s="34" t="str">
        <f>IFERROR(__xludf.DUMMYFUNCTION("""COMPUTED_VALUE"""),"")</f>
        <v/>
      </c>
      <c r="X895" s="35" t="str">
        <f>IFERROR(__xludf.DUMMYFUNCTION("""COMPUTED_VALUE"""),"AP")</f>
        <v>AP</v>
      </c>
      <c r="Y895" s="34" t="str">
        <f>IFERROR(__xludf.DUMMYFUNCTION("""COMPUTED_VALUE"""),"")</f>
        <v/>
      </c>
      <c r="Z895" s="35" t="str">
        <f>IFERROR(__xludf.DUMMYFUNCTION("""COMPUTED_VALUE"""),"%")</f>
        <v>%</v>
      </c>
      <c r="AA895" s="36">
        <f>IFERROR(__xludf.DUMMYFUNCTION("""COMPUTED_VALUE"""),3.0)</f>
        <v>3</v>
      </c>
      <c r="AB895" s="37"/>
      <c r="AC895" s="38"/>
      <c r="AD895" s="34" t="str">
        <f>IFERROR(__xludf.DUMMYFUNCTION("""COMPUTED_VALUE"""),"")</f>
        <v/>
      </c>
      <c r="AE895" s="35" t="str">
        <f>IFERROR(__xludf.DUMMYFUNCTION("""COMPUTED_VALUE"""),"AP")</f>
        <v>AP</v>
      </c>
      <c r="AF895" s="34" t="str">
        <f>IFERROR(__xludf.DUMMYFUNCTION("""COMPUTED_VALUE"""),"")</f>
        <v/>
      </c>
      <c r="AG895" s="35" t="str">
        <f>IFERROR(__xludf.DUMMYFUNCTION("""COMPUTED_VALUE"""),"%")</f>
        <v>%</v>
      </c>
      <c r="AH895" s="31"/>
      <c r="AI895" s="32"/>
      <c r="AJ895" s="67"/>
    </row>
    <row r="896" ht="24.75" hidden="1" customHeight="1">
      <c r="A896" s="40">
        <f>IFERROR(__xludf.DUMMYFUNCTION("""COMPUTED_VALUE"""),20.0)</f>
        <v>20</v>
      </c>
      <c r="B896" s="40" t="str">
        <f>IFERROR(__xludf.DUMMYFUNCTION("""COMPUTED_VALUE"""),"A111")</f>
        <v>A111</v>
      </c>
      <c r="C896" s="40"/>
      <c r="D896" s="41"/>
      <c r="E896" s="66"/>
      <c r="F896" s="43"/>
      <c r="G896" s="44"/>
      <c r="H896" s="33" t="str">
        <f>IFERROR(__xludf.DUMMYFUNCTION("""COMPUTED_VALUE""")," ")</f>
        <v> </v>
      </c>
      <c r="I896" s="45"/>
      <c r="J896" s="46" t="str">
        <f>IFERROR(__xludf.DUMMYFUNCTION("""COMPUTED_VALUE"""),"AP")</f>
        <v>AP</v>
      </c>
      <c r="K896" s="47"/>
      <c r="L896" s="48" t="str">
        <f>IFERROR(__xludf.DUMMYFUNCTION("""COMPUTED_VALUE"""),"%")</f>
        <v>%</v>
      </c>
      <c r="M896" s="49">
        <f>IFERROR(__xludf.DUMMYFUNCTION("""COMPUTED_VALUE"""),1.0)</f>
        <v>1</v>
      </c>
      <c r="N896" s="50"/>
      <c r="O896" s="38"/>
      <c r="P896" s="45" t="str">
        <f>IFERROR(__xludf.DUMMYFUNCTION("""COMPUTED_VALUE"""),"")</f>
        <v/>
      </c>
      <c r="Q896" s="46" t="str">
        <f>IFERROR(__xludf.DUMMYFUNCTION("""COMPUTED_VALUE"""),"AP")</f>
        <v>AP</v>
      </c>
      <c r="R896" s="47" t="str">
        <f>IFERROR(__xludf.DUMMYFUNCTION("""COMPUTED_VALUE"""),"")</f>
        <v/>
      </c>
      <c r="S896" s="48" t="str">
        <f>IFERROR(__xludf.DUMMYFUNCTION("""COMPUTED_VALUE"""),"%")</f>
        <v>%</v>
      </c>
      <c r="T896" s="49">
        <f>IFERROR(__xludf.DUMMYFUNCTION("""COMPUTED_VALUE"""),2.0)</f>
        <v>2</v>
      </c>
      <c r="U896" s="50"/>
      <c r="V896" s="38"/>
      <c r="W896" s="45" t="str">
        <f>IFERROR(__xludf.DUMMYFUNCTION("""COMPUTED_VALUE"""),"")</f>
        <v/>
      </c>
      <c r="X896" s="46" t="str">
        <f>IFERROR(__xludf.DUMMYFUNCTION("""COMPUTED_VALUE"""),"AP")</f>
        <v>AP</v>
      </c>
      <c r="Y896" s="47" t="str">
        <f>IFERROR(__xludf.DUMMYFUNCTION("""COMPUTED_VALUE"""),"")</f>
        <v/>
      </c>
      <c r="Z896" s="48" t="str">
        <f>IFERROR(__xludf.DUMMYFUNCTION("""COMPUTED_VALUE"""),"%")</f>
        <v>%</v>
      </c>
      <c r="AA896" s="49">
        <f>IFERROR(__xludf.DUMMYFUNCTION("""COMPUTED_VALUE"""),3.0)</f>
        <v>3</v>
      </c>
      <c r="AB896" s="50"/>
      <c r="AC896" s="38"/>
      <c r="AD896" s="45" t="str">
        <f>IFERROR(__xludf.DUMMYFUNCTION("""COMPUTED_VALUE"""),"")</f>
        <v/>
      </c>
      <c r="AE896" s="46" t="str">
        <f>IFERROR(__xludf.DUMMYFUNCTION("""COMPUTED_VALUE"""),"AP")</f>
        <v>AP</v>
      </c>
      <c r="AF896" s="47" t="str">
        <f>IFERROR(__xludf.DUMMYFUNCTION("""COMPUTED_VALUE"""),"")</f>
        <v/>
      </c>
      <c r="AG896" s="48" t="str">
        <f>IFERROR(__xludf.DUMMYFUNCTION("""COMPUTED_VALUE"""),"%")</f>
        <v>%</v>
      </c>
      <c r="AH896" s="43"/>
      <c r="AI896" s="44"/>
      <c r="AJ896" s="66"/>
    </row>
    <row r="897">
      <c r="A897" s="52"/>
      <c r="B897" s="53"/>
      <c r="C897" s="54"/>
      <c r="D897" s="56"/>
      <c r="E897" s="56"/>
      <c r="F897" s="53"/>
      <c r="G897" s="53"/>
      <c r="H897" s="53"/>
      <c r="I897" s="53"/>
      <c r="J897" s="57"/>
      <c r="K897" s="53"/>
      <c r="L897" s="57"/>
      <c r="M897" s="53"/>
      <c r="N897" s="53"/>
      <c r="O897" s="53"/>
      <c r="P897" s="53"/>
      <c r="Q897" s="57"/>
      <c r="R897" s="53"/>
      <c r="S897" s="57"/>
      <c r="T897" s="53"/>
      <c r="U897" s="53"/>
      <c r="V897" s="53"/>
      <c r="W897" s="53"/>
      <c r="X897" s="57"/>
      <c r="Y897" s="53"/>
      <c r="Z897" s="57"/>
      <c r="AA897" s="53"/>
      <c r="AB897" s="53"/>
      <c r="AC897" s="53"/>
      <c r="AD897" s="53"/>
      <c r="AE897" s="57"/>
      <c r="AF897" s="53"/>
      <c r="AG897" s="57"/>
      <c r="AH897" s="53"/>
      <c r="AI897" s="53"/>
      <c r="AJ897" s="56"/>
    </row>
    <row r="898">
      <c r="A898" s="59"/>
      <c r="B898" s="60"/>
      <c r="C898" s="61"/>
      <c r="D898" s="63"/>
      <c r="E898" s="63"/>
      <c r="F898" s="60"/>
      <c r="G898" s="60"/>
      <c r="H898" s="60"/>
      <c r="I898" s="60"/>
      <c r="J898" s="64"/>
      <c r="K898" s="60"/>
      <c r="L898" s="64"/>
      <c r="M898" s="60"/>
      <c r="N898" s="60"/>
      <c r="O898" s="60"/>
      <c r="P898" s="60"/>
      <c r="Q898" s="64"/>
      <c r="R898" s="60"/>
      <c r="S898" s="64"/>
      <c r="T898" s="60"/>
      <c r="U898" s="60"/>
      <c r="V898" s="60"/>
      <c r="W898" s="60"/>
      <c r="X898" s="64"/>
      <c r="Y898" s="60"/>
      <c r="Z898" s="64"/>
      <c r="AA898" s="60"/>
      <c r="AB898" s="60"/>
      <c r="AC898" s="60"/>
      <c r="AD898" s="60"/>
      <c r="AE898" s="64"/>
      <c r="AF898" s="60"/>
      <c r="AG898" s="64"/>
      <c r="AH898" s="60"/>
      <c r="AI898" s="60"/>
      <c r="AJ898" s="63"/>
    </row>
    <row r="899" ht="33.0" customHeight="1">
      <c r="A899" s="20" t="str">
        <f>IFERROR(__xludf.DUMMYFUNCTION("""COMPUTED_VALUE""")," ")</f>
        <v> </v>
      </c>
      <c r="B899" s="21" t="str">
        <f>IFERROR(__xludf.DUMMYFUNCTION("""COMPUTED_VALUE"""),"A112")</f>
        <v>A112</v>
      </c>
      <c r="C899" s="20"/>
      <c r="D899" s="257" t="str">
        <f>IFERROR(__xludf.DUMMYFUNCTION("""COMPUTED_VALUE"""),"")</f>
        <v/>
      </c>
      <c r="E899" s="23" t="str">
        <f>IFERROR(__xludf.DUMMYFUNCTION("""COMPUTED_VALUE"""),"Mysterious Divine Wine")</f>
        <v>Mysterious Divine Wine</v>
      </c>
      <c r="F899" s="24"/>
      <c r="G899" s="24"/>
      <c r="H899" s="25"/>
      <c r="I899" s="25"/>
      <c r="J899" s="26"/>
      <c r="K899" s="25"/>
      <c r="L899" s="26"/>
      <c r="M899" s="25"/>
      <c r="N899" s="25"/>
      <c r="O899" s="25"/>
      <c r="P899" s="25"/>
      <c r="Q899" s="26"/>
      <c r="R899" s="25"/>
      <c r="S899" s="26"/>
      <c r="T899" s="25"/>
      <c r="U899" s="25"/>
      <c r="V899" s="25"/>
      <c r="W899" s="25"/>
      <c r="X899" s="26"/>
      <c r="Y899" s="25"/>
      <c r="Z899" s="26"/>
      <c r="AA899" s="25"/>
      <c r="AB899" s="25"/>
      <c r="AC899" s="25"/>
      <c r="AD899" s="25"/>
      <c r="AE899" s="26"/>
      <c r="AF899" s="25"/>
      <c r="AG899" s="26"/>
      <c r="AH899" s="24"/>
      <c r="AI899" s="25"/>
      <c r="AJ899" s="23"/>
    </row>
    <row r="900" ht="24.75" customHeight="1">
      <c r="A900" s="28">
        <f>IFERROR(__xludf.DUMMYFUNCTION("""COMPUTED_VALUE"""),1.0)</f>
        <v>1</v>
      </c>
      <c r="B900" s="28" t="str">
        <f>IFERROR(__xludf.DUMMYFUNCTION("""COMPUTED_VALUE"""),"A112")</f>
        <v>A112</v>
      </c>
      <c r="C900" s="28" t="str">
        <f>IFERROR(__xludf.DUMMYFUNCTION("""COMPUTED_VALUE"""),"AGT9")</f>
        <v>AGT9</v>
      </c>
      <c r="D900" s="29" t="str">
        <f>IFERROR(__xludf.DUMMYFUNCTION("""COMPUTED_VALUE"""),"Agartha")</f>
        <v>Agartha</v>
      </c>
      <c r="E900" s="30" t="str">
        <f>IFERROR(__xludf.DUMMYFUNCTION("""COMPUTED_VALUE"""),"Palace of Dragon King")</f>
        <v>Palace of Dragon King</v>
      </c>
      <c r="F900" s="31">
        <f>IFERROR(__xludf.DUMMYFUNCTION("""COMPUTED_VALUE"""),21.0)</f>
        <v>21</v>
      </c>
      <c r="G900" s="32">
        <f>IFERROR(__xludf.DUMMYFUNCTION("""COMPUTED_VALUE"""),5216.0)</f>
        <v>5216</v>
      </c>
      <c r="H900" s="33" t="str">
        <f>IFERROR(__xludf.DUMMYFUNCTION("""COMPUTED_VALUE"""),"")</f>
        <v/>
      </c>
      <c r="I900" s="34">
        <f>IFERROR(__xludf.DUMMYFUNCTION("""COMPUTED_VALUE"""),166.68513688816327)</f>
        <v>166.6851369</v>
      </c>
      <c r="J900" s="35" t="str">
        <f>IFERROR(__xludf.DUMMYFUNCTION("""COMPUTED_VALUE"""),"AP")</f>
        <v>AP</v>
      </c>
      <c r="K900" s="34">
        <f>IFERROR(__xludf.DUMMYFUNCTION("""COMPUTED_VALUE"""),12.598603805982934)</f>
        <v>12.59860381</v>
      </c>
      <c r="L900" s="35" t="str">
        <f>IFERROR(__xludf.DUMMYFUNCTION("""COMPUTED_VALUE"""),"%")</f>
        <v>%</v>
      </c>
      <c r="M900" s="36">
        <f>IFERROR(__xludf.DUMMYFUNCTION("""COMPUTED_VALUE"""),1.0)</f>
        <v>1</v>
      </c>
      <c r="N900" s="37" t="str">
        <f>IFERROR(__xludf.DUMMYFUNCTION("""COMPUTED_VALUE"""),"A301")</f>
        <v>A301</v>
      </c>
      <c r="O900" s="38" t="str">
        <f>IFERROR(__xludf.DUMMYFUNCTION("""COMPUTED_VALUE"""),"")</f>
        <v/>
      </c>
      <c r="P900" s="34">
        <f>IFERROR(__xludf.DUMMYFUNCTION("""COMPUTED_VALUE"""),73.3818588650653)</f>
        <v>73.38185887</v>
      </c>
      <c r="Q900" s="35" t="str">
        <f>IFERROR(__xludf.DUMMYFUNCTION("""COMPUTED_VALUE"""),"AP")</f>
        <v>AP</v>
      </c>
      <c r="R900" s="34">
        <f>IFERROR(__xludf.DUMMYFUNCTION("""COMPUTED_VALUE"""),28.617427147239265)</f>
        <v>28.61742715</v>
      </c>
      <c r="S900" s="35" t="str">
        <f>IFERROR(__xludf.DUMMYFUNCTION("""COMPUTED_VALUE"""),"%")</f>
        <v>%</v>
      </c>
      <c r="T900" s="36">
        <f>IFERROR(__xludf.DUMMYFUNCTION("""COMPUTED_VALUE"""),2.0)</f>
        <v>2</v>
      </c>
      <c r="U900" s="37" t="str">
        <f>IFERROR(__xludf.DUMMYFUNCTION("""COMPUTED_VALUE"""),"B102")</f>
        <v>B102</v>
      </c>
      <c r="V900" s="38" t="str">
        <f>IFERROR(__xludf.DUMMYFUNCTION("""COMPUTED_VALUE"""),"")</f>
        <v/>
      </c>
      <c r="W900" s="34">
        <f>IFERROR(__xludf.DUMMYFUNCTION("""COMPUTED_VALUE"""),476.9325170968037)</f>
        <v>476.9325171</v>
      </c>
      <c r="X900" s="35" t="str">
        <f>IFERROR(__xludf.DUMMYFUNCTION("""COMPUTED_VALUE"""),"AP")</f>
        <v>AP</v>
      </c>
      <c r="Y900" s="34">
        <f>IFERROR(__xludf.DUMMYFUNCTION("""COMPUTED_VALUE"""),4.403138651109755)</f>
        <v>4.403138651</v>
      </c>
      <c r="Z900" s="35" t="str">
        <f>IFERROR(__xludf.DUMMYFUNCTION("""COMPUTED_VALUE"""),"%")</f>
        <v>%</v>
      </c>
      <c r="AA900" s="36">
        <f>IFERROR(__xludf.DUMMYFUNCTION("""COMPUTED_VALUE"""),3.0)</f>
        <v>3</v>
      </c>
      <c r="AB900" s="37"/>
      <c r="AC900" s="38"/>
      <c r="AD900" s="34" t="str">
        <f>IFERROR(__xludf.DUMMYFUNCTION("""COMPUTED_VALUE"""),"")</f>
        <v/>
      </c>
      <c r="AE900" s="35" t="str">
        <f>IFERROR(__xludf.DUMMYFUNCTION("""COMPUTED_VALUE"""),"AP")</f>
        <v>AP</v>
      </c>
      <c r="AF900" s="34" t="str">
        <f>IFERROR(__xludf.DUMMYFUNCTION("""COMPUTED_VALUE"""),"")</f>
        <v/>
      </c>
      <c r="AG900" s="35" t="str">
        <f>IFERROR(__xludf.DUMMYFUNCTION("""COMPUTED_VALUE"""),"%")</f>
        <v>%</v>
      </c>
      <c r="AH900" s="31">
        <f>IFERROR(__xludf.DUMMYFUNCTION("""COMPUTED_VALUE"""),21.0)</f>
        <v>21</v>
      </c>
      <c r="AI900" s="32">
        <f>IFERROR(__xludf.DUMMYFUNCTION("""COMPUTED_VALUE"""),5216.0)</f>
        <v>5216</v>
      </c>
      <c r="AJ900" s="30" t="str">
        <f>IFERROR(__xludf.DUMMYFUNCTION("""COMPUTED_VALUE"""),"Palace of Dragon King")</f>
        <v>Palace of Dragon King</v>
      </c>
    </row>
    <row r="901" ht="24.75" customHeight="1">
      <c r="A901" s="40">
        <f>IFERROR(__xludf.DUMMYFUNCTION("""COMPUTED_VALUE"""),2.0)</f>
        <v>2</v>
      </c>
      <c r="B901" s="40" t="str">
        <f>IFERROR(__xludf.DUMMYFUNCTION("""COMPUTED_VALUE"""),"A112")</f>
        <v>A112</v>
      </c>
      <c r="C901" s="40" t="str">
        <f>IFERROR(__xludf.DUMMYFUNCTION("""COMPUTED_VALUE"""),"SIN3")</f>
        <v>SIN3</v>
      </c>
      <c r="D901" s="41" t="str">
        <f>IFERROR(__xludf.DUMMYFUNCTION("""COMPUTED_VALUE"""),"SIN")</f>
        <v>SIN</v>
      </c>
      <c r="E901" s="42" t="str">
        <f>IFERROR(__xludf.DUMMYFUNCTION("""COMPUTED_VALUE"""),"Icy Cave")</f>
        <v>Icy Cave</v>
      </c>
      <c r="F901" s="43">
        <f>IFERROR(__xludf.DUMMYFUNCTION("""COMPUTED_VALUE"""),20.0)</f>
        <v>20</v>
      </c>
      <c r="G901" s="44">
        <f>IFERROR(__xludf.DUMMYFUNCTION("""COMPUTED_VALUE"""),1927.0)</f>
        <v>1927</v>
      </c>
      <c r="H901" s="33" t="str">
        <f>IFERROR(__xludf.DUMMYFUNCTION("""COMPUTED_VALUE"""),"")</f>
        <v/>
      </c>
      <c r="I901" s="45">
        <f>IFERROR(__xludf.DUMMYFUNCTION("""COMPUTED_VALUE"""),196.5604471826676)</f>
        <v>196.5604472</v>
      </c>
      <c r="J901" s="46" t="str">
        <f>IFERROR(__xludf.DUMMYFUNCTION("""COMPUTED_VALUE"""),"AP")</f>
        <v>AP</v>
      </c>
      <c r="K901" s="47">
        <f>IFERROR(__xludf.DUMMYFUNCTION("""COMPUTED_VALUE"""),10.17498702646601)</f>
        <v>10.17498703</v>
      </c>
      <c r="L901" s="48" t="str">
        <f>IFERROR(__xludf.DUMMYFUNCTION("""COMPUTED_VALUE"""),"%")</f>
        <v>%</v>
      </c>
      <c r="M901" s="49">
        <f>IFERROR(__xludf.DUMMYFUNCTION("""COMPUTED_VALUE"""),1.0)</f>
        <v>1</v>
      </c>
      <c r="N901" s="50" t="str">
        <f>IFERROR(__xludf.DUMMYFUNCTION("""COMPUTED_VALUE"""),"A201")</f>
        <v>A201</v>
      </c>
      <c r="O901" s="38" t="str">
        <f>IFERROR(__xludf.DUMMYFUNCTION("""COMPUTED_VALUE"""),"")</f>
        <v/>
      </c>
      <c r="P901" s="45">
        <f>IFERROR(__xludf.DUMMYFUNCTION("""COMPUTED_VALUE"""),60.14732505150134)</f>
        <v>60.14732505</v>
      </c>
      <c r="Q901" s="46" t="str">
        <f>IFERROR(__xludf.DUMMYFUNCTION("""COMPUTED_VALUE"""),"AP")</f>
        <v>AP</v>
      </c>
      <c r="R901" s="47">
        <f>IFERROR(__xludf.DUMMYFUNCTION("""COMPUTED_VALUE"""),33.251686559418786)</f>
        <v>33.25168656</v>
      </c>
      <c r="S901" s="48" t="str">
        <f>IFERROR(__xludf.DUMMYFUNCTION("""COMPUTED_VALUE"""),"%")</f>
        <v>%</v>
      </c>
      <c r="T901" s="49">
        <f>IFERROR(__xludf.DUMMYFUNCTION("""COMPUTED_VALUE"""),2.0)</f>
        <v>2</v>
      </c>
      <c r="U901" s="50" t="str">
        <f>IFERROR(__xludf.DUMMYFUNCTION("""COMPUTED_VALUE"""),"B106")</f>
        <v>B106</v>
      </c>
      <c r="V901" s="38" t="str">
        <f>IFERROR(__xludf.DUMMYFUNCTION("""COMPUTED_VALUE"""),"")</f>
        <v/>
      </c>
      <c r="W901" s="45">
        <f>IFERROR(__xludf.DUMMYFUNCTION("""COMPUTED_VALUE"""),553.4422286097448)</f>
        <v>553.4422286</v>
      </c>
      <c r="X901" s="46" t="str">
        <f>IFERROR(__xludf.DUMMYFUNCTION("""COMPUTED_VALUE"""),"AP")</f>
        <v>AP</v>
      </c>
      <c r="Y901" s="47">
        <f>IFERROR(__xludf.DUMMYFUNCTION("""COMPUTED_VALUE"""),3.613746650710102)</f>
        <v>3.613746651</v>
      </c>
      <c r="Z901" s="48" t="str">
        <f>IFERROR(__xludf.DUMMYFUNCTION("""COMPUTED_VALUE"""),"%")</f>
        <v>%</v>
      </c>
      <c r="AA901" s="49">
        <f>IFERROR(__xludf.DUMMYFUNCTION("""COMPUTED_VALUE"""),3.0)</f>
        <v>3</v>
      </c>
      <c r="AB901" s="50"/>
      <c r="AC901" s="38"/>
      <c r="AD901" s="45" t="str">
        <f>IFERROR(__xludf.DUMMYFUNCTION("""COMPUTED_VALUE"""),"")</f>
        <v/>
      </c>
      <c r="AE901" s="46" t="str">
        <f>IFERROR(__xludf.DUMMYFUNCTION("""COMPUTED_VALUE"""),"AP")</f>
        <v>AP</v>
      </c>
      <c r="AF901" s="47" t="str">
        <f>IFERROR(__xludf.DUMMYFUNCTION("""COMPUTED_VALUE"""),"")</f>
        <v/>
      </c>
      <c r="AG901" s="48" t="str">
        <f>IFERROR(__xludf.DUMMYFUNCTION("""COMPUTED_VALUE"""),"%")</f>
        <v>%</v>
      </c>
      <c r="AH901" s="43">
        <f>IFERROR(__xludf.DUMMYFUNCTION("""COMPUTED_VALUE"""),20.0)</f>
        <v>20</v>
      </c>
      <c r="AI901" s="44">
        <f>IFERROR(__xludf.DUMMYFUNCTION("""COMPUTED_VALUE"""),1927.0)</f>
        <v>1927</v>
      </c>
      <c r="AJ901" s="42" t="str">
        <f>IFERROR(__xludf.DUMMYFUNCTION("""COMPUTED_VALUE"""),"Icy Cave")</f>
        <v>Icy Cave</v>
      </c>
    </row>
    <row r="902" ht="24.75" customHeight="1">
      <c r="A902" s="28">
        <f>IFERROR(__xludf.DUMMYFUNCTION("""COMPUTED_VALUE"""),3.0)</f>
        <v>3</v>
      </c>
      <c r="B902" s="28" t="str">
        <f>IFERROR(__xludf.DUMMYFUNCTION("""COMPUTED_VALUE"""),"A112")</f>
        <v>A112</v>
      </c>
      <c r="C902" s="28" t="str">
        <f>IFERROR(__xludf.DUMMYFUNCTION("""COMPUTED_VALUE"""),"ANA12")</f>
        <v>ANA12</v>
      </c>
      <c r="D902" s="29" t="str">
        <f>IFERROR(__xludf.DUMMYFUNCTION("""COMPUTED_VALUE"""),"Anastasia")</f>
        <v>Anastasia</v>
      </c>
      <c r="E902" s="30" t="str">
        <f>IFERROR(__xludf.DUMMYFUNCTION("""COMPUTED_VALUE"""),"Strath Stronghold")</f>
        <v>Strath Stronghold</v>
      </c>
      <c r="F902" s="31">
        <f>IFERROR(__xludf.DUMMYFUNCTION("""COMPUTED_VALUE"""),21.0)</f>
        <v>21</v>
      </c>
      <c r="G902" s="32">
        <f>IFERROR(__xludf.DUMMYFUNCTION("""COMPUTED_VALUE"""),14226.0)</f>
        <v>14226</v>
      </c>
      <c r="H902" s="33" t="str">
        <f>IFERROR(__xludf.DUMMYFUNCTION("""COMPUTED_VALUE"""),"")</f>
        <v/>
      </c>
      <c r="I902" s="34">
        <f>IFERROR(__xludf.DUMMYFUNCTION("""COMPUTED_VALUE"""),207.96899114718974)</f>
        <v>207.9689911</v>
      </c>
      <c r="J902" s="35" t="str">
        <f>IFERROR(__xludf.DUMMYFUNCTION("""COMPUTED_VALUE"""),"AP")</f>
        <v>AP</v>
      </c>
      <c r="K902" s="34">
        <f>IFERROR(__xludf.DUMMYFUNCTION("""COMPUTED_VALUE"""),10.097659215520876)</f>
        <v>10.09765922</v>
      </c>
      <c r="L902" s="35" t="str">
        <f>IFERROR(__xludf.DUMMYFUNCTION("""COMPUTED_VALUE"""),"%")</f>
        <v>%</v>
      </c>
      <c r="M902" s="36">
        <f>IFERROR(__xludf.DUMMYFUNCTION("""COMPUTED_VALUE"""),1.0)</f>
        <v>1</v>
      </c>
      <c r="N902" s="37" t="str">
        <f>IFERROR(__xludf.DUMMYFUNCTION("""COMPUTED_VALUE"""),"A304")</f>
        <v>A304</v>
      </c>
      <c r="O902" s="38" t="str">
        <f>IFERROR(__xludf.DUMMYFUNCTION("""COMPUTED_VALUE"""),"")</f>
        <v/>
      </c>
      <c r="P902" s="34">
        <f>IFERROR(__xludf.DUMMYFUNCTION("""COMPUTED_VALUE"""),71.19891037396908)</f>
        <v>71.19891037</v>
      </c>
      <c r="Q902" s="35" t="str">
        <f>IFERROR(__xludf.DUMMYFUNCTION("""COMPUTED_VALUE"""),"AP")</f>
        <v>AP</v>
      </c>
      <c r="R902" s="34">
        <f>IFERROR(__xludf.DUMMYFUNCTION("""COMPUTED_VALUE"""),29.49483340362716)</f>
        <v>29.4948334</v>
      </c>
      <c r="S902" s="35" t="str">
        <f>IFERROR(__xludf.DUMMYFUNCTION("""COMPUTED_VALUE"""),"%")</f>
        <v>%</v>
      </c>
      <c r="T902" s="36">
        <f>IFERROR(__xludf.DUMMYFUNCTION("""COMPUTED_VALUE"""),2.0)</f>
        <v>2</v>
      </c>
      <c r="U902" s="37" t="str">
        <f>IFERROR(__xludf.DUMMYFUNCTION("""COMPUTED_VALUE"""),"A309")</f>
        <v>A309</v>
      </c>
      <c r="V902" s="38" t="str">
        <f>IFERROR(__xludf.DUMMYFUNCTION("""COMPUTED_VALUE"""),"")</f>
        <v/>
      </c>
      <c r="W902" s="34">
        <f>IFERROR(__xludf.DUMMYFUNCTION("""COMPUTED_VALUE"""),73.61893344143243)</f>
        <v>73.61893344</v>
      </c>
      <c r="X902" s="35" t="str">
        <f>IFERROR(__xludf.DUMMYFUNCTION("""COMPUTED_VALUE"""),"AP")</f>
        <v>AP</v>
      </c>
      <c r="Y902" s="34">
        <f>IFERROR(__xludf.DUMMYFUNCTION("""COMPUTED_VALUE"""),28.525270631238577)</f>
        <v>28.52527063</v>
      </c>
      <c r="Z902" s="35" t="str">
        <f>IFERROR(__xludf.DUMMYFUNCTION("""COMPUTED_VALUE"""),"%")</f>
        <v>%</v>
      </c>
      <c r="AA902" s="36">
        <f>IFERROR(__xludf.DUMMYFUNCTION("""COMPUTED_VALUE"""),3.0)</f>
        <v>3</v>
      </c>
      <c r="AB902" s="37" t="str">
        <f>IFERROR(__xludf.DUMMYFUNCTION("""COMPUTED_VALUE"""),"B106")</f>
        <v>B106</v>
      </c>
      <c r="AC902" s="38" t="str">
        <f>IFERROR(__xludf.DUMMYFUNCTION("""COMPUTED_VALUE"""),"")</f>
        <v/>
      </c>
      <c r="AD902" s="34">
        <f>IFERROR(__xludf.DUMMYFUNCTION("""COMPUTED_VALUE"""),512.4173903497864)</f>
        <v>512.4173903</v>
      </c>
      <c r="AE902" s="35" t="str">
        <f>IFERROR(__xludf.DUMMYFUNCTION("""COMPUTED_VALUE"""),"AP")</f>
        <v>AP</v>
      </c>
      <c r="AF902" s="34">
        <f>IFERROR(__xludf.DUMMYFUNCTION("""COMPUTED_VALUE"""),4.098221566146492)</f>
        <v>4.098221566</v>
      </c>
      <c r="AG902" s="35" t="str">
        <f>IFERROR(__xludf.DUMMYFUNCTION("""COMPUTED_VALUE"""),"%")</f>
        <v>%</v>
      </c>
      <c r="AH902" s="31">
        <f>IFERROR(__xludf.DUMMYFUNCTION("""COMPUTED_VALUE"""),21.0)</f>
        <v>21</v>
      </c>
      <c r="AI902" s="32">
        <f>IFERROR(__xludf.DUMMYFUNCTION("""COMPUTED_VALUE"""),14226.0)</f>
        <v>14226</v>
      </c>
      <c r="AJ902" s="30" t="str">
        <f>IFERROR(__xludf.DUMMYFUNCTION("""COMPUTED_VALUE"""),"Strath Stronghold")</f>
        <v>Strath Stronghold</v>
      </c>
    </row>
    <row r="903" ht="24.75" customHeight="1">
      <c r="A903" s="40">
        <f>IFERROR(__xludf.DUMMYFUNCTION("""COMPUTED_VALUE"""),4.0)</f>
        <v>4</v>
      </c>
      <c r="B903" s="40" t="str">
        <f>IFERROR(__xludf.DUMMYFUNCTION("""COMPUTED_VALUE"""),"A112")</f>
        <v>A112</v>
      </c>
      <c r="C903" s="40" t="str">
        <f>IFERROR(__xludf.DUMMYFUNCTION("""COMPUTED_VALUE"""),"SMS6")</f>
        <v>SMS6</v>
      </c>
      <c r="D903" s="41" t="str">
        <f>IFERROR(__xludf.DUMMYFUNCTION("""COMPUTED_VALUE"""),"Shimosa")</f>
        <v>Shimosa</v>
      </c>
      <c r="E903" s="42" t="str">
        <f>IFERROR(__xludf.DUMMYFUNCTION("""COMPUTED_VALUE"""),"Toke Castle")</f>
        <v>Toke Castle</v>
      </c>
      <c r="F903" s="43">
        <f>IFERROR(__xludf.DUMMYFUNCTION("""COMPUTED_VALUE"""),21.0)</f>
        <v>21</v>
      </c>
      <c r="G903" s="44">
        <f>IFERROR(__xludf.DUMMYFUNCTION("""COMPUTED_VALUE"""),2773.0)</f>
        <v>2773</v>
      </c>
      <c r="H903" s="33" t="str">
        <f>IFERROR(__xludf.DUMMYFUNCTION("""COMPUTED_VALUE"""),"")</f>
        <v/>
      </c>
      <c r="I903" s="45">
        <f>IFERROR(__xludf.DUMMYFUNCTION("""COMPUTED_VALUE"""),221.29624351593228)</f>
        <v>221.2962435</v>
      </c>
      <c r="J903" s="46" t="str">
        <f>IFERROR(__xludf.DUMMYFUNCTION("""COMPUTED_VALUE"""),"AP")</f>
        <v>AP</v>
      </c>
      <c r="K903" s="47">
        <f>IFERROR(__xludf.DUMMYFUNCTION("""COMPUTED_VALUE"""),9.489542012261088)</f>
        <v>9.489542012</v>
      </c>
      <c r="L903" s="48" t="str">
        <f>IFERROR(__xludf.DUMMYFUNCTION("""COMPUTED_VALUE"""),"%")</f>
        <v>%</v>
      </c>
      <c r="M903" s="49">
        <f>IFERROR(__xludf.DUMMYFUNCTION("""COMPUTED_VALUE"""),1.0)</f>
        <v>1</v>
      </c>
      <c r="N903" s="50" t="str">
        <f>IFERROR(__xludf.DUMMYFUNCTION("""COMPUTED_VALUE"""),"A212")</f>
        <v>A212</v>
      </c>
      <c r="O903" s="38" t="str">
        <f>IFERROR(__xludf.DUMMYFUNCTION("""COMPUTED_VALUE"""),"")</f>
        <v/>
      </c>
      <c r="P903" s="45">
        <f>IFERROR(__xludf.DUMMYFUNCTION("""COMPUTED_VALUE"""),78.75358551755195)</f>
        <v>78.75358552</v>
      </c>
      <c r="Q903" s="46" t="str">
        <f>IFERROR(__xludf.DUMMYFUNCTION("""COMPUTED_VALUE"""),"AP")</f>
        <v>AP</v>
      </c>
      <c r="R903" s="47">
        <f>IFERROR(__xludf.DUMMYFUNCTION("""COMPUTED_VALUE"""),26.66545257843491)</f>
        <v>26.66545258</v>
      </c>
      <c r="S903" s="48" t="str">
        <f>IFERROR(__xludf.DUMMYFUNCTION("""COMPUTED_VALUE"""),"%")</f>
        <v>%</v>
      </c>
      <c r="T903" s="49">
        <f>IFERROR(__xludf.DUMMYFUNCTION("""COMPUTED_VALUE"""),2.0)</f>
        <v>2</v>
      </c>
      <c r="U903" s="50" t="str">
        <f>IFERROR(__xludf.DUMMYFUNCTION("""COMPUTED_VALUE"""),"A304")</f>
        <v>A304</v>
      </c>
      <c r="V903" s="38" t="str">
        <f>IFERROR(__xludf.DUMMYFUNCTION("""COMPUTED_VALUE"""),"")</f>
        <v/>
      </c>
      <c r="W903" s="45">
        <f>IFERROR(__xludf.DUMMYFUNCTION("""COMPUTED_VALUE"""),72.17782867851845)</f>
        <v>72.17782868</v>
      </c>
      <c r="X903" s="46" t="str">
        <f>IFERROR(__xludf.DUMMYFUNCTION("""COMPUTED_VALUE"""),"AP")</f>
        <v>AP</v>
      </c>
      <c r="Y903" s="47">
        <f>IFERROR(__xludf.DUMMYFUNCTION("""COMPUTED_VALUE"""),29.094807068157227)</f>
        <v>29.09480707</v>
      </c>
      <c r="Z903" s="48" t="str">
        <f>IFERROR(__xludf.DUMMYFUNCTION("""COMPUTED_VALUE"""),"%")</f>
        <v>%</v>
      </c>
      <c r="AA903" s="49">
        <f>IFERROR(__xludf.DUMMYFUNCTION("""COMPUTED_VALUE"""),3.0)</f>
        <v>3</v>
      </c>
      <c r="AB903" s="50" t="str">
        <f>IFERROR(__xludf.DUMMYFUNCTION("""COMPUTED_VALUE"""),"B103")</f>
        <v>B103</v>
      </c>
      <c r="AC903" s="38" t="str">
        <f>IFERROR(__xludf.DUMMYFUNCTION("""COMPUTED_VALUE"""),"")</f>
        <v/>
      </c>
      <c r="AD903" s="45">
        <f>IFERROR(__xludf.DUMMYFUNCTION("""COMPUTED_VALUE"""),512.4340021119324)</f>
        <v>512.4340021</v>
      </c>
      <c r="AE903" s="46" t="str">
        <f>IFERROR(__xludf.DUMMYFUNCTION("""COMPUTED_VALUE"""),"AP")</f>
        <v>AP</v>
      </c>
      <c r="AF903" s="47">
        <f>IFERROR(__xludf.DUMMYFUNCTION("""COMPUTED_VALUE"""),4.098088712585647)</f>
        <v>4.098088713</v>
      </c>
      <c r="AG903" s="48" t="str">
        <f>IFERROR(__xludf.DUMMYFUNCTION("""COMPUTED_VALUE"""),"%")</f>
        <v>%</v>
      </c>
      <c r="AH903" s="43">
        <f>IFERROR(__xludf.DUMMYFUNCTION("""COMPUTED_VALUE"""),21.0)</f>
        <v>21</v>
      </c>
      <c r="AI903" s="44">
        <f>IFERROR(__xludf.DUMMYFUNCTION("""COMPUTED_VALUE"""),2773.0)</f>
        <v>2773</v>
      </c>
      <c r="AJ903" s="42" t="str">
        <f>IFERROR(__xludf.DUMMYFUNCTION("""COMPUTED_VALUE"""),"Toke Castle")</f>
        <v>Toke Castle</v>
      </c>
    </row>
    <row r="904" ht="24.75" customHeight="1">
      <c r="A904" s="28">
        <f>IFERROR(__xludf.DUMMYFUNCTION("""COMPUTED_VALUE"""),5.0)</f>
        <v>5</v>
      </c>
      <c r="B904" s="28" t="str">
        <f>IFERROR(__xludf.DUMMYFUNCTION("""COMPUTED_VALUE"""),"A112")</f>
        <v>A112</v>
      </c>
      <c r="C904" s="28"/>
      <c r="D904" s="29"/>
      <c r="E904" s="67"/>
      <c r="F904" s="31"/>
      <c r="G904" s="32"/>
      <c r="H904" s="33" t="str">
        <f>IFERROR(__xludf.DUMMYFUNCTION("""COMPUTED_VALUE""")," ")</f>
        <v> </v>
      </c>
      <c r="I904" s="34"/>
      <c r="J904" s="35" t="str">
        <f>IFERROR(__xludf.DUMMYFUNCTION("""COMPUTED_VALUE"""),"AP")</f>
        <v>AP</v>
      </c>
      <c r="K904" s="34"/>
      <c r="L904" s="35" t="str">
        <f>IFERROR(__xludf.DUMMYFUNCTION("""COMPUTED_VALUE"""),"%")</f>
        <v>%</v>
      </c>
      <c r="M904" s="36">
        <f>IFERROR(__xludf.DUMMYFUNCTION("""COMPUTED_VALUE"""),1.0)</f>
        <v>1</v>
      </c>
      <c r="N904" s="37"/>
      <c r="O904" s="38"/>
      <c r="P904" s="34" t="str">
        <f>IFERROR(__xludf.DUMMYFUNCTION("""COMPUTED_VALUE"""),"")</f>
        <v/>
      </c>
      <c r="Q904" s="35" t="str">
        <f>IFERROR(__xludf.DUMMYFUNCTION("""COMPUTED_VALUE"""),"AP")</f>
        <v>AP</v>
      </c>
      <c r="R904" s="34" t="str">
        <f>IFERROR(__xludf.DUMMYFUNCTION("""COMPUTED_VALUE"""),"")</f>
        <v/>
      </c>
      <c r="S904" s="35" t="str">
        <f>IFERROR(__xludf.DUMMYFUNCTION("""COMPUTED_VALUE"""),"%")</f>
        <v>%</v>
      </c>
      <c r="T904" s="36">
        <f>IFERROR(__xludf.DUMMYFUNCTION("""COMPUTED_VALUE"""),2.0)</f>
        <v>2</v>
      </c>
      <c r="U904" s="37"/>
      <c r="V904" s="38"/>
      <c r="W904" s="34" t="str">
        <f>IFERROR(__xludf.DUMMYFUNCTION("""COMPUTED_VALUE"""),"")</f>
        <v/>
      </c>
      <c r="X904" s="35" t="str">
        <f>IFERROR(__xludf.DUMMYFUNCTION("""COMPUTED_VALUE"""),"AP")</f>
        <v>AP</v>
      </c>
      <c r="Y904" s="34" t="str">
        <f>IFERROR(__xludf.DUMMYFUNCTION("""COMPUTED_VALUE"""),"")</f>
        <v/>
      </c>
      <c r="Z904" s="35" t="str">
        <f>IFERROR(__xludf.DUMMYFUNCTION("""COMPUTED_VALUE"""),"%")</f>
        <v>%</v>
      </c>
      <c r="AA904" s="36">
        <f>IFERROR(__xludf.DUMMYFUNCTION("""COMPUTED_VALUE"""),3.0)</f>
        <v>3</v>
      </c>
      <c r="AB904" s="37"/>
      <c r="AC904" s="38"/>
      <c r="AD904" s="34" t="str">
        <f>IFERROR(__xludf.DUMMYFUNCTION("""COMPUTED_VALUE"""),"")</f>
        <v/>
      </c>
      <c r="AE904" s="35" t="str">
        <f>IFERROR(__xludf.DUMMYFUNCTION("""COMPUTED_VALUE"""),"AP")</f>
        <v>AP</v>
      </c>
      <c r="AF904" s="34" t="str">
        <f>IFERROR(__xludf.DUMMYFUNCTION("""COMPUTED_VALUE"""),"")</f>
        <v/>
      </c>
      <c r="AG904" s="35" t="str">
        <f>IFERROR(__xludf.DUMMYFUNCTION("""COMPUTED_VALUE"""),"%")</f>
        <v>%</v>
      </c>
      <c r="AH904" s="31"/>
      <c r="AI904" s="32"/>
      <c r="AJ904" s="67"/>
    </row>
    <row r="905" ht="24.75" hidden="1" customHeight="1">
      <c r="A905" s="40">
        <f>IFERROR(__xludf.DUMMYFUNCTION("""COMPUTED_VALUE"""),6.0)</f>
        <v>6</v>
      </c>
      <c r="B905" s="40" t="str">
        <f>IFERROR(__xludf.DUMMYFUNCTION("""COMPUTED_VALUE"""),"A112")</f>
        <v>A112</v>
      </c>
      <c r="C905" s="40"/>
      <c r="D905" s="41"/>
      <c r="E905" s="66"/>
      <c r="F905" s="43"/>
      <c r="G905" s="44"/>
      <c r="H905" s="33" t="str">
        <f>IFERROR(__xludf.DUMMYFUNCTION("""COMPUTED_VALUE""")," ")</f>
        <v> </v>
      </c>
      <c r="I905" s="45"/>
      <c r="J905" s="46" t="str">
        <f>IFERROR(__xludf.DUMMYFUNCTION("""COMPUTED_VALUE"""),"AP")</f>
        <v>AP</v>
      </c>
      <c r="K905" s="47"/>
      <c r="L905" s="48" t="str">
        <f>IFERROR(__xludf.DUMMYFUNCTION("""COMPUTED_VALUE"""),"%")</f>
        <v>%</v>
      </c>
      <c r="M905" s="49">
        <f>IFERROR(__xludf.DUMMYFUNCTION("""COMPUTED_VALUE"""),1.0)</f>
        <v>1</v>
      </c>
      <c r="N905" s="50"/>
      <c r="O905" s="38"/>
      <c r="P905" s="45" t="str">
        <f>IFERROR(__xludf.DUMMYFUNCTION("""COMPUTED_VALUE"""),"")</f>
        <v/>
      </c>
      <c r="Q905" s="46" t="str">
        <f>IFERROR(__xludf.DUMMYFUNCTION("""COMPUTED_VALUE"""),"AP")</f>
        <v>AP</v>
      </c>
      <c r="R905" s="47" t="str">
        <f>IFERROR(__xludf.DUMMYFUNCTION("""COMPUTED_VALUE"""),"")</f>
        <v/>
      </c>
      <c r="S905" s="48" t="str">
        <f>IFERROR(__xludf.DUMMYFUNCTION("""COMPUTED_VALUE"""),"%")</f>
        <v>%</v>
      </c>
      <c r="T905" s="49">
        <f>IFERROR(__xludf.DUMMYFUNCTION("""COMPUTED_VALUE"""),2.0)</f>
        <v>2</v>
      </c>
      <c r="U905" s="50"/>
      <c r="V905" s="38"/>
      <c r="W905" s="45" t="str">
        <f>IFERROR(__xludf.DUMMYFUNCTION("""COMPUTED_VALUE"""),"")</f>
        <v/>
      </c>
      <c r="X905" s="46" t="str">
        <f>IFERROR(__xludf.DUMMYFUNCTION("""COMPUTED_VALUE"""),"AP")</f>
        <v>AP</v>
      </c>
      <c r="Y905" s="47" t="str">
        <f>IFERROR(__xludf.DUMMYFUNCTION("""COMPUTED_VALUE"""),"")</f>
        <v/>
      </c>
      <c r="Z905" s="48" t="str">
        <f>IFERROR(__xludf.DUMMYFUNCTION("""COMPUTED_VALUE"""),"%")</f>
        <v>%</v>
      </c>
      <c r="AA905" s="49">
        <f>IFERROR(__xludf.DUMMYFUNCTION("""COMPUTED_VALUE"""),3.0)</f>
        <v>3</v>
      </c>
      <c r="AB905" s="50"/>
      <c r="AC905" s="38"/>
      <c r="AD905" s="45" t="str">
        <f>IFERROR(__xludf.DUMMYFUNCTION("""COMPUTED_VALUE"""),"")</f>
        <v/>
      </c>
      <c r="AE905" s="46" t="str">
        <f>IFERROR(__xludf.DUMMYFUNCTION("""COMPUTED_VALUE"""),"AP")</f>
        <v>AP</v>
      </c>
      <c r="AF905" s="47" t="str">
        <f>IFERROR(__xludf.DUMMYFUNCTION("""COMPUTED_VALUE"""),"")</f>
        <v/>
      </c>
      <c r="AG905" s="48" t="str">
        <f>IFERROR(__xludf.DUMMYFUNCTION("""COMPUTED_VALUE"""),"%")</f>
        <v>%</v>
      </c>
      <c r="AH905" s="43"/>
      <c r="AI905" s="44"/>
      <c r="AJ905" s="66"/>
    </row>
    <row r="906" ht="24.75" hidden="1" customHeight="1">
      <c r="A906" s="28">
        <f>IFERROR(__xludf.DUMMYFUNCTION("""COMPUTED_VALUE"""),7.0)</f>
        <v>7</v>
      </c>
      <c r="B906" s="28" t="str">
        <f>IFERROR(__xludf.DUMMYFUNCTION("""COMPUTED_VALUE"""),"A112")</f>
        <v>A112</v>
      </c>
      <c r="C906" s="28"/>
      <c r="D906" s="29"/>
      <c r="E906" s="67"/>
      <c r="F906" s="31"/>
      <c r="G906" s="32"/>
      <c r="H906" s="33" t="str">
        <f>IFERROR(__xludf.DUMMYFUNCTION("""COMPUTED_VALUE""")," ")</f>
        <v> </v>
      </c>
      <c r="I906" s="34"/>
      <c r="J906" s="35" t="str">
        <f>IFERROR(__xludf.DUMMYFUNCTION("""COMPUTED_VALUE"""),"AP")</f>
        <v>AP</v>
      </c>
      <c r="K906" s="34"/>
      <c r="L906" s="35" t="str">
        <f>IFERROR(__xludf.DUMMYFUNCTION("""COMPUTED_VALUE"""),"%")</f>
        <v>%</v>
      </c>
      <c r="M906" s="36">
        <f>IFERROR(__xludf.DUMMYFUNCTION("""COMPUTED_VALUE"""),1.0)</f>
        <v>1</v>
      </c>
      <c r="N906" s="37"/>
      <c r="O906" s="38"/>
      <c r="P906" s="34" t="str">
        <f>IFERROR(__xludf.DUMMYFUNCTION("""COMPUTED_VALUE"""),"")</f>
        <v/>
      </c>
      <c r="Q906" s="35" t="str">
        <f>IFERROR(__xludf.DUMMYFUNCTION("""COMPUTED_VALUE"""),"AP")</f>
        <v>AP</v>
      </c>
      <c r="R906" s="34" t="str">
        <f>IFERROR(__xludf.DUMMYFUNCTION("""COMPUTED_VALUE"""),"")</f>
        <v/>
      </c>
      <c r="S906" s="35" t="str">
        <f>IFERROR(__xludf.DUMMYFUNCTION("""COMPUTED_VALUE"""),"%")</f>
        <v>%</v>
      </c>
      <c r="T906" s="36">
        <f>IFERROR(__xludf.DUMMYFUNCTION("""COMPUTED_VALUE"""),2.0)</f>
        <v>2</v>
      </c>
      <c r="U906" s="37"/>
      <c r="V906" s="38"/>
      <c r="W906" s="34" t="str">
        <f>IFERROR(__xludf.DUMMYFUNCTION("""COMPUTED_VALUE"""),"")</f>
        <v/>
      </c>
      <c r="X906" s="35" t="str">
        <f>IFERROR(__xludf.DUMMYFUNCTION("""COMPUTED_VALUE"""),"AP")</f>
        <v>AP</v>
      </c>
      <c r="Y906" s="34" t="str">
        <f>IFERROR(__xludf.DUMMYFUNCTION("""COMPUTED_VALUE"""),"")</f>
        <v/>
      </c>
      <c r="Z906" s="35" t="str">
        <f>IFERROR(__xludf.DUMMYFUNCTION("""COMPUTED_VALUE"""),"%")</f>
        <v>%</v>
      </c>
      <c r="AA906" s="36">
        <f>IFERROR(__xludf.DUMMYFUNCTION("""COMPUTED_VALUE"""),3.0)</f>
        <v>3</v>
      </c>
      <c r="AB906" s="37"/>
      <c r="AC906" s="38"/>
      <c r="AD906" s="34" t="str">
        <f>IFERROR(__xludf.DUMMYFUNCTION("""COMPUTED_VALUE"""),"")</f>
        <v/>
      </c>
      <c r="AE906" s="35" t="str">
        <f>IFERROR(__xludf.DUMMYFUNCTION("""COMPUTED_VALUE"""),"AP")</f>
        <v>AP</v>
      </c>
      <c r="AF906" s="34" t="str">
        <f>IFERROR(__xludf.DUMMYFUNCTION("""COMPUTED_VALUE"""),"")</f>
        <v/>
      </c>
      <c r="AG906" s="35" t="str">
        <f>IFERROR(__xludf.DUMMYFUNCTION("""COMPUTED_VALUE"""),"%")</f>
        <v>%</v>
      </c>
      <c r="AH906" s="31"/>
      <c r="AI906" s="32"/>
      <c r="AJ906" s="67"/>
    </row>
    <row r="907" ht="24.75" hidden="1" customHeight="1">
      <c r="A907" s="40">
        <f>IFERROR(__xludf.DUMMYFUNCTION("""COMPUTED_VALUE"""),8.0)</f>
        <v>8</v>
      </c>
      <c r="B907" s="40" t="str">
        <f>IFERROR(__xludf.DUMMYFUNCTION("""COMPUTED_VALUE"""),"A112")</f>
        <v>A112</v>
      </c>
      <c r="C907" s="40"/>
      <c r="D907" s="41"/>
      <c r="E907" s="66"/>
      <c r="F907" s="43"/>
      <c r="G907" s="44"/>
      <c r="H907" s="33" t="str">
        <f>IFERROR(__xludf.DUMMYFUNCTION("""COMPUTED_VALUE""")," ")</f>
        <v> </v>
      </c>
      <c r="I907" s="45"/>
      <c r="J907" s="46" t="str">
        <f>IFERROR(__xludf.DUMMYFUNCTION("""COMPUTED_VALUE"""),"AP")</f>
        <v>AP</v>
      </c>
      <c r="K907" s="47"/>
      <c r="L907" s="48" t="str">
        <f>IFERROR(__xludf.DUMMYFUNCTION("""COMPUTED_VALUE"""),"%")</f>
        <v>%</v>
      </c>
      <c r="M907" s="49">
        <f>IFERROR(__xludf.DUMMYFUNCTION("""COMPUTED_VALUE"""),1.0)</f>
        <v>1</v>
      </c>
      <c r="N907" s="50"/>
      <c r="O907" s="38"/>
      <c r="P907" s="45" t="str">
        <f>IFERROR(__xludf.DUMMYFUNCTION("""COMPUTED_VALUE"""),"")</f>
        <v/>
      </c>
      <c r="Q907" s="46" t="str">
        <f>IFERROR(__xludf.DUMMYFUNCTION("""COMPUTED_VALUE"""),"AP")</f>
        <v>AP</v>
      </c>
      <c r="R907" s="47" t="str">
        <f>IFERROR(__xludf.DUMMYFUNCTION("""COMPUTED_VALUE"""),"")</f>
        <v/>
      </c>
      <c r="S907" s="48" t="str">
        <f>IFERROR(__xludf.DUMMYFUNCTION("""COMPUTED_VALUE"""),"%")</f>
        <v>%</v>
      </c>
      <c r="T907" s="49">
        <f>IFERROR(__xludf.DUMMYFUNCTION("""COMPUTED_VALUE"""),2.0)</f>
        <v>2</v>
      </c>
      <c r="U907" s="50"/>
      <c r="V907" s="38"/>
      <c r="W907" s="45" t="str">
        <f>IFERROR(__xludf.DUMMYFUNCTION("""COMPUTED_VALUE"""),"")</f>
        <v/>
      </c>
      <c r="X907" s="46" t="str">
        <f>IFERROR(__xludf.DUMMYFUNCTION("""COMPUTED_VALUE"""),"AP")</f>
        <v>AP</v>
      </c>
      <c r="Y907" s="47" t="str">
        <f>IFERROR(__xludf.DUMMYFUNCTION("""COMPUTED_VALUE"""),"")</f>
        <v/>
      </c>
      <c r="Z907" s="48" t="str">
        <f>IFERROR(__xludf.DUMMYFUNCTION("""COMPUTED_VALUE"""),"%")</f>
        <v>%</v>
      </c>
      <c r="AA907" s="49">
        <f>IFERROR(__xludf.DUMMYFUNCTION("""COMPUTED_VALUE"""),3.0)</f>
        <v>3</v>
      </c>
      <c r="AB907" s="50"/>
      <c r="AC907" s="38"/>
      <c r="AD907" s="45" t="str">
        <f>IFERROR(__xludf.DUMMYFUNCTION("""COMPUTED_VALUE"""),"")</f>
        <v/>
      </c>
      <c r="AE907" s="46" t="str">
        <f>IFERROR(__xludf.DUMMYFUNCTION("""COMPUTED_VALUE"""),"AP")</f>
        <v>AP</v>
      </c>
      <c r="AF907" s="47" t="str">
        <f>IFERROR(__xludf.DUMMYFUNCTION("""COMPUTED_VALUE"""),"")</f>
        <v/>
      </c>
      <c r="AG907" s="48" t="str">
        <f>IFERROR(__xludf.DUMMYFUNCTION("""COMPUTED_VALUE"""),"%")</f>
        <v>%</v>
      </c>
      <c r="AH907" s="43"/>
      <c r="AI907" s="44"/>
      <c r="AJ907" s="66"/>
    </row>
    <row r="908" ht="24.75" hidden="1" customHeight="1">
      <c r="A908" s="28">
        <f>IFERROR(__xludf.DUMMYFUNCTION("""COMPUTED_VALUE"""),9.0)</f>
        <v>9</v>
      </c>
      <c r="B908" s="28" t="str">
        <f>IFERROR(__xludf.DUMMYFUNCTION("""COMPUTED_VALUE"""),"A112")</f>
        <v>A112</v>
      </c>
      <c r="C908" s="28"/>
      <c r="D908" s="29"/>
      <c r="E908" s="67"/>
      <c r="F908" s="31"/>
      <c r="G908" s="32"/>
      <c r="H908" s="33" t="str">
        <f>IFERROR(__xludf.DUMMYFUNCTION("""COMPUTED_VALUE""")," ")</f>
        <v> </v>
      </c>
      <c r="I908" s="34"/>
      <c r="J908" s="35" t="str">
        <f>IFERROR(__xludf.DUMMYFUNCTION("""COMPUTED_VALUE"""),"AP")</f>
        <v>AP</v>
      </c>
      <c r="K908" s="34"/>
      <c r="L908" s="35" t="str">
        <f>IFERROR(__xludf.DUMMYFUNCTION("""COMPUTED_VALUE"""),"%")</f>
        <v>%</v>
      </c>
      <c r="M908" s="36">
        <f>IFERROR(__xludf.DUMMYFUNCTION("""COMPUTED_VALUE"""),1.0)</f>
        <v>1</v>
      </c>
      <c r="N908" s="37"/>
      <c r="O908" s="38"/>
      <c r="P908" s="34" t="str">
        <f>IFERROR(__xludf.DUMMYFUNCTION("""COMPUTED_VALUE"""),"")</f>
        <v/>
      </c>
      <c r="Q908" s="35" t="str">
        <f>IFERROR(__xludf.DUMMYFUNCTION("""COMPUTED_VALUE"""),"AP")</f>
        <v>AP</v>
      </c>
      <c r="R908" s="34" t="str">
        <f>IFERROR(__xludf.DUMMYFUNCTION("""COMPUTED_VALUE"""),"")</f>
        <v/>
      </c>
      <c r="S908" s="35" t="str">
        <f>IFERROR(__xludf.DUMMYFUNCTION("""COMPUTED_VALUE"""),"%")</f>
        <v>%</v>
      </c>
      <c r="T908" s="36">
        <f>IFERROR(__xludf.DUMMYFUNCTION("""COMPUTED_VALUE"""),2.0)</f>
        <v>2</v>
      </c>
      <c r="U908" s="37"/>
      <c r="V908" s="38"/>
      <c r="W908" s="34" t="str">
        <f>IFERROR(__xludf.DUMMYFUNCTION("""COMPUTED_VALUE"""),"")</f>
        <v/>
      </c>
      <c r="X908" s="35" t="str">
        <f>IFERROR(__xludf.DUMMYFUNCTION("""COMPUTED_VALUE"""),"AP")</f>
        <v>AP</v>
      </c>
      <c r="Y908" s="34" t="str">
        <f>IFERROR(__xludf.DUMMYFUNCTION("""COMPUTED_VALUE"""),"")</f>
        <v/>
      </c>
      <c r="Z908" s="35" t="str">
        <f>IFERROR(__xludf.DUMMYFUNCTION("""COMPUTED_VALUE"""),"%")</f>
        <v>%</v>
      </c>
      <c r="AA908" s="36">
        <f>IFERROR(__xludf.DUMMYFUNCTION("""COMPUTED_VALUE"""),3.0)</f>
        <v>3</v>
      </c>
      <c r="AB908" s="37"/>
      <c r="AC908" s="38"/>
      <c r="AD908" s="34" t="str">
        <f>IFERROR(__xludf.DUMMYFUNCTION("""COMPUTED_VALUE"""),"")</f>
        <v/>
      </c>
      <c r="AE908" s="35" t="str">
        <f>IFERROR(__xludf.DUMMYFUNCTION("""COMPUTED_VALUE"""),"AP")</f>
        <v>AP</v>
      </c>
      <c r="AF908" s="34" t="str">
        <f>IFERROR(__xludf.DUMMYFUNCTION("""COMPUTED_VALUE"""),"")</f>
        <v/>
      </c>
      <c r="AG908" s="35" t="str">
        <f>IFERROR(__xludf.DUMMYFUNCTION("""COMPUTED_VALUE"""),"%")</f>
        <v>%</v>
      </c>
      <c r="AH908" s="31"/>
      <c r="AI908" s="32"/>
      <c r="AJ908" s="67"/>
    </row>
    <row r="909" ht="24.75" hidden="1" customHeight="1">
      <c r="A909" s="40">
        <f>IFERROR(__xludf.DUMMYFUNCTION("""COMPUTED_VALUE"""),10.0)</f>
        <v>10</v>
      </c>
      <c r="B909" s="40" t="str">
        <f>IFERROR(__xludf.DUMMYFUNCTION("""COMPUTED_VALUE"""),"A112")</f>
        <v>A112</v>
      </c>
      <c r="C909" s="40"/>
      <c r="D909" s="41"/>
      <c r="E909" s="66"/>
      <c r="F909" s="43"/>
      <c r="G909" s="44"/>
      <c r="H909" s="33" t="str">
        <f>IFERROR(__xludf.DUMMYFUNCTION("""COMPUTED_VALUE""")," ")</f>
        <v> </v>
      </c>
      <c r="I909" s="45"/>
      <c r="J909" s="46" t="str">
        <f>IFERROR(__xludf.DUMMYFUNCTION("""COMPUTED_VALUE"""),"AP")</f>
        <v>AP</v>
      </c>
      <c r="K909" s="47"/>
      <c r="L909" s="48" t="str">
        <f>IFERROR(__xludf.DUMMYFUNCTION("""COMPUTED_VALUE"""),"%")</f>
        <v>%</v>
      </c>
      <c r="M909" s="49">
        <f>IFERROR(__xludf.DUMMYFUNCTION("""COMPUTED_VALUE"""),1.0)</f>
        <v>1</v>
      </c>
      <c r="N909" s="50"/>
      <c r="O909" s="38"/>
      <c r="P909" s="45" t="str">
        <f>IFERROR(__xludf.DUMMYFUNCTION("""COMPUTED_VALUE"""),"")</f>
        <v/>
      </c>
      <c r="Q909" s="46" t="str">
        <f>IFERROR(__xludf.DUMMYFUNCTION("""COMPUTED_VALUE"""),"AP")</f>
        <v>AP</v>
      </c>
      <c r="R909" s="47" t="str">
        <f>IFERROR(__xludf.DUMMYFUNCTION("""COMPUTED_VALUE"""),"")</f>
        <v/>
      </c>
      <c r="S909" s="48" t="str">
        <f>IFERROR(__xludf.DUMMYFUNCTION("""COMPUTED_VALUE"""),"%")</f>
        <v>%</v>
      </c>
      <c r="T909" s="49">
        <f>IFERROR(__xludf.DUMMYFUNCTION("""COMPUTED_VALUE"""),2.0)</f>
        <v>2</v>
      </c>
      <c r="U909" s="50"/>
      <c r="V909" s="38"/>
      <c r="W909" s="45" t="str">
        <f>IFERROR(__xludf.DUMMYFUNCTION("""COMPUTED_VALUE"""),"")</f>
        <v/>
      </c>
      <c r="X909" s="46" t="str">
        <f>IFERROR(__xludf.DUMMYFUNCTION("""COMPUTED_VALUE"""),"AP")</f>
        <v>AP</v>
      </c>
      <c r="Y909" s="47" t="str">
        <f>IFERROR(__xludf.DUMMYFUNCTION("""COMPUTED_VALUE"""),"")</f>
        <v/>
      </c>
      <c r="Z909" s="48" t="str">
        <f>IFERROR(__xludf.DUMMYFUNCTION("""COMPUTED_VALUE"""),"%")</f>
        <v>%</v>
      </c>
      <c r="AA909" s="49">
        <f>IFERROR(__xludf.DUMMYFUNCTION("""COMPUTED_VALUE"""),3.0)</f>
        <v>3</v>
      </c>
      <c r="AB909" s="50"/>
      <c r="AC909" s="38"/>
      <c r="AD909" s="45" t="str">
        <f>IFERROR(__xludf.DUMMYFUNCTION("""COMPUTED_VALUE"""),"")</f>
        <v/>
      </c>
      <c r="AE909" s="46" t="str">
        <f>IFERROR(__xludf.DUMMYFUNCTION("""COMPUTED_VALUE"""),"AP")</f>
        <v>AP</v>
      </c>
      <c r="AF909" s="47" t="str">
        <f>IFERROR(__xludf.DUMMYFUNCTION("""COMPUTED_VALUE"""),"")</f>
        <v/>
      </c>
      <c r="AG909" s="48" t="str">
        <f>IFERROR(__xludf.DUMMYFUNCTION("""COMPUTED_VALUE"""),"%")</f>
        <v>%</v>
      </c>
      <c r="AH909" s="43"/>
      <c r="AI909" s="44"/>
      <c r="AJ909" s="66"/>
    </row>
    <row r="910" ht="24.75" hidden="1" customHeight="1">
      <c r="A910" s="28">
        <f>IFERROR(__xludf.DUMMYFUNCTION("""COMPUTED_VALUE"""),11.0)</f>
        <v>11</v>
      </c>
      <c r="B910" s="28" t="str">
        <f>IFERROR(__xludf.DUMMYFUNCTION("""COMPUTED_VALUE"""),"A112")</f>
        <v>A112</v>
      </c>
      <c r="C910" s="28"/>
      <c r="D910" s="29"/>
      <c r="E910" s="67"/>
      <c r="F910" s="31"/>
      <c r="G910" s="32"/>
      <c r="H910" s="33" t="str">
        <f>IFERROR(__xludf.DUMMYFUNCTION("""COMPUTED_VALUE""")," ")</f>
        <v> </v>
      </c>
      <c r="I910" s="34"/>
      <c r="J910" s="35" t="str">
        <f>IFERROR(__xludf.DUMMYFUNCTION("""COMPUTED_VALUE"""),"AP")</f>
        <v>AP</v>
      </c>
      <c r="K910" s="34"/>
      <c r="L910" s="35" t="str">
        <f>IFERROR(__xludf.DUMMYFUNCTION("""COMPUTED_VALUE"""),"%")</f>
        <v>%</v>
      </c>
      <c r="M910" s="36">
        <f>IFERROR(__xludf.DUMMYFUNCTION("""COMPUTED_VALUE"""),1.0)</f>
        <v>1</v>
      </c>
      <c r="N910" s="37"/>
      <c r="O910" s="38"/>
      <c r="P910" s="34" t="str">
        <f>IFERROR(__xludf.DUMMYFUNCTION("""COMPUTED_VALUE"""),"")</f>
        <v/>
      </c>
      <c r="Q910" s="35" t="str">
        <f>IFERROR(__xludf.DUMMYFUNCTION("""COMPUTED_VALUE"""),"AP")</f>
        <v>AP</v>
      </c>
      <c r="R910" s="34" t="str">
        <f>IFERROR(__xludf.DUMMYFUNCTION("""COMPUTED_VALUE"""),"")</f>
        <v/>
      </c>
      <c r="S910" s="35" t="str">
        <f>IFERROR(__xludf.DUMMYFUNCTION("""COMPUTED_VALUE"""),"%")</f>
        <v>%</v>
      </c>
      <c r="T910" s="36">
        <f>IFERROR(__xludf.DUMMYFUNCTION("""COMPUTED_VALUE"""),2.0)</f>
        <v>2</v>
      </c>
      <c r="U910" s="37"/>
      <c r="V910" s="38"/>
      <c r="W910" s="34" t="str">
        <f>IFERROR(__xludf.DUMMYFUNCTION("""COMPUTED_VALUE"""),"")</f>
        <v/>
      </c>
      <c r="X910" s="35" t="str">
        <f>IFERROR(__xludf.DUMMYFUNCTION("""COMPUTED_VALUE"""),"AP")</f>
        <v>AP</v>
      </c>
      <c r="Y910" s="34" t="str">
        <f>IFERROR(__xludf.DUMMYFUNCTION("""COMPUTED_VALUE"""),"")</f>
        <v/>
      </c>
      <c r="Z910" s="35" t="str">
        <f>IFERROR(__xludf.DUMMYFUNCTION("""COMPUTED_VALUE"""),"%")</f>
        <v>%</v>
      </c>
      <c r="AA910" s="36">
        <f>IFERROR(__xludf.DUMMYFUNCTION("""COMPUTED_VALUE"""),3.0)</f>
        <v>3</v>
      </c>
      <c r="AB910" s="37"/>
      <c r="AC910" s="38"/>
      <c r="AD910" s="34" t="str">
        <f>IFERROR(__xludf.DUMMYFUNCTION("""COMPUTED_VALUE"""),"")</f>
        <v/>
      </c>
      <c r="AE910" s="35" t="str">
        <f>IFERROR(__xludf.DUMMYFUNCTION("""COMPUTED_VALUE"""),"AP")</f>
        <v>AP</v>
      </c>
      <c r="AF910" s="34" t="str">
        <f>IFERROR(__xludf.DUMMYFUNCTION("""COMPUTED_VALUE"""),"")</f>
        <v/>
      </c>
      <c r="AG910" s="35" t="str">
        <f>IFERROR(__xludf.DUMMYFUNCTION("""COMPUTED_VALUE"""),"%")</f>
        <v>%</v>
      </c>
      <c r="AH910" s="31"/>
      <c r="AI910" s="32"/>
      <c r="AJ910" s="67"/>
    </row>
    <row r="911" ht="24.75" hidden="1" customHeight="1">
      <c r="A911" s="40">
        <f>IFERROR(__xludf.DUMMYFUNCTION("""COMPUTED_VALUE"""),12.0)</f>
        <v>12</v>
      </c>
      <c r="B911" s="40" t="str">
        <f>IFERROR(__xludf.DUMMYFUNCTION("""COMPUTED_VALUE"""),"A112")</f>
        <v>A112</v>
      </c>
      <c r="C911" s="40"/>
      <c r="D911" s="41"/>
      <c r="E911" s="66"/>
      <c r="F911" s="43"/>
      <c r="G911" s="44"/>
      <c r="H911" s="33" t="str">
        <f>IFERROR(__xludf.DUMMYFUNCTION("""COMPUTED_VALUE""")," ")</f>
        <v> </v>
      </c>
      <c r="I911" s="45"/>
      <c r="J911" s="46" t="str">
        <f>IFERROR(__xludf.DUMMYFUNCTION("""COMPUTED_VALUE"""),"AP")</f>
        <v>AP</v>
      </c>
      <c r="K911" s="47"/>
      <c r="L911" s="48" t="str">
        <f>IFERROR(__xludf.DUMMYFUNCTION("""COMPUTED_VALUE"""),"%")</f>
        <v>%</v>
      </c>
      <c r="M911" s="49">
        <f>IFERROR(__xludf.DUMMYFUNCTION("""COMPUTED_VALUE"""),1.0)</f>
        <v>1</v>
      </c>
      <c r="N911" s="50"/>
      <c r="O911" s="38"/>
      <c r="P911" s="45" t="str">
        <f>IFERROR(__xludf.DUMMYFUNCTION("""COMPUTED_VALUE"""),"")</f>
        <v/>
      </c>
      <c r="Q911" s="46" t="str">
        <f>IFERROR(__xludf.DUMMYFUNCTION("""COMPUTED_VALUE"""),"AP")</f>
        <v>AP</v>
      </c>
      <c r="R911" s="47" t="str">
        <f>IFERROR(__xludf.DUMMYFUNCTION("""COMPUTED_VALUE"""),"")</f>
        <v/>
      </c>
      <c r="S911" s="48" t="str">
        <f>IFERROR(__xludf.DUMMYFUNCTION("""COMPUTED_VALUE"""),"%")</f>
        <v>%</v>
      </c>
      <c r="T911" s="49">
        <f>IFERROR(__xludf.DUMMYFUNCTION("""COMPUTED_VALUE"""),2.0)</f>
        <v>2</v>
      </c>
      <c r="U911" s="50"/>
      <c r="V911" s="38"/>
      <c r="W911" s="45" t="str">
        <f>IFERROR(__xludf.DUMMYFUNCTION("""COMPUTED_VALUE"""),"")</f>
        <v/>
      </c>
      <c r="X911" s="46" t="str">
        <f>IFERROR(__xludf.DUMMYFUNCTION("""COMPUTED_VALUE"""),"AP")</f>
        <v>AP</v>
      </c>
      <c r="Y911" s="47" t="str">
        <f>IFERROR(__xludf.DUMMYFUNCTION("""COMPUTED_VALUE"""),"")</f>
        <v/>
      </c>
      <c r="Z911" s="48" t="str">
        <f>IFERROR(__xludf.DUMMYFUNCTION("""COMPUTED_VALUE"""),"%")</f>
        <v>%</v>
      </c>
      <c r="AA911" s="49">
        <f>IFERROR(__xludf.DUMMYFUNCTION("""COMPUTED_VALUE"""),3.0)</f>
        <v>3</v>
      </c>
      <c r="AB911" s="50"/>
      <c r="AC911" s="38"/>
      <c r="AD911" s="45" t="str">
        <f>IFERROR(__xludf.DUMMYFUNCTION("""COMPUTED_VALUE"""),"")</f>
        <v/>
      </c>
      <c r="AE911" s="46" t="str">
        <f>IFERROR(__xludf.DUMMYFUNCTION("""COMPUTED_VALUE"""),"AP")</f>
        <v>AP</v>
      </c>
      <c r="AF911" s="47" t="str">
        <f>IFERROR(__xludf.DUMMYFUNCTION("""COMPUTED_VALUE"""),"")</f>
        <v/>
      </c>
      <c r="AG911" s="48" t="str">
        <f>IFERROR(__xludf.DUMMYFUNCTION("""COMPUTED_VALUE"""),"%")</f>
        <v>%</v>
      </c>
      <c r="AH911" s="43"/>
      <c r="AI911" s="44"/>
      <c r="AJ911" s="66"/>
    </row>
    <row r="912" ht="24.75" hidden="1" customHeight="1">
      <c r="A912" s="28">
        <f>IFERROR(__xludf.DUMMYFUNCTION("""COMPUTED_VALUE"""),13.0)</f>
        <v>13</v>
      </c>
      <c r="B912" s="28" t="str">
        <f>IFERROR(__xludf.DUMMYFUNCTION("""COMPUTED_VALUE"""),"A112")</f>
        <v>A112</v>
      </c>
      <c r="C912" s="28"/>
      <c r="D912" s="29"/>
      <c r="E912" s="67"/>
      <c r="F912" s="31"/>
      <c r="G912" s="32"/>
      <c r="H912" s="33" t="str">
        <f>IFERROR(__xludf.DUMMYFUNCTION("""COMPUTED_VALUE""")," ")</f>
        <v> </v>
      </c>
      <c r="I912" s="34"/>
      <c r="J912" s="35" t="str">
        <f>IFERROR(__xludf.DUMMYFUNCTION("""COMPUTED_VALUE"""),"AP")</f>
        <v>AP</v>
      </c>
      <c r="K912" s="34"/>
      <c r="L912" s="35" t="str">
        <f>IFERROR(__xludf.DUMMYFUNCTION("""COMPUTED_VALUE"""),"%")</f>
        <v>%</v>
      </c>
      <c r="M912" s="36">
        <f>IFERROR(__xludf.DUMMYFUNCTION("""COMPUTED_VALUE"""),1.0)</f>
        <v>1</v>
      </c>
      <c r="N912" s="37"/>
      <c r="O912" s="38"/>
      <c r="P912" s="34" t="str">
        <f>IFERROR(__xludf.DUMMYFUNCTION("""COMPUTED_VALUE"""),"")</f>
        <v/>
      </c>
      <c r="Q912" s="35" t="str">
        <f>IFERROR(__xludf.DUMMYFUNCTION("""COMPUTED_VALUE"""),"AP")</f>
        <v>AP</v>
      </c>
      <c r="R912" s="34" t="str">
        <f>IFERROR(__xludf.DUMMYFUNCTION("""COMPUTED_VALUE"""),"")</f>
        <v/>
      </c>
      <c r="S912" s="35" t="str">
        <f>IFERROR(__xludf.DUMMYFUNCTION("""COMPUTED_VALUE"""),"%")</f>
        <v>%</v>
      </c>
      <c r="T912" s="36">
        <f>IFERROR(__xludf.DUMMYFUNCTION("""COMPUTED_VALUE"""),2.0)</f>
        <v>2</v>
      </c>
      <c r="U912" s="37"/>
      <c r="V912" s="38"/>
      <c r="W912" s="34" t="str">
        <f>IFERROR(__xludf.DUMMYFUNCTION("""COMPUTED_VALUE"""),"")</f>
        <v/>
      </c>
      <c r="X912" s="35" t="str">
        <f>IFERROR(__xludf.DUMMYFUNCTION("""COMPUTED_VALUE"""),"AP")</f>
        <v>AP</v>
      </c>
      <c r="Y912" s="34" t="str">
        <f>IFERROR(__xludf.DUMMYFUNCTION("""COMPUTED_VALUE"""),"")</f>
        <v/>
      </c>
      <c r="Z912" s="35" t="str">
        <f>IFERROR(__xludf.DUMMYFUNCTION("""COMPUTED_VALUE"""),"%")</f>
        <v>%</v>
      </c>
      <c r="AA912" s="36">
        <f>IFERROR(__xludf.DUMMYFUNCTION("""COMPUTED_VALUE"""),3.0)</f>
        <v>3</v>
      </c>
      <c r="AB912" s="37"/>
      <c r="AC912" s="38"/>
      <c r="AD912" s="34" t="str">
        <f>IFERROR(__xludf.DUMMYFUNCTION("""COMPUTED_VALUE"""),"")</f>
        <v/>
      </c>
      <c r="AE912" s="35" t="str">
        <f>IFERROR(__xludf.DUMMYFUNCTION("""COMPUTED_VALUE"""),"AP")</f>
        <v>AP</v>
      </c>
      <c r="AF912" s="34" t="str">
        <f>IFERROR(__xludf.DUMMYFUNCTION("""COMPUTED_VALUE"""),"")</f>
        <v/>
      </c>
      <c r="AG912" s="35" t="str">
        <f>IFERROR(__xludf.DUMMYFUNCTION("""COMPUTED_VALUE"""),"%")</f>
        <v>%</v>
      </c>
      <c r="AH912" s="31"/>
      <c r="AI912" s="32"/>
      <c r="AJ912" s="67"/>
    </row>
    <row r="913" ht="24.75" hidden="1" customHeight="1">
      <c r="A913" s="40">
        <f>IFERROR(__xludf.DUMMYFUNCTION("""COMPUTED_VALUE"""),14.0)</f>
        <v>14</v>
      </c>
      <c r="B913" s="40" t="str">
        <f>IFERROR(__xludf.DUMMYFUNCTION("""COMPUTED_VALUE"""),"A112")</f>
        <v>A112</v>
      </c>
      <c r="C913" s="40"/>
      <c r="D913" s="41"/>
      <c r="E913" s="66"/>
      <c r="F913" s="43"/>
      <c r="G913" s="44"/>
      <c r="H913" s="33" t="str">
        <f>IFERROR(__xludf.DUMMYFUNCTION("""COMPUTED_VALUE""")," ")</f>
        <v> </v>
      </c>
      <c r="I913" s="45"/>
      <c r="J913" s="46" t="str">
        <f>IFERROR(__xludf.DUMMYFUNCTION("""COMPUTED_VALUE"""),"AP")</f>
        <v>AP</v>
      </c>
      <c r="K913" s="47"/>
      <c r="L913" s="48" t="str">
        <f>IFERROR(__xludf.DUMMYFUNCTION("""COMPUTED_VALUE"""),"%")</f>
        <v>%</v>
      </c>
      <c r="M913" s="49">
        <f>IFERROR(__xludf.DUMMYFUNCTION("""COMPUTED_VALUE"""),1.0)</f>
        <v>1</v>
      </c>
      <c r="N913" s="50"/>
      <c r="O913" s="38"/>
      <c r="P913" s="45" t="str">
        <f>IFERROR(__xludf.DUMMYFUNCTION("""COMPUTED_VALUE"""),"")</f>
        <v/>
      </c>
      <c r="Q913" s="46" t="str">
        <f>IFERROR(__xludf.DUMMYFUNCTION("""COMPUTED_VALUE"""),"AP")</f>
        <v>AP</v>
      </c>
      <c r="R913" s="47" t="str">
        <f>IFERROR(__xludf.DUMMYFUNCTION("""COMPUTED_VALUE"""),"")</f>
        <v/>
      </c>
      <c r="S913" s="48" t="str">
        <f>IFERROR(__xludf.DUMMYFUNCTION("""COMPUTED_VALUE"""),"%")</f>
        <v>%</v>
      </c>
      <c r="T913" s="49">
        <f>IFERROR(__xludf.DUMMYFUNCTION("""COMPUTED_VALUE"""),2.0)</f>
        <v>2</v>
      </c>
      <c r="U913" s="50"/>
      <c r="V913" s="38"/>
      <c r="W913" s="45" t="str">
        <f>IFERROR(__xludf.DUMMYFUNCTION("""COMPUTED_VALUE"""),"")</f>
        <v/>
      </c>
      <c r="X913" s="46" t="str">
        <f>IFERROR(__xludf.DUMMYFUNCTION("""COMPUTED_VALUE"""),"AP")</f>
        <v>AP</v>
      </c>
      <c r="Y913" s="47" t="str">
        <f>IFERROR(__xludf.DUMMYFUNCTION("""COMPUTED_VALUE"""),"")</f>
        <v/>
      </c>
      <c r="Z913" s="48" t="str">
        <f>IFERROR(__xludf.DUMMYFUNCTION("""COMPUTED_VALUE"""),"%")</f>
        <v>%</v>
      </c>
      <c r="AA913" s="49">
        <f>IFERROR(__xludf.DUMMYFUNCTION("""COMPUTED_VALUE"""),3.0)</f>
        <v>3</v>
      </c>
      <c r="AB913" s="50"/>
      <c r="AC913" s="38"/>
      <c r="AD913" s="45" t="str">
        <f>IFERROR(__xludf.DUMMYFUNCTION("""COMPUTED_VALUE"""),"")</f>
        <v/>
      </c>
      <c r="AE913" s="46" t="str">
        <f>IFERROR(__xludf.DUMMYFUNCTION("""COMPUTED_VALUE"""),"AP")</f>
        <v>AP</v>
      </c>
      <c r="AF913" s="47" t="str">
        <f>IFERROR(__xludf.DUMMYFUNCTION("""COMPUTED_VALUE"""),"")</f>
        <v/>
      </c>
      <c r="AG913" s="48" t="str">
        <f>IFERROR(__xludf.DUMMYFUNCTION("""COMPUTED_VALUE"""),"%")</f>
        <v>%</v>
      </c>
      <c r="AH913" s="43"/>
      <c r="AI913" s="44"/>
      <c r="AJ913" s="66"/>
    </row>
    <row r="914" ht="24.75" hidden="1" customHeight="1">
      <c r="A914" s="28">
        <f>IFERROR(__xludf.DUMMYFUNCTION("""COMPUTED_VALUE"""),15.0)</f>
        <v>15</v>
      </c>
      <c r="B914" s="28" t="str">
        <f>IFERROR(__xludf.DUMMYFUNCTION("""COMPUTED_VALUE"""),"A112")</f>
        <v>A112</v>
      </c>
      <c r="C914" s="28"/>
      <c r="D914" s="29"/>
      <c r="E914" s="67"/>
      <c r="F914" s="31"/>
      <c r="G914" s="32"/>
      <c r="H914" s="33" t="str">
        <f>IFERROR(__xludf.DUMMYFUNCTION("""COMPUTED_VALUE""")," ")</f>
        <v> </v>
      </c>
      <c r="I914" s="34"/>
      <c r="J914" s="35" t="str">
        <f>IFERROR(__xludf.DUMMYFUNCTION("""COMPUTED_VALUE"""),"AP")</f>
        <v>AP</v>
      </c>
      <c r="K914" s="34"/>
      <c r="L914" s="35" t="str">
        <f>IFERROR(__xludf.DUMMYFUNCTION("""COMPUTED_VALUE"""),"%")</f>
        <v>%</v>
      </c>
      <c r="M914" s="36">
        <f>IFERROR(__xludf.DUMMYFUNCTION("""COMPUTED_VALUE"""),1.0)</f>
        <v>1</v>
      </c>
      <c r="N914" s="37"/>
      <c r="O914" s="38"/>
      <c r="P914" s="34" t="str">
        <f>IFERROR(__xludf.DUMMYFUNCTION("""COMPUTED_VALUE"""),"")</f>
        <v/>
      </c>
      <c r="Q914" s="35" t="str">
        <f>IFERROR(__xludf.DUMMYFUNCTION("""COMPUTED_VALUE"""),"AP")</f>
        <v>AP</v>
      </c>
      <c r="R914" s="34" t="str">
        <f>IFERROR(__xludf.DUMMYFUNCTION("""COMPUTED_VALUE"""),"")</f>
        <v/>
      </c>
      <c r="S914" s="35" t="str">
        <f>IFERROR(__xludf.DUMMYFUNCTION("""COMPUTED_VALUE"""),"%")</f>
        <v>%</v>
      </c>
      <c r="T914" s="36">
        <f>IFERROR(__xludf.DUMMYFUNCTION("""COMPUTED_VALUE"""),2.0)</f>
        <v>2</v>
      </c>
      <c r="U914" s="37"/>
      <c r="V914" s="38"/>
      <c r="W914" s="34" t="str">
        <f>IFERROR(__xludf.DUMMYFUNCTION("""COMPUTED_VALUE"""),"")</f>
        <v/>
      </c>
      <c r="X914" s="35" t="str">
        <f>IFERROR(__xludf.DUMMYFUNCTION("""COMPUTED_VALUE"""),"AP")</f>
        <v>AP</v>
      </c>
      <c r="Y914" s="34" t="str">
        <f>IFERROR(__xludf.DUMMYFUNCTION("""COMPUTED_VALUE"""),"")</f>
        <v/>
      </c>
      <c r="Z914" s="35" t="str">
        <f>IFERROR(__xludf.DUMMYFUNCTION("""COMPUTED_VALUE"""),"%")</f>
        <v>%</v>
      </c>
      <c r="AA914" s="36">
        <f>IFERROR(__xludf.DUMMYFUNCTION("""COMPUTED_VALUE"""),3.0)</f>
        <v>3</v>
      </c>
      <c r="AB914" s="37"/>
      <c r="AC914" s="38"/>
      <c r="AD914" s="34" t="str">
        <f>IFERROR(__xludf.DUMMYFUNCTION("""COMPUTED_VALUE"""),"")</f>
        <v/>
      </c>
      <c r="AE914" s="35" t="str">
        <f>IFERROR(__xludf.DUMMYFUNCTION("""COMPUTED_VALUE"""),"AP")</f>
        <v>AP</v>
      </c>
      <c r="AF914" s="34" t="str">
        <f>IFERROR(__xludf.DUMMYFUNCTION("""COMPUTED_VALUE"""),"")</f>
        <v/>
      </c>
      <c r="AG914" s="35" t="str">
        <f>IFERROR(__xludf.DUMMYFUNCTION("""COMPUTED_VALUE"""),"%")</f>
        <v>%</v>
      </c>
      <c r="AH914" s="31"/>
      <c r="AI914" s="32"/>
      <c r="AJ914" s="67"/>
    </row>
    <row r="915" ht="24.75" hidden="1" customHeight="1">
      <c r="A915" s="40">
        <f>IFERROR(__xludf.DUMMYFUNCTION("""COMPUTED_VALUE"""),16.0)</f>
        <v>16</v>
      </c>
      <c r="B915" s="40" t="str">
        <f>IFERROR(__xludf.DUMMYFUNCTION("""COMPUTED_VALUE"""),"A112")</f>
        <v>A112</v>
      </c>
      <c r="C915" s="40"/>
      <c r="D915" s="41"/>
      <c r="E915" s="66"/>
      <c r="F915" s="43"/>
      <c r="G915" s="44"/>
      <c r="H915" s="33" t="str">
        <f>IFERROR(__xludf.DUMMYFUNCTION("""COMPUTED_VALUE""")," ")</f>
        <v> </v>
      </c>
      <c r="I915" s="45"/>
      <c r="J915" s="46" t="str">
        <f>IFERROR(__xludf.DUMMYFUNCTION("""COMPUTED_VALUE"""),"AP")</f>
        <v>AP</v>
      </c>
      <c r="K915" s="47"/>
      <c r="L915" s="48" t="str">
        <f>IFERROR(__xludf.DUMMYFUNCTION("""COMPUTED_VALUE"""),"%")</f>
        <v>%</v>
      </c>
      <c r="M915" s="49">
        <f>IFERROR(__xludf.DUMMYFUNCTION("""COMPUTED_VALUE"""),1.0)</f>
        <v>1</v>
      </c>
      <c r="N915" s="50"/>
      <c r="O915" s="38"/>
      <c r="P915" s="45" t="str">
        <f>IFERROR(__xludf.DUMMYFUNCTION("""COMPUTED_VALUE"""),"")</f>
        <v/>
      </c>
      <c r="Q915" s="46" t="str">
        <f>IFERROR(__xludf.DUMMYFUNCTION("""COMPUTED_VALUE"""),"AP")</f>
        <v>AP</v>
      </c>
      <c r="R915" s="47" t="str">
        <f>IFERROR(__xludf.DUMMYFUNCTION("""COMPUTED_VALUE"""),"")</f>
        <v/>
      </c>
      <c r="S915" s="48" t="str">
        <f>IFERROR(__xludf.DUMMYFUNCTION("""COMPUTED_VALUE"""),"%")</f>
        <v>%</v>
      </c>
      <c r="T915" s="49">
        <f>IFERROR(__xludf.DUMMYFUNCTION("""COMPUTED_VALUE"""),2.0)</f>
        <v>2</v>
      </c>
      <c r="U915" s="50"/>
      <c r="V915" s="38"/>
      <c r="W915" s="45" t="str">
        <f>IFERROR(__xludf.DUMMYFUNCTION("""COMPUTED_VALUE"""),"")</f>
        <v/>
      </c>
      <c r="X915" s="46" t="str">
        <f>IFERROR(__xludf.DUMMYFUNCTION("""COMPUTED_VALUE"""),"AP")</f>
        <v>AP</v>
      </c>
      <c r="Y915" s="47" t="str">
        <f>IFERROR(__xludf.DUMMYFUNCTION("""COMPUTED_VALUE"""),"")</f>
        <v/>
      </c>
      <c r="Z915" s="48" t="str">
        <f>IFERROR(__xludf.DUMMYFUNCTION("""COMPUTED_VALUE"""),"%")</f>
        <v>%</v>
      </c>
      <c r="AA915" s="49">
        <f>IFERROR(__xludf.DUMMYFUNCTION("""COMPUTED_VALUE"""),3.0)</f>
        <v>3</v>
      </c>
      <c r="AB915" s="50"/>
      <c r="AC915" s="38"/>
      <c r="AD915" s="45" t="str">
        <f>IFERROR(__xludf.DUMMYFUNCTION("""COMPUTED_VALUE"""),"")</f>
        <v/>
      </c>
      <c r="AE915" s="46" t="str">
        <f>IFERROR(__xludf.DUMMYFUNCTION("""COMPUTED_VALUE"""),"AP")</f>
        <v>AP</v>
      </c>
      <c r="AF915" s="47" t="str">
        <f>IFERROR(__xludf.DUMMYFUNCTION("""COMPUTED_VALUE"""),"")</f>
        <v/>
      </c>
      <c r="AG915" s="48" t="str">
        <f>IFERROR(__xludf.DUMMYFUNCTION("""COMPUTED_VALUE"""),"%")</f>
        <v>%</v>
      </c>
      <c r="AH915" s="43"/>
      <c r="AI915" s="44"/>
      <c r="AJ915" s="66"/>
    </row>
    <row r="916" ht="24.75" hidden="1" customHeight="1">
      <c r="A916" s="28">
        <f>IFERROR(__xludf.DUMMYFUNCTION("""COMPUTED_VALUE"""),17.0)</f>
        <v>17</v>
      </c>
      <c r="B916" s="28" t="str">
        <f>IFERROR(__xludf.DUMMYFUNCTION("""COMPUTED_VALUE"""),"A112")</f>
        <v>A112</v>
      </c>
      <c r="C916" s="28"/>
      <c r="D916" s="29"/>
      <c r="E916" s="67"/>
      <c r="F916" s="31"/>
      <c r="G916" s="32"/>
      <c r="H916" s="33" t="str">
        <f>IFERROR(__xludf.DUMMYFUNCTION("""COMPUTED_VALUE""")," ")</f>
        <v> </v>
      </c>
      <c r="I916" s="34"/>
      <c r="J916" s="35" t="str">
        <f>IFERROR(__xludf.DUMMYFUNCTION("""COMPUTED_VALUE"""),"AP")</f>
        <v>AP</v>
      </c>
      <c r="K916" s="34"/>
      <c r="L916" s="35" t="str">
        <f>IFERROR(__xludf.DUMMYFUNCTION("""COMPUTED_VALUE"""),"%")</f>
        <v>%</v>
      </c>
      <c r="M916" s="36">
        <f>IFERROR(__xludf.DUMMYFUNCTION("""COMPUTED_VALUE"""),1.0)</f>
        <v>1</v>
      </c>
      <c r="N916" s="37"/>
      <c r="O916" s="38"/>
      <c r="P916" s="34" t="str">
        <f>IFERROR(__xludf.DUMMYFUNCTION("""COMPUTED_VALUE"""),"")</f>
        <v/>
      </c>
      <c r="Q916" s="35" t="str">
        <f>IFERROR(__xludf.DUMMYFUNCTION("""COMPUTED_VALUE"""),"AP")</f>
        <v>AP</v>
      </c>
      <c r="R916" s="34" t="str">
        <f>IFERROR(__xludf.DUMMYFUNCTION("""COMPUTED_VALUE"""),"")</f>
        <v/>
      </c>
      <c r="S916" s="35" t="str">
        <f>IFERROR(__xludf.DUMMYFUNCTION("""COMPUTED_VALUE"""),"%")</f>
        <v>%</v>
      </c>
      <c r="T916" s="36">
        <f>IFERROR(__xludf.DUMMYFUNCTION("""COMPUTED_VALUE"""),2.0)</f>
        <v>2</v>
      </c>
      <c r="U916" s="37"/>
      <c r="V916" s="38"/>
      <c r="W916" s="34" t="str">
        <f>IFERROR(__xludf.DUMMYFUNCTION("""COMPUTED_VALUE"""),"")</f>
        <v/>
      </c>
      <c r="X916" s="35" t="str">
        <f>IFERROR(__xludf.DUMMYFUNCTION("""COMPUTED_VALUE"""),"AP")</f>
        <v>AP</v>
      </c>
      <c r="Y916" s="34" t="str">
        <f>IFERROR(__xludf.DUMMYFUNCTION("""COMPUTED_VALUE"""),"")</f>
        <v/>
      </c>
      <c r="Z916" s="35" t="str">
        <f>IFERROR(__xludf.DUMMYFUNCTION("""COMPUTED_VALUE"""),"%")</f>
        <v>%</v>
      </c>
      <c r="AA916" s="36">
        <f>IFERROR(__xludf.DUMMYFUNCTION("""COMPUTED_VALUE"""),3.0)</f>
        <v>3</v>
      </c>
      <c r="AB916" s="37"/>
      <c r="AC916" s="38"/>
      <c r="AD916" s="34" t="str">
        <f>IFERROR(__xludf.DUMMYFUNCTION("""COMPUTED_VALUE"""),"")</f>
        <v/>
      </c>
      <c r="AE916" s="35" t="str">
        <f>IFERROR(__xludf.DUMMYFUNCTION("""COMPUTED_VALUE"""),"AP")</f>
        <v>AP</v>
      </c>
      <c r="AF916" s="34" t="str">
        <f>IFERROR(__xludf.DUMMYFUNCTION("""COMPUTED_VALUE"""),"")</f>
        <v/>
      </c>
      <c r="AG916" s="35" t="str">
        <f>IFERROR(__xludf.DUMMYFUNCTION("""COMPUTED_VALUE"""),"%")</f>
        <v>%</v>
      </c>
      <c r="AH916" s="31"/>
      <c r="AI916" s="32"/>
      <c r="AJ916" s="67"/>
    </row>
    <row r="917" ht="24.75" hidden="1" customHeight="1">
      <c r="A917" s="40">
        <f>IFERROR(__xludf.DUMMYFUNCTION("""COMPUTED_VALUE"""),18.0)</f>
        <v>18</v>
      </c>
      <c r="B917" s="40" t="str">
        <f>IFERROR(__xludf.DUMMYFUNCTION("""COMPUTED_VALUE"""),"A112")</f>
        <v>A112</v>
      </c>
      <c r="C917" s="40"/>
      <c r="D917" s="41"/>
      <c r="E917" s="66"/>
      <c r="F917" s="43"/>
      <c r="G917" s="44"/>
      <c r="H917" s="33" t="str">
        <f>IFERROR(__xludf.DUMMYFUNCTION("""COMPUTED_VALUE""")," ")</f>
        <v> </v>
      </c>
      <c r="I917" s="45"/>
      <c r="J917" s="46" t="str">
        <f>IFERROR(__xludf.DUMMYFUNCTION("""COMPUTED_VALUE"""),"AP")</f>
        <v>AP</v>
      </c>
      <c r="K917" s="47"/>
      <c r="L917" s="48" t="str">
        <f>IFERROR(__xludf.DUMMYFUNCTION("""COMPUTED_VALUE"""),"%")</f>
        <v>%</v>
      </c>
      <c r="M917" s="49">
        <f>IFERROR(__xludf.DUMMYFUNCTION("""COMPUTED_VALUE"""),1.0)</f>
        <v>1</v>
      </c>
      <c r="N917" s="50"/>
      <c r="O917" s="38"/>
      <c r="P917" s="45" t="str">
        <f>IFERROR(__xludf.DUMMYFUNCTION("""COMPUTED_VALUE"""),"")</f>
        <v/>
      </c>
      <c r="Q917" s="46" t="str">
        <f>IFERROR(__xludf.DUMMYFUNCTION("""COMPUTED_VALUE"""),"AP")</f>
        <v>AP</v>
      </c>
      <c r="R917" s="47" t="str">
        <f>IFERROR(__xludf.DUMMYFUNCTION("""COMPUTED_VALUE"""),"")</f>
        <v/>
      </c>
      <c r="S917" s="48" t="str">
        <f>IFERROR(__xludf.DUMMYFUNCTION("""COMPUTED_VALUE"""),"%")</f>
        <v>%</v>
      </c>
      <c r="T917" s="49">
        <f>IFERROR(__xludf.DUMMYFUNCTION("""COMPUTED_VALUE"""),2.0)</f>
        <v>2</v>
      </c>
      <c r="U917" s="50"/>
      <c r="V917" s="38"/>
      <c r="W917" s="45" t="str">
        <f>IFERROR(__xludf.DUMMYFUNCTION("""COMPUTED_VALUE"""),"")</f>
        <v/>
      </c>
      <c r="X917" s="46" t="str">
        <f>IFERROR(__xludf.DUMMYFUNCTION("""COMPUTED_VALUE"""),"AP")</f>
        <v>AP</v>
      </c>
      <c r="Y917" s="47" t="str">
        <f>IFERROR(__xludf.DUMMYFUNCTION("""COMPUTED_VALUE"""),"")</f>
        <v/>
      </c>
      <c r="Z917" s="48" t="str">
        <f>IFERROR(__xludf.DUMMYFUNCTION("""COMPUTED_VALUE"""),"%")</f>
        <v>%</v>
      </c>
      <c r="AA917" s="49">
        <f>IFERROR(__xludf.DUMMYFUNCTION("""COMPUTED_VALUE"""),3.0)</f>
        <v>3</v>
      </c>
      <c r="AB917" s="50"/>
      <c r="AC917" s="38"/>
      <c r="AD917" s="45" t="str">
        <f>IFERROR(__xludf.DUMMYFUNCTION("""COMPUTED_VALUE"""),"")</f>
        <v/>
      </c>
      <c r="AE917" s="46" t="str">
        <f>IFERROR(__xludf.DUMMYFUNCTION("""COMPUTED_VALUE"""),"AP")</f>
        <v>AP</v>
      </c>
      <c r="AF917" s="47" t="str">
        <f>IFERROR(__xludf.DUMMYFUNCTION("""COMPUTED_VALUE"""),"")</f>
        <v/>
      </c>
      <c r="AG917" s="48" t="str">
        <f>IFERROR(__xludf.DUMMYFUNCTION("""COMPUTED_VALUE"""),"%")</f>
        <v>%</v>
      </c>
      <c r="AH917" s="43"/>
      <c r="AI917" s="44"/>
      <c r="AJ917" s="66"/>
    </row>
    <row r="918" ht="24.75" hidden="1" customHeight="1">
      <c r="A918" s="28">
        <f>IFERROR(__xludf.DUMMYFUNCTION("""COMPUTED_VALUE"""),19.0)</f>
        <v>19</v>
      </c>
      <c r="B918" s="28" t="str">
        <f>IFERROR(__xludf.DUMMYFUNCTION("""COMPUTED_VALUE"""),"A112")</f>
        <v>A112</v>
      </c>
      <c r="C918" s="28"/>
      <c r="D918" s="29"/>
      <c r="E918" s="67"/>
      <c r="F918" s="31"/>
      <c r="G918" s="32"/>
      <c r="H918" s="33" t="str">
        <f>IFERROR(__xludf.DUMMYFUNCTION("""COMPUTED_VALUE""")," ")</f>
        <v> </v>
      </c>
      <c r="I918" s="34"/>
      <c r="J918" s="35" t="str">
        <f>IFERROR(__xludf.DUMMYFUNCTION("""COMPUTED_VALUE"""),"AP")</f>
        <v>AP</v>
      </c>
      <c r="K918" s="34"/>
      <c r="L918" s="35" t="str">
        <f>IFERROR(__xludf.DUMMYFUNCTION("""COMPUTED_VALUE"""),"%")</f>
        <v>%</v>
      </c>
      <c r="M918" s="36">
        <f>IFERROR(__xludf.DUMMYFUNCTION("""COMPUTED_VALUE"""),1.0)</f>
        <v>1</v>
      </c>
      <c r="N918" s="37"/>
      <c r="O918" s="38"/>
      <c r="P918" s="34" t="str">
        <f>IFERROR(__xludf.DUMMYFUNCTION("""COMPUTED_VALUE"""),"")</f>
        <v/>
      </c>
      <c r="Q918" s="35" t="str">
        <f>IFERROR(__xludf.DUMMYFUNCTION("""COMPUTED_VALUE"""),"AP")</f>
        <v>AP</v>
      </c>
      <c r="R918" s="34" t="str">
        <f>IFERROR(__xludf.DUMMYFUNCTION("""COMPUTED_VALUE"""),"")</f>
        <v/>
      </c>
      <c r="S918" s="35" t="str">
        <f>IFERROR(__xludf.DUMMYFUNCTION("""COMPUTED_VALUE"""),"%")</f>
        <v>%</v>
      </c>
      <c r="T918" s="36">
        <f>IFERROR(__xludf.DUMMYFUNCTION("""COMPUTED_VALUE"""),2.0)</f>
        <v>2</v>
      </c>
      <c r="U918" s="37"/>
      <c r="V918" s="38"/>
      <c r="W918" s="34" t="str">
        <f>IFERROR(__xludf.DUMMYFUNCTION("""COMPUTED_VALUE"""),"")</f>
        <v/>
      </c>
      <c r="X918" s="35" t="str">
        <f>IFERROR(__xludf.DUMMYFUNCTION("""COMPUTED_VALUE"""),"AP")</f>
        <v>AP</v>
      </c>
      <c r="Y918" s="34" t="str">
        <f>IFERROR(__xludf.DUMMYFUNCTION("""COMPUTED_VALUE"""),"")</f>
        <v/>
      </c>
      <c r="Z918" s="35" t="str">
        <f>IFERROR(__xludf.DUMMYFUNCTION("""COMPUTED_VALUE"""),"%")</f>
        <v>%</v>
      </c>
      <c r="AA918" s="36">
        <f>IFERROR(__xludf.DUMMYFUNCTION("""COMPUTED_VALUE"""),3.0)</f>
        <v>3</v>
      </c>
      <c r="AB918" s="37"/>
      <c r="AC918" s="38"/>
      <c r="AD918" s="34" t="str">
        <f>IFERROR(__xludf.DUMMYFUNCTION("""COMPUTED_VALUE"""),"")</f>
        <v/>
      </c>
      <c r="AE918" s="35" t="str">
        <f>IFERROR(__xludf.DUMMYFUNCTION("""COMPUTED_VALUE"""),"AP")</f>
        <v>AP</v>
      </c>
      <c r="AF918" s="34" t="str">
        <f>IFERROR(__xludf.DUMMYFUNCTION("""COMPUTED_VALUE"""),"")</f>
        <v/>
      </c>
      <c r="AG918" s="35" t="str">
        <f>IFERROR(__xludf.DUMMYFUNCTION("""COMPUTED_VALUE"""),"%")</f>
        <v>%</v>
      </c>
      <c r="AH918" s="31"/>
      <c r="AI918" s="32"/>
      <c r="AJ918" s="67"/>
    </row>
    <row r="919" ht="24.75" hidden="1" customHeight="1">
      <c r="A919" s="40">
        <f>IFERROR(__xludf.DUMMYFUNCTION("""COMPUTED_VALUE"""),20.0)</f>
        <v>20</v>
      </c>
      <c r="B919" s="40" t="str">
        <f>IFERROR(__xludf.DUMMYFUNCTION("""COMPUTED_VALUE"""),"A112")</f>
        <v>A112</v>
      </c>
      <c r="C919" s="40"/>
      <c r="D919" s="41"/>
      <c r="E919" s="66"/>
      <c r="F919" s="43"/>
      <c r="G919" s="44"/>
      <c r="H919" s="33" t="str">
        <f>IFERROR(__xludf.DUMMYFUNCTION("""COMPUTED_VALUE""")," ")</f>
        <v> </v>
      </c>
      <c r="I919" s="45"/>
      <c r="J919" s="46" t="str">
        <f>IFERROR(__xludf.DUMMYFUNCTION("""COMPUTED_VALUE"""),"AP")</f>
        <v>AP</v>
      </c>
      <c r="K919" s="47"/>
      <c r="L919" s="48" t="str">
        <f>IFERROR(__xludf.DUMMYFUNCTION("""COMPUTED_VALUE"""),"%")</f>
        <v>%</v>
      </c>
      <c r="M919" s="49">
        <f>IFERROR(__xludf.DUMMYFUNCTION("""COMPUTED_VALUE"""),1.0)</f>
        <v>1</v>
      </c>
      <c r="N919" s="50"/>
      <c r="O919" s="38"/>
      <c r="P919" s="45" t="str">
        <f>IFERROR(__xludf.DUMMYFUNCTION("""COMPUTED_VALUE"""),"")</f>
        <v/>
      </c>
      <c r="Q919" s="46" t="str">
        <f>IFERROR(__xludf.DUMMYFUNCTION("""COMPUTED_VALUE"""),"AP")</f>
        <v>AP</v>
      </c>
      <c r="R919" s="47" t="str">
        <f>IFERROR(__xludf.DUMMYFUNCTION("""COMPUTED_VALUE"""),"")</f>
        <v/>
      </c>
      <c r="S919" s="48" t="str">
        <f>IFERROR(__xludf.DUMMYFUNCTION("""COMPUTED_VALUE"""),"%")</f>
        <v>%</v>
      </c>
      <c r="T919" s="49">
        <f>IFERROR(__xludf.DUMMYFUNCTION("""COMPUTED_VALUE"""),2.0)</f>
        <v>2</v>
      </c>
      <c r="U919" s="50"/>
      <c r="V919" s="38"/>
      <c r="W919" s="45" t="str">
        <f>IFERROR(__xludf.DUMMYFUNCTION("""COMPUTED_VALUE"""),"")</f>
        <v/>
      </c>
      <c r="X919" s="46" t="str">
        <f>IFERROR(__xludf.DUMMYFUNCTION("""COMPUTED_VALUE"""),"AP")</f>
        <v>AP</v>
      </c>
      <c r="Y919" s="47" t="str">
        <f>IFERROR(__xludf.DUMMYFUNCTION("""COMPUTED_VALUE"""),"")</f>
        <v/>
      </c>
      <c r="Z919" s="48" t="str">
        <f>IFERROR(__xludf.DUMMYFUNCTION("""COMPUTED_VALUE"""),"%")</f>
        <v>%</v>
      </c>
      <c r="AA919" s="49">
        <f>IFERROR(__xludf.DUMMYFUNCTION("""COMPUTED_VALUE"""),3.0)</f>
        <v>3</v>
      </c>
      <c r="AB919" s="50"/>
      <c r="AC919" s="38"/>
      <c r="AD919" s="45" t="str">
        <f>IFERROR(__xludf.DUMMYFUNCTION("""COMPUTED_VALUE"""),"")</f>
        <v/>
      </c>
      <c r="AE919" s="46" t="str">
        <f>IFERROR(__xludf.DUMMYFUNCTION("""COMPUTED_VALUE"""),"AP")</f>
        <v>AP</v>
      </c>
      <c r="AF919" s="47" t="str">
        <f>IFERROR(__xludf.DUMMYFUNCTION("""COMPUTED_VALUE"""),"")</f>
        <v/>
      </c>
      <c r="AG919" s="48" t="str">
        <f>IFERROR(__xludf.DUMMYFUNCTION("""COMPUTED_VALUE"""),"%")</f>
        <v>%</v>
      </c>
      <c r="AH919" s="43"/>
      <c r="AI919" s="44"/>
      <c r="AJ919" s="66"/>
    </row>
    <row r="920">
      <c r="A920" s="52"/>
      <c r="B920" s="53"/>
      <c r="C920" s="54"/>
      <c r="D920" s="56"/>
      <c r="E920" s="56"/>
      <c r="F920" s="53"/>
      <c r="G920" s="53"/>
      <c r="H920" s="53"/>
      <c r="I920" s="53"/>
      <c r="J920" s="57"/>
      <c r="K920" s="53"/>
      <c r="L920" s="57"/>
      <c r="M920" s="53"/>
      <c r="N920" s="53"/>
      <c r="O920" s="53"/>
      <c r="P920" s="53"/>
      <c r="Q920" s="57"/>
      <c r="R920" s="53"/>
      <c r="S920" s="57"/>
      <c r="T920" s="53"/>
      <c r="U920" s="53"/>
      <c r="V920" s="53"/>
      <c r="W920" s="53"/>
      <c r="X920" s="57"/>
      <c r="Y920" s="53"/>
      <c r="Z920" s="57"/>
      <c r="AA920" s="53"/>
      <c r="AB920" s="53"/>
      <c r="AC920" s="53"/>
      <c r="AD920" s="53"/>
      <c r="AE920" s="57"/>
      <c r="AF920" s="53"/>
      <c r="AG920" s="57"/>
      <c r="AH920" s="53"/>
      <c r="AI920" s="53"/>
      <c r="AJ920" s="56"/>
    </row>
    <row r="921">
      <c r="A921" s="59"/>
      <c r="B921" s="60"/>
      <c r="C921" s="61"/>
      <c r="D921" s="63"/>
      <c r="E921" s="63"/>
      <c r="F921" s="60"/>
      <c r="G921" s="60"/>
      <c r="H921" s="60"/>
      <c r="I921" s="60"/>
      <c r="J921" s="64"/>
      <c r="K921" s="60"/>
      <c r="L921" s="64"/>
      <c r="M921" s="60"/>
      <c r="N921" s="60"/>
      <c r="O921" s="60"/>
      <c r="P921" s="60"/>
      <c r="Q921" s="64"/>
      <c r="R921" s="60"/>
      <c r="S921" s="64"/>
      <c r="T921" s="60"/>
      <c r="U921" s="60"/>
      <c r="V921" s="60"/>
      <c r="W921" s="60"/>
      <c r="X921" s="64"/>
      <c r="Y921" s="60"/>
      <c r="Z921" s="64"/>
      <c r="AA921" s="60"/>
      <c r="AB921" s="60"/>
      <c r="AC921" s="60"/>
      <c r="AD921" s="60"/>
      <c r="AE921" s="64"/>
      <c r="AF921" s="60"/>
      <c r="AG921" s="64"/>
      <c r="AH921" s="60"/>
      <c r="AI921" s="60"/>
      <c r="AJ921" s="63"/>
    </row>
    <row r="922" ht="33.0" customHeight="1">
      <c r="A922" s="20" t="str">
        <f>IFERROR(__xludf.DUMMYFUNCTION("""COMPUTED_VALUE""")," ")</f>
        <v> </v>
      </c>
      <c r="B922" s="21" t="str">
        <f>IFERROR(__xludf.DUMMYFUNCTION("""COMPUTED_VALUE"""),"A113")</f>
        <v>A113</v>
      </c>
      <c r="C922" s="20"/>
      <c r="D922" s="257" t="str">
        <f>IFERROR(__xludf.DUMMYFUNCTION("""COMPUTED_VALUE"""),"")</f>
        <v/>
      </c>
      <c r="E922" s="23" t="str">
        <f>IFERROR(__xludf.DUMMYFUNCTION("""COMPUTED_VALUE"""),"Reactor Core of Dawn")</f>
        <v>Reactor Core of Dawn</v>
      </c>
      <c r="F922" s="24"/>
      <c r="G922" s="24"/>
      <c r="H922" s="25"/>
      <c r="I922" s="25"/>
      <c r="J922" s="26"/>
      <c r="K922" s="25"/>
      <c r="L922" s="26"/>
      <c r="M922" s="25"/>
      <c r="N922" s="25"/>
      <c r="O922" s="25"/>
      <c r="P922" s="25"/>
      <c r="Q922" s="26"/>
      <c r="R922" s="25"/>
      <c r="S922" s="26"/>
      <c r="T922" s="25"/>
      <c r="U922" s="25"/>
      <c r="V922" s="25"/>
      <c r="W922" s="25"/>
      <c r="X922" s="26"/>
      <c r="Y922" s="25"/>
      <c r="Z922" s="26"/>
      <c r="AA922" s="25"/>
      <c r="AB922" s="25"/>
      <c r="AC922" s="25"/>
      <c r="AD922" s="25"/>
      <c r="AE922" s="26"/>
      <c r="AF922" s="25"/>
      <c r="AG922" s="26"/>
      <c r="AH922" s="24"/>
      <c r="AI922" s="25"/>
      <c r="AJ922" s="23"/>
    </row>
    <row r="923" ht="24.75" customHeight="1">
      <c r="A923" s="28">
        <f>IFERROR(__xludf.DUMMYFUNCTION("""COMPUTED_VALUE"""),1.0)</f>
        <v>1</v>
      </c>
      <c r="B923" s="28" t="str">
        <f>IFERROR(__xludf.DUMMYFUNCTION("""COMPUTED_VALUE"""),"A113")</f>
        <v>A113</v>
      </c>
      <c r="C923" s="28" t="str">
        <f>IFERROR(__xludf.DUMMYFUNCTION("""COMPUTED_VALUE"""),"SIN7")</f>
        <v>SIN7</v>
      </c>
      <c r="D923" s="29" t="str">
        <f>IFERROR(__xludf.DUMMYFUNCTION("""COMPUTED_VALUE"""),"SIN")</f>
        <v>SIN</v>
      </c>
      <c r="E923" s="30" t="str">
        <f>IFERROR(__xludf.DUMMYFUNCTION("""COMPUTED_VALUE"""),"Prison Camp")</f>
        <v>Prison Camp</v>
      </c>
      <c r="F923" s="31">
        <f>IFERROR(__xludf.DUMMYFUNCTION("""COMPUTED_VALUE"""),21.0)</f>
        <v>21</v>
      </c>
      <c r="G923" s="32">
        <f>IFERROR(__xludf.DUMMYFUNCTION("""COMPUTED_VALUE"""),69306.0)</f>
        <v>69306</v>
      </c>
      <c r="H923" s="33" t="str">
        <f>IFERROR(__xludf.DUMMYFUNCTION("""COMPUTED_VALUE"""),"")</f>
        <v/>
      </c>
      <c r="I923" s="34">
        <f>IFERROR(__xludf.DUMMYFUNCTION("""COMPUTED_VALUE"""),104.18979528080344)</f>
        <v>104.1897953</v>
      </c>
      <c r="J923" s="35" t="str">
        <f>IFERROR(__xludf.DUMMYFUNCTION("""COMPUTED_VALUE"""),"AP")</f>
        <v>AP</v>
      </c>
      <c r="K923" s="34">
        <f>IFERROR(__xludf.DUMMYFUNCTION("""COMPUTED_VALUE"""),20.155524774189825)</f>
        <v>20.15552477</v>
      </c>
      <c r="L923" s="35" t="str">
        <f>IFERROR(__xludf.DUMMYFUNCTION("""COMPUTED_VALUE"""),"%")</f>
        <v>%</v>
      </c>
      <c r="M923" s="36">
        <f>IFERROR(__xludf.DUMMYFUNCTION("""COMPUTED_VALUE"""),1.0)</f>
        <v>1</v>
      </c>
      <c r="N923" s="37" t="str">
        <f>IFERROR(__xludf.DUMMYFUNCTION("""COMPUTED_VALUE"""),"A216")</f>
        <v>A216</v>
      </c>
      <c r="O923" s="38" t="str">
        <f>IFERROR(__xludf.DUMMYFUNCTION("""COMPUTED_VALUE"""),"")</f>
        <v/>
      </c>
      <c r="P923" s="34">
        <f>IFERROR(__xludf.DUMMYFUNCTION("""COMPUTED_VALUE"""),83.11361783791729)</f>
        <v>83.11361784</v>
      </c>
      <c r="Q923" s="35" t="str">
        <f>IFERROR(__xludf.DUMMYFUNCTION("""COMPUTED_VALUE"""),"AP")</f>
        <v>AP</v>
      </c>
      <c r="R923" s="34">
        <f>IFERROR(__xludf.DUMMYFUNCTION("""COMPUTED_VALUE"""),25.266617608865033)</f>
        <v>25.26661761</v>
      </c>
      <c r="S923" s="35" t="str">
        <f>IFERROR(__xludf.DUMMYFUNCTION("""COMPUTED_VALUE"""),"%")</f>
        <v>%</v>
      </c>
      <c r="T923" s="36">
        <f>IFERROR(__xludf.DUMMYFUNCTION("""COMPUTED_VALUE"""),2.0)</f>
        <v>2</v>
      </c>
      <c r="U923" s="37" t="str">
        <f>IFERROR(__xludf.DUMMYFUNCTION("""COMPUTED_VALUE"""),"B112")</f>
        <v>B112</v>
      </c>
      <c r="V923" s="38" t="str">
        <f>IFERROR(__xludf.DUMMYFUNCTION("""COMPUTED_VALUE"""),"")</f>
        <v/>
      </c>
      <c r="W923" s="34">
        <f>IFERROR(__xludf.DUMMYFUNCTION("""COMPUTED_VALUE"""),141.2613216030159)</f>
        <v>141.2613216</v>
      </c>
      <c r="X923" s="35" t="str">
        <f>IFERROR(__xludf.DUMMYFUNCTION("""COMPUTED_VALUE"""),"AP")</f>
        <v>AP</v>
      </c>
      <c r="Y923" s="34">
        <f>IFERROR(__xludf.DUMMYFUNCTION("""COMPUTED_VALUE"""),14.866065078320531)</f>
        <v>14.86606508</v>
      </c>
      <c r="Z923" s="35" t="str">
        <f>IFERROR(__xludf.DUMMYFUNCTION("""COMPUTED_VALUE"""),"%")</f>
        <v>%</v>
      </c>
      <c r="AA923" s="36">
        <f>IFERROR(__xludf.DUMMYFUNCTION("""COMPUTED_VALUE"""),3.0)</f>
        <v>3</v>
      </c>
      <c r="AB923" s="37" t="str">
        <f>IFERROR(__xludf.DUMMYFUNCTION("""COMPUTED_VALUE"""),"B116")</f>
        <v>B116</v>
      </c>
      <c r="AC923" s="38" t="str">
        <f>IFERROR(__xludf.DUMMYFUNCTION("""COMPUTED_VALUE"""),"")</f>
        <v/>
      </c>
      <c r="AD923" s="34">
        <f>IFERROR(__xludf.DUMMYFUNCTION("""COMPUTED_VALUE"""),104.51356772668363)</f>
        <v>104.5135677</v>
      </c>
      <c r="AE923" s="35" t="str">
        <f>IFERROR(__xludf.DUMMYFUNCTION("""COMPUTED_VALUE"""),"AP")</f>
        <v>AP</v>
      </c>
      <c r="AF923" s="34">
        <f>IFERROR(__xludf.DUMMYFUNCTION("""COMPUTED_VALUE"""),20.093085000138633)</f>
        <v>20.093085</v>
      </c>
      <c r="AG923" s="35" t="str">
        <f>IFERROR(__xludf.DUMMYFUNCTION("""COMPUTED_VALUE"""),"%")</f>
        <v>%</v>
      </c>
      <c r="AH923" s="31">
        <f>IFERROR(__xludf.DUMMYFUNCTION("""COMPUTED_VALUE"""),21.0)</f>
        <v>21</v>
      </c>
      <c r="AI923" s="32">
        <f>IFERROR(__xludf.DUMMYFUNCTION("""COMPUTED_VALUE"""),69306.0)</f>
        <v>69306</v>
      </c>
      <c r="AJ923" s="30" t="str">
        <f>IFERROR(__xludf.DUMMYFUNCTION("""COMPUTED_VALUE"""),"Prison Camp")</f>
        <v>Prison Camp</v>
      </c>
    </row>
    <row r="924" ht="24.75" customHeight="1">
      <c r="A924" s="40">
        <f>IFERROR(__xludf.DUMMYFUNCTION("""COMPUTED_VALUE"""),2.0)</f>
        <v>2</v>
      </c>
      <c r="B924" s="40" t="str">
        <f>IFERROR(__xludf.DUMMYFUNCTION("""COMPUTED_VALUE"""),"A113")</f>
        <v>A113</v>
      </c>
      <c r="C924" s="40" t="str">
        <f>IFERROR(__xludf.DUMMYFUNCTION("""COMPUTED_VALUE"""),"SIN8")</f>
        <v>SIN8</v>
      </c>
      <c r="D924" s="41" t="str">
        <f>IFERROR(__xludf.DUMMYFUNCTION("""COMPUTED_VALUE"""),"SIN")</f>
        <v>SIN</v>
      </c>
      <c r="E924" s="42" t="str">
        <f>IFERROR(__xludf.DUMMYFUNCTION("""COMPUTED_VALUE"""),"Shiquan Canyon")</f>
        <v>Shiquan Canyon</v>
      </c>
      <c r="F924" s="43">
        <f>IFERROR(__xludf.DUMMYFUNCTION("""COMPUTED_VALUE"""),21.0)</f>
        <v>21</v>
      </c>
      <c r="G924" s="44">
        <f>IFERROR(__xludf.DUMMYFUNCTION("""COMPUTED_VALUE"""),12354.0)</f>
        <v>12354</v>
      </c>
      <c r="H924" s="33" t="str">
        <f>IFERROR(__xludf.DUMMYFUNCTION("""COMPUTED_VALUE"""),"")</f>
        <v/>
      </c>
      <c r="I924" s="45">
        <f>IFERROR(__xludf.DUMMYFUNCTION("""COMPUTED_VALUE"""),105.09357530584138)</f>
        <v>105.0935753</v>
      </c>
      <c r="J924" s="46" t="str">
        <f>IFERROR(__xludf.DUMMYFUNCTION("""COMPUTED_VALUE"""),"AP")</f>
        <v>AP</v>
      </c>
      <c r="K924" s="47">
        <f>IFERROR(__xludf.DUMMYFUNCTION("""COMPUTED_VALUE"""),19.982192002590253)</f>
        <v>19.982192</v>
      </c>
      <c r="L924" s="48" t="str">
        <f>IFERROR(__xludf.DUMMYFUNCTION("""COMPUTED_VALUE"""),"%")</f>
        <v>%</v>
      </c>
      <c r="M924" s="49">
        <f>IFERROR(__xludf.DUMMYFUNCTION("""COMPUTED_VALUE"""),1.0)</f>
        <v>1</v>
      </c>
      <c r="N924" s="50" t="str">
        <f>IFERROR(__xludf.DUMMYFUNCTION("""COMPUTED_VALUE"""),"A206")</f>
        <v>A206</v>
      </c>
      <c r="O924" s="38" t="str">
        <f>IFERROR(__xludf.DUMMYFUNCTION("""COMPUTED_VALUE"""),"")</f>
        <v/>
      </c>
      <c r="P924" s="45">
        <f>IFERROR(__xludf.DUMMYFUNCTION("""COMPUTED_VALUE"""),69.6894043545603)</f>
        <v>69.68940435</v>
      </c>
      <c r="Q924" s="46" t="str">
        <f>IFERROR(__xludf.DUMMYFUNCTION("""COMPUTED_VALUE"""),"AP")</f>
        <v>AP</v>
      </c>
      <c r="R924" s="47">
        <f>IFERROR(__xludf.DUMMYFUNCTION("""COMPUTED_VALUE"""),30.133705682370085)</f>
        <v>30.13370568</v>
      </c>
      <c r="S924" s="48" t="str">
        <f>IFERROR(__xludf.DUMMYFUNCTION("""COMPUTED_VALUE"""),"%")</f>
        <v>%</v>
      </c>
      <c r="T924" s="49">
        <f>IFERROR(__xludf.DUMMYFUNCTION("""COMPUTED_VALUE"""),2.0)</f>
        <v>2</v>
      </c>
      <c r="U924" s="50" t="str">
        <f>IFERROR(__xludf.DUMMYFUNCTION("""COMPUTED_VALUE"""),"B112")</f>
        <v>B112</v>
      </c>
      <c r="V924" s="38" t="str">
        <f>IFERROR(__xludf.DUMMYFUNCTION("""COMPUTED_VALUE"""),"")</f>
        <v/>
      </c>
      <c r="W924" s="45">
        <f>IFERROR(__xludf.DUMMYFUNCTION("""COMPUTED_VALUE"""),107.43568750082656)</f>
        <v>107.4356875</v>
      </c>
      <c r="X924" s="46" t="str">
        <f>IFERROR(__xludf.DUMMYFUNCTION("""COMPUTED_VALUE"""),"AP")</f>
        <v>AP</v>
      </c>
      <c r="Y924" s="47">
        <f>IFERROR(__xludf.DUMMYFUNCTION("""COMPUTED_VALUE"""),19.54657757445675)</f>
        <v>19.54657757</v>
      </c>
      <c r="Z924" s="48" t="str">
        <f>IFERROR(__xludf.DUMMYFUNCTION("""COMPUTED_VALUE"""),"%")</f>
        <v>%</v>
      </c>
      <c r="AA924" s="49">
        <f>IFERROR(__xludf.DUMMYFUNCTION("""COMPUTED_VALUE"""),3.0)</f>
        <v>3</v>
      </c>
      <c r="AB924" s="50"/>
      <c r="AC924" s="38"/>
      <c r="AD924" s="45" t="str">
        <f>IFERROR(__xludf.DUMMYFUNCTION("""COMPUTED_VALUE"""),"")</f>
        <v/>
      </c>
      <c r="AE924" s="46" t="str">
        <f>IFERROR(__xludf.DUMMYFUNCTION("""COMPUTED_VALUE"""),"AP")</f>
        <v>AP</v>
      </c>
      <c r="AF924" s="47" t="str">
        <f>IFERROR(__xludf.DUMMYFUNCTION("""COMPUTED_VALUE"""),"")</f>
        <v/>
      </c>
      <c r="AG924" s="48" t="str">
        <f>IFERROR(__xludf.DUMMYFUNCTION("""COMPUTED_VALUE"""),"%")</f>
        <v>%</v>
      </c>
      <c r="AH924" s="43">
        <f>IFERROR(__xludf.DUMMYFUNCTION("""COMPUTED_VALUE"""),21.0)</f>
        <v>21</v>
      </c>
      <c r="AI924" s="44">
        <f>IFERROR(__xludf.DUMMYFUNCTION("""COMPUTED_VALUE"""),12354.0)</f>
        <v>12354</v>
      </c>
      <c r="AJ924" s="42" t="str">
        <f>IFERROR(__xludf.DUMMYFUNCTION("""COMPUTED_VALUE"""),"Shiquan Canyon")</f>
        <v>Shiquan Canyon</v>
      </c>
    </row>
    <row r="925" ht="24.75" customHeight="1">
      <c r="A925" s="28">
        <f>IFERROR(__xludf.DUMMYFUNCTION("""COMPUTED_VALUE"""),3.0)</f>
        <v>3</v>
      </c>
      <c r="B925" s="28" t="str">
        <f>IFERROR(__xludf.DUMMYFUNCTION("""COMPUTED_VALUE"""),"A113")</f>
        <v>A113</v>
      </c>
      <c r="C925" s="28" t="str">
        <f>IFERROR(__xludf.DUMMYFUNCTION("""COMPUTED_VALUE"""),"SIN10")</f>
        <v>SIN10</v>
      </c>
      <c r="D925" s="29" t="str">
        <f>IFERROR(__xludf.DUMMYFUNCTION("""COMPUTED_VALUE"""),"SIN")</f>
        <v>SIN</v>
      </c>
      <c r="E925" s="30" t="str">
        <f>IFERROR(__xludf.DUMMYFUNCTION("""COMPUTED_VALUE"""),"Xianyang")</f>
        <v>Xianyang</v>
      </c>
      <c r="F925" s="31">
        <f>IFERROR(__xludf.DUMMYFUNCTION("""COMPUTED_VALUE"""),21.0)</f>
        <v>21</v>
      </c>
      <c r="G925" s="32">
        <f>IFERROR(__xludf.DUMMYFUNCTION("""COMPUTED_VALUE"""),10370.0)</f>
        <v>10370</v>
      </c>
      <c r="H925" s="33" t="str">
        <f>IFERROR(__xludf.DUMMYFUNCTION("""COMPUTED_VALUE"""),"")</f>
        <v/>
      </c>
      <c r="I925" s="34">
        <f>IFERROR(__xludf.DUMMYFUNCTION("""COMPUTED_VALUE"""),131.9024368970674)</f>
        <v>131.9024369</v>
      </c>
      <c r="J925" s="35" t="str">
        <f>IFERROR(__xludf.DUMMYFUNCTION("""COMPUTED_VALUE"""),"AP")</f>
        <v>AP</v>
      </c>
      <c r="K925" s="34">
        <f>IFERROR(__xludf.DUMMYFUNCTION("""COMPUTED_VALUE"""),15.920858244937321)</f>
        <v>15.92085824</v>
      </c>
      <c r="L925" s="35" t="str">
        <f>IFERROR(__xludf.DUMMYFUNCTION("""COMPUTED_VALUE"""),"%")</f>
        <v>%</v>
      </c>
      <c r="M925" s="36">
        <f>IFERROR(__xludf.DUMMYFUNCTION("""COMPUTED_VALUE"""),1.0)</f>
        <v>1</v>
      </c>
      <c r="N925" s="37" t="str">
        <f>IFERROR(__xludf.DUMMYFUNCTION("""COMPUTED_VALUE"""),"A216")</f>
        <v>A216</v>
      </c>
      <c r="O925" s="38" t="str">
        <f>IFERROR(__xludf.DUMMYFUNCTION("""COMPUTED_VALUE"""),"")</f>
        <v/>
      </c>
      <c r="P925" s="34">
        <f>IFERROR(__xludf.DUMMYFUNCTION("""COMPUTED_VALUE"""),105.45389920840572)</f>
        <v>105.4538992</v>
      </c>
      <c r="Q925" s="35" t="str">
        <f>IFERROR(__xludf.DUMMYFUNCTION("""COMPUTED_VALUE"""),"AP")</f>
        <v>AP</v>
      </c>
      <c r="R925" s="34">
        <f>IFERROR(__xludf.DUMMYFUNCTION("""COMPUTED_VALUE"""),19.913915139826422)</f>
        <v>19.91391514</v>
      </c>
      <c r="S925" s="35" t="str">
        <f>IFERROR(__xludf.DUMMYFUNCTION("""COMPUTED_VALUE"""),"%")</f>
        <v>%</v>
      </c>
      <c r="T925" s="36">
        <f>IFERROR(__xludf.DUMMYFUNCTION("""COMPUTED_VALUE"""),2.0)</f>
        <v>2</v>
      </c>
      <c r="U925" s="37" t="str">
        <f>IFERROR(__xludf.DUMMYFUNCTION("""COMPUTED_VALUE"""),"A304")</f>
        <v>A304</v>
      </c>
      <c r="V925" s="38" t="str">
        <f>IFERROR(__xludf.DUMMYFUNCTION("""COMPUTED_VALUE"""),"")</f>
        <v/>
      </c>
      <c r="W925" s="34">
        <f>IFERROR(__xludf.DUMMYFUNCTION("""COMPUTED_VALUE"""),70.58722856395492)</f>
        <v>70.58722856</v>
      </c>
      <c r="X925" s="35" t="str">
        <f>IFERROR(__xludf.DUMMYFUNCTION("""COMPUTED_VALUE"""),"AP")</f>
        <v>AP</v>
      </c>
      <c r="Y925" s="34">
        <f>IFERROR(__xludf.DUMMYFUNCTION("""COMPUTED_VALUE"""),29.750424300867884)</f>
        <v>29.7504243</v>
      </c>
      <c r="Z925" s="35" t="str">
        <f>IFERROR(__xludf.DUMMYFUNCTION("""COMPUTED_VALUE"""),"%")</f>
        <v>%</v>
      </c>
      <c r="AA925" s="36">
        <f>IFERROR(__xludf.DUMMYFUNCTION("""COMPUTED_VALUE"""),3.0)</f>
        <v>3</v>
      </c>
      <c r="AB925" s="37" t="str">
        <f>IFERROR(__xludf.DUMMYFUNCTION("""COMPUTED_VALUE"""),"B112")</f>
        <v>B112</v>
      </c>
      <c r="AC925" s="38" t="str">
        <f>IFERROR(__xludf.DUMMYFUNCTION("""COMPUTED_VALUE"""),"")</f>
        <v/>
      </c>
      <c r="AD925" s="34">
        <f>IFERROR(__xludf.DUMMYFUNCTION("""COMPUTED_VALUE"""),137.410899695645)</f>
        <v>137.4108997</v>
      </c>
      <c r="AE925" s="35" t="str">
        <f>IFERROR(__xludf.DUMMYFUNCTION("""COMPUTED_VALUE"""),"AP")</f>
        <v>AP</v>
      </c>
      <c r="AF925" s="34">
        <f>IFERROR(__xludf.DUMMYFUNCTION("""COMPUTED_VALUE"""),15.28263045108754)</f>
        <v>15.28263045</v>
      </c>
      <c r="AG925" s="35" t="str">
        <f>IFERROR(__xludf.DUMMYFUNCTION("""COMPUTED_VALUE"""),"%")</f>
        <v>%</v>
      </c>
      <c r="AH925" s="31">
        <f>IFERROR(__xludf.DUMMYFUNCTION("""COMPUTED_VALUE"""),21.0)</f>
        <v>21</v>
      </c>
      <c r="AI925" s="32">
        <f>IFERROR(__xludf.DUMMYFUNCTION("""COMPUTED_VALUE"""),10370.0)</f>
        <v>10370</v>
      </c>
      <c r="AJ925" s="30" t="str">
        <f>IFERROR(__xludf.DUMMYFUNCTION("""COMPUTED_VALUE"""),"Xianyang")</f>
        <v>Xianyang</v>
      </c>
    </row>
    <row r="926" ht="24.75" customHeight="1">
      <c r="A926" s="40">
        <f>IFERROR(__xludf.DUMMYFUNCTION("""COMPUTED_VALUE"""),4.0)</f>
        <v>4</v>
      </c>
      <c r="B926" s="40" t="str">
        <f>IFERROR(__xludf.DUMMYFUNCTION("""COMPUTED_VALUE"""),"A113")</f>
        <v>A113</v>
      </c>
      <c r="C926" s="40" t="str">
        <f>IFERROR(__xludf.DUMMYFUNCTION("""COMPUTED_VALUE"""),"SIN5")</f>
        <v>SIN5</v>
      </c>
      <c r="D926" s="41" t="str">
        <f>IFERROR(__xludf.DUMMYFUNCTION("""COMPUTED_VALUE"""),"SIN")</f>
        <v>SIN</v>
      </c>
      <c r="E926" s="42" t="str">
        <f>IFERROR(__xludf.DUMMYFUNCTION("""COMPUTED_VALUE"""),"Jingyang Field")</f>
        <v>Jingyang Field</v>
      </c>
      <c r="F926" s="43">
        <f>IFERROR(__xludf.DUMMYFUNCTION("""COMPUTED_VALUE"""),21.0)</f>
        <v>21</v>
      </c>
      <c r="G926" s="44">
        <f>IFERROR(__xludf.DUMMYFUNCTION("""COMPUTED_VALUE"""),5897.0)</f>
        <v>5897</v>
      </c>
      <c r="H926" s="33" t="str">
        <f>IFERROR(__xludf.DUMMYFUNCTION("""COMPUTED_VALUE"""),"")</f>
        <v/>
      </c>
      <c r="I926" s="45">
        <f>IFERROR(__xludf.DUMMYFUNCTION("""COMPUTED_VALUE"""),133.47898819096235)</f>
        <v>133.4789882</v>
      </c>
      <c r="J926" s="46" t="str">
        <f>IFERROR(__xludf.DUMMYFUNCTION("""COMPUTED_VALUE"""),"AP")</f>
        <v>AP</v>
      </c>
      <c r="K926" s="47">
        <f>IFERROR(__xludf.DUMMYFUNCTION("""COMPUTED_VALUE"""),15.732813294895708)</f>
        <v>15.73281329</v>
      </c>
      <c r="L926" s="48" t="str">
        <f>IFERROR(__xludf.DUMMYFUNCTION("""COMPUTED_VALUE"""),"%")</f>
        <v>%</v>
      </c>
      <c r="M926" s="49">
        <f>IFERROR(__xludf.DUMMYFUNCTION("""COMPUTED_VALUE"""),1.0)</f>
        <v>1</v>
      </c>
      <c r="N926" s="50" t="str">
        <f>IFERROR(__xludf.DUMMYFUNCTION("""COMPUTED_VALUE"""),"A214")</f>
        <v>A214</v>
      </c>
      <c r="O926" s="38" t="str">
        <f>IFERROR(__xludf.DUMMYFUNCTION("""COMPUTED_VALUE"""),"")</f>
        <v/>
      </c>
      <c r="P926" s="45">
        <f>IFERROR(__xludf.DUMMYFUNCTION("""COMPUTED_VALUE"""),101.30942992431059)</f>
        <v>101.3094299</v>
      </c>
      <c r="Q926" s="46" t="str">
        <f>IFERROR(__xludf.DUMMYFUNCTION("""COMPUTED_VALUE"""),"AP")</f>
        <v>AP</v>
      </c>
      <c r="R926" s="47">
        <f>IFERROR(__xludf.DUMMYFUNCTION("""COMPUTED_VALUE"""),20.728573851110735)</f>
        <v>20.72857385</v>
      </c>
      <c r="S926" s="48" t="str">
        <f>IFERROR(__xludf.DUMMYFUNCTION("""COMPUTED_VALUE"""),"%")</f>
        <v>%</v>
      </c>
      <c r="T926" s="49">
        <f>IFERROR(__xludf.DUMMYFUNCTION("""COMPUTED_VALUE"""),2.0)</f>
        <v>2</v>
      </c>
      <c r="U926" s="50" t="str">
        <f>IFERROR(__xludf.DUMMYFUNCTION("""COMPUTED_VALUE"""),"A304")</f>
        <v>A304</v>
      </c>
      <c r="V926" s="38" t="str">
        <f>IFERROR(__xludf.DUMMYFUNCTION("""COMPUTED_VALUE"""),"")</f>
        <v/>
      </c>
      <c r="W926" s="45">
        <f>IFERROR(__xludf.DUMMYFUNCTION("""COMPUTED_VALUE"""),65.4705386012735)</f>
        <v>65.4705386</v>
      </c>
      <c r="X926" s="46" t="str">
        <f>IFERROR(__xludf.DUMMYFUNCTION("""COMPUTED_VALUE"""),"AP")</f>
        <v>AP</v>
      </c>
      <c r="Y926" s="47">
        <f>IFERROR(__xludf.DUMMYFUNCTION("""COMPUTED_VALUE"""),32.07549601492284)</f>
        <v>32.07549601</v>
      </c>
      <c r="Z926" s="48" t="str">
        <f>IFERROR(__xludf.DUMMYFUNCTION("""COMPUTED_VALUE"""),"%")</f>
        <v>%</v>
      </c>
      <c r="AA926" s="49">
        <f>IFERROR(__xludf.DUMMYFUNCTION("""COMPUTED_VALUE"""),3.0)</f>
        <v>3</v>
      </c>
      <c r="AB926" s="50" t="str">
        <f>IFERROR(__xludf.DUMMYFUNCTION("""COMPUTED_VALUE"""),"B112")</f>
        <v>B112</v>
      </c>
      <c r="AC926" s="38" t="str">
        <f>IFERROR(__xludf.DUMMYFUNCTION("""COMPUTED_VALUE"""),"")</f>
        <v/>
      </c>
      <c r="AD926" s="45">
        <f>IFERROR(__xludf.DUMMYFUNCTION("""COMPUTED_VALUE"""),207.89622396391587)</f>
        <v>207.896224</v>
      </c>
      <c r="AE926" s="46" t="str">
        <f>IFERROR(__xludf.DUMMYFUNCTION("""COMPUTED_VALUE"""),"AP")</f>
        <v>AP</v>
      </c>
      <c r="AF926" s="47">
        <f>IFERROR(__xludf.DUMMYFUNCTION("""COMPUTED_VALUE"""),10.101193566481)</f>
        <v>10.10119357</v>
      </c>
      <c r="AG926" s="48" t="str">
        <f>IFERROR(__xludf.DUMMYFUNCTION("""COMPUTED_VALUE"""),"%")</f>
        <v>%</v>
      </c>
      <c r="AH926" s="43">
        <f>IFERROR(__xludf.DUMMYFUNCTION("""COMPUTED_VALUE"""),21.0)</f>
        <v>21</v>
      </c>
      <c r="AI926" s="44">
        <f>IFERROR(__xludf.DUMMYFUNCTION("""COMPUTED_VALUE"""),5897.0)</f>
        <v>5897</v>
      </c>
      <c r="AJ926" s="42" t="str">
        <f>IFERROR(__xludf.DUMMYFUNCTION("""COMPUTED_VALUE"""),"Jingyang Field")</f>
        <v>Jingyang Field</v>
      </c>
    </row>
    <row r="927" ht="24.75" customHeight="1">
      <c r="A927" s="28">
        <f>IFERROR(__xludf.DUMMYFUNCTION("""COMPUTED_VALUE"""),5.0)</f>
        <v>5</v>
      </c>
      <c r="B927" s="28" t="str">
        <f>IFERROR(__xludf.DUMMYFUNCTION("""COMPUTED_VALUE"""),"A113")</f>
        <v>A113</v>
      </c>
      <c r="C927" s="28" t="str">
        <f>IFERROR(__xludf.DUMMYFUNCTION("""COMPUTED_VALUE"""),"SIN6")</f>
        <v>SIN6</v>
      </c>
      <c r="D927" s="29" t="str">
        <f>IFERROR(__xludf.DUMMYFUNCTION("""COMPUTED_VALUE"""),"SIN")</f>
        <v>SIN</v>
      </c>
      <c r="E927" s="30" t="str">
        <f>IFERROR(__xludf.DUMMYFUNCTION("""COMPUTED_VALUE"""),"Shanyang Hill")</f>
        <v>Shanyang Hill</v>
      </c>
      <c r="F927" s="31">
        <f>IFERROR(__xludf.DUMMYFUNCTION("""COMPUTED_VALUE"""),21.0)</f>
        <v>21</v>
      </c>
      <c r="G927" s="32">
        <f>IFERROR(__xludf.DUMMYFUNCTION("""COMPUTED_VALUE"""),5512.0)</f>
        <v>5512</v>
      </c>
      <c r="H927" s="33" t="str">
        <f>IFERROR(__xludf.DUMMYFUNCTION("""COMPUTED_VALUE"""),"")</f>
        <v/>
      </c>
      <c r="I927" s="34">
        <f>IFERROR(__xludf.DUMMYFUNCTION("""COMPUTED_VALUE"""),137.57463963792645)</f>
        <v>137.5746396</v>
      </c>
      <c r="J927" s="35" t="str">
        <f>IFERROR(__xludf.DUMMYFUNCTION("""COMPUTED_VALUE"""),"AP")</f>
        <v>AP</v>
      </c>
      <c r="K927" s="34">
        <f>IFERROR(__xludf.DUMMYFUNCTION("""COMPUTED_VALUE"""),15.264441219158199)</f>
        <v>15.26444122</v>
      </c>
      <c r="L927" s="35" t="str">
        <f>IFERROR(__xludf.DUMMYFUNCTION("""COMPUTED_VALUE"""),"%")</f>
        <v>%</v>
      </c>
      <c r="M927" s="36">
        <f>IFERROR(__xludf.DUMMYFUNCTION("""COMPUTED_VALUE"""),1.0)</f>
        <v>1</v>
      </c>
      <c r="N927" s="37" t="str">
        <f>IFERROR(__xludf.DUMMYFUNCTION("""COMPUTED_VALUE"""),"A304")</f>
        <v>A304</v>
      </c>
      <c r="O927" s="38" t="str">
        <f>IFERROR(__xludf.DUMMYFUNCTION("""COMPUTED_VALUE"""),"")</f>
        <v/>
      </c>
      <c r="P927" s="34">
        <f>IFERROR(__xludf.DUMMYFUNCTION("""COMPUTED_VALUE"""),71.88690072512911)</f>
        <v>71.88690073</v>
      </c>
      <c r="Q927" s="35" t="str">
        <f>IFERROR(__xludf.DUMMYFUNCTION("""COMPUTED_VALUE"""),"AP")</f>
        <v>AP</v>
      </c>
      <c r="R927" s="34">
        <f>IFERROR(__xludf.DUMMYFUNCTION("""COMPUTED_VALUE"""),29.21255442670537)</f>
        <v>29.21255443</v>
      </c>
      <c r="S927" s="35" t="str">
        <f>IFERROR(__xludf.DUMMYFUNCTION("""COMPUTED_VALUE"""),"%")</f>
        <v>%</v>
      </c>
      <c r="T927" s="36">
        <f>IFERROR(__xludf.DUMMYFUNCTION("""COMPUTED_VALUE"""),2.0)</f>
        <v>2</v>
      </c>
      <c r="U927" s="37" t="str">
        <f>IFERROR(__xludf.DUMMYFUNCTION("""COMPUTED_VALUE"""),"A306")</f>
        <v>A306</v>
      </c>
      <c r="V927" s="38" t="str">
        <f>IFERROR(__xludf.DUMMYFUNCTION("""COMPUTED_VALUE"""),"")</f>
        <v/>
      </c>
      <c r="W927" s="34">
        <f>IFERROR(__xludf.DUMMYFUNCTION("""COMPUTED_VALUE"""),69.63100117122433)</f>
        <v>69.63100117</v>
      </c>
      <c r="X927" s="35" t="str">
        <f>IFERROR(__xludf.DUMMYFUNCTION("""COMPUTED_VALUE"""),"AP")</f>
        <v>AP</v>
      </c>
      <c r="Y927" s="34">
        <f>IFERROR(__xludf.DUMMYFUNCTION("""COMPUTED_VALUE"""),30.15898040638607)</f>
        <v>30.15898041</v>
      </c>
      <c r="Z927" s="35" t="str">
        <f>IFERROR(__xludf.DUMMYFUNCTION("""COMPUTED_VALUE"""),"%")</f>
        <v>%</v>
      </c>
      <c r="AA927" s="36">
        <f>IFERROR(__xludf.DUMMYFUNCTION("""COMPUTED_VALUE"""),3.0)</f>
        <v>3</v>
      </c>
      <c r="AB927" s="37" t="str">
        <f>IFERROR(__xludf.DUMMYFUNCTION("""COMPUTED_VALUE"""),"B112")</f>
        <v>B112</v>
      </c>
      <c r="AC927" s="38" t="str">
        <f>IFERROR(__xludf.DUMMYFUNCTION("""COMPUTED_VALUE"""),"")</f>
        <v/>
      </c>
      <c r="AD927" s="34">
        <f>IFERROR(__xludf.DUMMYFUNCTION("""COMPUTED_VALUE"""),171.9114956989798)</f>
        <v>171.9114957</v>
      </c>
      <c r="AE927" s="35" t="str">
        <f>IFERROR(__xludf.DUMMYFUNCTION("""COMPUTED_VALUE"""),"AP")</f>
        <v>AP</v>
      </c>
      <c r="AF927" s="34">
        <f>IFERROR(__xludf.DUMMYFUNCTION("""COMPUTED_VALUE"""),12.215587977182974)</f>
        <v>12.21558798</v>
      </c>
      <c r="AG927" s="35" t="str">
        <f>IFERROR(__xludf.DUMMYFUNCTION("""COMPUTED_VALUE"""),"%")</f>
        <v>%</v>
      </c>
      <c r="AH927" s="31">
        <f>IFERROR(__xludf.DUMMYFUNCTION("""COMPUTED_VALUE"""),21.0)</f>
        <v>21</v>
      </c>
      <c r="AI927" s="32">
        <f>IFERROR(__xludf.DUMMYFUNCTION("""COMPUTED_VALUE"""),5512.0)</f>
        <v>5512</v>
      </c>
      <c r="AJ927" s="30" t="str">
        <f>IFERROR(__xludf.DUMMYFUNCTION("""COMPUTED_VALUE"""),"Shanyang Hill")</f>
        <v>Shanyang Hill</v>
      </c>
    </row>
    <row r="928" ht="24.75" customHeight="1">
      <c r="A928" s="40">
        <f>IFERROR(__xludf.DUMMYFUNCTION("""COMPUTED_VALUE"""),6.0)</f>
        <v>6</v>
      </c>
      <c r="B928" s="40" t="str">
        <f>IFERROR(__xludf.DUMMYFUNCTION("""COMPUTED_VALUE"""),"A113")</f>
        <v>A113</v>
      </c>
      <c r="C928" s="40"/>
      <c r="D928" s="41"/>
      <c r="E928" s="66"/>
      <c r="F928" s="43"/>
      <c r="G928" s="44"/>
      <c r="H928" s="33" t="str">
        <f>IFERROR(__xludf.DUMMYFUNCTION("""COMPUTED_VALUE""")," ")</f>
        <v> </v>
      </c>
      <c r="I928" s="45"/>
      <c r="J928" s="46" t="str">
        <f>IFERROR(__xludf.DUMMYFUNCTION("""COMPUTED_VALUE"""),"AP")</f>
        <v>AP</v>
      </c>
      <c r="K928" s="47"/>
      <c r="L928" s="48" t="str">
        <f>IFERROR(__xludf.DUMMYFUNCTION("""COMPUTED_VALUE"""),"%")</f>
        <v>%</v>
      </c>
      <c r="M928" s="49">
        <f>IFERROR(__xludf.DUMMYFUNCTION("""COMPUTED_VALUE"""),1.0)</f>
        <v>1</v>
      </c>
      <c r="N928" s="50"/>
      <c r="O928" s="38"/>
      <c r="P928" s="45" t="str">
        <f>IFERROR(__xludf.DUMMYFUNCTION("""COMPUTED_VALUE"""),"")</f>
        <v/>
      </c>
      <c r="Q928" s="46" t="str">
        <f>IFERROR(__xludf.DUMMYFUNCTION("""COMPUTED_VALUE"""),"AP")</f>
        <v>AP</v>
      </c>
      <c r="R928" s="47" t="str">
        <f>IFERROR(__xludf.DUMMYFUNCTION("""COMPUTED_VALUE"""),"")</f>
        <v/>
      </c>
      <c r="S928" s="48" t="str">
        <f>IFERROR(__xludf.DUMMYFUNCTION("""COMPUTED_VALUE"""),"%")</f>
        <v>%</v>
      </c>
      <c r="T928" s="49">
        <f>IFERROR(__xludf.DUMMYFUNCTION("""COMPUTED_VALUE"""),2.0)</f>
        <v>2</v>
      </c>
      <c r="U928" s="50"/>
      <c r="V928" s="38"/>
      <c r="W928" s="45" t="str">
        <f>IFERROR(__xludf.DUMMYFUNCTION("""COMPUTED_VALUE"""),"")</f>
        <v/>
      </c>
      <c r="X928" s="46" t="str">
        <f>IFERROR(__xludf.DUMMYFUNCTION("""COMPUTED_VALUE"""),"AP")</f>
        <v>AP</v>
      </c>
      <c r="Y928" s="47" t="str">
        <f>IFERROR(__xludf.DUMMYFUNCTION("""COMPUTED_VALUE"""),"")</f>
        <v/>
      </c>
      <c r="Z928" s="48" t="str">
        <f>IFERROR(__xludf.DUMMYFUNCTION("""COMPUTED_VALUE"""),"%")</f>
        <v>%</v>
      </c>
      <c r="AA928" s="49">
        <f>IFERROR(__xludf.DUMMYFUNCTION("""COMPUTED_VALUE"""),3.0)</f>
        <v>3</v>
      </c>
      <c r="AB928" s="50"/>
      <c r="AC928" s="38"/>
      <c r="AD928" s="45" t="str">
        <f>IFERROR(__xludf.DUMMYFUNCTION("""COMPUTED_VALUE"""),"")</f>
        <v/>
      </c>
      <c r="AE928" s="46" t="str">
        <f>IFERROR(__xludf.DUMMYFUNCTION("""COMPUTED_VALUE"""),"AP")</f>
        <v>AP</v>
      </c>
      <c r="AF928" s="47" t="str">
        <f>IFERROR(__xludf.DUMMYFUNCTION("""COMPUTED_VALUE"""),"")</f>
        <v/>
      </c>
      <c r="AG928" s="48" t="str">
        <f>IFERROR(__xludf.DUMMYFUNCTION("""COMPUTED_VALUE"""),"%")</f>
        <v>%</v>
      </c>
      <c r="AH928" s="43"/>
      <c r="AI928" s="44"/>
      <c r="AJ928" s="66"/>
    </row>
    <row r="929" ht="24.75" hidden="1" customHeight="1">
      <c r="A929" s="28">
        <f>IFERROR(__xludf.DUMMYFUNCTION("""COMPUTED_VALUE"""),7.0)</f>
        <v>7</v>
      </c>
      <c r="B929" s="28" t="str">
        <f>IFERROR(__xludf.DUMMYFUNCTION("""COMPUTED_VALUE"""),"A113")</f>
        <v>A113</v>
      </c>
      <c r="C929" s="28"/>
      <c r="D929" s="29"/>
      <c r="E929" s="67"/>
      <c r="F929" s="31"/>
      <c r="G929" s="32"/>
      <c r="H929" s="33" t="str">
        <f>IFERROR(__xludf.DUMMYFUNCTION("""COMPUTED_VALUE""")," ")</f>
        <v> </v>
      </c>
      <c r="I929" s="34"/>
      <c r="J929" s="35" t="str">
        <f>IFERROR(__xludf.DUMMYFUNCTION("""COMPUTED_VALUE"""),"AP")</f>
        <v>AP</v>
      </c>
      <c r="K929" s="34"/>
      <c r="L929" s="35" t="str">
        <f>IFERROR(__xludf.DUMMYFUNCTION("""COMPUTED_VALUE"""),"%")</f>
        <v>%</v>
      </c>
      <c r="M929" s="36">
        <f>IFERROR(__xludf.DUMMYFUNCTION("""COMPUTED_VALUE"""),1.0)</f>
        <v>1</v>
      </c>
      <c r="N929" s="37"/>
      <c r="O929" s="38"/>
      <c r="P929" s="34" t="str">
        <f>IFERROR(__xludf.DUMMYFUNCTION("""COMPUTED_VALUE"""),"")</f>
        <v/>
      </c>
      <c r="Q929" s="35" t="str">
        <f>IFERROR(__xludf.DUMMYFUNCTION("""COMPUTED_VALUE"""),"AP")</f>
        <v>AP</v>
      </c>
      <c r="R929" s="34" t="str">
        <f>IFERROR(__xludf.DUMMYFUNCTION("""COMPUTED_VALUE"""),"")</f>
        <v/>
      </c>
      <c r="S929" s="35" t="str">
        <f>IFERROR(__xludf.DUMMYFUNCTION("""COMPUTED_VALUE"""),"%")</f>
        <v>%</v>
      </c>
      <c r="T929" s="36">
        <f>IFERROR(__xludf.DUMMYFUNCTION("""COMPUTED_VALUE"""),2.0)</f>
        <v>2</v>
      </c>
      <c r="U929" s="37"/>
      <c r="V929" s="38"/>
      <c r="W929" s="34" t="str">
        <f>IFERROR(__xludf.DUMMYFUNCTION("""COMPUTED_VALUE"""),"")</f>
        <v/>
      </c>
      <c r="X929" s="35" t="str">
        <f>IFERROR(__xludf.DUMMYFUNCTION("""COMPUTED_VALUE"""),"AP")</f>
        <v>AP</v>
      </c>
      <c r="Y929" s="34" t="str">
        <f>IFERROR(__xludf.DUMMYFUNCTION("""COMPUTED_VALUE"""),"")</f>
        <v/>
      </c>
      <c r="Z929" s="35" t="str">
        <f>IFERROR(__xludf.DUMMYFUNCTION("""COMPUTED_VALUE"""),"%")</f>
        <v>%</v>
      </c>
      <c r="AA929" s="36">
        <f>IFERROR(__xludf.DUMMYFUNCTION("""COMPUTED_VALUE"""),3.0)</f>
        <v>3</v>
      </c>
      <c r="AB929" s="37"/>
      <c r="AC929" s="38"/>
      <c r="AD929" s="34" t="str">
        <f>IFERROR(__xludf.DUMMYFUNCTION("""COMPUTED_VALUE"""),"")</f>
        <v/>
      </c>
      <c r="AE929" s="35" t="str">
        <f>IFERROR(__xludf.DUMMYFUNCTION("""COMPUTED_VALUE"""),"AP")</f>
        <v>AP</v>
      </c>
      <c r="AF929" s="34" t="str">
        <f>IFERROR(__xludf.DUMMYFUNCTION("""COMPUTED_VALUE"""),"")</f>
        <v/>
      </c>
      <c r="AG929" s="35" t="str">
        <f>IFERROR(__xludf.DUMMYFUNCTION("""COMPUTED_VALUE"""),"%")</f>
        <v>%</v>
      </c>
      <c r="AH929" s="31"/>
      <c r="AI929" s="32"/>
      <c r="AJ929" s="67"/>
    </row>
    <row r="930" ht="24.75" hidden="1" customHeight="1">
      <c r="A930" s="40">
        <f>IFERROR(__xludf.DUMMYFUNCTION("""COMPUTED_VALUE"""),8.0)</f>
        <v>8</v>
      </c>
      <c r="B930" s="40" t="str">
        <f>IFERROR(__xludf.DUMMYFUNCTION("""COMPUTED_VALUE"""),"A113")</f>
        <v>A113</v>
      </c>
      <c r="C930" s="40"/>
      <c r="D930" s="41"/>
      <c r="E930" s="66"/>
      <c r="F930" s="43"/>
      <c r="G930" s="44"/>
      <c r="H930" s="33" t="str">
        <f>IFERROR(__xludf.DUMMYFUNCTION("""COMPUTED_VALUE""")," ")</f>
        <v> </v>
      </c>
      <c r="I930" s="45"/>
      <c r="J930" s="46" t="str">
        <f>IFERROR(__xludf.DUMMYFUNCTION("""COMPUTED_VALUE"""),"AP")</f>
        <v>AP</v>
      </c>
      <c r="K930" s="47"/>
      <c r="L930" s="48" t="str">
        <f>IFERROR(__xludf.DUMMYFUNCTION("""COMPUTED_VALUE"""),"%")</f>
        <v>%</v>
      </c>
      <c r="M930" s="49">
        <f>IFERROR(__xludf.DUMMYFUNCTION("""COMPUTED_VALUE"""),1.0)</f>
        <v>1</v>
      </c>
      <c r="N930" s="50"/>
      <c r="O930" s="38"/>
      <c r="P930" s="45" t="str">
        <f>IFERROR(__xludf.DUMMYFUNCTION("""COMPUTED_VALUE"""),"")</f>
        <v/>
      </c>
      <c r="Q930" s="46" t="str">
        <f>IFERROR(__xludf.DUMMYFUNCTION("""COMPUTED_VALUE"""),"AP")</f>
        <v>AP</v>
      </c>
      <c r="R930" s="47" t="str">
        <f>IFERROR(__xludf.DUMMYFUNCTION("""COMPUTED_VALUE"""),"")</f>
        <v/>
      </c>
      <c r="S930" s="48" t="str">
        <f>IFERROR(__xludf.DUMMYFUNCTION("""COMPUTED_VALUE"""),"%")</f>
        <v>%</v>
      </c>
      <c r="T930" s="49">
        <f>IFERROR(__xludf.DUMMYFUNCTION("""COMPUTED_VALUE"""),2.0)</f>
        <v>2</v>
      </c>
      <c r="U930" s="50"/>
      <c r="V930" s="38"/>
      <c r="W930" s="45" t="str">
        <f>IFERROR(__xludf.DUMMYFUNCTION("""COMPUTED_VALUE"""),"")</f>
        <v/>
      </c>
      <c r="X930" s="46" t="str">
        <f>IFERROR(__xludf.DUMMYFUNCTION("""COMPUTED_VALUE"""),"AP")</f>
        <v>AP</v>
      </c>
      <c r="Y930" s="47" t="str">
        <f>IFERROR(__xludf.DUMMYFUNCTION("""COMPUTED_VALUE"""),"")</f>
        <v/>
      </c>
      <c r="Z930" s="48" t="str">
        <f>IFERROR(__xludf.DUMMYFUNCTION("""COMPUTED_VALUE"""),"%")</f>
        <v>%</v>
      </c>
      <c r="AA930" s="49">
        <f>IFERROR(__xludf.DUMMYFUNCTION("""COMPUTED_VALUE"""),3.0)</f>
        <v>3</v>
      </c>
      <c r="AB930" s="50"/>
      <c r="AC930" s="38"/>
      <c r="AD930" s="45" t="str">
        <f>IFERROR(__xludf.DUMMYFUNCTION("""COMPUTED_VALUE"""),"")</f>
        <v/>
      </c>
      <c r="AE930" s="46" t="str">
        <f>IFERROR(__xludf.DUMMYFUNCTION("""COMPUTED_VALUE"""),"AP")</f>
        <v>AP</v>
      </c>
      <c r="AF930" s="47" t="str">
        <f>IFERROR(__xludf.DUMMYFUNCTION("""COMPUTED_VALUE"""),"")</f>
        <v/>
      </c>
      <c r="AG930" s="48" t="str">
        <f>IFERROR(__xludf.DUMMYFUNCTION("""COMPUTED_VALUE"""),"%")</f>
        <v>%</v>
      </c>
      <c r="AH930" s="43"/>
      <c r="AI930" s="44"/>
      <c r="AJ930" s="66"/>
    </row>
    <row r="931" ht="24.75" hidden="1" customHeight="1">
      <c r="A931" s="28">
        <f>IFERROR(__xludf.DUMMYFUNCTION("""COMPUTED_VALUE"""),9.0)</f>
        <v>9</v>
      </c>
      <c r="B931" s="28" t="str">
        <f>IFERROR(__xludf.DUMMYFUNCTION("""COMPUTED_VALUE"""),"A113")</f>
        <v>A113</v>
      </c>
      <c r="C931" s="28"/>
      <c r="D931" s="29"/>
      <c r="E931" s="67"/>
      <c r="F931" s="31"/>
      <c r="G931" s="32"/>
      <c r="H931" s="33" t="str">
        <f>IFERROR(__xludf.DUMMYFUNCTION("""COMPUTED_VALUE""")," ")</f>
        <v> </v>
      </c>
      <c r="I931" s="34"/>
      <c r="J931" s="35" t="str">
        <f>IFERROR(__xludf.DUMMYFUNCTION("""COMPUTED_VALUE"""),"AP")</f>
        <v>AP</v>
      </c>
      <c r="K931" s="34"/>
      <c r="L931" s="35" t="str">
        <f>IFERROR(__xludf.DUMMYFUNCTION("""COMPUTED_VALUE"""),"%")</f>
        <v>%</v>
      </c>
      <c r="M931" s="36">
        <f>IFERROR(__xludf.DUMMYFUNCTION("""COMPUTED_VALUE"""),1.0)</f>
        <v>1</v>
      </c>
      <c r="N931" s="37"/>
      <c r="O931" s="38"/>
      <c r="P931" s="34" t="str">
        <f>IFERROR(__xludf.DUMMYFUNCTION("""COMPUTED_VALUE"""),"")</f>
        <v/>
      </c>
      <c r="Q931" s="35" t="str">
        <f>IFERROR(__xludf.DUMMYFUNCTION("""COMPUTED_VALUE"""),"AP")</f>
        <v>AP</v>
      </c>
      <c r="R931" s="34" t="str">
        <f>IFERROR(__xludf.DUMMYFUNCTION("""COMPUTED_VALUE"""),"")</f>
        <v/>
      </c>
      <c r="S931" s="35" t="str">
        <f>IFERROR(__xludf.DUMMYFUNCTION("""COMPUTED_VALUE"""),"%")</f>
        <v>%</v>
      </c>
      <c r="T931" s="36">
        <f>IFERROR(__xludf.DUMMYFUNCTION("""COMPUTED_VALUE"""),2.0)</f>
        <v>2</v>
      </c>
      <c r="U931" s="37"/>
      <c r="V931" s="38"/>
      <c r="W931" s="34" t="str">
        <f>IFERROR(__xludf.DUMMYFUNCTION("""COMPUTED_VALUE"""),"")</f>
        <v/>
      </c>
      <c r="X931" s="35" t="str">
        <f>IFERROR(__xludf.DUMMYFUNCTION("""COMPUTED_VALUE"""),"AP")</f>
        <v>AP</v>
      </c>
      <c r="Y931" s="34" t="str">
        <f>IFERROR(__xludf.DUMMYFUNCTION("""COMPUTED_VALUE"""),"")</f>
        <v/>
      </c>
      <c r="Z931" s="35" t="str">
        <f>IFERROR(__xludf.DUMMYFUNCTION("""COMPUTED_VALUE"""),"%")</f>
        <v>%</v>
      </c>
      <c r="AA931" s="36">
        <f>IFERROR(__xludf.DUMMYFUNCTION("""COMPUTED_VALUE"""),3.0)</f>
        <v>3</v>
      </c>
      <c r="AB931" s="37"/>
      <c r="AC931" s="38"/>
      <c r="AD931" s="34" t="str">
        <f>IFERROR(__xludf.DUMMYFUNCTION("""COMPUTED_VALUE"""),"")</f>
        <v/>
      </c>
      <c r="AE931" s="35" t="str">
        <f>IFERROR(__xludf.DUMMYFUNCTION("""COMPUTED_VALUE"""),"AP")</f>
        <v>AP</v>
      </c>
      <c r="AF931" s="34" t="str">
        <f>IFERROR(__xludf.DUMMYFUNCTION("""COMPUTED_VALUE"""),"")</f>
        <v/>
      </c>
      <c r="AG931" s="35" t="str">
        <f>IFERROR(__xludf.DUMMYFUNCTION("""COMPUTED_VALUE"""),"%")</f>
        <v>%</v>
      </c>
      <c r="AH931" s="31"/>
      <c r="AI931" s="32"/>
      <c r="AJ931" s="67"/>
    </row>
    <row r="932" ht="24.75" hidden="1" customHeight="1">
      <c r="A932" s="40">
        <f>IFERROR(__xludf.DUMMYFUNCTION("""COMPUTED_VALUE"""),10.0)</f>
        <v>10</v>
      </c>
      <c r="B932" s="40" t="str">
        <f>IFERROR(__xludf.DUMMYFUNCTION("""COMPUTED_VALUE"""),"A113")</f>
        <v>A113</v>
      </c>
      <c r="C932" s="40"/>
      <c r="D932" s="41"/>
      <c r="E932" s="66"/>
      <c r="F932" s="43"/>
      <c r="G932" s="44"/>
      <c r="H932" s="33" t="str">
        <f>IFERROR(__xludf.DUMMYFUNCTION("""COMPUTED_VALUE""")," ")</f>
        <v> </v>
      </c>
      <c r="I932" s="45"/>
      <c r="J932" s="46" t="str">
        <f>IFERROR(__xludf.DUMMYFUNCTION("""COMPUTED_VALUE"""),"AP")</f>
        <v>AP</v>
      </c>
      <c r="K932" s="47"/>
      <c r="L932" s="48" t="str">
        <f>IFERROR(__xludf.DUMMYFUNCTION("""COMPUTED_VALUE"""),"%")</f>
        <v>%</v>
      </c>
      <c r="M932" s="49">
        <f>IFERROR(__xludf.DUMMYFUNCTION("""COMPUTED_VALUE"""),1.0)</f>
        <v>1</v>
      </c>
      <c r="N932" s="50"/>
      <c r="O932" s="38"/>
      <c r="P932" s="45" t="str">
        <f>IFERROR(__xludf.DUMMYFUNCTION("""COMPUTED_VALUE"""),"")</f>
        <v/>
      </c>
      <c r="Q932" s="46" t="str">
        <f>IFERROR(__xludf.DUMMYFUNCTION("""COMPUTED_VALUE"""),"AP")</f>
        <v>AP</v>
      </c>
      <c r="R932" s="47" t="str">
        <f>IFERROR(__xludf.DUMMYFUNCTION("""COMPUTED_VALUE"""),"")</f>
        <v/>
      </c>
      <c r="S932" s="48" t="str">
        <f>IFERROR(__xludf.DUMMYFUNCTION("""COMPUTED_VALUE"""),"%")</f>
        <v>%</v>
      </c>
      <c r="T932" s="49">
        <f>IFERROR(__xludf.DUMMYFUNCTION("""COMPUTED_VALUE"""),2.0)</f>
        <v>2</v>
      </c>
      <c r="U932" s="50"/>
      <c r="V932" s="38"/>
      <c r="W932" s="45" t="str">
        <f>IFERROR(__xludf.DUMMYFUNCTION("""COMPUTED_VALUE"""),"")</f>
        <v/>
      </c>
      <c r="X932" s="46" t="str">
        <f>IFERROR(__xludf.DUMMYFUNCTION("""COMPUTED_VALUE"""),"AP")</f>
        <v>AP</v>
      </c>
      <c r="Y932" s="47" t="str">
        <f>IFERROR(__xludf.DUMMYFUNCTION("""COMPUTED_VALUE"""),"")</f>
        <v/>
      </c>
      <c r="Z932" s="48" t="str">
        <f>IFERROR(__xludf.DUMMYFUNCTION("""COMPUTED_VALUE"""),"%")</f>
        <v>%</v>
      </c>
      <c r="AA932" s="49">
        <f>IFERROR(__xludf.DUMMYFUNCTION("""COMPUTED_VALUE"""),3.0)</f>
        <v>3</v>
      </c>
      <c r="AB932" s="50"/>
      <c r="AC932" s="38"/>
      <c r="AD932" s="45" t="str">
        <f>IFERROR(__xludf.DUMMYFUNCTION("""COMPUTED_VALUE"""),"")</f>
        <v/>
      </c>
      <c r="AE932" s="46" t="str">
        <f>IFERROR(__xludf.DUMMYFUNCTION("""COMPUTED_VALUE"""),"AP")</f>
        <v>AP</v>
      </c>
      <c r="AF932" s="47" t="str">
        <f>IFERROR(__xludf.DUMMYFUNCTION("""COMPUTED_VALUE"""),"")</f>
        <v/>
      </c>
      <c r="AG932" s="48" t="str">
        <f>IFERROR(__xludf.DUMMYFUNCTION("""COMPUTED_VALUE"""),"%")</f>
        <v>%</v>
      </c>
      <c r="AH932" s="43"/>
      <c r="AI932" s="44"/>
      <c r="AJ932" s="66"/>
    </row>
    <row r="933" ht="24.75" hidden="1" customHeight="1">
      <c r="A933" s="28">
        <f>IFERROR(__xludf.DUMMYFUNCTION("""COMPUTED_VALUE"""),11.0)</f>
        <v>11</v>
      </c>
      <c r="B933" s="28" t="str">
        <f>IFERROR(__xludf.DUMMYFUNCTION("""COMPUTED_VALUE"""),"A113")</f>
        <v>A113</v>
      </c>
      <c r="C933" s="28"/>
      <c r="D933" s="29"/>
      <c r="E933" s="67"/>
      <c r="F933" s="31"/>
      <c r="G933" s="32"/>
      <c r="H933" s="33" t="str">
        <f>IFERROR(__xludf.DUMMYFUNCTION("""COMPUTED_VALUE""")," ")</f>
        <v> </v>
      </c>
      <c r="I933" s="34"/>
      <c r="J933" s="35" t="str">
        <f>IFERROR(__xludf.DUMMYFUNCTION("""COMPUTED_VALUE"""),"AP")</f>
        <v>AP</v>
      </c>
      <c r="K933" s="34"/>
      <c r="L933" s="35" t="str">
        <f>IFERROR(__xludf.DUMMYFUNCTION("""COMPUTED_VALUE"""),"%")</f>
        <v>%</v>
      </c>
      <c r="M933" s="36">
        <f>IFERROR(__xludf.DUMMYFUNCTION("""COMPUTED_VALUE"""),1.0)</f>
        <v>1</v>
      </c>
      <c r="N933" s="37"/>
      <c r="O933" s="38"/>
      <c r="P933" s="34" t="str">
        <f>IFERROR(__xludf.DUMMYFUNCTION("""COMPUTED_VALUE"""),"")</f>
        <v/>
      </c>
      <c r="Q933" s="35" t="str">
        <f>IFERROR(__xludf.DUMMYFUNCTION("""COMPUTED_VALUE"""),"AP")</f>
        <v>AP</v>
      </c>
      <c r="R933" s="34" t="str">
        <f>IFERROR(__xludf.DUMMYFUNCTION("""COMPUTED_VALUE"""),"")</f>
        <v/>
      </c>
      <c r="S933" s="35" t="str">
        <f>IFERROR(__xludf.DUMMYFUNCTION("""COMPUTED_VALUE"""),"%")</f>
        <v>%</v>
      </c>
      <c r="T933" s="36">
        <f>IFERROR(__xludf.DUMMYFUNCTION("""COMPUTED_VALUE"""),2.0)</f>
        <v>2</v>
      </c>
      <c r="U933" s="37"/>
      <c r="V933" s="38"/>
      <c r="W933" s="34" t="str">
        <f>IFERROR(__xludf.DUMMYFUNCTION("""COMPUTED_VALUE"""),"")</f>
        <v/>
      </c>
      <c r="X933" s="35" t="str">
        <f>IFERROR(__xludf.DUMMYFUNCTION("""COMPUTED_VALUE"""),"AP")</f>
        <v>AP</v>
      </c>
      <c r="Y933" s="34" t="str">
        <f>IFERROR(__xludf.DUMMYFUNCTION("""COMPUTED_VALUE"""),"")</f>
        <v/>
      </c>
      <c r="Z933" s="35" t="str">
        <f>IFERROR(__xludf.DUMMYFUNCTION("""COMPUTED_VALUE"""),"%")</f>
        <v>%</v>
      </c>
      <c r="AA933" s="36">
        <f>IFERROR(__xludf.DUMMYFUNCTION("""COMPUTED_VALUE"""),3.0)</f>
        <v>3</v>
      </c>
      <c r="AB933" s="37"/>
      <c r="AC933" s="38"/>
      <c r="AD933" s="34" t="str">
        <f>IFERROR(__xludf.DUMMYFUNCTION("""COMPUTED_VALUE"""),"")</f>
        <v/>
      </c>
      <c r="AE933" s="35" t="str">
        <f>IFERROR(__xludf.DUMMYFUNCTION("""COMPUTED_VALUE"""),"AP")</f>
        <v>AP</v>
      </c>
      <c r="AF933" s="34" t="str">
        <f>IFERROR(__xludf.DUMMYFUNCTION("""COMPUTED_VALUE"""),"")</f>
        <v/>
      </c>
      <c r="AG933" s="35" t="str">
        <f>IFERROR(__xludf.DUMMYFUNCTION("""COMPUTED_VALUE"""),"%")</f>
        <v>%</v>
      </c>
      <c r="AH933" s="31"/>
      <c r="AI933" s="32"/>
      <c r="AJ933" s="67"/>
    </row>
    <row r="934" ht="24.75" hidden="1" customHeight="1">
      <c r="A934" s="40">
        <f>IFERROR(__xludf.DUMMYFUNCTION("""COMPUTED_VALUE"""),12.0)</f>
        <v>12</v>
      </c>
      <c r="B934" s="40" t="str">
        <f>IFERROR(__xludf.DUMMYFUNCTION("""COMPUTED_VALUE"""),"A113")</f>
        <v>A113</v>
      </c>
      <c r="C934" s="40"/>
      <c r="D934" s="41"/>
      <c r="E934" s="66"/>
      <c r="F934" s="43"/>
      <c r="G934" s="44"/>
      <c r="H934" s="33" t="str">
        <f>IFERROR(__xludf.DUMMYFUNCTION("""COMPUTED_VALUE""")," ")</f>
        <v> </v>
      </c>
      <c r="I934" s="45"/>
      <c r="J934" s="46" t="str">
        <f>IFERROR(__xludf.DUMMYFUNCTION("""COMPUTED_VALUE"""),"AP")</f>
        <v>AP</v>
      </c>
      <c r="K934" s="47"/>
      <c r="L934" s="48" t="str">
        <f>IFERROR(__xludf.DUMMYFUNCTION("""COMPUTED_VALUE"""),"%")</f>
        <v>%</v>
      </c>
      <c r="M934" s="49">
        <f>IFERROR(__xludf.DUMMYFUNCTION("""COMPUTED_VALUE"""),1.0)</f>
        <v>1</v>
      </c>
      <c r="N934" s="50"/>
      <c r="O934" s="38"/>
      <c r="P934" s="45" t="str">
        <f>IFERROR(__xludf.DUMMYFUNCTION("""COMPUTED_VALUE"""),"")</f>
        <v/>
      </c>
      <c r="Q934" s="46" t="str">
        <f>IFERROR(__xludf.DUMMYFUNCTION("""COMPUTED_VALUE"""),"AP")</f>
        <v>AP</v>
      </c>
      <c r="R934" s="47" t="str">
        <f>IFERROR(__xludf.DUMMYFUNCTION("""COMPUTED_VALUE"""),"")</f>
        <v/>
      </c>
      <c r="S934" s="48" t="str">
        <f>IFERROR(__xludf.DUMMYFUNCTION("""COMPUTED_VALUE"""),"%")</f>
        <v>%</v>
      </c>
      <c r="T934" s="49">
        <f>IFERROR(__xludf.DUMMYFUNCTION("""COMPUTED_VALUE"""),2.0)</f>
        <v>2</v>
      </c>
      <c r="U934" s="50"/>
      <c r="V934" s="38"/>
      <c r="W934" s="45" t="str">
        <f>IFERROR(__xludf.DUMMYFUNCTION("""COMPUTED_VALUE"""),"")</f>
        <v/>
      </c>
      <c r="X934" s="46" t="str">
        <f>IFERROR(__xludf.DUMMYFUNCTION("""COMPUTED_VALUE"""),"AP")</f>
        <v>AP</v>
      </c>
      <c r="Y934" s="47" t="str">
        <f>IFERROR(__xludf.DUMMYFUNCTION("""COMPUTED_VALUE"""),"")</f>
        <v/>
      </c>
      <c r="Z934" s="48" t="str">
        <f>IFERROR(__xludf.DUMMYFUNCTION("""COMPUTED_VALUE"""),"%")</f>
        <v>%</v>
      </c>
      <c r="AA934" s="49">
        <f>IFERROR(__xludf.DUMMYFUNCTION("""COMPUTED_VALUE"""),3.0)</f>
        <v>3</v>
      </c>
      <c r="AB934" s="50"/>
      <c r="AC934" s="38"/>
      <c r="AD934" s="45" t="str">
        <f>IFERROR(__xludf.DUMMYFUNCTION("""COMPUTED_VALUE"""),"")</f>
        <v/>
      </c>
      <c r="AE934" s="46" t="str">
        <f>IFERROR(__xludf.DUMMYFUNCTION("""COMPUTED_VALUE"""),"AP")</f>
        <v>AP</v>
      </c>
      <c r="AF934" s="47" t="str">
        <f>IFERROR(__xludf.DUMMYFUNCTION("""COMPUTED_VALUE"""),"")</f>
        <v/>
      </c>
      <c r="AG934" s="48" t="str">
        <f>IFERROR(__xludf.DUMMYFUNCTION("""COMPUTED_VALUE"""),"%")</f>
        <v>%</v>
      </c>
      <c r="AH934" s="43"/>
      <c r="AI934" s="44"/>
      <c r="AJ934" s="66"/>
    </row>
    <row r="935" ht="24.75" hidden="1" customHeight="1">
      <c r="A935" s="28">
        <f>IFERROR(__xludf.DUMMYFUNCTION("""COMPUTED_VALUE"""),13.0)</f>
        <v>13</v>
      </c>
      <c r="B935" s="28" t="str">
        <f>IFERROR(__xludf.DUMMYFUNCTION("""COMPUTED_VALUE"""),"A113")</f>
        <v>A113</v>
      </c>
      <c r="C935" s="28"/>
      <c r="D935" s="29"/>
      <c r="E935" s="67"/>
      <c r="F935" s="31"/>
      <c r="G935" s="32"/>
      <c r="H935" s="33" t="str">
        <f>IFERROR(__xludf.DUMMYFUNCTION("""COMPUTED_VALUE""")," ")</f>
        <v> </v>
      </c>
      <c r="I935" s="34"/>
      <c r="J935" s="35" t="str">
        <f>IFERROR(__xludf.DUMMYFUNCTION("""COMPUTED_VALUE"""),"AP")</f>
        <v>AP</v>
      </c>
      <c r="K935" s="34"/>
      <c r="L935" s="35" t="str">
        <f>IFERROR(__xludf.DUMMYFUNCTION("""COMPUTED_VALUE"""),"%")</f>
        <v>%</v>
      </c>
      <c r="M935" s="36">
        <f>IFERROR(__xludf.DUMMYFUNCTION("""COMPUTED_VALUE"""),1.0)</f>
        <v>1</v>
      </c>
      <c r="N935" s="37"/>
      <c r="O935" s="38"/>
      <c r="P935" s="34" t="str">
        <f>IFERROR(__xludf.DUMMYFUNCTION("""COMPUTED_VALUE"""),"")</f>
        <v/>
      </c>
      <c r="Q935" s="35" t="str">
        <f>IFERROR(__xludf.DUMMYFUNCTION("""COMPUTED_VALUE"""),"AP")</f>
        <v>AP</v>
      </c>
      <c r="R935" s="34" t="str">
        <f>IFERROR(__xludf.DUMMYFUNCTION("""COMPUTED_VALUE"""),"")</f>
        <v/>
      </c>
      <c r="S935" s="35" t="str">
        <f>IFERROR(__xludf.DUMMYFUNCTION("""COMPUTED_VALUE"""),"%")</f>
        <v>%</v>
      </c>
      <c r="T935" s="36">
        <f>IFERROR(__xludf.DUMMYFUNCTION("""COMPUTED_VALUE"""),2.0)</f>
        <v>2</v>
      </c>
      <c r="U935" s="37"/>
      <c r="V935" s="38"/>
      <c r="W935" s="34" t="str">
        <f>IFERROR(__xludf.DUMMYFUNCTION("""COMPUTED_VALUE"""),"")</f>
        <v/>
      </c>
      <c r="X935" s="35" t="str">
        <f>IFERROR(__xludf.DUMMYFUNCTION("""COMPUTED_VALUE"""),"AP")</f>
        <v>AP</v>
      </c>
      <c r="Y935" s="34" t="str">
        <f>IFERROR(__xludf.DUMMYFUNCTION("""COMPUTED_VALUE"""),"")</f>
        <v/>
      </c>
      <c r="Z935" s="35" t="str">
        <f>IFERROR(__xludf.DUMMYFUNCTION("""COMPUTED_VALUE"""),"%")</f>
        <v>%</v>
      </c>
      <c r="AA935" s="36">
        <f>IFERROR(__xludf.DUMMYFUNCTION("""COMPUTED_VALUE"""),3.0)</f>
        <v>3</v>
      </c>
      <c r="AB935" s="37"/>
      <c r="AC935" s="38"/>
      <c r="AD935" s="34" t="str">
        <f>IFERROR(__xludf.DUMMYFUNCTION("""COMPUTED_VALUE"""),"")</f>
        <v/>
      </c>
      <c r="AE935" s="35" t="str">
        <f>IFERROR(__xludf.DUMMYFUNCTION("""COMPUTED_VALUE"""),"AP")</f>
        <v>AP</v>
      </c>
      <c r="AF935" s="34" t="str">
        <f>IFERROR(__xludf.DUMMYFUNCTION("""COMPUTED_VALUE"""),"")</f>
        <v/>
      </c>
      <c r="AG935" s="35" t="str">
        <f>IFERROR(__xludf.DUMMYFUNCTION("""COMPUTED_VALUE"""),"%")</f>
        <v>%</v>
      </c>
      <c r="AH935" s="31"/>
      <c r="AI935" s="32"/>
      <c r="AJ935" s="67"/>
    </row>
    <row r="936" ht="24.75" hidden="1" customHeight="1">
      <c r="A936" s="40">
        <f>IFERROR(__xludf.DUMMYFUNCTION("""COMPUTED_VALUE"""),14.0)</f>
        <v>14</v>
      </c>
      <c r="B936" s="40" t="str">
        <f>IFERROR(__xludf.DUMMYFUNCTION("""COMPUTED_VALUE"""),"A113")</f>
        <v>A113</v>
      </c>
      <c r="C936" s="40"/>
      <c r="D936" s="41"/>
      <c r="E936" s="66"/>
      <c r="F936" s="43"/>
      <c r="G936" s="44"/>
      <c r="H936" s="33" t="str">
        <f>IFERROR(__xludf.DUMMYFUNCTION("""COMPUTED_VALUE""")," ")</f>
        <v> </v>
      </c>
      <c r="I936" s="45"/>
      <c r="J936" s="46" t="str">
        <f>IFERROR(__xludf.DUMMYFUNCTION("""COMPUTED_VALUE"""),"AP")</f>
        <v>AP</v>
      </c>
      <c r="K936" s="47"/>
      <c r="L936" s="48" t="str">
        <f>IFERROR(__xludf.DUMMYFUNCTION("""COMPUTED_VALUE"""),"%")</f>
        <v>%</v>
      </c>
      <c r="M936" s="49">
        <f>IFERROR(__xludf.DUMMYFUNCTION("""COMPUTED_VALUE"""),1.0)</f>
        <v>1</v>
      </c>
      <c r="N936" s="50"/>
      <c r="O936" s="38"/>
      <c r="P936" s="45" t="str">
        <f>IFERROR(__xludf.DUMMYFUNCTION("""COMPUTED_VALUE"""),"")</f>
        <v/>
      </c>
      <c r="Q936" s="46" t="str">
        <f>IFERROR(__xludf.DUMMYFUNCTION("""COMPUTED_VALUE"""),"AP")</f>
        <v>AP</v>
      </c>
      <c r="R936" s="47" t="str">
        <f>IFERROR(__xludf.DUMMYFUNCTION("""COMPUTED_VALUE"""),"")</f>
        <v/>
      </c>
      <c r="S936" s="48" t="str">
        <f>IFERROR(__xludf.DUMMYFUNCTION("""COMPUTED_VALUE"""),"%")</f>
        <v>%</v>
      </c>
      <c r="T936" s="49">
        <f>IFERROR(__xludf.DUMMYFUNCTION("""COMPUTED_VALUE"""),2.0)</f>
        <v>2</v>
      </c>
      <c r="U936" s="50"/>
      <c r="V936" s="38"/>
      <c r="W936" s="45" t="str">
        <f>IFERROR(__xludf.DUMMYFUNCTION("""COMPUTED_VALUE"""),"")</f>
        <v/>
      </c>
      <c r="X936" s="46" t="str">
        <f>IFERROR(__xludf.DUMMYFUNCTION("""COMPUTED_VALUE"""),"AP")</f>
        <v>AP</v>
      </c>
      <c r="Y936" s="47" t="str">
        <f>IFERROR(__xludf.DUMMYFUNCTION("""COMPUTED_VALUE"""),"")</f>
        <v/>
      </c>
      <c r="Z936" s="48" t="str">
        <f>IFERROR(__xludf.DUMMYFUNCTION("""COMPUTED_VALUE"""),"%")</f>
        <v>%</v>
      </c>
      <c r="AA936" s="49">
        <f>IFERROR(__xludf.DUMMYFUNCTION("""COMPUTED_VALUE"""),3.0)</f>
        <v>3</v>
      </c>
      <c r="AB936" s="50"/>
      <c r="AC936" s="38"/>
      <c r="AD936" s="45" t="str">
        <f>IFERROR(__xludf.DUMMYFUNCTION("""COMPUTED_VALUE"""),"")</f>
        <v/>
      </c>
      <c r="AE936" s="46" t="str">
        <f>IFERROR(__xludf.DUMMYFUNCTION("""COMPUTED_VALUE"""),"AP")</f>
        <v>AP</v>
      </c>
      <c r="AF936" s="47" t="str">
        <f>IFERROR(__xludf.DUMMYFUNCTION("""COMPUTED_VALUE"""),"")</f>
        <v/>
      </c>
      <c r="AG936" s="48" t="str">
        <f>IFERROR(__xludf.DUMMYFUNCTION("""COMPUTED_VALUE"""),"%")</f>
        <v>%</v>
      </c>
      <c r="AH936" s="43"/>
      <c r="AI936" s="44"/>
      <c r="AJ936" s="66"/>
    </row>
    <row r="937" ht="24.75" hidden="1" customHeight="1">
      <c r="A937" s="28">
        <f>IFERROR(__xludf.DUMMYFUNCTION("""COMPUTED_VALUE"""),15.0)</f>
        <v>15</v>
      </c>
      <c r="B937" s="28" t="str">
        <f>IFERROR(__xludf.DUMMYFUNCTION("""COMPUTED_VALUE"""),"A113")</f>
        <v>A113</v>
      </c>
      <c r="C937" s="28"/>
      <c r="D937" s="29"/>
      <c r="E937" s="67"/>
      <c r="F937" s="31"/>
      <c r="G937" s="32"/>
      <c r="H937" s="33" t="str">
        <f>IFERROR(__xludf.DUMMYFUNCTION("""COMPUTED_VALUE""")," ")</f>
        <v> </v>
      </c>
      <c r="I937" s="34"/>
      <c r="J937" s="35" t="str">
        <f>IFERROR(__xludf.DUMMYFUNCTION("""COMPUTED_VALUE"""),"AP")</f>
        <v>AP</v>
      </c>
      <c r="K937" s="34"/>
      <c r="L937" s="35" t="str">
        <f>IFERROR(__xludf.DUMMYFUNCTION("""COMPUTED_VALUE"""),"%")</f>
        <v>%</v>
      </c>
      <c r="M937" s="36">
        <f>IFERROR(__xludf.DUMMYFUNCTION("""COMPUTED_VALUE"""),1.0)</f>
        <v>1</v>
      </c>
      <c r="N937" s="37"/>
      <c r="O937" s="38"/>
      <c r="P937" s="34" t="str">
        <f>IFERROR(__xludf.DUMMYFUNCTION("""COMPUTED_VALUE"""),"")</f>
        <v/>
      </c>
      <c r="Q937" s="35" t="str">
        <f>IFERROR(__xludf.DUMMYFUNCTION("""COMPUTED_VALUE"""),"AP")</f>
        <v>AP</v>
      </c>
      <c r="R937" s="34" t="str">
        <f>IFERROR(__xludf.DUMMYFUNCTION("""COMPUTED_VALUE"""),"")</f>
        <v/>
      </c>
      <c r="S937" s="35" t="str">
        <f>IFERROR(__xludf.DUMMYFUNCTION("""COMPUTED_VALUE"""),"%")</f>
        <v>%</v>
      </c>
      <c r="T937" s="36">
        <f>IFERROR(__xludf.DUMMYFUNCTION("""COMPUTED_VALUE"""),2.0)</f>
        <v>2</v>
      </c>
      <c r="U937" s="37"/>
      <c r="V937" s="38"/>
      <c r="W937" s="34" t="str">
        <f>IFERROR(__xludf.DUMMYFUNCTION("""COMPUTED_VALUE"""),"")</f>
        <v/>
      </c>
      <c r="X937" s="35" t="str">
        <f>IFERROR(__xludf.DUMMYFUNCTION("""COMPUTED_VALUE"""),"AP")</f>
        <v>AP</v>
      </c>
      <c r="Y937" s="34" t="str">
        <f>IFERROR(__xludf.DUMMYFUNCTION("""COMPUTED_VALUE"""),"")</f>
        <v/>
      </c>
      <c r="Z937" s="35" t="str">
        <f>IFERROR(__xludf.DUMMYFUNCTION("""COMPUTED_VALUE"""),"%")</f>
        <v>%</v>
      </c>
      <c r="AA937" s="36">
        <f>IFERROR(__xludf.DUMMYFUNCTION("""COMPUTED_VALUE"""),3.0)</f>
        <v>3</v>
      </c>
      <c r="AB937" s="37"/>
      <c r="AC937" s="38"/>
      <c r="AD937" s="34" t="str">
        <f>IFERROR(__xludf.DUMMYFUNCTION("""COMPUTED_VALUE"""),"")</f>
        <v/>
      </c>
      <c r="AE937" s="35" t="str">
        <f>IFERROR(__xludf.DUMMYFUNCTION("""COMPUTED_VALUE"""),"AP")</f>
        <v>AP</v>
      </c>
      <c r="AF937" s="34" t="str">
        <f>IFERROR(__xludf.DUMMYFUNCTION("""COMPUTED_VALUE"""),"")</f>
        <v/>
      </c>
      <c r="AG937" s="35" t="str">
        <f>IFERROR(__xludf.DUMMYFUNCTION("""COMPUTED_VALUE"""),"%")</f>
        <v>%</v>
      </c>
      <c r="AH937" s="31"/>
      <c r="AI937" s="32"/>
      <c r="AJ937" s="67"/>
    </row>
    <row r="938" ht="24.75" hidden="1" customHeight="1">
      <c r="A938" s="40">
        <f>IFERROR(__xludf.DUMMYFUNCTION("""COMPUTED_VALUE"""),16.0)</f>
        <v>16</v>
      </c>
      <c r="B938" s="40" t="str">
        <f>IFERROR(__xludf.DUMMYFUNCTION("""COMPUTED_VALUE"""),"A113")</f>
        <v>A113</v>
      </c>
      <c r="C938" s="40"/>
      <c r="D938" s="41"/>
      <c r="E938" s="66"/>
      <c r="F938" s="43"/>
      <c r="G938" s="44"/>
      <c r="H938" s="33" t="str">
        <f>IFERROR(__xludf.DUMMYFUNCTION("""COMPUTED_VALUE""")," ")</f>
        <v> </v>
      </c>
      <c r="I938" s="45"/>
      <c r="J938" s="46" t="str">
        <f>IFERROR(__xludf.DUMMYFUNCTION("""COMPUTED_VALUE"""),"AP")</f>
        <v>AP</v>
      </c>
      <c r="K938" s="47"/>
      <c r="L938" s="48" t="str">
        <f>IFERROR(__xludf.DUMMYFUNCTION("""COMPUTED_VALUE"""),"%")</f>
        <v>%</v>
      </c>
      <c r="M938" s="49">
        <f>IFERROR(__xludf.DUMMYFUNCTION("""COMPUTED_VALUE"""),1.0)</f>
        <v>1</v>
      </c>
      <c r="N938" s="50"/>
      <c r="O938" s="38"/>
      <c r="P938" s="45" t="str">
        <f>IFERROR(__xludf.DUMMYFUNCTION("""COMPUTED_VALUE"""),"")</f>
        <v/>
      </c>
      <c r="Q938" s="46" t="str">
        <f>IFERROR(__xludf.DUMMYFUNCTION("""COMPUTED_VALUE"""),"AP")</f>
        <v>AP</v>
      </c>
      <c r="R938" s="47" t="str">
        <f>IFERROR(__xludf.DUMMYFUNCTION("""COMPUTED_VALUE"""),"")</f>
        <v/>
      </c>
      <c r="S938" s="48" t="str">
        <f>IFERROR(__xludf.DUMMYFUNCTION("""COMPUTED_VALUE"""),"%")</f>
        <v>%</v>
      </c>
      <c r="T938" s="49">
        <f>IFERROR(__xludf.DUMMYFUNCTION("""COMPUTED_VALUE"""),2.0)</f>
        <v>2</v>
      </c>
      <c r="U938" s="50"/>
      <c r="V938" s="38"/>
      <c r="W938" s="45" t="str">
        <f>IFERROR(__xludf.DUMMYFUNCTION("""COMPUTED_VALUE"""),"")</f>
        <v/>
      </c>
      <c r="X938" s="46" t="str">
        <f>IFERROR(__xludf.DUMMYFUNCTION("""COMPUTED_VALUE"""),"AP")</f>
        <v>AP</v>
      </c>
      <c r="Y938" s="47" t="str">
        <f>IFERROR(__xludf.DUMMYFUNCTION("""COMPUTED_VALUE"""),"")</f>
        <v/>
      </c>
      <c r="Z938" s="48" t="str">
        <f>IFERROR(__xludf.DUMMYFUNCTION("""COMPUTED_VALUE"""),"%")</f>
        <v>%</v>
      </c>
      <c r="AA938" s="49">
        <f>IFERROR(__xludf.DUMMYFUNCTION("""COMPUTED_VALUE"""),3.0)</f>
        <v>3</v>
      </c>
      <c r="AB938" s="50"/>
      <c r="AC938" s="38"/>
      <c r="AD938" s="45" t="str">
        <f>IFERROR(__xludf.DUMMYFUNCTION("""COMPUTED_VALUE"""),"")</f>
        <v/>
      </c>
      <c r="AE938" s="46" t="str">
        <f>IFERROR(__xludf.DUMMYFUNCTION("""COMPUTED_VALUE"""),"AP")</f>
        <v>AP</v>
      </c>
      <c r="AF938" s="47" t="str">
        <f>IFERROR(__xludf.DUMMYFUNCTION("""COMPUTED_VALUE"""),"")</f>
        <v/>
      </c>
      <c r="AG938" s="48" t="str">
        <f>IFERROR(__xludf.DUMMYFUNCTION("""COMPUTED_VALUE"""),"%")</f>
        <v>%</v>
      </c>
      <c r="AH938" s="43"/>
      <c r="AI938" s="44"/>
      <c r="AJ938" s="66"/>
    </row>
    <row r="939" ht="24.75" hidden="1" customHeight="1">
      <c r="A939" s="28">
        <f>IFERROR(__xludf.DUMMYFUNCTION("""COMPUTED_VALUE"""),17.0)</f>
        <v>17</v>
      </c>
      <c r="B939" s="28" t="str">
        <f>IFERROR(__xludf.DUMMYFUNCTION("""COMPUTED_VALUE"""),"A113")</f>
        <v>A113</v>
      </c>
      <c r="C939" s="28"/>
      <c r="D939" s="29"/>
      <c r="E939" s="67"/>
      <c r="F939" s="31"/>
      <c r="G939" s="32"/>
      <c r="H939" s="33" t="str">
        <f>IFERROR(__xludf.DUMMYFUNCTION("""COMPUTED_VALUE""")," ")</f>
        <v> </v>
      </c>
      <c r="I939" s="34"/>
      <c r="J939" s="35" t="str">
        <f>IFERROR(__xludf.DUMMYFUNCTION("""COMPUTED_VALUE"""),"AP")</f>
        <v>AP</v>
      </c>
      <c r="K939" s="34"/>
      <c r="L939" s="35" t="str">
        <f>IFERROR(__xludf.DUMMYFUNCTION("""COMPUTED_VALUE"""),"%")</f>
        <v>%</v>
      </c>
      <c r="M939" s="36">
        <f>IFERROR(__xludf.DUMMYFUNCTION("""COMPUTED_VALUE"""),1.0)</f>
        <v>1</v>
      </c>
      <c r="N939" s="37"/>
      <c r="O939" s="38"/>
      <c r="P939" s="34" t="str">
        <f>IFERROR(__xludf.DUMMYFUNCTION("""COMPUTED_VALUE"""),"")</f>
        <v/>
      </c>
      <c r="Q939" s="35" t="str">
        <f>IFERROR(__xludf.DUMMYFUNCTION("""COMPUTED_VALUE"""),"AP")</f>
        <v>AP</v>
      </c>
      <c r="R939" s="34" t="str">
        <f>IFERROR(__xludf.DUMMYFUNCTION("""COMPUTED_VALUE"""),"")</f>
        <v/>
      </c>
      <c r="S939" s="35" t="str">
        <f>IFERROR(__xludf.DUMMYFUNCTION("""COMPUTED_VALUE"""),"%")</f>
        <v>%</v>
      </c>
      <c r="T939" s="36">
        <f>IFERROR(__xludf.DUMMYFUNCTION("""COMPUTED_VALUE"""),2.0)</f>
        <v>2</v>
      </c>
      <c r="U939" s="37"/>
      <c r="V939" s="38"/>
      <c r="W939" s="34" t="str">
        <f>IFERROR(__xludf.DUMMYFUNCTION("""COMPUTED_VALUE"""),"")</f>
        <v/>
      </c>
      <c r="X939" s="35" t="str">
        <f>IFERROR(__xludf.DUMMYFUNCTION("""COMPUTED_VALUE"""),"AP")</f>
        <v>AP</v>
      </c>
      <c r="Y939" s="34" t="str">
        <f>IFERROR(__xludf.DUMMYFUNCTION("""COMPUTED_VALUE"""),"")</f>
        <v/>
      </c>
      <c r="Z939" s="35" t="str">
        <f>IFERROR(__xludf.DUMMYFUNCTION("""COMPUTED_VALUE"""),"%")</f>
        <v>%</v>
      </c>
      <c r="AA939" s="36">
        <f>IFERROR(__xludf.DUMMYFUNCTION("""COMPUTED_VALUE"""),3.0)</f>
        <v>3</v>
      </c>
      <c r="AB939" s="37"/>
      <c r="AC939" s="38"/>
      <c r="AD939" s="34" t="str">
        <f>IFERROR(__xludf.DUMMYFUNCTION("""COMPUTED_VALUE"""),"")</f>
        <v/>
      </c>
      <c r="AE939" s="35" t="str">
        <f>IFERROR(__xludf.DUMMYFUNCTION("""COMPUTED_VALUE"""),"AP")</f>
        <v>AP</v>
      </c>
      <c r="AF939" s="34" t="str">
        <f>IFERROR(__xludf.DUMMYFUNCTION("""COMPUTED_VALUE"""),"")</f>
        <v/>
      </c>
      <c r="AG939" s="35" t="str">
        <f>IFERROR(__xludf.DUMMYFUNCTION("""COMPUTED_VALUE"""),"%")</f>
        <v>%</v>
      </c>
      <c r="AH939" s="31"/>
      <c r="AI939" s="32"/>
      <c r="AJ939" s="67"/>
    </row>
    <row r="940" ht="24.75" hidden="1" customHeight="1">
      <c r="A940" s="40">
        <f>IFERROR(__xludf.DUMMYFUNCTION("""COMPUTED_VALUE"""),18.0)</f>
        <v>18</v>
      </c>
      <c r="B940" s="40" t="str">
        <f>IFERROR(__xludf.DUMMYFUNCTION("""COMPUTED_VALUE"""),"A113")</f>
        <v>A113</v>
      </c>
      <c r="C940" s="40"/>
      <c r="D940" s="41"/>
      <c r="E940" s="66"/>
      <c r="F940" s="43"/>
      <c r="G940" s="44"/>
      <c r="H940" s="33" t="str">
        <f>IFERROR(__xludf.DUMMYFUNCTION("""COMPUTED_VALUE""")," ")</f>
        <v> </v>
      </c>
      <c r="I940" s="45"/>
      <c r="J940" s="46" t="str">
        <f>IFERROR(__xludf.DUMMYFUNCTION("""COMPUTED_VALUE"""),"AP")</f>
        <v>AP</v>
      </c>
      <c r="K940" s="47"/>
      <c r="L940" s="48" t="str">
        <f>IFERROR(__xludf.DUMMYFUNCTION("""COMPUTED_VALUE"""),"%")</f>
        <v>%</v>
      </c>
      <c r="M940" s="49">
        <f>IFERROR(__xludf.DUMMYFUNCTION("""COMPUTED_VALUE"""),1.0)</f>
        <v>1</v>
      </c>
      <c r="N940" s="50"/>
      <c r="O940" s="38"/>
      <c r="P940" s="45" t="str">
        <f>IFERROR(__xludf.DUMMYFUNCTION("""COMPUTED_VALUE"""),"")</f>
        <v/>
      </c>
      <c r="Q940" s="46" t="str">
        <f>IFERROR(__xludf.DUMMYFUNCTION("""COMPUTED_VALUE"""),"AP")</f>
        <v>AP</v>
      </c>
      <c r="R940" s="47" t="str">
        <f>IFERROR(__xludf.DUMMYFUNCTION("""COMPUTED_VALUE"""),"")</f>
        <v/>
      </c>
      <c r="S940" s="48" t="str">
        <f>IFERROR(__xludf.DUMMYFUNCTION("""COMPUTED_VALUE"""),"%")</f>
        <v>%</v>
      </c>
      <c r="T940" s="49">
        <f>IFERROR(__xludf.DUMMYFUNCTION("""COMPUTED_VALUE"""),2.0)</f>
        <v>2</v>
      </c>
      <c r="U940" s="50"/>
      <c r="V940" s="38"/>
      <c r="W940" s="45" t="str">
        <f>IFERROR(__xludf.DUMMYFUNCTION("""COMPUTED_VALUE"""),"")</f>
        <v/>
      </c>
      <c r="X940" s="46" t="str">
        <f>IFERROR(__xludf.DUMMYFUNCTION("""COMPUTED_VALUE"""),"AP")</f>
        <v>AP</v>
      </c>
      <c r="Y940" s="47" t="str">
        <f>IFERROR(__xludf.DUMMYFUNCTION("""COMPUTED_VALUE"""),"")</f>
        <v/>
      </c>
      <c r="Z940" s="48" t="str">
        <f>IFERROR(__xludf.DUMMYFUNCTION("""COMPUTED_VALUE"""),"%")</f>
        <v>%</v>
      </c>
      <c r="AA940" s="49">
        <f>IFERROR(__xludf.DUMMYFUNCTION("""COMPUTED_VALUE"""),3.0)</f>
        <v>3</v>
      </c>
      <c r="AB940" s="50"/>
      <c r="AC940" s="38"/>
      <c r="AD940" s="45" t="str">
        <f>IFERROR(__xludf.DUMMYFUNCTION("""COMPUTED_VALUE"""),"")</f>
        <v/>
      </c>
      <c r="AE940" s="46" t="str">
        <f>IFERROR(__xludf.DUMMYFUNCTION("""COMPUTED_VALUE"""),"AP")</f>
        <v>AP</v>
      </c>
      <c r="AF940" s="47" t="str">
        <f>IFERROR(__xludf.DUMMYFUNCTION("""COMPUTED_VALUE"""),"")</f>
        <v/>
      </c>
      <c r="AG940" s="48" t="str">
        <f>IFERROR(__xludf.DUMMYFUNCTION("""COMPUTED_VALUE"""),"%")</f>
        <v>%</v>
      </c>
      <c r="AH940" s="43"/>
      <c r="AI940" s="44"/>
      <c r="AJ940" s="66"/>
    </row>
    <row r="941" ht="24.75" hidden="1" customHeight="1">
      <c r="A941" s="28">
        <f>IFERROR(__xludf.DUMMYFUNCTION("""COMPUTED_VALUE"""),19.0)</f>
        <v>19</v>
      </c>
      <c r="B941" s="28" t="str">
        <f>IFERROR(__xludf.DUMMYFUNCTION("""COMPUTED_VALUE"""),"A113")</f>
        <v>A113</v>
      </c>
      <c r="C941" s="28"/>
      <c r="D941" s="29"/>
      <c r="E941" s="67"/>
      <c r="F941" s="31"/>
      <c r="G941" s="32"/>
      <c r="H941" s="33" t="str">
        <f>IFERROR(__xludf.DUMMYFUNCTION("""COMPUTED_VALUE""")," ")</f>
        <v> </v>
      </c>
      <c r="I941" s="34"/>
      <c r="J941" s="35" t="str">
        <f>IFERROR(__xludf.DUMMYFUNCTION("""COMPUTED_VALUE"""),"AP")</f>
        <v>AP</v>
      </c>
      <c r="K941" s="34"/>
      <c r="L941" s="35" t="str">
        <f>IFERROR(__xludf.DUMMYFUNCTION("""COMPUTED_VALUE"""),"%")</f>
        <v>%</v>
      </c>
      <c r="M941" s="36">
        <f>IFERROR(__xludf.DUMMYFUNCTION("""COMPUTED_VALUE"""),1.0)</f>
        <v>1</v>
      </c>
      <c r="N941" s="37"/>
      <c r="O941" s="38"/>
      <c r="P941" s="34" t="str">
        <f>IFERROR(__xludf.DUMMYFUNCTION("""COMPUTED_VALUE"""),"")</f>
        <v/>
      </c>
      <c r="Q941" s="35" t="str">
        <f>IFERROR(__xludf.DUMMYFUNCTION("""COMPUTED_VALUE"""),"AP")</f>
        <v>AP</v>
      </c>
      <c r="R941" s="34" t="str">
        <f>IFERROR(__xludf.DUMMYFUNCTION("""COMPUTED_VALUE"""),"")</f>
        <v/>
      </c>
      <c r="S941" s="35" t="str">
        <f>IFERROR(__xludf.DUMMYFUNCTION("""COMPUTED_VALUE"""),"%")</f>
        <v>%</v>
      </c>
      <c r="T941" s="36">
        <f>IFERROR(__xludf.DUMMYFUNCTION("""COMPUTED_VALUE"""),2.0)</f>
        <v>2</v>
      </c>
      <c r="U941" s="37"/>
      <c r="V941" s="38"/>
      <c r="W941" s="34" t="str">
        <f>IFERROR(__xludf.DUMMYFUNCTION("""COMPUTED_VALUE"""),"")</f>
        <v/>
      </c>
      <c r="X941" s="35" t="str">
        <f>IFERROR(__xludf.DUMMYFUNCTION("""COMPUTED_VALUE"""),"AP")</f>
        <v>AP</v>
      </c>
      <c r="Y941" s="34" t="str">
        <f>IFERROR(__xludf.DUMMYFUNCTION("""COMPUTED_VALUE"""),"")</f>
        <v/>
      </c>
      <c r="Z941" s="35" t="str">
        <f>IFERROR(__xludf.DUMMYFUNCTION("""COMPUTED_VALUE"""),"%")</f>
        <v>%</v>
      </c>
      <c r="AA941" s="36">
        <f>IFERROR(__xludf.DUMMYFUNCTION("""COMPUTED_VALUE"""),3.0)</f>
        <v>3</v>
      </c>
      <c r="AB941" s="37"/>
      <c r="AC941" s="38"/>
      <c r="AD941" s="34" t="str">
        <f>IFERROR(__xludf.DUMMYFUNCTION("""COMPUTED_VALUE"""),"")</f>
        <v/>
      </c>
      <c r="AE941" s="35" t="str">
        <f>IFERROR(__xludf.DUMMYFUNCTION("""COMPUTED_VALUE"""),"AP")</f>
        <v>AP</v>
      </c>
      <c r="AF941" s="34" t="str">
        <f>IFERROR(__xludf.DUMMYFUNCTION("""COMPUTED_VALUE"""),"")</f>
        <v/>
      </c>
      <c r="AG941" s="35" t="str">
        <f>IFERROR(__xludf.DUMMYFUNCTION("""COMPUTED_VALUE"""),"%")</f>
        <v>%</v>
      </c>
      <c r="AH941" s="31"/>
      <c r="AI941" s="32"/>
      <c r="AJ941" s="67"/>
    </row>
    <row r="942" ht="24.75" hidden="1" customHeight="1">
      <c r="A942" s="40">
        <f>IFERROR(__xludf.DUMMYFUNCTION("""COMPUTED_VALUE"""),20.0)</f>
        <v>20</v>
      </c>
      <c r="B942" s="40" t="str">
        <f>IFERROR(__xludf.DUMMYFUNCTION("""COMPUTED_VALUE"""),"A113")</f>
        <v>A113</v>
      </c>
      <c r="C942" s="40"/>
      <c r="D942" s="41"/>
      <c r="E942" s="66"/>
      <c r="F942" s="43"/>
      <c r="G942" s="44"/>
      <c r="H942" s="33" t="str">
        <f>IFERROR(__xludf.DUMMYFUNCTION("""COMPUTED_VALUE""")," ")</f>
        <v> </v>
      </c>
      <c r="I942" s="45"/>
      <c r="J942" s="46" t="str">
        <f>IFERROR(__xludf.DUMMYFUNCTION("""COMPUTED_VALUE"""),"AP")</f>
        <v>AP</v>
      </c>
      <c r="K942" s="47"/>
      <c r="L942" s="48" t="str">
        <f>IFERROR(__xludf.DUMMYFUNCTION("""COMPUTED_VALUE"""),"%")</f>
        <v>%</v>
      </c>
      <c r="M942" s="49">
        <f>IFERROR(__xludf.DUMMYFUNCTION("""COMPUTED_VALUE"""),1.0)</f>
        <v>1</v>
      </c>
      <c r="N942" s="50"/>
      <c r="O942" s="38"/>
      <c r="P942" s="45" t="str">
        <f>IFERROR(__xludf.DUMMYFUNCTION("""COMPUTED_VALUE"""),"")</f>
        <v/>
      </c>
      <c r="Q942" s="46" t="str">
        <f>IFERROR(__xludf.DUMMYFUNCTION("""COMPUTED_VALUE"""),"AP")</f>
        <v>AP</v>
      </c>
      <c r="R942" s="47" t="str">
        <f>IFERROR(__xludf.DUMMYFUNCTION("""COMPUTED_VALUE"""),"")</f>
        <v/>
      </c>
      <c r="S942" s="48" t="str">
        <f>IFERROR(__xludf.DUMMYFUNCTION("""COMPUTED_VALUE"""),"%")</f>
        <v>%</v>
      </c>
      <c r="T942" s="49">
        <f>IFERROR(__xludf.DUMMYFUNCTION("""COMPUTED_VALUE"""),2.0)</f>
        <v>2</v>
      </c>
      <c r="U942" s="50"/>
      <c r="V942" s="38"/>
      <c r="W942" s="45" t="str">
        <f>IFERROR(__xludf.DUMMYFUNCTION("""COMPUTED_VALUE"""),"")</f>
        <v/>
      </c>
      <c r="X942" s="46" t="str">
        <f>IFERROR(__xludf.DUMMYFUNCTION("""COMPUTED_VALUE"""),"AP")</f>
        <v>AP</v>
      </c>
      <c r="Y942" s="47" t="str">
        <f>IFERROR(__xludf.DUMMYFUNCTION("""COMPUTED_VALUE"""),"")</f>
        <v/>
      </c>
      <c r="Z942" s="48" t="str">
        <f>IFERROR(__xludf.DUMMYFUNCTION("""COMPUTED_VALUE"""),"%")</f>
        <v>%</v>
      </c>
      <c r="AA942" s="49">
        <f>IFERROR(__xludf.DUMMYFUNCTION("""COMPUTED_VALUE"""),3.0)</f>
        <v>3</v>
      </c>
      <c r="AB942" s="50"/>
      <c r="AC942" s="38"/>
      <c r="AD942" s="45" t="str">
        <f>IFERROR(__xludf.DUMMYFUNCTION("""COMPUTED_VALUE"""),"")</f>
        <v/>
      </c>
      <c r="AE942" s="46" t="str">
        <f>IFERROR(__xludf.DUMMYFUNCTION("""COMPUTED_VALUE"""),"AP")</f>
        <v>AP</v>
      </c>
      <c r="AF942" s="47" t="str">
        <f>IFERROR(__xludf.DUMMYFUNCTION("""COMPUTED_VALUE"""),"")</f>
        <v/>
      </c>
      <c r="AG942" s="48" t="str">
        <f>IFERROR(__xludf.DUMMYFUNCTION("""COMPUTED_VALUE"""),"%")</f>
        <v>%</v>
      </c>
      <c r="AH942" s="43"/>
      <c r="AI942" s="44"/>
      <c r="AJ942" s="66"/>
    </row>
    <row r="943">
      <c r="A943" s="52"/>
      <c r="B943" s="53"/>
      <c r="C943" s="54"/>
      <c r="D943" s="56"/>
      <c r="E943" s="56"/>
      <c r="F943" s="53"/>
      <c r="G943" s="53"/>
      <c r="H943" s="53"/>
      <c r="I943" s="53"/>
      <c r="J943" s="57"/>
      <c r="K943" s="53"/>
      <c r="L943" s="57"/>
      <c r="M943" s="53"/>
      <c r="N943" s="53"/>
      <c r="O943" s="53"/>
      <c r="P943" s="53"/>
      <c r="Q943" s="57"/>
      <c r="R943" s="53"/>
      <c r="S943" s="57"/>
      <c r="T943" s="53"/>
      <c r="U943" s="53"/>
      <c r="V943" s="53"/>
      <c r="W943" s="53"/>
      <c r="X943" s="57"/>
      <c r="Y943" s="53"/>
      <c r="Z943" s="57"/>
      <c r="AA943" s="53"/>
      <c r="AB943" s="53"/>
      <c r="AC943" s="53"/>
      <c r="AD943" s="53"/>
      <c r="AE943" s="57"/>
      <c r="AF943" s="53"/>
      <c r="AG943" s="57"/>
      <c r="AH943" s="53"/>
      <c r="AI943" s="53"/>
      <c r="AJ943" s="56"/>
    </row>
    <row r="944">
      <c r="A944" s="59"/>
      <c r="B944" s="60"/>
      <c r="C944" s="61"/>
      <c r="D944" s="63"/>
      <c r="E944" s="63"/>
      <c r="F944" s="60"/>
      <c r="G944" s="60"/>
      <c r="H944" s="60"/>
      <c r="I944" s="60"/>
      <c r="J944" s="64"/>
      <c r="K944" s="60"/>
      <c r="L944" s="64"/>
      <c r="M944" s="60"/>
      <c r="N944" s="60"/>
      <c r="O944" s="60"/>
      <c r="P944" s="60"/>
      <c r="Q944" s="64"/>
      <c r="R944" s="60"/>
      <c r="S944" s="64"/>
      <c r="T944" s="60"/>
      <c r="U944" s="60"/>
      <c r="V944" s="60"/>
      <c r="W944" s="60"/>
      <c r="X944" s="64"/>
      <c r="Y944" s="60"/>
      <c r="Z944" s="64"/>
      <c r="AA944" s="60"/>
      <c r="AB944" s="60"/>
      <c r="AC944" s="60"/>
      <c r="AD944" s="60"/>
      <c r="AE944" s="64"/>
      <c r="AF944" s="60"/>
      <c r="AG944" s="64"/>
      <c r="AH944" s="60"/>
      <c r="AI944" s="60"/>
      <c r="AJ944" s="63"/>
    </row>
    <row r="945" ht="33.0" customHeight="1">
      <c r="A945" s="20" t="str">
        <f>IFERROR(__xludf.DUMMYFUNCTION("""COMPUTED_VALUE""")," ")</f>
        <v> </v>
      </c>
      <c r="B945" s="21" t="str">
        <f>IFERROR(__xludf.DUMMYFUNCTION("""COMPUTED_VALUE"""),"A114")</f>
        <v>A114</v>
      </c>
      <c r="C945" s="20"/>
      <c r="D945" s="257" t="str">
        <f>IFERROR(__xludf.DUMMYFUNCTION("""COMPUTED_VALUE"""),"")</f>
        <v/>
      </c>
      <c r="E945" s="23" t="str">
        <f>IFERROR(__xludf.DUMMYFUNCTION("""COMPUTED_VALUE"""),"Tsukumo Mirror")</f>
        <v>Tsukumo Mirror</v>
      </c>
      <c r="F945" s="24"/>
      <c r="G945" s="24"/>
      <c r="H945" s="25"/>
      <c r="I945" s="25"/>
      <c r="J945" s="26"/>
      <c r="K945" s="25"/>
      <c r="L945" s="26"/>
      <c r="M945" s="25"/>
      <c r="N945" s="25"/>
      <c r="O945" s="25"/>
      <c r="P945" s="25"/>
      <c r="Q945" s="26"/>
      <c r="R945" s="25"/>
      <c r="S945" s="26"/>
      <c r="T945" s="25"/>
      <c r="U945" s="25"/>
      <c r="V945" s="25"/>
      <c r="W945" s="25"/>
      <c r="X945" s="26"/>
      <c r="Y945" s="25"/>
      <c r="Z945" s="26"/>
      <c r="AA945" s="25"/>
      <c r="AB945" s="25"/>
      <c r="AC945" s="25"/>
      <c r="AD945" s="25"/>
      <c r="AE945" s="26"/>
      <c r="AF945" s="25"/>
      <c r="AG945" s="26"/>
      <c r="AH945" s="24"/>
      <c r="AI945" s="25"/>
      <c r="AJ945" s="23"/>
    </row>
    <row r="946" ht="24.75" customHeight="1">
      <c r="A946" s="28">
        <f>IFERROR(__xludf.DUMMYFUNCTION("""COMPUTED_VALUE"""),1.0)</f>
        <v>1</v>
      </c>
      <c r="B946" s="28" t="str">
        <f>IFERROR(__xludf.DUMMYFUNCTION("""COMPUTED_VALUE"""),"A114")</f>
        <v>A114</v>
      </c>
      <c r="C946" s="28"/>
      <c r="D946" s="29"/>
      <c r="E946" s="67"/>
      <c r="F946" s="31"/>
      <c r="G946" s="32"/>
      <c r="H946" s="33" t="str">
        <f>IFERROR(__xludf.DUMMYFUNCTION("""COMPUTED_VALUE""")," ")</f>
        <v> </v>
      </c>
      <c r="I946" s="34"/>
      <c r="J946" s="35" t="str">
        <f>IFERROR(__xludf.DUMMYFUNCTION("""COMPUTED_VALUE"""),"AP")</f>
        <v>AP</v>
      </c>
      <c r="K946" s="34"/>
      <c r="L946" s="35" t="str">
        <f>IFERROR(__xludf.DUMMYFUNCTION("""COMPUTED_VALUE"""),"%")</f>
        <v>%</v>
      </c>
      <c r="M946" s="36">
        <f>IFERROR(__xludf.DUMMYFUNCTION("""COMPUTED_VALUE"""),1.0)</f>
        <v>1</v>
      </c>
      <c r="N946" s="37"/>
      <c r="O946" s="38"/>
      <c r="P946" s="34" t="str">
        <f>IFERROR(__xludf.DUMMYFUNCTION("""COMPUTED_VALUE"""),"")</f>
        <v/>
      </c>
      <c r="Q946" s="35" t="str">
        <f>IFERROR(__xludf.DUMMYFUNCTION("""COMPUTED_VALUE"""),"AP")</f>
        <v>AP</v>
      </c>
      <c r="R946" s="34" t="str">
        <f>IFERROR(__xludf.DUMMYFUNCTION("""COMPUTED_VALUE"""),"")</f>
        <v/>
      </c>
      <c r="S946" s="35" t="str">
        <f>IFERROR(__xludf.DUMMYFUNCTION("""COMPUTED_VALUE"""),"%")</f>
        <v>%</v>
      </c>
      <c r="T946" s="36">
        <f>IFERROR(__xludf.DUMMYFUNCTION("""COMPUTED_VALUE"""),2.0)</f>
        <v>2</v>
      </c>
      <c r="U946" s="37"/>
      <c r="V946" s="38"/>
      <c r="W946" s="34" t="str">
        <f>IFERROR(__xludf.DUMMYFUNCTION("""COMPUTED_VALUE"""),"")</f>
        <v/>
      </c>
      <c r="X946" s="35" t="str">
        <f>IFERROR(__xludf.DUMMYFUNCTION("""COMPUTED_VALUE"""),"AP")</f>
        <v>AP</v>
      </c>
      <c r="Y946" s="34" t="str">
        <f>IFERROR(__xludf.DUMMYFUNCTION("""COMPUTED_VALUE"""),"")</f>
        <v/>
      </c>
      <c r="Z946" s="35" t="str">
        <f>IFERROR(__xludf.DUMMYFUNCTION("""COMPUTED_VALUE"""),"%")</f>
        <v>%</v>
      </c>
      <c r="AA946" s="36">
        <f>IFERROR(__xludf.DUMMYFUNCTION("""COMPUTED_VALUE"""),3.0)</f>
        <v>3</v>
      </c>
      <c r="AB946" s="37"/>
      <c r="AC946" s="38"/>
      <c r="AD946" s="34" t="str">
        <f>IFERROR(__xludf.DUMMYFUNCTION("""COMPUTED_VALUE"""),"")</f>
        <v/>
      </c>
      <c r="AE946" s="35" t="str">
        <f>IFERROR(__xludf.DUMMYFUNCTION("""COMPUTED_VALUE"""),"AP")</f>
        <v>AP</v>
      </c>
      <c r="AF946" s="34" t="str">
        <f>IFERROR(__xludf.DUMMYFUNCTION("""COMPUTED_VALUE"""),"")</f>
        <v/>
      </c>
      <c r="AG946" s="35" t="str">
        <f>IFERROR(__xludf.DUMMYFUNCTION("""COMPUTED_VALUE"""),"%")</f>
        <v>%</v>
      </c>
      <c r="AH946" s="31"/>
      <c r="AI946" s="32"/>
      <c r="AJ946" s="67"/>
    </row>
    <row r="947" ht="24.75" customHeight="1">
      <c r="A947" s="40">
        <f>IFERROR(__xludf.DUMMYFUNCTION("""COMPUTED_VALUE"""),2.0)</f>
        <v>2</v>
      </c>
      <c r="B947" s="40" t="str">
        <f>IFERROR(__xludf.DUMMYFUNCTION("""COMPUTED_VALUE"""),"A114")</f>
        <v>A114</v>
      </c>
      <c r="C947" s="40"/>
      <c r="D947" s="41"/>
      <c r="E947" s="66"/>
      <c r="F947" s="43"/>
      <c r="G947" s="44"/>
      <c r="H947" s="33" t="str">
        <f>IFERROR(__xludf.DUMMYFUNCTION("""COMPUTED_VALUE""")," ")</f>
        <v> </v>
      </c>
      <c r="I947" s="45"/>
      <c r="J947" s="46" t="str">
        <f>IFERROR(__xludf.DUMMYFUNCTION("""COMPUTED_VALUE"""),"AP")</f>
        <v>AP</v>
      </c>
      <c r="K947" s="47"/>
      <c r="L947" s="48" t="str">
        <f>IFERROR(__xludf.DUMMYFUNCTION("""COMPUTED_VALUE"""),"%")</f>
        <v>%</v>
      </c>
      <c r="M947" s="49">
        <f>IFERROR(__xludf.DUMMYFUNCTION("""COMPUTED_VALUE"""),1.0)</f>
        <v>1</v>
      </c>
      <c r="N947" s="50"/>
      <c r="O947" s="38"/>
      <c r="P947" s="45" t="str">
        <f>IFERROR(__xludf.DUMMYFUNCTION("""COMPUTED_VALUE"""),"")</f>
        <v/>
      </c>
      <c r="Q947" s="46" t="str">
        <f>IFERROR(__xludf.DUMMYFUNCTION("""COMPUTED_VALUE"""),"AP")</f>
        <v>AP</v>
      </c>
      <c r="R947" s="47" t="str">
        <f>IFERROR(__xludf.DUMMYFUNCTION("""COMPUTED_VALUE"""),"")</f>
        <v/>
      </c>
      <c r="S947" s="48" t="str">
        <f>IFERROR(__xludf.DUMMYFUNCTION("""COMPUTED_VALUE"""),"%")</f>
        <v>%</v>
      </c>
      <c r="T947" s="49">
        <f>IFERROR(__xludf.DUMMYFUNCTION("""COMPUTED_VALUE"""),2.0)</f>
        <v>2</v>
      </c>
      <c r="U947" s="50"/>
      <c r="V947" s="38"/>
      <c r="W947" s="45" t="str">
        <f>IFERROR(__xludf.DUMMYFUNCTION("""COMPUTED_VALUE"""),"")</f>
        <v/>
      </c>
      <c r="X947" s="46" t="str">
        <f>IFERROR(__xludf.DUMMYFUNCTION("""COMPUTED_VALUE"""),"AP")</f>
        <v>AP</v>
      </c>
      <c r="Y947" s="47" t="str">
        <f>IFERROR(__xludf.DUMMYFUNCTION("""COMPUTED_VALUE"""),"")</f>
        <v/>
      </c>
      <c r="Z947" s="48" t="str">
        <f>IFERROR(__xludf.DUMMYFUNCTION("""COMPUTED_VALUE"""),"%")</f>
        <v>%</v>
      </c>
      <c r="AA947" s="49">
        <f>IFERROR(__xludf.DUMMYFUNCTION("""COMPUTED_VALUE"""),3.0)</f>
        <v>3</v>
      </c>
      <c r="AB947" s="50"/>
      <c r="AC947" s="38"/>
      <c r="AD947" s="45" t="str">
        <f>IFERROR(__xludf.DUMMYFUNCTION("""COMPUTED_VALUE"""),"")</f>
        <v/>
      </c>
      <c r="AE947" s="46" t="str">
        <f>IFERROR(__xludf.DUMMYFUNCTION("""COMPUTED_VALUE"""),"AP")</f>
        <v>AP</v>
      </c>
      <c r="AF947" s="47" t="str">
        <f>IFERROR(__xludf.DUMMYFUNCTION("""COMPUTED_VALUE"""),"")</f>
        <v/>
      </c>
      <c r="AG947" s="48" t="str">
        <f>IFERROR(__xludf.DUMMYFUNCTION("""COMPUTED_VALUE"""),"%")</f>
        <v>%</v>
      </c>
      <c r="AH947" s="43"/>
      <c r="AI947" s="44"/>
      <c r="AJ947" s="66"/>
    </row>
    <row r="948" ht="24.75" hidden="1" customHeight="1">
      <c r="A948" s="28">
        <f>IFERROR(__xludf.DUMMYFUNCTION("""COMPUTED_VALUE"""),3.0)</f>
        <v>3</v>
      </c>
      <c r="B948" s="28" t="str">
        <f>IFERROR(__xludf.DUMMYFUNCTION("""COMPUTED_VALUE"""),"A114")</f>
        <v>A114</v>
      </c>
      <c r="C948" s="28"/>
      <c r="D948" s="29"/>
      <c r="E948" s="67"/>
      <c r="F948" s="31"/>
      <c r="G948" s="32"/>
      <c r="H948" s="33" t="str">
        <f>IFERROR(__xludf.DUMMYFUNCTION("""COMPUTED_VALUE""")," ")</f>
        <v> </v>
      </c>
      <c r="I948" s="34"/>
      <c r="J948" s="35" t="str">
        <f>IFERROR(__xludf.DUMMYFUNCTION("""COMPUTED_VALUE"""),"AP")</f>
        <v>AP</v>
      </c>
      <c r="K948" s="34"/>
      <c r="L948" s="35" t="str">
        <f>IFERROR(__xludf.DUMMYFUNCTION("""COMPUTED_VALUE"""),"%")</f>
        <v>%</v>
      </c>
      <c r="M948" s="36">
        <f>IFERROR(__xludf.DUMMYFUNCTION("""COMPUTED_VALUE"""),1.0)</f>
        <v>1</v>
      </c>
      <c r="N948" s="37"/>
      <c r="O948" s="38"/>
      <c r="P948" s="34" t="str">
        <f>IFERROR(__xludf.DUMMYFUNCTION("""COMPUTED_VALUE"""),"")</f>
        <v/>
      </c>
      <c r="Q948" s="35" t="str">
        <f>IFERROR(__xludf.DUMMYFUNCTION("""COMPUTED_VALUE"""),"AP")</f>
        <v>AP</v>
      </c>
      <c r="R948" s="34" t="str">
        <f>IFERROR(__xludf.DUMMYFUNCTION("""COMPUTED_VALUE"""),"")</f>
        <v/>
      </c>
      <c r="S948" s="35" t="str">
        <f>IFERROR(__xludf.DUMMYFUNCTION("""COMPUTED_VALUE"""),"%")</f>
        <v>%</v>
      </c>
      <c r="T948" s="36">
        <f>IFERROR(__xludf.DUMMYFUNCTION("""COMPUTED_VALUE"""),2.0)</f>
        <v>2</v>
      </c>
      <c r="U948" s="37"/>
      <c r="V948" s="38"/>
      <c r="W948" s="34" t="str">
        <f>IFERROR(__xludf.DUMMYFUNCTION("""COMPUTED_VALUE"""),"")</f>
        <v/>
      </c>
      <c r="X948" s="35" t="str">
        <f>IFERROR(__xludf.DUMMYFUNCTION("""COMPUTED_VALUE"""),"AP")</f>
        <v>AP</v>
      </c>
      <c r="Y948" s="34" t="str">
        <f>IFERROR(__xludf.DUMMYFUNCTION("""COMPUTED_VALUE"""),"")</f>
        <v/>
      </c>
      <c r="Z948" s="35" t="str">
        <f>IFERROR(__xludf.DUMMYFUNCTION("""COMPUTED_VALUE"""),"%")</f>
        <v>%</v>
      </c>
      <c r="AA948" s="36">
        <f>IFERROR(__xludf.DUMMYFUNCTION("""COMPUTED_VALUE"""),3.0)</f>
        <v>3</v>
      </c>
      <c r="AB948" s="37"/>
      <c r="AC948" s="38"/>
      <c r="AD948" s="34" t="str">
        <f>IFERROR(__xludf.DUMMYFUNCTION("""COMPUTED_VALUE"""),"")</f>
        <v/>
      </c>
      <c r="AE948" s="35" t="str">
        <f>IFERROR(__xludf.DUMMYFUNCTION("""COMPUTED_VALUE"""),"AP")</f>
        <v>AP</v>
      </c>
      <c r="AF948" s="34" t="str">
        <f>IFERROR(__xludf.DUMMYFUNCTION("""COMPUTED_VALUE"""),"")</f>
        <v/>
      </c>
      <c r="AG948" s="35" t="str">
        <f>IFERROR(__xludf.DUMMYFUNCTION("""COMPUTED_VALUE"""),"%")</f>
        <v>%</v>
      </c>
      <c r="AH948" s="31"/>
      <c r="AI948" s="32"/>
      <c r="AJ948" s="67"/>
    </row>
    <row r="949" ht="24.75" hidden="1" customHeight="1">
      <c r="A949" s="40">
        <f>IFERROR(__xludf.DUMMYFUNCTION("""COMPUTED_VALUE"""),4.0)</f>
        <v>4</v>
      </c>
      <c r="B949" s="40" t="str">
        <f>IFERROR(__xludf.DUMMYFUNCTION("""COMPUTED_VALUE"""),"A114")</f>
        <v>A114</v>
      </c>
      <c r="C949" s="40"/>
      <c r="D949" s="41"/>
      <c r="E949" s="66"/>
      <c r="F949" s="43"/>
      <c r="G949" s="44"/>
      <c r="H949" s="33" t="str">
        <f>IFERROR(__xludf.DUMMYFUNCTION("""COMPUTED_VALUE""")," ")</f>
        <v> </v>
      </c>
      <c r="I949" s="45"/>
      <c r="J949" s="46" t="str">
        <f>IFERROR(__xludf.DUMMYFUNCTION("""COMPUTED_VALUE"""),"AP")</f>
        <v>AP</v>
      </c>
      <c r="K949" s="47"/>
      <c r="L949" s="48" t="str">
        <f>IFERROR(__xludf.DUMMYFUNCTION("""COMPUTED_VALUE"""),"%")</f>
        <v>%</v>
      </c>
      <c r="M949" s="49">
        <f>IFERROR(__xludf.DUMMYFUNCTION("""COMPUTED_VALUE"""),1.0)</f>
        <v>1</v>
      </c>
      <c r="N949" s="50"/>
      <c r="O949" s="38"/>
      <c r="P949" s="45" t="str">
        <f>IFERROR(__xludf.DUMMYFUNCTION("""COMPUTED_VALUE"""),"")</f>
        <v/>
      </c>
      <c r="Q949" s="46" t="str">
        <f>IFERROR(__xludf.DUMMYFUNCTION("""COMPUTED_VALUE"""),"AP")</f>
        <v>AP</v>
      </c>
      <c r="R949" s="47" t="str">
        <f>IFERROR(__xludf.DUMMYFUNCTION("""COMPUTED_VALUE"""),"")</f>
        <v/>
      </c>
      <c r="S949" s="48" t="str">
        <f>IFERROR(__xludf.DUMMYFUNCTION("""COMPUTED_VALUE"""),"%")</f>
        <v>%</v>
      </c>
      <c r="T949" s="49">
        <f>IFERROR(__xludf.DUMMYFUNCTION("""COMPUTED_VALUE"""),2.0)</f>
        <v>2</v>
      </c>
      <c r="U949" s="50"/>
      <c r="V949" s="38"/>
      <c r="W949" s="45" t="str">
        <f>IFERROR(__xludf.DUMMYFUNCTION("""COMPUTED_VALUE"""),"")</f>
        <v/>
      </c>
      <c r="X949" s="46" t="str">
        <f>IFERROR(__xludf.DUMMYFUNCTION("""COMPUTED_VALUE"""),"AP")</f>
        <v>AP</v>
      </c>
      <c r="Y949" s="47" t="str">
        <f>IFERROR(__xludf.DUMMYFUNCTION("""COMPUTED_VALUE"""),"")</f>
        <v/>
      </c>
      <c r="Z949" s="48" t="str">
        <f>IFERROR(__xludf.DUMMYFUNCTION("""COMPUTED_VALUE"""),"%")</f>
        <v>%</v>
      </c>
      <c r="AA949" s="49">
        <f>IFERROR(__xludf.DUMMYFUNCTION("""COMPUTED_VALUE"""),3.0)</f>
        <v>3</v>
      </c>
      <c r="AB949" s="50"/>
      <c r="AC949" s="38"/>
      <c r="AD949" s="45" t="str">
        <f>IFERROR(__xludf.DUMMYFUNCTION("""COMPUTED_VALUE"""),"")</f>
        <v/>
      </c>
      <c r="AE949" s="46" t="str">
        <f>IFERROR(__xludf.DUMMYFUNCTION("""COMPUTED_VALUE"""),"AP")</f>
        <v>AP</v>
      </c>
      <c r="AF949" s="47" t="str">
        <f>IFERROR(__xludf.DUMMYFUNCTION("""COMPUTED_VALUE"""),"")</f>
        <v/>
      </c>
      <c r="AG949" s="48" t="str">
        <f>IFERROR(__xludf.DUMMYFUNCTION("""COMPUTED_VALUE"""),"%")</f>
        <v>%</v>
      </c>
      <c r="AH949" s="43"/>
      <c r="AI949" s="44"/>
      <c r="AJ949" s="66"/>
    </row>
    <row r="950" ht="24.75" hidden="1" customHeight="1">
      <c r="A950" s="28">
        <f>IFERROR(__xludf.DUMMYFUNCTION("""COMPUTED_VALUE"""),5.0)</f>
        <v>5</v>
      </c>
      <c r="B950" s="28" t="str">
        <f>IFERROR(__xludf.DUMMYFUNCTION("""COMPUTED_VALUE"""),"A114")</f>
        <v>A114</v>
      </c>
      <c r="C950" s="28"/>
      <c r="D950" s="29"/>
      <c r="E950" s="67"/>
      <c r="F950" s="31"/>
      <c r="G950" s="32"/>
      <c r="H950" s="33" t="str">
        <f>IFERROR(__xludf.DUMMYFUNCTION("""COMPUTED_VALUE""")," ")</f>
        <v> </v>
      </c>
      <c r="I950" s="34"/>
      <c r="J950" s="35" t="str">
        <f>IFERROR(__xludf.DUMMYFUNCTION("""COMPUTED_VALUE"""),"AP")</f>
        <v>AP</v>
      </c>
      <c r="K950" s="34"/>
      <c r="L950" s="35" t="str">
        <f>IFERROR(__xludf.DUMMYFUNCTION("""COMPUTED_VALUE"""),"%")</f>
        <v>%</v>
      </c>
      <c r="M950" s="36">
        <f>IFERROR(__xludf.DUMMYFUNCTION("""COMPUTED_VALUE"""),1.0)</f>
        <v>1</v>
      </c>
      <c r="N950" s="37"/>
      <c r="O950" s="38"/>
      <c r="P950" s="34" t="str">
        <f>IFERROR(__xludf.DUMMYFUNCTION("""COMPUTED_VALUE"""),"")</f>
        <v/>
      </c>
      <c r="Q950" s="35" t="str">
        <f>IFERROR(__xludf.DUMMYFUNCTION("""COMPUTED_VALUE"""),"AP")</f>
        <v>AP</v>
      </c>
      <c r="R950" s="34" t="str">
        <f>IFERROR(__xludf.DUMMYFUNCTION("""COMPUTED_VALUE"""),"")</f>
        <v/>
      </c>
      <c r="S950" s="35" t="str">
        <f>IFERROR(__xludf.DUMMYFUNCTION("""COMPUTED_VALUE"""),"%")</f>
        <v>%</v>
      </c>
      <c r="T950" s="36">
        <f>IFERROR(__xludf.DUMMYFUNCTION("""COMPUTED_VALUE"""),2.0)</f>
        <v>2</v>
      </c>
      <c r="U950" s="37"/>
      <c r="V950" s="38"/>
      <c r="W950" s="34" t="str">
        <f>IFERROR(__xludf.DUMMYFUNCTION("""COMPUTED_VALUE"""),"")</f>
        <v/>
      </c>
      <c r="X950" s="35" t="str">
        <f>IFERROR(__xludf.DUMMYFUNCTION("""COMPUTED_VALUE"""),"AP")</f>
        <v>AP</v>
      </c>
      <c r="Y950" s="34" t="str">
        <f>IFERROR(__xludf.DUMMYFUNCTION("""COMPUTED_VALUE"""),"")</f>
        <v/>
      </c>
      <c r="Z950" s="35" t="str">
        <f>IFERROR(__xludf.DUMMYFUNCTION("""COMPUTED_VALUE"""),"%")</f>
        <v>%</v>
      </c>
      <c r="AA950" s="36">
        <f>IFERROR(__xludf.DUMMYFUNCTION("""COMPUTED_VALUE"""),3.0)</f>
        <v>3</v>
      </c>
      <c r="AB950" s="37"/>
      <c r="AC950" s="38"/>
      <c r="AD950" s="34" t="str">
        <f>IFERROR(__xludf.DUMMYFUNCTION("""COMPUTED_VALUE"""),"")</f>
        <v/>
      </c>
      <c r="AE950" s="35" t="str">
        <f>IFERROR(__xludf.DUMMYFUNCTION("""COMPUTED_VALUE"""),"AP")</f>
        <v>AP</v>
      </c>
      <c r="AF950" s="34" t="str">
        <f>IFERROR(__xludf.DUMMYFUNCTION("""COMPUTED_VALUE"""),"")</f>
        <v/>
      </c>
      <c r="AG950" s="35" t="str">
        <f>IFERROR(__xludf.DUMMYFUNCTION("""COMPUTED_VALUE"""),"%")</f>
        <v>%</v>
      </c>
      <c r="AH950" s="31"/>
      <c r="AI950" s="32"/>
      <c r="AJ950" s="67"/>
    </row>
    <row r="951" ht="24.75" hidden="1" customHeight="1">
      <c r="A951" s="40">
        <f>IFERROR(__xludf.DUMMYFUNCTION("""COMPUTED_VALUE"""),6.0)</f>
        <v>6</v>
      </c>
      <c r="B951" s="40" t="str">
        <f>IFERROR(__xludf.DUMMYFUNCTION("""COMPUTED_VALUE"""),"A114")</f>
        <v>A114</v>
      </c>
      <c r="C951" s="40"/>
      <c r="D951" s="41"/>
      <c r="E951" s="66"/>
      <c r="F951" s="43"/>
      <c r="G951" s="44"/>
      <c r="H951" s="33" t="str">
        <f>IFERROR(__xludf.DUMMYFUNCTION("""COMPUTED_VALUE""")," ")</f>
        <v> </v>
      </c>
      <c r="I951" s="45"/>
      <c r="J951" s="46" t="str">
        <f>IFERROR(__xludf.DUMMYFUNCTION("""COMPUTED_VALUE"""),"AP")</f>
        <v>AP</v>
      </c>
      <c r="K951" s="47"/>
      <c r="L951" s="48" t="str">
        <f>IFERROR(__xludf.DUMMYFUNCTION("""COMPUTED_VALUE"""),"%")</f>
        <v>%</v>
      </c>
      <c r="M951" s="49">
        <f>IFERROR(__xludf.DUMMYFUNCTION("""COMPUTED_VALUE"""),1.0)</f>
        <v>1</v>
      </c>
      <c r="N951" s="50"/>
      <c r="O951" s="38"/>
      <c r="P951" s="45" t="str">
        <f>IFERROR(__xludf.DUMMYFUNCTION("""COMPUTED_VALUE"""),"")</f>
        <v/>
      </c>
      <c r="Q951" s="46" t="str">
        <f>IFERROR(__xludf.DUMMYFUNCTION("""COMPUTED_VALUE"""),"AP")</f>
        <v>AP</v>
      </c>
      <c r="R951" s="47" t="str">
        <f>IFERROR(__xludf.DUMMYFUNCTION("""COMPUTED_VALUE"""),"")</f>
        <v/>
      </c>
      <c r="S951" s="48" t="str">
        <f>IFERROR(__xludf.DUMMYFUNCTION("""COMPUTED_VALUE"""),"%")</f>
        <v>%</v>
      </c>
      <c r="T951" s="49">
        <f>IFERROR(__xludf.DUMMYFUNCTION("""COMPUTED_VALUE"""),2.0)</f>
        <v>2</v>
      </c>
      <c r="U951" s="50"/>
      <c r="V951" s="38"/>
      <c r="W951" s="45" t="str">
        <f>IFERROR(__xludf.DUMMYFUNCTION("""COMPUTED_VALUE"""),"")</f>
        <v/>
      </c>
      <c r="X951" s="46" t="str">
        <f>IFERROR(__xludf.DUMMYFUNCTION("""COMPUTED_VALUE"""),"AP")</f>
        <v>AP</v>
      </c>
      <c r="Y951" s="47" t="str">
        <f>IFERROR(__xludf.DUMMYFUNCTION("""COMPUTED_VALUE"""),"")</f>
        <v/>
      </c>
      <c r="Z951" s="48" t="str">
        <f>IFERROR(__xludf.DUMMYFUNCTION("""COMPUTED_VALUE"""),"%")</f>
        <v>%</v>
      </c>
      <c r="AA951" s="49">
        <f>IFERROR(__xludf.DUMMYFUNCTION("""COMPUTED_VALUE"""),3.0)</f>
        <v>3</v>
      </c>
      <c r="AB951" s="50"/>
      <c r="AC951" s="38"/>
      <c r="AD951" s="45" t="str">
        <f>IFERROR(__xludf.DUMMYFUNCTION("""COMPUTED_VALUE"""),"")</f>
        <v/>
      </c>
      <c r="AE951" s="46" t="str">
        <f>IFERROR(__xludf.DUMMYFUNCTION("""COMPUTED_VALUE"""),"AP")</f>
        <v>AP</v>
      </c>
      <c r="AF951" s="47" t="str">
        <f>IFERROR(__xludf.DUMMYFUNCTION("""COMPUTED_VALUE"""),"")</f>
        <v/>
      </c>
      <c r="AG951" s="48" t="str">
        <f>IFERROR(__xludf.DUMMYFUNCTION("""COMPUTED_VALUE"""),"%")</f>
        <v>%</v>
      </c>
      <c r="AH951" s="43"/>
      <c r="AI951" s="44"/>
      <c r="AJ951" s="66"/>
    </row>
    <row r="952" ht="24.75" hidden="1" customHeight="1">
      <c r="A952" s="28">
        <f>IFERROR(__xludf.DUMMYFUNCTION("""COMPUTED_VALUE"""),7.0)</f>
        <v>7</v>
      </c>
      <c r="B952" s="28" t="str">
        <f>IFERROR(__xludf.DUMMYFUNCTION("""COMPUTED_VALUE"""),"A114")</f>
        <v>A114</v>
      </c>
      <c r="C952" s="28"/>
      <c r="D952" s="29"/>
      <c r="E952" s="67"/>
      <c r="F952" s="31"/>
      <c r="G952" s="32"/>
      <c r="H952" s="33" t="str">
        <f>IFERROR(__xludf.DUMMYFUNCTION("""COMPUTED_VALUE""")," ")</f>
        <v> </v>
      </c>
      <c r="I952" s="34"/>
      <c r="J952" s="35" t="str">
        <f>IFERROR(__xludf.DUMMYFUNCTION("""COMPUTED_VALUE"""),"AP")</f>
        <v>AP</v>
      </c>
      <c r="K952" s="34"/>
      <c r="L952" s="35" t="str">
        <f>IFERROR(__xludf.DUMMYFUNCTION("""COMPUTED_VALUE"""),"%")</f>
        <v>%</v>
      </c>
      <c r="M952" s="36">
        <f>IFERROR(__xludf.DUMMYFUNCTION("""COMPUTED_VALUE"""),1.0)</f>
        <v>1</v>
      </c>
      <c r="N952" s="37"/>
      <c r="O952" s="38"/>
      <c r="P952" s="34" t="str">
        <f>IFERROR(__xludf.DUMMYFUNCTION("""COMPUTED_VALUE"""),"")</f>
        <v/>
      </c>
      <c r="Q952" s="35" t="str">
        <f>IFERROR(__xludf.DUMMYFUNCTION("""COMPUTED_VALUE"""),"AP")</f>
        <v>AP</v>
      </c>
      <c r="R952" s="34" t="str">
        <f>IFERROR(__xludf.DUMMYFUNCTION("""COMPUTED_VALUE"""),"")</f>
        <v/>
      </c>
      <c r="S952" s="35" t="str">
        <f>IFERROR(__xludf.DUMMYFUNCTION("""COMPUTED_VALUE"""),"%")</f>
        <v>%</v>
      </c>
      <c r="T952" s="36">
        <f>IFERROR(__xludf.DUMMYFUNCTION("""COMPUTED_VALUE"""),2.0)</f>
        <v>2</v>
      </c>
      <c r="U952" s="37"/>
      <c r="V952" s="38"/>
      <c r="W952" s="34" t="str">
        <f>IFERROR(__xludf.DUMMYFUNCTION("""COMPUTED_VALUE"""),"")</f>
        <v/>
      </c>
      <c r="X952" s="35" t="str">
        <f>IFERROR(__xludf.DUMMYFUNCTION("""COMPUTED_VALUE"""),"AP")</f>
        <v>AP</v>
      </c>
      <c r="Y952" s="34" t="str">
        <f>IFERROR(__xludf.DUMMYFUNCTION("""COMPUTED_VALUE"""),"")</f>
        <v/>
      </c>
      <c r="Z952" s="35" t="str">
        <f>IFERROR(__xludf.DUMMYFUNCTION("""COMPUTED_VALUE"""),"%")</f>
        <v>%</v>
      </c>
      <c r="AA952" s="36">
        <f>IFERROR(__xludf.DUMMYFUNCTION("""COMPUTED_VALUE"""),3.0)</f>
        <v>3</v>
      </c>
      <c r="AB952" s="37"/>
      <c r="AC952" s="38"/>
      <c r="AD952" s="34" t="str">
        <f>IFERROR(__xludf.DUMMYFUNCTION("""COMPUTED_VALUE"""),"")</f>
        <v/>
      </c>
      <c r="AE952" s="35" t="str">
        <f>IFERROR(__xludf.DUMMYFUNCTION("""COMPUTED_VALUE"""),"AP")</f>
        <v>AP</v>
      </c>
      <c r="AF952" s="34" t="str">
        <f>IFERROR(__xludf.DUMMYFUNCTION("""COMPUTED_VALUE"""),"")</f>
        <v/>
      </c>
      <c r="AG952" s="35" t="str">
        <f>IFERROR(__xludf.DUMMYFUNCTION("""COMPUTED_VALUE"""),"%")</f>
        <v>%</v>
      </c>
      <c r="AH952" s="31"/>
      <c r="AI952" s="32"/>
      <c r="AJ952" s="67"/>
    </row>
    <row r="953" ht="24.75" hidden="1" customHeight="1">
      <c r="A953" s="40">
        <f>IFERROR(__xludf.DUMMYFUNCTION("""COMPUTED_VALUE"""),8.0)</f>
        <v>8</v>
      </c>
      <c r="B953" s="40" t="str">
        <f>IFERROR(__xludf.DUMMYFUNCTION("""COMPUTED_VALUE"""),"A114")</f>
        <v>A114</v>
      </c>
      <c r="C953" s="40"/>
      <c r="D953" s="41"/>
      <c r="E953" s="66"/>
      <c r="F953" s="43"/>
      <c r="G953" s="44"/>
      <c r="H953" s="33" t="str">
        <f>IFERROR(__xludf.DUMMYFUNCTION("""COMPUTED_VALUE""")," ")</f>
        <v> </v>
      </c>
      <c r="I953" s="45"/>
      <c r="J953" s="46" t="str">
        <f>IFERROR(__xludf.DUMMYFUNCTION("""COMPUTED_VALUE"""),"AP")</f>
        <v>AP</v>
      </c>
      <c r="K953" s="47"/>
      <c r="L953" s="48" t="str">
        <f>IFERROR(__xludf.DUMMYFUNCTION("""COMPUTED_VALUE"""),"%")</f>
        <v>%</v>
      </c>
      <c r="M953" s="49">
        <f>IFERROR(__xludf.DUMMYFUNCTION("""COMPUTED_VALUE"""),1.0)</f>
        <v>1</v>
      </c>
      <c r="N953" s="50"/>
      <c r="O953" s="38"/>
      <c r="P953" s="45" t="str">
        <f>IFERROR(__xludf.DUMMYFUNCTION("""COMPUTED_VALUE"""),"")</f>
        <v/>
      </c>
      <c r="Q953" s="46" t="str">
        <f>IFERROR(__xludf.DUMMYFUNCTION("""COMPUTED_VALUE"""),"AP")</f>
        <v>AP</v>
      </c>
      <c r="R953" s="47" t="str">
        <f>IFERROR(__xludf.DUMMYFUNCTION("""COMPUTED_VALUE"""),"")</f>
        <v/>
      </c>
      <c r="S953" s="48" t="str">
        <f>IFERROR(__xludf.DUMMYFUNCTION("""COMPUTED_VALUE"""),"%")</f>
        <v>%</v>
      </c>
      <c r="T953" s="49">
        <f>IFERROR(__xludf.DUMMYFUNCTION("""COMPUTED_VALUE"""),2.0)</f>
        <v>2</v>
      </c>
      <c r="U953" s="50"/>
      <c r="V953" s="38"/>
      <c r="W953" s="45" t="str">
        <f>IFERROR(__xludf.DUMMYFUNCTION("""COMPUTED_VALUE"""),"")</f>
        <v/>
      </c>
      <c r="X953" s="46" t="str">
        <f>IFERROR(__xludf.DUMMYFUNCTION("""COMPUTED_VALUE"""),"AP")</f>
        <v>AP</v>
      </c>
      <c r="Y953" s="47" t="str">
        <f>IFERROR(__xludf.DUMMYFUNCTION("""COMPUTED_VALUE"""),"")</f>
        <v/>
      </c>
      <c r="Z953" s="48" t="str">
        <f>IFERROR(__xludf.DUMMYFUNCTION("""COMPUTED_VALUE"""),"%")</f>
        <v>%</v>
      </c>
      <c r="AA953" s="49">
        <f>IFERROR(__xludf.DUMMYFUNCTION("""COMPUTED_VALUE"""),3.0)</f>
        <v>3</v>
      </c>
      <c r="AB953" s="50"/>
      <c r="AC953" s="38"/>
      <c r="AD953" s="45" t="str">
        <f>IFERROR(__xludf.DUMMYFUNCTION("""COMPUTED_VALUE"""),"")</f>
        <v/>
      </c>
      <c r="AE953" s="46" t="str">
        <f>IFERROR(__xludf.DUMMYFUNCTION("""COMPUTED_VALUE"""),"AP")</f>
        <v>AP</v>
      </c>
      <c r="AF953" s="47" t="str">
        <f>IFERROR(__xludf.DUMMYFUNCTION("""COMPUTED_VALUE"""),"")</f>
        <v/>
      </c>
      <c r="AG953" s="48" t="str">
        <f>IFERROR(__xludf.DUMMYFUNCTION("""COMPUTED_VALUE"""),"%")</f>
        <v>%</v>
      </c>
      <c r="AH953" s="43"/>
      <c r="AI953" s="44"/>
      <c r="AJ953" s="66"/>
    </row>
    <row r="954" ht="24.75" hidden="1" customHeight="1">
      <c r="A954" s="28">
        <f>IFERROR(__xludf.DUMMYFUNCTION("""COMPUTED_VALUE"""),9.0)</f>
        <v>9</v>
      </c>
      <c r="B954" s="28" t="str">
        <f>IFERROR(__xludf.DUMMYFUNCTION("""COMPUTED_VALUE"""),"A114")</f>
        <v>A114</v>
      </c>
      <c r="C954" s="28"/>
      <c r="D954" s="29"/>
      <c r="E954" s="67"/>
      <c r="F954" s="31"/>
      <c r="G954" s="32"/>
      <c r="H954" s="33" t="str">
        <f>IFERROR(__xludf.DUMMYFUNCTION("""COMPUTED_VALUE""")," ")</f>
        <v> </v>
      </c>
      <c r="I954" s="34"/>
      <c r="J954" s="35" t="str">
        <f>IFERROR(__xludf.DUMMYFUNCTION("""COMPUTED_VALUE"""),"AP")</f>
        <v>AP</v>
      </c>
      <c r="K954" s="34"/>
      <c r="L954" s="35" t="str">
        <f>IFERROR(__xludf.DUMMYFUNCTION("""COMPUTED_VALUE"""),"%")</f>
        <v>%</v>
      </c>
      <c r="M954" s="36">
        <f>IFERROR(__xludf.DUMMYFUNCTION("""COMPUTED_VALUE"""),1.0)</f>
        <v>1</v>
      </c>
      <c r="N954" s="37"/>
      <c r="O954" s="38"/>
      <c r="P954" s="34" t="str">
        <f>IFERROR(__xludf.DUMMYFUNCTION("""COMPUTED_VALUE"""),"")</f>
        <v/>
      </c>
      <c r="Q954" s="35" t="str">
        <f>IFERROR(__xludf.DUMMYFUNCTION("""COMPUTED_VALUE"""),"AP")</f>
        <v>AP</v>
      </c>
      <c r="R954" s="34" t="str">
        <f>IFERROR(__xludf.DUMMYFUNCTION("""COMPUTED_VALUE"""),"")</f>
        <v/>
      </c>
      <c r="S954" s="35" t="str">
        <f>IFERROR(__xludf.DUMMYFUNCTION("""COMPUTED_VALUE"""),"%")</f>
        <v>%</v>
      </c>
      <c r="T954" s="36">
        <f>IFERROR(__xludf.DUMMYFUNCTION("""COMPUTED_VALUE"""),2.0)</f>
        <v>2</v>
      </c>
      <c r="U954" s="37"/>
      <c r="V954" s="38"/>
      <c r="W954" s="34" t="str">
        <f>IFERROR(__xludf.DUMMYFUNCTION("""COMPUTED_VALUE"""),"")</f>
        <v/>
      </c>
      <c r="X954" s="35" t="str">
        <f>IFERROR(__xludf.DUMMYFUNCTION("""COMPUTED_VALUE"""),"AP")</f>
        <v>AP</v>
      </c>
      <c r="Y954" s="34" t="str">
        <f>IFERROR(__xludf.DUMMYFUNCTION("""COMPUTED_VALUE"""),"")</f>
        <v/>
      </c>
      <c r="Z954" s="35" t="str">
        <f>IFERROR(__xludf.DUMMYFUNCTION("""COMPUTED_VALUE"""),"%")</f>
        <v>%</v>
      </c>
      <c r="AA954" s="36">
        <f>IFERROR(__xludf.DUMMYFUNCTION("""COMPUTED_VALUE"""),3.0)</f>
        <v>3</v>
      </c>
      <c r="AB954" s="37"/>
      <c r="AC954" s="38"/>
      <c r="AD954" s="34" t="str">
        <f>IFERROR(__xludf.DUMMYFUNCTION("""COMPUTED_VALUE"""),"")</f>
        <v/>
      </c>
      <c r="AE954" s="35" t="str">
        <f>IFERROR(__xludf.DUMMYFUNCTION("""COMPUTED_VALUE"""),"AP")</f>
        <v>AP</v>
      </c>
      <c r="AF954" s="34" t="str">
        <f>IFERROR(__xludf.DUMMYFUNCTION("""COMPUTED_VALUE"""),"")</f>
        <v/>
      </c>
      <c r="AG954" s="35" t="str">
        <f>IFERROR(__xludf.DUMMYFUNCTION("""COMPUTED_VALUE"""),"%")</f>
        <v>%</v>
      </c>
      <c r="AH954" s="31"/>
      <c r="AI954" s="32"/>
      <c r="AJ954" s="67"/>
    </row>
    <row r="955" ht="24.75" hidden="1" customHeight="1">
      <c r="A955" s="40">
        <f>IFERROR(__xludf.DUMMYFUNCTION("""COMPUTED_VALUE"""),10.0)</f>
        <v>10</v>
      </c>
      <c r="B955" s="40" t="str">
        <f>IFERROR(__xludf.DUMMYFUNCTION("""COMPUTED_VALUE"""),"A114")</f>
        <v>A114</v>
      </c>
      <c r="C955" s="40"/>
      <c r="D955" s="41"/>
      <c r="E955" s="66"/>
      <c r="F955" s="43"/>
      <c r="G955" s="44"/>
      <c r="H955" s="33" t="str">
        <f>IFERROR(__xludf.DUMMYFUNCTION("""COMPUTED_VALUE""")," ")</f>
        <v> </v>
      </c>
      <c r="I955" s="45"/>
      <c r="J955" s="46" t="str">
        <f>IFERROR(__xludf.DUMMYFUNCTION("""COMPUTED_VALUE"""),"AP")</f>
        <v>AP</v>
      </c>
      <c r="K955" s="47"/>
      <c r="L955" s="48" t="str">
        <f>IFERROR(__xludf.DUMMYFUNCTION("""COMPUTED_VALUE"""),"%")</f>
        <v>%</v>
      </c>
      <c r="M955" s="49">
        <f>IFERROR(__xludf.DUMMYFUNCTION("""COMPUTED_VALUE"""),1.0)</f>
        <v>1</v>
      </c>
      <c r="N955" s="50"/>
      <c r="O955" s="38"/>
      <c r="P955" s="45" t="str">
        <f>IFERROR(__xludf.DUMMYFUNCTION("""COMPUTED_VALUE"""),"")</f>
        <v/>
      </c>
      <c r="Q955" s="46" t="str">
        <f>IFERROR(__xludf.DUMMYFUNCTION("""COMPUTED_VALUE"""),"AP")</f>
        <v>AP</v>
      </c>
      <c r="R955" s="47" t="str">
        <f>IFERROR(__xludf.DUMMYFUNCTION("""COMPUTED_VALUE"""),"")</f>
        <v/>
      </c>
      <c r="S955" s="48" t="str">
        <f>IFERROR(__xludf.DUMMYFUNCTION("""COMPUTED_VALUE"""),"%")</f>
        <v>%</v>
      </c>
      <c r="T955" s="49">
        <f>IFERROR(__xludf.DUMMYFUNCTION("""COMPUTED_VALUE"""),2.0)</f>
        <v>2</v>
      </c>
      <c r="U955" s="50"/>
      <c r="V955" s="38"/>
      <c r="W955" s="45" t="str">
        <f>IFERROR(__xludf.DUMMYFUNCTION("""COMPUTED_VALUE"""),"")</f>
        <v/>
      </c>
      <c r="X955" s="46" t="str">
        <f>IFERROR(__xludf.DUMMYFUNCTION("""COMPUTED_VALUE"""),"AP")</f>
        <v>AP</v>
      </c>
      <c r="Y955" s="47" t="str">
        <f>IFERROR(__xludf.DUMMYFUNCTION("""COMPUTED_VALUE"""),"")</f>
        <v/>
      </c>
      <c r="Z955" s="48" t="str">
        <f>IFERROR(__xludf.DUMMYFUNCTION("""COMPUTED_VALUE"""),"%")</f>
        <v>%</v>
      </c>
      <c r="AA955" s="49">
        <f>IFERROR(__xludf.DUMMYFUNCTION("""COMPUTED_VALUE"""),3.0)</f>
        <v>3</v>
      </c>
      <c r="AB955" s="50"/>
      <c r="AC955" s="38"/>
      <c r="AD955" s="45" t="str">
        <f>IFERROR(__xludf.DUMMYFUNCTION("""COMPUTED_VALUE"""),"")</f>
        <v/>
      </c>
      <c r="AE955" s="46" t="str">
        <f>IFERROR(__xludf.DUMMYFUNCTION("""COMPUTED_VALUE"""),"AP")</f>
        <v>AP</v>
      </c>
      <c r="AF955" s="47" t="str">
        <f>IFERROR(__xludf.DUMMYFUNCTION("""COMPUTED_VALUE"""),"")</f>
        <v/>
      </c>
      <c r="AG955" s="48" t="str">
        <f>IFERROR(__xludf.DUMMYFUNCTION("""COMPUTED_VALUE"""),"%")</f>
        <v>%</v>
      </c>
      <c r="AH955" s="43"/>
      <c r="AI955" s="44"/>
      <c r="AJ955" s="66"/>
    </row>
    <row r="956" ht="24.75" hidden="1" customHeight="1">
      <c r="A956" s="28">
        <f>IFERROR(__xludf.DUMMYFUNCTION("""COMPUTED_VALUE"""),11.0)</f>
        <v>11</v>
      </c>
      <c r="B956" s="28" t="str">
        <f>IFERROR(__xludf.DUMMYFUNCTION("""COMPUTED_VALUE"""),"A114")</f>
        <v>A114</v>
      </c>
      <c r="C956" s="28"/>
      <c r="D956" s="29"/>
      <c r="E956" s="67"/>
      <c r="F956" s="31"/>
      <c r="G956" s="32"/>
      <c r="H956" s="33" t="str">
        <f>IFERROR(__xludf.DUMMYFUNCTION("""COMPUTED_VALUE""")," ")</f>
        <v> </v>
      </c>
      <c r="I956" s="34"/>
      <c r="J956" s="35" t="str">
        <f>IFERROR(__xludf.DUMMYFUNCTION("""COMPUTED_VALUE"""),"AP")</f>
        <v>AP</v>
      </c>
      <c r="K956" s="34"/>
      <c r="L956" s="35" t="str">
        <f>IFERROR(__xludf.DUMMYFUNCTION("""COMPUTED_VALUE"""),"%")</f>
        <v>%</v>
      </c>
      <c r="M956" s="36">
        <f>IFERROR(__xludf.DUMMYFUNCTION("""COMPUTED_VALUE"""),1.0)</f>
        <v>1</v>
      </c>
      <c r="N956" s="37"/>
      <c r="O956" s="38"/>
      <c r="P956" s="34" t="str">
        <f>IFERROR(__xludf.DUMMYFUNCTION("""COMPUTED_VALUE"""),"")</f>
        <v/>
      </c>
      <c r="Q956" s="35" t="str">
        <f>IFERROR(__xludf.DUMMYFUNCTION("""COMPUTED_VALUE"""),"AP")</f>
        <v>AP</v>
      </c>
      <c r="R956" s="34" t="str">
        <f>IFERROR(__xludf.DUMMYFUNCTION("""COMPUTED_VALUE"""),"")</f>
        <v/>
      </c>
      <c r="S956" s="35" t="str">
        <f>IFERROR(__xludf.DUMMYFUNCTION("""COMPUTED_VALUE"""),"%")</f>
        <v>%</v>
      </c>
      <c r="T956" s="36">
        <f>IFERROR(__xludf.DUMMYFUNCTION("""COMPUTED_VALUE"""),2.0)</f>
        <v>2</v>
      </c>
      <c r="U956" s="37"/>
      <c r="V956" s="38"/>
      <c r="W956" s="34" t="str">
        <f>IFERROR(__xludf.DUMMYFUNCTION("""COMPUTED_VALUE"""),"")</f>
        <v/>
      </c>
      <c r="X956" s="35" t="str">
        <f>IFERROR(__xludf.DUMMYFUNCTION("""COMPUTED_VALUE"""),"AP")</f>
        <v>AP</v>
      </c>
      <c r="Y956" s="34" t="str">
        <f>IFERROR(__xludf.DUMMYFUNCTION("""COMPUTED_VALUE"""),"")</f>
        <v/>
      </c>
      <c r="Z956" s="35" t="str">
        <f>IFERROR(__xludf.DUMMYFUNCTION("""COMPUTED_VALUE"""),"%")</f>
        <v>%</v>
      </c>
      <c r="AA956" s="36">
        <f>IFERROR(__xludf.DUMMYFUNCTION("""COMPUTED_VALUE"""),3.0)</f>
        <v>3</v>
      </c>
      <c r="AB956" s="37"/>
      <c r="AC956" s="38"/>
      <c r="AD956" s="34" t="str">
        <f>IFERROR(__xludf.DUMMYFUNCTION("""COMPUTED_VALUE"""),"")</f>
        <v/>
      </c>
      <c r="AE956" s="35" t="str">
        <f>IFERROR(__xludf.DUMMYFUNCTION("""COMPUTED_VALUE"""),"AP")</f>
        <v>AP</v>
      </c>
      <c r="AF956" s="34" t="str">
        <f>IFERROR(__xludf.DUMMYFUNCTION("""COMPUTED_VALUE"""),"")</f>
        <v/>
      </c>
      <c r="AG956" s="35" t="str">
        <f>IFERROR(__xludf.DUMMYFUNCTION("""COMPUTED_VALUE"""),"%")</f>
        <v>%</v>
      </c>
      <c r="AH956" s="31"/>
      <c r="AI956" s="32"/>
      <c r="AJ956" s="67"/>
    </row>
    <row r="957" ht="24.75" hidden="1" customHeight="1">
      <c r="A957" s="40">
        <f>IFERROR(__xludf.DUMMYFUNCTION("""COMPUTED_VALUE"""),12.0)</f>
        <v>12</v>
      </c>
      <c r="B957" s="40" t="str">
        <f>IFERROR(__xludf.DUMMYFUNCTION("""COMPUTED_VALUE"""),"A114")</f>
        <v>A114</v>
      </c>
      <c r="C957" s="40"/>
      <c r="D957" s="41"/>
      <c r="E957" s="66"/>
      <c r="F957" s="43"/>
      <c r="G957" s="44"/>
      <c r="H957" s="33" t="str">
        <f>IFERROR(__xludf.DUMMYFUNCTION("""COMPUTED_VALUE""")," ")</f>
        <v> </v>
      </c>
      <c r="I957" s="45"/>
      <c r="J957" s="46" t="str">
        <f>IFERROR(__xludf.DUMMYFUNCTION("""COMPUTED_VALUE"""),"AP")</f>
        <v>AP</v>
      </c>
      <c r="K957" s="47"/>
      <c r="L957" s="48" t="str">
        <f>IFERROR(__xludf.DUMMYFUNCTION("""COMPUTED_VALUE"""),"%")</f>
        <v>%</v>
      </c>
      <c r="M957" s="49">
        <f>IFERROR(__xludf.DUMMYFUNCTION("""COMPUTED_VALUE"""),1.0)</f>
        <v>1</v>
      </c>
      <c r="N957" s="50"/>
      <c r="O957" s="38"/>
      <c r="P957" s="45" t="str">
        <f>IFERROR(__xludf.DUMMYFUNCTION("""COMPUTED_VALUE"""),"")</f>
        <v/>
      </c>
      <c r="Q957" s="46" t="str">
        <f>IFERROR(__xludf.DUMMYFUNCTION("""COMPUTED_VALUE"""),"AP")</f>
        <v>AP</v>
      </c>
      <c r="R957" s="47" t="str">
        <f>IFERROR(__xludf.DUMMYFUNCTION("""COMPUTED_VALUE"""),"")</f>
        <v/>
      </c>
      <c r="S957" s="48" t="str">
        <f>IFERROR(__xludf.DUMMYFUNCTION("""COMPUTED_VALUE"""),"%")</f>
        <v>%</v>
      </c>
      <c r="T957" s="49">
        <f>IFERROR(__xludf.DUMMYFUNCTION("""COMPUTED_VALUE"""),2.0)</f>
        <v>2</v>
      </c>
      <c r="U957" s="50"/>
      <c r="V957" s="38"/>
      <c r="W957" s="45" t="str">
        <f>IFERROR(__xludf.DUMMYFUNCTION("""COMPUTED_VALUE"""),"")</f>
        <v/>
      </c>
      <c r="X957" s="46" t="str">
        <f>IFERROR(__xludf.DUMMYFUNCTION("""COMPUTED_VALUE"""),"AP")</f>
        <v>AP</v>
      </c>
      <c r="Y957" s="47" t="str">
        <f>IFERROR(__xludf.DUMMYFUNCTION("""COMPUTED_VALUE"""),"")</f>
        <v/>
      </c>
      <c r="Z957" s="48" t="str">
        <f>IFERROR(__xludf.DUMMYFUNCTION("""COMPUTED_VALUE"""),"%")</f>
        <v>%</v>
      </c>
      <c r="AA957" s="49">
        <f>IFERROR(__xludf.DUMMYFUNCTION("""COMPUTED_VALUE"""),3.0)</f>
        <v>3</v>
      </c>
      <c r="AB957" s="50"/>
      <c r="AC957" s="38"/>
      <c r="AD957" s="45" t="str">
        <f>IFERROR(__xludf.DUMMYFUNCTION("""COMPUTED_VALUE"""),"")</f>
        <v/>
      </c>
      <c r="AE957" s="46" t="str">
        <f>IFERROR(__xludf.DUMMYFUNCTION("""COMPUTED_VALUE"""),"AP")</f>
        <v>AP</v>
      </c>
      <c r="AF957" s="47" t="str">
        <f>IFERROR(__xludf.DUMMYFUNCTION("""COMPUTED_VALUE"""),"")</f>
        <v/>
      </c>
      <c r="AG957" s="48" t="str">
        <f>IFERROR(__xludf.DUMMYFUNCTION("""COMPUTED_VALUE"""),"%")</f>
        <v>%</v>
      </c>
      <c r="AH957" s="43"/>
      <c r="AI957" s="44"/>
      <c r="AJ957" s="66"/>
    </row>
    <row r="958" ht="24.75" hidden="1" customHeight="1">
      <c r="A958" s="28">
        <f>IFERROR(__xludf.DUMMYFUNCTION("""COMPUTED_VALUE"""),13.0)</f>
        <v>13</v>
      </c>
      <c r="B958" s="28" t="str">
        <f>IFERROR(__xludf.DUMMYFUNCTION("""COMPUTED_VALUE"""),"A114")</f>
        <v>A114</v>
      </c>
      <c r="C958" s="28"/>
      <c r="D958" s="29"/>
      <c r="E958" s="67"/>
      <c r="F958" s="31"/>
      <c r="G958" s="32"/>
      <c r="H958" s="33" t="str">
        <f>IFERROR(__xludf.DUMMYFUNCTION("""COMPUTED_VALUE""")," ")</f>
        <v> </v>
      </c>
      <c r="I958" s="34"/>
      <c r="J958" s="35" t="str">
        <f>IFERROR(__xludf.DUMMYFUNCTION("""COMPUTED_VALUE"""),"AP")</f>
        <v>AP</v>
      </c>
      <c r="K958" s="34"/>
      <c r="L958" s="35" t="str">
        <f>IFERROR(__xludf.DUMMYFUNCTION("""COMPUTED_VALUE"""),"%")</f>
        <v>%</v>
      </c>
      <c r="M958" s="36">
        <f>IFERROR(__xludf.DUMMYFUNCTION("""COMPUTED_VALUE"""),1.0)</f>
        <v>1</v>
      </c>
      <c r="N958" s="37"/>
      <c r="O958" s="38"/>
      <c r="P958" s="34" t="str">
        <f>IFERROR(__xludf.DUMMYFUNCTION("""COMPUTED_VALUE"""),"")</f>
        <v/>
      </c>
      <c r="Q958" s="35" t="str">
        <f>IFERROR(__xludf.DUMMYFUNCTION("""COMPUTED_VALUE"""),"AP")</f>
        <v>AP</v>
      </c>
      <c r="R958" s="34" t="str">
        <f>IFERROR(__xludf.DUMMYFUNCTION("""COMPUTED_VALUE"""),"")</f>
        <v/>
      </c>
      <c r="S958" s="35" t="str">
        <f>IFERROR(__xludf.DUMMYFUNCTION("""COMPUTED_VALUE"""),"%")</f>
        <v>%</v>
      </c>
      <c r="T958" s="36">
        <f>IFERROR(__xludf.DUMMYFUNCTION("""COMPUTED_VALUE"""),2.0)</f>
        <v>2</v>
      </c>
      <c r="U958" s="37"/>
      <c r="V958" s="38"/>
      <c r="W958" s="34" t="str">
        <f>IFERROR(__xludf.DUMMYFUNCTION("""COMPUTED_VALUE"""),"")</f>
        <v/>
      </c>
      <c r="X958" s="35" t="str">
        <f>IFERROR(__xludf.DUMMYFUNCTION("""COMPUTED_VALUE"""),"AP")</f>
        <v>AP</v>
      </c>
      <c r="Y958" s="34" t="str">
        <f>IFERROR(__xludf.DUMMYFUNCTION("""COMPUTED_VALUE"""),"")</f>
        <v/>
      </c>
      <c r="Z958" s="35" t="str">
        <f>IFERROR(__xludf.DUMMYFUNCTION("""COMPUTED_VALUE"""),"%")</f>
        <v>%</v>
      </c>
      <c r="AA958" s="36">
        <f>IFERROR(__xludf.DUMMYFUNCTION("""COMPUTED_VALUE"""),3.0)</f>
        <v>3</v>
      </c>
      <c r="AB958" s="37"/>
      <c r="AC958" s="38"/>
      <c r="AD958" s="34" t="str">
        <f>IFERROR(__xludf.DUMMYFUNCTION("""COMPUTED_VALUE"""),"")</f>
        <v/>
      </c>
      <c r="AE958" s="35" t="str">
        <f>IFERROR(__xludf.DUMMYFUNCTION("""COMPUTED_VALUE"""),"AP")</f>
        <v>AP</v>
      </c>
      <c r="AF958" s="34" t="str">
        <f>IFERROR(__xludf.DUMMYFUNCTION("""COMPUTED_VALUE"""),"")</f>
        <v/>
      </c>
      <c r="AG958" s="35" t="str">
        <f>IFERROR(__xludf.DUMMYFUNCTION("""COMPUTED_VALUE"""),"%")</f>
        <v>%</v>
      </c>
      <c r="AH958" s="31"/>
      <c r="AI958" s="32"/>
      <c r="AJ958" s="67"/>
    </row>
    <row r="959" ht="24.75" hidden="1" customHeight="1">
      <c r="A959" s="40">
        <f>IFERROR(__xludf.DUMMYFUNCTION("""COMPUTED_VALUE"""),14.0)</f>
        <v>14</v>
      </c>
      <c r="B959" s="40" t="str">
        <f>IFERROR(__xludf.DUMMYFUNCTION("""COMPUTED_VALUE"""),"A114")</f>
        <v>A114</v>
      </c>
      <c r="C959" s="40"/>
      <c r="D959" s="41"/>
      <c r="E959" s="66"/>
      <c r="F959" s="43"/>
      <c r="G959" s="44"/>
      <c r="H959" s="33" t="str">
        <f>IFERROR(__xludf.DUMMYFUNCTION("""COMPUTED_VALUE""")," ")</f>
        <v> </v>
      </c>
      <c r="I959" s="45"/>
      <c r="J959" s="46" t="str">
        <f>IFERROR(__xludf.DUMMYFUNCTION("""COMPUTED_VALUE"""),"AP")</f>
        <v>AP</v>
      </c>
      <c r="K959" s="47"/>
      <c r="L959" s="48" t="str">
        <f>IFERROR(__xludf.DUMMYFUNCTION("""COMPUTED_VALUE"""),"%")</f>
        <v>%</v>
      </c>
      <c r="M959" s="49">
        <f>IFERROR(__xludf.DUMMYFUNCTION("""COMPUTED_VALUE"""),1.0)</f>
        <v>1</v>
      </c>
      <c r="N959" s="50"/>
      <c r="O959" s="38"/>
      <c r="P959" s="45" t="str">
        <f>IFERROR(__xludf.DUMMYFUNCTION("""COMPUTED_VALUE"""),"")</f>
        <v/>
      </c>
      <c r="Q959" s="46" t="str">
        <f>IFERROR(__xludf.DUMMYFUNCTION("""COMPUTED_VALUE"""),"AP")</f>
        <v>AP</v>
      </c>
      <c r="R959" s="47" t="str">
        <f>IFERROR(__xludf.DUMMYFUNCTION("""COMPUTED_VALUE"""),"")</f>
        <v/>
      </c>
      <c r="S959" s="48" t="str">
        <f>IFERROR(__xludf.DUMMYFUNCTION("""COMPUTED_VALUE"""),"%")</f>
        <v>%</v>
      </c>
      <c r="T959" s="49">
        <f>IFERROR(__xludf.DUMMYFUNCTION("""COMPUTED_VALUE"""),2.0)</f>
        <v>2</v>
      </c>
      <c r="U959" s="50"/>
      <c r="V959" s="38"/>
      <c r="W959" s="45" t="str">
        <f>IFERROR(__xludf.DUMMYFUNCTION("""COMPUTED_VALUE"""),"")</f>
        <v/>
      </c>
      <c r="X959" s="46" t="str">
        <f>IFERROR(__xludf.DUMMYFUNCTION("""COMPUTED_VALUE"""),"AP")</f>
        <v>AP</v>
      </c>
      <c r="Y959" s="47" t="str">
        <f>IFERROR(__xludf.DUMMYFUNCTION("""COMPUTED_VALUE"""),"")</f>
        <v/>
      </c>
      <c r="Z959" s="48" t="str">
        <f>IFERROR(__xludf.DUMMYFUNCTION("""COMPUTED_VALUE"""),"%")</f>
        <v>%</v>
      </c>
      <c r="AA959" s="49">
        <f>IFERROR(__xludf.DUMMYFUNCTION("""COMPUTED_VALUE"""),3.0)</f>
        <v>3</v>
      </c>
      <c r="AB959" s="50"/>
      <c r="AC959" s="38"/>
      <c r="AD959" s="45" t="str">
        <f>IFERROR(__xludf.DUMMYFUNCTION("""COMPUTED_VALUE"""),"")</f>
        <v/>
      </c>
      <c r="AE959" s="46" t="str">
        <f>IFERROR(__xludf.DUMMYFUNCTION("""COMPUTED_VALUE"""),"AP")</f>
        <v>AP</v>
      </c>
      <c r="AF959" s="47" t="str">
        <f>IFERROR(__xludf.DUMMYFUNCTION("""COMPUTED_VALUE"""),"")</f>
        <v/>
      </c>
      <c r="AG959" s="48" t="str">
        <f>IFERROR(__xludf.DUMMYFUNCTION("""COMPUTED_VALUE"""),"%")</f>
        <v>%</v>
      </c>
      <c r="AH959" s="43"/>
      <c r="AI959" s="44"/>
      <c r="AJ959" s="66"/>
    </row>
    <row r="960" ht="24.75" hidden="1" customHeight="1">
      <c r="A960" s="28">
        <f>IFERROR(__xludf.DUMMYFUNCTION("""COMPUTED_VALUE"""),15.0)</f>
        <v>15</v>
      </c>
      <c r="B960" s="28" t="str">
        <f>IFERROR(__xludf.DUMMYFUNCTION("""COMPUTED_VALUE"""),"A114")</f>
        <v>A114</v>
      </c>
      <c r="C960" s="28"/>
      <c r="D960" s="29"/>
      <c r="E960" s="67"/>
      <c r="F960" s="31"/>
      <c r="G960" s="32"/>
      <c r="H960" s="33" t="str">
        <f>IFERROR(__xludf.DUMMYFUNCTION("""COMPUTED_VALUE""")," ")</f>
        <v> </v>
      </c>
      <c r="I960" s="34"/>
      <c r="J960" s="35" t="str">
        <f>IFERROR(__xludf.DUMMYFUNCTION("""COMPUTED_VALUE"""),"AP")</f>
        <v>AP</v>
      </c>
      <c r="K960" s="34"/>
      <c r="L960" s="35" t="str">
        <f>IFERROR(__xludf.DUMMYFUNCTION("""COMPUTED_VALUE"""),"%")</f>
        <v>%</v>
      </c>
      <c r="M960" s="36">
        <f>IFERROR(__xludf.DUMMYFUNCTION("""COMPUTED_VALUE"""),1.0)</f>
        <v>1</v>
      </c>
      <c r="N960" s="37"/>
      <c r="O960" s="38"/>
      <c r="P960" s="34" t="str">
        <f>IFERROR(__xludf.DUMMYFUNCTION("""COMPUTED_VALUE"""),"")</f>
        <v/>
      </c>
      <c r="Q960" s="35" t="str">
        <f>IFERROR(__xludf.DUMMYFUNCTION("""COMPUTED_VALUE"""),"AP")</f>
        <v>AP</v>
      </c>
      <c r="R960" s="34" t="str">
        <f>IFERROR(__xludf.DUMMYFUNCTION("""COMPUTED_VALUE"""),"")</f>
        <v/>
      </c>
      <c r="S960" s="35" t="str">
        <f>IFERROR(__xludf.DUMMYFUNCTION("""COMPUTED_VALUE"""),"%")</f>
        <v>%</v>
      </c>
      <c r="T960" s="36">
        <f>IFERROR(__xludf.DUMMYFUNCTION("""COMPUTED_VALUE"""),2.0)</f>
        <v>2</v>
      </c>
      <c r="U960" s="37"/>
      <c r="V960" s="38"/>
      <c r="W960" s="34" t="str">
        <f>IFERROR(__xludf.DUMMYFUNCTION("""COMPUTED_VALUE"""),"")</f>
        <v/>
      </c>
      <c r="X960" s="35" t="str">
        <f>IFERROR(__xludf.DUMMYFUNCTION("""COMPUTED_VALUE"""),"AP")</f>
        <v>AP</v>
      </c>
      <c r="Y960" s="34" t="str">
        <f>IFERROR(__xludf.DUMMYFUNCTION("""COMPUTED_VALUE"""),"")</f>
        <v/>
      </c>
      <c r="Z960" s="35" t="str">
        <f>IFERROR(__xludf.DUMMYFUNCTION("""COMPUTED_VALUE"""),"%")</f>
        <v>%</v>
      </c>
      <c r="AA960" s="36">
        <f>IFERROR(__xludf.DUMMYFUNCTION("""COMPUTED_VALUE"""),3.0)</f>
        <v>3</v>
      </c>
      <c r="AB960" s="37"/>
      <c r="AC960" s="38"/>
      <c r="AD960" s="34" t="str">
        <f>IFERROR(__xludf.DUMMYFUNCTION("""COMPUTED_VALUE"""),"")</f>
        <v/>
      </c>
      <c r="AE960" s="35" t="str">
        <f>IFERROR(__xludf.DUMMYFUNCTION("""COMPUTED_VALUE"""),"AP")</f>
        <v>AP</v>
      </c>
      <c r="AF960" s="34" t="str">
        <f>IFERROR(__xludf.DUMMYFUNCTION("""COMPUTED_VALUE"""),"")</f>
        <v/>
      </c>
      <c r="AG960" s="35" t="str">
        <f>IFERROR(__xludf.DUMMYFUNCTION("""COMPUTED_VALUE"""),"%")</f>
        <v>%</v>
      </c>
      <c r="AH960" s="31"/>
      <c r="AI960" s="32"/>
      <c r="AJ960" s="67"/>
    </row>
    <row r="961" ht="24.75" hidden="1" customHeight="1">
      <c r="A961" s="40">
        <f>IFERROR(__xludf.DUMMYFUNCTION("""COMPUTED_VALUE"""),16.0)</f>
        <v>16</v>
      </c>
      <c r="B961" s="40" t="str">
        <f>IFERROR(__xludf.DUMMYFUNCTION("""COMPUTED_VALUE"""),"A114")</f>
        <v>A114</v>
      </c>
      <c r="C961" s="40"/>
      <c r="D961" s="41"/>
      <c r="E961" s="66"/>
      <c r="F961" s="43"/>
      <c r="G961" s="44"/>
      <c r="H961" s="33" t="str">
        <f>IFERROR(__xludf.DUMMYFUNCTION("""COMPUTED_VALUE""")," ")</f>
        <v> </v>
      </c>
      <c r="I961" s="45"/>
      <c r="J961" s="46" t="str">
        <f>IFERROR(__xludf.DUMMYFUNCTION("""COMPUTED_VALUE"""),"AP")</f>
        <v>AP</v>
      </c>
      <c r="K961" s="47"/>
      <c r="L961" s="48" t="str">
        <f>IFERROR(__xludf.DUMMYFUNCTION("""COMPUTED_VALUE"""),"%")</f>
        <v>%</v>
      </c>
      <c r="M961" s="49">
        <f>IFERROR(__xludf.DUMMYFUNCTION("""COMPUTED_VALUE"""),1.0)</f>
        <v>1</v>
      </c>
      <c r="N961" s="50"/>
      <c r="O961" s="38"/>
      <c r="P961" s="45" t="str">
        <f>IFERROR(__xludf.DUMMYFUNCTION("""COMPUTED_VALUE"""),"")</f>
        <v/>
      </c>
      <c r="Q961" s="46" t="str">
        <f>IFERROR(__xludf.DUMMYFUNCTION("""COMPUTED_VALUE"""),"AP")</f>
        <v>AP</v>
      </c>
      <c r="R961" s="47" t="str">
        <f>IFERROR(__xludf.DUMMYFUNCTION("""COMPUTED_VALUE"""),"")</f>
        <v/>
      </c>
      <c r="S961" s="48" t="str">
        <f>IFERROR(__xludf.DUMMYFUNCTION("""COMPUTED_VALUE"""),"%")</f>
        <v>%</v>
      </c>
      <c r="T961" s="49">
        <f>IFERROR(__xludf.DUMMYFUNCTION("""COMPUTED_VALUE"""),2.0)</f>
        <v>2</v>
      </c>
      <c r="U961" s="50"/>
      <c r="V961" s="38"/>
      <c r="W961" s="45" t="str">
        <f>IFERROR(__xludf.DUMMYFUNCTION("""COMPUTED_VALUE"""),"")</f>
        <v/>
      </c>
      <c r="X961" s="46" t="str">
        <f>IFERROR(__xludf.DUMMYFUNCTION("""COMPUTED_VALUE"""),"AP")</f>
        <v>AP</v>
      </c>
      <c r="Y961" s="47" t="str">
        <f>IFERROR(__xludf.DUMMYFUNCTION("""COMPUTED_VALUE"""),"")</f>
        <v/>
      </c>
      <c r="Z961" s="48" t="str">
        <f>IFERROR(__xludf.DUMMYFUNCTION("""COMPUTED_VALUE"""),"%")</f>
        <v>%</v>
      </c>
      <c r="AA961" s="49">
        <f>IFERROR(__xludf.DUMMYFUNCTION("""COMPUTED_VALUE"""),3.0)</f>
        <v>3</v>
      </c>
      <c r="AB961" s="50"/>
      <c r="AC961" s="38"/>
      <c r="AD961" s="45" t="str">
        <f>IFERROR(__xludf.DUMMYFUNCTION("""COMPUTED_VALUE"""),"")</f>
        <v/>
      </c>
      <c r="AE961" s="46" t="str">
        <f>IFERROR(__xludf.DUMMYFUNCTION("""COMPUTED_VALUE"""),"AP")</f>
        <v>AP</v>
      </c>
      <c r="AF961" s="47" t="str">
        <f>IFERROR(__xludf.DUMMYFUNCTION("""COMPUTED_VALUE"""),"")</f>
        <v/>
      </c>
      <c r="AG961" s="48" t="str">
        <f>IFERROR(__xludf.DUMMYFUNCTION("""COMPUTED_VALUE"""),"%")</f>
        <v>%</v>
      </c>
      <c r="AH961" s="43"/>
      <c r="AI961" s="44"/>
      <c r="AJ961" s="66"/>
    </row>
    <row r="962" ht="24.75" hidden="1" customHeight="1">
      <c r="A962" s="28">
        <f>IFERROR(__xludf.DUMMYFUNCTION("""COMPUTED_VALUE"""),17.0)</f>
        <v>17</v>
      </c>
      <c r="B962" s="28" t="str">
        <f>IFERROR(__xludf.DUMMYFUNCTION("""COMPUTED_VALUE"""),"A114")</f>
        <v>A114</v>
      </c>
      <c r="C962" s="28"/>
      <c r="D962" s="29"/>
      <c r="E962" s="67"/>
      <c r="F962" s="31"/>
      <c r="G962" s="32"/>
      <c r="H962" s="33" t="str">
        <f>IFERROR(__xludf.DUMMYFUNCTION("""COMPUTED_VALUE""")," ")</f>
        <v> </v>
      </c>
      <c r="I962" s="34"/>
      <c r="J962" s="35" t="str">
        <f>IFERROR(__xludf.DUMMYFUNCTION("""COMPUTED_VALUE"""),"AP")</f>
        <v>AP</v>
      </c>
      <c r="K962" s="34"/>
      <c r="L962" s="35" t="str">
        <f>IFERROR(__xludf.DUMMYFUNCTION("""COMPUTED_VALUE"""),"%")</f>
        <v>%</v>
      </c>
      <c r="M962" s="36">
        <f>IFERROR(__xludf.DUMMYFUNCTION("""COMPUTED_VALUE"""),1.0)</f>
        <v>1</v>
      </c>
      <c r="N962" s="37"/>
      <c r="O962" s="38"/>
      <c r="P962" s="34" t="str">
        <f>IFERROR(__xludf.DUMMYFUNCTION("""COMPUTED_VALUE"""),"")</f>
        <v/>
      </c>
      <c r="Q962" s="35" t="str">
        <f>IFERROR(__xludf.DUMMYFUNCTION("""COMPUTED_VALUE"""),"AP")</f>
        <v>AP</v>
      </c>
      <c r="R962" s="34" t="str">
        <f>IFERROR(__xludf.DUMMYFUNCTION("""COMPUTED_VALUE"""),"")</f>
        <v/>
      </c>
      <c r="S962" s="35" t="str">
        <f>IFERROR(__xludf.DUMMYFUNCTION("""COMPUTED_VALUE"""),"%")</f>
        <v>%</v>
      </c>
      <c r="T962" s="36">
        <f>IFERROR(__xludf.DUMMYFUNCTION("""COMPUTED_VALUE"""),2.0)</f>
        <v>2</v>
      </c>
      <c r="U962" s="37"/>
      <c r="V962" s="38"/>
      <c r="W962" s="34" t="str">
        <f>IFERROR(__xludf.DUMMYFUNCTION("""COMPUTED_VALUE"""),"")</f>
        <v/>
      </c>
      <c r="X962" s="35" t="str">
        <f>IFERROR(__xludf.DUMMYFUNCTION("""COMPUTED_VALUE"""),"AP")</f>
        <v>AP</v>
      </c>
      <c r="Y962" s="34" t="str">
        <f>IFERROR(__xludf.DUMMYFUNCTION("""COMPUTED_VALUE"""),"")</f>
        <v/>
      </c>
      <c r="Z962" s="35" t="str">
        <f>IFERROR(__xludf.DUMMYFUNCTION("""COMPUTED_VALUE"""),"%")</f>
        <v>%</v>
      </c>
      <c r="AA962" s="36">
        <f>IFERROR(__xludf.DUMMYFUNCTION("""COMPUTED_VALUE"""),3.0)</f>
        <v>3</v>
      </c>
      <c r="AB962" s="37"/>
      <c r="AC962" s="38"/>
      <c r="AD962" s="34" t="str">
        <f>IFERROR(__xludf.DUMMYFUNCTION("""COMPUTED_VALUE"""),"")</f>
        <v/>
      </c>
      <c r="AE962" s="35" t="str">
        <f>IFERROR(__xludf.DUMMYFUNCTION("""COMPUTED_VALUE"""),"AP")</f>
        <v>AP</v>
      </c>
      <c r="AF962" s="34" t="str">
        <f>IFERROR(__xludf.DUMMYFUNCTION("""COMPUTED_VALUE"""),"")</f>
        <v/>
      </c>
      <c r="AG962" s="35" t="str">
        <f>IFERROR(__xludf.DUMMYFUNCTION("""COMPUTED_VALUE"""),"%")</f>
        <v>%</v>
      </c>
      <c r="AH962" s="31"/>
      <c r="AI962" s="32"/>
      <c r="AJ962" s="67"/>
    </row>
    <row r="963" ht="24.75" hidden="1" customHeight="1">
      <c r="A963" s="40">
        <f>IFERROR(__xludf.DUMMYFUNCTION("""COMPUTED_VALUE"""),18.0)</f>
        <v>18</v>
      </c>
      <c r="B963" s="40" t="str">
        <f>IFERROR(__xludf.DUMMYFUNCTION("""COMPUTED_VALUE"""),"A114")</f>
        <v>A114</v>
      </c>
      <c r="C963" s="40"/>
      <c r="D963" s="41"/>
      <c r="E963" s="66"/>
      <c r="F963" s="43"/>
      <c r="G963" s="44"/>
      <c r="H963" s="33" t="str">
        <f>IFERROR(__xludf.DUMMYFUNCTION("""COMPUTED_VALUE""")," ")</f>
        <v> </v>
      </c>
      <c r="I963" s="45"/>
      <c r="J963" s="46" t="str">
        <f>IFERROR(__xludf.DUMMYFUNCTION("""COMPUTED_VALUE"""),"AP")</f>
        <v>AP</v>
      </c>
      <c r="K963" s="47"/>
      <c r="L963" s="48" t="str">
        <f>IFERROR(__xludf.DUMMYFUNCTION("""COMPUTED_VALUE"""),"%")</f>
        <v>%</v>
      </c>
      <c r="M963" s="49">
        <f>IFERROR(__xludf.DUMMYFUNCTION("""COMPUTED_VALUE"""),1.0)</f>
        <v>1</v>
      </c>
      <c r="N963" s="50"/>
      <c r="O963" s="38"/>
      <c r="P963" s="45" t="str">
        <f>IFERROR(__xludf.DUMMYFUNCTION("""COMPUTED_VALUE"""),"")</f>
        <v/>
      </c>
      <c r="Q963" s="46" t="str">
        <f>IFERROR(__xludf.DUMMYFUNCTION("""COMPUTED_VALUE"""),"AP")</f>
        <v>AP</v>
      </c>
      <c r="R963" s="47" t="str">
        <f>IFERROR(__xludf.DUMMYFUNCTION("""COMPUTED_VALUE"""),"")</f>
        <v/>
      </c>
      <c r="S963" s="48" t="str">
        <f>IFERROR(__xludf.DUMMYFUNCTION("""COMPUTED_VALUE"""),"%")</f>
        <v>%</v>
      </c>
      <c r="T963" s="49">
        <f>IFERROR(__xludf.DUMMYFUNCTION("""COMPUTED_VALUE"""),2.0)</f>
        <v>2</v>
      </c>
      <c r="U963" s="50"/>
      <c r="V963" s="38"/>
      <c r="W963" s="45" t="str">
        <f>IFERROR(__xludf.DUMMYFUNCTION("""COMPUTED_VALUE"""),"")</f>
        <v/>
      </c>
      <c r="X963" s="46" t="str">
        <f>IFERROR(__xludf.DUMMYFUNCTION("""COMPUTED_VALUE"""),"AP")</f>
        <v>AP</v>
      </c>
      <c r="Y963" s="47" t="str">
        <f>IFERROR(__xludf.DUMMYFUNCTION("""COMPUTED_VALUE"""),"")</f>
        <v/>
      </c>
      <c r="Z963" s="48" t="str">
        <f>IFERROR(__xludf.DUMMYFUNCTION("""COMPUTED_VALUE"""),"%")</f>
        <v>%</v>
      </c>
      <c r="AA963" s="49">
        <f>IFERROR(__xludf.DUMMYFUNCTION("""COMPUTED_VALUE"""),3.0)</f>
        <v>3</v>
      </c>
      <c r="AB963" s="50"/>
      <c r="AC963" s="38"/>
      <c r="AD963" s="45" t="str">
        <f>IFERROR(__xludf.DUMMYFUNCTION("""COMPUTED_VALUE"""),"")</f>
        <v/>
      </c>
      <c r="AE963" s="46" t="str">
        <f>IFERROR(__xludf.DUMMYFUNCTION("""COMPUTED_VALUE"""),"AP")</f>
        <v>AP</v>
      </c>
      <c r="AF963" s="47" t="str">
        <f>IFERROR(__xludf.DUMMYFUNCTION("""COMPUTED_VALUE"""),"")</f>
        <v/>
      </c>
      <c r="AG963" s="48" t="str">
        <f>IFERROR(__xludf.DUMMYFUNCTION("""COMPUTED_VALUE"""),"%")</f>
        <v>%</v>
      </c>
      <c r="AH963" s="43"/>
      <c r="AI963" s="44"/>
      <c r="AJ963" s="66"/>
    </row>
    <row r="964" ht="24.75" hidden="1" customHeight="1">
      <c r="A964" s="28">
        <f>IFERROR(__xludf.DUMMYFUNCTION("""COMPUTED_VALUE"""),19.0)</f>
        <v>19</v>
      </c>
      <c r="B964" s="28" t="str">
        <f>IFERROR(__xludf.DUMMYFUNCTION("""COMPUTED_VALUE"""),"A114")</f>
        <v>A114</v>
      </c>
      <c r="C964" s="28"/>
      <c r="D964" s="29"/>
      <c r="E964" s="67"/>
      <c r="F964" s="31"/>
      <c r="G964" s="32"/>
      <c r="H964" s="33" t="str">
        <f>IFERROR(__xludf.DUMMYFUNCTION("""COMPUTED_VALUE""")," ")</f>
        <v> </v>
      </c>
      <c r="I964" s="34"/>
      <c r="J964" s="35" t="str">
        <f>IFERROR(__xludf.DUMMYFUNCTION("""COMPUTED_VALUE"""),"AP")</f>
        <v>AP</v>
      </c>
      <c r="K964" s="34"/>
      <c r="L964" s="35" t="str">
        <f>IFERROR(__xludf.DUMMYFUNCTION("""COMPUTED_VALUE"""),"%")</f>
        <v>%</v>
      </c>
      <c r="M964" s="36">
        <f>IFERROR(__xludf.DUMMYFUNCTION("""COMPUTED_VALUE"""),1.0)</f>
        <v>1</v>
      </c>
      <c r="N964" s="37"/>
      <c r="O964" s="38"/>
      <c r="P964" s="34" t="str">
        <f>IFERROR(__xludf.DUMMYFUNCTION("""COMPUTED_VALUE"""),"")</f>
        <v/>
      </c>
      <c r="Q964" s="35" t="str">
        <f>IFERROR(__xludf.DUMMYFUNCTION("""COMPUTED_VALUE"""),"AP")</f>
        <v>AP</v>
      </c>
      <c r="R964" s="34" t="str">
        <f>IFERROR(__xludf.DUMMYFUNCTION("""COMPUTED_VALUE"""),"")</f>
        <v/>
      </c>
      <c r="S964" s="35" t="str">
        <f>IFERROR(__xludf.DUMMYFUNCTION("""COMPUTED_VALUE"""),"%")</f>
        <v>%</v>
      </c>
      <c r="T964" s="36">
        <f>IFERROR(__xludf.DUMMYFUNCTION("""COMPUTED_VALUE"""),2.0)</f>
        <v>2</v>
      </c>
      <c r="U964" s="37"/>
      <c r="V964" s="38"/>
      <c r="W964" s="34" t="str">
        <f>IFERROR(__xludf.DUMMYFUNCTION("""COMPUTED_VALUE"""),"")</f>
        <v/>
      </c>
      <c r="X964" s="35" t="str">
        <f>IFERROR(__xludf.DUMMYFUNCTION("""COMPUTED_VALUE"""),"AP")</f>
        <v>AP</v>
      </c>
      <c r="Y964" s="34" t="str">
        <f>IFERROR(__xludf.DUMMYFUNCTION("""COMPUTED_VALUE"""),"")</f>
        <v/>
      </c>
      <c r="Z964" s="35" t="str">
        <f>IFERROR(__xludf.DUMMYFUNCTION("""COMPUTED_VALUE"""),"%")</f>
        <v>%</v>
      </c>
      <c r="AA964" s="36">
        <f>IFERROR(__xludf.DUMMYFUNCTION("""COMPUTED_VALUE"""),3.0)</f>
        <v>3</v>
      </c>
      <c r="AB964" s="37"/>
      <c r="AC964" s="38"/>
      <c r="AD964" s="34" t="str">
        <f>IFERROR(__xludf.DUMMYFUNCTION("""COMPUTED_VALUE"""),"")</f>
        <v/>
      </c>
      <c r="AE964" s="35" t="str">
        <f>IFERROR(__xludf.DUMMYFUNCTION("""COMPUTED_VALUE"""),"AP")</f>
        <v>AP</v>
      </c>
      <c r="AF964" s="34" t="str">
        <f>IFERROR(__xludf.DUMMYFUNCTION("""COMPUTED_VALUE"""),"")</f>
        <v/>
      </c>
      <c r="AG964" s="35" t="str">
        <f>IFERROR(__xludf.DUMMYFUNCTION("""COMPUTED_VALUE"""),"%")</f>
        <v>%</v>
      </c>
      <c r="AH964" s="31"/>
      <c r="AI964" s="32"/>
      <c r="AJ964" s="67"/>
    </row>
    <row r="965" ht="24.75" hidden="1" customHeight="1">
      <c r="A965" s="40">
        <f>IFERROR(__xludf.DUMMYFUNCTION("""COMPUTED_VALUE"""),20.0)</f>
        <v>20</v>
      </c>
      <c r="B965" s="40" t="str">
        <f>IFERROR(__xludf.DUMMYFUNCTION("""COMPUTED_VALUE"""),"A114")</f>
        <v>A114</v>
      </c>
      <c r="C965" s="40"/>
      <c r="D965" s="41"/>
      <c r="E965" s="66"/>
      <c r="F965" s="43"/>
      <c r="G965" s="44"/>
      <c r="H965" s="33" t="str">
        <f>IFERROR(__xludf.DUMMYFUNCTION("""COMPUTED_VALUE""")," ")</f>
        <v> </v>
      </c>
      <c r="I965" s="45"/>
      <c r="J965" s="46" t="str">
        <f>IFERROR(__xludf.DUMMYFUNCTION("""COMPUTED_VALUE"""),"AP")</f>
        <v>AP</v>
      </c>
      <c r="K965" s="47"/>
      <c r="L965" s="48" t="str">
        <f>IFERROR(__xludf.DUMMYFUNCTION("""COMPUTED_VALUE"""),"%")</f>
        <v>%</v>
      </c>
      <c r="M965" s="49">
        <f>IFERROR(__xludf.DUMMYFUNCTION("""COMPUTED_VALUE"""),1.0)</f>
        <v>1</v>
      </c>
      <c r="N965" s="50"/>
      <c r="O965" s="38"/>
      <c r="P965" s="45" t="str">
        <f>IFERROR(__xludf.DUMMYFUNCTION("""COMPUTED_VALUE"""),"")</f>
        <v/>
      </c>
      <c r="Q965" s="46" t="str">
        <f>IFERROR(__xludf.DUMMYFUNCTION("""COMPUTED_VALUE"""),"AP")</f>
        <v>AP</v>
      </c>
      <c r="R965" s="47" t="str">
        <f>IFERROR(__xludf.DUMMYFUNCTION("""COMPUTED_VALUE"""),"")</f>
        <v/>
      </c>
      <c r="S965" s="48" t="str">
        <f>IFERROR(__xludf.DUMMYFUNCTION("""COMPUTED_VALUE"""),"%")</f>
        <v>%</v>
      </c>
      <c r="T965" s="49">
        <f>IFERROR(__xludf.DUMMYFUNCTION("""COMPUTED_VALUE"""),2.0)</f>
        <v>2</v>
      </c>
      <c r="U965" s="50"/>
      <c r="V965" s="38"/>
      <c r="W965" s="45" t="str">
        <f>IFERROR(__xludf.DUMMYFUNCTION("""COMPUTED_VALUE"""),"")</f>
        <v/>
      </c>
      <c r="X965" s="46" t="str">
        <f>IFERROR(__xludf.DUMMYFUNCTION("""COMPUTED_VALUE"""),"AP")</f>
        <v>AP</v>
      </c>
      <c r="Y965" s="47" t="str">
        <f>IFERROR(__xludf.DUMMYFUNCTION("""COMPUTED_VALUE"""),"")</f>
        <v/>
      </c>
      <c r="Z965" s="48" t="str">
        <f>IFERROR(__xludf.DUMMYFUNCTION("""COMPUTED_VALUE"""),"%")</f>
        <v>%</v>
      </c>
      <c r="AA965" s="49">
        <f>IFERROR(__xludf.DUMMYFUNCTION("""COMPUTED_VALUE"""),3.0)</f>
        <v>3</v>
      </c>
      <c r="AB965" s="50"/>
      <c r="AC965" s="38"/>
      <c r="AD965" s="45" t="str">
        <f>IFERROR(__xludf.DUMMYFUNCTION("""COMPUTED_VALUE"""),"")</f>
        <v/>
      </c>
      <c r="AE965" s="46" t="str">
        <f>IFERROR(__xludf.DUMMYFUNCTION("""COMPUTED_VALUE"""),"AP")</f>
        <v>AP</v>
      </c>
      <c r="AF965" s="47" t="str">
        <f>IFERROR(__xludf.DUMMYFUNCTION("""COMPUTED_VALUE"""),"")</f>
        <v/>
      </c>
      <c r="AG965" s="48" t="str">
        <f>IFERROR(__xludf.DUMMYFUNCTION("""COMPUTED_VALUE"""),"%")</f>
        <v>%</v>
      </c>
      <c r="AH965" s="43"/>
      <c r="AI965" s="44"/>
      <c r="AJ965" s="66"/>
    </row>
    <row r="966">
      <c r="A966" s="52"/>
      <c r="B966" s="53"/>
      <c r="C966" s="54"/>
      <c r="D966" s="56"/>
      <c r="E966" s="56"/>
      <c r="F966" s="53"/>
      <c r="G966" s="53"/>
      <c r="H966" s="53"/>
      <c r="I966" s="53"/>
      <c r="J966" s="57"/>
      <c r="K966" s="53"/>
      <c r="L966" s="57"/>
      <c r="M966" s="53"/>
      <c r="N966" s="53"/>
      <c r="O966" s="53"/>
      <c r="P966" s="53"/>
      <c r="Q966" s="57"/>
      <c r="R966" s="53"/>
      <c r="S966" s="57"/>
      <c r="T966" s="53"/>
      <c r="U966" s="53"/>
      <c r="V966" s="53"/>
      <c r="W966" s="53"/>
      <c r="X966" s="57"/>
      <c r="Y966" s="53"/>
      <c r="Z966" s="57"/>
      <c r="AA966" s="53"/>
      <c r="AB966" s="53"/>
      <c r="AC966" s="53"/>
      <c r="AD966" s="53"/>
      <c r="AE966" s="57"/>
      <c r="AF966" s="53"/>
      <c r="AG966" s="57"/>
      <c r="AH966" s="53"/>
      <c r="AI966" s="53"/>
      <c r="AJ966" s="56"/>
    </row>
    <row r="967">
      <c r="A967" s="59"/>
      <c r="B967" s="60"/>
      <c r="C967" s="61"/>
      <c r="D967" s="63"/>
      <c r="E967" s="63"/>
      <c r="F967" s="60"/>
      <c r="G967" s="60"/>
      <c r="H967" s="60"/>
      <c r="I967" s="60"/>
      <c r="J967" s="64"/>
      <c r="K967" s="60"/>
      <c r="L967" s="64"/>
      <c r="M967" s="60"/>
      <c r="N967" s="60"/>
      <c r="O967" s="60"/>
      <c r="P967" s="60"/>
      <c r="Q967" s="64"/>
      <c r="R967" s="60"/>
      <c r="S967" s="64"/>
      <c r="T967" s="60"/>
      <c r="U967" s="60"/>
      <c r="V967" s="60"/>
      <c r="W967" s="60"/>
      <c r="X967" s="64"/>
      <c r="Y967" s="60"/>
      <c r="Z967" s="64"/>
      <c r="AA967" s="60"/>
      <c r="AB967" s="60"/>
      <c r="AC967" s="60"/>
      <c r="AD967" s="60"/>
      <c r="AE967" s="64"/>
      <c r="AF967" s="60"/>
      <c r="AG967" s="64"/>
      <c r="AH967" s="60"/>
      <c r="AI967" s="60"/>
      <c r="AJ967" s="63"/>
    </row>
    <row r="968" ht="33.0" customHeight="1">
      <c r="A968" s="20" t="str">
        <f>IFERROR(__xludf.DUMMYFUNCTION("""COMPUTED_VALUE""")," ")</f>
        <v> </v>
      </c>
      <c r="B968" s="21" t="str">
        <f>IFERROR(__xludf.DUMMYFUNCTION("""COMPUTED_VALUE"""),"A115")</f>
        <v>A115</v>
      </c>
      <c r="C968" s="20"/>
      <c r="D968" s="257" t="str">
        <f>IFERROR(__xludf.DUMMYFUNCTION("""COMPUTED_VALUE"""),"")</f>
        <v/>
      </c>
      <c r="E968" s="23" t="str">
        <f>IFERROR(__xludf.DUMMYFUNCTION("""COMPUTED_VALUE"""),"Egg of Truth")</f>
        <v>Egg of Truth</v>
      </c>
      <c r="F968" s="24"/>
      <c r="G968" s="24"/>
      <c r="H968" s="25"/>
      <c r="I968" s="25"/>
      <c r="J968" s="26"/>
      <c r="K968" s="25"/>
      <c r="L968" s="26"/>
      <c r="M968" s="25"/>
      <c r="N968" s="25"/>
      <c r="O968" s="25"/>
      <c r="P968" s="25"/>
      <c r="Q968" s="26"/>
      <c r="R968" s="25"/>
      <c r="S968" s="26"/>
      <c r="T968" s="25"/>
      <c r="U968" s="25"/>
      <c r="V968" s="25"/>
      <c r="W968" s="25"/>
      <c r="X968" s="26"/>
      <c r="Y968" s="25"/>
      <c r="Z968" s="26"/>
      <c r="AA968" s="25"/>
      <c r="AB968" s="25"/>
      <c r="AC968" s="25"/>
      <c r="AD968" s="25"/>
      <c r="AE968" s="26"/>
      <c r="AF968" s="25"/>
      <c r="AG968" s="26"/>
      <c r="AH968" s="24"/>
      <c r="AI968" s="25"/>
      <c r="AJ968" s="23"/>
    </row>
    <row r="969" ht="24.75" customHeight="1">
      <c r="A969" s="28">
        <f>IFERROR(__xludf.DUMMYFUNCTION("""COMPUTED_VALUE"""),1.0)</f>
        <v>1</v>
      </c>
      <c r="B969" s="28" t="str">
        <f>IFERROR(__xludf.DUMMYFUNCTION("""COMPUTED_VALUE"""),"A115")</f>
        <v>A115</v>
      </c>
      <c r="C969" s="28"/>
      <c r="D969" s="29"/>
      <c r="E969" s="67"/>
      <c r="F969" s="31"/>
      <c r="G969" s="32"/>
      <c r="H969" s="33" t="str">
        <f>IFERROR(__xludf.DUMMYFUNCTION("""COMPUTED_VALUE""")," ")</f>
        <v> </v>
      </c>
      <c r="I969" s="34"/>
      <c r="J969" s="35" t="str">
        <f>IFERROR(__xludf.DUMMYFUNCTION("""COMPUTED_VALUE"""),"AP")</f>
        <v>AP</v>
      </c>
      <c r="K969" s="34"/>
      <c r="L969" s="35" t="str">
        <f>IFERROR(__xludf.DUMMYFUNCTION("""COMPUTED_VALUE"""),"%")</f>
        <v>%</v>
      </c>
      <c r="M969" s="36">
        <f>IFERROR(__xludf.DUMMYFUNCTION("""COMPUTED_VALUE"""),1.0)</f>
        <v>1</v>
      </c>
      <c r="N969" s="37"/>
      <c r="O969" s="38"/>
      <c r="P969" s="34" t="str">
        <f>IFERROR(__xludf.DUMMYFUNCTION("""COMPUTED_VALUE"""),"")</f>
        <v/>
      </c>
      <c r="Q969" s="35" t="str">
        <f>IFERROR(__xludf.DUMMYFUNCTION("""COMPUTED_VALUE"""),"AP")</f>
        <v>AP</v>
      </c>
      <c r="R969" s="34" t="str">
        <f>IFERROR(__xludf.DUMMYFUNCTION("""COMPUTED_VALUE"""),"")</f>
        <v/>
      </c>
      <c r="S969" s="35" t="str">
        <f>IFERROR(__xludf.DUMMYFUNCTION("""COMPUTED_VALUE"""),"%")</f>
        <v>%</v>
      </c>
      <c r="T969" s="36">
        <f>IFERROR(__xludf.DUMMYFUNCTION("""COMPUTED_VALUE"""),2.0)</f>
        <v>2</v>
      </c>
      <c r="U969" s="37"/>
      <c r="V969" s="38"/>
      <c r="W969" s="34" t="str">
        <f>IFERROR(__xludf.DUMMYFUNCTION("""COMPUTED_VALUE"""),"")</f>
        <v/>
      </c>
      <c r="X969" s="35" t="str">
        <f>IFERROR(__xludf.DUMMYFUNCTION("""COMPUTED_VALUE"""),"AP")</f>
        <v>AP</v>
      </c>
      <c r="Y969" s="34" t="str">
        <f>IFERROR(__xludf.DUMMYFUNCTION("""COMPUTED_VALUE"""),"")</f>
        <v/>
      </c>
      <c r="Z969" s="35" t="str">
        <f>IFERROR(__xludf.DUMMYFUNCTION("""COMPUTED_VALUE"""),"%")</f>
        <v>%</v>
      </c>
      <c r="AA969" s="36">
        <f>IFERROR(__xludf.DUMMYFUNCTION("""COMPUTED_VALUE"""),3.0)</f>
        <v>3</v>
      </c>
      <c r="AB969" s="37"/>
      <c r="AC969" s="38"/>
      <c r="AD969" s="34" t="str">
        <f>IFERROR(__xludf.DUMMYFUNCTION("""COMPUTED_VALUE"""),"")</f>
        <v/>
      </c>
      <c r="AE969" s="35" t="str">
        <f>IFERROR(__xludf.DUMMYFUNCTION("""COMPUTED_VALUE"""),"AP")</f>
        <v>AP</v>
      </c>
      <c r="AF969" s="34" t="str">
        <f>IFERROR(__xludf.DUMMYFUNCTION("""COMPUTED_VALUE"""),"")</f>
        <v/>
      </c>
      <c r="AG969" s="35" t="str">
        <f>IFERROR(__xludf.DUMMYFUNCTION("""COMPUTED_VALUE"""),"%")</f>
        <v>%</v>
      </c>
      <c r="AH969" s="31"/>
      <c r="AI969" s="32"/>
      <c r="AJ969" s="67"/>
    </row>
    <row r="970" ht="24.75" customHeight="1">
      <c r="A970" s="40">
        <f>IFERROR(__xludf.DUMMYFUNCTION("""COMPUTED_VALUE"""),2.0)</f>
        <v>2</v>
      </c>
      <c r="B970" s="40" t="str">
        <f>IFERROR(__xludf.DUMMYFUNCTION("""COMPUTED_VALUE"""),"A115")</f>
        <v>A115</v>
      </c>
      <c r="C970" s="40"/>
      <c r="D970" s="41"/>
      <c r="E970" s="66"/>
      <c r="F970" s="43"/>
      <c r="G970" s="44"/>
      <c r="H970" s="33" t="str">
        <f>IFERROR(__xludf.DUMMYFUNCTION("""COMPUTED_VALUE""")," ")</f>
        <v> </v>
      </c>
      <c r="I970" s="45"/>
      <c r="J970" s="46" t="str">
        <f>IFERROR(__xludf.DUMMYFUNCTION("""COMPUTED_VALUE"""),"AP")</f>
        <v>AP</v>
      </c>
      <c r="K970" s="47"/>
      <c r="L970" s="48" t="str">
        <f>IFERROR(__xludf.DUMMYFUNCTION("""COMPUTED_VALUE"""),"%")</f>
        <v>%</v>
      </c>
      <c r="M970" s="49">
        <f>IFERROR(__xludf.DUMMYFUNCTION("""COMPUTED_VALUE"""),1.0)</f>
        <v>1</v>
      </c>
      <c r="N970" s="50"/>
      <c r="O970" s="38"/>
      <c r="P970" s="45" t="str">
        <f>IFERROR(__xludf.DUMMYFUNCTION("""COMPUTED_VALUE"""),"")</f>
        <v/>
      </c>
      <c r="Q970" s="46" t="str">
        <f>IFERROR(__xludf.DUMMYFUNCTION("""COMPUTED_VALUE"""),"AP")</f>
        <v>AP</v>
      </c>
      <c r="R970" s="47" t="str">
        <f>IFERROR(__xludf.DUMMYFUNCTION("""COMPUTED_VALUE"""),"")</f>
        <v/>
      </c>
      <c r="S970" s="48" t="str">
        <f>IFERROR(__xludf.DUMMYFUNCTION("""COMPUTED_VALUE"""),"%")</f>
        <v>%</v>
      </c>
      <c r="T970" s="49">
        <f>IFERROR(__xludf.DUMMYFUNCTION("""COMPUTED_VALUE"""),2.0)</f>
        <v>2</v>
      </c>
      <c r="U970" s="50"/>
      <c r="V970" s="38"/>
      <c r="W970" s="45" t="str">
        <f>IFERROR(__xludf.DUMMYFUNCTION("""COMPUTED_VALUE"""),"")</f>
        <v/>
      </c>
      <c r="X970" s="46" t="str">
        <f>IFERROR(__xludf.DUMMYFUNCTION("""COMPUTED_VALUE"""),"AP")</f>
        <v>AP</v>
      </c>
      <c r="Y970" s="47" t="str">
        <f>IFERROR(__xludf.DUMMYFUNCTION("""COMPUTED_VALUE"""),"")</f>
        <v/>
      </c>
      <c r="Z970" s="48" t="str">
        <f>IFERROR(__xludf.DUMMYFUNCTION("""COMPUTED_VALUE"""),"%")</f>
        <v>%</v>
      </c>
      <c r="AA970" s="49">
        <f>IFERROR(__xludf.DUMMYFUNCTION("""COMPUTED_VALUE"""),3.0)</f>
        <v>3</v>
      </c>
      <c r="AB970" s="50"/>
      <c r="AC970" s="38"/>
      <c r="AD970" s="45" t="str">
        <f>IFERROR(__xludf.DUMMYFUNCTION("""COMPUTED_VALUE"""),"")</f>
        <v/>
      </c>
      <c r="AE970" s="46" t="str">
        <f>IFERROR(__xludf.DUMMYFUNCTION("""COMPUTED_VALUE"""),"AP")</f>
        <v>AP</v>
      </c>
      <c r="AF970" s="47" t="str">
        <f>IFERROR(__xludf.DUMMYFUNCTION("""COMPUTED_VALUE"""),"")</f>
        <v/>
      </c>
      <c r="AG970" s="48" t="str">
        <f>IFERROR(__xludf.DUMMYFUNCTION("""COMPUTED_VALUE"""),"%")</f>
        <v>%</v>
      </c>
      <c r="AH970" s="43"/>
      <c r="AI970" s="44"/>
      <c r="AJ970" s="66"/>
    </row>
    <row r="971" ht="24.75" customHeight="1">
      <c r="A971" s="28">
        <f>IFERROR(__xludf.DUMMYFUNCTION("""COMPUTED_VALUE"""),3.0)</f>
        <v>3</v>
      </c>
      <c r="B971" s="28" t="str">
        <f>IFERROR(__xludf.DUMMYFUNCTION("""COMPUTED_VALUE"""),"A115")</f>
        <v>A115</v>
      </c>
      <c r="C971" s="28"/>
      <c r="D971" s="29"/>
      <c r="E971" s="67"/>
      <c r="F971" s="31"/>
      <c r="G971" s="32"/>
      <c r="H971" s="33" t="str">
        <f>IFERROR(__xludf.DUMMYFUNCTION("""COMPUTED_VALUE""")," ")</f>
        <v> </v>
      </c>
      <c r="I971" s="34"/>
      <c r="J971" s="35" t="str">
        <f>IFERROR(__xludf.DUMMYFUNCTION("""COMPUTED_VALUE"""),"AP")</f>
        <v>AP</v>
      </c>
      <c r="K971" s="34"/>
      <c r="L971" s="35" t="str">
        <f>IFERROR(__xludf.DUMMYFUNCTION("""COMPUTED_VALUE"""),"%")</f>
        <v>%</v>
      </c>
      <c r="M971" s="36">
        <f>IFERROR(__xludf.DUMMYFUNCTION("""COMPUTED_VALUE"""),1.0)</f>
        <v>1</v>
      </c>
      <c r="N971" s="37"/>
      <c r="O971" s="38"/>
      <c r="P971" s="34" t="str">
        <f>IFERROR(__xludf.DUMMYFUNCTION("""COMPUTED_VALUE"""),"")</f>
        <v/>
      </c>
      <c r="Q971" s="35" t="str">
        <f>IFERROR(__xludf.DUMMYFUNCTION("""COMPUTED_VALUE"""),"AP")</f>
        <v>AP</v>
      </c>
      <c r="R971" s="34" t="str">
        <f>IFERROR(__xludf.DUMMYFUNCTION("""COMPUTED_VALUE"""),"")</f>
        <v/>
      </c>
      <c r="S971" s="35" t="str">
        <f>IFERROR(__xludf.DUMMYFUNCTION("""COMPUTED_VALUE"""),"%")</f>
        <v>%</v>
      </c>
      <c r="T971" s="36">
        <f>IFERROR(__xludf.DUMMYFUNCTION("""COMPUTED_VALUE"""),2.0)</f>
        <v>2</v>
      </c>
      <c r="U971" s="37"/>
      <c r="V971" s="38"/>
      <c r="W971" s="34" t="str">
        <f>IFERROR(__xludf.DUMMYFUNCTION("""COMPUTED_VALUE"""),"")</f>
        <v/>
      </c>
      <c r="X971" s="35" t="str">
        <f>IFERROR(__xludf.DUMMYFUNCTION("""COMPUTED_VALUE"""),"AP")</f>
        <v>AP</v>
      </c>
      <c r="Y971" s="34" t="str">
        <f>IFERROR(__xludf.DUMMYFUNCTION("""COMPUTED_VALUE"""),"")</f>
        <v/>
      </c>
      <c r="Z971" s="35" t="str">
        <f>IFERROR(__xludf.DUMMYFUNCTION("""COMPUTED_VALUE"""),"%")</f>
        <v>%</v>
      </c>
      <c r="AA971" s="36">
        <f>IFERROR(__xludf.DUMMYFUNCTION("""COMPUTED_VALUE"""),3.0)</f>
        <v>3</v>
      </c>
      <c r="AB971" s="37"/>
      <c r="AC971" s="38"/>
      <c r="AD971" s="34" t="str">
        <f>IFERROR(__xludf.DUMMYFUNCTION("""COMPUTED_VALUE"""),"")</f>
        <v/>
      </c>
      <c r="AE971" s="35" t="str">
        <f>IFERROR(__xludf.DUMMYFUNCTION("""COMPUTED_VALUE"""),"AP")</f>
        <v>AP</v>
      </c>
      <c r="AF971" s="34" t="str">
        <f>IFERROR(__xludf.DUMMYFUNCTION("""COMPUTED_VALUE"""),"")</f>
        <v/>
      </c>
      <c r="AG971" s="35" t="str">
        <f>IFERROR(__xludf.DUMMYFUNCTION("""COMPUTED_VALUE"""),"%")</f>
        <v>%</v>
      </c>
      <c r="AH971" s="31"/>
      <c r="AI971" s="32"/>
      <c r="AJ971" s="67"/>
    </row>
    <row r="972" ht="24.75" customHeight="1">
      <c r="A972" s="40">
        <f>IFERROR(__xludf.DUMMYFUNCTION("""COMPUTED_VALUE"""),4.0)</f>
        <v>4</v>
      </c>
      <c r="B972" s="40" t="str">
        <f>IFERROR(__xludf.DUMMYFUNCTION("""COMPUTED_VALUE"""),"A115")</f>
        <v>A115</v>
      </c>
      <c r="C972" s="40"/>
      <c r="D972" s="41"/>
      <c r="E972" s="66"/>
      <c r="F972" s="43"/>
      <c r="G972" s="44"/>
      <c r="H972" s="33" t="str">
        <f>IFERROR(__xludf.DUMMYFUNCTION("""COMPUTED_VALUE""")," ")</f>
        <v> </v>
      </c>
      <c r="I972" s="45"/>
      <c r="J972" s="46" t="str">
        <f>IFERROR(__xludf.DUMMYFUNCTION("""COMPUTED_VALUE"""),"AP")</f>
        <v>AP</v>
      </c>
      <c r="K972" s="47"/>
      <c r="L972" s="48" t="str">
        <f>IFERROR(__xludf.DUMMYFUNCTION("""COMPUTED_VALUE"""),"%")</f>
        <v>%</v>
      </c>
      <c r="M972" s="49">
        <f>IFERROR(__xludf.DUMMYFUNCTION("""COMPUTED_VALUE"""),1.0)</f>
        <v>1</v>
      </c>
      <c r="N972" s="50"/>
      <c r="O972" s="38"/>
      <c r="P972" s="45" t="str">
        <f>IFERROR(__xludf.DUMMYFUNCTION("""COMPUTED_VALUE"""),"")</f>
        <v/>
      </c>
      <c r="Q972" s="46" t="str">
        <f>IFERROR(__xludf.DUMMYFUNCTION("""COMPUTED_VALUE"""),"AP")</f>
        <v>AP</v>
      </c>
      <c r="R972" s="47" t="str">
        <f>IFERROR(__xludf.DUMMYFUNCTION("""COMPUTED_VALUE"""),"")</f>
        <v/>
      </c>
      <c r="S972" s="48" t="str">
        <f>IFERROR(__xludf.DUMMYFUNCTION("""COMPUTED_VALUE"""),"%")</f>
        <v>%</v>
      </c>
      <c r="T972" s="49">
        <f>IFERROR(__xludf.DUMMYFUNCTION("""COMPUTED_VALUE"""),2.0)</f>
        <v>2</v>
      </c>
      <c r="U972" s="50"/>
      <c r="V972" s="38"/>
      <c r="W972" s="45" t="str">
        <f>IFERROR(__xludf.DUMMYFUNCTION("""COMPUTED_VALUE"""),"")</f>
        <v/>
      </c>
      <c r="X972" s="46" t="str">
        <f>IFERROR(__xludf.DUMMYFUNCTION("""COMPUTED_VALUE"""),"AP")</f>
        <v>AP</v>
      </c>
      <c r="Y972" s="47" t="str">
        <f>IFERROR(__xludf.DUMMYFUNCTION("""COMPUTED_VALUE"""),"")</f>
        <v/>
      </c>
      <c r="Z972" s="48" t="str">
        <f>IFERROR(__xludf.DUMMYFUNCTION("""COMPUTED_VALUE"""),"%")</f>
        <v>%</v>
      </c>
      <c r="AA972" s="49">
        <f>IFERROR(__xludf.DUMMYFUNCTION("""COMPUTED_VALUE"""),3.0)</f>
        <v>3</v>
      </c>
      <c r="AB972" s="50"/>
      <c r="AC972" s="38"/>
      <c r="AD972" s="45" t="str">
        <f>IFERROR(__xludf.DUMMYFUNCTION("""COMPUTED_VALUE"""),"")</f>
        <v/>
      </c>
      <c r="AE972" s="46" t="str">
        <f>IFERROR(__xludf.DUMMYFUNCTION("""COMPUTED_VALUE"""),"AP")</f>
        <v>AP</v>
      </c>
      <c r="AF972" s="47" t="str">
        <f>IFERROR(__xludf.DUMMYFUNCTION("""COMPUTED_VALUE"""),"")</f>
        <v/>
      </c>
      <c r="AG972" s="48" t="str">
        <f>IFERROR(__xludf.DUMMYFUNCTION("""COMPUTED_VALUE"""),"%")</f>
        <v>%</v>
      </c>
      <c r="AH972" s="43"/>
      <c r="AI972" s="44"/>
      <c r="AJ972" s="66"/>
    </row>
    <row r="973" ht="24.75" hidden="1" customHeight="1">
      <c r="A973" s="28">
        <f>IFERROR(__xludf.DUMMYFUNCTION("""COMPUTED_VALUE"""),5.0)</f>
        <v>5</v>
      </c>
      <c r="B973" s="28" t="str">
        <f>IFERROR(__xludf.DUMMYFUNCTION("""COMPUTED_VALUE"""),"A115")</f>
        <v>A115</v>
      </c>
      <c r="C973" s="28"/>
      <c r="D973" s="29"/>
      <c r="E973" s="67"/>
      <c r="F973" s="31"/>
      <c r="G973" s="32"/>
      <c r="H973" s="33" t="str">
        <f>IFERROR(__xludf.DUMMYFUNCTION("""COMPUTED_VALUE""")," ")</f>
        <v> </v>
      </c>
      <c r="I973" s="34"/>
      <c r="J973" s="35" t="str">
        <f>IFERROR(__xludf.DUMMYFUNCTION("""COMPUTED_VALUE"""),"AP")</f>
        <v>AP</v>
      </c>
      <c r="K973" s="34"/>
      <c r="L973" s="35" t="str">
        <f>IFERROR(__xludf.DUMMYFUNCTION("""COMPUTED_VALUE"""),"%")</f>
        <v>%</v>
      </c>
      <c r="M973" s="36">
        <f>IFERROR(__xludf.DUMMYFUNCTION("""COMPUTED_VALUE"""),1.0)</f>
        <v>1</v>
      </c>
      <c r="N973" s="37"/>
      <c r="O973" s="38"/>
      <c r="P973" s="34" t="str">
        <f>IFERROR(__xludf.DUMMYFUNCTION("""COMPUTED_VALUE"""),"")</f>
        <v/>
      </c>
      <c r="Q973" s="35" t="str">
        <f>IFERROR(__xludf.DUMMYFUNCTION("""COMPUTED_VALUE"""),"AP")</f>
        <v>AP</v>
      </c>
      <c r="R973" s="34" t="str">
        <f>IFERROR(__xludf.DUMMYFUNCTION("""COMPUTED_VALUE"""),"")</f>
        <v/>
      </c>
      <c r="S973" s="35" t="str">
        <f>IFERROR(__xludf.DUMMYFUNCTION("""COMPUTED_VALUE"""),"%")</f>
        <v>%</v>
      </c>
      <c r="T973" s="36">
        <f>IFERROR(__xludf.DUMMYFUNCTION("""COMPUTED_VALUE"""),2.0)</f>
        <v>2</v>
      </c>
      <c r="U973" s="37"/>
      <c r="V973" s="38"/>
      <c r="W973" s="34" t="str">
        <f>IFERROR(__xludf.DUMMYFUNCTION("""COMPUTED_VALUE"""),"")</f>
        <v/>
      </c>
      <c r="X973" s="35" t="str">
        <f>IFERROR(__xludf.DUMMYFUNCTION("""COMPUTED_VALUE"""),"AP")</f>
        <v>AP</v>
      </c>
      <c r="Y973" s="34" t="str">
        <f>IFERROR(__xludf.DUMMYFUNCTION("""COMPUTED_VALUE"""),"")</f>
        <v/>
      </c>
      <c r="Z973" s="35" t="str">
        <f>IFERROR(__xludf.DUMMYFUNCTION("""COMPUTED_VALUE"""),"%")</f>
        <v>%</v>
      </c>
      <c r="AA973" s="36">
        <f>IFERROR(__xludf.DUMMYFUNCTION("""COMPUTED_VALUE"""),3.0)</f>
        <v>3</v>
      </c>
      <c r="AB973" s="37"/>
      <c r="AC973" s="38"/>
      <c r="AD973" s="34" t="str">
        <f>IFERROR(__xludf.DUMMYFUNCTION("""COMPUTED_VALUE"""),"")</f>
        <v/>
      </c>
      <c r="AE973" s="35" t="str">
        <f>IFERROR(__xludf.DUMMYFUNCTION("""COMPUTED_VALUE"""),"AP")</f>
        <v>AP</v>
      </c>
      <c r="AF973" s="34" t="str">
        <f>IFERROR(__xludf.DUMMYFUNCTION("""COMPUTED_VALUE"""),"")</f>
        <v/>
      </c>
      <c r="AG973" s="35" t="str">
        <f>IFERROR(__xludf.DUMMYFUNCTION("""COMPUTED_VALUE"""),"%")</f>
        <v>%</v>
      </c>
      <c r="AH973" s="31"/>
      <c r="AI973" s="32"/>
      <c r="AJ973" s="67"/>
    </row>
    <row r="974" ht="24.75" hidden="1" customHeight="1">
      <c r="A974" s="40">
        <f>IFERROR(__xludf.DUMMYFUNCTION("""COMPUTED_VALUE"""),6.0)</f>
        <v>6</v>
      </c>
      <c r="B974" s="40" t="str">
        <f>IFERROR(__xludf.DUMMYFUNCTION("""COMPUTED_VALUE"""),"A115")</f>
        <v>A115</v>
      </c>
      <c r="C974" s="40"/>
      <c r="D974" s="41"/>
      <c r="E974" s="66"/>
      <c r="F974" s="43"/>
      <c r="G974" s="44"/>
      <c r="H974" s="33" t="str">
        <f>IFERROR(__xludf.DUMMYFUNCTION("""COMPUTED_VALUE""")," ")</f>
        <v> </v>
      </c>
      <c r="I974" s="45"/>
      <c r="J974" s="46" t="str">
        <f>IFERROR(__xludf.DUMMYFUNCTION("""COMPUTED_VALUE"""),"AP")</f>
        <v>AP</v>
      </c>
      <c r="K974" s="47"/>
      <c r="L974" s="48" t="str">
        <f>IFERROR(__xludf.DUMMYFUNCTION("""COMPUTED_VALUE"""),"%")</f>
        <v>%</v>
      </c>
      <c r="M974" s="49">
        <f>IFERROR(__xludf.DUMMYFUNCTION("""COMPUTED_VALUE"""),1.0)</f>
        <v>1</v>
      </c>
      <c r="N974" s="50"/>
      <c r="O974" s="38"/>
      <c r="P974" s="45" t="str">
        <f>IFERROR(__xludf.DUMMYFUNCTION("""COMPUTED_VALUE"""),"")</f>
        <v/>
      </c>
      <c r="Q974" s="46" t="str">
        <f>IFERROR(__xludf.DUMMYFUNCTION("""COMPUTED_VALUE"""),"AP")</f>
        <v>AP</v>
      </c>
      <c r="R974" s="47" t="str">
        <f>IFERROR(__xludf.DUMMYFUNCTION("""COMPUTED_VALUE"""),"")</f>
        <v/>
      </c>
      <c r="S974" s="48" t="str">
        <f>IFERROR(__xludf.DUMMYFUNCTION("""COMPUTED_VALUE"""),"%")</f>
        <v>%</v>
      </c>
      <c r="T974" s="49">
        <f>IFERROR(__xludf.DUMMYFUNCTION("""COMPUTED_VALUE"""),2.0)</f>
        <v>2</v>
      </c>
      <c r="U974" s="50"/>
      <c r="V974" s="38"/>
      <c r="W974" s="45" t="str">
        <f>IFERROR(__xludf.DUMMYFUNCTION("""COMPUTED_VALUE"""),"")</f>
        <v/>
      </c>
      <c r="X974" s="46" t="str">
        <f>IFERROR(__xludf.DUMMYFUNCTION("""COMPUTED_VALUE"""),"AP")</f>
        <v>AP</v>
      </c>
      <c r="Y974" s="47" t="str">
        <f>IFERROR(__xludf.DUMMYFUNCTION("""COMPUTED_VALUE"""),"")</f>
        <v/>
      </c>
      <c r="Z974" s="48" t="str">
        <f>IFERROR(__xludf.DUMMYFUNCTION("""COMPUTED_VALUE"""),"%")</f>
        <v>%</v>
      </c>
      <c r="AA974" s="49">
        <f>IFERROR(__xludf.DUMMYFUNCTION("""COMPUTED_VALUE"""),3.0)</f>
        <v>3</v>
      </c>
      <c r="AB974" s="50"/>
      <c r="AC974" s="38"/>
      <c r="AD974" s="45" t="str">
        <f>IFERROR(__xludf.DUMMYFUNCTION("""COMPUTED_VALUE"""),"")</f>
        <v/>
      </c>
      <c r="AE974" s="46" t="str">
        <f>IFERROR(__xludf.DUMMYFUNCTION("""COMPUTED_VALUE"""),"AP")</f>
        <v>AP</v>
      </c>
      <c r="AF974" s="47" t="str">
        <f>IFERROR(__xludf.DUMMYFUNCTION("""COMPUTED_VALUE"""),"")</f>
        <v/>
      </c>
      <c r="AG974" s="48" t="str">
        <f>IFERROR(__xludf.DUMMYFUNCTION("""COMPUTED_VALUE"""),"%")</f>
        <v>%</v>
      </c>
      <c r="AH974" s="43"/>
      <c r="AI974" s="44"/>
      <c r="AJ974" s="66"/>
    </row>
    <row r="975" ht="24.75" hidden="1" customHeight="1">
      <c r="A975" s="28">
        <f>IFERROR(__xludf.DUMMYFUNCTION("""COMPUTED_VALUE"""),7.0)</f>
        <v>7</v>
      </c>
      <c r="B975" s="28" t="str">
        <f>IFERROR(__xludf.DUMMYFUNCTION("""COMPUTED_VALUE"""),"A115")</f>
        <v>A115</v>
      </c>
      <c r="C975" s="28"/>
      <c r="D975" s="29"/>
      <c r="E975" s="67"/>
      <c r="F975" s="31"/>
      <c r="G975" s="32"/>
      <c r="H975" s="33" t="str">
        <f>IFERROR(__xludf.DUMMYFUNCTION("""COMPUTED_VALUE""")," ")</f>
        <v> </v>
      </c>
      <c r="I975" s="34"/>
      <c r="J975" s="35" t="str">
        <f>IFERROR(__xludf.DUMMYFUNCTION("""COMPUTED_VALUE"""),"AP")</f>
        <v>AP</v>
      </c>
      <c r="K975" s="34"/>
      <c r="L975" s="35" t="str">
        <f>IFERROR(__xludf.DUMMYFUNCTION("""COMPUTED_VALUE"""),"%")</f>
        <v>%</v>
      </c>
      <c r="M975" s="36">
        <f>IFERROR(__xludf.DUMMYFUNCTION("""COMPUTED_VALUE"""),1.0)</f>
        <v>1</v>
      </c>
      <c r="N975" s="37"/>
      <c r="O975" s="38"/>
      <c r="P975" s="34" t="str">
        <f>IFERROR(__xludf.DUMMYFUNCTION("""COMPUTED_VALUE"""),"")</f>
        <v/>
      </c>
      <c r="Q975" s="35" t="str">
        <f>IFERROR(__xludf.DUMMYFUNCTION("""COMPUTED_VALUE"""),"AP")</f>
        <v>AP</v>
      </c>
      <c r="R975" s="34" t="str">
        <f>IFERROR(__xludf.DUMMYFUNCTION("""COMPUTED_VALUE"""),"")</f>
        <v/>
      </c>
      <c r="S975" s="35" t="str">
        <f>IFERROR(__xludf.DUMMYFUNCTION("""COMPUTED_VALUE"""),"%")</f>
        <v>%</v>
      </c>
      <c r="T975" s="36">
        <f>IFERROR(__xludf.DUMMYFUNCTION("""COMPUTED_VALUE"""),2.0)</f>
        <v>2</v>
      </c>
      <c r="U975" s="37"/>
      <c r="V975" s="38"/>
      <c r="W975" s="34" t="str">
        <f>IFERROR(__xludf.DUMMYFUNCTION("""COMPUTED_VALUE"""),"")</f>
        <v/>
      </c>
      <c r="X975" s="35" t="str">
        <f>IFERROR(__xludf.DUMMYFUNCTION("""COMPUTED_VALUE"""),"AP")</f>
        <v>AP</v>
      </c>
      <c r="Y975" s="34" t="str">
        <f>IFERROR(__xludf.DUMMYFUNCTION("""COMPUTED_VALUE"""),"")</f>
        <v/>
      </c>
      <c r="Z975" s="35" t="str">
        <f>IFERROR(__xludf.DUMMYFUNCTION("""COMPUTED_VALUE"""),"%")</f>
        <v>%</v>
      </c>
      <c r="AA975" s="36">
        <f>IFERROR(__xludf.DUMMYFUNCTION("""COMPUTED_VALUE"""),3.0)</f>
        <v>3</v>
      </c>
      <c r="AB975" s="37"/>
      <c r="AC975" s="38"/>
      <c r="AD975" s="34" t="str">
        <f>IFERROR(__xludf.DUMMYFUNCTION("""COMPUTED_VALUE"""),"")</f>
        <v/>
      </c>
      <c r="AE975" s="35" t="str">
        <f>IFERROR(__xludf.DUMMYFUNCTION("""COMPUTED_VALUE"""),"AP")</f>
        <v>AP</v>
      </c>
      <c r="AF975" s="34" t="str">
        <f>IFERROR(__xludf.DUMMYFUNCTION("""COMPUTED_VALUE"""),"")</f>
        <v/>
      </c>
      <c r="AG975" s="35" t="str">
        <f>IFERROR(__xludf.DUMMYFUNCTION("""COMPUTED_VALUE"""),"%")</f>
        <v>%</v>
      </c>
      <c r="AH975" s="31"/>
      <c r="AI975" s="32"/>
      <c r="AJ975" s="67"/>
    </row>
    <row r="976" ht="24.75" hidden="1" customHeight="1">
      <c r="A976" s="40">
        <f>IFERROR(__xludf.DUMMYFUNCTION("""COMPUTED_VALUE"""),8.0)</f>
        <v>8</v>
      </c>
      <c r="B976" s="40" t="str">
        <f>IFERROR(__xludf.DUMMYFUNCTION("""COMPUTED_VALUE"""),"A115")</f>
        <v>A115</v>
      </c>
      <c r="C976" s="40"/>
      <c r="D976" s="41"/>
      <c r="E976" s="66"/>
      <c r="F976" s="43"/>
      <c r="G976" s="44"/>
      <c r="H976" s="33" t="str">
        <f>IFERROR(__xludf.DUMMYFUNCTION("""COMPUTED_VALUE""")," ")</f>
        <v> </v>
      </c>
      <c r="I976" s="45"/>
      <c r="J976" s="46" t="str">
        <f>IFERROR(__xludf.DUMMYFUNCTION("""COMPUTED_VALUE"""),"AP")</f>
        <v>AP</v>
      </c>
      <c r="K976" s="47"/>
      <c r="L976" s="48" t="str">
        <f>IFERROR(__xludf.DUMMYFUNCTION("""COMPUTED_VALUE"""),"%")</f>
        <v>%</v>
      </c>
      <c r="M976" s="49">
        <f>IFERROR(__xludf.DUMMYFUNCTION("""COMPUTED_VALUE"""),1.0)</f>
        <v>1</v>
      </c>
      <c r="N976" s="50"/>
      <c r="O976" s="38"/>
      <c r="P976" s="45" t="str">
        <f>IFERROR(__xludf.DUMMYFUNCTION("""COMPUTED_VALUE"""),"")</f>
        <v/>
      </c>
      <c r="Q976" s="46" t="str">
        <f>IFERROR(__xludf.DUMMYFUNCTION("""COMPUTED_VALUE"""),"AP")</f>
        <v>AP</v>
      </c>
      <c r="R976" s="47" t="str">
        <f>IFERROR(__xludf.DUMMYFUNCTION("""COMPUTED_VALUE"""),"")</f>
        <v/>
      </c>
      <c r="S976" s="48" t="str">
        <f>IFERROR(__xludf.DUMMYFUNCTION("""COMPUTED_VALUE"""),"%")</f>
        <v>%</v>
      </c>
      <c r="T976" s="49">
        <f>IFERROR(__xludf.DUMMYFUNCTION("""COMPUTED_VALUE"""),2.0)</f>
        <v>2</v>
      </c>
      <c r="U976" s="50"/>
      <c r="V976" s="38"/>
      <c r="W976" s="45" t="str">
        <f>IFERROR(__xludf.DUMMYFUNCTION("""COMPUTED_VALUE"""),"")</f>
        <v/>
      </c>
      <c r="X976" s="46" t="str">
        <f>IFERROR(__xludf.DUMMYFUNCTION("""COMPUTED_VALUE"""),"AP")</f>
        <v>AP</v>
      </c>
      <c r="Y976" s="47" t="str">
        <f>IFERROR(__xludf.DUMMYFUNCTION("""COMPUTED_VALUE"""),"")</f>
        <v/>
      </c>
      <c r="Z976" s="48" t="str">
        <f>IFERROR(__xludf.DUMMYFUNCTION("""COMPUTED_VALUE"""),"%")</f>
        <v>%</v>
      </c>
      <c r="AA976" s="49">
        <f>IFERROR(__xludf.DUMMYFUNCTION("""COMPUTED_VALUE"""),3.0)</f>
        <v>3</v>
      </c>
      <c r="AB976" s="50"/>
      <c r="AC976" s="38"/>
      <c r="AD976" s="45" t="str">
        <f>IFERROR(__xludf.DUMMYFUNCTION("""COMPUTED_VALUE"""),"")</f>
        <v/>
      </c>
      <c r="AE976" s="46" t="str">
        <f>IFERROR(__xludf.DUMMYFUNCTION("""COMPUTED_VALUE"""),"AP")</f>
        <v>AP</v>
      </c>
      <c r="AF976" s="47" t="str">
        <f>IFERROR(__xludf.DUMMYFUNCTION("""COMPUTED_VALUE"""),"")</f>
        <v/>
      </c>
      <c r="AG976" s="48" t="str">
        <f>IFERROR(__xludf.DUMMYFUNCTION("""COMPUTED_VALUE"""),"%")</f>
        <v>%</v>
      </c>
      <c r="AH976" s="43"/>
      <c r="AI976" s="44"/>
      <c r="AJ976" s="66"/>
    </row>
    <row r="977" ht="24.75" hidden="1" customHeight="1">
      <c r="A977" s="28">
        <f>IFERROR(__xludf.DUMMYFUNCTION("""COMPUTED_VALUE"""),9.0)</f>
        <v>9</v>
      </c>
      <c r="B977" s="28" t="str">
        <f>IFERROR(__xludf.DUMMYFUNCTION("""COMPUTED_VALUE"""),"A115")</f>
        <v>A115</v>
      </c>
      <c r="C977" s="28"/>
      <c r="D977" s="29"/>
      <c r="E977" s="67"/>
      <c r="F977" s="31"/>
      <c r="G977" s="32"/>
      <c r="H977" s="33" t="str">
        <f>IFERROR(__xludf.DUMMYFUNCTION("""COMPUTED_VALUE""")," ")</f>
        <v> </v>
      </c>
      <c r="I977" s="34"/>
      <c r="J977" s="35" t="str">
        <f>IFERROR(__xludf.DUMMYFUNCTION("""COMPUTED_VALUE"""),"AP")</f>
        <v>AP</v>
      </c>
      <c r="K977" s="34"/>
      <c r="L977" s="35" t="str">
        <f>IFERROR(__xludf.DUMMYFUNCTION("""COMPUTED_VALUE"""),"%")</f>
        <v>%</v>
      </c>
      <c r="M977" s="36">
        <f>IFERROR(__xludf.DUMMYFUNCTION("""COMPUTED_VALUE"""),1.0)</f>
        <v>1</v>
      </c>
      <c r="N977" s="37"/>
      <c r="O977" s="38"/>
      <c r="P977" s="34" t="str">
        <f>IFERROR(__xludf.DUMMYFUNCTION("""COMPUTED_VALUE"""),"")</f>
        <v/>
      </c>
      <c r="Q977" s="35" t="str">
        <f>IFERROR(__xludf.DUMMYFUNCTION("""COMPUTED_VALUE"""),"AP")</f>
        <v>AP</v>
      </c>
      <c r="R977" s="34" t="str">
        <f>IFERROR(__xludf.DUMMYFUNCTION("""COMPUTED_VALUE"""),"")</f>
        <v/>
      </c>
      <c r="S977" s="35" t="str">
        <f>IFERROR(__xludf.DUMMYFUNCTION("""COMPUTED_VALUE"""),"%")</f>
        <v>%</v>
      </c>
      <c r="T977" s="36">
        <f>IFERROR(__xludf.DUMMYFUNCTION("""COMPUTED_VALUE"""),2.0)</f>
        <v>2</v>
      </c>
      <c r="U977" s="37"/>
      <c r="V977" s="38"/>
      <c r="W977" s="34" t="str">
        <f>IFERROR(__xludf.DUMMYFUNCTION("""COMPUTED_VALUE"""),"")</f>
        <v/>
      </c>
      <c r="X977" s="35" t="str">
        <f>IFERROR(__xludf.DUMMYFUNCTION("""COMPUTED_VALUE"""),"AP")</f>
        <v>AP</v>
      </c>
      <c r="Y977" s="34" t="str">
        <f>IFERROR(__xludf.DUMMYFUNCTION("""COMPUTED_VALUE"""),"")</f>
        <v/>
      </c>
      <c r="Z977" s="35" t="str">
        <f>IFERROR(__xludf.DUMMYFUNCTION("""COMPUTED_VALUE"""),"%")</f>
        <v>%</v>
      </c>
      <c r="AA977" s="36">
        <f>IFERROR(__xludf.DUMMYFUNCTION("""COMPUTED_VALUE"""),3.0)</f>
        <v>3</v>
      </c>
      <c r="AB977" s="37"/>
      <c r="AC977" s="38"/>
      <c r="AD977" s="34" t="str">
        <f>IFERROR(__xludf.DUMMYFUNCTION("""COMPUTED_VALUE"""),"")</f>
        <v/>
      </c>
      <c r="AE977" s="35" t="str">
        <f>IFERROR(__xludf.DUMMYFUNCTION("""COMPUTED_VALUE"""),"AP")</f>
        <v>AP</v>
      </c>
      <c r="AF977" s="34" t="str">
        <f>IFERROR(__xludf.DUMMYFUNCTION("""COMPUTED_VALUE"""),"")</f>
        <v/>
      </c>
      <c r="AG977" s="35" t="str">
        <f>IFERROR(__xludf.DUMMYFUNCTION("""COMPUTED_VALUE"""),"%")</f>
        <v>%</v>
      </c>
      <c r="AH977" s="31"/>
      <c r="AI977" s="32"/>
      <c r="AJ977" s="67"/>
    </row>
    <row r="978" ht="24.75" hidden="1" customHeight="1">
      <c r="A978" s="40">
        <f>IFERROR(__xludf.DUMMYFUNCTION("""COMPUTED_VALUE"""),10.0)</f>
        <v>10</v>
      </c>
      <c r="B978" s="40" t="str">
        <f>IFERROR(__xludf.DUMMYFUNCTION("""COMPUTED_VALUE"""),"A115")</f>
        <v>A115</v>
      </c>
      <c r="C978" s="40"/>
      <c r="D978" s="41"/>
      <c r="E978" s="66"/>
      <c r="F978" s="43"/>
      <c r="G978" s="44"/>
      <c r="H978" s="33" t="str">
        <f>IFERROR(__xludf.DUMMYFUNCTION("""COMPUTED_VALUE""")," ")</f>
        <v> </v>
      </c>
      <c r="I978" s="45"/>
      <c r="J978" s="46" t="str">
        <f>IFERROR(__xludf.DUMMYFUNCTION("""COMPUTED_VALUE"""),"AP")</f>
        <v>AP</v>
      </c>
      <c r="K978" s="47"/>
      <c r="L978" s="48" t="str">
        <f>IFERROR(__xludf.DUMMYFUNCTION("""COMPUTED_VALUE"""),"%")</f>
        <v>%</v>
      </c>
      <c r="M978" s="49">
        <f>IFERROR(__xludf.DUMMYFUNCTION("""COMPUTED_VALUE"""),1.0)</f>
        <v>1</v>
      </c>
      <c r="N978" s="50"/>
      <c r="O978" s="38"/>
      <c r="P978" s="45" t="str">
        <f>IFERROR(__xludf.DUMMYFUNCTION("""COMPUTED_VALUE"""),"")</f>
        <v/>
      </c>
      <c r="Q978" s="46" t="str">
        <f>IFERROR(__xludf.DUMMYFUNCTION("""COMPUTED_VALUE"""),"AP")</f>
        <v>AP</v>
      </c>
      <c r="R978" s="47" t="str">
        <f>IFERROR(__xludf.DUMMYFUNCTION("""COMPUTED_VALUE"""),"")</f>
        <v/>
      </c>
      <c r="S978" s="48" t="str">
        <f>IFERROR(__xludf.DUMMYFUNCTION("""COMPUTED_VALUE"""),"%")</f>
        <v>%</v>
      </c>
      <c r="T978" s="49">
        <f>IFERROR(__xludf.DUMMYFUNCTION("""COMPUTED_VALUE"""),2.0)</f>
        <v>2</v>
      </c>
      <c r="U978" s="50"/>
      <c r="V978" s="38"/>
      <c r="W978" s="45" t="str">
        <f>IFERROR(__xludf.DUMMYFUNCTION("""COMPUTED_VALUE"""),"")</f>
        <v/>
      </c>
      <c r="X978" s="46" t="str">
        <f>IFERROR(__xludf.DUMMYFUNCTION("""COMPUTED_VALUE"""),"AP")</f>
        <v>AP</v>
      </c>
      <c r="Y978" s="47" t="str">
        <f>IFERROR(__xludf.DUMMYFUNCTION("""COMPUTED_VALUE"""),"")</f>
        <v/>
      </c>
      <c r="Z978" s="48" t="str">
        <f>IFERROR(__xludf.DUMMYFUNCTION("""COMPUTED_VALUE"""),"%")</f>
        <v>%</v>
      </c>
      <c r="AA978" s="49">
        <f>IFERROR(__xludf.DUMMYFUNCTION("""COMPUTED_VALUE"""),3.0)</f>
        <v>3</v>
      </c>
      <c r="AB978" s="50"/>
      <c r="AC978" s="38"/>
      <c r="AD978" s="45" t="str">
        <f>IFERROR(__xludf.DUMMYFUNCTION("""COMPUTED_VALUE"""),"")</f>
        <v/>
      </c>
      <c r="AE978" s="46" t="str">
        <f>IFERROR(__xludf.DUMMYFUNCTION("""COMPUTED_VALUE"""),"AP")</f>
        <v>AP</v>
      </c>
      <c r="AF978" s="47" t="str">
        <f>IFERROR(__xludf.DUMMYFUNCTION("""COMPUTED_VALUE"""),"")</f>
        <v/>
      </c>
      <c r="AG978" s="48" t="str">
        <f>IFERROR(__xludf.DUMMYFUNCTION("""COMPUTED_VALUE"""),"%")</f>
        <v>%</v>
      </c>
      <c r="AH978" s="43"/>
      <c r="AI978" s="44"/>
      <c r="AJ978" s="66"/>
    </row>
    <row r="979" ht="24.75" hidden="1" customHeight="1">
      <c r="A979" s="28">
        <f>IFERROR(__xludf.DUMMYFUNCTION("""COMPUTED_VALUE"""),11.0)</f>
        <v>11</v>
      </c>
      <c r="B979" s="28" t="str">
        <f>IFERROR(__xludf.DUMMYFUNCTION("""COMPUTED_VALUE"""),"A115")</f>
        <v>A115</v>
      </c>
      <c r="C979" s="28"/>
      <c r="D979" s="29"/>
      <c r="E979" s="67"/>
      <c r="F979" s="31"/>
      <c r="G979" s="32"/>
      <c r="H979" s="33" t="str">
        <f>IFERROR(__xludf.DUMMYFUNCTION("""COMPUTED_VALUE""")," ")</f>
        <v> </v>
      </c>
      <c r="I979" s="34"/>
      <c r="J979" s="35" t="str">
        <f>IFERROR(__xludf.DUMMYFUNCTION("""COMPUTED_VALUE"""),"AP")</f>
        <v>AP</v>
      </c>
      <c r="K979" s="34"/>
      <c r="L979" s="35" t="str">
        <f>IFERROR(__xludf.DUMMYFUNCTION("""COMPUTED_VALUE"""),"%")</f>
        <v>%</v>
      </c>
      <c r="M979" s="36">
        <f>IFERROR(__xludf.DUMMYFUNCTION("""COMPUTED_VALUE"""),1.0)</f>
        <v>1</v>
      </c>
      <c r="N979" s="37"/>
      <c r="O979" s="38"/>
      <c r="P979" s="34" t="str">
        <f>IFERROR(__xludf.DUMMYFUNCTION("""COMPUTED_VALUE"""),"")</f>
        <v/>
      </c>
      <c r="Q979" s="35" t="str">
        <f>IFERROR(__xludf.DUMMYFUNCTION("""COMPUTED_VALUE"""),"AP")</f>
        <v>AP</v>
      </c>
      <c r="R979" s="34" t="str">
        <f>IFERROR(__xludf.DUMMYFUNCTION("""COMPUTED_VALUE"""),"")</f>
        <v/>
      </c>
      <c r="S979" s="35" t="str">
        <f>IFERROR(__xludf.DUMMYFUNCTION("""COMPUTED_VALUE"""),"%")</f>
        <v>%</v>
      </c>
      <c r="T979" s="36">
        <f>IFERROR(__xludf.DUMMYFUNCTION("""COMPUTED_VALUE"""),2.0)</f>
        <v>2</v>
      </c>
      <c r="U979" s="37"/>
      <c r="V979" s="38"/>
      <c r="W979" s="34" t="str">
        <f>IFERROR(__xludf.DUMMYFUNCTION("""COMPUTED_VALUE"""),"")</f>
        <v/>
      </c>
      <c r="X979" s="35" t="str">
        <f>IFERROR(__xludf.DUMMYFUNCTION("""COMPUTED_VALUE"""),"AP")</f>
        <v>AP</v>
      </c>
      <c r="Y979" s="34" t="str">
        <f>IFERROR(__xludf.DUMMYFUNCTION("""COMPUTED_VALUE"""),"")</f>
        <v/>
      </c>
      <c r="Z979" s="35" t="str">
        <f>IFERROR(__xludf.DUMMYFUNCTION("""COMPUTED_VALUE"""),"%")</f>
        <v>%</v>
      </c>
      <c r="AA979" s="36">
        <f>IFERROR(__xludf.DUMMYFUNCTION("""COMPUTED_VALUE"""),3.0)</f>
        <v>3</v>
      </c>
      <c r="AB979" s="37"/>
      <c r="AC979" s="38"/>
      <c r="AD979" s="34" t="str">
        <f>IFERROR(__xludf.DUMMYFUNCTION("""COMPUTED_VALUE"""),"")</f>
        <v/>
      </c>
      <c r="AE979" s="35" t="str">
        <f>IFERROR(__xludf.DUMMYFUNCTION("""COMPUTED_VALUE"""),"AP")</f>
        <v>AP</v>
      </c>
      <c r="AF979" s="34" t="str">
        <f>IFERROR(__xludf.DUMMYFUNCTION("""COMPUTED_VALUE"""),"")</f>
        <v/>
      </c>
      <c r="AG979" s="35" t="str">
        <f>IFERROR(__xludf.DUMMYFUNCTION("""COMPUTED_VALUE"""),"%")</f>
        <v>%</v>
      </c>
      <c r="AH979" s="31"/>
      <c r="AI979" s="32"/>
      <c r="AJ979" s="67"/>
    </row>
    <row r="980" ht="24.75" hidden="1" customHeight="1">
      <c r="A980" s="40">
        <f>IFERROR(__xludf.DUMMYFUNCTION("""COMPUTED_VALUE"""),12.0)</f>
        <v>12</v>
      </c>
      <c r="B980" s="40" t="str">
        <f>IFERROR(__xludf.DUMMYFUNCTION("""COMPUTED_VALUE"""),"A115")</f>
        <v>A115</v>
      </c>
      <c r="C980" s="40"/>
      <c r="D980" s="41"/>
      <c r="E980" s="66"/>
      <c r="F980" s="43"/>
      <c r="G980" s="44"/>
      <c r="H980" s="33" t="str">
        <f>IFERROR(__xludf.DUMMYFUNCTION("""COMPUTED_VALUE""")," ")</f>
        <v> </v>
      </c>
      <c r="I980" s="45"/>
      <c r="J980" s="46" t="str">
        <f>IFERROR(__xludf.DUMMYFUNCTION("""COMPUTED_VALUE"""),"AP")</f>
        <v>AP</v>
      </c>
      <c r="K980" s="47"/>
      <c r="L980" s="48" t="str">
        <f>IFERROR(__xludf.DUMMYFUNCTION("""COMPUTED_VALUE"""),"%")</f>
        <v>%</v>
      </c>
      <c r="M980" s="49">
        <f>IFERROR(__xludf.DUMMYFUNCTION("""COMPUTED_VALUE"""),1.0)</f>
        <v>1</v>
      </c>
      <c r="N980" s="50"/>
      <c r="O980" s="38"/>
      <c r="P980" s="45" t="str">
        <f>IFERROR(__xludf.DUMMYFUNCTION("""COMPUTED_VALUE"""),"")</f>
        <v/>
      </c>
      <c r="Q980" s="46" t="str">
        <f>IFERROR(__xludf.DUMMYFUNCTION("""COMPUTED_VALUE"""),"AP")</f>
        <v>AP</v>
      </c>
      <c r="R980" s="47" t="str">
        <f>IFERROR(__xludf.DUMMYFUNCTION("""COMPUTED_VALUE"""),"")</f>
        <v/>
      </c>
      <c r="S980" s="48" t="str">
        <f>IFERROR(__xludf.DUMMYFUNCTION("""COMPUTED_VALUE"""),"%")</f>
        <v>%</v>
      </c>
      <c r="T980" s="49">
        <f>IFERROR(__xludf.DUMMYFUNCTION("""COMPUTED_VALUE"""),2.0)</f>
        <v>2</v>
      </c>
      <c r="U980" s="50"/>
      <c r="V980" s="38"/>
      <c r="W980" s="45" t="str">
        <f>IFERROR(__xludf.DUMMYFUNCTION("""COMPUTED_VALUE"""),"")</f>
        <v/>
      </c>
      <c r="X980" s="46" t="str">
        <f>IFERROR(__xludf.DUMMYFUNCTION("""COMPUTED_VALUE"""),"AP")</f>
        <v>AP</v>
      </c>
      <c r="Y980" s="47" t="str">
        <f>IFERROR(__xludf.DUMMYFUNCTION("""COMPUTED_VALUE"""),"")</f>
        <v/>
      </c>
      <c r="Z980" s="48" t="str">
        <f>IFERROR(__xludf.DUMMYFUNCTION("""COMPUTED_VALUE"""),"%")</f>
        <v>%</v>
      </c>
      <c r="AA980" s="49">
        <f>IFERROR(__xludf.DUMMYFUNCTION("""COMPUTED_VALUE"""),3.0)</f>
        <v>3</v>
      </c>
      <c r="AB980" s="50"/>
      <c r="AC980" s="38"/>
      <c r="AD980" s="45" t="str">
        <f>IFERROR(__xludf.DUMMYFUNCTION("""COMPUTED_VALUE"""),"")</f>
        <v/>
      </c>
      <c r="AE980" s="46" t="str">
        <f>IFERROR(__xludf.DUMMYFUNCTION("""COMPUTED_VALUE"""),"AP")</f>
        <v>AP</v>
      </c>
      <c r="AF980" s="47" t="str">
        <f>IFERROR(__xludf.DUMMYFUNCTION("""COMPUTED_VALUE"""),"")</f>
        <v/>
      </c>
      <c r="AG980" s="48" t="str">
        <f>IFERROR(__xludf.DUMMYFUNCTION("""COMPUTED_VALUE"""),"%")</f>
        <v>%</v>
      </c>
      <c r="AH980" s="43"/>
      <c r="AI980" s="44"/>
      <c r="AJ980" s="66"/>
    </row>
    <row r="981" ht="24.75" hidden="1" customHeight="1">
      <c r="A981" s="28">
        <f>IFERROR(__xludf.DUMMYFUNCTION("""COMPUTED_VALUE"""),13.0)</f>
        <v>13</v>
      </c>
      <c r="B981" s="28" t="str">
        <f>IFERROR(__xludf.DUMMYFUNCTION("""COMPUTED_VALUE"""),"A115")</f>
        <v>A115</v>
      </c>
      <c r="C981" s="28"/>
      <c r="D981" s="29"/>
      <c r="E981" s="67"/>
      <c r="F981" s="31"/>
      <c r="G981" s="32"/>
      <c r="H981" s="33" t="str">
        <f>IFERROR(__xludf.DUMMYFUNCTION("""COMPUTED_VALUE""")," ")</f>
        <v> </v>
      </c>
      <c r="I981" s="34"/>
      <c r="J981" s="35" t="str">
        <f>IFERROR(__xludf.DUMMYFUNCTION("""COMPUTED_VALUE"""),"AP")</f>
        <v>AP</v>
      </c>
      <c r="K981" s="34"/>
      <c r="L981" s="35" t="str">
        <f>IFERROR(__xludf.DUMMYFUNCTION("""COMPUTED_VALUE"""),"%")</f>
        <v>%</v>
      </c>
      <c r="M981" s="36">
        <f>IFERROR(__xludf.DUMMYFUNCTION("""COMPUTED_VALUE"""),1.0)</f>
        <v>1</v>
      </c>
      <c r="N981" s="37"/>
      <c r="O981" s="38"/>
      <c r="P981" s="34" t="str">
        <f>IFERROR(__xludf.DUMMYFUNCTION("""COMPUTED_VALUE"""),"")</f>
        <v/>
      </c>
      <c r="Q981" s="35" t="str">
        <f>IFERROR(__xludf.DUMMYFUNCTION("""COMPUTED_VALUE"""),"AP")</f>
        <v>AP</v>
      </c>
      <c r="R981" s="34" t="str">
        <f>IFERROR(__xludf.DUMMYFUNCTION("""COMPUTED_VALUE"""),"")</f>
        <v/>
      </c>
      <c r="S981" s="35" t="str">
        <f>IFERROR(__xludf.DUMMYFUNCTION("""COMPUTED_VALUE"""),"%")</f>
        <v>%</v>
      </c>
      <c r="T981" s="36">
        <f>IFERROR(__xludf.DUMMYFUNCTION("""COMPUTED_VALUE"""),2.0)</f>
        <v>2</v>
      </c>
      <c r="U981" s="37"/>
      <c r="V981" s="38"/>
      <c r="W981" s="34" t="str">
        <f>IFERROR(__xludf.DUMMYFUNCTION("""COMPUTED_VALUE"""),"")</f>
        <v/>
      </c>
      <c r="X981" s="35" t="str">
        <f>IFERROR(__xludf.DUMMYFUNCTION("""COMPUTED_VALUE"""),"AP")</f>
        <v>AP</v>
      </c>
      <c r="Y981" s="34" t="str">
        <f>IFERROR(__xludf.DUMMYFUNCTION("""COMPUTED_VALUE"""),"")</f>
        <v/>
      </c>
      <c r="Z981" s="35" t="str">
        <f>IFERROR(__xludf.DUMMYFUNCTION("""COMPUTED_VALUE"""),"%")</f>
        <v>%</v>
      </c>
      <c r="AA981" s="36">
        <f>IFERROR(__xludf.DUMMYFUNCTION("""COMPUTED_VALUE"""),3.0)</f>
        <v>3</v>
      </c>
      <c r="AB981" s="37"/>
      <c r="AC981" s="38"/>
      <c r="AD981" s="34" t="str">
        <f>IFERROR(__xludf.DUMMYFUNCTION("""COMPUTED_VALUE"""),"")</f>
        <v/>
      </c>
      <c r="AE981" s="35" t="str">
        <f>IFERROR(__xludf.DUMMYFUNCTION("""COMPUTED_VALUE"""),"AP")</f>
        <v>AP</v>
      </c>
      <c r="AF981" s="34" t="str">
        <f>IFERROR(__xludf.DUMMYFUNCTION("""COMPUTED_VALUE"""),"")</f>
        <v/>
      </c>
      <c r="AG981" s="35" t="str">
        <f>IFERROR(__xludf.DUMMYFUNCTION("""COMPUTED_VALUE"""),"%")</f>
        <v>%</v>
      </c>
      <c r="AH981" s="31"/>
      <c r="AI981" s="32"/>
      <c r="AJ981" s="67"/>
    </row>
    <row r="982" ht="24.75" hidden="1" customHeight="1">
      <c r="A982" s="40">
        <f>IFERROR(__xludf.DUMMYFUNCTION("""COMPUTED_VALUE"""),14.0)</f>
        <v>14</v>
      </c>
      <c r="B982" s="40" t="str">
        <f>IFERROR(__xludf.DUMMYFUNCTION("""COMPUTED_VALUE"""),"A115")</f>
        <v>A115</v>
      </c>
      <c r="C982" s="40"/>
      <c r="D982" s="41"/>
      <c r="E982" s="66"/>
      <c r="F982" s="43"/>
      <c r="G982" s="44"/>
      <c r="H982" s="33" t="str">
        <f>IFERROR(__xludf.DUMMYFUNCTION("""COMPUTED_VALUE""")," ")</f>
        <v> </v>
      </c>
      <c r="I982" s="45"/>
      <c r="J982" s="46" t="str">
        <f>IFERROR(__xludf.DUMMYFUNCTION("""COMPUTED_VALUE"""),"AP")</f>
        <v>AP</v>
      </c>
      <c r="K982" s="47"/>
      <c r="L982" s="48" t="str">
        <f>IFERROR(__xludf.DUMMYFUNCTION("""COMPUTED_VALUE"""),"%")</f>
        <v>%</v>
      </c>
      <c r="M982" s="49">
        <f>IFERROR(__xludf.DUMMYFUNCTION("""COMPUTED_VALUE"""),1.0)</f>
        <v>1</v>
      </c>
      <c r="N982" s="50"/>
      <c r="O982" s="38"/>
      <c r="P982" s="45" t="str">
        <f>IFERROR(__xludf.DUMMYFUNCTION("""COMPUTED_VALUE"""),"")</f>
        <v/>
      </c>
      <c r="Q982" s="46" t="str">
        <f>IFERROR(__xludf.DUMMYFUNCTION("""COMPUTED_VALUE"""),"AP")</f>
        <v>AP</v>
      </c>
      <c r="R982" s="47" t="str">
        <f>IFERROR(__xludf.DUMMYFUNCTION("""COMPUTED_VALUE"""),"")</f>
        <v/>
      </c>
      <c r="S982" s="48" t="str">
        <f>IFERROR(__xludf.DUMMYFUNCTION("""COMPUTED_VALUE"""),"%")</f>
        <v>%</v>
      </c>
      <c r="T982" s="49">
        <f>IFERROR(__xludf.DUMMYFUNCTION("""COMPUTED_VALUE"""),2.0)</f>
        <v>2</v>
      </c>
      <c r="U982" s="50"/>
      <c r="V982" s="38"/>
      <c r="W982" s="45" t="str">
        <f>IFERROR(__xludf.DUMMYFUNCTION("""COMPUTED_VALUE"""),"")</f>
        <v/>
      </c>
      <c r="X982" s="46" t="str">
        <f>IFERROR(__xludf.DUMMYFUNCTION("""COMPUTED_VALUE"""),"AP")</f>
        <v>AP</v>
      </c>
      <c r="Y982" s="47" t="str">
        <f>IFERROR(__xludf.DUMMYFUNCTION("""COMPUTED_VALUE"""),"")</f>
        <v/>
      </c>
      <c r="Z982" s="48" t="str">
        <f>IFERROR(__xludf.DUMMYFUNCTION("""COMPUTED_VALUE"""),"%")</f>
        <v>%</v>
      </c>
      <c r="AA982" s="49">
        <f>IFERROR(__xludf.DUMMYFUNCTION("""COMPUTED_VALUE"""),3.0)</f>
        <v>3</v>
      </c>
      <c r="AB982" s="50"/>
      <c r="AC982" s="38"/>
      <c r="AD982" s="45" t="str">
        <f>IFERROR(__xludf.DUMMYFUNCTION("""COMPUTED_VALUE"""),"")</f>
        <v/>
      </c>
      <c r="AE982" s="46" t="str">
        <f>IFERROR(__xludf.DUMMYFUNCTION("""COMPUTED_VALUE"""),"AP")</f>
        <v>AP</v>
      </c>
      <c r="AF982" s="47" t="str">
        <f>IFERROR(__xludf.DUMMYFUNCTION("""COMPUTED_VALUE"""),"")</f>
        <v/>
      </c>
      <c r="AG982" s="48" t="str">
        <f>IFERROR(__xludf.DUMMYFUNCTION("""COMPUTED_VALUE"""),"%")</f>
        <v>%</v>
      </c>
      <c r="AH982" s="43"/>
      <c r="AI982" s="44"/>
      <c r="AJ982" s="66"/>
    </row>
    <row r="983" ht="24.75" hidden="1" customHeight="1">
      <c r="A983" s="28">
        <f>IFERROR(__xludf.DUMMYFUNCTION("""COMPUTED_VALUE"""),15.0)</f>
        <v>15</v>
      </c>
      <c r="B983" s="28" t="str">
        <f>IFERROR(__xludf.DUMMYFUNCTION("""COMPUTED_VALUE"""),"A115")</f>
        <v>A115</v>
      </c>
      <c r="C983" s="28"/>
      <c r="D983" s="29"/>
      <c r="E983" s="67"/>
      <c r="F983" s="31"/>
      <c r="G983" s="32"/>
      <c r="H983" s="33" t="str">
        <f>IFERROR(__xludf.DUMMYFUNCTION("""COMPUTED_VALUE""")," ")</f>
        <v> </v>
      </c>
      <c r="I983" s="34"/>
      <c r="J983" s="35" t="str">
        <f>IFERROR(__xludf.DUMMYFUNCTION("""COMPUTED_VALUE"""),"AP")</f>
        <v>AP</v>
      </c>
      <c r="K983" s="34"/>
      <c r="L983" s="35" t="str">
        <f>IFERROR(__xludf.DUMMYFUNCTION("""COMPUTED_VALUE"""),"%")</f>
        <v>%</v>
      </c>
      <c r="M983" s="36">
        <f>IFERROR(__xludf.DUMMYFUNCTION("""COMPUTED_VALUE"""),1.0)</f>
        <v>1</v>
      </c>
      <c r="N983" s="37"/>
      <c r="O983" s="38"/>
      <c r="P983" s="34" t="str">
        <f>IFERROR(__xludf.DUMMYFUNCTION("""COMPUTED_VALUE"""),"")</f>
        <v/>
      </c>
      <c r="Q983" s="35" t="str">
        <f>IFERROR(__xludf.DUMMYFUNCTION("""COMPUTED_VALUE"""),"AP")</f>
        <v>AP</v>
      </c>
      <c r="R983" s="34" t="str">
        <f>IFERROR(__xludf.DUMMYFUNCTION("""COMPUTED_VALUE"""),"")</f>
        <v/>
      </c>
      <c r="S983" s="35" t="str">
        <f>IFERROR(__xludf.DUMMYFUNCTION("""COMPUTED_VALUE"""),"%")</f>
        <v>%</v>
      </c>
      <c r="T983" s="36">
        <f>IFERROR(__xludf.DUMMYFUNCTION("""COMPUTED_VALUE"""),2.0)</f>
        <v>2</v>
      </c>
      <c r="U983" s="37"/>
      <c r="V983" s="38"/>
      <c r="W983" s="34" t="str">
        <f>IFERROR(__xludf.DUMMYFUNCTION("""COMPUTED_VALUE"""),"")</f>
        <v/>
      </c>
      <c r="X983" s="35" t="str">
        <f>IFERROR(__xludf.DUMMYFUNCTION("""COMPUTED_VALUE"""),"AP")</f>
        <v>AP</v>
      </c>
      <c r="Y983" s="34" t="str">
        <f>IFERROR(__xludf.DUMMYFUNCTION("""COMPUTED_VALUE"""),"")</f>
        <v/>
      </c>
      <c r="Z983" s="35" t="str">
        <f>IFERROR(__xludf.DUMMYFUNCTION("""COMPUTED_VALUE"""),"%")</f>
        <v>%</v>
      </c>
      <c r="AA983" s="36">
        <f>IFERROR(__xludf.DUMMYFUNCTION("""COMPUTED_VALUE"""),3.0)</f>
        <v>3</v>
      </c>
      <c r="AB983" s="37"/>
      <c r="AC983" s="38"/>
      <c r="AD983" s="34" t="str">
        <f>IFERROR(__xludf.DUMMYFUNCTION("""COMPUTED_VALUE"""),"")</f>
        <v/>
      </c>
      <c r="AE983" s="35" t="str">
        <f>IFERROR(__xludf.DUMMYFUNCTION("""COMPUTED_VALUE"""),"AP")</f>
        <v>AP</v>
      </c>
      <c r="AF983" s="34" t="str">
        <f>IFERROR(__xludf.DUMMYFUNCTION("""COMPUTED_VALUE"""),"")</f>
        <v/>
      </c>
      <c r="AG983" s="35" t="str">
        <f>IFERROR(__xludf.DUMMYFUNCTION("""COMPUTED_VALUE"""),"%")</f>
        <v>%</v>
      </c>
      <c r="AH983" s="31"/>
      <c r="AI983" s="32"/>
      <c r="AJ983" s="67"/>
    </row>
    <row r="984" ht="24.75" hidden="1" customHeight="1">
      <c r="A984" s="40">
        <f>IFERROR(__xludf.DUMMYFUNCTION("""COMPUTED_VALUE"""),16.0)</f>
        <v>16</v>
      </c>
      <c r="B984" s="40" t="str">
        <f>IFERROR(__xludf.DUMMYFUNCTION("""COMPUTED_VALUE"""),"A115")</f>
        <v>A115</v>
      </c>
      <c r="C984" s="40"/>
      <c r="D984" s="41"/>
      <c r="E984" s="66"/>
      <c r="F984" s="43"/>
      <c r="G984" s="44"/>
      <c r="H984" s="33" t="str">
        <f>IFERROR(__xludf.DUMMYFUNCTION("""COMPUTED_VALUE""")," ")</f>
        <v> </v>
      </c>
      <c r="I984" s="45"/>
      <c r="J984" s="46" t="str">
        <f>IFERROR(__xludf.DUMMYFUNCTION("""COMPUTED_VALUE"""),"AP")</f>
        <v>AP</v>
      </c>
      <c r="K984" s="47"/>
      <c r="L984" s="48" t="str">
        <f>IFERROR(__xludf.DUMMYFUNCTION("""COMPUTED_VALUE"""),"%")</f>
        <v>%</v>
      </c>
      <c r="M984" s="49">
        <f>IFERROR(__xludf.DUMMYFUNCTION("""COMPUTED_VALUE"""),1.0)</f>
        <v>1</v>
      </c>
      <c r="N984" s="50"/>
      <c r="O984" s="38"/>
      <c r="P984" s="45" t="str">
        <f>IFERROR(__xludf.DUMMYFUNCTION("""COMPUTED_VALUE"""),"")</f>
        <v/>
      </c>
      <c r="Q984" s="46" t="str">
        <f>IFERROR(__xludf.DUMMYFUNCTION("""COMPUTED_VALUE"""),"AP")</f>
        <v>AP</v>
      </c>
      <c r="R984" s="47" t="str">
        <f>IFERROR(__xludf.DUMMYFUNCTION("""COMPUTED_VALUE"""),"")</f>
        <v/>
      </c>
      <c r="S984" s="48" t="str">
        <f>IFERROR(__xludf.DUMMYFUNCTION("""COMPUTED_VALUE"""),"%")</f>
        <v>%</v>
      </c>
      <c r="T984" s="49">
        <f>IFERROR(__xludf.DUMMYFUNCTION("""COMPUTED_VALUE"""),2.0)</f>
        <v>2</v>
      </c>
      <c r="U984" s="50"/>
      <c r="V984" s="38"/>
      <c r="W984" s="45" t="str">
        <f>IFERROR(__xludf.DUMMYFUNCTION("""COMPUTED_VALUE"""),"")</f>
        <v/>
      </c>
      <c r="X984" s="46" t="str">
        <f>IFERROR(__xludf.DUMMYFUNCTION("""COMPUTED_VALUE"""),"AP")</f>
        <v>AP</v>
      </c>
      <c r="Y984" s="47" t="str">
        <f>IFERROR(__xludf.DUMMYFUNCTION("""COMPUTED_VALUE"""),"")</f>
        <v/>
      </c>
      <c r="Z984" s="48" t="str">
        <f>IFERROR(__xludf.DUMMYFUNCTION("""COMPUTED_VALUE"""),"%")</f>
        <v>%</v>
      </c>
      <c r="AA984" s="49">
        <f>IFERROR(__xludf.DUMMYFUNCTION("""COMPUTED_VALUE"""),3.0)</f>
        <v>3</v>
      </c>
      <c r="AB984" s="50"/>
      <c r="AC984" s="38"/>
      <c r="AD984" s="45" t="str">
        <f>IFERROR(__xludf.DUMMYFUNCTION("""COMPUTED_VALUE"""),"")</f>
        <v/>
      </c>
      <c r="AE984" s="46" t="str">
        <f>IFERROR(__xludf.DUMMYFUNCTION("""COMPUTED_VALUE"""),"AP")</f>
        <v>AP</v>
      </c>
      <c r="AF984" s="47" t="str">
        <f>IFERROR(__xludf.DUMMYFUNCTION("""COMPUTED_VALUE"""),"")</f>
        <v/>
      </c>
      <c r="AG984" s="48" t="str">
        <f>IFERROR(__xludf.DUMMYFUNCTION("""COMPUTED_VALUE"""),"%")</f>
        <v>%</v>
      </c>
      <c r="AH984" s="43"/>
      <c r="AI984" s="44"/>
      <c r="AJ984" s="66"/>
    </row>
    <row r="985" ht="24.75" hidden="1" customHeight="1">
      <c r="A985" s="28">
        <f>IFERROR(__xludf.DUMMYFUNCTION("""COMPUTED_VALUE"""),17.0)</f>
        <v>17</v>
      </c>
      <c r="B985" s="28" t="str">
        <f>IFERROR(__xludf.DUMMYFUNCTION("""COMPUTED_VALUE"""),"A115")</f>
        <v>A115</v>
      </c>
      <c r="C985" s="28"/>
      <c r="D985" s="29"/>
      <c r="E985" s="67"/>
      <c r="F985" s="31"/>
      <c r="G985" s="32"/>
      <c r="H985" s="33" t="str">
        <f>IFERROR(__xludf.DUMMYFUNCTION("""COMPUTED_VALUE""")," ")</f>
        <v> </v>
      </c>
      <c r="I985" s="34"/>
      <c r="J985" s="35" t="str">
        <f>IFERROR(__xludf.DUMMYFUNCTION("""COMPUTED_VALUE"""),"AP")</f>
        <v>AP</v>
      </c>
      <c r="K985" s="34"/>
      <c r="L985" s="35" t="str">
        <f>IFERROR(__xludf.DUMMYFUNCTION("""COMPUTED_VALUE"""),"%")</f>
        <v>%</v>
      </c>
      <c r="M985" s="36">
        <f>IFERROR(__xludf.DUMMYFUNCTION("""COMPUTED_VALUE"""),1.0)</f>
        <v>1</v>
      </c>
      <c r="N985" s="37"/>
      <c r="O985" s="38"/>
      <c r="P985" s="34" t="str">
        <f>IFERROR(__xludf.DUMMYFUNCTION("""COMPUTED_VALUE"""),"")</f>
        <v/>
      </c>
      <c r="Q985" s="35" t="str">
        <f>IFERROR(__xludf.DUMMYFUNCTION("""COMPUTED_VALUE"""),"AP")</f>
        <v>AP</v>
      </c>
      <c r="R985" s="34" t="str">
        <f>IFERROR(__xludf.DUMMYFUNCTION("""COMPUTED_VALUE"""),"")</f>
        <v/>
      </c>
      <c r="S985" s="35" t="str">
        <f>IFERROR(__xludf.DUMMYFUNCTION("""COMPUTED_VALUE"""),"%")</f>
        <v>%</v>
      </c>
      <c r="T985" s="36">
        <f>IFERROR(__xludf.DUMMYFUNCTION("""COMPUTED_VALUE"""),2.0)</f>
        <v>2</v>
      </c>
      <c r="U985" s="37"/>
      <c r="V985" s="38"/>
      <c r="W985" s="34" t="str">
        <f>IFERROR(__xludf.DUMMYFUNCTION("""COMPUTED_VALUE"""),"")</f>
        <v/>
      </c>
      <c r="X985" s="35" t="str">
        <f>IFERROR(__xludf.DUMMYFUNCTION("""COMPUTED_VALUE"""),"AP")</f>
        <v>AP</v>
      </c>
      <c r="Y985" s="34" t="str">
        <f>IFERROR(__xludf.DUMMYFUNCTION("""COMPUTED_VALUE"""),"")</f>
        <v/>
      </c>
      <c r="Z985" s="35" t="str">
        <f>IFERROR(__xludf.DUMMYFUNCTION("""COMPUTED_VALUE"""),"%")</f>
        <v>%</v>
      </c>
      <c r="AA985" s="36">
        <f>IFERROR(__xludf.DUMMYFUNCTION("""COMPUTED_VALUE"""),3.0)</f>
        <v>3</v>
      </c>
      <c r="AB985" s="37"/>
      <c r="AC985" s="38"/>
      <c r="AD985" s="34" t="str">
        <f>IFERROR(__xludf.DUMMYFUNCTION("""COMPUTED_VALUE"""),"")</f>
        <v/>
      </c>
      <c r="AE985" s="35" t="str">
        <f>IFERROR(__xludf.DUMMYFUNCTION("""COMPUTED_VALUE"""),"AP")</f>
        <v>AP</v>
      </c>
      <c r="AF985" s="34" t="str">
        <f>IFERROR(__xludf.DUMMYFUNCTION("""COMPUTED_VALUE"""),"")</f>
        <v/>
      </c>
      <c r="AG985" s="35" t="str">
        <f>IFERROR(__xludf.DUMMYFUNCTION("""COMPUTED_VALUE"""),"%")</f>
        <v>%</v>
      </c>
      <c r="AH985" s="31"/>
      <c r="AI985" s="32"/>
      <c r="AJ985" s="67"/>
    </row>
    <row r="986" ht="24.75" hidden="1" customHeight="1">
      <c r="A986" s="40">
        <f>IFERROR(__xludf.DUMMYFUNCTION("""COMPUTED_VALUE"""),18.0)</f>
        <v>18</v>
      </c>
      <c r="B986" s="40" t="str">
        <f>IFERROR(__xludf.DUMMYFUNCTION("""COMPUTED_VALUE"""),"A115")</f>
        <v>A115</v>
      </c>
      <c r="C986" s="40"/>
      <c r="D986" s="41"/>
      <c r="E986" s="66"/>
      <c r="F986" s="43"/>
      <c r="G986" s="44"/>
      <c r="H986" s="33" t="str">
        <f>IFERROR(__xludf.DUMMYFUNCTION("""COMPUTED_VALUE""")," ")</f>
        <v> </v>
      </c>
      <c r="I986" s="45"/>
      <c r="J986" s="46" t="str">
        <f>IFERROR(__xludf.DUMMYFUNCTION("""COMPUTED_VALUE"""),"AP")</f>
        <v>AP</v>
      </c>
      <c r="K986" s="47"/>
      <c r="L986" s="48" t="str">
        <f>IFERROR(__xludf.DUMMYFUNCTION("""COMPUTED_VALUE"""),"%")</f>
        <v>%</v>
      </c>
      <c r="M986" s="49">
        <f>IFERROR(__xludf.DUMMYFUNCTION("""COMPUTED_VALUE"""),1.0)</f>
        <v>1</v>
      </c>
      <c r="N986" s="50"/>
      <c r="O986" s="38"/>
      <c r="P986" s="45" t="str">
        <f>IFERROR(__xludf.DUMMYFUNCTION("""COMPUTED_VALUE"""),"")</f>
        <v/>
      </c>
      <c r="Q986" s="46" t="str">
        <f>IFERROR(__xludf.DUMMYFUNCTION("""COMPUTED_VALUE"""),"AP")</f>
        <v>AP</v>
      </c>
      <c r="R986" s="47" t="str">
        <f>IFERROR(__xludf.DUMMYFUNCTION("""COMPUTED_VALUE"""),"")</f>
        <v/>
      </c>
      <c r="S986" s="48" t="str">
        <f>IFERROR(__xludf.DUMMYFUNCTION("""COMPUTED_VALUE"""),"%")</f>
        <v>%</v>
      </c>
      <c r="T986" s="49">
        <f>IFERROR(__xludf.DUMMYFUNCTION("""COMPUTED_VALUE"""),2.0)</f>
        <v>2</v>
      </c>
      <c r="U986" s="50"/>
      <c r="V986" s="38"/>
      <c r="W986" s="45" t="str">
        <f>IFERROR(__xludf.DUMMYFUNCTION("""COMPUTED_VALUE"""),"")</f>
        <v/>
      </c>
      <c r="X986" s="46" t="str">
        <f>IFERROR(__xludf.DUMMYFUNCTION("""COMPUTED_VALUE"""),"AP")</f>
        <v>AP</v>
      </c>
      <c r="Y986" s="47" t="str">
        <f>IFERROR(__xludf.DUMMYFUNCTION("""COMPUTED_VALUE"""),"")</f>
        <v/>
      </c>
      <c r="Z986" s="48" t="str">
        <f>IFERROR(__xludf.DUMMYFUNCTION("""COMPUTED_VALUE"""),"%")</f>
        <v>%</v>
      </c>
      <c r="AA986" s="49">
        <f>IFERROR(__xludf.DUMMYFUNCTION("""COMPUTED_VALUE"""),3.0)</f>
        <v>3</v>
      </c>
      <c r="AB986" s="50"/>
      <c r="AC986" s="38"/>
      <c r="AD986" s="45" t="str">
        <f>IFERROR(__xludf.DUMMYFUNCTION("""COMPUTED_VALUE"""),"")</f>
        <v/>
      </c>
      <c r="AE986" s="46" t="str">
        <f>IFERROR(__xludf.DUMMYFUNCTION("""COMPUTED_VALUE"""),"AP")</f>
        <v>AP</v>
      </c>
      <c r="AF986" s="47" t="str">
        <f>IFERROR(__xludf.DUMMYFUNCTION("""COMPUTED_VALUE"""),"")</f>
        <v/>
      </c>
      <c r="AG986" s="48" t="str">
        <f>IFERROR(__xludf.DUMMYFUNCTION("""COMPUTED_VALUE"""),"%")</f>
        <v>%</v>
      </c>
      <c r="AH986" s="43"/>
      <c r="AI986" s="44"/>
      <c r="AJ986" s="66"/>
    </row>
    <row r="987" ht="24.75" hidden="1" customHeight="1">
      <c r="A987" s="28">
        <f>IFERROR(__xludf.DUMMYFUNCTION("""COMPUTED_VALUE"""),19.0)</f>
        <v>19</v>
      </c>
      <c r="B987" s="28" t="str">
        <f>IFERROR(__xludf.DUMMYFUNCTION("""COMPUTED_VALUE"""),"A115")</f>
        <v>A115</v>
      </c>
      <c r="C987" s="28"/>
      <c r="D987" s="29"/>
      <c r="E987" s="67"/>
      <c r="F987" s="31"/>
      <c r="G987" s="32"/>
      <c r="H987" s="33" t="str">
        <f>IFERROR(__xludf.DUMMYFUNCTION("""COMPUTED_VALUE""")," ")</f>
        <v> </v>
      </c>
      <c r="I987" s="34"/>
      <c r="J987" s="35" t="str">
        <f>IFERROR(__xludf.DUMMYFUNCTION("""COMPUTED_VALUE"""),"AP")</f>
        <v>AP</v>
      </c>
      <c r="K987" s="34"/>
      <c r="L987" s="35" t="str">
        <f>IFERROR(__xludf.DUMMYFUNCTION("""COMPUTED_VALUE"""),"%")</f>
        <v>%</v>
      </c>
      <c r="M987" s="36">
        <f>IFERROR(__xludf.DUMMYFUNCTION("""COMPUTED_VALUE"""),1.0)</f>
        <v>1</v>
      </c>
      <c r="N987" s="37"/>
      <c r="O987" s="38"/>
      <c r="P987" s="34" t="str">
        <f>IFERROR(__xludf.DUMMYFUNCTION("""COMPUTED_VALUE"""),"")</f>
        <v/>
      </c>
      <c r="Q987" s="35" t="str">
        <f>IFERROR(__xludf.DUMMYFUNCTION("""COMPUTED_VALUE"""),"AP")</f>
        <v>AP</v>
      </c>
      <c r="R987" s="34" t="str">
        <f>IFERROR(__xludf.DUMMYFUNCTION("""COMPUTED_VALUE"""),"")</f>
        <v/>
      </c>
      <c r="S987" s="35" t="str">
        <f>IFERROR(__xludf.DUMMYFUNCTION("""COMPUTED_VALUE"""),"%")</f>
        <v>%</v>
      </c>
      <c r="T987" s="36">
        <f>IFERROR(__xludf.DUMMYFUNCTION("""COMPUTED_VALUE"""),2.0)</f>
        <v>2</v>
      </c>
      <c r="U987" s="37"/>
      <c r="V987" s="38"/>
      <c r="W987" s="34" t="str">
        <f>IFERROR(__xludf.DUMMYFUNCTION("""COMPUTED_VALUE"""),"")</f>
        <v/>
      </c>
      <c r="X987" s="35" t="str">
        <f>IFERROR(__xludf.DUMMYFUNCTION("""COMPUTED_VALUE"""),"AP")</f>
        <v>AP</v>
      </c>
      <c r="Y987" s="34" t="str">
        <f>IFERROR(__xludf.DUMMYFUNCTION("""COMPUTED_VALUE"""),"")</f>
        <v/>
      </c>
      <c r="Z987" s="35" t="str">
        <f>IFERROR(__xludf.DUMMYFUNCTION("""COMPUTED_VALUE"""),"%")</f>
        <v>%</v>
      </c>
      <c r="AA987" s="36">
        <f>IFERROR(__xludf.DUMMYFUNCTION("""COMPUTED_VALUE"""),3.0)</f>
        <v>3</v>
      </c>
      <c r="AB987" s="37"/>
      <c r="AC987" s="38"/>
      <c r="AD987" s="34" t="str">
        <f>IFERROR(__xludf.DUMMYFUNCTION("""COMPUTED_VALUE"""),"")</f>
        <v/>
      </c>
      <c r="AE987" s="35" t="str">
        <f>IFERROR(__xludf.DUMMYFUNCTION("""COMPUTED_VALUE"""),"AP")</f>
        <v>AP</v>
      </c>
      <c r="AF987" s="34" t="str">
        <f>IFERROR(__xludf.DUMMYFUNCTION("""COMPUTED_VALUE"""),"")</f>
        <v/>
      </c>
      <c r="AG987" s="35" t="str">
        <f>IFERROR(__xludf.DUMMYFUNCTION("""COMPUTED_VALUE"""),"%")</f>
        <v>%</v>
      </c>
      <c r="AH987" s="31"/>
      <c r="AI987" s="32"/>
      <c r="AJ987" s="67"/>
    </row>
    <row r="988" ht="24.75" hidden="1" customHeight="1">
      <c r="A988" s="40">
        <f>IFERROR(__xludf.DUMMYFUNCTION("""COMPUTED_VALUE"""),20.0)</f>
        <v>20</v>
      </c>
      <c r="B988" s="40" t="str">
        <f>IFERROR(__xludf.DUMMYFUNCTION("""COMPUTED_VALUE"""),"A115")</f>
        <v>A115</v>
      </c>
      <c r="C988" s="40"/>
      <c r="D988" s="41"/>
      <c r="E988" s="66"/>
      <c r="F988" s="43"/>
      <c r="G988" s="44"/>
      <c r="H988" s="33" t="str">
        <f>IFERROR(__xludf.DUMMYFUNCTION("""COMPUTED_VALUE""")," ")</f>
        <v> </v>
      </c>
      <c r="I988" s="45"/>
      <c r="J988" s="46" t="str">
        <f>IFERROR(__xludf.DUMMYFUNCTION("""COMPUTED_VALUE"""),"AP")</f>
        <v>AP</v>
      </c>
      <c r="K988" s="47"/>
      <c r="L988" s="48" t="str">
        <f>IFERROR(__xludf.DUMMYFUNCTION("""COMPUTED_VALUE"""),"%")</f>
        <v>%</v>
      </c>
      <c r="M988" s="49">
        <f>IFERROR(__xludf.DUMMYFUNCTION("""COMPUTED_VALUE"""),1.0)</f>
        <v>1</v>
      </c>
      <c r="N988" s="50"/>
      <c r="O988" s="38"/>
      <c r="P988" s="45" t="str">
        <f>IFERROR(__xludf.DUMMYFUNCTION("""COMPUTED_VALUE"""),"")</f>
        <v/>
      </c>
      <c r="Q988" s="46" t="str">
        <f>IFERROR(__xludf.DUMMYFUNCTION("""COMPUTED_VALUE"""),"AP")</f>
        <v>AP</v>
      </c>
      <c r="R988" s="47" t="str">
        <f>IFERROR(__xludf.DUMMYFUNCTION("""COMPUTED_VALUE"""),"")</f>
        <v/>
      </c>
      <c r="S988" s="48" t="str">
        <f>IFERROR(__xludf.DUMMYFUNCTION("""COMPUTED_VALUE"""),"%")</f>
        <v>%</v>
      </c>
      <c r="T988" s="49">
        <f>IFERROR(__xludf.DUMMYFUNCTION("""COMPUTED_VALUE"""),2.0)</f>
        <v>2</v>
      </c>
      <c r="U988" s="50"/>
      <c r="V988" s="38"/>
      <c r="W988" s="45" t="str">
        <f>IFERROR(__xludf.DUMMYFUNCTION("""COMPUTED_VALUE"""),"")</f>
        <v/>
      </c>
      <c r="X988" s="46" t="str">
        <f>IFERROR(__xludf.DUMMYFUNCTION("""COMPUTED_VALUE"""),"AP")</f>
        <v>AP</v>
      </c>
      <c r="Y988" s="47" t="str">
        <f>IFERROR(__xludf.DUMMYFUNCTION("""COMPUTED_VALUE"""),"")</f>
        <v/>
      </c>
      <c r="Z988" s="48" t="str">
        <f>IFERROR(__xludf.DUMMYFUNCTION("""COMPUTED_VALUE"""),"%")</f>
        <v>%</v>
      </c>
      <c r="AA988" s="49">
        <f>IFERROR(__xludf.DUMMYFUNCTION("""COMPUTED_VALUE"""),3.0)</f>
        <v>3</v>
      </c>
      <c r="AB988" s="50"/>
      <c r="AC988" s="38"/>
      <c r="AD988" s="45" t="str">
        <f>IFERROR(__xludf.DUMMYFUNCTION("""COMPUTED_VALUE"""),"")</f>
        <v/>
      </c>
      <c r="AE988" s="46" t="str">
        <f>IFERROR(__xludf.DUMMYFUNCTION("""COMPUTED_VALUE"""),"AP")</f>
        <v>AP</v>
      </c>
      <c r="AF988" s="47" t="str">
        <f>IFERROR(__xludf.DUMMYFUNCTION("""COMPUTED_VALUE"""),"")</f>
        <v/>
      </c>
      <c r="AG988" s="48" t="str">
        <f>IFERROR(__xludf.DUMMYFUNCTION("""COMPUTED_VALUE"""),"%")</f>
        <v>%</v>
      </c>
      <c r="AH988" s="43"/>
      <c r="AI988" s="44"/>
      <c r="AJ988" s="66"/>
    </row>
    <row r="989">
      <c r="A989" s="52"/>
      <c r="B989" s="53"/>
      <c r="C989" s="54"/>
      <c r="D989" s="56"/>
      <c r="E989" s="56"/>
      <c r="F989" s="53"/>
      <c r="G989" s="53"/>
      <c r="H989" s="53"/>
      <c r="I989" s="53"/>
      <c r="J989" s="57"/>
      <c r="K989" s="53"/>
      <c r="L989" s="57"/>
      <c r="M989" s="53"/>
      <c r="N989" s="53"/>
      <c r="O989" s="53"/>
      <c r="P989" s="53"/>
      <c r="Q989" s="57"/>
      <c r="R989" s="53"/>
      <c r="S989" s="57"/>
      <c r="T989" s="53"/>
      <c r="U989" s="53"/>
      <c r="V989" s="53"/>
      <c r="W989" s="53"/>
      <c r="X989" s="57"/>
      <c r="Y989" s="53"/>
      <c r="Z989" s="57"/>
      <c r="AA989" s="53"/>
      <c r="AB989" s="53"/>
      <c r="AC989" s="53"/>
      <c r="AD989" s="53"/>
      <c r="AE989" s="57"/>
      <c r="AF989" s="53"/>
      <c r="AG989" s="57"/>
      <c r="AH989" s="53"/>
      <c r="AI989" s="53"/>
      <c r="AJ989" s="56"/>
    </row>
    <row r="990">
      <c r="A990" s="59"/>
      <c r="B990" s="60"/>
      <c r="C990" s="61"/>
      <c r="D990" s="63"/>
      <c r="E990" s="63"/>
      <c r="F990" s="60"/>
      <c r="G990" s="60"/>
      <c r="H990" s="60"/>
      <c r="I990" s="60"/>
      <c r="J990" s="64"/>
      <c r="K990" s="60"/>
      <c r="L990" s="64"/>
      <c r="M990" s="60"/>
      <c r="N990" s="60"/>
      <c r="O990" s="60"/>
      <c r="P990" s="60"/>
      <c r="Q990" s="64"/>
      <c r="R990" s="60"/>
      <c r="S990" s="64"/>
      <c r="T990" s="60"/>
      <c r="U990" s="60"/>
      <c r="V990" s="60"/>
      <c r="W990" s="60"/>
      <c r="X990" s="64"/>
      <c r="Y990" s="60"/>
      <c r="Z990" s="64"/>
      <c r="AA990" s="60"/>
      <c r="AB990" s="60"/>
      <c r="AC990" s="60"/>
      <c r="AD990" s="60"/>
      <c r="AE990" s="64"/>
      <c r="AF990" s="60"/>
      <c r="AG990" s="64"/>
      <c r="AH990" s="60"/>
      <c r="AI990" s="60"/>
      <c r="AJ990" s="63"/>
    </row>
    <row r="991" ht="33.0" customHeight="1">
      <c r="A991" s="20" t="str">
        <f>IFERROR(__xludf.DUMMYFUNCTION("""COMPUTED_VALUE""")," ")</f>
        <v> </v>
      </c>
      <c r="B991" s="21" t="str">
        <f>IFERROR(__xludf.DUMMYFUNCTION("""COMPUTED_VALUE"""),"A116")</f>
        <v>A116</v>
      </c>
      <c r="C991" s="20"/>
      <c r="D991" s="257" t="str">
        <f>IFERROR(__xludf.DUMMYFUNCTION("""COMPUTED_VALUE"""),"")</f>
        <v/>
      </c>
      <c r="E991" s="23" t="str">
        <f>IFERROR(__xludf.DUMMYFUNCTION("""COMPUTED_VALUE"""),"Glittering Star Shard")</f>
        <v>Glittering Star Shard</v>
      </c>
      <c r="F991" s="24"/>
      <c r="G991" s="24"/>
      <c r="H991" s="25"/>
      <c r="I991" s="25"/>
      <c r="J991" s="26"/>
      <c r="K991" s="25"/>
      <c r="L991" s="26"/>
      <c r="M991" s="25"/>
      <c r="N991" s="25"/>
      <c r="O991" s="25"/>
      <c r="P991" s="25"/>
      <c r="Q991" s="26"/>
      <c r="R991" s="25"/>
      <c r="S991" s="26"/>
      <c r="T991" s="25"/>
      <c r="U991" s="25"/>
      <c r="V991" s="25"/>
      <c r="W991" s="25"/>
      <c r="X991" s="26"/>
      <c r="Y991" s="25"/>
      <c r="Z991" s="26"/>
      <c r="AA991" s="25"/>
      <c r="AB991" s="25"/>
      <c r="AC991" s="25"/>
      <c r="AD991" s="25"/>
      <c r="AE991" s="26"/>
      <c r="AF991" s="25"/>
      <c r="AG991" s="26"/>
      <c r="AH991" s="24"/>
      <c r="AI991" s="25"/>
      <c r="AJ991" s="23"/>
    </row>
    <row r="992" ht="24.75" hidden="1" customHeight="1">
      <c r="A992" s="28">
        <f>IFERROR(__xludf.DUMMYFUNCTION("""COMPUTED_VALUE"""),1.0)</f>
        <v>1</v>
      </c>
      <c r="B992" s="28" t="str">
        <f>IFERROR(__xludf.DUMMYFUNCTION("""COMPUTED_VALUE"""),"A116")</f>
        <v>A116</v>
      </c>
      <c r="C992" s="28"/>
      <c r="D992" s="29"/>
      <c r="E992" s="67"/>
      <c r="F992" s="31"/>
      <c r="G992" s="32"/>
      <c r="H992" s="33" t="str">
        <f>IFERROR(__xludf.DUMMYFUNCTION("""COMPUTED_VALUE""")," ")</f>
        <v> </v>
      </c>
      <c r="I992" s="34"/>
      <c r="J992" s="35" t="str">
        <f>IFERROR(__xludf.DUMMYFUNCTION("""COMPUTED_VALUE"""),"AP")</f>
        <v>AP</v>
      </c>
      <c r="K992" s="34"/>
      <c r="L992" s="35" t="str">
        <f>IFERROR(__xludf.DUMMYFUNCTION("""COMPUTED_VALUE"""),"%")</f>
        <v>%</v>
      </c>
      <c r="M992" s="36">
        <f>IFERROR(__xludf.DUMMYFUNCTION("""COMPUTED_VALUE"""),1.0)</f>
        <v>1</v>
      </c>
      <c r="N992" s="37"/>
      <c r="O992" s="38"/>
      <c r="P992" s="34" t="str">
        <f>IFERROR(__xludf.DUMMYFUNCTION("""COMPUTED_VALUE"""),"")</f>
        <v/>
      </c>
      <c r="Q992" s="35" t="str">
        <f>IFERROR(__xludf.DUMMYFUNCTION("""COMPUTED_VALUE"""),"AP")</f>
        <v>AP</v>
      </c>
      <c r="R992" s="34" t="str">
        <f>IFERROR(__xludf.DUMMYFUNCTION("""COMPUTED_VALUE"""),"")</f>
        <v/>
      </c>
      <c r="S992" s="35" t="str">
        <f>IFERROR(__xludf.DUMMYFUNCTION("""COMPUTED_VALUE"""),"%")</f>
        <v>%</v>
      </c>
      <c r="T992" s="36">
        <f>IFERROR(__xludf.DUMMYFUNCTION("""COMPUTED_VALUE"""),2.0)</f>
        <v>2</v>
      </c>
      <c r="U992" s="37"/>
      <c r="V992" s="38"/>
      <c r="W992" s="34" t="str">
        <f>IFERROR(__xludf.DUMMYFUNCTION("""COMPUTED_VALUE"""),"")</f>
        <v/>
      </c>
      <c r="X992" s="35" t="str">
        <f>IFERROR(__xludf.DUMMYFUNCTION("""COMPUTED_VALUE"""),"AP")</f>
        <v>AP</v>
      </c>
      <c r="Y992" s="34" t="str">
        <f>IFERROR(__xludf.DUMMYFUNCTION("""COMPUTED_VALUE"""),"")</f>
        <v/>
      </c>
      <c r="Z992" s="35" t="str">
        <f>IFERROR(__xludf.DUMMYFUNCTION("""COMPUTED_VALUE"""),"%")</f>
        <v>%</v>
      </c>
      <c r="AA992" s="36">
        <f>IFERROR(__xludf.DUMMYFUNCTION("""COMPUTED_VALUE"""),3.0)</f>
        <v>3</v>
      </c>
      <c r="AB992" s="37"/>
      <c r="AC992" s="38"/>
      <c r="AD992" s="34" t="str">
        <f>IFERROR(__xludf.DUMMYFUNCTION("""COMPUTED_VALUE"""),"")</f>
        <v/>
      </c>
      <c r="AE992" s="35" t="str">
        <f>IFERROR(__xludf.DUMMYFUNCTION("""COMPUTED_VALUE"""),"AP")</f>
        <v>AP</v>
      </c>
      <c r="AF992" s="34" t="str">
        <f>IFERROR(__xludf.DUMMYFUNCTION("""COMPUTED_VALUE"""),"")</f>
        <v/>
      </c>
      <c r="AG992" s="35" t="str">
        <f>IFERROR(__xludf.DUMMYFUNCTION("""COMPUTED_VALUE"""),"%")</f>
        <v>%</v>
      </c>
      <c r="AH992" s="31"/>
      <c r="AI992" s="32"/>
      <c r="AJ992" s="67"/>
    </row>
    <row r="993" ht="24.75" hidden="1" customHeight="1">
      <c r="A993" s="40">
        <f>IFERROR(__xludf.DUMMYFUNCTION("""COMPUTED_VALUE"""),2.0)</f>
        <v>2</v>
      </c>
      <c r="B993" s="40" t="str">
        <f>IFERROR(__xludf.DUMMYFUNCTION("""COMPUTED_VALUE"""),"A116")</f>
        <v>A116</v>
      </c>
      <c r="C993" s="40"/>
      <c r="D993" s="41"/>
      <c r="E993" s="66"/>
      <c r="F993" s="43"/>
      <c r="G993" s="44"/>
      <c r="H993" s="33" t="str">
        <f>IFERROR(__xludf.DUMMYFUNCTION("""COMPUTED_VALUE""")," ")</f>
        <v> </v>
      </c>
      <c r="I993" s="45"/>
      <c r="J993" s="46" t="str">
        <f>IFERROR(__xludf.DUMMYFUNCTION("""COMPUTED_VALUE"""),"AP")</f>
        <v>AP</v>
      </c>
      <c r="K993" s="47"/>
      <c r="L993" s="48" t="str">
        <f>IFERROR(__xludf.DUMMYFUNCTION("""COMPUTED_VALUE"""),"%")</f>
        <v>%</v>
      </c>
      <c r="M993" s="49">
        <f>IFERROR(__xludf.DUMMYFUNCTION("""COMPUTED_VALUE"""),1.0)</f>
        <v>1</v>
      </c>
      <c r="N993" s="50"/>
      <c r="O993" s="38"/>
      <c r="P993" s="45" t="str">
        <f>IFERROR(__xludf.DUMMYFUNCTION("""COMPUTED_VALUE"""),"")</f>
        <v/>
      </c>
      <c r="Q993" s="46" t="str">
        <f>IFERROR(__xludf.DUMMYFUNCTION("""COMPUTED_VALUE"""),"AP")</f>
        <v>AP</v>
      </c>
      <c r="R993" s="47" t="str">
        <f>IFERROR(__xludf.DUMMYFUNCTION("""COMPUTED_VALUE"""),"")</f>
        <v/>
      </c>
      <c r="S993" s="48" t="str">
        <f>IFERROR(__xludf.DUMMYFUNCTION("""COMPUTED_VALUE"""),"%")</f>
        <v>%</v>
      </c>
      <c r="T993" s="49">
        <f>IFERROR(__xludf.DUMMYFUNCTION("""COMPUTED_VALUE"""),2.0)</f>
        <v>2</v>
      </c>
      <c r="U993" s="50"/>
      <c r="V993" s="38"/>
      <c r="W993" s="45" t="str">
        <f>IFERROR(__xludf.DUMMYFUNCTION("""COMPUTED_VALUE"""),"")</f>
        <v/>
      </c>
      <c r="X993" s="46" t="str">
        <f>IFERROR(__xludf.DUMMYFUNCTION("""COMPUTED_VALUE"""),"AP")</f>
        <v>AP</v>
      </c>
      <c r="Y993" s="47" t="str">
        <f>IFERROR(__xludf.DUMMYFUNCTION("""COMPUTED_VALUE"""),"")</f>
        <v/>
      </c>
      <c r="Z993" s="48" t="str">
        <f>IFERROR(__xludf.DUMMYFUNCTION("""COMPUTED_VALUE"""),"%")</f>
        <v>%</v>
      </c>
      <c r="AA993" s="49">
        <f>IFERROR(__xludf.DUMMYFUNCTION("""COMPUTED_VALUE"""),3.0)</f>
        <v>3</v>
      </c>
      <c r="AB993" s="50"/>
      <c r="AC993" s="38"/>
      <c r="AD993" s="45" t="str">
        <f>IFERROR(__xludf.DUMMYFUNCTION("""COMPUTED_VALUE"""),"")</f>
        <v/>
      </c>
      <c r="AE993" s="46" t="str">
        <f>IFERROR(__xludf.DUMMYFUNCTION("""COMPUTED_VALUE"""),"AP")</f>
        <v>AP</v>
      </c>
      <c r="AF993" s="47" t="str">
        <f>IFERROR(__xludf.DUMMYFUNCTION("""COMPUTED_VALUE"""),"")</f>
        <v/>
      </c>
      <c r="AG993" s="48" t="str">
        <f>IFERROR(__xludf.DUMMYFUNCTION("""COMPUTED_VALUE"""),"%")</f>
        <v>%</v>
      </c>
      <c r="AH993" s="43"/>
      <c r="AI993" s="44"/>
      <c r="AJ993" s="66"/>
    </row>
    <row r="994" ht="24.75" hidden="1" customHeight="1">
      <c r="A994" s="28">
        <f>IFERROR(__xludf.DUMMYFUNCTION("""COMPUTED_VALUE"""),3.0)</f>
        <v>3</v>
      </c>
      <c r="B994" s="28" t="str">
        <f>IFERROR(__xludf.DUMMYFUNCTION("""COMPUTED_VALUE"""),"A116")</f>
        <v>A116</v>
      </c>
      <c r="C994" s="28"/>
      <c r="D994" s="29"/>
      <c r="E994" s="67"/>
      <c r="F994" s="31"/>
      <c r="G994" s="32"/>
      <c r="H994" s="33" t="str">
        <f>IFERROR(__xludf.DUMMYFUNCTION("""COMPUTED_VALUE""")," ")</f>
        <v> </v>
      </c>
      <c r="I994" s="34"/>
      <c r="J994" s="35" t="str">
        <f>IFERROR(__xludf.DUMMYFUNCTION("""COMPUTED_VALUE"""),"AP")</f>
        <v>AP</v>
      </c>
      <c r="K994" s="34"/>
      <c r="L994" s="35" t="str">
        <f>IFERROR(__xludf.DUMMYFUNCTION("""COMPUTED_VALUE"""),"%")</f>
        <v>%</v>
      </c>
      <c r="M994" s="36">
        <f>IFERROR(__xludf.DUMMYFUNCTION("""COMPUTED_VALUE"""),1.0)</f>
        <v>1</v>
      </c>
      <c r="N994" s="37"/>
      <c r="O994" s="38"/>
      <c r="P994" s="34" t="str">
        <f>IFERROR(__xludf.DUMMYFUNCTION("""COMPUTED_VALUE"""),"")</f>
        <v/>
      </c>
      <c r="Q994" s="35" t="str">
        <f>IFERROR(__xludf.DUMMYFUNCTION("""COMPUTED_VALUE"""),"AP")</f>
        <v>AP</v>
      </c>
      <c r="R994" s="34" t="str">
        <f>IFERROR(__xludf.DUMMYFUNCTION("""COMPUTED_VALUE"""),"")</f>
        <v/>
      </c>
      <c r="S994" s="35" t="str">
        <f>IFERROR(__xludf.DUMMYFUNCTION("""COMPUTED_VALUE"""),"%")</f>
        <v>%</v>
      </c>
      <c r="T994" s="36">
        <f>IFERROR(__xludf.DUMMYFUNCTION("""COMPUTED_VALUE"""),2.0)</f>
        <v>2</v>
      </c>
      <c r="U994" s="37"/>
      <c r="V994" s="38"/>
      <c r="W994" s="34" t="str">
        <f>IFERROR(__xludf.DUMMYFUNCTION("""COMPUTED_VALUE"""),"")</f>
        <v/>
      </c>
      <c r="X994" s="35" t="str">
        <f>IFERROR(__xludf.DUMMYFUNCTION("""COMPUTED_VALUE"""),"AP")</f>
        <v>AP</v>
      </c>
      <c r="Y994" s="34" t="str">
        <f>IFERROR(__xludf.DUMMYFUNCTION("""COMPUTED_VALUE"""),"")</f>
        <v/>
      </c>
      <c r="Z994" s="35" t="str">
        <f>IFERROR(__xludf.DUMMYFUNCTION("""COMPUTED_VALUE"""),"%")</f>
        <v>%</v>
      </c>
      <c r="AA994" s="36">
        <f>IFERROR(__xludf.DUMMYFUNCTION("""COMPUTED_VALUE"""),3.0)</f>
        <v>3</v>
      </c>
      <c r="AB994" s="37"/>
      <c r="AC994" s="38"/>
      <c r="AD994" s="34" t="str">
        <f>IFERROR(__xludf.DUMMYFUNCTION("""COMPUTED_VALUE"""),"")</f>
        <v/>
      </c>
      <c r="AE994" s="35" t="str">
        <f>IFERROR(__xludf.DUMMYFUNCTION("""COMPUTED_VALUE"""),"AP")</f>
        <v>AP</v>
      </c>
      <c r="AF994" s="34" t="str">
        <f>IFERROR(__xludf.DUMMYFUNCTION("""COMPUTED_VALUE"""),"")</f>
        <v/>
      </c>
      <c r="AG994" s="35" t="str">
        <f>IFERROR(__xludf.DUMMYFUNCTION("""COMPUTED_VALUE"""),"%")</f>
        <v>%</v>
      </c>
      <c r="AH994" s="31"/>
      <c r="AI994" s="32"/>
      <c r="AJ994" s="67"/>
    </row>
    <row r="995" ht="24.75" hidden="1" customHeight="1">
      <c r="A995" s="40">
        <f>IFERROR(__xludf.DUMMYFUNCTION("""COMPUTED_VALUE"""),4.0)</f>
        <v>4</v>
      </c>
      <c r="B995" s="40" t="str">
        <f>IFERROR(__xludf.DUMMYFUNCTION("""COMPUTED_VALUE"""),"A116")</f>
        <v>A116</v>
      </c>
      <c r="C995" s="40"/>
      <c r="D995" s="41"/>
      <c r="E995" s="66"/>
      <c r="F995" s="43"/>
      <c r="G995" s="44"/>
      <c r="H995" s="33" t="str">
        <f>IFERROR(__xludf.DUMMYFUNCTION("""COMPUTED_VALUE""")," ")</f>
        <v> </v>
      </c>
      <c r="I995" s="45"/>
      <c r="J995" s="46" t="str">
        <f>IFERROR(__xludf.DUMMYFUNCTION("""COMPUTED_VALUE"""),"AP")</f>
        <v>AP</v>
      </c>
      <c r="K995" s="47"/>
      <c r="L995" s="48" t="str">
        <f>IFERROR(__xludf.DUMMYFUNCTION("""COMPUTED_VALUE"""),"%")</f>
        <v>%</v>
      </c>
      <c r="M995" s="49">
        <f>IFERROR(__xludf.DUMMYFUNCTION("""COMPUTED_VALUE"""),1.0)</f>
        <v>1</v>
      </c>
      <c r="N995" s="50"/>
      <c r="O995" s="38"/>
      <c r="P995" s="45" t="str">
        <f>IFERROR(__xludf.DUMMYFUNCTION("""COMPUTED_VALUE"""),"")</f>
        <v/>
      </c>
      <c r="Q995" s="46" t="str">
        <f>IFERROR(__xludf.DUMMYFUNCTION("""COMPUTED_VALUE"""),"AP")</f>
        <v>AP</v>
      </c>
      <c r="R995" s="47" t="str">
        <f>IFERROR(__xludf.DUMMYFUNCTION("""COMPUTED_VALUE"""),"")</f>
        <v/>
      </c>
      <c r="S995" s="48" t="str">
        <f>IFERROR(__xludf.DUMMYFUNCTION("""COMPUTED_VALUE"""),"%")</f>
        <v>%</v>
      </c>
      <c r="T995" s="49">
        <f>IFERROR(__xludf.DUMMYFUNCTION("""COMPUTED_VALUE"""),2.0)</f>
        <v>2</v>
      </c>
      <c r="U995" s="50"/>
      <c r="V995" s="38"/>
      <c r="W995" s="45" t="str">
        <f>IFERROR(__xludf.DUMMYFUNCTION("""COMPUTED_VALUE"""),"")</f>
        <v/>
      </c>
      <c r="X995" s="46" t="str">
        <f>IFERROR(__xludf.DUMMYFUNCTION("""COMPUTED_VALUE"""),"AP")</f>
        <v>AP</v>
      </c>
      <c r="Y995" s="47" t="str">
        <f>IFERROR(__xludf.DUMMYFUNCTION("""COMPUTED_VALUE"""),"")</f>
        <v/>
      </c>
      <c r="Z995" s="48" t="str">
        <f>IFERROR(__xludf.DUMMYFUNCTION("""COMPUTED_VALUE"""),"%")</f>
        <v>%</v>
      </c>
      <c r="AA995" s="49">
        <f>IFERROR(__xludf.DUMMYFUNCTION("""COMPUTED_VALUE"""),3.0)</f>
        <v>3</v>
      </c>
      <c r="AB995" s="50"/>
      <c r="AC995" s="38"/>
      <c r="AD995" s="45" t="str">
        <f>IFERROR(__xludf.DUMMYFUNCTION("""COMPUTED_VALUE"""),"")</f>
        <v/>
      </c>
      <c r="AE995" s="46" t="str">
        <f>IFERROR(__xludf.DUMMYFUNCTION("""COMPUTED_VALUE"""),"AP")</f>
        <v>AP</v>
      </c>
      <c r="AF995" s="47" t="str">
        <f>IFERROR(__xludf.DUMMYFUNCTION("""COMPUTED_VALUE"""),"")</f>
        <v/>
      </c>
      <c r="AG995" s="48" t="str">
        <f>IFERROR(__xludf.DUMMYFUNCTION("""COMPUTED_VALUE"""),"%")</f>
        <v>%</v>
      </c>
      <c r="AH995" s="43"/>
      <c r="AI995" s="44"/>
      <c r="AJ995" s="66"/>
    </row>
    <row r="996" ht="24.75" hidden="1" customHeight="1">
      <c r="A996" s="28">
        <f>IFERROR(__xludf.DUMMYFUNCTION("""COMPUTED_VALUE"""),5.0)</f>
        <v>5</v>
      </c>
      <c r="B996" s="28" t="str">
        <f>IFERROR(__xludf.DUMMYFUNCTION("""COMPUTED_VALUE"""),"A116")</f>
        <v>A116</v>
      </c>
      <c r="C996" s="28"/>
      <c r="D996" s="29"/>
      <c r="E996" s="67"/>
      <c r="F996" s="31"/>
      <c r="G996" s="32"/>
      <c r="H996" s="33" t="str">
        <f>IFERROR(__xludf.DUMMYFUNCTION("""COMPUTED_VALUE""")," ")</f>
        <v> </v>
      </c>
      <c r="I996" s="34"/>
      <c r="J996" s="35" t="str">
        <f>IFERROR(__xludf.DUMMYFUNCTION("""COMPUTED_VALUE"""),"AP")</f>
        <v>AP</v>
      </c>
      <c r="K996" s="34"/>
      <c r="L996" s="35" t="str">
        <f>IFERROR(__xludf.DUMMYFUNCTION("""COMPUTED_VALUE"""),"%")</f>
        <v>%</v>
      </c>
      <c r="M996" s="36">
        <f>IFERROR(__xludf.DUMMYFUNCTION("""COMPUTED_VALUE"""),1.0)</f>
        <v>1</v>
      </c>
      <c r="N996" s="37"/>
      <c r="O996" s="38"/>
      <c r="P996" s="34" t="str">
        <f>IFERROR(__xludf.DUMMYFUNCTION("""COMPUTED_VALUE"""),"")</f>
        <v/>
      </c>
      <c r="Q996" s="35" t="str">
        <f>IFERROR(__xludf.DUMMYFUNCTION("""COMPUTED_VALUE"""),"AP")</f>
        <v>AP</v>
      </c>
      <c r="R996" s="34" t="str">
        <f>IFERROR(__xludf.DUMMYFUNCTION("""COMPUTED_VALUE"""),"")</f>
        <v/>
      </c>
      <c r="S996" s="35" t="str">
        <f>IFERROR(__xludf.DUMMYFUNCTION("""COMPUTED_VALUE"""),"%")</f>
        <v>%</v>
      </c>
      <c r="T996" s="36">
        <f>IFERROR(__xludf.DUMMYFUNCTION("""COMPUTED_VALUE"""),2.0)</f>
        <v>2</v>
      </c>
      <c r="U996" s="37"/>
      <c r="V996" s="38"/>
      <c r="W996" s="34" t="str">
        <f>IFERROR(__xludf.DUMMYFUNCTION("""COMPUTED_VALUE"""),"")</f>
        <v/>
      </c>
      <c r="X996" s="35" t="str">
        <f>IFERROR(__xludf.DUMMYFUNCTION("""COMPUTED_VALUE"""),"AP")</f>
        <v>AP</v>
      </c>
      <c r="Y996" s="34" t="str">
        <f>IFERROR(__xludf.DUMMYFUNCTION("""COMPUTED_VALUE"""),"")</f>
        <v/>
      </c>
      <c r="Z996" s="35" t="str">
        <f>IFERROR(__xludf.DUMMYFUNCTION("""COMPUTED_VALUE"""),"%")</f>
        <v>%</v>
      </c>
      <c r="AA996" s="36">
        <f>IFERROR(__xludf.DUMMYFUNCTION("""COMPUTED_VALUE"""),3.0)</f>
        <v>3</v>
      </c>
      <c r="AB996" s="37"/>
      <c r="AC996" s="38"/>
      <c r="AD996" s="34" t="str">
        <f>IFERROR(__xludf.DUMMYFUNCTION("""COMPUTED_VALUE"""),"")</f>
        <v/>
      </c>
      <c r="AE996" s="35" t="str">
        <f>IFERROR(__xludf.DUMMYFUNCTION("""COMPUTED_VALUE"""),"AP")</f>
        <v>AP</v>
      </c>
      <c r="AF996" s="34" t="str">
        <f>IFERROR(__xludf.DUMMYFUNCTION("""COMPUTED_VALUE"""),"")</f>
        <v/>
      </c>
      <c r="AG996" s="35" t="str">
        <f>IFERROR(__xludf.DUMMYFUNCTION("""COMPUTED_VALUE"""),"%")</f>
        <v>%</v>
      </c>
      <c r="AH996" s="31"/>
      <c r="AI996" s="32"/>
      <c r="AJ996" s="67"/>
    </row>
    <row r="997" ht="24.75" hidden="1" customHeight="1">
      <c r="A997" s="40">
        <f>IFERROR(__xludf.DUMMYFUNCTION("""COMPUTED_VALUE"""),6.0)</f>
        <v>6</v>
      </c>
      <c r="B997" s="40" t="str">
        <f>IFERROR(__xludf.DUMMYFUNCTION("""COMPUTED_VALUE"""),"A116")</f>
        <v>A116</v>
      </c>
      <c r="C997" s="40"/>
      <c r="D997" s="41"/>
      <c r="E997" s="66"/>
      <c r="F997" s="43"/>
      <c r="G997" s="44"/>
      <c r="H997" s="33" t="str">
        <f>IFERROR(__xludf.DUMMYFUNCTION("""COMPUTED_VALUE""")," ")</f>
        <v> </v>
      </c>
      <c r="I997" s="45"/>
      <c r="J997" s="46" t="str">
        <f>IFERROR(__xludf.DUMMYFUNCTION("""COMPUTED_VALUE"""),"AP")</f>
        <v>AP</v>
      </c>
      <c r="K997" s="47"/>
      <c r="L997" s="48" t="str">
        <f>IFERROR(__xludf.DUMMYFUNCTION("""COMPUTED_VALUE"""),"%")</f>
        <v>%</v>
      </c>
      <c r="M997" s="49">
        <f>IFERROR(__xludf.DUMMYFUNCTION("""COMPUTED_VALUE"""),1.0)</f>
        <v>1</v>
      </c>
      <c r="N997" s="50"/>
      <c r="O997" s="38"/>
      <c r="P997" s="45" t="str">
        <f>IFERROR(__xludf.DUMMYFUNCTION("""COMPUTED_VALUE"""),"")</f>
        <v/>
      </c>
      <c r="Q997" s="46" t="str">
        <f>IFERROR(__xludf.DUMMYFUNCTION("""COMPUTED_VALUE"""),"AP")</f>
        <v>AP</v>
      </c>
      <c r="R997" s="47" t="str">
        <f>IFERROR(__xludf.DUMMYFUNCTION("""COMPUTED_VALUE"""),"")</f>
        <v/>
      </c>
      <c r="S997" s="48" t="str">
        <f>IFERROR(__xludf.DUMMYFUNCTION("""COMPUTED_VALUE"""),"%")</f>
        <v>%</v>
      </c>
      <c r="T997" s="49">
        <f>IFERROR(__xludf.DUMMYFUNCTION("""COMPUTED_VALUE"""),2.0)</f>
        <v>2</v>
      </c>
      <c r="U997" s="50"/>
      <c r="V997" s="38"/>
      <c r="W997" s="45" t="str">
        <f>IFERROR(__xludf.DUMMYFUNCTION("""COMPUTED_VALUE"""),"")</f>
        <v/>
      </c>
      <c r="X997" s="46" t="str">
        <f>IFERROR(__xludf.DUMMYFUNCTION("""COMPUTED_VALUE"""),"AP")</f>
        <v>AP</v>
      </c>
      <c r="Y997" s="47" t="str">
        <f>IFERROR(__xludf.DUMMYFUNCTION("""COMPUTED_VALUE"""),"")</f>
        <v/>
      </c>
      <c r="Z997" s="48" t="str">
        <f>IFERROR(__xludf.DUMMYFUNCTION("""COMPUTED_VALUE"""),"%")</f>
        <v>%</v>
      </c>
      <c r="AA997" s="49">
        <f>IFERROR(__xludf.DUMMYFUNCTION("""COMPUTED_VALUE"""),3.0)</f>
        <v>3</v>
      </c>
      <c r="AB997" s="50"/>
      <c r="AC997" s="38"/>
      <c r="AD997" s="45" t="str">
        <f>IFERROR(__xludf.DUMMYFUNCTION("""COMPUTED_VALUE"""),"")</f>
        <v/>
      </c>
      <c r="AE997" s="46" t="str">
        <f>IFERROR(__xludf.DUMMYFUNCTION("""COMPUTED_VALUE"""),"AP")</f>
        <v>AP</v>
      </c>
      <c r="AF997" s="47" t="str">
        <f>IFERROR(__xludf.DUMMYFUNCTION("""COMPUTED_VALUE"""),"")</f>
        <v/>
      </c>
      <c r="AG997" s="48" t="str">
        <f>IFERROR(__xludf.DUMMYFUNCTION("""COMPUTED_VALUE"""),"%")</f>
        <v>%</v>
      </c>
      <c r="AH997" s="43"/>
      <c r="AI997" s="44"/>
      <c r="AJ997" s="66"/>
    </row>
    <row r="998" ht="24.75" hidden="1" customHeight="1">
      <c r="A998" s="28">
        <f>IFERROR(__xludf.DUMMYFUNCTION("""COMPUTED_VALUE"""),7.0)</f>
        <v>7</v>
      </c>
      <c r="B998" s="28" t="str">
        <f>IFERROR(__xludf.DUMMYFUNCTION("""COMPUTED_VALUE"""),"A116")</f>
        <v>A116</v>
      </c>
      <c r="C998" s="28"/>
      <c r="D998" s="29"/>
      <c r="E998" s="67"/>
      <c r="F998" s="31"/>
      <c r="G998" s="32"/>
      <c r="H998" s="33" t="str">
        <f>IFERROR(__xludf.DUMMYFUNCTION("""COMPUTED_VALUE""")," ")</f>
        <v> </v>
      </c>
      <c r="I998" s="34"/>
      <c r="J998" s="35" t="str">
        <f>IFERROR(__xludf.DUMMYFUNCTION("""COMPUTED_VALUE"""),"AP")</f>
        <v>AP</v>
      </c>
      <c r="K998" s="34"/>
      <c r="L998" s="35" t="str">
        <f>IFERROR(__xludf.DUMMYFUNCTION("""COMPUTED_VALUE"""),"%")</f>
        <v>%</v>
      </c>
      <c r="M998" s="36">
        <f>IFERROR(__xludf.DUMMYFUNCTION("""COMPUTED_VALUE"""),1.0)</f>
        <v>1</v>
      </c>
      <c r="N998" s="37"/>
      <c r="O998" s="38"/>
      <c r="P998" s="34" t="str">
        <f>IFERROR(__xludf.DUMMYFUNCTION("""COMPUTED_VALUE"""),"")</f>
        <v/>
      </c>
      <c r="Q998" s="35" t="str">
        <f>IFERROR(__xludf.DUMMYFUNCTION("""COMPUTED_VALUE"""),"AP")</f>
        <v>AP</v>
      </c>
      <c r="R998" s="34" t="str">
        <f>IFERROR(__xludf.DUMMYFUNCTION("""COMPUTED_VALUE"""),"")</f>
        <v/>
      </c>
      <c r="S998" s="35" t="str">
        <f>IFERROR(__xludf.DUMMYFUNCTION("""COMPUTED_VALUE"""),"%")</f>
        <v>%</v>
      </c>
      <c r="T998" s="36">
        <f>IFERROR(__xludf.DUMMYFUNCTION("""COMPUTED_VALUE"""),2.0)</f>
        <v>2</v>
      </c>
      <c r="U998" s="37"/>
      <c r="V998" s="38"/>
      <c r="W998" s="34" t="str">
        <f>IFERROR(__xludf.DUMMYFUNCTION("""COMPUTED_VALUE"""),"")</f>
        <v/>
      </c>
      <c r="X998" s="35" t="str">
        <f>IFERROR(__xludf.DUMMYFUNCTION("""COMPUTED_VALUE"""),"AP")</f>
        <v>AP</v>
      </c>
      <c r="Y998" s="34" t="str">
        <f>IFERROR(__xludf.DUMMYFUNCTION("""COMPUTED_VALUE"""),"")</f>
        <v/>
      </c>
      <c r="Z998" s="35" t="str">
        <f>IFERROR(__xludf.DUMMYFUNCTION("""COMPUTED_VALUE"""),"%")</f>
        <v>%</v>
      </c>
      <c r="AA998" s="36">
        <f>IFERROR(__xludf.DUMMYFUNCTION("""COMPUTED_VALUE"""),3.0)</f>
        <v>3</v>
      </c>
      <c r="AB998" s="37"/>
      <c r="AC998" s="38"/>
      <c r="AD998" s="34" t="str">
        <f>IFERROR(__xludf.DUMMYFUNCTION("""COMPUTED_VALUE"""),"")</f>
        <v/>
      </c>
      <c r="AE998" s="35" t="str">
        <f>IFERROR(__xludf.DUMMYFUNCTION("""COMPUTED_VALUE"""),"AP")</f>
        <v>AP</v>
      </c>
      <c r="AF998" s="34" t="str">
        <f>IFERROR(__xludf.DUMMYFUNCTION("""COMPUTED_VALUE"""),"")</f>
        <v/>
      </c>
      <c r="AG998" s="35" t="str">
        <f>IFERROR(__xludf.DUMMYFUNCTION("""COMPUTED_VALUE"""),"%")</f>
        <v>%</v>
      </c>
      <c r="AH998" s="31"/>
      <c r="AI998" s="32"/>
      <c r="AJ998" s="67"/>
    </row>
    <row r="999" ht="24.75" hidden="1" customHeight="1">
      <c r="A999" s="40">
        <f>IFERROR(__xludf.DUMMYFUNCTION("""COMPUTED_VALUE"""),8.0)</f>
        <v>8</v>
      </c>
      <c r="B999" s="40" t="str">
        <f>IFERROR(__xludf.DUMMYFUNCTION("""COMPUTED_VALUE"""),"A116")</f>
        <v>A116</v>
      </c>
      <c r="C999" s="40"/>
      <c r="D999" s="41"/>
      <c r="E999" s="66"/>
      <c r="F999" s="43"/>
      <c r="G999" s="44"/>
      <c r="H999" s="33" t="str">
        <f>IFERROR(__xludf.DUMMYFUNCTION("""COMPUTED_VALUE""")," ")</f>
        <v> </v>
      </c>
      <c r="I999" s="45"/>
      <c r="J999" s="46" t="str">
        <f>IFERROR(__xludf.DUMMYFUNCTION("""COMPUTED_VALUE"""),"AP")</f>
        <v>AP</v>
      </c>
      <c r="K999" s="47"/>
      <c r="L999" s="48" t="str">
        <f>IFERROR(__xludf.DUMMYFUNCTION("""COMPUTED_VALUE"""),"%")</f>
        <v>%</v>
      </c>
      <c r="M999" s="49">
        <f>IFERROR(__xludf.DUMMYFUNCTION("""COMPUTED_VALUE"""),1.0)</f>
        <v>1</v>
      </c>
      <c r="N999" s="50"/>
      <c r="O999" s="38"/>
      <c r="P999" s="45" t="str">
        <f>IFERROR(__xludf.DUMMYFUNCTION("""COMPUTED_VALUE"""),"")</f>
        <v/>
      </c>
      <c r="Q999" s="46" t="str">
        <f>IFERROR(__xludf.DUMMYFUNCTION("""COMPUTED_VALUE"""),"AP")</f>
        <v>AP</v>
      </c>
      <c r="R999" s="47" t="str">
        <f>IFERROR(__xludf.DUMMYFUNCTION("""COMPUTED_VALUE"""),"")</f>
        <v/>
      </c>
      <c r="S999" s="48" t="str">
        <f>IFERROR(__xludf.DUMMYFUNCTION("""COMPUTED_VALUE"""),"%")</f>
        <v>%</v>
      </c>
      <c r="T999" s="49">
        <f>IFERROR(__xludf.DUMMYFUNCTION("""COMPUTED_VALUE"""),2.0)</f>
        <v>2</v>
      </c>
      <c r="U999" s="50"/>
      <c r="V999" s="38"/>
      <c r="W999" s="45" t="str">
        <f>IFERROR(__xludf.DUMMYFUNCTION("""COMPUTED_VALUE"""),"")</f>
        <v/>
      </c>
      <c r="X999" s="46" t="str">
        <f>IFERROR(__xludf.DUMMYFUNCTION("""COMPUTED_VALUE"""),"AP")</f>
        <v>AP</v>
      </c>
      <c r="Y999" s="47" t="str">
        <f>IFERROR(__xludf.DUMMYFUNCTION("""COMPUTED_VALUE"""),"")</f>
        <v/>
      </c>
      <c r="Z999" s="48" t="str">
        <f>IFERROR(__xludf.DUMMYFUNCTION("""COMPUTED_VALUE"""),"%")</f>
        <v>%</v>
      </c>
      <c r="AA999" s="49">
        <f>IFERROR(__xludf.DUMMYFUNCTION("""COMPUTED_VALUE"""),3.0)</f>
        <v>3</v>
      </c>
      <c r="AB999" s="50"/>
      <c r="AC999" s="38"/>
      <c r="AD999" s="45" t="str">
        <f>IFERROR(__xludf.DUMMYFUNCTION("""COMPUTED_VALUE"""),"")</f>
        <v/>
      </c>
      <c r="AE999" s="46" t="str">
        <f>IFERROR(__xludf.DUMMYFUNCTION("""COMPUTED_VALUE"""),"AP")</f>
        <v>AP</v>
      </c>
      <c r="AF999" s="47" t="str">
        <f>IFERROR(__xludf.DUMMYFUNCTION("""COMPUTED_VALUE"""),"")</f>
        <v/>
      </c>
      <c r="AG999" s="48" t="str">
        <f>IFERROR(__xludf.DUMMYFUNCTION("""COMPUTED_VALUE"""),"%")</f>
        <v>%</v>
      </c>
      <c r="AH999" s="43"/>
      <c r="AI999" s="44"/>
      <c r="AJ999" s="66"/>
    </row>
    <row r="1000" ht="24.75" hidden="1" customHeight="1">
      <c r="A1000" s="28">
        <f>IFERROR(__xludf.DUMMYFUNCTION("""COMPUTED_VALUE"""),9.0)</f>
        <v>9</v>
      </c>
      <c r="B1000" s="28" t="str">
        <f>IFERROR(__xludf.DUMMYFUNCTION("""COMPUTED_VALUE"""),"A116")</f>
        <v>A116</v>
      </c>
      <c r="C1000" s="28"/>
      <c r="D1000" s="29"/>
      <c r="E1000" s="67"/>
      <c r="F1000" s="31"/>
      <c r="G1000" s="32"/>
      <c r="H1000" s="33" t="str">
        <f>IFERROR(__xludf.DUMMYFUNCTION("""COMPUTED_VALUE""")," ")</f>
        <v> </v>
      </c>
      <c r="I1000" s="34"/>
      <c r="J1000" s="35" t="str">
        <f>IFERROR(__xludf.DUMMYFUNCTION("""COMPUTED_VALUE"""),"AP")</f>
        <v>AP</v>
      </c>
      <c r="K1000" s="34"/>
      <c r="L1000" s="35" t="str">
        <f>IFERROR(__xludf.DUMMYFUNCTION("""COMPUTED_VALUE"""),"%")</f>
        <v>%</v>
      </c>
      <c r="M1000" s="36">
        <f>IFERROR(__xludf.DUMMYFUNCTION("""COMPUTED_VALUE"""),1.0)</f>
        <v>1</v>
      </c>
      <c r="N1000" s="37"/>
      <c r="O1000" s="38"/>
      <c r="P1000" s="34" t="str">
        <f>IFERROR(__xludf.DUMMYFUNCTION("""COMPUTED_VALUE"""),"")</f>
        <v/>
      </c>
      <c r="Q1000" s="35" t="str">
        <f>IFERROR(__xludf.DUMMYFUNCTION("""COMPUTED_VALUE"""),"AP")</f>
        <v>AP</v>
      </c>
      <c r="R1000" s="34" t="str">
        <f>IFERROR(__xludf.DUMMYFUNCTION("""COMPUTED_VALUE"""),"")</f>
        <v/>
      </c>
      <c r="S1000" s="35" t="str">
        <f>IFERROR(__xludf.DUMMYFUNCTION("""COMPUTED_VALUE"""),"%")</f>
        <v>%</v>
      </c>
      <c r="T1000" s="36">
        <f>IFERROR(__xludf.DUMMYFUNCTION("""COMPUTED_VALUE"""),2.0)</f>
        <v>2</v>
      </c>
      <c r="U1000" s="37"/>
      <c r="V1000" s="38"/>
      <c r="W1000" s="34" t="str">
        <f>IFERROR(__xludf.DUMMYFUNCTION("""COMPUTED_VALUE"""),"")</f>
        <v/>
      </c>
      <c r="X1000" s="35" t="str">
        <f>IFERROR(__xludf.DUMMYFUNCTION("""COMPUTED_VALUE"""),"AP")</f>
        <v>AP</v>
      </c>
      <c r="Y1000" s="34" t="str">
        <f>IFERROR(__xludf.DUMMYFUNCTION("""COMPUTED_VALUE"""),"")</f>
        <v/>
      </c>
      <c r="Z1000" s="35" t="str">
        <f>IFERROR(__xludf.DUMMYFUNCTION("""COMPUTED_VALUE"""),"%")</f>
        <v>%</v>
      </c>
      <c r="AA1000" s="36">
        <f>IFERROR(__xludf.DUMMYFUNCTION("""COMPUTED_VALUE"""),3.0)</f>
        <v>3</v>
      </c>
      <c r="AB1000" s="37"/>
      <c r="AC1000" s="38"/>
      <c r="AD1000" s="34" t="str">
        <f>IFERROR(__xludf.DUMMYFUNCTION("""COMPUTED_VALUE"""),"")</f>
        <v/>
      </c>
      <c r="AE1000" s="35" t="str">
        <f>IFERROR(__xludf.DUMMYFUNCTION("""COMPUTED_VALUE"""),"AP")</f>
        <v>AP</v>
      </c>
      <c r="AF1000" s="34" t="str">
        <f>IFERROR(__xludf.DUMMYFUNCTION("""COMPUTED_VALUE"""),"")</f>
        <v/>
      </c>
      <c r="AG1000" s="35" t="str">
        <f>IFERROR(__xludf.DUMMYFUNCTION("""COMPUTED_VALUE"""),"%")</f>
        <v>%</v>
      </c>
      <c r="AH1000" s="31"/>
      <c r="AI1000" s="32"/>
      <c r="AJ1000" s="67"/>
    </row>
    <row r="1001" ht="24.75" hidden="1" customHeight="1">
      <c r="A1001" s="40">
        <f>IFERROR(__xludf.DUMMYFUNCTION("""COMPUTED_VALUE"""),10.0)</f>
        <v>10</v>
      </c>
      <c r="B1001" s="40" t="str">
        <f>IFERROR(__xludf.DUMMYFUNCTION("""COMPUTED_VALUE"""),"A116")</f>
        <v>A116</v>
      </c>
      <c r="C1001" s="40"/>
      <c r="D1001" s="41"/>
      <c r="E1001" s="66"/>
      <c r="F1001" s="43"/>
      <c r="G1001" s="44"/>
      <c r="H1001" s="33" t="str">
        <f>IFERROR(__xludf.DUMMYFUNCTION("""COMPUTED_VALUE""")," ")</f>
        <v> </v>
      </c>
      <c r="I1001" s="45"/>
      <c r="J1001" s="46" t="str">
        <f>IFERROR(__xludf.DUMMYFUNCTION("""COMPUTED_VALUE"""),"AP")</f>
        <v>AP</v>
      </c>
      <c r="K1001" s="47"/>
      <c r="L1001" s="48" t="str">
        <f>IFERROR(__xludf.DUMMYFUNCTION("""COMPUTED_VALUE"""),"%")</f>
        <v>%</v>
      </c>
      <c r="M1001" s="49">
        <f>IFERROR(__xludf.DUMMYFUNCTION("""COMPUTED_VALUE"""),1.0)</f>
        <v>1</v>
      </c>
      <c r="N1001" s="50"/>
      <c r="O1001" s="38"/>
      <c r="P1001" s="45" t="str">
        <f>IFERROR(__xludf.DUMMYFUNCTION("""COMPUTED_VALUE"""),"")</f>
        <v/>
      </c>
      <c r="Q1001" s="46" t="str">
        <f>IFERROR(__xludf.DUMMYFUNCTION("""COMPUTED_VALUE"""),"AP")</f>
        <v>AP</v>
      </c>
      <c r="R1001" s="47" t="str">
        <f>IFERROR(__xludf.DUMMYFUNCTION("""COMPUTED_VALUE"""),"")</f>
        <v/>
      </c>
      <c r="S1001" s="48" t="str">
        <f>IFERROR(__xludf.DUMMYFUNCTION("""COMPUTED_VALUE"""),"%")</f>
        <v>%</v>
      </c>
      <c r="T1001" s="49">
        <f>IFERROR(__xludf.DUMMYFUNCTION("""COMPUTED_VALUE"""),2.0)</f>
        <v>2</v>
      </c>
      <c r="U1001" s="50"/>
      <c r="V1001" s="38"/>
      <c r="W1001" s="45" t="str">
        <f>IFERROR(__xludf.DUMMYFUNCTION("""COMPUTED_VALUE"""),"")</f>
        <v/>
      </c>
      <c r="X1001" s="46" t="str">
        <f>IFERROR(__xludf.DUMMYFUNCTION("""COMPUTED_VALUE"""),"AP")</f>
        <v>AP</v>
      </c>
      <c r="Y1001" s="47" t="str">
        <f>IFERROR(__xludf.DUMMYFUNCTION("""COMPUTED_VALUE"""),"")</f>
        <v/>
      </c>
      <c r="Z1001" s="48" t="str">
        <f>IFERROR(__xludf.DUMMYFUNCTION("""COMPUTED_VALUE"""),"%")</f>
        <v>%</v>
      </c>
      <c r="AA1001" s="49">
        <f>IFERROR(__xludf.DUMMYFUNCTION("""COMPUTED_VALUE"""),3.0)</f>
        <v>3</v>
      </c>
      <c r="AB1001" s="50"/>
      <c r="AC1001" s="38"/>
      <c r="AD1001" s="45" t="str">
        <f>IFERROR(__xludf.DUMMYFUNCTION("""COMPUTED_VALUE"""),"")</f>
        <v/>
      </c>
      <c r="AE1001" s="46" t="str">
        <f>IFERROR(__xludf.DUMMYFUNCTION("""COMPUTED_VALUE"""),"AP")</f>
        <v>AP</v>
      </c>
      <c r="AF1001" s="47" t="str">
        <f>IFERROR(__xludf.DUMMYFUNCTION("""COMPUTED_VALUE"""),"")</f>
        <v/>
      </c>
      <c r="AG1001" s="48" t="str">
        <f>IFERROR(__xludf.DUMMYFUNCTION("""COMPUTED_VALUE"""),"%")</f>
        <v>%</v>
      </c>
      <c r="AH1001" s="43"/>
      <c r="AI1001" s="44"/>
      <c r="AJ1001" s="66"/>
    </row>
    <row r="1002" ht="24.75" hidden="1" customHeight="1">
      <c r="A1002" s="28">
        <f>IFERROR(__xludf.DUMMYFUNCTION("""COMPUTED_VALUE"""),11.0)</f>
        <v>11</v>
      </c>
      <c r="B1002" s="28" t="str">
        <f>IFERROR(__xludf.DUMMYFUNCTION("""COMPUTED_VALUE"""),"A116")</f>
        <v>A116</v>
      </c>
      <c r="C1002" s="28"/>
      <c r="D1002" s="29"/>
      <c r="E1002" s="67"/>
      <c r="F1002" s="31"/>
      <c r="G1002" s="32"/>
      <c r="H1002" s="33" t="str">
        <f>IFERROR(__xludf.DUMMYFUNCTION("""COMPUTED_VALUE""")," ")</f>
        <v> </v>
      </c>
      <c r="I1002" s="34"/>
      <c r="J1002" s="35" t="str">
        <f>IFERROR(__xludf.DUMMYFUNCTION("""COMPUTED_VALUE"""),"AP")</f>
        <v>AP</v>
      </c>
      <c r="K1002" s="34"/>
      <c r="L1002" s="35" t="str">
        <f>IFERROR(__xludf.DUMMYFUNCTION("""COMPUTED_VALUE"""),"%")</f>
        <v>%</v>
      </c>
      <c r="M1002" s="36">
        <f>IFERROR(__xludf.DUMMYFUNCTION("""COMPUTED_VALUE"""),1.0)</f>
        <v>1</v>
      </c>
      <c r="N1002" s="37"/>
      <c r="O1002" s="38"/>
      <c r="P1002" s="34" t="str">
        <f>IFERROR(__xludf.DUMMYFUNCTION("""COMPUTED_VALUE"""),"")</f>
        <v/>
      </c>
      <c r="Q1002" s="35" t="str">
        <f>IFERROR(__xludf.DUMMYFUNCTION("""COMPUTED_VALUE"""),"AP")</f>
        <v>AP</v>
      </c>
      <c r="R1002" s="34" t="str">
        <f>IFERROR(__xludf.DUMMYFUNCTION("""COMPUTED_VALUE"""),"")</f>
        <v/>
      </c>
      <c r="S1002" s="35" t="str">
        <f>IFERROR(__xludf.DUMMYFUNCTION("""COMPUTED_VALUE"""),"%")</f>
        <v>%</v>
      </c>
      <c r="T1002" s="36">
        <f>IFERROR(__xludf.DUMMYFUNCTION("""COMPUTED_VALUE"""),2.0)</f>
        <v>2</v>
      </c>
      <c r="U1002" s="37"/>
      <c r="V1002" s="38"/>
      <c r="W1002" s="34" t="str">
        <f>IFERROR(__xludf.DUMMYFUNCTION("""COMPUTED_VALUE"""),"")</f>
        <v/>
      </c>
      <c r="X1002" s="35" t="str">
        <f>IFERROR(__xludf.DUMMYFUNCTION("""COMPUTED_VALUE"""),"AP")</f>
        <v>AP</v>
      </c>
      <c r="Y1002" s="34" t="str">
        <f>IFERROR(__xludf.DUMMYFUNCTION("""COMPUTED_VALUE"""),"")</f>
        <v/>
      </c>
      <c r="Z1002" s="35" t="str">
        <f>IFERROR(__xludf.DUMMYFUNCTION("""COMPUTED_VALUE"""),"%")</f>
        <v>%</v>
      </c>
      <c r="AA1002" s="36">
        <f>IFERROR(__xludf.DUMMYFUNCTION("""COMPUTED_VALUE"""),3.0)</f>
        <v>3</v>
      </c>
      <c r="AB1002" s="37"/>
      <c r="AC1002" s="38"/>
      <c r="AD1002" s="34" t="str">
        <f>IFERROR(__xludf.DUMMYFUNCTION("""COMPUTED_VALUE"""),"")</f>
        <v/>
      </c>
      <c r="AE1002" s="35" t="str">
        <f>IFERROR(__xludf.DUMMYFUNCTION("""COMPUTED_VALUE"""),"AP")</f>
        <v>AP</v>
      </c>
      <c r="AF1002" s="34" t="str">
        <f>IFERROR(__xludf.DUMMYFUNCTION("""COMPUTED_VALUE"""),"")</f>
        <v/>
      </c>
      <c r="AG1002" s="35" t="str">
        <f>IFERROR(__xludf.DUMMYFUNCTION("""COMPUTED_VALUE"""),"%")</f>
        <v>%</v>
      </c>
      <c r="AH1002" s="31"/>
      <c r="AI1002" s="32"/>
      <c r="AJ1002" s="67"/>
    </row>
    <row r="1003" ht="24.75" hidden="1" customHeight="1">
      <c r="A1003" s="40">
        <f>IFERROR(__xludf.DUMMYFUNCTION("""COMPUTED_VALUE"""),12.0)</f>
        <v>12</v>
      </c>
      <c r="B1003" s="40" t="str">
        <f>IFERROR(__xludf.DUMMYFUNCTION("""COMPUTED_VALUE"""),"A116")</f>
        <v>A116</v>
      </c>
      <c r="C1003" s="40"/>
      <c r="D1003" s="41"/>
      <c r="E1003" s="66"/>
      <c r="F1003" s="43"/>
      <c r="G1003" s="44"/>
      <c r="H1003" s="33" t="str">
        <f>IFERROR(__xludf.DUMMYFUNCTION("""COMPUTED_VALUE""")," ")</f>
        <v> </v>
      </c>
      <c r="I1003" s="45"/>
      <c r="J1003" s="46" t="str">
        <f>IFERROR(__xludf.DUMMYFUNCTION("""COMPUTED_VALUE"""),"AP")</f>
        <v>AP</v>
      </c>
      <c r="K1003" s="47"/>
      <c r="L1003" s="48" t="str">
        <f>IFERROR(__xludf.DUMMYFUNCTION("""COMPUTED_VALUE"""),"%")</f>
        <v>%</v>
      </c>
      <c r="M1003" s="49">
        <f>IFERROR(__xludf.DUMMYFUNCTION("""COMPUTED_VALUE"""),1.0)</f>
        <v>1</v>
      </c>
      <c r="N1003" s="50"/>
      <c r="O1003" s="38"/>
      <c r="P1003" s="45" t="str">
        <f>IFERROR(__xludf.DUMMYFUNCTION("""COMPUTED_VALUE"""),"")</f>
        <v/>
      </c>
      <c r="Q1003" s="46" t="str">
        <f>IFERROR(__xludf.DUMMYFUNCTION("""COMPUTED_VALUE"""),"AP")</f>
        <v>AP</v>
      </c>
      <c r="R1003" s="47" t="str">
        <f>IFERROR(__xludf.DUMMYFUNCTION("""COMPUTED_VALUE"""),"")</f>
        <v/>
      </c>
      <c r="S1003" s="48" t="str">
        <f>IFERROR(__xludf.DUMMYFUNCTION("""COMPUTED_VALUE"""),"%")</f>
        <v>%</v>
      </c>
      <c r="T1003" s="49">
        <f>IFERROR(__xludf.DUMMYFUNCTION("""COMPUTED_VALUE"""),2.0)</f>
        <v>2</v>
      </c>
      <c r="U1003" s="50"/>
      <c r="V1003" s="38"/>
      <c r="W1003" s="45" t="str">
        <f>IFERROR(__xludf.DUMMYFUNCTION("""COMPUTED_VALUE"""),"")</f>
        <v/>
      </c>
      <c r="X1003" s="46" t="str">
        <f>IFERROR(__xludf.DUMMYFUNCTION("""COMPUTED_VALUE"""),"AP")</f>
        <v>AP</v>
      </c>
      <c r="Y1003" s="47" t="str">
        <f>IFERROR(__xludf.DUMMYFUNCTION("""COMPUTED_VALUE"""),"")</f>
        <v/>
      </c>
      <c r="Z1003" s="48" t="str">
        <f>IFERROR(__xludf.DUMMYFUNCTION("""COMPUTED_VALUE"""),"%")</f>
        <v>%</v>
      </c>
      <c r="AA1003" s="49">
        <f>IFERROR(__xludf.DUMMYFUNCTION("""COMPUTED_VALUE"""),3.0)</f>
        <v>3</v>
      </c>
      <c r="AB1003" s="50"/>
      <c r="AC1003" s="38"/>
      <c r="AD1003" s="45" t="str">
        <f>IFERROR(__xludf.DUMMYFUNCTION("""COMPUTED_VALUE"""),"")</f>
        <v/>
      </c>
      <c r="AE1003" s="46" t="str">
        <f>IFERROR(__xludf.DUMMYFUNCTION("""COMPUTED_VALUE"""),"AP")</f>
        <v>AP</v>
      </c>
      <c r="AF1003" s="47" t="str">
        <f>IFERROR(__xludf.DUMMYFUNCTION("""COMPUTED_VALUE"""),"")</f>
        <v/>
      </c>
      <c r="AG1003" s="48" t="str">
        <f>IFERROR(__xludf.DUMMYFUNCTION("""COMPUTED_VALUE"""),"%")</f>
        <v>%</v>
      </c>
      <c r="AH1003" s="43"/>
      <c r="AI1003" s="44"/>
      <c r="AJ1003" s="66"/>
    </row>
    <row r="1004" ht="24.75" hidden="1" customHeight="1">
      <c r="A1004" s="28">
        <f>IFERROR(__xludf.DUMMYFUNCTION("""COMPUTED_VALUE"""),13.0)</f>
        <v>13</v>
      </c>
      <c r="B1004" s="28" t="str">
        <f>IFERROR(__xludf.DUMMYFUNCTION("""COMPUTED_VALUE"""),"A116")</f>
        <v>A116</v>
      </c>
      <c r="C1004" s="28"/>
      <c r="D1004" s="29"/>
      <c r="E1004" s="67"/>
      <c r="F1004" s="31"/>
      <c r="G1004" s="32"/>
      <c r="H1004" s="33" t="str">
        <f>IFERROR(__xludf.DUMMYFUNCTION("""COMPUTED_VALUE""")," ")</f>
        <v> </v>
      </c>
      <c r="I1004" s="34"/>
      <c r="J1004" s="35" t="str">
        <f>IFERROR(__xludf.DUMMYFUNCTION("""COMPUTED_VALUE"""),"AP")</f>
        <v>AP</v>
      </c>
      <c r="K1004" s="34"/>
      <c r="L1004" s="35" t="str">
        <f>IFERROR(__xludf.DUMMYFUNCTION("""COMPUTED_VALUE"""),"%")</f>
        <v>%</v>
      </c>
      <c r="M1004" s="36">
        <f>IFERROR(__xludf.DUMMYFUNCTION("""COMPUTED_VALUE"""),1.0)</f>
        <v>1</v>
      </c>
      <c r="N1004" s="37"/>
      <c r="O1004" s="38"/>
      <c r="P1004" s="34" t="str">
        <f>IFERROR(__xludf.DUMMYFUNCTION("""COMPUTED_VALUE"""),"")</f>
        <v/>
      </c>
      <c r="Q1004" s="35" t="str">
        <f>IFERROR(__xludf.DUMMYFUNCTION("""COMPUTED_VALUE"""),"AP")</f>
        <v>AP</v>
      </c>
      <c r="R1004" s="34" t="str">
        <f>IFERROR(__xludf.DUMMYFUNCTION("""COMPUTED_VALUE"""),"")</f>
        <v/>
      </c>
      <c r="S1004" s="35" t="str">
        <f>IFERROR(__xludf.DUMMYFUNCTION("""COMPUTED_VALUE"""),"%")</f>
        <v>%</v>
      </c>
      <c r="T1004" s="36">
        <f>IFERROR(__xludf.DUMMYFUNCTION("""COMPUTED_VALUE"""),2.0)</f>
        <v>2</v>
      </c>
      <c r="U1004" s="37"/>
      <c r="V1004" s="38"/>
      <c r="W1004" s="34" t="str">
        <f>IFERROR(__xludf.DUMMYFUNCTION("""COMPUTED_VALUE"""),"")</f>
        <v/>
      </c>
      <c r="X1004" s="35" t="str">
        <f>IFERROR(__xludf.DUMMYFUNCTION("""COMPUTED_VALUE"""),"AP")</f>
        <v>AP</v>
      </c>
      <c r="Y1004" s="34" t="str">
        <f>IFERROR(__xludf.DUMMYFUNCTION("""COMPUTED_VALUE"""),"")</f>
        <v/>
      </c>
      <c r="Z1004" s="35" t="str">
        <f>IFERROR(__xludf.DUMMYFUNCTION("""COMPUTED_VALUE"""),"%")</f>
        <v>%</v>
      </c>
      <c r="AA1004" s="36">
        <f>IFERROR(__xludf.DUMMYFUNCTION("""COMPUTED_VALUE"""),3.0)</f>
        <v>3</v>
      </c>
      <c r="AB1004" s="37"/>
      <c r="AC1004" s="38"/>
      <c r="AD1004" s="34" t="str">
        <f>IFERROR(__xludf.DUMMYFUNCTION("""COMPUTED_VALUE"""),"")</f>
        <v/>
      </c>
      <c r="AE1004" s="35" t="str">
        <f>IFERROR(__xludf.DUMMYFUNCTION("""COMPUTED_VALUE"""),"AP")</f>
        <v>AP</v>
      </c>
      <c r="AF1004" s="34" t="str">
        <f>IFERROR(__xludf.DUMMYFUNCTION("""COMPUTED_VALUE"""),"")</f>
        <v/>
      </c>
      <c r="AG1004" s="35" t="str">
        <f>IFERROR(__xludf.DUMMYFUNCTION("""COMPUTED_VALUE"""),"%")</f>
        <v>%</v>
      </c>
      <c r="AH1004" s="31"/>
      <c r="AI1004" s="32"/>
      <c r="AJ1004" s="67"/>
    </row>
    <row r="1005" ht="24.75" hidden="1" customHeight="1">
      <c r="A1005" s="40">
        <f>IFERROR(__xludf.DUMMYFUNCTION("""COMPUTED_VALUE"""),14.0)</f>
        <v>14</v>
      </c>
      <c r="B1005" s="40" t="str">
        <f>IFERROR(__xludf.DUMMYFUNCTION("""COMPUTED_VALUE"""),"A116")</f>
        <v>A116</v>
      </c>
      <c r="C1005" s="40"/>
      <c r="D1005" s="41"/>
      <c r="E1005" s="66"/>
      <c r="F1005" s="43"/>
      <c r="G1005" s="44"/>
      <c r="H1005" s="33" t="str">
        <f>IFERROR(__xludf.DUMMYFUNCTION("""COMPUTED_VALUE""")," ")</f>
        <v> </v>
      </c>
      <c r="I1005" s="45"/>
      <c r="J1005" s="46" t="str">
        <f>IFERROR(__xludf.DUMMYFUNCTION("""COMPUTED_VALUE"""),"AP")</f>
        <v>AP</v>
      </c>
      <c r="K1005" s="47"/>
      <c r="L1005" s="48" t="str">
        <f>IFERROR(__xludf.DUMMYFUNCTION("""COMPUTED_VALUE"""),"%")</f>
        <v>%</v>
      </c>
      <c r="M1005" s="49">
        <f>IFERROR(__xludf.DUMMYFUNCTION("""COMPUTED_VALUE"""),1.0)</f>
        <v>1</v>
      </c>
      <c r="N1005" s="50"/>
      <c r="O1005" s="38"/>
      <c r="P1005" s="45" t="str">
        <f>IFERROR(__xludf.DUMMYFUNCTION("""COMPUTED_VALUE"""),"")</f>
        <v/>
      </c>
      <c r="Q1005" s="46" t="str">
        <f>IFERROR(__xludf.DUMMYFUNCTION("""COMPUTED_VALUE"""),"AP")</f>
        <v>AP</v>
      </c>
      <c r="R1005" s="47" t="str">
        <f>IFERROR(__xludf.DUMMYFUNCTION("""COMPUTED_VALUE"""),"")</f>
        <v/>
      </c>
      <c r="S1005" s="48" t="str">
        <f>IFERROR(__xludf.DUMMYFUNCTION("""COMPUTED_VALUE"""),"%")</f>
        <v>%</v>
      </c>
      <c r="T1005" s="49">
        <f>IFERROR(__xludf.DUMMYFUNCTION("""COMPUTED_VALUE"""),2.0)</f>
        <v>2</v>
      </c>
      <c r="U1005" s="50"/>
      <c r="V1005" s="38"/>
      <c r="W1005" s="45" t="str">
        <f>IFERROR(__xludf.DUMMYFUNCTION("""COMPUTED_VALUE"""),"")</f>
        <v/>
      </c>
      <c r="X1005" s="46" t="str">
        <f>IFERROR(__xludf.DUMMYFUNCTION("""COMPUTED_VALUE"""),"AP")</f>
        <v>AP</v>
      </c>
      <c r="Y1005" s="47" t="str">
        <f>IFERROR(__xludf.DUMMYFUNCTION("""COMPUTED_VALUE"""),"")</f>
        <v/>
      </c>
      <c r="Z1005" s="48" t="str">
        <f>IFERROR(__xludf.DUMMYFUNCTION("""COMPUTED_VALUE"""),"%")</f>
        <v>%</v>
      </c>
      <c r="AA1005" s="49">
        <f>IFERROR(__xludf.DUMMYFUNCTION("""COMPUTED_VALUE"""),3.0)</f>
        <v>3</v>
      </c>
      <c r="AB1005" s="50"/>
      <c r="AC1005" s="38"/>
      <c r="AD1005" s="45" t="str">
        <f>IFERROR(__xludf.DUMMYFUNCTION("""COMPUTED_VALUE"""),"")</f>
        <v/>
      </c>
      <c r="AE1005" s="46" t="str">
        <f>IFERROR(__xludf.DUMMYFUNCTION("""COMPUTED_VALUE"""),"AP")</f>
        <v>AP</v>
      </c>
      <c r="AF1005" s="47" t="str">
        <f>IFERROR(__xludf.DUMMYFUNCTION("""COMPUTED_VALUE"""),"")</f>
        <v/>
      </c>
      <c r="AG1005" s="48" t="str">
        <f>IFERROR(__xludf.DUMMYFUNCTION("""COMPUTED_VALUE"""),"%")</f>
        <v>%</v>
      </c>
      <c r="AH1005" s="43"/>
      <c r="AI1005" s="44"/>
      <c r="AJ1005" s="66"/>
    </row>
    <row r="1006" ht="24.75" hidden="1" customHeight="1">
      <c r="A1006" s="28">
        <f>IFERROR(__xludf.DUMMYFUNCTION("""COMPUTED_VALUE"""),15.0)</f>
        <v>15</v>
      </c>
      <c r="B1006" s="28" t="str">
        <f>IFERROR(__xludf.DUMMYFUNCTION("""COMPUTED_VALUE"""),"A116")</f>
        <v>A116</v>
      </c>
      <c r="C1006" s="28"/>
      <c r="D1006" s="29"/>
      <c r="E1006" s="67"/>
      <c r="F1006" s="31"/>
      <c r="G1006" s="32"/>
      <c r="H1006" s="33" t="str">
        <f>IFERROR(__xludf.DUMMYFUNCTION("""COMPUTED_VALUE""")," ")</f>
        <v> </v>
      </c>
      <c r="I1006" s="34"/>
      <c r="J1006" s="35" t="str">
        <f>IFERROR(__xludf.DUMMYFUNCTION("""COMPUTED_VALUE"""),"AP")</f>
        <v>AP</v>
      </c>
      <c r="K1006" s="34"/>
      <c r="L1006" s="35" t="str">
        <f>IFERROR(__xludf.DUMMYFUNCTION("""COMPUTED_VALUE"""),"%")</f>
        <v>%</v>
      </c>
      <c r="M1006" s="36">
        <f>IFERROR(__xludf.DUMMYFUNCTION("""COMPUTED_VALUE"""),1.0)</f>
        <v>1</v>
      </c>
      <c r="N1006" s="37"/>
      <c r="O1006" s="38"/>
      <c r="P1006" s="34" t="str">
        <f>IFERROR(__xludf.DUMMYFUNCTION("""COMPUTED_VALUE"""),"")</f>
        <v/>
      </c>
      <c r="Q1006" s="35" t="str">
        <f>IFERROR(__xludf.DUMMYFUNCTION("""COMPUTED_VALUE"""),"AP")</f>
        <v>AP</v>
      </c>
      <c r="R1006" s="34" t="str">
        <f>IFERROR(__xludf.DUMMYFUNCTION("""COMPUTED_VALUE"""),"")</f>
        <v/>
      </c>
      <c r="S1006" s="35" t="str">
        <f>IFERROR(__xludf.DUMMYFUNCTION("""COMPUTED_VALUE"""),"%")</f>
        <v>%</v>
      </c>
      <c r="T1006" s="36">
        <f>IFERROR(__xludf.DUMMYFUNCTION("""COMPUTED_VALUE"""),2.0)</f>
        <v>2</v>
      </c>
      <c r="U1006" s="37"/>
      <c r="V1006" s="38"/>
      <c r="W1006" s="34" t="str">
        <f>IFERROR(__xludf.DUMMYFUNCTION("""COMPUTED_VALUE"""),"")</f>
        <v/>
      </c>
      <c r="X1006" s="35" t="str">
        <f>IFERROR(__xludf.DUMMYFUNCTION("""COMPUTED_VALUE"""),"AP")</f>
        <v>AP</v>
      </c>
      <c r="Y1006" s="34" t="str">
        <f>IFERROR(__xludf.DUMMYFUNCTION("""COMPUTED_VALUE"""),"")</f>
        <v/>
      </c>
      <c r="Z1006" s="35" t="str">
        <f>IFERROR(__xludf.DUMMYFUNCTION("""COMPUTED_VALUE"""),"%")</f>
        <v>%</v>
      </c>
      <c r="AA1006" s="36">
        <f>IFERROR(__xludf.DUMMYFUNCTION("""COMPUTED_VALUE"""),3.0)</f>
        <v>3</v>
      </c>
      <c r="AB1006" s="37"/>
      <c r="AC1006" s="38"/>
      <c r="AD1006" s="34" t="str">
        <f>IFERROR(__xludf.DUMMYFUNCTION("""COMPUTED_VALUE"""),"")</f>
        <v/>
      </c>
      <c r="AE1006" s="35" t="str">
        <f>IFERROR(__xludf.DUMMYFUNCTION("""COMPUTED_VALUE"""),"AP")</f>
        <v>AP</v>
      </c>
      <c r="AF1006" s="34" t="str">
        <f>IFERROR(__xludf.DUMMYFUNCTION("""COMPUTED_VALUE"""),"")</f>
        <v/>
      </c>
      <c r="AG1006" s="35" t="str">
        <f>IFERROR(__xludf.DUMMYFUNCTION("""COMPUTED_VALUE"""),"%")</f>
        <v>%</v>
      </c>
      <c r="AH1006" s="31"/>
      <c r="AI1006" s="32"/>
      <c r="AJ1006" s="67"/>
    </row>
    <row r="1007" ht="24.75" hidden="1" customHeight="1">
      <c r="A1007" s="40">
        <f>IFERROR(__xludf.DUMMYFUNCTION("""COMPUTED_VALUE"""),16.0)</f>
        <v>16</v>
      </c>
      <c r="B1007" s="40" t="str">
        <f>IFERROR(__xludf.DUMMYFUNCTION("""COMPUTED_VALUE"""),"A116")</f>
        <v>A116</v>
      </c>
      <c r="C1007" s="40"/>
      <c r="D1007" s="41"/>
      <c r="E1007" s="66"/>
      <c r="F1007" s="43"/>
      <c r="G1007" s="44"/>
      <c r="H1007" s="33" t="str">
        <f>IFERROR(__xludf.DUMMYFUNCTION("""COMPUTED_VALUE""")," ")</f>
        <v> </v>
      </c>
      <c r="I1007" s="45"/>
      <c r="J1007" s="46" t="str">
        <f>IFERROR(__xludf.DUMMYFUNCTION("""COMPUTED_VALUE"""),"AP")</f>
        <v>AP</v>
      </c>
      <c r="K1007" s="47"/>
      <c r="L1007" s="48" t="str">
        <f>IFERROR(__xludf.DUMMYFUNCTION("""COMPUTED_VALUE"""),"%")</f>
        <v>%</v>
      </c>
      <c r="M1007" s="49">
        <f>IFERROR(__xludf.DUMMYFUNCTION("""COMPUTED_VALUE"""),1.0)</f>
        <v>1</v>
      </c>
      <c r="N1007" s="50"/>
      <c r="O1007" s="38"/>
      <c r="P1007" s="45" t="str">
        <f>IFERROR(__xludf.DUMMYFUNCTION("""COMPUTED_VALUE"""),"")</f>
        <v/>
      </c>
      <c r="Q1007" s="46" t="str">
        <f>IFERROR(__xludf.DUMMYFUNCTION("""COMPUTED_VALUE"""),"AP")</f>
        <v>AP</v>
      </c>
      <c r="R1007" s="47" t="str">
        <f>IFERROR(__xludf.DUMMYFUNCTION("""COMPUTED_VALUE"""),"")</f>
        <v/>
      </c>
      <c r="S1007" s="48" t="str">
        <f>IFERROR(__xludf.DUMMYFUNCTION("""COMPUTED_VALUE"""),"%")</f>
        <v>%</v>
      </c>
      <c r="T1007" s="49">
        <f>IFERROR(__xludf.DUMMYFUNCTION("""COMPUTED_VALUE"""),2.0)</f>
        <v>2</v>
      </c>
      <c r="U1007" s="50"/>
      <c r="V1007" s="38"/>
      <c r="W1007" s="45" t="str">
        <f>IFERROR(__xludf.DUMMYFUNCTION("""COMPUTED_VALUE"""),"")</f>
        <v/>
      </c>
      <c r="X1007" s="46" t="str">
        <f>IFERROR(__xludf.DUMMYFUNCTION("""COMPUTED_VALUE"""),"AP")</f>
        <v>AP</v>
      </c>
      <c r="Y1007" s="47" t="str">
        <f>IFERROR(__xludf.DUMMYFUNCTION("""COMPUTED_VALUE"""),"")</f>
        <v/>
      </c>
      <c r="Z1007" s="48" t="str">
        <f>IFERROR(__xludf.DUMMYFUNCTION("""COMPUTED_VALUE"""),"%")</f>
        <v>%</v>
      </c>
      <c r="AA1007" s="49">
        <f>IFERROR(__xludf.DUMMYFUNCTION("""COMPUTED_VALUE"""),3.0)</f>
        <v>3</v>
      </c>
      <c r="AB1007" s="50"/>
      <c r="AC1007" s="38"/>
      <c r="AD1007" s="45" t="str">
        <f>IFERROR(__xludf.DUMMYFUNCTION("""COMPUTED_VALUE"""),"")</f>
        <v/>
      </c>
      <c r="AE1007" s="46" t="str">
        <f>IFERROR(__xludf.DUMMYFUNCTION("""COMPUTED_VALUE"""),"AP")</f>
        <v>AP</v>
      </c>
      <c r="AF1007" s="47" t="str">
        <f>IFERROR(__xludf.DUMMYFUNCTION("""COMPUTED_VALUE"""),"")</f>
        <v/>
      </c>
      <c r="AG1007" s="48" t="str">
        <f>IFERROR(__xludf.DUMMYFUNCTION("""COMPUTED_VALUE"""),"%")</f>
        <v>%</v>
      </c>
      <c r="AH1007" s="43"/>
      <c r="AI1007" s="44"/>
      <c r="AJ1007" s="66"/>
    </row>
    <row r="1008" ht="24.75" hidden="1" customHeight="1">
      <c r="A1008" s="28">
        <f>IFERROR(__xludf.DUMMYFUNCTION("""COMPUTED_VALUE"""),17.0)</f>
        <v>17</v>
      </c>
      <c r="B1008" s="28" t="str">
        <f>IFERROR(__xludf.DUMMYFUNCTION("""COMPUTED_VALUE"""),"A116")</f>
        <v>A116</v>
      </c>
      <c r="C1008" s="28"/>
      <c r="D1008" s="29"/>
      <c r="E1008" s="67"/>
      <c r="F1008" s="31"/>
      <c r="G1008" s="32"/>
      <c r="H1008" s="33" t="str">
        <f>IFERROR(__xludf.DUMMYFUNCTION("""COMPUTED_VALUE""")," ")</f>
        <v> </v>
      </c>
      <c r="I1008" s="34"/>
      <c r="J1008" s="35" t="str">
        <f>IFERROR(__xludf.DUMMYFUNCTION("""COMPUTED_VALUE"""),"AP")</f>
        <v>AP</v>
      </c>
      <c r="K1008" s="34"/>
      <c r="L1008" s="35" t="str">
        <f>IFERROR(__xludf.DUMMYFUNCTION("""COMPUTED_VALUE"""),"%")</f>
        <v>%</v>
      </c>
      <c r="M1008" s="36">
        <f>IFERROR(__xludf.DUMMYFUNCTION("""COMPUTED_VALUE"""),1.0)</f>
        <v>1</v>
      </c>
      <c r="N1008" s="37"/>
      <c r="O1008" s="38"/>
      <c r="P1008" s="34" t="str">
        <f>IFERROR(__xludf.DUMMYFUNCTION("""COMPUTED_VALUE"""),"")</f>
        <v/>
      </c>
      <c r="Q1008" s="35" t="str">
        <f>IFERROR(__xludf.DUMMYFUNCTION("""COMPUTED_VALUE"""),"AP")</f>
        <v>AP</v>
      </c>
      <c r="R1008" s="34" t="str">
        <f>IFERROR(__xludf.DUMMYFUNCTION("""COMPUTED_VALUE"""),"")</f>
        <v/>
      </c>
      <c r="S1008" s="35" t="str">
        <f>IFERROR(__xludf.DUMMYFUNCTION("""COMPUTED_VALUE"""),"%")</f>
        <v>%</v>
      </c>
      <c r="T1008" s="36">
        <f>IFERROR(__xludf.DUMMYFUNCTION("""COMPUTED_VALUE"""),2.0)</f>
        <v>2</v>
      </c>
      <c r="U1008" s="37"/>
      <c r="V1008" s="38"/>
      <c r="W1008" s="34" t="str">
        <f>IFERROR(__xludf.DUMMYFUNCTION("""COMPUTED_VALUE"""),"")</f>
        <v/>
      </c>
      <c r="X1008" s="35" t="str">
        <f>IFERROR(__xludf.DUMMYFUNCTION("""COMPUTED_VALUE"""),"AP")</f>
        <v>AP</v>
      </c>
      <c r="Y1008" s="34" t="str">
        <f>IFERROR(__xludf.DUMMYFUNCTION("""COMPUTED_VALUE"""),"")</f>
        <v/>
      </c>
      <c r="Z1008" s="35" t="str">
        <f>IFERROR(__xludf.DUMMYFUNCTION("""COMPUTED_VALUE"""),"%")</f>
        <v>%</v>
      </c>
      <c r="AA1008" s="36">
        <f>IFERROR(__xludf.DUMMYFUNCTION("""COMPUTED_VALUE"""),3.0)</f>
        <v>3</v>
      </c>
      <c r="AB1008" s="37"/>
      <c r="AC1008" s="38"/>
      <c r="AD1008" s="34" t="str">
        <f>IFERROR(__xludf.DUMMYFUNCTION("""COMPUTED_VALUE"""),"")</f>
        <v/>
      </c>
      <c r="AE1008" s="35" t="str">
        <f>IFERROR(__xludf.DUMMYFUNCTION("""COMPUTED_VALUE"""),"AP")</f>
        <v>AP</v>
      </c>
      <c r="AF1008" s="34" t="str">
        <f>IFERROR(__xludf.DUMMYFUNCTION("""COMPUTED_VALUE"""),"")</f>
        <v/>
      </c>
      <c r="AG1008" s="35" t="str">
        <f>IFERROR(__xludf.DUMMYFUNCTION("""COMPUTED_VALUE"""),"%")</f>
        <v>%</v>
      </c>
      <c r="AH1008" s="31"/>
      <c r="AI1008" s="32"/>
      <c r="AJ1008" s="67"/>
    </row>
    <row r="1009" ht="24.75" hidden="1" customHeight="1">
      <c r="A1009" s="40">
        <f>IFERROR(__xludf.DUMMYFUNCTION("""COMPUTED_VALUE"""),18.0)</f>
        <v>18</v>
      </c>
      <c r="B1009" s="40" t="str">
        <f>IFERROR(__xludf.DUMMYFUNCTION("""COMPUTED_VALUE"""),"A116")</f>
        <v>A116</v>
      </c>
      <c r="C1009" s="40"/>
      <c r="D1009" s="41"/>
      <c r="E1009" s="66"/>
      <c r="F1009" s="43"/>
      <c r="G1009" s="44"/>
      <c r="H1009" s="33" t="str">
        <f>IFERROR(__xludf.DUMMYFUNCTION("""COMPUTED_VALUE""")," ")</f>
        <v> </v>
      </c>
      <c r="I1009" s="45"/>
      <c r="J1009" s="46" t="str">
        <f>IFERROR(__xludf.DUMMYFUNCTION("""COMPUTED_VALUE"""),"AP")</f>
        <v>AP</v>
      </c>
      <c r="K1009" s="47"/>
      <c r="L1009" s="48" t="str">
        <f>IFERROR(__xludf.DUMMYFUNCTION("""COMPUTED_VALUE"""),"%")</f>
        <v>%</v>
      </c>
      <c r="M1009" s="49">
        <f>IFERROR(__xludf.DUMMYFUNCTION("""COMPUTED_VALUE"""),1.0)</f>
        <v>1</v>
      </c>
      <c r="N1009" s="50"/>
      <c r="O1009" s="38"/>
      <c r="P1009" s="45" t="str">
        <f>IFERROR(__xludf.DUMMYFUNCTION("""COMPUTED_VALUE"""),"")</f>
        <v/>
      </c>
      <c r="Q1009" s="46" t="str">
        <f>IFERROR(__xludf.DUMMYFUNCTION("""COMPUTED_VALUE"""),"AP")</f>
        <v>AP</v>
      </c>
      <c r="R1009" s="47" t="str">
        <f>IFERROR(__xludf.DUMMYFUNCTION("""COMPUTED_VALUE"""),"")</f>
        <v/>
      </c>
      <c r="S1009" s="48" t="str">
        <f>IFERROR(__xludf.DUMMYFUNCTION("""COMPUTED_VALUE"""),"%")</f>
        <v>%</v>
      </c>
      <c r="T1009" s="49">
        <f>IFERROR(__xludf.DUMMYFUNCTION("""COMPUTED_VALUE"""),2.0)</f>
        <v>2</v>
      </c>
      <c r="U1009" s="50"/>
      <c r="V1009" s="38"/>
      <c r="W1009" s="45" t="str">
        <f>IFERROR(__xludf.DUMMYFUNCTION("""COMPUTED_VALUE"""),"")</f>
        <v/>
      </c>
      <c r="X1009" s="46" t="str">
        <f>IFERROR(__xludf.DUMMYFUNCTION("""COMPUTED_VALUE"""),"AP")</f>
        <v>AP</v>
      </c>
      <c r="Y1009" s="47" t="str">
        <f>IFERROR(__xludf.DUMMYFUNCTION("""COMPUTED_VALUE"""),"")</f>
        <v/>
      </c>
      <c r="Z1009" s="48" t="str">
        <f>IFERROR(__xludf.DUMMYFUNCTION("""COMPUTED_VALUE"""),"%")</f>
        <v>%</v>
      </c>
      <c r="AA1009" s="49">
        <f>IFERROR(__xludf.DUMMYFUNCTION("""COMPUTED_VALUE"""),3.0)</f>
        <v>3</v>
      </c>
      <c r="AB1009" s="50"/>
      <c r="AC1009" s="38"/>
      <c r="AD1009" s="45" t="str">
        <f>IFERROR(__xludf.DUMMYFUNCTION("""COMPUTED_VALUE"""),"")</f>
        <v/>
      </c>
      <c r="AE1009" s="46" t="str">
        <f>IFERROR(__xludf.DUMMYFUNCTION("""COMPUTED_VALUE"""),"AP")</f>
        <v>AP</v>
      </c>
      <c r="AF1009" s="47" t="str">
        <f>IFERROR(__xludf.DUMMYFUNCTION("""COMPUTED_VALUE"""),"")</f>
        <v/>
      </c>
      <c r="AG1009" s="48" t="str">
        <f>IFERROR(__xludf.DUMMYFUNCTION("""COMPUTED_VALUE"""),"%")</f>
        <v>%</v>
      </c>
      <c r="AH1009" s="43"/>
      <c r="AI1009" s="44"/>
      <c r="AJ1009" s="66"/>
    </row>
    <row r="1010" ht="24.75" hidden="1" customHeight="1">
      <c r="A1010" s="28">
        <f>IFERROR(__xludf.DUMMYFUNCTION("""COMPUTED_VALUE"""),19.0)</f>
        <v>19</v>
      </c>
      <c r="B1010" s="28" t="str">
        <f>IFERROR(__xludf.DUMMYFUNCTION("""COMPUTED_VALUE"""),"A116")</f>
        <v>A116</v>
      </c>
      <c r="C1010" s="28"/>
      <c r="D1010" s="29"/>
      <c r="E1010" s="67"/>
      <c r="F1010" s="31"/>
      <c r="G1010" s="32"/>
      <c r="H1010" s="33" t="str">
        <f>IFERROR(__xludf.DUMMYFUNCTION("""COMPUTED_VALUE""")," ")</f>
        <v> </v>
      </c>
      <c r="I1010" s="34"/>
      <c r="J1010" s="35" t="str">
        <f>IFERROR(__xludf.DUMMYFUNCTION("""COMPUTED_VALUE"""),"AP")</f>
        <v>AP</v>
      </c>
      <c r="K1010" s="34"/>
      <c r="L1010" s="35" t="str">
        <f>IFERROR(__xludf.DUMMYFUNCTION("""COMPUTED_VALUE"""),"%")</f>
        <v>%</v>
      </c>
      <c r="M1010" s="36">
        <f>IFERROR(__xludf.DUMMYFUNCTION("""COMPUTED_VALUE"""),1.0)</f>
        <v>1</v>
      </c>
      <c r="N1010" s="37"/>
      <c r="O1010" s="38"/>
      <c r="P1010" s="34" t="str">
        <f>IFERROR(__xludf.DUMMYFUNCTION("""COMPUTED_VALUE"""),"")</f>
        <v/>
      </c>
      <c r="Q1010" s="35" t="str">
        <f>IFERROR(__xludf.DUMMYFUNCTION("""COMPUTED_VALUE"""),"AP")</f>
        <v>AP</v>
      </c>
      <c r="R1010" s="34" t="str">
        <f>IFERROR(__xludf.DUMMYFUNCTION("""COMPUTED_VALUE"""),"")</f>
        <v/>
      </c>
      <c r="S1010" s="35" t="str">
        <f>IFERROR(__xludf.DUMMYFUNCTION("""COMPUTED_VALUE"""),"%")</f>
        <v>%</v>
      </c>
      <c r="T1010" s="36">
        <f>IFERROR(__xludf.DUMMYFUNCTION("""COMPUTED_VALUE"""),2.0)</f>
        <v>2</v>
      </c>
      <c r="U1010" s="37"/>
      <c r="V1010" s="38"/>
      <c r="W1010" s="34" t="str">
        <f>IFERROR(__xludf.DUMMYFUNCTION("""COMPUTED_VALUE"""),"")</f>
        <v/>
      </c>
      <c r="X1010" s="35" t="str">
        <f>IFERROR(__xludf.DUMMYFUNCTION("""COMPUTED_VALUE"""),"AP")</f>
        <v>AP</v>
      </c>
      <c r="Y1010" s="34" t="str">
        <f>IFERROR(__xludf.DUMMYFUNCTION("""COMPUTED_VALUE"""),"")</f>
        <v/>
      </c>
      <c r="Z1010" s="35" t="str">
        <f>IFERROR(__xludf.DUMMYFUNCTION("""COMPUTED_VALUE"""),"%")</f>
        <v>%</v>
      </c>
      <c r="AA1010" s="36">
        <f>IFERROR(__xludf.DUMMYFUNCTION("""COMPUTED_VALUE"""),3.0)</f>
        <v>3</v>
      </c>
      <c r="AB1010" s="37"/>
      <c r="AC1010" s="38"/>
      <c r="AD1010" s="34" t="str">
        <f>IFERROR(__xludf.DUMMYFUNCTION("""COMPUTED_VALUE"""),"")</f>
        <v/>
      </c>
      <c r="AE1010" s="35" t="str">
        <f>IFERROR(__xludf.DUMMYFUNCTION("""COMPUTED_VALUE"""),"AP")</f>
        <v>AP</v>
      </c>
      <c r="AF1010" s="34" t="str">
        <f>IFERROR(__xludf.DUMMYFUNCTION("""COMPUTED_VALUE"""),"")</f>
        <v/>
      </c>
      <c r="AG1010" s="35" t="str">
        <f>IFERROR(__xludf.DUMMYFUNCTION("""COMPUTED_VALUE"""),"%")</f>
        <v>%</v>
      </c>
      <c r="AH1010" s="31"/>
      <c r="AI1010" s="32"/>
      <c r="AJ1010" s="67"/>
    </row>
    <row r="1011" ht="24.75" hidden="1" customHeight="1">
      <c r="A1011" s="40">
        <f>IFERROR(__xludf.DUMMYFUNCTION("""COMPUTED_VALUE"""),20.0)</f>
        <v>20</v>
      </c>
      <c r="B1011" s="40" t="str">
        <f>IFERROR(__xludf.DUMMYFUNCTION("""COMPUTED_VALUE"""),"A116")</f>
        <v>A116</v>
      </c>
      <c r="C1011" s="40"/>
      <c r="D1011" s="41"/>
      <c r="E1011" s="66"/>
      <c r="F1011" s="43"/>
      <c r="G1011" s="44"/>
      <c r="H1011" s="33" t="str">
        <f>IFERROR(__xludf.DUMMYFUNCTION("""COMPUTED_VALUE""")," ")</f>
        <v> </v>
      </c>
      <c r="I1011" s="45"/>
      <c r="J1011" s="46" t="str">
        <f>IFERROR(__xludf.DUMMYFUNCTION("""COMPUTED_VALUE"""),"AP")</f>
        <v>AP</v>
      </c>
      <c r="K1011" s="47"/>
      <c r="L1011" s="48" t="str">
        <f>IFERROR(__xludf.DUMMYFUNCTION("""COMPUTED_VALUE"""),"%")</f>
        <v>%</v>
      </c>
      <c r="M1011" s="49">
        <f>IFERROR(__xludf.DUMMYFUNCTION("""COMPUTED_VALUE"""),1.0)</f>
        <v>1</v>
      </c>
      <c r="N1011" s="50"/>
      <c r="O1011" s="38"/>
      <c r="P1011" s="45" t="str">
        <f>IFERROR(__xludf.DUMMYFUNCTION("""COMPUTED_VALUE"""),"")</f>
        <v/>
      </c>
      <c r="Q1011" s="46" t="str">
        <f>IFERROR(__xludf.DUMMYFUNCTION("""COMPUTED_VALUE"""),"AP")</f>
        <v>AP</v>
      </c>
      <c r="R1011" s="47" t="str">
        <f>IFERROR(__xludf.DUMMYFUNCTION("""COMPUTED_VALUE"""),"")</f>
        <v/>
      </c>
      <c r="S1011" s="48" t="str">
        <f>IFERROR(__xludf.DUMMYFUNCTION("""COMPUTED_VALUE"""),"%")</f>
        <v>%</v>
      </c>
      <c r="T1011" s="49">
        <f>IFERROR(__xludf.DUMMYFUNCTION("""COMPUTED_VALUE"""),2.0)</f>
        <v>2</v>
      </c>
      <c r="U1011" s="50"/>
      <c r="V1011" s="38"/>
      <c r="W1011" s="45" t="str">
        <f>IFERROR(__xludf.DUMMYFUNCTION("""COMPUTED_VALUE"""),"")</f>
        <v/>
      </c>
      <c r="X1011" s="46" t="str">
        <f>IFERROR(__xludf.DUMMYFUNCTION("""COMPUTED_VALUE"""),"AP")</f>
        <v>AP</v>
      </c>
      <c r="Y1011" s="47" t="str">
        <f>IFERROR(__xludf.DUMMYFUNCTION("""COMPUTED_VALUE"""),"")</f>
        <v/>
      </c>
      <c r="Z1011" s="48" t="str">
        <f>IFERROR(__xludf.DUMMYFUNCTION("""COMPUTED_VALUE"""),"%")</f>
        <v>%</v>
      </c>
      <c r="AA1011" s="49">
        <f>IFERROR(__xludf.DUMMYFUNCTION("""COMPUTED_VALUE"""),3.0)</f>
        <v>3</v>
      </c>
      <c r="AB1011" s="50"/>
      <c r="AC1011" s="38"/>
      <c r="AD1011" s="45" t="str">
        <f>IFERROR(__xludf.DUMMYFUNCTION("""COMPUTED_VALUE"""),"")</f>
        <v/>
      </c>
      <c r="AE1011" s="46" t="str">
        <f>IFERROR(__xludf.DUMMYFUNCTION("""COMPUTED_VALUE"""),"AP")</f>
        <v>AP</v>
      </c>
      <c r="AF1011" s="47" t="str">
        <f>IFERROR(__xludf.DUMMYFUNCTION("""COMPUTED_VALUE"""),"")</f>
        <v/>
      </c>
      <c r="AG1011" s="48" t="str">
        <f>IFERROR(__xludf.DUMMYFUNCTION("""COMPUTED_VALUE"""),"%")</f>
        <v>%</v>
      </c>
      <c r="AH1011" s="43"/>
      <c r="AI1011" s="44"/>
      <c r="AJ1011" s="66"/>
    </row>
    <row r="1012" hidden="1">
      <c r="A1012" s="52"/>
      <c r="B1012" s="53"/>
      <c r="C1012" s="54"/>
      <c r="D1012" s="56"/>
      <c r="E1012" s="56"/>
      <c r="F1012" s="53"/>
      <c r="G1012" s="53"/>
      <c r="H1012" s="53"/>
      <c r="I1012" s="53"/>
      <c r="J1012" s="57"/>
      <c r="K1012" s="53"/>
      <c r="L1012" s="57"/>
      <c r="M1012" s="53"/>
      <c r="N1012" s="53"/>
      <c r="O1012" s="53"/>
      <c r="P1012" s="53"/>
      <c r="Q1012" s="57"/>
      <c r="R1012" s="53"/>
      <c r="S1012" s="57"/>
      <c r="T1012" s="53"/>
      <c r="U1012" s="53"/>
      <c r="V1012" s="53"/>
      <c r="W1012" s="53"/>
      <c r="X1012" s="57"/>
      <c r="Y1012" s="53"/>
      <c r="Z1012" s="57"/>
      <c r="AA1012" s="53"/>
      <c r="AB1012" s="53"/>
      <c r="AC1012" s="53"/>
      <c r="AD1012" s="53"/>
      <c r="AE1012" s="57"/>
      <c r="AF1012" s="53"/>
      <c r="AG1012" s="57"/>
      <c r="AH1012" s="53"/>
      <c r="AI1012" s="53"/>
      <c r="AJ1012" s="56"/>
    </row>
    <row r="1013" hidden="1">
      <c r="A1013" s="59"/>
      <c r="B1013" s="60"/>
      <c r="C1013" s="61"/>
      <c r="D1013" s="63"/>
      <c r="E1013" s="63"/>
      <c r="F1013" s="60"/>
      <c r="G1013" s="60"/>
      <c r="H1013" s="60"/>
      <c r="I1013" s="60"/>
      <c r="J1013" s="64"/>
      <c r="K1013" s="60"/>
      <c r="L1013" s="64"/>
      <c r="M1013" s="60"/>
      <c r="N1013" s="60"/>
      <c r="O1013" s="60"/>
      <c r="P1013" s="60"/>
      <c r="Q1013" s="64"/>
      <c r="R1013" s="60"/>
      <c r="S1013" s="64"/>
      <c r="T1013" s="60"/>
      <c r="U1013" s="60"/>
      <c r="V1013" s="60"/>
      <c r="W1013" s="60"/>
      <c r="X1013" s="64"/>
      <c r="Y1013" s="60"/>
      <c r="Z1013" s="64"/>
      <c r="AA1013" s="60"/>
      <c r="AB1013" s="60"/>
      <c r="AC1013" s="60"/>
      <c r="AD1013" s="60"/>
      <c r="AE1013" s="64"/>
      <c r="AF1013" s="60"/>
      <c r="AG1013" s="64"/>
      <c r="AH1013" s="60"/>
      <c r="AI1013" s="60"/>
      <c r="AJ1013" s="63"/>
    </row>
    <row r="1014" ht="33.0" customHeight="1">
      <c r="A1014" s="20" t="str">
        <f>IFERROR(__xludf.DUMMYFUNCTION("""COMPUTED_VALUE""")," ")</f>
        <v> </v>
      </c>
      <c r="B1014" s="21" t="str">
        <f>IFERROR(__xludf.DUMMYFUNCTION("""COMPUTED_VALUE"""),"A117")</f>
        <v>A117</v>
      </c>
      <c r="C1014" s="20"/>
      <c r="D1014" s="257" t="str">
        <f>IFERROR(__xludf.DUMMYFUNCTION("""COMPUTED_VALUE"""),"")</f>
        <v/>
      </c>
      <c r="E1014" s="23" t="str">
        <f>IFERROR(__xludf.DUMMYFUNCTION("""COMPUTED_VALUE"""),"Fruit of Eternity")</f>
        <v>Fruit of Eternity</v>
      </c>
      <c r="F1014" s="24"/>
      <c r="G1014" s="24"/>
      <c r="H1014" s="25"/>
      <c r="I1014" s="25"/>
      <c r="J1014" s="26"/>
      <c r="K1014" s="25"/>
      <c r="L1014" s="26"/>
      <c r="M1014" s="25"/>
      <c r="N1014" s="25"/>
      <c r="O1014" s="25"/>
      <c r="P1014" s="25"/>
      <c r="Q1014" s="26"/>
      <c r="R1014" s="25"/>
      <c r="S1014" s="26"/>
      <c r="T1014" s="25"/>
      <c r="U1014" s="25"/>
      <c r="V1014" s="25"/>
      <c r="W1014" s="25"/>
      <c r="X1014" s="26"/>
      <c r="Y1014" s="25"/>
      <c r="Z1014" s="26"/>
      <c r="AA1014" s="25"/>
      <c r="AB1014" s="25"/>
      <c r="AC1014" s="25"/>
      <c r="AD1014" s="25"/>
      <c r="AE1014" s="26"/>
      <c r="AF1014" s="25"/>
      <c r="AG1014" s="26"/>
      <c r="AH1014" s="24"/>
      <c r="AI1014" s="25"/>
      <c r="AJ1014" s="23"/>
    </row>
    <row r="1015" ht="24.75" hidden="1" customHeight="1">
      <c r="A1015" s="28">
        <f>IFERROR(__xludf.DUMMYFUNCTION("""COMPUTED_VALUE"""),1.0)</f>
        <v>1</v>
      </c>
      <c r="B1015" s="28" t="str">
        <f>IFERROR(__xludf.DUMMYFUNCTION("""COMPUTED_VALUE"""),"A117")</f>
        <v>A117</v>
      </c>
      <c r="C1015" s="28"/>
      <c r="D1015" s="29"/>
      <c r="E1015" s="67"/>
      <c r="F1015" s="31"/>
      <c r="G1015" s="32"/>
      <c r="H1015" s="33" t="str">
        <f>IFERROR(__xludf.DUMMYFUNCTION("""COMPUTED_VALUE""")," ")</f>
        <v> </v>
      </c>
      <c r="I1015" s="34"/>
      <c r="J1015" s="35" t="str">
        <f>IFERROR(__xludf.DUMMYFUNCTION("""COMPUTED_VALUE"""),"AP")</f>
        <v>AP</v>
      </c>
      <c r="K1015" s="34"/>
      <c r="L1015" s="35" t="str">
        <f>IFERROR(__xludf.DUMMYFUNCTION("""COMPUTED_VALUE"""),"%")</f>
        <v>%</v>
      </c>
      <c r="M1015" s="36">
        <f>IFERROR(__xludf.DUMMYFUNCTION("""COMPUTED_VALUE"""),1.0)</f>
        <v>1</v>
      </c>
      <c r="N1015" s="37"/>
      <c r="O1015" s="38"/>
      <c r="P1015" s="34" t="str">
        <f>IFERROR(__xludf.DUMMYFUNCTION("""COMPUTED_VALUE"""),"")</f>
        <v/>
      </c>
      <c r="Q1015" s="35" t="str">
        <f>IFERROR(__xludf.DUMMYFUNCTION("""COMPUTED_VALUE"""),"AP")</f>
        <v>AP</v>
      </c>
      <c r="R1015" s="34" t="str">
        <f>IFERROR(__xludf.DUMMYFUNCTION("""COMPUTED_VALUE"""),"")</f>
        <v/>
      </c>
      <c r="S1015" s="35" t="str">
        <f>IFERROR(__xludf.DUMMYFUNCTION("""COMPUTED_VALUE"""),"%")</f>
        <v>%</v>
      </c>
      <c r="T1015" s="36">
        <f>IFERROR(__xludf.DUMMYFUNCTION("""COMPUTED_VALUE"""),2.0)</f>
        <v>2</v>
      </c>
      <c r="U1015" s="37"/>
      <c r="V1015" s="38"/>
      <c r="W1015" s="34" t="str">
        <f>IFERROR(__xludf.DUMMYFUNCTION("""COMPUTED_VALUE"""),"")</f>
        <v/>
      </c>
      <c r="X1015" s="35" t="str">
        <f>IFERROR(__xludf.DUMMYFUNCTION("""COMPUTED_VALUE"""),"AP")</f>
        <v>AP</v>
      </c>
      <c r="Y1015" s="34" t="str">
        <f>IFERROR(__xludf.DUMMYFUNCTION("""COMPUTED_VALUE"""),"")</f>
        <v/>
      </c>
      <c r="Z1015" s="35" t="str">
        <f>IFERROR(__xludf.DUMMYFUNCTION("""COMPUTED_VALUE"""),"%")</f>
        <v>%</v>
      </c>
      <c r="AA1015" s="36">
        <f>IFERROR(__xludf.DUMMYFUNCTION("""COMPUTED_VALUE"""),3.0)</f>
        <v>3</v>
      </c>
      <c r="AB1015" s="37"/>
      <c r="AC1015" s="38"/>
      <c r="AD1015" s="34" t="str">
        <f>IFERROR(__xludf.DUMMYFUNCTION("""COMPUTED_VALUE"""),"")</f>
        <v/>
      </c>
      <c r="AE1015" s="35" t="str">
        <f>IFERROR(__xludf.DUMMYFUNCTION("""COMPUTED_VALUE"""),"AP")</f>
        <v>AP</v>
      </c>
      <c r="AF1015" s="34" t="str">
        <f>IFERROR(__xludf.DUMMYFUNCTION("""COMPUTED_VALUE"""),"")</f>
        <v/>
      </c>
      <c r="AG1015" s="35" t="str">
        <f>IFERROR(__xludf.DUMMYFUNCTION("""COMPUTED_VALUE"""),"%")</f>
        <v>%</v>
      </c>
      <c r="AH1015" s="31"/>
      <c r="AI1015" s="32"/>
      <c r="AJ1015" s="67"/>
    </row>
    <row r="1016" ht="24.75" hidden="1" customHeight="1">
      <c r="A1016" s="40">
        <f>IFERROR(__xludf.DUMMYFUNCTION("""COMPUTED_VALUE"""),2.0)</f>
        <v>2</v>
      </c>
      <c r="B1016" s="40" t="str">
        <f>IFERROR(__xludf.DUMMYFUNCTION("""COMPUTED_VALUE"""),"A117")</f>
        <v>A117</v>
      </c>
      <c r="C1016" s="40"/>
      <c r="D1016" s="41"/>
      <c r="E1016" s="66"/>
      <c r="F1016" s="43"/>
      <c r="G1016" s="44"/>
      <c r="H1016" s="33" t="str">
        <f>IFERROR(__xludf.DUMMYFUNCTION("""COMPUTED_VALUE""")," ")</f>
        <v> </v>
      </c>
      <c r="I1016" s="45"/>
      <c r="J1016" s="46" t="str">
        <f>IFERROR(__xludf.DUMMYFUNCTION("""COMPUTED_VALUE"""),"AP")</f>
        <v>AP</v>
      </c>
      <c r="K1016" s="47"/>
      <c r="L1016" s="48" t="str">
        <f>IFERROR(__xludf.DUMMYFUNCTION("""COMPUTED_VALUE"""),"%")</f>
        <v>%</v>
      </c>
      <c r="M1016" s="49">
        <f>IFERROR(__xludf.DUMMYFUNCTION("""COMPUTED_VALUE"""),1.0)</f>
        <v>1</v>
      </c>
      <c r="N1016" s="50"/>
      <c r="O1016" s="38"/>
      <c r="P1016" s="45" t="str">
        <f>IFERROR(__xludf.DUMMYFUNCTION("""COMPUTED_VALUE"""),"")</f>
        <v/>
      </c>
      <c r="Q1016" s="46" t="str">
        <f>IFERROR(__xludf.DUMMYFUNCTION("""COMPUTED_VALUE"""),"AP")</f>
        <v>AP</v>
      </c>
      <c r="R1016" s="47" t="str">
        <f>IFERROR(__xludf.DUMMYFUNCTION("""COMPUTED_VALUE"""),"")</f>
        <v/>
      </c>
      <c r="S1016" s="48" t="str">
        <f>IFERROR(__xludf.DUMMYFUNCTION("""COMPUTED_VALUE"""),"%")</f>
        <v>%</v>
      </c>
      <c r="T1016" s="49">
        <f>IFERROR(__xludf.DUMMYFUNCTION("""COMPUTED_VALUE"""),2.0)</f>
        <v>2</v>
      </c>
      <c r="U1016" s="50"/>
      <c r="V1016" s="38"/>
      <c r="W1016" s="45" t="str">
        <f>IFERROR(__xludf.DUMMYFUNCTION("""COMPUTED_VALUE"""),"")</f>
        <v/>
      </c>
      <c r="X1016" s="46" t="str">
        <f>IFERROR(__xludf.DUMMYFUNCTION("""COMPUTED_VALUE"""),"AP")</f>
        <v>AP</v>
      </c>
      <c r="Y1016" s="47" t="str">
        <f>IFERROR(__xludf.DUMMYFUNCTION("""COMPUTED_VALUE"""),"")</f>
        <v/>
      </c>
      <c r="Z1016" s="48" t="str">
        <f>IFERROR(__xludf.DUMMYFUNCTION("""COMPUTED_VALUE"""),"%")</f>
        <v>%</v>
      </c>
      <c r="AA1016" s="49">
        <f>IFERROR(__xludf.DUMMYFUNCTION("""COMPUTED_VALUE"""),3.0)</f>
        <v>3</v>
      </c>
      <c r="AB1016" s="50"/>
      <c r="AC1016" s="38"/>
      <c r="AD1016" s="45" t="str">
        <f>IFERROR(__xludf.DUMMYFUNCTION("""COMPUTED_VALUE"""),"")</f>
        <v/>
      </c>
      <c r="AE1016" s="46" t="str">
        <f>IFERROR(__xludf.DUMMYFUNCTION("""COMPUTED_VALUE"""),"AP")</f>
        <v>AP</v>
      </c>
      <c r="AF1016" s="47" t="str">
        <f>IFERROR(__xludf.DUMMYFUNCTION("""COMPUTED_VALUE"""),"")</f>
        <v/>
      </c>
      <c r="AG1016" s="48" t="str">
        <f>IFERROR(__xludf.DUMMYFUNCTION("""COMPUTED_VALUE"""),"%")</f>
        <v>%</v>
      </c>
      <c r="AH1016" s="43"/>
      <c r="AI1016" s="44"/>
      <c r="AJ1016" s="66"/>
    </row>
    <row r="1017" ht="24.75" hidden="1" customHeight="1">
      <c r="A1017" s="28">
        <f>IFERROR(__xludf.DUMMYFUNCTION("""COMPUTED_VALUE"""),3.0)</f>
        <v>3</v>
      </c>
      <c r="B1017" s="28" t="str">
        <f>IFERROR(__xludf.DUMMYFUNCTION("""COMPUTED_VALUE"""),"A117")</f>
        <v>A117</v>
      </c>
      <c r="C1017" s="28"/>
      <c r="D1017" s="29"/>
      <c r="E1017" s="67"/>
      <c r="F1017" s="31"/>
      <c r="G1017" s="32"/>
      <c r="H1017" s="33" t="str">
        <f>IFERROR(__xludf.DUMMYFUNCTION("""COMPUTED_VALUE""")," ")</f>
        <v> </v>
      </c>
      <c r="I1017" s="34"/>
      <c r="J1017" s="35" t="str">
        <f>IFERROR(__xludf.DUMMYFUNCTION("""COMPUTED_VALUE"""),"AP")</f>
        <v>AP</v>
      </c>
      <c r="K1017" s="34"/>
      <c r="L1017" s="35" t="str">
        <f>IFERROR(__xludf.DUMMYFUNCTION("""COMPUTED_VALUE"""),"%")</f>
        <v>%</v>
      </c>
      <c r="M1017" s="36">
        <f>IFERROR(__xludf.DUMMYFUNCTION("""COMPUTED_VALUE"""),1.0)</f>
        <v>1</v>
      </c>
      <c r="N1017" s="37"/>
      <c r="O1017" s="38"/>
      <c r="P1017" s="34" t="str">
        <f>IFERROR(__xludf.DUMMYFUNCTION("""COMPUTED_VALUE"""),"")</f>
        <v/>
      </c>
      <c r="Q1017" s="35" t="str">
        <f>IFERROR(__xludf.DUMMYFUNCTION("""COMPUTED_VALUE"""),"AP")</f>
        <v>AP</v>
      </c>
      <c r="R1017" s="34" t="str">
        <f>IFERROR(__xludf.DUMMYFUNCTION("""COMPUTED_VALUE"""),"")</f>
        <v/>
      </c>
      <c r="S1017" s="35" t="str">
        <f>IFERROR(__xludf.DUMMYFUNCTION("""COMPUTED_VALUE"""),"%")</f>
        <v>%</v>
      </c>
      <c r="T1017" s="36">
        <f>IFERROR(__xludf.DUMMYFUNCTION("""COMPUTED_VALUE"""),2.0)</f>
        <v>2</v>
      </c>
      <c r="U1017" s="37"/>
      <c r="V1017" s="38"/>
      <c r="W1017" s="34" t="str">
        <f>IFERROR(__xludf.DUMMYFUNCTION("""COMPUTED_VALUE"""),"")</f>
        <v/>
      </c>
      <c r="X1017" s="35" t="str">
        <f>IFERROR(__xludf.DUMMYFUNCTION("""COMPUTED_VALUE"""),"AP")</f>
        <v>AP</v>
      </c>
      <c r="Y1017" s="34" t="str">
        <f>IFERROR(__xludf.DUMMYFUNCTION("""COMPUTED_VALUE"""),"")</f>
        <v/>
      </c>
      <c r="Z1017" s="35" t="str">
        <f>IFERROR(__xludf.DUMMYFUNCTION("""COMPUTED_VALUE"""),"%")</f>
        <v>%</v>
      </c>
      <c r="AA1017" s="36">
        <f>IFERROR(__xludf.DUMMYFUNCTION("""COMPUTED_VALUE"""),3.0)</f>
        <v>3</v>
      </c>
      <c r="AB1017" s="37"/>
      <c r="AC1017" s="38"/>
      <c r="AD1017" s="34" t="str">
        <f>IFERROR(__xludf.DUMMYFUNCTION("""COMPUTED_VALUE"""),"")</f>
        <v/>
      </c>
      <c r="AE1017" s="35" t="str">
        <f>IFERROR(__xludf.DUMMYFUNCTION("""COMPUTED_VALUE"""),"AP")</f>
        <v>AP</v>
      </c>
      <c r="AF1017" s="34" t="str">
        <f>IFERROR(__xludf.DUMMYFUNCTION("""COMPUTED_VALUE"""),"")</f>
        <v/>
      </c>
      <c r="AG1017" s="35" t="str">
        <f>IFERROR(__xludf.DUMMYFUNCTION("""COMPUTED_VALUE"""),"%")</f>
        <v>%</v>
      </c>
      <c r="AH1017" s="31"/>
      <c r="AI1017" s="32"/>
      <c r="AJ1017" s="67"/>
    </row>
    <row r="1018" ht="24.75" hidden="1" customHeight="1">
      <c r="A1018" s="40">
        <f>IFERROR(__xludf.DUMMYFUNCTION("""COMPUTED_VALUE"""),4.0)</f>
        <v>4</v>
      </c>
      <c r="B1018" s="40" t="str">
        <f>IFERROR(__xludf.DUMMYFUNCTION("""COMPUTED_VALUE"""),"A117")</f>
        <v>A117</v>
      </c>
      <c r="C1018" s="40"/>
      <c r="D1018" s="41"/>
      <c r="E1018" s="66"/>
      <c r="F1018" s="43"/>
      <c r="G1018" s="44"/>
      <c r="H1018" s="33" t="str">
        <f>IFERROR(__xludf.DUMMYFUNCTION("""COMPUTED_VALUE""")," ")</f>
        <v> </v>
      </c>
      <c r="I1018" s="45"/>
      <c r="J1018" s="46" t="str">
        <f>IFERROR(__xludf.DUMMYFUNCTION("""COMPUTED_VALUE"""),"AP")</f>
        <v>AP</v>
      </c>
      <c r="K1018" s="47"/>
      <c r="L1018" s="48" t="str">
        <f>IFERROR(__xludf.DUMMYFUNCTION("""COMPUTED_VALUE"""),"%")</f>
        <v>%</v>
      </c>
      <c r="M1018" s="49">
        <f>IFERROR(__xludf.DUMMYFUNCTION("""COMPUTED_VALUE"""),1.0)</f>
        <v>1</v>
      </c>
      <c r="N1018" s="50"/>
      <c r="O1018" s="38"/>
      <c r="P1018" s="45" t="str">
        <f>IFERROR(__xludf.DUMMYFUNCTION("""COMPUTED_VALUE"""),"")</f>
        <v/>
      </c>
      <c r="Q1018" s="46" t="str">
        <f>IFERROR(__xludf.DUMMYFUNCTION("""COMPUTED_VALUE"""),"AP")</f>
        <v>AP</v>
      </c>
      <c r="R1018" s="47" t="str">
        <f>IFERROR(__xludf.DUMMYFUNCTION("""COMPUTED_VALUE"""),"")</f>
        <v/>
      </c>
      <c r="S1018" s="48" t="str">
        <f>IFERROR(__xludf.DUMMYFUNCTION("""COMPUTED_VALUE"""),"%")</f>
        <v>%</v>
      </c>
      <c r="T1018" s="49">
        <f>IFERROR(__xludf.DUMMYFUNCTION("""COMPUTED_VALUE"""),2.0)</f>
        <v>2</v>
      </c>
      <c r="U1018" s="50"/>
      <c r="V1018" s="38"/>
      <c r="W1018" s="45" t="str">
        <f>IFERROR(__xludf.DUMMYFUNCTION("""COMPUTED_VALUE"""),"")</f>
        <v/>
      </c>
      <c r="X1018" s="46" t="str">
        <f>IFERROR(__xludf.DUMMYFUNCTION("""COMPUTED_VALUE"""),"AP")</f>
        <v>AP</v>
      </c>
      <c r="Y1018" s="47" t="str">
        <f>IFERROR(__xludf.DUMMYFUNCTION("""COMPUTED_VALUE"""),"")</f>
        <v/>
      </c>
      <c r="Z1018" s="48" t="str">
        <f>IFERROR(__xludf.DUMMYFUNCTION("""COMPUTED_VALUE"""),"%")</f>
        <v>%</v>
      </c>
      <c r="AA1018" s="49">
        <f>IFERROR(__xludf.DUMMYFUNCTION("""COMPUTED_VALUE"""),3.0)</f>
        <v>3</v>
      </c>
      <c r="AB1018" s="50"/>
      <c r="AC1018" s="38"/>
      <c r="AD1018" s="45" t="str">
        <f>IFERROR(__xludf.DUMMYFUNCTION("""COMPUTED_VALUE"""),"")</f>
        <v/>
      </c>
      <c r="AE1018" s="46" t="str">
        <f>IFERROR(__xludf.DUMMYFUNCTION("""COMPUTED_VALUE"""),"AP")</f>
        <v>AP</v>
      </c>
      <c r="AF1018" s="47" t="str">
        <f>IFERROR(__xludf.DUMMYFUNCTION("""COMPUTED_VALUE"""),"")</f>
        <v/>
      </c>
      <c r="AG1018" s="48" t="str">
        <f>IFERROR(__xludf.DUMMYFUNCTION("""COMPUTED_VALUE"""),"%")</f>
        <v>%</v>
      </c>
      <c r="AH1018" s="43"/>
      <c r="AI1018" s="44"/>
      <c r="AJ1018" s="66"/>
    </row>
    <row r="1019" ht="24.75" hidden="1" customHeight="1">
      <c r="A1019" s="28">
        <f>IFERROR(__xludf.DUMMYFUNCTION("""COMPUTED_VALUE"""),5.0)</f>
        <v>5</v>
      </c>
      <c r="B1019" s="28" t="str">
        <f>IFERROR(__xludf.DUMMYFUNCTION("""COMPUTED_VALUE"""),"A117")</f>
        <v>A117</v>
      </c>
      <c r="C1019" s="28"/>
      <c r="D1019" s="29"/>
      <c r="E1019" s="67"/>
      <c r="F1019" s="31"/>
      <c r="G1019" s="32"/>
      <c r="H1019" s="33" t="str">
        <f>IFERROR(__xludf.DUMMYFUNCTION("""COMPUTED_VALUE""")," ")</f>
        <v> </v>
      </c>
      <c r="I1019" s="34"/>
      <c r="J1019" s="35" t="str">
        <f>IFERROR(__xludf.DUMMYFUNCTION("""COMPUTED_VALUE"""),"AP")</f>
        <v>AP</v>
      </c>
      <c r="K1019" s="34"/>
      <c r="L1019" s="35" t="str">
        <f>IFERROR(__xludf.DUMMYFUNCTION("""COMPUTED_VALUE"""),"%")</f>
        <v>%</v>
      </c>
      <c r="M1019" s="36">
        <f>IFERROR(__xludf.DUMMYFUNCTION("""COMPUTED_VALUE"""),1.0)</f>
        <v>1</v>
      </c>
      <c r="N1019" s="37"/>
      <c r="O1019" s="38"/>
      <c r="P1019" s="34" t="str">
        <f>IFERROR(__xludf.DUMMYFUNCTION("""COMPUTED_VALUE"""),"")</f>
        <v/>
      </c>
      <c r="Q1019" s="35" t="str">
        <f>IFERROR(__xludf.DUMMYFUNCTION("""COMPUTED_VALUE"""),"AP")</f>
        <v>AP</v>
      </c>
      <c r="R1019" s="34" t="str">
        <f>IFERROR(__xludf.DUMMYFUNCTION("""COMPUTED_VALUE"""),"")</f>
        <v/>
      </c>
      <c r="S1019" s="35" t="str">
        <f>IFERROR(__xludf.DUMMYFUNCTION("""COMPUTED_VALUE"""),"%")</f>
        <v>%</v>
      </c>
      <c r="T1019" s="36">
        <f>IFERROR(__xludf.DUMMYFUNCTION("""COMPUTED_VALUE"""),2.0)</f>
        <v>2</v>
      </c>
      <c r="U1019" s="37"/>
      <c r="V1019" s="38"/>
      <c r="W1019" s="34" t="str">
        <f>IFERROR(__xludf.DUMMYFUNCTION("""COMPUTED_VALUE"""),"")</f>
        <v/>
      </c>
      <c r="X1019" s="35" t="str">
        <f>IFERROR(__xludf.DUMMYFUNCTION("""COMPUTED_VALUE"""),"AP")</f>
        <v>AP</v>
      </c>
      <c r="Y1019" s="34" t="str">
        <f>IFERROR(__xludf.DUMMYFUNCTION("""COMPUTED_VALUE"""),"")</f>
        <v/>
      </c>
      <c r="Z1019" s="35" t="str">
        <f>IFERROR(__xludf.DUMMYFUNCTION("""COMPUTED_VALUE"""),"%")</f>
        <v>%</v>
      </c>
      <c r="AA1019" s="36">
        <f>IFERROR(__xludf.DUMMYFUNCTION("""COMPUTED_VALUE"""),3.0)</f>
        <v>3</v>
      </c>
      <c r="AB1019" s="37"/>
      <c r="AC1019" s="38"/>
      <c r="AD1019" s="34" t="str">
        <f>IFERROR(__xludf.DUMMYFUNCTION("""COMPUTED_VALUE"""),"")</f>
        <v/>
      </c>
      <c r="AE1019" s="35" t="str">
        <f>IFERROR(__xludf.DUMMYFUNCTION("""COMPUTED_VALUE"""),"AP")</f>
        <v>AP</v>
      </c>
      <c r="AF1019" s="34" t="str">
        <f>IFERROR(__xludf.DUMMYFUNCTION("""COMPUTED_VALUE"""),"")</f>
        <v/>
      </c>
      <c r="AG1019" s="35" t="str">
        <f>IFERROR(__xludf.DUMMYFUNCTION("""COMPUTED_VALUE"""),"%")</f>
        <v>%</v>
      </c>
      <c r="AH1019" s="31"/>
      <c r="AI1019" s="32"/>
      <c r="AJ1019" s="67"/>
    </row>
    <row r="1020" ht="24.75" hidden="1" customHeight="1">
      <c r="A1020" s="40">
        <f>IFERROR(__xludf.DUMMYFUNCTION("""COMPUTED_VALUE"""),6.0)</f>
        <v>6</v>
      </c>
      <c r="B1020" s="40" t="str">
        <f>IFERROR(__xludf.DUMMYFUNCTION("""COMPUTED_VALUE"""),"A117")</f>
        <v>A117</v>
      </c>
      <c r="C1020" s="40"/>
      <c r="D1020" s="41"/>
      <c r="E1020" s="66"/>
      <c r="F1020" s="43"/>
      <c r="G1020" s="44"/>
      <c r="H1020" s="33" t="str">
        <f>IFERROR(__xludf.DUMMYFUNCTION("""COMPUTED_VALUE""")," ")</f>
        <v> </v>
      </c>
      <c r="I1020" s="45"/>
      <c r="J1020" s="46" t="str">
        <f>IFERROR(__xludf.DUMMYFUNCTION("""COMPUTED_VALUE"""),"AP")</f>
        <v>AP</v>
      </c>
      <c r="K1020" s="47"/>
      <c r="L1020" s="48" t="str">
        <f>IFERROR(__xludf.DUMMYFUNCTION("""COMPUTED_VALUE"""),"%")</f>
        <v>%</v>
      </c>
      <c r="M1020" s="49">
        <f>IFERROR(__xludf.DUMMYFUNCTION("""COMPUTED_VALUE"""),1.0)</f>
        <v>1</v>
      </c>
      <c r="N1020" s="50"/>
      <c r="O1020" s="38"/>
      <c r="P1020" s="45" t="str">
        <f>IFERROR(__xludf.DUMMYFUNCTION("""COMPUTED_VALUE"""),"")</f>
        <v/>
      </c>
      <c r="Q1020" s="46" t="str">
        <f>IFERROR(__xludf.DUMMYFUNCTION("""COMPUTED_VALUE"""),"AP")</f>
        <v>AP</v>
      </c>
      <c r="R1020" s="47" t="str">
        <f>IFERROR(__xludf.DUMMYFUNCTION("""COMPUTED_VALUE"""),"")</f>
        <v/>
      </c>
      <c r="S1020" s="48" t="str">
        <f>IFERROR(__xludf.DUMMYFUNCTION("""COMPUTED_VALUE"""),"%")</f>
        <v>%</v>
      </c>
      <c r="T1020" s="49">
        <f>IFERROR(__xludf.DUMMYFUNCTION("""COMPUTED_VALUE"""),2.0)</f>
        <v>2</v>
      </c>
      <c r="U1020" s="50"/>
      <c r="V1020" s="38"/>
      <c r="W1020" s="45" t="str">
        <f>IFERROR(__xludf.DUMMYFUNCTION("""COMPUTED_VALUE"""),"")</f>
        <v/>
      </c>
      <c r="X1020" s="46" t="str">
        <f>IFERROR(__xludf.DUMMYFUNCTION("""COMPUTED_VALUE"""),"AP")</f>
        <v>AP</v>
      </c>
      <c r="Y1020" s="47" t="str">
        <f>IFERROR(__xludf.DUMMYFUNCTION("""COMPUTED_VALUE"""),"")</f>
        <v/>
      </c>
      <c r="Z1020" s="48" t="str">
        <f>IFERROR(__xludf.DUMMYFUNCTION("""COMPUTED_VALUE"""),"%")</f>
        <v>%</v>
      </c>
      <c r="AA1020" s="49">
        <f>IFERROR(__xludf.DUMMYFUNCTION("""COMPUTED_VALUE"""),3.0)</f>
        <v>3</v>
      </c>
      <c r="AB1020" s="50"/>
      <c r="AC1020" s="38"/>
      <c r="AD1020" s="45" t="str">
        <f>IFERROR(__xludf.DUMMYFUNCTION("""COMPUTED_VALUE"""),"")</f>
        <v/>
      </c>
      <c r="AE1020" s="46" t="str">
        <f>IFERROR(__xludf.DUMMYFUNCTION("""COMPUTED_VALUE"""),"AP")</f>
        <v>AP</v>
      </c>
      <c r="AF1020" s="47" t="str">
        <f>IFERROR(__xludf.DUMMYFUNCTION("""COMPUTED_VALUE"""),"")</f>
        <v/>
      </c>
      <c r="AG1020" s="48" t="str">
        <f>IFERROR(__xludf.DUMMYFUNCTION("""COMPUTED_VALUE"""),"%")</f>
        <v>%</v>
      </c>
      <c r="AH1020" s="43"/>
      <c r="AI1020" s="44"/>
      <c r="AJ1020" s="66"/>
    </row>
    <row r="1021" ht="24.75" hidden="1" customHeight="1">
      <c r="A1021" s="28">
        <f>IFERROR(__xludf.DUMMYFUNCTION("""COMPUTED_VALUE"""),7.0)</f>
        <v>7</v>
      </c>
      <c r="B1021" s="28" t="str">
        <f>IFERROR(__xludf.DUMMYFUNCTION("""COMPUTED_VALUE"""),"A117")</f>
        <v>A117</v>
      </c>
      <c r="C1021" s="28"/>
      <c r="D1021" s="29"/>
      <c r="E1021" s="67"/>
      <c r="F1021" s="31"/>
      <c r="G1021" s="32"/>
      <c r="H1021" s="33" t="str">
        <f>IFERROR(__xludf.DUMMYFUNCTION("""COMPUTED_VALUE""")," ")</f>
        <v> </v>
      </c>
      <c r="I1021" s="34"/>
      <c r="J1021" s="35" t="str">
        <f>IFERROR(__xludf.DUMMYFUNCTION("""COMPUTED_VALUE"""),"AP")</f>
        <v>AP</v>
      </c>
      <c r="K1021" s="34"/>
      <c r="L1021" s="35" t="str">
        <f>IFERROR(__xludf.DUMMYFUNCTION("""COMPUTED_VALUE"""),"%")</f>
        <v>%</v>
      </c>
      <c r="M1021" s="36">
        <f>IFERROR(__xludf.DUMMYFUNCTION("""COMPUTED_VALUE"""),1.0)</f>
        <v>1</v>
      </c>
      <c r="N1021" s="37"/>
      <c r="O1021" s="38"/>
      <c r="P1021" s="34" t="str">
        <f>IFERROR(__xludf.DUMMYFUNCTION("""COMPUTED_VALUE"""),"")</f>
        <v/>
      </c>
      <c r="Q1021" s="35" t="str">
        <f>IFERROR(__xludf.DUMMYFUNCTION("""COMPUTED_VALUE"""),"AP")</f>
        <v>AP</v>
      </c>
      <c r="R1021" s="34" t="str">
        <f>IFERROR(__xludf.DUMMYFUNCTION("""COMPUTED_VALUE"""),"")</f>
        <v/>
      </c>
      <c r="S1021" s="35" t="str">
        <f>IFERROR(__xludf.DUMMYFUNCTION("""COMPUTED_VALUE"""),"%")</f>
        <v>%</v>
      </c>
      <c r="T1021" s="36">
        <f>IFERROR(__xludf.DUMMYFUNCTION("""COMPUTED_VALUE"""),2.0)</f>
        <v>2</v>
      </c>
      <c r="U1021" s="37"/>
      <c r="V1021" s="38"/>
      <c r="W1021" s="34" t="str">
        <f>IFERROR(__xludf.DUMMYFUNCTION("""COMPUTED_VALUE"""),"")</f>
        <v/>
      </c>
      <c r="X1021" s="35" t="str">
        <f>IFERROR(__xludf.DUMMYFUNCTION("""COMPUTED_VALUE"""),"AP")</f>
        <v>AP</v>
      </c>
      <c r="Y1021" s="34" t="str">
        <f>IFERROR(__xludf.DUMMYFUNCTION("""COMPUTED_VALUE"""),"")</f>
        <v/>
      </c>
      <c r="Z1021" s="35" t="str">
        <f>IFERROR(__xludf.DUMMYFUNCTION("""COMPUTED_VALUE"""),"%")</f>
        <v>%</v>
      </c>
      <c r="AA1021" s="36">
        <f>IFERROR(__xludf.DUMMYFUNCTION("""COMPUTED_VALUE"""),3.0)</f>
        <v>3</v>
      </c>
      <c r="AB1021" s="37"/>
      <c r="AC1021" s="38"/>
      <c r="AD1021" s="34" t="str">
        <f>IFERROR(__xludf.DUMMYFUNCTION("""COMPUTED_VALUE"""),"")</f>
        <v/>
      </c>
      <c r="AE1021" s="35" t="str">
        <f>IFERROR(__xludf.DUMMYFUNCTION("""COMPUTED_VALUE"""),"AP")</f>
        <v>AP</v>
      </c>
      <c r="AF1021" s="34" t="str">
        <f>IFERROR(__xludf.DUMMYFUNCTION("""COMPUTED_VALUE"""),"")</f>
        <v/>
      </c>
      <c r="AG1021" s="35" t="str">
        <f>IFERROR(__xludf.DUMMYFUNCTION("""COMPUTED_VALUE"""),"%")</f>
        <v>%</v>
      </c>
      <c r="AH1021" s="31"/>
      <c r="AI1021" s="32"/>
      <c r="AJ1021" s="67"/>
    </row>
    <row r="1022" ht="24.75" hidden="1" customHeight="1">
      <c r="A1022" s="40">
        <f>IFERROR(__xludf.DUMMYFUNCTION("""COMPUTED_VALUE"""),8.0)</f>
        <v>8</v>
      </c>
      <c r="B1022" s="40" t="str">
        <f>IFERROR(__xludf.DUMMYFUNCTION("""COMPUTED_VALUE"""),"A117")</f>
        <v>A117</v>
      </c>
      <c r="C1022" s="40"/>
      <c r="D1022" s="41"/>
      <c r="E1022" s="66"/>
      <c r="F1022" s="43"/>
      <c r="G1022" s="44"/>
      <c r="H1022" s="33" t="str">
        <f>IFERROR(__xludf.DUMMYFUNCTION("""COMPUTED_VALUE""")," ")</f>
        <v> </v>
      </c>
      <c r="I1022" s="45"/>
      <c r="J1022" s="46" t="str">
        <f>IFERROR(__xludf.DUMMYFUNCTION("""COMPUTED_VALUE"""),"AP")</f>
        <v>AP</v>
      </c>
      <c r="K1022" s="47"/>
      <c r="L1022" s="48" t="str">
        <f>IFERROR(__xludf.DUMMYFUNCTION("""COMPUTED_VALUE"""),"%")</f>
        <v>%</v>
      </c>
      <c r="M1022" s="49">
        <f>IFERROR(__xludf.DUMMYFUNCTION("""COMPUTED_VALUE"""),1.0)</f>
        <v>1</v>
      </c>
      <c r="N1022" s="50"/>
      <c r="O1022" s="38"/>
      <c r="P1022" s="45" t="str">
        <f>IFERROR(__xludf.DUMMYFUNCTION("""COMPUTED_VALUE"""),"")</f>
        <v/>
      </c>
      <c r="Q1022" s="46" t="str">
        <f>IFERROR(__xludf.DUMMYFUNCTION("""COMPUTED_VALUE"""),"AP")</f>
        <v>AP</v>
      </c>
      <c r="R1022" s="47" t="str">
        <f>IFERROR(__xludf.DUMMYFUNCTION("""COMPUTED_VALUE"""),"")</f>
        <v/>
      </c>
      <c r="S1022" s="48" t="str">
        <f>IFERROR(__xludf.DUMMYFUNCTION("""COMPUTED_VALUE"""),"%")</f>
        <v>%</v>
      </c>
      <c r="T1022" s="49">
        <f>IFERROR(__xludf.DUMMYFUNCTION("""COMPUTED_VALUE"""),2.0)</f>
        <v>2</v>
      </c>
      <c r="U1022" s="50"/>
      <c r="V1022" s="38"/>
      <c r="W1022" s="45" t="str">
        <f>IFERROR(__xludf.DUMMYFUNCTION("""COMPUTED_VALUE"""),"")</f>
        <v/>
      </c>
      <c r="X1022" s="46" t="str">
        <f>IFERROR(__xludf.DUMMYFUNCTION("""COMPUTED_VALUE"""),"AP")</f>
        <v>AP</v>
      </c>
      <c r="Y1022" s="47" t="str">
        <f>IFERROR(__xludf.DUMMYFUNCTION("""COMPUTED_VALUE"""),"")</f>
        <v/>
      </c>
      <c r="Z1022" s="48" t="str">
        <f>IFERROR(__xludf.DUMMYFUNCTION("""COMPUTED_VALUE"""),"%")</f>
        <v>%</v>
      </c>
      <c r="AA1022" s="49">
        <f>IFERROR(__xludf.DUMMYFUNCTION("""COMPUTED_VALUE"""),3.0)</f>
        <v>3</v>
      </c>
      <c r="AB1022" s="50"/>
      <c r="AC1022" s="38"/>
      <c r="AD1022" s="45" t="str">
        <f>IFERROR(__xludf.DUMMYFUNCTION("""COMPUTED_VALUE"""),"")</f>
        <v/>
      </c>
      <c r="AE1022" s="46" t="str">
        <f>IFERROR(__xludf.DUMMYFUNCTION("""COMPUTED_VALUE"""),"AP")</f>
        <v>AP</v>
      </c>
      <c r="AF1022" s="47" t="str">
        <f>IFERROR(__xludf.DUMMYFUNCTION("""COMPUTED_VALUE"""),"")</f>
        <v/>
      </c>
      <c r="AG1022" s="48" t="str">
        <f>IFERROR(__xludf.DUMMYFUNCTION("""COMPUTED_VALUE"""),"%")</f>
        <v>%</v>
      </c>
      <c r="AH1022" s="43"/>
      <c r="AI1022" s="44"/>
      <c r="AJ1022" s="66"/>
    </row>
    <row r="1023" ht="24.75" hidden="1" customHeight="1">
      <c r="A1023" s="28">
        <f>IFERROR(__xludf.DUMMYFUNCTION("""COMPUTED_VALUE"""),9.0)</f>
        <v>9</v>
      </c>
      <c r="B1023" s="28" t="str">
        <f>IFERROR(__xludf.DUMMYFUNCTION("""COMPUTED_VALUE"""),"A117")</f>
        <v>A117</v>
      </c>
      <c r="C1023" s="28"/>
      <c r="D1023" s="29"/>
      <c r="E1023" s="67"/>
      <c r="F1023" s="31"/>
      <c r="G1023" s="32"/>
      <c r="H1023" s="33" t="str">
        <f>IFERROR(__xludf.DUMMYFUNCTION("""COMPUTED_VALUE""")," ")</f>
        <v> </v>
      </c>
      <c r="I1023" s="34"/>
      <c r="J1023" s="35" t="str">
        <f>IFERROR(__xludf.DUMMYFUNCTION("""COMPUTED_VALUE"""),"AP")</f>
        <v>AP</v>
      </c>
      <c r="K1023" s="34"/>
      <c r="L1023" s="35" t="str">
        <f>IFERROR(__xludf.DUMMYFUNCTION("""COMPUTED_VALUE"""),"%")</f>
        <v>%</v>
      </c>
      <c r="M1023" s="36">
        <f>IFERROR(__xludf.DUMMYFUNCTION("""COMPUTED_VALUE"""),1.0)</f>
        <v>1</v>
      </c>
      <c r="N1023" s="37"/>
      <c r="O1023" s="38"/>
      <c r="P1023" s="34" t="str">
        <f>IFERROR(__xludf.DUMMYFUNCTION("""COMPUTED_VALUE"""),"")</f>
        <v/>
      </c>
      <c r="Q1023" s="35" t="str">
        <f>IFERROR(__xludf.DUMMYFUNCTION("""COMPUTED_VALUE"""),"AP")</f>
        <v>AP</v>
      </c>
      <c r="R1023" s="34" t="str">
        <f>IFERROR(__xludf.DUMMYFUNCTION("""COMPUTED_VALUE"""),"")</f>
        <v/>
      </c>
      <c r="S1023" s="35" t="str">
        <f>IFERROR(__xludf.DUMMYFUNCTION("""COMPUTED_VALUE"""),"%")</f>
        <v>%</v>
      </c>
      <c r="T1023" s="36">
        <f>IFERROR(__xludf.DUMMYFUNCTION("""COMPUTED_VALUE"""),2.0)</f>
        <v>2</v>
      </c>
      <c r="U1023" s="37"/>
      <c r="V1023" s="38"/>
      <c r="W1023" s="34" t="str">
        <f>IFERROR(__xludf.DUMMYFUNCTION("""COMPUTED_VALUE"""),"")</f>
        <v/>
      </c>
      <c r="X1023" s="35" t="str">
        <f>IFERROR(__xludf.DUMMYFUNCTION("""COMPUTED_VALUE"""),"AP")</f>
        <v>AP</v>
      </c>
      <c r="Y1023" s="34" t="str">
        <f>IFERROR(__xludf.DUMMYFUNCTION("""COMPUTED_VALUE"""),"")</f>
        <v/>
      </c>
      <c r="Z1023" s="35" t="str">
        <f>IFERROR(__xludf.DUMMYFUNCTION("""COMPUTED_VALUE"""),"%")</f>
        <v>%</v>
      </c>
      <c r="AA1023" s="36">
        <f>IFERROR(__xludf.DUMMYFUNCTION("""COMPUTED_VALUE"""),3.0)</f>
        <v>3</v>
      </c>
      <c r="AB1023" s="37"/>
      <c r="AC1023" s="38"/>
      <c r="AD1023" s="34" t="str">
        <f>IFERROR(__xludf.DUMMYFUNCTION("""COMPUTED_VALUE"""),"")</f>
        <v/>
      </c>
      <c r="AE1023" s="35" t="str">
        <f>IFERROR(__xludf.DUMMYFUNCTION("""COMPUTED_VALUE"""),"AP")</f>
        <v>AP</v>
      </c>
      <c r="AF1023" s="34" t="str">
        <f>IFERROR(__xludf.DUMMYFUNCTION("""COMPUTED_VALUE"""),"")</f>
        <v/>
      </c>
      <c r="AG1023" s="35" t="str">
        <f>IFERROR(__xludf.DUMMYFUNCTION("""COMPUTED_VALUE"""),"%")</f>
        <v>%</v>
      </c>
      <c r="AH1023" s="31"/>
      <c r="AI1023" s="32"/>
      <c r="AJ1023" s="67"/>
    </row>
    <row r="1024" ht="24.75" hidden="1" customHeight="1">
      <c r="A1024" s="40">
        <f>IFERROR(__xludf.DUMMYFUNCTION("""COMPUTED_VALUE"""),10.0)</f>
        <v>10</v>
      </c>
      <c r="B1024" s="40" t="str">
        <f>IFERROR(__xludf.DUMMYFUNCTION("""COMPUTED_VALUE"""),"A117")</f>
        <v>A117</v>
      </c>
      <c r="C1024" s="40"/>
      <c r="D1024" s="41"/>
      <c r="E1024" s="66"/>
      <c r="F1024" s="43"/>
      <c r="G1024" s="44"/>
      <c r="H1024" s="33" t="str">
        <f>IFERROR(__xludf.DUMMYFUNCTION("""COMPUTED_VALUE""")," ")</f>
        <v> </v>
      </c>
      <c r="I1024" s="45"/>
      <c r="J1024" s="46" t="str">
        <f>IFERROR(__xludf.DUMMYFUNCTION("""COMPUTED_VALUE"""),"AP")</f>
        <v>AP</v>
      </c>
      <c r="K1024" s="47"/>
      <c r="L1024" s="48" t="str">
        <f>IFERROR(__xludf.DUMMYFUNCTION("""COMPUTED_VALUE"""),"%")</f>
        <v>%</v>
      </c>
      <c r="M1024" s="49">
        <f>IFERROR(__xludf.DUMMYFUNCTION("""COMPUTED_VALUE"""),1.0)</f>
        <v>1</v>
      </c>
      <c r="N1024" s="50"/>
      <c r="O1024" s="38"/>
      <c r="P1024" s="45" t="str">
        <f>IFERROR(__xludf.DUMMYFUNCTION("""COMPUTED_VALUE"""),"")</f>
        <v/>
      </c>
      <c r="Q1024" s="46" t="str">
        <f>IFERROR(__xludf.DUMMYFUNCTION("""COMPUTED_VALUE"""),"AP")</f>
        <v>AP</v>
      </c>
      <c r="R1024" s="47" t="str">
        <f>IFERROR(__xludf.DUMMYFUNCTION("""COMPUTED_VALUE"""),"")</f>
        <v/>
      </c>
      <c r="S1024" s="48" t="str">
        <f>IFERROR(__xludf.DUMMYFUNCTION("""COMPUTED_VALUE"""),"%")</f>
        <v>%</v>
      </c>
      <c r="T1024" s="49">
        <f>IFERROR(__xludf.DUMMYFUNCTION("""COMPUTED_VALUE"""),2.0)</f>
        <v>2</v>
      </c>
      <c r="U1024" s="50"/>
      <c r="V1024" s="38"/>
      <c r="W1024" s="45" t="str">
        <f>IFERROR(__xludf.DUMMYFUNCTION("""COMPUTED_VALUE"""),"")</f>
        <v/>
      </c>
      <c r="X1024" s="46" t="str">
        <f>IFERROR(__xludf.DUMMYFUNCTION("""COMPUTED_VALUE"""),"AP")</f>
        <v>AP</v>
      </c>
      <c r="Y1024" s="47" t="str">
        <f>IFERROR(__xludf.DUMMYFUNCTION("""COMPUTED_VALUE"""),"")</f>
        <v/>
      </c>
      <c r="Z1024" s="48" t="str">
        <f>IFERROR(__xludf.DUMMYFUNCTION("""COMPUTED_VALUE"""),"%")</f>
        <v>%</v>
      </c>
      <c r="AA1024" s="49">
        <f>IFERROR(__xludf.DUMMYFUNCTION("""COMPUTED_VALUE"""),3.0)</f>
        <v>3</v>
      </c>
      <c r="AB1024" s="50"/>
      <c r="AC1024" s="38"/>
      <c r="AD1024" s="45" t="str">
        <f>IFERROR(__xludf.DUMMYFUNCTION("""COMPUTED_VALUE"""),"")</f>
        <v/>
      </c>
      <c r="AE1024" s="46" t="str">
        <f>IFERROR(__xludf.DUMMYFUNCTION("""COMPUTED_VALUE"""),"AP")</f>
        <v>AP</v>
      </c>
      <c r="AF1024" s="47" t="str">
        <f>IFERROR(__xludf.DUMMYFUNCTION("""COMPUTED_VALUE"""),"")</f>
        <v/>
      </c>
      <c r="AG1024" s="48" t="str">
        <f>IFERROR(__xludf.DUMMYFUNCTION("""COMPUTED_VALUE"""),"%")</f>
        <v>%</v>
      </c>
      <c r="AH1024" s="43"/>
      <c r="AI1024" s="44"/>
      <c r="AJ1024" s="66"/>
    </row>
    <row r="1025" ht="24.75" hidden="1" customHeight="1">
      <c r="A1025" s="28">
        <f>IFERROR(__xludf.DUMMYFUNCTION("""COMPUTED_VALUE"""),11.0)</f>
        <v>11</v>
      </c>
      <c r="B1025" s="28" t="str">
        <f>IFERROR(__xludf.DUMMYFUNCTION("""COMPUTED_VALUE"""),"A117")</f>
        <v>A117</v>
      </c>
      <c r="C1025" s="28"/>
      <c r="D1025" s="29"/>
      <c r="E1025" s="67"/>
      <c r="F1025" s="31"/>
      <c r="G1025" s="32"/>
      <c r="H1025" s="33" t="str">
        <f>IFERROR(__xludf.DUMMYFUNCTION("""COMPUTED_VALUE""")," ")</f>
        <v> </v>
      </c>
      <c r="I1025" s="34"/>
      <c r="J1025" s="35" t="str">
        <f>IFERROR(__xludf.DUMMYFUNCTION("""COMPUTED_VALUE"""),"AP")</f>
        <v>AP</v>
      </c>
      <c r="K1025" s="34"/>
      <c r="L1025" s="35" t="str">
        <f>IFERROR(__xludf.DUMMYFUNCTION("""COMPUTED_VALUE"""),"%")</f>
        <v>%</v>
      </c>
      <c r="M1025" s="36">
        <f>IFERROR(__xludf.DUMMYFUNCTION("""COMPUTED_VALUE"""),1.0)</f>
        <v>1</v>
      </c>
      <c r="N1025" s="37"/>
      <c r="O1025" s="38"/>
      <c r="P1025" s="34" t="str">
        <f>IFERROR(__xludf.DUMMYFUNCTION("""COMPUTED_VALUE"""),"")</f>
        <v/>
      </c>
      <c r="Q1025" s="35" t="str">
        <f>IFERROR(__xludf.DUMMYFUNCTION("""COMPUTED_VALUE"""),"AP")</f>
        <v>AP</v>
      </c>
      <c r="R1025" s="34" t="str">
        <f>IFERROR(__xludf.DUMMYFUNCTION("""COMPUTED_VALUE"""),"")</f>
        <v/>
      </c>
      <c r="S1025" s="35" t="str">
        <f>IFERROR(__xludf.DUMMYFUNCTION("""COMPUTED_VALUE"""),"%")</f>
        <v>%</v>
      </c>
      <c r="T1025" s="36">
        <f>IFERROR(__xludf.DUMMYFUNCTION("""COMPUTED_VALUE"""),2.0)</f>
        <v>2</v>
      </c>
      <c r="U1025" s="37"/>
      <c r="V1025" s="38"/>
      <c r="W1025" s="34" t="str">
        <f>IFERROR(__xludf.DUMMYFUNCTION("""COMPUTED_VALUE"""),"")</f>
        <v/>
      </c>
      <c r="X1025" s="35" t="str">
        <f>IFERROR(__xludf.DUMMYFUNCTION("""COMPUTED_VALUE"""),"AP")</f>
        <v>AP</v>
      </c>
      <c r="Y1025" s="34" t="str">
        <f>IFERROR(__xludf.DUMMYFUNCTION("""COMPUTED_VALUE"""),"")</f>
        <v/>
      </c>
      <c r="Z1025" s="35" t="str">
        <f>IFERROR(__xludf.DUMMYFUNCTION("""COMPUTED_VALUE"""),"%")</f>
        <v>%</v>
      </c>
      <c r="AA1025" s="36">
        <f>IFERROR(__xludf.DUMMYFUNCTION("""COMPUTED_VALUE"""),3.0)</f>
        <v>3</v>
      </c>
      <c r="AB1025" s="37"/>
      <c r="AC1025" s="38"/>
      <c r="AD1025" s="34" t="str">
        <f>IFERROR(__xludf.DUMMYFUNCTION("""COMPUTED_VALUE"""),"")</f>
        <v/>
      </c>
      <c r="AE1025" s="35" t="str">
        <f>IFERROR(__xludf.DUMMYFUNCTION("""COMPUTED_VALUE"""),"AP")</f>
        <v>AP</v>
      </c>
      <c r="AF1025" s="34" t="str">
        <f>IFERROR(__xludf.DUMMYFUNCTION("""COMPUTED_VALUE"""),"")</f>
        <v/>
      </c>
      <c r="AG1025" s="35" t="str">
        <f>IFERROR(__xludf.DUMMYFUNCTION("""COMPUTED_VALUE"""),"%")</f>
        <v>%</v>
      </c>
      <c r="AH1025" s="31"/>
      <c r="AI1025" s="32"/>
      <c r="AJ1025" s="67"/>
    </row>
    <row r="1026" ht="24.75" hidden="1" customHeight="1">
      <c r="A1026" s="40">
        <f>IFERROR(__xludf.DUMMYFUNCTION("""COMPUTED_VALUE"""),12.0)</f>
        <v>12</v>
      </c>
      <c r="B1026" s="40" t="str">
        <f>IFERROR(__xludf.DUMMYFUNCTION("""COMPUTED_VALUE"""),"A117")</f>
        <v>A117</v>
      </c>
      <c r="C1026" s="40"/>
      <c r="D1026" s="41"/>
      <c r="E1026" s="66"/>
      <c r="F1026" s="43"/>
      <c r="G1026" s="44"/>
      <c r="H1026" s="33" t="str">
        <f>IFERROR(__xludf.DUMMYFUNCTION("""COMPUTED_VALUE""")," ")</f>
        <v> </v>
      </c>
      <c r="I1026" s="45"/>
      <c r="J1026" s="46" t="str">
        <f>IFERROR(__xludf.DUMMYFUNCTION("""COMPUTED_VALUE"""),"AP")</f>
        <v>AP</v>
      </c>
      <c r="K1026" s="47"/>
      <c r="L1026" s="48" t="str">
        <f>IFERROR(__xludf.DUMMYFUNCTION("""COMPUTED_VALUE"""),"%")</f>
        <v>%</v>
      </c>
      <c r="M1026" s="49">
        <f>IFERROR(__xludf.DUMMYFUNCTION("""COMPUTED_VALUE"""),1.0)</f>
        <v>1</v>
      </c>
      <c r="N1026" s="50"/>
      <c r="O1026" s="38"/>
      <c r="P1026" s="45" t="str">
        <f>IFERROR(__xludf.DUMMYFUNCTION("""COMPUTED_VALUE"""),"")</f>
        <v/>
      </c>
      <c r="Q1026" s="46" t="str">
        <f>IFERROR(__xludf.DUMMYFUNCTION("""COMPUTED_VALUE"""),"AP")</f>
        <v>AP</v>
      </c>
      <c r="R1026" s="47" t="str">
        <f>IFERROR(__xludf.DUMMYFUNCTION("""COMPUTED_VALUE"""),"")</f>
        <v/>
      </c>
      <c r="S1026" s="48" t="str">
        <f>IFERROR(__xludf.DUMMYFUNCTION("""COMPUTED_VALUE"""),"%")</f>
        <v>%</v>
      </c>
      <c r="T1026" s="49">
        <f>IFERROR(__xludf.DUMMYFUNCTION("""COMPUTED_VALUE"""),2.0)</f>
        <v>2</v>
      </c>
      <c r="U1026" s="50"/>
      <c r="V1026" s="38"/>
      <c r="W1026" s="45" t="str">
        <f>IFERROR(__xludf.DUMMYFUNCTION("""COMPUTED_VALUE"""),"")</f>
        <v/>
      </c>
      <c r="X1026" s="46" t="str">
        <f>IFERROR(__xludf.DUMMYFUNCTION("""COMPUTED_VALUE"""),"AP")</f>
        <v>AP</v>
      </c>
      <c r="Y1026" s="47" t="str">
        <f>IFERROR(__xludf.DUMMYFUNCTION("""COMPUTED_VALUE"""),"")</f>
        <v/>
      </c>
      <c r="Z1026" s="48" t="str">
        <f>IFERROR(__xludf.DUMMYFUNCTION("""COMPUTED_VALUE"""),"%")</f>
        <v>%</v>
      </c>
      <c r="AA1026" s="49">
        <f>IFERROR(__xludf.DUMMYFUNCTION("""COMPUTED_VALUE"""),3.0)</f>
        <v>3</v>
      </c>
      <c r="AB1026" s="50"/>
      <c r="AC1026" s="38"/>
      <c r="AD1026" s="45" t="str">
        <f>IFERROR(__xludf.DUMMYFUNCTION("""COMPUTED_VALUE"""),"")</f>
        <v/>
      </c>
      <c r="AE1026" s="46" t="str">
        <f>IFERROR(__xludf.DUMMYFUNCTION("""COMPUTED_VALUE"""),"AP")</f>
        <v>AP</v>
      </c>
      <c r="AF1026" s="47" t="str">
        <f>IFERROR(__xludf.DUMMYFUNCTION("""COMPUTED_VALUE"""),"")</f>
        <v/>
      </c>
      <c r="AG1026" s="48" t="str">
        <f>IFERROR(__xludf.DUMMYFUNCTION("""COMPUTED_VALUE"""),"%")</f>
        <v>%</v>
      </c>
      <c r="AH1026" s="43"/>
      <c r="AI1026" s="44"/>
      <c r="AJ1026" s="66"/>
    </row>
    <row r="1027" ht="24.75" hidden="1" customHeight="1">
      <c r="A1027" s="28">
        <f>IFERROR(__xludf.DUMMYFUNCTION("""COMPUTED_VALUE"""),13.0)</f>
        <v>13</v>
      </c>
      <c r="B1027" s="28" t="str">
        <f>IFERROR(__xludf.DUMMYFUNCTION("""COMPUTED_VALUE"""),"A117")</f>
        <v>A117</v>
      </c>
      <c r="C1027" s="28"/>
      <c r="D1027" s="29"/>
      <c r="E1027" s="67"/>
      <c r="F1027" s="31"/>
      <c r="G1027" s="32"/>
      <c r="H1027" s="33" t="str">
        <f>IFERROR(__xludf.DUMMYFUNCTION("""COMPUTED_VALUE""")," ")</f>
        <v> </v>
      </c>
      <c r="I1027" s="34"/>
      <c r="J1027" s="35" t="str">
        <f>IFERROR(__xludf.DUMMYFUNCTION("""COMPUTED_VALUE"""),"AP")</f>
        <v>AP</v>
      </c>
      <c r="K1027" s="34"/>
      <c r="L1027" s="35" t="str">
        <f>IFERROR(__xludf.DUMMYFUNCTION("""COMPUTED_VALUE"""),"%")</f>
        <v>%</v>
      </c>
      <c r="M1027" s="36">
        <f>IFERROR(__xludf.DUMMYFUNCTION("""COMPUTED_VALUE"""),1.0)</f>
        <v>1</v>
      </c>
      <c r="N1027" s="37"/>
      <c r="O1027" s="38"/>
      <c r="P1027" s="34" t="str">
        <f>IFERROR(__xludf.DUMMYFUNCTION("""COMPUTED_VALUE"""),"")</f>
        <v/>
      </c>
      <c r="Q1027" s="35" t="str">
        <f>IFERROR(__xludf.DUMMYFUNCTION("""COMPUTED_VALUE"""),"AP")</f>
        <v>AP</v>
      </c>
      <c r="R1027" s="34" t="str">
        <f>IFERROR(__xludf.DUMMYFUNCTION("""COMPUTED_VALUE"""),"")</f>
        <v/>
      </c>
      <c r="S1027" s="35" t="str">
        <f>IFERROR(__xludf.DUMMYFUNCTION("""COMPUTED_VALUE"""),"%")</f>
        <v>%</v>
      </c>
      <c r="T1027" s="36">
        <f>IFERROR(__xludf.DUMMYFUNCTION("""COMPUTED_VALUE"""),2.0)</f>
        <v>2</v>
      </c>
      <c r="U1027" s="37"/>
      <c r="V1027" s="38"/>
      <c r="W1027" s="34" t="str">
        <f>IFERROR(__xludf.DUMMYFUNCTION("""COMPUTED_VALUE"""),"")</f>
        <v/>
      </c>
      <c r="X1027" s="35" t="str">
        <f>IFERROR(__xludf.DUMMYFUNCTION("""COMPUTED_VALUE"""),"AP")</f>
        <v>AP</v>
      </c>
      <c r="Y1027" s="34" t="str">
        <f>IFERROR(__xludf.DUMMYFUNCTION("""COMPUTED_VALUE"""),"")</f>
        <v/>
      </c>
      <c r="Z1027" s="35" t="str">
        <f>IFERROR(__xludf.DUMMYFUNCTION("""COMPUTED_VALUE"""),"%")</f>
        <v>%</v>
      </c>
      <c r="AA1027" s="36">
        <f>IFERROR(__xludf.DUMMYFUNCTION("""COMPUTED_VALUE"""),3.0)</f>
        <v>3</v>
      </c>
      <c r="AB1027" s="37"/>
      <c r="AC1027" s="38"/>
      <c r="AD1027" s="34" t="str">
        <f>IFERROR(__xludf.DUMMYFUNCTION("""COMPUTED_VALUE"""),"")</f>
        <v/>
      </c>
      <c r="AE1027" s="35" t="str">
        <f>IFERROR(__xludf.DUMMYFUNCTION("""COMPUTED_VALUE"""),"AP")</f>
        <v>AP</v>
      </c>
      <c r="AF1027" s="34" t="str">
        <f>IFERROR(__xludf.DUMMYFUNCTION("""COMPUTED_VALUE"""),"")</f>
        <v/>
      </c>
      <c r="AG1027" s="35" t="str">
        <f>IFERROR(__xludf.DUMMYFUNCTION("""COMPUTED_VALUE"""),"%")</f>
        <v>%</v>
      </c>
      <c r="AH1027" s="31"/>
      <c r="AI1027" s="32"/>
      <c r="AJ1027" s="67"/>
    </row>
    <row r="1028" ht="24.75" hidden="1" customHeight="1">
      <c r="A1028" s="40">
        <f>IFERROR(__xludf.DUMMYFUNCTION("""COMPUTED_VALUE"""),14.0)</f>
        <v>14</v>
      </c>
      <c r="B1028" s="40" t="str">
        <f>IFERROR(__xludf.DUMMYFUNCTION("""COMPUTED_VALUE"""),"A117")</f>
        <v>A117</v>
      </c>
      <c r="C1028" s="40"/>
      <c r="D1028" s="41"/>
      <c r="E1028" s="66"/>
      <c r="F1028" s="43"/>
      <c r="G1028" s="44"/>
      <c r="H1028" s="33" t="str">
        <f>IFERROR(__xludf.DUMMYFUNCTION("""COMPUTED_VALUE""")," ")</f>
        <v> </v>
      </c>
      <c r="I1028" s="45"/>
      <c r="J1028" s="46" t="str">
        <f>IFERROR(__xludf.DUMMYFUNCTION("""COMPUTED_VALUE"""),"AP")</f>
        <v>AP</v>
      </c>
      <c r="K1028" s="47"/>
      <c r="L1028" s="48" t="str">
        <f>IFERROR(__xludf.DUMMYFUNCTION("""COMPUTED_VALUE"""),"%")</f>
        <v>%</v>
      </c>
      <c r="M1028" s="49">
        <f>IFERROR(__xludf.DUMMYFUNCTION("""COMPUTED_VALUE"""),1.0)</f>
        <v>1</v>
      </c>
      <c r="N1028" s="50"/>
      <c r="O1028" s="38"/>
      <c r="P1028" s="45" t="str">
        <f>IFERROR(__xludf.DUMMYFUNCTION("""COMPUTED_VALUE"""),"")</f>
        <v/>
      </c>
      <c r="Q1028" s="46" t="str">
        <f>IFERROR(__xludf.DUMMYFUNCTION("""COMPUTED_VALUE"""),"AP")</f>
        <v>AP</v>
      </c>
      <c r="R1028" s="47" t="str">
        <f>IFERROR(__xludf.DUMMYFUNCTION("""COMPUTED_VALUE"""),"")</f>
        <v/>
      </c>
      <c r="S1028" s="48" t="str">
        <f>IFERROR(__xludf.DUMMYFUNCTION("""COMPUTED_VALUE"""),"%")</f>
        <v>%</v>
      </c>
      <c r="T1028" s="49">
        <f>IFERROR(__xludf.DUMMYFUNCTION("""COMPUTED_VALUE"""),2.0)</f>
        <v>2</v>
      </c>
      <c r="U1028" s="50"/>
      <c r="V1028" s="38"/>
      <c r="W1028" s="45" t="str">
        <f>IFERROR(__xludf.DUMMYFUNCTION("""COMPUTED_VALUE"""),"")</f>
        <v/>
      </c>
      <c r="X1028" s="46" t="str">
        <f>IFERROR(__xludf.DUMMYFUNCTION("""COMPUTED_VALUE"""),"AP")</f>
        <v>AP</v>
      </c>
      <c r="Y1028" s="47" t="str">
        <f>IFERROR(__xludf.DUMMYFUNCTION("""COMPUTED_VALUE"""),"")</f>
        <v/>
      </c>
      <c r="Z1028" s="48" t="str">
        <f>IFERROR(__xludf.DUMMYFUNCTION("""COMPUTED_VALUE"""),"%")</f>
        <v>%</v>
      </c>
      <c r="AA1028" s="49">
        <f>IFERROR(__xludf.DUMMYFUNCTION("""COMPUTED_VALUE"""),3.0)</f>
        <v>3</v>
      </c>
      <c r="AB1028" s="50"/>
      <c r="AC1028" s="38"/>
      <c r="AD1028" s="45" t="str">
        <f>IFERROR(__xludf.DUMMYFUNCTION("""COMPUTED_VALUE"""),"")</f>
        <v/>
      </c>
      <c r="AE1028" s="46" t="str">
        <f>IFERROR(__xludf.DUMMYFUNCTION("""COMPUTED_VALUE"""),"AP")</f>
        <v>AP</v>
      </c>
      <c r="AF1028" s="47" t="str">
        <f>IFERROR(__xludf.DUMMYFUNCTION("""COMPUTED_VALUE"""),"")</f>
        <v/>
      </c>
      <c r="AG1028" s="48" t="str">
        <f>IFERROR(__xludf.DUMMYFUNCTION("""COMPUTED_VALUE"""),"%")</f>
        <v>%</v>
      </c>
      <c r="AH1028" s="43"/>
      <c r="AI1028" s="44"/>
      <c r="AJ1028" s="66"/>
    </row>
    <row r="1029" ht="24.75" hidden="1" customHeight="1">
      <c r="A1029" s="28">
        <f>IFERROR(__xludf.DUMMYFUNCTION("""COMPUTED_VALUE"""),15.0)</f>
        <v>15</v>
      </c>
      <c r="B1029" s="28" t="str">
        <f>IFERROR(__xludf.DUMMYFUNCTION("""COMPUTED_VALUE"""),"A117")</f>
        <v>A117</v>
      </c>
      <c r="C1029" s="28"/>
      <c r="D1029" s="29"/>
      <c r="E1029" s="67"/>
      <c r="F1029" s="31"/>
      <c r="G1029" s="32"/>
      <c r="H1029" s="33" t="str">
        <f>IFERROR(__xludf.DUMMYFUNCTION("""COMPUTED_VALUE""")," ")</f>
        <v> </v>
      </c>
      <c r="I1029" s="34"/>
      <c r="J1029" s="35" t="str">
        <f>IFERROR(__xludf.DUMMYFUNCTION("""COMPUTED_VALUE"""),"AP")</f>
        <v>AP</v>
      </c>
      <c r="K1029" s="34"/>
      <c r="L1029" s="35" t="str">
        <f>IFERROR(__xludf.DUMMYFUNCTION("""COMPUTED_VALUE"""),"%")</f>
        <v>%</v>
      </c>
      <c r="M1029" s="36">
        <f>IFERROR(__xludf.DUMMYFUNCTION("""COMPUTED_VALUE"""),1.0)</f>
        <v>1</v>
      </c>
      <c r="N1029" s="37"/>
      <c r="O1029" s="38"/>
      <c r="P1029" s="34" t="str">
        <f>IFERROR(__xludf.DUMMYFUNCTION("""COMPUTED_VALUE"""),"")</f>
        <v/>
      </c>
      <c r="Q1029" s="35" t="str">
        <f>IFERROR(__xludf.DUMMYFUNCTION("""COMPUTED_VALUE"""),"AP")</f>
        <v>AP</v>
      </c>
      <c r="R1029" s="34" t="str">
        <f>IFERROR(__xludf.DUMMYFUNCTION("""COMPUTED_VALUE"""),"")</f>
        <v/>
      </c>
      <c r="S1029" s="35" t="str">
        <f>IFERROR(__xludf.DUMMYFUNCTION("""COMPUTED_VALUE"""),"%")</f>
        <v>%</v>
      </c>
      <c r="T1029" s="36">
        <f>IFERROR(__xludf.DUMMYFUNCTION("""COMPUTED_VALUE"""),2.0)</f>
        <v>2</v>
      </c>
      <c r="U1029" s="37"/>
      <c r="V1029" s="38"/>
      <c r="W1029" s="34" t="str">
        <f>IFERROR(__xludf.DUMMYFUNCTION("""COMPUTED_VALUE"""),"")</f>
        <v/>
      </c>
      <c r="X1029" s="35" t="str">
        <f>IFERROR(__xludf.DUMMYFUNCTION("""COMPUTED_VALUE"""),"AP")</f>
        <v>AP</v>
      </c>
      <c r="Y1029" s="34" t="str">
        <f>IFERROR(__xludf.DUMMYFUNCTION("""COMPUTED_VALUE"""),"")</f>
        <v/>
      </c>
      <c r="Z1029" s="35" t="str">
        <f>IFERROR(__xludf.DUMMYFUNCTION("""COMPUTED_VALUE"""),"%")</f>
        <v>%</v>
      </c>
      <c r="AA1029" s="36">
        <f>IFERROR(__xludf.DUMMYFUNCTION("""COMPUTED_VALUE"""),3.0)</f>
        <v>3</v>
      </c>
      <c r="AB1029" s="37"/>
      <c r="AC1029" s="38"/>
      <c r="AD1029" s="34" t="str">
        <f>IFERROR(__xludf.DUMMYFUNCTION("""COMPUTED_VALUE"""),"")</f>
        <v/>
      </c>
      <c r="AE1029" s="35" t="str">
        <f>IFERROR(__xludf.DUMMYFUNCTION("""COMPUTED_VALUE"""),"AP")</f>
        <v>AP</v>
      </c>
      <c r="AF1029" s="34" t="str">
        <f>IFERROR(__xludf.DUMMYFUNCTION("""COMPUTED_VALUE"""),"")</f>
        <v/>
      </c>
      <c r="AG1029" s="35" t="str">
        <f>IFERROR(__xludf.DUMMYFUNCTION("""COMPUTED_VALUE"""),"%")</f>
        <v>%</v>
      </c>
      <c r="AH1029" s="31"/>
      <c r="AI1029" s="32"/>
      <c r="AJ1029" s="67"/>
    </row>
    <row r="1030" ht="24.75" hidden="1" customHeight="1">
      <c r="A1030" s="40">
        <f>IFERROR(__xludf.DUMMYFUNCTION("""COMPUTED_VALUE"""),16.0)</f>
        <v>16</v>
      </c>
      <c r="B1030" s="40" t="str">
        <f>IFERROR(__xludf.DUMMYFUNCTION("""COMPUTED_VALUE"""),"A117")</f>
        <v>A117</v>
      </c>
      <c r="C1030" s="40"/>
      <c r="D1030" s="41"/>
      <c r="E1030" s="66"/>
      <c r="F1030" s="43"/>
      <c r="G1030" s="44"/>
      <c r="H1030" s="33" t="str">
        <f>IFERROR(__xludf.DUMMYFUNCTION("""COMPUTED_VALUE""")," ")</f>
        <v> </v>
      </c>
      <c r="I1030" s="45"/>
      <c r="J1030" s="46" t="str">
        <f>IFERROR(__xludf.DUMMYFUNCTION("""COMPUTED_VALUE"""),"AP")</f>
        <v>AP</v>
      </c>
      <c r="K1030" s="47"/>
      <c r="L1030" s="48" t="str">
        <f>IFERROR(__xludf.DUMMYFUNCTION("""COMPUTED_VALUE"""),"%")</f>
        <v>%</v>
      </c>
      <c r="M1030" s="49">
        <f>IFERROR(__xludf.DUMMYFUNCTION("""COMPUTED_VALUE"""),1.0)</f>
        <v>1</v>
      </c>
      <c r="N1030" s="50"/>
      <c r="O1030" s="38"/>
      <c r="P1030" s="45" t="str">
        <f>IFERROR(__xludf.DUMMYFUNCTION("""COMPUTED_VALUE"""),"")</f>
        <v/>
      </c>
      <c r="Q1030" s="46" t="str">
        <f>IFERROR(__xludf.DUMMYFUNCTION("""COMPUTED_VALUE"""),"AP")</f>
        <v>AP</v>
      </c>
      <c r="R1030" s="47" t="str">
        <f>IFERROR(__xludf.DUMMYFUNCTION("""COMPUTED_VALUE"""),"")</f>
        <v/>
      </c>
      <c r="S1030" s="48" t="str">
        <f>IFERROR(__xludf.DUMMYFUNCTION("""COMPUTED_VALUE"""),"%")</f>
        <v>%</v>
      </c>
      <c r="T1030" s="49">
        <f>IFERROR(__xludf.DUMMYFUNCTION("""COMPUTED_VALUE"""),2.0)</f>
        <v>2</v>
      </c>
      <c r="U1030" s="50"/>
      <c r="V1030" s="38"/>
      <c r="W1030" s="45" t="str">
        <f>IFERROR(__xludf.DUMMYFUNCTION("""COMPUTED_VALUE"""),"")</f>
        <v/>
      </c>
      <c r="X1030" s="46" t="str">
        <f>IFERROR(__xludf.DUMMYFUNCTION("""COMPUTED_VALUE"""),"AP")</f>
        <v>AP</v>
      </c>
      <c r="Y1030" s="47" t="str">
        <f>IFERROR(__xludf.DUMMYFUNCTION("""COMPUTED_VALUE"""),"")</f>
        <v/>
      </c>
      <c r="Z1030" s="48" t="str">
        <f>IFERROR(__xludf.DUMMYFUNCTION("""COMPUTED_VALUE"""),"%")</f>
        <v>%</v>
      </c>
      <c r="AA1030" s="49">
        <f>IFERROR(__xludf.DUMMYFUNCTION("""COMPUTED_VALUE"""),3.0)</f>
        <v>3</v>
      </c>
      <c r="AB1030" s="50"/>
      <c r="AC1030" s="38"/>
      <c r="AD1030" s="45" t="str">
        <f>IFERROR(__xludf.DUMMYFUNCTION("""COMPUTED_VALUE"""),"")</f>
        <v/>
      </c>
      <c r="AE1030" s="46" t="str">
        <f>IFERROR(__xludf.DUMMYFUNCTION("""COMPUTED_VALUE"""),"AP")</f>
        <v>AP</v>
      </c>
      <c r="AF1030" s="47" t="str">
        <f>IFERROR(__xludf.DUMMYFUNCTION("""COMPUTED_VALUE"""),"")</f>
        <v/>
      </c>
      <c r="AG1030" s="48" t="str">
        <f>IFERROR(__xludf.DUMMYFUNCTION("""COMPUTED_VALUE"""),"%")</f>
        <v>%</v>
      </c>
      <c r="AH1030" s="43"/>
      <c r="AI1030" s="44"/>
      <c r="AJ1030" s="66"/>
    </row>
    <row r="1031" ht="24.75" hidden="1" customHeight="1">
      <c r="A1031" s="28">
        <f>IFERROR(__xludf.DUMMYFUNCTION("""COMPUTED_VALUE"""),17.0)</f>
        <v>17</v>
      </c>
      <c r="B1031" s="28" t="str">
        <f>IFERROR(__xludf.DUMMYFUNCTION("""COMPUTED_VALUE"""),"A117")</f>
        <v>A117</v>
      </c>
      <c r="C1031" s="28"/>
      <c r="D1031" s="29"/>
      <c r="E1031" s="67"/>
      <c r="F1031" s="31"/>
      <c r="G1031" s="32"/>
      <c r="H1031" s="33" t="str">
        <f>IFERROR(__xludf.DUMMYFUNCTION("""COMPUTED_VALUE""")," ")</f>
        <v> </v>
      </c>
      <c r="I1031" s="34"/>
      <c r="J1031" s="35" t="str">
        <f>IFERROR(__xludf.DUMMYFUNCTION("""COMPUTED_VALUE"""),"AP")</f>
        <v>AP</v>
      </c>
      <c r="K1031" s="34"/>
      <c r="L1031" s="35" t="str">
        <f>IFERROR(__xludf.DUMMYFUNCTION("""COMPUTED_VALUE"""),"%")</f>
        <v>%</v>
      </c>
      <c r="M1031" s="36">
        <f>IFERROR(__xludf.DUMMYFUNCTION("""COMPUTED_VALUE"""),1.0)</f>
        <v>1</v>
      </c>
      <c r="N1031" s="37"/>
      <c r="O1031" s="38"/>
      <c r="P1031" s="34" t="str">
        <f>IFERROR(__xludf.DUMMYFUNCTION("""COMPUTED_VALUE"""),"")</f>
        <v/>
      </c>
      <c r="Q1031" s="35" t="str">
        <f>IFERROR(__xludf.DUMMYFUNCTION("""COMPUTED_VALUE"""),"AP")</f>
        <v>AP</v>
      </c>
      <c r="R1031" s="34" t="str">
        <f>IFERROR(__xludf.DUMMYFUNCTION("""COMPUTED_VALUE"""),"")</f>
        <v/>
      </c>
      <c r="S1031" s="35" t="str">
        <f>IFERROR(__xludf.DUMMYFUNCTION("""COMPUTED_VALUE"""),"%")</f>
        <v>%</v>
      </c>
      <c r="T1031" s="36">
        <f>IFERROR(__xludf.DUMMYFUNCTION("""COMPUTED_VALUE"""),2.0)</f>
        <v>2</v>
      </c>
      <c r="U1031" s="37"/>
      <c r="V1031" s="38"/>
      <c r="W1031" s="34" t="str">
        <f>IFERROR(__xludf.DUMMYFUNCTION("""COMPUTED_VALUE"""),"")</f>
        <v/>
      </c>
      <c r="X1031" s="35" t="str">
        <f>IFERROR(__xludf.DUMMYFUNCTION("""COMPUTED_VALUE"""),"AP")</f>
        <v>AP</v>
      </c>
      <c r="Y1031" s="34" t="str">
        <f>IFERROR(__xludf.DUMMYFUNCTION("""COMPUTED_VALUE"""),"")</f>
        <v/>
      </c>
      <c r="Z1031" s="35" t="str">
        <f>IFERROR(__xludf.DUMMYFUNCTION("""COMPUTED_VALUE"""),"%")</f>
        <v>%</v>
      </c>
      <c r="AA1031" s="36">
        <f>IFERROR(__xludf.DUMMYFUNCTION("""COMPUTED_VALUE"""),3.0)</f>
        <v>3</v>
      </c>
      <c r="AB1031" s="37"/>
      <c r="AC1031" s="38"/>
      <c r="AD1031" s="34" t="str">
        <f>IFERROR(__xludf.DUMMYFUNCTION("""COMPUTED_VALUE"""),"")</f>
        <v/>
      </c>
      <c r="AE1031" s="35" t="str">
        <f>IFERROR(__xludf.DUMMYFUNCTION("""COMPUTED_VALUE"""),"AP")</f>
        <v>AP</v>
      </c>
      <c r="AF1031" s="34" t="str">
        <f>IFERROR(__xludf.DUMMYFUNCTION("""COMPUTED_VALUE"""),"")</f>
        <v/>
      </c>
      <c r="AG1031" s="35" t="str">
        <f>IFERROR(__xludf.DUMMYFUNCTION("""COMPUTED_VALUE"""),"%")</f>
        <v>%</v>
      </c>
      <c r="AH1031" s="31"/>
      <c r="AI1031" s="32"/>
      <c r="AJ1031" s="67"/>
    </row>
    <row r="1032" ht="24.75" hidden="1" customHeight="1">
      <c r="A1032" s="40">
        <f>IFERROR(__xludf.DUMMYFUNCTION("""COMPUTED_VALUE"""),18.0)</f>
        <v>18</v>
      </c>
      <c r="B1032" s="40" t="str">
        <f>IFERROR(__xludf.DUMMYFUNCTION("""COMPUTED_VALUE"""),"A117")</f>
        <v>A117</v>
      </c>
      <c r="C1032" s="40"/>
      <c r="D1032" s="41"/>
      <c r="E1032" s="66"/>
      <c r="F1032" s="43"/>
      <c r="G1032" s="44"/>
      <c r="H1032" s="33" t="str">
        <f>IFERROR(__xludf.DUMMYFUNCTION("""COMPUTED_VALUE""")," ")</f>
        <v> </v>
      </c>
      <c r="I1032" s="45"/>
      <c r="J1032" s="46" t="str">
        <f>IFERROR(__xludf.DUMMYFUNCTION("""COMPUTED_VALUE"""),"AP")</f>
        <v>AP</v>
      </c>
      <c r="K1032" s="47"/>
      <c r="L1032" s="48" t="str">
        <f>IFERROR(__xludf.DUMMYFUNCTION("""COMPUTED_VALUE"""),"%")</f>
        <v>%</v>
      </c>
      <c r="M1032" s="49">
        <f>IFERROR(__xludf.DUMMYFUNCTION("""COMPUTED_VALUE"""),1.0)</f>
        <v>1</v>
      </c>
      <c r="N1032" s="50"/>
      <c r="O1032" s="38"/>
      <c r="P1032" s="45" t="str">
        <f>IFERROR(__xludf.DUMMYFUNCTION("""COMPUTED_VALUE"""),"")</f>
        <v/>
      </c>
      <c r="Q1032" s="46" t="str">
        <f>IFERROR(__xludf.DUMMYFUNCTION("""COMPUTED_VALUE"""),"AP")</f>
        <v>AP</v>
      </c>
      <c r="R1032" s="47" t="str">
        <f>IFERROR(__xludf.DUMMYFUNCTION("""COMPUTED_VALUE"""),"")</f>
        <v/>
      </c>
      <c r="S1032" s="48" t="str">
        <f>IFERROR(__xludf.DUMMYFUNCTION("""COMPUTED_VALUE"""),"%")</f>
        <v>%</v>
      </c>
      <c r="T1032" s="49">
        <f>IFERROR(__xludf.DUMMYFUNCTION("""COMPUTED_VALUE"""),2.0)</f>
        <v>2</v>
      </c>
      <c r="U1032" s="50"/>
      <c r="V1032" s="38"/>
      <c r="W1032" s="45" t="str">
        <f>IFERROR(__xludf.DUMMYFUNCTION("""COMPUTED_VALUE"""),"")</f>
        <v/>
      </c>
      <c r="X1032" s="46" t="str">
        <f>IFERROR(__xludf.DUMMYFUNCTION("""COMPUTED_VALUE"""),"AP")</f>
        <v>AP</v>
      </c>
      <c r="Y1032" s="47" t="str">
        <f>IFERROR(__xludf.DUMMYFUNCTION("""COMPUTED_VALUE"""),"")</f>
        <v/>
      </c>
      <c r="Z1032" s="48" t="str">
        <f>IFERROR(__xludf.DUMMYFUNCTION("""COMPUTED_VALUE"""),"%")</f>
        <v>%</v>
      </c>
      <c r="AA1032" s="49">
        <f>IFERROR(__xludf.DUMMYFUNCTION("""COMPUTED_VALUE"""),3.0)</f>
        <v>3</v>
      </c>
      <c r="AB1032" s="50"/>
      <c r="AC1032" s="38"/>
      <c r="AD1032" s="45" t="str">
        <f>IFERROR(__xludf.DUMMYFUNCTION("""COMPUTED_VALUE"""),"")</f>
        <v/>
      </c>
      <c r="AE1032" s="46" t="str">
        <f>IFERROR(__xludf.DUMMYFUNCTION("""COMPUTED_VALUE"""),"AP")</f>
        <v>AP</v>
      </c>
      <c r="AF1032" s="47" t="str">
        <f>IFERROR(__xludf.DUMMYFUNCTION("""COMPUTED_VALUE"""),"")</f>
        <v/>
      </c>
      <c r="AG1032" s="48" t="str">
        <f>IFERROR(__xludf.DUMMYFUNCTION("""COMPUTED_VALUE"""),"%")</f>
        <v>%</v>
      </c>
      <c r="AH1032" s="43"/>
      <c r="AI1032" s="44"/>
      <c r="AJ1032" s="66"/>
    </row>
    <row r="1033" ht="24.75" hidden="1" customHeight="1">
      <c r="A1033" s="28">
        <f>IFERROR(__xludf.DUMMYFUNCTION("""COMPUTED_VALUE"""),19.0)</f>
        <v>19</v>
      </c>
      <c r="B1033" s="28" t="str">
        <f>IFERROR(__xludf.DUMMYFUNCTION("""COMPUTED_VALUE"""),"A117")</f>
        <v>A117</v>
      </c>
      <c r="C1033" s="28"/>
      <c r="D1033" s="29"/>
      <c r="E1033" s="67"/>
      <c r="F1033" s="31"/>
      <c r="G1033" s="32"/>
      <c r="H1033" s="33" t="str">
        <f>IFERROR(__xludf.DUMMYFUNCTION("""COMPUTED_VALUE""")," ")</f>
        <v> </v>
      </c>
      <c r="I1033" s="34"/>
      <c r="J1033" s="35" t="str">
        <f>IFERROR(__xludf.DUMMYFUNCTION("""COMPUTED_VALUE"""),"AP")</f>
        <v>AP</v>
      </c>
      <c r="K1033" s="34"/>
      <c r="L1033" s="35" t="str">
        <f>IFERROR(__xludf.DUMMYFUNCTION("""COMPUTED_VALUE"""),"%")</f>
        <v>%</v>
      </c>
      <c r="M1033" s="36">
        <f>IFERROR(__xludf.DUMMYFUNCTION("""COMPUTED_VALUE"""),1.0)</f>
        <v>1</v>
      </c>
      <c r="N1033" s="37"/>
      <c r="O1033" s="38"/>
      <c r="P1033" s="34" t="str">
        <f>IFERROR(__xludf.DUMMYFUNCTION("""COMPUTED_VALUE"""),"")</f>
        <v/>
      </c>
      <c r="Q1033" s="35" t="str">
        <f>IFERROR(__xludf.DUMMYFUNCTION("""COMPUTED_VALUE"""),"AP")</f>
        <v>AP</v>
      </c>
      <c r="R1033" s="34" t="str">
        <f>IFERROR(__xludf.DUMMYFUNCTION("""COMPUTED_VALUE"""),"")</f>
        <v/>
      </c>
      <c r="S1033" s="35" t="str">
        <f>IFERROR(__xludf.DUMMYFUNCTION("""COMPUTED_VALUE"""),"%")</f>
        <v>%</v>
      </c>
      <c r="T1033" s="36">
        <f>IFERROR(__xludf.DUMMYFUNCTION("""COMPUTED_VALUE"""),2.0)</f>
        <v>2</v>
      </c>
      <c r="U1033" s="37"/>
      <c r="V1033" s="38"/>
      <c r="W1033" s="34" t="str">
        <f>IFERROR(__xludf.DUMMYFUNCTION("""COMPUTED_VALUE"""),"")</f>
        <v/>
      </c>
      <c r="X1033" s="35" t="str">
        <f>IFERROR(__xludf.DUMMYFUNCTION("""COMPUTED_VALUE"""),"AP")</f>
        <v>AP</v>
      </c>
      <c r="Y1033" s="34" t="str">
        <f>IFERROR(__xludf.DUMMYFUNCTION("""COMPUTED_VALUE"""),"")</f>
        <v/>
      </c>
      <c r="Z1033" s="35" t="str">
        <f>IFERROR(__xludf.DUMMYFUNCTION("""COMPUTED_VALUE"""),"%")</f>
        <v>%</v>
      </c>
      <c r="AA1033" s="36">
        <f>IFERROR(__xludf.DUMMYFUNCTION("""COMPUTED_VALUE"""),3.0)</f>
        <v>3</v>
      </c>
      <c r="AB1033" s="37"/>
      <c r="AC1033" s="38"/>
      <c r="AD1033" s="34" t="str">
        <f>IFERROR(__xludf.DUMMYFUNCTION("""COMPUTED_VALUE"""),"")</f>
        <v/>
      </c>
      <c r="AE1033" s="35" t="str">
        <f>IFERROR(__xludf.DUMMYFUNCTION("""COMPUTED_VALUE"""),"AP")</f>
        <v>AP</v>
      </c>
      <c r="AF1033" s="34" t="str">
        <f>IFERROR(__xludf.DUMMYFUNCTION("""COMPUTED_VALUE"""),"")</f>
        <v/>
      </c>
      <c r="AG1033" s="35" t="str">
        <f>IFERROR(__xludf.DUMMYFUNCTION("""COMPUTED_VALUE"""),"%")</f>
        <v>%</v>
      </c>
      <c r="AH1033" s="31"/>
      <c r="AI1033" s="32"/>
      <c r="AJ1033" s="67"/>
    </row>
    <row r="1034" ht="24.75" hidden="1" customHeight="1">
      <c r="A1034" s="40">
        <f>IFERROR(__xludf.DUMMYFUNCTION("""COMPUTED_VALUE"""),20.0)</f>
        <v>20</v>
      </c>
      <c r="B1034" s="40" t="str">
        <f>IFERROR(__xludf.DUMMYFUNCTION("""COMPUTED_VALUE"""),"A117")</f>
        <v>A117</v>
      </c>
      <c r="C1034" s="40"/>
      <c r="D1034" s="41"/>
      <c r="E1034" s="66"/>
      <c r="F1034" s="43"/>
      <c r="G1034" s="44"/>
      <c r="H1034" s="33" t="str">
        <f>IFERROR(__xludf.DUMMYFUNCTION("""COMPUTED_VALUE""")," ")</f>
        <v> </v>
      </c>
      <c r="I1034" s="45"/>
      <c r="J1034" s="46" t="str">
        <f>IFERROR(__xludf.DUMMYFUNCTION("""COMPUTED_VALUE"""),"AP")</f>
        <v>AP</v>
      </c>
      <c r="K1034" s="47"/>
      <c r="L1034" s="48" t="str">
        <f>IFERROR(__xludf.DUMMYFUNCTION("""COMPUTED_VALUE"""),"%")</f>
        <v>%</v>
      </c>
      <c r="M1034" s="49">
        <f>IFERROR(__xludf.DUMMYFUNCTION("""COMPUTED_VALUE"""),1.0)</f>
        <v>1</v>
      </c>
      <c r="N1034" s="50"/>
      <c r="O1034" s="38"/>
      <c r="P1034" s="45" t="str">
        <f>IFERROR(__xludf.DUMMYFUNCTION("""COMPUTED_VALUE"""),"")</f>
        <v/>
      </c>
      <c r="Q1034" s="46" t="str">
        <f>IFERROR(__xludf.DUMMYFUNCTION("""COMPUTED_VALUE"""),"AP")</f>
        <v>AP</v>
      </c>
      <c r="R1034" s="47" t="str">
        <f>IFERROR(__xludf.DUMMYFUNCTION("""COMPUTED_VALUE"""),"")</f>
        <v/>
      </c>
      <c r="S1034" s="48" t="str">
        <f>IFERROR(__xludf.DUMMYFUNCTION("""COMPUTED_VALUE"""),"%")</f>
        <v>%</v>
      </c>
      <c r="T1034" s="49">
        <f>IFERROR(__xludf.DUMMYFUNCTION("""COMPUTED_VALUE"""),2.0)</f>
        <v>2</v>
      </c>
      <c r="U1034" s="50"/>
      <c r="V1034" s="38"/>
      <c r="W1034" s="45" t="str">
        <f>IFERROR(__xludf.DUMMYFUNCTION("""COMPUTED_VALUE"""),"")</f>
        <v/>
      </c>
      <c r="X1034" s="46" t="str">
        <f>IFERROR(__xludf.DUMMYFUNCTION("""COMPUTED_VALUE"""),"AP")</f>
        <v>AP</v>
      </c>
      <c r="Y1034" s="47" t="str">
        <f>IFERROR(__xludf.DUMMYFUNCTION("""COMPUTED_VALUE"""),"")</f>
        <v/>
      </c>
      <c r="Z1034" s="48" t="str">
        <f>IFERROR(__xludf.DUMMYFUNCTION("""COMPUTED_VALUE"""),"%")</f>
        <v>%</v>
      </c>
      <c r="AA1034" s="49">
        <f>IFERROR(__xludf.DUMMYFUNCTION("""COMPUTED_VALUE"""),3.0)</f>
        <v>3</v>
      </c>
      <c r="AB1034" s="50"/>
      <c r="AC1034" s="38"/>
      <c r="AD1034" s="45" t="str">
        <f>IFERROR(__xludf.DUMMYFUNCTION("""COMPUTED_VALUE"""),"")</f>
        <v/>
      </c>
      <c r="AE1034" s="46" t="str">
        <f>IFERROR(__xludf.DUMMYFUNCTION("""COMPUTED_VALUE"""),"AP")</f>
        <v>AP</v>
      </c>
      <c r="AF1034" s="47" t="str">
        <f>IFERROR(__xludf.DUMMYFUNCTION("""COMPUTED_VALUE"""),"")</f>
        <v/>
      </c>
      <c r="AG1034" s="48" t="str">
        <f>IFERROR(__xludf.DUMMYFUNCTION("""COMPUTED_VALUE"""),"%")</f>
        <v>%</v>
      </c>
      <c r="AH1034" s="43"/>
      <c r="AI1034" s="44"/>
      <c r="AJ1034" s="66"/>
    </row>
    <row r="1035">
      <c r="A1035" s="52"/>
      <c r="B1035" s="53"/>
      <c r="C1035" s="54"/>
      <c r="D1035" s="56"/>
      <c r="E1035" s="56"/>
      <c r="F1035" s="53"/>
      <c r="G1035" s="53"/>
      <c r="H1035" s="53"/>
      <c r="I1035" s="53"/>
      <c r="J1035" s="57"/>
      <c r="K1035" s="53"/>
      <c r="L1035" s="57"/>
      <c r="M1035" s="53"/>
      <c r="N1035" s="53"/>
      <c r="O1035" s="53"/>
      <c r="P1035" s="53"/>
      <c r="Q1035" s="57"/>
      <c r="R1035" s="53"/>
      <c r="S1035" s="57"/>
      <c r="T1035" s="53"/>
      <c r="U1035" s="53"/>
      <c r="V1035" s="53"/>
      <c r="W1035" s="53"/>
      <c r="X1035" s="57"/>
      <c r="Y1035" s="53"/>
      <c r="Z1035" s="57"/>
      <c r="AA1035" s="53"/>
      <c r="AB1035" s="53"/>
      <c r="AC1035" s="53"/>
      <c r="AD1035" s="53"/>
      <c r="AE1035" s="57"/>
      <c r="AF1035" s="53"/>
      <c r="AG1035" s="57"/>
      <c r="AH1035" s="53"/>
      <c r="AI1035" s="53"/>
      <c r="AJ1035" s="56"/>
    </row>
    <row r="1036" hidden="1">
      <c r="A1036" s="68"/>
      <c r="B1036" s="68"/>
      <c r="C1036" s="69"/>
      <c r="D1036" s="71"/>
      <c r="E1036" s="71"/>
      <c r="F1036" s="68"/>
      <c r="G1036" s="68"/>
      <c r="H1036" s="68"/>
      <c r="I1036" s="68"/>
      <c r="J1036" s="72"/>
      <c r="K1036" s="68"/>
      <c r="L1036" s="72"/>
      <c r="M1036" s="68"/>
      <c r="N1036" s="68"/>
      <c r="O1036" s="68"/>
      <c r="P1036" s="68"/>
      <c r="Q1036" s="72"/>
      <c r="R1036" s="68"/>
      <c r="S1036" s="72"/>
      <c r="T1036" s="68"/>
      <c r="U1036" s="68"/>
      <c r="V1036" s="68"/>
      <c r="W1036" s="68"/>
      <c r="X1036" s="72"/>
      <c r="Y1036" s="68"/>
      <c r="Z1036" s="72"/>
      <c r="AA1036" s="68"/>
      <c r="AB1036" s="68"/>
      <c r="AC1036" s="68"/>
      <c r="AD1036" s="68"/>
      <c r="AE1036" s="72"/>
      <c r="AF1036" s="68"/>
      <c r="AG1036" s="72"/>
      <c r="AH1036" s="68"/>
      <c r="AI1036" s="68"/>
      <c r="AJ1036" s="71"/>
    </row>
    <row r="1037" hidden="1">
      <c r="A1037" s="68"/>
      <c r="B1037" s="68"/>
      <c r="C1037" s="69"/>
      <c r="D1037" s="71"/>
      <c r="E1037" s="71"/>
      <c r="F1037" s="68"/>
      <c r="G1037" s="68"/>
      <c r="H1037" s="68"/>
      <c r="I1037" s="68"/>
      <c r="J1037" s="72"/>
      <c r="K1037" s="68"/>
      <c r="L1037" s="72"/>
      <c r="M1037" s="68"/>
      <c r="N1037" s="68"/>
      <c r="O1037" s="68"/>
      <c r="P1037" s="68"/>
      <c r="Q1037" s="72"/>
      <c r="R1037" s="68"/>
      <c r="S1037" s="72"/>
      <c r="T1037" s="68"/>
      <c r="U1037" s="68"/>
      <c r="V1037" s="68"/>
      <c r="W1037" s="68"/>
      <c r="X1037" s="72"/>
      <c r="Y1037" s="68"/>
      <c r="Z1037" s="72"/>
      <c r="AA1037" s="68"/>
      <c r="AB1037" s="68"/>
      <c r="AC1037" s="68"/>
      <c r="AD1037" s="68"/>
      <c r="AE1037" s="72"/>
      <c r="AF1037" s="68"/>
      <c r="AG1037" s="72"/>
      <c r="AH1037" s="68"/>
      <c r="AI1037" s="68"/>
      <c r="AJ1037" s="71"/>
    </row>
    <row r="1038" hidden="1">
      <c r="A1038" s="68"/>
      <c r="B1038" s="68"/>
      <c r="C1038" s="69"/>
      <c r="D1038" s="71"/>
      <c r="E1038" s="71"/>
      <c r="F1038" s="68"/>
      <c r="G1038" s="68"/>
      <c r="H1038" s="68"/>
      <c r="I1038" s="68"/>
      <c r="J1038" s="72"/>
      <c r="K1038" s="68"/>
      <c r="L1038" s="72"/>
      <c r="M1038" s="68"/>
      <c r="N1038" s="68"/>
      <c r="O1038" s="68"/>
      <c r="P1038" s="68"/>
      <c r="Q1038" s="72"/>
      <c r="R1038" s="68"/>
      <c r="S1038" s="72"/>
      <c r="T1038" s="68"/>
      <c r="U1038" s="68"/>
      <c r="V1038" s="68"/>
      <c r="W1038" s="68"/>
      <c r="X1038" s="72"/>
      <c r="Y1038" s="68"/>
      <c r="Z1038" s="72"/>
      <c r="AA1038" s="68"/>
      <c r="AB1038" s="68"/>
      <c r="AC1038" s="68"/>
      <c r="AD1038" s="68"/>
      <c r="AE1038" s="72"/>
      <c r="AF1038" s="68"/>
      <c r="AG1038" s="72"/>
      <c r="AH1038" s="68"/>
      <c r="AI1038" s="68"/>
      <c r="AJ1038" s="71"/>
    </row>
    <row r="1039" hidden="1">
      <c r="A1039" s="68"/>
      <c r="B1039" s="68"/>
      <c r="C1039" s="69"/>
      <c r="D1039" s="71"/>
      <c r="E1039" s="71"/>
      <c r="F1039" s="68"/>
      <c r="G1039" s="68"/>
      <c r="H1039" s="68"/>
      <c r="I1039" s="68"/>
      <c r="J1039" s="72"/>
      <c r="K1039" s="68"/>
      <c r="L1039" s="72"/>
      <c r="M1039" s="68"/>
      <c r="N1039" s="68"/>
      <c r="O1039" s="68"/>
      <c r="P1039" s="68"/>
      <c r="Q1039" s="72"/>
      <c r="R1039" s="68"/>
      <c r="S1039" s="72"/>
      <c r="T1039" s="68"/>
      <c r="U1039" s="68"/>
      <c r="V1039" s="68"/>
      <c r="W1039" s="68"/>
      <c r="X1039" s="72"/>
      <c r="Y1039" s="68"/>
      <c r="Z1039" s="72"/>
      <c r="AA1039" s="68"/>
      <c r="AB1039" s="68"/>
      <c r="AC1039" s="68"/>
      <c r="AD1039" s="68"/>
      <c r="AE1039" s="72"/>
      <c r="AF1039" s="68"/>
      <c r="AG1039" s="72"/>
      <c r="AH1039" s="68"/>
      <c r="AI1039" s="68"/>
      <c r="AJ1039" s="71"/>
    </row>
    <row r="1040" hidden="1">
      <c r="A1040" s="68"/>
      <c r="B1040" s="68"/>
      <c r="C1040" s="69"/>
      <c r="D1040" s="71"/>
      <c r="E1040" s="71"/>
      <c r="F1040" s="68"/>
      <c r="G1040" s="68"/>
      <c r="H1040" s="68"/>
      <c r="I1040" s="68"/>
      <c r="J1040" s="72"/>
      <c r="K1040" s="68"/>
      <c r="L1040" s="72"/>
      <c r="M1040" s="68"/>
      <c r="N1040" s="68"/>
      <c r="O1040" s="68"/>
      <c r="P1040" s="68"/>
      <c r="Q1040" s="72"/>
      <c r="R1040" s="68"/>
      <c r="S1040" s="72"/>
      <c r="T1040" s="68"/>
      <c r="U1040" s="68"/>
      <c r="V1040" s="68"/>
      <c r="W1040" s="68"/>
      <c r="X1040" s="72"/>
      <c r="Y1040" s="68"/>
      <c r="Z1040" s="72"/>
      <c r="AA1040" s="68"/>
      <c r="AB1040" s="68"/>
      <c r="AC1040" s="68"/>
      <c r="AD1040" s="68"/>
      <c r="AE1040" s="72"/>
      <c r="AF1040" s="68"/>
      <c r="AG1040" s="72"/>
      <c r="AH1040" s="68"/>
      <c r="AI1040" s="68"/>
      <c r="AJ1040" s="71"/>
    </row>
    <row r="1041" hidden="1">
      <c r="A1041" s="68"/>
      <c r="B1041" s="68"/>
      <c r="C1041" s="69"/>
      <c r="D1041" s="71"/>
      <c r="E1041" s="71"/>
      <c r="F1041" s="68"/>
      <c r="G1041" s="68"/>
      <c r="H1041" s="68"/>
      <c r="I1041" s="68"/>
      <c r="J1041" s="72"/>
      <c r="K1041" s="68"/>
      <c r="L1041" s="72"/>
      <c r="M1041" s="68"/>
      <c r="N1041" s="68"/>
      <c r="O1041" s="68"/>
      <c r="P1041" s="68"/>
      <c r="Q1041" s="72"/>
      <c r="R1041" s="68"/>
      <c r="S1041" s="72"/>
      <c r="T1041" s="68"/>
      <c r="U1041" s="68"/>
      <c r="V1041" s="68"/>
      <c r="W1041" s="68"/>
      <c r="X1041" s="72"/>
      <c r="Y1041" s="68"/>
      <c r="Z1041" s="72"/>
      <c r="AA1041" s="68"/>
      <c r="AB1041" s="68"/>
      <c r="AC1041" s="68"/>
      <c r="AD1041" s="68"/>
      <c r="AE1041" s="72"/>
      <c r="AF1041" s="68"/>
      <c r="AG1041" s="72"/>
      <c r="AH1041" s="68"/>
      <c r="AI1041" s="68"/>
      <c r="AJ1041" s="71"/>
    </row>
    <row r="1042" hidden="1">
      <c r="A1042" s="68"/>
      <c r="B1042" s="68"/>
      <c r="C1042" s="69"/>
      <c r="D1042" s="71"/>
      <c r="E1042" s="71"/>
      <c r="F1042" s="68"/>
      <c r="G1042" s="68"/>
      <c r="H1042" s="68"/>
      <c r="I1042" s="68"/>
      <c r="J1042" s="72"/>
      <c r="K1042" s="68"/>
      <c r="L1042" s="72"/>
      <c r="M1042" s="68"/>
      <c r="N1042" s="68"/>
      <c r="O1042" s="68"/>
      <c r="P1042" s="68"/>
      <c r="Q1042" s="72"/>
      <c r="R1042" s="68"/>
      <c r="S1042" s="72"/>
      <c r="T1042" s="68"/>
      <c r="U1042" s="68"/>
      <c r="V1042" s="68"/>
      <c r="W1042" s="68"/>
      <c r="X1042" s="72"/>
      <c r="Y1042" s="68"/>
      <c r="Z1042" s="72"/>
      <c r="AA1042" s="68"/>
      <c r="AB1042" s="68"/>
      <c r="AC1042" s="68"/>
      <c r="AD1042" s="68"/>
      <c r="AE1042" s="72"/>
      <c r="AF1042" s="68"/>
      <c r="AG1042" s="72"/>
      <c r="AH1042" s="68"/>
      <c r="AI1042" s="68"/>
      <c r="AJ1042" s="71"/>
    </row>
    <row r="1043" hidden="1">
      <c r="A1043" s="68"/>
      <c r="B1043" s="68"/>
      <c r="C1043" s="69"/>
      <c r="D1043" s="71"/>
      <c r="E1043" s="71"/>
      <c r="F1043" s="68"/>
      <c r="G1043" s="68"/>
      <c r="H1043" s="68"/>
      <c r="I1043" s="68"/>
      <c r="J1043" s="72"/>
      <c r="K1043" s="68"/>
      <c r="L1043" s="72"/>
      <c r="M1043" s="68"/>
      <c r="N1043" s="68"/>
      <c r="O1043" s="68"/>
      <c r="P1043" s="68"/>
      <c r="Q1043" s="72"/>
      <c r="R1043" s="68"/>
      <c r="S1043" s="72"/>
      <c r="T1043" s="68"/>
      <c r="U1043" s="68"/>
      <c r="V1043" s="68"/>
      <c r="W1043" s="68"/>
      <c r="X1043" s="72"/>
      <c r="Y1043" s="68"/>
      <c r="Z1043" s="72"/>
      <c r="AA1043" s="68"/>
      <c r="AB1043" s="68"/>
      <c r="AC1043" s="68"/>
      <c r="AD1043" s="68"/>
      <c r="AE1043" s="72"/>
      <c r="AF1043" s="68"/>
      <c r="AG1043" s="72"/>
      <c r="AH1043" s="68"/>
      <c r="AI1043" s="68"/>
      <c r="AJ1043" s="71"/>
    </row>
    <row r="1044" hidden="1">
      <c r="A1044" s="68"/>
      <c r="B1044" s="68"/>
      <c r="C1044" s="69"/>
      <c r="D1044" s="71"/>
      <c r="E1044" s="71"/>
      <c r="F1044" s="68"/>
      <c r="G1044" s="68"/>
      <c r="H1044" s="68"/>
      <c r="I1044" s="68"/>
      <c r="J1044" s="72"/>
      <c r="K1044" s="68"/>
      <c r="L1044" s="72"/>
      <c r="M1044" s="68"/>
      <c r="N1044" s="68"/>
      <c r="O1044" s="68"/>
      <c r="P1044" s="68"/>
      <c r="Q1044" s="72"/>
      <c r="R1044" s="68"/>
      <c r="S1044" s="72"/>
      <c r="T1044" s="68"/>
      <c r="U1044" s="68"/>
      <c r="V1044" s="68"/>
      <c r="W1044" s="68"/>
      <c r="X1044" s="72"/>
      <c r="Y1044" s="68"/>
      <c r="Z1044" s="72"/>
      <c r="AA1044" s="68"/>
      <c r="AB1044" s="68"/>
      <c r="AC1044" s="68"/>
      <c r="AD1044" s="68"/>
      <c r="AE1044" s="72"/>
      <c r="AF1044" s="68"/>
      <c r="AG1044" s="72"/>
      <c r="AH1044" s="68"/>
      <c r="AI1044" s="68"/>
      <c r="AJ1044" s="71"/>
    </row>
    <row r="1045" hidden="1">
      <c r="A1045" s="68"/>
      <c r="B1045" s="68"/>
      <c r="C1045" s="69"/>
      <c r="D1045" s="71"/>
      <c r="E1045" s="71"/>
      <c r="F1045" s="68"/>
      <c r="G1045" s="68"/>
      <c r="H1045" s="68"/>
      <c r="I1045" s="68"/>
      <c r="J1045" s="72"/>
      <c r="K1045" s="68"/>
      <c r="L1045" s="72"/>
      <c r="M1045" s="68"/>
      <c r="N1045" s="68"/>
      <c r="O1045" s="68"/>
      <c r="P1045" s="68"/>
      <c r="Q1045" s="72"/>
      <c r="R1045" s="68"/>
      <c r="S1045" s="72"/>
      <c r="T1045" s="68"/>
      <c r="U1045" s="68"/>
      <c r="V1045" s="68"/>
      <c r="W1045" s="68"/>
      <c r="X1045" s="72"/>
      <c r="Y1045" s="68"/>
      <c r="Z1045" s="72"/>
      <c r="AA1045" s="68"/>
      <c r="AB1045" s="68"/>
      <c r="AC1045" s="68"/>
      <c r="AD1045" s="68"/>
      <c r="AE1045" s="72"/>
      <c r="AF1045" s="68"/>
      <c r="AG1045" s="72"/>
      <c r="AH1045" s="68"/>
      <c r="AI1045" s="68"/>
      <c r="AJ1045" s="71"/>
    </row>
    <row r="1046" hidden="1">
      <c r="A1046" s="68"/>
      <c r="B1046" s="68"/>
      <c r="C1046" s="69"/>
      <c r="D1046" s="71"/>
      <c r="E1046" s="71"/>
      <c r="F1046" s="68"/>
      <c r="G1046" s="68"/>
      <c r="H1046" s="68"/>
      <c r="I1046" s="68"/>
      <c r="J1046" s="72"/>
      <c r="K1046" s="68"/>
      <c r="L1046" s="72"/>
      <c r="M1046" s="68"/>
      <c r="N1046" s="68"/>
      <c r="O1046" s="68"/>
      <c r="P1046" s="68"/>
      <c r="Q1046" s="72"/>
      <c r="R1046" s="68"/>
      <c r="S1046" s="72"/>
      <c r="T1046" s="68"/>
      <c r="U1046" s="68"/>
      <c r="V1046" s="68"/>
      <c r="W1046" s="68"/>
      <c r="X1046" s="72"/>
      <c r="Y1046" s="68"/>
      <c r="Z1046" s="72"/>
      <c r="AA1046" s="68"/>
      <c r="AB1046" s="68"/>
      <c r="AC1046" s="68"/>
      <c r="AD1046" s="68"/>
      <c r="AE1046" s="72"/>
      <c r="AF1046" s="68"/>
      <c r="AG1046" s="72"/>
      <c r="AH1046" s="68"/>
      <c r="AI1046" s="68"/>
      <c r="AJ1046" s="71"/>
    </row>
    <row r="1047" hidden="1">
      <c r="A1047" s="68"/>
      <c r="B1047" s="68"/>
      <c r="C1047" s="69"/>
      <c r="D1047" s="71"/>
      <c r="E1047" s="71"/>
      <c r="F1047" s="68"/>
      <c r="G1047" s="68"/>
      <c r="H1047" s="68"/>
      <c r="I1047" s="68"/>
      <c r="J1047" s="72"/>
      <c r="K1047" s="68"/>
      <c r="L1047" s="72"/>
      <c r="M1047" s="68"/>
      <c r="N1047" s="68"/>
      <c r="O1047" s="68"/>
      <c r="P1047" s="68"/>
      <c r="Q1047" s="72"/>
      <c r="R1047" s="68"/>
      <c r="S1047" s="72"/>
      <c r="T1047" s="68"/>
      <c r="U1047" s="68"/>
      <c r="V1047" s="68"/>
      <c r="W1047" s="68"/>
      <c r="X1047" s="72"/>
      <c r="Y1047" s="68"/>
      <c r="Z1047" s="72"/>
      <c r="AA1047" s="68"/>
      <c r="AB1047" s="68"/>
      <c r="AC1047" s="68"/>
      <c r="AD1047" s="68"/>
      <c r="AE1047" s="72"/>
      <c r="AF1047" s="68"/>
      <c r="AG1047" s="72"/>
      <c r="AH1047" s="68"/>
      <c r="AI1047" s="68"/>
      <c r="AJ1047" s="71"/>
    </row>
    <row r="1048" hidden="1">
      <c r="A1048" s="68"/>
      <c r="B1048" s="68"/>
      <c r="C1048" s="69"/>
      <c r="D1048" s="71"/>
      <c r="E1048" s="71"/>
      <c r="F1048" s="68"/>
      <c r="G1048" s="68"/>
      <c r="H1048" s="68"/>
      <c r="I1048" s="68"/>
      <c r="J1048" s="72"/>
      <c r="K1048" s="68"/>
      <c r="L1048" s="72"/>
      <c r="M1048" s="68"/>
      <c r="N1048" s="68"/>
      <c r="O1048" s="68"/>
      <c r="P1048" s="68"/>
      <c r="Q1048" s="72"/>
      <c r="R1048" s="68"/>
      <c r="S1048" s="72"/>
      <c r="T1048" s="68"/>
      <c r="U1048" s="68"/>
      <c r="V1048" s="68"/>
      <c r="W1048" s="68"/>
      <c r="X1048" s="72"/>
      <c r="Y1048" s="68"/>
      <c r="Z1048" s="72"/>
      <c r="AA1048" s="68"/>
      <c r="AB1048" s="68"/>
      <c r="AC1048" s="68"/>
      <c r="AD1048" s="68"/>
      <c r="AE1048" s="72"/>
      <c r="AF1048" s="68"/>
      <c r="AG1048" s="72"/>
      <c r="AH1048" s="68"/>
      <c r="AI1048" s="68"/>
      <c r="AJ1048" s="71"/>
    </row>
    <row r="1049" hidden="1">
      <c r="A1049" s="68"/>
      <c r="B1049" s="68"/>
      <c r="C1049" s="69"/>
      <c r="D1049" s="71"/>
      <c r="E1049" s="71"/>
      <c r="F1049" s="68"/>
      <c r="G1049" s="68"/>
      <c r="H1049" s="68"/>
      <c r="I1049" s="68"/>
      <c r="J1049" s="72"/>
      <c r="K1049" s="68"/>
      <c r="L1049" s="72"/>
      <c r="M1049" s="68"/>
      <c r="N1049" s="68"/>
      <c r="O1049" s="68"/>
      <c r="P1049" s="68"/>
      <c r="Q1049" s="72"/>
      <c r="R1049" s="68"/>
      <c r="S1049" s="72"/>
      <c r="T1049" s="68"/>
      <c r="U1049" s="68"/>
      <c r="V1049" s="68"/>
      <c r="W1049" s="68"/>
      <c r="X1049" s="72"/>
      <c r="Y1049" s="68"/>
      <c r="Z1049" s="72"/>
      <c r="AA1049" s="68"/>
      <c r="AB1049" s="68"/>
      <c r="AC1049" s="68"/>
      <c r="AD1049" s="68"/>
      <c r="AE1049" s="72"/>
      <c r="AF1049" s="68"/>
      <c r="AG1049" s="72"/>
      <c r="AH1049" s="68"/>
      <c r="AI1049" s="68"/>
      <c r="AJ1049" s="71"/>
    </row>
    <row r="1050" hidden="1">
      <c r="A1050" s="68"/>
      <c r="B1050" s="68"/>
      <c r="C1050" s="69"/>
      <c r="D1050" s="71"/>
      <c r="E1050" s="71"/>
      <c r="F1050" s="68"/>
      <c r="G1050" s="68"/>
      <c r="H1050" s="68"/>
      <c r="I1050" s="68"/>
      <c r="J1050" s="72"/>
      <c r="K1050" s="68"/>
      <c r="L1050" s="72"/>
      <c r="M1050" s="68"/>
      <c r="N1050" s="68"/>
      <c r="O1050" s="68"/>
      <c r="P1050" s="68"/>
      <c r="Q1050" s="72"/>
      <c r="R1050" s="68"/>
      <c r="S1050" s="72"/>
      <c r="T1050" s="68"/>
      <c r="U1050" s="68"/>
      <c r="V1050" s="68"/>
      <c r="W1050" s="68"/>
      <c r="X1050" s="72"/>
      <c r="Y1050" s="68"/>
      <c r="Z1050" s="72"/>
      <c r="AA1050" s="68"/>
      <c r="AB1050" s="68"/>
      <c r="AC1050" s="68"/>
      <c r="AD1050" s="68"/>
      <c r="AE1050" s="72"/>
      <c r="AF1050" s="68"/>
      <c r="AG1050" s="72"/>
      <c r="AH1050" s="68"/>
      <c r="AI1050" s="68"/>
      <c r="AJ1050" s="71"/>
    </row>
    <row r="1051" hidden="1">
      <c r="A1051" s="68"/>
      <c r="B1051" s="68"/>
      <c r="C1051" s="69"/>
      <c r="D1051" s="71"/>
      <c r="E1051" s="71"/>
      <c r="F1051" s="68"/>
      <c r="G1051" s="68"/>
      <c r="H1051" s="68"/>
      <c r="I1051" s="68"/>
      <c r="J1051" s="72"/>
      <c r="K1051" s="68"/>
      <c r="L1051" s="72"/>
      <c r="M1051" s="68"/>
      <c r="N1051" s="68"/>
      <c r="O1051" s="68"/>
      <c r="P1051" s="68"/>
      <c r="Q1051" s="72"/>
      <c r="R1051" s="68"/>
      <c r="S1051" s="72"/>
      <c r="T1051" s="68"/>
      <c r="U1051" s="68"/>
      <c r="V1051" s="68"/>
      <c r="W1051" s="68"/>
      <c r="X1051" s="72"/>
      <c r="Y1051" s="68"/>
      <c r="Z1051" s="72"/>
      <c r="AA1051" s="68"/>
      <c r="AB1051" s="68"/>
      <c r="AC1051" s="68"/>
      <c r="AD1051" s="68"/>
      <c r="AE1051" s="72"/>
      <c r="AF1051" s="68"/>
      <c r="AG1051" s="72"/>
      <c r="AH1051" s="68"/>
      <c r="AI1051" s="68"/>
      <c r="AJ1051" s="71"/>
    </row>
    <row r="1052" hidden="1">
      <c r="A1052" s="68"/>
      <c r="B1052" s="68"/>
      <c r="C1052" s="69"/>
      <c r="D1052" s="71"/>
      <c r="E1052" s="71"/>
      <c r="F1052" s="68"/>
      <c r="G1052" s="68"/>
      <c r="H1052" s="68"/>
      <c r="I1052" s="68"/>
      <c r="J1052" s="72"/>
      <c r="K1052" s="68"/>
      <c r="L1052" s="72"/>
      <c r="M1052" s="68"/>
      <c r="N1052" s="68"/>
      <c r="O1052" s="68"/>
      <c r="P1052" s="68"/>
      <c r="Q1052" s="72"/>
      <c r="R1052" s="68"/>
      <c r="S1052" s="72"/>
      <c r="T1052" s="68"/>
      <c r="U1052" s="68"/>
      <c r="V1052" s="68"/>
      <c r="W1052" s="68"/>
      <c r="X1052" s="72"/>
      <c r="Y1052" s="68"/>
      <c r="Z1052" s="72"/>
      <c r="AA1052" s="68"/>
      <c r="AB1052" s="68"/>
      <c r="AC1052" s="68"/>
      <c r="AD1052" s="68"/>
      <c r="AE1052" s="72"/>
      <c r="AF1052" s="68"/>
      <c r="AG1052" s="72"/>
      <c r="AH1052" s="68"/>
      <c r="AI1052" s="68"/>
      <c r="AJ1052" s="71"/>
    </row>
    <row r="1053" hidden="1">
      <c r="A1053" s="68"/>
      <c r="B1053" s="68"/>
      <c r="C1053" s="69"/>
      <c r="D1053" s="71"/>
      <c r="E1053" s="71"/>
      <c r="F1053" s="68"/>
      <c r="G1053" s="68"/>
      <c r="H1053" s="68"/>
      <c r="I1053" s="68"/>
      <c r="J1053" s="72"/>
      <c r="K1053" s="68"/>
      <c r="L1053" s="72"/>
      <c r="M1053" s="68"/>
      <c r="N1053" s="68"/>
      <c r="O1053" s="68"/>
      <c r="P1053" s="68"/>
      <c r="Q1053" s="72"/>
      <c r="R1053" s="68"/>
      <c r="S1053" s="72"/>
      <c r="T1053" s="68"/>
      <c r="U1053" s="68"/>
      <c r="V1053" s="68"/>
      <c r="W1053" s="68"/>
      <c r="X1053" s="72"/>
      <c r="Y1053" s="68"/>
      <c r="Z1053" s="72"/>
      <c r="AA1053" s="68"/>
      <c r="AB1053" s="68"/>
      <c r="AC1053" s="68"/>
      <c r="AD1053" s="68"/>
      <c r="AE1053" s="72"/>
      <c r="AF1053" s="68"/>
      <c r="AG1053" s="72"/>
      <c r="AH1053" s="68"/>
      <c r="AI1053" s="68"/>
      <c r="AJ1053" s="71"/>
    </row>
    <row r="1054" hidden="1">
      <c r="A1054" s="68"/>
      <c r="B1054" s="68"/>
      <c r="C1054" s="69"/>
      <c r="D1054" s="71"/>
      <c r="E1054" s="71"/>
      <c r="F1054" s="68"/>
      <c r="G1054" s="68"/>
      <c r="H1054" s="68"/>
      <c r="I1054" s="68"/>
      <c r="J1054" s="72"/>
      <c r="K1054" s="68"/>
      <c r="L1054" s="72"/>
      <c r="M1054" s="68"/>
      <c r="N1054" s="68"/>
      <c r="O1054" s="68"/>
      <c r="P1054" s="68"/>
      <c r="Q1054" s="72"/>
      <c r="R1054" s="68"/>
      <c r="S1054" s="72"/>
      <c r="T1054" s="68"/>
      <c r="U1054" s="68"/>
      <c r="V1054" s="68"/>
      <c r="W1054" s="68"/>
      <c r="X1054" s="72"/>
      <c r="Y1054" s="68"/>
      <c r="Z1054" s="72"/>
      <c r="AA1054" s="68"/>
      <c r="AB1054" s="68"/>
      <c r="AC1054" s="68"/>
      <c r="AD1054" s="68"/>
      <c r="AE1054" s="72"/>
      <c r="AF1054" s="68"/>
      <c r="AG1054" s="72"/>
      <c r="AH1054" s="68"/>
      <c r="AI1054" s="68"/>
      <c r="AJ1054" s="71"/>
    </row>
    <row r="1055" hidden="1">
      <c r="A1055" s="68"/>
      <c r="B1055" s="68"/>
      <c r="C1055" s="69"/>
      <c r="D1055" s="71"/>
      <c r="E1055" s="71"/>
      <c r="F1055" s="68"/>
      <c r="G1055" s="68"/>
      <c r="H1055" s="68"/>
      <c r="I1055" s="68"/>
      <c r="J1055" s="72"/>
      <c r="K1055" s="68"/>
      <c r="L1055" s="72"/>
      <c r="M1055" s="68"/>
      <c r="N1055" s="68"/>
      <c r="O1055" s="68"/>
      <c r="P1055" s="68"/>
      <c r="Q1055" s="72"/>
      <c r="R1055" s="68"/>
      <c r="S1055" s="72"/>
      <c r="T1055" s="68"/>
      <c r="U1055" s="68"/>
      <c r="V1055" s="68"/>
      <c r="W1055" s="68"/>
      <c r="X1055" s="72"/>
      <c r="Y1055" s="68"/>
      <c r="Z1055" s="72"/>
      <c r="AA1055" s="68"/>
      <c r="AB1055" s="68"/>
      <c r="AC1055" s="68"/>
      <c r="AD1055" s="68"/>
      <c r="AE1055" s="72"/>
      <c r="AF1055" s="68"/>
      <c r="AG1055" s="72"/>
      <c r="AH1055" s="68"/>
      <c r="AI1055" s="68"/>
      <c r="AJ1055" s="71"/>
    </row>
    <row r="1056" hidden="1">
      <c r="A1056" s="68"/>
      <c r="B1056" s="68"/>
      <c r="C1056" s="69"/>
      <c r="D1056" s="71"/>
      <c r="E1056" s="71"/>
      <c r="F1056" s="68"/>
      <c r="G1056" s="68"/>
      <c r="H1056" s="68"/>
      <c r="I1056" s="68"/>
      <c r="J1056" s="72"/>
      <c r="K1056" s="68"/>
      <c r="L1056" s="72"/>
      <c r="M1056" s="68"/>
      <c r="N1056" s="68"/>
      <c r="O1056" s="68"/>
      <c r="P1056" s="68"/>
      <c r="Q1056" s="72"/>
      <c r="R1056" s="68"/>
      <c r="S1056" s="72"/>
      <c r="T1056" s="68"/>
      <c r="U1056" s="68"/>
      <c r="V1056" s="68"/>
      <c r="W1056" s="68"/>
      <c r="X1056" s="72"/>
      <c r="Y1056" s="68"/>
      <c r="Z1056" s="72"/>
      <c r="AA1056" s="68"/>
      <c r="AB1056" s="68"/>
      <c r="AC1056" s="68"/>
      <c r="AD1056" s="68"/>
      <c r="AE1056" s="72"/>
      <c r="AF1056" s="68"/>
      <c r="AG1056" s="72"/>
      <c r="AH1056" s="68"/>
      <c r="AI1056" s="68"/>
      <c r="AJ1056" s="71"/>
    </row>
    <row r="1057" hidden="1">
      <c r="A1057" s="68"/>
      <c r="B1057" s="68"/>
      <c r="C1057" s="69"/>
      <c r="D1057" s="71"/>
      <c r="E1057" s="71"/>
      <c r="F1057" s="68"/>
      <c r="G1057" s="68"/>
      <c r="H1057" s="68"/>
      <c r="I1057" s="68"/>
      <c r="J1057" s="72"/>
      <c r="K1057" s="68"/>
      <c r="L1057" s="72"/>
      <c r="M1057" s="68"/>
      <c r="N1057" s="68"/>
      <c r="O1057" s="68"/>
      <c r="P1057" s="68"/>
      <c r="Q1057" s="72"/>
      <c r="R1057" s="68"/>
      <c r="S1057" s="72"/>
      <c r="T1057" s="68"/>
      <c r="U1057" s="68"/>
      <c r="V1057" s="68"/>
      <c r="W1057" s="68"/>
      <c r="X1057" s="72"/>
      <c r="Y1057" s="68"/>
      <c r="Z1057" s="72"/>
      <c r="AA1057" s="68"/>
      <c r="AB1057" s="68"/>
      <c r="AC1057" s="68"/>
      <c r="AD1057" s="68"/>
      <c r="AE1057" s="72"/>
      <c r="AF1057" s="68"/>
      <c r="AG1057" s="72"/>
      <c r="AH1057" s="68"/>
      <c r="AI1057" s="68"/>
      <c r="AJ1057" s="71"/>
    </row>
    <row r="1058" hidden="1">
      <c r="A1058" s="68"/>
      <c r="B1058" s="68"/>
      <c r="C1058" s="69"/>
      <c r="D1058" s="71"/>
      <c r="E1058" s="71"/>
      <c r="F1058" s="68"/>
      <c r="G1058" s="68"/>
      <c r="H1058" s="68"/>
      <c r="I1058" s="68"/>
      <c r="J1058" s="72"/>
      <c r="K1058" s="68"/>
      <c r="L1058" s="72"/>
      <c r="M1058" s="68"/>
      <c r="N1058" s="68"/>
      <c r="O1058" s="68"/>
      <c r="P1058" s="68"/>
      <c r="Q1058" s="72"/>
      <c r="R1058" s="68"/>
      <c r="S1058" s="72"/>
      <c r="T1058" s="68"/>
      <c r="U1058" s="68"/>
      <c r="V1058" s="68"/>
      <c r="W1058" s="68"/>
      <c r="X1058" s="72"/>
      <c r="Y1058" s="68"/>
      <c r="Z1058" s="72"/>
      <c r="AA1058" s="68"/>
      <c r="AB1058" s="68"/>
      <c r="AC1058" s="68"/>
      <c r="AD1058" s="68"/>
      <c r="AE1058" s="72"/>
      <c r="AF1058" s="68"/>
      <c r="AG1058" s="72"/>
      <c r="AH1058" s="68"/>
      <c r="AI1058" s="68"/>
      <c r="AJ1058" s="71"/>
    </row>
    <row r="1059" hidden="1">
      <c r="A1059" s="68"/>
      <c r="B1059" s="68"/>
      <c r="C1059" s="69"/>
      <c r="D1059" s="71"/>
      <c r="E1059" s="71"/>
      <c r="F1059" s="68"/>
      <c r="G1059" s="68"/>
      <c r="H1059" s="68"/>
      <c r="I1059" s="68"/>
      <c r="J1059" s="72"/>
      <c r="K1059" s="68"/>
      <c r="L1059" s="72"/>
      <c r="M1059" s="68"/>
      <c r="N1059" s="68"/>
      <c r="O1059" s="68"/>
      <c r="P1059" s="68"/>
      <c r="Q1059" s="72"/>
      <c r="R1059" s="68"/>
      <c r="S1059" s="72"/>
      <c r="T1059" s="68"/>
      <c r="U1059" s="68"/>
      <c r="V1059" s="68"/>
      <c r="W1059" s="68"/>
      <c r="X1059" s="72"/>
      <c r="Y1059" s="68"/>
      <c r="Z1059" s="72"/>
      <c r="AA1059" s="68"/>
      <c r="AB1059" s="68"/>
      <c r="AC1059" s="68"/>
      <c r="AD1059" s="68"/>
      <c r="AE1059" s="72"/>
      <c r="AF1059" s="68"/>
      <c r="AG1059" s="72"/>
      <c r="AH1059" s="68"/>
      <c r="AI1059" s="68"/>
      <c r="AJ1059" s="71"/>
    </row>
    <row r="1060" hidden="1">
      <c r="A1060" s="68"/>
      <c r="B1060" s="68"/>
      <c r="C1060" s="69"/>
      <c r="D1060" s="71"/>
      <c r="E1060" s="71"/>
      <c r="F1060" s="68"/>
      <c r="G1060" s="68"/>
      <c r="H1060" s="68"/>
      <c r="I1060" s="68"/>
      <c r="J1060" s="72"/>
      <c r="K1060" s="68"/>
      <c r="L1060" s="72"/>
      <c r="M1060" s="68"/>
      <c r="N1060" s="68"/>
      <c r="O1060" s="68"/>
      <c r="P1060" s="68"/>
      <c r="Q1060" s="72"/>
      <c r="R1060" s="68"/>
      <c r="S1060" s="72"/>
      <c r="T1060" s="68"/>
      <c r="U1060" s="68"/>
      <c r="V1060" s="68"/>
      <c r="W1060" s="68"/>
      <c r="X1060" s="72"/>
      <c r="Y1060" s="68"/>
      <c r="Z1060" s="72"/>
      <c r="AA1060" s="68"/>
      <c r="AB1060" s="68"/>
      <c r="AC1060" s="68"/>
      <c r="AD1060" s="68"/>
      <c r="AE1060" s="72"/>
      <c r="AF1060" s="68"/>
      <c r="AG1060" s="72"/>
      <c r="AH1060" s="68"/>
      <c r="AI1060" s="68"/>
      <c r="AJ1060" s="71"/>
    </row>
    <row r="1061" hidden="1">
      <c r="A1061" s="68"/>
      <c r="B1061" s="68"/>
      <c r="C1061" s="69"/>
      <c r="D1061" s="71"/>
      <c r="E1061" s="71"/>
      <c r="F1061" s="68"/>
      <c r="G1061" s="68"/>
      <c r="H1061" s="68"/>
      <c r="I1061" s="68"/>
      <c r="J1061" s="72"/>
      <c r="K1061" s="68"/>
      <c r="L1061" s="72"/>
      <c r="M1061" s="68"/>
      <c r="N1061" s="68"/>
      <c r="O1061" s="68"/>
      <c r="P1061" s="68"/>
      <c r="Q1061" s="72"/>
      <c r="R1061" s="68"/>
      <c r="S1061" s="72"/>
      <c r="T1061" s="68"/>
      <c r="U1061" s="68"/>
      <c r="V1061" s="68"/>
      <c r="W1061" s="68"/>
      <c r="X1061" s="72"/>
      <c r="Y1061" s="68"/>
      <c r="Z1061" s="72"/>
      <c r="AA1061" s="68"/>
      <c r="AB1061" s="68"/>
      <c r="AC1061" s="68"/>
      <c r="AD1061" s="68"/>
      <c r="AE1061" s="72"/>
      <c r="AF1061" s="68"/>
      <c r="AG1061" s="72"/>
      <c r="AH1061" s="68"/>
      <c r="AI1061" s="68"/>
      <c r="AJ1061" s="71"/>
    </row>
    <row r="1062" hidden="1">
      <c r="A1062" s="68"/>
      <c r="B1062" s="68"/>
      <c r="C1062" s="69"/>
      <c r="D1062" s="71"/>
      <c r="E1062" s="71"/>
      <c r="F1062" s="68"/>
      <c r="G1062" s="68"/>
      <c r="H1062" s="68"/>
      <c r="I1062" s="68"/>
      <c r="J1062" s="72"/>
      <c r="K1062" s="68"/>
      <c r="L1062" s="72"/>
      <c r="M1062" s="68"/>
      <c r="N1062" s="68"/>
      <c r="O1062" s="68"/>
      <c r="P1062" s="68"/>
      <c r="Q1062" s="72"/>
      <c r="R1062" s="68"/>
      <c r="S1062" s="72"/>
      <c r="T1062" s="68"/>
      <c r="U1062" s="68"/>
      <c r="V1062" s="68"/>
      <c r="W1062" s="68"/>
      <c r="X1062" s="72"/>
      <c r="Y1062" s="68"/>
      <c r="Z1062" s="72"/>
      <c r="AA1062" s="68"/>
      <c r="AB1062" s="68"/>
      <c r="AC1062" s="68"/>
      <c r="AD1062" s="68"/>
      <c r="AE1062" s="72"/>
      <c r="AF1062" s="68"/>
      <c r="AG1062" s="72"/>
      <c r="AH1062" s="68"/>
      <c r="AI1062" s="68"/>
      <c r="AJ1062" s="71"/>
    </row>
  </sheetData>
  <mergeCells count="8">
    <mergeCell ref="I1:J1"/>
    <mergeCell ref="K1:L1"/>
    <mergeCell ref="P1:Q1"/>
    <mergeCell ref="R1:S1"/>
    <mergeCell ref="W1:X1"/>
    <mergeCell ref="Y1:Z1"/>
    <mergeCell ref="AD1:AE1"/>
    <mergeCell ref="AF1:AG1"/>
  </mergeCells>
  <hyperlinks>
    <hyperlink r:id="rId1" location="Pirate_Ship" ref="E3"/>
    <hyperlink r:id="rId2" location="Pirate_Ship" ref="AJ3"/>
    <hyperlink r:id="rId3" location="Marseille" ref="E4"/>
    <hyperlink r:id="rId4" location="Marseille" ref="AJ4"/>
    <hyperlink r:id="rId5" location="Pirate_Island" ref="E5"/>
    <hyperlink r:id="rId6" location="Pirate_Island" ref="AJ5"/>
    <hyperlink r:id="rId7" location="Mediolanum" ref="E6"/>
    <hyperlink r:id="rId8" location="Mediolanum" ref="AJ6"/>
    <hyperlink r:id="rId9" location="Dallas" ref="E7"/>
    <hyperlink r:id="rId10" location="Dallas" ref="AJ7"/>
    <hyperlink r:id="rId11" location="Appia_Road" ref="E8"/>
    <hyperlink r:id="rId12" location="Appia_Road" ref="AJ8"/>
    <hyperlink r:id="rId13" location="Montgomery" ref="E9"/>
    <hyperlink r:id="rId14" location="Montgomery" ref="AJ9"/>
    <hyperlink r:id="rId15" location="Florence" ref="E10"/>
    <hyperlink r:id="rId16" location="Florence" ref="AJ10"/>
    <hyperlink r:id="rId17" location="Kearney" ref="E11"/>
    <hyperlink r:id="rId18" location="Kearney" ref="AJ11"/>
    <hyperlink r:id="rId19" location="Lubbock" ref="E12"/>
    <hyperlink r:id="rId20" location="Lubbock" ref="AJ12"/>
    <hyperlink r:id="rId21" location="Domr.C3.A9my" ref="E13"/>
    <hyperlink r:id="rId22" location="Domr.C3.A9my" ref="AJ13"/>
    <hyperlink r:id="rId23" location="Alexandria" ref="E14"/>
    <hyperlink r:id="rId24" location="Alexandria" ref="AJ14"/>
    <hyperlink r:id="rId25" location="Alcatraz" ref="E15"/>
    <hyperlink r:id="rId26" location="Alcatraz" ref="AJ15"/>
    <hyperlink r:id="rId27" location="Lyon" ref="E16"/>
    <hyperlink r:id="rId28" location="Lyon" ref="AJ16"/>
    <hyperlink r:id="rId29" location="Washington" ref="E17"/>
    <hyperlink r:id="rId30" location="Washington" ref="AJ17"/>
    <hyperlink r:id="rId31" location="Rome" ref="E18"/>
    <hyperlink r:id="rId32" location="Rome" ref="AJ18"/>
    <hyperlink r:id="rId33" location="Riverton" ref="E19"/>
    <hyperlink r:id="rId34" location="Riverton" ref="AJ19"/>
    <hyperlink r:id="rId35" location="Charlotte" ref="E20"/>
    <hyperlink r:id="rId36" location="Charlotte" ref="AJ20"/>
    <hyperlink r:id="rId37" location="Round_Table_Fortress" ref="E21"/>
    <hyperlink r:id="rId38" location="Round_Table_Fortress" ref="AJ21"/>
    <hyperlink r:id="rId39" location="King.27s_Abode_Island" ref="E22"/>
    <hyperlink r:id="rId40" location="King.27s_Abode_Island" ref="AJ22"/>
    <hyperlink r:id="rId41" location="Unknown_Coordinates_X-C" ref="E26"/>
    <hyperlink r:id="rId42" location="Unknown_Coordinates_X-C" ref="AJ26"/>
    <hyperlink r:id="rId43" location="Unknown_Coordinates_X-G" ref="E27"/>
    <hyperlink r:id="rId44" location="Unknown_Coordinates_X-G" ref="AJ27"/>
    <hyperlink r:id="rId45" location="Unknown_Coordinates_X-D" ref="E28"/>
    <hyperlink r:id="rId46" location="Unknown_Coordinates_X-D" ref="AJ28"/>
    <hyperlink r:id="rId47" location="Unknown_Coordinates_X-B" ref="E29"/>
    <hyperlink r:id="rId48" location="Unknown_Coordinates_X-B" ref="AJ29"/>
    <hyperlink r:id="rId49" location="Desert_Sandstorm" ref="E30"/>
    <hyperlink r:id="rId50" location="Desert_Sandstorm" ref="AJ30"/>
    <hyperlink r:id="rId51" location="Unknown_Coordinates_X-E" ref="E31"/>
    <hyperlink r:id="rId52" location="Unknown_Coordinates_X-E" ref="AJ31"/>
    <hyperlink r:id="rId53" location="Germania" ref="E32"/>
    <hyperlink r:id="rId54" location="Germania" ref="AJ32"/>
    <hyperlink r:id="rId55" location="Unknown_Coordinates_X-F" ref="E33"/>
    <hyperlink r:id="rId56" location="Unknown_Coordinates_X-F" ref="AJ33"/>
    <hyperlink r:id="rId57" location="Spear_Training_Field" ref="E34"/>
    <hyperlink r:id="rId58" location="Spear_Training_Field" ref="AJ34"/>
    <hyperlink r:id="rId59" location="Unknown_Coordinates_X-A" ref="E35"/>
    <hyperlink r:id="rId60" location="Unknown_Coordinates_X-A" ref="AJ35"/>
    <hyperlink r:id="rId61" location="Archery_Training_Field" ref="E36"/>
    <hyperlink r:id="rId62" location="Archery_Training_Field" ref="AJ36"/>
    <hyperlink r:id="rId63" location="Sword_Training_Field" ref="E37"/>
    <hyperlink r:id="rId64" location="Sword_Training_Field" ref="AJ37"/>
    <hyperlink r:id="rId65" location="Shaped_Isle" ref="E38"/>
    <hyperlink r:id="rId66" location="Shaped_Isle" ref="AJ38"/>
    <hyperlink r:id="rId67" location="Sunken_Rock_Seas" ref="E39"/>
    <hyperlink r:id="rId68" location="Sunken_Rock_Seas" ref="AJ39"/>
    <hyperlink r:id="rId69" location="Clerkenwell" ref="E40"/>
    <hyperlink r:id="rId70" location="Clerkenwell" ref="AJ40"/>
    <hyperlink r:id="rId71" location="Battlefield" ref="E41"/>
    <hyperlink r:id="rId72" location="Battlefield" ref="AJ41"/>
    <hyperlink r:id="rId73" location="Hyde_Park" ref="E42"/>
    <hyperlink r:id="rId74" location="Hyde_Park" ref="AJ42"/>
    <hyperlink r:id="rId75" location="Orleans" ref="E43"/>
    <hyperlink r:id="rId76" location="Orleans" ref="AJ43"/>
    <hyperlink r:id="rId77" location="Archery_Training_Field" ref="E44"/>
    <hyperlink r:id="rId78" location="Archery_Training_Field" ref="AJ44"/>
    <hyperlink r:id="rId79" location="Southwark_.2F_Borough_of_Southwark" ref="E45"/>
    <hyperlink r:id="rId80" location="Southwark_.2F_Borough_of_Southwark" ref="AJ45"/>
    <hyperlink r:id="rId81" location="Deming" ref="E49"/>
    <hyperlink r:id="rId82" location="Deming" ref="AJ49"/>
    <hyperlink r:id="rId83" location="Island_of_Wyverns" ref="E50"/>
    <hyperlink r:id="rId84" location="Island_of_Wyverns" ref="AJ50"/>
    <hyperlink r:id="rId85" location="Eridu" ref="E51"/>
    <hyperlink r:id="rId86" location="Eridu" ref="AJ51"/>
    <hyperlink r:id="rId87" location="Mapped_Island" ref="E52"/>
    <hyperlink r:id="rId88" location="Mapped_Island" ref="AJ52"/>
    <hyperlink r:id="rId89" location="Foothills_Jungle" ref="E53"/>
    <hyperlink r:id="rId90" location="Foothills_Jungle" ref="AJ53"/>
    <hyperlink r:id="rId91" location="Eastern_Village" ref="E54"/>
    <hyperlink r:id="rId92" location="Eastern_Village" ref="AJ54"/>
    <hyperlink r:id="rId93" location="Thiers" ref="E55"/>
    <hyperlink r:id="rId94" location="Thiers" ref="AJ55"/>
    <hyperlink r:id="rId95" location="Underground_Plains" ref="E56"/>
    <hyperlink r:id="rId96" location="Underground_Plains" ref="AJ56"/>
    <hyperlink r:id="rId97" location="Jail" ref="E57"/>
    <hyperlink r:id="rId98" location="Jail" ref="AJ57"/>
    <hyperlink r:id="rId99" location="La_Charit.C3.A9" ref="E58"/>
    <hyperlink r:id="rId100" location="La_Charit.C3.A9" ref="AJ58"/>
    <hyperlink r:id="rId101" location="Cavalry_Training_Field" ref="E59"/>
    <hyperlink r:id="rId102" location="Cavalry_Training_Field" ref="AJ59"/>
    <hyperlink r:id="rId103" location="Cavalry_Training_Field" ref="E60"/>
    <hyperlink r:id="rId104" location="Cavalry_Training_Field" ref="AJ60"/>
    <hyperlink r:id="rId105" location="Mobile_Coordinates.2C_Point_0" ref="E61"/>
    <hyperlink r:id="rId106" location="Mobile_Coordinates.2C_Point_0" ref="AJ61"/>
    <hyperlink r:id="rId107" location="Killing_Training_Field" ref="E62"/>
    <hyperlink r:id="rId108" location="Killing_Training_Field" ref="AJ62"/>
    <hyperlink r:id="rId109" location="Cavalry_Training_Field" ref="E63"/>
    <hyperlink r:id="rId110" location="Cavalry_Training_Field" ref="AJ63"/>
    <hyperlink r:id="rId111" location="Orleans" ref="E64"/>
    <hyperlink r:id="rId112" location="Orleans" ref="AJ64"/>
    <hyperlink r:id="rId113" location="Vaucouleurs" ref="E65"/>
    <hyperlink r:id="rId114" location="Vaucouleurs" ref="AJ65"/>
    <hyperlink r:id="rId115" location="Cavalry_Training_Field" ref="E66"/>
    <hyperlink r:id="rId116" location="Cavalry_Training_Field" ref="AJ66"/>
    <hyperlink r:id="rId117" location="Killing_Training_Field" ref="E67"/>
    <hyperlink r:id="rId118" location="Killing_Training_Field" ref="AJ67"/>
    <hyperlink r:id="rId119" location="Archipelago" ref="E68"/>
    <hyperlink r:id="rId120" location="Archipelago" ref="AJ68"/>
    <hyperlink r:id="rId121" location="Charlotte" ref="E72"/>
    <hyperlink r:id="rId122" location="Charlotte" ref="AJ72"/>
    <hyperlink r:id="rId123" location="Remnants_of_Western_Village" ref="E73"/>
    <hyperlink r:id="rId124" location="Remnants_of_Western_Village" ref="AJ73"/>
    <hyperlink r:id="rId125" location="Riverton" ref="E74"/>
    <hyperlink r:id="rId126" location="Riverton" ref="AJ74"/>
    <hyperlink r:id="rId127" location="Massilia" ref="E75"/>
    <hyperlink r:id="rId128" location="Massilia" ref="AJ75"/>
    <hyperlink r:id="rId129" location="Archipelago" ref="E76"/>
    <hyperlink r:id="rId130" location="Archipelago" ref="AJ76"/>
    <hyperlink r:id="rId131" location="Landing_Point" ref="E77"/>
    <hyperlink r:id="rId132" location="Landing_Point" ref="AJ77"/>
    <hyperlink r:id="rId133" location="Jing_Yangyuan" ref="E78"/>
    <hyperlink r:id="rId134" location="Jing_Yangyuan" ref="AJ78"/>
    <hyperlink r:id="rId135" location="Japan_National_Route_20" ref="E79"/>
    <hyperlink r:id="rId136" location="Japan_National_Route_20" ref="AJ79"/>
    <hyperlink r:id="rId137" location="Ys" ref="E80"/>
    <hyperlink r:id="rId138" location="Ys" ref="AJ80"/>
    <hyperlink r:id="rId139" location="El_Dorado" ref="E81"/>
    <hyperlink r:id="rId140" location="El_Dorado" ref="AJ81"/>
    <hyperlink r:id="rId141" location="Battlefield" ref="E82"/>
    <hyperlink r:id="rId142" location="Battlefield" ref="AJ82"/>
    <hyperlink r:id="rId143" location="Kabukich.C5.8D" ref="E83"/>
    <hyperlink r:id="rId144" location="Kabukich.C5.8D" ref="AJ83"/>
    <hyperlink r:id="rId145" location="Village" ref="E84"/>
    <hyperlink r:id="rId146" location="Village" ref="AJ84"/>
    <hyperlink r:id="rId147" location="Northern_Boundary" ref="E85"/>
    <hyperlink r:id="rId148" location="Northern_Boundary" ref="AJ85"/>
    <hyperlink r:id="rId149" location="Foundation_of_a_Giant_Tree" ref="E86"/>
    <hyperlink r:id="rId150" location="Foundation_of_a_Giant_Tree" ref="AJ86"/>
    <hyperlink r:id="rId151" location="Arakawa_Prairie" ref="E87"/>
    <hyperlink r:id="rId152" location="Arakawa_Prairie" ref="AJ87"/>
    <hyperlink r:id="rId153" location="Nightless_City" ref="E88"/>
    <hyperlink r:id="rId154" location="Nightless_City" ref="AJ88"/>
    <hyperlink r:id="rId155" location="Rear_Mountain" ref="E89"/>
    <hyperlink r:id="rId156" location="Rear_Mountain" ref="AJ89"/>
    <hyperlink r:id="rId157" location="Xianyang" ref="E90"/>
    <hyperlink r:id="rId158" location="Xianyang" ref="AJ90"/>
    <hyperlink r:id="rId159" location="Akuta.27s_Encampment" ref="E91"/>
    <hyperlink r:id="rId160" location="Akuta.27s_Encampment" ref="AJ91"/>
    <hyperlink r:id="rId161" location="Wilderness_of_Death" ref="E95"/>
    <hyperlink r:id="rId162" location="Wilderness_of_Death" ref="AJ95"/>
    <hyperlink r:id="rId163" location="Suburb_Mansion" ref="E96"/>
    <hyperlink r:id="rId164" location="Suburb_Mansion" ref="AJ96"/>
    <hyperlink r:id="rId165" location="Great_Temple" ref="E97"/>
    <hyperlink r:id="rId166" location="Great_Temple" ref="AJ97"/>
    <hyperlink r:id="rId167" location="Quay" ref="E98"/>
    <hyperlink r:id="rId168" location="Quay" ref="AJ98"/>
    <hyperlink r:id="rId169" location="Northern_Cliffs" ref="E99"/>
    <hyperlink r:id="rId170" location="Northern_Cliffs" ref="AJ99"/>
    <hyperlink r:id="rId171" location="Nightless_City" ref="E100"/>
    <hyperlink r:id="rId172" location="Nightless_City" ref="AJ100"/>
    <hyperlink r:id="rId173" location="Concealed_Village" ref="E101"/>
    <hyperlink r:id="rId174" location="Concealed_Village" ref="AJ101"/>
    <hyperlink r:id="rId175" location="Phragmites_Prairie_.2F_Field_of_Reeds" ref="E118"/>
    <hyperlink r:id="rId176" location="Phragmites_Prairie_.2F_Field_of_Reeds" ref="AJ118"/>
    <hyperlink r:id="rId177" location="Plateau" ref="E119"/>
    <hyperlink r:id="rId178" location="Plateau" ref="AJ119"/>
    <hyperlink r:id="rId179" location="Anchor_Point" ref="E120"/>
    <hyperlink r:id="rId180" location="Anchor_Point" ref="AJ120"/>
    <hyperlink r:id="rId181" location="Neighbouring_Village" ref="E121"/>
    <hyperlink r:id="rId182" location="Neighbouring_Village" ref="AJ121"/>
    <hyperlink r:id="rId183" location="Icicles_Grotto" ref="E122"/>
    <hyperlink r:id="rId184" location="Icicles_Grotto" ref="AJ122"/>
    <hyperlink r:id="rId185" location="Seeding_Point" ref="E123"/>
    <hyperlink r:id="rId186" location="Seeding_Point" ref="AJ123"/>
    <hyperlink r:id="rId187" location="Northern_Wall" ref="E124"/>
    <hyperlink r:id="rId188" location="Northern_Wall" ref="AJ124"/>
    <hyperlink r:id="rId189" location="Yaga_Vyazma" ref="E125"/>
    <hyperlink r:id="rId190" location="Yaga_Vyazma" ref="AJ125"/>
    <hyperlink r:id="rId191" location="Marshland.2FBog" ref="E126"/>
    <hyperlink r:id="rId192" location="Marshland.2FBog" ref="AJ126"/>
    <hyperlink r:id="rId193" location="Shanyang_Knoll" ref="E127"/>
    <hyperlink r:id="rId194" location="Shanyang_Knoll" ref="AJ127"/>
    <hyperlink r:id="rId195" location="Nippur" ref="E128"/>
    <hyperlink r:id="rId196" location="Nippur" ref="AJ128"/>
    <hyperlink r:id="rId197" location="Foundation_of_a_Giant_Tree" ref="E129"/>
    <hyperlink r:id="rId198" location="Foundation_of_a_Giant_Tree" ref="AJ129"/>
    <hyperlink r:id="rId199" location="Shinjuku_Station" ref="E141"/>
    <hyperlink r:id="rId200" location="Shinjuku_Station" ref="AJ141"/>
    <hyperlink r:id="rId201" location="Yoyogi_2-chome" ref="E142"/>
    <hyperlink r:id="rId202" location="Yoyogi_2-chome" ref="AJ142"/>
    <hyperlink r:id="rId203" location="Japan_National_Route_20" ref="E143"/>
    <hyperlink r:id="rId204" location="Japan_National_Route_20" ref="AJ143"/>
    <hyperlink r:id="rId205" location="Shinjuku_4-chome" ref="E144"/>
    <hyperlink r:id="rId206" location="Shinjuku_4-chome" ref="AJ144"/>
    <hyperlink r:id="rId207" location="Shinjuku_Imperial_Garden" ref="E145"/>
    <hyperlink r:id="rId208" location="Shinjuku_Imperial_Garden" ref="AJ145"/>
    <hyperlink r:id="rId209" location="Party_Hall" ref="E146"/>
    <hyperlink r:id="rId210" location="Party_Hall" ref="AJ146"/>
    <hyperlink r:id="rId211" location="Gallow_Hill" ref="E164"/>
    <hyperlink r:id="rId212" location="Gallow_Hill" ref="AJ164"/>
    <hyperlink r:id="rId213" location="Carter_House" ref="E165"/>
    <hyperlink r:id="rId214" location="Carter_House" ref="AJ165"/>
    <hyperlink r:id="rId215" location="Suburb_Mansion" ref="E166"/>
    <hyperlink r:id="rId216" location="Suburb_Mansion" ref="AJ166"/>
    <hyperlink r:id="rId217" location="Vacant_House" ref="E167"/>
    <hyperlink r:id="rId218" location="Vacant_House" ref="AJ167"/>
    <hyperlink r:id="rId219" location="Meadows" ref="E168"/>
    <hyperlink r:id="rId220" location="Meadows" ref="AJ168"/>
    <hyperlink r:id="rId221" location="Yaga_Smolensk" ref="E187"/>
    <hyperlink r:id="rId222" location="Yaga_Smolensk" ref="AJ187"/>
    <hyperlink r:id="rId223" location="Rebellion_Army.27s_Stronghold" ref="E188"/>
    <hyperlink r:id="rId224" location="Rebellion_Army.27s_Stronghold" ref="AJ188"/>
    <hyperlink r:id="rId225" location="Yaga_Sychyovka" ref="E189"/>
    <hyperlink r:id="rId226" location="Yaga_Sychyovka" ref="AJ189"/>
    <hyperlink r:id="rId227" location="Devastated_Village" ref="E190"/>
    <hyperlink r:id="rId228" location="Devastated_Village" ref="AJ190"/>
    <hyperlink r:id="rId229" location="Yaga_Vyazma" ref="E191"/>
    <hyperlink r:id="rId230" location="Yaga_Vyazma" ref="AJ191"/>
    <hyperlink r:id="rId231" location="Yaga_Tula" ref="E192"/>
    <hyperlink r:id="rId232" location="Yaga_Tula" ref="AJ192"/>
    <hyperlink r:id="rId233" location="Great_Valley_Stronghold" ref="E193"/>
    <hyperlink r:id="rId234" location="Great_Valley_Stronghold" ref="AJ193"/>
    <hyperlink r:id="rId235" location="Abolished_Metropolis_Babylon" ref="E210"/>
    <hyperlink r:id="rId236" location="Abolished_Metropolis_Babylon" ref="AJ210"/>
    <hyperlink r:id="rId237" location="Quiet_Forest" ref="E211"/>
    <hyperlink r:id="rId238" location="Quiet_Forest" ref="AJ211"/>
    <hyperlink r:id="rId239" location="Refuge" ref="E212"/>
    <hyperlink r:id="rId240" location="Refuge" ref="AJ212"/>
    <hyperlink r:id="rId241" location="Rice_Field" ref="E213"/>
    <hyperlink r:id="rId242" location="Rice_Field" ref="AJ213"/>
    <hyperlink r:id="rId243" location="Riverside_Town" ref="E214"/>
    <hyperlink r:id="rId244" location="Riverside_Town" ref="AJ214"/>
    <hyperlink r:id="rId245" location="Black_Cedar_Forest" ref="E215"/>
    <hyperlink r:id="rId246" location="Black_Cedar_Forest" ref="AJ215"/>
    <hyperlink r:id="rId247" location="Village" ref="E216"/>
    <hyperlink r:id="rId248" location="Village" ref="AJ216"/>
    <hyperlink r:id="rId249" location="Bountiful_Sea" ref="E217"/>
    <hyperlink r:id="rId250" location="Bountiful_Sea" ref="AJ217"/>
    <hyperlink r:id="rId251" location="Meadows" ref="E218"/>
    <hyperlink r:id="rId252" location="Meadows" ref="AJ218"/>
    <hyperlink r:id="rId253" location="Icy_Cold_Grotto" ref="E219"/>
    <hyperlink r:id="rId254" location="Icy_Cold_Grotto" ref="AJ219"/>
    <hyperlink r:id="rId255" location="El_Dorado" ref="E220"/>
    <hyperlink r:id="rId256" location="El_Dorado" ref="AJ220"/>
    <hyperlink r:id="rId257" location="Landing_Point" ref="E221"/>
    <hyperlink r:id="rId258" location="Landing_Point" ref="AJ221"/>
    <hyperlink r:id="rId259" location="Knoll_of_Thin_Ice" ref="E222"/>
    <hyperlink r:id="rId260" location="Knoll_of_Thin_Ice" ref="AJ222"/>
    <hyperlink r:id="rId261" location="Plateau" ref="E223"/>
    <hyperlink r:id="rId262" location="Plateau" ref="AJ223"/>
    <hyperlink r:id="rId263" location="Bordeaux" ref="E224"/>
    <hyperlink r:id="rId264" location="Bordeaux" ref="AJ224"/>
    <hyperlink r:id="rId265" location="Northern_Hill" ref="E225"/>
    <hyperlink r:id="rId266" location="Northern_Hill" ref="AJ225"/>
    <hyperlink r:id="rId267" location="23rd_Settlement" ref="E226"/>
    <hyperlink r:id="rId268" location="23rd_Settlement" ref="AJ226"/>
    <hyperlink r:id="rId269" location="Mount_Ahv.C4.81z" ref="E227"/>
    <hyperlink r:id="rId270" location="Mount_Ahv.C4.81z" ref="AJ227"/>
    <hyperlink r:id="rId271" location="Great_Underground_River" ref="E228"/>
    <hyperlink r:id="rId272" location="Great_Underground_River" ref="AJ228"/>
    <hyperlink r:id="rId273" location="Yaga_Sychyovka" ref="E229"/>
    <hyperlink r:id="rId274" location="Yaga_Sychyovka" ref="AJ229"/>
    <hyperlink r:id="rId275" location="Cuthah" ref="E233"/>
    <hyperlink r:id="rId276" location="Cuthah" ref="AJ233"/>
    <hyperlink r:id="rId277" location="Evening_Bell_Mausoleum" ref="E234"/>
    <hyperlink r:id="rId278" location="Evening_Bell_Mausoleum" ref="AJ234"/>
    <hyperlink r:id="rId279" location="Stormy_Seas" ref="E235"/>
    <hyperlink r:id="rId280" location="Stormy_Seas" ref="AJ235"/>
    <hyperlink r:id="rId281" location="Rice_Field" ref="E236"/>
    <hyperlink r:id="rId282" location="Rice_Field" ref="AJ236"/>
    <hyperlink r:id="rId283" location="Monastery" ref="E237"/>
    <hyperlink r:id="rId284" location="Monastery" ref="AJ237"/>
    <hyperlink r:id="rId285" location="Mt._Etna" ref="E238"/>
    <hyperlink r:id="rId286" location="Mt._Etna" ref="AJ238"/>
    <hyperlink r:id="rId287" location="Killing_Training_Field" ref="E239"/>
    <hyperlink r:id="rId288" location="Killing_Training_Field" ref="AJ239"/>
    <hyperlink r:id="rId289" location="Killing_Training_Field" ref="E240"/>
    <hyperlink r:id="rId290" location="Killing_Training_Field" ref="AJ240"/>
    <hyperlink r:id="rId291" location="Killing_Training_Field" ref="E241"/>
    <hyperlink r:id="rId292" location="Killing_Training_Field" ref="AJ241"/>
    <hyperlink r:id="rId293" location="Killing_Training_Field" ref="E242"/>
    <hyperlink r:id="rId294" location="Killing_Training_Field" ref="AJ242"/>
    <hyperlink r:id="rId295" location="Peach_Blossom_Shangri-La" ref="E256"/>
    <hyperlink r:id="rId296" location="Peach_Blossom_Shangri-La" ref="AJ256"/>
    <hyperlink r:id="rId297" location="Holy_City_Districts" ref="E257"/>
    <hyperlink r:id="rId298" location="Holy_City_Districts" ref="AJ257"/>
    <hyperlink r:id="rId299" location="Heroes.27_Cellar" ref="E258"/>
    <hyperlink r:id="rId300" location="Heroes.27_Cellar" ref="AJ258"/>
    <hyperlink r:id="rId301" location="Rear_Mountain" ref="E259"/>
    <hyperlink r:id="rId302" location="Rear_Mountain" ref="AJ259"/>
    <hyperlink r:id="rId303" location="Two-Current_Sea" ref="E260"/>
    <hyperlink r:id="rId304" location="Two-Current_Sea" ref="AJ260"/>
    <hyperlink r:id="rId305" location="Mad_Training_Field" ref="E261"/>
    <hyperlink r:id="rId306" location="Mad_Training_Field" ref="AJ261"/>
    <hyperlink r:id="rId307" location="Gaul" ref="E262"/>
    <hyperlink r:id="rId308" location="Gaul" ref="AJ262"/>
    <hyperlink r:id="rId309" location="Mad_Training_Field" ref="E263"/>
    <hyperlink r:id="rId310" location="Mad_Training_Field" ref="AJ263"/>
    <hyperlink r:id="rId311" location="Mad_Training_Field" ref="E264"/>
    <hyperlink r:id="rId312" location="Mad_Training_Field" ref="AJ264"/>
    <hyperlink r:id="rId313" location="Mad_Training_Field" ref="E265"/>
    <hyperlink r:id="rId314" location="Mad_Training_Field" ref="AJ265"/>
    <hyperlink r:id="rId315" location="Alliance_Capital" ref="E266"/>
    <hyperlink r:id="rId316" location="Alliance_Capital" ref="AJ266"/>
    <hyperlink r:id="rId317" location="Chasm_in_the_Earth" ref="E279"/>
    <hyperlink r:id="rId318" location="Chasm_in_the_Earth" ref="AJ279"/>
    <hyperlink r:id="rId319" location="Marshland.2FBog" ref="E280"/>
    <hyperlink r:id="rId320" location="Marshland.2FBog" ref="AJ280"/>
    <hyperlink r:id="rId321" location="Sunken_Rock_Seas" ref="E281"/>
    <hyperlink r:id="rId322" location="Sunken_Rock_Seas" ref="AJ281"/>
    <hyperlink r:id="rId323" location="Magic_Training_Field" ref="E282"/>
    <hyperlink r:id="rId324" location="Magic_Training_Field" ref="AJ282"/>
    <hyperlink r:id="rId325" location="Magic_Training_Field" ref="E283"/>
    <hyperlink r:id="rId326" location="Magic_Training_Field" ref="AJ283"/>
    <hyperlink r:id="rId327" location="Dunes_of_Daybreak" ref="E284"/>
    <hyperlink r:id="rId328" location="Dunes_of_Daybreak" ref="AJ284"/>
    <hyperlink r:id="rId329" location="Magic_Training_Field" ref="E285"/>
    <hyperlink r:id="rId330" location="Magic_Training_Field" ref="AJ285"/>
    <hyperlink r:id="rId331" location="Magic_Training_Field" ref="E286"/>
    <hyperlink r:id="rId332" location="Magic_Training_Field" ref="AJ286"/>
    <hyperlink r:id="rId333" location="Town_Hall" ref="E302"/>
    <hyperlink r:id="rId334" location="Town_Hall" ref="AJ302"/>
    <hyperlink r:id="rId335" location="Great_Underground_River" ref="E303"/>
    <hyperlink r:id="rId336" location="Great_Underground_River" ref="AJ303"/>
    <hyperlink r:id="rId337" location="Riverside_Town" ref="E304"/>
    <hyperlink r:id="rId338" location="Riverside_Town" ref="AJ304"/>
    <hyperlink r:id="rId339" location="Vacant_House" ref="E305"/>
    <hyperlink r:id="rId340" location="Vacant_House" ref="AJ305"/>
    <hyperlink r:id="rId341" location="Quay" ref="E306"/>
    <hyperlink r:id="rId342" location="Quay" ref="AJ306"/>
    <hyperlink r:id="rId343" location="Camping_Ground" ref="E307"/>
    <hyperlink r:id="rId344" location="Camping_Ground" ref="AJ307"/>
    <hyperlink r:id="rId345" location="Refuge" ref="E308"/>
    <hyperlink r:id="rId346" location="Refuge" ref="AJ308"/>
    <hyperlink r:id="rId347" location="Foothills_Jungle" ref="E309"/>
    <hyperlink r:id="rId348" location="Foothills_Jungle" ref="AJ309"/>
    <hyperlink r:id="rId349" location="Sword_Training_Field" ref="E310"/>
    <hyperlink r:id="rId350" location="Sword_Training_Field" ref="AJ310"/>
    <hyperlink r:id="rId351" location="Bountiful_Sea" ref="E311"/>
    <hyperlink r:id="rId352" location="Bountiful_Sea" ref="AJ311"/>
    <hyperlink r:id="rId353" location="Archery_Training_Field" ref="E312"/>
    <hyperlink r:id="rId354" location="Archery_Training_Field" ref="AJ312"/>
    <hyperlink r:id="rId355" location="Archery_Training_Field" ref="E313"/>
    <hyperlink r:id="rId356" location="Archery_Training_Field" ref="AJ313"/>
    <hyperlink r:id="rId357" location="Spear_Training_Field" ref="E314"/>
    <hyperlink r:id="rId358" location="Spear_Training_Field" ref="AJ314"/>
    <hyperlink r:id="rId359" location="Spear_Training_Field" ref="E315"/>
    <hyperlink r:id="rId360" location="Spear_Training_Field" ref="AJ315"/>
    <hyperlink r:id="rId361" location="Sword_Training_Field" ref="E316"/>
    <hyperlink r:id="rId362" location="Sword_Training_Field" ref="AJ316"/>
    <hyperlink r:id="rId363" location="Archery_Training_Field" ref="E317"/>
    <hyperlink r:id="rId364" location="Archery_Training_Field" ref="AJ317"/>
    <hyperlink r:id="rId365" location="Barrel_Tower" ref="E325"/>
    <hyperlink r:id="rId366" location="Barrel_Tower" ref="AJ325"/>
    <hyperlink r:id="rId367" location="Chicago" ref="E326"/>
    <hyperlink r:id="rId368" location="Chicago" ref="AJ326"/>
    <hyperlink r:id="rId369" location="Seeding_Point" ref="E327"/>
    <hyperlink r:id="rId370" location="Seeding_Point" ref="AJ327"/>
    <hyperlink r:id="rId371" location="Kabukich.C5.8D" ref="E328"/>
    <hyperlink r:id="rId372" location="Kabukich.C5.8D" ref="AJ328"/>
    <hyperlink r:id="rId373" location="Shiquan_Gorge" ref="E329"/>
    <hyperlink r:id="rId374" location="Shiquan_Gorge" ref="AJ329"/>
    <hyperlink r:id="rId375" location="Clerkenwell" ref="E330"/>
    <hyperlink r:id="rId376" location="Clerkenwell" ref="AJ330"/>
    <hyperlink r:id="rId377" location="Dapingyu" ref="E331"/>
    <hyperlink r:id="rId378" location="Dapingyu" ref="AJ331"/>
    <hyperlink r:id="rId379" location="Atlas_Academy" ref="E332"/>
    <hyperlink r:id="rId380" location="Atlas_Academy" ref="AJ332"/>
    <hyperlink r:id="rId381" location="Black_Hills" ref="E333"/>
    <hyperlink r:id="rId382" location="Black_Hills" ref="AJ333"/>
    <hyperlink r:id="rId383" location="Tower.27s_Top_Floor" ref="E334"/>
    <hyperlink r:id="rId384" location="Tower.27s_Top_Floor" ref="AJ334"/>
    <hyperlink r:id="rId385" location="Akuta.27s_Encampment" ref="E335"/>
    <hyperlink r:id="rId386" location="Akuta.27s_Encampment" ref="AJ335"/>
    <hyperlink r:id="rId387" location="Denver" ref="E336"/>
    <hyperlink r:id="rId388" location="Denver" ref="AJ336"/>
    <hyperlink r:id="rId389" location="Party_Hall" ref="E337"/>
    <hyperlink r:id="rId390" location="Party_Hall" ref="AJ337"/>
    <hyperlink r:id="rId391" location="Killing_Training_Field" ref="E338"/>
    <hyperlink r:id="rId392" location="Killing_Training_Field" ref="AJ338"/>
    <hyperlink r:id="rId393" location="Old_Street" ref="E339"/>
    <hyperlink r:id="rId394" location="Old_Street" ref="AJ339"/>
    <hyperlink r:id="rId395" location="Whitechapel" ref="E340"/>
    <hyperlink r:id="rId396" location="Whitechapel" ref="AJ340"/>
    <hyperlink r:id="rId397" location="Regent_Park" ref="E341"/>
    <hyperlink r:id="rId398" location="Regent_Park" ref="AJ341"/>
    <hyperlink r:id="rId399" location="Killing_Training_Field" ref="E342"/>
    <hyperlink r:id="rId400" location="Killing_Training_Field" ref="AJ342"/>
    <hyperlink r:id="rId401" location="Sword_Training_Field" ref="E343"/>
    <hyperlink r:id="rId402" location="Sword_Training_Field" ref="AJ343"/>
    <hyperlink r:id="rId403" location="Sword_Training_Field" ref="E344"/>
    <hyperlink r:id="rId404" location="Sword_Training_Field" ref="AJ344"/>
    <hyperlink r:id="rId405" location="Shinjuku_2-chome" ref="E348"/>
    <hyperlink r:id="rId406" location="Shinjuku_2-chome" ref="AJ348"/>
    <hyperlink r:id="rId407" location="Hyde_Park" ref="E349"/>
    <hyperlink r:id="rId408" location="Hyde_Park" ref="AJ349"/>
    <hyperlink r:id="rId409" location="Magic_Training_Field" ref="E350"/>
    <hyperlink r:id="rId410" location="Magic_Training_Field" ref="AJ350"/>
    <hyperlink r:id="rId411" location="Magic_Training_Field" ref="E351"/>
    <hyperlink r:id="rId412" location="Magic_Training_Field" ref="AJ351"/>
    <hyperlink r:id="rId413" location="Magic_Training_Field" ref="E352"/>
    <hyperlink r:id="rId414" location="Magic_Training_Field" ref="AJ352"/>
    <hyperlink r:id="rId415" location="Magic_Training_Field" ref="E353"/>
    <hyperlink r:id="rId416" location="Magic_Training_Field" ref="AJ353"/>
    <hyperlink r:id="rId417" location="Atlas_Academy" ref="E354"/>
    <hyperlink r:id="rId418" location="Atlas_Academy" ref="AJ354"/>
    <hyperlink r:id="rId419" location="Regent_Park" ref="E355"/>
    <hyperlink r:id="rId420" location="Regent_Park" ref="AJ355"/>
    <hyperlink r:id="rId421" location="Whateley_House" ref="E371"/>
    <hyperlink r:id="rId422" location="Whateley_House" ref="AJ371"/>
    <hyperlink r:id="rId423" location="Southwark_.2F_Borough_of_Southwark" ref="E372"/>
    <hyperlink r:id="rId424" location="Southwark_.2F_Borough_of_Southwark" ref="AJ372"/>
    <hyperlink r:id="rId425" location="City_Of_London" ref="E373"/>
    <hyperlink r:id="rId426" location="City_Of_London" ref="AJ373"/>
    <hyperlink r:id="rId427" location="Westminster_.2F_City_of_Westminster" ref="E374"/>
    <hyperlink r:id="rId428" location="Westminster_.2F_City_of_Westminster" ref="AJ374"/>
    <hyperlink r:id="rId429" location="Spear_Training_Field" ref="E375"/>
    <hyperlink r:id="rId430" location="Spear_Training_Field" ref="AJ375"/>
    <hyperlink r:id="rId431" location="SOHO" ref="E376"/>
    <hyperlink r:id="rId432" location="SOHO" ref="AJ376"/>
    <hyperlink r:id="rId433" location="Spear_Training_Field" ref="E377"/>
    <hyperlink r:id="rId434" location="Spear_Training_Field" ref="AJ377"/>
    <hyperlink r:id="rId435" location="Spear_Training_Field" ref="E378"/>
    <hyperlink r:id="rId436" location="Spear_Training_Field" ref="AJ378"/>
    <hyperlink r:id="rId437" location="Spear_Training_Field" ref="E379"/>
    <hyperlink r:id="rId438" location="Spear_Training_Field" ref="AJ379"/>
    <hyperlink r:id="rId439" location="Vast_Land_of_Nothingness" ref="E394"/>
    <hyperlink r:id="rId440" location="Vast_Land_of_Nothingness" ref="AJ394"/>
    <hyperlink r:id="rId441" location="Caldera_Island" ref="E395"/>
    <hyperlink r:id="rId442" location="Caldera_Island" ref="AJ395"/>
    <hyperlink r:id="rId443" location="Cavalry_Training_Field" ref="E396"/>
    <hyperlink r:id="rId444" location="Cavalry_Training_Field" ref="AJ396"/>
    <hyperlink r:id="rId445" location="Cavalry_Training_Field" ref="E397"/>
    <hyperlink r:id="rId446" location="Cavalry_Training_Field" ref="AJ397"/>
    <hyperlink r:id="rId447" location="Archery_Training_Field" ref="E398"/>
    <hyperlink r:id="rId448" location="Archery_Training_Field" ref="AJ398"/>
    <hyperlink r:id="rId449" location="Archery_Training_Field" ref="E399"/>
    <hyperlink r:id="rId450" location="Archery_Training_Field" ref="AJ399"/>
    <hyperlink r:id="rId451" location="Cavalry_Training_Field" ref="E400"/>
    <hyperlink r:id="rId452" location="Cavalry_Training_Field" ref="AJ400"/>
    <hyperlink r:id="rId453" location="Cavalry_Training_Field" ref="E401"/>
    <hyperlink r:id="rId454" location="Cavalry_Training_Field" ref="AJ401"/>
    <hyperlink r:id="rId455" location="Archery_Training_Field" ref="E402"/>
    <hyperlink r:id="rId456" location="Archery_Training_Field" ref="AJ402"/>
    <hyperlink r:id="rId457" location="Archery_Training_Field" ref="E403"/>
    <hyperlink r:id="rId458" location="Archery_Training_Field" ref="AJ403"/>
    <hyperlink r:id="rId459" location="Sovereign_Castle" ref="E417"/>
    <hyperlink r:id="rId460" location="Sovereign_Castle" ref="AJ417"/>
    <hyperlink r:id="rId461" location="Holy_City_Main_Entrance" ref="E418"/>
    <hyperlink r:id="rId462" location="Holy_City_Main_Entrance" ref="AJ418"/>
    <hyperlink r:id="rId463" location="Round_Table_Fortress" ref="E419"/>
    <hyperlink r:id="rId464" location="Round_Table_Fortress" ref="AJ419"/>
    <hyperlink r:id="rId465" location="Observatory" ref="E440"/>
    <hyperlink r:id="rId466" location="Observatory" ref="AJ440"/>
    <hyperlink r:id="rId467" location="Archipelago" ref="E441"/>
    <hyperlink r:id="rId468" location="Archipelago" ref="AJ441"/>
    <hyperlink r:id="rId469" location="Icicles_Grotto" ref="E442"/>
    <hyperlink r:id="rId470" location="Icicles_Grotto" ref="AJ442"/>
    <hyperlink r:id="rId471" location="Devastated_Village" ref="E443"/>
    <hyperlink r:id="rId472" location="Devastated_Village" ref="AJ443"/>
    <hyperlink r:id="rId473" location="Trampled_Village" ref="E444"/>
    <hyperlink r:id="rId474" location="Trampled_Village" ref="AJ444"/>
    <hyperlink r:id="rId475" location="Sword_Training_Field" ref="E445"/>
    <hyperlink r:id="rId476" location="Sword_Training_Field" ref="AJ445"/>
    <hyperlink r:id="rId477" location="Sword_Training_Field" ref="E446"/>
    <hyperlink r:id="rId478" location="Sword_Training_Field" ref="AJ446"/>
    <hyperlink r:id="rId479" location="Sword_Training_Field" ref="E447"/>
    <hyperlink r:id="rId480" location="Sword_Training_Field" ref="AJ447"/>
    <hyperlink r:id="rId481" location="Sword_Training_Field" ref="E448"/>
    <hyperlink r:id="rId482" location="Sword_Training_Field" ref="AJ448"/>
    <hyperlink r:id="rId483" location="Castle_Town" ref="E463"/>
    <hyperlink r:id="rId484" location="Castle_Town" ref="AJ463"/>
    <hyperlink r:id="rId485" location="Toke_Castle" ref="E464"/>
    <hyperlink r:id="rId486" location="Toke_Castle" ref="AJ464"/>
    <hyperlink r:id="rId487" location="Village" ref="E465"/>
    <hyperlink r:id="rId488" location="Village" ref="AJ465"/>
    <hyperlink r:id="rId489" location="Battlefield" ref="E466"/>
    <hyperlink r:id="rId490" location="Battlefield" ref="AJ466"/>
    <hyperlink r:id="rId491" location="Monastery" ref="E467"/>
    <hyperlink r:id="rId492" location="Monastery" ref="AJ467"/>
    <hyperlink r:id="rId493" location="Rear_Mountain" ref="E468"/>
    <hyperlink r:id="rId494" location="Rear_Mountain" ref="AJ468"/>
    <hyperlink r:id="rId495" location="Arakawa_Prairie" ref="E469"/>
    <hyperlink r:id="rId496" location="Arakawa_Prairie" ref="AJ469"/>
    <hyperlink r:id="rId497" location="Yaga_Moscow" ref="E486"/>
    <hyperlink r:id="rId498" location="Yaga_Moscow" ref="AJ486"/>
    <hyperlink r:id="rId499" location="Yaga_Demensk" ref="E487"/>
    <hyperlink r:id="rId500" location="Yaga_Demensk" ref="AJ487"/>
    <hyperlink r:id="rId501" location="Trampled_Village" ref="E488"/>
    <hyperlink r:id="rId502" location="Trampled_Village" ref="AJ488"/>
    <hyperlink r:id="rId503" location="Yaga_Ryazan" ref="E489"/>
    <hyperlink r:id="rId504" location="Yaga_Ryazan" ref="AJ489"/>
    <hyperlink r:id="rId505" location="Yaga_Tula" ref="E490"/>
    <hyperlink r:id="rId506" location="Yaga_Tula" ref="AJ490"/>
    <hyperlink r:id="rId507" location="Foundation_of_a_Giant_Tree" ref="E491"/>
    <hyperlink r:id="rId508" location="Foundation_of_a_Giant_Tree" ref="AJ491"/>
    <hyperlink r:id="rId509" location="Giants.27_Flower_Patio" ref="E509"/>
    <hyperlink r:id="rId510" location="Giants.27_Flower_Patio" ref="AJ509"/>
    <hyperlink r:id="rId511" location="Neighbouring_Village" ref="E510"/>
    <hyperlink r:id="rId512" location="Neighbouring_Village" ref="AJ510"/>
    <hyperlink r:id="rId513" location="Knoll_of_Thin_Ice" ref="E511"/>
    <hyperlink r:id="rId514" location="Knoll_of_Thin_Ice" ref="AJ511"/>
    <hyperlink r:id="rId515" location="Ablazed_Mansion" ref="E512"/>
    <hyperlink r:id="rId516" location="Ablazed_Mansion" ref="AJ512"/>
    <hyperlink r:id="rId517" location="Heroes.27_Cellar" ref="E513"/>
    <hyperlink r:id="rId518" location="Heroes.27_Cellar" ref="AJ513"/>
    <hyperlink r:id="rId519" location="Northern_Boundary" ref="E514"/>
    <hyperlink r:id="rId520" location="Northern_Boundary" ref="AJ514"/>
    <hyperlink r:id="rId521" location="Pathway_Towards_The_Peak" ref="E515"/>
    <hyperlink r:id="rId522" location="Pathway_Towards_The_Peak" ref="AJ515"/>
    <hyperlink r:id="rId523" location="Jing_Yangyuan" ref="E516"/>
    <hyperlink r:id="rId524" location="Jing_Yangyuan" ref="AJ516"/>
    <hyperlink r:id="rId525" location="Akuta.27s_Encampment" ref="E517"/>
    <hyperlink r:id="rId526" location="Akuta.27s_Encampment" ref="AJ517"/>
    <hyperlink r:id="rId527" location="Castle_of_Ice_and_Snow" ref="E532"/>
    <hyperlink r:id="rId528" location="Castle_of_Ice_and_Snow" ref="AJ532"/>
    <hyperlink r:id="rId529" location="67th_Settlement" ref="E533"/>
    <hyperlink r:id="rId530" location="67th_Settlement" ref="AJ533"/>
    <hyperlink r:id="rId531" location="Ablazed_Mansion" ref="E534"/>
    <hyperlink r:id="rId532" location="Ablazed_Mansion" ref="AJ534"/>
    <hyperlink r:id="rId533" location="23rd_Settlement" ref="E535"/>
    <hyperlink r:id="rId534" location="23rd_Settlement" ref="AJ535"/>
    <hyperlink r:id="rId535" location="Forgotten_Temple" ref="E536"/>
    <hyperlink r:id="rId536" location="Forgotten_Temple" ref="AJ536"/>
    <hyperlink r:id="rId537" location="Eight_Gates_Cave" ref="E555"/>
    <hyperlink r:id="rId538" location="Eight_Gates_Cave" ref="AJ555"/>
    <hyperlink r:id="rId539" location="Dapingyu" ref="E556"/>
    <hyperlink r:id="rId540" location="Dapingyu" ref="AJ556"/>
    <hyperlink r:id="rId541" location="Detention_Centre" ref="E557"/>
    <hyperlink r:id="rId542" location="Detention_Centre" ref="AJ557"/>
    <hyperlink r:id="rId543" location="Xianyang" ref="E558"/>
    <hyperlink r:id="rId544" location="Xianyang" ref="AJ558"/>
    <hyperlink r:id="rId545" location="Des_Moines" ref="E647"/>
    <hyperlink r:id="rId546" location="Des_Moines" ref="AJ647"/>
    <hyperlink r:id="rId547" location="Underground_Plains" ref="E648"/>
    <hyperlink r:id="rId548" location="Underground_Plains" ref="AJ648"/>
    <hyperlink r:id="rId549" location="Yaga_Ryazan" ref="E649"/>
    <hyperlink r:id="rId550" location="Yaga_Ryazan" ref="AJ649"/>
    <hyperlink r:id="rId551" location="Shinjuku_4-chome" ref="E650"/>
    <hyperlink r:id="rId552" location="Shinjuku_4-chome" ref="AJ650"/>
    <hyperlink r:id="rId553" location="Ur" ref="E651"/>
    <hyperlink r:id="rId554" location="Ur" ref="AJ651"/>
    <hyperlink r:id="rId555" location="Mad_Training_Field" ref="E652"/>
    <hyperlink r:id="rId556" location="Mad_Training_Field" ref="AJ652"/>
    <hyperlink r:id="rId557" location="Germania" ref="E653"/>
    <hyperlink r:id="rId558" location="Germania" ref="AJ653"/>
    <hyperlink r:id="rId559" location="Mad_Training_Field" ref="E654"/>
    <hyperlink r:id="rId560" location="Mad_Training_Field" ref="AJ654"/>
    <hyperlink r:id="rId561" location="Mad_Training_Field" ref="E655"/>
    <hyperlink r:id="rId562" location="Mad_Training_Field" ref="AJ655"/>
    <hyperlink r:id="rId563" location="Carter_House" ref="E670"/>
    <hyperlink r:id="rId564" location="Carter_House" ref="AJ670"/>
    <hyperlink r:id="rId565" location="Shinjuku_Imperial_Garden" ref="E671"/>
    <hyperlink r:id="rId566" location="Shinjuku_Imperial_Garden" ref="AJ671"/>
    <hyperlink r:id="rId567" location="Magic_Training_Field" ref="E672"/>
    <hyperlink r:id="rId568" location="Magic_Training_Field" ref="AJ672"/>
    <hyperlink r:id="rId569" location="Magic_Training_Field" ref="E673"/>
    <hyperlink r:id="rId570" location="Magic_Training_Field" ref="AJ673"/>
    <hyperlink r:id="rId571" location="Nippur" ref="E693"/>
    <hyperlink r:id="rId572" location="Nippur" ref="AJ693"/>
    <hyperlink r:id="rId573" location="Cavalry_Training_Field" ref="E694"/>
    <hyperlink r:id="rId574" location="Cavalry_Training_Field" ref="AJ694"/>
    <hyperlink r:id="rId575" location="Cavalry_Training_Field" ref="E695"/>
    <hyperlink r:id="rId576" location="Cavalry_Training_Field" ref="AJ695"/>
    <hyperlink r:id="rId577" location="Holy_City_Districts" ref="E716"/>
    <hyperlink r:id="rId578" location="Holy_City_Districts" ref="AJ716"/>
    <hyperlink r:id="rId579" location="Tower.27s_Top_Floor" ref="E717"/>
    <hyperlink r:id="rId580" location="Tower.27s_Top_Floor" ref="AJ717"/>
    <hyperlink r:id="rId581" location="Forgotten_Temple" ref="E718"/>
    <hyperlink r:id="rId582" location="Forgotten_Temple" ref="AJ718"/>
    <hyperlink r:id="rId583" location="Washington" ref="E719"/>
    <hyperlink r:id="rId584" location="Washington" ref="AJ719"/>
    <hyperlink r:id="rId585" location="Sword_Training_Field" ref="E720"/>
    <hyperlink r:id="rId586" location="Sword_Training_Field" ref="AJ720"/>
    <hyperlink r:id="rId587" location="Sword_Training_Field" ref="E721"/>
    <hyperlink r:id="rId588" location="Sword_Training_Field" ref="AJ721"/>
    <hyperlink r:id="rId589" location="Camping_Ground" ref="E739"/>
    <hyperlink r:id="rId590" location="Camping_Ground" ref="AJ739"/>
    <hyperlink r:id="rId591" location="Rebellion_Army.27s_Stronghold" ref="E740"/>
    <hyperlink r:id="rId592" location="Rebellion_Army.27s_Stronghold" ref="AJ740"/>
    <hyperlink r:id="rId593" location="Anchor_Point" ref="E741"/>
    <hyperlink r:id="rId594" location="Anchor_Point" ref="AJ741"/>
    <hyperlink r:id="rId595" location="Yaga_Demensk" ref="E742"/>
    <hyperlink r:id="rId596" location="Yaga_Demensk" ref="AJ742"/>
    <hyperlink r:id="rId597" location="Eastern_Village" ref="E743"/>
    <hyperlink r:id="rId598" location="Eastern_Village" ref="AJ743"/>
    <hyperlink r:id="rId599" location="Kearney" ref="E744"/>
    <hyperlink r:id="rId600" location="Kearney" ref="AJ744"/>
    <hyperlink r:id="rId601" location="Spear_Training_Field" ref="E745"/>
    <hyperlink r:id="rId602" location="Spear_Training_Field" ref="AJ745"/>
    <hyperlink r:id="rId603" location="Spear_Training_Field" ref="E746"/>
    <hyperlink r:id="rId604" location="Spear_Training_Field" ref="AJ746"/>
    <hyperlink r:id="rId605" location="Shinjuku_2-chome" ref="E762"/>
    <hyperlink r:id="rId606" location="Shinjuku_2-chome" ref="AJ762"/>
    <hyperlink r:id="rId607" location="Alexandria" ref="E763"/>
    <hyperlink r:id="rId608" location="Alexandria" ref="AJ763"/>
    <hyperlink r:id="rId609" location="Archery_Training_Field" ref="E764"/>
    <hyperlink r:id="rId610" location="Archery_Training_Field" ref="AJ764"/>
    <hyperlink r:id="rId611" location="Archery_Training_Field" ref="E765"/>
    <hyperlink r:id="rId612" location="Archery_Training_Field" ref="AJ765"/>
    <hyperlink r:id="rId613" location="Northern_Cliffs" ref="E785"/>
    <hyperlink r:id="rId614" location="Northern_Cliffs" ref="AJ785"/>
    <hyperlink r:id="rId615" location="Northern_Hill" ref="E786"/>
    <hyperlink r:id="rId616" location="Northern_Hill" ref="AJ786"/>
    <hyperlink r:id="rId617" location="Lubbock" ref="E787"/>
    <hyperlink r:id="rId618" location="Lubbock" ref="AJ787"/>
    <hyperlink r:id="rId619" location="Killing_Training_Field" ref="E788"/>
    <hyperlink r:id="rId620" location="Killing_Training_Field" ref="AJ788"/>
    <hyperlink r:id="rId621" location="Killing_Training_Field" ref="E789"/>
    <hyperlink r:id="rId622" location="Killing_Training_Field" ref="AJ789"/>
    <hyperlink r:id="rId623" location="Jail" ref="E808"/>
    <hyperlink r:id="rId624" location="Jail" ref="AJ808"/>
    <hyperlink r:id="rId625" location="Concealed_Village" ref="E809"/>
    <hyperlink r:id="rId626" location="Concealed_Village" ref="AJ809"/>
    <hyperlink r:id="rId627" location="Dunes_of_Daybreak" ref="E810"/>
    <hyperlink r:id="rId628" location="Dunes_of_Daybreak" ref="AJ810"/>
    <hyperlink r:id="rId629" location="Great_Temple" ref="E831"/>
    <hyperlink r:id="rId630" location="Great_Temple" ref="AJ831"/>
    <hyperlink r:id="rId631" location="Desert_Sandstorm" ref="E832"/>
    <hyperlink r:id="rId632" location="Desert_Sandstorm" ref="AJ832"/>
    <hyperlink r:id="rId633" location="67th_Settlement" ref="E854"/>
    <hyperlink r:id="rId634" location="67th_Settlement" ref="AJ854"/>
    <hyperlink r:id="rId635" location="Blood_Fort_Andromeda" ref="E855"/>
    <hyperlink r:id="rId636" location="Blood_Fort_Andromeda" ref="AJ855"/>
    <hyperlink r:id="rId637" location="Pathway_Towards_The_Peak" ref="E856"/>
    <hyperlink r:id="rId638" location="Pathway_Towards_The_Peak" ref="AJ856"/>
    <hyperlink r:id="rId639" location="Black_Cedar_Forest" ref="E857"/>
    <hyperlink r:id="rId640" location="Black_Cedar_Forest" ref="AJ857"/>
    <hyperlink r:id="rId641" location="Landing_Point" ref="E858"/>
    <hyperlink r:id="rId642" location="Landing_Point" ref="AJ858"/>
    <hyperlink r:id="rId643" location="Northern_Wall" ref="E859"/>
    <hyperlink r:id="rId644" location="Northern_Wall" ref="AJ859"/>
    <hyperlink r:id="rId645" location="Arakawa_Prairie" ref="E877"/>
    <hyperlink r:id="rId646" location="Arakawa_Prairie" ref="AJ877"/>
    <hyperlink r:id="rId647" location="Mount_Ahv.C4.81z" ref="E878"/>
    <hyperlink r:id="rId648" location="Mount_Ahv.C4.81z" ref="AJ878"/>
    <hyperlink r:id="rId649" location="Dragon_Palace" ref="E900"/>
    <hyperlink r:id="rId650" location="Dragon_Palace" ref="AJ900"/>
    <hyperlink r:id="rId651" location="Icy_Cold_Grotto" ref="E901"/>
    <hyperlink r:id="rId652" location="Icy_Cold_Grotto" ref="AJ901"/>
    <hyperlink r:id="rId653" location="Great_Valley_Stronghold" ref="E902"/>
    <hyperlink r:id="rId654" location="Great_Valley_Stronghold" ref="AJ902"/>
    <hyperlink r:id="rId655" location="Toke_Castle" ref="E903"/>
    <hyperlink r:id="rId656" location="Toke_Castle" ref="AJ903"/>
    <hyperlink r:id="rId657" location="Detention_Centre" ref="E923"/>
    <hyperlink r:id="rId658" location="Detention_Centre" ref="AJ923"/>
    <hyperlink r:id="rId659" location="Shiquan_Gorge" ref="E924"/>
    <hyperlink r:id="rId660" location="Shiquan_Gorge" ref="AJ924"/>
    <hyperlink r:id="rId661" location="Xianyang" ref="E925"/>
    <hyperlink r:id="rId662" location="Xianyang" ref="AJ925"/>
    <hyperlink r:id="rId663" location="Jing_Yangyuan" ref="E926"/>
    <hyperlink r:id="rId664" location="Jing_Yangyuan" ref="AJ926"/>
    <hyperlink r:id="rId665" location="Shanyang_Knoll" ref="E927"/>
    <hyperlink r:id="rId666" location="Shanyang_Knoll" ref="AJ927"/>
  </hyperlinks>
  <drawing r:id="rId66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4.43" defaultRowHeight="15.75"/>
  <cols>
    <col customWidth="1" min="1" max="1" width="3.43"/>
    <col customWidth="1" hidden="1" min="2" max="2" width="7.71"/>
    <col customWidth="1" min="3" max="3" width="32.29"/>
    <col customWidth="1" min="4" max="4" width="5.43"/>
    <col customWidth="1" hidden="1" min="5" max="7" width="5.43"/>
    <col customWidth="1" min="8" max="8" width="6.57"/>
    <col customWidth="1" min="9" max="22" width="7.29"/>
    <col customWidth="1" hidden="1" min="23" max="26" width="7.29"/>
    <col customWidth="1" min="27" max="42" width="7.29"/>
    <col customWidth="1" hidden="1" min="43" max="46" width="7.29"/>
    <col customWidth="1" min="47" max="113" width="7.29"/>
    <col customWidth="1" hidden="1" min="114" max="114" width="7.29"/>
    <col customWidth="1" min="115" max="121" width="7.29"/>
    <col customWidth="1" hidden="1" min="122" max="123" width="7.29"/>
  </cols>
  <sheetData>
    <row r="1" hidden="1">
      <c r="A1">
        <f>IFERROR(__xludf.DUMMYFUNCTION("IMPORTRANGE('Setup Sheet'!C3,'Setup Sheet'!C11&amp;""!""&amp;'Setup Sheet'!F11)"),0.0)</f>
        <v>0</v>
      </c>
      <c r="B1" t="str">
        <f>IFERROR(__xludf.DUMMYFUNCTION("""COMPUTED_VALUE"""),"Material")</f>
        <v>Material</v>
      </c>
      <c r="H1" t="str">
        <f>IFERROR(__xludf.DUMMYFUNCTION("""COMPUTED_VALUE"""),"RUNS")</f>
        <v>RUNS</v>
      </c>
      <c r="I1" s="258" t="str">
        <f>IFERROR(__xludf.DUMMYFUNCTION("""COMPUTED_VALUE"""),"A101")</f>
        <v>A101</v>
      </c>
      <c r="J1" t="str">
        <f>IFERROR(__xludf.DUMMYFUNCTION("""COMPUTED_VALUE"""),"A102")</f>
        <v>A102</v>
      </c>
      <c r="K1" t="str">
        <f>IFERROR(__xludf.DUMMYFUNCTION("""COMPUTED_VALUE"""),"A103")</f>
        <v>A103</v>
      </c>
      <c r="L1" t="str">
        <f>IFERROR(__xludf.DUMMYFUNCTION("""COMPUTED_VALUE"""),"A104")</f>
        <v>A104</v>
      </c>
      <c r="M1" t="str">
        <f>IFERROR(__xludf.DUMMYFUNCTION("""COMPUTED_VALUE"""),"A105")</f>
        <v>A105</v>
      </c>
      <c r="N1" t="str">
        <f>IFERROR(__xludf.DUMMYFUNCTION("""COMPUTED_VALUE"""),"A106")</f>
        <v>A106</v>
      </c>
      <c r="O1" t="str">
        <f>IFERROR(__xludf.DUMMYFUNCTION("""COMPUTED_VALUE"""),"A107")</f>
        <v>A107</v>
      </c>
      <c r="P1" t="str">
        <f>IFERROR(__xludf.DUMMYFUNCTION("""COMPUTED_VALUE"""),"A108")</f>
        <v>A108</v>
      </c>
      <c r="Q1" t="str">
        <f>IFERROR(__xludf.DUMMYFUNCTION("""COMPUTED_VALUE"""),"A109")</f>
        <v>A109</v>
      </c>
      <c r="R1" t="str">
        <f>IFERROR(__xludf.DUMMYFUNCTION("""COMPUTED_VALUE"""),"A110")</f>
        <v>A110</v>
      </c>
      <c r="S1" t="str">
        <f>IFERROR(__xludf.DUMMYFUNCTION("""COMPUTED_VALUE"""),"A111")</f>
        <v>A111</v>
      </c>
      <c r="T1" t="str">
        <f>IFERROR(__xludf.DUMMYFUNCTION("""COMPUTED_VALUE"""),"A112")</f>
        <v>A112</v>
      </c>
      <c r="U1" t="str">
        <f>IFERROR(__xludf.DUMMYFUNCTION("""COMPUTED_VALUE"""),"A113")</f>
        <v>A113</v>
      </c>
      <c r="V1" t="str">
        <f>IFERROR(__xludf.DUMMYFUNCTION("""COMPUTED_VALUE"""),"A114")</f>
        <v>A114</v>
      </c>
      <c r="W1" t="str">
        <f>IFERROR(__xludf.DUMMYFUNCTION("""COMPUTED_VALUE"""),"A115")</f>
        <v>A115</v>
      </c>
      <c r="X1" t="str">
        <f>IFERROR(__xludf.DUMMYFUNCTION("""COMPUTED_VALUE"""),"A116")</f>
        <v>A116</v>
      </c>
      <c r="Y1" t="str">
        <f>IFERROR(__xludf.DUMMYFUNCTION("""COMPUTED_VALUE"""),"A117")</f>
        <v>A117</v>
      </c>
      <c r="Z1" t="str">
        <f>IFERROR(__xludf.DUMMYFUNCTION("""COMPUTED_VALUE"""),"A118")</f>
        <v>A118</v>
      </c>
      <c r="AA1" t="str">
        <f>IFERROR(__xludf.DUMMYFUNCTION("""COMPUTED_VALUE"""),"A201")</f>
        <v>A201</v>
      </c>
      <c r="AB1" t="str">
        <f>IFERROR(__xludf.DUMMYFUNCTION("""COMPUTED_VALUE"""),"A202")</f>
        <v>A202</v>
      </c>
      <c r="AC1" t="str">
        <f>IFERROR(__xludf.DUMMYFUNCTION("""COMPUTED_VALUE"""),"A203")</f>
        <v>A203</v>
      </c>
      <c r="AD1" t="str">
        <f>IFERROR(__xludf.DUMMYFUNCTION("""COMPUTED_VALUE"""),"A204")</f>
        <v>A204</v>
      </c>
      <c r="AE1" t="str">
        <f>IFERROR(__xludf.DUMMYFUNCTION("""COMPUTED_VALUE"""),"A205")</f>
        <v>A205</v>
      </c>
      <c r="AF1" t="str">
        <f>IFERROR(__xludf.DUMMYFUNCTION("""COMPUTED_VALUE"""),"A206")</f>
        <v>A206</v>
      </c>
      <c r="AG1" t="str">
        <f>IFERROR(__xludf.DUMMYFUNCTION("""COMPUTED_VALUE"""),"A207")</f>
        <v>A207</v>
      </c>
      <c r="AH1" t="str">
        <f>IFERROR(__xludf.DUMMYFUNCTION("""COMPUTED_VALUE"""),"A208")</f>
        <v>A208</v>
      </c>
      <c r="AI1" t="str">
        <f>IFERROR(__xludf.DUMMYFUNCTION("""COMPUTED_VALUE"""),"A209")</f>
        <v>A209</v>
      </c>
      <c r="AJ1" t="str">
        <f>IFERROR(__xludf.DUMMYFUNCTION("""COMPUTED_VALUE"""),"A210")</f>
        <v>A210</v>
      </c>
      <c r="AK1" t="str">
        <f>IFERROR(__xludf.DUMMYFUNCTION("""COMPUTED_VALUE"""),"A211")</f>
        <v>A211</v>
      </c>
      <c r="AL1" t="str">
        <f>IFERROR(__xludf.DUMMYFUNCTION("""COMPUTED_VALUE"""),"A212")</f>
        <v>A212</v>
      </c>
      <c r="AM1" t="str">
        <f>IFERROR(__xludf.DUMMYFUNCTION("""COMPUTED_VALUE"""),"A213")</f>
        <v>A213</v>
      </c>
      <c r="AN1" t="str">
        <f>IFERROR(__xludf.DUMMYFUNCTION("""COMPUTED_VALUE"""),"A214")</f>
        <v>A214</v>
      </c>
      <c r="AO1" t="str">
        <f>IFERROR(__xludf.DUMMYFUNCTION("""COMPUTED_VALUE"""),"A215")</f>
        <v>A215</v>
      </c>
      <c r="AP1" t="str">
        <f>IFERROR(__xludf.DUMMYFUNCTION("""COMPUTED_VALUE"""),"A216")</f>
        <v>A216</v>
      </c>
      <c r="AQ1" t="str">
        <f>IFERROR(__xludf.DUMMYFUNCTION("""COMPUTED_VALUE"""),"A217")</f>
        <v>A217</v>
      </c>
      <c r="AR1" t="str">
        <f>IFERROR(__xludf.DUMMYFUNCTION("""COMPUTED_VALUE"""),"A218")</f>
        <v>A218</v>
      </c>
      <c r="AS1" t="str">
        <f>IFERROR(__xludf.DUMMYFUNCTION("""COMPUTED_VALUE"""),"A219")</f>
        <v>A219</v>
      </c>
      <c r="AT1" t="str">
        <f>IFERROR(__xludf.DUMMYFUNCTION("""COMPUTED_VALUE"""),"A220")</f>
        <v>A220</v>
      </c>
      <c r="AU1" t="str">
        <f>IFERROR(__xludf.DUMMYFUNCTION("""COMPUTED_VALUE"""),"A301")</f>
        <v>A301</v>
      </c>
      <c r="AV1" t="str">
        <f>IFERROR(__xludf.DUMMYFUNCTION("""COMPUTED_VALUE"""),"A302")</f>
        <v>A302</v>
      </c>
      <c r="AW1" t="str">
        <f>IFERROR(__xludf.DUMMYFUNCTION("""COMPUTED_VALUE"""),"A303")</f>
        <v>A303</v>
      </c>
      <c r="AX1" t="str">
        <f>IFERROR(__xludf.DUMMYFUNCTION("""COMPUTED_VALUE"""),"A304")</f>
        <v>A304</v>
      </c>
      <c r="AY1" t="str">
        <f>IFERROR(__xludf.DUMMYFUNCTION("""COMPUTED_VALUE"""),"A305")</f>
        <v>A305</v>
      </c>
      <c r="AZ1" t="str">
        <f>IFERROR(__xludf.DUMMYFUNCTION("""COMPUTED_VALUE"""),"A306")</f>
        <v>A306</v>
      </c>
      <c r="BA1" t="str">
        <f>IFERROR(__xludf.DUMMYFUNCTION("""COMPUTED_VALUE"""),"A307")</f>
        <v>A307</v>
      </c>
      <c r="BB1" t="str">
        <f>IFERROR(__xludf.DUMMYFUNCTION("""COMPUTED_VALUE"""),"A308")</f>
        <v>A308</v>
      </c>
      <c r="BC1" t="str">
        <f>IFERROR(__xludf.DUMMYFUNCTION("""COMPUTED_VALUE"""),"A309")</f>
        <v>A309</v>
      </c>
      <c r="BD1" t="str">
        <f>IFERROR(__xludf.DUMMYFUNCTION("""COMPUTED_VALUE"""),"B101")</f>
        <v>B101</v>
      </c>
      <c r="BE1" t="str">
        <f>IFERROR(__xludf.DUMMYFUNCTION("""COMPUTED_VALUE"""),"B102")</f>
        <v>B102</v>
      </c>
      <c r="BF1" t="str">
        <f>IFERROR(__xludf.DUMMYFUNCTION("""COMPUTED_VALUE"""),"B103")</f>
        <v>B103</v>
      </c>
      <c r="BG1" t="str">
        <f>IFERROR(__xludf.DUMMYFUNCTION("""COMPUTED_VALUE"""),"B104")</f>
        <v>B104</v>
      </c>
      <c r="BH1" t="str">
        <f>IFERROR(__xludf.DUMMYFUNCTION("""COMPUTED_VALUE"""),"B105")</f>
        <v>B105</v>
      </c>
      <c r="BI1" t="str">
        <f>IFERROR(__xludf.DUMMYFUNCTION("""COMPUTED_VALUE"""),"B106")</f>
        <v>B106</v>
      </c>
      <c r="BJ1" t="str">
        <f>IFERROR(__xludf.DUMMYFUNCTION("""COMPUTED_VALUE"""),"B107")</f>
        <v>B107</v>
      </c>
      <c r="BK1" t="str">
        <f>IFERROR(__xludf.DUMMYFUNCTION("""COMPUTED_VALUE"""),"B111")</f>
        <v>B111</v>
      </c>
      <c r="BL1" t="str">
        <f>IFERROR(__xludf.DUMMYFUNCTION("""COMPUTED_VALUE"""),"B112")</f>
        <v>B112</v>
      </c>
      <c r="BM1" t="str">
        <f>IFERROR(__xludf.DUMMYFUNCTION("""COMPUTED_VALUE"""),"B113")</f>
        <v>B113</v>
      </c>
      <c r="BN1" t="str">
        <f>IFERROR(__xludf.DUMMYFUNCTION("""COMPUTED_VALUE"""),"B114")</f>
        <v>B114</v>
      </c>
      <c r="BO1" t="str">
        <f>IFERROR(__xludf.DUMMYFUNCTION("""COMPUTED_VALUE"""),"B115")</f>
        <v>B115</v>
      </c>
      <c r="BP1" t="str">
        <f>IFERROR(__xludf.DUMMYFUNCTION("""COMPUTED_VALUE"""),"B116")</f>
        <v>B116</v>
      </c>
      <c r="BQ1" t="str">
        <f>IFERROR(__xludf.DUMMYFUNCTION("""COMPUTED_VALUE"""),"B117")</f>
        <v>B117</v>
      </c>
      <c r="BR1" t="str">
        <f>IFERROR(__xludf.DUMMYFUNCTION("""COMPUTED_VALUE"""),"B121")</f>
        <v>B121</v>
      </c>
      <c r="BS1" t="str">
        <f>IFERROR(__xludf.DUMMYFUNCTION("""COMPUTED_VALUE"""),"B122")</f>
        <v>B122</v>
      </c>
      <c r="BT1" t="str">
        <f>IFERROR(__xludf.DUMMYFUNCTION("""COMPUTED_VALUE"""),"B123")</f>
        <v>B123</v>
      </c>
      <c r="BU1" t="str">
        <f>IFERROR(__xludf.DUMMYFUNCTION("""COMPUTED_VALUE"""),"B124")</f>
        <v>B124</v>
      </c>
      <c r="BV1" t="str">
        <f>IFERROR(__xludf.DUMMYFUNCTION("""COMPUTED_VALUE"""),"B125")</f>
        <v>B125</v>
      </c>
      <c r="BW1" t="str">
        <f>IFERROR(__xludf.DUMMYFUNCTION("""COMPUTED_VALUE"""),"B126")</f>
        <v>B126</v>
      </c>
      <c r="BX1" t="str">
        <f>IFERROR(__xludf.DUMMYFUNCTION("""COMPUTED_VALUE"""),"B127")</f>
        <v>B127</v>
      </c>
      <c r="BY1" t="str">
        <f>IFERROR(__xludf.DUMMYFUNCTION("""COMPUTED_VALUE"""),"B201")</f>
        <v>B201</v>
      </c>
      <c r="BZ1" t="str">
        <f>IFERROR(__xludf.DUMMYFUNCTION("""COMPUTED_VALUE"""),"B202")</f>
        <v>B202</v>
      </c>
      <c r="CA1" t="str">
        <f>IFERROR(__xludf.DUMMYFUNCTION("""COMPUTED_VALUE"""),"B203")</f>
        <v>B203</v>
      </c>
      <c r="CB1" t="str">
        <f>IFERROR(__xludf.DUMMYFUNCTION("""COMPUTED_VALUE"""),"B204")</f>
        <v>B204</v>
      </c>
      <c r="CC1" t="str">
        <f>IFERROR(__xludf.DUMMYFUNCTION("""COMPUTED_VALUE"""),"B205")</f>
        <v>B205</v>
      </c>
      <c r="CD1" t="str">
        <f>IFERROR(__xludf.DUMMYFUNCTION("""COMPUTED_VALUE"""),"B206")</f>
        <v>B206</v>
      </c>
      <c r="CE1" t="str">
        <f>IFERROR(__xludf.DUMMYFUNCTION("""COMPUTED_VALUE"""),"B207")</f>
        <v>B207</v>
      </c>
      <c r="CF1" t="str">
        <f>IFERROR(__xludf.DUMMYFUNCTION("""COMPUTED_VALUE"""),"B211")</f>
        <v>B211</v>
      </c>
      <c r="CG1" t="str">
        <f>IFERROR(__xludf.DUMMYFUNCTION("""COMPUTED_VALUE"""),"B212")</f>
        <v>B212</v>
      </c>
      <c r="CH1" t="str">
        <f>IFERROR(__xludf.DUMMYFUNCTION("""COMPUTED_VALUE"""),"B213")</f>
        <v>B213</v>
      </c>
      <c r="CI1" s="259" t="str">
        <f>IFERROR(__xludf.DUMMYFUNCTION("""COMPUTED_VALUE"""),"B214")</f>
        <v>B214</v>
      </c>
      <c r="CJ1" t="str">
        <f>IFERROR(__xludf.DUMMYFUNCTION("""COMPUTED_VALUE"""),"B215")</f>
        <v>B215</v>
      </c>
      <c r="CK1" t="str">
        <f>IFERROR(__xludf.DUMMYFUNCTION("""COMPUTED_VALUE"""),"B216")</f>
        <v>B216</v>
      </c>
      <c r="CL1" s="259" t="str">
        <f>IFERROR(__xludf.DUMMYFUNCTION("""COMPUTED_VALUE"""),"B217")</f>
        <v>B217</v>
      </c>
      <c r="CM1" t="str">
        <f>IFERROR(__xludf.DUMMYFUNCTION("""COMPUTED_VALUE"""),"B321")</f>
        <v>B321</v>
      </c>
      <c r="CN1" t="str">
        <f>IFERROR(__xludf.DUMMYFUNCTION("""COMPUTED_VALUE"""),"B322")</f>
        <v>B322</v>
      </c>
      <c r="CO1" s="259" t="str">
        <f>IFERROR(__xludf.DUMMYFUNCTION("""COMPUTED_VALUE"""),"B323")</f>
        <v>B323</v>
      </c>
      <c r="CP1" t="str">
        <f>IFERROR(__xludf.DUMMYFUNCTION("""COMPUTED_VALUE"""),"B324")</f>
        <v>B324</v>
      </c>
      <c r="CQ1" t="str">
        <f>IFERROR(__xludf.DUMMYFUNCTION("""COMPUTED_VALUE"""),"B325")</f>
        <v>B325</v>
      </c>
      <c r="CR1" s="259" t="str">
        <f>IFERROR(__xludf.DUMMYFUNCTION("""COMPUTED_VALUE"""),"B326")</f>
        <v>B326</v>
      </c>
      <c r="CS1" t="str">
        <f>IFERROR(__xludf.DUMMYFUNCTION("""COMPUTED_VALUE"""),"B327")</f>
        <v>B327</v>
      </c>
      <c r="CT1" t="str">
        <f>IFERROR(__xludf.DUMMYFUNCTION("""COMPUTED_VALUE"""),"B328")</f>
        <v>B328</v>
      </c>
      <c r="CU1" s="259" t="str">
        <f>IFERROR(__xludf.DUMMYFUNCTION("""COMPUTED_VALUE"""),"B331")</f>
        <v>B331</v>
      </c>
      <c r="CV1" t="str">
        <f>IFERROR(__xludf.DUMMYFUNCTION("""COMPUTED_VALUE"""),"B332")</f>
        <v>B332</v>
      </c>
      <c r="CW1" s="260" t="str">
        <f>IFERROR(__xludf.DUMMYFUNCTION("""COMPUTED_VALUE"""),"B333")</f>
        <v>B333</v>
      </c>
      <c r="CX1" t="str">
        <f>IFERROR(__xludf.DUMMYFUNCTION("""COMPUTED_VALUE"""),"B334")</f>
        <v>B334</v>
      </c>
      <c r="CY1" t="str">
        <f>IFERROR(__xludf.DUMMYFUNCTION("""COMPUTED_VALUE"""),"B335")</f>
        <v>B335</v>
      </c>
      <c r="CZ1" t="str">
        <f>IFERROR(__xludf.DUMMYFUNCTION("""COMPUTED_VALUE"""),"B336")</f>
        <v>B336</v>
      </c>
      <c r="DA1" t="str">
        <f>IFERROR(__xludf.DUMMYFUNCTION("""COMPUTED_VALUE"""),"B337")</f>
        <v>B337</v>
      </c>
      <c r="DB1" t="str">
        <f>IFERROR(__xludf.DUMMYFUNCTION("""COMPUTED_VALUE"""),"B338")</f>
        <v>B338</v>
      </c>
      <c r="DC1" t="str">
        <f>IFERROR(__xludf.DUMMYFUNCTION("""COMPUTED_VALUE"""),"B341")</f>
        <v>B341</v>
      </c>
      <c r="DD1" t="str">
        <f>IFERROR(__xludf.DUMMYFUNCTION("""COMPUTED_VALUE"""),"B342")</f>
        <v>B342</v>
      </c>
      <c r="DE1" t="str">
        <f>IFERROR(__xludf.DUMMYFUNCTION("""COMPUTED_VALUE"""),"B343")</f>
        <v>B343</v>
      </c>
      <c r="DF1" t="str">
        <f>IFERROR(__xludf.DUMMYFUNCTION("""COMPUTED_VALUE"""),"B344")</f>
        <v>B344</v>
      </c>
      <c r="DG1" t="str">
        <f>IFERROR(__xludf.DUMMYFUNCTION("""COMPUTED_VALUE"""),"B345")</f>
        <v>B345</v>
      </c>
      <c r="DH1" t="str">
        <f>IFERROR(__xludf.DUMMYFUNCTION("""COMPUTED_VALUE"""),"B346")</f>
        <v>B346</v>
      </c>
      <c r="DI1" t="str">
        <f>IFERROR(__xludf.DUMMYFUNCTION("""COMPUTED_VALUE"""),"B347")</f>
        <v>B347</v>
      </c>
      <c r="DJ1" t="str">
        <f>IFERROR(__xludf.DUMMYFUNCTION("""COMPUTED_VALUE"""),"B348")</f>
        <v>B348</v>
      </c>
      <c r="DK1" t="str">
        <f>IFERROR(__xludf.DUMMYFUNCTION("""COMPUTED_VALUE"""),"B351")</f>
        <v>B351</v>
      </c>
      <c r="DL1" t="str">
        <f>IFERROR(__xludf.DUMMYFUNCTION("""COMPUTED_VALUE"""),"B352")</f>
        <v>B352</v>
      </c>
      <c r="DM1" t="str">
        <f>IFERROR(__xludf.DUMMYFUNCTION("""COMPUTED_VALUE"""),"B353")</f>
        <v>B353</v>
      </c>
      <c r="DN1" t="str">
        <f>IFERROR(__xludf.DUMMYFUNCTION("""COMPUTED_VALUE"""),"B354")</f>
        <v>B354</v>
      </c>
      <c r="DO1" t="str">
        <f>IFERROR(__xludf.DUMMYFUNCTION("""COMPUTED_VALUE"""),"B355")</f>
        <v>B355</v>
      </c>
      <c r="DP1" t="str">
        <f>IFERROR(__xludf.DUMMYFUNCTION("""COMPUTED_VALUE"""),"B356")</f>
        <v>B356</v>
      </c>
      <c r="DQ1" t="str">
        <f>IFERROR(__xludf.DUMMYFUNCTION("""COMPUTED_VALUE"""),"B357")</f>
        <v>B357</v>
      </c>
    </row>
    <row r="2" hidden="1">
      <c r="I2" s="258">
        <f>IFERROR(__xludf.DUMMYFUNCTION("""COMPUTED_VALUE"""),11.0)</f>
        <v>11</v>
      </c>
      <c r="J2">
        <f>IFERROR(__xludf.DUMMYFUNCTION("""COMPUTED_VALUE"""),12.0)</f>
        <v>12</v>
      </c>
      <c r="K2">
        <f>IFERROR(__xludf.DUMMYFUNCTION("""COMPUTED_VALUE"""),13.0)</f>
        <v>13</v>
      </c>
      <c r="L2">
        <f>IFERROR(__xludf.DUMMYFUNCTION("""COMPUTED_VALUE"""),14.0)</f>
        <v>14</v>
      </c>
      <c r="M2">
        <f>IFERROR(__xludf.DUMMYFUNCTION("""COMPUTED_VALUE"""),15.0)</f>
        <v>15</v>
      </c>
      <c r="N2">
        <f>IFERROR(__xludf.DUMMYFUNCTION("""COMPUTED_VALUE"""),16.0)</f>
        <v>16</v>
      </c>
      <c r="O2">
        <f>IFERROR(__xludf.DUMMYFUNCTION("""COMPUTED_VALUE"""),17.0)</f>
        <v>17</v>
      </c>
      <c r="P2">
        <f>IFERROR(__xludf.DUMMYFUNCTION("""COMPUTED_VALUE"""),18.0)</f>
        <v>18</v>
      </c>
      <c r="Q2">
        <f>IFERROR(__xludf.DUMMYFUNCTION("""COMPUTED_VALUE"""),19.0)</f>
        <v>19</v>
      </c>
      <c r="R2">
        <f>IFERROR(__xludf.DUMMYFUNCTION("""COMPUTED_VALUE"""),20.0)</f>
        <v>20</v>
      </c>
      <c r="S2">
        <f>IFERROR(__xludf.DUMMYFUNCTION("""COMPUTED_VALUE"""),21.0)</f>
        <v>21</v>
      </c>
      <c r="T2">
        <f>IFERROR(__xludf.DUMMYFUNCTION("""COMPUTED_VALUE"""),22.0)</f>
        <v>22</v>
      </c>
      <c r="U2">
        <f>IFERROR(__xludf.DUMMYFUNCTION("""COMPUTED_VALUE"""),23.0)</f>
        <v>23</v>
      </c>
      <c r="V2">
        <f>IFERROR(__xludf.DUMMYFUNCTION("""COMPUTED_VALUE"""),24.0)</f>
        <v>24</v>
      </c>
      <c r="W2">
        <f>IFERROR(__xludf.DUMMYFUNCTION("""COMPUTED_VALUE"""),25.0)</f>
        <v>25</v>
      </c>
      <c r="X2">
        <f>IFERROR(__xludf.DUMMYFUNCTION("""COMPUTED_VALUE"""),26.0)</f>
        <v>26</v>
      </c>
      <c r="Y2">
        <f>IFERROR(__xludf.DUMMYFUNCTION("""COMPUTED_VALUE"""),27.0)</f>
        <v>27</v>
      </c>
      <c r="Z2">
        <f>IFERROR(__xludf.DUMMYFUNCTION("""COMPUTED_VALUE"""),28.0)</f>
        <v>28</v>
      </c>
      <c r="AA2">
        <f>IFERROR(__xludf.DUMMYFUNCTION("""COMPUTED_VALUE"""),29.0)</f>
        <v>29</v>
      </c>
      <c r="AB2">
        <f>IFERROR(__xludf.DUMMYFUNCTION("""COMPUTED_VALUE"""),30.0)</f>
        <v>30</v>
      </c>
      <c r="AC2">
        <f>IFERROR(__xludf.DUMMYFUNCTION("""COMPUTED_VALUE"""),31.0)</f>
        <v>31</v>
      </c>
      <c r="AD2">
        <f>IFERROR(__xludf.DUMMYFUNCTION("""COMPUTED_VALUE"""),32.0)</f>
        <v>32</v>
      </c>
      <c r="AE2">
        <f>IFERROR(__xludf.DUMMYFUNCTION("""COMPUTED_VALUE"""),33.0)</f>
        <v>33</v>
      </c>
      <c r="AF2">
        <f>IFERROR(__xludf.DUMMYFUNCTION("""COMPUTED_VALUE"""),34.0)</f>
        <v>34</v>
      </c>
      <c r="AG2">
        <f>IFERROR(__xludf.DUMMYFUNCTION("""COMPUTED_VALUE"""),35.0)</f>
        <v>35</v>
      </c>
      <c r="AH2">
        <f>IFERROR(__xludf.DUMMYFUNCTION("""COMPUTED_VALUE"""),36.0)</f>
        <v>36</v>
      </c>
      <c r="AI2">
        <f>IFERROR(__xludf.DUMMYFUNCTION("""COMPUTED_VALUE"""),37.0)</f>
        <v>37</v>
      </c>
      <c r="AJ2">
        <f>IFERROR(__xludf.DUMMYFUNCTION("""COMPUTED_VALUE"""),38.0)</f>
        <v>38</v>
      </c>
      <c r="AK2">
        <f>IFERROR(__xludf.DUMMYFUNCTION("""COMPUTED_VALUE"""),39.0)</f>
        <v>39</v>
      </c>
      <c r="AL2">
        <f>IFERROR(__xludf.DUMMYFUNCTION("""COMPUTED_VALUE"""),40.0)</f>
        <v>40</v>
      </c>
      <c r="AM2">
        <f>IFERROR(__xludf.DUMMYFUNCTION("""COMPUTED_VALUE"""),41.0)</f>
        <v>41</v>
      </c>
      <c r="AN2">
        <f>IFERROR(__xludf.DUMMYFUNCTION("""COMPUTED_VALUE"""),42.0)</f>
        <v>42</v>
      </c>
      <c r="AO2">
        <f>IFERROR(__xludf.DUMMYFUNCTION("""COMPUTED_VALUE"""),43.0)</f>
        <v>43</v>
      </c>
      <c r="AP2">
        <f>IFERROR(__xludf.DUMMYFUNCTION("""COMPUTED_VALUE"""),44.0)</f>
        <v>44</v>
      </c>
      <c r="AQ2">
        <f>IFERROR(__xludf.DUMMYFUNCTION("""COMPUTED_VALUE"""),45.0)</f>
        <v>45</v>
      </c>
      <c r="AR2">
        <f>IFERROR(__xludf.DUMMYFUNCTION("""COMPUTED_VALUE"""),46.0)</f>
        <v>46</v>
      </c>
      <c r="AS2">
        <f>IFERROR(__xludf.DUMMYFUNCTION("""COMPUTED_VALUE"""),47.0)</f>
        <v>47</v>
      </c>
      <c r="AT2">
        <f>IFERROR(__xludf.DUMMYFUNCTION("""COMPUTED_VALUE"""),48.0)</f>
        <v>48</v>
      </c>
      <c r="AU2">
        <f>IFERROR(__xludf.DUMMYFUNCTION("""COMPUTED_VALUE"""),49.0)</f>
        <v>49</v>
      </c>
      <c r="AV2">
        <f>IFERROR(__xludf.DUMMYFUNCTION("""COMPUTED_VALUE"""),50.0)</f>
        <v>50</v>
      </c>
      <c r="AW2">
        <f>IFERROR(__xludf.DUMMYFUNCTION("""COMPUTED_VALUE"""),51.0)</f>
        <v>51</v>
      </c>
      <c r="AX2">
        <f>IFERROR(__xludf.DUMMYFUNCTION("""COMPUTED_VALUE"""),52.0)</f>
        <v>52</v>
      </c>
      <c r="AY2">
        <f>IFERROR(__xludf.DUMMYFUNCTION("""COMPUTED_VALUE"""),53.0)</f>
        <v>53</v>
      </c>
      <c r="AZ2">
        <f>IFERROR(__xludf.DUMMYFUNCTION("""COMPUTED_VALUE"""),54.0)</f>
        <v>54</v>
      </c>
      <c r="BA2">
        <f>IFERROR(__xludf.DUMMYFUNCTION("""COMPUTED_VALUE"""),55.0)</f>
        <v>55</v>
      </c>
      <c r="BB2">
        <f>IFERROR(__xludf.DUMMYFUNCTION("""COMPUTED_VALUE"""),56.0)</f>
        <v>56</v>
      </c>
      <c r="BC2">
        <f>IFERROR(__xludf.DUMMYFUNCTION("""COMPUTED_VALUE"""),57.0)</f>
        <v>57</v>
      </c>
      <c r="BD2">
        <f>IFERROR(__xludf.DUMMYFUNCTION("""COMPUTED_VALUE"""),58.0)</f>
        <v>58</v>
      </c>
      <c r="BE2">
        <f>IFERROR(__xludf.DUMMYFUNCTION("""COMPUTED_VALUE"""),59.0)</f>
        <v>59</v>
      </c>
      <c r="BF2">
        <f>IFERROR(__xludf.DUMMYFUNCTION("""COMPUTED_VALUE"""),60.0)</f>
        <v>60</v>
      </c>
      <c r="BG2">
        <f>IFERROR(__xludf.DUMMYFUNCTION("""COMPUTED_VALUE"""),61.0)</f>
        <v>61</v>
      </c>
      <c r="BH2">
        <f>IFERROR(__xludf.DUMMYFUNCTION("""COMPUTED_VALUE"""),62.0)</f>
        <v>62</v>
      </c>
      <c r="BI2">
        <f>IFERROR(__xludf.DUMMYFUNCTION("""COMPUTED_VALUE"""),63.0)</f>
        <v>63</v>
      </c>
      <c r="BJ2">
        <f>IFERROR(__xludf.DUMMYFUNCTION("""COMPUTED_VALUE"""),64.0)</f>
        <v>64</v>
      </c>
      <c r="BK2">
        <f>IFERROR(__xludf.DUMMYFUNCTION("""COMPUTED_VALUE"""),65.0)</f>
        <v>65</v>
      </c>
      <c r="BL2">
        <f>IFERROR(__xludf.DUMMYFUNCTION("""COMPUTED_VALUE"""),66.0)</f>
        <v>66</v>
      </c>
      <c r="BM2">
        <f>IFERROR(__xludf.DUMMYFUNCTION("""COMPUTED_VALUE"""),67.0)</f>
        <v>67</v>
      </c>
      <c r="BN2">
        <f>IFERROR(__xludf.DUMMYFUNCTION("""COMPUTED_VALUE"""),68.0)</f>
        <v>68</v>
      </c>
      <c r="BO2">
        <f>IFERROR(__xludf.DUMMYFUNCTION("""COMPUTED_VALUE"""),69.0)</f>
        <v>69</v>
      </c>
      <c r="BP2">
        <f>IFERROR(__xludf.DUMMYFUNCTION("""COMPUTED_VALUE"""),70.0)</f>
        <v>70</v>
      </c>
      <c r="BQ2">
        <f>IFERROR(__xludf.DUMMYFUNCTION("""COMPUTED_VALUE"""),71.0)</f>
        <v>71</v>
      </c>
      <c r="BR2">
        <f>IFERROR(__xludf.DUMMYFUNCTION("""COMPUTED_VALUE"""),72.0)</f>
        <v>72</v>
      </c>
      <c r="BS2">
        <f>IFERROR(__xludf.DUMMYFUNCTION("""COMPUTED_VALUE"""),73.0)</f>
        <v>73</v>
      </c>
      <c r="BT2">
        <f>IFERROR(__xludf.DUMMYFUNCTION("""COMPUTED_VALUE"""),74.0)</f>
        <v>74</v>
      </c>
      <c r="BU2">
        <f>IFERROR(__xludf.DUMMYFUNCTION("""COMPUTED_VALUE"""),75.0)</f>
        <v>75</v>
      </c>
      <c r="BV2">
        <f>IFERROR(__xludf.DUMMYFUNCTION("""COMPUTED_VALUE"""),76.0)</f>
        <v>76</v>
      </c>
      <c r="BW2">
        <f>IFERROR(__xludf.DUMMYFUNCTION("""COMPUTED_VALUE"""),77.0)</f>
        <v>77</v>
      </c>
      <c r="BX2">
        <f>IFERROR(__xludf.DUMMYFUNCTION("""COMPUTED_VALUE"""),78.0)</f>
        <v>78</v>
      </c>
      <c r="BY2">
        <f>IFERROR(__xludf.DUMMYFUNCTION("""COMPUTED_VALUE"""),79.0)</f>
        <v>79</v>
      </c>
      <c r="BZ2">
        <f>IFERROR(__xludf.DUMMYFUNCTION("""COMPUTED_VALUE"""),80.0)</f>
        <v>80</v>
      </c>
      <c r="CA2">
        <f>IFERROR(__xludf.DUMMYFUNCTION("""COMPUTED_VALUE"""),81.0)</f>
        <v>81</v>
      </c>
      <c r="CB2">
        <f>IFERROR(__xludf.DUMMYFUNCTION("""COMPUTED_VALUE"""),82.0)</f>
        <v>82</v>
      </c>
      <c r="CC2">
        <f>IFERROR(__xludf.DUMMYFUNCTION("""COMPUTED_VALUE"""),83.0)</f>
        <v>83</v>
      </c>
      <c r="CD2">
        <f>IFERROR(__xludf.DUMMYFUNCTION("""COMPUTED_VALUE"""),84.0)</f>
        <v>84</v>
      </c>
      <c r="CE2">
        <f>IFERROR(__xludf.DUMMYFUNCTION("""COMPUTED_VALUE"""),85.0)</f>
        <v>85</v>
      </c>
      <c r="CF2">
        <f>IFERROR(__xludf.DUMMYFUNCTION("""COMPUTED_VALUE"""),86.0)</f>
        <v>86</v>
      </c>
      <c r="CG2">
        <f>IFERROR(__xludf.DUMMYFUNCTION("""COMPUTED_VALUE"""),87.0)</f>
        <v>87</v>
      </c>
      <c r="CH2">
        <f>IFERROR(__xludf.DUMMYFUNCTION("""COMPUTED_VALUE"""),88.0)</f>
        <v>88</v>
      </c>
      <c r="CI2" s="259">
        <f>IFERROR(__xludf.DUMMYFUNCTION("""COMPUTED_VALUE"""),89.0)</f>
        <v>89</v>
      </c>
      <c r="CJ2">
        <f>IFERROR(__xludf.DUMMYFUNCTION("""COMPUTED_VALUE"""),90.0)</f>
        <v>90</v>
      </c>
      <c r="CK2">
        <f>IFERROR(__xludf.DUMMYFUNCTION("""COMPUTED_VALUE"""),91.0)</f>
        <v>91</v>
      </c>
      <c r="CL2" s="259">
        <f>IFERROR(__xludf.DUMMYFUNCTION("""COMPUTED_VALUE"""),92.0)</f>
        <v>92</v>
      </c>
      <c r="CM2">
        <f>IFERROR(__xludf.DUMMYFUNCTION("""COMPUTED_VALUE"""),93.0)</f>
        <v>93</v>
      </c>
      <c r="CN2">
        <f>IFERROR(__xludf.DUMMYFUNCTION("""COMPUTED_VALUE"""),94.0)</f>
        <v>94</v>
      </c>
      <c r="CO2" s="259">
        <f>IFERROR(__xludf.DUMMYFUNCTION("""COMPUTED_VALUE"""),95.0)</f>
        <v>95</v>
      </c>
      <c r="CP2">
        <f>IFERROR(__xludf.DUMMYFUNCTION("""COMPUTED_VALUE"""),96.0)</f>
        <v>96</v>
      </c>
      <c r="CQ2">
        <f>IFERROR(__xludf.DUMMYFUNCTION("""COMPUTED_VALUE"""),97.0)</f>
        <v>97</v>
      </c>
      <c r="CR2" s="259">
        <f>IFERROR(__xludf.DUMMYFUNCTION("""COMPUTED_VALUE"""),98.0)</f>
        <v>98</v>
      </c>
      <c r="CS2">
        <f>IFERROR(__xludf.DUMMYFUNCTION("""COMPUTED_VALUE"""),99.0)</f>
        <v>99</v>
      </c>
      <c r="CT2">
        <f>IFERROR(__xludf.DUMMYFUNCTION("""COMPUTED_VALUE"""),100.0)</f>
        <v>100</v>
      </c>
      <c r="CU2" s="259">
        <f>IFERROR(__xludf.DUMMYFUNCTION("""COMPUTED_VALUE"""),101.0)</f>
        <v>101</v>
      </c>
      <c r="CV2">
        <f>IFERROR(__xludf.DUMMYFUNCTION("""COMPUTED_VALUE"""),102.0)</f>
        <v>102</v>
      </c>
      <c r="CW2" s="260">
        <f>IFERROR(__xludf.DUMMYFUNCTION("""COMPUTED_VALUE"""),103.0)</f>
        <v>103</v>
      </c>
      <c r="CX2">
        <f>IFERROR(__xludf.DUMMYFUNCTION("""COMPUTED_VALUE"""),104.0)</f>
        <v>104</v>
      </c>
      <c r="CY2">
        <f>IFERROR(__xludf.DUMMYFUNCTION("""COMPUTED_VALUE"""),105.0)</f>
        <v>105</v>
      </c>
      <c r="CZ2">
        <f>IFERROR(__xludf.DUMMYFUNCTION("""COMPUTED_VALUE"""),106.0)</f>
        <v>106</v>
      </c>
      <c r="DA2">
        <f>IFERROR(__xludf.DUMMYFUNCTION("""COMPUTED_VALUE"""),107.0)</f>
        <v>107</v>
      </c>
      <c r="DB2">
        <f>IFERROR(__xludf.DUMMYFUNCTION("""COMPUTED_VALUE"""),108.0)</f>
        <v>108</v>
      </c>
      <c r="DC2">
        <f>IFERROR(__xludf.DUMMYFUNCTION("""COMPUTED_VALUE"""),109.0)</f>
        <v>109</v>
      </c>
      <c r="DD2">
        <f>IFERROR(__xludf.DUMMYFUNCTION("""COMPUTED_VALUE"""),110.0)</f>
        <v>110</v>
      </c>
      <c r="DE2">
        <f>IFERROR(__xludf.DUMMYFUNCTION("""COMPUTED_VALUE"""),111.0)</f>
        <v>111</v>
      </c>
      <c r="DF2">
        <f>IFERROR(__xludf.DUMMYFUNCTION("""COMPUTED_VALUE"""),112.0)</f>
        <v>112</v>
      </c>
      <c r="DG2">
        <f>IFERROR(__xludf.DUMMYFUNCTION("""COMPUTED_VALUE"""),113.0)</f>
        <v>113</v>
      </c>
      <c r="DH2">
        <f>IFERROR(__xludf.DUMMYFUNCTION("""COMPUTED_VALUE"""),114.0)</f>
        <v>114</v>
      </c>
      <c r="DI2">
        <f>IFERROR(__xludf.DUMMYFUNCTION("""COMPUTED_VALUE"""),115.0)</f>
        <v>115</v>
      </c>
      <c r="DJ2">
        <f>IFERROR(__xludf.DUMMYFUNCTION("""COMPUTED_VALUE"""),116.0)</f>
        <v>116</v>
      </c>
      <c r="DK2">
        <f>IFERROR(__xludf.DUMMYFUNCTION("""COMPUTED_VALUE"""),117.0)</f>
        <v>117</v>
      </c>
      <c r="DL2">
        <f>IFERROR(__xludf.DUMMYFUNCTION("""COMPUTED_VALUE"""),118.0)</f>
        <v>118</v>
      </c>
      <c r="DM2">
        <f>IFERROR(__xludf.DUMMYFUNCTION("""COMPUTED_VALUE"""),119.0)</f>
        <v>119</v>
      </c>
      <c r="DN2">
        <f>IFERROR(__xludf.DUMMYFUNCTION("""COMPUTED_VALUE"""),120.0)</f>
        <v>120</v>
      </c>
      <c r="DO2">
        <f>IFERROR(__xludf.DUMMYFUNCTION("""COMPUTED_VALUE"""),121.0)</f>
        <v>121</v>
      </c>
      <c r="DP2">
        <f>IFERROR(__xludf.DUMMYFUNCTION("""COMPUTED_VALUE"""),122.0)</f>
        <v>122</v>
      </c>
    </row>
    <row r="3" ht="41.25" customHeight="1">
      <c r="A3" s="82"/>
      <c r="B3" s="83" t="str">
        <f>IFERROR(__xludf.DUMMYFUNCTION("""COMPUTED_VALUE"""),"String")</f>
        <v>String</v>
      </c>
      <c r="C3" s="83" t="str">
        <f>IFERROR(__xludf.DUMMYFUNCTION("""COMPUTED_VALUE"""),"Name")</f>
        <v>Name</v>
      </c>
      <c r="D3" s="83" t="str">
        <f>IFERROR(__xludf.DUMMYFUNCTION("""COMPUTED_VALUE"""),"AP")</f>
        <v>AP</v>
      </c>
      <c r="E3" s="83" t="str">
        <f>IFERROR(__xludf.DUMMYFUNCTION("""COMPUTED_VALUE"""),"Unlocked?")</f>
        <v>Unlocked?</v>
      </c>
      <c r="F3" s="83" t="str">
        <f>IFERROR(__xludf.DUMMYFUNCTION("""COMPUTED_VALUE"""),"Interval")</f>
        <v>Interval</v>
      </c>
      <c r="G3" s="83" t="str">
        <f>IFERROR(__xludf.DUMMYFUNCTION("""COMPUTED_VALUE"""),"Droprate Ref")</f>
        <v>Droprate Ref</v>
      </c>
      <c r="H3" s="83" t="str">
        <f>IFERROR(__xludf.DUMMYFUNCTION("""COMPUTED_VALUE"""),"Runs")</f>
        <v>Runs</v>
      </c>
      <c r="I3" s="229" t="str">
        <f>IFERROR(__xludf.DUMMYFUNCTION("""COMPUTED_VALUE"""),"")</f>
        <v/>
      </c>
      <c r="J3" s="229" t="str">
        <f>IFERROR(__xludf.DUMMYFUNCTION("""COMPUTED_VALUE"""),"")</f>
        <v/>
      </c>
      <c r="K3" s="229" t="str">
        <f>IFERROR(__xludf.DUMMYFUNCTION("""COMPUTED_VALUE"""),"")</f>
        <v/>
      </c>
      <c r="L3" s="229" t="str">
        <f>IFERROR(__xludf.DUMMYFUNCTION("""COMPUTED_VALUE"""),"")</f>
        <v/>
      </c>
      <c r="M3" s="229" t="str">
        <f>IFERROR(__xludf.DUMMYFUNCTION("""COMPUTED_VALUE"""),"")</f>
        <v/>
      </c>
      <c r="N3" s="229" t="str">
        <f>IFERROR(__xludf.DUMMYFUNCTION("""COMPUTED_VALUE"""),"")</f>
        <v/>
      </c>
      <c r="O3" s="229" t="str">
        <f>IFERROR(__xludf.DUMMYFUNCTION("""COMPUTED_VALUE"""),"")</f>
        <v/>
      </c>
      <c r="P3" s="229" t="str">
        <f>IFERROR(__xludf.DUMMYFUNCTION("""COMPUTED_VALUE"""),"")</f>
        <v/>
      </c>
      <c r="Q3" s="229" t="str">
        <f>IFERROR(__xludf.DUMMYFUNCTION("""COMPUTED_VALUE"""),"")</f>
        <v/>
      </c>
      <c r="R3" s="229" t="str">
        <f>IFERROR(__xludf.DUMMYFUNCTION("""COMPUTED_VALUE"""),"")</f>
        <v/>
      </c>
      <c r="S3" s="229" t="str">
        <f>IFERROR(__xludf.DUMMYFUNCTION("""COMPUTED_VALUE"""),"")</f>
        <v/>
      </c>
      <c r="T3" s="229" t="str">
        <f>IFERROR(__xludf.DUMMYFUNCTION("""COMPUTED_VALUE"""),"")</f>
        <v/>
      </c>
      <c r="U3" s="229" t="str">
        <f>IFERROR(__xludf.DUMMYFUNCTION("""COMPUTED_VALUE"""),"")</f>
        <v/>
      </c>
      <c r="V3" s="229" t="str">
        <f>IFERROR(__xludf.DUMMYFUNCTION("""COMPUTED_VALUE"""),"")</f>
        <v/>
      </c>
      <c r="W3" s="229" t="str">
        <f>IFERROR(__xludf.DUMMYFUNCTION("""COMPUTED_VALUE"""),"")</f>
        <v/>
      </c>
      <c r="X3" s="229" t="str">
        <f>IFERROR(__xludf.DUMMYFUNCTION("""COMPUTED_VALUE"""),"")</f>
        <v/>
      </c>
      <c r="Y3" s="229" t="str">
        <f>IFERROR(__xludf.DUMMYFUNCTION("""COMPUTED_VALUE"""),"")</f>
        <v/>
      </c>
      <c r="Z3" s="229" t="str">
        <f>IFERROR(__xludf.DUMMYFUNCTION("""COMPUTED_VALUE"""),"")</f>
        <v/>
      </c>
      <c r="AA3" s="229" t="str">
        <f>IFERROR(__xludf.DUMMYFUNCTION("""COMPUTED_VALUE"""),"")</f>
        <v/>
      </c>
      <c r="AB3" s="229" t="str">
        <f>IFERROR(__xludf.DUMMYFUNCTION("""COMPUTED_VALUE"""),"")</f>
        <v/>
      </c>
      <c r="AC3" s="229" t="str">
        <f>IFERROR(__xludf.DUMMYFUNCTION("""COMPUTED_VALUE"""),"")</f>
        <v/>
      </c>
      <c r="AD3" s="229" t="str">
        <f>IFERROR(__xludf.DUMMYFUNCTION("""COMPUTED_VALUE"""),"")</f>
        <v/>
      </c>
      <c r="AE3" s="229" t="str">
        <f>IFERROR(__xludf.DUMMYFUNCTION("""COMPUTED_VALUE"""),"")</f>
        <v/>
      </c>
      <c r="AF3" s="229" t="str">
        <f>IFERROR(__xludf.DUMMYFUNCTION("""COMPUTED_VALUE"""),"")</f>
        <v/>
      </c>
      <c r="AG3" s="229" t="str">
        <f>IFERROR(__xludf.DUMMYFUNCTION("""COMPUTED_VALUE"""),"")</f>
        <v/>
      </c>
      <c r="AH3" s="229" t="str">
        <f>IFERROR(__xludf.DUMMYFUNCTION("""COMPUTED_VALUE"""),"")</f>
        <v/>
      </c>
      <c r="AI3" s="229" t="str">
        <f>IFERROR(__xludf.DUMMYFUNCTION("""COMPUTED_VALUE"""),"")</f>
        <v/>
      </c>
      <c r="AJ3" s="229" t="str">
        <f>IFERROR(__xludf.DUMMYFUNCTION("""COMPUTED_VALUE"""),"")</f>
        <v/>
      </c>
      <c r="AK3" s="229" t="str">
        <f>IFERROR(__xludf.DUMMYFUNCTION("""COMPUTED_VALUE"""),"")</f>
        <v/>
      </c>
      <c r="AL3" s="229" t="str">
        <f>IFERROR(__xludf.DUMMYFUNCTION("""COMPUTED_VALUE"""),"")</f>
        <v/>
      </c>
      <c r="AM3" s="229" t="str">
        <f>IFERROR(__xludf.DUMMYFUNCTION("""COMPUTED_VALUE"""),"")</f>
        <v/>
      </c>
      <c r="AN3" s="229" t="str">
        <f>IFERROR(__xludf.DUMMYFUNCTION("""COMPUTED_VALUE"""),"")</f>
        <v/>
      </c>
      <c r="AO3" s="229" t="str">
        <f>IFERROR(__xludf.DUMMYFUNCTION("""COMPUTED_VALUE"""),"")</f>
        <v/>
      </c>
      <c r="AP3" s="229" t="str">
        <f>IFERROR(__xludf.DUMMYFUNCTION("""COMPUTED_VALUE"""),"")</f>
        <v/>
      </c>
      <c r="AQ3" s="229" t="str">
        <f>IFERROR(__xludf.DUMMYFUNCTION("""COMPUTED_VALUE"""),"")</f>
        <v/>
      </c>
      <c r="AR3" s="229" t="str">
        <f>IFERROR(__xludf.DUMMYFUNCTION("""COMPUTED_VALUE"""),"")</f>
        <v/>
      </c>
      <c r="AS3" s="229" t="str">
        <f>IFERROR(__xludf.DUMMYFUNCTION("""COMPUTED_VALUE"""),"")</f>
        <v/>
      </c>
      <c r="AT3" s="229" t="str">
        <f>IFERROR(__xludf.DUMMYFUNCTION("""COMPUTED_VALUE"""),"")</f>
        <v/>
      </c>
      <c r="AU3" s="229" t="str">
        <f>IFERROR(__xludf.DUMMYFUNCTION("""COMPUTED_VALUE"""),"")</f>
        <v/>
      </c>
      <c r="AV3" s="229" t="str">
        <f>IFERROR(__xludf.DUMMYFUNCTION("""COMPUTED_VALUE"""),"")</f>
        <v/>
      </c>
      <c r="AW3" s="229" t="str">
        <f>IFERROR(__xludf.DUMMYFUNCTION("""COMPUTED_VALUE"""),"")</f>
        <v/>
      </c>
      <c r="AX3" s="229" t="str">
        <f>IFERROR(__xludf.DUMMYFUNCTION("""COMPUTED_VALUE"""),"")</f>
        <v/>
      </c>
      <c r="AY3" s="229" t="str">
        <f>IFERROR(__xludf.DUMMYFUNCTION("""COMPUTED_VALUE"""),"")</f>
        <v/>
      </c>
      <c r="AZ3" s="229" t="str">
        <f>IFERROR(__xludf.DUMMYFUNCTION("""COMPUTED_VALUE"""),"")</f>
        <v/>
      </c>
      <c r="BA3" s="229" t="str">
        <f>IFERROR(__xludf.DUMMYFUNCTION("""COMPUTED_VALUE"""),"")</f>
        <v/>
      </c>
      <c r="BB3" s="229" t="str">
        <f>IFERROR(__xludf.DUMMYFUNCTION("""COMPUTED_VALUE"""),"")</f>
        <v/>
      </c>
      <c r="BC3" s="229" t="str">
        <f>IFERROR(__xludf.DUMMYFUNCTION("""COMPUTED_VALUE"""),"")</f>
        <v/>
      </c>
      <c r="BD3" s="229" t="str">
        <f>IFERROR(__xludf.DUMMYFUNCTION("""COMPUTED_VALUE"""),"")</f>
        <v/>
      </c>
      <c r="BE3" s="229" t="str">
        <f>IFERROR(__xludf.DUMMYFUNCTION("""COMPUTED_VALUE"""),"")</f>
        <v/>
      </c>
      <c r="BF3" s="229" t="str">
        <f>IFERROR(__xludf.DUMMYFUNCTION("""COMPUTED_VALUE"""),"")</f>
        <v/>
      </c>
      <c r="BG3" s="229" t="str">
        <f>IFERROR(__xludf.DUMMYFUNCTION("""COMPUTED_VALUE"""),"")</f>
        <v/>
      </c>
      <c r="BH3" s="229" t="str">
        <f>IFERROR(__xludf.DUMMYFUNCTION("""COMPUTED_VALUE"""),"")</f>
        <v/>
      </c>
      <c r="BI3" s="229" t="str">
        <f>IFERROR(__xludf.DUMMYFUNCTION("""COMPUTED_VALUE"""),"")</f>
        <v/>
      </c>
      <c r="BJ3" s="229" t="str">
        <f>IFERROR(__xludf.DUMMYFUNCTION("""COMPUTED_VALUE"""),"")</f>
        <v/>
      </c>
      <c r="BK3" s="229" t="str">
        <f>IFERROR(__xludf.DUMMYFUNCTION("""COMPUTED_VALUE"""),"")</f>
        <v/>
      </c>
      <c r="BL3" s="229" t="str">
        <f>IFERROR(__xludf.DUMMYFUNCTION("""COMPUTED_VALUE"""),"")</f>
        <v/>
      </c>
      <c r="BM3" s="229" t="str">
        <f>IFERROR(__xludf.DUMMYFUNCTION("""COMPUTED_VALUE"""),"")</f>
        <v/>
      </c>
      <c r="BN3" s="229" t="str">
        <f>IFERROR(__xludf.DUMMYFUNCTION("""COMPUTED_VALUE"""),"")</f>
        <v/>
      </c>
      <c r="BO3" s="229" t="str">
        <f>IFERROR(__xludf.DUMMYFUNCTION("""COMPUTED_VALUE"""),"")</f>
        <v/>
      </c>
      <c r="BP3" s="229" t="str">
        <f>IFERROR(__xludf.DUMMYFUNCTION("""COMPUTED_VALUE"""),"")</f>
        <v/>
      </c>
      <c r="BQ3" s="229" t="str">
        <f>IFERROR(__xludf.DUMMYFUNCTION("""COMPUTED_VALUE"""),"")</f>
        <v/>
      </c>
      <c r="BR3" s="229" t="str">
        <f>IFERROR(__xludf.DUMMYFUNCTION("""COMPUTED_VALUE"""),"")</f>
        <v/>
      </c>
      <c r="BS3" s="229" t="str">
        <f>IFERROR(__xludf.DUMMYFUNCTION("""COMPUTED_VALUE"""),"")</f>
        <v/>
      </c>
      <c r="BT3" s="229" t="str">
        <f>IFERROR(__xludf.DUMMYFUNCTION("""COMPUTED_VALUE"""),"")</f>
        <v/>
      </c>
      <c r="BU3" s="229" t="str">
        <f>IFERROR(__xludf.DUMMYFUNCTION("""COMPUTED_VALUE"""),"")</f>
        <v/>
      </c>
      <c r="BV3" s="229" t="str">
        <f>IFERROR(__xludf.DUMMYFUNCTION("""COMPUTED_VALUE"""),"")</f>
        <v/>
      </c>
      <c r="BW3" s="229" t="str">
        <f>IFERROR(__xludf.DUMMYFUNCTION("""COMPUTED_VALUE"""),"")</f>
        <v/>
      </c>
      <c r="BX3" s="229" t="str">
        <f>IFERROR(__xludf.DUMMYFUNCTION("""COMPUTED_VALUE"""),"")</f>
        <v/>
      </c>
      <c r="BY3" s="229" t="str">
        <f>IFERROR(__xludf.DUMMYFUNCTION("""COMPUTED_VALUE"""),"")</f>
        <v/>
      </c>
      <c r="BZ3" s="229" t="str">
        <f>IFERROR(__xludf.DUMMYFUNCTION("""COMPUTED_VALUE"""),"")</f>
        <v/>
      </c>
      <c r="CA3" s="229" t="str">
        <f>IFERROR(__xludf.DUMMYFUNCTION("""COMPUTED_VALUE"""),"")</f>
        <v/>
      </c>
      <c r="CB3" s="229" t="str">
        <f>IFERROR(__xludf.DUMMYFUNCTION("""COMPUTED_VALUE"""),"")</f>
        <v/>
      </c>
      <c r="CC3" s="229" t="str">
        <f>IFERROR(__xludf.DUMMYFUNCTION("""COMPUTED_VALUE"""),"")</f>
        <v/>
      </c>
      <c r="CD3" s="229" t="str">
        <f>IFERROR(__xludf.DUMMYFUNCTION("""COMPUTED_VALUE"""),"")</f>
        <v/>
      </c>
      <c r="CE3" s="229" t="str">
        <f>IFERROR(__xludf.DUMMYFUNCTION("""COMPUTED_VALUE"""),"")</f>
        <v/>
      </c>
      <c r="CF3" s="229" t="str">
        <f>IFERROR(__xludf.DUMMYFUNCTION("""COMPUTED_VALUE"""),"")</f>
        <v/>
      </c>
      <c r="CG3" s="229" t="str">
        <f>IFERROR(__xludf.DUMMYFUNCTION("""COMPUTED_VALUE"""),"")</f>
        <v/>
      </c>
      <c r="CH3" s="229" t="str">
        <f>IFERROR(__xludf.DUMMYFUNCTION("""COMPUTED_VALUE"""),"")</f>
        <v/>
      </c>
      <c r="CI3" s="261" t="str">
        <f>IFERROR(__xludf.DUMMYFUNCTION("""COMPUTED_VALUE"""),"")</f>
        <v/>
      </c>
      <c r="CJ3" s="229" t="str">
        <f>IFERROR(__xludf.DUMMYFUNCTION("""COMPUTED_VALUE"""),"")</f>
        <v/>
      </c>
      <c r="CK3" s="229" t="str">
        <f>IFERROR(__xludf.DUMMYFUNCTION("""COMPUTED_VALUE"""),"")</f>
        <v/>
      </c>
      <c r="CL3" s="261" t="str">
        <f>IFERROR(__xludf.DUMMYFUNCTION("""COMPUTED_VALUE"""),"")</f>
        <v/>
      </c>
      <c r="CM3" s="229" t="str">
        <f>IFERROR(__xludf.DUMMYFUNCTION("""COMPUTED_VALUE"""),"")</f>
        <v/>
      </c>
      <c r="CN3" s="229" t="str">
        <f>IFERROR(__xludf.DUMMYFUNCTION("""COMPUTED_VALUE"""),"")</f>
        <v/>
      </c>
      <c r="CO3" s="261" t="str">
        <f>IFERROR(__xludf.DUMMYFUNCTION("""COMPUTED_VALUE"""),"")</f>
        <v/>
      </c>
      <c r="CP3" s="229" t="str">
        <f>IFERROR(__xludf.DUMMYFUNCTION("""COMPUTED_VALUE"""),"")</f>
        <v/>
      </c>
      <c r="CQ3" s="229" t="str">
        <f>IFERROR(__xludf.DUMMYFUNCTION("""COMPUTED_VALUE"""),"")</f>
        <v/>
      </c>
      <c r="CR3" s="261" t="str">
        <f>IFERROR(__xludf.DUMMYFUNCTION("""COMPUTED_VALUE"""),"")</f>
        <v/>
      </c>
      <c r="CS3" s="229" t="str">
        <f>IFERROR(__xludf.DUMMYFUNCTION("""COMPUTED_VALUE"""),"")</f>
        <v/>
      </c>
      <c r="CT3" s="229" t="str">
        <f>IFERROR(__xludf.DUMMYFUNCTION("""COMPUTED_VALUE"""),"")</f>
        <v/>
      </c>
      <c r="CU3" s="261" t="str">
        <f>IFERROR(__xludf.DUMMYFUNCTION("""COMPUTED_VALUE"""),"")</f>
        <v/>
      </c>
      <c r="CV3" s="229" t="str">
        <f>IFERROR(__xludf.DUMMYFUNCTION("""COMPUTED_VALUE"""),"")</f>
        <v/>
      </c>
      <c r="CW3" s="262" t="str">
        <f>IFERROR(__xludf.DUMMYFUNCTION("""COMPUTED_VALUE"""),"")</f>
        <v/>
      </c>
      <c r="CX3" s="229" t="str">
        <f>IFERROR(__xludf.DUMMYFUNCTION("""COMPUTED_VALUE"""),"")</f>
        <v/>
      </c>
      <c r="CY3" s="229" t="str">
        <f>IFERROR(__xludf.DUMMYFUNCTION("""COMPUTED_VALUE"""),"")</f>
        <v/>
      </c>
      <c r="CZ3" s="229" t="str">
        <f>IFERROR(__xludf.DUMMYFUNCTION("""COMPUTED_VALUE"""),"")</f>
        <v/>
      </c>
      <c r="DA3" s="229" t="str">
        <f>IFERROR(__xludf.DUMMYFUNCTION("""COMPUTED_VALUE"""),"")</f>
        <v/>
      </c>
      <c r="DB3" s="229" t="str">
        <f>IFERROR(__xludf.DUMMYFUNCTION("""COMPUTED_VALUE"""),"")</f>
        <v/>
      </c>
      <c r="DC3" s="229" t="str">
        <f>IFERROR(__xludf.DUMMYFUNCTION("""COMPUTED_VALUE"""),"")</f>
        <v/>
      </c>
      <c r="DD3" s="229" t="str">
        <f>IFERROR(__xludf.DUMMYFUNCTION("""COMPUTED_VALUE"""),"")</f>
        <v/>
      </c>
      <c r="DE3" s="229" t="str">
        <f>IFERROR(__xludf.DUMMYFUNCTION("""COMPUTED_VALUE"""),"")</f>
        <v/>
      </c>
      <c r="DF3" s="229" t="str">
        <f>IFERROR(__xludf.DUMMYFUNCTION("""COMPUTED_VALUE"""),"")</f>
        <v/>
      </c>
      <c r="DG3" s="229" t="str">
        <f>IFERROR(__xludf.DUMMYFUNCTION("""COMPUTED_VALUE"""),"")</f>
        <v/>
      </c>
      <c r="DH3" s="229" t="str">
        <f>IFERROR(__xludf.DUMMYFUNCTION("""COMPUTED_VALUE"""),"")</f>
        <v/>
      </c>
      <c r="DI3" s="229" t="str">
        <f>IFERROR(__xludf.DUMMYFUNCTION("""COMPUTED_VALUE"""),"")</f>
        <v/>
      </c>
      <c r="DJ3" s="229" t="str">
        <f>IFERROR(__xludf.DUMMYFUNCTION("""COMPUTED_VALUE"""),"")</f>
        <v/>
      </c>
      <c r="DK3" s="229" t="str">
        <f>IFERROR(__xludf.DUMMYFUNCTION("""COMPUTED_VALUE"""),"")</f>
        <v/>
      </c>
      <c r="DL3" s="229" t="str">
        <f>IFERROR(__xludf.DUMMYFUNCTION("""COMPUTED_VALUE"""),"")</f>
        <v/>
      </c>
      <c r="DM3" s="229" t="str">
        <f>IFERROR(__xludf.DUMMYFUNCTION("""COMPUTED_VALUE"""),"")</f>
        <v/>
      </c>
      <c r="DN3" s="229" t="str">
        <f>IFERROR(__xludf.DUMMYFUNCTION("""COMPUTED_VALUE"""),"")</f>
        <v/>
      </c>
      <c r="DO3" s="229" t="str">
        <f>IFERROR(__xludf.DUMMYFUNCTION("""COMPUTED_VALUE"""),"")</f>
        <v/>
      </c>
      <c r="DP3" s="229" t="str">
        <f>IFERROR(__xludf.DUMMYFUNCTION("""COMPUTED_VALUE"""),"")</f>
        <v/>
      </c>
      <c r="DQ3" s="229" t="str">
        <f>IFERROR(__xludf.DUMMYFUNCTION("""COMPUTED_VALUE"""),"")</f>
        <v/>
      </c>
      <c r="DR3" s="229"/>
      <c r="DS3" s="229"/>
    </row>
    <row r="4">
      <c r="A4" s="87" t="str">
        <f>IFERROR(__xludf.DUMMYFUNCTION("""COMPUTED_VALUE"""),"EMBER GATHERING")</f>
        <v>EMBER GATHERING</v>
      </c>
      <c r="B4" s="83" t="str">
        <f>IFERROR(__xludf.DUMMYFUNCTION("""COMPUTED_VALUE"""),"EMB1")</f>
        <v>EMB1</v>
      </c>
      <c r="C4" s="88" t="str">
        <f>IFERROR(__xludf.DUMMYFUNCTION("""COMPUTED_VALUE"""),"Monday/Thursday- Novice")</f>
        <v>Monday/Thursday- Novice</v>
      </c>
      <c r="D4" s="102">
        <f>IFERROR(__xludf.DUMMYFUNCTION("""COMPUTED_VALUE"""),10.0)</f>
        <v>10</v>
      </c>
      <c r="E4" s="82" t="b">
        <f>IFERROR(__xludf.DUMMYFUNCTION("""COMPUTED_VALUE"""),TRUE)</f>
        <v>1</v>
      </c>
      <c r="F4" s="82" t="str">
        <f>IFERROR(__xludf.DUMMYFUNCTION("""COMPUTED_VALUE"""),"Ember Gathering!A8:J18")</f>
        <v>Ember Gathering!A8:J18</v>
      </c>
      <c r="G4" s="82"/>
      <c r="H4" s="82">
        <f>IFERROR(__xludf.DUMMYFUNCTION("""COMPUTED_VALUE"""),24.0)</f>
        <v>24</v>
      </c>
      <c r="I4" s="95"/>
      <c r="J4" s="96"/>
      <c r="K4" s="97"/>
      <c r="L4" s="95"/>
      <c r="M4" s="96"/>
      <c r="N4" s="97"/>
      <c r="O4" s="95"/>
      <c r="P4" s="96"/>
      <c r="Q4" s="97"/>
      <c r="R4" s="95"/>
      <c r="S4" s="96"/>
      <c r="T4" s="97"/>
      <c r="U4" s="95"/>
      <c r="V4" s="96"/>
      <c r="W4" s="97"/>
      <c r="X4" s="95"/>
      <c r="Y4" s="96"/>
      <c r="Z4" s="97"/>
      <c r="AA4" s="95"/>
      <c r="AB4" s="96"/>
      <c r="AC4" s="97"/>
      <c r="AD4" s="95"/>
      <c r="AE4" s="96"/>
      <c r="AF4" s="97"/>
      <c r="AG4" s="95"/>
      <c r="AH4" s="96"/>
      <c r="AI4" s="97"/>
      <c r="AJ4" s="95"/>
      <c r="AK4" s="96"/>
      <c r="AL4" s="97"/>
      <c r="AM4" s="95"/>
      <c r="AN4" s="96"/>
      <c r="AO4" s="97"/>
      <c r="AP4" s="95"/>
      <c r="AQ4" s="96"/>
      <c r="AR4" s="97"/>
      <c r="AS4" s="95"/>
      <c r="AT4" s="96"/>
      <c r="AU4" s="97"/>
      <c r="AV4" s="95"/>
      <c r="AW4" s="96"/>
      <c r="AX4" s="97"/>
      <c r="AY4" s="95"/>
      <c r="AZ4" s="96"/>
      <c r="BA4" s="97"/>
      <c r="BB4" s="95"/>
      <c r="BC4" s="96"/>
      <c r="BD4" s="97"/>
      <c r="BE4" s="95"/>
      <c r="BF4" s="96"/>
      <c r="BG4" s="97"/>
      <c r="BH4" s="95"/>
      <c r="BI4" s="96"/>
      <c r="BJ4" s="97"/>
      <c r="BK4" s="95"/>
      <c r="BL4" s="96"/>
      <c r="BM4" s="97"/>
      <c r="BN4" s="95"/>
      <c r="BO4" s="96"/>
      <c r="BP4" s="97"/>
      <c r="BQ4" s="95"/>
      <c r="BR4" s="96"/>
      <c r="BS4" s="97"/>
      <c r="BT4" s="95"/>
      <c r="BU4" s="96"/>
      <c r="BV4" s="97"/>
      <c r="BW4" s="95"/>
      <c r="BX4" s="96"/>
      <c r="BY4" s="97"/>
      <c r="BZ4" s="95"/>
      <c r="CA4" s="96"/>
      <c r="CB4" s="97"/>
      <c r="CC4" s="95"/>
      <c r="CD4" s="96"/>
      <c r="CE4" s="97"/>
      <c r="CF4" s="95"/>
      <c r="CG4" s="96"/>
      <c r="CH4" s="96"/>
      <c r="CI4" s="95"/>
      <c r="CJ4" s="96"/>
      <c r="CK4" s="96"/>
      <c r="CL4" s="95"/>
      <c r="CM4" s="96"/>
      <c r="CN4" s="96"/>
      <c r="CO4" s="95"/>
      <c r="CP4" s="96"/>
      <c r="CQ4" s="96"/>
      <c r="CR4" s="95"/>
      <c r="CS4" s="96"/>
      <c r="CT4" s="96"/>
      <c r="CU4" s="95"/>
      <c r="CV4" s="96"/>
      <c r="CW4" s="97">
        <f>IFERROR(__xludf.DUMMYFUNCTION("""COMPUTED_VALUE"""),26.666666666666668)</f>
        <v>26.66666667</v>
      </c>
      <c r="CX4" s="96"/>
      <c r="CY4" s="96"/>
      <c r="CZ4" s="97">
        <f>IFERROR(__xludf.DUMMYFUNCTION("""COMPUTED_VALUE"""),40.0)</f>
        <v>40</v>
      </c>
      <c r="DA4" s="95">
        <f>IFERROR(__xludf.DUMMYFUNCTION("""COMPUTED_VALUE"""),30.0)</f>
        <v>30</v>
      </c>
      <c r="DB4" s="96"/>
      <c r="DC4" s="97"/>
      <c r="DD4" s="95"/>
      <c r="DE4" s="96">
        <f>IFERROR(__xludf.DUMMYFUNCTION("""COMPUTED_VALUE"""),7.741935483870967)</f>
        <v>7.741935484</v>
      </c>
      <c r="DF4" s="97"/>
      <c r="DG4" s="95"/>
      <c r="DH4" s="96">
        <f>IFERROR(__xludf.DUMMYFUNCTION("""COMPUTED_VALUE"""),7.2727272727272725)</f>
        <v>7.272727273</v>
      </c>
      <c r="DI4" s="97">
        <f>IFERROR(__xludf.DUMMYFUNCTION("""COMPUTED_VALUE"""),26.666666666666668)</f>
        <v>26.66666667</v>
      </c>
      <c r="DJ4" s="95"/>
      <c r="DK4" s="96"/>
      <c r="DL4" s="97"/>
      <c r="DM4" s="95">
        <f>IFERROR(__xludf.DUMMYFUNCTION("""COMPUTED_VALUE"""),3.934426229508197)</f>
        <v>3.93442623</v>
      </c>
      <c r="DN4" s="96"/>
      <c r="DO4" s="97"/>
      <c r="DP4" s="95">
        <f>IFERROR(__xludf.DUMMYFUNCTION("""COMPUTED_VALUE"""),5.0)</f>
        <v>5</v>
      </c>
      <c r="DQ4" s="96">
        <f>IFERROR(__xludf.DUMMYFUNCTION("""COMPUTED_VALUE"""),21.81818181818182)</f>
        <v>21.81818182</v>
      </c>
      <c r="DR4" s="97"/>
      <c r="DS4" s="95"/>
    </row>
    <row r="5">
      <c r="B5" s="83" t="str">
        <f>IFERROR(__xludf.DUMMYFUNCTION("""COMPUTED_VALUE"""),"EMB2")</f>
        <v>EMB2</v>
      </c>
      <c r="C5" s="88" t="str">
        <f>IFERROR(__xludf.DUMMYFUNCTION("""COMPUTED_VALUE"""),"Monday/Thursday- Intermediate")</f>
        <v>Monday/Thursday- Intermediate</v>
      </c>
      <c r="D5" s="102">
        <f>IFERROR(__xludf.DUMMYFUNCTION("""COMPUTED_VALUE"""),20.0)</f>
        <v>20</v>
      </c>
      <c r="E5" s="82" t="b">
        <f>IFERROR(__xludf.DUMMYFUNCTION("""COMPUTED_VALUE"""),TRUE)</f>
        <v>1</v>
      </c>
      <c r="F5" s="82" t="str">
        <f>IFERROR(__xludf.DUMMYFUNCTION("""COMPUTED_VALUE"""),"Ember Gathering!A23:J36")</f>
        <v>Ember Gathering!A23:J36</v>
      </c>
      <c r="G5" s="82"/>
      <c r="H5" s="82">
        <f>IFERROR(__xludf.DUMMYFUNCTION("""COMPUTED_VALUE"""),15.0)</f>
        <v>15</v>
      </c>
      <c r="I5" s="95"/>
      <c r="J5" s="96"/>
      <c r="K5" s="97"/>
      <c r="L5" s="95"/>
      <c r="M5" s="96"/>
      <c r="N5" s="97"/>
      <c r="O5" s="95"/>
      <c r="P5" s="96"/>
      <c r="Q5" s="97"/>
      <c r="R5" s="95"/>
      <c r="S5" s="96"/>
      <c r="T5" s="97"/>
      <c r="U5" s="95"/>
      <c r="V5" s="96"/>
      <c r="W5" s="97"/>
      <c r="X5" s="95"/>
      <c r="Y5" s="96"/>
      <c r="Z5" s="97"/>
      <c r="AA5" s="95"/>
      <c r="AB5" s="96"/>
      <c r="AC5" s="97"/>
      <c r="AD5" s="95"/>
      <c r="AE5" s="96"/>
      <c r="AF5" s="97"/>
      <c r="AG5" s="95"/>
      <c r="AH5" s="96"/>
      <c r="AI5" s="97"/>
      <c r="AJ5" s="95"/>
      <c r="AK5" s="96"/>
      <c r="AL5" s="97"/>
      <c r="AM5" s="95"/>
      <c r="AN5" s="96"/>
      <c r="AO5" s="97"/>
      <c r="AP5" s="95"/>
      <c r="AQ5" s="96"/>
      <c r="AR5" s="97"/>
      <c r="AS5" s="95"/>
      <c r="AT5" s="96"/>
      <c r="AU5" s="97"/>
      <c r="AV5" s="95"/>
      <c r="AW5" s="96"/>
      <c r="AX5" s="97"/>
      <c r="AY5" s="95"/>
      <c r="AZ5" s="96"/>
      <c r="BA5" s="97"/>
      <c r="BB5" s="95"/>
      <c r="BC5" s="96"/>
      <c r="BD5" s="97"/>
      <c r="BE5" s="95"/>
      <c r="BF5" s="96"/>
      <c r="BG5" s="97"/>
      <c r="BH5" s="95"/>
      <c r="BI5" s="96"/>
      <c r="BJ5" s="97"/>
      <c r="BK5" s="95"/>
      <c r="BL5" s="96"/>
      <c r="BM5" s="97"/>
      <c r="BN5" s="95"/>
      <c r="BO5" s="96"/>
      <c r="BP5" s="97"/>
      <c r="BQ5" s="95"/>
      <c r="BR5" s="96"/>
      <c r="BS5" s="97"/>
      <c r="BT5" s="95"/>
      <c r="BU5" s="96"/>
      <c r="BV5" s="97"/>
      <c r="BW5" s="95"/>
      <c r="BX5" s="96"/>
      <c r="BY5" s="97"/>
      <c r="BZ5" s="95"/>
      <c r="CA5" s="96"/>
      <c r="CB5" s="97"/>
      <c r="CC5" s="95"/>
      <c r="CD5" s="96"/>
      <c r="CE5" s="97"/>
      <c r="CF5" s="95"/>
      <c r="CG5" s="96"/>
      <c r="CH5" s="96"/>
      <c r="CI5" s="95"/>
      <c r="CJ5" s="96"/>
      <c r="CK5" s="96"/>
      <c r="CL5" s="95"/>
      <c r="CM5" s="96"/>
      <c r="CN5" s="96"/>
      <c r="CO5" s="95">
        <f>IFERROR(__xludf.DUMMYFUNCTION("""COMPUTED_VALUE"""),150.0)</f>
        <v>150</v>
      </c>
      <c r="CP5" s="96"/>
      <c r="CQ5" s="96"/>
      <c r="CR5" s="95">
        <f>IFERROR(__xludf.DUMMYFUNCTION("""COMPUTED_VALUE"""),50.0)</f>
        <v>50</v>
      </c>
      <c r="CS5" s="96"/>
      <c r="CT5" s="96"/>
      <c r="CU5" s="95"/>
      <c r="CV5" s="96"/>
      <c r="CW5" s="97">
        <f>IFERROR(__xludf.DUMMYFUNCTION("""COMPUTED_VALUE"""),17.647058823529413)</f>
        <v>17.64705882</v>
      </c>
      <c r="CX5" s="96"/>
      <c r="CY5" s="96"/>
      <c r="CZ5" s="97">
        <f>IFERROR(__xludf.DUMMYFUNCTION("""COMPUTED_VALUE"""),13.636363636363637)</f>
        <v>13.63636364</v>
      </c>
      <c r="DA5" s="95">
        <f>IFERROR(__xludf.DUMMYFUNCTION("""COMPUTED_VALUE"""),300.0)</f>
        <v>300</v>
      </c>
      <c r="DB5" s="96"/>
      <c r="DC5" s="97"/>
      <c r="DD5" s="95"/>
      <c r="DE5" s="96">
        <f>IFERROR(__xludf.DUMMYFUNCTION("""COMPUTED_VALUE"""),11.11111111111111)</f>
        <v>11.11111111</v>
      </c>
      <c r="DF5" s="97"/>
      <c r="DG5" s="95"/>
      <c r="DH5" s="96">
        <f>IFERROR(__xludf.DUMMYFUNCTION("""COMPUTED_VALUE"""),8.333333333333334)</f>
        <v>8.333333333</v>
      </c>
      <c r="DI5" s="97">
        <f>IFERROR(__xludf.DUMMYFUNCTION("""COMPUTED_VALUE"""),23.076923076923077)</f>
        <v>23.07692308</v>
      </c>
      <c r="DJ5" s="95"/>
      <c r="DK5" s="96"/>
      <c r="DL5" s="97"/>
      <c r="DM5" s="95">
        <f>IFERROR(__xludf.DUMMYFUNCTION("""COMPUTED_VALUE"""),60.0)</f>
        <v>60</v>
      </c>
      <c r="DN5" s="96"/>
      <c r="DO5" s="97"/>
      <c r="DP5" s="95">
        <f>IFERROR(__xludf.DUMMYFUNCTION("""COMPUTED_VALUE"""),50.0)</f>
        <v>50</v>
      </c>
      <c r="DQ5" s="96"/>
      <c r="DR5" s="97"/>
      <c r="DS5" s="95"/>
    </row>
    <row r="6">
      <c r="B6" s="83" t="str">
        <f>IFERROR(__xludf.DUMMYFUNCTION("""COMPUTED_VALUE"""),"EMB3")</f>
        <v>EMB3</v>
      </c>
      <c r="C6" s="88" t="str">
        <f>IFERROR(__xludf.DUMMYFUNCTION("""COMPUTED_VALUE"""),"Monday/Thursday- Advanced")</f>
        <v>Monday/Thursday- Advanced</v>
      </c>
      <c r="D6" s="102">
        <f>IFERROR(__xludf.DUMMYFUNCTION("""COMPUTED_VALUE"""),30.0)</f>
        <v>30</v>
      </c>
      <c r="E6" s="82" t="b">
        <f>IFERROR(__xludf.DUMMYFUNCTION("""COMPUTED_VALUE"""),TRUE)</f>
        <v>1</v>
      </c>
      <c r="F6" s="82" t="str">
        <f>IFERROR(__xludf.DUMMYFUNCTION("""COMPUTED_VALUE"""),"Ember Gathering!A41:J51")</f>
        <v>Ember Gathering!A41:J51</v>
      </c>
      <c r="G6" s="82"/>
      <c r="H6" s="82">
        <f>IFERROR(__xludf.DUMMYFUNCTION("""COMPUTED_VALUE"""),50.0)</f>
        <v>50</v>
      </c>
      <c r="I6" s="95"/>
      <c r="J6" s="96"/>
      <c r="K6" s="97"/>
      <c r="L6" s="95"/>
      <c r="M6" s="96"/>
      <c r="N6" s="97"/>
      <c r="O6" s="95"/>
      <c r="P6" s="96"/>
      <c r="Q6" s="97"/>
      <c r="R6" s="95"/>
      <c r="S6" s="96"/>
      <c r="T6" s="97"/>
      <c r="U6" s="95"/>
      <c r="V6" s="96"/>
      <c r="W6" s="97"/>
      <c r="X6" s="95"/>
      <c r="Y6" s="96"/>
      <c r="Z6" s="97"/>
      <c r="AA6" s="95"/>
      <c r="AB6" s="96"/>
      <c r="AC6" s="97"/>
      <c r="AD6" s="95"/>
      <c r="AE6" s="96"/>
      <c r="AF6" s="97"/>
      <c r="AG6" s="95"/>
      <c r="AH6" s="96"/>
      <c r="AI6" s="97"/>
      <c r="AJ6" s="95"/>
      <c r="AK6" s="96"/>
      <c r="AL6" s="97"/>
      <c r="AM6" s="95"/>
      <c r="AN6" s="96"/>
      <c r="AO6" s="97"/>
      <c r="AP6" s="95"/>
      <c r="AQ6" s="96"/>
      <c r="AR6" s="97"/>
      <c r="AS6" s="95"/>
      <c r="AT6" s="96"/>
      <c r="AU6" s="97"/>
      <c r="AV6" s="95"/>
      <c r="AW6" s="96"/>
      <c r="AX6" s="97"/>
      <c r="AY6" s="95"/>
      <c r="AZ6" s="96"/>
      <c r="BA6" s="97"/>
      <c r="BB6" s="95"/>
      <c r="BC6" s="96"/>
      <c r="BD6" s="97"/>
      <c r="BE6" s="95"/>
      <c r="BF6" s="96"/>
      <c r="BG6" s="97"/>
      <c r="BH6" s="95"/>
      <c r="BI6" s="96"/>
      <c r="BJ6" s="97"/>
      <c r="BK6" s="95"/>
      <c r="BL6" s="96"/>
      <c r="BM6" s="97"/>
      <c r="BN6" s="95"/>
      <c r="BO6" s="96"/>
      <c r="BP6" s="97"/>
      <c r="BQ6" s="95"/>
      <c r="BR6" s="96"/>
      <c r="BS6" s="97"/>
      <c r="BT6" s="95"/>
      <c r="BU6" s="96"/>
      <c r="BV6" s="97"/>
      <c r="BW6" s="95"/>
      <c r="BX6" s="96"/>
      <c r="BY6" s="97"/>
      <c r="BZ6" s="95"/>
      <c r="CA6" s="96"/>
      <c r="CB6" s="97"/>
      <c r="CC6" s="95"/>
      <c r="CD6" s="96"/>
      <c r="CE6" s="97"/>
      <c r="CF6" s="95"/>
      <c r="CG6" s="96"/>
      <c r="CH6" s="96"/>
      <c r="CI6" s="95"/>
      <c r="CJ6" s="96"/>
      <c r="CK6" s="96"/>
      <c r="CL6" s="95"/>
      <c r="CM6" s="96"/>
      <c r="CN6" s="96"/>
      <c r="CO6" s="95">
        <f>IFERROR(__xludf.DUMMYFUNCTION("""COMPUTED_VALUE"""),23.25581395348837)</f>
        <v>23.25581395</v>
      </c>
      <c r="CP6" s="96"/>
      <c r="CQ6" s="96"/>
      <c r="CR6" s="95">
        <f>IFERROR(__xludf.DUMMYFUNCTION("""COMPUTED_VALUE"""),16.39344262295082)</f>
        <v>16.39344262</v>
      </c>
      <c r="CS6" s="96">
        <f>IFERROR(__xludf.DUMMYFUNCTION("""COMPUTED_VALUE"""),71.42857142857142)</f>
        <v>71.42857143</v>
      </c>
      <c r="CT6" s="96"/>
      <c r="CU6" s="95"/>
      <c r="CV6" s="96"/>
      <c r="CW6" s="97">
        <f>IFERROR(__xludf.DUMMYFUNCTION("""COMPUTED_VALUE"""),7.751937984496124)</f>
        <v>7.751937984</v>
      </c>
      <c r="CX6" s="96"/>
      <c r="CY6" s="96"/>
      <c r="CZ6" s="97">
        <f>IFERROR(__xludf.DUMMYFUNCTION("""COMPUTED_VALUE"""),7.518796992481203)</f>
        <v>7.518796992</v>
      </c>
      <c r="DA6" s="95">
        <f>IFERROR(__xludf.DUMMYFUNCTION("""COMPUTED_VALUE"""),27.77777777777778)</f>
        <v>27.77777778</v>
      </c>
      <c r="DB6" s="96"/>
      <c r="DC6" s="97"/>
      <c r="DD6" s="95"/>
      <c r="DE6" s="96">
        <f>IFERROR(__xludf.DUMMYFUNCTION("""COMPUTED_VALUE"""),50.0)</f>
        <v>50</v>
      </c>
      <c r="DF6" s="97"/>
      <c r="DG6" s="95"/>
      <c r="DH6" s="96">
        <f>IFERROR(__xludf.DUMMYFUNCTION("""COMPUTED_VALUE"""),71.42857142857142)</f>
        <v>71.42857143</v>
      </c>
      <c r="DI6" s="97"/>
      <c r="DJ6" s="95"/>
      <c r="DK6" s="96"/>
      <c r="DL6" s="97"/>
      <c r="DM6" s="95"/>
      <c r="DN6" s="96"/>
      <c r="DO6" s="97"/>
      <c r="DP6" s="95"/>
      <c r="DQ6" s="96"/>
      <c r="DR6" s="97"/>
      <c r="DS6" s="95"/>
    </row>
    <row r="7">
      <c r="B7" s="83" t="str">
        <f>IFERROR(__xludf.DUMMYFUNCTION("""COMPUTED_VALUE"""),"EMB4")</f>
        <v>EMB4</v>
      </c>
      <c r="C7" s="88" t="str">
        <f>IFERROR(__xludf.DUMMYFUNCTION("""COMPUTED_VALUE"""),"Monday/Thursday- Expert")</f>
        <v>Monday/Thursday- Expert</v>
      </c>
      <c r="D7" s="102">
        <f>IFERROR(__xludf.DUMMYFUNCTION("""COMPUTED_VALUE"""),40.0)</f>
        <v>40</v>
      </c>
      <c r="E7" s="82" t="b">
        <f>IFERROR(__xludf.DUMMYFUNCTION("""COMPUTED_VALUE"""),TRUE)</f>
        <v>1</v>
      </c>
      <c r="F7" s="82" t="str">
        <f>IFERROR(__xludf.DUMMYFUNCTION("""COMPUTED_VALUE"""),"Ember Gathering!A56:J63")</f>
        <v>Ember Gathering!A56:J63</v>
      </c>
      <c r="G7" s="82"/>
      <c r="H7" s="82">
        <f>IFERROR(__xludf.DUMMYFUNCTION("""COMPUTED_VALUE"""),745.0)</f>
        <v>745</v>
      </c>
      <c r="I7" s="95"/>
      <c r="J7" s="96"/>
      <c r="K7" s="97"/>
      <c r="L7" s="95"/>
      <c r="M7" s="96"/>
      <c r="N7" s="97"/>
      <c r="O7" s="95"/>
      <c r="P7" s="96"/>
      <c r="Q7" s="97"/>
      <c r="R7" s="95"/>
      <c r="S7" s="96"/>
      <c r="T7" s="97"/>
      <c r="U7" s="95"/>
      <c r="V7" s="96"/>
      <c r="W7" s="97"/>
      <c r="X7" s="95"/>
      <c r="Y7" s="96"/>
      <c r="Z7" s="97"/>
      <c r="AA7" s="95"/>
      <c r="AB7" s="96"/>
      <c r="AC7" s="97"/>
      <c r="AD7" s="95"/>
      <c r="AE7" s="96"/>
      <c r="AF7" s="97"/>
      <c r="AG7" s="95"/>
      <c r="AH7" s="96"/>
      <c r="AI7" s="97"/>
      <c r="AJ7" s="95"/>
      <c r="AK7" s="96"/>
      <c r="AL7" s="97"/>
      <c r="AM7" s="95"/>
      <c r="AN7" s="96"/>
      <c r="AO7" s="97"/>
      <c r="AP7" s="95"/>
      <c r="AQ7" s="96"/>
      <c r="AR7" s="97"/>
      <c r="AS7" s="95"/>
      <c r="AT7" s="96"/>
      <c r="AU7" s="97"/>
      <c r="AV7" s="95"/>
      <c r="AW7" s="96"/>
      <c r="AX7" s="97"/>
      <c r="AY7" s="95"/>
      <c r="AZ7" s="96"/>
      <c r="BA7" s="97"/>
      <c r="BB7" s="95"/>
      <c r="BC7" s="96"/>
      <c r="BD7" s="97"/>
      <c r="BE7" s="95"/>
      <c r="BF7" s="96"/>
      <c r="BG7" s="97"/>
      <c r="BH7" s="95"/>
      <c r="BI7" s="96"/>
      <c r="BJ7" s="97"/>
      <c r="BK7" s="95"/>
      <c r="BL7" s="96"/>
      <c r="BM7" s="97"/>
      <c r="BN7" s="95"/>
      <c r="BO7" s="96"/>
      <c r="BP7" s="97"/>
      <c r="BQ7" s="95"/>
      <c r="BR7" s="96"/>
      <c r="BS7" s="97"/>
      <c r="BT7" s="95"/>
      <c r="BU7" s="96"/>
      <c r="BV7" s="97"/>
      <c r="BW7" s="95"/>
      <c r="BX7" s="96"/>
      <c r="BY7" s="97"/>
      <c r="BZ7" s="95"/>
      <c r="CA7" s="96"/>
      <c r="CB7" s="97"/>
      <c r="CC7" s="95"/>
      <c r="CD7" s="96"/>
      <c r="CE7" s="97"/>
      <c r="CF7" s="95"/>
      <c r="CG7" s="96"/>
      <c r="CH7" s="96"/>
      <c r="CI7" s="95"/>
      <c r="CJ7" s="96"/>
      <c r="CK7" s="96"/>
      <c r="CL7" s="95"/>
      <c r="CM7" s="96"/>
      <c r="CN7" s="96"/>
      <c r="CO7" s="95">
        <f>IFERROR(__xludf.DUMMYFUNCTION("""COMPUTED_VALUE"""),11.60329282634261)</f>
        <v>11.60329283</v>
      </c>
      <c r="CP7" s="96"/>
      <c r="CQ7" s="96"/>
      <c r="CR7" s="95">
        <f>IFERROR(__xludf.DUMMYFUNCTION("""COMPUTED_VALUE"""),11.65813312327688)</f>
        <v>11.65813312</v>
      </c>
      <c r="CS7" s="96">
        <f>IFERROR(__xludf.DUMMYFUNCTION("""COMPUTED_VALUE"""),34.86454652532391)</f>
        <v>34.86454653</v>
      </c>
      <c r="CT7" s="96"/>
      <c r="CU7" s="95"/>
      <c r="CV7" s="96"/>
      <c r="CW7" s="97">
        <f>IFERROR(__xludf.DUMMYFUNCTION("""COMPUTED_VALUE"""),82.91316526610645)</f>
        <v>82.91316527</v>
      </c>
      <c r="CX7" s="96"/>
      <c r="CY7" s="96"/>
      <c r="CZ7" s="97">
        <f>IFERROR(__xludf.DUMMYFUNCTION("""COMPUTED_VALUE"""),87.05882352941175)</f>
        <v>87.05882353</v>
      </c>
      <c r="DA7" s="95">
        <f>IFERROR(__xludf.DUMMYFUNCTION("""COMPUTED_VALUE"""),1233.3333333333333)</f>
        <v>1233.333333</v>
      </c>
      <c r="DB7" s="96"/>
      <c r="DC7" s="97"/>
      <c r="DD7" s="95"/>
      <c r="DE7" s="96"/>
      <c r="DF7" s="97"/>
      <c r="DG7" s="95"/>
      <c r="DH7" s="96"/>
      <c r="DI7" s="97"/>
      <c r="DJ7" s="95"/>
      <c r="DK7" s="96"/>
      <c r="DL7" s="97"/>
      <c r="DM7" s="95"/>
      <c r="DN7" s="96"/>
      <c r="DO7" s="97"/>
      <c r="DP7" s="95"/>
      <c r="DQ7" s="96"/>
      <c r="DR7" s="97"/>
      <c r="DS7" s="95"/>
    </row>
    <row r="8">
      <c r="B8" s="83" t="str">
        <f>IFERROR(__xludf.DUMMYFUNCTION("""COMPUTED_VALUE"""),"EMB5")</f>
        <v>EMB5</v>
      </c>
      <c r="C8" s="88" t="str">
        <f>IFERROR(__xludf.DUMMYFUNCTION("""COMPUTED_VALUE"""),"Tuesday/Friday- Novice")</f>
        <v>Tuesday/Friday- Novice</v>
      </c>
      <c r="D8" s="102">
        <f>IFERROR(__xludf.DUMMYFUNCTION("""COMPUTED_VALUE"""),10.0)</f>
        <v>10</v>
      </c>
      <c r="E8" s="82" t="b">
        <f>IFERROR(__xludf.DUMMYFUNCTION("""COMPUTED_VALUE"""),TRUE)</f>
        <v>1</v>
      </c>
      <c r="F8" s="82" t="str">
        <f>IFERROR(__xludf.DUMMYFUNCTION("""COMPUTED_VALUE"""),"Ember Gathering!A68:J78")</f>
        <v>Ember Gathering!A68:J78</v>
      </c>
      <c r="G8" s="82"/>
      <c r="H8" s="82">
        <f>IFERROR(__xludf.DUMMYFUNCTION("""COMPUTED_VALUE"""),35.0)</f>
        <v>35</v>
      </c>
      <c r="I8" s="95"/>
      <c r="J8" s="96"/>
      <c r="K8" s="97"/>
      <c r="L8" s="95"/>
      <c r="M8" s="96"/>
      <c r="N8" s="97"/>
      <c r="O8" s="95"/>
      <c r="P8" s="96"/>
      <c r="Q8" s="97"/>
      <c r="R8" s="95"/>
      <c r="S8" s="96"/>
      <c r="T8" s="97"/>
      <c r="U8" s="95"/>
      <c r="V8" s="96"/>
      <c r="W8" s="97"/>
      <c r="X8" s="95"/>
      <c r="Y8" s="96"/>
      <c r="Z8" s="97"/>
      <c r="AA8" s="95"/>
      <c r="AB8" s="96"/>
      <c r="AC8" s="97"/>
      <c r="AD8" s="95"/>
      <c r="AE8" s="96"/>
      <c r="AF8" s="97"/>
      <c r="AG8" s="95"/>
      <c r="AH8" s="96"/>
      <c r="AI8" s="97"/>
      <c r="AJ8" s="95"/>
      <c r="AK8" s="96"/>
      <c r="AL8" s="97"/>
      <c r="AM8" s="95"/>
      <c r="AN8" s="96"/>
      <c r="AO8" s="97"/>
      <c r="AP8" s="95"/>
      <c r="AQ8" s="96"/>
      <c r="AR8" s="97"/>
      <c r="AS8" s="95"/>
      <c r="AT8" s="96"/>
      <c r="AU8" s="97"/>
      <c r="AV8" s="95"/>
      <c r="AW8" s="96"/>
      <c r="AX8" s="97"/>
      <c r="AY8" s="95"/>
      <c r="AZ8" s="96"/>
      <c r="BA8" s="97"/>
      <c r="BB8" s="95"/>
      <c r="BC8" s="96"/>
      <c r="BD8" s="97"/>
      <c r="BE8" s="95"/>
      <c r="BF8" s="96"/>
      <c r="BG8" s="97"/>
      <c r="BH8" s="95"/>
      <c r="BI8" s="96"/>
      <c r="BJ8" s="97"/>
      <c r="BK8" s="95"/>
      <c r="BL8" s="96"/>
      <c r="BM8" s="97"/>
      <c r="BN8" s="95"/>
      <c r="BO8" s="96"/>
      <c r="BP8" s="97"/>
      <c r="BQ8" s="95"/>
      <c r="BR8" s="96"/>
      <c r="BS8" s="97"/>
      <c r="BT8" s="95"/>
      <c r="BU8" s="96"/>
      <c r="BV8" s="97"/>
      <c r="BW8" s="95"/>
      <c r="BX8" s="96"/>
      <c r="BY8" s="97"/>
      <c r="BZ8" s="95"/>
      <c r="CA8" s="96"/>
      <c r="CB8" s="97"/>
      <c r="CC8" s="95"/>
      <c r="CD8" s="96"/>
      <c r="CE8" s="97"/>
      <c r="CF8" s="95"/>
      <c r="CG8" s="96"/>
      <c r="CH8" s="96"/>
      <c r="CI8" s="95"/>
      <c r="CJ8" s="96"/>
      <c r="CK8" s="96"/>
      <c r="CL8" s="95"/>
      <c r="CM8" s="96"/>
      <c r="CN8" s="96"/>
      <c r="CO8" s="95"/>
      <c r="CP8" s="96"/>
      <c r="CQ8" s="96"/>
      <c r="CR8" s="95"/>
      <c r="CS8" s="96"/>
      <c r="CT8" s="96"/>
      <c r="CU8" s="95">
        <f>IFERROR(__xludf.DUMMYFUNCTION("""COMPUTED_VALUE"""),31.81818181818182)</f>
        <v>31.81818182</v>
      </c>
      <c r="CV8" s="96"/>
      <c r="CW8" s="97"/>
      <c r="CX8" s="96">
        <f>IFERROR(__xludf.DUMMYFUNCTION("""COMPUTED_VALUE"""),26.923076923076923)</f>
        <v>26.92307692</v>
      </c>
      <c r="CY8" s="96"/>
      <c r="CZ8" s="97"/>
      <c r="DA8" s="95">
        <f>IFERROR(__xludf.DUMMYFUNCTION("""COMPUTED_VALUE"""),350.0)</f>
        <v>350</v>
      </c>
      <c r="DB8" s="96"/>
      <c r="DC8" s="97">
        <f>IFERROR(__xludf.DUMMYFUNCTION("""COMPUTED_VALUE"""),6.140350877192983)</f>
        <v>6.140350877</v>
      </c>
      <c r="DD8" s="95"/>
      <c r="DE8" s="96"/>
      <c r="DF8" s="97">
        <f>IFERROR(__xludf.DUMMYFUNCTION("""COMPUTED_VALUE"""),6.363636363636364)</f>
        <v>6.363636364</v>
      </c>
      <c r="DG8" s="95"/>
      <c r="DH8" s="96"/>
      <c r="DI8" s="97">
        <f>IFERROR(__xludf.DUMMYFUNCTION("""COMPUTED_VALUE"""),18.42105263157895)</f>
        <v>18.42105263</v>
      </c>
      <c r="DJ8" s="95"/>
      <c r="DK8" s="96">
        <f>IFERROR(__xludf.DUMMYFUNCTION("""COMPUTED_VALUE"""),5.223880597014925)</f>
        <v>5.223880597</v>
      </c>
      <c r="DL8" s="97"/>
      <c r="DM8" s="95"/>
      <c r="DN8" s="96">
        <f>IFERROR(__xludf.DUMMYFUNCTION("""COMPUTED_VALUE"""),4.861111111111112)</f>
        <v>4.861111111</v>
      </c>
      <c r="DO8" s="97"/>
      <c r="DP8" s="95"/>
      <c r="DQ8" s="96">
        <f>IFERROR(__xludf.DUMMYFUNCTION("""COMPUTED_VALUE"""),17.5)</f>
        <v>17.5</v>
      </c>
      <c r="DR8" s="97"/>
      <c r="DS8" s="95"/>
    </row>
    <row r="9">
      <c r="B9" s="83" t="str">
        <f>IFERROR(__xludf.DUMMYFUNCTION("""COMPUTED_VALUE"""),"EMB6")</f>
        <v>EMB6</v>
      </c>
      <c r="C9" s="88" t="str">
        <f>IFERROR(__xludf.DUMMYFUNCTION("""COMPUTED_VALUE"""),"Tuesday/Friday- Intermediate")</f>
        <v>Tuesday/Friday- Intermediate</v>
      </c>
      <c r="D9" s="102">
        <f>IFERROR(__xludf.DUMMYFUNCTION("""COMPUTED_VALUE"""),20.0)</f>
        <v>20</v>
      </c>
      <c r="E9" s="82" t="b">
        <f>IFERROR(__xludf.DUMMYFUNCTION("""COMPUTED_VALUE"""),TRUE)</f>
        <v>1</v>
      </c>
      <c r="F9" s="82" t="str">
        <f>IFERROR(__xludf.DUMMYFUNCTION("""COMPUTED_VALUE"""),"Ember Gathering!A83:J96")</f>
        <v>Ember Gathering!A83:J96</v>
      </c>
      <c r="G9" s="82"/>
      <c r="H9" s="82">
        <f>IFERROR(__xludf.DUMMYFUNCTION("""COMPUTED_VALUE"""),13.0)</f>
        <v>13</v>
      </c>
      <c r="I9" s="95"/>
      <c r="J9" s="96"/>
      <c r="K9" s="97"/>
      <c r="L9" s="95"/>
      <c r="M9" s="96"/>
      <c r="N9" s="97"/>
      <c r="O9" s="95"/>
      <c r="P9" s="96"/>
      <c r="Q9" s="97"/>
      <c r="R9" s="95"/>
      <c r="S9" s="96"/>
      <c r="T9" s="97"/>
      <c r="U9" s="95"/>
      <c r="V9" s="96"/>
      <c r="W9" s="97"/>
      <c r="X9" s="95"/>
      <c r="Y9" s="96"/>
      <c r="Z9" s="97"/>
      <c r="AA9" s="95"/>
      <c r="AB9" s="96"/>
      <c r="AC9" s="97"/>
      <c r="AD9" s="95"/>
      <c r="AE9" s="96"/>
      <c r="AF9" s="97"/>
      <c r="AG9" s="95"/>
      <c r="AH9" s="96"/>
      <c r="AI9" s="97"/>
      <c r="AJ9" s="95"/>
      <c r="AK9" s="96"/>
      <c r="AL9" s="97"/>
      <c r="AM9" s="95"/>
      <c r="AN9" s="96"/>
      <c r="AO9" s="97"/>
      <c r="AP9" s="95"/>
      <c r="AQ9" s="96"/>
      <c r="AR9" s="97"/>
      <c r="AS9" s="95"/>
      <c r="AT9" s="96"/>
      <c r="AU9" s="97"/>
      <c r="AV9" s="95"/>
      <c r="AW9" s="96"/>
      <c r="AX9" s="97"/>
      <c r="AY9" s="95"/>
      <c r="AZ9" s="96"/>
      <c r="BA9" s="97"/>
      <c r="BB9" s="95"/>
      <c r="BC9" s="96"/>
      <c r="BD9" s="97"/>
      <c r="BE9" s="95"/>
      <c r="BF9" s="96"/>
      <c r="BG9" s="97"/>
      <c r="BH9" s="95"/>
      <c r="BI9" s="96"/>
      <c r="BJ9" s="97"/>
      <c r="BK9" s="95"/>
      <c r="BL9" s="96"/>
      <c r="BM9" s="97"/>
      <c r="BN9" s="95"/>
      <c r="BO9" s="96"/>
      <c r="BP9" s="97"/>
      <c r="BQ9" s="95"/>
      <c r="BR9" s="96"/>
      <c r="BS9" s="97"/>
      <c r="BT9" s="95"/>
      <c r="BU9" s="96"/>
      <c r="BV9" s="97"/>
      <c r="BW9" s="95"/>
      <c r="BX9" s="96"/>
      <c r="BY9" s="97"/>
      <c r="BZ9" s="95"/>
      <c r="CA9" s="96"/>
      <c r="CB9" s="97"/>
      <c r="CC9" s="95"/>
      <c r="CD9" s="96"/>
      <c r="CE9" s="97"/>
      <c r="CF9" s="95"/>
      <c r="CG9" s="96"/>
      <c r="CH9" s="96"/>
      <c r="CI9" s="95"/>
      <c r="CJ9" s="96"/>
      <c r="CK9" s="96"/>
      <c r="CL9" s="95"/>
      <c r="CM9" s="96">
        <f>IFERROR(__xludf.DUMMYFUNCTION("""COMPUTED_VALUE"""),130.0)</f>
        <v>130</v>
      </c>
      <c r="CN9" s="96"/>
      <c r="CO9" s="95"/>
      <c r="CP9" s="96">
        <f>IFERROR(__xludf.DUMMYFUNCTION("""COMPUTED_VALUE"""),130.0)</f>
        <v>130</v>
      </c>
      <c r="CQ9" s="96"/>
      <c r="CR9" s="95"/>
      <c r="CS9" s="96">
        <f>IFERROR(__xludf.DUMMYFUNCTION("""COMPUTED_VALUE"""),260.0)</f>
        <v>260</v>
      </c>
      <c r="CT9" s="96"/>
      <c r="CU9" s="95">
        <f>IFERROR(__xludf.DUMMYFUNCTION("""COMPUTED_VALUE"""),15.294117647058822)</f>
        <v>15.29411765</v>
      </c>
      <c r="CV9" s="96"/>
      <c r="CW9" s="97"/>
      <c r="CX9" s="96">
        <f>IFERROR(__xludf.DUMMYFUNCTION("""COMPUTED_VALUE"""),14.444444444444445)</f>
        <v>14.44444444</v>
      </c>
      <c r="CY9" s="96"/>
      <c r="CZ9" s="97"/>
      <c r="DA9" s="95">
        <f>IFERROR(__xludf.DUMMYFUNCTION("""COMPUTED_VALUE"""),52.0)</f>
        <v>52</v>
      </c>
      <c r="DB9" s="96"/>
      <c r="DC9" s="97">
        <f>IFERROR(__xludf.DUMMYFUNCTION("""COMPUTED_VALUE"""),7.878787878787879)</f>
        <v>7.878787879</v>
      </c>
      <c r="DD9" s="95"/>
      <c r="DE9" s="96"/>
      <c r="DF9" s="97">
        <f>IFERROR(__xludf.DUMMYFUNCTION("""COMPUTED_VALUE"""),13.0)</f>
        <v>13</v>
      </c>
      <c r="DG9" s="95"/>
      <c r="DH9" s="96"/>
      <c r="DI9" s="97">
        <f>IFERROR(__xludf.DUMMYFUNCTION("""COMPUTED_VALUE"""),28.88888888888889)</f>
        <v>28.88888889</v>
      </c>
      <c r="DJ9" s="95"/>
      <c r="DK9" s="96">
        <f>IFERROR(__xludf.DUMMYFUNCTION("""COMPUTED_VALUE"""),52.0)</f>
        <v>52</v>
      </c>
      <c r="DL9" s="97"/>
      <c r="DM9" s="95"/>
      <c r="DN9" s="96">
        <f>IFERROR(__xludf.DUMMYFUNCTION("""COMPUTED_VALUE"""),52.0)</f>
        <v>52</v>
      </c>
      <c r="DO9" s="97"/>
      <c r="DP9" s="95"/>
      <c r="DQ9" s="96"/>
      <c r="DR9" s="97"/>
      <c r="DS9" s="95"/>
    </row>
    <row r="10">
      <c r="B10" s="83" t="str">
        <f>IFERROR(__xludf.DUMMYFUNCTION("""COMPUTED_VALUE"""),"EMB7")</f>
        <v>EMB7</v>
      </c>
      <c r="C10" s="88" t="str">
        <f>IFERROR(__xludf.DUMMYFUNCTION("""COMPUTED_VALUE"""),"Tuesday/Friday- Advanced")</f>
        <v>Tuesday/Friday- Advanced</v>
      </c>
      <c r="D10" s="102">
        <f>IFERROR(__xludf.DUMMYFUNCTION("""COMPUTED_VALUE"""),30.0)</f>
        <v>30</v>
      </c>
      <c r="E10" s="82" t="b">
        <f>IFERROR(__xludf.DUMMYFUNCTION("""COMPUTED_VALUE"""),TRUE)</f>
        <v>1</v>
      </c>
      <c r="F10" s="82" t="str">
        <f>IFERROR(__xludf.DUMMYFUNCTION("""COMPUTED_VALUE"""),"Ember Gathering!A101:J111")</f>
        <v>Ember Gathering!A101:J111</v>
      </c>
      <c r="G10" s="82"/>
      <c r="H10" s="82">
        <f>IFERROR(__xludf.DUMMYFUNCTION("""COMPUTED_VALUE"""),50.0)</f>
        <v>50</v>
      </c>
      <c r="I10" s="95"/>
      <c r="J10" s="96"/>
      <c r="K10" s="97"/>
      <c r="L10" s="95"/>
      <c r="M10" s="96"/>
      <c r="N10" s="97"/>
      <c r="O10" s="95"/>
      <c r="P10" s="96"/>
      <c r="Q10" s="97"/>
      <c r="R10" s="95"/>
      <c r="S10" s="96"/>
      <c r="T10" s="97"/>
      <c r="U10" s="95"/>
      <c r="V10" s="96"/>
      <c r="W10" s="97"/>
      <c r="X10" s="95"/>
      <c r="Y10" s="96"/>
      <c r="Z10" s="97"/>
      <c r="AA10" s="95"/>
      <c r="AB10" s="96"/>
      <c r="AC10" s="97"/>
      <c r="AD10" s="95"/>
      <c r="AE10" s="96"/>
      <c r="AF10" s="97"/>
      <c r="AG10" s="95"/>
      <c r="AH10" s="96"/>
      <c r="AI10" s="97"/>
      <c r="AJ10" s="95"/>
      <c r="AK10" s="96"/>
      <c r="AL10" s="97"/>
      <c r="AM10" s="95"/>
      <c r="AN10" s="96"/>
      <c r="AO10" s="97"/>
      <c r="AP10" s="95"/>
      <c r="AQ10" s="96"/>
      <c r="AR10" s="97"/>
      <c r="AS10" s="95"/>
      <c r="AT10" s="96"/>
      <c r="AU10" s="97"/>
      <c r="AV10" s="95"/>
      <c r="AW10" s="96"/>
      <c r="AX10" s="97"/>
      <c r="AY10" s="95"/>
      <c r="AZ10" s="96"/>
      <c r="BA10" s="97"/>
      <c r="BB10" s="95"/>
      <c r="BC10" s="96"/>
      <c r="BD10" s="97"/>
      <c r="BE10" s="95"/>
      <c r="BF10" s="96"/>
      <c r="BG10" s="97"/>
      <c r="BH10" s="95"/>
      <c r="BI10" s="96"/>
      <c r="BJ10" s="97"/>
      <c r="BK10" s="95"/>
      <c r="BL10" s="96"/>
      <c r="BM10" s="97"/>
      <c r="BN10" s="95"/>
      <c r="BO10" s="96"/>
      <c r="BP10" s="97"/>
      <c r="BQ10" s="95"/>
      <c r="BR10" s="96"/>
      <c r="BS10" s="97"/>
      <c r="BT10" s="95"/>
      <c r="BU10" s="96"/>
      <c r="BV10" s="97"/>
      <c r="BW10" s="95"/>
      <c r="BX10" s="96"/>
      <c r="BY10" s="97"/>
      <c r="BZ10" s="95"/>
      <c r="CA10" s="96"/>
      <c r="CB10" s="97"/>
      <c r="CC10" s="95"/>
      <c r="CD10" s="96"/>
      <c r="CE10" s="97"/>
      <c r="CF10" s="95"/>
      <c r="CG10" s="96"/>
      <c r="CH10" s="96"/>
      <c r="CI10" s="95"/>
      <c r="CJ10" s="96"/>
      <c r="CK10" s="96"/>
      <c r="CL10" s="95"/>
      <c r="CM10" s="96">
        <f>IFERROR(__xludf.DUMMYFUNCTION("""COMPUTED_VALUE"""),26.315789473684212)</f>
        <v>26.31578947</v>
      </c>
      <c r="CN10" s="96"/>
      <c r="CO10" s="95"/>
      <c r="CP10" s="96">
        <f>IFERROR(__xludf.DUMMYFUNCTION("""COMPUTED_VALUE"""),32.608695652173914)</f>
        <v>32.60869565</v>
      </c>
      <c r="CQ10" s="96"/>
      <c r="CR10" s="95"/>
      <c r="CS10" s="96">
        <f>IFERROR(__xludf.DUMMYFUNCTION("""COMPUTED_VALUE"""),93.75)</f>
        <v>93.75</v>
      </c>
      <c r="CT10" s="96"/>
      <c r="CU10" s="95">
        <f>IFERROR(__xludf.DUMMYFUNCTION("""COMPUTED_VALUE"""),12.5)</f>
        <v>12.5</v>
      </c>
      <c r="CV10" s="96"/>
      <c r="CW10" s="97"/>
      <c r="CX10" s="96">
        <f>IFERROR(__xludf.DUMMYFUNCTION("""COMPUTED_VALUE"""),11.194029850746269)</f>
        <v>11.19402985</v>
      </c>
      <c r="CY10" s="96"/>
      <c r="CZ10" s="97"/>
      <c r="DA10" s="95">
        <f>IFERROR(__xludf.DUMMYFUNCTION("""COMPUTED_VALUE"""),37.5)</f>
        <v>37.5</v>
      </c>
      <c r="DB10" s="96"/>
      <c r="DC10" s="97">
        <f>IFERROR(__xludf.DUMMYFUNCTION("""COMPUTED_VALUE"""),93.75)</f>
        <v>93.75</v>
      </c>
      <c r="DD10" s="95"/>
      <c r="DE10" s="96"/>
      <c r="DF10" s="97">
        <f>IFERROR(__xludf.DUMMYFUNCTION("""COMPUTED_VALUE"""),71.42857142857143)</f>
        <v>71.42857143</v>
      </c>
      <c r="DG10" s="95"/>
      <c r="DH10" s="96"/>
      <c r="DI10" s="97"/>
      <c r="DJ10" s="95"/>
      <c r="DK10" s="96"/>
      <c r="DL10" s="97"/>
      <c r="DM10" s="95"/>
      <c r="DN10" s="96"/>
      <c r="DO10" s="97"/>
      <c r="DP10" s="95"/>
      <c r="DQ10" s="96"/>
      <c r="DR10" s="97"/>
      <c r="DS10" s="95"/>
    </row>
    <row r="11">
      <c r="B11" s="83" t="str">
        <f>IFERROR(__xludf.DUMMYFUNCTION("""COMPUTED_VALUE"""),"EMB8")</f>
        <v>EMB8</v>
      </c>
      <c r="C11" s="88" t="str">
        <f>IFERROR(__xludf.DUMMYFUNCTION("""COMPUTED_VALUE"""),"Tuesday/Friday- Expert")</f>
        <v>Tuesday/Friday- Expert</v>
      </c>
      <c r="D11" s="102">
        <f>IFERROR(__xludf.DUMMYFUNCTION("""COMPUTED_VALUE"""),40.0)</f>
        <v>40</v>
      </c>
      <c r="E11" s="82" t="b">
        <f>IFERROR(__xludf.DUMMYFUNCTION("""COMPUTED_VALUE"""),TRUE)</f>
        <v>1</v>
      </c>
      <c r="F11" s="82" t="str">
        <f>IFERROR(__xludf.DUMMYFUNCTION("""COMPUTED_VALUE"""),"Ember Gathering!A116:J123")</f>
        <v>Ember Gathering!A116:J123</v>
      </c>
      <c r="G11" s="82"/>
      <c r="H11" s="82">
        <f>IFERROR(__xludf.DUMMYFUNCTION("""COMPUTED_VALUE"""),830.0)</f>
        <v>830</v>
      </c>
      <c r="I11" s="95"/>
      <c r="J11" s="96"/>
      <c r="K11" s="97"/>
      <c r="L11" s="95"/>
      <c r="M11" s="96"/>
      <c r="N11" s="97"/>
      <c r="O11" s="95"/>
      <c r="P11" s="96"/>
      <c r="Q11" s="97"/>
      <c r="R11" s="95"/>
      <c r="S11" s="96"/>
      <c r="T11" s="97"/>
      <c r="U11" s="95"/>
      <c r="V11" s="96"/>
      <c r="W11" s="97"/>
      <c r="X11" s="95"/>
      <c r="Y11" s="96"/>
      <c r="Z11" s="97"/>
      <c r="AA11" s="95"/>
      <c r="AB11" s="96"/>
      <c r="AC11" s="97"/>
      <c r="AD11" s="95"/>
      <c r="AE11" s="96"/>
      <c r="AF11" s="97"/>
      <c r="AG11" s="95"/>
      <c r="AH11" s="96"/>
      <c r="AI11" s="97"/>
      <c r="AJ11" s="95"/>
      <c r="AK11" s="96"/>
      <c r="AL11" s="97"/>
      <c r="AM11" s="95"/>
      <c r="AN11" s="96"/>
      <c r="AO11" s="97"/>
      <c r="AP11" s="95"/>
      <c r="AQ11" s="96"/>
      <c r="AR11" s="97"/>
      <c r="AS11" s="95"/>
      <c r="AT11" s="96"/>
      <c r="AU11" s="97"/>
      <c r="AV11" s="95"/>
      <c r="AW11" s="96"/>
      <c r="AX11" s="97"/>
      <c r="AY11" s="95"/>
      <c r="AZ11" s="96"/>
      <c r="BA11" s="97"/>
      <c r="BB11" s="95"/>
      <c r="BC11" s="96"/>
      <c r="BD11" s="97"/>
      <c r="BE11" s="95"/>
      <c r="BF11" s="96"/>
      <c r="BG11" s="97"/>
      <c r="BH11" s="95"/>
      <c r="BI11" s="96"/>
      <c r="BJ11" s="97"/>
      <c r="BK11" s="95"/>
      <c r="BL11" s="96"/>
      <c r="BM11" s="97"/>
      <c r="BN11" s="95"/>
      <c r="BO11" s="96"/>
      <c r="BP11" s="97"/>
      <c r="BQ11" s="95"/>
      <c r="BR11" s="96"/>
      <c r="BS11" s="97"/>
      <c r="BT11" s="95"/>
      <c r="BU11" s="96"/>
      <c r="BV11" s="97"/>
      <c r="BW11" s="95"/>
      <c r="BX11" s="96"/>
      <c r="BY11" s="97"/>
      <c r="BZ11" s="95"/>
      <c r="CA11" s="96"/>
      <c r="CB11" s="97"/>
      <c r="CC11" s="95"/>
      <c r="CD11" s="96"/>
      <c r="CE11" s="97"/>
      <c r="CF11" s="95"/>
      <c r="CG11" s="96"/>
      <c r="CH11" s="96"/>
      <c r="CI11" s="95"/>
      <c r="CJ11" s="96"/>
      <c r="CK11" s="96"/>
      <c r="CL11" s="95"/>
      <c r="CM11" s="96">
        <f>IFERROR(__xludf.DUMMYFUNCTION("""COMPUTED_VALUE"""),11.798152096659559)</f>
        <v>11.7981521</v>
      </c>
      <c r="CN11" s="96"/>
      <c r="CO11" s="95"/>
      <c r="CP11" s="96">
        <f>IFERROR(__xludf.DUMMYFUNCTION("""COMPUTED_VALUE"""),11.53578874218207)</f>
        <v>11.53578874</v>
      </c>
      <c r="CQ11" s="96"/>
      <c r="CR11" s="95"/>
      <c r="CS11" s="96">
        <f>IFERROR(__xludf.DUMMYFUNCTION("""COMPUTED_VALUE"""),34.05128205128205)</f>
        <v>34.05128205</v>
      </c>
      <c r="CT11" s="96"/>
      <c r="CU11" s="95">
        <f>IFERROR(__xludf.DUMMYFUNCTION("""COMPUTED_VALUE"""),86.01036269430053)</f>
        <v>86.01036269</v>
      </c>
      <c r="CV11" s="96"/>
      <c r="CW11" s="97"/>
      <c r="CX11" s="96">
        <f>IFERROR(__xludf.DUMMYFUNCTION("""COMPUTED_VALUE"""),85.78811369509043)</f>
        <v>85.7881137</v>
      </c>
      <c r="CY11" s="96"/>
      <c r="CZ11" s="97"/>
      <c r="DA11" s="95">
        <f>IFERROR(__xludf.DUMMYFUNCTION("""COMPUTED_VALUE"""),1106.6666666666667)</f>
        <v>1106.666667</v>
      </c>
      <c r="DB11" s="96"/>
      <c r="DC11" s="97"/>
      <c r="DD11" s="95"/>
      <c r="DE11" s="96"/>
      <c r="DF11" s="97"/>
      <c r="DG11" s="95"/>
      <c r="DH11" s="96"/>
      <c r="DI11" s="97"/>
      <c r="DJ11" s="95"/>
      <c r="DK11" s="96"/>
      <c r="DL11" s="97"/>
      <c r="DM11" s="95"/>
      <c r="DN11" s="96"/>
      <c r="DO11" s="97"/>
      <c r="DP11" s="95"/>
      <c r="DQ11" s="96"/>
      <c r="DR11" s="97"/>
      <c r="DS11" s="95"/>
    </row>
    <row r="12">
      <c r="B12" s="83" t="str">
        <f>IFERROR(__xludf.DUMMYFUNCTION("""COMPUTED_VALUE"""),"EMB9")</f>
        <v>EMB9</v>
      </c>
      <c r="C12" s="88" t="str">
        <f>IFERROR(__xludf.DUMMYFUNCTION("""COMPUTED_VALUE"""),"Wednesday/Saturday- Novice")</f>
        <v>Wednesday/Saturday- Novice</v>
      </c>
      <c r="D12" s="102">
        <f>IFERROR(__xludf.DUMMYFUNCTION("""COMPUTED_VALUE"""),10.0)</f>
        <v>10</v>
      </c>
      <c r="E12" s="82" t="b">
        <f>IFERROR(__xludf.DUMMYFUNCTION("""COMPUTED_VALUE"""),TRUE)</f>
        <v>1</v>
      </c>
      <c r="F12" s="82" t="str">
        <f>IFERROR(__xludf.DUMMYFUNCTION("""COMPUTED_VALUE"""),"Ember Gathering!A128:J138")</f>
        <v>Ember Gathering!A128:J138</v>
      </c>
      <c r="G12" s="82"/>
      <c r="H12" s="82">
        <f>IFERROR(__xludf.DUMMYFUNCTION("""COMPUTED_VALUE"""),20.0)</f>
        <v>20</v>
      </c>
      <c r="I12" s="95"/>
      <c r="J12" s="96"/>
      <c r="K12" s="97"/>
      <c r="L12" s="95"/>
      <c r="M12" s="96"/>
      <c r="N12" s="97"/>
      <c r="O12" s="95"/>
      <c r="P12" s="96"/>
      <c r="Q12" s="97"/>
      <c r="R12" s="95"/>
      <c r="S12" s="96"/>
      <c r="T12" s="97"/>
      <c r="U12" s="95"/>
      <c r="V12" s="96"/>
      <c r="W12" s="97"/>
      <c r="X12" s="95"/>
      <c r="Y12" s="96"/>
      <c r="Z12" s="97"/>
      <c r="AA12" s="95"/>
      <c r="AB12" s="96"/>
      <c r="AC12" s="97"/>
      <c r="AD12" s="95"/>
      <c r="AE12" s="96"/>
      <c r="AF12" s="97"/>
      <c r="AG12" s="95"/>
      <c r="AH12" s="96"/>
      <c r="AI12" s="97"/>
      <c r="AJ12" s="95"/>
      <c r="AK12" s="96"/>
      <c r="AL12" s="97"/>
      <c r="AM12" s="95"/>
      <c r="AN12" s="96"/>
      <c r="AO12" s="97"/>
      <c r="AP12" s="95"/>
      <c r="AQ12" s="96"/>
      <c r="AR12" s="97"/>
      <c r="AS12" s="95"/>
      <c r="AT12" s="96"/>
      <c r="AU12" s="97"/>
      <c r="AV12" s="95"/>
      <c r="AW12" s="96"/>
      <c r="AX12" s="97"/>
      <c r="AY12" s="95"/>
      <c r="AZ12" s="96"/>
      <c r="BA12" s="97"/>
      <c r="BB12" s="95"/>
      <c r="BC12" s="96"/>
      <c r="BD12" s="97"/>
      <c r="BE12" s="95"/>
      <c r="BF12" s="96"/>
      <c r="BG12" s="97"/>
      <c r="BH12" s="95"/>
      <c r="BI12" s="96"/>
      <c r="BJ12" s="97"/>
      <c r="BK12" s="95"/>
      <c r="BL12" s="96"/>
      <c r="BM12" s="97"/>
      <c r="BN12" s="95"/>
      <c r="BO12" s="96"/>
      <c r="BP12" s="97"/>
      <c r="BQ12" s="95"/>
      <c r="BR12" s="96"/>
      <c r="BS12" s="97"/>
      <c r="BT12" s="95"/>
      <c r="BU12" s="96"/>
      <c r="BV12" s="97"/>
      <c r="BW12" s="95"/>
      <c r="BX12" s="96"/>
      <c r="BY12" s="97"/>
      <c r="BZ12" s="95"/>
      <c r="CA12" s="96"/>
      <c r="CB12" s="97"/>
      <c r="CC12" s="95"/>
      <c r="CD12" s="96"/>
      <c r="CE12" s="97"/>
      <c r="CF12" s="95"/>
      <c r="CG12" s="96"/>
      <c r="CH12" s="96"/>
      <c r="CI12" s="95"/>
      <c r="CJ12" s="96"/>
      <c r="CK12" s="96"/>
      <c r="CL12" s="95"/>
      <c r="CM12" s="96"/>
      <c r="CN12" s="96"/>
      <c r="CO12" s="95"/>
      <c r="CP12" s="96"/>
      <c r="CQ12" s="96"/>
      <c r="CR12" s="95"/>
      <c r="CS12" s="96"/>
      <c r="CT12" s="96"/>
      <c r="CU12" s="95"/>
      <c r="CV12" s="96">
        <f>IFERROR(__xludf.DUMMYFUNCTION("""COMPUTED_VALUE"""),50.0)</f>
        <v>50</v>
      </c>
      <c r="CW12" s="97"/>
      <c r="CX12" s="96"/>
      <c r="CY12" s="96">
        <f>IFERROR(__xludf.DUMMYFUNCTION("""COMPUTED_VALUE"""),66.66666666666667)</f>
        <v>66.66666667</v>
      </c>
      <c r="CZ12" s="97"/>
      <c r="DA12" s="95">
        <f>IFERROR(__xludf.DUMMYFUNCTION("""COMPUTED_VALUE"""),200.0)</f>
        <v>200</v>
      </c>
      <c r="DB12" s="96"/>
      <c r="DC12" s="97"/>
      <c r="DD12" s="95">
        <f>IFERROR(__xludf.DUMMYFUNCTION("""COMPUTED_VALUE"""),6.25)</f>
        <v>6.25</v>
      </c>
      <c r="DE12" s="96"/>
      <c r="DF12" s="97"/>
      <c r="DG12" s="95">
        <f>IFERROR(__xludf.DUMMYFUNCTION("""COMPUTED_VALUE"""),6.451612903225806)</f>
        <v>6.451612903</v>
      </c>
      <c r="DH12" s="96"/>
      <c r="DI12" s="97">
        <f>IFERROR(__xludf.DUMMYFUNCTION("""COMPUTED_VALUE"""),25.0)</f>
        <v>25</v>
      </c>
      <c r="DJ12" s="95"/>
      <c r="DK12" s="96"/>
      <c r="DL12" s="97">
        <f>IFERROR(__xludf.DUMMYFUNCTION("""COMPUTED_VALUE"""),4.347826086956522)</f>
        <v>4.347826087</v>
      </c>
      <c r="DM12" s="95"/>
      <c r="DN12" s="96"/>
      <c r="DO12" s="97">
        <f>IFERROR(__xludf.DUMMYFUNCTION("""COMPUTED_VALUE"""),5.0)</f>
        <v>5</v>
      </c>
      <c r="DP12" s="95"/>
      <c r="DQ12" s="96">
        <f>IFERROR(__xludf.DUMMYFUNCTION("""COMPUTED_VALUE"""),13.333333333333334)</f>
        <v>13.33333333</v>
      </c>
      <c r="DR12" s="97"/>
      <c r="DS12" s="95"/>
    </row>
    <row r="13">
      <c r="B13" s="83" t="str">
        <f>IFERROR(__xludf.DUMMYFUNCTION("""COMPUTED_VALUE"""),"EMB10")</f>
        <v>EMB10</v>
      </c>
      <c r="C13" s="88" t="str">
        <f>IFERROR(__xludf.DUMMYFUNCTION("""COMPUTED_VALUE"""),"Wednesday/Saturday- Intermediate")</f>
        <v>Wednesday/Saturday- Intermediate</v>
      </c>
      <c r="D13" s="102">
        <f>IFERROR(__xludf.DUMMYFUNCTION("""COMPUTED_VALUE"""),20.0)</f>
        <v>20</v>
      </c>
      <c r="E13" s="82" t="b">
        <f>IFERROR(__xludf.DUMMYFUNCTION("""COMPUTED_VALUE"""),TRUE)</f>
        <v>1</v>
      </c>
      <c r="F13" s="82" t="str">
        <f>IFERROR(__xludf.DUMMYFUNCTION("""COMPUTED_VALUE"""),"Ember Gathering!A143:J156")</f>
        <v>Ember Gathering!A143:J156</v>
      </c>
      <c r="G13" s="82"/>
      <c r="H13" s="82">
        <f>IFERROR(__xludf.DUMMYFUNCTION("""COMPUTED_VALUE"""),12.0)</f>
        <v>12</v>
      </c>
      <c r="I13" s="95"/>
      <c r="J13" s="96"/>
      <c r="K13" s="97"/>
      <c r="L13" s="95"/>
      <c r="M13" s="96"/>
      <c r="N13" s="97"/>
      <c r="O13" s="95"/>
      <c r="P13" s="96"/>
      <c r="Q13" s="97"/>
      <c r="R13" s="95"/>
      <c r="S13" s="96"/>
      <c r="T13" s="97"/>
      <c r="U13" s="95"/>
      <c r="V13" s="96"/>
      <c r="W13" s="97"/>
      <c r="X13" s="95"/>
      <c r="Y13" s="96"/>
      <c r="Z13" s="97"/>
      <c r="AA13" s="95"/>
      <c r="AB13" s="96"/>
      <c r="AC13" s="97"/>
      <c r="AD13" s="95"/>
      <c r="AE13" s="96"/>
      <c r="AF13" s="97"/>
      <c r="AG13" s="95"/>
      <c r="AH13" s="96"/>
      <c r="AI13" s="97"/>
      <c r="AJ13" s="95"/>
      <c r="AK13" s="96"/>
      <c r="AL13" s="97"/>
      <c r="AM13" s="95"/>
      <c r="AN13" s="96"/>
      <c r="AO13" s="97"/>
      <c r="AP13" s="95"/>
      <c r="AQ13" s="96"/>
      <c r="AR13" s="97"/>
      <c r="AS13" s="95"/>
      <c r="AT13" s="96"/>
      <c r="AU13" s="97"/>
      <c r="AV13" s="95"/>
      <c r="AW13" s="96"/>
      <c r="AX13" s="97"/>
      <c r="AY13" s="95"/>
      <c r="AZ13" s="96"/>
      <c r="BA13" s="97"/>
      <c r="BB13" s="95"/>
      <c r="BC13" s="96"/>
      <c r="BD13" s="97"/>
      <c r="BE13" s="95"/>
      <c r="BF13" s="96"/>
      <c r="BG13" s="97"/>
      <c r="BH13" s="95"/>
      <c r="BI13" s="96"/>
      <c r="BJ13" s="97"/>
      <c r="BK13" s="95"/>
      <c r="BL13" s="96"/>
      <c r="BM13" s="97"/>
      <c r="BN13" s="95"/>
      <c r="BO13" s="96"/>
      <c r="BP13" s="97"/>
      <c r="BQ13" s="95"/>
      <c r="BR13" s="96"/>
      <c r="BS13" s="97"/>
      <c r="BT13" s="95"/>
      <c r="BU13" s="96"/>
      <c r="BV13" s="97"/>
      <c r="BW13" s="95"/>
      <c r="BX13" s="96"/>
      <c r="BY13" s="97"/>
      <c r="BZ13" s="95"/>
      <c r="CA13" s="96"/>
      <c r="CB13" s="97"/>
      <c r="CC13" s="95"/>
      <c r="CD13" s="96"/>
      <c r="CE13" s="97"/>
      <c r="CF13" s="95"/>
      <c r="CG13" s="96"/>
      <c r="CH13" s="96"/>
      <c r="CI13" s="95"/>
      <c r="CJ13" s="96"/>
      <c r="CK13" s="96"/>
      <c r="CL13" s="95"/>
      <c r="CM13" s="96"/>
      <c r="CN13" s="96">
        <f>IFERROR(__xludf.DUMMYFUNCTION("""COMPUTED_VALUE"""),60.0)</f>
        <v>60</v>
      </c>
      <c r="CO13" s="95"/>
      <c r="CP13" s="96"/>
      <c r="CQ13" s="96"/>
      <c r="CR13" s="95"/>
      <c r="CS13" s="96"/>
      <c r="CT13" s="96"/>
      <c r="CU13" s="95"/>
      <c r="CV13" s="96">
        <f>IFERROR(__xludf.DUMMYFUNCTION("""COMPUTED_VALUE"""),15.0)</f>
        <v>15</v>
      </c>
      <c r="CW13" s="97"/>
      <c r="CX13" s="96"/>
      <c r="CY13" s="96">
        <f>IFERROR(__xludf.DUMMYFUNCTION("""COMPUTED_VALUE"""),15.0)</f>
        <v>15</v>
      </c>
      <c r="CZ13" s="97"/>
      <c r="DA13" s="95">
        <f>IFERROR(__xludf.DUMMYFUNCTION("""COMPUTED_VALUE"""),60.0)</f>
        <v>60</v>
      </c>
      <c r="DB13" s="96"/>
      <c r="DC13" s="97"/>
      <c r="DD13" s="95">
        <f>IFERROR(__xludf.DUMMYFUNCTION("""COMPUTED_VALUE"""),11.428571428571429)</f>
        <v>11.42857143</v>
      </c>
      <c r="DE13" s="96"/>
      <c r="DF13" s="97"/>
      <c r="DG13" s="95">
        <f>IFERROR(__xludf.DUMMYFUNCTION("""COMPUTED_VALUE"""),9.6)</f>
        <v>9.6</v>
      </c>
      <c r="DH13" s="96"/>
      <c r="DI13" s="97">
        <f>IFERROR(__xludf.DUMMYFUNCTION("""COMPUTED_VALUE"""),20.0)</f>
        <v>20</v>
      </c>
      <c r="DJ13" s="95"/>
      <c r="DK13" s="96"/>
      <c r="DL13" s="97">
        <f>IFERROR(__xludf.DUMMYFUNCTION("""COMPUTED_VALUE"""),48.0)</f>
        <v>48</v>
      </c>
      <c r="DM13" s="95"/>
      <c r="DN13" s="96"/>
      <c r="DO13" s="97">
        <f>IFERROR(__xludf.DUMMYFUNCTION("""COMPUTED_VALUE"""),48.0)</f>
        <v>48</v>
      </c>
      <c r="DP13" s="95"/>
      <c r="DQ13" s="96"/>
      <c r="DR13" s="97"/>
      <c r="DS13" s="95"/>
    </row>
    <row r="14">
      <c r="B14" s="83" t="str">
        <f>IFERROR(__xludf.DUMMYFUNCTION("""COMPUTED_VALUE"""),"EMB11")</f>
        <v>EMB11</v>
      </c>
      <c r="C14" s="88" t="str">
        <f>IFERROR(__xludf.DUMMYFUNCTION("""COMPUTED_VALUE"""),"Wednesday/Saturday- Advanced")</f>
        <v>Wednesday/Saturday- Advanced</v>
      </c>
      <c r="D14" s="102">
        <f>IFERROR(__xludf.DUMMYFUNCTION("""COMPUTED_VALUE"""),30.0)</f>
        <v>30</v>
      </c>
      <c r="E14" s="82" t="b">
        <f>IFERROR(__xludf.DUMMYFUNCTION("""COMPUTED_VALUE"""),TRUE)</f>
        <v>1</v>
      </c>
      <c r="F14" s="82" t="str">
        <f>IFERROR(__xludf.DUMMYFUNCTION("""COMPUTED_VALUE"""),"Ember Gathering!A161:J171")</f>
        <v>Ember Gathering!A161:J171</v>
      </c>
      <c r="G14" s="82"/>
      <c r="H14" s="82">
        <f>IFERROR(__xludf.DUMMYFUNCTION("""COMPUTED_VALUE"""),47.0)</f>
        <v>47</v>
      </c>
      <c r="I14" s="95"/>
      <c r="J14" s="96"/>
      <c r="K14" s="97"/>
      <c r="L14" s="95"/>
      <c r="M14" s="96"/>
      <c r="N14" s="97"/>
      <c r="O14" s="95"/>
      <c r="P14" s="96"/>
      <c r="Q14" s="97"/>
      <c r="R14" s="95"/>
      <c r="S14" s="96"/>
      <c r="T14" s="97"/>
      <c r="U14" s="95"/>
      <c r="V14" s="96"/>
      <c r="W14" s="97"/>
      <c r="X14" s="95"/>
      <c r="Y14" s="96"/>
      <c r="Z14" s="97"/>
      <c r="AA14" s="95"/>
      <c r="AB14" s="96"/>
      <c r="AC14" s="97"/>
      <c r="AD14" s="95"/>
      <c r="AE14" s="96"/>
      <c r="AF14" s="97"/>
      <c r="AG14" s="95"/>
      <c r="AH14" s="96"/>
      <c r="AI14" s="97"/>
      <c r="AJ14" s="95"/>
      <c r="AK14" s="96"/>
      <c r="AL14" s="97"/>
      <c r="AM14" s="95"/>
      <c r="AN14" s="96"/>
      <c r="AO14" s="97"/>
      <c r="AP14" s="95"/>
      <c r="AQ14" s="96"/>
      <c r="AR14" s="97"/>
      <c r="AS14" s="95"/>
      <c r="AT14" s="96"/>
      <c r="AU14" s="97"/>
      <c r="AV14" s="95"/>
      <c r="AW14" s="96"/>
      <c r="AX14" s="97"/>
      <c r="AY14" s="95"/>
      <c r="AZ14" s="96"/>
      <c r="BA14" s="97"/>
      <c r="BB14" s="95"/>
      <c r="BC14" s="96"/>
      <c r="BD14" s="97"/>
      <c r="BE14" s="95"/>
      <c r="BF14" s="96"/>
      <c r="BG14" s="97"/>
      <c r="BH14" s="95"/>
      <c r="BI14" s="96"/>
      <c r="BJ14" s="97"/>
      <c r="BK14" s="95"/>
      <c r="BL14" s="96"/>
      <c r="BM14" s="97"/>
      <c r="BN14" s="95"/>
      <c r="BO14" s="96"/>
      <c r="BP14" s="97"/>
      <c r="BQ14" s="95"/>
      <c r="BR14" s="96"/>
      <c r="BS14" s="97"/>
      <c r="BT14" s="95"/>
      <c r="BU14" s="96"/>
      <c r="BV14" s="97"/>
      <c r="BW14" s="95"/>
      <c r="BX14" s="96"/>
      <c r="BY14" s="97"/>
      <c r="BZ14" s="95"/>
      <c r="CA14" s="96"/>
      <c r="CB14" s="97"/>
      <c r="CC14" s="95"/>
      <c r="CD14" s="96"/>
      <c r="CE14" s="97"/>
      <c r="CF14" s="95"/>
      <c r="CG14" s="96"/>
      <c r="CH14" s="96"/>
      <c r="CI14" s="95"/>
      <c r="CJ14" s="96"/>
      <c r="CK14" s="96"/>
      <c r="CL14" s="95"/>
      <c r="CM14" s="96"/>
      <c r="CN14" s="96">
        <f>IFERROR(__xludf.DUMMYFUNCTION("""COMPUTED_VALUE"""),28.2)</f>
        <v>28.2</v>
      </c>
      <c r="CO14" s="95"/>
      <c r="CP14" s="96"/>
      <c r="CQ14" s="96">
        <f>IFERROR(__xludf.DUMMYFUNCTION("""COMPUTED_VALUE"""),30.0)</f>
        <v>30</v>
      </c>
      <c r="CR14" s="95"/>
      <c r="CS14" s="96">
        <f>IFERROR(__xludf.DUMMYFUNCTION("""COMPUTED_VALUE"""),94.0)</f>
        <v>94</v>
      </c>
      <c r="CT14" s="96"/>
      <c r="CU14" s="95"/>
      <c r="CV14" s="96">
        <f>IFERROR(__xludf.DUMMYFUNCTION("""COMPUTED_VALUE"""),11.75)</f>
        <v>11.75</v>
      </c>
      <c r="CW14" s="97"/>
      <c r="CX14" s="96"/>
      <c r="CY14" s="96">
        <f>IFERROR(__xludf.DUMMYFUNCTION("""COMPUTED_VALUE"""),11.370967741935484)</f>
        <v>11.37096774</v>
      </c>
      <c r="CZ14" s="97"/>
      <c r="DA14" s="95">
        <f>IFERROR(__xludf.DUMMYFUNCTION("""COMPUTED_VALUE"""),40.285714285714285)</f>
        <v>40.28571429</v>
      </c>
      <c r="DB14" s="96"/>
      <c r="DC14" s="97"/>
      <c r="DD14" s="95">
        <f>IFERROR(__xludf.DUMMYFUNCTION("""COMPUTED_VALUE"""),82.94117647058823)</f>
        <v>82.94117647</v>
      </c>
      <c r="DE14" s="96"/>
      <c r="DF14" s="97"/>
      <c r="DG14" s="95">
        <f>IFERROR(__xludf.DUMMYFUNCTION("""COMPUTED_VALUE"""),94.0)</f>
        <v>94</v>
      </c>
      <c r="DH14" s="96"/>
      <c r="DI14" s="97"/>
      <c r="DJ14" s="95"/>
      <c r="DK14" s="96"/>
      <c r="DL14" s="97"/>
      <c r="DM14" s="95"/>
      <c r="DN14" s="96"/>
      <c r="DO14" s="97"/>
      <c r="DP14" s="95"/>
      <c r="DQ14" s="96"/>
      <c r="DR14" s="97"/>
      <c r="DS14" s="95"/>
    </row>
    <row r="15">
      <c r="B15" s="83" t="str">
        <f>IFERROR(__xludf.DUMMYFUNCTION("""COMPUTED_VALUE"""),"EMB12")</f>
        <v>EMB12</v>
      </c>
      <c r="C15" s="88" t="str">
        <f>IFERROR(__xludf.DUMMYFUNCTION("""COMPUTED_VALUE"""),"Wednesday/Saturday- Expert")</f>
        <v>Wednesday/Saturday- Expert</v>
      </c>
      <c r="D15" s="102">
        <f>IFERROR(__xludf.DUMMYFUNCTION("""COMPUTED_VALUE"""),40.0)</f>
        <v>40</v>
      </c>
      <c r="E15" s="82" t="b">
        <f>IFERROR(__xludf.DUMMYFUNCTION("""COMPUTED_VALUE"""),TRUE)</f>
        <v>1</v>
      </c>
      <c r="F15" s="82" t="str">
        <f>IFERROR(__xludf.DUMMYFUNCTION("""COMPUTED_VALUE"""),"Ember Gathering!A176:J183")</f>
        <v>Ember Gathering!A176:J183</v>
      </c>
      <c r="G15" s="82"/>
      <c r="H15" s="82">
        <f>IFERROR(__xludf.DUMMYFUNCTION("""COMPUTED_VALUE"""),853.0)</f>
        <v>853</v>
      </c>
      <c r="I15" s="95"/>
      <c r="J15" s="96"/>
      <c r="K15" s="97"/>
      <c r="L15" s="95"/>
      <c r="M15" s="96"/>
      <c r="N15" s="97"/>
      <c r="O15" s="95"/>
      <c r="P15" s="96"/>
      <c r="Q15" s="97"/>
      <c r="R15" s="95"/>
      <c r="S15" s="96"/>
      <c r="T15" s="97"/>
      <c r="U15" s="95"/>
      <c r="V15" s="96"/>
      <c r="W15" s="97"/>
      <c r="X15" s="95"/>
      <c r="Y15" s="96"/>
      <c r="Z15" s="97"/>
      <c r="AA15" s="95"/>
      <c r="AB15" s="96"/>
      <c r="AC15" s="97"/>
      <c r="AD15" s="95"/>
      <c r="AE15" s="96"/>
      <c r="AF15" s="97"/>
      <c r="AG15" s="95"/>
      <c r="AH15" s="96"/>
      <c r="AI15" s="97"/>
      <c r="AJ15" s="95"/>
      <c r="AK15" s="96"/>
      <c r="AL15" s="97"/>
      <c r="AM15" s="95"/>
      <c r="AN15" s="96"/>
      <c r="AO15" s="97"/>
      <c r="AP15" s="95"/>
      <c r="AQ15" s="96"/>
      <c r="AR15" s="97"/>
      <c r="AS15" s="95"/>
      <c r="AT15" s="96"/>
      <c r="AU15" s="97"/>
      <c r="AV15" s="95"/>
      <c r="AW15" s="96"/>
      <c r="AX15" s="97"/>
      <c r="AY15" s="95"/>
      <c r="AZ15" s="96"/>
      <c r="BA15" s="97"/>
      <c r="BB15" s="95"/>
      <c r="BC15" s="96"/>
      <c r="BD15" s="97"/>
      <c r="BE15" s="95"/>
      <c r="BF15" s="96"/>
      <c r="BG15" s="97"/>
      <c r="BH15" s="95"/>
      <c r="BI15" s="96"/>
      <c r="BJ15" s="97"/>
      <c r="BK15" s="95"/>
      <c r="BL15" s="96"/>
      <c r="BM15" s="97"/>
      <c r="BN15" s="95"/>
      <c r="BO15" s="96"/>
      <c r="BP15" s="97"/>
      <c r="BQ15" s="95"/>
      <c r="BR15" s="96"/>
      <c r="BS15" s="97"/>
      <c r="BT15" s="95"/>
      <c r="BU15" s="96"/>
      <c r="BV15" s="97"/>
      <c r="BW15" s="95"/>
      <c r="BX15" s="96"/>
      <c r="BY15" s="97"/>
      <c r="BZ15" s="95"/>
      <c r="CA15" s="96"/>
      <c r="CB15" s="97"/>
      <c r="CC15" s="95"/>
      <c r="CD15" s="96"/>
      <c r="CE15" s="97"/>
      <c r="CF15" s="95"/>
      <c r="CG15" s="96"/>
      <c r="CH15" s="96"/>
      <c r="CI15" s="95"/>
      <c r="CJ15" s="96"/>
      <c r="CK15" s="96"/>
      <c r="CL15" s="95"/>
      <c r="CM15" s="96"/>
      <c r="CN15" s="96">
        <f>IFERROR(__xludf.DUMMYFUNCTION("""COMPUTED_VALUE"""),11.609390949302485)</f>
        <v>11.60939095</v>
      </c>
      <c r="CO15" s="95"/>
      <c r="CP15" s="96"/>
      <c r="CQ15" s="96">
        <f>IFERROR(__xludf.DUMMYFUNCTION("""COMPUTED_VALUE"""),11.46120255290561)</f>
        <v>11.46120255</v>
      </c>
      <c r="CR15" s="95"/>
      <c r="CS15" s="96">
        <f>IFERROR(__xludf.DUMMYFUNCTION("""COMPUTED_VALUE"""),35.802728226652675)</f>
        <v>35.80272823</v>
      </c>
      <c r="CT15" s="96"/>
      <c r="CU15" s="95"/>
      <c r="CV15" s="96">
        <f>IFERROR(__xludf.DUMMYFUNCTION("""COMPUTED_VALUE"""),92.46612466124661)</f>
        <v>92.46612466</v>
      </c>
      <c r="CW15" s="97"/>
      <c r="CX15" s="96"/>
      <c r="CY15" s="96">
        <f>IFERROR(__xludf.DUMMYFUNCTION("""COMPUTED_VALUE"""),83.01703163017032)</f>
        <v>83.01703163</v>
      </c>
      <c r="CZ15" s="97"/>
      <c r="DA15" s="95">
        <f>IFERROR(__xludf.DUMMYFUNCTION("""COMPUTED_VALUE"""),1218.5714285714284)</f>
        <v>1218.571429</v>
      </c>
      <c r="DB15" s="96"/>
      <c r="DC15" s="97"/>
      <c r="DD15" s="95"/>
      <c r="DE15" s="96"/>
      <c r="DF15" s="97"/>
      <c r="DG15" s="95"/>
      <c r="DH15" s="96"/>
      <c r="DI15" s="97"/>
      <c r="DJ15" s="95"/>
      <c r="DK15" s="96"/>
      <c r="DL15" s="97"/>
      <c r="DM15" s="95"/>
      <c r="DN15" s="96"/>
      <c r="DO15" s="97"/>
      <c r="DP15" s="95"/>
      <c r="DQ15" s="96"/>
      <c r="DR15" s="97"/>
      <c r="DS15" s="95"/>
    </row>
    <row r="16">
      <c r="B16" s="83" t="str">
        <f>IFERROR(__xludf.DUMMYFUNCTION("""COMPUTED_VALUE"""),"EMB13")</f>
        <v>EMB13</v>
      </c>
      <c r="C16" s="88" t="str">
        <f>IFERROR(__xludf.DUMMYFUNCTION("""COMPUTED_VALUE"""),"Sunday- Novice")</f>
        <v>Sunday- Novice</v>
      </c>
      <c r="D16" s="102">
        <f>IFERROR(__xludf.DUMMYFUNCTION("""COMPUTED_VALUE"""),10.0)</f>
        <v>10</v>
      </c>
      <c r="E16" s="82" t="b">
        <f>IFERROR(__xludf.DUMMYFUNCTION("""COMPUTED_VALUE"""),TRUE)</f>
        <v>1</v>
      </c>
      <c r="F16" s="82" t="str">
        <f>IFERROR(__xludf.DUMMYFUNCTION("""COMPUTED_VALUE"""),"Ember Gathering!A188:J210")</f>
        <v>Ember Gathering!A188:J210</v>
      </c>
      <c r="G16" s="82"/>
      <c r="H16" s="82">
        <f>IFERROR(__xludf.DUMMYFUNCTION("""COMPUTED_VALUE"""),13.0)</f>
        <v>13</v>
      </c>
      <c r="I16" s="95"/>
      <c r="J16" s="96"/>
      <c r="K16" s="97"/>
      <c r="L16" s="95"/>
      <c r="M16" s="96"/>
      <c r="N16" s="97"/>
      <c r="O16" s="95"/>
      <c r="P16" s="96"/>
      <c r="Q16" s="97"/>
      <c r="R16" s="95"/>
      <c r="S16" s="96"/>
      <c r="T16" s="97"/>
      <c r="U16" s="95"/>
      <c r="V16" s="96"/>
      <c r="W16" s="97"/>
      <c r="X16" s="95"/>
      <c r="Y16" s="96"/>
      <c r="Z16" s="97"/>
      <c r="AA16" s="95"/>
      <c r="AB16" s="96"/>
      <c r="AC16" s="97"/>
      <c r="AD16" s="95"/>
      <c r="AE16" s="96"/>
      <c r="AF16" s="97"/>
      <c r="AG16" s="95"/>
      <c r="AH16" s="96"/>
      <c r="AI16" s="97"/>
      <c r="AJ16" s="95"/>
      <c r="AK16" s="96"/>
      <c r="AL16" s="97"/>
      <c r="AM16" s="95"/>
      <c r="AN16" s="96"/>
      <c r="AO16" s="97"/>
      <c r="AP16" s="95"/>
      <c r="AQ16" s="96"/>
      <c r="AR16" s="97"/>
      <c r="AS16" s="95"/>
      <c r="AT16" s="96"/>
      <c r="AU16" s="97"/>
      <c r="AV16" s="95"/>
      <c r="AW16" s="96"/>
      <c r="AX16" s="97"/>
      <c r="AY16" s="95"/>
      <c r="AZ16" s="96"/>
      <c r="BA16" s="97"/>
      <c r="BB16" s="95"/>
      <c r="BC16" s="96"/>
      <c r="BD16" s="97"/>
      <c r="BE16" s="95"/>
      <c r="BF16" s="96"/>
      <c r="BG16" s="97"/>
      <c r="BH16" s="95"/>
      <c r="BI16" s="96"/>
      <c r="BJ16" s="97"/>
      <c r="BK16" s="95"/>
      <c r="BL16" s="96"/>
      <c r="BM16" s="97"/>
      <c r="BN16" s="95"/>
      <c r="BO16" s="96"/>
      <c r="BP16" s="97"/>
      <c r="BQ16" s="95"/>
      <c r="BR16" s="96"/>
      <c r="BS16" s="97"/>
      <c r="BT16" s="95"/>
      <c r="BU16" s="96"/>
      <c r="BV16" s="97"/>
      <c r="BW16" s="95"/>
      <c r="BX16" s="96"/>
      <c r="BY16" s="97"/>
      <c r="BZ16" s="95"/>
      <c r="CA16" s="96"/>
      <c r="CB16" s="97"/>
      <c r="CC16" s="95"/>
      <c r="CD16" s="96"/>
      <c r="CE16" s="97"/>
      <c r="CF16" s="95"/>
      <c r="CG16" s="96"/>
      <c r="CH16" s="96"/>
      <c r="CI16" s="95"/>
      <c r="CJ16" s="96"/>
      <c r="CK16" s="96"/>
      <c r="CL16" s="95"/>
      <c r="CM16" s="96"/>
      <c r="CN16" s="96"/>
      <c r="CO16" s="95"/>
      <c r="CP16" s="96"/>
      <c r="CQ16" s="96"/>
      <c r="CR16" s="95"/>
      <c r="CS16" s="96"/>
      <c r="CT16" s="96"/>
      <c r="CU16" s="95">
        <f>IFERROR(__xludf.DUMMYFUNCTION("""COMPUTED_VALUE"""),130.0)</f>
        <v>130</v>
      </c>
      <c r="CV16" s="96">
        <f>IFERROR(__xludf.DUMMYFUNCTION("""COMPUTED_VALUE"""),65.0)</f>
        <v>65</v>
      </c>
      <c r="CW16" s="97">
        <f>IFERROR(__xludf.DUMMYFUNCTION("""COMPUTED_VALUE"""),130.0)</f>
        <v>130</v>
      </c>
      <c r="CX16" s="96">
        <f>IFERROR(__xludf.DUMMYFUNCTION("""COMPUTED_VALUE"""),130.0)</f>
        <v>130</v>
      </c>
      <c r="CY16" s="96">
        <f>IFERROR(__xludf.DUMMYFUNCTION("""COMPUTED_VALUE"""),130.0)</f>
        <v>130</v>
      </c>
      <c r="CZ16" s="97">
        <f>IFERROR(__xludf.DUMMYFUNCTION("""COMPUTED_VALUE"""),130.0)</f>
        <v>130</v>
      </c>
      <c r="DA16" s="95">
        <f>IFERROR(__xludf.DUMMYFUNCTION("""COMPUTED_VALUE"""),130.0)</f>
        <v>130</v>
      </c>
      <c r="DB16" s="96"/>
      <c r="DC16" s="97">
        <f>IFERROR(__xludf.DUMMYFUNCTION("""COMPUTED_VALUE"""),32.5)</f>
        <v>32.5</v>
      </c>
      <c r="DD16" s="95">
        <f>IFERROR(__xludf.DUMMYFUNCTION("""COMPUTED_VALUE"""),10.0)</f>
        <v>10</v>
      </c>
      <c r="DE16" s="96">
        <f>IFERROR(__xludf.DUMMYFUNCTION("""COMPUTED_VALUE"""),26.0)</f>
        <v>26</v>
      </c>
      <c r="DF16" s="97">
        <f>IFERROR(__xludf.DUMMYFUNCTION("""COMPUTED_VALUE"""),21.666666666666664)</f>
        <v>21.66666667</v>
      </c>
      <c r="DG16" s="95">
        <f>IFERROR(__xludf.DUMMYFUNCTION("""COMPUTED_VALUE"""),14.444444444444445)</f>
        <v>14.44444444</v>
      </c>
      <c r="DH16" s="96">
        <f>IFERROR(__xludf.DUMMYFUNCTION("""COMPUTED_VALUE"""),32.5)</f>
        <v>32.5</v>
      </c>
      <c r="DI16" s="97">
        <f>IFERROR(__xludf.DUMMYFUNCTION("""COMPUTED_VALUE"""),21.666666666666664)</f>
        <v>21.66666667</v>
      </c>
      <c r="DJ16" s="95"/>
      <c r="DK16" s="96">
        <f>IFERROR(__xludf.DUMMYFUNCTION("""COMPUTED_VALUE"""),21.666666666666664)</f>
        <v>21.66666667</v>
      </c>
      <c r="DL16" s="97">
        <f>IFERROR(__xludf.DUMMYFUNCTION("""COMPUTED_VALUE"""),43.33333333333333)</f>
        <v>43.33333333</v>
      </c>
      <c r="DM16" s="95">
        <f>IFERROR(__xludf.DUMMYFUNCTION("""COMPUTED_VALUE"""),18.571428571428573)</f>
        <v>18.57142857</v>
      </c>
      <c r="DN16" s="96">
        <f>IFERROR(__xludf.DUMMYFUNCTION("""COMPUTED_VALUE"""),13.0)</f>
        <v>13</v>
      </c>
      <c r="DO16" s="97">
        <f>IFERROR(__xludf.DUMMYFUNCTION("""COMPUTED_VALUE"""),14.444444444444445)</f>
        <v>14.44444444</v>
      </c>
      <c r="DP16" s="95">
        <f>IFERROR(__xludf.DUMMYFUNCTION("""COMPUTED_VALUE"""),11.818181818181818)</f>
        <v>11.81818182</v>
      </c>
      <c r="DQ16" s="96">
        <f>IFERROR(__xludf.DUMMYFUNCTION("""COMPUTED_VALUE"""),8.125)</f>
        <v>8.125</v>
      </c>
      <c r="DR16" s="97"/>
      <c r="DS16" s="95"/>
    </row>
    <row r="17">
      <c r="B17" s="83" t="str">
        <f>IFERROR(__xludf.DUMMYFUNCTION("""COMPUTED_VALUE"""),"EMB14")</f>
        <v>EMB14</v>
      </c>
      <c r="C17" s="88" t="str">
        <f>IFERROR(__xludf.DUMMYFUNCTION("""COMPUTED_VALUE"""),"Sunday- Intermediate")</f>
        <v>Sunday- Intermediate</v>
      </c>
      <c r="D17" s="102">
        <f>IFERROR(__xludf.DUMMYFUNCTION("""COMPUTED_VALUE"""),20.0)</f>
        <v>20</v>
      </c>
      <c r="E17" s="82" t="b">
        <f>IFERROR(__xludf.DUMMYFUNCTION("""COMPUTED_VALUE"""),TRUE)</f>
        <v>1</v>
      </c>
      <c r="F17" s="82" t="str">
        <f>IFERROR(__xludf.DUMMYFUNCTION("""COMPUTED_VALUE"""),"Ember Gathering!A215:J244")</f>
        <v>Ember Gathering!A215:J244</v>
      </c>
      <c r="G17" s="82"/>
      <c r="H17" s="82">
        <f>IFERROR(__xludf.DUMMYFUNCTION("""COMPUTED_VALUE"""),5.0)</f>
        <v>5</v>
      </c>
      <c r="I17" s="95"/>
      <c r="J17" s="96"/>
      <c r="K17" s="97"/>
      <c r="L17" s="95"/>
      <c r="M17" s="96"/>
      <c r="N17" s="97"/>
      <c r="O17" s="95"/>
      <c r="P17" s="96"/>
      <c r="Q17" s="97"/>
      <c r="R17" s="95"/>
      <c r="S17" s="96"/>
      <c r="T17" s="97"/>
      <c r="U17" s="95"/>
      <c r="V17" s="96"/>
      <c r="W17" s="97"/>
      <c r="X17" s="95"/>
      <c r="Y17" s="96"/>
      <c r="Z17" s="97"/>
      <c r="AA17" s="95"/>
      <c r="AB17" s="96"/>
      <c r="AC17" s="97"/>
      <c r="AD17" s="95"/>
      <c r="AE17" s="96"/>
      <c r="AF17" s="97"/>
      <c r="AG17" s="95"/>
      <c r="AH17" s="96"/>
      <c r="AI17" s="97"/>
      <c r="AJ17" s="95"/>
      <c r="AK17" s="96"/>
      <c r="AL17" s="97"/>
      <c r="AM17" s="95"/>
      <c r="AN17" s="96"/>
      <c r="AO17" s="97"/>
      <c r="AP17" s="95"/>
      <c r="AQ17" s="96"/>
      <c r="AR17" s="97"/>
      <c r="AS17" s="95"/>
      <c r="AT17" s="96"/>
      <c r="AU17" s="97"/>
      <c r="AV17" s="95"/>
      <c r="AW17" s="96"/>
      <c r="AX17" s="97"/>
      <c r="AY17" s="95"/>
      <c r="AZ17" s="96"/>
      <c r="BA17" s="97"/>
      <c r="BB17" s="95"/>
      <c r="BC17" s="96"/>
      <c r="BD17" s="97"/>
      <c r="BE17" s="95"/>
      <c r="BF17" s="96"/>
      <c r="BG17" s="97"/>
      <c r="BH17" s="95"/>
      <c r="BI17" s="96"/>
      <c r="BJ17" s="97"/>
      <c r="BK17" s="95"/>
      <c r="BL17" s="96"/>
      <c r="BM17" s="97"/>
      <c r="BN17" s="95"/>
      <c r="BO17" s="96"/>
      <c r="BP17" s="97"/>
      <c r="BQ17" s="95"/>
      <c r="BR17" s="96"/>
      <c r="BS17" s="97"/>
      <c r="BT17" s="95"/>
      <c r="BU17" s="96"/>
      <c r="BV17" s="97"/>
      <c r="BW17" s="95"/>
      <c r="BX17" s="96"/>
      <c r="BY17" s="97"/>
      <c r="BZ17" s="95"/>
      <c r="CA17" s="96"/>
      <c r="CB17" s="97"/>
      <c r="CC17" s="95"/>
      <c r="CD17" s="96"/>
      <c r="CE17" s="97"/>
      <c r="CF17" s="95"/>
      <c r="CG17" s="96"/>
      <c r="CH17" s="96"/>
      <c r="CI17" s="95"/>
      <c r="CJ17" s="96"/>
      <c r="CK17" s="96"/>
      <c r="CL17" s="95"/>
      <c r="CM17" s="96"/>
      <c r="CN17" s="96">
        <f>IFERROR(__xludf.DUMMYFUNCTION("""COMPUTED_VALUE"""),100.0)</f>
        <v>100</v>
      </c>
      <c r="CO17" s="95">
        <f>IFERROR(__xludf.DUMMYFUNCTION("""COMPUTED_VALUE"""),100.0)</f>
        <v>100</v>
      </c>
      <c r="CP17" s="96">
        <f>IFERROR(__xludf.DUMMYFUNCTION("""COMPUTED_VALUE"""),100.0)</f>
        <v>100</v>
      </c>
      <c r="CQ17" s="96"/>
      <c r="CR17" s="95"/>
      <c r="CS17" s="96">
        <f>IFERROR(__xludf.DUMMYFUNCTION("""COMPUTED_VALUE"""),100.0)</f>
        <v>100</v>
      </c>
      <c r="CT17" s="96"/>
      <c r="CU17" s="95"/>
      <c r="CV17" s="96">
        <f>IFERROR(__xludf.DUMMYFUNCTION("""COMPUTED_VALUE"""),50.0)</f>
        <v>50</v>
      </c>
      <c r="CW17" s="97">
        <f>IFERROR(__xludf.DUMMYFUNCTION("""COMPUTED_VALUE"""),33.333333333333336)</f>
        <v>33.33333333</v>
      </c>
      <c r="CX17" s="96">
        <f>IFERROR(__xludf.DUMMYFUNCTION("""COMPUTED_VALUE"""),100.0)</f>
        <v>100</v>
      </c>
      <c r="CY17" s="96">
        <f>IFERROR(__xludf.DUMMYFUNCTION("""COMPUTED_VALUE"""),50.0)</f>
        <v>50</v>
      </c>
      <c r="CZ17" s="97">
        <f>IFERROR(__xludf.DUMMYFUNCTION("""COMPUTED_VALUE"""),50.0)</f>
        <v>50</v>
      </c>
      <c r="DA17" s="95">
        <f>IFERROR(__xludf.DUMMYFUNCTION("""COMPUTED_VALUE"""),33.333333333333336)</f>
        <v>33.33333333</v>
      </c>
      <c r="DB17" s="96"/>
      <c r="DC17" s="97">
        <f>IFERROR(__xludf.DUMMYFUNCTION("""COMPUTED_VALUE"""),33.333333333333336)</f>
        <v>33.33333333</v>
      </c>
      <c r="DD17" s="95">
        <f>IFERROR(__xludf.DUMMYFUNCTION("""COMPUTED_VALUE"""),16.666666666666668)</f>
        <v>16.66666667</v>
      </c>
      <c r="DE17" s="96">
        <f>IFERROR(__xludf.DUMMYFUNCTION("""COMPUTED_VALUE"""),20.0)</f>
        <v>20</v>
      </c>
      <c r="DF17" s="97">
        <f>IFERROR(__xludf.DUMMYFUNCTION("""COMPUTED_VALUE"""),33.333333333333336)</f>
        <v>33.33333333</v>
      </c>
      <c r="DG17" s="95">
        <f>IFERROR(__xludf.DUMMYFUNCTION("""COMPUTED_VALUE"""),50.0)</f>
        <v>50</v>
      </c>
      <c r="DH17" s="96">
        <f>IFERROR(__xludf.DUMMYFUNCTION("""COMPUTED_VALUE"""),33.333333333333336)</f>
        <v>33.33333333</v>
      </c>
      <c r="DI17" s="97">
        <f>IFERROR(__xludf.DUMMYFUNCTION("""COMPUTED_VALUE"""),25.0)</f>
        <v>25</v>
      </c>
      <c r="DJ17" s="95"/>
      <c r="DK17" s="96"/>
      <c r="DL17" s="97"/>
      <c r="DM17" s="95"/>
      <c r="DN17" s="96">
        <f>IFERROR(__xludf.DUMMYFUNCTION("""COMPUTED_VALUE"""),50.0)</f>
        <v>50</v>
      </c>
      <c r="DO17" s="97"/>
      <c r="DP17" s="95"/>
      <c r="DQ17" s="96"/>
      <c r="DR17" s="97"/>
      <c r="DS17" s="95"/>
    </row>
    <row r="18">
      <c r="B18" s="83" t="str">
        <f>IFERROR(__xludf.DUMMYFUNCTION("""COMPUTED_VALUE"""),"EMB15")</f>
        <v>EMB15</v>
      </c>
      <c r="C18" s="88" t="str">
        <f>IFERROR(__xludf.DUMMYFUNCTION("""COMPUTED_VALUE"""),"Sunday- Advanced")</f>
        <v>Sunday- Advanced</v>
      </c>
      <c r="D18" s="102">
        <f>IFERROR(__xludf.DUMMYFUNCTION("""COMPUTED_VALUE"""),30.0)</f>
        <v>30</v>
      </c>
      <c r="E18" s="82" t="b">
        <f>IFERROR(__xludf.DUMMYFUNCTION("""COMPUTED_VALUE"""),TRUE)</f>
        <v>1</v>
      </c>
      <c r="F18" s="82" t="str">
        <f>IFERROR(__xludf.DUMMYFUNCTION("""COMPUTED_VALUE"""),"Ember Gathering!A249:J271")</f>
        <v>Ember Gathering!A249:J271</v>
      </c>
      <c r="G18" s="82"/>
      <c r="H18" s="82">
        <f>IFERROR(__xludf.DUMMYFUNCTION("""COMPUTED_VALUE"""),27.0)</f>
        <v>27</v>
      </c>
      <c r="I18" s="95"/>
      <c r="J18" s="96"/>
      <c r="K18" s="97"/>
      <c r="L18" s="95"/>
      <c r="M18" s="96"/>
      <c r="N18" s="97"/>
      <c r="O18" s="95"/>
      <c r="P18" s="96"/>
      <c r="Q18" s="97"/>
      <c r="R18" s="95"/>
      <c r="S18" s="96"/>
      <c r="T18" s="97"/>
      <c r="U18" s="95"/>
      <c r="V18" s="96"/>
      <c r="W18" s="97"/>
      <c r="X18" s="95"/>
      <c r="Y18" s="96"/>
      <c r="Z18" s="97"/>
      <c r="AA18" s="95"/>
      <c r="AB18" s="96"/>
      <c r="AC18" s="97"/>
      <c r="AD18" s="95"/>
      <c r="AE18" s="96"/>
      <c r="AF18" s="97"/>
      <c r="AG18" s="95"/>
      <c r="AH18" s="96"/>
      <c r="AI18" s="97"/>
      <c r="AJ18" s="95"/>
      <c r="AK18" s="96"/>
      <c r="AL18" s="97"/>
      <c r="AM18" s="95"/>
      <c r="AN18" s="96"/>
      <c r="AO18" s="97"/>
      <c r="AP18" s="95"/>
      <c r="AQ18" s="96"/>
      <c r="AR18" s="97"/>
      <c r="AS18" s="95"/>
      <c r="AT18" s="96"/>
      <c r="AU18" s="97"/>
      <c r="AV18" s="95"/>
      <c r="AW18" s="96"/>
      <c r="AX18" s="97"/>
      <c r="AY18" s="95"/>
      <c r="AZ18" s="96"/>
      <c r="BA18" s="97"/>
      <c r="BB18" s="95"/>
      <c r="BC18" s="96"/>
      <c r="BD18" s="97"/>
      <c r="BE18" s="95"/>
      <c r="BF18" s="96"/>
      <c r="BG18" s="97"/>
      <c r="BH18" s="95"/>
      <c r="BI18" s="96"/>
      <c r="BJ18" s="97"/>
      <c r="BK18" s="95"/>
      <c r="BL18" s="96"/>
      <c r="BM18" s="97"/>
      <c r="BN18" s="95"/>
      <c r="BO18" s="96"/>
      <c r="BP18" s="97"/>
      <c r="BQ18" s="95"/>
      <c r="BR18" s="96"/>
      <c r="BS18" s="97"/>
      <c r="BT18" s="95"/>
      <c r="BU18" s="96"/>
      <c r="BV18" s="97"/>
      <c r="BW18" s="95"/>
      <c r="BX18" s="96"/>
      <c r="BY18" s="97"/>
      <c r="BZ18" s="95"/>
      <c r="CA18" s="96"/>
      <c r="CB18" s="97"/>
      <c r="CC18" s="95"/>
      <c r="CD18" s="96"/>
      <c r="CE18" s="97"/>
      <c r="CF18" s="95"/>
      <c r="CG18" s="96"/>
      <c r="CH18" s="96"/>
      <c r="CI18" s="95"/>
      <c r="CJ18" s="96"/>
      <c r="CK18" s="96"/>
      <c r="CL18" s="95"/>
      <c r="CM18" s="96">
        <f>IFERROR(__xludf.DUMMYFUNCTION("""COMPUTED_VALUE"""),101.25)</f>
        <v>101.25</v>
      </c>
      <c r="CN18" s="96">
        <f>IFERROR(__xludf.DUMMYFUNCTION("""COMPUTED_VALUE"""),47.64705882352941)</f>
        <v>47.64705882</v>
      </c>
      <c r="CO18" s="95">
        <f>IFERROR(__xludf.DUMMYFUNCTION("""COMPUTED_VALUE"""),405.0)</f>
        <v>405</v>
      </c>
      <c r="CP18" s="96">
        <f>IFERROR(__xludf.DUMMYFUNCTION("""COMPUTED_VALUE"""),101.25)</f>
        <v>101.25</v>
      </c>
      <c r="CQ18" s="96">
        <f>IFERROR(__xludf.DUMMYFUNCTION("""COMPUTED_VALUE"""),73.63636363636364)</f>
        <v>73.63636364</v>
      </c>
      <c r="CR18" s="95">
        <f>IFERROR(__xludf.DUMMYFUNCTION("""COMPUTED_VALUE"""),90.0)</f>
        <v>90</v>
      </c>
      <c r="CS18" s="96">
        <f>IFERROR(__xludf.DUMMYFUNCTION("""COMPUTED_VALUE"""),90.0)</f>
        <v>90</v>
      </c>
      <c r="CT18" s="96"/>
      <c r="CU18" s="95">
        <f>IFERROR(__xludf.DUMMYFUNCTION("""COMPUTED_VALUE"""),67.5)</f>
        <v>67.5</v>
      </c>
      <c r="CV18" s="96">
        <f>IFERROR(__xludf.DUMMYFUNCTION("""COMPUTED_VALUE"""),36.81818181818182)</f>
        <v>36.81818182</v>
      </c>
      <c r="CW18" s="97">
        <f>IFERROR(__xludf.DUMMYFUNCTION("""COMPUTED_VALUE"""),30.0)</f>
        <v>30</v>
      </c>
      <c r="CX18" s="96">
        <f>IFERROR(__xludf.DUMMYFUNCTION("""COMPUTED_VALUE"""),31.153846153846157)</f>
        <v>31.15384615</v>
      </c>
      <c r="CY18" s="96">
        <f>IFERROR(__xludf.DUMMYFUNCTION("""COMPUTED_VALUE"""),38.57142857142857)</f>
        <v>38.57142857</v>
      </c>
      <c r="CZ18" s="97">
        <f>IFERROR(__xludf.DUMMYFUNCTION("""COMPUTED_VALUE"""),38.57142857142857)</f>
        <v>38.57142857</v>
      </c>
      <c r="DA18" s="95">
        <f>IFERROR(__xludf.DUMMYFUNCTION("""COMPUTED_VALUE"""),24.545454545454543)</f>
        <v>24.54545455</v>
      </c>
      <c r="DB18" s="96"/>
      <c r="DC18" s="97">
        <f>IFERROR(__xludf.DUMMYFUNCTION("""COMPUTED_VALUE"""),270.0)</f>
        <v>270</v>
      </c>
      <c r="DD18" s="95">
        <f>IFERROR(__xludf.DUMMYFUNCTION("""COMPUTED_VALUE"""),202.5)</f>
        <v>202.5</v>
      </c>
      <c r="DE18" s="96">
        <f>IFERROR(__xludf.DUMMYFUNCTION("""COMPUTED_VALUE"""),405.0)</f>
        <v>405</v>
      </c>
      <c r="DF18" s="97">
        <f>IFERROR(__xludf.DUMMYFUNCTION("""COMPUTED_VALUE"""),405.0)</f>
        <v>405</v>
      </c>
      <c r="DG18" s="95">
        <f>IFERROR(__xludf.DUMMYFUNCTION("""COMPUTED_VALUE"""),810.0)</f>
        <v>810</v>
      </c>
      <c r="DH18" s="96">
        <f>IFERROR(__xludf.DUMMYFUNCTION("""COMPUTED_VALUE"""),270.0)</f>
        <v>270</v>
      </c>
      <c r="DI18" s="97">
        <f>IFERROR(__xludf.DUMMYFUNCTION("""COMPUTED_VALUE"""),405.0)</f>
        <v>405</v>
      </c>
      <c r="DJ18" s="95"/>
      <c r="DK18" s="96"/>
      <c r="DL18" s="97"/>
      <c r="DM18" s="95"/>
      <c r="DN18" s="96"/>
      <c r="DO18" s="97"/>
      <c r="DP18" s="95"/>
      <c r="DQ18" s="96"/>
      <c r="DR18" s="97"/>
      <c r="DS18" s="95"/>
    </row>
    <row r="19">
      <c r="B19" s="83" t="str">
        <f>IFERROR(__xludf.DUMMYFUNCTION("""COMPUTED_VALUE"""),"EMB16")</f>
        <v>EMB16</v>
      </c>
      <c r="C19" s="88" t="str">
        <f>IFERROR(__xludf.DUMMYFUNCTION("""COMPUTED_VALUE"""),"Sunday- Expert")</f>
        <v>Sunday- Expert</v>
      </c>
      <c r="D19" s="102">
        <f>IFERROR(__xludf.DUMMYFUNCTION("""COMPUTED_VALUE"""),40.0)</f>
        <v>40</v>
      </c>
      <c r="E19" s="82" t="b">
        <f>IFERROR(__xludf.DUMMYFUNCTION("""COMPUTED_VALUE"""),TRUE)</f>
        <v>1</v>
      </c>
      <c r="F19" s="82" t="str">
        <f>IFERROR(__xludf.DUMMYFUNCTION("""COMPUTED_VALUE"""),"Ember Gathering!A276:J291")</f>
        <v>Ember Gathering!A276:J291</v>
      </c>
      <c r="G19" s="82"/>
      <c r="H19" s="82">
        <f>IFERROR(__xludf.DUMMYFUNCTION("""COMPUTED_VALUE"""),380.0)</f>
        <v>380</v>
      </c>
      <c r="I19" s="95"/>
      <c r="J19" s="96"/>
      <c r="K19" s="97"/>
      <c r="L19" s="95"/>
      <c r="M19" s="96"/>
      <c r="N19" s="97"/>
      <c r="O19" s="95"/>
      <c r="P19" s="96"/>
      <c r="Q19" s="97"/>
      <c r="R19" s="95"/>
      <c r="S19" s="96"/>
      <c r="T19" s="97"/>
      <c r="U19" s="95"/>
      <c r="V19" s="96"/>
      <c r="W19" s="97"/>
      <c r="X19" s="95"/>
      <c r="Y19" s="96"/>
      <c r="Z19" s="97"/>
      <c r="AA19" s="95"/>
      <c r="AB19" s="96"/>
      <c r="AC19" s="97"/>
      <c r="AD19" s="95"/>
      <c r="AE19" s="96"/>
      <c r="AF19" s="97"/>
      <c r="AG19" s="95"/>
      <c r="AH19" s="96"/>
      <c r="AI19" s="97"/>
      <c r="AJ19" s="95"/>
      <c r="AK19" s="96"/>
      <c r="AL19" s="97"/>
      <c r="AM19" s="95"/>
      <c r="AN19" s="96"/>
      <c r="AO19" s="97"/>
      <c r="AP19" s="95"/>
      <c r="AQ19" s="96"/>
      <c r="AR19" s="97"/>
      <c r="AS19" s="95"/>
      <c r="AT19" s="96"/>
      <c r="AU19" s="97"/>
      <c r="AV19" s="95"/>
      <c r="AW19" s="96"/>
      <c r="AX19" s="97"/>
      <c r="AY19" s="95"/>
      <c r="AZ19" s="96"/>
      <c r="BA19" s="97"/>
      <c r="BB19" s="95"/>
      <c r="BC19" s="96"/>
      <c r="BD19" s="97"/>
      <c r="BE19" s="95"/>
      <c r="BF19" s="96"/>
      <c r="BG19" s="97"/>
      <c r="BH19" s="95"/>
      <c r="BI19" s="96"/>
      <c r="BJ19" s="97"/>
      <c r="BK19" s="95"/>
      <c r="BL19" s="96"/>
      <c r="BM19" s="97"/>
      <c r="BN19" s="95"/>
      <c r="BO19" s="96"/>
      <c r="BP19" s="97"/>
      <c r="BQ19" s="95"/>
      <c r="BR19" s="96"/>
      <c r="BS19" s="97"/>
      <c r="BT19" s="95"/>
      <c r="BU19" s="96"/>
      <c r="BV19" s="97"/>
      <c r="BW19" s="95"/>
      <c r="BX19" s="96"/>
      <c r="BY19" s="97"/>
      <c r="BZ19" s="95"/>
      <c r="CA19" s="96"/>
      <c r="CB19" s="97"/>
      <c r="CC19" s="95"/>
      <c r="CD19" s="96"/>
      <c r="CE19" s="97"/>
      <c r="CF19" s="95"/>
      <c r="CG19" s="96"/>
      <c r="CH19" s="96"/>
      <c r="CI19" s="95"/>
      <c r="CJ19" s="96"/>
      <c r="CK19" s="96"/>
      <c r="CL19" s="95"/>
      <c r="CM19" s="96">
        <f>IFERROR(__xludf.DUMMYFUNCTION("""COMPUTED_VALUE"""),33.77777777777778)</f>
        <v>33.77777778</v>
      </c>
      <c r="CN19" s="96">
        <f>IFERROR(__xludf.DUMMYFUNCTION("""COMPUTED_VALUE"""),34.08071748878923)</f>
        <v>34.08071749</v>
      </c>
      <c r="CO19" s="95">
        <f>IFERROR(__xludf.DUMMYFUNCTION("""COMPUTED_VALUE"""),33.85300668151448)</f>
        <v>33.85300668</v>
      </c>
      <c r="CP19" s="96">
        <f>IFERROR(__xludf.DUMMYFUNCTION("""COMPUTED_VALUE"""),30.64516129032258)</f>
        <v>30.64516129</v>
      </c>
      <c r="CQ19" s="96">
        <f>IFERROR(__xludf.DUMMYFUNCTION("""COMPUTED_VALUE"""),36.104513064133016)</f>
        <v>36.10451306</v>
      </c>
      <c r="CR19" s="95">
        <f>IFERROR(__xludf.DUMMYFUNCTION("""COMPUTED_VALUE"""),35.59718969555035)</f>
        <v>35.5971897</v>
      </c>
      <c r="CS19" s="96">
        <f>IFERROR(__xludf.DUMMYFUNCTION("""COMPUTED_VALUE"""),34.31151241534989)</f>
        <v>34.31151242</v>
      </c>
      <c r="CT19" s="96"/>
      <c r="CU19" s="95">
        <f>IFERROR(__xludf.DUMMYFUNCTION("""COMPUTED_VALUE"""),389.7435897435897)</f>
        <v>389.7435897</v>
      </c>
      <c r="CV19" s="96">
        <f>IFERROR(__xludf.DUMMYFUNCTION("""COMPUTED_VALUE"""),323.40425531914894)</f>
        <v>323.4042553</v>
      </c>
      <c r="CW19" s="97">
        <f>IFERROR(__xludf.DUMMYFUNCTION("""COMPUTED_VALUE"""),434.28571428571433)</f>
        <v>434.2857143</v>
      </c>
      <c r="CX19" s="96">
        <f>IFERROR(__xludf.DUMMYFUNCTION("""COMPUTED_VALUE"""),353.48837209302326)</f>
        <v>353.4883721</v>
      </c>
      <c r="CY19" s="96">
        <f>IFERROR(__xludf.DUMMYFUNCTION("""COMPUTED_VALUE"""),389.7435897435897)</f>
        <v>389.7435897</v>
      </c>
      <c r="CZ19" s="97">
        <f>IFERROR(__xludf.DUMMYFUNCTION("""COMPUTED_VALUE"""),380.0)</f>
        <v>380</v>
      </c>
      <c r="DA19" s="95">
        <f>IFERROR(__xludf.DUMMYFUNCTION("""COMPUTED_VALUE"""),337.77777777777777)</f>
        <v>337.7777778</v>
      </c>
      <c r="DB19" s="96"/>
      <c r="DC19" s="97"/>
      <c r="DD19" s="95"/>
      <c r="DE19" s="96"/>
      <c r="DF19" s="97"/>
      <c r="DG19" s="95"/>
      <c r="DH19" s="96"/>
      <c r="DI19" s="97"/>
      <c r="DJ19" s="95"/>
      <c r="DK19" s="96"/>
      <c r="DL19" s="97"/>
      <c r="DM19" s="95"/>
      <c r="DN19" s="96"/>
      <c r="DO19" s="97"/>
      <c r="DP19" s="95"/>
      <c r="DQ19" s="96"/>
      <c r="DR19" s="97"/>
      <c r="DS19" s="95"/>
    </row>
    <row r="20">
      <c r="A20" s="101" t="str">
        <f>IFERROR(__xludf.DUMMYFUNCTION("""COMPUTED_VALUE"""),"TRAINING FIELD")</f>
        <v>TRAINING FIELD</v>
      </c>
      <c r="B20" s="83" t="str">
        <f>IFERROR(__xludf.DUMMYFUNCTION("""COMPUTED_VALUE"""),"TRF1")</f>
        <v>TRF1</v>
      </c>
      <c r="C20" s="88" t="str">
        <f>IFERROR(__xludf.DUMMYFUNCTION("""COMPUTED_VALUE"""),"MON Archer Training Ground- Nov")</f>
        <v>MON Archer Training Ground- Nov</v>
      </c>
      <c r="D20" s="102">
        <f>IFERROR(__xludf.DUMMYFUNCTION("""COMPUTED_VALUE"""),10.0)</f>
        <v>10</v>
      </c>
      <c r="E20" s="82" t="b">
        <f>IFERROR(__xludf.DUMMYFUNCTION("""COMPUTED_VALUE"""),TRUE)</f>
        <v>1</v>
      </c>
      <c r="F20" s="82" t="str">
        <f>IFERROR(__xludf.DUMMYFUNCTION("""COMPUTED_VALUE"""),"Training Field!A7:J23")</f>
        <v>Training Field!A7:J23</v>
      </c>
      <c r="G20" s="82">
        <f>IFERROR(__xludf.DUMMYFUNCTION("""COMPUTED_VALUE"""),20.0)</f>
        <v>20</v>
      </c>
      <c r="H20" s="82">
        <f>IFERROR(__xludf.DUMMYFUNCTION("""COMPUTED_VALUE"""),2082.0)</f>
        <v>2082</v>
      </c>
      <c r="I20" s="95"/>
      <c r="J20" s="96"/>
      <c r="K20" s="97"/>
      <c r="L20" s="95"/>
      <c r="M20" s="96"/>
      <c r="N20" s="97"/>
      <c r="O20" s="95"/>
      <c r="P20" s="96"/>
      <c r="Q20" s="97"/>
      <c r="R20" s="95"/>
      <c r="S20" s="96"/>
      <c r="T20" s="97"/>
      <c r="U20" s="95"/>
      <c r="V20" s="96"/>
      <c r="W20" s="97"/>
      <c r="X20" s="95"/>
      <c r="Y20" s="96"/>
      <c r="Z20" s="97"/>
      <c r="AA20" s="95"/>
      <c r="AB20" s="96"/>
      <c r="AC20" s="97"/>
      <c r="AD20" s="95"/>
      <c r="AE20" s="96"/>
      <c r="AF20" s="97"/>
      <c r="AG20" s="95"/>
      <c r="AH20" s="96"/>
      <c r="AI20" s="97">
        <f>IFERROR(__xludf.DUMMYFUNCTION("""COMPUTED_VALUE"""),196.21147865422674)</f>
        <v>196.2114787</v>
      </c>
      <c r="AJ20" s="95"/>
      <c r="AK20" s="96"/>
      <c r="AL20" s="97"/>
      <c r="AM20" s="95"/>
      <c r="AN20" s="96"/>
      <c r="AO20" s="97"/>
      <c r="AP20" s="95"/>
      <c r="AQ20" s="96"/>
      <c r="AR20" s="97"/>
      <c r="AS20" s="95"/>
      <c r="AT20" s="96"/>
      <c r="AU20" s="97">
        <f>IFERROR(__xludf.DUMMYFUNCTION("""COMPUTED_VALUE"""),92.99624798999464)</f>
        <v>92.99624799</v>
      </c>
      <c r="AV20" s="95">
        <f>IFERROR(__xludf.DUMMYFUNCTION("""COMPUTED_VALUE"""),42.55667068658913)</f>
        <v>42.55667069</v>
      </c>
      <c r="AW20" s="96">
        <f>IFERROR(__xludf.DUMMYFUNCTION("""COMPUTED_VALUE"""),268.402733015341)</f>
        <v>268.402733</v>
      </c>
      <c r="AX20" s="97">
        <f>IFERROR(__xludf.DUMMYFUNCTION("""COMPUTED_VALUE"""),199.5590913447714)</f>
        <v>199.5590913</v>
      </c>
      <c r="AY20" s="95"/>
      <c r="AZ20" s="96"/>
      <c r="BA20" s="97"/>
      <c r="BB20" s="95"/>
      <c r="BC20" s="96"/>
      <c r="BD20" s="97"/>
      <c r="BE20" s="95"/>
      <c r="BF20" s="96"/>
      <c r="BG20" s="97"/>
      <c r="BH20" s="95"/>
      <c r="BI20" s="96"/>
      <c r="BJ20" s="97"/>
      <c r="BK20" s="95"/>
      <c r="BL20" s="96"/>
      <c r="BM20" s="97"/>
      <c r="BN20" s="95"/>
      <c r="BO20" s="96"/>
      <c r="BP20" s="97"/>
      <c r="BQ20" s="95"/>
      <c r="BR20" s="96"/>
      <c r="BS20" s="97">
        <f>IFERROR(__xludf.DUMMYFUNCTION("""COMPUTED_VALUE"""),7.437175159406311)</f>
        <v>7.437175159</v>
      </c>
      <c r="BT20" s="95"/>
      <c r="BU20" s="96"/>
      <c r="BV20" s="97"/>
      <c r="BW20" s="95"/>
      <c r="BX20" s="96"/>
      <c r="BY20" s="97"/>
      <c r="BZ20" s="95">
        <f>IFERROR(__xludf.DUMMYFUNCTION("""COMPUTED_VALUE"""),539.5180098471106)</f>
        <v>539.5180098</v>
      </c>
      <c r="CA20" s="96"/>
      <c r="CB20" s="97"/>
      <c r="CC20" s="95"/>
      <c r="CD20" s="96"/>
      <c r="CE20" s="97"/>
      <c r="CF20" s="95"/>
      <c r="CG20" s="96">
        <f>IFERROR(__xludf.DUMMYFUNCTION("""COMPUTED_VALUE"""),45.11669230935922)</f>
        <v>45.11669231</v>
      </c>
      <c r="CH20" s="96"/>
      <c r="CI20" s="95"/>
      <c r="CJ20" s="96"/>
      <c r="CK20" s="96"/>
      <c r="CL20" s="95"/>
      <c r="CM20" s="96"/>
      <c r="CN20" s="96"/>
      <c r="CO20" s="95"/>
      <c r="CP20" s="96"/>
      <c r="CQ20" s="96"/>
      <c r="CR20" s="95"/>
      <c r="CS20" s="96"/>
      <c r="CT20" s="96"/>
      <c r="CU20" s="95"/>
      <c r="CV20" s="96">
        <f>IFERROR(__xludf.DUMMYFUNCTION("""COMPUTED_VALUE"""),11.908396946564885)</f>
        <v>11.90839695</v>
      </c>
      <c r="CW20" s="97"/>
      <c r="CX20" s="96"/>
      <c r="CY20" s="96"/>
      <c r="CZ20" s="97"/>
      <c r="DA20" s="95"/>
      <c r="DB20" s="96"/>
      <c r="DC20" s="97"/>
      <c r="DD20" s="95">
        <f>IFERROR(__xludf.DUMMYFUNCTION("""COMPUTED_VALUE"""),69.28571428571429)</f>
        <v>69.28571429</v>
      </c>
      <c r="DE20" s="96"/>
      <c r="DF20" s="97"/>
      <c r="DG20" s="95"/>
      <c r="DH20" s="96"/>
      <c r="DI20" s="97"/>
      <c r="DJ20" s="95"/>
      <c r="DK20" s="96"/>
      <c r="DL20" s="97">
        <f>IFERROR(__xludf.DUMMYFUNCTION("""COMPUTED_VALUE"""),59.38775510204081)</f>
        <v>59.3877551</v>
      </c>
      <c r="DM20" s="95"/>
      <c r="DN20" s="96"/>
      <c r="DO20" s="97"/>
      <c r="DP20" s="95"/>
      <c r="DQ20" s="96"/>
      <c r="DR20" s="97"/>
      <c r="DS20" s="95"/>
    </row>
    <row r="21">
      <c r="B21" s="83" t="str">
        <f>IFERROR(__xludf.DUMMYFUNCTION("""COMPUTED_VALUE"""),"TRF2")</f>
        <v>TRF2</v>
      </c>
      <c r="C21" s="88" t="str">
        <f>IFERROR(__xludf.DUMMYFUNCTION("""COMPUTED_VALUE"""),"MON Archer Training Ground- Int")</f>
        <v>MON Archer Training Ground- Int</v>
      </c>
      <c r="D21" s="102">
        <f>IFERROR(__xludf.DUMMYFUNCTION("""COMPUTED_VALUE"""),20.0)</f>
        <v>20</v>
      </c>
      <c r="E21" s="82" t="b">
        <f>IFERROR(__xludf.DUMMYFUNCTION("""COMPUTED_VALUE"""),TRUE)</f>
        <v>1</v>
      </c>
      <c r="F21" s="82" t="str">
        <f>IFERROR(__xludf.DUMMYFUNCTION("""COMPUTED_VALUE"""),"Training Field!A27:J46")</f>
        <v>Training Field!A27:J46</v>
      </c>
      <c r="G21" s="82">
        <f>IFERROR(__xludf.DUMMYFUNCTION("""COMPUTED_VALUE"""),21.0)</f>
        <v>21</v>
      </c>
      <c r="H21" s="82">
        <f>IFERROR(__xludf.DUMMYFUNCTION("""COMPUTED_VALUE"""),1232.0)</f>
        <v>1232</v>
      </c>
      <c r="I21" s="95"/>
      <c r="J21" s="96"/>
      <c r="K21" s="97"/>
      <c r="L21" s="95"/>
      <c r="M21" s="96"/>
      <c r="N21" s="97"/>
      <c r="O21" s="95"/>
      <c r="P21" s="96"/>
      <c r="Q21" s="97"/>
      <c r="R21" s="95"/>
      <c r="S21" s="96"/>
      <c r="T21" s="97"/>
      <c r="U21" s="95"/>
      <c r="V21" s="96"/>
      <c r="W21" s="97"/>
      <c r="X21" s="95"/>
      <c r="Y21" s="96"/>
      <c r="Z21" s="97"/>
      <c r="AA21" s="95">
        <f>IFERROR(__xludf.DUMMYFUNCTION("""COMPUTED_VALUE"""),135.3652774878314)</f>
        <v>135.3652775</v>
      </c>
      <c r="AB21" s="96"/>
      <c r="AC21" s="97"/>
      <c r="AD21" s="95"/>
      <c r="AE21" s="96">
        <f>IFERROR(__xludf.DUMMYFUNCTION("""COMPUTED_VALUE"""),3126.1101243339253)</f>
        <v>3126.110124</v>
      </c>
      <c r="AF21" s="97"/>
      <c r="AG21" s="95"/>
      <c r="AH21" s="96"/>
      <c r="AI21" s="97">
        <f>IFERROR(__xludf.DUMMYFUNCTION("""COMPUTED_VALUE"""),190.8538852398067)</f>
        <v>190.8538852</v>
      </c>
      <c r="AJ21" s="95"/>
      <c r="AK21" s="96"/>
      <c r="AL21" s="97"/>
      <c r="AM21" s="95"/>
      <c r="AN21" s="96"/>
      <c r="AO21" s="97"/>
      <c r="AP21" s="95"/>
      <c r="AQ21" s="96"/>
      <c r="AR21" s="97"/>
      <c r="AS21" s="95"/>
      <c r="AT21" s="96"/>
      <c r="AU21" s="97">
        <f>IFERROR(__xludf.DUMMYFUNCTION("""COMPUTED_VALUE"""),251.22349102773248)</f>
        <v>251.223491</v>
      </c>
      <c r="AV21" s="95">
        <f>IFERROR(__xludf.DUMMYFUNCTION("""COMPUTED_VALUE"""),65.98291513804462)</f>
        <v>65.98291514</v>
      </c>
      <c r="AW21" s="96">
        <f>IFERROR(__xludf.DUMMYFUNCTION("""COMPUTED_VALUE"""),1575.6490599820947)</f>
        <v>1575.64906</v>
      </c>
      <c r="AX21" s="97">
        <f>IFERROR(__xludf.DUMMYFUNCTION("""COMPUTED_VALUE"""),134.16971597839344)</f>
        <v>134.169716</v>
      </c>
      <c r="AY21" s="95"/>
      <c r="AZ21" s="96"/>
      <c r="BA21" s="97"/>
      <c r="BB21" s="95"/>
      <c r="BC21" s="96"/>
      <c r="BD21" s="97"/>
      <c r="BE21" s="95"/>
      <c r="BF21" s="96"/>
      <c r="BG21" s="97"/>
      <c r="BH21" s="95"/>
      <c r="BI21" s="96"/>
      <c r="BJ21" s="97"/>
      <c r="BK21" s="95"/>
      <c r="BL21" s="96">
        <f>IFERROR(__xludf.DUMMYFUNCTION("""COMPUTED_VALUE"""),53.39088454654584)</f>
        <v>53.39088455</v>
      </c>
      <c r="BM21" s="97"/>
      <c r="BN21" s="95"/>
      <c r="BO21" s="96"/>
      <c r="BP21" s="97"/>
      <c r="BQ21" s="95"/>
      <c r="BR21" s="96"/>
      <c r="BS21" s="97">
        <f>IFERROR(__xludf.DUMMYFUNCTION("""COMPUTED_VALUE"""),14.60596497176615)</f>
        <v>14.60596497</v>
      </c>
      <c r="BT21" s="95"/>
      <c r="BU21" s="96"/>
      <c r="BV21" s="97"/>
      <c r="BW21" s="95"/>
      <c r="BX21" s="96"/>
      <c r="BY21" s="97"/>
      <c r="BZ21" s="95">
        <f>IFERROR(__xludf.DUMMYFUNCTION("""COMPUTED_VALUE"""),314.62281015373617)</f>
        <v>314.6228102</v>
      </c>
      <c r="CA21" s="96"/>
      <c r="CB21" s="97"/>
      <c r="CC21" s="95"/>
      <c r="CD21" s="96"/>
      <c r="CE21" s="97"/>
      <c r="CF21" s="95"/>
      <c r="CG21" s="96">
        <f>IFERROR(__xludf.DUMMYFUNCTION("""COMPUTED_VALUE"""),29.041945810369292)</f>
        <v>29.04194581</v>
      </c>
      <c r="CH21" s="96"/>
      <c r="CI21" s="95"/>
      <c r="CJ21" s="96"/>
      <c r="CK21" s="96"/>
      <c r="CL21" s="95"/>
      <c r="CM21" s="96"/>
      <c r="CN21" s="96"/>
      <c r="CO21" s="95"/>
      <c r="CP21" s="96"/>
      <c r="CQ21" s="96"/>
      <c r="CR21" s="95"/>
      <c r="CS21" s="96"/>
      <c r="CT21" s="96"/>
      <c r="CU21" s="95"/>
      <c r="CV21" s="96">
        <f>IFERROR(__xludf.DUMMYFUNCTION("""COMPUTED_VALUE"""),37.857142857142854)</f>
        <v>37.85714286</v>
      </c>
      <c r="CW21" s="97"/>
      <c r="CX21" s="96"/>
      <c r="CY21" s="96"/>
      <c r="CZ21" s="97"/>
      <c r="DA21" s="95"/>
      <c r="DB21" s="96"/>
      <c r="DC21" s="97"/>
      <c r="DD21" s="95">
        <f>IFERROR(__xludf.DUMMYFUNCTION("""COMPUTED_VALUE"""),187.5)</f>
        <v>187.5</v>
      </c>
      <c r="DE21" s="96"/>
      <c r="DF21" s="97"/>
      <c r="DG21" s="95"/>
      <c r="DH21" s="96"/>
      <c r="DI21" s="97"/>
      <c r="DJ21" s="95"/>
      <c r="DK21" s="96"/>
      <c r="DL21" s="97">
        <f>IFERROR(__xludf.DUMMYFUNCTION("""COMPUTED_VALUE"""),78.94736842105263)</f>
        <v>78.94736842</v>
      </c>
      <c r="DM21" s="95"/>
      <c r="DN21" s="96"/>
      <c r="DO21" s="97"/>
      <c r="DP21" s="95"/>
      <c r="DQ21" s="96"/>
      <c r="DR21" s="97"/>
      <c r="DS21" s="95"/>
    </row>
    <row r="22">
      <c r="B22" s="83" t="str">
        <f>IFERROR(__xludf.DUMMYFUNCTION("""COMPUTED_VALUE"""),"TRF3")</f>
        <v>TRF3</v>
      </c>
      <c r="C22" s="88" t="str">
        <f>IFERROR(__xludf.DUMMYFUNCTION("""COMPUTED_VALUE"""),"MON Archer Training Ground- Adv")</f>
        <v>MON Archer Training Ground- Adv</v>
      </c>
      <c r="D22" s="102">
        <f>IFERROR(__xludf.DUMMYFUNCTION("""COMPUTED_VALUE"""),30.0)</f>
        <v>30</v>
      </c>
      <c r="E22" s="82" t="b">
        <f>IFERROR(__xludf.DUMMYFUNCTION("""COMPUTED_VALUE"""),TRUE)</f>
        <v>1</v>
      </c>
      <c r="F22" s="82" t="str">
        <f>IFERROR(__xludf.DUMMYFUNCTION("""COMPUTED_VALUE"""),"Training Field!A50:J69")</f>
        <v>Training Field!A50:J69</v>
      </c>
      <c r="G22" s="82">
        <f>IFERROR(__xludf.DUMMYFUNCTION("""COMPUTED_VALUE"""),22.0)</f>
        <v>22</v>
      </c>
      <c r="H22" s="82">
        <f>IFERROR(__xludf.DUMMYFUNCTION("""COMPUTED_VALUE"""),1454.0)</f>
        <v>1454</v>
      </c>
      <c r="I22" s="95"/>
      <c r="J22" s="96"/>
      <c r="K22" s="97"/>
      <c r="L22" s="95"/>
      <c r="M22" s="96"/>
      <c r="N22" s="97">
        <f>IFERROR(__xludf.DUMMYFUNCTION("""COMPUTED_VALUE"""),505.4461181923523)</f>
        <v>505.4461182</v>
      </c>
      <c r="O22" s="95"/>
      <c r="P22" s="96"/>
      <c r="Q22" s="97"/>
      <c r="R22" s="95"/>
      <c r="S22" s="96"/>
      <c r="T22" s="97"/>
      <c r="U22" s="95"/>
      <c r="V22" s="96"/>
      <c r="W22" s="97"/>
      <c r="X22" s="95"/>
      <c r="Y22" s="96"/>
      <c r="Z22" s="97"/>
      <c r="AA22" s="95">
        <f>IFERROR(__xludf.DUMMYFUNCTION("""COMPUTED_VALUE"""),209.97400596899973)</f>
        <v>209.974006</v>
      </c>
      <c r="AB22" s="96"/>
      <c r="AC22" s="97"/>
      <c r="AD22" s="95"/>
      <c r="AE22" s="96">
        <f>IFERROR(__xludf.DUMMYFUNCTION("""COMPUTED_VALUE"""),347.1271685500557)</f>
        <v>347.1271686</v>
      </c>
      <c r="AF22" s="97"/>
      <c r="AG22" s="95"/>
      <c r="AH22" s="96"/>
      <c r="AI22" s="97">
        <f>IFERROR(__xludf.DUMMYFUNCTION("""COMPUTED_VALUE"""),230.98919720398223)</f>
        <v>230.9891972</v>
      </c>
      <c r="AJ22" s="95"/>
      <c r="AK22" s="96"/>
      <c r="AL22" s="97"/>
      <c r="AM22" s="95"/>
      <c r="AN22" s="96"/>
      <c r="AO22" s="97"/>
      <c r="AP22" s="95"/>
      <c r="AQ22" s="96"/>
      <c r="AR22" s="97"/>
      <c r="AS22" s="95"/>
      <c r="AT22" s="96"/>
      <c r="AU22" s="97">
        <f>IFERROR(__xludf.DUMMYFUNCTION("""COMPUTED_VALUE"""),254.84926384669316)</f>
        <v>254.8492638</v>
      </c>
      <c r="AV22" s="95"/>
      <c r="AW22" s="96"/>
      <c r="AX22" s="97">
        <f>IFERROR(__xludf.DUMMYFUNCTION("""COMPUTED_VALUE"""),152.35766678309466)</f>
        <v>152.3576668</v>
      </c>
      <c r="AY22" s="95"/>
      <c r="AZ22" s="96"/>
      <c r="BA22" s="97"/>
      <c r="BB22" s="95"/>
      <c r="BC22" s="96"/>
      <c r="BD22" s="97"/>
      <c r="BE22" s="95">
        <f>IFERROR(__xludf.DUMMYFUNCTION("""COMPUTED_VALUE"""),189.65217391304347)</f>
        <v>189.6521739</v>
      </c>
      <c r="BF22" s="96"/>
      <c r="BG22" s="97"/>
      <c r="BH22" s="95"/>
      <c r="BI22" s="96"/>
      <c r="BJ22" s="97"/>
      <c r="BK22" s="95"/>
      <c r="BL22" s="96">
        <f>IFERROR(__xludf.DUMMYFUNCTION("""COMPUTED_VALUE"""),19.529186328674143)</f>
        <v>19.52918633</v>
      </c>
      <c r="BM22" s="97"/>
      <c r="BN22" s="95"/>
      <c r="BO22" s="96"/>
      <c r="BP22" s="97"/>
      <c r="BQ22" s="95"/>
      <c r="BR22" s="96"/>
      <c r="BS22" s="97">
        <f>IFERROR(__xludf.DUMMYFUNCTION("""COMPUTED_VALUE"""),152.67763388169408)</f>
        <v>152.6776339</v>
      </c>
      <c r="BT22" s="95"/>
      <c r="BU22" s="96"/>
      <c r="BV22" s="97"/>
      <c r="BW22" s="95"/>
      <c r="BX22" s="96"/>
      <c r="BY22" s="97"/>
      <c r="BZ22" s="95">
        <f>IFERROR(__xludf.DUMMYFUNCTION("""COMPUTED_VALUE"""),88.67295495202472)</f>
        <v>88.67295495</v>
      </c>
      <c r="CA22" s="96"/>
      <c r="CB22" s="97"/>
      <c r="CC22" s="95"/>
      <c r="CD22" s="96"/>
      <c r="CE22" s="97"/>
      <c r="CF22" s="95"/>
      <c r="CG22" s="96">
        <f>IFERROR(__xludf.DUMMYFUNCTION("""COMPUTED_VALUE"""),27.824556031843233)</f>
        <v>27.82455603</v>
      </c>
      <c r="CH22" s="96"/>
      <c r="CI22" s="95"/>
      <c r="CJ22" s="96"/>
      <c r="CK22" s="96"/>
      <c r="CL22" s="95"/>
      <c r="CM22" s="96"/>
      <c r="CN22" s="96"/>
      <c r="CO22" s="95"/>
      <c r="CP22" s="96"/>
      <c r="CQ22" s="96"/>
      <c r="CR22" s="95"/>
      <c r="CS22" s="96"/>
      <c r="CT22" s="96"/>
      <c r="CU22" s="95"/>
      <c r="CV22" s="96">
        <f>IFERROR(__xludf.DUMMYFUNCTION("""COMPUTED_VALUE"""),485.0)</f>
        <v>485</v>
      </c>
      <c r="CW22" s="97"/>
      <c r="CX22" s="96"/>
      <c r="CY22" s="96"/>
      <c r="CZ22" s="97"/>
      <c r="DA22" s="95"/>
      <c r="DB22" s="96"/>
      <c r="DC22" s="97"/>
      <c r="DD22" s="95">
        <f>IFERROR(__xludf.DUMMYFUNCTION("""COMPUTED_VALUE"""),101.70731707317073)</f>
        <v>101.7073171</v>
      </c>
      <c r="DE22" s="96"/>
      <c r="DF22" s="97"/>
      <c r="DG22" s="95"/>
      <c r="DH22" s="96"/>
      <c r="DI22" s="97"/>
      <c r="DJ22" s="95"/>
      <c r="DK22" s="96"/>
      <c r="DL22" s="97">
        <f>IFERROR(__xludf.DUMMYFUNCTION("""COMPUTED_VALUE"""),173.75)</f>
        <v>173.75</v>
      </c>
      <c r="DM22" s="95"/>
      <c r="DN22" s="96"/>
      <c r="DO22" s="97"/>
      <c r="DP22" s="95"/>
      <c r="DQ22" s="96"/>
      <c r="DR22" s="97"/>
      <c r="DS22" s="95"/>
    </row>
    <row r="23">
      <c r="B23" s="83" t="str">
        <f>IFERROR(__xludf.DUMMYFUNCTION("""COMPUTED_VALUE"""),"TRF4")</f>
        <v>TRF4</v>
      </c>
      <c r="C23" s="88" t="str">
        <f>IFERROR(__xludf.DUMMYFUNCTION("""COMPUTED_VALUE"""),"MON Archer Training Ground- Exp")</f>
        <v>MON Archer Training Ground- Exp</v>
      </c>
      <c r="D23" s="102">
        <f>IFERROR(__xludf.DUMMYFUNCTION("""COMPUTED_VALUE"""),40.0)</f>
        <v>40</v>
      </c>
      <c r="E23" s="82" t="b">
        <f>IFERROR(__xludf.DUMMYFUNCTION("""COMPUTED_VALUE"""),TRUE)</f>
        <v>1</v>
      </c>
      <c r="F23" s="82" t="str">
        <f>IFERROR(__xludf.DUMMYFUNCTION("""COMPUTED_VALUE"""),"Training Field!A73:J92")</f>
        <v>Training Field!A73:J92</v>
      </c>
      <c r="G23" s="82">
        <f>IFERROR(__xludf.DUMMYFUNCTION("""COMPUTED_VALUE"""),23.0)</f>
        <v>23</v>
      </c>
      <c r="H23" s="82">
        <f>IFERROR(__xludf.DUMMYFUNCTION("""COMPUTED_VALUE"""),10924.0)</f>
        <v>10924</v>
      </c>
      <c r="I23" s="95"/>
      <c r="J23" s="96"/>
      <c r="K23" s="97"/>
      <c r="L23" s="95"/>
      <c r="M23" s="96"/>
      <c r="N23" s="97">
        <f>IFERROR(__xludf.DUMMYFUNCTION("""COMPUTED_VALUE"""),317.41857686119107)</f>
        <v>317.4185769</v>
      </c>
      <c r="O23" s="95"/>
      <c r="P23" s="96"/>
      <c r="Q23" s="97"/>
      <c r="R23" s="95"/>
      <c r="S23" s="96"/>
      <c r="T23" s="97"/>
      <c r="U23" s="95"/>
      <c r="V23" s="96"/>
      <c r="W23" s="97"/>
      <c r="X23" s="95"/>
      <c r="Y23" s="96"/>
      <c r="Z23" s="97"/>
      <c r="AA23" s="95">
        <f>IFERROR(__xludf.DUMMYFUNCTION("""COMPUTED_VALUE"""),213.59560255849362)</f>
        <v>213.5956026</v>
      </c>
      <c r="AB23" s="96"/>
      <c r="AC23" s="97"/>
      <c r="AD23" s="95"/>
      <c r="AE23" s="96">
        <f>IFERROR(__xludf.DUMMYFUNCTION("""COMPUTED_VALUE"""),200.42979384115057)</f>
        <v>200.4297938</v>
      </c>
      <c r="AF23" s="97"/>
      <c r="AG23" s="95"/>
      <c r="AH23" s="96"/>
      <c r="AI23" s="97">
        <f>IFERROR(__xludf.DUMMYFUNCTION("""COMPUTED_VALUE"""),209.1638424569667)</f>
        <v>209.1638425</v>
      </c>
      <c r="AJ23" s="95"/>
      <c r="AK23" s="96"/>
      <c r="AL23" s="97"/>
      <c r="AM23" s="95"/>
      <c r="AN23" s="96"/>
      <c r="AO23" s="97"/>
      <c r="AP23" s="95"/>
      <c r="AQ23" s="96"/>
      <c r="AR23" s="97"/>
      <c r="AS23" s="95"/>
      <c r="AT23" s="96"/>
      <c r="AU23" s="97">
        <f>IFERROR(__xludf.DUMMYFUNCTION("""COMPUTED_VALUE"""),223.08674120590186)</f>
        <v>223.0867412</v>
      </c>
      <c r="AV23" s="95"/>
      <c r="AW23" s="96"/>
      <c r="AX23" s="97">
        <f>IFERROR(__xludf.DUMMYFUNCTION("""COMPUTED_VALUE"""),166.1624928937166)</f>
        <v>166.1624929</v>
      </c>
      <c r="AY23" s="95"/>
      <c r="AZ23" s="96"/>
      <c r="BA23" s="97"/>
      <c r="BB23" s="95"/>
      <c r="BC23" s="96"/>
      <c r="BD23" s="97"/>
      <c r="BE23" s="95">
        <f>IFERROR(__xludf.DUMMYFUNCTION("""COMPUTED_VALUE"""),135.5269830389668)</f>
        <v>135.526983</v>
      </c>
      <c r="BF23" s="96"/>
      <c r="BG23" s="97"/>
      <c r="BH23" s="95"/>
      <c r="BI23" s="96"/>
      <c r="BJ23" s="97"/>
      <c r="BK23" s="95"/>
      <c r="BL23" s="96">
        <f>IFERROR(__xludf.DUMMYFUNCTION("""COMPUTED_VALUE"""),33.26292112264624)</f>
        <v>33.26292112</v>
      </c>
      <c r="BM23" s="97"/>
      <c r="BN23" s="95"/>
      <c r="BO23" s="96"/>
      <c r="BP23" s="97"/>
      <c r="BQ23" s="95"/>
      <c r="BR23" s="96"/>
      <c r="BS23" s="97">
        <f>IFERROR(__xludf.DUMMYFUNCTION("""COMPUTED_VALUE"""),210.61056713128187)</f>
        <v>210.6105671</v>
      </c>
      <c r="BT23" s="95"/>
      <c r="BU23" s="96"/>
      <c r="BV23" s="97"/>
      <c r="BW23" s="95"/>
      <c r="BX23" s="96"/>
      <c r="BY23" s="97"/>
      <c r="BZ23" s="95">
        <f>IFERROR(__xludf.DUMMYFUNCTION("""COMPUTED_VALUE"""),69.6137700772621)</f>
        <v>69.61377008</v>
      </c>
      <c r="CA23" s="96"/>
      <c r="CB23" s="97"/>
      <c r="CC23" s="95"/>
      <c r="CD23" s="96"/>
      <c r="CE23" s="97"/>
      <c r="CF23" s="95"/>
      <c r="CG23" s="96">
        <f>IFERROR(__xludf.DUMMYFUNCTION("""COMPUTED_VALUE"""),49.34783149218031)</f>
        <v>49.34783149</v>
      </c>
      <c r="CH23" s="96"/>
      <c r="CI23" s="95"/>
      <c r="CJ23" s="96"/>
      <c r="CK23" s="96"/>
      <c r="CL23" s="95"/>
      <c r="CM23" s="96"/>
      <c r="CN23" s="96"/>
      <c r="CO23" s="95"/>
      <c r="CP23" s="96"/>
      <c r="CQ23" s="96"/>
      <c r="CR23" s="95"/>
      <c r="CS23" s="96"/>
      <c r="CT23" s="96"/>
      <c r="CU23" s="95"/>
      <c r="CV23" s="96">
        <f>IFERROR(__xludf.DUMMYFUNCTION("""COMPUTED_VALUE"""),438.0327868852459)</f>
        <v>438.0327869</v>
      </c>
      <c r="CW23" s="97"/>
      <c r="CX23" s="96"/>
      <c r="CY23" s="96"/>
      <c r="CZ23" s="97"/>
      <c r="DA23" s="95"/>
      <c r="DB23" s="96"/>
      <c r="DC23" s="97"/>
      <c r="DD23" s="95">
        <f>IFERROR(__xludf.DUMMYFUNCTION("""COMPUTED_VALUE"""),278.33333333333337)</f>
        <v>278.3333333</v>
      </c>
      <c r="DE23" s="96"/>
      <c r="DF23" s="97"/>
      <c r="DG23" s="95"/>
      <c r="DH23" s="96"/>
      <c r="DI23" s="97"/>
      <c r="DJ23" s="95"/>
      <c r="DK23" s="96"/>
      <c r="DL23" s="97">
        <f>IFERROR(__xludf.DUMMYFUNCTION("""COMPUTED_VALUE"""),296.88888888888886)</f>
        <v>296.8888889</v>
      </c>
      <c r="DM23" s="95"/>
      <c r="DN23" s="96"/>
      <c r="DO23" s="97"/>
      <c r="DP23" s="95"/>
      <c r="DQ23" s="96"/>
      <c r="DR23" s="97"/>
      <c r="DS23" s="95"/>
    </row>
    <row r="24">
      <c r="B24" s="83" t="str">
        <f>IFERROR(__xludf.DUMMYFUNCTION("""COMPUTED_VALUE"""),"TRF5")</f>
        <v>TRF5</v>
      </c>
      <c r="C24" s="88" t="str">
        <f>IFERROR(__xludf.DUMMYFUNCTION("""COMPUTED_VALUE"""),"TUE Lancer Training Ground- Nov")</f>
        <v>TUE Lancer Training Ground- Nov</v>
      </c>
      <c r="D24" s="102">
        <f>IFERROR(__xludf.DUMMYFUNCTION("""COMPUTED_VALUE"""),10.0)</f>
        <v>10</v>
      </c>
      <c r="E24" s="82" t="b">
        <f>IFERROR(__xludf.DUMMYFUNCTION("""COMPUTED_VALUE"""),TRUE)</f>
        <v>1</v>
      </c>
      <c r="F24" s="82" t="str">
        <f>IFERROR(__xludf.DUMMYFUNCTION("""COMPUTED_VALUE"""),"Training Field!A96:J109")</f>
        <v>Training Field!A96:J109</v>
      </c>
      <c r="G24" s="82">
        <f>IFERROR(__xludf.DUMMYFUNCTION("""COMPUTED_VALUE"""),24.0)</f>
        <v>24</v>
      </c>
      <c r="H24" s="82">
        <f>IFERROR(__xludf.DUMMYFUNCTION("""COMPUTED_VALUE"""),2502.0)</f>
        <v>2502</v>
      </c>
      <c r="I24" s="95"/>
      <c r="J24" s="96"/>
      <c r="K24" s="97"/>
      <c r="L24" s="95"/>
      <c r="M24" s="96"/>
      <c r="N24" s="97"/>
      <c r="O24" s="95"/>
      <c r="P24" s="96"/>
      <c r="Q24" s="97"/>
      <c r="R24" s="95"/>
      <c r="S24" s="96"/>
      <c r="T24" s="97"/>
      <c r="U24" s="95"/>
      <c r="V24" s="96"/>
      <c r="W24" s="97"/>
      <c r="X24" s="95"/>
      <c r="Y24" s="96"/>
      <c r="Z24" s="97"/>
      <c r="AA24" s="95"/>
      <c r="AB24" s="96"/>
      <c r="AC24" s="97"/>
      <c r="AD24" s="95"/>
      <c r="AE24" s="96"/>
      <c r="AF24" s="97"/>
      <c r="AG24" s="95"/>
      <c r="AH24" s="96">
        <f>IFERROR(__xludf.DUMMYFUNCTION("""COMPUTED_VALUE"""),204.9324672984462)</f>
        <v>204.9324673</v>
      </c>
      <c r="AI24" s="97"/>
      <c r="AJ24" s="95"/>
      <c r="AK24" s="96"/>
      <c r="AL24" s="97"/>
      <c r="AM24" s="95"/>
      <c r="AN24" s="96"/>
      <c r="AO24" s="97"/>
      <c r="AP24" s="95"/>
      <c r="AQ24" s="96"/>
      <c r="AR24" s="97"/>
      <c r="AS24" s="95"/>
      <c r="AT24" s="96"/>
      <c r="AU24" s="97">
        <f>IFERROR(__xludf.DUMMYFUNCTION("""COMPUTED_VALUE"""),79.84452337414913)</f>
        <v>79.84452337</v>
      </c>
      <c r="AV24" s="95">
        <f>IFERROR(__xludf.DUMMYFUNCTION("""COMPUTED_VALUE"""),37.870933075007756)</f>
        <v>37.87093308</v>
      </c>
      <c r="AW24" s="96"/>
      <c r="AX24" s="97">
        <f>IFERROR(__xludf.DUMMYFUNCTION("""COMPUTED_VALUE"""),182.76914985317103)</f>
        <v>182.7691499</v>
      </c>
      <c r="AY24" s="95"/>
      <c r="AZ24" s="96"/>
      <c r="BA24" s="97"/>
      <c r="BB24" s="95"/>
      <c r="BC24" s="96"/>
      <c r="BD24" s="97"/>
      <c r="BE24" s="95"/>
      <c r="BF24" s="96"/>
      <c r="BG24" s="97"/>
      <c r="BH24" s="95"/>
      <c r="BI24" s="96"/>
      <c r="BJ24" s="97"/>
      <c r="BK24" s="95"/>
      <c r="BL24" s="96"/>
      <c r="BM24" s="97"/>
      <c r="BN24" s="95"/>
      <c r="BO24" s="96"/>
      <c r="BP24" s="97"/>
      <c r="BQ24" s="95"/>
      <c r="BR24" s="96"/>
      <c r="BS24" s="97"/>
      <c r="BT24" s="95">
        <f>IFERROR(__xludf.DUMMYFUNCTION("""COMPUTED_VALUE"""),8.541881678892846)</f>
        <v>8.541881679</v>
      </c>
      <c r="BU24" s="96"/>
      <c r="BV24" s="97"/>
      <c r="BW24" s="95"/>
      <c r="BX24" s="96"/>
      <c r="BY24" s="97"/>
      <c r="BZ24" s="95"/>
      <c r="CA24" s="96">
        <f>IFERROR(__xludf.DUMMYFUNCTION("""COMPUTED_VALUE"""),471.50610583446405)</f>
        <v>471.5061058</v>
      </c>
      <c r="CB24" s="97"/>
      <c r="CC24" s="95"/>
      <c r="CD24" s="96"/>
      <c r="CE24" s="97"/>
      <c r="CF24" s="95"/>
      <c r="CG24" s="96"/>
      <c r="CH24" s="96">
        <f>IFERROR(__xludf.DUMMYFUNCTION("""COMPUTED_VALUE"""),42.49068075097438)</f>
        <v>42.49068075</v>
      </c>
      <c r="CI24" s="95"/>
      <c r="CJ24" s="96"/>
      <c r="CK24" s="96"/>
      <c r="CL24" s="95"/>
      <c r="CM24" s="96"/>
      <c r="CN24" s="96"/>
      <c r="CO24" s="95"/>
      <c r="CP24" s="96"/>
      <c r="CQ24" s="96"/>
      <c r="CR24" s="95"/>
      <c r="CS24" s="96"/>
      <c r="CT24" s="96"/>
      <c r="CU24" s="95"/>
      <c r="CV24" s="96"/>
      <c r="CW24" s="97">
        <f>IFERROR(__xludf.DUMMYFUNCTION("""COMPUTED_VALUE"""),12.212189616252822)</f>
        <v>12.21218962</v>
      </c>
      <c r="CX24" s="96"/>
      <c r="CY24" s="96"/>
      <c r="CZ24" s="97"/>
      <c r="DA24" s="95"/>
      <c r="DB24" s="96"/>
      <c r="DC24" s="97"/>
      <c r="DD24" s="95"/>
      <c r="DE24" s="96">
        <f>IFERROR(__xludf.DUMMYFUNCTION("""COMPUTED_VALUE"""),68.03030303030303)</f>
        <v>68.03030303</v>
      </c>
      <c r="DF24" s="97"/>
      <c r="DG24" s="95"/>
      <c r="DH24" s="96"/>
      <c r="DI24" s="97"/>
      <c r="DJ24" s="95"/>
      <c r="DK24" s="96"/>
      <c r="DL24" s="97"/>
      <c r="DM24" s="95">
        <f>IFERROR(__xludf.DUMMYFUNCTION("""COMPUTED_VALUE"""),48.27956989247311)</f>
        <v>48.27956989</v>
      </c>
      <c r="DN24" s="96"/>
      <c r="DO24" s="97"/>
      <c r="DP24" s="95"/>
      <c r="DQ24" s="96"/>
      <c r="DR24" s="97"/>
      <c r="DS24" s="95"/>
    </row>
    <row r="25">
      <c r="B25" s="83" t="str">
        <f>IFERROR(__xludf.DUMMYFUNCTION("""COMPUTED_VALUE"""),"TRF6")</f>
        <v>TRF6</v>
      </c>
      <c r="C25" s="88" t="str">
        <f>IFERROR(__xludf.DUMMYFUNCTION("""COMPUTED_VALUE"""),"TUE Lancer Training Ground- Int")</f>
        <v>TUE Lancer Training Ground- Int</v>
      </c>
      <c r="D25" s="102">
        <f>IFERROR(__xludf.DUMMYFUNCTION("""COMPUTED_VALUE"""),20.0)</f>
        <v>20</v>
      </c>
      <c r="E25" s="82" t="b">
        <f>IFERROR(__xludf.DUMMYFUNCTION("""COMPUTED_VALUE"""),TRUE)</f>
        <v>1</v>
      </c>
      <c r="F25" s="82" t="str">
        <f>IFERROR(__xludf.DUMMYFUNCTION("""COMPUTED_VALUE"""),"Training Field!A113:J130")</f>
        <v>Training Field!A113:J130</v>
      </c>
      <c r="G25" s="82">
        <f>IFERROR(__xludf.DUMMYFUNCTION("""COMPUTED_VALUE"""),25.0)</f>
        <v>25</v>
      </c>
      <c r="H25" s="82">
        <f>IFERROR(__xludf.DUMMYFUNCTION("""COMPUTED_VALUE"""),1151.0)</f>
        <v>1151</v>
      </c>
      <c r="I25" s="95"/>
      <c r="J25" s="96"/>
      <c r="K25" s="97"/>
      <c r="L25" s="95"/>
      <c r="M25" s="96"/>
      <c r="N25" s="97"/>
      <c r="O25" s="95"/>
      <c r="P25" s="96"/>
      <c r="Q25" s="97"/>
      <c r="R25" s="95"/>
      <c r="S25" s="96"/>
      <c r="T25" s="97"/>
      <c r="U25" s="95"/>
      <c r="V25" s="96"/>
      <c r="W25" s="97"/>
      <c r="X25" s="95"/>
      <c r="Y25" s="96"/>
      <c r="Z25" s="97"/>
      <c r="AA25" s="95">
        <f>IFERROR(__xludf.DUMMYFUNCTION("""COMPUTED_VALUE"""),161.91769066827973)</f>
        <v>161.9176907</v>
      </c>
      <c r="AB25" s="96"/>
      <c r="AC25" s="97"/>
      <c r="AD25" s="95"/>
      <c r="AE25" s="96"/>
      <c r="AF25" s="97"/>
      <c r="AG25" s="95"/>
      <c r="AH25" s="96">
        <f>IFERROR(__xludf.DUMMYFUNCTION("""COMPUTED_VALUE"""),194.83542246785893)</f>
        <v>194.8354225</v>
      </c>
      <c r="AI25" s="97"/>
      <c r="AJ25" s="95"/>
      <c r="AK25" s="96"/>
      <c r="AL25" s="97"/>
      <c r="AM25" s="95"/>
      <c r="AN25" s="96"/>
      <c r="AO25" s="97"/>
      <c r="AP25" s="95"/>
      <c r="AQ25" s="96"/>
      <c r="AR25" s="97"/>
      <c r="AS25" s="95"/>
      <c r="AT25" s="96"/>
      <c r="AU25" s="97">
        <f>IFERROR(__xludf.DUMMYFUNCTION("""COMPUTED_VALUE"""),255.69538704195313)</f>
        <v>255.695387</v>
      </c>
      <c r="AV25" s="95">
        <f>IFERROR(__xludf.DUMMYFUNCTION("""COMPUTED_VALUE"""),106.82828582831367)</f>
        <v>106.8282858</v>
      </c>
      <c r="AW25" s="96"/>
      <c r="AX25" s="97">
        <f>IFERROR(__xludf.DUMMYFUNCTION("""COMPUTED_VALUE"""),132.5265830363671)</f>
        <v>132.526583</v>
      </c>
      <c r="AY25" s="95"/>
      <c r="AZ25" s="96"/>
      <c r="BA25" s="97"/>
      <c r="BB25" s="95"/>
      <c r="BC25" s="96"/>
      <c r="BD25" s="97"/>
      <c r="BE25" s="95"/>
      <c r="BF25" s="96"/>
      <c r="BG25" s="97"/>
      <c r="BH25" s="95"/>
      <c r="BI25" s="96"/>
      <c r="BJ25" s="97"/>
      <c r="BK25" s="95"/>
      <c r="BL25" s="96"/>
      <c r="BM25" s="97">
        <f>IFERROR(__xludf.DUMMYFUNCTION("""COMPUTED_VALUE"""),33.148678012864906)</f>
        <v>33.14867801</v>
      </c>
      <c r="BN25" s="95"/>
      <c r="BO25" s="96"/>
      <c r="BP25" s="97"/>
      <c r="BQ25" s="95"/>
      <c r="BR25" s="96"/>
      <c r="BS25" s="97"/>
      <c r="BT25" s="95">
        <f>IFERROR(__xludf.DUMMYFUNCTION("""COMPUTED_VALUE"""),17.265923726919386)</f>
        <v>17.26592373</v>
      </c>
      <c r="BU25" s="96"/>
      <c r="BV25" s="97"/>
      <c r="BW25" s="95"/>
      <c r="BX25" s="96"/>
      <c r="BY25" s="97"/>
      <c r="BZ25" s="95"/>
      <c r="CA25" s="96">
        <f>IFERROR(__xludf.DUMMYFUNCTION("""COMPUTED_VALUE"""),249.58528943003049)</f>
        <v>249.5852894</v>
      </c>
      <c r="CB25" s="97"/>
      <c r="CC25" s="95"/>
      <c r="CD25" s="96"/>
      <c r="CE25" s="97"/>
      <c r="CF25" s="95"/>
      <c r="CG25" s="96"/>
      <c r="CH25" s="96">
        <f>IFERROR(__xludf.DUMMYFUNCTION("""COMPUTED_VALUE"""),28.272804313383524)</f>
        <v>28.27280431</v>
      </c>
      <c r="CI25" s="95"/>
      <c r="CJ25" s="96"/>
      <c r="CK25" s="96"/>
      <c r="CL25" s="95"/>
      <c r="CM25" s="96"/>
      <c r="CN25" s="96"/>
      <c r="CO25" s="95"/>
      <c r="CP25" s="96"/>
      <c r="CQ25" s="96"/>
      <c r="CR25" s="95"/>
      <c r="CS25" s="96"/>
      <c r="CT25" s="96"/>
      <c r="CU25" s="95"/>
      <c r="CV25" s="96"/>
      <c r="CW25" s="97">
        <f>IFERROR(__xludf.DUMMYFUNCTION("""COMPUTED_VALUE"""),34.48275862068966)</f>
        <v>34.48275862</v>
      </c>
      <c r="CX25" s="96"/>
      <c r="CY25" s="96"/>
      <c r="CZ25" s="97"/>
      <c r="DA25" s="95"/>
      <c r="DB25" s="96"/>
      <c r="DC25" s="97"/>
      <c r="DD25" s="95"/>
      <c r="DE25" s="96">
        <f>IFERROR(__xludf.DUMMYFUNCTION("""COMPUTED_VALUE"""),89.23076923076923)</f>
        <v>89.23076923</v>
      </c>
      <c r="DF25" s="97"/>
      <c r="DG25" s="95"/>
      <c r="DH25" s="96"/>
      <c r="DI25" s="97"/>
      <c r="DJ25" s="95"/>
      <c r="DK25" s="96"/>
      <c r="DL25" s="97"/>
      <c r="DM25" s="95">
        <f>IFERROR(__xludf.DUMMYFUNCTION("""COMPUTED_VALUE"""),115.99999999999999)</f>
        <v>116</v>
      </c>
      <c r="DN25" s="96"/>
      <c r="DO25" s="97"/>
      <c r="DP25" s="95"/>
      <c r="DQ25" s="96"/>
      <c r="DR25" s="97"/>
      <c r="DS25" s="95"/>
    </row>
    <row r="26">
      <c r="B26" s="83" t="str">
        <f>IFERROR(__xludf.DUMMYFUNCTION("""COMPUTED_VALUE"""),"TRF7")</f>
        <v>TRF7</v>
      </c>
      <c r="C26" s="88" t="str">
        <f>IFERROR(__xludf.DUMMYFUNCTION("""COMPUTED_VALUE"""),"TUE Lancer Training Ground- Adv")</f>
        <v>TUE Lancer Training Ground- Adv</v>
      </c>
      <c r="D26" s="102">
        <f>IFERROR(__xludf.DUMMYFUNCTION("""COMPUTED_VALUE"""),30.0)</f>
        <v>30</v>
      </c>
      <c r="E26" s="82" t="b">
        <f>IFERROR(__xludf.DUMMYFUNCTION("""COMPUTED_VALUE"""),TRUE)</f>
        <v>1</v>
      </c>
      <c r="F26" s="82" t="str">
        <f>IFERROR(__xludf.DUMMYFUNCTION("""COMPUTED_VALUE"""),"Training Field!A134:J153")</f>
        <v>Training Field!A134:J153</v>
      </c>
      <c r="G26" s="82">
        <f>IFERROR(__xludf.DUMMYFUNCTION("""COMPUTED_VALUE"""),26.0)</f>
        <v>26</v>
      </c>
      <c r="H26" s="82">
        <f>IFERROR(__xludf.DUMMYFUNCTION("""COMPUTED_VALUE"""),1232.0)</f>
        <v>1232</v>
      </c>
      <c r="I26" s="95"/>
      <c r="J26" s="96"/>
      <c r="K26" s="97"/>
      <c r="L26" s="95"/>
      <c r="M26" s="96">
        <f>IFERROR(__xludf.DUMMYFUNCTION("""COMPUTED_VALUE"""),484.35923309788086)</f>
        <v>484.3592331</v>
      </c>
      <c r="N26" s="97"/>
      <c r="O26" s="95"/>
      <c r="P26" s="96"/>
      <c r="Q26" s="97"/>
      <c r="R26" s="95"/>
      <c r="S26" s="96"/>
      <c r="T26" s="97"/>
      <c r="U26" s="95"/>
      <c r="V26" s="96"/>
      <c r="W26" s="97"/>
      <c r="X26" s="95"/>
      <c r="Y26" s="96"/>
      <c r="Z26" s="97"/>
      <c r="AA26" s="95">
        <f>IFERROR(__xludf.DUMMYFUNCTION("""COMPUTED_VALUE"""),156.64800396705982)</f>
        <v>156.648004</v>
      </c>
      <c r="AB26" s="96"/>
      <c r="AC26" s="97"/>
      <c r="AD26" s="95"/>
      <c r="AE26" s="96">
        <f>IFERROR(__xludf.DUMMYFUNCTION("""COMPUTED_VALUE"""),361.3680361368036)</f>
        <v>361.3680361</v>
      </c>
      <c r="AF26" s="97"/>
      <c r="AG26" s="95"/>
      <c r="AH26" s="96">
        <f>IFERROR(__xludf.DUMMYFUNCTION("""COMPUTED_VALUE"""),170.2127659574468)</f>
        <v>170.212766</v>
      </c>
      <c r="AI26" s="97"/>
      <c r="AJ26" s="95"/>
      <c r="AK26" s="96"/>
      <c r="AL26" s="97"/>
      <c r="AM26" s="95"/>
      <c r="AN26" s="96"/>
      <c r="AO26" s="97"/>
      <c r="AP26" s="95"/>
      <c r="AQ26" s="96"/>
      <c r="AR26" s="97"/>
      <c r="AS26" s="95"/>
      <c r="AT26" s="96"/>
      <c r="AU26" s="97">
        <f>IFERROR(__xludf.DUMMYFUNCTION("""COMPUTED_VALUE"""),192.89483160844856)</f>
        <v>192.8948316</v>
      </c>
      <c r="AV26" s="95"/>
      <c r="AW26" s="96"/>
      <c r="AX26" s="97">
        <f>IFERROR(__xludf.DUMMYFUNCTION("""COMPUTED_VALUE"""),145.93871047986832)</f>
        <v>145.9387105</v>
      </c>
      <c r="AY26" s="95"/>
      <c r="AZ26" s="96"/>
      <c r="BA26" s="97"/>
      <c r="BB26" s="95"/>
      <c r="BC26" s="96"/>
      <c r="BD26" s="97"/>
      <c r="BE26" s="95"/>
      <c r="BF26" s="96">
        <f>IFERROR(__xludf.DUMMYFUNCTION("""COMPUTED_VALUE"""),179.31476144732628)</f>
        <v>179.3147614</v>
      </c>
      <c r="BG26" s="97"/>
      <c r="BH26" s="95"/>
      <c r="BI26" s="96"/>
      <c r="BJ26" s="97"/>
      <c r="BK26" s="95"/>
      <c r="BL26" s="96"/>
      <c r="BM26" s="97">
        <f>IFERROR(__xludf.DUMMYFUNCTION("""COMPUTED_VALUE"""),20.01411168155902)</f>
        <v>20.01411168</v>
      </c>
      <c r="BN26" s="95"/>
      <c r="BO26" s="96"/>
      <c r="BP26" s="97"/>
      <c r="BQ26" s="95"/>
      <c r="BR26" s="96"/>
      <c r="BS26" s="97"/>
      <c r="BT26" s="95">
        <f>IFERROR(__xludf.DUMMYFUNCTION("""COMPUTED_VALUE"""),172.95111884774127)</f>
        <v>172.9511188</v>
      </c>
      <c r="BU26" s="96"/>
      <c r="BV26" s="97"/>
      <c r="BW26" s="95"/>
      <c r="BX26" s="96"/>
      <c r="BY26" s="97"/>
      <c r="BZ26" s="95"/>
      <c r="CA26" s="96">
        <f>IFERROR(__xludf.DUMMYFUNCTION("""COMPUTED_VALUE"""),88.38193622439829)</f>
        <v>88.38193622</v>
      </c>
      <c r="CB26" s="97"/>
      <c r="CC26" s="95"/>
      <c r="CD26" s="96"/>
      <c r="CE26" s="97"/>
      <c r="CF26" s="95"/>
      <c r="CG26" s="96"/>
      <c r="CH26" s="96">
        <f>IFERROR(__xludf.DUMMYFUNCTION("""COMPUTED_VALUE"""),30.040403367191104)</f>
        <v>30.04040337</v>
      </c>
      <c r="CI26" s="95"/>
      <c r="CJ26" s="96"/>
      <c r="CK26" s="96"/>
      <c r="CL26" s="95"/>
      <c r="CM26" s="96"/>
      <c r="CN26" s="96"/>
      <c r="CO26" s="95"/>
      <c r="CP26" s="96"/>
      <c r="CQ26" s="96"/>
      <c r="CR26" s="95"/>
      <c r="CS26" s="96"/>
      <c r="CT26" s="96"/>
      <c r="CU26" s="95"/>
      <c r="CV26" s="96"/>
      <c r="CW26" s="97">
        <f>IFERROR(__xludf.DUMMYFUNCTION("""COMPUTED_VALUE"""),280.5882352941176)</f>
        <v>280.5882353</v>
      </c>
      <c r="CX26" s="96"/>
      <c r="CY26" s="96"/>
      <c r="CZ26" s="97"/>
      <c r="DA26" s="95"/>
      <c r="DB26" s="96"/>
      <c r="DC26" s="97"/>
      <c r="DD26" s="95"/>
      <c r="DE26" s="96">
        <f>IFERROR(__xludf.DUMMYFUNCTION("""COMPUTED_VALUE"""),141.0)</f>
        <v>141</v>
      </c>
      <c r="DF26" s="97"/>
      <c r="DG26" s="95"/>
      <c r="DH26" s="96"/>
      <c r="DI26" s="97"/>
      <c r="DJ26" s="95"/>
      <c r="DK26" s="96"/>
      <c r="DL26" s="97"/>
      <c r="DM26" s="95">
        <f>IFERROR(__xludf.DUMMYFUNCTION("""COMPUTED_VALUE"""),188.0)</f>
        <v>188</v>
      </c>
      <c r="DN26" s="96"/>
      <c r="DO26" s="97"/>
      <c r="DP26" s="95"/>
      <c r="DQ26" s="96"/>
      <c r="DR26" s="97"/>
      <c r="DS26" s="95"/>
    </row>
    <row r="27">
      <c r="B27" s="83" t="str">
        <f>IFERROR(__xludf.DUMMYFUNCTION("""COMPUTED_VALUE"""),"TRF8")</f>
        <v>TRF8</v>
      </c>
      <c r="C27" s="88" t="str">
        <f>IFERROR(__xludf.DUMMYFUNCTION("""COMPUTED_VALUE"""),"TUE Lancer Training Ground- Exp")</f>
        <v>TUE Lancer Training Ground- Exp</v>
      </c>
      <c r="D27" s="102">
        <f>IFERROR(__xludf.DUMMYFUNCTION("""COMPUTED_VALUE"""),40.0)</f>
        <v>40</v>
      </c>
      <c r="E27" s="82" t="b">
        <f>IFERROR(__xludf.DUMMYFUNCTION("""COMPUTED_VALUE"""),TRUE)</f>
        <v>1</v>
      </c>
      <c r="F27" s="82" t="str">
        <f>IFERROR(__xludf.DUMMYFUNCTION("""COMPUTED_VALUE"""),"Training Field!A157:J176")</f>
        <v>Training Field!A157:J176</v>
      </c>
      <c r="G27" s="82">
        <f>IFERROR(__xludf.DUMMYFUNCTION("""COMPUTED_VALUE"""),27.0)</f>
        <v>27</v>
      </c>
      <c r="H27" s="82">
        <f>IFERROR(__xludf.DUMMYFUNCTION("""COMPUTED_VALUE"""),7227.0)</f>
        <v>7227</v>
      </c>
      <c r="I27" s="95"/>
      <c r="J27" s="96"/>
      <c r="K27" s="97"/>
      <c r="L27" s="95"/>
      <c r="M27" s="96">
        <f>IFERROR(__xludf.DUMMYFUNCTION("""COMPUTED_VALUE"""),313.494989806099)</f>
        <v>313.4949898</v>
      </c>
      <c r="N27" s="97"/>
      <c r="O27" s="95"/>
      <c r="P27" s="96"/>
      <c r="Q27" s="97"/>
      <c r="R27" s="95"/>
      <c r="S27" s="96"/>
      <c r="T27" s="97"/>
      <c r="U27" s="95"/>
      <c r="V27" s="96"/>
      <c r="W27" s="97"/>
      <c r="X27" s="95"/>
      <c r="Y27" s="96"/>
      <c r="Z27" s="97"/>
      <c r="AA27" s="95">
        <f>IFERROR(__xludf.DUMMYFUNCTION("""COMPUTED_VALUE"""),156.2991678967089)</f>
        <v>156.2991679</v>
      </c>
      <c r="AB27" s="96"/>
      <c r="AC27" s="97"/>
      <c r="AD27" s="95"/>
      <c r="AE27" s="96">
        <f>IFERROR(__xludf.DUMMYFUNCTION("""COMPUTED_VALUE"""),355.1787688905271)</f>
        <v>355.1787689</v>
      </c>
      <c r="AF27" s="97"/>
      <c r="AG27" s="95"/>
      <c r="AH27" s="96">
        <f>IFERROR(__xludf.DUMMYFUNCTION("""COMPUTED_VALUE"""),188.54805992734103)</f>
        <v>188.5480599</v>
      </c>
      <c r="AI27" s="97"/>
      <c r="AJ27" s="95"/>
      <c r="AK27" s="96"/>
      <c r="AL27" s="97"/>
      <c r="AM27" s="95"/>
      <c r="AN27" s="96"/>
      <c r="AO27" s="97"/>
      <c r="AP27" s="95"/>
      <c r="AQ27" s="96"/>
      <c r="AR27" s="97"/>
      <c r="AS27" s="95"/>
      <c r="AT27" s="96"/>
      <c r="AU27" s="97">
        <f>IFERROR(__xludf.DUMMYFUNCTION("""COMPUTED_VALUE"""),208.98457267614188)</f>
        <v>208.9845727</v>
      </c>
      <c r="AV27" s="95"/>
      <c r="AW27" s="96"/>
      <c r="AX27" s="97">
        <f>IFERROR(__xludf.DUMMYFUNCTION("""COMPUTED_VALUE"""),170.16116690015656)</f>
        <v>170.1611669</v>
      </c>
      <c r="AY27" s="95"/>
      <c r="AZ27" s="96"/>
      <c r="BA27" s="97"/>
      <c r="BB27" s="95"/>
      <c r="BC27" s="96"/>
      <c r="BD27" s="97"/>
      <c r="BE27" s="95"/>
      <c r="BF27" s="96">
        <f>IFERROR(__xludf.DUMMYFUNCTION("""COMPUTED_VALUE"""),146.8775563086522)</f>
        <v>146.8775563</v>
      </c>
      <c r="BG27" s="97"/>
      <c r="BH27" s="95"/>
      <c r="BI27" s="96"/>
      <c r="BJ27" s="97"/>
      <c r="BK27" s="95"/>
      <c r="BL27" s="96"/>
      <c r="BM27" s="97">
        <f>IFERROR(__xludf.DUMMYFUNCTION("""COMPUTED_VALUE"""),33.618605365160995)</f>
        <v>33.61860537</v>
      </c>
      <c r="BN27" s="95"/>
      <c r="BO27" s="96"/>
      <c r="BP27" s="97"/>
      <c r="BQ27" s="95"/>
      <c r="BR27" s="96"/>
      <c r="BS27" s="97"/>
      <c r="BT27" s="95">
        <f>IFERROR(__xludf.DUMMYFUNCTION("""COMPUTED_VALUE"""),214.82554899119384)</f>
        <v>214.825549</v>
      </c>
      <c r="BU27" s="96"/>
      <c r="BV27" s="97"/>
      <c r="BW27" s="95"/>
      <c r="BX27" s="96"/>
      <c r="BY27" s="97"/>
      <c r="BZ27" s="95"/>
      <c r="CA27" s="96">
        <f>IFERROR(__xludf.DUMMYFUNCTION("""COMPUTED_VALUE"""),72.78861890973184)</f>
        <v>72.78861891</v>
      </c>
      <c r="CB27" s="97"/>
      <c r="CC27" s="95"/>
      <c r="CD27" s="96"/>
      <c r="CE27" s="97"/>
      <c r="CF27" s="95"/>
      <c r="CG27" s="96"/>
      <c r="CH27" s="96">
        <f>IFERROR(__xludf.DUMMYFUNCTION("""COMPUTED_VALUE"""),51.52638080112935)</f>
        <v>51.5263808</v>
      </c>
      <c r="CI27" s="95"/>
      <c r="CJ27" s="96"/>
      <c r="CK27" s="96"/>
      <c r="CL27" s="95"/>
      <c r="CM27" s="96"/>
      <c r="CN27" s="96"/>
      <c r="CO27" s="95"/>
      <c r="CP27" s="96"/>
      <c r="CQ27" s="96"/>
      <c r="CR27" s="95"/>
      <c r="CS27" s="96"/>
      <c r="CT27" s="96"/>
      <c r="CU27" s="95"/>
      <c r="CV27" s="96"/>
      <c r="CW27" s="97">
        <f>IFERROR(__xludf.DUMMYFUNCTION("""COMPUTED_VALUE"""),432.258064516129)</f>
        <v>432.2580645</v>
      </c>
      <c r="CX27" s="96"/>
      <c r="CY27" s="96"/>
      <c r="CZ27" s="97"/>
      <c r="DA27" s="95"/>
      <c r="DB27" s="96"/>
      <c r="DC27" s="97"/>
      <c r="DD27" s="95"/>
      <c r="DE27" s="96">
        <f>IFERROR(__xludf.DUMMYFUNCTION("""COMPUTED_VALUE"""),146.50951949229372)</f>
        <v>146.5095195</v>
      </c>
      <c r="DF27" s="97"/>
      <c r="DG27" s="95"/>
      <c r="DH27" s="96"/>
      <c r="DI27" s="97"/>
      <c r="DJ27" s="95"/>
      <c r="DK27" s="96"/>
      <c r="DL27" s="97"/>
      <c r="DM27" s="95">
        <f>IFERROR(__xludf.DUMMYFUNCTION("""COMPUTED_VALUE"""),299.25925925925924)</f>
        <v>299.2592593</v>
      </c>
      <c r="DN27" s="96"/>
      <c r="DO27" s="97"/>
      <c r="DP27" s="95"/>
      <c r="DQ27" s="96"/>
      <c r="DR27" s="97"/>
      <c r="DS27" s="95"/>
    </row>
    <row r="28">
      <c r="B28" s="83" t="str">
        <f>IFERROR(__xludf.DUMMYFUNCTION("""COMPUTED_VALUE"""),"TRF9")</f>
        <v>TRF9</v>
      </c>
      <c r="C28" s="88" t="str">
        <f>IFERROR(__xludf.DUMMYFUNCTION("""COMPUTED_VALUE"""),"WED Berserker Training Ground- Nov")</f>
        <v>WED Berserker Training Ground- Nov</v>
      </c>
      <c r="D28" s="102">
        <f>IFERROR(__xludf.DUMMYFUNCTION("""COMPUTED_VALUE"""),10.0)</f>
        <v>10</v>
      </c>
      <c r="E28" s="82" t="b">
        <f>IFERROR(__xludf.DUMMYFUNCTION("""COMPUTED_VALUE"""),TRUE)</f>
        <v>1</v>
      </c>
      <c r="F28" s="82" t="str">
        <f>IFERROR(__xludf.DUMMYFUNCTION("""COMPUTED_VALUE"""),"Training Field!A180:J194")</f>
        <v>Training Field!A180:J194</v>
      </c>
      <c r="G28" s="82">
        <f>IFERROR(__xludf.DUMMYFUNCTION("""COMPUTED_VALUE"""),28.0)</f>
        <v>28</v>
      </c>
      <c r="H28" s="82">
        <f>IFERROR(__xludf.DUMMYFUNCTION("""COMPUTED_VALUE"""),1331.0)</f>
        <v>1331</v>
      </c>
      <c r="I28" s="95"/>
      <c r="J28" s="96"/>
      <c r="K28" s="97"/>
      <c r="L28" s="95"/>
      <c r="M28" s="96"/>
      <c r="N28" s="97"/>
      <c r="O28" s="95"/>
      <c r="P28" s="96"/>
      <c r="Q28" s="97"/>
      <c r="R28" s="95"/>
      <c r="S28" s="96"/>
      <c r="T28" s="97"/>
      <c r="U28" s="95"/>
      <c r="V28" s="96"/>
      <c r="W28" s="97"/>
      <c r="X28" s="95"/>
      <c r="Y28" s="96"/>
      <c r="Z28" s="97"/>
      <c r="AA28" s="95"/>
      <c r="AB28" s="96"/>
      <c r="AC28" s="97">
        <f>IFERROR(__xludf.DUMMYFUNCTION("""COMPUTED_VALUE"""),192.8985507246377)</f>
        <v>192.8985507</v>
      </c>
      <c r="AD28" s="95"/>
      <c r="AE28" s="96"/>
      <c r="AF28" s="97"/>
      <c r="AG28" s="95"/>
      <c r="AH28" s="96"/>
      <c r="AI28" s="97"/>
      <c r="AJ28" s="95"/>
      <c r="AK28" s="96"/>
      <c r="AL28" s="97"/>
      <c r="AM28" s="95"/>
      <c r="AN28" s="96"/>
      <c r="AO28" s="97"/>
      <c r="AP28" s="95"/>
      <c r="AQ28" s="96"/>
      <c r="AR28" s="97"/>
      <c r="AS28" s="95"/>
      <c r="AT28" s="96"/>
      <c r="AU28" s="97">
        <f>IFERROR(__xludf.DUMMYFUNCTION("""COMPUTED_VALUE"""),86.42857142857143)</f>
        <v>86.42857143</v>
      </c>
      <c r="AV28" s="95"/>
      <c r="AW28" s="96"/>
      <c r="AX28" s="97">
        <f>IFERROR(__xludf.DUMMYFUNCTION("""COMPUTED_VALUE"""),271.6326530612245)</f>
        <v>271.6326531</v>
      </c>
      <c r="AY28" s="95"/>
      <c r="AZ28" s="96"/>
      <c r="BA28" s="97"/>
      <c r="BB28" s="95"/>
      <c r="BC28" s="96"/>
      <c r="BD28" s="97"/>
      <c r="BE28" s="95"/>
      <c r="BF28" s="96"/>
      <c r="BG28" s="97"/>
      <c r="BH28" s="95"/>
      <c r="BI28" s="96"/>
      <c r="BJ28" s="97"/>
      <c r="BK28" s="95"/>
      <c r="BL28" s="96"/>
      <c r="BM28" s="97"/>
      <c r="BN28" s="95"/>
      <c r="BO28" s="96"/>
      <c r="BP28" s="97"/>
      <c r="BQ28" s="95"/>
      <c r="BR28" s="96"/>
      <c r="BS28" s="97"/>
      <c r="BT28" s="95"/>
      <c r="BU28" s="96"/>
      <c r="BV28" s="97"/>
      <c r="BW28" s="95"/>
      <c r="BX28" s="96">
        <f>IFERROR(__xludf.DUMMYFUNCTION("""COMPUTED_VALUE"""),7.469135802469136)</f>
        <v>7.469135802</v>
      </c>
      <c r="BY28" s="97"/>
      <c r="BZ28" s="95"/>
      <c r="CA28" s="96"/>
      <c r="CB28" s="97"/>
      <c r="CC28" s="95"/>
      <c r="CD28" s="96"/>
      <c r="CE28" s="97">
        <f>IFERROR(__xludf.DUMMYFUNCTION("""COMPUTED_VALUE"""),532.4000000000001)</f>
        <v>532.4</v>
      </c>
      <c r="CF28" s="95"/>
      <c r="CG28" s="96"/>
      <c r="CH28" s="96"/>
      <c r="CI28" s="95"/>
      <c r="CJ28" s="96"/>
      <c r="CK28" s="96"/>
      <c r="CL28" s="95">
        <f>IFERROR(__xludf.DUMMYFUNCTION("""COMPUTED_VALUE"""),52.81746031746032)</f>
        <v>52.81746032</v>
      </c>
      <c r="CM28" s="96"/>
      <c r="CN28" s="96"/>
      <c r="CO28" s="95"/>
      <c r="CP28" s="96"/>
      <c r="CQ28" s="96"/>
      <c r="CR28" s="95"/>
      <c r="CS28" s="96"/>
      <c r="CT28" s="96"/>
      <c r="CU28" s="95"/>
      <c r="CV28" s="96"/>
      <c r="CW28" s="97"/>
      <c r="CX28" s="96"/>
      <c r="CY28" s="96"/>
      <c r="CZ28" s="97"/>
      <c r="DA28" s="95">
        <f>IFERROR(__xludf.DUMMYFUNCTION("""COMPUTED_VALUE"""),11.875)</f>
        <v>11.875</v>
      </c>
      <c r="DB28" s="96"/>
      <c r="DC28" s="97"/>
      <c r="DD28" s="95"/>
      <c r="DE28" s="96"/>
      <c r="DF28" s="97"/>
      <c r="DG28" s="95"/>
      <c r="DH28" s="96"/>
      <c r="DI28" s="97">
        <f>IFERROR(__xludf.DUMMYFUNCTION("""COMPUTED_VALUE"""),73.33333333333334)</f>
        <v>73.33333333</v>
      </c>
      <c r="DJ28" s="95"/>
      <c r="DK28" s="96"/>
      <c r="DL28" s="97"/>
      <c r="DM28" s="95"/>
      <c r="DN28" s="96"/>
      <c r="DO28" s="97"/>
      <c r="DP28" s="95"/>
      <c r="DQ28" s="96">
        <f>IFERROR(__xludf.DUMMYFUNCTION("""COMPUTED_VALUE"""),35.0)</f>
        <v>35</v>
      </c>
      <c r="DR28" s="97"/>
      <c r="DS28" s="95"/>
    </row>
    <row r="29">
      <c r="B29" s="83" t="str">
        <f>IFERROR(__xludf.DUMMYFUNCTION("""COMPUTED_VALUE"""),"TRF10")</f>
        <v>TRF10</v>
      </c>
      <c r="C29" s="88" t="str">
        <f>IFERROR(__xludf.DUMMYFUNCTION("""COMPUTED_VALUE"""),"WED Berserker Training Ground- Int")</f>
        <v>WED Berserker Training Ground- Int</v>
      </c>
      <c r="D29" s="102">
        <f>IFERROR(__xludf.DUMMYFUNCTION("""COMPUTED_VALUE"""),20.0)</f>
        <v>20</v>
      </c>
      <c r="E29" s="82" t="b">
        <f>IFERROR(__xludf.DUMMYFUNCTION("""COMPUTED_VALUE"""),TRUE)</f>
        <v>1</v>
      </c>
      <c r="F29" s="82" t="str">
        <f>IFERROR(__xludf.DUMMYFUNCTION("""COMPUTED_VALUE"""),"Training Field!A198:J213")</f>
        <v>Training Field!A198:J213</v>
      </c>
      <c r="G29" s="82">
        <f>IFERROR(__xludf.DUMMYFUNCTION("""COMPUTED_VALUE"""),29.0)</f>
        <v>29</v>
      </c>
      <c r="H29" s="82">
        <f>IFERROR(__xludf.DUMMYFUNCTION("""COMPUTED_VALUE"""),1173.0)</f>
        <v>1173</v>
      </c>
      <c r="I29" s="95">
        <f>IFERROR(__xludf.DUMMYFUNCTION("""COMPUTED_VALUE"""),678.1522807423253)</f>
        <v>678.1522807</v>
      </c>
      <c r="J29" s="96"/>
      <c r="K29" s="97"/>
      <c r="L29" s="95"/>
      <c r="M29" s="96"/>
      <c r="N29" s="97"/>
      <c r="O29" s="95"/>
      <c r="P29" s="96"/>
      <c r="Q29" s="97"/>
      <c r="R29" s="95"/>
      <c r="S29" s="96"/>
      <c r="T29" s="97"/>
      <c r="U29" s="95"/>
      <c r="V29" s="96"/>
      <c r="W29" s="97"/>
      <c r="X29" s="95"/>
      <c r="Y29" s="96"/>
      <c r="Z29" s="97"/>
      <c r="AA29" s="95"/>
      <c r="AB29" s="96"/>
      <c r="AC29" s="97">
        <f>IFERROR(__xludf.DUMMYFUNCTION("""COMPUTED_VALUE"""),168.67019440929485)</f>
        <v>168.6701944</v>
      </c>
      <c r="AD29" s="95"/>
      <c r="AE29" s="96"/>
      <c r="AF29" s="97"/>
      <c r="AG29" s="95"/>
      <c r="AH29" s="96"/>
      <c r="AI29" s="97"/>
      <c r="AJ29" s="95"/>
      <c r="AK29" s="96"/>
      <c r="AL29" s="97"/>
      <c r="AM29" s="95"/>
      <c r="AN29" s="96"/>
      <c r="AO29" s="97"/>
      <c r="AP29" s="95"/>
      <c r="AQ29" s="96"/>
      <c r="AR29" s="97"/>
      <c r="AS29" s="95"/>
      <c r="AT29" s="96"/>
      <c r="AU29" s="97">
        <f>IFERROR(__xludf.DUMMYFUNCTION("""COMPUTED_VALUE"""),304.35910742086145)</f>
        <v>304.3591074</v>
      </c>
      <c r="AV29" s="95"/>
      <c r="AW29" s="96"/>
      <c r="AX29" s="97">
        <f>IFERROR(__xludf.DUMMYFUNCTION("""COMPUTED_VALUE"""),107.40774654335684)</f>
        <v>107.4077465</v>
      </c>
      <c r="AY29" s="95"/>
      <c r="AZ29" s="96"/>
      <c r="BA29" s="97"/>
      <c r="BB29" s="95"/>
      <c r="BC29" s="96"/>
      <c r="BD29" s="97"/>
      <c r="BE29" s="95"/>
      <c r="BF29" s="96"/>
      <c r="BG29" s="97"/>
      <c r="BH29" s="95"/>
      <c r="BI29" s="96"/>
      <c r="BJ29" s="97"/>
      <c r="BK29" s="95"/>
      <c r="BL29" s="96"/>
      <c r="BM29" s="97"/>
      <c r="BN29" s="95"/>
      <c r="BO29" s="96"/>
      <c r="BP29" s="97"/>
      <c r="BQ29" s="95">
        <f>IFERROR(__xludf.DUMMYFUNCTION("""COMPUTED_VALUE"""),31.730230821875196)</f>
        <v>31.73023082</v>
      </c>
      <c r="BR29" s="96"/>
      <c r="BS29" s="97"/>
      <c r="BT29" s="95"/>
      <c r="BU29" s="96"/>
      <c r="BV29" s="97"/>
      <c r="BW29" s="95"/>
      <c r="BX29" s="96">
        <f>IFERROR(__xludf.DUMMYFUNCTION("""COMPUTED_VALUE"""),15.831070466483478)</f>
        <v>15.83107047</v>
      </c>
      <c r="BY29" s="97"/>
      <c r="BZ29" s="95"/>
      <c r="CA29" s="96"/>
      <c r="CB29" s="97"/>
      <c r="CC29" s="95"/>
      <c r="CD29" s="96"/>
      <c r="CE29" s="97">
        <f>IFERROR(__xludf.DUMMYFUNCTION("""COMPUTED_VALUE"""),222.49620637329284)</f>
        <v>222.4962064</v>
      </c>
      <c r="CF29" s="95"/>
      <c r="CG29" s="96"/>
      <c r="CH29" s="96"/>
      <c r="CI29" s="95"/>
      <c r="CJ29" s="96"/>
      <c r="CK29" s="96"/>
      <c r="CL29" s="95">
        <f>IFERROR(__xludf.DUMMYFUNCTION("""COMPUTED_VALUE"""),29.528302361760716)</f>
        <v>29.52830236</v>
      </c>
      <c r="CM29" s="96"/>
      <c r="CN29" s="96"/>
      <c r="CO29" s="95"/>
      <c r="CP29" s="96"/>
      <c r="CQ29" s="96"/>
      <c r="CR29" s="95"/>
      <c r="CS29" s="96"/>
      <c r="CT29" s="96"/>
      <c r="CU29" s="95"/>
      <c r="CV29" s="96"/>
      <c r="CW29" s="97"/>
      <c r="CX29" s="96"/>
      <c r="CY29" s="96"/>
      <c r="CZ29" s="97"/>
      <c r="DA29" s="95">
        <f>IFERROR(__xludf.DUMMYFUNCTION("""COMPUTED_VALUE"""),36.8421052631579)</f>
        <v>36.84210526</v>
      </c>
      <c r="DB29" s="96"/>
      <c r="DC29" s="97"/>
      <c r="DD29" s="95"/>
      <c r="DE29" s="96"/>
      <c r="DF29" s="97"/>
      <c r="DG29" s="95"/>
      <c r="DH29" s="96"/>
      <c r="DI29" s="97">
        <f>IFERROR(__xludf.DUMMYFUNCTION("""COMPUTED_VALUE"""),94.28571428571428)</f>
        <v>94.28571429</v>
      </c>
      <c r="DJ29" s="95"/>
      <c r="DK29" s="96"/>
      <c r="DL29" s="97"/>
      <c r="DM29" s="95"/>
      <c r="DN29" s="96"/>
      <c r="DO29" s="97"/>
      <c r="DP29" s="95"/>
      <c r="DQ29" s="96">
        <f>IFERROR(__xludf.DUMMYFUNCTION("""COMPUTED_VALUE"""),110.0)</f>
        <v>110</v>
      </c>
      <c r="DR29" s="97"/>
      <c r="DS29" s="95"/>
    </row>
    <row r="30">
      <c r="B30" s="83" t="str">
        <f>IFERROR(__xludf.DUMMYFUNCTION("""COMPUTED_VALUE"""),"TRF11")</f>
        <v>TRF11</v>
      </c>
      <c r="C30" s="88" t="str">
        <f>IFERROR(__xludf.DUMMYFUNCTION("""COMPUTED_VALUE"""),"WED Berserker Training Ground- Adv")</f>
        <v>WED Berserker Training Ground- Adv</v>
      </c>
      <c r="D30" s="102">
        <f>IFERROR(__xludf.DUMMYFUNCTION("""COMPUTED_VALUE"""),30.0)</f>
        <v>30</v>
      </c>
      <c r="E30" s="82" t="b">
        <f>IFERROR(__xludf.DUMMYFUNCTION("""COMPUTED_VALUE"""),TRUE)</f>
        <v>1</v>
      </c>
      <c r="F30" s="82" t="str">
        <f>IFERROR(__xludf.DUMMYFUNCTION("""COMPUTED_VALUE"""),"Training Field!A217:J234")</f>
        <v>Training Field!A217:J234</v>
      </c>
      <c r="G30" s="82">
        <f>IFERROR(__xludf.DUMMYFUNCTION("""COMPUTED_VALUE"""),30.0)</f>
        <v>30</v>
      </c>
      <c r="H30" s="82">
        <f>IFERROR(__xludf.DUMMYFUNCTION("""COMPUTED_VALUE"""),1103.0)</f>
        <v>1103</v>
      </c>
      <c r="I30" s="95">
        <f>IFERROR(__xludf.DUMMYFUNCTION("""COMPUTED_VALUE"""),389.29411764705884)</f>
        <v>389.2941176</v>
      </c>
      <c r="J30" s="96"/>
      <c r="K30" s="97"/>
      <c r="L30" s="95"/>
      <c r="M30" s="96"/>
      <c r="N30" s="97"/>
      <c r="O30" s="95"/>
      <c r="P30" s="96"/>
      <c r="Q30" s="97"/>
      <c r="R30" s="95"/>
      <c r="S30" s="96"/>
      <c r="T30" s="97"/>
      <c r="U30" s="95"/>
      <c r="V30" s="96"/>
      <c r="W30" s="97"/>
      <c r="X30" s="95"/>
      <c r="Y30" s="96"/>
      <c r="Z30" s="97"/>
      <c r="AA30" s="95"/>
      <c r="AB30" s="96"/>
      <c r="AC30" s="97">
        <f>IFERROR(__xludf.DUMMYFUNCTION("""COMPUTED_VALUE"""),228.20689655172416)</f>
        <v>228.2068966</v>
      </c>
      <c r="AD30" s="95"/>
      <c r="AE30" s="96"/>
      <c r="AF30" s="97"/>
      <c r="AG30" s="95"/>
      <c r="AH30" s="96"/>
      <c r="AI30" s="97"/>
      <c r="AJ30" s="95"/>
      <c r="AK30" s="96"/>
      <c r="AL30" s="97"/>
      <c r="AM30" s="95"/>
      <c r="AN30" s="96"/>
      <c r="AO30" s="97"/>
      <c r="AP30" s="95"/>
      <c r="AQ30" s="96"/>
      <c r="AR30" s="97"/>
      <c r="AS30" s="95"/>
      <c r="AT30" s="96"/>
      <c r="AU30" s="97">
        <f>IFERROR(__xludf.DUMMYFUNCTION("""COMPUTED_VALUE"""),213.48387096774195)</f>
        <v>213.483871</v>
      </c>
      <c r="AV30" s="95"/>
      <c r="AW30" s="96"/>
      <c r="AX30" s="97">
        <f>IFERROR(__xludf.DUMMYFUNCTION("""COMPUTED_VALUE"""),149.05405405405406)</f>
        <v>149.0540541</v>
      </c>
      <c r="AY30" s="95"/>
      <c r="AZ30" s="96"/>
      <c r="BA30" s="97"/>
      <c r="BB30" s="95"/>
      <c r="BC30" s="96"/>
      <c r="BD30" s="97"/>
      <c r="BE30" s="95"/>
      <c r="BF30" s="96"/>
      <c r="BG30" s="97"/>
      <c r="BH30" s="95"/>
      <c r="BI30" s="96"/>
      <c r="BJ30" s="97">
        <f>IFERROR(__xludf.DUMMYFUNCTION("""COMPUTED_VALUE"""),239.7826086956522)</f>
        <v>239.7826087</v>
      </c>
      <c r="BK30" s="95"/>
      <c r="BL30" s="96"/>
      <c r="BM30" s="97"/>
      <c r="BN30" s="95"/>
      <c r="BO30" s="96"/>
      <c r="BP30" s="97"/>
      <c r="BQ30" s="95">
        <f>IFERROR(__xludf.DUMMYFUNCTION("""COMPUTED_VALUE"""),22.030625832223702)</f>
        <v>22.03062583</v>
      </c>
      <c r="BR30" s="96"/>
      <c r="BS30" s="97"/>
      <c r="BT30" s="95"/>
      <c r="BU30" s="96"/>
      <c r="BV30" s="97"/>
      <c r="BW30" s="95"/>
      <c r="BX30" s="96">
        <f>IFERROR(__xludf.DUMMYFUNCTION("""COMPUTED_VALUE"""),177.90322580645162)</f>
        <v>177.9032258</v>
      </c>
      <c r="BY30" s="97"/>
      <c r="BZ30" s="95"/>
      <c r="CA30" s="96"/>
      <c r="CB30" s="97"/>
      <c r="CC30" s="95"/>
      <c r="CD30" s="96"/>
      <c r="CE30" s="97">
        <f>IFERROR(__xludf.DUMMYFUNCTION("""COMPUTED_VALUE"""),77.13286713286713)</f>
        <v>77.13286713</v>
      </c>
      <c r="CF30" s="95"/>
      <c r="CG30" s="96"/>
      <c r="CH30" s="96"/>
      <c r="CI30" s="95"/>
      <c r="CJ30" s="96"/>
      <c r="CK30" s="96"/>
      <c r="CL30" s="95">
        <f>IFERROR(__xludf.DUMMYFUNCTION("""COMPUTED_VALUE"""),29.154185022026436)</f>
        <v>29.15418502</v>
      </c>
      <c r="CM30" s="96"/>
      <c r="CN30" s="96"/>
      <c r="CO30" s="95"/>
      <c r="CP30" s="96"/>
      <c r="CQ30" s="96"/>
      <c r="CR30" s="95"/>
      <c r="CS30" s="96"/>
      <c r="CT30" s="96"/>
      <c r="CU30" s="95"/>
      <c r="CV30" s="96"/>
      <c r="CW30" s="97"/>
      <c r="CX30" s="96"/>
      <c r="CY30" s="96"/>
      <c r="CZ30" s="97"/>
      <c r="DA30" s="95">
        <f>IFERROR(__xludf.DUMMYFUNCTION("""COMPUTED_VALUE"""),180.0)</f>
        <v>180</v>
      </c>
      <c r="DB30" s="96"/>
      <c r="DC30" s="97"/>
      <c r="DD30" s="95"/>
      <c r="DE30" s="96"/>
      <c r="DF30" s="97"/>
      <c r="DG30" s="95"/>
      <c r="DH30" s="96"/>
      <c r="DI30" s="97">
        <f>IFERROR(__xludf.DUMMYFUNCTION("""COMPUTED_VALUE"""),134.0)</f>
        <v>134</v>
      </c>
      <c r="DJ30" s="95"/>
      <c r="DK30" s="96"/>
      <c r="DL30" s="97"/>
      <c r="DM30" s="95"/>
      <c r="DN30" s="96"/>
      <c r="DO30" s="97"/>
      <c r="DP30" s="95"/>
      <c r="DQ30" s="96">
        <f>IFERROR(__xludf.DUMMYFUNCTION("""COMPUTED_VALUE"""),154.6153846153846)</f>
        <v>154.6153846</v>
      </c>
      <c r="DR30" s="97"/>
      <c r="DS30" s="95"/>
    </row>
    <row r="31">
      <c r="B31" s="83" t="str">
        <f>IFERROR(__xludf.DUMMYFUNCTION("""COMPUTED_VALUE"""),"TRF12")</f>
        <v>TRF12</v>
      </c>
      <c r="C31" s="88" t="str">
        <f>IFERROR(__xludf.DUMMYFUNCTION("""COMPUTED_VALUE"""),"WED Berserker Training Ground- Exp")</f>
        <v>WED Berserker Training Ground- Exp</v>
      </c>
      <c r="D31" s="102">
        <f>IFERROR(__xludf.DUMMYFUNCTION("""COMPUTED_VALUE"""),40.0)</f>
        <v>40</v>
      </c>
      <c r="E31" s="82" t="b">
        <f>IFERROR(__xludf.DUMMYFUNCTION("""COMPUTED_VALUE"""),TRUE)</f>
        <v>1</v>
      </c>
      <c r="F31" s="82" t="str">
        <f>IFERROR(__xludf.DUMMYFUNCTION("""COMPUTED_VALUE"""),"Training Field!A238:J255")</f>
        <v>Training Field!A238:J255</v>
      </c>
      <c r="G31" s="82">
        <f>IFERROR(__xludf.DUMMYFUNCTION("""COMPUTED_VALUE"""),31.0)</f>
        <v>31</v>
      </c>
      <c r="H31" s="82">
        <f>IFERROR(__xludf.DUMMYFUNCTION("""COMPUTED_VALUE"""),3737.0)</f>
        <v>3737</v>
      </c>
      <c r="I31" s="95">
        <f>IFERROR(__xludf.DUMMYFUNCTION("""COMPUTED_VALUE"""),491.8885122906316)</f>
        <v>491.8885123</v>
      </c>
      <c r="J31" s="96"/>
      <c r="K31" s="97"/>
      <c r="L31" s="95"/>
      <c r="M31" s="96"/>
      <c r="N31" s="97"/>
      <c r="O31" s="95"/>
      <c r="P31" s="96"/>
      <c r="Q31" s="97"/>
      <c r="R31" s="95"/>
      <c r="S31" s="96"/>
      <c r="T31" s="97"/>
      <c r="U31" s="95"/>
      <c r="V31" s="96"/>
      <c r="W31" s="97"/>
      <c r="X31" s="95"/>
      <c r="Y31" s="96"/>
      <c r="Z31" s="97"/>
      <c r="AA31" s="95"/>
      <c r="AB31" s="96"/>
      <c r="AC31" s="97">
        <f>IFERROR(__xludf.DUMMYFUNCTION("""COMPUTED_VALUE"""),252.6002720674592)</f>
        <v>252.6002721</v>
      </c>
      <c r="AD31" s="95"/>
      <c r="AE31" s="96"/>
      <c r="AF31" s="97"/>
      <c r="AG31" s="95"/>
      <c r="AH31" s="96"/>
      <c r="AI31" s="97"/>
      <c r="AJ31" s="95"/>
      <c r="AK31" s="96"/>
      <c r="AL31" s="97"/>
      <c r="AM31" s="95"/>
      <c r="AN31" s="96"/>
      <c r="AO31" s="97"/>
      <c r="AP31" s="95"/>
      <c r="AQ31" s="96"/>
      <c r="AR31" s="97"/>
      <c r="AS31" s="95"/>
      <c r="AT31" s="96"/>
      <c r="AU31" s="97">
        <f>IFERROR(__xludf.DUMMYFUNCTION("""COMPUTED_VALUE"""),174.17445410267763)</f>
        <v>174.1744541</v>
      </c>
      <c r="AV31" s="95"/>
      <c r="AW31" s="96"/>
      <c r="AX31" s="97">
        <f>IFERROR(__xludf.DUMMYFUNCTION("""COMPUTED_VALUE"""),170.93293843875608)</f>
        <v>170.9329384</v>
      </c>
      <c r="AY31" s="95"/>
      <c r="AZ31" s="96"/>
      <c r="BA31" s="97"/>
      <c r="BB31" s="95"/>
      <c r="BC31" s="96"/>
      <c r="BD31" s="97"/>
      <c r="BE31" s="95"/>
      <c r="BF31" s="96"/>
      <c r="BG31" s="97"/>
      <c r="BH31" s="95"/>
      <c r="BI31" s="96"/>
      <c r="BJ31" s="97">
        <f>IFERROR(__xludf.DUMMYFUNCTION("""COMPUTED_VALUE"""),163.4018364669873)</f>
        <v>163.4018365</v>
      </c>
      <c r="BK31" s="95"/>
      <c r="BL31" s="96"/>
      <c r="BM31" s="97"/>
      <c r="BN31" s="95"/>
      <c r="BO31" s="96"/>
      <c r="BP31" s="97"/>
      <c r="BQ31" s="95">
        <f>IFERROR(__xludf.DUMMYFUNCTION("""COMPUTED_VALUE"""),35.62088115689225)</f>
        <v>35.62088116</v>
      </c>
      <c r="BR31" s="96"/>
      <c r="BS31" s="97"/>
      <c r="BT31" s="95"/>
      <c r="BU31" s="96"/>
      <c r="BV31" s="97"/>
      <c r="BW31" s="95"/>
      <c r="BX31" s="96">
        <f>IFERROR(__xludf.DUMMYFUNCTION("""COMPUTED_VALUE"""),237.24348088307644)</f>
        <v>237.2434809</v>
      </c>
      <c r="BY31" s="97"/>
      <c r="BZ31" s="95"/>
      <c r="CA31" s="96"/>
      <c r="CB31" s="97"/>
      <c r="CC31" s="95"/>
      <c r="CD31" s="96"/>
      <c r="CE31" s="97">
        <f>IFERROR(__xludf.DUMMYFUNCTION("""COMPUTED_VALUE"""),72.41598984587137)</f>
        <v>72.41598985</v>
      </c>
      <c r="CF31" s="95"/>
      <c r="CG31" s="96"/>
      <c r="CH31" s="96"/>
      <c r="CI31" s="95"/>
      <c r="CJ31" s="96"/>
      <c r="CK31" s="96"/>
      <c r="CL31" s="95">
        <f>IFERROR(__xludf.DUMMYFUNCTION("""COMPUTED_VALUE"""),46.53028165998338)</f>
        <v>46.53028166</v>
      </c>
      <c r="CM31" s="96"/>
      <c r="CN31" s="96"/>
      <c r="CO31" s="95"/>
      <c r="CP31" s="96"/>
      <c r="CQ31" s="96"/>
      <c r="CR31" s="95"/>
      <c r="CS31" s="96"/>
      <c r="CT31" s="96"/>
      <c r="CU31" s="95"/>
      <c r="CV31" s="96"/>
      <c r="CW31" s="97"/>
      <c r="CX31" s="96"/>
      <c r="CY31" s="96"/>
      <c r="CZ31" s="97"/>
      <c r="DA31" s="95">
        <f>IFERROR(__xludf.DUMMYFUNCTION("""COMPUTED_VALUE"""),373.33333333333337)</f>
        <v>373.3333333</v>
      </c>
      <c r="DB31" s="96"/>
      <c r="DC31" s="97"/>
      <c r="DD31" s="95"/>
      <c r="DE31" s="96"/>
      <c r="DF31" s="97"/>
      <c r="DG31" s="95"/>
      <c r="DH31" s="96"/>
      <c r="DI31" s="97">
        <f>IFERROR(__xludf.DUMMYFUNCTION("""COMPUTED_VALUE"""),207.8048780487805)</f>
        <v>207.804878</v>
      </c>
      <c r="DJ31" s="95"/>
      <c r="DK31" s="96"/>
      <c r="DL31" s="97"/>
      <c r="DM31" s="95"/>
      <c r="DN31" s="96"/>
      <c r="DO31" s="97"/>
      <c r="DP31" s="95"/>
      <c r="DQ31" s="96">
        <f>IFERROR(__xludf.DUMMYFUNCTION("""COMPUTED_VALUE"""),243.42857142857142)</f>
        <v>243.4285714</v>
      </c>
      <c r="DR31" s="97"/>
      <c r="DS31" s="95"/>
    </row>
    <row r="32">
      <c r="B32" s="83" t="str">
        <f>IFERROR(__xludf.DUMMYFUNCTION("""COMPUTED_VALUE"""),"TRF13")</f>
        <v>TRF13</v>
      </c>
      <c r="C32" s="88" t="str">
        <f>IFERROR(__xludf.DUMMYFUNCTION("""COMPUTED_VALUE"""),"THU Rider Training Ground- Nov")</f>
        <v>THU Rider Training Ground- Nov</v>
      </c>
      <c r="D32" s="102">
        <f>IFERROR(__xludf.DUMMYFUNCTION("""COMPUTED_VALUE"""),10.0)</f>
        <v>10</v>
      </c>
      <c r="E32" s="82" t="b">
        <f>IFERROR(__xludf.DUMMYFUNCTION("""COMPUTED_VALUE"""),TRUE)</f>
        <v>1</v>
      </c>
      <c r="F32" s="82" t="str">
        <f>IFERROR(__xludf.DUMMYFUNCTION("""COMPUTED_VALUE"""),"Training Field!A259:J272")</f>
        <v>Training Field!A259:J272</v>
      </c>
      <c r="G32" s="82">
        <f>IFERROR(__xludf.DUMMYFUNCTION("""COMPUTED_VALUE"""),32.0)</f>
        <v>32</v>
      </c>
      <c r="H32" s="82">
        <f>IFERROR(__xludf.DUMMYFUNCTION("""COMPUTED_VALUE"""),1340.0)</f>
        <v>1340</v>
      </c>
      <c r="I32" s="95"/>
      <c r="J32" s="96"/>
      <c r="K32" s="97"/>
      <c r="L32" s="95"/>
      <c r="M32" s="96"/>
      <c r="N32" s="97"/>
      <c r="O32" s="95"/>
      <c r="P32" s="96"/>
      <c r="Q32" s="97"/>
      <c r="R32" s="95"/>
      <c r="S32" s="96"/>
      <c r="T32" s="97"/>
      <c r="U32" s="95"/>
      <c r="V32" s="96"/>
      <c r="W32" s="97"/>
      <c r="X32" s="95"/>
      <c r="Y32" s="96"/>
      <c r="Z32" s="97"/>
      <c r="AA32" s="95"/>
      <c r="AB32" s="96"/>
      <c r="AC32" s="97"/>
      <c r="AD32" s="95"/>
      <c r="AE32" s="96"/>
      <c r="AF32" s="97"/>
      <c r="AG32" s="95"/>
      <c r="AH32" s="96"/>
      <c r="AI32" s="97">
        <f>IFERROR(__xludf.DUMMYFUNCTION("""COMPUTED_VALUE"""),188.73239436619718)</f>
        <v>188.7323944</v>
      </c>
      <c r="AJ32" s="95"/>
      <c r="AK32" s="96"/>
      <c r="AL32" s="97"/>
      <c r="AM32" s="95"/>
      <c r="AN32" s="96"/>
      <c r="AO32" s="97"/>
      <c r="AP32" s="95"/>
      <c r="AQ32" s="96"/>
      <c r="AR32" s="97"/>
      <c r="AS32" s="95"/>
      <c r="AT32" s="96"/>
      <c r="AU32" s="97"/>
      <c r="AV32" s="95"/>
      <c r="AW32" s="96">
        <f>IFERROR(__xludf.DUMMYFUNCTION("""COMPUTED_VALUE"""),62.32558139534883)</f>
        <v>62.3255814</v>
      </c>
      <c r="AX32" s="97">
        <f>IFERROR(__xludf.DUMMYFUNCTION("""COMPUTED_VALUE"""),235.08771929824562)</f>
        <v>235.0877193</v>
      </c>
      <c r="AY32" s="95"/>
      <c r="AZ32" s="96"/>
      <c r="BA32" s="97"/>
      <c r="BB32" s="95"/>
      <c r="BC32" s="96"/>
      <c r="BD32" s="97"/>
      <c r="BE32" s="95"/>
      <c r="BF32" s="96"/>
      <c r="BG32" s="97"/>
      <c r="BH32" s="95"/>
      <c r="BI32" s="96"/>
      <c r="BJ32" s="97"/>
      <c r="BK32" s="95"/>
      <c r="BL32" s="96"/>
      <c r="BM32" s="97"/>
      <c r="BN32" s="95"/>
      <c r="BO32" s="96"/>
      <c r="BP32" s="97"/>
      <c r="BQ32" s="95"/>
      <c r="BR32" s="96"/>
      <c r="BS32" s="97"/>
      <c r="BT32" s="95"/>
      <c r="BU32" s="96">
        <f>IFERROR(__xludf.DUMMYFUNCTION("""COMPUTED_VALUE"""),8.513341804320202)</f>
        <v>8.513341804</v>
      </c>
      <c r="BV32" s="97"/>
      <c r="BW32" s="95"/>
      <c r="BX32" s="96"/>
      <c r="BY32" s="97"/>
      <c r="BZ32" s="95"/>
      <c r="CA32" s="96"/>
      <c r="CB32" s="97">
        <f>IFERROR(__xludf.DUMMYFUNCTION("""COMPUTED_VALUE"""),582.6086956521739)</f>
        <v>582.6086957</v>
      </c>
      <c r="CC32" s="95"/>
      <c r="CD32" s="96"/>
      <c r="CE32" s="97"/>
      <c r="CF32" s="95"/>
      <c r="CG32" s="96"/>
      <c r="CH32" s="96"/>
      <c r="CI32" s="95">
        <f>IFERROR(__xludf.DUMMYFUNCTION("""COMPUTED_VALUE"""),43.506493506493506)</f>
        <v>43.50649351</v>
      </c>
      <c r="CJ32" s="96"/>
      <c r="CK32" s="96"/>
      <c r="CL32" s="95"/>
      <c r="CM32" s="96"/>
      <c r="CN32" s="96"/>
      <c r="CO32" s="95"/>
      <c r="CP32" s="96"/>
      <c r="CQ32" s="96"/>
      <c r="CR32" s="95"/>
      <c r="CS32" s="96"/>
      <c r="CT32" s="96"/>
      <c r="CU32" s="95"/>
      <c r="CV32" s="96"/>
      <c r="CW32" s="97"/>
      <c r="CX32" s="96">
        <f>IFERROR(__xludf.DUMMYFUNCTION("""COMPUTED_VALUE"""),12.113821138211382)</f>
        <v>12.11382114</v>
      </c>
      <c r="CY32" s="96"/>
      <c r="CZ32" s="97"/>
      <c r="DA32" s="95"/>
      <c r="DB32" s="96"/>
      <c r="DC32" s="97"/>
      <c r="DD32" s="95"/>
      <c r="DE32" s="96"/>
      <c r="DF32" s="97">
        <f>IFERROR(__xludf.DUMMYFUNCTION("""COMPUTED_VALUE"""),54.0)</f>
        <v>54</v>
      </c>
      <c r="DG32" s="95"/>
      <c r="DH32" s="96"/>
      <c r="DI32" s="97"/>
      <c r="DJ32" s="95"/>
      <c r="DK32" s="96"/>
      <c r="DL32" s="97"/>
      <c r="DM32" s="95"/>
      <c r="DN32" s="96">
        <f>IFERROR(__xludf.DUMMYFUNCTION("""COMPUTED_VALUE"""),162.0)</f>
        <v>162</v>
      </c>
      <c r="DO32" s="97"/>
      <c r="DP32" s="95"/>
      <c r="DQ32" s="96"/>
      <c r="DR32" s="97"/>
      <c r="DS32" s="95"/>
    </row>
    <row r="33">
      <c r="B33" s="83" t="str">
        <f>IFERROR(__xludf.DUMMYFUNCTION("""COMPUTED_VALUE"""),"TRF14")</f>
        <v>TRF14</v>
      </c>
      <c r="C33" s="88" t="str">
        <f>IFERROR(__xludf.DUMMYFUNCTION("""COMPUTED_VALUE"""),"THU Rider Training Ground- Int")</f>
        <v>THU Rider Training Ground- Int</v>
      </c>
      <c r="D33" s="102">
        <f>IFERROR(__xludf.DUMMYFUNCTION("""COMPUTED_VALUE"""),20.0)</f>
        <v>20</v>
      </c>
      <c r="E33" s="82" t="b">
        <f>IFERROR(__xludf.DUMMYFUNCTION("""COMPUTED_VALUE"""),TRUE)</f>
        <v>1</v>
      </c>
      <c r="F33" s="82" t="str">
        <f>IFERROR(__xludf.DUMMYFUNCTION("""COMPUTED_VALUE"""),"Training Field!A276:J290")</f>
        <v>Training Field!A276:J290</v>
      </c>
      <c r="G33" s="82">
        <f>IFERROR(__xludf.DUMMYFUNCTION("""COMPUTED_VALUE"""),33.0)</f>
        <v>33</v>
      </c>
      <c r="H33" s="82">
        <f>IFERROR(__xludf.DUMMYFUNCTION("""COMPUTED_VALUE"""),1270.0)</f>
        <v>1270</v>
      </c>
      <c r="I33" s="95"/>
      <c r="J33" s="96"/>
      <c r="K33" s="97"/>
      <c r="L33" s="95"/>
      <c r="M33" s="96"/>
      <c r="N33" s="97"/>
      <c r="O33" s="95"/>
      <c r="P33" s="96"/>
      <c r="Q33" s="97"/>
      <c r="R33" s="95"/>
      <c r="S33" s="96"/>
      <c r="T33" s="97"/>
      <c r="U33" s="95"/>
      <c r="V33" s="96"/>
      <c r="W33" s="97"/>
      <c r="X33" s="95"/>
      <c r="Y33" s="96"/>
      <c r="Z33" s="97"/>
      <c r="AA33" s="95"/>
      <c r="AB33" s="96"/>
      <c r="AC33" s="97"/>
      <c r="AD33" s="95"/>
      <c r="AE33" s="96"/>
      <c r="AF33" s="97"/>
      <c r="AG33" s="95"/>
      <c r="AH33" s="96"/>
      <c r="AI33" s="97">
        <f>IFERROR(__xludf.DUMMYFUNCTION("""COMPUTED_VALUE"""),183.74374258514422)</f>
        <v>183.7437426</v>
      </c>
      <c r="AJ33" s="95"/>
      <c r="AK33" s="96"/>
      <c r="AL33" s="97"/>
      <c r="AM33" s="95"/>
      <c r="AN33" s="96"/>
      <c r="AO33" s="97"/>
      <c r="AP33" s="95"/>
      <c r="AQ33" s="96"/>
      <c r="AR33" s="97"/>
      <c r="AS33" s="95"/>
      <c r="AT33" s="96"/>
      <c r="AU33" s="97"/>
      <c r="AV33" s="95"/>
      <c r="AW33" s="96">
        <f>IFERROR(__xludf.DUMMYFUNCTION("""COMPUTED_VALUE"""),76.01695118155479)</f>
        <v>76.01695118</v>
      </c>
      <c r="AX33" s="97">
        <f>IFERROR(__xludf.DUMMYFUNCTION("""COMPUTED_VALUE"""),132.8326831156063)</f>
        <v>132.8326831</v>
      </c>
      <c r="AY33" s="95"/>
      <c r="AZ33" s="96"/>
      <c r="BA33" s="97"/>
      <c r="BB33" s="95"/>
      <c r="BC33" s="96"/>
      <c r="BD33" s="97"/>
      <c r="BE33" s="95"/>
      <c r="BF33" s="96"/>
      <c r="BG33" s="97"/>
      <c r="BH33" s="95"/>
      <c r="BI33" s="96"/>
      <c r="BJ33" s="97"/>
      <c r="BK33" s="95"/>
      <c r="BL33" s="96"/>
      <c r="BM33" s="97"/>
      <c r="BN33" s="95">
        <f>IFERROR(__xludf.DUMMYFUNCTION("""COMPUTED_VALUE"""),21.538894664629236)</f>
        <v>21.53889466</v>
      </c>
      <c r="BO33" s="96"/>
      <c r="BP33" s="97"/>
      <c r="BQ33" s="95"/>
      <c r="BR33" s="96"/>
      <c r="BS33" s="97"/>
      <c r="BT33" s="95"/>
      <c r="BU33" s="96">
        <f>IFERROR(__xludf.DUMMYFUNCTION("""COMPUTED_VALUE"""),21.975664114951755)</f>
        <v>21.97566411</v>
      </c>
      <c r="BV33" s="97"/>
      <c r="BW33" s="95"/>
      <c r="BX33" s="96"/>
      <c r="BY33" s="97"/>
      <c r="BZ33" s="95"/>
      <c r="CA33" s="96"/>
      <c r="CB33" s="97">
        <f>IFERROR(__xludf.DUMMYFUNCTION("""COMPUTED_VALUE"""),280.58237412456094)</f>
        <v>280.5823741</v>
      </c>
      <c r="CC33" s="95"/>
      <c r="CD33" s="96"/>
      <c r="CE33" s="97"/>
      <c r="CF33" s="95"/>
      <c r="CG33" s="96"/>
      <c r="CH33" s="96"/>
      <c r="CI33" s="95">
        <f>IFERROR(__xludf.DUMMYFUNCTION("""COMPUTED_VALUE"""),28.44529655901503)</f>
        <v>28.44529656</v>
      </c>
      <c r="CJ33" s="96"/>
      <c r="CK33" s="96"/>
      <c r="CL33" s="95"/>
      <c r="CM33" s="96"/>
      <c r="CN33" s="96"/>
      <c r="CO33" s="95"/>
      <c r="CP33" s="96"/>
      <c r="CQ33" s="96"/>
      <c r="CR33" s="95"/>
      <c r="CS33" s="96"/>
      <c r="CT33" s="96"/>
      <c r="CU33" s="95"/>
      <c r="CV33" s="96"/>
      <c r="CW33" s="97"/>
      <c r="CX33" s="96">
        <f>IFERROR(__xludf.DUMMYFUNCTION("""COMPUTED_VALUE"""),35.053763440860216)</f>
        <v>35.05376344</v>
      </c>
      <c r="CY33" s="96"/>
      <c r="CZ33" s="97"/>
      <c r="DA33" s="95"/>
      <c r="DB33" s="96"/>
      <c r="DC33" s="97"/>
      <c r="DD33" s="95"/>
      <c r="DE33" s="96"/>
      <c r="DF33" s="97">
        <f>IFERROR(__xludf.DUMMYFUNCTION("""COMPUTED_VALUE"""),97.64705882352942)</f>
        <v>97.64705882</v>
      </c>
      <c r="DG33" s="95"/>
      <c r="DH33" s="96"/>
      <c r="DI33" s="97"/>
      <c r="DJ33" s="95"/>
      <c r="DK33" s="96"/>
      <c r="DL33" s="97"/>
      <c r="DM33" s="95"/>
      <c r="DN33" s="96">
        <f>IFERROR(__xludf.DUMMYFUNCTION("""COMPUTED_VALUE"""),127.6923076923077)</f>
        <v>127.6923077</v>
      </c>
      <c r="DO33" s="97"/>
      <c r="DP33" s="95"/>
      <c r="DQ33" s="96"/>
      <c r="DR33" s="97"/>
      <c r="DS33" s="95"/>
    </row>
    <row r="34">
      <c r="B34" s="83" t="str">
        <f>IFERROR(__xludf.DUMMYFUNCTION("""COMPUTED_VALUE"""),"TRF15")</f>
        <v>TRF15</v>
      </c>
      <c r="C34" s="88" t="str">
        <f>IFERROR(__xludf.DUMMYFUNCTION("""COMPUTED_VALUE"""),"THU Rider Training Ground- Adv")</f>
        <v>THU Rider Training Ground- Adv</v>
      </c>
      <c r="D34" s="102">
        <f>IFERROR(__xludf.DUMMYFUNCTION("""COMPUTED_VALUE"""),30.0)</f>
        <v>30</v>
      </c>
      <c r="E34" s="82" t="b">
        <f>IFERROR(__xludf.DUMMYFUNCTION("""COMPUTED_VALUE"""),TRUE)</f>
        <v>1</v>
      </c>
      <c r="F34" s="82" t="str">
        <f>IFERROR(__xludf.DUMMYFUNCTION("""COMPUTED_VALUE"""),"Training Field!A294:J310")</f>
        <v>Training Field!A294:J310</v>
      </c>
      <c r="G34" s="82">
        <f>IFERROR(__xludf.DUMMYFUNCTION("""COMPUTED_VALUE"""),34.0)</f>
        <v>34</v>
      </c>
      <c r="H34" s="82">
        <f>IFERROR(__xludf.DUMMYFUNCTION("""COMPUTED_VALUE"""),2248.0)</f>
        <v>2248</v>
      </c>
      <c r="I34" s="95"/>
      <c r="J34" s="96"/>
      <c r="K34" s="97">
        <f>IFERROR(__xludf.DUMMYFUNCTION("""COMPUTED_VALUE"""),1015.9839708341494)</f>
        <v>1015.983971</v>
      </c>
      <c r="L34" s="95"/>
      <c r="M34" s="96"/>
      <c r="N34" s="97"/>
      <c r="O34" s="95"/>
      <c r="P34" s="96"/>
      <c r="Q34" s="97"/>
      <c r="R34" s="95"/>
      <c r="S34" s="96"/>
      <c r="T34" s="97"/>
      <c r="U34" s="95"/>
      <c r="V34" s="96"/>
      <c r="W34" s="97"/>
      <c r="X34" s="95"/>
      <c r="Y34" s="96"/>
      <c r="Z34" s="97"/>
      <c r="AA34" s="95"/>
      <c r="AB34" s="96"/>
      <c r="AC34" s="97"/>
      <c r="AD34" s="95"/>
      <c r="AE34" s="96"/>
      <c r="AF34" s="97"/>
      <c r="AG34" s="95"/>
      <c r="AH34" s="96"/>
      <c r="AI34" s="97">
        <f>IFERROR(__xludf.DUMMYFUNCTION("""COMPUTED_VALUE"""),204.48694818996913)</f>
        <v>204.4869482</v>
      </c>
      <c r="AJ34" s="95"/>
      <c r="AK34" s="96"/>
      <c r="AL34" s="97"/>
      <c r="AM34" s="95"/>
      <c r="AN34" s="96"/>
      <c r="AO34" s="97"/>
      <c r="AP34" s="95"/>
      <c r="AQ34" s="96"/>
      <c r="AR34" s="97"/>
      <c r="AS34" s="95"/>
      <c r="AT34" s="96"/>
      <c r="AU34" s="97"/>
      <c r="AV34" s="95"/>
      <c r="AW34" s="96">
        <f>IFERROR(__xludf.DUMMYFUNCTION("""COMPUTED_VALUE"""),65.98780634574909)</f>
        <v>65.98780635</v>
      </c>
      <c r="AX34" s="97">
        <f>IFERROR(__xludf.DUMMYFUNCTION("""COMPUTED_VALUE"""),232.9702672732737)</f>
        <v>232.9702673</v>
      </c>
      <c r="AY34" s="95"/>
      <c r="AZ34" s="96"/>
      <c r="BA34" s="97"/>
      <c r="BB34" s="95"/>
      <c r="BC34" s="96"/>
      <c r="BD34" s="97"/>
      <c r="BE34" s="95"/>
      <c r="BF34" s="96"/>
      <c r="BG34" s="97">
        <f>IFERROR(__xludf.DUMMYFUNCTION("""COMPUTED_VALUE"""),127.42800997657018)</f>
        <v>127.42801</v>
      </c>
      <c r="BH34" s="95"/>
      <c r="BI34" s="96"/>
      <c r="BJ34" s="97"/>
      <c r="BK34" s="95"/>
      <c r="BL34" s="96"/>
      <c r="BM34" s="97"/>
      <c r="BN34" s="95">
        <f>IFERROR(__xludf.DUMMYFUNCTION("""COMPUTED_VALUE"""),24.77356105613834)</f>
        <v>24.77356106</v>
      </c>
      <c r="BO34" s="96"/>
      <c r="BP34" s="97"/>
      <c r="BQ34" s="95"/>
      <c r="BR34" s="96"/>
      <c r="BS34" s="97"/>
      <c r="BT34" s="95"/>
      <c r="BU34" s="96">
        <f>IFERROR(__xludf.DUMMYFUNCTION("""COMPUTED_VALUE"""),126.88975229780708)</f>
        <v>126.8897523</v>
      </c>
      <c r="BV34" s="97"/>
      <c r="BW34" s="95"/>
      <c r="BX34" s="96"/>
      <c r="BY34" s="97"/>
      <c r="BZ34" s="95"/>
      <c r="CA34" s="96"/>
      <c r="CB34" s="97">
        <f>IFERROR(__xludf.DUMMYFUNCTION("""COMPUTED_VALUE"""),75.56353320022319)</f>
        <v>75.5635332</v>
      </c>
      <c r="CC34" s="95"/>
      <c r="CD34" s="96"/>
      <c r="CE34" s="97"/>
      <c r="CF34" s="95"/>
      <c r="CG34" s="96"/>
      <c r="CH34" s="96"/>
      <c r="CI34" s="95">
        <f>IFERROR(__xludf.DUMMYFUNCTION("""COMPUTED_VALUE"""),29.056654012545547)</f>
        <v>29.05665401</v>
      </c>
      <c r="CJ34" s="96"/>
      <c r="CK34" s="96"/>
      <c r="CL34" s="95"/>
      <c r="CM34" s="96"/>
      <c r="CN34" s="96"/>
      <c r="CO34" s="95"/>
      <c r="CP34" s="96"/>
      <c r="CQ34" s="96"/>
      <c r="CR34" s="95"/>
      <c r="CS34" s="96"/>
      <c r="CT34" s="96"/>
      <c r="CU34" s="95"/>
      <c r="CV34" s="96"/>
      <c r="CW34" s="97"/>
      <c r="CX34" s="96">
        <f>IFERROR(__xludf.DUMMYFUNCTION("""COMPUTED_VALUE"""),320.0)</f>
        <v>320</v>
      </c>
      <c r="CY34" s="96"/>
      <c r="CZ34" s="97"/>
      <c r="DA34" s="95"/>
      <c r="DB34" s="96"/>
      <c r="DC34" s="97"/>
      <c r="DD34" s="95"/>
      <c r="DE34" s="96"/>
      <c r="DF34" s="97">
        <f>IFERROR(__xludf.DUMMYFUNCTION("""COMPUTED_VALUE"""),257.1428571428571)</f>
        <v>257.1428571</v>
      </c>
      <c r="DG34" s="95"/>
      <c r="DH34" s="96"/>
      <c r="DI34" s="97"/>
      <c r="DJ34" s="95"/>
      <c r="DK34" s="96"/>
      <c r="DL34" s="97"/>
      <c r="DM34" s="95"/>
      <c r="DN34" s="96">
        <f>IFERROR(__xludf.DUMMYFUNCTION("""COMPUTED_VALUE"""),225.0)</f>
        <v>225</v>
      </c>
      <c r="DO34" s="97"/>
      <c r="DP34" s="95"/>
      <c r="DQ34" s="96"/>
      <c r="DR34" s="97"/>
      <c r="DS34" s="95"/>
    </row>
    <row r="35">
      <c r="B35" s="83" t="str">
        <f>IFERROR(__xludf.DUMMYFUNCTION("""COMPUTED_VALUE"""),"TRF16")</f>
        <v>TRF16</v>
      </c>
      <c r="C35" s="88" t="str">
        <f>IFERROR(__xludf.DUMMYFUNCTION("""COMPUTED_VALUE"""),"THU Rider Training Ground- Exp")</f>
        <v>THU Rider Training Ground- Exp</v>
      </c>
      <c r="D35" s="102">
        <f>IFERROR(__xludf.DUMMYFUNCTION("""COMPUTED_VALUE"""),40.0)</f>
        <v>40</v>
      </c>
      <c r="E35" s="82" t="b">
        <f>IFERROR(__xludf.DUMMYFUNCTION("""COMPUTED_VALUE"""),TRUE)</f>
        <v>1</v>
      </c>
      <c r="F35" s="82" t="str">
        <f>IFERROR(__xludf.DUMMYFUNCTION("""COMPUTED_VALUE"""),"Training Field!A314:J330")</f>
        <v>Training Field!A314:J330</v>
      </c>
      <c r="G35" s="82">
        <f>IFERROR(__xludf.DUMMYFUNCTION("""COMPUTED_VALUE"""),35.0)</f>
        <v>35</v>
      </c>
      <c r="H35" s="82">
        <f>IFERROR(__xludf.DUMMYFUNCTION("""COMPUTED_VALUE"""),4725.0)</f>
        <v>4725</v>
      </c>
      <c r="I35" s="95"/>
      <c r="J35" s="96"/>
      <c r="K35" s="97">
        <f>IFERROR(__xludf.DUMMYFUNCTION("""COMPUTED_VALUE"""),544.9072792693053)</f>
        <v>544.9072793</v>
      </c>
      <c r="L35" s="95"/>
      <c r="M35" s="96"/>
      <c r="N35" s="97"/>
      <c r="O35" s="95"/>
      <c r="P35" s="96"/>
      <c r="Q35" s="97"/>
      <c r="R35" s="95"/>
      <c r="S35" s="96"/>
      <c r="T35" s="97"/>
      <c r="U35" s="95"/>
      <c r="V35" s="96"/>
      <c r="W35" s="97"/>
      <c r="X35" s="95"/>
      <c r="Y35" s="96"/>
      <c r="Z35" s="97"/>
      <c r="AA35" s="95"/>
      <c r="AB35" s="96"/>
      <c r="AC35" s="97"/>
      <c r="AD35" s="95"/>
      <c r="AE35" s="96"/>
      <c r="AF35" s="97"/>
      <c r="AG35" s="95"/>
      <c r="AH35" s="96"/>
      <c r="AI35" s="97">
        <f>IFERROR(__xludf.DUMMYFUNCTION("""COMPUTED_VALUE"""),206.98990677787904)</f>
        <v>206.9899068</v>
      </c>
      <c r="AJ35" s="95"/>
      <c r="AK35" s="96"/>
      <c r="AL35" s="97"/>
      <c r="AM35" s="95"/>
      <c r="AN35" s="96"/>
      <c r="AO35" s="97"/>
      <c r="AP35" s="95"/>
      <c r="AQ35" s="96"/>
      <c r="AR35" s="97"/>
      <c r="AS35" s="95"/>
      <c r="AT35" s="96"/>
      <c r="AU35" s="97"/>
      <c r="AV35" s="95"/>
      <c r="AW35" s="96">
        <f>IFERROR(__xludf.DUMMYFUNCTION("""COMPUTED_VALUE"""),85.81999415152632)</f>
        <v>85.81999415</v>
      </c>
      <c r="AX35" s="97">
        <f>IFERROR(__xludf.DUMMYFUNCTION("""COMPUTED_VALUE"""),242.73340936411546)</f>
        <v>242.7334094</v>
      </c>
      <c r="AY35" s="95"/>
      <c r="AZ35" s="96"/>
      <c r="BA35" s="97"/>
      <c r="BB35" s="95"/>
      <c r="BC35" s="96"/>
      <c r="BD35" s="97"/>
      <c r="BE35" s="95"/>
      <c r="BF35" s="96"/>
      <c r="BG35" s="97">
        <f>IFERROR(__xludf.DUMMYFUNCTION("""COMPUTED_VALUE"""),102.40905100946065)</f>
        <v>102.409051</v>
      </c>
      <c r="BH35" s="95"/>
      <c r="BI35" s="96"/>
      <c r="BJ35" s="97"/>
      <c r="BK35" s="95"/>
      <c r="BL35" s="96"/>
      <c r="BM35" s="97"/>
      <c r="BN35" s="95">
        <f>IFERROR(__xludf.DUMMYFUNCTION("""COMPUTED_VALUE"""),41.727381110080806)</f>
        <v>41.72738111</v>
      </c>
      <c r="BO35" s="96"/>
      <c r="BP35" s="97"/>
      <c r="BQ35" s="95"/>
      <c r="BR35" s="96"/>
      <c r="BS35" s="97"/>
      <c r="BT35" s="95"/>
      <c r="BU35" s="96">
        <f>IFERROR(__xludf.DUMMYFUNCTION("""COMPUTED_VALUE"""),182.34583576139514)</f>
        <v>182.3458358</v>
      </c>
      <c r="BV35" s="97"/>
      <c r="BW35" s="95"/>
      <c r="BX35" s="96"/>
      <c r="BY35" s="97"/>
      <c r="BZ35" s="95"/>
      <c r="CA35" s="96"/>
      <c r="CB35" s="97">
        <f>IFERROR(__xludf.DUMMYFUNCTION("""COMPUTED_VALUE"""),69.22275663329812)</f>
        <v>69.22275663</v>
      </c>
      <c r="CC35" s="95"/>
      <c r="CD35" s="96"/>
      <c r="CE35" s="97"/>
      <c r="CF35" s="95"/>
      <c r="CG35" s="96"/>
      <c r="CH35" s="96"/>
      <c r="CI35" s="95">
        <f>IFERROR(__xludf.DUMMYFUNCTION("""COMPUTED_VALUE"""),51.18760664084717)</f>
        <v>51.18760664</v>
      </c>
      <c r="CJ35" s="96"/>
      <c r="CK35" s="96"/>
      <c r="CL35" s="95"/>
      <c r="CM35" s="96"/>
      <c r="CN35" s="96"/>
      <c r="CO35" s="95"/>
      <c r="CP35" s="96"/>
      <c r="CQ35" s="96"/>
      <c r="CR35" s="95"/>
      <c r="CS35" s="96"/>
      <c r="CT35" s="96"/>
      <c r="CU35" s="95"/>
      <c r="CV35" s="96"/>
      <c r="CW35" s="97"/>
      <c r="CX35" s="96">
        <f>IFERROR(__xludf.DUMMYFUNCTION("""COMPUTED_VALUE"""),283.1578947368421)</f>
        <v>283.1578947</v>
      </c>
      <c r="CY35" s="96"/>
      <c r="CZ35" s="97"/>
      <c r="DA35" s="95"/>
      <c r="DB35" s="96"/>
      <c r="DC35" s="97"/>
      <c r="DD35" s="95"/>
      <c r="DE35" s="96"/>
      <c r="DF35" s="97">
        <f>IFERROR(__xludf.DUMMYFUNCTION("""COMPUTED_VALUE"""),847.9999999999999)</f>
        <v>848</v>
      </c>
      <c r="DG35" s="95"/>
      <c r="DH35" s="96"/>
      <c r="DI35" s="97"/>
      <c r="DJ35" s="95"/>
      <c r="DK35" s="96"/>
      <c r="DL35" s="97"/>
      <c r="DM35" s="95"/>
      <c r="DN35" s="96">
        <f>IFERROR(__xludf.DUMMYFUNCTION("""COMPUTED_VALUE"""),446.3157894736842)</f>
        <v>446.3157895</v>
      </c>
      <c r="DO35" s="97"/>
      <c r="DP35" s="95"/>
      <c r="DQ35" s="96"/>
      <c r="DR35" s="97"/>
      <c r="DS35" s="95"/>
    </row>
    <row r="36">
      <c r="B36" s="83" t="str">
        <f>IFERROR(__xludf.DUMMYFUNCTION("""COMPUTED_VALUE"""),"TRF17")</f>
        <v>TRF17</v>
      </c>
      <c r="C36" s="88" t="str">
        <f>IFERROR(__xludf.DUMMYFUNCTION("""COMPUTED_VALUE"""),"FRI Caster Training Ground- Nov")</f>
        <v>FRI Caster Training Ground- Nov</v>
      </c>
      <c r="D36" s="102">
        <f>IFERROR(__xludf.DUMMYFUNCTION("""COMPUTED_VALUE"""),10.0)</f>
        <v>10</v>
      </c>
      <c r="E36" s="82" t="b">
        <f>IFERROR(__xludf.DUMMYFUNCTION("""COMPUTED_VALUE"""),TRUE)</f>
        <v>1</v>
      </c>
      <c r="F36" s="82" t="str">
        <f>IFERROR(__xludf.DUMMYFUNCTION("""COMPUTED_VALUE"""),"Training Field!A334:J346")</f>
        <v>Training Field!A334:J346</v>
      </c>
      <c r="G36" s="82">
        <f>IFERROR(__xludf.DUMMYFUNCTION("""COMPUTED_VALUE"""),36.0)</f>
        <v>36</v>
      </c>
      <c r="H36" s="82">
        <f>IFERROR(__xludf.DUMMYFUNCTION("""COMPUTED_VALUE"""),3593.0)</f>
        <v>3593</v>
      </c>
      <c r="I36" s="95"/>
      <c r="J36" s="96"/>
      <c r="K36" s="97"/>
      <c r="L36" s="95"/>
      <c r="M36" s="96"/>
      <c r="N36" s="97"/>
      <c r="O36" s="95"/>
      <c r="P36" s="96"/>
      <c r="Q36" s="97"/>
      <c r="R36" s="95"/>
      <c r="S36" s="96"/>
      <c r="T36" s="97"/>
      <c r="U36" s="95"/>
      <c r="V36" s="96"/>
      <c r="W36" s="97"/>
      <c r="X36" s="95"/>
      <c r="Y36" s="96"/>
      <c r="Z36" s="97"/>
      <c r="AA36" s="95"/>
      <c r="AB36" s="96"/>
      <c r="AC36" s="97"/>
      <c r="AD36" s="95">
        <f>IFERROR(__xludf.DUMMYFUNCTION("""COMPUTED_VALUE"""),130.81771081749235)</f>
        <v>130.8177108</v>
      </c>
      <c r="AE36" s="96"/>
      <c r="AF36" s="97"/>
      <c r="AG36" s="95">
        <f>IFERROR(__xludf.DUMMYFUNCTION("""COMPUTED_VALUE"""),220.18090008824393)</f>
        <v>220.1809001</v>
      </c>
      <c r="AH36" s="96"/>
      <c r="AI36" s="97"/>
      <c r="AJ36" s="95"/>
      <c r="AK36" s="96"/>
      <c r="AL36" s="97"/>
      <c r="AM36" s="95"/>
      <c r="AN36" s="96"/>
      <c r="AO36" s="97"/>
      <c r="AP36" s="95"/>
      <c r="AQ36" s="96"/>
      <c r="AR36" s="97"/>
      <c r="AS36" s="95"/>
      <c r="AT36" s="96"/>
      <c r="AU36" s="97"/>
      <c r="AV36" s="95"/>
      <c r="AW36" s="96"/>
      <c r="AX36" s="97">
        <f>IFERROR(__xludf.DUMMYFUNCTION("""COMPUTED_VALUE"""),74.74174262879585)</f>
        <v>74.74174263</v>
      </c>
      <c r="AY36" s="95"/>
      <c r="AZ36" s="96"/>
      <c r="BA36" s="97"/>
      <c r="BB36" s="95"/>
      <c r="BC36" s="96"/>
      <c r="BD36" s="97"/>
      <c r="BE36" s="95"/>
      <c r="BF36" s="96"/>
      <c r="BG36" s="97"/>
      <c r="BH36" s="95"/>
      <c r="BI36" s="96"/>
      <c r="BJ36" s="97"/>
      <c r="BK36" s="95"/>
      <c r="BL36" s="96"/>
      <c r="BM36" s="97"/>
      <c r="BN36" s="95"/>
      <c r="BO36" s="96">
        <f>IFERROR(__xludf.DUMMYFUNCTION("""COMPUTED_VALUE"""),88.70247023912388)</f>
        <v>88.70247024</v>
      </c>
      <c r="BP36" s="97"/>
      <c r="BQ36" s="95"/>
      <c r="BR36" s="96"/>
      <c r="BS36" s="97"/>
      <c r="BT36" s="95"/>
      <c r="BU36" s="96"/>
      <c r="BV36" s="97">
        <f>IFERROR(__xludf.DUMMYFUNCTION("""COMPUTED_VALUE"""),8.072426720204254)</f>
        <v>8.07242672</v>
      </c>
      <c r="BW36" s="95"/>
      <c r="BX36" s="96"/>
      <c r="BY36" s="97"/>
      <c r="BZ36" s="95"/>
      <c r="CA36" s="96"/>
      <c r="CB36" s="97"/>
      <c r="CC36" s="95">
        <f>IFERROR(__xludf.DUMMYFUNCTION("""COMPUTED_VALUE"""),489.9615155865622)</f>
        <v>489.9615156</v>
      </c>
      <c r="CD36" s="96"/>
      <c r="CE36" s="97"/>
      <c r="CF36" s="95"/>
      <c r="CG36" s="96"/>
      <c r="CH36" s="96"/>
      <c r="CI36" s="95"/>
      <c r="CJ36" s="96">
        <f>IFERROR(__xludf.DUMMYFUNCTION("""COMPUTED_VALUE"""),30.864152378026198)</f>
        <v>30.86415238</v>
      </c>
      <c r="CK36" s="96"/>
      <c r="CL36" s="95"/>
      <c r="CM36" s="96"/>
      <c r="CN36" s="96"/>
      <c r="CO36" s="95"/>
      <c r="CP36" s="96"/>
      <c r="CQ36" s="96"/>
      <c r="CR36" s="95"/>
      <c r="CS36" s="96"/>
      <c r="CT36" s="96"/>
      <c r="CU36" s="95"/>
      <c r="CV36" s="96"/>
      <c r="CW36" s="97"/>
      <c r="CX36" s="96"/>
      <c r="CY36" s="96">
        <f>IFERROR(__xludf.DUMMYFUNCTION("""COMPUTED_VALUE"""),12.574257425742573)</f>
        <v>12.57425743</v>
      </c>
      <c r="CZ36" s="97"/>
      <c r="DA36" s="95"/>
      <c r="DB36" s="96"/>
      <c r="DC36" s="97"/>
      <c r="DD36" s="95"/>
      <c r="DE36" s="96"/>
      <c r="DF36" s="97"/>
      <c r="DG36" s="95">
        <f>IFERROR(__xludf.DUMMYFUNCTION("""COMPUTED_VALUE"""),21.347517730496453)</f>
        <v>21.34751773</v>
      </c>
      <c r="DH36" s="96"/>
      <c r="DI36" s="97"/>
      <c r="DJ36" s="95"/>
      <c r="DK36" s="96"/>
      <c r="DL36" s="97"/>
      <c r="DM36" s="95"/>
      <c r="DN36" s="96"/>
      <c r="DO36" s="97"/>
      <c r="DP36" s="95"/>
      <c r="DQ36" s="96"/>
      <c r="DR36" s="97"/>
      <c r="DS36" s="95"/>
    </row>
    <row r="37">
      <c r="B37" s="83" t="str">
        <f>IFERROR(__xludf.DUMMYFUNCTION("""COMPUTED_VALUE"""),"TRF18")</f>
        <v>TRF18</v>
      </c>
      <c r="C37" s="88" t="str">
        <f>IFERROR(__xludf.DUMMYFUNCTION("""COMPUTED_VALUE"""),"FRI Caster Training Ground- Int")</f>
        <v>FRI Caster Training Ground- Int</v>
      </c>
      <c r="D37" s="102">
        <f>IFERROR(__xludf.DUMMYFUNCTION("""COMPUTED_VALUE"""),20.0)</f>
        <v>20</v>
      </c>
      <c r="E37" s="82" t="b">
        <f>IFERROR(__xludf.DUMMYFUNCTION("""COMPUTED_VALUE"""),TRUE)</f>
        <v>1</v>
      </c>
      <c r="F37" s="82" t="str">
        <f>IFERROR(__xludf.DUMMYFUNCTION("""COMPUTED_VALUE"""),"Training Field!A350:J363")</f>
        <v>Training Field!A350:J363</v>
      </c>
      <c r="G37" s="82">
        <f>IFERROR(__xludf.DUMMYFUNCTION("""COMPUTED_VALUE"""),37.0)</f>
        <v>37</v>
      </c>
      <c r="H37" s="82">
        <f>IFERROR(__xludf.DUMMYFUNCTION("""COMPUTED_VALUE"""),1211.0)</f>
        <v>1211</v>
      </c>
      <c r="I37" s="95"/>
      <c r="J37" s="96"/>
      <c r="K37" s="97"/>
      <c r="L37" s="95"/>
      <c r="M37" s="96"/>
      <c r="N37" s="97"/>
      <c r="O37" s="95"/>
      <c r="P37" s="96"/>
      <c r="Q37" s="97"/>
      <c r="R37" s="95"/>
      <c r="S37" s="96"/>
      <c r="T37" s="97"/>
      <c r="U37" s="95"/>
      <c r="V37" s="96"/>
      <c r="W37" s="97"/>
      <c r="X37" s="95"/>
      <c r="Y37" s="96"/>
      <c r="Z37" s="97"/>
      <c r="AA37" s="95"/>
      <c r="AB37" s="96"/>
      <c r="AC37" s="97"/>
      <c r="AD37" s="95">
        <f>IFERROR(__xludf.DUMMYFUNCTION("""COMPUTED_VALUE"""),140.5785661218425)</f>
        <v>140.5785661</v>
      </c>
      <c r="AE37" s="96"/>
      <c r="AF37" s="97"/>
      <c r="AG37" s="95">
        <f>IFERROR(__xludf.DUMMYFUNCTION("""COMPUTED_VALUE"""),206.34541984732823)</f>
        <v>206.3454198</v>
      </c>
      <c r="AH37" s="96"/>
      <c r="AI37" s="97"/>
      <c r="AJ37" s="95"/>
      <c r="AK37" s="96"/>
      <c r="AL37" s="97"/>
      <c r="AM37" s="95"/>
      <c r="AN37" s="96"/>
      <c r="AO37" s="97"/>
      <c r="AP37" s="95"/>
      <c r="AQ37" s="96"/>
      <c r="AR37" s="97"/>
      <c r="AS37" s="95"/>
      <c r="AT37" s="96"/>
      <c r="AU37" s="97"/>
      <c r="AV37" s="95"/>
      <c r="AW37" s="96"/>
      <c r="AX37" s="97">
        <f>IFERROR(__xludf.DUMMYFUNCTION("""COMPUTED_VALUE"""),97.75589279948338)</f>
        <v>97.7558928</v>
      </c>
      <c r="AY37" s="95"/>
      <c r="AZ37" s="96"/>
      <c r="BA37" s="97"/>
      <c r="BB37" s="95"/>
      <c r="BC37" s="96"/>
      <c r="BD37" s="97"/>
      <c r="BE37" s="95"/>
      <c r="BF37" s="96"/>
      <c r="BG37" s="97"/>
      <c r="BH37" s="95"/>
      <c r="BI37" s="96"/>
      <c r="BJ37" s="97"/>
      <c r="BK37" s="95"/>
      <c r="BL37" s="96"/>
      <c r="BM37" s="97"/>
      <c r="BN37" s="95"/>
      <c r="BO37" s="96">
        <f>IFERROR(__xludf.DUMMYFUNCTION("""COMPUTED_VALUE"""),25.87872260402776)</f>
        <v>25.8787226</v>
      </c>
      <c r="BP37" s="97"/>
      <c r="BQ37" s="95"/>
      <c r="BR37" s="96"/>
      <c r="BS37" s="97"/>
      <c r="BT37" s="95"/>
      <c r="BU37" s="96"/>
      <c r="BV37" s="97">
        <f>IFERROR(__xludf.DUMMYFUNCTION("""COMPUTED_VALUE"""),20.590615712119046)</f>
        <v>20.59061571</v>
      </c>
      <c r="BW37" s="95"/>
      <c r="BX37" s="96"/>
      <c r="BY37" s="97"/>
      <c r="BZ37" s="95"/>
      <c r="CA37" s="96"/>
      <c r="CB37" s="97"/>
      <c r="CC37" s="95">
        <f>IFERROR(__xludf.DUMMYFUNCTION("""COMPUTED_VALUE"""),285.58626544665594)</f>
        <v>285.5862654</v>
      </c>
      <c r="CD37" s="96"/>
      <c r="CE37" s="97"/>
      <c r="CF37" s="95"/>
      <c r="CG37" s="96"/>
      <c r="CH37" s="96"/>
      <c r="CI37" s="95"/>
      <c r="CJ37" s="96">
        <f>IFERROR(__xludf.DUMMYFUNCTION("""COMPUTED_VALUE"""),23.92013716055528)</f>
        <v>23.92013716</v>
      </c>
      <c r="CK37" s="96"/>
      <c r="CL37" s="95"/>
      <c r="CM37" s="96"/>
      <c r="CN37" s="96"/>
      <c r="CO37" s="95"/>
      <c r="CP37" s="96"/>
      <c r="CQ37" s="96"/>
      <c r="CR37" s="95"/>
      <c r="CS37" s="96"/>
      <c r="CT37" s="96"/>
      <c r="CU37" s="95"/>
      <c r="CV37" s="96"/>
      <c r="CW37" s="97"/>
      <c r="CX37" s="96"/>
      <c r="CY37" s="96">
        <f>IFERROR(__xludf.DUMMYFUNCTION("""COMPUTED_VALUE"""),31.0)</f>
        <v>31</v>
      </c>
      <c r="CZ37" s="97"/>
      <c r="DA37" s="95"/>
      <c r="DB37" s="96"/>
      <c r="DC37" s="97"/>
      <c r="DD37" s="95"/>
      <c r="DE37" s="96"/>
      <c r="DF37" s="97"/>
      <c r="DG37" s="95">
        <f>IFERROR(__xludf.DUMMYFUNCTION("""COMPUTED_VALUE"""),36.81818181818182)</f>
        <v>36.81818182</v>
      </c>
      <c r="DH37" s="96"/>
      <c r="DI37" s="97"/>
      <c r="DJ37" s="95"/>
      <c r="DK37" s="96"/>
      <c r="DL37" s="97"/>
      <c r="DM37" s="95"/>
      <c r="DN37" s="96"/>
      <c r="DO37" s="97"/>
      <c r="DP37" s="95"/>
      <c r="DQ37" s="96"/>
      <c r="DR37" s="97"/>
      <c r="DS37" s="95"/>
    </row>
    <row r="38">
      <c r="B38" s="83" t="str">
        <f>IFERROR(__xludf.DUMMYFUNCTION("""COMPUTED_VALUE"""),"TRF19")</f>
        <v>TRF19</v>
      </c>
      <c r="C38" s="88" t="str">
        <f>IFERROR(__xludf.DUMMYFUNCTION("""COMPUTED_VALUE"""),"FRI Caster Training Ground- Adv")</f>
        <v>FRI Caster Training Ground- Adv</v>
      </c>
      <c r="D38" s="102">
        <f>IFERROR(__xludf.DUMMYFUNCTION("""COMPUTED_VALUE"""),30.0)</f>
        <v>30</v>
      </c>
      <c r="E38" s="82" t="b">
        <f>IFERROR(__xludf.DUMMYFUNCTION("""COMPUTED_VALUE"""),TRUE)</f>
        <v>1</v>
      </c>
      <c r="F38" s="82" t="str">
        <f>IFERROR(__xludf.DUMMYFUNCTION("""COMPUTED_VALUE"""),"Training Field!A367:J381")</f>
        <v>Training Field!A367:J381</v>
      </c>
      <c r="G38" s="82">
        <f>IFERROR(__xludf.DUMMYFUNCTION("""COMPUTED_VALUE"""),38.0)</f>
        <v>38</v>
      </c>
      <c r="H38" s="82">
        <f>IFERROR(__xludf.DUMMYFUNCTION("""COMPUTED_VALUE"""),2136.0)</f>
        <v>2136</v>
      </c>
      <c r="I38" s="95"/>
      <c r="J38" s="96">
        <f>IFERROR(__xludf.DUMMYFUNCTION("""COMPUTED_VALUE"""),720.226588140089)</f>
        <v>720.2265881</v>
      </c>
      <c r="K38" s="97"/>
      <c r="L38" s="95"/>
      <c r="M38" s="96"/>
      <c r="N38" s="97"/>
      <c r="O38" s="95"/>
      <c r="P38" s="96"/>
      <c r="Q38" s="97"/>
      <c r="R38" s="95"/>
      <c r="S38" s="96"/>
      <c r="T38" s="97"/>
      <c r="U38" s="95"/>
      <c r="V38" s="96"/>
      <c r="W38" s="97"/>
      <c r="X38" s="95"/>
      <c r="Y38" s="96"/>
      <c r="Z38" s="97"/>
      <c r="AA38" s="95"/>
      <c r="AB38" s="96"/>
      <c r="AC38" s="97"/>
      <c r="AD38" s="95">
        <f>IFERROR(__xludf.DUMMYFUNCTION("""COMPUTED_VALUE"""),131.405721316518)</f>
        <v>131.4057213</v>
      </c>
      <c r="AE38" s="96"/>
      <c r="AF38" s="97"/>
      <c r="AG38" s="95">
        <f>IFERROR(__xludf.DUMMYFUNCTION("""COMPUTED_VALUE"""),186.02814807933487)</f>
        <v>186.0281481</v>
      </c>
      <c r="AH38" s="96"/>
      <c r="AI38" s="97"/>
      <c r="AJ38" s="95"/>
      <c r="AK38" s="96"/>
      <c r="AL38" s="97"/>
      <c r="AM38" s="95"/>
      <c r="AN38" s="96"/>
      <c r="AO38" s="97"/>
      <c r="AP38" s="95"/>
      <c r="AQ38" s="96"/>
      <c r="AR38" s="97"/>
      <c r="AS38" s="95"/>
      <c r="AT38" s="96"/>
      <c r="AU38" s="97"/>
      <c r="AV38" s="95"/>
      <c r="AW38" s="96"/>
      <c r="AX38" s="97">
        <f>IFERROR(__xludf.DUMMYFUNCTION("""COMPUTED_VALUE"""),145.00296432402098)</f>
        <v>145.0029643</v>
      </c>
      <c r="AY38" s="95"/>
      <c r="AZ38" s="96"/>
      <c r="BA38" s="97"/>
      <c r="BB38" s="95"/>
      <c r="BC38" s="96"/>
      <c r="BD38" s="97"/>
      <c r="BE38" s="95"/>
      <c r="BF38" s="96"/>
      <c r="BG38" s="97"/>
      <c r="BH38" s="95">
        <f>IFERROR(__xludf.DUMMYFUNCTION("""COMPUTED_VALUE"""),124.1316787608528)</f>
        <v>124.1316788</v>
      </c>
      <c r="BI38" s="96"/>
      <c r="BJ38" s="97"/>
      <c r="BK38" s="95"/>
      <c r="BL38" s="96"/>
      <c r="BM38" s="97"/>
      <c r="BN38" s="95"/>
      <c r="BO38" s="96">
        <f>IFERROR(__xludf.DUMMYFUNCTION("""COMPUTED_VALUE"""),17.972243989479168)</f>
        <v>17.97224399</v>
      </c>
      <c r="BP38" s="97"/>
      <c r="BQ38" s="95"/>
      <c r="BR38" s="96"/>
      <c r="BS38" s="97"/>
      <c r="BT38" s="95"/>
      <c r="BU38" s="96"/>
      <c r="BV38" s="97">
        <f>IFERROR(__xludf.DUMMYFUNCTION("""COMPUTED_VALUE"""),642.5348440790133)</f>
        <v>642.5348441</v>
      </c>
      <c r="BW38" s="95"/>
      <c r="BX38" s="96"/>
      <c r="BY38" s="97"/>
      <c r="BZ38" s="95"/>
      <c r="CA38" s="96"/>
      <c r="CB38" s="97"/>
      <c r="CC38" s="95">
        <f>IFERROR(__xludf.DUMMYFUNCTION("""COMPUTED_VALUE"""),91.32680401792331)</f>
        <v>91.32680402</v>
      </c>
      <c r="CD38" s="96"/>
      <c r="CE38" s="97"/>
      <c r="CF38" s="95"/>
      <c r="CG38" s="96"/>
      <c r="CH38" s="96"/>
      <c r="CI38" s="95"/>
      <c r="CJ38" s="96">
        <f>IFERROR(__xludf.DUMMYFUNCTION("""COMPUTED_VALUE"""),32.22710335162989)</f>
        <v>32.22710335</v>
      </c>
      <c r="CK38" s="96"/>
      <c r="CL38" s="95"/>
      <c r="CM38" s="96"/>
      <c r="CN38" s="96"/>
      <c r="CO38" s="95"/>
      <c r="CP38" s="96"/>
      <c r="CQ38" s="96"/>
      <c r="CR38" s="95"/>
      <c r="CS38" s="96"/>
      <c r="CT38" s="96"/>
      <c r="CU38" s="95"/>
      <c r="CV38" s="96"/>
      <c r="CW38" s="97"/>
      <c r="CX38" s="96"/>
      <c r="CY38" s="96">
        <f>IFERROR(__xludf.DUMMYFUNCTION("""COMPUTED_VALUE"""),226.70103092783503)</f>
        <v>226.7010309</v>
      </c>
      <c r="CZ38" s="97"/>
      <c r="DA38" s="95"/>
      <c r="DB38" s="96"/>
      <c r="DC38" s="97"/>
      <c r="DD38" s="95"/>
      <c r="DE38" s="96"/>
      <c r="DF38" s="97"/>
      <c r="DG38" s="95">
        <f>IFERROR(__xludf.DUMMYFUNCTION("""COMPUTED_VALUE"""),98.98477157360406)</f>
        <v>98.98477157</v>
      </c>
      <c r="DH38" s="96"/>
      <c r="DI38" s="97"/>
      <c r="DJ38" s="95"/>
      <c r="DK38" s="96"/>
      <c r="DL38" s="97"/>
      <c r="DM38" s="95"/>
      <c r="DN38" s="96"/>
      <c r="DO38" s="97"/>
      <c r="DP38" s="95"/>
      <c r="DQ38" s="96"/>
      <c r="DR38" s="97"/>
      <c r="DS38" s="95"/>
    </row>
    <row r="39">
      <c r="B39" s="83" t="str">
        <f>IFERROR(__xludf.DUMMYFUNCTION("""COMPUTED_VALUE"""),"TRF20")</f>
        <v>TRF20</v>
      </c>
      <c r="C39" s="88" t="str">
        <f>IFERROR(__xludf.DUMMYFUNCTION("""COMPUTED_VALUE"""),"FRI Caster Training Ground- Exp")</f>
        <v>FRI Caster Training Ground- Exp</v>
      </c>
      <c r="D39" s="102">
        <f>IFERROR(__xludf.DUMMYFUNCTION("""COMPUTED_VALUE"""),40.0)</f>
        <v>40</v>
      </c>
      <c r="E39" s="82" t="b">
        <f>IFERROR(__xludf.DUMMYFUNCTION("""COMPUTED_VALUE"""),TRUE)</f>
        <v>1</v>
      </c>
      <c r="F39" s="82" t="str">
        <f>IFERROR(__xludf.DUMMYFUNCTION("""COMPUTED_VALUE"""),"Training Field!A385:J399")</f>
        <v>Training Field!A385:J399</v>
      </c>
      <c r="G39" s="82">
        <f>IFERROR(__xludf.DUMMYFUNCTION("""COMPUTED_VALUE"""),39.0)</f>
        <v>39</v>
      </c>
      <c r="H39" s="82">
        <f>IFERROR(__xludf.DUMMYFUNCTION("""COMPUTED_VALUE"""),13329.0)</f>
        <v>13329</v>
      </c>
      <c r="I39" s="95"/>
      <c r="J39" s="96">
        <f>IFERROR(__xludf.DUMMYFUNCTION("""COMPUTED_VALUE"""),639.3500659023124)</f>
        <v>639.3500659</v>
      </c>
      <c r="K39" s="97"/>
      <c r="L39" s="95"/>
      <c r="M39" s="96"/>
      <c r="N39" s="97"/>
      <c r="O39" s="95"/>
      <c r="P39" s="96"/>
      <c r="Q39" s="97"/>
      <c r="R39" s="95"/>
      <c r="S39" s="96"/>
      <c r="T39" s="97"/>
      <c r="U39" s="95"/>
      <c r="V39" s="96"/>
      <c r="W39" s="97"/>
      <c r="X39" s="95"/>
      <c r="Y39" s="96"/>
      <c r="Z39" s="97"/>
      <c r="AA39" s="95"/>
      <c r="AB39" s="96"/>
      <c r="AC39" s="97"/>
      <c r="AD39" s="95">
        <f>IFERROR(__xludf.DUMMYFUNCTION("""COMPUTED_VALUE"""),161.05860604038156)</f>
        <v>161.058606</v>
      </c>
      <c r="AE39" s="96"/>
      <c r="AF39" s="97"/>
      <c r="AG39" s="95">
        <f>IFERROR(__xludf.DUMMYFUNCTION("""COMPUTED_VALUE"""),194.3664613593877)</f>
        <v>194.3664614</v>
      </c>
      <c r="AH39" s="96"/>
      <c r="AI39" s="97"/>
      <c r="AJ39" s="95"/>
      <c r="AK39" s="96"/>
      <c r="AL39" s="97"/>
      <c r="AM39" s="95"/>
      <c r="AN39" s="96"/>
      <c r="AO39" s="97"/>
      <c r="AP39" s="95"/>
      <c r="AQ39" s="96"/>
      <c r="AR39" s="97"/>
      <c r="AS39" s="95"/>
      <c r="AT39" s="96"/>
      <c r="AU39" s="97"/>
      <c r="AV39" s="95"/>
      <c r="AW39" s="96"/>
      <c r="AX39" s="97">
        <f>IFERROR(__xludf.DUMMYFUNCTION("""COMPUTED_VALUE"""),163.58755067033417)</f>
        <v>163.5875507</v>
      </c>
      <c r="AY39" s="95"/>
      <c r="AZ39" s="96"/>
      <c r="BA39" s="97"/>
      <c r="BB39" s="95"/>
      <c r="BC39" s="96"/>
      <c r="BD39" s="97"/>
      <c r="BE39" s="95"/>
      <c r="BF39" s="96"/>
      <c r="BG39" s="97"/>
      <c r="BH39" s="95">
        <f>IFERROR(__xludf.DUMMYFUNCTION("""COMPUTED_VALUE"""),52.23680331456215)</f>
        <v>52.23680331</v>
      </c>
      <c r="BI39" s="96"/>
      <c r="BJ39" s="97"/>
      <c r="BK39" s="95"/>
      <c r="BL39" s="96"/>
      <c r="BM39" s="97"/>
      <c r="BN39" s="95"/>
      <c r="BO39" s="96">
        <f>IFERROR(__xludf.DUMMYFUNCTION("""COMPUTED_VALUE"""),44.11050759350029)</f>
        <v>44.11050759</v>
      </c>
      <c r="BP39" s="97"/>
      <c r="BQ39" s="95"/>
      <c r="BR39" s="96"/>
      <c r="BS39" s="97"/>
      <c r="BT39" s="95"/>
      <c r="BU39" s="96"/>
      <c r="BV39" s="97">
        <f>IFERROR(__xludf.DUMMYFUNCTION("""COMPUTED_VALUE"""),371.19965244416966)</f>
        <v>371.1996524</v>
      </c>
      <c r="BW39" s="95"/>
      <c r="BX39" s="96"/>
      <c r="BY39" s="97"/>
      <c r="BZ39" s="95"/>
      <c r="CA39" s="96"/>
      <c r="CB39" s="97"/>
      <c r="CC39" s="95">
        <f>IFERROR(__xludf.DUMMYFUNCTION("""COMPUTED_VALUE"""),70.33657888800263)</f>
        <v>70.33657889</v>
      </c>
      <c r="CD39" s="96"/>
      <c r="CE39" s="97"/>
      <c r="CF39" s="95"/>
      <c r="CG39" s="96"/>
      <c r="CH39" s="96"/>
      <c r="CI39" s="95"/>
      <c r="CJ39" s="96">
        <f>IFERROR(__xludf.DUMMYFUNCTION("""COMPUTED_VALUE"""),49.29557815887223)</f>
        <v>49.29557816</v>
      </c>
      <c r="CK39" s="96"/>
      <c r="CL39" s="95"/>
      <c r="CM39" s="96"/>
      <c r="CN39" s="96"/>
      <c r="CO39" s="95"/>
      <c r="CP39" s="96"/>
      <c r="CQ39" s="96"/>
      <c r="CR39" s="95"/>
      <c r="CS39" s="96"/>
      <c r="CT39" s="96"/>
      <c r="CU39" s="95"/>
      <c r="CV39" s="96"/>
      <c r="CW39" s="97"/>
      <c r="CX39" s="96"/>
      <c r="CY39" s="96">
        <f>IFERROR(__xludf.DUMMYFUNCTION("""COMPUTED_VALUE"""),337.44360902255636)</f>
        <v>337.443609</v>
      </c>
      <c r="CZ39" s="97"/>
      <c r="DA39" s="95"/>
      <c r="DB39" s="96"/>
      <c r="DC39" s="97"/>
      <c r="DD39" s="95"/>
      <c r="DE39" s="96"/>
      <c r="DF39" s="97"/>
      <c r="DG39" s="95">
        <f>IFERROR(__xludf.DUMMYFUNCTION("""COMPUTED_VALUE"""),128.4375)</f>
        <v>128.4375</v>
      </c>
      <c r="DH39" s="96"/>
      <c r="DI39" s="97"/>
      <c r="DJ39" s="95"/>
      <c r="DK39" s="96"/>
      <c r="DL39" s="97"/>
      <c r="DM39" s="95"/>
      <c r="DN39" s="96"/>
      <c r="DO39" s="97"/>
      <c r="DP39" s="95"/>
      <c r="DQ39" s="96"/>
      <c r="DR39" s="97"/>
      <c r="DS39" s="95"/>
    </row>
    <row r="40">
      <c r="B40" s="83" t="str">
        <f>IFERROR(__xludf.DUMMYFUNCTION("""COMPUTED_VALUE"""),"TRF21")</f>
        <v>TRF21</v>
      </c>
      <c r="C40" s="88" t="str">
        <f>IFERROR(__xludf.DUMMYFUNCTION("""COMPUTED_VALUE"""),"SAT Assassin Training Ground- Nov")</f>
        <v>SAT Assassin Training Ground- Nov</v>
      </c>
      <c r="D40" s="102">
        <f>IFERROR(__xludf.DUMMYFUNCTION("""COMPUTED_VALUE"""),10.0)</f>
        <v>10</v>
      </c>
      <c r="E40" s="82" t="b">
        <f>IFERROR(__xludf.DUMMYFUNCTION("""COMPUTED_VALUE"""),TRUE)</f>
        <v>1</v>
      </c>
      <c r="F40" s="82" t="str">
        <f>IFERROR(__xludf.DUMMYFUNCTION("""COMPUTED_VALUE"""),"Training Field!A403:J416")</f>
        <v>Training Field!A403:J416</v>
      </c>
      <c r="G40" s="82">
        <f>IFERROR(__xludf.DUMMYFUNCTION("""COMPUTED_VALUE"""),40.0)</f>
        <v>40</v>
      </c>
      <c r="H40" s="82">
        <f>IFERROR(__xludf.DUMMYFUNCTION("""COMPUTED_VALUE"""),1540.0)</f>
        <v>1540</v>
      </c>
      <c r="I40" s="95"/>
      <c r="J40" s="96"/>
      <c r="K40" s="97"/>
      <c r="L40" s="95"/>
      <c r="M40" s="96"/>
      <c r="N40" s="97"/>
      <c r="O40" s="95"/>
      <c r="P40" s="96"/>
      <c r="Q40" s="97"/>
      <c r="R40" s="95"/>
      <c r="S40" s="96"/>
      <c r="T40" s="97"/>
      <c r="U40" s="95"/>
      <c r="V40" s="96"/>
      <c r="W40" s="97"/>
      <c r="X40" s="95"/>
      <c r="Y40" s="96"/>
      <c r="Z40" s="97"/>
      <c r="AA40" s="95"/>
      <c r="AB40" s="96">
        <f>IFERROR(__xludf.DUMMYFUNCTION("""COMPUTED_VALUE"""),324.5111260957518)</f>
        <v>324.5111261</v>
      </c>
      <c r="AC40" s="97"/>
      <c r="AD40" s="95"/>
      <c r="AE40" s="96"/>
      <c r="AF40" s="97">
        <f>IFERROR(__xludf.DUMMYFUNCTION("""COMPUTED_VALUE"""),115.87311141876842)</f>
        <v>115.8731114</v>
      </c>
      <c r="AG40" s="95"/>
      <c r="AH40" s="96"/>
      <c r="AI40" s="97"/>
      <c r="AJ40" s="95"/>
      <c r="AK40" s="96"/>
      <c r="AL40" s="97"/>
      <c r="AM40" s="95"/>
      <c r="AN40" s="96"/>
      <c r="AO40" s="97"/>
      <c r="AP40" s="95"/>
      <c r="AQ40" s="96"/>
      <c r="AR40" s="97"/>
      <c r="AS40" s="95"/>
      <c r="AT40" s="96"/>
      <c r="AU40" s="97"/>
      <c r="AV40" s="95"/>
      <c r="AW40" s="96">
        <f>IFERROR(__xludf.DUMMYFUNCTION("""COMPUTED_VALUE"""),75.67121349109635)</f>
        <v>75.67121349</v>
      </c>
      <c r="AX40" s="97">
        <f>IFERROR(__xludf.DUMMYFUNCTION("""COMPUTED_VALUE"""),84.3410445145461)</f>
        <v>84.34104451</v>
      </c>
      <c r="AY40" s="95"/>
      <c r="AZ40" s="96"/>
      <c r="BA40" s="97"/>
      <c r="BB40" s="95"/>
      <c r="BC40" s="96"/>
      <c r="BD40" s="97"/>
      <c r="BE40" s="95"/>
      <c r="BF40" s="96"/>
      <c r="BG40" s="97"/>
      <c r="BH40" s="95"/>
      <c r="BI40" s="96"/>
      <c r="BJ40" s="97"/>
      <c r="BK40" s="95"/>
      <c r="BL40" s="96"/>
      <c r="BM40" s="97"/>
      <c r="BN40" s="95"/>
      <c r="BO40" s="96"/>
      <c r="BP40" s="97"/>
      <c r="BQ40" s="95"/>
      <c r="BR40" s="96"/>
      <c r="BS40" s="97"/>
      <c r="BT40" s="95"/>
      <c r="BU40" s="96"/>
      <c r="BV40" s="97"/>
      <c r="BW40" s="95">
        <f>IFERROR(__xludf.DUMMYFUNCTION("""COMPUTED_VALUE"""),7.57668192498888)</f>
        <v>7.576681925</v>
      </c>
      <c r="BX40" s="96"/>
      <c r="BY40" s="97"/>
      <c r="BZ40" s="95"/>
      <c r="CA40" s="96"/>
      <c r="CB40" s="97"/>
      <c r="CC40" s="95"/>
      <c r="CD40" s="96">
        <f>IFERROR(__xludf.DUMMYFUNCTION("""COMPUTED_VALUE"""),364.92890995260666)</f>
        <v>364.92891</v>
      </c>
      <c r="CE40" s="97"/>
      <c r="CF40" s="95"/>
      <c r="CG40" s="96"/>
      <c r="CH40" s="96"/>
      <c r="CI40" s="95"/>
      <c r="CJ40" s="96"/>
      <c r="CK40" s="96">
        <f>IFERROR(__xludf.DUMMYFUNCTION("""COMPUTED_VALUE"""),35.29260780287475)</f>
        <v>35.2926078</v>
      </c>
      <c r="CL40" s="95"/>
      <c r="CM40" s="96"/>
      <c r="CN40" s="96"/>
      <c r="CO40" s="95"/>
      <c r="CP40" s="96"/>
      <c r="CQ40" s="96"/>
      <c r="CR40" s="95"/>
      <c r="CS40" s="96"/>
      <c r="CT40" s="96"/>
      <c r="CU40" s="95"/>
      <c r="CV40" s="96"/>
      <c r="CW40" s="97"/>
      <c r="CX40" s="96"/>
      <c r="CY40" s="96"/>
      <c r="CZ40" s="97">
        <f>IFERROR(__xludf.DUMMYFUNCTION("""COMPUTED_VALUE"""),12.164948453608247)</f>
        <v>12.16494845</v>
      </c>
      <c r="DA40" s="95"/>
      <c r="DB40" s="96"/>
      <c r="DC40" s="97"/>
      <c r="DD40" s="95"/>
      <c r="DE40" s="96"/>
      <c r="DF40" s="97"/>
      <c r="DG40" s="95"/>
      <c r="DH40" s="96">
        <f>IFERROR(__xludf.DUMMYFUNCTION("""COMPUTED_VALUE"""),35.59322033898305)</f>
        <v>35.59322034</v>
      </c>
      <c r="DI40" s="97"/>
      <c r="DJ40" s="95"/>
      <c r="DK40" s="96"/>
      <c r="DL40" s="97"/>
      <c r="DM40" s="95"/>
      <c r="DN40" s="96"/>
      <c r="DO40" s="97"/>
      <c r="DP40" s="95">
        <f>IFERROR(__xludf.DUMMYFUNCTION("""COMPUTED_VALUE"""),51.21951219512195)</f>
        <v>51.2195122</v>
      </c>
      <c r="DQ40" s="96"/>
      <c r="DR40" s="97"/>
      <c r="DS40" s="95"/>
    </row>
    <row r="41">
      <c r="B41" s="83" t="str">
        <f>IFERROR(__xludf.DUMMYFUNCTION("""COMPUTED_VALUE"""),"TRF22")</f>
        <v>TRF22</v>
      </c>
      <c r="C41" s="88" t="str">
        <f>IFERROR(__xludf.DUMMYFUNCTION("""COMPUTED_VALUE"""),"SAT Assassin Training Ground- Int")</f>
        <v>SAT Assassin Training Ground- Int</v>
      </c>
      <c r="D41" s="102">
        <f>IFERROR(__xludf.DUMMYFUNCTION("""COMPUTED_VALUE"""),20.0)</f>
        <v>20</v>
      </c>
      <c r="E41" s="82" t="b">
        <f>IFERROR(__xludf.DUMMYFUNCTION("""COMPUTED_VALUE"""),TRUE)</f>
        <v>1</v>
      </c>
      <c r="F41" s="82" t="str">
        <f>IFERROR(__xludf.DUMMYFUNCTION("""COMPUTED_VALUE"""),"Training Field!A420:J436")</f>
        <v>Training Field!A420:J436</v>
      </c>
      <c r="G41" s="82">
        <f>IFERROR(__xludf.DUMMYFUNCTION("""COMPUTED_VALUE"""),41.0)</f>
        <v>41</v>
      </c>
      <c r="H41" s="82">
        <f>IFERROR(__xludf.DUMMYFUNCTION("""COMPUTED_VALUE"""),1134.0)</f>
        <v>1134</v>
      </c>
      <c r="I41" s="95"/>
      <c r="J41" s="96"/>
      <c r="K41" s="97"/>
      <c r="L41" s="95"/>
      <c r="M41" s="96"/>
      <c r="N41" s="97"/>
      <c r="O41" s="95"/>
      <c r="P41" s="96"/>
      <c r="Q41" s="97"/>
      <c r="R41" s="95"/>
      <c r="S41" s="96"/>
      <c r="T41" s="97"/>
      <c r="U41" s="95"/>
      <c r="V41" s="96"/>
      <c r="W41" s="97"/>
      <c r="X41" s="95"/>
      <c r="Y41" s="96"/>
      <c r="Z41" s="97"/>
      <c r="AA41" s="95">
        <f>IFERROR(__xludf.DUMMYFUNCTION("""COMPUTED_VALUE"""),233.81443298969074)</f>
        <v>233.814433</v>
      </c>
      <c r="AB41" s="96">
        <f>IFERROR(__xludf.DUMMYFUNCTION("""COMPUTED_VALUE"""),782.0689655172413)</f>
        <v>782.0689655</v>
      </c>
      <c r="AC41" s="97"/>
      <c r="AD41" s="95"/>
      <c r="AE41" s="96"/>
      <c r="AF41" s="97">
        <f>IFERROR(__xludf.DUMMYFUNCTION("""COMPUTED_VALUE"""),210.0)</f>
        <v>210</v>
      </c>
      <c r="AG41" s="95"/>
      <c r="AH41" s="96"/>
      <c r="AI41" s="97"/>
      <c r="AJ41" s="95"/>
      <c r="AK41" s="96"/>
      <c r="AL41" s="97"/>
      <c r="AM41" s="95"/>
      <c r="AN41" s="96"/>
      <c r="AO41" s="97"/>
      <c r="AP41" s="95"/>
      <c r="AQ41" s="96"/>
      <c r="AR41" s="97"/>
      <c r="AS41" s="95"/>
      <c r="AT41" s="96"/>
      <c r="AU41" s="97"/>
      <c r="AV41" s="95"/>
      <c r="AW41" s="96">
        <f>IFERROR(__xludf.DUMMYFUNCTION("""COMPUTED_VALUE"""),113.39999999999999)</f>
        <v>113.4</v>
      </c>
      <c r="AX41" s="97">
        <f>IFERROR(__xludf.DUMMYFUNCTION("""COMPUTED_VALUE"""),122.59459459459458)</f>
        <v>122.5945946</v>
      </c>
      <c r="AY41" s="95"/>
      <c r="AZ41" s="96"/>
      <c r="BA41" s="97"/>
      <c r="BB41" s="95"/>
      <c r="BC41" s="96"/>
      <c r="BD41" s="97"/>
      <c r="BE41" s="95"/>
      <c r="BF41" s="96"/>
      <c r="BG41" s="97"/>
      <c r="BH41" s="95"/>
      <c r="BI41" s="96"/>
      <c r="BJ41" s="97"/>
      <c r="BK41" s="95"/>
      <c r="BL41" s="96"/>
      <c r="BM41" s="97"/>
      <c r="BN41" s="95"/>
      <c r="BO41" s="96"/>
      <c r="BP41" s="97">
        <f>IFERROR(__xludf.DUMMYFUNCTION("""COMPUTED_VALUE"""),18.469055374592834)</f>
        <v>18.46905537</v>
      </c>
      <c r="BQ41" s="95"/>
      <c r="BR41" s="96"/>
      <c r="BS41" s="97"/>
      <c r="BT41" s="95"/>
      <c r="BU41" s="96"/>
      <c r="BV41" s="97"/>
      <c r="BW41" s="95">
        <f>IFERROR(__xludf.DUMMYFUNCTION("""COMPUTED_VALUE"""),23.649635036496353)</f>
        <v>23.64963504</v>
      </c>
      <c r="BX41" s="96"/>
      <c r="BY41" s="97"/>
      <c r="BZ41" s="95"/>
      <c r="CA41" s="96"/>
      <c r="CB41" s="97"/>
      <c r="CC41" s="95"/>
      <c r="CD41" s="96">
        <f>IFERROR(__xludf.DUMMYFUNCTION("""COMPUTED_VALUE"""),276.5853658536586)</f>
        <v>276.5853659</v>
      </c>
      <c r="CE41" s="97"/>
      <c r="CF41" s="95"/>
      <c r="CG41" s="96"/>
      <c r="CH41" s="96"/>
      <c r="CI41" s="95"/>
      <c r="CJ41" s="96"/>
      <c r="CK41" s="96">
        <f>IFERROR(__xludf.DUMMYFUNCTION("""COMPUTED_VALUE"""),29.226804123711343)</f>
        <v>29.22680412</v>
      </c>
      <c r="CL41" s="95"/>
      <c r="CM41" s="96"/>
      <c r="CN41" s="96"/>
      <c r="CO41" s="95"/>
      <c r="CP41" s="96"/>
      <c r="CQ41" s="96"/>
      <c r="CR41" s="95"/>
      <c r="CS41" s="96"/>
      <c r="CT41" s="96"/>
      <c r="CU41" s="95"/>
      <c r="CV41" s="96"/>
      <c r="CW41" s="97"/>
      <c r="CX41" s="96"/>
      <c r="CY41" s="96"/>
      <c r="CZ41" s="97">
        <f>IFERROR(__xludf.DUMMYFUNCTION("""COMPUTED_VALUE"""),35.26315789473684)</f>
        <v>35.26315789</v>
      </c>
      <c r="DA41" s="95"/>
      <c r="DB41" s="96"/>
      <c r="DC41" s="97"/>
      <c r="DD41" s="95"/>
      <c r="DE41" s="96"/>
      <c r="DF41" s="97"/>
      <c r="DG41" s="95"/>
      <c r="DH41" s="96">
        <f>IFERROR(__xludf.DUMMYFUNCTION("""COMPUTED_VALUE"""),126.66666666666667)</f>
        <v>126.6666667</v>
      </c>
      <c r="DI41" s="97"/>
      <c r="DJ41" s="95"/>
      <c r="DK41" s="96"/>
      <c r="DL41" s="97"/>
      <c r="DM41" s="95"/>
      <c r="DN41" s="96"/>
      <c r="DO41" s="97"/>
      <c r="DP41" s="95">
        <f>IFERROR(__xludf.DUMMYFUNCTION("""COMPUTED_VALUE"""),142.5)</f>
        <v>142.5</v>
      </c>
      <c r="DQ41" s="96"/>
      <c r="DR41" s="97"/>
      <c r="DS41" s="95"/>
    </row>
    <row r="42">
      <c r="B42" s="83" t="str">
        <f>IFERROR(__xludf.DUMMYFUNCTION("""COMPUTED_VALUE"""),"TRF23")</f>
        <v>TRF23</v>
      </c>
      <c r="C42" s="88" t="str">
        <f>IFERROR(__xludf.DUMMYFUNCTION("""COMPUTED_VALUE"""),"SAT Assassin Training Ground- Adv")</f>
        <v>SAT Assassin Training Ground- Adv</v>
      </c>
      <c r="D42" s="102">
        <f>IFERROR(__xludf.DUMMYFUNCTION("""COMPUTED_VALUE"""),30.0)</f>
        <v>30</v>
      </c>
      <c r="E42" s="82" t="b">
        <f>IFERROR(__xludf.DUMMYFUNCTION("""COMPUTED_VALUE"""),TRUE)</f>
        <v>1</v>
      </c>
      <c r="F42" s="82" t="str">
        <f>IFERROR(__xludf.DUMMYFUNCTION("""COMPUTED_VALUE"""),"Training Field!A440:J459")</f>
        <v>Training Field!A440:J459</v>
      </c>
      <c r="G42" s="82">
        <f>IFERROR(__xludf.DUMMYFUNCTION("""COMPUTED_VALUE"""),42.0)</f>
        <v>42</v>
      </c>
      <c r="H42" s="82">
        <f>IFERROR(__xludf.DUMMYFUNCTION("""COMPUTED_VALUE"""),1445.0)</f>
        <v>1445</v>
      </c>
      <c r="I42" s="95"/>
      <c r="J42" s="96"/>
      <c r="K42" s="97"/>
      <c r="L42" s="95"/>
      <c r="M42" s="96"/>
      <c r="N42" s="97"/>
      <c r="O42" s="95">
        <f>IFERROR(__xludf.DUMMYFUNCTION("""COMPUTED_VALUE"""),520.2145660078482)</f>
        <v>520.214566</v>
      </c>
      <c r="P42" s="96"/>
      <c r="Q42" s="97"/>
      <c r="R42" s="95"/>
      <c r="S42" s="96"/>
      <c r="T42" s="97"/>
      <c r="U42" s="95"/>
      <c r="V42" s="96"/>
      <c r="W42" s="97"/>
      <c r="X42" s="95"/>
      <c r="Y42" s="96"/>
      <c r="Z42" s="97"/>
      <c r="AA42" s="95">
        <f>IFERROR(__xludf.DUMMYFUNCTION("""COMPUTED_VALUE"""),186.36824818145865)</f>
        <v>186.3682482</v>
      </c>
      <c r="AB42" s="96">
        <f>IFERROR(__xludf.DUMMYFUNCTION("""COMPUTED_VALUE"""),177.19263107554087)</f>
        <v>177.1926311</v>
      </c>
      <c r="AC42" s="97"/>
      <c r="AD42" s="95"/>
      <c r="AE42" s="96"/>
      <c r="AF42" s="97">
        <f>IFERROR(__xludf.DUMMYFUNCTION("""COMPUTED_VALUE"""),185.07370928698592)</f>
        <v>185.0737093</v>
      </c>
      <c r="AG42" s="95"/>
      <c r="AH42" s="96"/>
      <c r="AI42" s="97"/>
      <c r="AJ42" s="95"/>
      <c r="AK42" s="96"/>
      <c r="AL42" s="97"/>
      <c r="AM42" s="95"/>
      <c r="AN42" s="96"/>
      <c r="AO42" s="97"/>
      <c r="AP42" s="95"/>
      <c r="AQ42" s="96"/>
      <c r="AR42" s="97"/>
      <c r="AS42" s="95"/>
      <c r="AT42" s="96"/>
      <c r="AU42" s="97"/>
      <c r="AV42" s="95"/>
      <c r="AW42" s="96">
        <f>IFERROR(__xludf.DUMMYFUNCTION("""COMPUTED_VALUE"""),289.5965689319999)</f>
        <v>289.5965689</v>
      </c>
      <c r="AX42" s="97">
        <f>IFERROR(__xludf.DUMMYFUNCTION("""COMPUTED_VALUE"""),223.9291691633779)</f>
        <v>223.9291692</v>
      </c>
      <c r="AY42" s="95"/>
      <c r="AZ42" s="96"/>
      <c r="BA42" s="97"/>
      <c r="BB42" s="95"/>
      <c r="BC42" s="96"/>
      <c r="BD42" s="97"/>
      <c r="BE42" s="95"/>
      <c r="BF42" s="96"/>
      <c r="BG42" s="97"/>
      <c r="BH42" s="95"/>
      <c r="BI42" s="96">
        <f>IFERROR(__xludf.DUMMYFUNCTION("""COMPUTED_VALUE"""),200.71581696199132)</f>
        <v>200.715817</v>
      </c>
      <c r="BJ42" s="97"/>
      <c r="BK42" s="95"/>
      <c r="BL42" s="96"/>
      <c r="BM42" s="97"/>
      <c r="BN42" s="95"/>
      <c r="BO42" s="96"/>
      <c r="BP42" s="97">
        <f>IFERROR(__xludf.DUMMYFUNCTION("""COMPUTED_VALUE"""),20.4906118964664)</f>
        <v>20.4906119</v>
      </c>
      <c r="BQ42" s="95"/>
      <c r="BR42" s="96"/>
      <c r="BS42" s="97"/>
      <c r="BT42" s="95"/>
      <c r="BU42" s="96"/>
      <c r="BV42" s="97"/>
      <c r="BW42" s="95">
        <f>IFERROR(__xludf.DUMMYFUNCTION("""COMPUTED_VALUE"""),187.64446676074138)</f>
        <v>187.6444668</v>
      </c>
      <c r="BX42" s="96"/>
      <c r="BY42" s="97"/>
      <c r="BZ42" s="95"/>
      <c r="CA42" s="96"/>
      <c r="CB42" s="97"/>
      <c r="CC42" s="95"/>
      <c r="CD42" s="96">
        <f>IFERROR(__xludf.DUMMYFUNCTION("""COMPUTED_VALUE"""),81.40248883180386)</f>
        <v>81.40248883</v>
      </c>
      <c r="CE42" s="97"/>
      <c r="CF42" s="95"/>
      <c r="CG42" s="96"/>
      <c r="CH42" s="96"/>
      <c r="CI42" s="95"/>
      <c r="CJ42" s="96"/>
      <c r="CK42" s="96">
        <f>IFERROR(__xludf.DUMMYFUNCTION("""COMPUTED_VALUE"""),29.113186157838467)</f>
        <v>29.11318616</v>
      </c>
      <c r="CL42" s="95"/>
      <c r="CM42" s="96"/>
      <c r="CN42" s="96"/>
      <c r="CO42" s="95"/>
      <c r="CP42" s="96"/>
      <c r="CQ42" s="96"/>
      <c r="CR42" s="95"/>
      <c r="CS42" s="96"/>
      <c r="CT42" s="96"/>
      <c r="CU42" s="95"/>
      <c r="CV42" s="96"/>
      <c r="CW42" s="97"/>
      <c r="CX42" s="96"/>
      <c r="CY42" s="96"/>
      <c r="CZ42" s="97">
        <f>IFERROR(__xludf.DUMMYFUNCTION("""COMPUTED_VALUE"""),228.38709677419354)</f>
        <v>228.3870968</v>
      </c>
      <c r="DA42" s="95"/>
      <c r="DB42" s="96"/>
      <c r="DC42" s="97"/>
      <c r="DD42" s="95"/>
      <c r="DE42" s="96"/>
      <c r="DF42" s="97"/>
      <c r="DG42" s="95"/>
      <c r="DH42" s="96">
        <f>IFERROR(__xludf.DUMMYFUNCTION("""COMPUTED_VALUE"""),172.22222222222223)</f>
        <v>172.2222222</v>
      </c>
      <c r="DI42" s="97"/>
      <c r="DJ42" s="95"/>
      <c r="DK42" s="96"/>
      <c r="DL42" s="97"/>
      <c r="DM42" s="95"/>
      <c r="DN42" s="96"/>
      <c r="DO42" s="97"/>
      <c r="DP42" s="95">
        <f>IFERROR(__xludf.DUMMYFUNCTION("""COMPUTED_VALUE"""),664.2857142857143)</f>
        <v>664.2857143</v>
      </c>
      <c r="DQ42" s="96"/>
      <c r="DR42" s="97"/>
      <c r="DS42" s="95"/>
    </row>
    <row r="43">
      <c r="B43" s="83" t="str">
        <f>IFERROR(__xludf.DUMMYFUNCTION("""COMPUTED_VALUE"""),"TRF24")</f>
        <v>TRF24</v>
      </c>
      <c r="C43" s="88" t="str">
        <f>IFERROR(__xludf.DUMMYFUNCTION("""COMPUTED_VALUE"""),"SAT Assassin Training Ground- Exp")</f>
        <v>SAT Assassin Training Ground- Exp</v>
      </c>
      <c r="D43" s="102">
        <f>IFERROR(__xludf.DUMMYFUNCTION("""COMPUTED_VALUE"""),40.0)</f>
        <v>40</v>
      </c>
      <c r="E43" s="82" t="b">
        <f>IFERROR(__xludf.DUMMYFUNCTION("""COMPUTED_VALUE"""),TRUE)</f>
        <v>1</v>
      </c>
      <c r="F43" s="82" t="str">
        <f>IFERROR(__xludf.DUMMYFUNCTION("""COMPUTED_VALUE"""),"Training Field!A463:J482")</f>
        <v>Training Field!A463:J482</v>
      </c>
      <c r="G43" s="82">
        <f>IFERROR(__xludf.DUMMYFUNCTION("""COMPUTED_VALUE"""),43.0)</f>
        <v>43</v>
      </c>
      <c r="H43" s="82">
        <f>IFERROR(__xludf.DUMMYFUNCTION("""COMPUTED_VALUE"""),7508.0)</f>
        <v>7508</v>
      </c>
      <c r="I43" s="95"/>
      <c r="J43" s="96"/>
      <c r="K43" s="97"/>
      <c r="L43" s="95"/>
      <c r="M43" s="96"/>
      <c r="N43" s="97"/>
      <c r="O43" s="95">
        <f>IFERROR(__xludf.DUMMYFUNCTION("""COMPUTED_VALUE"""),332.8005152685394)</f>
        <v>332.8005153</v>
      </c>
      <c r="P43" s="96"/>
      <c r="Q43" s="97"/>
      <c r="R43" s="95"/>
      <c r="S43" s="96"/>
      <c r="T43" s="97"/>
      <c r="U43" s="95"/>
      <c r="V43" s="96"/>
      <c r="W43" s="97"/>
      <c r="X43" s="95"/>
      <c r="Y43" s="96"/>
      <c r="Z43" s="97"/>
      <c r="AA43" s="95">
        <f>IFERROR(__xludf.DUMMYFUNCTION("""COMPUTED_VALUE"""),126.78968204211094)</f>
        <v>126.789682</v>
      </c>
      <c r="AB43" s="96">
        <f>IFERROR(__xludf.DUMMYFUNCTION("""COMPUTED_VALUE"""),215.08192013575655)</f>
        <v>215.0819201</v>
      </c>
      <c r="AC43" s="97"/>
      <c r="AD43" s="95"/>
      <c r="AE43" s="96"/>
      <c r="AF43" s="97">
        <f>IFERROR(__xludf.DUMMYFUNCTION("""COMPUTED_VALUE"""),4463.76659780647)</f>
        <v>4463.766598</v>
      </c>
      <c r="AG43" s="95"/>
      <c r="AH43" s="96"/>
      <c r="AI43" s="97"/>
      <c r="AJ43" s="95"/>
      <c r="AK43" s="96"/>
      <c r="AL43" s="97"/>
      <c r="AM43" s="95"/>
      <c r="AN43" s="96"/>
      <c r="AO43" s="97"/>
      <c r="AP43" s="95"/>
      <c r="AQ43" s="96"/>
      <c r="AR43" s="97"/>
      <c r="AS43" s="95"/>
      <c r="AT43" s="96"/>
      <c r="AU43" s="97"/>
      <c r="AV43" s="95"/>
      <c r="AW43" s="96">
        <f>IFERROR(__xludf.DUMMYFUNCTION("""COMPUTED_VALUE"""),281.0534083817681)</f>
        <v>281.0534084</v>
      </c>
      <c r="AX43" s="97">
        <f>IFERROR(__xludf.DUMMYFUNCTION("""COMPUTED_VALUE"""),210.49863757244077)</f>
        <v>210.4986376</v>
      </c>
      <c r="AY43" s="95"/>
      <c r="AZ43" s="96"/>
      <c r="BA43" s="97"/>
      <c r="BB43" s="95"/>
      <c r="BC43" s="96"/>
      <c r="BD43" s="97"/>
      <c r="BE43" s="95"/>
      <c r="BF43" s="96"/>
      <c r="BG43" s="97"/>
      <c r="BH43" s="95"/>
      <c r="BI43" s="96">
        <f>IFERROR(__xludf.DUMMYFUNCTION("""COMPUTED_VALUE"""),157.44109982296263)</f>
        <v>157.4410998</v>
      </c>
      <c r="BJ43" s="97"/>
      <c r="BK43" s="95"/>
      <c r="BL43" s="96"/>
      <c r="BM43" s="97"/>
      <c r="BN43" s="95"/>
      <c r="BO43" s="96"/>
      <c r="BP43" s="97">
        <f>IFERROR(__xludf.DUMMYFUNCTION("""COMPUTED_VALUE"""),33.89486564791709)</f>
        <v>33.89486565</v>
      </c>
      <c r="BQ43" s="95"/>
      <c r="BR43" s="96"/>
      <c r="BS43" s="97"/>
      <c r="BT43" s="95"/>
      <c r="BU43" s="96"/>
      <c r="BV43" s="97"/>
      <c r="BW43" s="95">
        <f>IFERROR(__xludf.DUMMYFUNCTION("""COMPUTED_VALUE"""),256.5292793155574)</f>
        <v>256.5292793</v>
      </c>
      <c r="BX43" s="96"/>
      <c r="BY43" s="97"/>
      <c r="BZ43" s="95"/>
      <c r="CA43" s="96"/>
      <c r="CB43" s="97"/>
      <c r="CC43" s="95"/>
      <c r="CD43" s="96">
        <f>IFERROR(__xludf.DUMMYFUNCTION("""COMPUTED_VALUE"""),69.78080371823023)</f>
        <v>69.78080372</v>
      </c>
      <c r="CE43" s="97"/>
      <c r="CF43" s="95"/>
      <c r="CG43" s="96"/>
      <c r="CH43" s="96"/>
      <c r="CI43" s="95"/>
      <c r="CJ43" s="96"/>
      <c r="CK43" s="96">
        <f>IFERROR(__xludf.DUMMYFUNCTION("""COMPUTED_VALUE"""),50.14742204886139)</f>
        <v>50.14742205</v>
      </c>
      <c r="CL43" s="95"/>
      <c r="CM43" s="96"/>
      <c r="CN43" s="96"/>
      <c r="CO43" s="95"/>
      <c r="CP43" s="96"/>
      <c r="CQ43" s="96"/>
      <c r="CR43" s="95"/>
      <c r="CS43" s="96"/>
      <c r="CT43" s="96"/>
      <c r="CU43" s="95"/>
      <c r="CV43" s="96"/>
      <c r="CW43" s="97"/>
      <c r="CX43" s="96"/>
      <c r="CY43" s="96"/>
      <c r="CZ43" s="97">
        <f>IFERROR(__xludf.DUMMYFUNCTION("""COMPUTED_VALUE"""),372.258064516129)</f>
        <v>372.2580645</v>
      </c>
      <c r="DA43" s="95"/>
      <c r="DB43" s="96"/>
      <c r="DC43" s="97"/>
      <c r="DD43" s="95"/>
      <c r="DE43" s="96"/>
      <c r="DF43" s="97"/>
      <c r="DG43" s="95"/>
      <c r="DH43" s="96">
        <f>IFERROR(__xludf.DUMMYFUNCTION("""COMPUTED_VALUE"""),151.54929577464787)</f>
        <v>151.5492958</v>
      </c>
      <c r="DI43" s="97"/>
      <c r="DJ43" s="95"/>
      <c r="DK43" s="96"/>
      <c r="DL43" s="97"/>
      <c r="DM43" s="95"/>
      <c r="DN43" s="96"/>
      <c r="DO43" s="97"/>
      <c r="DP43" s="95">
        <f>IFERROR(__xludf.DUMMYFUNCTION("""COMPUTED_VALUE"""),512.3809523809524)</f>
        <v>512.3809524</v>
      </c>
      <c r="DQ43" s="96"/>
      <c r="DR43" s="97"/>
      <c r="DS43" s="95"/>
    </row>
    <row r="44">
      <c r="B44" s="83" t="str">
        <f>IFERROR(__xludf.DUMMYFUNCTION("""COMPUTED_VALUE"""),"TRF25")</f>
        <v>TRF25</v>
      </c>
      <c r="C44" s="88" t="str">
        <f>IFERROR(__xludf.DUMMYFUNCTION("""COMPUTED_VALUE"""),"SUN Saber Training Ground- Nov")</f>
        <v>SUN Saber Training Ground- Nov</v>
      </c>
      <c r="D44" s="102">
        <f>IFERROR(__xludf.DUMMYFUNCTION("""COMPUTED_VALUE"""),10.0)</f>
        <v>10</v>
      </c>
      <c r="E44" s="82" t="b">
        <f>IFERROR(__xludf.DUMMYFUNCTION("""COMPUTED_VALUE"""),TRUE)</f>
        <v>1</v>
      </c>
      <c r="F44" s="82" t="str">
        <f>IFERROR(__xludf.DUMMYFUNCTION("""COMPUTED_VALUE"""),"Training Field!A486:J502")</f>
        <v>Training Field!A486:J502</v>
      </c>
      <c r="G44" s="82">
        <f>IFERROR(__xludf.DUMMYFUNCTION("""COMPUTED_VALUE"""),44.0)</f>
        <v>44</v>
      </c>
      <c r="H44" s="82">
        <f>IFERROR(__xludf.DUMMYFUNCTION("""COMPUTED_VALUE"""),29593.0)</f>
        <v>29593</v>
      </c>
      <c r="I44" s="95"/>
      <c r="J44" s="96"/>
      <c r="K44" s="97"/>
      <c r="L44" s="95"/>
      <c r="M44" s="96"/>
      <c r="N44" s="97"/>
      <c r="O44" s="95"/>
      <c r="P44" s="96"/>
      <c r="Q44" s="97"/>
      <c r="R44" s="95"/>
      <c r="S44" s="96"/>
      <c r="T44" s="97"/>
      <c r="U44" s="95"/>
      <c r="V44" s="96"/>
      <c r="W44" s="97"/>
      <c r="X44" s="95"/>
      <c r="Y44" s="96"/>
      <c r="Z44" s="97"/>
      <c r="AA44" s="95"/>
      <c r="AB44" s="96"/>
      <c r="AC44" s="97"/>
      <c r="AD44" s="95"/>
      <c r="AE44" s="96"/>
      <c r="AF44" s="97">
        <f>IFERROR(__xludf.DUMMYFUNCTION("""COMPUTED_VALUE"""),220.80950302379114)</f>
        <v>220.809503</v>
      </c>
      <c r="AG44" s="95"/>
      <c r="AH44" s="96"/>
      <c r="AI44" s="97"/>
      <c r="AJ44" s="95"/>
      <c r="AK44" s="96">
        <f>IFERROR(__xludf.DUMMYFUNCTION("""COMPUTED_VALUE"""),211.7865631148004)</f>
        <v>211.7865631</v>
      </c>
      <c r="AL44" s="97"/>
      <c r="AM44" s="95"/>
      <c r="AN44" s="96"/>
      <c r="AO44" s="97"/>
      <c r="AP44" s="95"/>
      <c r="AQ44" s="96"/>
      <c r="AR44" s="97"/>
      <c r="AS44" s="95"/>
      <c r="AT44" s="96"/>
      <c r="AU44" s="97">
        <f>IFERROR(__xludf.DUMMYFUNCTION("""COMPUTED_VALUE"""),109.30174750568708)</f>
        <v>109.3017475</v>
      </c>
      <c r="AV44" s="95">
        <f>IFERROR(__xludf.DUMMYFUNCTION("""COMPUTED_VALUE"""),42.62576314203138)</f>
        <v>42.62576314</v>
      </c>
      <c r="AW44" s="96">
        <f>IFERROR(__xludf.DUMMYFUNCTION("""COMPUTED_VALUE"""),276.8899401551699)</f>
        <v>276.8899402</v>
      </c>
      <c r="AX44" s="97">
        <f>IFERROR(__xludf.DUMMYFUNCTION("""COMPUTED_VALUE"""),199.35329583347368)</f>
        <v>199.3532958</v>
      </c>
      <c r="AY44" s="95"/>
      <c r="AZ44" s="96"/>
      <c r="BA44" s="97"/>
      <c r="BB44" s="95"/>
      <c r="BC44" s="96"/>
      <c r="BD44" s="97"/>
      <c r="BE44" s="95"/>
      <c r="BF44" s="96"/>
      <c r="BG44" s="97"/>
      <c r="BH44" s="95"/>
      <c r="BI44" s="96"/>
      <c r="BJ44" s="97"/>
      <c r="BK44" s="95"/>
      <c r="BL44" s="96"/>
      <c r="BM44" s="97"/>
      <c r="BN44" s="95"/>
      <c r="BO44" s="96"/>
      <c r="BP44" s="97"/>
      <c r="BQ44" s="95"/>
      <c r="BR44" s="96">
        <f>IFERROR(__xludf.DUMMYFUNCTION("""COMPUTED_VALUE"""),7.98768116182608)</f>
        <v>7.987681162</v>
      </c>
      <c r="BS44" s="97"/>
      <c r="BT44" s="95"/>
      <c r="BU44" s="96"/>
      <c r="BV44" s="97"/>
      <c r="BW44" s="95"/>
      <c r="BX44" s="96"/>
      <c r="BY44" s="97">
        <f>IFERROR(__xludf.DUMMYFUNCTION("""COMPUTED_VALUE"""),472.7097306993765)</f>
        <v>472.7097307</v>
      </c>
      <c r="BZ44" s="95"/>
      <c r="CA44" s="96"/>
      <c r="CB44" s="97"/>
      <c r="CC44" s="95"/>
      <c r="CD44" s="96"/>
      <c r="CE44" s="97"/>
      <c r="CF44" s="95">
        <f>IFERROR(__xludf.DUMMYFUNCTION("""COMPUTED_VALUE"""),45.63489217979898)</f>
        <v>45.63489218</v>
      </c>
      <c r="CG44" s="96"/>
      <c r="CH44" s="96"/>
      <c r="CI44" s="95"/>
      <c r="CJ44" s="96"/>
      <c r="CK44" s="96"/>
      <c r="CL44" s="95"/>
      <c r="CM44" s="96"/>
      <c r="CN44" s="96"/>
      <c r="CO44" s="95"/>
      <c r="CP44" s="96"/>
      <c r="CQ44" s="96"/>
      <c r="CR44" s="95"/>
      <c r="CS44" s="96"/>
      <c r="CT44" s="96"/>
      <c r="CU44" s="95">
        <f>IFERROR(__xludf.DUMMYFUNCTION("""COMPUTED_VALUE"""),12.162162162162163)</f>
        <v>12.16216216</v>
      </c>
      <c r="CV44" s="96"/>
      <c r="CW44" s="97"/>
      <c r="CX44" s="96"/>
      <c r="CY44" s="96"/>
      <c r="CZ44" s="97"/>
      <c r="DA44" s="95"/>
      <c r="DB44" s="96"/>
      <c r="DC44" s="97">
        <f>IFERROR(__xludf.DUMMYFUNCTION("""COMPUTED_VALUE"""),67.19298245614036)</f>
        <v>67.19298246</v>
      </c>
      <c r="DD44" s="95"/>
      <c r="DE44" s="96"/>
      <c r="DF44" s="97"/>
      <c r="DG44" s="95"/>
      <c r="DH44" s="96"/>
      <c r="DI44" s="97"/>
      <c r="DJ44" s="95"/>
      <c r="DK44" s="96">
        <f>IFERROR(__xludf.DUMMYFUNCTION("""COMPUTED_VALUE"""),44.02298850574713)</f>
        <v>44.02298851</v>
      </c>
      <c r="DL44" s="97"/>
      <c r="DM44" s="95"/>
      <c r="DN44" s="96"/>
      <c r="DO44" s="97"/>
      <c r="DP44" s="95"/>
      <c r="DQ44" s="96"/>
      <c r="DR44" s="97"/>
      <c r="DS44" s="95"/>
    </row>
    <row r="45">
      <c r="B45" s="83" t="str">
        <f>IFERROR(__xludf.DUMMYFUNCTION("""COMPUTED_VALUE"""),"TRF26")</f>
        <v>TRF26</v>
      </c>
      <c r="C45" s="88" t="str">
        <f>IFERROR(__xludf.DUMMYFUNCTION("""COMPUTED_VALUE"""),"SUN Saber Training Ground- Int")</f>
        <v>SUN Saber Training Ground- Int</v>
      </c>
      <c r="D45" s="102">
        <f>IFERROR(__xludf.DUMMYFUNCTION("""COMPUTED_VALUE"""),20.0)</f>
        <v>20</v>
      </c>
      <c r="E45" s="82" t="b">
        <f>IFERROR(__xludf.DUMMYFUNCTION("""COMPUTED_VALUE"""),TRUE)</f>
        <v>1</v>
      </c>
      <c r="F45" s="82" t="str">
        <f>IFERROR(__xludf.DUMMYFUNCTION("""COMPUTED_VALUE"""),"Training Field!A506:J523")</f>
        <v>Training Field!A506:J523</v>
      </c>
      <c r="G45" s="82">
        <f>IFERROR(__xludf.DUMMYFUNCTION("""COMPUTED_VALUE"""),45.0)</f>
        <v>45</v>
      </c>
      <c r="H45" s="82">
        <f>IFERROR(__xludf.DUMMYFUNCTION("""COMPUTED_VALUE"""),1159.0)</f>
        <v>1159</v>
      </c>
      <c r="I45" s="95"/>
      <c r="J45" s="96"/>
      <c r="K45" s="97"/>
      <c r="L45" s="95"/>
      <c r="M45" s="96"/>
      <c r="N45" s="97"/>
      <c r="O45" s="95"/>
      <c r="P45" s="96"/>
      <c r="Q45" s="97"/>
      <c r="R45" s="95"/>
      <c r="S45" s="96"/>
      <c r="T45" s="97"/>
      <c r="U45" s="95"/>
      <c r="V45" s="96"/>
      <c r="W45" s="97"/>
      <c r="X45" s="95"/>
      <c r="Y45" s="96"/>
      <c r="Z45" s="97"/>
      <c r="AA45" s="95">
        <f>IFERROR(__xludf.DUMMYFUNCTION("""COMPUTED_VALUE"""),155.50784918824633)</f>
        <v>155.5078492</v>
      </c>
      <c r="AB45" s="96"/>
      <c r="AC45" s="97"/>
      <c r="AD45" s="95"/>
      <c r="AE45" s="96"/>
      <c r="AF45" s="97">
        <f>IFERROR(__xludf.DUMMYFUNCTION("""COMPUTED_VALUE"""),217.86942872718387)</f>
        <v>217.8694287</v>
      </c>
      <c r="AG45" s="95"/>
      <c r="AH45" s="96"/>
      <c r="AI45" s="97"/>
      <c r="AJ45" s="95"/>
      <c r="AK45" s="96">
        <f>IFERROR(__xludf.DUMMYFUNCTION("""COMPUTED_VALUE"""),185.41923304589886)</f>
        <v>185.419233</v>
      </c>
      <c r="AL45" s="97"/>
      <c r="AM45" s="95"/>
      <c r="AN45" s="96"/>
      <c r="AO45" s="97"/>
      <c r="AP45" s="95"/>
      <c r="AQ45" s="96"/>
      <c r="AR45" s="97"/>
      <c r="AS45" s="95"/>
      <c r="AT45" s="96"/>
      <c r="AU45" s="97">
        <f>IFERROR(__xludf.DUMMYFUNCTION("""COMPUTED_VALUE"""),185.79970823514324)</f>
        <v>185.7997082</v>
      </c>
      <c r="AV45" s="95"/>
      <c r="AW45" s="96"/>
      <c r="AX45" s="97">
        <f>IFERROR(__xludf.DUMMYFUNCTION("""COMPUTED_VALUE"""),125.39354531586407)</f>
        <v>125.3935453</v>
      </c>
      <c r="AY45" s="95"/>
      <c r="AZ45" s="96"/>
      <c r="BA45" s="97"/>
      <c r="BB45" s="95"/>
      <c r="BC45" s="96"/>
      <c r="BD45" s="97"/>
      <c r="BE45" s="95"/>
      <c r="BF45" s="96"/>
      <c r="BG45" s="97"/>
      <c r="BH45" s="95"/>
      <c r="BI45" s="96"/>
      <c r="BJ45" s="97"/>
      <c r="BK45" s="95">
        <f>IFERROR(__xludf.DUMMYFUNCTION("""COMPUTED_VALUE"""),25.53094001881227)</f>
        <v>25.53094002</v>
      </c>
      <c r="BL45" s="96"/>
      <c r="BM45" s="97"/>
      <c r="BN45" s="95"/>
      <c r="BO45" s="96"/>
      <c r="BP45" s="97"/>
      <c r="BQ45" s="95"/>
      <c r="BR45" s="96">
        <f>IFERROR(__xludf.DUMMYFUNCTION("""COMPUTED_VALUE"""),17.772611776540458)</f>
        <v>17.77261178</v>
      </c>
      <c r="BS45" s="97"/>
      <c r="BT45" s="95"/>
      <c r="BU45" s="96"/>
      <c r="BV45" s="97"/>
      <c r="BW45" s="95"/>
      <c r="BX45" s="96"/>
      <c r="BY45" s="97">
        <f>IFERROR(__xludf.DUMMYFUNCTION("""COMPUTED_VALUE"""),255.18516887577613)</f>
        <v>255.1851689</v>
      </c>
      <c r="BZ45" s="95"/>
      <c r="CA45" s="96"/>
      <c r="CB45" s="97"/>
      <c r="CC45" s="95"/>
      <c r="CD45" s="96"/>
      <c r="CE45" s="97"/>
      <c r="CF45" s="95">
        <f>IFERROR(__xludf.DUMMYFUNCTION("""COMPUTED_VALUE"""),28.80068386093171)</f>
        <v>28.80068386</v>
      </c>
      <c r="CG45" s="96"/>
      <c r="CH45" s="96"/>
      <c r="CI45" s="95"/>
      <c r="CJ45" s="96"/>
      <c r="CK45" s="96"/>
      <c r="CL45" s="95"/>
      <c r="CM45" s="96"/>
      <c r="CN45" s="96"/>
      <c r="CO45" s="95"/>
      <c r="CP45" s="96"/>
      <c r="CQ45" s="96"/>
      <c r="CR45" s="95"/>
      <c r="CS45" s="96"/>
      <c r="CT45" s="96"/>
      <c r="CU45" s="95">
        <f>IFERROR(__xludf.DUMMYFUNCTION("""COMPUTED_VALUE"""),31.803278688524593)</f>
        <v>31.80327869</v>
      </c>
      <c r="CV45" s="96"/>
      <c r="CW45" s="97"/>
      <c r="CX45" s="96"/>
      <c r="CY45" s="96"/>
      <c r="CZ45" s="97"/>
      <c r="DA45" s="95"/>
      <c r="DB45" s="96"/>
      <c r="DC45" s="97">
        <f>IFERROR(__xludf.DUMMYFUNCTION("""COMPUTED_VALUE"""),96.66666666666667)</f>
        <v>96.66666667</v>
      </c>
      <c r="DD45" s="95"/>
      <c r="DE45" s="96"/>
      <c r="DF45" s="97"/>
      <c r="DG45" s="95"/>
      <c r="DH45" s="96"/>
      <c r="DI45" s="97"/>
      <c r="DJ45" s="95"/>
      <c r="DK45" s="96">
        <f>IFERROR(__xludf.DUMMYFUNCTION("""COMPUTED_VALUE"""),105.45454545454545)</f>
        <v>105.4545455</v>
      </c>
      <c r="DL45" s="97"/>
      <c r="DM45" s="95"/>
      <c r="DN45" s="96"/>
      <c r="DO45" s="97"/>
      <c r="DP45" s="95"/>
      <c r="DQ45" s="96"/>
      <c r="DR45" s="97"/>
      <c r="DS45" s="95"/>
    </row>
    <row r="46">
      <c r="B46" s="83" t="str">
        <f>IFERROR(__xludf.DUMMYFUNCTION("""COMPUTED_VALUE"""),"TRF27")</f>
        <v>TRF27</v>
      </c>
      <c r="C46" s="88" t="str">
        <f>IFERROR(__xludf.DUMMYFUNCTION("""COMPUTED_VALUE"""),"SUN Saber Training Ground- Adv")</f>
        <v>SUN Saber Training Ground- Adv</v>
      </c>
      <c r="D46" s="102">
        <f>IFERROR(__xludf.DUMMYFUNCTION("""COMPUTED_VALUE"""),30.0)</f>
        <v>30</v>
      </c>
      <c r="E46" s="82" t="b">
        <f>IFERROR(__xludf.DUMMYFUNCTION("""COMPUTED_VALUE"""),TRUE)</f>
        <v>1</v>
      </c>
      <c r="F46" s="82" t="str">
        <f>IFERROR(__xludf.DUMMYFUNCTION("""COMPUTED_VALUE"""),"Training Field!A527:J547")</f>
        <v>Training Field!A527:J547</v>
      </c>
      <c r="G46" s="82">
        <f>IFERROR(__xludf.DUMMYFUNCTION("""COMPUTED_VALUE"""),46.0)</f>
        <v>46</v>
      </c>
      <c r="H46" s="82">
        <f>IFERROR(__xludf.DUMMYFUNCTION("""COMPUTED_VALUE"""),4351.0)</f>
        <v>4351</v>
      </c>
      <c r="I46" s="95"/>
      <c r="J46" s="96"/>
      <c r="K46" s="97"/>
      <c r="L46" s="95">
        <f>IFERROR(__xludf.DUMMYFUNCTION("""COMPUTED_VALUE"""),779.8236390574965)</f>
        <v>779.8236391</v>
      </c>
      <c r="M46" s="96"/>
      <c r="N46" s="97"/>
      <c r="O46" s="95"/>
      <c r="P46" s="96"/>
      <c r="Q46" s="97"/>
      <c r="R46" s="95"/>
      <c r="S46" s="96"/>
      <c r="T46" s="97"/>
      <c r="U46" s="95"/>
      <c r="V46" s="96"/>
      <c r="W46" s="97"/>
      <c r="X46" s="95"/>
      <c r="Y46" s="96"/>
      <c r="Z46" s="97"/>
      <c r="AA46" s="95">
        <f>IFERROR(__xludf.DUMMYFUNCTION("""COMPUTED_VALUE"""),124.49925603754149)</f>
        <v>124.499256</v>
      </c>
      <c r="AB46" s="96"/>
      <c r="AC46" s="97"/>
      <c r="AD46" s="95"/>
      <c r="AE46" s="96">
        <f>IFERROR(__xludf.DUMMYFUNCTION("""COMPUTED_VALUE"""),170.83110845871155)</f>
        <v>170.8311085</v>
      </c>
      <c r="AF46" s="97">
        <f>IFERROR(__xludf.DUMMYFUNCTION("""COMPUTED_VALUE"""),203.50541309119933)</f>
        <v>203.5054131</v>
      </c>
      <c r="AG46" s="95"/>
      <c r="AH46" s="96"/>
      <c r="AI46" s="97"/>
      <c r="AJ46" s="95"/>
      <c r="AK46" s="96">
        <f>IFERROR(__xludf.DUMMYFUNCTION("""COMPUTED_VALUE"""),193.79810433295324)</f>
        <v>193.7981043</v>
      </c>
      <c r="AL46" s="97"/>
      <c r="AM46" s="95"/>
      <c r="AN46" s="96"/>
      <c r="AO46" s="97"/>
      <c r="AP46" s="95"/>
      <c r="AQ46" s="96"/>
      <c r="AR46" s="97"/>
      <c r="AS46" s="95"/>
      <c r="AT46" s="96"/>
      <c r="AU46" s="97">
        <f>IFERROR(__xludf.DUMMYFUNCTION("""COMPUTED_VALUE"""),218.28343233263763)</f>
        <v>218.2834323</v>
      </c>
      <c r="AV46" s="95"/>
      <c r="AW46" s="96"/>
      <c r="AX46" s="97">
        <f>IFERROR(__xludf.DUMMYFUNCTION("""COMPUTED_VALUE"""),149.82782369146005)</f>
        <v>149.8278237</v>
      </c>
      <c r="AY46" s="95"/>
      <c r="AZ46" s="96"/>
      <c r="BA46" s="97"/>
      <c r="BB46" s="95"/>
      <c r="BC46" s="96"/>
      <c r="BD46" s="97">
        <f>IFERROR(__xludf.DUMMYFUNCTION("""COMPUTED_VALUE"""),604.8656163113994)</f>
        <v>604.8656163</v>
      </c>
      <c r="BE46" s="95"/>
      <c r="BF46" s="96"/>
      <c r="BG46" s="97"/>
      <c r="BH46" s="95"/>
      <c r="BI46" s="96"/>
      <c r="BJ46" s="97"/>
      <c r="BK46" s="95">
        <f>IFERROR(__xludf.DUMMYFUNCTION("""COMPUTED_VALUE"""),22.40977237306154)</f>
        <v>22.40977237</v>
      </c>
      <c r="BL46" s="96"/>
      <c r="BM46" s="97"/>
      <c r="BN46" s="95"/>
      <c r="BO46" s="96"/>
      <c r="BP46" s="97"/>
      <c r="BQ46" s="95"/>
      <c r="BR46" s="96">
        <f>IFERROR(__xludf.DUMMYFUNCTION("""COMPUTED_VALUE"""),117.87036421075481)</f>
        <v>117.8703642</v>
      </c>
      <c r="BS46" s="97"/>
      <c r="BT46" s="95"/>
      <c r="BU46" s="96"/>
      <c r="BV46" s="97"/>
      <c r="BW46" s="95"/>
      <c r="BX46" s="96"/>
      <c r="BY46" s="97">
        <f>IFERROR(__xludf.DUMMYFUNCTION("""COMPUTED_VALUE"""),87.32298344803299)</f>
        <v>87.32298345</v>
      </c>
      <c r="BZ46" s="95"/>
      <c r="CA46" s="96"/>
      <c r="CB46" s="97"/>
      <c r="CC46" s="95"/>
      <c r="CD46" s="96"/>
      <c r="CE46" s="97"/>
      <c r="CF46" s="95">
        <f>IFERROR(__xludf.DUMMYFUNCTION("""COMPUTED_VALUE"""),30.032894484917172)</f>
        <v>30.03289448</v>
      </c>
      <c r="CG46" s="96"/>
      <c r="CH46" s="96"/>
      <c r="CI46" s="95"/>
      <c r="CJ46" s="96"/>
      <c r="CK46" s="96"/>
      <c r="CL46" s="95"/>
      <c r="CM46" s="96"/>
      <c r="CN46" s="96"/>
      <c r="CO46" s="95"/>
      <c r="CP46" s="96"/>
      <c r="CQ46" s="96"/>
      <c r="CR46" s="95"/>
      <c r="CS46" s="96"/>
      <c r="CT46" s="96"/>
      <c r="CU46" s="95">
        <f>IFERROR(__xludf.DUMMYFUNCTION("""COMPUTED_VALUE"""),343.92857142857144)</f>
        <v>343.9285714</v>
      </c>
      <c r="CV46" s="96"/>
      <c r="CW46" s="97"/>
      <c r="CX46" s="96"/>
      <c r="CY46" s="96"/>
      <c r="CZ46" s="97"/>
      <c r="DA46" s="95"/>
      <c r="DB46" s="96"/>
      <c r="DC46" s="97">
        <f>IFERROR(__xludf.DUMMYFUNCTION("""COMPUTED_VALUE"""),221.47058823529414)</f>
        <v>221.4705882</v>
      </c>
      <c r="DD46" s="95"/>
      <c r="DE46" s="96"/>
      <c r="DF46" s="97"/>
      <c r="DG46" s="95"/>
      <c r="DH46" s="96"/>
      <c r="DI46" s="97"/>
      <c r="DJ46" s="95"/>
      <c r="DK46" s="96">
        <f>IFERROR(__xludf.DUMMYFUNCTION("""COMPUTED_VALUE"""),153.67346938775512)</f>
        <v>153.6734694</v>
      </c>
      <c r="DL46" s="97"/>
      <c r="DM46" s="95"/>
      <c r="DN46" s="96"/>
      <c r="DO46" s="97"/>
      <c r="DP46" s="95"/>
      <c r="DQ46" s="96"/>
      <c r="DR46" s="97"/>
      <c r="DS46" s="95"/>
    </row>
    <row r="47">
      <c r="B47" s="83" t="str">
        <f>IFERROR(__xludf.DUMMYFUNCTION("""COMPUTED_VALUE"""),"TRF28")</f>
        <v>TRF28</v>
      </c>
      <c r="C47" s="88" t="str">
        <f>IFERROR(__xludf.DUMMYFUNCTION("""COMPUTED_VALUE"""),"SUN Saber Training Ground- Exp")</f>
        <v>SUN Saber Training Ground- Exp</v>
      </c>
      <c r="D47" s="102">
        <f>IFERROR(__xludf.DUMMYFUNCTION("""COMPUTED_VALUE"""),40.0)</f>
        <v>40</v>
      </c>
      <c r="E47" s="82" t="b">
        <f>IFERROR(__xludf.DUMMYFUNCTION("""COMPUTED_VALUE"""),TRUE)</f>
        <v>1</v>
      </c>
      <c r="F47" s="82" t="str">
        <f>IFERROR(__xludf.DUMMYFUNCTION("""COMPUTED_VALUE"""),"Training Field!A551:J570")</f>
        <v>Training Field!A551:J570</v>
      </c>
      <c r="G47" s="82">
        <f>IFERROR(__xludf.DUMMYFUNCTION("""COMPUTED_VALUE"""),47.0)</f>
        <v>47</v>
      </c>
      <c r="H47" s="82">
        <f>IFERROR(__xludf.DUMMYFUNCTION("""COMPUTED_VALUE"""),28657.0)</f>
        <v>28657</v>
      </c>
      <c r="I47" s="95"/>
      <c r="J47" s="96"/>
      <c r="K47" s="97"/>
      <c r="L47" s="95">
        <f>IFERROR(__xludf.DUMMYFUNCTION("""COMPUTED_VALUE"""),499.78199829086657)</f>
        <v>499.7819983</v>
      </c>
      <c r="M47" s="96"/>
      <c r="N47" s="97"/>
      <c r="O47" s="95"/>
      <c r="P47" s="96"/>
      <c r="Q47" s="97"/>
      <c r="R47" s="95"/>
      <c r="S47" s="96"/>
      <c r="T47" s="97"/>
      <c r="U47" s="95"/>
      <c r="V47" s="96"/>
      <c r="W47" s="97"/>
      <c r="X47" s="95"/>
      <c r="Y47" s="96"/>
      <c r="Z47" s="97"/>
      <c r="AA47" s="95">
        <f>IFERROR(__xludf.DUMMYFUNCTION("""COMPUTED_VALUE"""),149.6821532877502)</f>
        <v>149.6821533</v>
      </c>
      <c r="AB47" s="96"/>
      <c r="AC47" s="97"/>
      <c r="AD47" s="95"/>
      <c r="AE47" s="96">
        <f>IFERROR(__xludf.DUMMYFUNCTION("""COMPUTED_VALUE"""),377.1536265682929)</f>
        <v>377.1536266</v>
      </c>
      <c r="AF47" s="97">
        <f>IFERROR(__xludf.DUMMYFUNCTION("""COMPUTED_VALUE"""),196.53461478887445)</f>
        <v>196.5346148</v>
      </c>
      <c r="AG47" s="95"/>
      <c r="AH47" s="96"/>
      <c r="AI47" s="97"/>
      <c r="AJ47" s="95"/>
      <c r="AK47" s="96">
        <f>IFERROR(__xludf.DUMMYFUNCTION("""COMPUTED_VALUE"""),195.0182125655644)</f>
        <v>195.0182126</v>
      </c>
      <c r="AL47" s="97"/>
      <c r="AM47" s="95"/>
      <c r="AN47" s="96"/>
      <c r="AO47" s="97"/>
      <c r="AP47" s="95"/>
      <c r="AQ47" s="96"/>
      <c r="AR47" s="97"/>
      <c r="AS47" s="95"/>
      <c r="AT47" s="96"/>
      <c r="AU47" s="97">
        <f>IFERROR(__xludf.DUMMYFUNCTION("""COMPUTED_VALUE"""),212.55362144806003)</f>
        <v>212.5536214</v>
      </c>
      <c r="AV47" s="95"/>
      <c r="AW47" s="96"/>
      <c r="AX47" s="97">
        <f>IFERROR(__xludf.DUMMYFUNCTION("""COMPUTED_VALUE"""),178.1339603859654)</f>
        <v>178.1339604</v>
      </c>
      <c r="AY47" s="95"/>
      <c r="AZ47" s="96"/>
      <c r="BA47" s="97"/>
      <c r="BB47" s="95"/>
      <c r="BC47" s="96"/>
      <c r="BD47" s="97">
        <f>IFERROR(__xludf.DUMMYFUNCTION("""COMPUTED_VALUE"""),144.7156224647812)</f>
        <v>144.7156225</v>
      </c>
      <c r="BE47" s="95"/>
      <c r="BF47" s="96"/>
      <c r="BG47" s="97"/>
      <c r="BH47" s="95"/>
      <c r="BI47" s="96"/>
      <c r="BJ47" s="97"/>
      <c r="BK47" s="95">
        <f>IFERROR(__xludf.DUMMYFUNCTION("""COMPUTED_VALUE"""),34.31405105354026)</f>
        <v>34.31405105</v>
      </c>
      <c r="BL47" s="96"/>
      <c r="BM47" s="97"/>
      <c r="BN47" s="95"/>
      <c r="BO47" s="96"/>
      <c r="BP47" s="97"/>
      <c r="BQ47" s="95"/>
      <c r="BR47" s="96">
        <f>IFERROR(__xludf.DUMMYFUNCTION("""COMPUTED_VALUE"""),169.82313326740012)</f>
        <v>169.8231333</v>
      </c>
      <c r="BS47" s="97"/>
      <c r="BT47" s="95"/>
      <c r="BU47" s="96"/>
      <c r="BV47" s="97"/>
      <c r="BW47" s="95"/>
      <c r="BX47" s="96"/>
      <c r="BY47" s="97">
        <f>IFERROR(__xludf.DUMMYFUNCTION("""COMPUTED_VALUE"""),74.30691279449962)</f>
        <v>74.30691279</v>
      </c>
      <c r="BZ47" s="95"/>
      <c r="CA47" s="96"/>
      <c r="CB47" s="97"/>
      <c r="CC47" s="95"/>
      <c r="CD47" s="96"/>
      <c r="CE47" s="97"/>
      <c r="CF47" s="95">
        <f>IFERROR(__xludf.DUMMYFUNCTION("""COMPUTED_VALUE"""),54.651728303481256)</f>
        <v>54.6517283</v>
      </c>
      <c r="CG47" s="96"/>
      <c r="CH47" s="96"/>
      <c r="CI47" s="95"/>
      <c r="CJ47" s="96"/>
      <c r="CK47" s="96"/>
      <c r="CL47" s="95"/>
      <c r="CM47" s="96"/>
      <c r="CN47" s="96"/>
      <c r="CO47" s="95"/>
      <c r="CP47" s="96"/>
      <c r="CQ47" s="96"/>
      <c r="CR47" s="95"/>
      <c r="CS47" s="96"/>
      <c r="CT47" s="96"/>
      <c r="CU47" s="95">
        <f>IFERROR(__xludf.DUMMYFUNCTION("""COMPUTED_VALUE"""),420.0)</f>
        <v>420</v>
      </c>
      <c r="CV47" s="96"/>
      <c r="CW47" s="97"/>
      <c r="CX47" s="96"/>
      <c r="CY47" s="96"/>
      <c r="CZ47" s="97"/>
      <c r="DA47" s="95"/>
      <c r="DB47" s="96"/>
      <c r="DC47" s="97">
        <f>IFERROR(__xludf.DUMMYFUNCTION("""COMPUTED_VALUE"""),237.0731707317073)</f>
        <v>237.0731707</v>
      </c>
      <c r="DD47" s="95"/>
      <c r="DE47" s="96"/>
      <c r="DF47" s="97"/>
      <c r="DG47" s="95"/>
      <c r="DH47" s="96"/>
      <c r="DI47" s="97"/>
      <c r="DJ47" s="95"/>
      <c r="DK47" s="96">
        <f>IFERROR(__xludf.DUMMYFUNCTION("""COMPUTED_VALUE"""),270.27027027027026)</f>
        <v>270.2702703</v>
      </c>
      <c r="DL47" s="97"/>
      <c r="DM47" s="95"/>
      <c r="DN47" s="96"/>
      <c r="DO47" s="97"/>
      <c r="DP47" s="95"/>
      <c r="DQ47" s="96"/>
      <c r="DR47" s="97"/>
      <c r="DS47" s="95"/>
    </row>
    <row r="48">
      <c r="A48" s="110" t="str">
        <f>IFERROR(__xludf.DUMMYFUNCTION("""COMPUTED_VALUE"""),"FUYUKI")</f>
        <v>FUYUKI</v>
      </c>
      <c r="B48" s="83" t="str">
        <f>IFERROR(__xludf.DUMMYFUNCTION("""COMPUTED_VALUE"""),"FUY1")</f>
        <v>FUY1</v>
      </c>
      <c r="C48" s="88" t="str">
        <f>IFERROR(__xludf.DUMMYFUNCTION("""COMPUTED_VALUE"""),"Unknown Coordinates X-A")</f>
        <v>Unknown Coordinates X-A</v>
      </c>
      <c r="D48" s="102">
        <f>IFERROR(__xludf.DUMMYFUNCTION("""COMPUTED_VALUE"""),3.0)</f>
        <v>3</v>
      </c>
      <c r="E48" s="82" t="b">
        <f>IFERROR(__xludf.DUMMYFUNCTION("""COMPUTED_VALUE"""),TRUE)</f>
        <v>1</v>
      </c>
      <c r="F48" s="82" t="str">
        <f>IFERROR(__xludf.DUMMYFUNCTION("""COMPUTED_VALUE"""),"Free Quests- Part 1!A7:J12")</f>
        <v>Free Quests- Part 1!A7:J12</v>
      </c>
      <c r="G48" s="82">
        <f>IFERROR(__xludf.DUMMYFUNCTION("""COMPUTED_VALUE"""),48.0)</f>
        <v>48</v>
      </c>
      <c r="H48" s="82">
        <f>IFERROR(__xludf.DUMMYFUNCTION("""COMPUTED_VALUE"""),636358.0)</f>
        <v>636358</v>
      </c>
      <c r="I48" s="95"/>
      <c r="J48" s="96"/>
      <c r="K48" s="97"/>
      <c r="L48" s="95"/>
      <c r="M48" s="96"/>
      <c r="N48" s="97"/>
      <c r="O48" s="95"/>
      <c r="P48" s="96"/>
      <c r="Q48" s="97"/>
      <c r="R48" s="95"/>
      <c r="S48" s="96"/>
      <c r="T48" s="97"/>
      <c r="U48" s="95"/>
      <c r="V48" s="96"/>
      <c r="W48" s="97"/>
      <c r="X48" s="95"/>
      <c r="Y48" s="96"/>
      <c r="Z48" s="97"/>
      <c r="AA48" s="95"/>
      <c r="AB48" s="96"/>
      <c r="AC48" s="97"/>
      <c r="AD48" s="95"/>
      <c r="AE48" s="96"/>
      <c r="AF48" s="97"/>
      <c r="AG48" s="95"/>
      <c r="AH48" s="96"/>
      <c r="AI48" s="97"/>
      <c r="AJ48" s="95"/>
      <c r="AK48" s="96"/>
      <c r="AL48" s="97"/>
      <c r="AM48" s="95"/>
      <c r="AN48" s="96"/>
      <c r="AO48" s="97"/>
      <c r="AP48" s="95"/>
      <c r="AQ48" s="96"/>
      <c r="AR48" s="97"/>
      <c r="AS48" s="95"/>
      <c r="AT48" s="96"/>
      <c r="AU48" s="97"/>
      <c r="AV48" s="95">
        <f>IFERROR(__xludf.DUMMYFUNCTION("""COMPUTED_VALUE"""),40.53879514241574)</f>
        <v>40.53879514</v>
      </c>
      <c r="AW48" s="96"/>
      <c r="AX48" s="97"/>
      <c r="AY48" s="95"/>
      <c r="AZ48" s="96"/>
      <c r="BA48" s="97"/>
      <c r="BB48" s="95"/>
      <c r="BC48" s="96"/>
      <c r="BD48" s="97"/>
      <c r="BE48" s="95"/>
      <c r="BF48" s="96"/>
      <c r="BG48" s="97"/>
      <c r="BH48" s="95"/>
      <c r="BI48" s="96"/>
      <c r="BJ48" s="97"/>
      <c r="BK48" s="95"/>
      <c r="BL48" s="96"/>
      <c r="BM48" s="97"/>
      <c r="BN48" s="95"/>
      <c r="BO48" s="96"/>
      <c r="BP48" s="97"/>
      <c r="BQ48" s="95"/>
      <c r="BR48" s="96">
        <f>IFERROR(__xludf.DUMMYFUNCTION("""COMPUTED_VALUE"""),20.13717818631828)</f>
        <v>20.13717819</v>
      </c>
      <c r="BS48" s="97"/>
      <c r="BT48" s="95"/>
      <c r="BU48" s="96"/>
      <c r="BV48" s="97"/>
      <c r="BW48" s="95"/>
      <c r="BX48" s="96"/>
      <c r="BY48" s="97"/>
      <c r="BZ48" s="95"/>
      <c r="CA48" s="96"/>
      <c r="CB48" s="97"/>
      <c r="CC48" s="95"/>
      <c r="CD48" s="96"/>
      <c r="CE48" s="97"/>
      <c r="CF48" s="95"/>
      <c r="CG48" s="96"/>
      <c r="CH48" s="96"/>
      <c r="CI48" s="95"/>
      <c r="CJ48" s="96"/>
      <c r="CK48" s="96"/>
      <c r="CL48" s="95"/>
      <c r="CM48" s="96"/>
      <c r="CN48" s="96"/>
      <c r="CO48" s="95"/>
      <c r="CP48" s="96"/>
      <c r="CQ48" s="96"/>
      <c r="CR48" s="95"/>
      <c r="CS48" s="96"/>
      <c r="CT48" s="96"/>
      <c r="CU48" s="95"/>
      <c r="CV48" s="96"/>
      <c r="CW48" s="97"/>
      <c r="CX48" s="96"/>
      <c r="CY48" s="96"/>
      <c r="CZ48" s="97"/>
      <c r="DA48" s="95"/>
      <c r="DB48" s="96"/>
      <c r="DC48" s="97"/>
      <c r="DD48" s="95"/>
      <c r="DE48" s="96"/>
      <c r="DF48" s="97"/>
      <c r="DG48" s="95"/>
      <c r="DH48" s="96"/>
      <c r="DI48" s="97"/>
      <c r="DJ48" s="95"/>
      <c r="DK48" s="96">
        <f>IFERROR(__xludf.DUMMYFUNCTION("""COMPUTED_VALUE"""),20.57142857142857)</f>
        <v>20.57142857</v>
      </c>
      <c r="DL48" s="97"/>
      <c r="DM48" s="95"/>
      <c r="DN48" s="96"/>
      <c r="DO48" s="97"/>
      <c r="DP48" s="95"/>
      <c r="DQ48" s="96"/>
      <c r="DR48" s="97"/>
      <c r="DS48" s="95"/>
    </row>
    <row r="49">
      <c r="B49" s="83" t="str">
        <f>IFERROR(__xludf.DUMMYFUNCTION("""COMPUTED_VALUE"""),"FUY2")</f>
        <v>FUY2</v>
      </c>
      <c r="C49" s="88" t="str">
        <f>IFERROR(__xludf.DUMMYFUNCTION("""COMPUTED_VALUE"""),"Unknown Coordinates X-B")</f>
        <v>Unknown Coordinates X-B</v>
      </c>
      <c r="D49" s="102">
        <f>IFERROR(__xludf.DUMMYFUNCTION("""COMPUTED_VALUE"""),4.0)</f>
        <v>4</v>
      </c>
      <c r="E49" s="82" t="b">
        <f>IFERROR(__xludf.DUMMYFUNCTION("""COMPUTED_VALUE"""),TRUE)</f>
        <v>1</v>
      </c>
      <c r="F49" s="82" t="str">
        <f>IFERROR(__xludf.DUMMYFUNCTION("""COMPUTED_VALUE"""),"Free Quests- Part 1!A16:J23")</f>
        <v>Free Quests- Part 1!A16:J23</v>
      </c>
      <c r="G49" s="82">
        <f>IFERROR(__xludf.DUMMYFUNCTION("""COMPUTED_VALUE"""),49.0)</f>
        <v>49</v>
      </c>
      <c r="H49" s="82">
        <f>IFERROR(__xludf.DUMMYFUNCTION("""COMPUTED_VALUE"""),2732.0)</f>
        <v>2732</v>
      </c>
      <c r="I49" s="95"/>
      <c r="J49" s="96"/>
      <c r="K49" s="97"/>
      <c r="L49" s="95"/>
      <c r="M49" s="96"/>
      <c r="N49" s="97"/>
      <c r="O49" s="95"/>
      <c r="P49" s="96"/>
      <c r="Q49" s="97"/>
      <c r="R49" s="95"/>
      <c r="S49" s="96"/>
      <c r="T49" s="97"/>
      <c r="U49" s="95"/>
      <c r="V49" s="96"/>
      <c r="W49" s="97"/>
      <c r="X49" s="95"/>
      <c r="Y49" s="96"/>
      <c r="Z49" s="97"/>
      <c r="AA49" s="95"/>
      <c r="AB49" s="96"/>
      <c r="AC49" s="97"/>
      <c r="AD49" s="95"/>
      <c r="AE49" s="96"/>
      <c r="AF49" s="97"/>
      <c r="AG49" s="95"/>
      <c r="AH49" s="96"/>
      <c r="AI49" s="97"/>
      <c r="AJ49" s="95"/>
      <c r="AK49" s="96"/>
      <c r="AL49" s="97"/>
      <c r="AM49" s="95"/>
      <c r="AN49" s="96"/>
      <c r="AO49" s="97"/>
      <c r="AP49" s="95"/>
      <c r="AQ49" s="96"/>
      <c r="AR49" s="97"/>
      <c r="AS49" s="95"/>
      <c r="AT49" s="96"/>
      <c r="AU49" s="97"/>
      <c r="AV49" s="95">
        <f>IFERROR(__xludf.DUMMYFUNCTION("""COMPUTED_VALUE"""),28.599693275617504)</f>
        <v>28.59969328</v>
      </c>
      <c r="AW49" s="96"/>
      <c r="AX49" s="97"/>
      <c r="AY49" s="95"/>
      <c r="AZ49" s="96"/>
      <c r="BA49" s="97"/>
      <c r="BB49" s="95"/>
      <c r="BC49" s="96"/>
      <c r="BD49" s="97"/>
      <c r="BE49" s="95"/>
      <c r="BF49" s="96"/>
      <c r="BG49" s="97"/>
      <c r="BH49" s="95"/>
      <c r="BI49" s="96"/>
      <c r="BJ49" s="97"/>
      <c r="BK49" s="95"/>
      <c r="BL49" s="96"/>
      <c r="BM49" s="97"/>
      <c r="BN49" s="95"/>
      <c r="BO49" s="96"/>
      <c r="BP49" s="97"/>
      <c r="BQ49" s="95"/>
      <c r="BR49" s="96">
        <f>IFERROR(__xludf.DUMMYFUNCTION("""COMPUTED_VALUE"""),27.489126852962855)</f>
        <v>27.48912685</v>
      </c>
      <c r="BS49" s="97"/>
      <c r="BT49" s="95">
        <f>IFERROR(__xludf.DUMMYFUNCTION("""COMPUTED_VALUE"""),39.47748685047107)</f>
        <v>39.47748685</v>
      </c>
      <c r="BU49" s="96"/>
      <c r="BV49" s="97"/>
      <c r="BW49" s="95"/>
      <c r="BX49" s="96"/>
      <c r="BY49" s="97"/>
      <c r="BZ49" s="95"/>
      <c r="CA49" s="96"/>
      <c r="CB49" s="97"/>
      <c r="CC49" s="95"/>
      <c r="CD49" s="96"/>
      <c r="CE49" s="97"/>
      <c r="CF49" s="95"/>
      <c r="CG49" s="96"/>
      <c r="CH49" s="96"/>
      <c r="CI49" s="95"/>
      <c r="CJ49" s="96"/>
      <c r="CK49" s="96"/>
      <c r="CL49" s="95"/>
      <c r="CM49" s="96"/>
      <c r="CN49" s="96"/>
      <c r="CO49" s="95"/>
      <c r="CP49" s="96"/>
      <c r="CQ49" s="96"/>
      <c r="CR49" s="95"/>
      <c r="CS49" s="96"/>
      <c r="CT49" s="96"/>
      <c r="CU49" s="95"/>
      <c r="CV49" s="96"/>
      <c r="CW49" s="97"/>
      <c r="CX49" s="96"/>
      <c r="CY49" s="96"/>
      <c r="CZ49" s="97"/>
      <c r="DA49" s="95"/>
      <c r="DB49" s="96"/>
      <c r="DC49" s="97"/>
      <c r="DD49" s="95"/>
      <c r="DE49" s="96"/>
      <c r="DF49" s="97"/>
      <c r="DG49" s="95"/>
      <c r="DH49" s="96"/>
      <c r="DI49" s="97"/>
      <c r="DJ49" s="95"/>
      <c r="DK49" s="96">
        <f>IFERROR(__xludf.DUMMYFUNCTION("""COMPUTED_VALUE"""),23.894736842105264)</f>
        <v>23.89473684</v>
      </c>
      <c r="DL49" s="97"/>
      <c r="DM49" s="95">
        <f>IFERROR(__xludf.DUMMYFUNCTION("""COMPUTED_VALUE"""),34.92307692307692)</f>
        <v>34.92307692</v>
      </c>
      <c r="DN49" s="96"/>
      <c r="DO49" s="97"/>
      <c r="DP49" s="95"/>
      <c r="DQ49" s="96"/>
      <c r="DR49" s="97"/>
      <c r="DS49" s="95"/>
    </row>
    <row r="50">
      <c r="B50" s="83" t="str">
        <f>IFERROR(__xludf.DUMMYFUNCTION("""COMPUTED_VALUE"""),"FUY3")</f>
        <v>FUY3</v>
      </c>
      <c r="C50" s="88" t="str">
        <f>IFERROR(__xludf.DUMMYFUNCTION("""COMPUTED_VALUE"""),"Unknown Coordinates X-C")</f>
        <v>Unknown Coordinates X-C</v>
      </c>
      <c r="D50" s="102">
        <f>IFERROR(__xludf.DUMMYFUNCTION("""COMPUTED_VALUE"""),4.0)</f>
        <v>4</v>
      </c>
      <c r="E50" s="82" t="b">
        <f>IFERROR(__xludf.DUMMYFUNCTION("""COMPUTED_VALUE"""),TRUE)</f>
        <v>1</v>
      </c>
      <c r="F50" s="82" t="str">
        <f>IFERROR(__xludf.DUMMYFUNCTION("""COMPUTED_VALUE"""),"Free Quests- Part 1!A27:J34")</f>
        <v>Free Quests- Part 1!A27:J34</v>
      </c>
      <c r="G50" s="82">
        <f>IFERROR(__xludf.DUMMYFUNCTION("""COMPUTED_VALUE"""),50.0)</f>
        <v>50</v>
      </c>
      <c r="H50" s="82">
        <f>IFERROR(__xludf.DUMMYFUNCTION("""COMPUTED_VALUE"""),62808.0)</f>
        <v>62808</v>
      </c>
      <c r="I50" s="95"/>
      <c r="J50" s="96"/>
      <c r="K50" s="97"/>
      <c r="L50" s="95"/>
      <c r="M50" s="96"/>
      <c r="N50" s="97"/>
      <c r="O50" s="95"/>
      <c r="P50" s="96"/>
      <c r="Q50" s="97"/>
      <c r="R50" s="95"/>
      <c r="S50" s="96"/>
      <c r="T50" s="97"/>
      <c r="U50" s="95"/>
      <c r="V50" s="96"/>
      <c r="W50" s="97"/>
      <c r="X50" s="95"/>
      <c r="Y50" s="96"/>
      <c r="Z50" s="97"/>
      <c r="AA50" s="95"/>
      <c r="AB50" s="96"/>
      <c r="AC50" s="97"/>
      <c r="AD50" s="95"/>
      <c r="AE50" s="96"/>
      <c r="AF50" s="97"/>
      <c r="AG50" s="95"/>
      <c r="AH50" s="96"/>
      <c r="AI50" s="97"/>
      <c r="AJ50" s="95"/>
      <c r="AK50" s="96"/>
      <c r="AL50" s="97"/>
      <c r="AM50" s="95"/>
      <c r="AN50" s="96"/>
      <c r="AO50" s="97"/>
      <c r="AP50" s="95"/>
      <c r="AQ50" s="96"/>
      <c r="AR50" s="97"/>
      <c r="AS50" s="95"/>
      <c r="AT50" s="96"/>
      <c r="AU50" s="97"/>
      <c r="AV50" s="95">
        <f>IFERROR(__xludf.DUMMYFUNCTION("""COMPUTED_VALUE"""),22.328746471774263)</f>
        <v>22.32874647</v>
      </c>
      <c r="AW50" s="96"/>
      <c r="AX50" s="97"/>
      <c r="AY50" s="95"/>
      <c r="AZ50" s="96"/>
      <c r="BA50" s="97"/>
      <c r="BB50" s="95"/>
      <c r="BC50" s="96"/>
      <c r="BD50" s="97"/>
      <c r="BE50" s="95"/>
      <c r="BF50" s="96"/>
      <c r="BG50" s="97"/>
      <c r="BH50" s="95"/>
      <c r="BI50" s="96"/>
      <c r="BJ50" s="97"/>
      <c r="BK50" s="95"/>
      <c r="BL50" s="96"/>
      <c r="BM50" s="97"/>
      <c r="BN50" s="95"/>
      <c r="BO50" s="96"/>
      <c r="BP50" s="97"/>
      <c r="BQ50" s="95"/>
      <c r="BR50" s="96">
        <f>IFERROR(__xludf.DUMMYFUNCTION("""COMPUTED_VALUE"""),20.439266589190435)</f>
        <v>20.43926659</v>
      </c>
      <c r="BS50" s="97"/>
      <c r="BT50" s="95">
        <f>IFERROR(__xludf.DUMMYFUNCTION("""COMPUTED_VALUE"""),26.698635225907513)</f>
        <v>26.69863523</v>
      </c>
      <c r="BU50" s="96"/>
      <c r="BV50" s="97"/>
      <c r="BW50" s="95"/>
      <c r="BX50" s="96"/>
      <c r="BY50" s="97"/>
      <c r="BZ50" s="95"/>
      <c r="CA50" s="96"/>
      <c r="CB50" s="97"/>
      <c r="CC50" s="95"/>
      <c r="CD50" s="96"/>
      <c r="CE50" s="97"/>
      <c r="CF50" s="95"/>
      <c r="CG50" s="96"/>
      <c r="CH50" s="96"/>
      <c r="CI50" s="95"/>
      <c r="CJ50" s="96"/>
      <c r="CK50" s="96"/>
      <c r="CL50" s="95"/>
      <c r="CM50" s="96"/>
      <c r="CN50" s="96"/>
      <c r="CO50" s="95"/>
      <c r="CP50" s="96"/>
      <c r="CQ50" s="96"/>
      <c r="CR50" s="95"/>
      <c r="CS50" s="96"/>
      <c r="CT50" s="96"/>
      <c r="CU50" s="95"/>
      <c r="CV50" s="96"/>
      <c r="CW50" s="97"/>
      <c r="CX50" s="96"/>
      <c r="CY50" s="96"/>
      <c r="CZ50" s="97"/>
      <c r="DA50" s="95"/>
      <c r="DB50" s="96"/>
      <c r="DC50" s="97"/>
      <c r="DD50" s="95"/>
      <c r="DE50" s="96"/>
      <c r="DF50" s="97"/>
      <c r="DG50" s="95"/>
      <c r="DH50" s="96"/>
      <c r="DI50" s="97"/>
      <c r="DJ50" s="95"/>
      <c r="DK50" s="96">
        <f>IFERROR(__xludf.DUMMYFUNCTION("""COMPUTED_VALUE"""),18.452599388379205)</f>
        <v>18.45259939</v>
      </c>
      <c r="DL50" s="97"/>
      <c r="DM50" s="95">
        <f>IFERROR(__xludf.DUMMYFUNCTION("""COMPUTED_VALUE"""),25.791044776119403)</f>
        <v>25.79104478</v>
      </c>
      <c r="DN50" s="96"/>
      <c r="DO50" s="97"/>
      <c r="DP50" s="95"/>
      <c r="DQ50" s="96"/>
      <c r="DR50" s="97"/>
      <c r="DS50" s="95"/>
    </row>
    <row r="51">
      <c r="B51" s="83" t="str">
        <f>IFERROR(__xludf.DUMMYFUNCTION("""COMPUTED_VALUE"""),"FUY4")</f>
        <v>FUY4</v>
      </c>
      <c r="C51" s="88" t="str">
        <f>IFERROR(__xludf.DUMMYFUNCTION("""COMPUTED_VALUE"""),"Unknown Coordinates X-D")</f>
        <v>Unknown Coordinates X-D</v>
      </c>
      <c r="D51" s="102">
        <f>IFERROR(__xludf.DUMMYFUNCTION("""COMPUTED_VALUE"""),5.0)</f>
        <v>5</v>
      </c>
      <c r="E51" s="82" t="b">
        <f>IFERROR(__xludf.DUMMYFUNCTION("""COMPUTED_VALUE"""),TRUE)</f>
        <v>1</v>
      </c>
      <c r="F51" s="82" t="str">
        <f>IFERROR(__xludf.DUMMYFUNCTION("""COMPUTED_VALUE"""),"Free Quests- Part 1!A38:J45")</f>
        <v>Free Quests- Part 1!A38:J45</v>
      </c>
      <c r="G51" s="82">
        <f>IFERROR(__xludf.DUMMYFUNCTION("""COMPUTED_VALUE"""),51.0)</f>
        <v>51</v>
      </c>
      <c r="H51" s="82">
        <f>IFERROR(__xludf.DUMMYFUNCTION("""COMPUTED_VALUE"""),2789.0)</f>
        <v>2789</v>
      </c>
      <c r="I51" s="95"/>
      <c r="J51" s="96"/>
      <c r="K51" s="97"/>
      <c r="L51" s="95"/>
      <c r="M51" s="96"/>
      <c r="N51" s="97"/>
      <c r="O51" s="95"/>
      <c r="P51" s="96"/>
      <c r="Q51" s="97"/>
      <c r="R51" s="95"/>
      <c r="S51" s="96"/>
      <c r="T51" s="97"/>
      <c r="U51" s="95"/>
      <c r="V51" s="96"/>
      <c r="W51" s="97"/>
      <c r="X51" s="95"/>
      <c r="Y51" s="96"/>
      <c r="Z51" s="97"/>
      <c r="AA51" s="95"/>
      <c r="AB51" s="96"/>
      <c r="AC51" s="97"/>
      <c r="AD51" s="95"/>
      <c r="AE51" s="96"/>
      <c r="AF51" s="97"/>
      <c r="AG51" s="95"/>
      <c r="AH51" s="96"/>
      <c r="AI51" s="97"/>
      <c r="AJ51" s="95"/>
      <c r="AK51" s="96"/>
      <c r="AL51" s="97"/>
      <c r="AM51" s="95"/>
      <c r="AN51" s="96"/>
      <c r="AO51" s="97"/>
      <c r="AP51" s="95"/>
      <c r="AQ51" s="96"/>
      <c r="AR51" s="97"/>
      <c r="AS51" s="95"/>
      <c r="AT51" s="96"/>
      <c r="AU51" s="97"/>
      <c r="AV51" s="95">
        <f>IFERROR(__xludf.DUMMYFUNCTION("""COMPUTED_VALUE"""),24.64521145927222)</f>
        <v>24.64521146</v>
      </c>
      <c r="AW51" s="96"/>
      <c r="AX51" s="97"/>
      <c r="AY51" s="95"/>
      <c r="AZ51" s="96"/>
      <c r="BA51" s="97"/>
      <c r="BB51" s="95"/>
      <c r="BC51" s="96"/>
      <c r="BD51" s="97"/>
      <c r="BE51" s="95"/>
      <c r="BF51" s="96"/>
      <c r="BG51" s="97"/>
      <c r="BH51" s="95"/>
      <c r="BI51" s="96"/>
      <c r="BJ51" s="97"/>
      <c r="BK51" s="95"/>
      <c r="BL51" s="96"/>
      <c r="BM51" s="97"/>
      <c r="BN51" s="95"/>
      <c r="BO51" s="96"/>
      <c r="BP51" s="97"/>
      <c r="BQ51" s="95"/>
      <c r="BR51" s="96">
        <f>IFERROR(__xludf.DUMMYFUNCTION("""COMPUTED_VALUE"""),22.59891583544683)</f>
        <v>22.59891584</v>
      </c>
      <c r="BS51" s="97">
        <f>IFERROR(__xludf.DUMMYFUNCTION("""COMPUTED_VALUE"""),26.065420560747665)</f>
        <v>26.06542056</v>
      </c>
      <c r="BT51" s="95"/>
      <c r="BU51" s="96"/>
      <c r="BV51" s="97"/>
      <c r="BW51" s="95"/>
      <c r="BX51" s="96"/>
      <c r="BY51" s="97"/>
      <c r="BZ51" s="95"/>
      <c r="CA51" s="96"/>
      <c r="CB51" s="97"/>
      <c r="CC51" s="95"/>
      <c r="CD51" s="96"/>
      <c r="CE51" s="97"/>
      <c r="CF51" s="95"/>
      <c r="CG51" s="96"/>
      <c r="CH51" s="96"/>
      <c r="CI51" s="95"/>
      <c r="CJ51" s="96"/>
      <c r="CK51" s="96"/>
      <c r="CL51" s="95"/>
      <c r="CM51" s="96"/>
      <c r="CN51" s="96"/>
      <c r="CO51" s="95"/>
      <c r="CP51" s="96"/>
      <c r="CQ51" s="96"/>
      <c r="CR51" s="95"/>
      <c r="CS51" s="96"/>
      <c r="CT51" s="96"/>
      <c r="CU51" s="95"/>
      <c r="CV51" s="96"/>
      <c r="CW51" s="97"/>
      <c r="CX51" s="96"/>
      <c r="CY51" s="96"/>
      <c r="CZ51" s="97"/>
      <c r="DA51" s="95"/>
      <c r="DB51" s="96"/>
      <c r="DC51" s="97"/>
      <c r="DD51" s="95"/>
      <c r="DE51" s="96"/>
      <c r="DF51" s="97"/>
      <c r="DG51" s="95"/>
      <c r="DH51" s="96"/>
      <c r="DI51" s="97"/>
      <c r="DJ51" s="95"/>
      <c r="DK51" s="96">
        <f>IFERROR(__xludf.DUMMYFUNCTION("""COMPUTED_VALUE"""),28.03571428571429)</f>
        <v>28.03571429</v>
      </c>
      <c r="DL51" s="97">
        <f>IFERROR(__xludf.DUMMYFUNCTION("""COMPUTED_VALUE"""),28.03571428571429)</f>
        <v>28.03571429</v>
      </c>
      <c r="DM51" s="95"/>
      <c r="DN51" s="96"/>
      <c r="DO51" s="97"/>
      <c r="DP51" s="95"/>
      <c r="DQ51" s="96"/>
      <c r="DR51" s="97"/>
      <c r="DS51" s="95"/>
    </row>
    <row r="52">
      <c r="B52" s="83" t="str">
        <f>IFERROR(__xludf.DUMMYFUNCTION("""COMPUTED_VALUE"""),"FUY5")</f>
        <v>FUY5</v>
      </c>
      <c r="C52" s="88" t="str">
        <f>IFERROR(__xludf.DUMMYFUNCTION("""COMPUTED_VALUE"""),"Unknown Coordinates X-E")</f>
        <v>Unknown Coordinates X-E</v>
      </c>
      <c r="D52" s="102">
        <f>IFERROR(__xludf.DUMMYFUNCTION("""COMPUTED_VALUE"""),5.0)</f>
        <v>5</v>
      </c>
      <c r="E52" s="82" t="b">
        <f>IFERROR(__xludf.DUMMYFUNCTION("""COMPUTED_VALUE"""),TRUE)</f>
        <v>1</v>
      </c>
      <c r="F52" s="82" t="str">
        <f>IFERROR(__xludf.DUMMYFUNCTION("""COMPUTED_VALUE"""),"Free Quests- Part 1!A49:J59")</f>
        <v>Free Quests- Part 1!A49:J59</v>
      </c>
      <c r="G52" s="82">
        <f>IFERROR(__xludf.DUMMYFUNCTION("""COMPUTED_VALUE"""),52.0)</f>
        <v>52</v>
      </c>
      <c r="H52" s="82">
        <f>IFERROR(__xludf.DUMMYFUNCTION("""COMPUTED_VALUE"""),3585.0)</f>
        <v>3585</v>
      </c>
      <c r="I52" s="95"/>
      <c r="J52" s="96"/>
      <c r="K52" s="97"/>
      <c r="L52" s="95"/>
      <c r="M52" s="96"/>
      <c r="N52" s="97"/>
      <c r="O52" s="95"/>
      <c r="P52" s="96"/>
      <c r="Q52" s="97"/>
      <c r="R52" s="95"/>
      <c r="S52" s="96"/>
      <c r="T52" s="97"/>
      <c r="U52" s="95"/>
      <c r="V52" s="96"/>
      <c r="W52" s="97"/>
      <c r="X52" s="95"/>
      <c r="Y52" s="96"/>
      <c r="Z52" s="97"/>
      <c r="AA52" s="95"/>
      <c r="AB52" s="96"/>
      <c r="AC52" s="97"/>
      <c r="AD52" s="95"/>
      <c r="AE52" s="96"/>
      <c r="AF52" s="97"/>
      <c r="AG52" s="95"/>
      <c r="AH52" s="96"/>
      <c r="AI52" s="97"/>
      <c r="AJ52" s="95"/>
      <c r="AK52" s="96"/>
      <c r="AL52" s="97"/>
      <c r="AM52" s="95"/>
      <c r="AN52" s="96"/>
      <c r="AO52" s="97"/>
      <c r="AP52" s="95"/>
      <c r="AQ52" s="96"/>
      <c r="AR52" s="97"/>
      <c r="AS52" s="95"/>
      <c r="AT52" s="96"/>
      <c r="AU52" s="97"/>
      <c r="AV52" s="95">
        <f>IFERROR(__xludf.DUMMYFUNCTION("""COMPUTED_VALUE"""),30.248569837493037)</f>
        <v>30.24856984</v>
      </c>
      <c r="AW52" s="96"/>
      <c r="AX52" s="97">
        <f>IFERROR(__xludf.DUMMYFUNCTION("""COMPUTED_VALUE"""),114.59165734377497)</f>
        <v>114.5916573</v>
      </c>
      <c r="AY52" s="95"/>
      <c r="AZ52" s="96"/>
      <c r="BA52" s="97"/>
      <c r="BB52" s="95"/>
      <c r="BC52" s="96"/>
      <c r="BD52" s="97"/>
      <c r="BE52" s="95"/>
      <c r="BF52" s="96"/>
      <c r="BG52" s="97"/>
      <c r="BH52" s="95"/>
      <c r="BI52" s="96"/>
      <c r="BJ52" s="97"/>
      <c r="BK52" s="95"/>
      <c r="BL52" s="96"/>
      <c r="BM52" s="97"/>
      <c r="BN52" s="95"/>
      <c r="BO52" s="96"/>
      <c r="BP52" s="97"/>
      <c r="BQ52" s="95"/>
      <c r="BR52" s="96">
        <f>IFERROR(__xludf.DUMMYFUNCTION("""COMPUTED_VALUE"""),26.893214808146734)</f>
        <v>26.89321481</v>
      </c>
      <c r="BS52" s="97">
        <f>IFERROR(__xludf.DUMMYFUNCTION("""COMPUTED_VALUE"""),47.45955677936932)</f>
        <v>47.45955678</v>
      </c>
      <c r="BT52" s="95"/>
      <c r="BU52" s="96"/>
      <c r="BV52" s="97"/>
      <c r="BW52" s="95"/>
      <c r="BX52" s="96"/>
      <c r="BY52" s="97"/>
      <c r="BZ52" s="95"/>
      <c r="CA52" s="96"/>
      <c r="CB52" s="97"/>
      <c r="CC52" s="95"/>
      <c r="CD52" s="96"/>
      <c r="CE52" s="97"/>
      <c r="CF52" s="95"/>
      <c r="CG52" s="96"/>
      <c r="CH52" s="96"/>
      <c r="CI52" s="95">
        <f>IFERROR(__xludf.DUMMYFUNCTION("""COMPUTED_VALUE"""),94.17111035225513)</f>
        <v>94.17111035</v>
      </c>
      <c r="CJ52" s="96"/>
      <c r="CK52" s="96"/>
      <c r="CL52" s="95"/>
      <c r="CM52" s="96"/>
      <c r="CN52" s="96"/>
      <c r="CO52" s="95"/>
      <c r="CP52" s="96"/>
      <c r="CQ52" s="96"/>
      <c r="CR52" s="95"/>
      <c r="CS52" s="96"/>
      <c r="CT52" s="96"/>
      <c r="CU52" s="95"/>
      <c r="CV52" s="96"/>
      <c r="CW52" s="97"/>
      <c r="CX52" s="96"/>
      <c r="CY52" s="96"/>
      <c r="CZ52" s="97"/>
      <c r="DA52" s="95"/>
      <c r="DB52" s="96"/>
      <c r="DC52" s="97"/>
      <c r="DD52" s="95"/>
      <c r="DE52" s="96"/>
      <c r="DF52" s="97">
        <f>IFERROR(__xludf.DUMMYFUNCTION("""COMPUTED_VALUE"""),24.642857142857142)</f>
        <v>24.64285714</v>
      </c>
      <c r="DG52" s="95"/>
      <c r="DH52" s="96"/>
      <c r="DI52" s="97"/>
      <c r="DJ52" s="95"/>
      <c r="DK52" s="96">
        <f>IFERROR(__xludf.DUMMYFUNCTION("""COMPUTED_VALUE"""),32.857142857142854)</f>
        <v>32.85714286</v>
      </c>
      <c r="DL52" s="97">
        <f>IFERROR(__xludf.DUMMYFUNCTION("""COMPUTED_VALUE"""),69.0)</f>
        <v>69</v>
      </c>
      <c r="DM52" s="95"/>
      <c r="DN52" s="96"/>
      <c r="DO52" s="97"/>
      <c r="DP52" s="95"/>
      <c r="DQ52" s="96"/>
      <c r="DR52" s="97"/>
      <c r="DS52" s="95"/>
    </row>
    <row r="53">
      <c r="B53" s="83" t="str">
        <f>IFERROR(__xludf.DUMMYFUNCTION("""COMPUTED_VALUE"""),"FUY6")</f>
        <v>FUY6</v>
      </c>
      <c r="C53" s="88" t="str">
        <f>IFERROR(__xludf.DUMMYFUNCTION("""COMPUTED_VALUE"""),"Unknown Coordinates X-F")</f>
        <v>Unknown Coordinates X-F</v>
      </c>
      <c r="D53" s="102">
        <f>IFERROR(__xludf.DUMMYFUNCTION("""COMPUTED_VALUE"""),6.0)</f>
        <v>6</v>
      </c>
      <c r="E53" s="82" t="b">
        <f>IFERROR(__xludf.DUMMYFUNCTION("""COMPUTED_VALUE"""),TRUE)</f>
        <v>1</v>
      </c>
      <c r="F53" s="82" t="str">
        <f>IFERROR(__xludf.DUMMYFUNCTION("""COMPUTED_VALUE"""),"Free Quests- Part 1!A63:J75")</f>
        <v>Free Quests- Part 1!A63:J75</v>
      </c>
      <c r="G53" s="82">
        <f>IFERROR(__xludf.DUMMYFUNCTION("""COMPUTED_VALUE"""),53.0)</f>
        <v>53</v>
      </c>
      <c r="H53" s="82">
        <f>IFERROR(__xludf.DUMMYFUNCTION("""COMPUTED_VALUE"""),7789.0)</f>
        <v>7789</v>
      </c>
      <c r="I53" s="95"/>
      <c r="J53" s="96"/>
      <c r="K53" s="97"/>
      <c r="L53" s="95"/>
      <c r="M53" s="96"/>
      <c r="N53" s="97"/>
      <c r="O53" s="95"/>
      <c r="P53" s="96"/>
      <c r="Q53" s="97"/>
      <c r="R53" s="95"/>
      <c r="S53" s="96"/>
      <c r="T53" s="97"/>
      <c r="U53" s="95"/>
      <c r="V53" s="96"/>
      <c r="W53" s="97"/>
      <c r="X53" s="95"/>
      <c r="Y53" s="96"/>
      <c r="Z53" s="97"/>
      <c r="AA53" s="95"/>
      <c r="AB53" s="96"/>
      <c r="AC53" s="97"/>
      <c r="AD53" s="95"/>
      <c r="AE53" s="96"/>
      <c r="AF53" s="97"/>
      <c r="AG53" s="95"/>
      <c r="AH53" s="96"/>
      <c r="AI53" s="97"/>
      <c r="AJ53" s="95"/>
      <c r="AK53" s="96"/>
      <c r="AL53" s="97"/>
      <c r="AM53" s="95"/>
      <c r="AN53" s="96"/>
      <c r="AO53" s="97"/>
      <c r="AP53" s="95"/>
      <c r="AQ53" s="96"/>
      <c r="AR53" s="97"/>
      <c r="AS53" s="95"/>
      <c r="AT53" s="96"/>
      <c r="AU53" s="97"/>
      <c r="AV53" s="95">
        <f>IFERROR(__xludf.DUMMYFUNCTION("""COMPUTED_VALUE"""),35.08558558558559)</f>
        <v>35.08558559</v>
      </c>
      <c r="AW53" s="96"/>
      <c r="AX53" s="97">
        <f>IFERROR(__xludf.DUMMYFUNCTION("""COMPUTED_VALUE"""),75.29241179313678)</f>
        <v>75.29241179</v>
      </c>
      <c r="AY53" s="95"/>
      <c r="AZ53" s="96"/>
      <c r="BA53" s="97"/>
      <c r="BB53" s="95"/>
      <c r="BC53" s="96"/>
      <c r="BD53" s="97"/>
      <c r="BE53" s="95"/>
      <c r="BF53" s="96"/>
      <c r="BG53" s="97"/>
      <c r="BH53" s="95"/>
      <c r="BI53" s="96"/>
      <c r="BJ53" s="97"/>
      <c r="BK53" s="95"/>
      <c r="BL53" s="96"/>
      <c r="BM53" s="97"/>
      <c r="BN53" s="95"/>
      <c r="BO53" s="96"/>
      <c r="BP53" s="97"/>
      <c r="BQ53" s="95"/>
      <c r="BR53" s="96">
        <f>IFERROR(__xludf.DUMMYFUNCTION("""COMPUTED_VALUE"""),39.054827912958615)</f>
        <v>39.05482791</v>
      </c>
      <c r="BS53" s="97">
        <f>IFERROR(__xludf.DUMMYFUNCTION("""COMPUTED_VALUE"""),39.67470924449793)</f>
        <v>39.67470924</v>
      </c>
      <c r="BT53" s="95"/>
      <c r="BU53" s="96"/>
      <c r="BV53" s="97"/>
      <c r="BW53" s="95"/>
      <c r="BX53" s="96"/>
      <c r="BY53" s="97"/>
      <c r="BZ53" s="95"/>
      <c r="CA53" s="96"/>
      <c r="CB53" s="97"/>
      <c r="CC53" s="95"/>
      <c r="CD53" s="96"/>
      <c r="CE53" s="97"/>
      <c r="CF53" s="95"/>
      <c r="CG53" s="96"/>
      <c r="CH53" s="96">
        <f>IFERROR(__xludf.DUMMYFUNCTION("""COMPUTED_VALUE"""),124.55211917500348)</f>
        <v>124.5521192</v>
      </c>
      <c r="CI53" s="95"/>
      <c r="CJ53" s="96"/>
      <c r="CK53" s="96">
        <f>IFERROR(__xludf.DUMMYFUNCTION("""COMPUTED_VALUE"""),130.65356449896726)</f>
        <v>130.6535645</v>
      </c>
      <c r="CL53" s="95"/>
      <c r="CM53" s="96"/>
      <c r="CN53" s="96"/>
      <c r="CO53" s="95"/>
      <c r="CP53" s="96"/>
      <c r="CQ53" s="96"/>
      <c r="CR53" s="95"/>
      <c r="CS53" s="96"/>
      <c r="CT53" s="96"/>
      <c r="CU53" s="95"/>
      <c r="CV53" s="96"/>
      <c r="CW53" s="97"/>
      <c r="CX53" s="96"/>
      <c r="CY53" s="96"/>
      <c r="CZ53" s="97"/>
      <c r="DA53" s="95"/>
      <c r="DB53" s="96"/>
      <c r="DC53" s="97"/>
      <c r="DD53" s="95"/>
      <c r="DE53" s="96">
        <f>IFERROR(__xludf.DUMMYFUNCTION("""COMPUTED_VALUE"""),26.5)</f>
        <v>26.5</v>
      </c>
      <c r="DF53" s="97"/>
      <c r="DG53" s="95"/>
      <c r="DH53" s="96">
        <f>IFERROR(__xludf.DUMMYFUNCTION("""COMPUTED_VALUE"""),28.266666666666666)</f>
        <v>28.26666667</v>
      </c>
      <c r="DI53" s="97"/>
      <c r="DJ53" s="95"/>
      <c r="DK53" s="96">
        <f>IFERROR(__xludf.DUMMYFUNCTION("""COMPUTED_VALUE"""),31.799999999999997)</f>
        <v>31.8</v>
      </c>
      <c r="DL53" s="97">
        <f>IFERROR(__xludf.DUMMYFUNCTION("""COMPUTED_VALUE"""),34.37837837837838)</f>
        <v>34.37837838</v>
      </c>
      <c r="DM53" s="95"/>
      <c r="DN53" s="96"/>
      <c r="DO53" s="97"/>
      <c r="DP53" s="95"/>
      <c r="DQ53" s="96"/>
      <c r="DR53" s="97"/>
      <c r="DS53" s="95"/>
    </row>
    <row r="54">
      <c r="B54" s="83" t="str">
        <f>IFERROR(__xludf.DUMMYFUNCTION("""COMPUTED_VALUE"""),"FUY7")</f>
        <v>FUY7</v>
      </c>
      <c r="C54" s="88" t="str">
        <f>IFERROR(__xludf.DUMMYFUNCTION("""COMPUTED_VALUE"""),"Unknown Coordinates X-G")</f>
        <v>Unknown Coordinates X-G</v>
      </c>
      <c r="D54" s="102">
        <f>IFERROR(__xludf.DUMMYFUNCTION("""COMPUTED_VALUE"""),15.0)</f>
        <v>15</v>
      </c>
      <c r="E54" s="82" t="b">
        <f>IFERROR(__xludf.DUMMYFUNCTION("""COMPUTED_VALUE"""),TRUE)</f>
        <v>1</v>
      </c>
      <c r="F54" s="82" t="str">
        <f>IFERROR(__xludf.DUMMYFUNCTION("""COMPUTED_VALUE"""),"Free Quests- Part 1!A79:J88")</f>
        <v>Free Quests- Part 1!A79:J88</v>
      </c>
      <c r="G54" s="82">
        <f>IFERROR(__xludf.DUMMYFUNCTION("""COMPUTED_VALUE"""),54.0)</f>
        <v>54</v>
      </c>
      <c r="H54" s="82">
        <f>IFERROR(__xludf.DUMMYFUNCTION("""COMPUTED_VALUE"""),140046.0)</f>
        <v>140046</v>
      </c>
      <c r="I54" s="95"/>
      <c r="J54" s="96"/>
      <c r="K54" s="97"/>
      <c r="L54" s="95"/>
      <c r="M54" s="96"/>
      <c r="N54" s="97"/>
      <c r="O54" s="95"/>
      <c r="P54" s="96"/>
      <c r="Q54" s="97"/>
      <c r="R54" s="95"/>
      <c r="S54" s="96"/>
      <c r="T54" s="97"/>
      <c r="U54" s="95"/>
      <c r="V54" s="96"/>
      <c r="W54" s="97"/>
      <c r="X54" s="95"/>
      <c r="Y54" s="96"/>
      <c r="Z54" s="97"/>
      <c r="AA54" s="95"/>
      <c r="AB54" s="96"/>
      <c r="AC54" s="97"/>
      <c r="AD54" s="95"/>
      <c r="AE54" s="96"/>
      <c r="AF54" s="97"/>
      <c r="AG54" s="95"/>
      <c r="AH54" s="96"/>
      <c r="AI54" s="97"/>
      <c r="AJ54" s="95"/>
      <c r="AK54" s="96"/>
      <c r="AL54" s="97"/>
      <c r="AM54" s="95"/>
      <c r="AN54" s="96"/>
      <c r="AO54" s="97"/>
      <c r="AP54" s="95"/>
      <c r="AQ54" s="96"/>
      <c r="AR54" s="97"/>
      <c r="AS54" s="95"/>
      <c r="AT54" s="96"/>
      <c r="AU54" s="97"/>
      <c r="AV54" s="95">
        <f>IFERROR(__xludf.DUMMYFUNCTION("""COMPUTED_VALUE"""),23.46535255002977)</f>
        <v>23.46535255</v>
      </c>
      <c r="AW54" s="96"/>
      <c r="AX54" s="97"/>
      <c r="AY54" s="95"/>
      <c r="AZ54" s="96"/>
      <c r="BA54" s="97"/>
      <c r="BB54" s="95"/>
      <c r="BC54" s="96"/>
      <c r="BD54" s="97"/>
      <c r="BE54" s="95"/>
      <c r="BF54" s="96"/>
      <c r="BG54" s="97"/>
      <c r="BH54" s="95"/>
      <c r="BI54" s="96"/>
      <c r="BJ54" s="97"/>
      <c r="BK54" s="95"/>
      <c r="BL54" s="96"/>
      <c r="BM54" s="97"/>
      <c r="BN54" s="95"/>
      <c r="BO54" s="96"/>
      <c r="BP54" s="97"/>
      <c r="BQ54" s="95"/>
      <c r="BR54" s="96">
        <f>IFERROR(__xludf.DUMMYFUNCTION("""COMPUTED_VALUE"""),162.73382882371547)</f>
        <v>162.7338288</v>
      </c>
      <c r="BS54" s="97">
        <f>IFERROR(__xludf.DUMMYFUNCTION("""COMPUTED_VALUE"""),332.54195122473885)</f>
        <v>332.5419512</v>
      </c>
      <c r="BT54" s="95">
        <f>IFERROR(__xludf.DUMMYFUNCTION("""COMPUTED_VALUE"""),83.05347140660751)</f>
        <v>83.05347141</v>
      </c>
      <c r="BU54" s="96"/>
      <c r="BV54" s="97"/>
      <c r="BW54" s="95"/>
      <c r="BX54" s="96"/>
      <c r="BY54" s="97"/>
      <c r="BZ54" s="95"/>
      <c r="CA54" s="96"/>
      <c r="CB54" s="97"/>
      <c r="CC54" s="95"/>
      <c r="CD54" s="96"/>
      <c r="CE54" s="97"/>
      <c r="CF54" s="95"/>
      <c r="CG54" s="96"/>
      <c r="CH54" s="96"/>
      <c r="CI54" s="95"/>
      <c r="CJ54" s="96"/>
      <c r="CK54" s="96"/>
      <c r="CL54" s="95"/>
      <c r="CM54" s="96"/>
      <c r="CN54" s="96"/>
      <c r="CO54" s="95"/>
      <c r="CP54" s="96"/>
      <c r="CQ54" s="96"/>
      <c r="CR54" s="95"/>
      <c r="CS54" s="96"/>
      <c r="CT54" s="96"/>
      <c r="CU54" s="95"/>
      <c r="CV54" s="96"/>
      <c r="CW54" s="97"/>
      <c r="CX54" s="96"/>
      <c r="CY54" s="96"/>
      <c r="CZ54" s="97"/>
      <c r="DA54" s="95"/>
      <c r="DB54" s="96"/>
      <c r="DC54" s="97"/>
      <c r="DD54" s="95"/>
      <c r="DE54" s="96"/>
      <c r="DF54" s="97"/>
      <c r="DG54" s="95"/>
      <c r="DH54" s="96"/>
      <c r="DI54" s="97"/>
      <c r="DJ54" s="95"/>
      <c r="DK54" s="96">
        <f>IFERROR(__xludf.DUMMYFUNCTION("""COMPUTED_VALUE"""),134.0948275862069)</f>
        <v>134.0948276</v>
      </c>
      <c r="DL54" s="97">
        <f>IFERROR(__xludf.DUMMYFUNCTION("""COMPUTED_VALUE"""),257.10743801652893)</f>
        <v>257.107438</v>
      </c>
      <c r="DM54" s="95">
        <f>IFERROR(__xludf.DUMMYFUNCTION("""COMPUTED_VALUE"""),71.84757505773672)</f>
        <v>71.84757506</v>
      </c>
      <c r="DN54" s="96"/>
      <c r="DO54" s="97"/>
      <c r="DP54" s="95"/>
      <c r="DQ54" s="96"/>
      <c r="DR54" s="97"/>
      <c r="DS54" s="95"/>
    </row>
    <row r="55">
      <c r="B55" s="83" t="str">
        <f>IFERROR(__xludf.DUMMYFUNCTION("""COMPUTED_VALUE"""),"FUY8")</f>
        <v>FUY8</v>
      </c>
      <c r="C55" s="88" t="str">
        <f>IFERROR(__xludf.DUMMYFUNCTION("""COMPUTED_VALUE"""),"Mobile Coordinate No.0")</f>
        <v>Mobile Coordinate No.0</v>
      </c>
      <c r="D55" s="102">
        <f>IFERROR(__xludf.DUMMYFUNCTION("""COMPUTED_VALUE"""),7.0)</f>
        <v>7</v>
      </c>
      <c r="E55" s="82" t="b">
        <f>IFERROR(__xludf.DUMMYFUNCTION("""COMPUTED_VALUE"""),TRUE)</f>
        <v>1</v>
      </c>
      <c r="F55" s="82" t="str">
        <f>IFERROR(__xludf.DUMMYFUNCTION("""COMPUTED_VALUE"""),"Free Quests- Part 1!A92:J104")</f>
        <v>Free Quests- Part 1!A92:J104</v>
      </c>
      <c r="G55" s="82">
        <f>IFERROR(__xludf.DUMMYFUNCTION("""COMPUTED_VALUE"""),55.0)</f>
        <v>55</v>
      </c>
      <c r="H55" s="82">
        <f>IFERROR(__xludf.DUMMYFUNCTION("""COMPUTED_VALUE"""),1390.0)</f>
        <v>1390</v>
      </c>
      <c r="I55" s="95"/>
      <c r="J55" s="96"/>
      <c r="K55" s="97"/>
      <c r="L55" s="95"/>
      <c r="M55" s="96"/>
      <c r="N55" s="97"/>
      <c r="O55" s="95"/>
      <c r="P55" s="96"/>
      <c r="Q55" s="97"/>
      <c r="R55" s="95"/>
      <c r="S55" s="96"/>
      <c r="T55" s="97"/>
      <c r="U55" s="95"/>
      <c r="V55" s="96"/>
      <c r="W55" s="97"/>
      <c r="X55" s="95"/>
      <c r="Y55" s="96"/>
      <c r="Z55" s="97"/>
      <c r="AA55" s="95"/>
      <c r="AB55" s="96"/>
      <c r="AC55" s="97"/>
      <c r="AD55" s="95"/>
      <c r="AE55" s="96"/>
      <c r="AF55" s="97"/>
      <c r="AG55" s="95"/>
      <c r="AH55" s="96"/>
      <c r="AI55" s="97"/>
      <c r="AJ55" s="95"/>
      <c r="AK55" s="96"/>
      <c r="AL55" s="97"/>
      <c r="AM55" s="95"/>
      <c r="AN55" s="96"/>
      <c r="AO55" s="97"/>
      <c r="AP55" s="95"/>
      <c r="AQ55" s="96"/>
      <c r="AR55" s="97"/>
      <c r="AS55" s="95"/>
      <c r="AT55" s="96"/>
      <c r="AU55" s="97"/>
      <c r="AV55" s="95"/>
      <c r="AW55" s="96">
        <f>IFERROR(__xludf.DUMMYFUNCTION("""COMPUTED_VALUE"""),66.30233318796336)</f>
        <v>66.30233319</v>
      </c>
      <c r="AX55" s="97">
        <f>IFERROR(__xludf.DUMMYFUNCTION("""COMPUTED_VALUE"""),76.37602436497222)</f>
        <v>76.37602436</v>
      </c>
      <c r="AY55" s="95"/>
      <c r="AZ55" s="96"/>
      <c r="BA55" s="97"/>
      <c r="BB55" s="95"/>
      <c r="BC55" s="96"/>
      <c r="BD55" s="97"/>
      <c r="BE55" s="95"/>
      <c r="BF55" s="96"/>
      <c r="BG55" s="97"/>
      <c r="BH55" s="95"/>
      <c r="BI55" s="96"/>
      <c r="BJ55" s="97"/>
      <c r="BK55" s="95"/>
      <c r="BL55" s="96"/>
      <c r="BM55" s="97"/>
      <c r="BN55" s="95"/>
      <c r="BO55" s="96"/>
      <c r="BP55" s="97"/>
      <c r="BQ55" s="95"/>
      <c r="BR55" s="96">
        <f>IFERROR(__xludf.DUMMYFUNCTION("""COMPUTED_VALUE"""),136.01353145924483)</f>
        <v>136.0135315</v>
      </c>
      <c r="BS55" s="97">
        <f>IFERROR(__xludf.DUMMYFUNCTION("""COMPUTED_VALUE"""),118.81357380972734)</f>
        <v>118.8135738</v>
      </c>
      <c r="BT55" s="95"/>
      <c r="BU55" s="96"/>
      <c r="BV55" s="97"/>
      <c r="BW55" s="95">
        <f>IFERROR(__xludf.DUMMYFUNCTION("""COMPUTED_VALUE"""),37.46933714316522)</f>
        <v>37.46933714</v>
      </c>
      <c r="BX55" s="96"/>
      <c r="BY55" s="97"/>
      <c r="BZ55" s="95"/>
      <c r="CA55" s="96"/>
      <c r="CB55" s="97"/>
      <c r="CC55" s="95"/>
      <c r="CD55" s="96"/>
      <c r="CE55" s="97"/>
      <c r="CF55" s="95">
        <f>IFERROR(__xludf.DUMMYFUNCTION("""COMPUTED_VALUE"""),74.74840593070601)</f>
        <v>74.74840593</v>
      </c>
      <c r="CG55" s="96"/>
      <c r="CH55" s="96"/>
      <c r="CI55" s="95"/>
      <c r="CJ55" s="96"/>
      <c r="CK55" s="96"/>
      <c r="CL55" s="95"/>
      <c r="CM55" s="96"/>
      <c r="CN55" s="96"/>
      <c r="CO55" s="95"/>
      <c r="CP55" s="96"/>
      <c r="CQ55" s="96"/>
      <c r="CR55" s="95"/>
      <c r="CS55" s="96"/>
      <c r="CT55" s="96"/>
      <c r="CU55" s="95"/>
      <c r="CV55" s="96"/>
      <c r="CW55" s="97"/>
      <c r="CX55" s="96"/>
      <c r="CY55" s="96"/>
      <c r="CZ55" s="97"/>
      <c r="DA55" s="95"/>
      <c r="DB55" s="96"/>
      <c r="DC55" s="97">
        <f>IFERROR(__xludf.DUMMYFUNCTION("""COMPUTED_VALUE"""),31.022727272727273)</f>
        <v>31.02272727</v>
      </c>
      <c r="DD55" s="95"/>
      <c r="DE55" s="96"/>
      <c r="DF55" s="97"/>
      <c r="DG55" s="95"/>
      <c r="DH55" s="96"/>
      <c r="DI55" s="97"/>
      <c r="DJ55" s="95"/>
      <c r="DK55" s="96">
        <f>IFERROR(__xludf.DUMMYFUNCTION("""COMPUTED_VALUE"""),105.0)</f>
        <v>105</v>
      </c>
      <c r="DL55" s="97">
        <f>IFERROR(__xludf.DUMMYFUNCTION("""COMPUTED_VALUE"""),273.0)</f>
        <v>273</v>
      </c>
      <c r="DM55" s="95"/>
      <c r="DN55" s="96"/>
      <c r="DO55" s="97"/>
      <c r="DP55" s="95">
        <f>IFERROR(__xludf.DUMMYFUNCTION("""COMPUTED_VALUE"""),35.921052631578945)</f>
        <v>35.92105263</v>
      </c>
      <c r="DQ55" s="96"/>
      <c r="DR55" s="97"/>
      <c r="DS55" s="95"/>
    </row>
    <row r="56">
      <c r="A56" s="115" t="str">
        <f>IFERROR(__xludf.DUMMYFUNCTION("""COMPUTED_VALUE"""),"ORLEANS")</f>
        <v>ORLEANS</v>
      </c>
      <c r="B56" s="83" t="str">
        <f>IFERROR(__xludf.DUMMYFUNCTION("""COMPUTED_VALUE"""),"ORL1")</f>
        <v>ORL1</v>
      </c>
      <c r="C56" s="88" t="str">
        <f>IFERROR(__xludf.DUMMYFUNCTION("""COMPUTED_VALUE"""),"Domremy")</f>
        <v>Domremy</v>
      </c>
      <c r="D56" s="102">
        <f>IFERROR(__xludf.DUMMYFUNCTION("""COMPUTED_VALUE"""),7.0)</f>
        <v>7</v>
      </c>
      <c r="E56" s="82" t="b">
        <f>IFERROR(__xludf.DUMMYFUNCTION("""COMPUTED_VALUE"""),TRUE)</f>
        <v>1</v>
      </c>
      <c r="F56" s="82" t="str">
        <f>IFERROR(__xludf.DUMMYFUNCTION("""COMPUTED_VALUE"""),"Free Quests- Part 1!A110:J117")</f>
        <v>Free Quests- Part 1!A110:J117</v>
      </c>
      <c r="G56" s="82">
        <f>IFERROR(__xludf.DUMMYFUNCTION("""COMPUTED_VALUE"""),56.0)</f>
        <v>56</v>
      </c>
      <c r="H56" s="82">
        <f>IFERROR(__xludf.DUMMYFUNCTION("""COMPUTED_VALUE"""),1734.0)</f>
        <v>1734</v>
      </c>
      <c r="I56" s="95"/>
      <c r="J56" s="96"/>
      <c r="K56" s="97"/>
      <c r="L56" s="95"/>
      <c r="M56" s="96"/>
      <c r="N56" s="97"/>
      <c r="O56" s="95"/>
      <c r="P56" s="96"/>
      <c r="Q56" s="97"/>
      <c r="R56" s="95"/>
      <c r="S56" s="96"/>
      <c r="T56" s="97"/>
      <c r="U56" s="95"/>
      <c r="V56" s="96"/>
      <c r="W56" s="97"/>
      <c r="X56" s="95"/>
      <c r="Y56" s="96"/>
      <c r="Z56" s="97"/>
      <c r="AA56" s="95"/>
      <c r="AB56" s="96"/>
      <c r="AC56" s="97"/>
      <c r="AD56" s="95"/>
      <c r="AE56" s="96"/>
      <c r="AF56" s="97"/>
      <c r="AG56" s="95"/>
      <c r="AH56" s="96"/>
      <c r="AI56" s="97"/>
      <c r="AJ56" s="95"/>
      <c r="AK56" s="96"/>
      <c r="AL56" s="97"/>
      <c r="AM56" s="95"/>
      <c r="AN56" s="96"/>
      <c r="AO56" s="97"/>
      <c r="AP56" s="95"/>
      <c r="AQ56" s="96"/>
      <c r="AR56" s="97"/>
      <c r="AS56" s="95"/>
      <c r="AT56" s="96"/>
      <c r="AU56" s="97">
        <f>IFERROR(__xludf.DUMMYFUNCTION("""COMPUTED_VALUE"""),33.568220535852554)</f>
        <v>33.56822054</v>
      </c>
      <c r="AV56" s="95"/>
      <c r="AW56" s="96"/>
      <c r="AX56" s="97"/>
      <c r="AY56" s="95"/>
      <c r="AZ56" s="96"/>
      <c r="BA56" s="97"/>
      <c r="BB56" s="95"/>
      <c r="BC56" s="96"/>
      <c r="BD56" s="97"/>
      <c r="BE56" s="95"/>
      <c r="BF56" s="96"/>
      <c r="BG56" s="97"/>
      <c r="BH56" s="95"/>
      <c r="BI56" s="96"/>
      <c r="BJ56" s="97"/>
      <c r="BK56" s="95"/>
      <c r="BL56" s="96"/>
      <c r="BM56" s="97"/>
      <c r="BN56" s="95"/>
      <c r="BO56" s="96"/>
      <c r="BP56" s="97"/>
      <c r="BQ56" s="95"/>
      <c r="BR56" s="96">
        <f>IFERROR(__xludf.DUMMYFUNCTION("""COMPUTED_VALUE"""),26.414979369417992)</f>
        <v>26.41497937</v>
      </c>
      <c r="BS56" s="97"/>
      <c r="BT56" s="95">
        <f>IFERROR(__xludf.DUMMYFUNCTION("""COMPUTED_VALUE"""),65.94029277577651)</f>
        <v>65.94029278</v>
      </c>
      <c r="BU56" s="96"/>
      <c r="BV56" s="97"/>
      <c r="BW56" s="95"/>
      <c r="BX56" s="96"/>
      <c r="BY56" s="97"/>
      <c r="BZ56" s="95"/>
      <c r="CA56" s="96"/>
      <c r="CB56" s="97"/>
      <c r="CC56" s="95"/>
      <c r="CD56" s="96"/>
      <c r="CE56" s="97"/>
      <c r="CF56" s="95"/>
      <c r="CG56" s="96"/>
      <c r="CH56" s="96"/>
      <c r="CI56" s="95"/>
      <c r="CJ56" s="96"/>
      <c r="CK56" s="96"/>
      <c r="CL56" s="95"/>
      <c r="CM56" s="96"/>
      <c r="CN56" s="96"/>
      <c r="CO56" s="95"/>
      <c r="CP56" s="96"/>
      <c r="CQ56" s="96"/>
      <c r="CR56" s="95"/>
      <c r="CS56" s="96"/>
      <c r="CT56" s="96"/>
      <c r="CU56" s="95"/>
      <c r="CV56" s="96"/>
      <c r="CW56" s="97"/>
      <c r="CX56" s="96"/>
      <c r="CY56" s="96"/>
      <c r="CZ56" s="97"/>
      <c r="DA56" s="95"/>
      <c r="DB56" s="96"/>
      <c r="DC56" s="97"/>
      <c r="DD56" s="95"/>
      <c r="DE56" s="96"/>
      <c r="DF56" s="97"/>
      <c r="DG56" s="95"/>
      <c r="DH56" s="96"/>
      <c r="DI56" s="97"/>
      <c r="DJ56" s="95"/>
      <c r="DK56" s="96">
        <f>IFERROR(__xludf.DUMMYFUNCTION("""COMPUTED_VALUE"""),37.54545454545455)</f>
        <v>37.54545455</v>
      </c>
      <c r="DL56" s="97"/>
      <c r="DM56" s="95">
        <f>IFERROR(__xludf.DUMMYFUNCTION("""COMPUTED_VALUE"""),65.21052631578948)</f>
        <v>65.21052632</v>
      </c>
      <c r="DN56" s="96"/>
      <c r="DO56" s="97"/>
      <c r="DP56" s="95"/>
      <c r="DQ56" s="96"/>
      <c r="DR56" s="97"/>
      <c r="DS56" s="95"/>
    </row>
    <row r="57">
      <c r="B57" s="83" t="str">
        <f>IFERROR(__xludf.DUMMYFUNCTION("""COMPUTED_VALUE"""),"ORL2")</f>
        <v>ORL2</v>
      </c>
      <c r="C57" s="88" t="str">
        <f>IFERROR(__xludf.DUMMYFUNCTION("""COMPUTED_VALUE"""),"Vaucouleurs")</f>
        <v>Vaucouleurs</v>
      </c>
      <c r="D57" s="102">
        <f>IFERROR(__xludf.DUMMYFUNCTION("""COMPUTED_VALUE"""),7.0)</f>
        <v>7</v>
      </c>
      <c r="E57" s="82" t="b">
        <f>IFERROR(__xludf.DUMMYFUNCTION("""COMPUTED_VALUE"""),TRUE)</f>
        <v>1</v>
      </c>
      <c r="F57" s="82" t="str">
        <f>IFERROR(__xludf.DUMMYFUNCTION("""COMPUTED_VALUE"""),"Free Quests- Part 1!A121:J130")</f>
        <v>Free Quests- Part 1!A121:J130</v>
      </c>
      <c r="G57" s="82">
        <f>IFERROR(__xludf.DUMMYFUNCTION("""COMPUTED_VALUE"""),57.0)</f>
        <v>57</v>
      </c>
      <c r="H57" s="82">
        <f>IFERROR(__xludf.DUMMYFUNCTION("""COMPUTED_VALUE"""),1215.0)</f>
        <v>1215</v>
      </c>
      <c r="I57" s="95"/>
      <c r="J57" s="96"/>
      <c r="K57" s="97"/>
      <c r="L57" s="95"/>
      <c r="M57" s="96"/>
      <c r="N57" s="97"/>
      <c r="O57" s="95"/>
      <c r="P57" s="96"/>
      <c r="Q57" s="97"/>
      <c r="R57" s="95"/>
      <c r="S57" s="96"/>
      <c r="T57" s="97"/>
      <c r="U57" s="95"/>
      <c r="V57" s="96"/>
      <c r="W57" s="97"/>
      <c r="X57" s="95"/>
      <c r="Y57" s="96"/>
      <c r="Z57" s="97"/>
      <c r="AA57" s="95"/>
      <c r="AB57" s="96"/>
      <c r="AC57" s="97"/>
      <c r="AD57" s="95"/>
      <c r="AE57" s="96"/>
      <c r="AF57" s="97"/>
      <c r="AG57" s="95"/>
      <c r="AH57" s="96"/>
      <c r="AI57" s="97"/>
      <c r="AJ57" s="95"/>
      <c r="AK57" s="96"/>
      <c r="AL57" s="97"/>
      <c r="AM57" s="95"/>
      <c r="AN57" s="96"/>
      <c r="AO57" s="97"/>
      <c r="AP57" s="95"/>
      <c r="AQ57" s="96"/>
      <c r="AR57" s="97"/>
      <c r="AS57" s="95"/>
      <c r="AT57" s="96"/>
      <c r="AU57" s="97"/>
      <c r="AV57" s="95">
        <f>IFERROR(__xludf.DUMMYFUNCTION("""COMPUTED_VALUE"""),131.28241541121264)</f>
        <v>131.2824154</v>
      </c>
      <c r="AW57" s="96">
        <f>IFERROR(__xludf.DUMMYFUNCTION("""COMPUTED_VALUE"""),83.19312935284451)</f>
        <v>83.19312935</v>
      </c>
      <c r="AX57" s="97"/>
      <c r="AY57" s="95"/>
      <c r="AZ57" s="96"/>
      <c r="BA57" s="97"/>
      <c r="BB57" s="95"/>
      <c r="BC57" s="96"/>
      <c r="BD57" s="97"/>
      <c r="BE57" s="95"/>
      <c r="BF57" s="96"/>
      <c r="BG57" s="97"/>
      <c r="BH57" s="95"/>
      <c r="BI57" s="96"/>
      <c r="BJ57" s="97"/>
      <c r="BK57" s="95"/>
      <c r="BL57" s="96"/>
      <c r="BM57" s="97"/>
      <c r="BN57" s="95"/>
      <c r="BO57" s="96"/>
      <c r="BP57" s="97"/>
      <c r="BQ57" s="95"/>
      <c r="BR57" s="96">
        <f>IFERROR(__xludf.DUMMYFUNCTION("""COMPUTED_VALUE"""),73.0757994947846)</f>
        <v>73.07579949</v>
      </c>
      <c r="BS57" s="97"/>
      <c r="BT57" s="95"/>
      <c r="BU57" s="96">
        <f>IFERROR(__xludf.DUMMYFUNCTION("""COMPUTED_VALUE"""),38.74609350086103)</f>
        <v>38.7460935</v>
      </c>
      <c r="BV57" s="97"/>
      <c r="BW57" s="95"/>
      <c r="BX57" s="96"/>
      <c r="BY57" s="97"/>
      <c r="BZ57" s="95"/>
      <c r="CA57" s="96"/>
      <c r="CB57" s="97"/>
      <c r="CC57" s="95"/>
      <c r="CD57" s="96"/>
      <c r="CE57" s="97"/>
      <c r="CF57" s="95"/>
      <c r="CG57" s="96"/>
      <c r="CH57" s="96"/>
      <c r="CI57" s="95"/>
      <c r="CJ57" s="96"/>
      <c r="CK57" s="96"/>
      <c r="CL57" s="95"/>
      <c r="CM57" s="96"/>
      <c r="CN57" s="96"/>
      <c r="CO57" s="95"/>
      <c r="CP57" s="96"/>
      <c r="CQ57" s="96"/>
      <c r="CR57" s="95"/>
      <c r="CS57" s="96"/>
      <c r="CT57" s="96"/>
      <c r="CU57" s="95"/>
      <c r="CV57" s="96"/>
      <c r="CW57" s="97"/>
      <c r="CX57" s="96"/>
      <c r="CY57" s="96"/>
      <c r="CZ57" s="97"/>
      <c r="DA57" s="95"/>
      <c r="DB57" s="96"/>
      <c r="DC57" s="97"/>
      <c r="DD57" s="95"/>
      <c r="DE57" s="96"/>
      <c r="DF57" s="97"/>
      <c r="DG57" s="95"/>
      <c r="DH57" s="96"/>
      <c r="DI57" s="97"/>
      <c r="DJ57" s="95"/>
      <c r="DK57" s="96">
        <f>IFERROR(__xludf.DUMMYFUNCTION("""COMPUTED_VALUE"""),81.3076923076923)</f>
        <v>81.30769231</v>
      </c>
      <c r="DL57" s="97"/>
      <c r="DM57" s="95"/>
      <c r="DN57" s="96">
        <f>IFERROR(__xludf.DUMMYFUNCTION("""COMPUTED_VALUE"""),50.333333333333336)</f>
        <v>50.33333333</v>
      </c>
      <c r="DO57" s="97"/>
      <c r="DP57" s="95"/>
      <c r="DQ57" s="96"/>
      <c r="DR57" s="97"/>
      <c r="DS57" s="95"/>
    </row>
    <row r="58">
      <c r="B58" s="83" t="str">
        <f>IFERROR(__xludf.DUMMYFUNCTION("""COMPUTED_VALUE"""),"ORL3")</f>
        <v>ORL3</v>
      </c>
      <c r="C58" s="88" t="str">
        <f>IFERROR(__xludf.DUMMYFUNCTION("""COMPUTED_VALUE"""),"La Charite")</f>
        <v>La Charite</v>
      </c>
      <c r="D58" s="102">
        <f>IFERROR(__xludf.DUMMYFUNCTION("""COMPUTED_VALUE"""),7.0)</f>
        <v>7</v>
      </c>
      <c r="E58" s="82" t="b">
        <f>IFERROR(__xludf.DUMMYFUNCTION("""COMPUTED_VALUE"""),TRUE)</f>
        <v>1</v>
      </c>
      <c r="F58" s="82" t="str">
        <f>IFERROR(__xludf.DUMMYFUNCTION("""COMPUTED_VALUE"""),"Free Quests- Part 1!A134:J145")</f>
        <v>Free Quests- Part 1!A134:J145</v>
      </c>
      <c r="G58" s="82">
        <f>IFERROR(__xludf.DUMMYFUNCTION("""COMPUTED_VALUE"""),58.0)</f>
        <v>58</v>
      </c>
      <c r="H58" s="82">
        <f>IFERROR(__xludf.DUMMYFUNCTION("""COMPUTED_VALUE"""),1255.0)</f>
        <v>1255</v>
      </c>
      <c r="I58" s="95"/>
      <c r="J58" s="96"/>
      <c r="K58" s="97"/>
      <c r="L58" s="95"/>
      <c r="M58" s="96"/>
      <c r="N58" s="97"/>
      <c r="O58" s="95"/>
      <c r="P58" s="96"/>
      <c r="Q58" s="97"/>
      <c r="R58" s="95"/>
      <c r="S58" s="96"/>
      <c r="T58" s="97"/>
      <c r="U58" s="95"/>
      <c r="V58" s="96"/>
      <c r="W58" s="97"/>
      <c r="X58" s="95"/>
      <c r="Y58" s="96"/>
      <c r="Z58" s="97"/>
      <c r="AA58" s="95"/>
      <c r="AB58" s="96"/>
      <c r="AC58" s="97"/>
      <c r="AD58" s="95"/>
      <c r="AE58" s="96"/>
      <c r="AF58" s="97"/>
      <c r="AG58" s="95"/>
      <c r="AH58" s="96"/>
      <c r="AI58" s="97"/>
      <c r="AJ58" s="95"/>
      <c r="AK58" s="96"/>
      <c r="AL58" s="97"/>
      <c r="AM58" s="95"/>
      <c r="AN58" s="96"/>
      <c r="AO58" s="97"/>
      <c r="AP58" s="95"/>
      <c r="AQ58" s="96"/>
      <c r="AR58" s="97"/>
      <c r="AS58" s="95"/>
      <c r="AT58" s="96"/>
      <c r="AU58" s="97">
        <f>IFERROR(__xludf.DUMMYFUNCTION("""COMPUTED_VALUE"""),118.46008629989213)</f>
        <v>118.4600863</v>
      </c>
      <c r="AV58" s="95"/>
      <c r="AW58" s="96">
        <f>IFERROR(__xludf.DUMMYFUNCTION("""COMPUTED_VALUE"""),59.63209340211784)</f>
        <v>59.6320934</v>
      </c>
      <c r="AX58" s="97"/>
      <c r="AY58" s="95"/>
      <c r="AZ58" s="96"/>
      <c r="BA58" s="97"/>
      <c r="BB58" s="95"/>
      <c r="BC58" s="96"/>
      <c r="BD58" s="97"/>
      <c r="BE58" s="95"/>
      <c r="BF58" s="96"/>
      <c r="BG58" s="97"/>
      <c r="BH58" s="95"/>
      <c r="BI58" s="96"/>
      <c r="BJ58" s="97"/>
      <c r="BK58" s="95"/>
      <c r="BL58" s="96"/>
      <c r="BM58" s="97"/>
      <c r="BN58" s="95"/>
      <c r="BO58" s="96"/>
      <c r="BP58" s="97"/>
      <c r="BQ58" s="95"/>
      <c r="BR58" s="96"/>
      <c r="BS58" s="97"/>
      <c r="BT58" s="95">
        <f>IFERROR(__xludf.DUMMYFUNCTION("""COMPUTED_VALUE"""),66.97926197011284)</f>
        <v>66.97926197</v>
      </c>
      <c r="BU58" s="96">
        <f>IFERROR(__xludf.DUMMYFUNCTION("""COMPUTED_VALUE"""),21.549820929205712)</f>
        <v>21.54982093</v>
      </c>
      <c r="BV58" s="97"/>
      <c r="BW58" s="95"/>
      <c r="BX58" s="96"/>
      <c r="BY58" s="97"/>
      <c r="BZ58" s="95"/>
      <c r="CA58" s="96"/>
      <c r="CB58" s="97"/>
      <c r="CC58" s="95"/>
      <c r="CD58" s="96"/>
      <c r="CE58" s="97"/>
      <c r="CF58" s="95"/>
      <c r="CG58" s="96"/>
      <c r="CH58" s="96"/>
      <c r="CI58" s="95"/>
      <c r="CJ58" s="96"/>
      <c r="CK58" s="96"/>
      <c r="CL58" s="95"/>
      <c r="CM58" s="96"/>
      <c r="CN58" s="96"/>
      <c r="CO58" s="95"/>
      <c r="CP58" s="96"/>
      <c r="CQ58" s="96"/>
      <c r="CR58" s="95"/>
      <c r="CS58" s="96"/>
      <c r="CT58" s="96"/>
      <c r="CU58" s="95"/>
      <c r="CV58" s="96"/>
      <c r="CW58" s="97"/>
      <c r="CX58" s="96"/>
      <c r="CY58" s="96"/>
      <c r="CZ58" s="97"/>
      <c r="DA58" s="95"/>
      <c r="DB58" s="96"/>
      <c r="DC58" s="97"/>
      <c r="DD58" s="95"/>
      <c r="DE58" s="96"/>
      <c r="DF58" s="97">
        <f>IFERROR(__xludf.DUMMYFUNCTION("""COMPUTED_VALUE"""),155.4)</f>
        <v>155.4</v>
      </c>
      <c r="DG58" s="95"/>
      <c r="DH58" s="96"/>
      <c r="DI58" s="97"/>
      <c r="DJ58" s="95"/>
      <c r="DK58" s="96"/>
      <c r="DL58" s="97"/>
      <c r="DM58" s="95">
        <f>IFERROR(__xludf.DUMMYFUNCTION("""COMPUTED_VALUE"""),111.00000000000001)</f>
        <v>111</v>
      </c>
      <c r="DN58" s="96">
        <f>IFERROR(__xludf.DUMMYFUNCTION("""COMPUTED_VALUE"""),28.777777777777775)</f>
        <v>28.77777778</v>
      </c>
      <c r="DO58" s="97"/>
      <c r="DP58" s="95"/>
      <c r="DQ58" s="96"/>
      <c r="DR58" s="97"/>
      <c r="DS58" s="95"/>
    </row>
    <row r="59">
      <c r="B59" s="83" t="str">
        <f>IFERROR(__xludf.DUMMYFUNCTION("""COMPUTED_VALUE"""),"ORL4")</f>
        <v>ORL4</v>
      </c>
      <c r="C59" s="88" t="str">
        <f>IFERROR(__xludf.DUMMYFUNCTION("""COMPUTED_VALUE"""),"Jura")</f>
        <v>Jura</v>
      </c>
      <c r="D59" s="102">
        <f>IFERROR(__xludf.DUMMYFUNCTION("""COMPUTED_VALUE"""),7.0)</f>
        <v>7</v>
      </c>
      <c r="E59" s="82" t="b">
        <f>IFERROR(__xludf.DUMMYFUNCTION("""COMPUTED_VALUE"""),TRUE)</f>
        <v>1</v>
      </c>
      <c r="F59" s="82" t="str">
        <f>IFERROR(__xludf.DUMMYFUNCTION("""COMPUTED_VALUE"""),"Free Quests- Part 1!A149:J164")</f>
        <v>Free Quests- Part 1!A149:J164</v>
      </c>
      <c r="G59" s="82">
        <f>IFERROR(__xludf.DUMMYFUNCTION("""COMPUTED_VALUE"""),59.0)</f>
        <v>59</v>
      </c>
      <c r="H59" s="82">
        <f>IFERROR(__xludf.DUMMYFUNCTION("""COMPUTED_VALUE"""),2429.0)</f>
        <v>2429</v>
      </c>
      <c r="I59" s="95"/>
      <c r="J59" s="96"/>
      <c r="K59" s="97"/>
      <c r="L59" s="95"/>
      <c r="M59" s="96"/>
      <c r="N59" s="97"/>
      <c r="O59" s="95"/>
      <c r="P59" s="96"/>
      <c r="Q59" s="97"/>
      <c r="R59" s="95"/>
      <c r="S59" s="96"/>
      <c r="T59" s="97"/>
      <c r="U59" s="95"/>
      <c r="V59" s="96"/>
      <c r="W59" s="97"/>
      <c r="X59" s="95"/>
      <c r="Y59" s="96"/>
      <c r="Z59" s="97"/>
      <c r="AA59" s="95">
        <f>IFERROR(__xludf.DUMMYFUNCTION("""COMPUTED_VALUE"""),134.16500962661365)</f>
        <v>134.1650096</v>
      </c>
      <c r="AB59" s="96"/>
      <c r="AC59" s="97"/>
      <c r="AD59" s="95"/>
      <c r="AE59" s="96"/>
      <c r="AF59" s="97"/>
      <c r="AG59" s="95"/>
      <c r="AH59" s="96"/>
      <c r="AI59" s="97"/>
      <c r="AJ59" s="95"/>
      <c r="AK59" s="96"/>
      <c r="AL59" s="97"/>
      <c r="AM59" s="95"/>
      <c r="AN59" s="96"/>
      <c r="AO59" s="97"/>
      <c r="AP59" s="95"/>
      <c r="AQ59" s="96"/>
      <c r="AR59" s="97"/>
      <c r="AS59" s="95"/>
      <c r="AT59" s="96"/>
      <c r="AU59" s="97"/>
      <c r="AV59" s="95"/>
      <c r="AW59" s="96">
        <f>IFERROR(__xludf.DUMMYFUNCTION("""COMPUTED_VALUE"""),131.19598765432102)</f>
        <v>131.1959877</v>
      </c>
      <c r="AX59" s="97">
        <f>IFERROR(__xludf.DUMMYFUNCTION("""COMPUTED_VALUE"""),89.00603040328323)</f>
        <v>89.0060304</v>
      </c>
      <c r="AY59" s="95"/>
      <c r="AZ59" s="96"/>
      <c r="BA59" s="97"/>
      <c r="BB59" s="95"/>
      <c r="BC59" s="96"/>
      <c r="BD59" s="97"/>
      <c r="BE59" s="95"/>
      <c r="BF59" s="96"/>
      <c r="BG59" s="97"/>
      <c r="BH59" s="95"/>
      <c r="BI59" s="96"/>
      <c r="BJ59" s="97"/>
      <c r="BK59" s="95"/>
      <c r="BL59" s="96"/>
      <c r="BM59" s="97"/>
      <c r="BN59" s="95"/>
      <c r="BO59" s="96"/>
      <c r="BP59" s="97"/>
      <c r="BQ59" s="95"/>
      <c r="BR59" s="96">
        <f>IFERROR(__xludf.DUMMYFUNCTION("""COMPUTED_VALUE"""),44.39883427325328)</f>
        <v>44.39883427</v>
      </c>
      <c r="BS59" s="97"/>
      <c r="BT59" s="95">
        <f>IFERROR(__xludf.DUMMYFUNCTION("""COMPUTED_VALUE"""),47.69413458566252)</f>
        <v>47.69413459</v>
      </c>
      <c r="BU59" s="96">
        <f>IFERROR(__xludf.DUMMYFUNCTION("""COMPUTED_VALUE"""),42.4391006263182)</f>
        <v>42.43910063</v>
      </c>
      <c r="BV59" s="97"/>
      <c r="BW59" s="95">
        <f>IFERROR(__xludf.DUMMYFUNCTION("""COMPUTED_VALUE"""),92.64522258899366)</f>
        <v>92.64522259</v>
      </c>
      <c r="BX59" s="96"/>
      <c r="BY59" s="97"/>
      <c r="BZ59" s="95"/>
      <c r="CA59" s="96"/>
      <c r="CB59" s="97"/>
      <c r="CC59" s="95"/>
      <c r="CD59" s="96"/>
      <c r="CE59" s="97"/>
      <c r="CF59" s="95"/>
      <c r="CG59" s="96"/>
      <c r="CH59" s="96"/>
      <c r="CI59" s="95">
        <f>IFERROR(__xludf.DUMMYFUNCTION("""COMPUTED_VALUE"""),69.41776615169937)</f>
        <v>69.41776615</v>
      </c>
      <c r="CJ59" s="96"/>
      <c r="CK59" s="96"/>
      <c r="CL59" s="95"/>
      <c r="CM59" s="96"/>
      <c r="CN59" s="96"/>
      <c r="CO59" s="95"/>
      <c r="CP59" s="96"/>
      <c r="CQ59" s="96"/>
      <c r="CR59" s="95"/>
      <c r="CS59" s="96"/>
      <c r="CT59" s="96"/>
      <c r="CU59" s="95"/>
      <c r="CV59" s="96"/>
      <c r="CW59" s="97"/>
      <c r="CX59" s="96"/>
      <c r="CY59" s="96"/>
      <c r="CZ59" s="97"/>
      <c r="DA59" s="95"/>
      <c r="DB59" s="96"/>
      <c r="DC59" s="97"/>
      <c r="DD59" s="95"/>
      <c r="DE59" s="96"/>
      <c r="DF59" s="97">
        <f>IFERROR(__xludf.DUMMYFUNCTION("""COMPUTED_VALUE"""),20.837209302325583)</f>
        <v>20.8372093</v>
      </c>
      <c r="DG59" s="95"/>
      <c r="DH59" s="96"/>
      <c r="DI59" s="97"/>
      <c r="DJ59" s="95"/>
      <c r="DK59" s="96">
        <f>IFERROR(__xludf.DUMMYFUNCTION("""COMPUTED_VALUE"""),56.0)</f>
        <v>56</v>
      </c>
      <c r="DL59" s="97"/>
      <c r="DM59" s="95">
        <f>IFERROR(__xludf.DUMMYFUNCTION("""COMPUTED_VALUE"""),81.45454545454545)</f>
        <v>81.45454545</v>
      </c>
      <c r="DN59" s="96"/>
      <c r="DO59" s="97"/>
      <c r="DP59" s="95">
        <f>IFERROR(__xludf.DUMMYFUNCTION("""COMPUTED_VALUE"""),298.6666666666667)</f>
        <v>298.6666667</v>
      </c>
      <c r="DQ59" s="96"/>
      <c r="DR59" s="97"/>
      <c r="DS59" s="95"/>
    </row>
    <row r="60">
      <c r="B60" s="83" t="str">
        <f>IFERROR(__xludf.DUMMYFUNCTION("""COMPUTED_VALUE"""),"ORL5")</f>
        <v>ORL5</v>
      </c>
      <c r="C60" s="88" t="str">
        <f>IFERROR(__xludf.DUMMYFUNCTION("""COMPUTED_VALUE"""),"Lyon")</f>
        <v>Lyon</v>
      </c>
      <c r="D60" s="102">
        <f>IFERROR(__xludf.DUMMYFUNCTION("""COMPUTED_VALUE"""),7.0)</f>
        <v>7</v>
      </c>
      <c r="E60" s="82" t="b">
        <f>IFERROR(__xludf.DUMMYFUNCTION("""COMPUTED_VALUE"""),TRUE)</f>
        <v>1</v>
      </c>
      <c r="F60" s="82" t="str">
        <f>IFERROR(__xludf.DUMMYFUNCTION("""COMPUTED_VALUE"""),"Free Quests- Part 1!A168:J178")</f>
        <v>Free Quests- Part 1!A168:J178</v>
      </c>
      <c r="G60" s="82">
        <f>IFERROR(__xludf.DUMMYFUNCTION("""COMPUTED_VALUE"""),60.0)</f>
        <v>60</v>
      </c>
      <c r="H60" s="82">
        <f>IFERROR(__xludf.DUMMYFUNCTION("""COMPUTED_VALUE"""),1253.0)</f>
        <v>1253</v>
      </c>
      <c r="I60" s="95"/>
      <c r="J60" s="96"/>
      <c r="K60" s="97"/>
      <c r="L60" s="95"/>
      <c r="M60" s="96"/>
      <c r="N60" s="97"/>
      <c r="O60" s="95"/>
      <c r="P60" s="96"/>
      <c r="Q60" s="97"/>
      <c r="R60" s="95"/>
      <c r="S60" s="96"/>
      <c r="T60" s="97"/>
      <c r="U60" s="95"/>
      <c r="V60" s="96"/>
      <c r="W60" s="97"/>
      <c r="X60" s="95"/>
      <c r="Y60" s="96"/>
      <c r="Z60" s="97"/>
      <c r="AA60" s="95"/>
      <c r="AB60" s="96"/>
      <c r="AC60" s="97"/>
      <c r="AD60" s="95"/>
      <c r="AE60" s="96"/>
      <c r="AF60" s="97"/>
      <c r="AG60" s="95"/>
      <c r="AH60" s="96"/>
      <c r="AI60" s="97"/>
      <c r="AJ60" s="95"/>
      <c r="AK60" s="96"/>
      <c r="AL60" s="97"/>
      <c r="AM60" s="95"/>
      <c r="AN60" s="96"/>
      <c r="AO60" s="97"/>
      <c r="AP60" s="95"/>
      <c r="AQ60" s="96"/>
      <c r="AR60" s="97"/>
      <c r="AS60" s="95"/>
      <c r="AT60" s="96"/>
      <c r="AU60" s="97">
        <f>IFERROR(__xludf.DUMMYFUNCTION("""COMPUTED_VALUE"""),36.543092601388224)</f>
        <v>36.5430926</v>
      </c>
      <c r="AV60" s="95"/>
      <c r="AW60" s="96"/>
      <c r="AX60" s="97">
        <f>IFERROR(__xludf.DUMMYFUNCTION("""COMPUTED_VALUE"""),105.9337898716137)</f>
        <v>105.9337899</v>
      </c>
      <c r="AY60" s="95"/>
      <c r="AZ60" s="96"/>
      <c r="BA60" s="97"/>
      <c r="BB60" s="95"/>
      <c r="BC60" s="96"/>
      <c r="BD60" s="97"/>
      <c r="BE60" s="95"/>
      <c r="BF60" s="96"/>
      <c r="BG60" s="97"/>
      <c r="BH60" s="95"/>
      <c r="BI60" s="96"/>
      <c r="BJ60" s="97"/>
      <c r="BK60" s="95"/>
      <c r="BL60" s="96"/>
      <c r="BM60" s="97"/>
      <c r="BN60" s="95"/>
      <c r="BO60" s="96"/>
      <c r="BP60" s="97"/>
      <c r="BQ60" s="95"/>
      <c r="BR60" s="96">
        <f>IFERROR(__xludf.DUMMYFUNCTION("""COMPUTED_VALUE"""),27.122889479868885)</f>
        <v>27.12288948</v>
      </c>
      <c r="BS60" s="97"/>
      <c r="BT60" s="95">
        <f>IFERROR(__xludf.DUMMYFUNCTION("""COMPUTED_VALUE"""),69.02277413160834)</f>
        <v>69.02277413</v>
      </c>
      <c r="BU60" s="96"/>
      <c r="BV60" s="97"/>
      <c r="BW60" s="95"/>
      <c r="BX60" s="96"/>
      <c r="BY60" s="97"/>
      <c r="BZ60" s="95"/>
      <c r="CA60" s="96"/>
      <c r="CB60" s="97"/>
      <c r="CC60" s="95"/>
      <c r="CD60" s="96"/>
      <c r="CE60" s="97"/>
      <c r="CF60" s="95"/>
      <c r="CG60" s="96"/>
      <c r="CH60" s="96"/>
      <c r="CI60" s="95"/>
      <c r="CJ60" s="96"/>
      <c r="CK60" s="96">
        <f>IFERROR(__xludf.DUMMYFUNCTION("""COMPUTED_VALUE"""),65.1910541611232)</f>
        <v>65.19105416</v>
      </c>
      <c r="CL60" s="95"/>
      <c r="CM60" s="96"/>
      <c r="CN60" s="96"/>
      <c r="CO60" s="95"/>
      <c r="CP60" s="96"/>
      <c r="CQ60" s="96"/>
      <c r="CR60" s="95"/>
      <c r="CS60" s="96"/>
      <c r="CT60" s="96"/>
      <c r="CU60" s="95"/>
      <c r="CV60" s="96"/>
      <c r="CW60" s="97"/>
      <c r="CX60" s="96"/>
      <c r="CY60" s="96"/>
      <c r="CZ60" s="97"/>
      <c r="DA60" s="95"/>
      <c r="DB60" s="96"/>
      <c r="DC60" s="97"/>
      <c r="DD60" s="95"/>
      <c r="DE60" s="96"/>
      <c r="DF60" s="97"/>
      <c r="DG60" s="95"/>
      <c r="DH60" s="96">
        <f>IFERROR(__xludf.DUMMYFUNCTION("""COMPUTED_VALUE"""),37.54545454545455)</f>
        <v>37.54545455</v>
      </c>
      <c r="DI60" s="97"/>
      <c r="DJ60" s="95"/>
      <c r="DK60" s="96">
        <f>IFERROR(__xludf.DUMMYFUNCTION("""COMPUTED_VALUE"""),31.76923076923077)</f>
        <v>31.76923077</v>
      </c>
      <c r="DL60" s="97"/>
      <c r="DM60" s="95">
        <f>IFERROR(__xludf.DUMMYFUNCTION("""COMPUTED_VALUE"""),63.53846153846154)</f>
        <v>63.53846154</v>
      </c>
      <c r="DN60" s="96"/>
      <c r="DO60" s="97"/>
      <c r="DP60" s="95"/>
      <c r="DQ60" s="96"/>
      <c r="DR60" s="97"/>
      <c r="DS60" s="95"/>
    </row>
    <row r="61">
      <c r="B61" s="83" t="str">
        <f>IFERROR(__xludf.DUMMYFUNCTION("""COMPUTED_VALUE"""),"ORL6")</f>
        <v>ORL6</v>
      </c>
      <c r="C61" s="88" t="str">
        <f>IFERROR(__xludf.DUMMYFUNCTION("""COMPUTED_VALUE"""),"Marseille")</f>
        <v>Marseille</v>
      </c>
      <c r="D61" s="102">
        <f>IFERROR(__xludf.DUMMYFUNCTION("""COMPUTED_VALUE"""),7.0)</f>
        <v>7</v>
      </c>
      <c r="E61" s="82" t="b">
        <f>IFERROR(__xludf.DUMMYFUNCTION("""COMPUTED_VALUE"""),TRUE)</f>
        <v>1</v>
      </c>
      <c r="F61" s="82" t="str">
        <f>IFERROR(__xludf.DUMMYFUNCTION("""COMPUTED_VALUE"""),"Free Quests- Part 1!A182:J189")</f>
        <v>Free Quests- Part 1!A182:J189</v>
      </c>
      <c r="G61" s="82">
        <f>IFERROR(__xludf.DUMMYFUNCTION("""COMPUTED_VALUE"""),61.0)</f>
        <v>61</v>
      </c>
      <c r="H61" s="82">
        <f>IFERROR(__xludf.DUMMYFUNCTION("""COMPUTED_VALUE"""),1785.0)</f>
        <v>1785</v>
      </c>
      <c r="I61" s="95"/>
      <c r="J61" s="96"/>
      <c r="K61" s="97"/>
      <c r="L61" s="95"/>
      <c r="M61" s="96"/>
      <c r="N61" s="97"/>
      <c r="O61" s="95"/>
      <c r="P61" s="96"/>
      <c r="Q61" s="97"/>
      <c r="R61" s="95"/>
      <c r="S61" s="96"/>
      <c r="T61" s="97"/>
      <c r="U61" s="95"/>
      <c r="V61" s="96"/>
      <c r="W61" s="97"/>
      <c r="X61" s="95"/>
      <c r="Y61" s="96"/>
      <c r="Z61" s="97"/>
      <c r="AA61" s="95"/>
      <c r="AB61" s="96"/>
      <c r="AC61" s="97"/>
      <c r="AD61" s="95"/>
      <c r="AE61" s="96"/>
      <c r="AF61" s="97"/>
      <c r="AG61" s="95"/>
      <c r="AH61" s="96"/>
      <c r="AI61" s="97"/>
      <c r="AJ61" s="95"/>
      <c r="AK61" s="96"/>
      <c r="AL61" s="97"/>
      <c r="AM61" s="95"/>
      <c r="AN61" s="96"/>
      <c r="AO61" s="97"/>
      <c r="AP61" s="95"/>
      <c r="AQ61" s="96"/>
      <c r="AR61" s="97"/>
      <c r="AS61" s="95"/>
      <c r="AT61" s="96"/>
      <c r="AU61" s="97">
        <f>IFERROR(__xludf.DUMMYFUNCTION("""COMPUTED_VALUE"""),23.63612288135593)</f>
        <v>23.63612288</v>
      </c>
      <c r="AV61" s="95"/>
      <c r="AW61" s="96"/>
      <c r="AX61" s="97"/>
      <c r="AY61" s="95"/>
      <c r="AZ61" s="96"/>
      <c r="BA61" s="97"/>
      <c r="BB61" s="95"/>
      <c r="BC61" s="96"/>
      <c r="BD61" s="97"/>
      <c r="BE61" s="95"/>
      <c r="BF61" s="96"/>
      <c r="BG61" s="97"/>
      <c r="BH61" s="95"/>
      <c r="BI61" s="96"/>
      <c r="BJ61" s="97"/>
      <c r="BK61" s="95"/>
      <c r="BL61" s="96"/>
      <c r="BM61" s="97"/>
      <c r="BN61" s="95"/>
      <c r="BO61" s="96"/>
      <c r="BP61" s="97"/>
      <c r="BQ61" s="95"/>
      <c r="BR61" s="96">
        <f>IFERROR(__xludf.DUMMYFUNCTION("""COMPUTED_VALUE"""),33.09758423394787)</f>
        <v>33.09758423</v>
      </c>
      <c r="BS61" s="97"/>
      <c r="BT61" s="95">
        <f>IFERROR(__xludf.DUMMYFUNCTION("""COMPUTED_VALUE"""),27.781483457844185)</f>
        <v>27.78148346</v>
      </c>
      <c r="BU61" s="96"/>
      <c r="BV61" s="97"/>
      <c r="BW61" s="95"/>
      <c r="BX61" s="96"/>
      <c r="BY61" s="97"/>
      <c r="BZ61" s="95"/>
      <c r="CA61" s="96"/>
      <c r="CB61" s="97"/>
      <c r="CC61" s="95"/>
      <c r="CD61" s="96"/>
      <c r="CE61" s="97"/>
      <c r="CF61" s="95"/>
      <c r="CG61" s="96"/>
      <c r="CH61" s="96"/>
      <c r="CI61" s="95"/>
      <c r="CJ61" s="96"/>
      <c r="CK61" s="96"/>
      <c r="CL61" s="95"/>
      <c r="CM61" s="96"/>
      <c r="CN61" s="96"/>
      <c r="CO61" s="95"/>
      <c r="CP61" s="96"/>
      <c r="CQ61" s="96"/>
      <c r="CR61" s="95"/>
      <c r="CS61" s="96"/>
      <c r="CT61" s="96"/>
      <c r="CU61" s="95"/>
      <c r="CV61" s="96"/>
      <c r="CW61" s="97"/>
      <c r="CX61" s="96"/>
      <c r="CY61" s="96"/>
      <c r="CZ61" s="97"/>
      <c r="DA61" s="95"/>
      <c r="DB61" s="96"/>
      <c r="DC61" s="97"/>
      <c r="DD61" s="95"/>
      <c r="DE61" s="96"/>
      <c r="DF61" s="97"/>
      <c r="DG61" s="95"/>
      <c r="DH61" s="96"/>
      <c r="DI61" s="97"/>
      <c r="DJ61" s="95"/>
      <c r="DK61" s="96">
        <f>IFERROR(__xludf.DUMMYFUNCTION("""COMPUTED_VALUE"""),19.133333333333333)</f>
        <v>19.13333333</v>
      </c>
      <c r="DL61" s="97"/>
      <c r="DM61" s="95">
        <f>IFERROR(__xludf.DUMMYFUNCTION("""COMPUTED_VALUE"""),20.5)</f>
        <v>20.5</v>
      </c>
      <c r="DN61" s="96"/>
      <c r="DO61" s="97"/>
      <c r="DP61" s="95"/>
      <c r="DQ61" s="96"/>
      <c r="DR61" s="97"/>
      <c r="DS61" s="95"/>
    </row>
    <row r="62">
      <c r="B62" s="83" t="str">
        <f>IFERROR(__xludf.DUMMYFUNCTION("""COMPUTED_VALUE"""),"ORL7")</f>
        <v>ORL7</v>
      </c>
      <c r="C62" s="88" t="str">
        <f>IFERROR(__xludf.DUMMYFUNCTION("""COMPUTED_VALUE"""),"Thiers")</f>
        <v>Thiers</v>
      </c>
      <c r="D62" s="102">
        <f>IFERROR(__xludf.DUMMYFUNCTION("""COMPUTED_VALUE"""),7.0)</f>
        <v>7</v>
      </c>
      <c r="E62" s="82" t="b">
        <f>IFERROR(__xludf.DUMMYFUNCTION("""COMPUTED_VALUE"""),TRUE)</f>
        <v>1</v>
      </c>
      <c r="F62" s="82" t="str">
        <f>IFERROR(__xludf.DUMMYFUNCTION("""COMPUTED_VALUE"""),"Free Quests- Part 1!A193:J203")</f>
        <v>Free Quests- Part 1!A193:J203</v>
      </c>
      <c r="G62" s="82">
        <f>IFERROR(__xludf.DUMMYFUNCTION("""COMPUTED_VALUE"""),62.0)</f>
        <v>62</v>
      </c>
      <c r="H62" s="82">
        <f>IFERROR(__xludf.DUMMYFUNCTION("""COMPUTED_VALUE"""),2747.0)</f>
        <v>2747</v>
      </c>
      <c r="I62" s="95"/>
      <c r="J62" s="96"/>
      <c r="K62" s="97"/>
      <c r="L62" s="95"/>
      <c r="M62" s="96"/>
      <c r="N62" s="97"/>
      <c r="O62" s="95"/>
      <c r="P62" s="96"/>
      <c r="Q62" s="97"/>
      <c r="R62" s="95"/>
      <c r="S62" s="96"/>
      <c r="T62" s="97"/>
      <c r="U62" s="95"/>
      <c r="V62" s="96"/>
      <c r="W62" s="97"/>
      <c r="X62" s="95"/>
      <c r="Y62" s="96"/>
      <c r="Z62" s="97"/>
      <c r="AA62" s="95"/>
      <c r="AB62" s="96"/>
      <c r="AC62" s="97"/>
      <c r="AD62" s="95"/>
      <c r="AE62" s="96"/>
      <c r="AF62" s="97"/>
      <c r="AG62" s="95"/>
      <c r="AH62" s="96"/>
      <c r="AI62" s="97"/>
      <c r="AJ62" s="95"/>
      <c r="AK62" s="96"/>
      <c r="AL62" s="97"/>
      <c r="AM62" s="95"/>
      <c r="AN62" s="96"/>
      <c r="AO62" s="97"/>
      <c r="AP62" s="95"/>
      <c r="AQ62" s="96"/>
      <c r="AR62" s="97"/>
      <c r="AS62" s="95"/>
      <c r="AT62" s="96"/>
      <c r="AU62" s="97"/>
      <c r="AV62" s="95"/>
      <c r="AW62" s="96">
        <f>IFERROR(__xludf.DUMMYFUNCTION("""COMPUTED_VALUE"""),50.12577714635768)</f>
        <v>50.12577715</v>
      </c>
      <c r="AX62" s="97">
        <f>IFERROR(__xludf.DUMMYFUNCTION("""COMPUTED_VALUE"""),78.69449560057295)</f>
        <v>78.6944956</v>
      </c>
      <c r="AY62" s="95"/>
      <c r="AZ62" s="96"/>
      <c r="BA62" s="97"/>
      <c r="BB62" s="95"/>
      <c r="BC62" s="96"/>
      <c r="BD62" s="97"/>
      <c r="BE62" s="95"/>
      <c r="BF62" s="96"/>
      <c r="BG62" s="97"/>
      <c r="BH62" s="95"/>
      <c r="BI62" s="96"/>
      <c r="BJ62" s="97"/>
      <c r="BK62" s="95"/>
      <c r="BL62" s="96"/>
      <c r="BM62" s="97"/>
      <c r="BN62" s="95"/>
      <c r="BO62" s="96"/>
      <c r="BP62" s="97"/>
      <c r="BQ62" s="95"/>
      <c r="BR62" s="96"/>
      <c r="BS62" s="97"/>
      <c r="BT62" s="95"/>
      <c r="BU62" s="96">
        <f>IFERROR(__xludf.DUMMYFUNCTION("""COMPUTED_VALUE"""),20.694368213174915)</f>
        <v>20.69436821</v>
      </c>
      <c r="BV62" s="97"/>
      <c r="BW62" s="95"/>
      <c r="BX62" s="96"/>
      <c r="BY62" s="97"/>
      <c r="BZ62" s="95"/>
      <c r="CA62" s="96"/>
      <c r="CB62" s="97"/>
      <c r="CC62" s="95"/>
      <c r="CD62" s="96"/>
      <c r="CE62" s="97"/>
      <c r="CF62" s="95"/>
      <c r="CG62" s="96"/>
      <c r="CH62" s="96"/>
      <c r="CI62" s="95"/>
      <c r="CJ62" s="96"/>
      <c r="CK62" s="96"/>
      <c r="CL62" s="95">
        <f>IFERROR(__xludf.DUMMYFUNCTION("""COMPUTED_VALUE"""),73.86677934849416)</f>
        <v>73.86677935</v>
      </c>
      <c r="CM62" s="96"/>
      <c r="CN62" s="96"/>
      <c r="CO62" s="95"/>
      <c r="CP62" s="96"/>
      <c r="CQ62" s="96"/>
      <c r="CR62" s="95"/>
      <c r="CS62" s="96"/>
      <c r="CT62" s="96"/>
      <c r="CU62" s="95"/>
      <c r="CV62" s="96"/>
      <c r="CW62" s="97"/>
      <c r="CX62" s="96"/>
      <c r="CY62" s="96"/>
      <c r="CZ62" s="97"/>
      <c r="DA62" s="95"/>
      <c r="DB62" s="96"/>
      <c r="DC62" s="97"/>
      <c r="DD62" s="95"/>
      <c r="DE62" s="96"/>
      <c r="DF62" s="97">
        <f>IFERROR(__xludf.DUMMYFUNCTION("""COMPUTED_VALUE"""),57.75)</f>
        <v>57.75</v>
      </c>
      <c r="DG62" s="95"/>
      <c r="DH62" s="96"/>
      <c r="DI62" s="97">
        <f>IFERROR(__xludf.DUMMYFUNCTION("""COMPUTED_VALUE"""),28.875)</f>
        <v>28.875</v>
      </c>
      <c r="DJ62" s="95"/>
      <c r="DK62" s="96"/>
      <c r="DL62" s="97"/>
      <c r="DM62" s="95"/>
      <c r="DN62" s="96">
        <f>IFERROR(__xludf.DUMMYFUNCTION("""COMPUTED_VALUE"""),28.875)</f>
        <v>28.875</v>
      </c>
      <c r="DO62" s="97"/>
      <c r="DP62" s="95"/>
      <c r="DQ62" s="96"/>
      <c r="DR62" s="97"/>
      <c r="DS62" s="95"/>
    </row>
    <row r="63">
      <c r="B63" s="83" t="str">
        <f>IFERROR(__xludf.DUMMYFUNCTION("""COMPUTED_VALUE"""),"ORL8")</f>
        <v>ORL8</v>
      </c>
      <c r="C63" s="88" t="str">
        <f>IFERROR(__xludf.DUMMYFUNCTION("""COMPUTED_VALUE"""),"Bordeaux")</f>
        <v>Bordeaux</v>
      </c>
      <c r="D63" s="102">
        <f>IFERROR(__xludf.DUMMYFUNCTION("""COMPUTED_VALUE"""),7.0)</f>
        <v>7</v>
      </c>
      <c r="E63" s="82" t="b">
        <f>IFERROR(__xludf.DUMMYFUNCTION("""COMPUTED_VALUE"""),TRUE)</f>
        <v>1</v>
      </c>
      <c r="F63" s="82" t="str">
        <f>IFERROR(__xludf.DUMMYFUNCTION("""COMPUTED_VALUE"""),"Free Quests- Part 1!A207:J216")</f>
        <v>Free Quests- Part 1!A207:J216</v>
      </c>
      <c r="G63" s="82">
        <f>IFERROR(__xludf.DUMMYFUNCTION("""COMPUTED_VALUE"""),63.0)</f>
        <v>63</v>
      </c>
      <c r="H63" s="82">
        <f>IFERROR(__xludf.DUMMYFUNCTION("""COMPUTED_VALUE"""),1752.0)</f>
        <v>1752</v>
      </c>
      <c r="I63" s="95"/>
      <c r="J63" s="96"/>
      <c r="K63" s="97"/>
      <c r="L63" s="95"/>
      <c r="M63" s="96"/>
      <c r="N63" s="97"/>
      <c r="O63" s="95"/>
      <c r="P63" s="96"/>
      <c r="Q63" s="97"/>
      <c r="R63" s="95"/>
      <c r="S63" s="96"/>
      <c r="T63" s="97"/>
      <c r="U63" s="95"/>
      <c r="V63" s="96"/>
      <c r="W63" s="97"/>
      <c r="X63" s="95"/>
      <c r="Y63" s="96"/>
      <c r="Z63" s="97"/>
      <c r="AA63" s="95">
        <f>IFERROR(__xludf.DUMMYFUNCTION("""COMPUTED_VALUE"""),79.91606988094695)</f>
        <v>79.91606988</v>
      </c>
      <c r="AB63" s="96"/>
      <c r="AC63" s="97"/>
      <c r="AD63" s="95"/>
      <c r="AE63" s="96"/>
      <c r="AF63" s="97"/>
      <c r="AG63" s="95"/>
      <c r="AH63" s="96"/>
      <c r="AI63" s="97"/>
      <c r="AJ63" s="95"/>
      <c r="AK63" s="96"/>
      <c r="AL63" s="97"/>
      <c r="AM63" s="95"/>
      <c r="AN63" s="96"/>
      <c r="AO63" s="97"/>
      <c r="AP63" s="95"/>
      <c r="AQ63" s="96"/>
      <c r="AR63" s="97"/>
      <c r="AS63" s="95"/>
      <c r="AT63" s="96"/>
      <c r="AU63" s="97"/>
      <c r="AV63" s="95"/>
      <c r="AW63" s="96"/>
      <c r="AX63" s="97"/>
      <c r="AY63" s="95"/>
      <c r="AZ63" s="96"/>
      <c r="BA63" s="97"/>
      <c r="BB63" s="95"/>
      <c r="BC63" s="96"/>
      <c r="BD63" s="97"/>
      <c r="BE63" s="95"/>
      <c r="BF63" s="96"/>
      <c r="BG63" s="97"/>
      <c r="BH63" s="95"/>
      <c r="BI63" s="96"/>
      <c r="BJ63" s="97"/>
      <c r="BK63" s="95"/>
      <c r="BL63" s="96"/>
      <c r="BM63" s="97"/>
      <c r="BN63" s="95"/>
      <c r="BO63" s="96"/>
      <c r="BP63" s="97"/>
      <c r="BQ63" s="95"/>
      <c r="BR63" s="96">
        <f>IFERROR(__xludf.DUMMYFUNCTION("""COMPUTED_VALUE"""),86.06496978883766)</f>
        <v>86.06496979</v>
      </c>
      <c r="BS63" s="97"/>
      <c r="BT63" s="95">
        <f>IFERROR(__xludf.DUMMYFUNCTION("""COMPUTED_VALUE"""),21.666925784065697)</f>
        <v>21.66692578</v>
      </c>
      <c r="BU63" s="96"/>
      <c r="BV63" s="97"/>
      <c r="BW63" s="95">
        <f>IFERROR(__xludf.DUMMYFUNCTION("""COMPUTED_VALUE"""),29.94096766160652)</f>
        <v>29.94096766</v>
      </c>
      <c r="BX63" s="96"/>
      <c r="BY63" s="97"/>
      <c r="BZ63" s="95"/>
      <c r="CA63" s="96"/>
      <c r="CB63" s="97"/>
      <c r="CC63" s="95"/>
      <c r="CD63" s="96"/>
      <c r="CE63" s="97"/>
      <c r="CF63" s="95"/>
      <c r="CG63" s="96"/>
      <c r="CH63" s="96"/>
      <c r="CI63" s="95"/>
      <c r="CJ63" s="96"/>
      <c r="CK63" s="96"/>
      <c r="CL63" s="95"/>
      <c r="CM63" s="96"/>
      <c r="CN63" s="96"/>
      <c r="CO63" s="95"/>
      <c r="CP63" s="96"/>
      <c r="CQ63" s="96"/>
      <c r="CR63" s="95"/>
      <c r="CS63" s="96"/>
      <c r="CT63" s="96"/>
      <c r="CU63" s="95"/>
      <c r="CV63" s="96"/>
      <c r="CW63" s="97"/>
      <c r="CX63" s="96"/>
      <c r="CY63" s="96"/>
      <c r="CZ63" s="97"/>
      <c r="DA63" s="95"/>
      <c r="DB63" s="96"/>
      <c r="DC63" s="97"/>
      <c r="DD63" s="95"/>
      <c r="DE63" s="96"/>
      <c r="DF63" s="97"/>
      <c r="DG63" s="95"/>
      <c r="DH63" s="96"/>
      <c r="DI63" s="97"/>
      <c r="DJ63" s="95"/>
      <c r="DK63" s="96">
        <f>IFERROR(__xludf.DUMMYFUNCTION("""COMPUTED_VALUE"""),112.0)</f>
        <v>112</v>
      </c>
      <c r="DL63" s="97"/>
      <c r="DM63" s="95">
        <f>IFERROR(__xludf.DUMMYFUNCTION("""COMPUTED_VALUE"""),40.72727272727273)</f>
        <v>40.72727273</v>
      </c>
      <c r="DN63" s="96"/>
      <c r="DO63" s="97"/>
      <c r="DP63" s="95">
        <f>IFERROR(__xludf.DUMMYFUNCTION("""COMPUTED_VALUE"""),89.6)</f>
        <v>89.6</v>
      </c>
      <c r="DQ63" s="96"/>
      <c r="DR63" s="97"/>
      <c r="DS63" s="95"/>
    </row>
    <row r="64">
      <c r="B64" s="83" t="str">
        <f>IFERROR(__xludf.DUMMYFUNCTION("""COMPUTED_VALUE"""),"ORL9")</f>
        <v>ORL9</v>
      </c>
      <c r="C64" s="88" t="str">
        <f>IFERROR(__xludf.DUMMYFUNCTION("""COMPUTED_VALUE"""),"Orleans")</f>
        <v>Orleans</v>
      </c>
      <c r="D64" s="102">
        <f>IFERROR(__xludf.DUMMYFUNCTION("""COMPUTED_VALUE"""),8.0)</f>
        <v>8</v>
      </c>
      <c r="E64" s="82" t="b">
        <f>IFERROR(__xludf.DUMMYFUNCTION("""COMPUTED_VALUE"""),TRUE)</f>
        <v>1</v>
      </c>
      <c r="F64" s="82" t="str">
        <f>IFERROR(__xludf.DUMMYFUNCTION("""COMPUTED_VALUE"""),"Free Quests- Part 1!A220:J235")</f>
        <v>Free Quests- Part 1!A220:J235</v>
      </c>
      <c r="G64" s="82">
        <f>IFERROR(__xludf.DUMMYFUNCTION("""COMPUTED_VALUE"""),64.0)</f>
        <v>64</v>
      </c>
      <c r="H64" s="82">
        <f>IFERROR(__xludf.DUMMYFUNCTION("""COMPUTED_VALUE"""),1504.0)</f>
        <v>1504</v>
      </c>
      <c r="I64" s="95"/>
      <c r="J64" s="96"/>
      <c r="K64" s="97"/>
      <c r="L64" s="95"/>
      <c r="M64" s="96"/>
      <c r="N64" s="97"/>
      <c r="O64" s="95"/>
      <c r="P64" s="96"/>
      <c r="Q64" s="97"/>
      <c r="R64" s="95"/>
      <c r="S64" s="96"/>
      <c r="T64" s="97"/>
      <c r="U64" s="95"/>
      <c r="V64" s="96"/>
      <c r="W64" s="97"/>
      <c r="X64" s="95"/>
      <c r="Y64" s="96"/>
      <c r="Z64" s="97"/>
      <c r="AA64" s="95"/>
      <c r="AB64" s="96"/>
      <c r="AC64" s="97"/>
      <c r="AD64" s="95"/>
      <c r="AE64" s="96"/>
      <c r="AF64" s="97"/>
      <c r="AG64" s="95"/>
      <c r="AH64" s="96"/>
      <c r="AI64" s="97"/>
      <c r="AJ64" s="95"/>
      <c r="AK64" s="96"/>
      <c r="AL64" s="97"/>
      <c r="AM64" s="95"/>
      <c r="AN64" s="96"/>
      <c r="AO64" s="97"/>
      <c r="AP64" s="95"/>
      <c r="AQ64" s="96"/>
      <c r="AR64" s="97"/>
      <c r="AS64" s="95"/>
      <c r="AT64" s="96"/>
      <c r="AU64" s="97"/>
      <c r="AV64" s="95">
        <f>IFERROR(__xludf.DUMMYFUNCTION("""COMPUTED_VALUE"""),62.85326228908739)</f>
        <v>62.85326229</v>
      </c>
      <c r="AW64" s="96">
        <f>IFERROR(__xludf.DUMMYFUNCTION("""COMPUTED_VALUE"""),76.56135662244282)</f>
        <v>76.56135662</v>
      </c>
      <c r="AX64" s="97">
        <f>IFERROR(__xludf.DUMMYFUNCTION("""COMPUTED_VALUE"""),92.86243516917757)</f>
        <v>92.86243517</v>
      </c>
      <c r="AY64" s="95"/>
      <c r="AZ64" s="96"/>
      <c r="BA64" s="97"/>
      <c r="BB64" s="95"/>
      <c r="BC64" s="96"/>
      <c r="BD64" s="97"/>
      <c r="BE64" s="95"/>
      <c r="BF64" s="96"/>
      <c r="BG64" s="97"/>
      <c r="BH64" s="95"/>
      <c r="BI64" s="96"/>
      <c r="BJ64" s="97"/>
      <c r="BK64" s="95"/>
      <c r="BL64" s="96"/>
      <c r="BM64" s="97"/>
      <c r="BN64" s="95">
        <f>IFERROR(__xludf.DUMMYFUNCTION("""COMPUTED_VALUE"""),141.07268021003114)</f>
        <v>141.0726802</v>
      </c>
      <c r="BO64" s="96"/>
      <c r="BP64" s="97"/>
      <c r="BQ64" s="95"/>
      <c r="BR64" s="96"/>
      <c r="BS64" s="97"/>
      <c r="BT64" s="95">
        <f>IFERROR(__xludf.DUMMYFUNCTION("""COMPUTED_VALUE"""),81.97643304480826)</f>
        <v>81.97643304</v>
      </c>
      <c r="BU64" s="96">
        <f>IFERROR(__xludf.DUMMYFUNCTION("""COMPUTED_VALUE"""),50.97386975169263)</f>
        <v>50.97386975</v>
      </c>
      <c r="BV64" s="97"/>
      <c r="BW64" s="95"/>
      <c r="BX64" s="96"/>
      <c r="BY64" s="97"/>
      <c r="BZ64" s="95"/>
      <c r="CA64" s="96"/>
      <c r="CB64" s="97"/>
      <c r="CC64" s="95"/>
      <c r="CD64" s="96"/>
      <c r="CE64" s="97"/>
      <c r="CF64" s="95"/>
      <c r="CG64" s="96"/>
      <c r="CH64" s="96"/>
      <c r="CI64" s="95"/>
      <c r="CJ64" s="96">
        <f>IFERROR(__xludf.DUMMYFUNCTION("""COMPUTED_VALUE"""),84.52700499692624)</f>
        <v>84.527005</v>
      </c>
      <c r="CK64" s="96"/>
      <c r="CL64" s="95"/>
      <c r="CM64" s="96"/>
      <c r="CN64" s="96"/>
      <c r="CO64" s="95"/>
      <c r="CP64" s="96"/>
      <c r="CQ64" s="96"/>
      <c r="CR64" s="95"/>
      <c r="CS64" s="96"/>
      <c r="CT64" s="96"/>
      <c r="CU64" s="95"/>
      <c r="CV64" s="96"/>
      <c r="CW64" s="97"/>
      <c r="CX64" s="96">
        <f>IFERROR(__xludf.DUMMYFUNCTION("""COMPUTED_VALUE"""),142.66666666666666)</f>
        <v>142.6666667</v>
      </c>
      <c r="CY64" s="96"/>
      <c r="CZ64" s="97"/>
      <c r="DA64" s="95"/>
      <c r="DB64" s="96"/>
      <c r="DC64" s="97"/>
      <c r="DD64" s="95"/>
      <c r="DE64" s="96"/>
      <c r="DF64" s="97">
        <f>IFERROR(__xludf.DUMMYFUNCTION("""COMPUTED_VALUE"""),77.81818181818181)</f>
        <v>77.81818182</v>
      </c>
      <c r="DG64" s="95">
        <f>IFERROR(__xludf.DUMMYFUNCTION("""COMPUTED_VALUE"""),53.50000000000001)</f>
        <v>53.5</v>
      </c>
      <c r="DH64" s="96"/>
      <c r="DI64" s="97"/>
      <c r="DJ64" s="95"/>
      <c r="DK64" s="96"/>
      <c r="DL64" s="97"/>
      <c r="DM64" s="95">
        <f>IFERROR(__xludf.DUMMYFUNCTION("""COMPUTED_VALUE"""),77.81818181818181)</f>
        <v>77.81818182</v>
      </c>
      <c r="DN64" s="96"/>
      <c r="DO64" s="97"/>
      <c r="DP64" s="95"/>
      <c r="DQ64" s="96"/>
      <c r="DR64" s="97"/>
      <c r="DS64" s="95"/>
    </row>
    <row r="65">
      <c r="B65" s="83" t="str">
        <f>IFERROR(__xludf.DUMMYFUNCTION("""COMPUTED_VALUE"""),"ORL10")</f>
        <v>ORL10</v>
      </c>
      <c r="C65" s="88" t="str">
        <f>IFERROR(__xludf.DUMMYFUNCTION("""COMPUTED_VALUE"""),"Paris")</f>
        <v>Paris</v>
      </c>
      <c r="D65" s="102">
        <f>IFERROR(__xludf.DUMMYFUNCTION("""COMPUTED_VALUE"""),13.0)</f>
        <v>13</v>
      </c>
      <c r="E65" s="82" t="b">
        <f>IFERROR(__xludf.DUMMYFUNCTION("""COMPUTED_VALUE"""),TRUE)</f>
        <v>1</v>
      </c>
      <c r="F65" s="82" t="str">
        <f>IFERROR(__xludf.DUMMYFUNCTION("""COMPUTED_VALUE"""),"Free Quests- Part 1!A239:J255")</f>
        <v>Free Quests- Part 1!A239:J255</v>
      </c>
      <c r="G65" s="82">
        <f>IFERROR(__xludf.DUMMYFUNCTION("""COMPUTED_VALUE"""),65.0)</f>
        <v>65</v>
      </c>
      <c r="H65" s="82">
        <f>IFERROR(__xludf.DUMMYFUNCTION("""COMPUTED_VALUE"""),1393.0)</f>
        <v>1393</v>
      </c>
      <c r="I65" s="95"/>
      <c r="J65" s="96"/>
      <c r="K65" s="97"/>
      <c r="L65" s="95"/>
      <c r="M65" s="96"/>
      <c r="N65" s="97"/>
      <c r="O65" s="95"/>
      <c r="P65" s="96"/>
      <c r="Q65" s="97"/>
      <c r="R65" s="95"/>
      <c r="S65" s="96"/>
      <c r="T65" s="97"/>
      <c r="U65" s="95"/>
      <c r="V65" s="96"/>
      <c r="W65" s="97"/>
      <c r="X65" s="95"/>
      <c r="Y65" s="96"/>
      <c r="Z65" s="97"/>
      <c r="AA65" s="95"/>
      <c r="AB65" s="96"/>
      <c r="AC65" s="97"/>
      <c r="AD65" s="95"/>
      <c r="AE65" s="96"/>
      <c r="AF65" s="97"/>
      <c r="AG65" s="95"/>
      <c r="AH65" s="96"/>
      <c r="AI65" s="97"/>
      <c r="AJ65" s="95"/>
      <c r="AK65" s="96"/>
      <c r="AL65" s="97"/>
      <c r="AM65" s="95"/>
      <c r="AN65" s="96"/>
      <c r="AO65" s="97"/>
      <c r="AP65" s="95"/>
      <c r="AQ65" s="96"/>
      <c r="AR65" s="97"/>
      <c r="AS65" s="95"/>
      <c r="AT65" s="96"/>
      <c r="AU65" s="97"/>
      <c r="AV65" s="95">
        <f>IFERROR(__xludf.DUMMYFUNCTION("""COMPUTED_VALUE"""),81.72152675613961)</f>
        <v>81.72152676</v>
      </c>
      <c r="AW65" s="96">
        <f>IFERROR(__xludf.DUMMYFUNCTION("""COMPUTED_VALUE"""),130.26745507646712)</f>
        <v>130.2674551</v>
      </c>
      <c r="AX65" s="97">
        <f>IFERROR(__xludf.DUMMYFUNCTION("""COMPUTED_VALUE"""),171.2823714128975)</f>
        <v>171.2823714</v>
      </c>
      <c r="AY65" s="95"/>
      <c r="AZ65" s="96"/>
      <c r="BA65" s="97"/>
      <c r="BB65" s="95"/>
      <c r="BC65" s="96"/>
      <c r="BD65" s="97"/>
      <c r="BE65" s="95"/>
      <c r="BF65" s="96"/>
      <c r="BG65" s="97"/>
      <c r="BH65" s="95"/>
      <c r="BI65" s="96"/>
      <c r="BJ65" s="97"/>
      <c r="BK65" s="95"/>
      <c r="BL65" s="96"/>
      <c r="BM65" s="97"/>
      <c r="BN65" s="95">
        <f>IFERROR(__xludf.DUMMYFUNCTION("""COMPUTED_VALUE"""),260.8013134397143)</f>
        <v>260.8013134</v>
      </c>
      <c r="BO65" s="96"/>
      <c r="BP65" s="97"/>
      <c r="BQ65" s="95"/>
      <c r="BR65" s="96"/>
      <c r="BS65" s="97">
        <f>IFERROR(__xludf.DUMMYFUNCTION("""COMPUTED_VALUE"""),92.18215507411631)</f>
        <v>92.18215507</v>
      </c>
      <c r="BT65" s="95"/>
      <c r="BU65" s="96">
        <f>IFERROR(__xludf.DUMMYFUNCTION("""COMPUTED_VALUE"""),138.6748962369626)</f>
        <v>138.6748962</v>
      </c>
      <c r="BV65" s="97"/>
      <c r="BW65" s="95"/>
      <c r="BX65" s="96"/>
      <c r="BY65" s="97"/>
      <c r="BZ65" s="95"/>
      <c r="CA65" s="96"/>
      <c r="CB65" s="97"/>
      <c r="CC65" s="95"/>
      <c r="CD65" s="96"/>
      <c r="CE65" s="97"/>
      <c r="CF65" s="95">
        <f>IFERROR(__xludf.DUMMYFUNCTION("""COMPUTED_VALUE"""),728.4392598551891)</f>
        <v>728.4392599</v>
      </c>
      <c r="CG65" s="96">
        <f>IFERROR(__xludf.DUMMYFUNCTION("""COMPUTED_VALUE"""),667.0964414646725)</f>
        <v>667.0964415</v>
      </c>
      <c r="CH65" s="96">
        <f>IFERROR(__xludf.DUMMYFUNCTION("""COMPUTED_VALUE"""),1030.50133727878)</f>
        <v>1030.501337</v>
      </c>
      <c r="CI65" s="95"/>
      <c r="CJ65" s="96"/>
      <c r="CK65" s="96"/>
      <c r="CL65" s="95"/>
      <c r="CM65" s="96"/>
      <c r="CN65" s="96"/>
      <c r="CO65" s="95"/>
      <c r="CP65" s="96"/>
      <c r="CQ65" s="96"/>
      <c r="CR65" s="95"/>
      <c r="CS65" s="96"/>
      <c r="CT65" s="96"/>
      <c r="CU65" s="95"/>
      <c r="CV65" s="96"/>
      <c r="CW65" s="97"/>
      <c r="CX65" s="96">
        <f>IFERROR(__xludf.DUMMYFUNCTION("""COMPUTED_VALUE"""),307.6666666666667)</f>
        <v>307.6666667</v>
      </c>
      <c r="CY65" s="96"/>
      <c r="CZ65" s="97"/>
      <c r="DA65" s="95"/>
      <c r="DB65" s="96"/>
      <c r="DC65" s="97"/>
      <c r="DD65" s="95"/>
      <c r="DE65" s="96"/>
      <c r="DF65" s="97"/>
      <c r="DG65" s="95"/>
      <c r="DH65" s="96"/>
      <c r="DI65" s="97"/>
      <c r="DJ65" s="95"/>
      <c r="DK65" s="96"/>
      <c r="DL65" s="97">
        <f>IFERROR(__xludf.DUMMYFUNCTION("""COMPUTED_VALUE"""),83.90909090909092)</f>
        <v>83.90909091</v>
      </c>
      <c r="DM65" s="95"/>
      <c r="DN65" s="96">
        <f>IFERROR(__xludf.DUMMYFUNCTION("""COMPUTED_VALUE"""),115.375)</f>
        <v>115.375</v>
      </c>
      <c r="DO65" s="97"/>
      <c r="DP65" s="95"/>
      <c r="DQ65" s="96"/>
      <c r="DR65" s="97"/>
      <c r="DS65" s="95"/>
    </row>
    <row r="66">
      <c r="A66" s="119" t="str">
        <f>IFERROR(__xludf.DUMMYFUNCTION("""COMPUTED_VALUE"""),"SEPTEM")</f>
        <v>SEPTEM</v>
      </c>
      <c r="B66" s="120" t="str">
        <f>IFERROR(__xludf.DUMMYFUNCTION("""COMPUTED_VALUE"""),"SEP1")</f>
        <v>SEP1</v>
      </c>
      <c r="C66" s="88" t="str">
        <f>IFERROR(__xludf.DUMMYFUNCTION("""COMPUTED_VALUE"""),"Appia Road")</f>
        <v>Appia Road</v>
      </c>
      <c r="D66" s="102">
        <f>IFERROR(__xludf.DUMMYFUNCTION("""COMPUTED_VALUE"""),9.0)</f>
        <v>9</v>
      </c>
      <c r="E66" s="82" t="b">
        <f>IFERROR(__xludf.DUMMYFUNCTION("""COMPUTED_VALUE"""),TRUE)</f>
        <v>1</v>
      </c>
      <c r="F66" s="82" t="str">
        <f>IFERROR(__xludf.DUMMYFUNCTION("""COMPUTED_VALUE"""),"Free Quests- Part 1!A261:J273")</f>
        <v>Free Quests- Part 1!A261:J273</v>
      </c>
      <c r="G66" s="82">
        <f>IFERROR(__xludf.DUMMYFUNCTION("""COMPUTED_VALUE"""),66.0)</f>
        <v>66</v>
      </c>
      <c r="H66" s="82">
        <f>IFERROR(__xludf.DUMMYFUNCTION("""COMPUTED_VALUE"""),1197.0)</f>
        <v>1197</v>
      </c>
      <c r="I66" s="95"/>
      <c r="J66" s="96"/>
      <c r="K66" s="97"/>
      <c r="L66" s="95"/>
      <c r="M66" s="96"/>
      <c r="N66" s="97"/>
      <c r="O66" s="95"/>
      <c r="P66" s="96"/>
      <c r="Q66" s="97"/>
      <c r="R66" s="95"/>
      <c r="S66" s="96"/>
      <c r="T66" s="97"/>
      <c r="U66" s="95"/>
      <c r="V66" s="96"/>
      <c r="W66" s="97"/>
      <c r="X66" s="95"/>
      <c r="Y66" s="96"/>
      <c r="Z66" s="97"/>
      <c r="AA66" s="95"/>
      <c r="AB66" s="96"/>
      <c r="AC66" s="97"/>
      <c r="AD66" s="95"/>
      <c r="AE66" s="96"/>
      <c r="AF66" s="97"/>
      <c r="AG66" s="95"/>
      <c r="AH66" s="96"/>
      <c r="AI66" s="97"/>
      <c r="AJ66" s="95"/>
      <c r="AK66" s="96"/>
      <c r="AL66" s="97"/>
      <c r="AM66" s="95"/>
      <c r="AN66" s="96"/>
      <c r="AO66" s="97"/>
      <c r="AP66" s="95"/>
      <c r="AQ66" s="96"/>
      <c r="AR66" s="97"/>
      <c r="AS66" s="95"/>
      <c r="AT66" s="96"/>
      <c r="AU66" s="97">
        <f>IFERROR(__xludf.DUMMYFUNCTION("""COMPUTED_VALUE"""),25.948406676783005)</f>
        <v>25.94840668</v>
      </c>
      <c r="AV66" s="95"/>
      <c r="AW66" s="96"/>
      <c r="AX66" s="97">
        <f>IFERROR(__xludf.DUMMYFUNCTION("""COMPUTED_VALUE"""),116.2261301111231)</f>
        <v>116.2261301</v>
      </c>
      <c r="AY66" s="95"/>
      <c r="AZ66" s="96"/>
      <c r="BA66" s="97"/>
      <c r="BB66" s="95"/>
      <c r="BC66" s="96"/>
      <c r="BD66" s="97"/>
      <c r="BE66" s="95"/>
      <c r="BF66" s="96"/>
      <c r="BG66" s="97"/>
      <c r="BH66" s="95"/>
      <c r="BI66" s="96"/>
      <c r="BJ66" s="97"/>
      <c r="BK66" s="95"/>
      <c r="BL66" s="96"/>
      <c r="BM66" s="97"/>
      <c r="BN66" s="95"/>
      <c r="BO66" s="96"/>
      <c r="BP66" s="97"/>
      <c r="BQ66" s="95"/>
      <c r="BR66" s="96">
        <f>IFERROR(__xludf.DUMMYFUNCTION("""COMPUTED_VALUE"""),65.13301088270859)</f>
        <v>65.13301088</v>
      </c>
      <c r="BS66" s="97">
        <f>IFERROR(__xludf.DUMMYFUNCTION("""COMPUTED_VALUE"""),63.595041322314046)</f>
        <v>63.59504132</v>
      </c>
      <c r="BT66" s="95">
        <f>IFERROR(__xludf.DUMMYFUNCTION("""COMPUTED_VALUE"""),98.41951397770876)</f>
        <v>98.41951398</v>
      </c>
      <c r="BU66" s="96"/>
      <c r="BV66" s="97"/>
      <c r="BW66" s="95"/>
      <c r="BX66" s="96"/>
      <c r="BY66" s="97"/>
      <c r="BZ66" s="95"/>
      <c r="CA66" s="96"/>
      <c r="CB66" s="97"/>
      <c r="CC66" s="95"/>
      <c r="CD66" s="96"/>
      <c r="CE66" s="97"/>
      <c r="CF66" s="95"/>
      <c r="CG66" s="96"/>
      <c r="CH66" s="96"/>
      <c r="CI66" s="95"/>
      <c r="CJ66" s="96"/>
      <c r="CK66" s="96"/>
      <c r="CL66" s="95">
        <f>IFERROR(__xludf.DUMMYFUNCTION("""COMPUTED_VALUE"""),93.13564450592202)</f>
        <v>93.13564451</v>
      </c>
      <c r="CM66" s="96"/>
      <c r="CN66" s="96"/>
      <c r="CO66" s="95"/>
      <c r="CP66" s="96"/>
      <c r="CQ66" s="96"/>
      <c r="CR66" s="95"/>
      <c r="CS66" s="96"/>
      <c r="CT66" s="96"/>
      <c r="CU66" s="95"/>
      <c r="CV66" s="96"/>
      <c r="CW66" s="97"/>
      <c r="CX66" s="96"/>
      <c r="CY66" s="96"/>
      <c r="CZ66" s="97"/>
      <c r="DA66" s="95"/>
      <c r="DB66" s="96"/>
      <c r="DC66" s="97"/>
      <c r="DD66" s="95"/>
      <c r="DE66" s="96"/>
      <c r="DF66" s="97"/>
      <c r="DG66" s="95"/>
      <c r="DH66" s="96"/>
      <c r="DI66" s="97">
        <f>IFERROR(__xludf.DUMMYFUNCTION("""COMPUTED_VALUE"""),32.5)</f>
        <v>32.5</v>
      </c>
      <c r="DJ66" s="95"/>
      <c r="DK66" s="96">
        <f>IFERROR(__xludf.DUMMYFUNCTION("""COMPUTED_VALUE"""),83.57142857142857)</f>
        <v>83.57142857</v>
      </c>
      <c r="DL66" s="97">
        <f>IFERROR(__xludf.DUMMYFUNCTION("""COMPUTED_VALUE"""),53.18181818181818)</f>
        <v>53.18181818</v>
      </c>
      <c r="DM66" s="95">
        <f>IFERROR(__xludf.DUMMYFUNCTION("""COMPUTED_VALUE"""),146.25)</f>
        <v>146.25</v>
      </c>
      <c r="DN66" s="96"/>
      <c r="DO66" s="97"/>
      <c r="DP66" s="95"/>
      <c r="DQ66" s="96"/>
      <c r="DR66" s="97"/>
      <c r="DS66" s="95"/>
    </row>
    <row r="67">
      <c r="B67" s="120" t="str">
        <f>IFERROR(__xludf.DUMMYFUNCTION("""COMPUTED_VALUE"""),"SEP2")</f>
        <v>SEP2</v>
      </c>
      <c r="C67" s="88" t="str">
        <f>IFERROR(__xludf.DUMMYFUNCTION("""COMPUTED_VALUE"""),"Rome")</f>
        <v>Rome</v>
      </c>
      <c r="D67" s="102">
        <f>IFERROR(__xludf.DUMMYFUNCTION("""COMPUTED_VALUE"""),9.0)</f>
        <v>9</v>
      </c>
      <c r="E67" s="82" t="b">
        <f>IFERROR(__xludf.DUMMYFUNCTION("""COMPUTED_VALUE"""),TRUE)</f>
        <v>1</v>
      </c>
      <c r="F67" s="82" t="str">
        <f>IFERROR(__xludf.DUMMYFUNCTION("""COMPUTED_VALUE"""),"Free Quests- Part 1!A277:J284")</f>
        <v>Free Quests- Part 1!A277:J284</v>
      </c>
      <c r="G67" s="82">
        <f>IFERROR(__xludf.DUMMYFUNCTION("""COMPUTED_VALUE"""),67.0)</f>
        <v>67</v>
      </c>
      <c r="H67" s="82">
        <f>IFERROR(__xludf.DUMMYFUNCTION("""COMPUTED_VALUE"""),1841.0)</f>
        <v>1841</v>
      </c>
      <c r="I67" s="95"/>
      <c r="J67" s="96"/>
      <c r="K67" s="97"/>
      <c r="L67" s="95"/>
      <c r="M67" s="96"/>
      <c r="N67" s="97"/>
      <c r="O67" s="95"/>
      <c r="P67" s="96"/>
      <c r="Q67" s="97"/>
      <c r="R67" s="95"/>
      <c r="S67" s="96"/>
      <c r="T67" s="97"/>
      <c r="U67" s="95"/>
      <c r="V67" s="96"/>
      <c r="W67" s="97"/>
      <c r="X67" s="95"/>
      <c r="Y67" s="96"/>
      <c r="Z67" s="97"/>
      <c r="AA67" s="95"/>
      <c r="AB67" s="96"/>
      <c r="AC67" s="97"/>
      <c r="AD67" s="95"/>
      <c r="AE67" s="96"/>
      <c r="AF67" s="97"/>
      <c r="AG67" s="95"/>
      <c r="AH67" s="96"/>
      <c r="AI67" s="97"/>
      <c r="AJ67" s="95"/>
      <c r="AK67" s="96"/>
      <c r="AL67" s="97"/>
      <c r="AM67" s="95"/>
      <c r="AN67" s="96"/>
      <c r="AO67" s="97"/>
      <c r="AP67" s="95"/>
      <c r="AQ67" s="96"/>
      <c r="AR67" s="97"/>
      <c r="AS67" s="95"/>
      <c r="AT67" s="96"/>
      <c r="AU67" s="97">
        <f>IFERROR(__xludf.DUMMYFUNCTION("""COMPUTED_VALUE"""),39.38286159784748)</f>
        <v>39.3828616</v>
      </c>
      <c r="AV67" s="95"/>
      <c r="AW67" s="96"/>
      <c r="AX67" s="97"/>
      <c r="AY67" s="95"/>
      <c r="AZ67" s="96"/>
      <c r="BA67" s="97"/>
      <c r="BB67" s="95"/>
      <c r="BC67" s="96"/>
      <c r="BD67" s="97"/>
      <c r="BE67" s="95"/>
      <c r="BF67" s="96"/>
      <c r="BG67" s="97"/>
      <c r="BH67" s="95"/>
      <c r="BI67" s="96"/>
      <c r="BJ67" s="97"/>
      <c r="BK67" s="95"/>
      <c r="BL67" s="96"/>
      <c r="BM67" s="97"/>
      <c r="BN67" s="95"/>
      <c r="BO67" s="96"/>
      <c r="BP67" s="97"/>
      <c r="BQ67" s="95"/>
      <c r="BR67" s="96">
        <f>IFERROR(__xludf.DUMMYFUNCTION("""COMPUTED_VALUE"""),36.65205215213842)</f>
        <v>36.65205215</v>
      </c>
      <c r="BS67" s="97"/>
      <c r="BT67" s="95">
        <f>IFERROR(__xludf.DUMMYFUNCTION("""COMPUTED_VALUE"""),85.28456498128982)</f>
        <v>85.28456498</v>
      </c>
      <c r="BU67" s="96"/>
      <c r="BV67" s="97"/>
      <c r="BW67" s="95"/>
      <c r="BX67" s="96"/>
      <c r="BY67" s="97"/>
      <c r="BZ67" s="95"/>
      <c r="CA67" s="96"/>
      <c r="CB67" s="97"/>
      <c r="CC67" s="95"/>
      <c r="CD67" s="96"/>
      <c r="CE67" s="97"/>
      <c r="CF67" s="95"/>
      <c r="CG67" s="96"/>
      <c r="CH67" s="96"/>
      <c r="CI67" s="95"/>
      <c r="CJ67" s="96"/>
      <c r="CK67" s="96"/>
      <c r="CL67" s="95"/>
      <c r="CM67" s="96"/>
      <c r="CN67" s="96"/>
      <c r="CO67" s="95"/>
      <c r="CP67" s="96"/>
      <c r="CQ67" s="96"/>
      <c r="CR67" s="95"/>
      <c r="CS67" s="96"/>
      <c r="CT67" s="96"/>
      <c r="CU67" s="95"/>
      <c r="CV67" s="96"/>
      <c r="CW67" s="97"/>
      <c r="CX67" s="96"/>
      <c r="CY67" s="96"/>
      <c r="CZ67" s="97"/>
      <c r="DA67" s="95"/>
      <c r="DB67" s="96"/>
      <c r="DC67" s="97"/>
      <c r="DD67" s="95"/>
      <c r="DE67" s="96"/>
      <c r="DF67" s="97"/>
      <c r="DG67" s="95"/>
      <c r="DH67" s="96"/>
      <c r="DI67" s="97"/>
      <c r="DJ67" s="95"/>
      <c r="DK67" s="96">
        <f>IFERROR(__xludf.DUMMYFUNCTION("""COMPUTED_VALUE"""),72.0)</f>
        <v>72</v>
      </c>
      <c r="DL67" s="97"/>
      <c r="DM67" s="95">
        <f>IFERROR(__xludf.DUMMYFUNCTION("""COMPUTED_VALUE"""),72.0)</f>
        <v>72</v>
      </c>
      <c r="DN67" s="96"/>
      <c r="DO67" s="97"/>
      <c r="DP67" s="95"/>
      <c r="DQ67" s="96"/>
      <c r="DR67" s="97"/>
      <c r="DS67" s="95"/>
    </row>
    <row r="68">
      <c r="B68" s="120" t="str">
        <f>IFERROR(__xludf.DUMMYFUNCTION("""COMPUTED_VALUE"""),"SEP3")</f>
        <v>SEP3</v>
      </c>
      <c r="C68" s="88" t="str">
        <f>IFERROR(__xludf.DUMMYFUNCTION("""COMPUTED_VALUE"""),"Mt. Etna")</f>
        <v>Mt. Etna</v>
      </c>
      <c r="D68" s="102">
        <f>IFERROR(__xludf.DUMMYFUNCTION("""COMPUTED_VALUE"""),9.0)</f>
        <v>9</v>
      </c>
      <c r="E68" s="82" t="b">
        <f>IFERROR(__xludf.DUMMYFUNCTION("""COMPUTED_VALUE"""),TRUE)</f>
        <v>1</v>
      </c>
      <c r="F68" s="82" t="str">
        <f>IFERROR(__xludf.DUMMYFUNCTION("""COMPUTED_VALUE"""),"Free Quests- Part 1!A288:J293")</f>
        <v>Free Quests- Part 1!A288:J293</v>
      </c>
      <c r="G68" s="82">
        <f>IFERROR(__xludf.DUMMYFUNCTION("""COMPUTED_VALUE"""),68.0)</f>
        <v>68</v>
      </c>
      <c r="H68" s="82">
        <f>IFERROR(__xludf.DUMMYFUNCTION("""COMPUTED_VALUE"""),1499.0)</f>
        <v>1499</v>
      </c>
      <c r="I68" s="95"/>
      <c r="J68" s="96"/>
      <c r="K68" s="97"/>
      <c r="L68" s="95"/>
      <c r="M68" s="96"/>
      <c r="N68" s="97"/>
      <c r="O68" s="95"/>
      <c r="P68" s="96"/>
      <c r="Q68" s="97"/>
      <c r="R68" s="95"/>
      <c r="S68" s="96"/>
      <c r="T68" s="97"/>
      <c r="U68" s="95"/>
      <c r="V68" s="96"/>
      <c r="W68" s="97"/>
      <c r="X68" s="95"/>
      <c r="Y68" s="96"/>
      <c r="Z68" s="97"/>
      <c r="AA68" s="95"/>
      <c r="AB68" s="96">
        <f>IFERROR(__xludf.DUMMYFUNCTION("""COMPUTED_VALUE"""),105.92475110706322)</f>
        <v>105.9247511</v>
      </c>
      <c r="AC68" s="97"/>
      <c r="AD68" s="95"/>
      <c r="AE68" s="96"/>
      <c r="AF68" s="97"/>
      <c r="AG68" s="95"/>
      <c r="AH68" s="96"/>
      <c r="AI68" s="97"/>
      <c r="AJ68" s="95"/>
      <c r="AK68" s="96"/>
      <c r="AL68" s="97"/>
      <c r="AM68" s="95"/>
      <c r="AN68" s="96"/>
      <c r="AO68" s="97"/>
      <c r="AP68" s="95"/>
      <c r="AQ68" s="96"/>
      <c r="AR68" s="97"/>
      <c r="AS68" s="95"/>
      <c r="AT68" s="96"/>
      <c r="AU68" s="97"/>
      <c r="AV68" s="95"/>
      <c r="AW68" s="96"/>
      <c r="AX68" s="97"/>
      <c r="AY68" s="95"/>
      <c r="AZ68" s="96"/>
      <c r="BA68" s="97"/>
      <c r="BB68" s="95"/>
      <c r="BC68" s="96"/>
      <c r="BD68" s="97"/>
      <c r="BE68" s="95"/>
      <c r="BF68" s="96"/>
      <c r="BG68" s="97"/>
      <c r="BH68" s="95"/>
      <c r="BI68" s="96"/>
      <c r="BJ68" s="97"/>
      <c r="BK68" s="95"/>
      <c r="BL68" s="96"/>
      <c r="BM68" s="97"/>
      <c r="BN68" s="95"/>
      <c r="BO68" s="96"/>
      <c r="BP68" s="97"/>
      <c r="BQ68" s="95"/>
      <c r="BR68" s="96"/>
      <c r="BS68" s="97"/>
      <c r="BT68" s="95"/>
      <c r="BU68" s="96"/>
      <c r="BV68" s="97"/>
      <c r="BW68" s="95">
        <f>IFERROR(__xludf.DUMMYFUNCTION("""COMPUTED_VALUE"""),26.43083329467814)</f>
        <v>26.43083329</v>
      </c>
      <c r="BX68" s="96"/>
      <c r="BY68" s="97"/>
      <c r="BZ68" s="95"/>
      <c r="CA68" s="96"/>
      <c r="CB68" s="97"/>
      <c r="CC68" s="95"/>
      <c r="CD68" s="96"/>
      <c r="CE68" s="97"/>
      <c r="CF68" s="95"/>
      <c r="CG68" s="96"/>
      <c r="CH68" s="96"/>
      <c r="CI68" s="95"/>
      <c r="CJ68" s="96"/>
      <c r="CK68" s="96"/>
      <c r="CL68" s="95"/>
      <c r="CM68" s="96"/>
      <c r="CN68" s="96"/>
      <c r="CO68" s="95"/>
      <c r="CP68" s="96"/>
      <c r="CQ68" s="96"/>
      <c r="CR68" s="95"/>
      <c r="CS68" s="96"/>
      <c r="CT68" s="96"/>
      <c r="CU68" s="95"/>
      <c r="CV68" s="96"/>
      <c r="CW68" s="97"/>
      <c r="CX68" s="96"/>
      <c r="CY68" s="96"/>
      <c r="CZ68" s="97"/>
      <c r="DA68" s="95"/>
      <c r="DB68" s="96"/>
      <c r="DC68" s="97"/>
      <c r="DD68" s="95"/>
      <c r="DE68" s="96"/>
      <c r="DF68" s="97"/>
      <c r="DG68" s="95"/>
      <c r="DH68" s="96"/>
      <c r="DI68" s="97"/>
      <c r="DJ68" s="95"/>
      <c r="DK68" s="96"/>
      <c r="DL68" s="97"/>
      <c r="DM68" s="95"/>
      <c r="DN68" s="96"/>
      <c r="DO68" s="97"/>
      <c r="DP68" s="95">
        <f>IFERROR(__xludf.DUMMYFUNCTION("""COMPUTED_VALUE"""),90.0)</f>
        <v>90</v>
      </c>
      <c r="DQ68" s="96"/>
      <c r="DR68" s="97"/>
      <c r="DS68" s="95"/>
    </row>
    <row r="69">
      <c r="B69" s="120" t="str">
        <f>IFERROR(__xludf.DUMMYFUNCTION("""COMPUTED_VALUE"""),"SEP4")</f>
        <v>SEP4</v>
      </c>
      <c r="C69" s="88" t="str">
        <f>IFERROR(__xludf.DUMMYFUNCTION("""COMPUTED_VALUE"""),"Florence")</f>
        <v>Florence</v>
      </c>
      <c r="D69" s="102">
        <f>IFERROR(__xludf.DUMMYFUNCTION("""COMPUTED_VALUE"""),9.0)</f>
        <v>9</v>
      </c>
      <c r="E69" s="82" t="b">
        <f>IFERROR(__xludf.DUMMYFUNCTION("""COMPUTED_VALUE"""),TRUE)</f>
        <v>1</v>
      </c>
      <c r="F69" s="82" t="str">
        <f>IFERROR(__xludf.DUMMYFUNCTION("""COMPUTED_VALUE"""),"Free Quests- Part 1!A297:J306")</f>
        <v>Free Quests- Part 1!A297:J306</v>
      </c>
      <c r="G69" s="82">
        <f>IFERROR(__xludf.DUMMYFUNCTION("""COMPUTED_VALUE"""),69.0)</f>
        <v>69</v>
      </c>
      <c r="H69" s="82">
        <f>IFERROR(__xludf.DUMMYFUNCTION("""COMPUTED_VALUE"""),1187.0)</f>
        <v>1187</v>
      </c>
      <c r="I69" s="95"/>
      <c r="J69" s="96"/>
      <c r="K69" s="97"/>
      <c r="L69" s="95"/>
      <c r="M69" s="96"/>
      <c r="N69" s="97"/>
      <c r="O69" s="95"/>
      <c r="P69" s="96"/>
      <c r="Q69" s="97"/>
      <c r="R69" s="95"/>
      <c r="S69" s="96"/>
      <c r="T69" s="97"/>
      <c r="U69" s="95"/>
      <c r="V69" s="96"/>
      <c r="W69" s="97"/>
      <c r="X69" s="95"/>
      <c r="Y69" s="96"/>
      <c r="Z69" s="97"/>
      <c r="AA69" s="95"/>
      <c r="AB69" s="96"/>
      <c r="AC69" s="97"/>
      <c r="AD69" s="95"/>
      <c r="AE69" s="96"/>
      <c r="AF69" s="97"/>
      <c r="AG69" s="95"/>
      <c r="AH69" s="96"/>
      <c r="AI69" s="97"/>
      <c r="AJ69" s="95"/>
      <c r="AK69" s="96"/>
      <c r="AL69" s="97"/>
      <c r="AM69" s="95"/>
      <c r="AN69" s="96"/>
      <c r="AO69" s="97"/>
      <c r="AP69" s="95"/>
      <c r="AQ69" s="96"/>
      <c r="AR69" s="97"/>
      <c r="AS69" s="95"/>
      <c r="AT69" s="96"/>
      <c r="AU69" s="97">
        <f>IFERROR(__xludf.DUMMYFUNCTION("""COMPUTED_VALUE"""),29.24701862741877)</f>
        <v>29.24701863</v>
      </c>
      <c r="AV69" s="95"/>
      <c r="AW69" s="96"/>
      <c r="AX69" s="97"/>
      <c r="AY69" s="95"/>
      <c r="AZ69" s="96"/>
      <c r="BA69" s="97"/>
      <c r="BB69" s="95"/>
      <c r="BC69" s="96"/>
      <c r="BD69" s="97"/>
      <c r="BE69" s="95"/>
      <c r="BF69" s="96"/>
      <c r="BG69" s="97"/>
      <c r="BH69" s="95"/>
      <c r="BI69" s="96"/>
      <c r="BJ69" s="97"/>
      <c r="BK69" s="95"/>
      <c r="BL69" s="96"/>
      <c r="BM69" s="97"/>
      <c r="BN69" s="95"/>
      <c r="BO69" s="96"/>
      <c r="BP69" s="97"/>
      <c r="BQ69" s="95"/>
      <c r="BR69" s="96">
        <f>IFERROR(__xludf.DUMMYFUNCTION("""COMPUTED_VALUE"""),177.9017485428809)</f>
        <v>177.9017485</v>
      </c>
      <c r="BS69" s="97">
        <f>IFERROR(__xludf.DUMMYFUNCTION("""COMPUTED_VALUE"""),35.07072908904085)</f>
        <v>35.07072909</v>
      </c>
      <c r="BT69" s="95">
        <f>IFERROR(__xludf.DUMMYFUNCTION("""COMPUTED_VALUE"""),89.42517767007358)</f>
        <v>89.42517767</v>
      </c>
      <c r="BU69" s="96"/>
      <c r="BV69" s="97"/>
      <c r="BW69" s="95"/>
      <c r="BX69" s="96"/>
      <c r="BY69" s="97"/>
      <c r="BZ69" s="95"/>
      <c r="CA69" s="96"/>
      <c r="CB69" s="97"/>
      <c r="CC69" s="95"/>
      <c r="CD69" s="96"/>
      <c r="CE69" s="97"/>
      <c r="CF69" s="95"/>
      <c r="CG69" s="96"/>
      <c r="CH69" s="96"/>
      <c r="CI69" s="95"/>
      <c r="CJ69" s="96"/>
      <c r="CK69" s="96"/>
      <c r="CL69" s="95"/>
      <c r="CM69" s="96"/>
      <c r="CN69" s="96"/>
      <c r="CO69" s="95"/>
      <c r="CP69" s="96"/>
      <c r="CQ69" s="96"/>
      <c r="CR69" s="95"/>
      <c r="CS69" s="96"/>
      <c r="CT69" s="96"/>
      <c r="CU69" s="95"/>
      <c r="CV69" s="96"/>
      <c r="CW69" s="97"/>
      <c r="CX69" s="96"/>
      <c r="CY69" s="96"/>
      <c r="CZ69" s="97"/>
      <c r="DA69" s="95"/>
      <c r="DB69" s="96"/>
      <c r="DC69" s="97"/>
      <c r="DD69" s="95"/>
      <c r="DE69" s="96"/>
      <c r="DF69" s="97"/>
      <c r="DG69" s="95"/>
      <c r="DH69" s="96"/>
      <c r="DI69" s="97"/>
      <c r="DJ69" s="95"/>
      <c r="DK69" s="96">
        <f>IFERROR(__xludf.DUMMYFUNCTION("""COMPUTED_VALUE"""),157.5)</f>
        <v>157.5</v>
      </c>
      <c r="DL69" s="97">
        <f>IFERROR(__xludf.DUMMYFUNCTION("""COMPUTED_VALUE"""),26.25)</f>
        <v>26.25</v>
      </c>
      <c r="DM69" s="95">
        <f>IFERROR(__xludf.DUMMYFUNCTION("""COMPUTED_VALUE"""),78.75)</f>
        <v>78.75</v>
      </c>
      <c r="DN69" s="96"/>
      <c r="DO69" s="97"/>
      <c r="DP69" s="95"/>
      <c r="DQ69" s="96"/>
      <c r="DR69" s="97"/>
      <c r="DS69" s="95"/>
    </row>
    <row r="70">
      <c r="B70" s="120" t="str">
        <f>IFERROR(__xludf.DUMMYFUNCTION("""COMPUTED_VALUE"""),"SEP5")</f>
        <v>SEP5</v>
      </c>
      <c r="C70" s="88" t="str">
        <f>IFERROR(__xludf.DUMMYFUNCTION("""COMPUTED_VALUE"""),"Mediolanum")</f>
        <v>Mediolanum</v>
      </c>
      <c r="D70" s="102">
        <f>IFERROR(__xludf.DUMMYFUNCTION("""COMPUTED_VALUE"""),9.0)</f>
        <v>9</v>
      </c>
      <c r="E70" s="82" t="b">
        <f>IFERROR(__xludf.DUMMYFUNCTION("""COMPUTED_VALUE"""),TRUE)</f>
        <v>1</v>
      </c>
      <c r="F70" s="82" t="str">
        <f>IFERROR(__xludf.DUMMYFUNCTION("""COMPUTED_VALUE"""),"Free Quests- Part 1!A310:J317")</f>
        <v>Free Quests- Part 1!A310:J317</v>
      </c>
      <c r="G70" s="82">
        <f>IFERROR(__xludf.DUMMYFUNCTION("""COMPUTED_VALUE"""),70.0)</f>
        <v>70</v>
      </c>
      <c r="H70" s="82">
        <f>IFERROR(__xludf.DUMMYFUNCTION("""COMPUTED_VALUE"""),1138.0)</f>
        <v>1138</v>
      </c>
      <c r="I70" s="95"/>
      <c r="J70" s="96"/>
      <c r="K70" s="97"/>
      <c r="L70" s="95"/>
      <c r="M70" s="96"/>
      <c r="N70" s="97"/>
      <c r="O70" s="95"/>
      <c r="P70" s="96"/>
      <c r="Q70" s="97"/>
      <c r="R70" s="95"/>
      <c r="S70" s="96"/>
      <c r="T70" s="97"/>
      <c r="U70" s="95"/>
      <c r="V70" s="96"/>
      <c r="W70" s="97"/>
      <c r="X70" s="95"/>
      <c r="Y70" s="96"/>
      <c r="Z70" s="97"/>
      <c r="AA70" s="95"/>
      <c r="AB70" s="96"/>
      <c r="AC70" s="97"/>
      <c r="AD70" s="95"/>
      <c r="AE70" s="96"/>
      <c r="AF70" s="97"/>
      <c r="AG70" s="95"/>
      <c r="AH70" s="96"/>
      <c r="AI70" s="97"/>
      <c r="AJ70" s="95"/>
      <c r="AK70" s="96"/>
      <c r="AL70" s="97"/>
      <c r="AM70" s="95"/>
      <c r="AN70" s="96"/>
      <c r="AO70" s="97"/>
      <c r="AP70" s="95"/>
      <c r="AQ70" s="96"/>
      <c r="AR70" s="97"/>
      <c r="AS70" s="95"/>
      <c r="AT70" s="96"/>
      <c r="AU70" s="97">
        <f>IFERROR(__xludf.DUMMYFUNCTION("""COMPUTED_VALUE"""),25.56840334268613)</f>
        <v>25.56840334</v>
      </c>
      <c r="AV70" s="95"/>
      <c r="AW70" s="96"/>
      <c r="AX70" s="97"/>
      <c r="AY70" s="95"/>
      <c r="AZ70" s="96"/>
      <c r="BA70" s="97"/>
      <c r="BB70" s="95"/>
      <c r="BC70" s="96"/>
      <c r="BD70" s="97"/>
      <c r="BE70" s="95"/>
      <c r="BF70" s="96"/>
      <c r="BG70" s="97"/>
      <c r="BH70" s="95"/>
      <c r="BI70" s="96"/>
      <c r="BJ70" s="97"/>
      <c r="BK70" s="95"/>
      <c r="BL70" s="96"/>
      <c r="BM70" s="97"/>
      <c r="BN70" s="95"/>
      <c r="BO70" s="96"/>
      <c r="BP70" s="97"/>
      <c r="BQ70" s="95"/>
      <c r="BR70" s="96">
        <f>IFERROR(__xludf.DUMMYFUNCTION("""COMPUTED_VALUE"""),56.062362350759244)</f>
        <v>56.06236235</v>
      </c>
      <c r="BS70" s="97"/>
      <c r="BT70" s="95">
        <f>IFERROR(__xludf.DUMMYFUNCTION("""COMPUTED_VALUE"""),45.05919463618726)</f>
        <v>45.05919464</v>
      </c>
      <c r="BU70" s="96"/>
      <c r="BV70" s="97"/>
      <c r="BW70" s="95"/>
      <c r="BX70" s="96"/>
      <c r="BY70" s="97"/>
      <c r="BZ70" s="95"/>
      <c r="CA70" s="96"/>
      <c r="CB70" s="97"/>
      <c r="CC70" s="95"/>
      <c r="CD70" s="96"/>
      <c r="CE70" s="97"/>
      <c r="CF70" s="95"/>
      <c r="CG70" s="96"/>
      <c r="CH70" s="96"/>
      <c r="CI70" s="95"/>
      <c r="CJ70" s="96"/>
      <c r="CK70" s="96"/>
      <c r="CL70" s="95"/>
      <c r="CM70" s="96"/>
      <c r="CN70" s="96"/>
      <c r="CO70" s="95"/>
      <c r="CP70" s="96"/>
      <c r="CQ70" s="96"/>
      <c r="CR70" s="95"/>
      <c r="CS70" s="96"/>
      <c r="CT70" s="96"/>
      <c r="CU70" s="95"/>
      <c r="CV70" s="96"/>
      <c r="CW70" s="97"/>
      <c r="CX70" s="96"/>
      <c r="CY70" s="96"/>
      <c r="CZ70" s="97"/>
      <c r="DA70" s="95"/>
      <c r="DB70" s="96"/>
      <c r="DC70" s="97"/>
      <c r="DD70" s="95"/>
      <c r="DE70" s="96"/>
      <c r="DF70" s="97"/>
      <c r="DG70" s="95"/>
      <c r="DH70" s="96"/>
      <c r="DI70" s="97"/>
      <c r="DJ70" s="95"/>
      <c r="DK70" s="96">
        <f>IFERROR(__xludf.DUMMYFUNCTION("""COMPUTED_VALUE"""),63.0)</f>
        <v>63</v>
      </c>
      <c r="DL70" s="97"/>
      <c r="DM70" s="95">
        <f>IFERROR(__xludf.DUMMYFUNCTION("""COMPUTED_VALUE"""),18.0)</f>
        <v>18</v>
      </c>
      <c r="DN70" s="96"/>
      <c r="DO70" s="97"/>
      <c r="DP70" s="95"/>
      <c r="DQ70" s="96"/>
      <c r="DR70" s="97"/>
      <c r="DS70" s="95"/>
    </row>
    <row r="71">
      <c r="B71" s="120" t="str">
        <f>IFERROR(__xludf.DUMMYFUNCTION("""COMPUTED_VALUE"""),"SEP6")</f>
        <v>SEP6</v>
      </c>
      <c r="C71" s="88" t="str">
        <f>IFERROR(__xludf.DUMMYFUNCTION("""COMPUTED_VALUE"""),"Germania")</f>
        <v>Germania</v>
      </c>
      <c r="D71" s="102">
        <f>IFERROR(__xludf.DUMMYFUNCTION("""COMPUTED_VALUE"""),15.0)</f>
        <v>15</v>
      </c>
      <c r="E71" s="82" t="b">
        <f>IFERROR(__xludf.DUMMYFUNCTION("""COMPUTED_VALUE"""),TRUE)</f>
        <v>1</v>
      </c>
      <c r="F71" s="82" t="str">
        <f>IFERROR(__xludf.DUMMYFUNCTION("""COMPUTED_VALUE"""),"Free Quests- Part 1!A321:J334")</f>
        <v>Free Quests- Part 1!A321:J334</v>
      </c>
      <c r="G71" s="82">
        <f>IFERROR(__xludf.DUMMYFUNCTION("""COMPUTED_VALUE"""),71.0)</f>
        <v>71</v>
      </c>
      <c r="H71" s="82">
        <f>IFERROR(__xludf.DUMMYFUNCTION("""COMPUTED_VALUE"""),4301.0)</f>
        <v>4301</v>
      </c>
      <c r="I71" s="95">
        <f>IFERROR(__xludf.DUMMYFUNCTION("""COMPUTED_VALUE"""),436.70886075949363)</f>
        <v>436.7088608</v>
      </c>
      <c r="J71" s="96"/>
      <c r="K71" s="97"/>
      <c r="L71" s="95"/>
      <c r="M71" s="96"/>
      <c r="N71" s="97"/>
      <c r="O71" s="95"/>
      <c r="P71" s="96"/>
      <c r="Q71" s="97"/>
      <c r="R71" s="95"/>
      <c r="S71" s="96"/>
      <c r="T71" s="97"/>
      <c r="U71" s="95"/>
      <c r="V71" s="96"/>
      <c r="W71" s="97"/>
      <c r="X71" s="95"/>
      <c r="Y71" s="96"/>
      <c r="Z71" s="97"/>
      <c r="AA71" s="95"/>
      <c r="AB71" s="96"/>
      <c r="AC71" s="97"/>
      <c r="AD71" s="95"/>
      <c r="AE71" s="96"/>
      <c r="AF71" s="97"/>
      <c r="AG71" s="95"/>
      <c r="AH71" s="96"/>
      <c r="AI71" s="97"/>
      <c r="AJ71" s="95"/>
      <c r="AK71" s="96"/>
      <c r="AL71" s="97"/>
      <c r="AM71" s="95"/>
      <c r="AN71" s="96"/>
      <c r="AO71" s="97"/>
      <c r="AP71" s="95"/>
      <c r="AQ71" s="96"/>
      <c r="AR71" s="97"/>
      <c r="AS71" s="95"/>
      <c r="AT71" s="96"/>
      <c r="AU71" s="97"/>
      <c r="AV71" s="95">
        <f>IFERROR(__xludf.DUMMYFUNCTION("""COMPUTED_VALUE"""),31.507080119259538)</f>
        <v>31.50708012</v>
      </c>
      <c r="AW71" s="96"/>
      <c r="AX71" s="97"/>
      <c r="AY71" s="95"/>
      <c r="AZ71" s="96"/>
      <c r="BA71" s="97"/>
      <c r="BB71" s="95"/>
      <c r="BC71" s="96"/>
      <c r="BD71" s="97"/>
      <c r="BE71" s="95"/>
      <c r="BF71" s="96"/>
      <c r="BG71" s="97"/>
      <c r="BH71" s="95"/>
      <c r="BI71" s="96"/>
      <c r="BJ71" s="97"/>
      <c r="BK71" s="95"/>
      <c r="BL71" s="96"/>
      <c r="BM71" s="97"/>
      <c r="BN71" s="95"/>
      <c r="BO71" s="96"/>
      <c r="BP71" s="97"/>
      <c r="BQ71" s="95">
        <f>IFERROR(__xludf.DUMMYFUNCTION("""COMPUTED_VALUE"""),187.9221804390822)</f>
        <v>187.9221804</v>
      </c>
      <c r="BR71" s="96">
        <f>IFERROR(__xludf.DUMMYFUNCTION("""COMPUTED_VALUE"""),94.7881573205725)</f>
        <v>94.78815732</v>
      </c>
      <c r="BS71" s="97">
        <f>IFERROR(__xludf.DUMMYFUNCTION("""COMPUTED_VALUE"""),299.2916092577902)</f>
        <v>299.2916093</v>
      </c>
      <c r="BT71" s="95">
        <f>IFERROR(__xludf.DUMMYFUNCTION("""COMPUTED_VALUE"""),146.25935162094763)</f>
        <v>146.2593516</v>
      </c>
      <c r="BU71" s="96"/>
      <c r="BV71" s="97"/>
      <c r="BW71" s="95"/>
      <c r="BX71" s="96"/>
      <c r="BY71" s="97"/>
      <c r="BZ71" s="95"/>
      <c r="CA71" s="96"/>
      <c r="CB71" s="97"/>
      <c r="CC71" s="95"/>
      <c r="CD71" s="96"/>
      <c r="CE71" s="97"/>
      <c r="CF71" s="95"/>
      <c r="CG71" s="96"/>
      <c r="CH71" s="96"/>
      <c r="CI71" s="95"/>
      <c r="CJ71" s="96"/>
      <c r="CK71" s="96"/>
      <c r="CL71" s="95"/>
      <c r="CM71" s="96"/>
      <c r="CN71" s="96"/>
      <c r="CO71" s="95"/>
      <c r="CP71" s="96"/>
      <c r="CQ71" s="96"/>
      <c r="CR71" s="95"/>
      <c r="CS71" s="96"/>
      <c r="CT71" s="96"/>
      <c r="CU71" s="95"/>
      <c r="CV71" s="96"/>
      <c r="CW71" s="97"/>
      <c r="CX71" s="96"/>
      <c r="CY71" s="96"/>
      <c r="CZ71" s="97"/>
      <c r="DA71" s="95">
        <f>IFERROR(__xludf.DUMMYFUNCTION("""COMPUTED_VALUE"""),742.4999999999999)</f>
        <v>742.5</v>
      </c>
      <c r="DB71" s="96"/>
      <c r="DC71" s="97"/>
      <c r="DD71" s="95"/>
      <c r="DE71" s="96"/>
      <c r="DF71" s="97"/>
      <c r="DG71" s="95"/>
      <c r="DH71" s="96"/>
      <c r="DI71" s="97"/>
      <c r="DJ71" s="95"/>
      <c r="DK71" s="96">
        <f>IFERROR(__xludf.DUMMYFUNCTION("""COMPUTED_VALUE"""),123.75)</f>
        <v>123.75</v>
      </c>
      <c r="DL71" s="97">
        <f>IFERROR(__xludf.DUMMYFUNCTION("""COMPUTED_VALUE"""),247.5)</f>
        <v>247.5</v>
      </c>
      <c r="DM71" s="95">
        <f>IFERROR(__xludf.DUMMYFUNCTION("""COMPUTED_VALUE"""),148.5)</f>
        <v>148.5</v>
      </c>
      <c r="DN71" s="96"/>
      <c r="DO71" s="97"/>
      <c r="DP71" s="95"/>
      <c r="DQ71" s="96"/>
      <c r="DR71" s="97"/>
      <c r="DS71" s="95"/>
    </row>
    <row r="72">
      <c r="B72" s="120" t="str">
        <f>IFERROR(__xludf.DUMMYFUNCTION("""COMPUTED_VALUE"""),"SEP7")</f>
        <v>SEP7</v>
      </c>
      <c r="C72" s="88" t="str">
        <f>IFERROR(__xludf.DUMMYFUNCTION("""COMPUTED_VALUE"""),"Massilia")</f>
        <v>Massilia</v>
      </c>
      <c r="D72" s="102">
        <f>IFERROR(__xludf.DUMMYFUNCTION("""COMPUTED_VALUE"""),9.0)</f>
        <v>9</v>
      </c>
      <c r="E72" s="82" t="b">
        <f>IFERROR(__xludf.DUMMYFUNCTION("""COMPUTED_VALUE"""),TRUE)</f>
        <v>1</v>
      </c>
      <c r="F72" s="82" t="str">
        <f>IFERROR(__xludf.DUMMYFUNCTION("""COMPUTED_VALUE"""),"Free Quests- Part 1!A338:J350")</f>
        <v>Free Quests- Part 1!A338:J350</v>
      </c>
      <c r="G72" s="82">
        <f>IFERROR(__xludf.DUMMYFUNCTION("""COMPUTED_VALUE"""),72.0)</f>
        <v>72</v>
      </c>
      <c r="H72" s="82">
        <f>IFERROR(__xludf.DUMMYFUNCTION("""COMPUTED_VALUE"""),1357.0)</f>
        <v>1357</v>
      </c>
      <c r="I72" s="95"/>
      <c r="J72" s="96"/>
      <c r="K72" s="97"/>
      <c r="L72" s="95"/>
      <c r="M72" s="96"/>
      <c r="N72" s="97"/>
      <c r="O72" s="95"/>
      <c r="P72" s="96"/>
      <c r="Q72" s="97"/>
      <c r="R72" s="95"/>
      <c r="S72" s="96"/>
      <c r="T72" s="97"/>
      <c r="U72" s="95"/>
      <c r="V72" s="96"/>
      <c r="W72" s="97"/>
      <c r="X72" s="95"/>
      <c r="Y72" s="96"/>
      <c r="Z72" s="97"/>
      <c r="AA72" s="95"/>
      <c r="AB72" s="96"/>
      <c r="AC72" s="97"/>
      <c r="AD72" s="95"/>
      <c r="AE72" s="96"/>
      <c r="AF72" s="97"/>
      <c r="AG72" s="95"/>
      <c r="AH72" s="96"/>
      <c r="AI72" s="97"/>
      <c r="AJ72" s="95"/>
      <c r="AK72" s="96"/>
      <c r="AL72" s="97"/>
      <c r="AM72" s="95"/>
      <c r="AN72" s="96"/>
      <c r="AO72" s="97"/>
      <c r="AP72" s="95"/>
      <c r="AQ72" s="96"/>
      <c r="AR72" s="97"/>
      <c r="AS72" s="95"/>
      <c r="AT72" s="96"/>
      <c r="AU72" s="97">
        <f>IFERROR(__xludf.DUMMYFUNCTION("""COMPUTED_VALUE"""),66.18687101336961)</f>
        <v>66.18687101</v>
      </c>
      <c r="AV72" s="95"/>
      <c r="AW72" s="96"/>
      <c r="AX72" s="97">
        <f>IFERROR(__xludf.DUMMYFUNCTION("""COMPUTED_VALUE"""),54.330950357891176)</f>
        <v>54.33095036</v>
      </c>
      <c r="AY72" s="95"/>
      <c r="AZ72" s="96"/>
      <c r="BA72" s="97"/>
      <c r="BB72" s="95"/>
      <c r="BC72" s="96"/>
      <c r="BD72" s="97"/>
      <c r="BE72" s="95"/>
      <c r="BF72" s="96"/>
      <c r="BG72" s="97"/>
      <c r="BH72" s="95"/>
      <c r="BI72" s="96"/>
      <c r="BJ72" s="97"/>
      <c r="BK72" s="95"/>
      <c r="BL72" s="96"/>
      <c r="BM72" s="97"/>
      <c r="BN72" s="95"/>
      <c r="BO72" s="96"/>
      <c r="BP72" s="97"/>
      <c r="BQ72" s="95"/>
      <c r="BR72" s="96">
        <f>IFERROR(__xludf.DUMMYFUNCTION("""COMPUTED_VALUE"""),86.79430325771789)</f>
        <v>86.79430326</v>
      </c>
      <c r="BS72" s="97"/>
      <c r="BT72" s="95">
        <f>IFERROR(__xludf.DUMMYFUNCTION("""COMPUTED_VALUE"""),101.31149988801232)</f>
        <v>101.3114999</v>
      </c>
      <c r="BU72" s="96"/>
      <c r="BV72" s="97"/>
      <c r="BW72" s="95"/>
      <c r="BX72" s="96"/>
      <c r="BY72" s="97"/>
      <c r="BZ72" s="95"/>
      <c r="CA72" s="96"/>
      <c r="CB72" s="97"/>
      <c r="CC72" s="95"/>
      <c r="CD72" s="96"/>
      <c r="CE72" s="97"/>
      <c r="CF72" s="95"/>
      <c r="CG72" s="96"/>
      <c r="CH72" s="96"/>
      <c r="CI72" s="95">
        <f>IFERROR(__xludf.DUMMYFUNCTION("""COMPUTED_VALUE"""),85.1044555628336)</f>
        <v>85.10445556</v>
      </c>
      <c r="CJ72" s="96"/>
      <c r="CK72" s="96"/>
      <c r="CL72" s="95">
        <f>IFERROR(__xludf.DUMMYFUNCTION("""COMPUTED_VALUE"""),89.46859478704233)</f>
        <v>89.46859479</v>
      </c>
      <c r="CM72" s="96"/>
      <c r="CN72" s="96"/>
      <c r="CO72" s="95"/>
      <c r="CP72" s="96"/>
      <c r="CQ72" s="96"/>
      <c r="CR72" s="95"/>
      <c r="CS72" s="96"/>
      <c r="CT72" s="96"/>
      <c r="CU72" s="95"/>
      <c r="CV72" s="96"/>
      <c r="CW72" s="97"/>
      <c r="CX72" s="96"/>
      <c r="CY72" s="96"/>
      <c r="CZ72" s="97"/>
      <c r="DA72" s="95"/>
      <c r="DB72" s="96"/>
      <c r="DC72" s="97"/>
      <c r="DD72" s="95"/>
      <c r="DE72" s="96"/>
      <c r="DF72" s="97">
        <f>IFERROR(__xludf.DUMMYFUNCTION("""COMPUTED_VALUE"""),69.0)</f>
        <v>69</v>
      </c>
      <c r="DG72" s="95"/>
      <c r="DH72" s="96"/>
      <c r="DI72" s="97">
        <f>IFERROR(__xludf.DUMMYFUNCTION("""COMPUTED_VALUE"""),41.4)</f>
        <v>41.4</v>
      </c>
      <c r="DJ72" s="95"/>
      <c r="DK72" s="96">
        <f>IFERROR(__xludf.DUMMYFUNCTION("""COMPUTED_VALUE"""),207.0)</f>
        <v>207</v>
      </c>
      <c r="DL72" s="97"/>
      <c r="DM72" s="95">
        <f>IFERROR(__xludf.DUMMYFUNCTION("""COMPUTED_VALUE"""),207.0)</f>
        <v>207</v>
      </c>
      <c r="DN72" s="96"/>
      <c r="DO72" s="97"/>
      <c r="DP72" s="95"/>
      <c r="DQ72" s="96"/>
      <c r="DR72" s="97"/>
      <c r="DS72" s="95"/>
    </row>
    <row r="73">
      <c r="B73" s="120" t="str">
        <f>IFERROR(__xludf.DUMMYFUNCTION("""COMPUTED_VALUE"""),"SEP8")</f>
        <v>SEP8</v>
      </c>
      <c r="C73" s="88" t="str">
        <f>IFERROR(__xludf.DUMMYFUNCTION("""COMPUTED_VALUE"""),"Gaul")</f>
        <v>Gaul</v>
      </c>
      <c r="D73" s="102">
        <f>IFERROR(__xludf.DUMMYFUNCTION("""COMPUTED_VALUE"""),9.0)</f>
        <v>9</v>
      </c>
      <c r="E73" s="82" t="b">
        <f>IFERROR(__xludf.DUMMYFUNCTION("""COMPUTED_VALUE"""),TRUE)</f>
        <v>1</v>
      </c>
      <c r="F73" s="82" t="str">
        <f>IFERROR(__xludf.DUMMYFUNCTION("""COMPUTED_VALUE"""),"Free Quests- Part 1!A354:J368")</f>
        <v>Free Quests- Part 1!A354:J368</v>
      </c>
      <c r="G73" s="82">
        <f>IFERROR(__xludf.DUMMYFUNCTION("""COMPUTED_VALUE"""),73.0)</f>
        <v>73</v>
      </c>
      <c r="H73" s="82">
        <f>IFERROR(__xludf.DUMMYFUNCTION("""COMPUTED_VALUE"""),2916.0)</f>
        <v>2916</v>
      </c>
      <c r="I73" s="95"/>
      <c r="J73" s="96"/>
      <c r="K73" s="97"/>
      <c r="L73" s="95"/>
      <c r="M73" s="96"/>
      <c r="N73" s="97"/>
      <c r="O73" s="95"/>
      <c r="P73" s="96"/>
      <c r="Q73" s="97"/>
      <c r="R73" s="95"/>
      <c r="S73" s="96"/>
      <c r="T73" s="97"/>
      <c r="U73" s="95"/>
      <c r="V73" s="96"/>
      <c r="W73" s="97"/>
      <c r="X73" s="95"/>
      <c r="Y73" s="96"/>
      <c r="Z73" s="97"/>
      <c r="AA73" s="95"/>
      <c r="AB73" s="96"/>
      <c r="AC73" s="97">
        <f>IFERROR(__xludf.DUMMYFUNCTION("""COMPUTED_VALUE"""),171.03753910323252)</f>
        <v>171.0375391</v>
      </c>
      <c r="AD73" s="95"/>
      <c r="AE73" s="96"/>
      <c r="AF73" s="97"/>
      <c r="AG73" s="95"/>
      <c r="AH73" s="96"/>
      <c r="AI73" s="97"/>
      <c r="AJ73" s="95"/>
      <c r="AK73" s="96"/>
      <c r="AL73" s="97"/>
      <c r="AM73" s="95"/>
      <c r="AN73" s="96"/>
      <c r="AO73" s="97"/>
      <c r="AP73" s="95"/>
      <c r="AQ73" s="96"/>
      <c r="AR73" s="97"/>
      <c r="AS73" s="95"/>
      <c r="AT73" s="96"/>
      <c r="AU73" s="97">
        <f>IFERROR(__xludf.DUMMYFUNCTION("""COMPUTED_VALUE"""),59.12941600576785)</f>
        <v>59.12941601</v>
      </c>
      <c r="AV73" s="95"/>
      <c r="AW73" s="96"/>
      <c r="AX73" s="97">
        <f>IFERROR(__xludf.DUMMYFUNCTION("""COMPUTED_VALUE"""),116.8269230769231)</f>
        <v>116.8269231</v>
      </c>
      <c r="AY73" s="95"/>
      <c r="AZ73" s="96"/>
      <c r="BA73" s="97"/>
      <c r="BB73" s="95"/>
      <c r="BC73" s="96"/>
      <c r="BD73" s="97"/>
      <c r="BE73" s="95"/>
      <c r="BF73" s="96"/>
      <c r="BG73" s="97"/>
      <c r="BH73" s="95"/>
      <c r="BI73" s="96"/>
      <c r="BJ73" s="97"/>
      <c r="BK73" s="95"/>
      <c r="BL73" s="96"/>
      <c r="BM73" s="97"/>
      <c r="BN73" s="95"/>
      <c r="BO73" s="96"/>
      <c r="BP73" s="97"/>
      <c r="BQ73" s="95"/>
      <c r="BR73" s="96"/>
      <c r="BS73" s="97">
        <f>IFERROR(__xludf.DUMMYFUNCTION("""COMPUTED_VALUE"""),98.0864105247421)</f>
        <v>98.08641052</v>
      </c>
      <c r="BT73" s="95">
        <f>IFERROR(__xludf.DUMMYFUNCTION("""COMPUTED_VALUE"""),62.55720823798627)</f>
        <v>62.55720824</v>
      </c>
      <c r="BU73" s="96"/>
      <c r="BV73" s="97"/>
      <c r="BW73" s="95"/>
      <c r="BX73" s="96">
        <f>IFERROR(__xludf.DUMMYFUNCTION("""COMPUTED_VALUE"""),56.77570093457945)</f>
        <v>56.77570093</v>
      </c>
      <c r="BY73" s="97"/>
      <c r="BZ73" s="95"/>
      <c r="CA73" s="96"/>
      <c r="CB73" s="97"/>
      <c r="CC73" s="95"/>
      <c r="CD73" s="96"/>
      <c r="CE73" s="97"/>
      <c r="CF73" s="95">
        <f>IFERROR(__xludf.DUMMYFUNCTION("""COMPUTED_VALUE"""),88.99891481280521)</f>
        <v>88.99891481</v>
      </c>
      <c r="CG73" s="96"/>
      <c r="CH73" s="96"/>
      <c r="CI73" s="95"/>
      <c r="CJ73" s="96"/>
      <c r="CK73" s="96"/>
      <c r="CL73" s="95"/>
      <c r="CM73" s="96"/>
      <c r="CN73" s="96"/>
      <c r="CO73" s="95"/>
      <c r="CP73" s="96"/>
      <c r="CQ73" s="96"/>
      <c r="CR73" s="95"/>
      <c r="CS73" s="96"/>
      <c r="CT73" s="96"/>
      <c r="CU73" s="95"/>
      <c r="CV73" s="96"/>
      <c r="CW73" s="97"/>
      <c r="CX73" s="96"/>
      <c r="CY73" s="96"/>
      <c r="CZ73" s="97"/>
      <c r="DA73" s="95"/>
      <c r="DB73" s="96"/>
      <c r="DC73" s="97">
        <f>IFERROR(__xludf.DUMMYFUNCTION("""COMPUTED_VALUE"""),61.199999999999996)</f>
        <v>61.2</v>
      </c>
      <c r="DD73" s="95"/>
      <c r="DE73" s="96"/>
      <c r="DF73" s="97"/>
      <c r="DG73" s="95"/>
      <c r="DH73" s="96"/>
      <c r="DI73" s="97"/>
      <c r="DJ73" s="95"/>
      <c r="DK73" s="96"/>
      <c r="DL73" s="97">
        <f>IFERROR(__xludf.DUMMYFUNCTION("""COMPUTED_VALUE"""),43.714285714285715)</f>
        <v>43.71428571</v>
      </c>
      <c r="DM73" s="95">
        <f>IFERROR(__xludf.DUMMYFUNCTION("""COMPUTED_VALUE"""),43.714285714285715)</f>
        <v>43.71428571</v>
      </c>
      <c r="DN73" s="96"/>
      <c r="DO73" s="97"/>
      <c r="DP73" s="95"/>
      <c r="DQ73" s="96">
        <f>IFERROR(__xludf.DUMMYFUNCTION("""COMPUTED_VALUE"""),76.5)</f>
        <v>76.5</v>
      </c>
      <c r="DR73" s="97"/>
      <c r="DS73" s="95"/>
    </row>
    <row r="74">
      <c r="B74" s="120" t="str">
        <f>IFERROR(__xludf.DUMMYFUNCTION("""COMPUTED_VALUE"""),"SEP9")</f>
        <v>SEP9</v>
      </c>
      <c r="C74" s="88" t="str">
        <f>IFERROR(__xludf.DUMMYFUNCTION("""COMPUTED_VALUE"""),"Britannia")</f>
        <v>Britannia</v>
      </c>
      <c r="D74" s="102">
        <f>IFERROR(__xludf.DUMMYFUNCTION("""COMPUTED_VALUE"""),10.0)</f>
        <v>10</v>
      </c>
      <c r="E74" s="82" t="b">
        <f>IFERROR(__xludf.DUMMYFUNCTION("""COMPUTED_VALUE"""),TRUE)</f>
        <v>1</v>
      </c>
      <c r="F74" s="82" t="str">
        <f>IFERROR(__xludf.DUMMYFUNCTION("""COMPUTED_VALUE"""),"Free Quests- Part 1!A372:J381")</f>
        <v>Free Quests- Part 1!A372:J381</v>
      </c>
      <c r="G74" s="82">
        <f>IFERROR(__xludf.DUMMYFUNCTION("""COMPUTED_VALUE"""),74.0)</f>
        <v>74</v>
      </c>
      <c r="H74" s="82">
        <f>IFERROR(__xludf.DUMMYFUNCTION("""COMPUTED_VALUE"""),1252.0)</f>
        <v>1252</v>
      </c>
      <c r="I74" s="95"/>
      <c r="J74" s="96"/>
      <c r="K74" s="97"/>
      <c r="L74" s="95"/>
      <c r="M74" s="96"/>
      <c r="N74" s="97"/>
      <c r="O74" s="95"/>
      <c r="P74" s="96"/>
      <c r="Q74" s="97"/>
      <c r="R74" s="95"/>
      <c r="S74" s="96"/>
      <c r="T74" s="97"/>
      <c r="U74" s="95"/>
      <c r="V74" s="96"/>
      <c r="W74" s="97"/>
      <c r="X74" s="95"/>
      <c r="Y74" s="96"/>
      <c r="Z74" s="97"/>
      <c r="AA74" s="95">
        <f>IFERROR(__xludf.DUMMYFUNCTION("""COMPUTED_VALUE"""),87.06839598038874)</f>
        <v>87.06839598</v>
      </c>
      <c r="AB74" s="96"/>
      <c r="AC74" s="97"/>
      <c r="AD74" s="95"/>
      <c r="AE74" s="96"/>
      <c r="AF74" s="97"/>
      <c r="AG74" s="95"/>
      <c r="AH74" s="96"/>
      <c r="AI74" s="97"/>
      <c r="AJ74" s="95"/>
      <c r="AK74" s="96"/>
      <c r="AL74" s="97"/>
      <c r="AM74" s="95"/>
      <c r="AN74" s="96"/>
      <c r="AO74" s="97"/>
      <c r="AP74" s="95"/>
      <c r="AQ74" s="96"/>
      <c r="AR74" s="97"/>
      <c r="AS74" s="95"/>
      <c r="AT74" s="96"/>
      <c r="AU74" s="97"/>
      <c r="AV74" s="95"/>
      <c r="AW74" s="96"/>
      <c r="AX74" s="97"/>
      <c r="AY74" s="95"/>
      <c r="AZ74" s="96"/>
      <c r="BA74" s="97"/>
      <c r="BB74" s="95"/>
      <c r="BC74" s="96"/>
      <c r="BD74" s="97"/>
      <c r="BE74" s="95"/>
      <c r="BF74" s="96"/>
      <c r="BG74" s="97"/>
      <c r="BH74" s="95"/>
      <c r="BI74" s="96"/>
      <c r="BJ74" s="97"/>
      <c r="BK74" s="95"/>
      <c r="BL74" s="96"/>
      <c r="BM74" s="97"/>
      <c r="BN74" s="95"/>
      <c r="BO74" s="96"/>
      <c r="BP74" s="97"/>
      <c r="BQ74" s="95"/>
      <c r="BR74" s="96">
        <f>IFERROR(__xludf.DUMMYFUNCTION("""COMPUTED_VALUE"""),39.61774571229669)</f>
        <v>39.61774571</v>
      </c>
      <c r="BS74" s="97"/>
      <c r="BT74" s="95">
        <f>IFERROR(__xludf.DUMMYFUNCTION("""COMPUTED_VALUE"""),39.46912140222565)</f>
        <v>39.4691214</v>
      </c>
      <c r="BU74" s="96"/>
      <c r="BV74" s="97"/>
      <c r="BW74" s="95">
        <f>IFERROR(__xludf.DUMMYFUNCTION("""COMPUTED_VALUE"""),61.07168117850784)</f>
        <v>61.07168118</v>
      </c>
      <c r="BX74" s="96"/>
      <c r="BY74" s="97"/>
      <c r="BZ74" s="95"/>
      <c r="CA74" s="96"/>
      <c r="CB74" s="97"/>
      <c r="CC74" s="95"/>
      <c r="CD74" s="96"/>
      <c r="CE74" s="97"/>
      <c r="CF74" s="95"/>
      <c r="CG74" s="96"/>
      <c r="CH74" s="96"/>
      <c r="CI74" s="95"/>
      <c r="CJ74" s="96"/>
      <c r="CK74" s="96"/>
      <c r="CL74" s="95"/>
      <c r="CM74" s="96"/>
      <c r="CN74" s="96"/>
      <c r="CO74" s="95"/>
      <c r="CP74" s="96"/>
      <c r="CQ74" s="96"/>
      <c r="CR74" s="95"/>
      <c r="CS74" s="96"/>
      <c r="CT74" s="96"/>
      <c r="CU74" s="95"/>
      <c r="CV74" s="96"/>
      <c r="CW74" s="97"/>
      <c r="CX74" s="96"/>
      <c r="CY74" s="96"/>
      <c r="CZ74" s="97"/>
      <c r="DA74" s="95"/>
      <c r="DB74" s="96"/>
      <c r="DC74" s="97"/>
      <c r="DD74" s="95"/>
      <c r="DE74" s="96"/>
      <c r="DF74" s="97"/>
      <c r="DG74" s="95"/>
      <c r="DH74" s="96"/>
      <c r="DI74" s="97"/>
      <c r="DJ74" s="95"/>
      <c r="DK74" s="96">
        <f>IFERROR(__xludf.DUMMYFUNCTION("""COMPUTED_VALUE"""),85.0)</f>
        <v>85</v>
      </c>
      <c r="DL74" s="97"/>
      <c r="DM74" s="95">
        <f>IFERROR(__xludf.DUMMYFUNCTION("""COMPUTED_VALUE"""),42.5)</f>
        <v>42.5</v>
      </c>
      <c r="DN74" s="96"/>
      <c r="DO74" s="97"/>
      <c r="DP74" s="95">
        <f>IFERROR(__xludf.DUMMYFUNCTION("""COMPUTED_VALUE"""),85.0)</f>
        <v>85</v>
      </c>
      <c r="DQ74" s="96"/>
      <c r="DR74" s="97"/>
      <c r="DS74" s="95"/>
    </row>
    <row r="75">
      <c r="B75" s="120" t="str">
        <f>IFERROR(__xludf.DUMMYFUNCTION("""COMPUTED_VALUE"""),"SEP10")</f>
        <v>SEP10</v>
      </c>
      <c r="C75" s="88" t="str">
        <f>IFERROR(__xludf.DUMMYFUNCTION("""COMPUTED_VALUE"""),"Shaped Isle")</f>
        <v>Shaped Isle</v>
      </c>
      <c r="D75" s="102">
        <f>IFERROR(__xludf.DUMMYFUNCTION("""COMPUTED_VALUE"""),9.0)</f>
        <v>9</v>
      </c>
      <c r="E75" s="82" t="b">
        <f>IFERROR(__xludf.DUMMYFUNCTION("""COMPUTED_VALUE"""),TRUE)</f>
        <v>1</v>
      </c>
      <c r="F75" s="82" t="str">
        <f>IFERROR(__xludf.DUMMYFUNCTION("""COMPUTED_VALUE"""),"Free Quests- Part 1!A385:J395")</f>
        <v>Free Quests- Part 1!A385:J395</v>
      </c>
      <c r="G75" s="82">
        <f>IFERROR(__xludf.DUMMYFUNCTION("""COMPUTED_VALUE"""),75.0)</f>
        <v>75</v>
      </c>
      <c r="H75" s="82">
        <f>IFERROR(__xludf.DUMMYFUNCTION("""COMPUTED_VALUE"""),1170.0)</f>
        <v>1170</v>
      </c>
      <c r="I75" s="95"/>
      <c r="J75" s="96"/>
      <c r="K75" s="97"/>
      <c r="L75" s="95"/>
      <c r="M75" s="96"/>
      <c r="N75" s="97"/>
      <c r="O75" s="95"/>
      <c r="P75" s="96"/>
      <c r="Q75" s="97"/>
      <c r="R75" s="95"/>
      <c r="S75" s="96"/>
      <c r="T75" s="97"/>
      <c r="U75" s="95"/>
      <c r="V75" s="96"/>
      <c r="W75" s="97"/>
      <c r="X75" s="95"/>
      <c r="Y75" s="96"/>
      <c r="Z75" s="97"/>
      <c r="AA75" s="95"/>
      <c r="AB75" s="96"/>
      <c r="AC75" s="97"/>
      <c r="AD75" s="95"/>
      <c r="AE75" s="96"/>
      <c r="AF75" s="97"/>
      <c r="AG75" s="95"/>
      <c r="AH75" s="96"/>
      <c r="AI75" s="97"/>
      <c r="AJ75" s="95"/>
      <c r="AK75" s="96"/>
      <c r="AL75" s="97"/>
      <c r="AM75" s="95"/>
      <c r="AN75" s="96"/>
      <c r="AO75" s="97"/>
      <c r="AP75" s="95"/>
      <c r="AQ75" s="96"/>
      <c r="AR75" s="97"/>
      <c r="AS75" s="95"/>
      <c r="AT75" s="96"/>
      <c r="AU75" s="97"/>
      <c r="AV75" s="95">
        <f>IFERROR(__xludf.DUMMYFUNCTION("""COMPUTED_VALUE"""),48.27307985000047)</f>
        <v>48.27307985</v>
      </c>
      <c r="AW75" s="96"/>
      <c r="AX75" s="97">
        <f>IFERROR(__xludf.DUMMYFUNCTION("""COMPUTED_VALUE"""),107.99556941253692)</f>
        <v>107.9955694</v>
      </c>
      <c r="AY75" s="95"/>
      <c r="AZ75" s="96"/>
      <c r="BA75" s="97"/>
      <c r="BB75" s="95"/>
      <c r="BC75" s="96"/>
      <c r="BD75" s="97"/>
      <c r="BE75" s="95"/>
      <c r="BF75" s="96"/>
      <c r="BG75" s="97"/>
      <c r="BH75" s="95"/>
      <c r="BI75" s="96"/>
      <c r="BJ75" s="97"/>
      <c r="BK75" s="95"/>
      <c r="BL75" s="96"/>
      <c r="BM75" s="97"/>
      <c r="BN75" s="95"/>
      <c r="BO75" s="96"/>
      <c r="BP75" s="97"/>
      <c r="BQ75" s="95"/>
      <c r="BR75" s="96"/>
      <c r="BS75" s="97">
        <f>IFERROR(__xludf.DUMMYFUNCTION("""COMPUTED_VALUE"""),36.63526170032147)</f>
        <v>36.6352617</v>
      </c>
      <c r="BT75" s="95">
        <f>IFERROR(__xludf.DUMMYFUNCTION("""COMPUTED_VALUE"""),174.54002983590252)</f>
        <v>174.5400298</v>
      </c>
      <c r="BU75" s="96"/>
      <c r="BV75" s="97"/>
      <c r="BW75" s="95"/>
      <c r="BX75" s="96"/>
      <c r="BY75" s="97"/>
      <c r="BZ75" s="95"/>
      <c r="CA75" s="96"/>
      <c r="CB75" s="97"/>
      <c r="CC75" s="95"/>
      <c r="CD75" s="96"/>
      <c r="CE75" s="97"/>
      <c r="CF75" s="95"/>
      <c r="CG75" s="96"/>
      <c r="CH75" s="96"/>
      <c r="CI75" s="95"/>
      <c r="CJ75" s="96"/>
      <c r="CK75" s="96"/>
      <c r="CL75" s="95">
        <f>IFERROR(__xludf.DUMMYFUNCTION("""COMPUTED_VALUE"""),92.71324927801649)</f>
        <v>92.71324928</v>
      </c>
      <c r="CM75" s="96"/>
      <c r="CN75" s="96"/>
      <c r="CO75" s="95"/>
      <c r="CP75" s="96"/>
      <c r="CQ75" s="96"/>
      <c r="CR75" s="95"/>
      <c r="CS75" s="96"/>
      <c r="CT75" s="96"/>
      <c r="CU75" s="95"/>
      <c r="CV75" s="96"/>
      <c r="CW75" s="97"/>
      <c r="CX75" s="96"/>
      <c r="CY75" s="96"/>
      <c r="CZ75" s="97"/>
      <c r="DA75" s="95"/>
      <c r="DB75" s="96"/>
      <c r="DC75" s="97"/>
      <c r="DD75" s="95"/>
      <c r="DE75" s="96"/>
      <c r="DF75" s="97"/>
      <c r="DG75" s="95"/>
      <c r="DH75" s="96"/>
      <c r="DI75" s="97">
        <f>IFERROR(__xludf.DUMMYFUNCTION("""COMPUTED_VALUE"""),67.76470588235294)</f>
        <v>67.76470588</v>
      </c>
      <c r="DJ75" s="95"/>
      <c r="DK75" s="96"/>
      <c r="DL75" s="97">
        <f>IFERROR(__xludf.DUMMYFUNCTION("""COMPUTED_VALUE"""),34.90909090909091)</f>
        <v>34.90909091</v>
      </c>
      <c r="DM75" s="95">
        <f>IFERROR(__xludf.DUMMYFUNCTION("""COMPUTED_VALUE"""),82.28571428571429)</f>
        <v>82.28571429</v>
      </c>
      <c r="DN75" s="96"/>
      <c r="DO75" s="97"/>
      <c r="DP75" s="95"/>
      <c r="DQ75" s="96"/>
      <c r="DR75" s="97"/>
      <c r="DS75" s="95"/>
    </row>
    <row r="76">
      <c r="B76" s="120" t="str">
        <f>IFERROR(__xludf.DUMMYFUNCTION("""COMPUTED_VALUE"""),"SEP11")</f>
        <v>SEP11</v>
      </c>
      <c r="C76" s="88" t="str">
        <f>IFERROR(__xludf.DUMMYFUNCTION("""COMPUTED_VALUE"""),"Alliance Capital")</f>
        <v>Alliance Capital</v>
      </c>
      <c r="D76" s="102">
        <f>IFERROR(__xludf.DUMMYFUNCTION("""COMPUTED_VALUE"""),10.0)</f>
        <v>10</v>
      </c>
      <c r="E76" s="82" t="b">
        <f>IFERROR(__xludf.DUMMYFUNCTION("""COMPUTED_VALUE"""),TRUE)</f>
        <v>1</v>
      </c>
      <c r="F76" s="82" t="str">
        <f>IFERROR(__xludf.DUMMYFUNCTION("""COMPUTED_VALUE"""),"Free Quests- Part 1!A399:J414")</f>
        <v>Free Quests- Part 1!A399:J414</v>
      </c>
      <c r="G76" s="82">
        <f>IFERROR(__xludf.DUMMYFUNCTION("""COMPUTED_VALUE"""),76.0)</f>
        <v>76</v>
      </c>
      <c r="H76" s="82">
        <f>IFERROR(__xludf.DUMMYFUNCTION("""COMPUTED_VALUE"""),1380.0)</f>
        <v>1380</v>
      </c>
      <c r="I76" s="95"/>
      <c r="J76" s="96"/>
      <c r="K76" s="97"/>
      <c r="L76" s="95"/>
      <c r="M76" s="96"/>
      <c r="N76" s="97"/>
      <c r="O76" s="95"/>
      <c r="P76" s="96"/>
      <c r="Q76" s="97"/>
      <c r="R76" s="95"/>
      <c r="S76" s="96"/>
      <c r="T76" s="97"/>
      <c r="U76" s="95"/>
      <c r="V76" s="96"/>
      <c r="W76" s="97"/>
      <c r="X76" s="95"/>
      <c r="Y76" s="96"/>
      <c r="Z76" s="97"/>
      <c r="AA76" s="95"/>
      <c r="AB76" s="96"/>
      <c r="AC76" s="97">
        <f>IFERROR(__xludf.DUMMYFUNCTION("""COMPUTED_VALUE"""),413.4831460674157)</f>
        <v>413.4831461</v>
      </c>
      <c r="AD76" s="95"/>
      <c r="AE76" s="96"/>
      <c r="AF76" s="97"/>
      <c r="AG76" s="95"/>
      <c r="AH76" s="96"/>
      <c r="AI76" s="97"/>
      <c r="AJ76" s="95"/>
      <c r="AK76" s="96"/>
      <c r="AL76" s="97"/>
      <c r="AM76" s="95"/>
      <c r="AN76" s="96"/>
      <c r="AO76" s="97"/>
      <c r="AP76" s="95"/>
      <c r="AQ76" s="96"/>
      <c r="AR76" s="97"/>
      <c r="AS76" s="95"/>
      <c r="AT76" s="96"/>
      <c r="AU76" s="97">
        <f>IFERROR(__xludf.DUMMYFUNCTION("""COMPUTED_VALUE"""),57.27788279773156)</f>
        <v>57.2778828</v>
      </c>
      <c r="AV76" s="95"/>
      <c r="AW76" s="96"/>
      <c r="AX76" s="97">
        <f>IFERROR(__xludf.DUMMYFUNCTION("""COMPUTED_VALUE"""),124.40033380488478)</f>
        <v>124.4003338</v>
      </c>
      <c r="AY76" s="95"/>
      <c r="AZ76" s="96"/>
      <c r="BA76" s="97"/>
      <c r="BB76" s="95"/>
      <c r="BC76" s="96"/>
      <c r="BD76" s="97"/>
      <c r="BE76" s="95"/>
      <c r="BF76" s="96"/>
      <c r="BG76" s="97"/>
      <c r="BH76" s="95"/>
      <c r="BI76" s="96"/>
      <c r="BJ76" s="97"/>
      <c r="BK76" s="95"/>
      <c r="BL76" s="96"/>
      <c r="BM76" s="97"/>
      <c r="BN76" s="95"/>
      <c r="BO76" s="96"/>
      <c r="BP76" s="97"/>
      <c r="BQ76" s="95"/>
      <c r="BR76" s="96">
        <f>IFERROR(__xludf.DUMMYFUNCTION("""COMPUTED_VALUE"""),205.71555079977122)</f>
        <v>205.7155508</v>
      </c>
      <c r="BS76" s="97">
        <f>IFERROR(__xludf.DUMMYFUNCTION("""COMPUTED_VALUE"""),95.73196697666113)</f>
        <v>95.73196698</v>
      </c>
      <c r="BT76" s="95"/>
      <c r="BU76" s="96"/>
      <c r="BV76" s="97"/>
      <c r="BW76" s="95"/>
      <c r="BX76" s="96">
        <f>IFERROR(__xludf.DUMMYFUNCTION("""COMPUTED_VALUE"""),82.78344331133772)</f>
        <v>82.78344331</v>
      </c>
      <c r="BY76" s="97"/>
      <c r="BZ76" s="95"/>
      <c r="CA76" s="96"/>
      <c r="CB76" s="97"/>
      <c r="CC76" s="95"/>
      <c r="CD76" s="96"/>
      <c r="CE76" s="97"/>
      <c r="CF76" s="95"/>
      <c r="CG76" s="96"/>
      <c r="CH76" s="96"/>
      <c r="CI76" s="95"/>
      <c r="CJ76" s="96"/>
      <c r="CK76" s="96"/>
      <c r="CL76" s="95">
        <f>IFERROR(__xludf.DUMMYFUNCTION("""COMPUTED_VALUE"""),92.80909313370522)</f>
        <v>92.80909313</v>
      </c>
      <c r="CM76" s="96"/>
      <c r="CN76" s="96"/>
      <c r="CO76" s="95"/>
      <c r="CP76" s="96"/>
      <c r="CQ76" s="96"/>
      <c r="CR76" s="95"/>
      <c r="CS76" s="96"/>
      <c r="CT76" s="96"/>
      <c r="CU76" s="95"/>
      <c r="CV76" s="96"/>
      <c r="CW76" s="97"/>
      <c r="CX76" s="96"/>
      <c r="CY76" s="96"/>
      <c r="CZ76" s="97"/>
      <c r="DA76" s="95"/>
      <c r="DB76" s="96"/>
      <c r="DC76" s="97"/>
      <c r="DD76" s="95"/>
      <c r="DE76" s="96"/>
      <c r="DF76" s="97"/>
      <c r="DG76" s="95"/>
      <c r="DH76" s="96"/>
      <c r="DI76" s="97">
        <f>IFERROR(__xludf.DUMMYFUNCTION("""COMPUTED_VALUE"""),50.0)</f>
        <v>50</v>
      </c>
      <c r="DJ76" s="95"/>
      <c r="DK76" s="96">
        <f>IFERROR(__xludf.DUMMYFUNCTION("""COMPUTED_VALUE"""),180.0)</f>
        <v>180</v>
      </c>
      <c r="DL76" s="97">
        <f>IFERROR(__xludf.DUMMYFUNCTION("""COMPUTED_VALUE"""),93.0)</f>
        <v>93</v>
      </c>
      <c r="DM76" s="95"/>
      <c r="DN76" s="96"/>
      <c r="DO76" s="97"/>
      <c r="DP76" s="95"/>
      <c r="DQ76" s="96">
        <f>IFERROR(__xludf.DUMMYFUNCTION("""COMPUTED_VALUE"""),84.54545454545455)</f>
        <v>84.54545455</v>
      </c>
      <c r="DR76" s="97"/>
      <c r="DS76" s="95"/>
    </row>
    <row r="77">
      <c r="A77" s="124" t="str">
        <f>IFERROR(__xludf.DUMMYFUNCTION("""COMPUTED_VALUE"""),"OKEANOS")</f>
        <v>OKEANOS</v>
      </c>
      <c r="B77" s="120" t="str">
        <f>IFERROR(__xludf.DUMMYFUNCTION("""COMPUTED_VALUE"""),"OKN1")</f>
        <v>OKN1</v>
      </c>
      <c r="C77" s="88" t="str">
        <f>IFERROR(__xludf.DUMMYFUNCTION("""COMPUTED_VALUE"""),"Pirate Ship")</f>
        <v>Pirate Ship</v>
      </c>
      <c r="D77" s="102">
        <f>IFERROR(__xludf.DUMMYFUNCTION("""COMPUTED_VALUE"""),12.0)</f>
        <v>12</v>
      </c>
      <c r="E77" s="82" t="b">
        <f>IFERROR(__xludf.DUMMYFUNCTION("""COMPUTED_VALUE"""),TRUE)</f>
        <v>1</v>
      </c>
      <c r="F77" s="82" t="str">
        <f>IFERROR(__xludf.DUMMYFUNCTION("""COMPUTED_VALUE"""),"Free Quests- Part 1!A420:J427")</f>
        <v>Free Quests- Part 1!A420:J427</v>
      </c>
      <c r="G77" s="82">
        <f>IFERROR(__xludf.DUMMYFUNCTION("""COMPUTED_VALUE"""),77.0)</f>
        <v>77</v>
      </c>
      <c r="H77" s="82">
        <f>IFERROR(__xludf.DUMMYFUNCTION("""COMPUTED_VALUE"""),8138.0)</f>
        <v>8138</v>
      </c>
      <c r="I77" s="95"/>
      <c r="J77" s="96"/>
      <c r="K77" s="97"/>
      <c r="L77" s="95"/>
      <c r="M77" s="96"/>
      <c r="N77" s="97"/>
      <c r="O77" s="95"/>
      <c r="P77" s="96"/>
      <c r="Q77" s="97"/>
      <c r="R77" s="95"/>
      <c r="S77" s="96"/>
      <c r="T77" s="97"/>
      <c r="U77" s="95"/>
      <c r="V77" s="96"/>
      <c r="W77" s="97"/>
      <c r="X77" s="95"/>
      <c r="Y77" s="96"/>
      <c r="Z77" s="97"/>
      <c r="AA77" s="95"/>
      <c r="AB77" s="96"/>
      <c r="AC77" s="97"/>
      <c r="AD77" s="95"/>
      <c r="AE77" s="96"/>
      <c r="AF77" s="97"/>
      <c r="AG77" s="95"/>
      <c r="AH77" s="96"/>
      <c r="AI77" s="97"/>
      <c r="AJ77" s="95"/>
      <c r="AK77" s="96"/>
      <c r="AL77" s="97"/>
      <c r="AM77" s="95"/>
      <c r="AN77" s="96"/>
      <c r="AO77" s="97"/>
      <c r="AP77" s="95"/>
      <c r="AQ77" s="96"/>
      <c r="AR77" s="97"/>
      <c r="AS77" s="95"/>
      <c r="AT77" s="96"/>
      <c r="AU77" s="97">
        <f>IFERROR(__xludf.DUMMYFUNCTION("""COMPUTED_VALUE"""),20.575900179830533)</f>
        <v>20.57590018</v>
      </c>
      <c r="AV77" s="95"/>
      <c r="AW77" s="96"/>
      <c r="AX77" s="97"/>
      <c r="AY77" s="95"/>
      <c r="AZ77" s="96"/>
      <c r="BA77" s="97"/>
      <c r="BB77" s="95"/>
      <c r="BC77" s="96"/>
      <c r="BD77" s="97"/>
      <c r="BE77" s="95"/>
      <c r="BF77" s="96"/>
      <c r="BG77" s="97"/>
      <c r="BH77" s="95"/>
      <c r="BI77" s="96"/>
      <c r="BJ77" s="97"/>
      <c r="BK77" s="95"/>
      <c r="BL77" s="96"/>
      <c r="BM77" s="97"/>
      <c r="BN77" s="95"/>
      <c r="BO77" s="96"/>
      <c r="BP77" s="97"/>
      <c r="BQ77" s="95"/>
      <c r="BR77" s="96">
        <f>IFERROR(__xludf.DUMMYFUNCTION("""COMPUTED_VALUE"""),59.393873045413905)</f>
        <v>59.39387305</v>
      </c>
      <c r="BS77" s="97">
        <f>IFERROR(__xludf.DUMMYFUNCTION("""COMPUTED_VALUE"""),47.616632860040575)</f>
        <v>47.61663286</v>
      </c>
      <c r="BT77" s="95"/>
      <c r="BU77" s="96"/>
      <c r="BV77" s="97"/>
      <c r="BW77" s="95"/>
      <c r="BX77" s="96"/>
      <c r="BY77" s="97"/>
      <c r="BZ77" s="95"/>
      <c r="CA77" s="96"/>
      <c r="CB77" s="97"/>
      <c r="CC77" s="95"/>
      <c r="CD77" s="96"/>
      <c r="CE77" s="97"/>
      <c r="CF77" s="95"/>
      <c r="CG77" s="96"/>
      <c r="CH77" s="96"/>
      <c r="CI77" s="95"/>
      <c r="CJ77" s="96"/>
      <c r="CK77" s="96"/>
      <c r="CL77" s="95"/>
      <c r="CM77" s="96"/>
      <c r="CN77" s="96"/>
      <c r="CO77" s="95"/>
      <c r="CP77" s="96"/>
      <c r="CQ77" s="96"/>
      <c r="CR77" s="95"/>
      <c r="CS77" s="96"/>
      <c r="CT77" s="96"/>
      <c r="CU77" s="95"/>
      <c r="CV77" s="96"/>
      <c r="CW77" s="97"/>
      <c r="CX77" s="96"/>
      <c r="CY77" s="96"/>
      <c r="CZ77" s="97"/>
      <c r="DA77" s="95"/>
      <c r="DB77" s="96"/>
      <c r="DC77" s="97"/>
      <c r="DD77" s="95"/>
      <c r="DE77" s="96"/>
      <c r="DF77" s="97"/>
      <c r="DG77" s="95"/>
      <c r="DH77" s="96"/>
      <c r="DI77" s="97"/>
      <c r="DJ77" s="95"/>
      <c r="DK77" s="96">
        <f>IFERROR(__xludf.DUMMYFUNCTION("""COMPUTED_VALUE"""),59.73913043478261)</f>
        <v>59.73913043</v>
      </c>
      <c r="DL77" s="97">
        <f>IFERROR(__xludf.DUMMYFUNCTION("""COMPUTED_VALUE"""),54.96)</f>
        <v>54.96</v>
      </c>
      <c r="DM77" s="95"/>
      <c r="DN77" s="96"/>
      <c r="DO77" s="97"/>
      <c r="DP77" s="95"/>
      <c r="DQ77" s="96"/>
      <c r="DR77" s="97"/>
      <c r="DS77" s="95"/>
    </row>
    <row r="78">
      <c r="B78" s="120" t="str">
        <f>IFERROR(__xludf.DUMMYFUNCTION("""COMPUTED_VALUE"""),"OKN2")</f>
        <v>OKN2</v>
      </c>
      <c r="C78" s="88" t="str">
        <f>IFERROR(__xludf.DUMMYFUNCTION("""COMPUTED_VALUE"""),"Pirate Island")</f>
        <v>Pirate Island</v>
      </c>
      <c r="D78" s="102">
        <f>IFERROR(__xludf.DUMMYFUNCTION("""COMPUTED_VALUE"""),13.0)</f>
        <v>13</v>
      </c>
      <c r="E78" s="82" t="b">
        <f>IFERROR(__xludf.DUMMYFUNCTION("""COMPUTED_VALUE"""),TRUE)</f>
        <v>1</v>
      </c>
      <c r="F78" s="82" t="str">
        <f>IFERROR(__xludf.DUMMYFUNCTION("""COMPUTED_VALUE"""),"Free Quests- Part 1!A431:J442")</f>
        <v>Free Quests- Part 1!A431:J442</v>
      </c>
      <c r="G78" s="82">
        <f>IFERROR(__xludf.DUMMYFUNCTION("""COMPUTED_VALUE"""),78.0)</f>
        <v>78</v>
      </c>
      <c r="H78" s="82">
        <f>IFERROR(__xludf.DUMMYFUNCTION("""COMPUTED_VALUE"""),1401.0)</f>
        <v>1401</v>
      </c>
      <c r="I78" s="95"/>
      <c r="J78" s="96"/>
      <c r="K78" s="97"/>
      <c r="L78" s="95"/>
      <c r="M78" s="96"/>
      <c r="N78" s="97"/>
      <c r="O78" s="95"/>
      <c r="P78" s="96"/>
      <c r="Q78" s="97"/>
      <c r="R78" s="95"/>
      <c r="S78" s="96"/>
      <c r="T78" s="97"/>
      <c r="U78" s="95"/>
      <c r="V78" s="96"/>
      <c r="W78" s="97"/>
      <c r="X78" s="95"/>
      <c r="Y78" s="96"/>
      <c r="Z78" s="97"/>
      <c r="AA78" s="95"/>
      <c r="AB78" s="96"/>
      <c r="AC78" s="97"/>
      <c r="AD78" s="95"/>
      <c r="AE78" s="96"/>
      <c r="AF78" s="97"/>
      <c r="AG78" s="95"/>
      <c r="AH78" s="96"/>
      <c r="AI78" s="97"/>
      <c r="AJ78" s="95"/>
      <c r="AK78" s="96"/>
      <c r="AL78" s="97"/>
      <c r="AM78" s="95"/>
      <c r="AN78" s="96"/>
      <c r="AO78" s="97"/>
      <c r="AP78" s="95"/>
      <c r="AQ78" s="96"/>
      <c r="AR78" s="97"/>
      <c r="AS78" s="95"/>
      <c r="AT78" s="96"/>
      <c r="AU78" s="97">
        <f>IFERROR(__xludf.DUMMYFUNCTION("""COMPUTED_VALUE"""),23.758152882859378)</f>
        <v>23.75815288</v>
      </c>
      <c r="AV78" s="95"/>
      <c r="AW78" s="96"/>
      <c r="AX78" s="97">
        <f>IFERROR(__xludf.DUMMYFUNCTION("""COMPUTED_VALUE"""),113.90243902439025)</f>
        <v>113.902439</v>
      </c>
      <c r="AY78" s="95"/>
      <c r="AZ78" s="96"/>
      <c r="BA78" s="97"/>
      <c r="BB78" s="95"/>
      <c r="BC78" s="96"/>
      <c r="BD78" s="97"/>
      <c r="BE78" s="95"/>
      <c r="BF78" s="96"/>
      <c r="BG78" s="97"/>
      <c r="BH78" s="95"/>
      <c r="BI78" s="96"/>
      <c r="BJ78" s="97"/>
      <c r="BK78" s="95"/>
      <c r="BL78" s="96"/>
      <c r="BM78" s="97"/>
      <c r="BN78" s="95"/>
      <c r="BO78" s="96"/>
      <c r="BP78" s="97"/>
      <c r="BQ78" s="95"/>
      <c r="BR78" s="96"/>
      <c r="BS78" s="97">
        <f>IFERROR(__xludf.DUMMYFUNCTION("""COMPUTED_VALUE"""),52.75766178089334)</f>
        <v>52.75766178</v>
      </c>
      <c r="BT78" s="95"/>
      <c r="BU78" s="96"/>
      <c r="BV78" s="97"/>
      <c r="BW78" s="95"/>
      <c r="BX78" s="96">
        <f>IFERROR(__xludf.DUMMYFUNCTION("""COMPUTED_VALUE"""),81.43891969236273)</f>
        <v>81.43891969</v>
      </c>
      <c r="BY78" s="97"/>
      <c r="BZ78" s="95"/>
      <c r="CA78" s="96"/>
      <c r="CB78" s="97">
        <f>IFERROR(__xludf.DUMMYFUNCTION("""COMPUTED_VALUE"""),639.950808151792)</f>
        <v>639.9508082</v>
      </c>
      <c r="CC78" s="95"/>
      <c r="CD78" s="96"/>
      <c r="CE78" s="97"/>
      <c r="CF78" s="95"/>
      <c r="CG78" s="96"/>
      <c r="CH78" s="96"/>
      <c r="CI78" s="95">
        <f>IFERROR(__xludf.DUMMYFUNCTION("""COMPUTED_VALUE"""),130.334907685702)</f>
        <v>130.3349077</v>
      </c>
      <c r="CJ78" s="96"/>
      <c r="CK78" s="96"/>
      <c r="CL78" s="95"/>
      <c r="CM78" s="96"/>
      <c r="CN78" s="96"/>
      <c r="CO78" s="95"/>
      <c r="CP78" s="96"/>
      <c r="CQ78" s="96"/>
      <c r="CR78" s="95"/>
      <c r="CS78" s="96"/>
      <c r="CT78" s="96"/>
      <c r="CU78" s="95"/>
      <c r="CV78" s="96"/>
      <c r="CW78" s="97"/>
      <c r="CX78" s="96"/>
      <c r="CY78" s="96"/>
      <c r="CZ78" s="97"/>
      <c r="DA78" s="95"/>
      <c r="DB78" s="96"/>
      <c r="DC78" s="97"/>
      <c r="DD78" s="95"/>
      <c r="DE78" s="96"/>
      <c r="DF78" s="97">
        <f>IFERROR(__xludf.DUMMYFUNCTION("""COMPUTED_VALUE"""),57.416666666666664)</f>
        <v>57.41666667</v>
      </c>
      <c r="DG78" s="95"/>
      <c r="DH78" s="96"/>
      <c r="DI78" s="97"/>
      <c r="DJ78" s="95"/>
      <c r="DK78" s="96"/>
      <c r="DL78" s="97">
        <f>IFERROR(__xludf.DUMMYFUNCTION("""COMPUTED_VALUE"""),49.214285714285715)</f>
        <v>49.21428571</v>
      </c>
      <c r="DM78" s="95"/>
      <c r="DN78" s="96"/>
      <c r="DO78" s="97"/>
      <c r="DP78" s="95"/>
      <c r="DQ78" s="96">
        <f>IFERROR(__xludf.DUMMYFUNCTION("""COMPUTED_VALUE"""),62.63636363636363)</f>
        <v>62.63636364</v>
      </c>
      <c r="DR78" s="97"/>
      <c r="DS78" s="95"/>
    </row>
    <row r="79">
      <c r="B79" s="120" t="str">
        <f>IFERROR(__xludf.DUMMYFUNCTION("""COMPUTED_VALUE"""),"OKN3")</f>
        <v>OKN3</v>
      </c>
      <c r="C79" s="88" t="str">
        <f>IFERROR(__xludf.DUMMYFUNCTION("""COMPUTED_VALUE"""),"King's Abode Island")</f>
        <v>King's Abode Island</v>
      </c>
      <c r="D79" s="102">
        <f>IFERROR(__xludf.DUMMYFUNCTION("""COMPUTED_VALUE"""),13.0)</f>
        <v>13</v>
      </c>
      <c r="E79" s="82" t="b">
        <f>IFERROR(__xludf.DUMMYFUNCTION("""COMPUTED_VALUE"""),TRUE)</f>
        <v>1</v>
      </c>
      <c r="F79" s="82" t="str">
        <f>IFERROR(__xludf.DUMMYFUNCTION("""COMPUTED_VALUE"""),"Free Quests- Part 1!A446:J457")</f>
        <v>Free Quests- Part 1!A446:J457</v>
      </c>
      <c r="G79" s="82">
        <f>IFERROR(__xludf.DUMMYFUNCTION("""COMPUTED_VALUE"""),79.0)</f>
        <v>79</v>
      </c>
      <c r="H79" s="82">
        <f>IFERROR(__xludf.DUMMYFUNCTION("""COMPUTED_VALUE"""),1251.0)</f>
        <v>1251</v>
      </c>
      <c r="I79" s="95"/>
      <c r="J79" s="96"/>
      <c r="K79" s="97"/>
      <c r="L79" s="95"/>
      <c r="M79" s="96"/>
      <c r="N79" s="97"/>
      <c r="O79" s="95"/>
      <c r="P79" s="96"/>
      <c r="Q79" s="97"/>
      <c r="R79" s="95"/>
      <c r="S79" s="96"/>
      <c r="T79" s="97"/>
      <c r="U79" s="95"/>
      <c r="V79" s="96"/>
      <c r="W79" s="97"/>
      <c r="X79" s="95"/>
      <c r="Y79" s="96"/>
      <c r="Z79" s="97"/>
      <c r="AA79" s="95"/>
      <c r="AB79" s="96"/>
      <c r="AC79" s="97"/>
      <c r="AD79" s="95"/>
      <c r="AE79" s="96"/>
      <c r="AF79" s="97"/>
      <c r="AG79" s="95"/>
      <c r="AH79" s="96"/>
      <c r="AI79" s="97"/>
      <c r="AJ79" s="95"/>
      <c r="AK79" s="96"/>
      <c r="AL79" s="97"/>
      <c r="AM79" s="95"/>
      <c r="AN79" s="96"/>
      <c r="AO79" s="97"/>
      <c r="AP79" s="95"/>
      <c r="AQ79" s="96"/>
      <c r="AR79" s="97"/>
      <c r="AS79" s="95"/>
      <c r="AT79" s="96"/>
      <c r="AU79" s="97">
        <f>IFERROR(__xludf.DUMMYFUNCTION("""COMPUTED_VALUE"""),46.91989890713536)</f>
        <v>46.91989891</v>
      </c>
      <c r="AV79" s="95"/>
      <c r="AW79" s="96"/>
      <c r="AX79" s="97">
        <f>IFERROR(__xludf.DUMMYFUNCTION("""COMPUTED_VALUE"""),105.36306623820877)</f>
        <v>105.3630662</v>
      </c>
      <c r="AY79" s="95"/>
      <c r="AZ79" s="96"/>
      <c r="BA79" s="97"/>
      <c r="BB79" s="95"/>
      <c r="BC79" s="96"/>
      <c r="BD79" s="97"/>
      <c r="BE79" s="95"/>
      <c r="BF79" s="96"/>
      <c r="BG79" s="97"/>
      <c r="BH79" s="95"/>
      <c r="BI79" s="96"/>
      <c r="BJ79" s="97"/>
      <c r="BK79" s="95"/>
      <c r="BL79" s="96"/>
      <c r="BM79" s="97"/>
      <c r="BN79" s="95"/>
      <c r="BO79" s="96"/>
      <c r="BP79" s="97"/>
      <c r="BQ79" s="95"/>
      <c r="BR79" s="96"/>
      <c r="BS79" s="97">
        <f>IFERROR(__xludf.DUMMYFUNCTION("""COMPUTED_VALUE"""),89.66604731685531)</f>
        <v>89.66604732</v>
      </c>
      <c r="BT79" s="95"/>
      <c r="BU79" s="96"/>
      <c r="BV79" s="97"/>
      <c r="BW79" s="95"/>
      <c r="BX79" s="96">
        <f>IFERROR(__xludf.DUMMYFUNCTION("""COMPUTED_VALUE"""),116.98905857725538)</f>
        <v>116.9890586</v>
      </c>
      <c r="BY79" s="97"/>
      <c r="BZ79" s="95"/>
      <c r="CA79" s="96"/>
      <c r="CB79" s="97"/>
      <c r="CC79" s="95"/>
      <c r="CD79" s="96"/>
      <c r="CE79" s="97">
        <f>IFERROR(__xludf.DUMMYFUNCTION("""COMPUTED_VALUE"""),672.5806451612904)</f>
        <v>672.5806452</v>
      </c>
      <c r="CF79" s="95"/>
      <c r="CG79" s="96"/>
      <c r="CH79" s="96"/>
      <c r="CI79" s="95"/>
      <c r="CJ79" s="96"/>
      <c r="CK79" s="96"/>
      <c r="CL79" s="95">
        <f>IFERROR(__xludf.DUMMYFUNCTION("""COMPUTED_VALUE"""),111.53708987161198)</f>
        <v>111.5370899</v>
      </c>
      <c r="CM79" s="96"/>
      <c r="CN79" s="96"/>
      <c r="CO79" s="95"/>
      <c r="CP79" s="96"/>
      <c r="CQ79" s="96"/>
      <c r="CR79" s="95"/>
      <c r="CS79" s="96"/>
      <c r="CT79" s="96"/>
      <c r="CU79" s="95"/>
      <c r="CV79" s="96"/>
      <c r="CW79" s="97"/>
      <c r="CX79" s="96"/>
      <c r="CY79" s="96"/>
      <c r="CZ79" s="97"/>
      <c r="DA79" s="95"/>
      <c r="DB79" s="96"/>
      <c r="DC79" s="97"/>
      <c r="DD79" s="95"/>
      <c r="DE79" s="96"/>
      <c r="DF79" s="97"/>
      <c r="DG79" s="95"/>
      <c r="DH79" s="96"/>
      <c r="DI79" s="97">
        <f>IFERROR(__xludf.DUMMYFUNCTION("""COMPUTED_VALUE"""),60.66666666666667)</f>
        <v>60.66666667</v>
      </c>
      <c r="DJ79" s="95"/>
      <c r="DK79" s="96"/>
      <c r="DL79" s="97">
        <f>IFERROR(__xludf.DUMMYFUNCTION("""COMPUTED_VALUE"""),182.0)</f>
        <v>182</v>
      </c>
      <c r="DM79" s="95"/>
      <c r="DN79" s="96"/>
      <c r="DO79" s="97"/>
      <c r="DP79" s="95"/>
      <c r="DQ79" s="96">
        <f>IFERROR(__xludf.DUMMYFUNCTION("""COMPUTED_VALUE"""),182.0)</f>
        <v>182</v>
      </c>
      <c r="DR79" s="97"/>
      <c r="DS79" s="95"/>
    </row>
    <row r="80">
      <c r="B80" s="120" t="str">
        <f>IFERROR(__xludf.DUMMYFUNCTION("""COMPUTED_VALUE"""),"OKN4")</f>
        <v>OKN4</v>
      </c>
      <c r="C80" s="88" t="str">
        <f>IFERROR(__xludf.DUMMYFUNCTION("""COMPUTED_VALUE"""),"Mapped Island")</f>
        <v>Mapped Island</v>
      </c>
      <c r="D80" s="102">
        <f>IFERROR(__xludf.DUMMYFUNCTION("""COMPUTED_VALUE"""),13.0)</f>
        <v>13</v>
      </c>
      <c r="E80" s="82" t="b">
        <f>IFERROR(__xludf.DUMMYFUNCTION("""COMPUTED_VALUE"""),TRUE)</f>
        <v>1</v>
      </c>
      <c r="F80" s="82" t="str">
        <f>IFERROR(__xludf.DUMMYFUNCTION("""COMPUTED_VALUE"""),"Free Quests- Part 1!A461:J472")</f>
        <v>Free Quests- Part 1!A461:J472</v>
      </c>
      <c r="G80" s="82">
        <f>IFERROR(__xludf.DUMMYFUNCTION("""COMPUTED_VALUE"""),80.0)</f>
        <v>80</v>
      </c>
      <c r="H80" s="82">
        <f>IFERROR(__xludf.DUMMYFUNCTION("""COMPUTED_VALUE"""),1932.0)</f>
        <v>1932</v>
      </c>
      <c r="I80" s="95"/>
      <c r="J80" s="96"/>
      <c r="K80" s="97"/>
      <c r="L80" s="95"/>
      <c r="M80" s="96"/>
      <c r="N80" s="97"/>
      <c r="O80" s="95"/>
      <c r="P80" s="96"/>
      <c r="Q80" s="97"/>
      <c r="R80" s="95"/>
      <c r="S80" s="96"/>
      <c r="T80" s="97"/>
      <c r="U80" s="95"/>
      <c r="V80" s="96"/>
      <c r="W80" s="97"/>
      <c r="X80" s="95"/>
      <c r="Y80" s="96"/>
      <c r="Z80" s="97"/>
      <c r="AA80" s="95"/>
      <c r="AB80" s="96"/>
      <c r="AC80" s="97"/>
      <c r="AD80" s="95"/>
      <c r="AE80" s="96"/>
      <c r="AF80" s="97"/>
      <c r="AG80" s="95"/>
      <c r="AH80" s="96"/>
      <c r="AI80" s="97"/>
      <c r="AJ80" s="95"/>
      <c r="AK80" s="96"/>
      <c r="AL80" s="97"/>
      <c r="AM80" s="95"/>
      <c r="AN80" s="96"/>
      <c r="AO80" s="97"/>
      <c r="AP80" s="95"/>
      <c r="AQ80" s="96"/>
      <c r="AR80" s="97"/>
      <c r="AS80" s="95"/>
      <c r="AT80" s="96"/>
      <c r="AU80" s="97"/>
      <c r="AV80" s="95"/>
      <c r="AW80" s="96">
        <f>IFERROR(__xludf.DUMMYFUNCTION("""COMPUTED_VALUE"""),35.40037548415468)</f>
        <v>35.40037548</v>
      </c>
      <c r="AX80" s="97">
        <f>IFERROR(__xludf.DUMMYFUNCTION("""COMPUTED_VALUE"""),99.92361310035331)</f>
        <v>99.9236131</v>
      </c>
      <c r="AY80" s="95"/>
      <c r="AZ80" s="96"/>
      <c r="BA80" s="97"/>
      <c r="BB80" s="95"/>
      <c r="BC80" s="96"/>
      <c r="BD80" s="97"/>
      <c r="BE80" s="95"/>
      <c r="BF80" s="96"/>
      <c r="BG80" s="97"/>
      <c r="BH80" s="95"/>
      <c r="BI80" s="96"/>
      <c r="BJ80" s="97"/>
      <c r="BK80" s="95"/>
      <c r="BL80" s="96"/>
      <c r="BM80" s="97"/>
      <c r="BN80" s="95"/>
      <c r="BO80" s="96"/>
      <c r="BP80" s="97"/>
      <c r="BQ80" s="95"/>
      <c r="BR80" s="96">
        <f>IFERROR(__xludf.DUMMYFUNCTION("""COMPUTED_VALUE"""),48.390079995067744)</f>
        <v>48.39008</v>
      </c>
      <c r="BS80" s="97">
        <f>IFERROR(__xludf.DUMMYFUNCTION("""COMPUTED_VALUE"""),79.37250341305558)</f>
        <v>79.37250341</v>
      </c>
      <c r="BT80" s="95"/>
      <c r="BU80" s="96"/>
      <c r="BV80" s="97"/>
      <c r="BW80" s="95"/>
      <c r="BX80" s="96"/>
      <c r="BY80" s="97"/>
      <c r="BZ80" s="95"/>
      <c r="CA80" s="96"/>
      <c r="CB80" s="97"/>
      <c r="CC80" s="95"/>
      <c r="CD80" s="96"/>
      <c r="CE80" s="97">
        <f>IFERROR(__xludf.DUMMYFUNCTION("""COMPUTED_VALUE"""),800.4844467108617)</f>
        <v>800.4844467</v>
      </c>
      <c r="CF80" s="95"/>
      <c r="CG80" s="96"/>
      <c r="CH80" s="96"/>
      <c r="CI80" s="95"/>
      <c r="CJ80" s="96"/>
      <c r="CK80" s="96"/>
      <c r="CL80" s="95">
        <f>IFERROR(__xludf.DUMMYFUNCTION("""COMPUTED_VALUE"""),138.44118619777313)</f>
        <v>138.4411862</v>
      </c>
      <c r="CM80" s="96"/>
      <c r="CN80" s="96"/>
      <c r="CO80" s="95"/>
      <c r="CP80" s="96"/>
      <c r="CQ80" s="96"/>
      <c r="CR80" s="95"/>
      <c r="CS80" s="96"/>
      <c r="CT80" s="96"/>
      <c r="CU80" s="95"/>
      <c r="CV80" s="96"/>
      <c r="CW80" s="97"/>
      <c r="CX80" s="96"/>
      <c r="CY80" s="96"/>
      <c r="CZ80" s="97"/>
      <c r="DA80" s="95"/>
      <c r="DB80" s="96"/>
      <c r="DC80" s="97"/>
      <c r="DD80" s="95"/>
      <c r="DE80" s="96"/>
      <c r="DF80" s="97"/>
      <c r="DG80" s="95"/>
      <c r="DH80" s="96"/>
      <c r="DI80" s="97">
        <f>IFERROR(__xludf.DUMMYFUNCTION("""COMPUTED_VALUE"""),52.0)</f>
        <v>52</v>
      </c>
      <c r="DJ80" s="95"/>
      <c r="DK80" s="96">
        <f>IFERROR(__xludf.DUMMYFUNCTION("""COMPUTED_VALUE"""),52.0)</f>
        <v>52</v>
      </c>
      <c r="DL80" s="97"/>
      <c r="DM80" s="95"/>
      <c r="DN80" s="96"/>
      <c r="DO80" s="97"/>
      <c r="DP80" s="95"/>
      <c r="DQ80" s="96"/>
      <c r="DR80" s="97"/>
      <c r="DS80" s="95"/>
    </row>
    <row r="81">
      <c r="B81" s="120" t="str">
        <f>IFERROR(__xludf.DUMMYFUNCTION("""COMPUTED_VALUE"""),"OKN5")</f>
        <v>OKN5</v>
      </c>
      <c r="C81" s="88" t="str">
        <f>IFERROR(__xludf.DUMMYFUNCTION("""COMPUTED_VALUE"""),"Sunken Rock Seas")</f>
        <v>Sunken Rock Seas</v>
      </c>
      <c r="D81" s="102">
        <f>IFERROR(__xludf.DUMMYFUNCTION("""COMPUTED_VALUE"""),17.0)</f>
        <v>17</v>
      </c>
      <c r="E81" s="82" t="b">
        <f>IFERROR(__xludf.DUMMYFUNCTION("""COMPUTED_VALUE"""),TRUE)</f>
        <v>1</v>
      </c>
      <c r="F81" s="82" t="str">
        <f>IFERROR(__xludf.DUMMYFUNCTION("""COMPUTED_VALUE"""),"Free Quests- Part 1!A476:J488")</f>
        <v>Free Quests- Part 1!A476:J488</v>
      </c>
      <c r="G81" s="82">
        <f>IFERROR(__xludf.DUMMYFUNCTION("""COMPUTED_VALUE"""),81.0)</f>
        <v>81</v>
      </c>
      <c r="H81" s="82">
        <f>IFERROR(__xludf.DUMMYFUNCTION("""COMPUTED_VALUE"""),2113.0)</f>
        <v>2113</v>
      </c>
      <c r="I81" s="95"/>
      <c r="J81" s="96"/>
      <c r="K81" s="97"/>
      <c r="L81" s="95"/>
      <c r="M81" s="96"/>
      <c r="N81" s="97"/>
      <c r="O81" s="95"/>
      <c r="P81" s="96"/>
      <c r="Q81" s="97"/>
      <c r="R81" s="95"/>
      <c r="S81" s="96"/>
      <c r="T81" s="97"/>
      <c r="U81" s="95"/>
      <c r="V81" s="96"/>
      <c r="W81" s="97"/>
      <c r="X81" s="95"/>
      <c r="Y81" s="96"/>
      <c r="Z81" s="97"/>
      <c r="AA81" s="95"/>
      <c r="AB81" s="96"/>
      <c r="AC81" s="97"/>
      <c r="AD81" s="95">
        <f>IFERROR(__xludf.DUMMYFUNCTION("""COMPUTED_VALUE"""),105.0045309713818)</f>
        <v>105.004531</v>
      </c>
      <c r="AE81" s="96"/>
      <c r="AF81" s="97"/>
      <c r="AG81" s="95"/>
      <c r="AH81" s="96"/>
      <c r="AI81" s="97"/>
      <c r="AJ81" s="95"/>
      <c r="AK81" s="96"/>
      <c r="AL81" s="97"/>
      <c r="AM81" s="95"/>
      <c r="AN81" s="96"/>
      <c r="AO81" s="97"/>
      <c r="AP81" s="95"/>
      <c r="AQ81" s="96"/>
      <c r="AR81" s="97"/>
      <c r="AS81" s="95"/>
      <c r="AT81" s="96"/>
      <c r="AU81" s="97"/>
      <c r="AV81" s="95">
        <f>IFERROR(__xludf.DUMMYFUNCTION("""COMPUTED_VALUE"""),48.482010057847475)</f>
        <v>48.48201006</v>
      </c>
      <c r="AW81" s="96"/>
      <c r="AX81" s="97"/>
      <c r="AY81" s="95"/>
      <c r="AZ81" s="96"/>
      <c r="BA81" s="97"/>
      <c r="BB81" s="95"/>
      <c r="BC81" s="96"/>
      <c r="BD81" s="97"/>
      <c r="BE81" s="95"/>
      <c r="BF81" s="96"/>
      <c r="BG81" s="97"/>
      <c r="BH81" s="95"/>
      <c r="BI81" s="96"/>
      <c r="BJ81" s="97"/>
      <c r="BK81" s="95"/>
      <c r="BL81" s="96"/>
      <c r="BM81" s="97"/>
      <c r="BN81" s="95"/>
      <c r="BO81" s="96">
        <f>IFERROR(__xludf.DUMMYFUNCTION("""COMPUTED_VALUE"""),77.92988241419708)</f>
        <v>77.92988241</v>
      </c>
      <c r="BP81" s="97"/>
      <c r="BQ81" s="95"/>
      <c r="BR81" s="96"/>
      <c r="BS81" s="97">
        <f>IFERROR(__xludf.DUMMYFUNCTION("""COMPUTED_VALUE"""),68.83580281927655)</f>
        <v>68.83580282</v>
      </c>
      <c r="BT81" s="95"/>
      <c r="BU81" s="96"/>
      <c r="BV81" s="97">
        <f>IFERROR(__xludf.DUMMYFUNCTION("""COMPUTED_VALUE"""),105.41498658872278)</f>
        <v>105.4149866</v>
      </c>
      <c r="BW81" s="95"/>
      <c r="BX81" s="96"/>
      <c r="BY81" s="97"/>
      <c r="BZ81" s="95"/>
      <c r="CA81" s="96"/>
      <c r="CB81" s="97"/>
      <c r="CC81" s="95"/>
      <c r="CD81" s="96"/>
      <c r="CE81" s="97"/>
      <c r="CF81" s="95"/>
      <c r="CG81" s="96"/>
      <c r="CH81" s="96"/>
      <c r="CI81" s="95"/>
      <c r="CJ81" s="96"/>
      <c r="CK81" s="96"/>
      <c r="CL81" s="95"/>
      <c r="CM81" s="96"/>
      <c r="CN81" s="96"/>
      <c r="CO81" s="95"/>
      <c r="CP81" s="96"/>
      <c r="CQ81" s="96"/>
      <c r="CR81" s="95"/>
      <c r="CS81" s="96"/>
      <c r="CT81" s="96"/>
      <c r="CU81" s="95"/>
      <c r="CV81" s="96"/>
      <c r="CW81" s="97"/>
      <c r="CX81" s="96"/>
      <c r="CY81" s="96">
        <f>IFERROR(__xludf.DUMMYFUNCTION("""COMPUTED_VALUE"""),391.0)</f>
        <v>391</v>
      </c>
      <c r="CZ81" s="97"/>
      <c r="DA81" s="95"/>
      <c r="DB81" s="96"/>
      <c r="DC81" s="97"/>
      <c r="DD81" s="95"/>
      <c r="DE81" s="96"/>
      <c r="DF81" s="97"/>
      <c r="DG81" s="95">
        <f>IFERROR(__xludf.DUMMYFUNCTION("""COMPUTED_VALUE"""),86.88888888888889)</f>
        <v>86.88888889</v>
      </c>
      <c r="DH81" s="96"/>
      <c r="DI81" s="97"/>
      <c r="DJ81" s="95"/>
      <c r="DK81" s="96"/>
      <c r="DL81" s="97">
        <f>IFERROR(__xludf.DUMMYFUNCTION("""COMPUTED_VALUE"""),74.47619047619048)</f>
        <v>74.47619048</v>
      </c>
      <c r="DM81" s="95"/>
      <c r="DN81" s="96"/>
      <c r="DO81" s="97"/>
      <c r="DP81" s="95"/>
      <c r="DQ81" s="96"/>
      <c r="DR81" s="97"/>
      <c r="DS81" s="95"/>
    </row>
    <row r="82">
      <c r="B82" s="120" t="str">
        <f>IFERROR(__xludf.DUMMYFUNCTION("""COMPUTED_VALUE"""),"OKN6")</f>
        <v>OKN6</v>
      </c>
      <c r="C82" s="88" t="str">
        <f>IFERROR(__xludf.DUMMYFUNCTION("""COMPUTED_VALUE"""),"Two-Current Sea")</f>
        <v>Two-Current Sea</v>
      </c>
      <c r="D82" s="102">
        <f>IFERROR(__xludf.DUMMYFUNCTION("""COMPUTED_VALUE"""),14.0)</f>
        <v>14</v>
      </c>
      <c r="E82" s="82" t="b">
        <f>IFERROR(__xludf.DUMMYFUNCTION("""COMPUTED_VALUE"""),TRUE)</f>
        <v>1</v>
      </c>
      <c r="F82" s="82" t="str">
        <f>IFERROR(__xludf.DUMMYFUNCTION("""COMPUTED_VALUE"""),"Free Quests- Part 1!A492:J505")</f>
        <v>Free Quests- Part 1!A492:J505</v>
      </c>
      <c r="G82" s="82">
        <f>IFERROR(__xludf.DUMMYFUNCTION("""COMPUTED_VALUE"""),82.0)</f>
        <v>82</v>
      </c>
      <c r="H82" s="82">
        <f>IFERROR(__xludf.DUMMYFUNCTION("""COMPUTED_VALUE"""),1835.0)</f>
        <v>1835</v>
      </c>
      <c r="I82" s="95"/>
      <c r="J82" s="96"/>
      <c r="K82" s="97"/>
      <c r="L82" s="95"/>
      <c r="M82" s="96"/>
      <c r="N82" s="97"/>
      <c r="O82" s="95"/>
      <c r="P82" s="96"/>
      <c r="Q82" s="97"/>
      <c r="R82" s="95"/>
      <c r="S82" s="96"/>
      <c r="T82" s="97"/>
      <c r="U82" s="95"/>
      <c r="V82" s="96"/>
      <c r="W82" s="97"/>
      <c r="X82" s="95"/>
      <c r="Y82" s="96"/>
      <c r="Z82" s="97"/>
      <c r="AA82" s="95"/>
      <c r="AB82" s="96"/>
      <c r="AC82" s="97">
        <f>IFERROR(__xludf.DUMMYFUNCTION("""COMPUTED_VALUE"""),111.81719260065289)</f>
        <v>111.8171926</v>
      </c>
      <c r="AD82" s="95"/>
      <c r="AE82" s="96"/>
      <c r="AF82" s="97"/>
      <c r="AG82" s="95"/>
      <c r="AH82" s="96"/>
      <c r="AI82" s="97"/>
      <c r="AJ82" s="95"/>
      <c r="AK82" s="96"/>
      <c r="AL82" s="97"/>
      <c r="AM82" s="95"/>
      <c r="AN82" s="96"/>
      <c r="AO82" s="97"/>
      <c r="AP82" s="95"/>
      <c r="AQ82" s="96"/>
      <c r="AR82" s="97"/>
      <c r="AS82" s="95"/>
      <c r="AT82" s="96"/>
      <c r="AU82" s="97">
        <f>IFERROR(__xludf.DUMMYFUNCTION("""COMPUTED_VALUE"""),54.169741697416974)</f>
        <v>54.1697417</v>
      </c>
      <c r="AV82" s="95"/>
      <c r="AW82" s="96"/>
      <c r="AX82" s="97"/>
      <c r="AY82" s="95"/>
      <c r="AZ82" s="96"/>
      <c r="BA82" s="97"/>
      <c r="BB82" s="95"/>
      <c r="BC82" s="96"/>
      <c r="BD82" s="97"/>
      <c r="BE82" s="95"/>
      <c r="BF82" s="96"/>
      <c r="BG82" s="97"/>
      <c r="BH82" s="95"/>
      <c r="BI82" s="96"/>
      <c r="BJ82" s="97"/>
      <c r="BK82" s="95"/>
      <c r="BL82" s="96"/>
      <c r="BM82" s="97"/>
      <c r="BN82" s="95"/>
      <c r="BO82" s="96"/>
      <c r="BP82" s="97"/>
      <c r="BQ82" s="95">
        <f>IFERROR(__xludf.DUMMYFUNCTION("""COMPUTED_VALUE"""),281.5342465753424)</f>
        <v>281.5342466</v>
      </c>
      <c r="BR82" s="96"/>
      <c r="BS82" s="97">
        <f>IFERROR(__xludf.DUMMYFUNCTION("""COMPUTED_VALUE"""),73.82183908045977)</f>
        <v>73.82183908</v>
      </c>
      <c r="BT82" s="95"/>
      <c r="BU82" s="96"/>
      <c r="BV82" s="97"/>
      <c r="BW82" s="95"/>
      <c r="BX82" s="96">
        <f>IFERROR(__xludf.DUMMYFUNCTION("""COMPUTED_VALUE"""),72.62190812720847)</f>
        <v>72.62190813</v>
      </c>
      <c r="BY82" s="97"/>
      <c r="BZ82" s="95"/>
      <c r="CA82" s="96"/>
      <c r="CB82" s="97"/>
      <c r="CC82" s="95"/>
      <c r="CD82" s="96"/>
      <c r="CE82" s="97"/>
      <c r="CF82" s="95"/>
      <c r="CG82" s="96"/>
      <c r="CH82" s="96"/>
      <c r="CI82" s="95"/>
      <c r="CJ82" s="96"/>
      <c r="CK82" s="96"/>
      <c r="CL82" s="95"/>
      <c r="CM82" s="96"/>
      <c r="CN82" s="96"/>
      <c r="CO82" s="95"/>
      <c r="CP82" s="96"/>
      <c r="CQ82" s="96"/>
      <c r="CR82" s="95"/>
      <c r="CS82" s="96"/>
      <c r="CT82" s="96"/>
      <c r="CU82" s="95"/>
      <c r="CV82" s="96"/>
      <c r="CW82" s="97"/>
      <c r="CX82" s="96"/>
      <c r="CY82" s="96"/>
      <c r="CZ82" s="97"/>
      <c r="DA82" s="95"/>
      <c r="DB82" s="96"/>
      <c r="DC82" s="97"/>
      <c r="DD82" s="95"/>
      <c r="DE82" s="96"/>
      <c r="DF82" s="97"/>
      <c r="DG82" s="95"/>
      <c r="DH82" s="96"/>
      <c r="DI82" s="97">
        <f>IFERROR(__xludf.DUMMYFUNCTION("""COMPUTED_VALUE"""),238.0)</f>
        <v>238</v>
      </c>
      <c r="DJ82" s="95"/>
      <c r="DK82" s="96"/>
      <c r="DL82" s="97">
        <f>IFERROR(__xludf.DUMMYFUNCTION("""COMPUTED_VALUE"""),52.888888888888886)</f>
        <v>52.88888889</v>
      </c>
      <c r="DM82" s="95"/>
      <c r="DN82" s="96"/>
      <c r="DO82" s="97"/>
      <c r="DP82" s="95"/>
      <c r="DQ82" s="96">
        <f>IFERROR(__xludf.DUMMYFUNCTION("""COMPUTED_VALUE"""),95.2)</f>
        <v>95.2</v>
      </c>
      <c r="DR82" s="97"/>
      <c r="DS82" s="95"/>
    </row>
    <row r="83">
      <c r="B83" s="120" t="str">
        <f>IFERROR(__xludf.DUMMYFUNCTION("""COMPUTED_VALUE"""),"OKN7")</f>
        <v>OKN7</v>
      </c>
      <c r="C83" s="88" t="str">
        <f>IFERROR(__xludf.DUMMYFUNCTION("""COMPUTED_VALUE"""),"Island of Wyverns")</f>
        <v>Island of Wyverns</v>
      </c>
      <c r="D83" s="102">
        <f>IFERROR(__xludf.DUMMYFUNCTION("""COMPUTED_VALUE"""),14.0)</f>
        <v>14</v>
      </c>
      <c r="E83" s="82" t="b">
        <f>IFERROR(__xludf.DUMMYFUNCTION("""COMPUTED_VALUE"""),TRUE)</f>
        <v>1</v>
      </c>
      <c r="F83" s="82" t="str">
        <f>IFERROR(__xludf.DUMMYFUNCTION("""COMPUTED_VALUE"""),"Free Quests- Part 1!A509:J519")</f>
        <v>Free Quests- Part 1!A509:J519</v>
      </c>
      <c r="G83" s="82">
        <f>IFERROR(__xludf.DUMMYFUNCTION("""COMPUTED_VALUE"""),83.0)</f>
        <v>83</v>
      </c>
      <c r="H83" s="82">
        <f>IFERROR(__xludf.DUMMYFUNCTION("""COMPUTED_VALUE"""),2460.0)</f>
        <v>2460</v>
      </c>
      <c r="I83" s="95"/>
      <c r="J83" s="96"/>
      <c r="K83" s="97"/>
      <c r="L83" s="95"/>
      <c r="M83" s="96"/>
      <c r="N83" s="97"/>
      <c r="O83" s="95"/>
      <c r="P83" s="96"/>
      <c r="Q83" s="97"/>
      <c r="R83" s="95"/>
      <c r="S83" s="96"/>
      <c r="T83" s="97"/>
      <c r="U83" s="95"/>
      <c r="V83" s="96"/>
      <c r="W83" s="97"/>
      <c r="X83" s="95"/>
      <c r="Y83" s="96"/>
      <c r="Z83" s="97"/>
      <c r="AA83" s="95"/>
      <c r="AB83" s="96"/>
      <c r="AC83" s="97"/>
      <c r="AD83" s="95"/>
      <c r="AE83" s="96"/>
      <c r="AF83" s="97"/>
      <c r="AG83" s="95"/>
      <c r="AH83" s="96"/>
      <c r="AI83" s="97"/>
      <c r="AJ83" s="95"/>
      <c r="AK83" s="96"/>
      <c r="AL83" s="97"/>
      <c r="AM83" s="95"/>
      <c r="AN83" s="96"/>
      <c r="AO83" s="97"/>
      <c r="AP83" s="95"/>
      <c r="AQ83" s="96"/>
      <c r="AR83" s="97"/>
      <c r="AS83" s="95"/>
      <c r="AT83" s="96"/>
      <c r="AU83" s="97"/>
      <c r="AV83" s="95"/>
      <c r="AW83" s="96">
        <f>IFERROR(__xludf.DUMMYFUNCTION("""COMPUTED_VALUE"""),27.54616021403463)</f>
        <v>27.54616021</v>
      </c>
      <c r="AX83" s="97"/>
      <c r="AY83" s="95"/>
      <c r="AZ83" s="96"/>
      <c r="BA83" s="97"/>
      <c r="BB83" s="95"/>
      <c r="BC83" s="96"/>
      <c r="BD83" s="97"/>
      <c r="BE83" s="95"/>
      <c r="BF83" s="96"/>
      <c r="BG83" s="97"/>
      <c r="BH83" s="95"/>
      <c r="BI83" s="96"/>
      <c r="BJ83" s="97"/>
      <c r="BK83" s="95"/>
      <c r="BL83" s="96"/>
      <c r="BM83" s="97"/>
      <c r="BN83" s="95">
        <f>IFERROR(__xludf.DUMMYFUNCTION("""COMPUTED_VALUE"""),288.56304985337243)</f>
        <v>288.5630499</v>
      </c>
      <c r="BO83" s="96"/>
      <c r="BP83" s="97"/>
      <c r="BQ83" s="95"/>
      <c r="BR83" s="96"/>
      <c r="BS83" s="97"/>
      <c r="BT83" s="95"/>
      <c r="BU83" s="96">
        <f>IFERROR(__xludf.DUMMYFUNCTION("""COMPUTED_VALUE"""),32.48158763662497)</f>
        <v>32.48158764</v>
      </c>
      <c r="BV83" s="97"/>
      <c r="BW83" s="95"/>
      <c r="BX83" s="96"/>
      <c r="BY83" s="97"/>
      <c r="BZ83" s="95"/>
      <c r="CA83" s="96"/>
      <c r="CB83" s="97"/>
      <c r="CC83" s="95"/>
      <c r="CD83" s="96"/>
      <c r="CE83" s="97"/>
      <c r="CF83" s="95"/>
      <c r="CG83" s="96"/>
      <c r="CH83" s="96"/>
      <c r="CI83" s="95"/>
      <c r="CJ83" s="96"/>
      <c r="CK83" s="96"/>
      <c r="CL83" s="95"/>
      <c r="CM83" s="96"/>
      <c r="CN83" s="96"/>
      <c r="CO83" s="95"/>
      <c r="CP83" s="96"/>
      <c r="CQ83" s="96"/>
      <c r="CR83" s="95"/>
      <c r="CS83" s="96"/>
      <c r="CT83" s="96"/>
      <c r="CU83" s="95"/>
      <c r="CV83" s="96"/>
      <c r="CW83" s="97"/>
      <c r="CX83" s="96">
        <f>IFERROR(__xludf.DUMMYFUNCTION("""COMPUTED_VALUE"""),278.44444444444446)</f>
        <v>278.4444444</v>
      </c>
      <c r="CY83" s="96"/>
      <c r="CZ83" s="97"/>
      <c r="DA83" s="95"/>
      <c r="DB83" s="96"/>
      <c r="DC83" s="97"/>
      <c r="DD83" s="95"/>
      <c r="DE83" s="96"/>
      <c r="DF83" s="97">
        <f>IFERROR(__xludf.DUMMYFUNCTION("""COMPUTED_VALUE"""),84.0)</f>
        <v>84</v>
      </c>
      <c r="DG83" s="95"/>
      <c r="DH83" s="96"/>
      <c r="DI83" s="97"/>
      <c r="DJ83" s="95"/>
      <c r="DK83" s="96"/>
      <c r="DL83" s="97"/>
      <c r="DM83" s="95"/>
      <c r="DN83" s="96">
        <f>IFERROR(__xludf.DUMMYFUNCTION("""COMPUTED_VALUE"""),80.0)</f>
        <v>80</v>
      </c>
      <c r="DO83" s="97"/>
      <c r="DP83" s="95"/>
      <c r="DQ83" s="96"/>
      <c r="DR83" s="97"/>
      <c r="DS83" s="95"/>
    </row>
    <row r="84">
      <c r="B84" s="120" t="str">
        <f>IFERROR(__xludf.DUMMYFUNCTION("""COMPUTED_VALUE"""),"OKN8")</f>
        <v>OKN8</v>
      </c>
      <c r="C84" s="88" t="str">
        <f>IFERROR(__xludf.DUMMYFUNCTION("""COMPUTED_VALUE"""),"Caldera Island")</f>
        <v>Caldera Island</v>
      </c>
      <c r="D84" s="102">
        <f>IFERROR(__xludf.DUMMYFUNCTION("""COMPUTED_VALUE"""),17.0)</f>
        <v>17</v>
      </c>
      <c r="E84" s="82" t="b">
        <f>IFERROR(__xludf.DUMMYFUNCTION("""COMPUTED_VALUE"""),TRUE)</f>
        <v>1</v>
      </c>
      <c r="F84" s="82" t="str">
        <f>IFERROR(__xludf.DUMMYFUNCTION("""COMPUTED_VALUE"""),"Free Quests- Part 1!A523:J532")</f>
        <v>Free Quests- Part 1!A523:J532</v>
      </c>
      <c r="G84" s="82">
        <f>IFERROR(__xludf.DUMMYFUNCTION("""COMPUTED_VALUE"""),84.0)</f>
        <v>84</v>
      </c>
      <c r="H84" s="82">
        <f>IFERROR(__xludf.DUMMYFUNCTION("""COMPUTED_VALUE"""),2294.0)</f>
        <v>2294</v>
      </c>
      <c r="I84" s="95"/>
      <c r="J84" s="96"/>
      <c r="K84" s="97"/>
      <c r="L84" s="95"/>
      <c r="M84" s="96"/>
      <c r="N84" s="97"/>
      <c r="O84" s="95"/>
      <c r="P84" s="96"/>
      <c r="Q84" s="97"/>
      <c r="R84" s="95"/>
      <c r="S84" s="96"/>
      <c r="T84" s="97"/>
      <c r="U84" s="95"/>
      <c r="V84" s="96"/>
      <c r="W84" s="97"/>
      <c r="X84" s="95"/>
      <c r="Y84" s="96"/>
      <c r="Z84" s="97"/>
      <c r="AA84" s="95">
        <f>IFERROR(__xludf.DUMMYFUNCTION("""COMPUTED_VALUE"""),109.07585635930872)</f>
        <v>109.0758564</v>
      </c>
      <c r="AB84" s="96"/>
      <c r="AC84" s="97"/>
      <c r="AD84" s="95"/>
      <c r="AE84" s="96"/>
      <c r="AF84" s="97"/>
      <c r="AG84" s="95"/>
      <c r="AH84" s="96"/>
      <c r="AI84" s="97">
        <f>IFERROR(__xludf.DUMMYFUNCTION("""COMPUTED_VALUE"""),137.78215876851766)</f>
        <v>137.7821588</v>
      </c>
      <c r="AJ84" s="95"/>
      <c r="AK84" s="96"/>
      <c r="AL84" s="97"/>
      <c r="AM84" s="95"/>
      <c r="AN84" s="96"/>
      <c r="AO84" s="97"/>
      <c r="AP84" s="95"/>
      <c r="AQ84" s="96"/>
      <c r="AR84" s="97"/>
      <c r="AS84" s="95"/>
      <c r="AT84" s="96"/>
      <c r="AU84" s="97"/>
      <c r="AV84" s="95"/>
      <c r="AW84" s="96"/>
      <c r="AX84" s="97"/>
      <c r="AY84" s="95"/>
      <c r="AZ84" s="96"/>
      <c r="BA84" s="97"/>
      <c r="BB84" s="95"/>
      <c r="BC84" s="96"/>
      <c r="BD84" s="97"/>
      <c r="BE84" s="95"/>
      <c r="BF84" s="96"/>
      <c r="BG84" s="97"/>
      <c r="BH84" s="95"/>
      <c r="BI84" s="96"/>
      <c r="BJ84" s="97"/>
      <c r="BK84" s="95"/>
      <c r="BL84" s="96"/>
      <c r="BM84" s="97"/>
      <c r="BN84" s="95"/>
      <c r="BO84" s="96"/>
      <c r="BP84" s="97"/>
      <c r="BQ84" s="95"/>
      <c r="BR84" s="96">
        <f>IFERROR(__xludf.DUMMYFUNCTION("""COMPUTED_VALUE"""),42.76316871593163)</f>
        <v>42.76316872</v>
      </c>
      <c r="BS84" s="97"/>
      <c r="BT84" s="95"/>
      <c r="BU84" s="96">
        <f>IFERROR(__xludf.DUMMYFUNCTION("""COMPUTED_VALUE"""),51.97058580517226)</f>
        <v>51.97058581</v>
      </c>
      <c r="BV84" s="97"/>
      <c r="BW84" s="95"/>
      <c r="BX84" s="96"/>
      <c r="BY84" s="97"/>
      <c r="BZ84" s="95"/>
      <c r="CA84" s="96"/>
      <c r="CB84" s="97"/>
      <c r="CC84" s="95"/>
      <c r="CD84" s="96"/>
      <c r="CE84" s="97"/>
      <c r="CF84" s="95"/>
      <c r="CG84" s="96"/>
      <c r="CH84" s="96"/>
      <c r="CI84" s="95"/>
      <c r="CJ84" s="96"/>
      <c r="CK84" s="96"/>
      <c r="CL84" s="95"/>
      <c r="CM84" s="96"/>
      <c r="CN84" s="96"/>
      <c r="CO84" s="95"/>
      <c r="CP84" s="96"/>
      <c r="CQ84" s="96"/>
      <c r="CR84" s="95"/>
      <c r="CS84" s="96"/>
      <c r="CT84" s="96"/>
      <c r="CU84" s="95"/>
      <c r="CV84" s="96"/>
      <c r="CW84" s="97"/>
      <c r="CX84" s="96"/>
      <c r="CY84" s="96"/>
      <c r="CZ84" s="97"/>
      <c r="DA84" s="95"/>
      <c r="DB84" s="96"/>
      <c r="DC84" s="97"/>
      <c r="DD84" s="95"/>
      <c r="DE84" s="96"/>
      <c r="DF84" s="97"/>
      <c r="DG84" s="95"/>
      <c r="DH84" s="96"/>
      <c r="DI84" s="97"/>
      <c r="DJ84" s="95"/>
      <c r="DK84" s="96">
        <f>IFERROR(__xludf.DUMMYFUNCTION("""COMPUTED_VALUE"""),44.625)</f>
        <v>44.625</v>
      </c>
      <c r="DL84" s="97"/>
      <c r="DM84" s="95"/>
      <c r="DN84" s="96">
        <f>IFERROR(__xludf.DUMMYFUNCTION("""COMPUTED_VALUE"""),71.4)</f>
        <v>71.4</v>
      </c>
      <c r="DO84" s="97"/>
      <c r="DP84" s="95"/>
      <c r="DQ84" s="96"/>
      <c r="DR84" s="97"/>
      <c r="DS84" s="95"/>
    </row>
    <row r="85">
      <c r="B85" s="120" t="str">
        <f>IFERROR(__xludf.DUMMYFUNCTION("""COMPUTED_VALUE"""),"OKN9")</f>
        <v>OKN9</v>
      </c>
      <c r="C85" s="88" t="str">
        <f>IFERROR(__xludf.DUMMYFUNCTION("""COMPUTED_VALUE"""),"Stormy Seas")</f>
        <v>Stormy Seas</v>
      </c>
      <c r="D85" s="102">
        <f>IFERROR(__xludf.DUMMYFUNCTION("""COMPUTED_VALUE"""),15.0)</f>
        <v>15</v>
      </c>
      <c r="E85" s="82" t="b">
        <f>IFERROR(__xludf.DUMMYFUNCTION("""COMPUTED_VALUE"""),TRUE)</f>
        <v>1</v>
      </c>
      <c r="F85" s="82" t="str">
        <f>IFERROR(__xludf.DUMMYFUNCTION("""COMPUTED_VALUE"""),"Free Quests- Part 1!A536:J543")</f>
        <v>Free Quests- Part 1!A536:J543</v>
      </c>
      <c r="G85" s="82">
        <f>IFERROR(__xludf.DUMMYFUNCTION("""COMPUTED_VALUE"""),85.0)</f>
        <v>85</v>
      </c>
      <c r="H85" s="82">
        <f>IFERROR(__xludf.DUMMYFUNCTION("""COMPUTED_VALUE"""),2815.0)</f>
        <v>2815</v>
      </c>
      <c r="I85" s="95"/>
      <c r="J85" s="96"/>
      <c r="K85" s="97"/>
      <c r="L85" s="95"/>
      <c r="M85" s="96"/>
      <c r="N85" s="97"/>
      <c r="O85" s="95"/>
      <c r="P85" s="96"/>
      <c r="Q85" s="97"/>
      <c r="R85" s="95"/>
      <c r="S85" s="96"/>
      <c r="T85" s="97"/>
      <c r="U85" s="95"/>
      <c r="V85" s="96"/>
      <c r="W85" s="97"/>
      <c r="X85" s="95"/>
      <c r="Y85" s="96"/>
      <c r="Z85" s="97"/>
      <c r="AA85" s="95"/>
      <c r="AB85" s="96">
        <f>IFERROR(__xludf.DUMMYFUNCTION("""COMPUTED_VALUE"""),73.09536586632505)</f>
        <v>73.09536587</v>
      </c>
      <c r="AC85" s="97"/>
      <c r="AD85" s="95"/>
      <c r="AE85" s="96"/>
      <c r="AF85" s="97"/>
      <c r="AG85" s="95"/>
      <c r="AH85" s="96"/>
      <c r="AI85" s="97"/>
      <c r="AJ85" s="95"/>
      <c r="AK85" s="96"/>
      <c r="AL85" s="97"/>
      <c r="AM85" s="95"/>
      <c r="AN85" s="96"/>
      <c r="AO85" s="97"/>
      <c r="AP85" s="95"/>
      <c r="AQ85" s="96"/>
      <c r="AR85" s="97"/>
      <c r="AS85" s="95"/>
      <c r="AT85" s="96"/>
      <c r="AU85" s="97"/>
      <c r="AV85" s="95"/>
      <c r="AW85" s="96"/>
      <c r="AX85" s="97"/>
      <c r="AY85" s="95"/>
      <c r="AZ85" s="96"/>
      <c r="BA85" s="97"/>
      <c r="BB85" s="95"/>
      <c r="BC85" s="96"/>
      <c r="BD85" s="97"/>
      <c r="BE85" s="95"/>
      <c r="BF85" s="96"/>
      <c r="BG85" s="97"/>
      <c r="BH85" s="95"/>
      <c r="BI85" s="96"/>
      <c r="BJ85" s="97"/>
      <c r="BK85" s="95"/>
      <c r="BL85" s="96"/>
      <c r="BM85" s="97"/>
      <c r="BN85" s="95"/>
      <c r="BO85" s="96"/>
      <c r="BP85" s="97"/>
      <c r="BQ85" s="95"/>
      <c r="BR85" s="96"/>
      <c r="BS85" s="97"/>
      <c r="BT85" s="95"/>
      <c r="BU85" s="96"/>
      <c r="BV85" s="97"/>
      <c r="BW85" s="95">
        <f>IFERROR(__xludf.DUMMYFUNCTION("""COMPUTED_VALUE"""),30.14994644769725)</f>
        <v>30.14994645</v>
      </c>
      <c r="BX85" s="96"/>
      <c r="BY85" s="97"/>
      <c r="BZ85" s="95"/>
      <c r="CA85" s="96"/>
      <c r="CB85" s="97"/>
      <c r="CC85" s="95"/>
      <c r="CD85" s="96"/>
      <c r="CE85" s="97"/>
      <c r="CF85" s="95"/>
      <c r="CG85" s="96"/>
      <c r="CH85" s="96"/>
      <c r="CI85" s="95"/>
      <c r="CJ85" s="96"/>
      <c r="CK85" s="96"/>
      <c r="CL85" s="95"/>
      <c r="CM85" s="96"/>
      <c r="CN85" s="96"/>
      <c r="CO85" s="95"/>
      <c r="CP85" s="96"/>
      <c r="CQ85" s="96"/>
      <c r="CR85" s="95"/>
      <c r="CS85" s="96"/>
      <c r="CT85" s="96"/>
      <c r="CU85" s="95"/>
      <c r="CV85" s="96"/>
      <c r="CW85" s="97"/>
      <c r="CX85" s="96"/>
      <c r="CY85" s="96"/>
      <c r="CZ85" s="97"/>
      <c r="DA85" s="95"/>
      <c r="DB85" s="96"/>
      <c r="DC85" s="97"/>
      <c r="DD85" s="95"/>
      <c r="DE85" s="96"/>
      <c r="DF85" s="97"/>
      <c r="DG85" s="95"/>
      <c r="DH85" s="96">
        <f>IFERROR(__xludf.DUMMYFUNCTION("""COMPUTED_VALUE"""),67.5)</f>
        <v>67.5</v>
      </c>
      <c r="DI85" s="97"/>
      <c r="DJ85" s="95"/>
      <c r="DK85" s="96"/>
      <c r="DL85" s="97"/>
      <c r="DM85" s="95"/>
      <c r="DN85" s="96"/>
      <c r="DO85" s="97"/>
      <c r="DP85" s="95">
        <f>IFERROR(__xludf.DUMMYFUNCTION("""COMPUTED_VALUE"""),67.5)</f>
        <v>67.5</v>
      </c>
      <c r="DQ85" s="96"/>
      <c r="DR85" s="97"/>
      <c r="DS85" s="95"/>
    </row>
    <row r="86">
      <c r="B86" s="120" t="str">
        <f>IFERROR(__xludf.DUMMYFUNCTION("""COMPUTED_VALUE"""),"OKN10")</f>
        <v>OKN10</v>
      </c>
      <c r="C86" s="88" t="str">
        <f>IFERROR(__xludf.DUMMYFUNCTION("""COMPUTED_VALUE"""),"Archipelago (Quiet Bay)")</f>
        <v>Archipelago (Quiet Bay)</v>
      </c>
      <c r="D86" s="102">
        <f>IFERROR(__xludf.DUMMYFUNCTION("""COMPUTED_VALUE"""),15.0)</f>
        <v>15</v>
      </c>
      <c r="E86" s="82" t="b">
        <f>IFERROR(__xludf.DUMMYFUNCTION("""COMPUTED_VALUE"""),TRUE)</f>
        <v>1</v>
      </c>
      <c r="F86" s="82" t="str">
        <f>IFERROR(__xludf.DUMMYFUNCTION("""COMPUTED_VALUE"""),"Free Quests- Part 1!A547:J560")</f>
        <v>Free Quests- Part 1!A547:J560</v>
      </c>
      <c r="G86" s="82">
        <f>IFERROR(__xludf.DUMMYFUNCTION("""COMPUTED_VALUE"""),86.0)</f>
        <v>86</v>
      </c>
      <c r="H86" s="82">
        <f>IFERROR(__xludf.DUMMYFUNCTION("""COMPUTED_VALUE"""),1230.0)</f>
        <v>1230</v>
      </c>
      <c r="I86" s="95"/>
      <c r="J86" s="96"/>
      <c r="K86" s="97"/>
      <c r="L86" s="95"/>
      <c r="M86" s="96"/>
      <c r="N86" s="97"/>
      <c r="O86" s="95"/>
      <c r="P86" s="96"/>
      <c r="Q86" s="97"/>
      <c r="R86" s="95"/>
      <c r="S86" s="96"/>
      <c r="T86" s="97"/>
      <c r="U86" s="95"/>
      <c r="V86" s="96"/>
      <c r="W86" s="97"/>
      <c r="X86" s="95"/>
      <c r="Y86" s="96"/>
      <c r="Z86" s="97"/>
      <c r="AA86" s="95"/>
      <c r="AB86" s="96"/>
      <c r="AC86" s="97"/>
      <c r="AD86" s="95"/>
      <c r="AE86" s="96"/>
      <c r="AF86" s="97"/>
      <c r="AG86" s="95"/>
      <c r="AH86" s="96"/>
      <c r="AI86" s="97"/>
      <c r="AJ86" s="95"/>
      <c r="AK86" s="96"/>
      <c r="AL86" s="97"/>
      <c r="AM86" s="95"/>
      <c r="AN86" s="96"/>
      <c r="AO86" s="97"/>
      <c r="AP86" s="95"/>
      <c r="AQ86" s="96"/>
      <c r="AR86" s="97"/>
      <c r="AS86" s="95"/>
      <c r="AT86" s="96"/>
      <c r="AU86" s="97">
        <f>IFERROR(__xludf.DUMMYFUNCTION("""COMPUTED_VALUE"""),83.79507675538196)</f>
        <v>83.79507676</v>
      </c>
      <c r="AV86" s="95"/>
      <c r="AW86" s="96">
        <f>IFERROR(__xludf.DUMMYFUNCTION("""COMPUTED_VALUE"""),114.69600895188363)</f>
        <v>114.696009</v>
      </c>
      <c r="AX86" s="97">
        <f>IFERROR(__xludf.DUMMYFUNCTION("""COMPUTED_VALUE"""),60.0)</f>
        <v>60</v>
      </c>
      <c r="AY86" s="95"/>
      <c r="AZ86" s="96"/>
      <c r="BA86" s="97"/>
      <c r="BB86" s="95"/>
      <c r="BC86" s="96"/>
      <c r="BD86" s="97"/>
      <c r="BE86" s="95"/>
      <c r="BF86" s="96"/>
      <c r="BG86" s="97"/>
      <c r="BH86" s="95"/>
      <c r="BI86" s="96"/>
      <c r="BJ86" s="97"/>
      <c r="BK86" s="95"/>
      <c r="BL86" s="96"/>
      <c r="BM86" s="97"/>
      <c r="BN86" s="95"/>
      <c r="BO86" s="96"/>
      <c r="BP86" s="97"/>
      <c r="BQ86" s="95"/>
      <c r="BR86" s="96">
        <f>IFERROR(__xludf.DUMMYFUNCTION("""COMPUTED_VALUE"""),47.96069562504874)</f>
        <v>47.96069563</v>
      </c>
      <c r="BS86" s="97"/>
      <c r="BT86" s="95"/>
      <c r="BU86" s="96"/>
      <c r="BV86" s="97"/>
      <c r="BW86" s="95"/>
      <c r="BX86" s="96"/>
      <c r="BY86" s="97"/>
      <c r="BZ86" s="95"/>
      <c r="CA86" s="96"/>
      <c r="CB86" s="97"/>
      <c r="CC86" s="95">
        <f>IFERROR(__xludf.DUMMYFUNCTION("""COMPUTED_VALUE"""),500.0)</f>
        <v>500</v>
      </c>
      <c r="CD86" s="96"/>
      <c r="CE86" s="97">
        <f>IFERROR(__xludf.DUMMYFUNCTION("""COMPUTED_VALUE"""),662.2397702799713)</f>
        <v>662.2397703</v>
      </c>
      <c r="CF86" s="95"/>
      <c r="CG86" s="96"/>
      <c r="CH86" s="96"/>
      <c r="CI86" s="95"/>
      <c r="CJ86" s="96">
        <f>IFERROR(__xludf.DUMMYFUNCTION("""COMPUTED_VALUE"""),152.20260683055602)</f>
        <v>152.2026068</v>
      </c>
      <c r="CK86" s="96"/>
      <c r="CL86" s="95">
        <f>IFERROR(__xludf.DUMMYFUNCTION("""COMPUTED_VALUE"""),151.39082629030935)</f>
        <v>151.3908263</v>
      </c>
      <c r="CM86" s="96"/>
      <c r="CN86" s="96"/>
      <c r="CO86" s="95"/>
      <c r="CP86" s="96"/>
      <c r="CQ86" s="96"/>
      <c r="CR86" s="95"/>
      <c r="CS86" s="96"/>
      <c r="CT86" s="96"/>
      <c r="CU86" s="95"/>
      <c r="CV86" s="96"/>
      <c r="CW86" s="97"/>
      <c r="CX86" s="96"/>
      <c r="CY86" s="96"/>
      <c r="CZ86" s="97"/>
      <c r="DA86" s="95"/>
      <c r="DB86" s="96"/>
      <c r="DC86" s="97"/>
      <c r="DD86" s="95"/>
      <c r="DE86" s="96"/>
      <c r="DF86" s="97"/>
      <c r="DG86" s="95">
        <f>IFERROR(__xludf.DUMMYFUNCTION("""COMPUTED_VALUE"""),150.0)</f>
        <v>150</v>
      </c>
      <c r="DH86" s="96"/>
      <c r="DI86" s="97">
        <f>IFERROR(__xludf.DUMMYFUNCTION("""COMPUTED_VALUE"""),37.5)</f>
        <v>37.5</v>
      </c>
      <c r="DJ86" s="95"/>
      <c r="DK86" s="96">
        <f>IFERROR(__xludf.DUMMYFUNCTION("""COMPUTED_VALUE"""),50.0)</f>
        <v>50</v>
      </c>
      <c r="DL86" s="97"/>
      <c r="DM86" s="95"/>
      <c r="DN86" s="96"/>
      <c r="DO86" s="97"/>
      <c r="DP86" s="95"/>
      <c r="DQ86" s="96"/>
      <c r="DR86" s="97"/>
      <c r="DS86" s="95"/>
    </row>
    <row r="87">
      <c r="B87" s="120" t="str">
        <f>IFERROR(__xludf.DUMMYFUNCTION("""COMPUTED_VALUE"""),"OKN11")</f>
        <v>OKN11</v>
      </c>
      <c r="C87" s="88" t="str">
        <f>IFERROR(__xludf.DUMMYFUNCTION("""COMPUTED_VALUE"""),"Archipelago (Hidden island)")</f>
        <v>Archipelago (Hidden island)</v>
      </c>
      <c r="D87" s="102">
        <f>IFERROR(__xludf.DUMMYFUNCTION("""COMPUTED_VALUE"""),16.0)</f>
        <v>16</v>
      </c>
      <c r="E87" s="82" t="b">
        <f>IFERROR(__xludf.DUMMYFUNCTION("""COMPUTED_VALUE"""),TRUE)</f>
        <v>1</v>
      </c>
      <c r="F87" s="82" t="str">
        <f>IFERROR(__xludf.DUMMYFUNCTION("""COMPUTED_VALUE"""),"Free Quests- Part 1!A564:J574")</f>
        <v>Free Quests- Part 1!A564:J574</v>
      </c>
      <c r="G87" s="82">
        <f>IFERROR(__xludf.DUMMYFUNCTION("""COMPUTED_VALUE"""),87.0)</f>
        <v>87</v>
      </c>
      <c r="H87" s="82">
        <f>IFERROR(__xludf.DUMMYFUNCTION("""COMPUTED_VALUE"""),1346.0)</f>
        <v>1346</v>
      </c>
      <c r="I87" s="95"/>
      <c r="J87" s="96"/>
      <c r="K87" s="97"/>
      <c r="L87" s="95"/>
      <c r="M87" s="96"/>
      <c r="N87" s="97"/>
      <c r="O87" s="95"/>
      <c r="P87" s="96"/>
      <c r="Q87" s="97"/>
      <c r="R87" s="95"/>
      <c r="S87" s="96"/>
      <c r="T87" s="97"/>
      <c r="U87" s="95"/>
      <c r="V87" s="96"/>
      <c r="W87" s="97"/>
      <c r="X87" s="95"/>
      <c r="Y87" s="96"/>
      <c r="Z87" s="97"/>
      <c r="AA87" s="95"/>
      <c r="AB87" s="96"/>
      <c r="AC87" s="97"/>
      <c r="AD87" s="95"/>
      <c r="AE87" s="96"/>
      <c r="AF87" s="97"/>
      <c r="AG87" s="95"/>
      <c r="AH87" s="96"/>
      <c r="AI87" s="97"/>
      <c r="AJ87" s="95"/>
      <c r="AK87" s="96">
        <f>IFERROR(__xludf.DUMMYFUNCTION("""COMPUTED_VALUE"""),62.03658360939076)</f>
        <v>62.03658361</v>
      </c>
      <c r="AL87" s="97"/>
      <c r="AM87" s="95"/>
      <c r="AN87" s="96"/>
      <c r="AO87" s="97"/>
      <c r="AP87" s="95"/>
      <c r="AQ87" s="96"/>
      <c r="AR87" s="97"/>
      <c r="AS87" s="95"/>
      <c r="AT87" s="96"/>
      <c r="AU87" s="97"/>
      <c r="AV87" s="95"/>
      <c r="AW87" s="96"/>
      <c r="AX87" s="97"/>
      <c r="AY87" s="95"/>
      <c r="AZ87" s="96"/>
      <c r="BA87" s="97"/>
      <c r="BB87" s="95"/>
      <c r="BC87" s="96"/>
      <c r="BD87" s="97"/>
      <c r="BE87" s="95"/>
      <c r="BF87" s="96"/>
      <c r="BG87" s="97"/>
      <c r="BH87" s="95"/>
      <c r="BI87" s="96"/>
      <c r="BJ87" s="97"/>
      <c r="BK87" s="95">
        <f>IFERROR(__xludf.DUMMYFUNCTION("""COMPUTED_VALUE"""),284.00369246999867)</f>
        <v>284.0036925</v>
      </c>
      <c r="BL87" s="96"/>
      <c r="BM87" s="97"/>
      <c r="BN87" s="95"/>
      <c r="BO87" s="96"/>
      <c r="BP87" s="97"/>
      <c r="BQ87" s="95"/>
      <c r="BR87" s="96">
        <f>IFERROR(__xludf.DUMMYFUNCTION("""COMPUTED_VALUE"""),33.73010900889613)</f>
        <v>33.73010901</v>
      </c>
      <c r="BS87" s="97"/>
      <c r="BT87" s="95"/>
      <c r="BU87" s="96"/>
      <c r="BV87" s="97"/>
      <c r="BW87" s="95"/>
      <c r="BX87" s="96"/>
      <c r="BY87" s="97"/>
      <c r="BZ87" s="95"/>
      <c r="CA87" s="96"/>
      <c r="CB87" s="97"/>
      <c r="CC87" s="95"/>
      <c r="CD87" s="96"/>
      <c r="CE87" s="97"/>
      <c r="CF87" s="95"/>
      <c r="CG87" s="96"/>
      <c r="CH87" s="96"/>
      <c r="CI87" s="95"/>
      <c r="CJ87" s="96"/>
      <c r="CK87" s="96"/>
      <c r="CL87" s="95"/>
      <c r="CM87" s="96">
        <f>IFERROR(__xludf.DUMMYFUNCTION("""COMPUTED_VALUE"""),254.6615537949558)</f>
        <v>254.6615538</v>
      </c>
      <c r="CN87" s="96"/>
      <c r="CO87" s="95"/>
      <c r="CP87" s="96"/>
      <c r="CQ87" s="96"/>
      <c r="CR87" s="95"/>
      <c r="CS87" s="96"/>
      <c r="CT87" s="96"/>
      <c r="CU87" s="95"/>
      <c r="CV87" s="96"/>
      <c r="CW87" s="97"/>
      <c r="CX87" s="96"/>
      <c r="CY87" s="96"/>
      <c r="CZ87" s="97"/>
      <c r="DA87" s="95"/>
      <c r="DB87" s="96"/>
      <c r="DC87" s="97">
        <f>IFERROR(__xludf.DUMMYFUNCTION("""COMPUTED_VALUE"""),100.0)</f>
        <v>100</v>
      </c>
      <c r="DD87" s="95"/>
      <c r="DE87" s="96"/>
      <c r="DF87" s="97"/>
      <c r="DG87" s="95"/>
      <c r="DH87" s="96"/>
      <c r="DI87" s="97"/>
      <c r="DJ87" s="95"/>
      <c r="DK87" s="96">
        <f>IFERROR(__xludf.DUMMYFUNCTION("""COMPUTED_VALUE"""),50.0)</f>
        <v>50</v>
      </c>
      <c r="DL87" s="97"/>
      <c r="DM87" s="95"/>
      <c r="DN87" s="96"/>
      <c r="DO87" s="97"/>
      <c r="DP87" s="95"/>
      <c r="DQ87" s="96"/>
      <c r="DR87" s="97"/>
      <c r="DS87" s="95"/>
    </row>
    <row r="88">
      <c r="B88" s="120" t="str">
        <f>IFERROR(__xludf.DUMMYFUNCTION("""COMPUTED_VALUE"""),"OKN12")</f>
        <v>OKN12</v>
      </c>
      <c r="C88" s="88" t="str">
        <f>IFERROR(__xludf.DUMMYFUNCTION("""COMPUTED_VALUE"""),"Bountiful Sea")</f>
        <v>Bountiful Sea</v>
      </c>
      <c r="D88" s="102">
        <f>IFERROR(__xludf.DUMMYFUNCTION("""COMPUTED_VALUE"""),18.0)</f>
        <v>18</v>
      </c>
      <c r="E88" s="82" t="b">
        <f>IFERROR(__xludf.DUMMYFUNCTION("""COMPUTED_VALUE"""),TRUE)</f>
        <v>1</v>
      </c>
      <c r="F88" s="82" t="str">
        <f>IFERROR(__xludf.DUMMYFUNCTION("""COMPUTED_VALUE"""),"Free Quests- Part 1!A578:J591")</f>
        <v>Free Quests- Part 1!A578:J591</v>
      </c>
      <c r="G88" s="82">
        <f>IFERROR(__xludf.DUMMYFUNCTION("""COMPUTED_VALUE"""),88.0)</f>
        <v>88</v>
      </c>
      <c r="H88" s="82">
        <f>IFERROR(__xludf.DUMMYFUNCTION("""COMPUTED_VALUE"""),19412.0)</f>
        <v>19412</v>
      </c>
      <c r="I88" s="95"/>
      <c r="J88" s="96"/>
      <c r="K88" s="97"/>
      <c r="L88" s="95"/>
      <c r="M88" s="96"/>
      <c r="N88" s="97"/>
      <c r="O88" s="95"/>
      <c r="P88" s="96"/>
      <c r="Q88" s="97"/>
      <c r="R88" s="95"/>
      <c r="S88" s="96"/>
      <c r="T88" s="97"/>
      <c r="U88" s="95"/>
      <c r="V88" s="96"/>
      <c r="W88" s="97"/>
      <c r="X88" s="95"/>
      <c r="Y88" s="96"/>
      <c r="Z88" s="97"/>
      <c r="AA88" s="95">
        <f>IFERROR(__xludf.DUMMYFUNCTION("""COMPUTED_VALUE"""),59.72208453689302)</f>
        <v>59.72208454</v>
      </c>
      <c r="AB88" s="96"/>
      <c r="AC88" s="97"/>
      <c r="AD88" s="95"/>
      <c r="AE88" s="96">
        <f>IFERROR(__xludf.DUMMYFUNCTION("""COMPUTED_VALUE"""),190.65578439749748)</f>
        <v>190.6557844</v>
      </c>
      <c r="AF88" s="97"/>
      <c r="AG88" s="95"/>
      <c r="AH88" s="96"/>
      <c r="AI88" s="97"/>
      <c r="AJ88" s="95"/>
      <c r="AK88" s="96"/>
      <c r="AL88" s="97"/>
      <c r="AM88" s="95"/>
      <c r="AN88" s="96"/>
      <c r="AO88" s="97"/>
      <c r="AP88" s="95"/>
      <c r="AQ88" s="96"/>
      <c r="AR88" s="97"/>
      <c r="AS88" s="95"/>
      <c r="AT88" s="96"/>
      <c r="AU88" s="97"/>
      <c r="AV88" s="95"/>
      <c r="AW88" s="96"/>
      <c r="AX88" s="97"/>
      <c r="AY88" s="95"/>
      <c r="AZ88" s="96"/>
      <c r="BA88" s="97"/>
      <c r="BB88" s="95"/>
      <c r="BC88" s="96"/>
      <c r="BD88" s="97"/>
      <c r="BE88" s="95"/>
      <c r="BF88" s="96"/>
      <c r="BG88" s="97"/>
      <c r="BH88" s="95"/>
      <c r="BI88" s="96"/>
      <c r="BJ88" s="97"/>
      <c r="BK88" s="95"/>
      <c r="BL88" s="96">
        <f>IFERROR(__xludf.DUMMYFUNCTION("""COMPUTED_VALUE"""),181.52423502519608)</f>
        <v>181.524235</v>
      </c>
      <c r="BM88" s="97">
        <f>IFERROR(__xludf.DUMMYFUNCTION("""COMPUTED_VALUE"""),356.1293952294708)</f>
        <v>356.1293952</v>
      </c>
      <c r="BN88" s="95"/>
      <c r="BO88" s="96"/>
      <c r="BP88" s="97"/>
      <c r="BQ88" s="95"/>
      <c r="BR88" s="96">
        <f>IFERROR(__xludf.DUMMYFUNCTION("""COMPUTED_VALUE"""),112.49568984806693)</f>
        <v>112.4956898</v>
      </c>
      <c r="BS88" s="97"/>
      <c r="BT88" s="95">
        <f>IFERROR(__xludf.DUMMYFUNCTION("""COMPUTED_VALUE"""),77.57614724850404)</f>
        <v>77.57614725</v>
      </c>
      <c r="BU88" s="96"/>
      <c r="BV88" s="97"/>
      <c r="BW88" s="95"/>
      <c r="BX88" s="96"/>
      <c r="BY88" s="97"/>
      <c r="BZ88" s="95"/>
      <c r="CA88" s="96"/>
      <c r="CB88" s="97"/>
      <c r="CC88" s="95"/>
      <c r="CD88" s="96"/>
      <c r="CE88" s="97"/>
      <c r="CF88" s="95"/>
      <c r="CG88" s="96"/>
      <c r="CH88" s="96"/>
      <c r="CI88" s="95"/>
      <c r="CJ88" s="96"/>
      <c r="CK88" s="96"/>
      <c r="CL88" s="95"/>
      <c r="CM88" s="96"/>
      <c r="CN88" s="96"/>
      <c r="CO88" s="95"/>
      <c r="CP88" s="96"/>
      <c r="CQ88" s="96"/>
      <c r="CR88" s="95"/>
      <c r="CS88" s="96"/>
      <c r="CT88" s="96"/>
      <c r="CU88" s="95"/>
      <c r="CV88" s="96"/>
      <c r="CW88" s="97"/>
      <c r="CX88" s="96"/>
      <c r="CY88" s="96"/>
      <c r="CZ88" s="97"/>
      <c r="DA88" s="95"/>
      <c r="DB88" s="96"/>
      <c r="DC88" s="97"/>
      <c r="DD88" s="95">
        <f>IFERROR(__xludf.DUMMYFUNCTION("""COMPUTED_VALUE"""),208.2857142857143)</f>
        <v>208.2857143</v>
      </c>
      <c r="DE88" s="96">
        <f>IFERROR(__xludf.DUMMYFUNCTION("""COMPUTED_VALUE"""),291.6)</f>
        <v>291.6</v>
      </c>
      <c r="DF88" s="97"/>
      <c r="DG88" s="95"/>
      <c r="DH88" s="96"/>
      <c r="DI88" s="97"/>
      <c r="DJ88" s="95"/>
      <c r="DK88" s="96">
        <f>IFERROR(__xludf.DUMMYFUNCTION("""COMPUTED_VALUE"""),486.0)</f>
        <v>486</v>
      </c>
      <c r="DL88" s="97"/>
      <c r="DM88" s="95">
        <f>IFERROR(__xludf.DUMMYFUNCTION("""COMPUTED_VALUE"""),112.15384615384616)</f>
        <v>112.1538462</v>
      </c>
      <c r="DN88" s="96"/>
      <c r="DO88" s="97"/>
      <c r="DP88" s="95"/>
      <c r="DQ88" s="96"/>
      <c r="DR88" s="97"/>
      <c r="DS88" s="95"/>
    </row>
    <row r="89">
      <c r="A89" s="130" t="str">
        <f>IFERROR(__xludf.DUMMYFUNCTION("""COMPUTED_VALUE"""),"LONDON")</f>
        <v>LONDON</v>
      </c>
      <c r="B89" s="120" t="str">
        <f>IFERROR(__xludf.DUMMYFUNCTION("""COMPUTED_VALUE"""),"LDN1")</f>
        <v>LDN1</v>
      </c>
      <c r="C89" s="88" t="str">
        <f>IFERROR(__xludf.DUMMYFUNCTION("""COMPUTED_VALUE"""),"Old Street")</f>
        <v>Old Street</v>
      </c>
      <c r="D89" s="102">
        <f>IFERROR(__xludf.DUMMYFUNCTION("""COMPUTED_VALUE"""),15.0)</f>
        <v>15</v>
      </c>
      <c r="E89" s="82" t="b">
        <f>IFERROR(__xludf.DUMMYFUNCTION("""COMPUTED_VALUE"""),TRUE)</f>
        <v>1</v>
      </c>
      <c r="F89" s="82" t="str">
        <f>IFERROR(__xludf.DUMMYFUNCTION("""COMPUTED_VALUE"""),"Free Quests- Part 1!A597:J602")</f>
        <v>Free Quests- Part 1!A597:J602</v>
      </c>
      <c r="G89" s="82">
        <f>IFERROR(__xludf.DUMMYFUNCTION("""COMPUTED_VALUE"""),89.0)</f>
        <v>89</v>
      </c>
      <c r="H89" s="82">
        <f>IFERROR(__xludf.DUMMYFUNCTION("""COMPUTED_VALUE"""),1171.0)</f>
        <v>1171</v>
      </c>
      <c r="I89" s="95"/>
      <c r="J89" s="96"/>
      <c r="K89" s="97"/>
      <c r="L89" s="95"/>
      <c r="M89" s="96"/>
      <c r="N89" s="97"/>
      <c r="O89" s="95"/>
      <c r="P89" s="96"/>
      <c r="Q89" s="97"/>
      <c r="R89" s="95"/>
      <c r="S89" s="96"/>
      <c r="T89" s="97"/>
      <c r="U89" s="95"/>
      <c r="V89" s="96"/>
      <c r="W89" s="97"/>
      <c r="X89" s="95"/>
      <c r="Y89" s="96"/>
      <c r="Z89" s="97"/>
      <c r="AA89" s="95"/>
      <c r="AB89" s="96"/>
      <c r="AC89" s="97"/>
      <c r="AD89" s="95"/>
      <c r="AE89" s="96"/>
      <c r="AF89" s="97">
        <f>IFERROR(__xludf.DUMMYFUNCTION("""COMPUTED_VALUE"""),119.32744565217392)</f>
        <v>119.3274457</v>
      </c>
      <c r="AG89" s="95"/>
      <c r="AH89" s="96"/>
      <c r="AI89" s="97"/>
      <c r="AJ89" s="95"/>
      <c r="AK89" s="96"/>
      <c r="AL89" s="97"/>
      <c r="AM89" s="95"/>
      <c r="AN89" s="96"/>
      <c r="AO89" s="97"/>
      <c r="AP89" s="95"/>
      <c r="AQ89" s="96"/>
      <c r="AR89" s="97"/>
      <c r="AS89" s="95"/>
      <c r="AT89" s="96"/>
      <c r="AU89" s="97"/>
      <c r="AV89" s="95"/>
      <c r="AW89" s="96"/>
      <c r="AX89" s="97"/>
      <c r="AY89" s="95"/>
      <c r="AZ89" s="96"/>
      <c r="BA89" s="97"/>
      <c r="BB89" s="95"/>
      <c r="BC89" s="96"/>
      <c r="BD89" s="97"/>
      <c r="BE89" s="95"/>
      <c r="BF89" s="96"/>
      <c r="BG89" s="97"/>
      <c r="BH89" s="95"/>
      <c r="BI89" s="96"/>
      <c r="BJ89" s="97"/>
      <c r="BK89" s="95"/>
      <c r="BL89" s="96"/>
      <c r="BM89" s="97"/>
      <c r="BN89" s="95"/>
      <c r="BO89" s="96"/>
      <c r="BP89" s="97"/>
      <c r="BQ89" s="95"/>
      <c r="BR89" s="96"/>
      <c r="BS89" s="97"/>
      <c r="BT89" s="95"/>
      <c r="BU89" s="96"/>
      <c r="BV89" s="97"/>
      <c r="BW89" s="95">
        <f>IFERROR(__xludf.DUMMYFUNCTION("""COMPUTED_VALUE"""),26.47324792765637)</f>
        <v>26.47324793</v>
      </c>
      <c r="BX89" s="96"/>
      <c r="BY89" s="97"/>
      <c r="BZ89" s="95"/>
      <c r="CA89" s="96"/>
      <c r="CB89" s="97"/>
      <c r="CC89" s="95"/>
      <c r="CD89" s="96"/>
      <c r="CE89" s="97"/>
      <c r="CF89" s="95"/>
      <c r="CG89" s="96"/>
      <c r="CH89" s="96"/>
      <c r="CI89" s="95"/>
      <c r="CJ89" s="96"/>
      <c r="CK89" s="96"/>
      <c r="CL89" s="95"/>
      <c r="CM89" s="96"/>
      <c r="CN89" s="96"/>
      <c r="CO89" s="95"/>
      <c r="CP89" s="96"/>
      <c r="CQ89" s="96"/>
      <c r="CR89" s="95"/>
      <c r="CS89" s="96"/>
      <c r="CT89" s="96"/>
      <c r="CU89" s="95"/>
      <c r="CV89" s="96"/>
      <c r="CW89" s="97"/>
      <c r="CX89" s="96"/>
      <c r="CY89" s="96"/>
      <c r="CZ89" s="97"/>
      <c r="DA89" s="95"/>
      <c r="DB89" s="96"/>
      <c r="DC89" s="97"/>
      <c r="DD89" s="95"/>
      <c r="DE89" s="96"/>
      <c r="DF89" s="97"/>
      <c r="DG89" s="95"/>
      <c r="DH89" s="96"/>
      <c r="DI89" s="97"/>
      <c r="DJ89" s="95"/>
      <c r="DK89" s="96"/>
      <c r="DL89" s="97"/>
      <c r="DM89" s="95"/>
      <c r="DN89" s="96"/>
      <c r="DO89" s="97"/>
      <c r="DP89" s="95">
        <f>IFERROR(__xludf.DUMMYFUNCTION("""COMPUTED_VALUE"""),65.0)</f>
        <v>65</v>
      </c>
      <c r="DQ89" s="96"/>
      <c r="DR89" s="97"/>
      <c r="DS89" s="95"/>
    </row>
    <row r="90">
      <c r="B90" s="120" t="str">
        <f>IFERROR(__xludf.DUMMYFUNCTION("""COMPUTED_VALUE"""),"LDN2")</f>
        <v>LDN2</v>
      </c>
      <c r="C90" s="88" t="str">
        <f>IFERROR(__xludf.DUMMYFUNCTION("""COMPUTED_VALUE"""),"White Chapel")</f>
        <v>White Chapel</v>
      </c>
      <c r="D90" s="102">
        <f>IFERROR(__xludf.DUMMYFUNCTION("""COMPUTED_VALUE"""),15.0)</f>
        <v>15</v>
      </c>
      <c r="E90" s="82" t="b">
        <f>IFERROR(__xludf.DUMMYFUNCTION("""COMPUTED_VALUE"""),TRUE)</f>
        <v>1</v>
      </c>
      <c r="F90" s="82" t="str">
        <f>IFERROR(__xludf.DUMMYFUNCTION("""COMPUTED_VALUE"""),"Free Quests- Part 1!A606:J617")</f>
        <v>Free Quests- Part 1!A606:J617</v>
      </c>
      <c r="G90" s="82">
        <f>IFERROR(__xludf.DUMMYFUNCTION("""COMPUTED_VALUE"""),90.0)</f>
        <v>90</v>
      </c>
      <c r="H90" s="82">
        <f>IFERROR(__xludf.DUMMYFUNCTION("""COMPUTED_VALUE"""),1187.0)</f>
        <v>1187</v>
      </c>
      <c r="I90" s="95"/>
      <c r="J90" s="96"/>
      <c r="K90" s="97"/>
      <c r="L90" s="95"/>
      <c r="M90" s="96"/>
      <c r="N90" s="97"/>
      <c r="O90" s="95"/>
      <c r="P90" s="96"/>
      <c r="Q90" s="97"/>
      <c r="R90" s="95"/>
      <c r="S90" s="96"/>
      <c r="T90" s="97"/>
      <c r="U90" s="95"/>
      <c r="V90" s="96"/>
      <c r="W90" s="97"/>
      <c r="X90" s="95"/>
      <c r="Y90" s="96"/>
      <c r="Z90" s="97"/>
      <c r="AA90" s="95"/>
      <c r="AB90" s="96"/>
      <c r="AC90" s="97"/>
      <c r="AD90" s="95"/>
      <c r="AE90" s="96"/>
      <c r="AF90" s="97">
        <f>IFERROR(__xludf.DUMMYFUNCTION("""COMPUTED_VALUE"""),129.1761889215366)</f>
        <v>129.1761889</v>
      </c>
      <c r="AG90" s="95"/>
      <c r="AH90" s="96"/>
      <c r="AI90" s="97"/>
      <c r="AJ90" s="95"/>
      <c r="AK90" s="96"/>
      <c r="AL90" s="97"/>
      <c r="AM90" s="95"/>
      <c r="AN90" s="96"/>
      <c r="AO90" s="97"/>
      <c r="AP90" s="95"/>
      <c r="AQ90" s="96"/>
      <c r="AR90" s="97"/>
      <c r="AS90" s="95"/>
      <c r="AT90" s="96"/>
      <c r="AU90" s="97"/>
      <c r="AV90" s="95"/>
      <c r="AW90" s="96"/>
      <c r="AX90" s="97">
        <f>IFERROR(__xludf.DUMMYFUNCTION("""COMPUTED_VALUE"""),140.27195663819998)</f>
        <v>140.2719566</v>
      </c>
      <c r="AY90" s="95"/>
      <c r="AZ90" s="96"/>
      <c r="BA90" s="97"/>
      <c r="BB90" s="95"/>
      <c r="BC90" s="96"/>
      <c r="BD90" s="97"/>
      <c r="BE90" s="95"/>
      <c r="BF90" s="96"/>
      <c r="BG90" s="97"/>
      <c r="BH90" s="95"/>
      <c r="BI90" s="96"/>
      <c r="BJ90" s="97"/>
      <c r="BK90" s="95"/>
      <c r="BL90" s="96"/>
      <c r="BM90" s="97"/>
      <c r="BN90" s="95"/>
      <c r="BO90" s="96"/>
      <c r="BP90" s="97">
        <f>IFERROR(__xludf.DUMMYFUNCTION("""COMPUTED_VALUE"""),337.18397878988736)</f>
        <v>337.1839788</v>
      </c>
      <c r="BQ90" s="95"/>
      <c r="BR90" s="96"/>
      <c r="BS90" s="97"/>
      <c r="BT90" s="95"/>
      <c r="BU90" s="96"/>
      <c r="BV90" s="97"/>
      <c r="BW90" s="95">
        <f>IFERROR(__xludf.DUMMYFUNCTION("""COMPUTED_VALUE"""),36.067041550528295)</f>
        <v>36.06704155</v>
      </c>
      <c r="BX90" s="96"/>
      <c r="BY90" s="97"/>
      <c r="BZ90" s="95"/>
      <c r="CA90" s="96"/>
      <c r="CB90" s="97"/>
      <c r="CC90" s="95"/>
      <c r="CD90" s="96">
        <f>IFERROR(__xludf.DUMMYFUNCTION("""COMPUTED_VALUE"""),878.5185239331813)</f>
        <v>878.5185239</v>
      </c>
      <c r="CE90" s="97"/>
      <c r="CF90" s="95"/>
      <c r="CG90" s="96"/>
      <c r="CH90" s="96"/>
      <c r="CI90" s="95"/>
      <c r="CJ90" s="96"/>
      <c r="CK90" s="96">
        <f>IFERROR(__xludf.DUMMYFUNCTION("""COMPUTED_VALUE"""),166.5178956469149)</f>
        <v>166.5178956</v>
      </c>
      <c r="CL90" s="95"/>
      <c r="CM90" s="96"/>
      <c r="CN90" s="96"/>
      <c r="CO90" s="95"/>
      <c r="CP90" s="96"/>
      <c r="CQ90" s="96"/>
      <c r="CR90" s="95"/>
      <c r="CS90" s="96"/>
      <c r="CT90" s="96"/>
      <c r="CU90" s="95"/>
      <c r="CV90" s="96"/>
      <c r="CW90" s="97"/>
      <c r="CX90" s="96"/>
      <c r="CY90" s="96"/>
      <c r="CZ90" s="97"/>
      <c r="DA90" s="95"/>
      <c r="DB90" s="96"/>
      <c r="DC90" s="97"/>
      <c r="DD90" s="95"/>
      <c r="DE90" s="96"/>
      <c r="DF90" s="97"/>
      <c r="DG90" s="95"/>
      <c r="DH90" s="96">
        <f>IFERROR(__xludf.DUMMYFUNCTION("""COMPUTED_VALUE"""),45.0)</f>
        <v>45</v>
      </c>
      <c r="DI90" s="97"/>
      <c r="DJ90" s="95"/>
      <c r="DK90" s="96"/>
      <c r="DL90" s="97"/>
      <c r="DM90" s="95"/>
      <c r="DN90" s="96"/>
      <c r="DO90" s="97"/>
      <c r="DP90" s="95"/>
      <c r="DQ90" s="96"/>
      <c r="DR90" s="97"/>
      <c r="DS90" s="95"/>
    </row>
    <row r="91">
      <c r="B91" s="120" t="str">
        <f>IFERROR(__xludf.DUMMYFUNCTION("""COMPUTED_VALUE"""),"LDN3")</f>
        <v>LDN3</v>
      </c>
      <c r="C91" s="88" t="str">
        <f>IFERROR(__xludf.DUMMYFUNCTION("""COMPUTED_VALUE"""),"City of London")</f>
        <v>City of London</v>
      </c>
      <c r="D91" s="102">
        <f>IFERROR(__xludf.DUMMYFUNCTION("""COMPUTED_VALUE"""),15.0)</f>
        <v>15</v>
      </c>
      <c r="E91" s="82" t="b">
        <f>IFERROR(__xludf.DUMMYFUNCTION("""COMPUTED_VALUE"""),TRUE)</f>
        <v>1</v>
      </c>
      <c r="F91" s="82" t="str">
        <f>IFERROR(__xludf.DUMMYFUNCTION("""COMPUTED_VALUE"""),"Free Quests- Part 1!A621:J626")</f>
        <v>Free Quests- Part 1!A621:J626</v>
      </c>
      <c r="G91" s="82">
        <f>IFERROR(__xludf.DUMMYFUNCTION("""COMPUTED_VALUE"""),91.0)</f>
        <v>91</v>
      </c>
      <c r="H91" s="82">
        <f>IFERROR(__xludf.DUMMYFUNCTION("""COMPUTED_VALUE"""),1154.0)</f>
        <v>1154</v>
      </c>
      <c r="I91" s="95"/>
      <c r="J91" s="96"/>
      <c r="K91" s="97"/>
      <c r="L91" s="95"/>
      <c r="M91" s="96"/>
      <c r="N91" s="97"/>
      <c r="O91" s="95"/>
      <c r="P91" s="96"/>
      <c r="Q91" s="97"/>
      <c r="R91" s="95"/>
      <c r="S91" s="96"/>
      <c r="T91" s="97"/>
      <c r="U91" s="95"/>
      <c r="V91" s="96"/>
      <c r="W91" s="97"/>
      <c r="X91" s="95"/>
      <c r="Y91" s="96"/>
      <c r="Z91" s="97"/>
      <c r="AA91" s="95"/>
      <c r="AB91" s="96"/>
      <c r="AC91" s="97"/>
      <c r="AD91" s="95"/>
      <c r="AE91" s="96"/>
      <c r="AF91" s="97"/>
      <c r="AG91" s="95"/>
      <c r="AH91" s="96">
        <f>IFERROR(__xludf.DUMMYFUNCTION("""COMPUTED_VALUE"""),130.51542660674968)</f>
        <v>130.5154266</v>
      </c>
      <c r="AI91" s="97"/>
      <c r="AJ91" s="95"/>
      <c r="AK91" s="96"/>
      <c r="AL91" s="97"/>
      <c r="AM91" s="95"/>
      <c r="AN91" s="96"/>
      <c r="AO91" s="97"/>
      <c r="AP91" s="95"/>
      <c r="AQ91" s="96"/>
      <c r="AR91" s="97"/>
      <c r="AS91" s="95"/>
      <c r="AT91" s="96"/>
      <c r="AU91" s="97"/>
      <c r="AV91" s="95"/>
      <c r="AW91" s="96"/>
      <c r="AX91" s="97"/>
      <c r="AY91" s="95"/>
      <c r="AZ91" s="96"/>
      <c r="BA91" s="97"/>
      <c r="BB91" s="95"/>
      <c r="BC91" s="96"/>
      <c r="BD91" s="97"/>
      <c r="BE91" s="95"/>
      <c r="BF91" s="96"/>
      <c r="BG91" s="97"/>
      <c r="BH91" s="95"/>
      <c r="BI91" s="96"/>
      <c r="BJ91" s="97"/>
      <c r="BK91" s="95"/>
      <c r="BL91" s="96"/>
      <c r="BM91" s="97"/>
      <c r="BN91" s="95"/>
      <c r="BO91" s="96"/>
      <c r="BP91" s="97"/>
      <c r="BQ91" s="95"/>
      <c r="BR91" s="96"/>
      <c r="BS91" s="97"/>
      <c r="BT91" s="95">
        <f>IFERROR(__xludf.DUMMYFUNCTION("""COMPUTED_VALUE"""),27.062520519675438)</f>
        <v>27.06252052</v>
      </c>
      <c r="BU91" s="96"/>
      <c r="BV91" s="97"/>
      <c r="BW91" s="95"/>
      <c r="BX91" s="96"/>
      <c r="BY91" s="97"/>
      <c r="BZ91" s="95"/>
      <c r="CA91" s="96"/>
      <c r="CB91" s="97"/>
      <c r="CC91" s="95"/>
      <c r="CD91" s="96"/>
      <c r="CE91" s="97"/>
      <c r="CF91" s="95"/>
      <c r="CG91" s="96"/>
      <c r="CH91" s="96"/>
      <c r="CI91" s="95"/>
      <c r="CJ91" s="96"/>
      <c r="CK91" s="96"/>
      <c r="CL91" s="95"/>
      <c r="CM91" s="96"/>
      <c r="CN91" s="96"/>
      <c r="CO91" s="95"/>
      <c r="CP91" s="96"/>
      <c r="CQ91" s="96"/>
      <c r="CR91" s="95"/>
      <c r="CS91" s="96"/>
      <c r="CT91" s="96"/>
      <c r="CU91" s="95"/>
      <c r="CV91" s="96"/>
      <c r="CW91" s="97"/>
      <c r="CX91" s="96"/>
      <c r="CY91" s="96"/>
      <c r="CZ91" s="97"/>
      <c r="DA91" s="95"/>
      <c r="DB91" s="96"/>
      <c r="DC91" s="97"/>
      <c r="DD91" s="95"/>
      <c r="DE91" s="96"/>
      <c r="DF91" s="97"/>
      <c r="DG91" s="95"/>
      <c r="DH91" s="96"/>
      <c r="DI91" s="97"/>
      <c r="DJ91" s="95"/>
      <c r="DK91" s="96"/>
      <c r="DL91" s="97"/>
      <c r="DM91" s="95"/>
      <c r="DN91" s="96"/>
      <c r="DO91" s="97"/>
      <c r="DP91" s="95"/>
      <c r="DQ91" s="96"/>
      <c r="DR91" s="97"/>
      <c r="DS91" s="95"/>
    </row>
    <row r="92">
      <c r="B92" s="120" t="str">
        <f>IFERROR(__xludf.DUMMYFUNCTION("""COMPUTED_VALUE"""),"LDN4")</f>
        <v>LDN4</v>
      </c>
      <c r="C92" s="88" t="str">
        <f>IFERROR(__xludf.DUMMYFUNCTION("""COMPUTED_VALUE"""),"Soho")</f>
        <v>Soho</v>
      </c>
      <c r="D92" s="102">
        <f>IFERROR(__xludf.DUMMYFUNCTION("""COMPUTED_VALUE"""),16.0)</f>
        <v>16</v>
      </c>
      <c r="E92" s="82" t="b">
        <f>IFERROR(__xludf.DUMMYFUNCTION("""COMPUTED_VALUE"""),TRUE)</f>
        <v>1</v>
      </c>
      <c r="F92" s="82" t="str">
        <f>IFERROR(__xludf.DUMMYFUNCTION("""COMPUTED_VALUE"""),"Free Quests- Part 1!A630:J648")</f>
        <v>Free Quests- Part 1!A630:J648</v>
      </c>
      <c r="G92" s="82">
        <f>IFERROR(__xludf.DUMMYFUNCTION("""COMPUTED_VALUE"""),92.0)</f>
        <v>92</v>
      </c>
      <c r="H92" s="82">
        <f>IFERROR(__xludf.DUMMYFUNCTION("""COMPUTED_VALUE"""),1159.0)</f>
        <v>1159</v>
      </c>
      <c r="I92" s="95"/>
      <c r="J92" s="96"/>
      <c r="K92" s="97"/>
      <c r="L92" s="95"/>
      <c r="M92" s="96"/>
      <c r="N92" s="97"/>
      <c r="O92" s="95"/>
      <c r="P92" s="96"/>
      <c r="Q92" s="97"/>
      <c r="R92" s="95"/>
      <c r="S92" s="96"/>
      <c r="T92" s="97"/>
      <c r="U92" s="95"/>
      <c r="V92" s="96"/>
      <c r="W92" s="97"/>
      <c r="X92" s="95"/>
      <c r="Y92" s="96"/>
      <c r="Z92" s="97"/>
      <c r="AA92" s="95"/>
      <c r="AB92" s="96"/>
      <c r="AC92" s="97"/>
      <c r="AD92" s="95"/>
      <c r="AE92" s="96"/>
      <c r="AF92" s="97">
        <f>IFERROR(__xludf.DUMMYFUNCTION("""COMPUTED_VALUE"""),276.1660808959314)</f>
        <v>276.1660809</v>
      </c>
      <c r="AG92" s="95"/>
      <c r="AH92" s="96">
        <f>IFERROR(__xludf.DUMMYFUNCTION("""COMPUTED_VALUE"""),178.91669721938132)</f>
        <v>178.9166972</v>
      </c>
      <c r="AI92" s="97"/>
      <c r="AJ92" s="95"/>
      <c r="AK92" s="96"/>
      <c r="AL92" s="97"/>
      <c r="AM92" s="95"/>
      <c r="AN92" s="96"/>
      <c r="AO92" s="97"/>
      <c r="AP92" s="95"/>
      <c r="AQ92" s="96"/>
      <c r="AR92" s="97"/>
      <c r="AS92" s="95"/>
      <c r="AT92" s="96"/>
      <c r="AU92" s="97"/>
      <c r="AV92" s="95"/>
      <c r="AW92" s="96"/>
      <c r="AX92" s="97">
        <f>IFERROR(__xludf.DUMMYFUNCTION("""COMPUTED_VALUE"""),94.85907207529796)</f>
        <v>94.85907208</v>
      </c>
      <c r="AY92" s="95"/>
      <c r="AZ92" s="96"/>
      <c r="BA92" s="97"/>
      <c r="BB92" s="95"/>
      <c r="BC92" s="96"/>
      <c r="BD92" s="97"/>
      <c r="BE92" s="95"/>
      <c r="BF92" s="96"/>
      <c r="BG92" s="97"/>
      <c r="BH92" s="95"/>
      <c r="BI92" s="96"/>
      <c r="BJ92" s="97"/>
      <c r="BK92" s="95"/>
      <c r="BL92" s="96"/>
      <c r="BM92" s="97">
        <f>IFERROR(__xludf.DUMMYFUNCTION("""COMPUTED_VALUE"""),336.6250363055475)</f>
        <v>336.6250363</v>
      </c>
      <c r="BN92" s="95"/>
      <c r="BO92" s="96"/>
      <c r="BP92" s="97">
        <f>IFERROR(__xludf.DUMMYFUNCTION("""COMPUTED_VALUE"""),279.8925347903523)</f>
        <v>279.8925348</v>
      </c>
      <c r="BQ92" s="95"/>
      <c r="BR92" s="96"/>
      <c r="BS92" s="97"/>
      <c r="BT92" s="95">
        <f>IFERROR(__xludf.DUMMYFUNCTION("""COMPUTED_VALUE"""),238.07934266272952)</f>
        <v>238.0793427</v>
      </c>
      <c r="BU92" s="96"/>
      <c r="BV92" s="97"/>
      <c r="BW92" s="95">
        <f>IFERROR(__xludf.DUMMYFUNCTION("""COMPUTED_VALUE"""),180.28738649400145)</f>
        <v>180.2873865</v>
      </c>
      <c r="BX92" s="96"/>
      <c r="BY92" s="97"/>
      <c r="BZ92" s="95"/>
      <c r="CA92" s="96"/>
      <c r="CB92" s="97"/>
      <c r="CC92" s="95">
        <f>IFERROR(__xludf.DUMMYFUNCTION("""COMPUTED_VALUE"""),325.4361026289004)</f>
        <v>325.4361026</v>
      </c>
      <c r="CD92" s="96"/>
      <c r="CE92" s="97"/>
      <c r="CF92" s="95"/>
      <c r="CG92" s="96"/>
      <c r="CH92" s="96"/>
      <c r="CI92" s="95"/>
      <c r="CJ92" s="96">
        <f>IFERROR(__xludf.DUMMYFUNCTION("""COMPUTED_VALUE"""),187.09391016586625)</f>
        <v>187.0939102</v>
      </c>
      <c r="CK92" s="96"/>
      <c r="CL92" s="95"/>
      <c r="CM92" s="96"/>
      <c r="CN92" s="96"/>
      <c r="CO92" s="95"/>
      <c r="CP92" s="96"/>
      <c r="CQ92" s="96"/>
      <c r="CR92" s="95"/>
      <c r="CS92" s="96"/>
      <c r="CT92" s="96"/>
      <c r="CU92" s="95"/>
      <c r="CV92" s="96"/>
      <c r="CW92" s="97"/>
      <c r="CX92" s="96"/>
      <c r="CY92" s="96"/>
      <c r="CZ92" s="97"/>
      <c r="DA92" s="95"/>
      <c r="DB92" s="96"/>
      <c r="DC92" s="97"/>
      <c r="DD92" s="95"/>
      <c r="DE92" s="96"/>
      <c r="DF92" s="97"/>
      <c r="DG92" s="95">
        <f>IFERROR(__xludf.DUMMYFUNCTION("""COMPUTED_VALUE"""),128.0)</f>
        <v>128</v>
      </c>
      <c r="DH92" s="96"/>
      <c r="DI92" s="97"/>
      <c r="DJ92" s="95"/>
      <c r="DK92" s="96"/>
      <c r="DL92" s="97"/>
      <c r="DM92" s="95">
        <f>IFERROR(__xludf.DUMMYFUNCTION("""COMPUTED_VALUE"""),128.0)</f>
        <v>128</v>
      </c>
      <c r="DN92" s="96"/>
      <c r="DO92" s="97"/>
      <c r="DP92" s="95"/>
      <c r="DQ92" s="96"/>
      <c r="DR92" s="97"/>
      <c r="DS92" s="95"/>
    </row>
    <row r="93">
      <c r="B93" s="120" t="str">
        <f>IFERROR(__xludf.DUMMYFUNCTION("""COMPUTED_VALUE"""),"LDN5")</f>
        <v>LDN5</v>
      </c>
      <c r="C93" s="88" t="str">
        <f>IFERROR(__xludf.DUMMYFUNCTION("""COMPUTED_VALUE"""),"Westminster")</f>
        <v>Westminster</v>
      </c>
      <c r="D93" s="102">
        <f>IFERROR(__xludf.DUMMYFUNCTION("""COMPUTED_VALUE"""),16.0)</f>
        <v>16</v>
      </c>
      <c r="E93" s="82" t="b">
        <f>IFERROR(__xludf.DUMMYFUNCTION("""COMPUTED_VALUE"""),TRUE)</f>
        <v>1</v>
      </c>
      <c r="F93" s="82" t="str">
        <f>IFERROR(__xludf.DUMMYFUNCTION("""COMPUTED_VALUE"""),"Free Quests- Part 1!A652:J664")</f>
        <v>Free Quests- Part 1!A652:J664</v>
      </c>
      <c r="G93" s="82">
        <f>IFERROR(__xludf.DUMMYFUNCTION("""COMPUTED_VALUE"""),93.0)</f>
        <v>93</v>
      </c>
      <c r="H93" s="82">
        <f>IFERROR(__xludf.DUMMYFUNCTION("""COMPUTED_VALUE"""),1167.0)</f>
        <v>1167</v>
      </c>
      <c r="I93" s="95"/>
      <c r="J93" s="96"/>
      <c r="K93" s="97"/>
      <c r="L93" s="95"/>
      <c r="M93" s="96"/>
      <c r="N93" s="97"/>
      <c r="O93" s="95"/>
      <c r="P93" s="96"/>
      <c r="Q93" s="97"/>
      <c r="R93" s="95"/>
      <c r="S93" s="96"/>
      <c r="T93" s="97"/>
      <c r="U93" s="95"/>
      <c r="V93" s="96"/>
      <c r="W93" s="97"/>
      <c r="X93" s="95"/>
      <c r="Y93" s="96"/>
      <c r="Z93" s="97"/>
      <c r="AA93" s="95"/>
      <c r="AB93" s="96"/>
      <c r="AC93" s="97"/>
      <c r="AD93" s="95"/>
      <c r="AE93" s="96"/>
      <c r="AF93" s="97"/>
      <c r="AG93" s="95"/>
      <c r="AH93" s="96">
        <f>IFERROR(__xludf.DUMMYFUNCTION("""COMPUTED_VALUE"""),132.00704150671277)</f>
        <v>132.0070415</v>
      </c>
      <c r="AI93" s="97"/>
      <c r="AJ93" s="95"/>
      <c r="AK93" s="96"/>
      <c r="AL93" s="97"/>
      <c r="AM93" s="95"/>
      <c r="AN93" s="96"/>
      <c r="AO93" s="97"/>
      <c r="AP93" s="95"/>
      <c r="AQ93" s="96"/>
      <c r="AR93" s="97"/>
      <c r="AS93" s="95"/>
      <c r="AT93" s="96"/>
      <c r="AU93" s="97"/>
      <c r="AV93" s="95"/>
      <c r="AW93" s="96"/>
      <c r="AX93" s="97">
        <f>IFERROR(__xludf.DUMMYFUNCTION("""COMPUTED_VALUE"""),105.31956297345012)</f>
        <v>105.319563</v>
      </c>
      <c r="AY93" s="95"/>
      <c r="AZ93" s="96"/>
      <c r="BA93" s="97"/>
      <c r="BB93" s="95"/>
      <c r="BC93" s="96"/>
      <c r="BD93" s="97"/>
      <c r="BE93" s="95"/>
      <c r="BF93" s="96"/>
      <c r="BG93" s="97"/>
      <c r="BH93" s="95"/>
      <c r="BI93" s="96"/>
      <c r="BJ93" s="97"/>
      <c r="BK93" s="95"/>
      <c r="BL93" s="96"/>
      <c r="BM93" s="97">
        <f>IFERROR(__xludf.DUMMYFUNCTION("""COMPUTED_VALUE"""),468.6511721299132)</f>
        <v>468.6511721</v>
      </c>
      <c r="BN93" s="95"/>
      <c r="BO93" s="96"/>
      <c r="BP93" s="97"/>
      <c r="BQ93" s="95"/>
      <c r="BR93" s="96"/>
      <c r="BS93" s="97"/>
      <c r="BT93" s="95">
        <f>IFERROR(__xludf.DUMMYFUNCTION("""COMPUTED_VALUE"""),61.40933637661235)</f>
        <v>61.40933638</v>
      </c>
      <c r="BU93" s="96"/>
      <c r="BV93" s="97"/>
      <c r="BW93" s="95"/>
      <c r="BX93" s="96"/>
      <c r="BY93" s="97"/>
      <c r="BZ93" s="95"/>
      <c r="CA93" s="96"/>
      <c r="CB93" s="97"/>
      <c r="CC93" s="95">
        <f>IFERROR(__xludf.DUMMYFUNCTION("""COMPUTED_VALUE"""),344.5145577327577)</f>
        <v>344.5145577</v>
      </c>
      <c r="CD93" s="96"/>
      <c r="CE93" s="97"/>
      <c r="CF93" s="95"/>
      <c r="CG93" s="96"/>
      <c r="CH93" s="96"/>
      <c r="CI93" s="95"/>
      <c r="CJ93" s="96">
        <f>IFERROR(__xludf.DUMMYFUNCTION("""COMPUTED_VALUE"""),168.9636138233085)</f>
        <v>168.9636138</v>
      </c>
      <c r="CK93" s="96"/>
      <c r="CL93" s="95"/>
      <c r="CM93" s="96"/>
      <c r="CN93" s="96"/>
      <c r="CO93" s="95"/>
      <c r="CP93" s="96"/>
      <c r="CQ93" s="96"/>
      <c r="CR93" s="95"/>
      <c r="CS93" s="96"/>
      <c r="CT93" s="96"/>
      <c r="CU93" s="95"/>
      <c r="CV93" s="96"/>
      <c r="CW93" s="97">
        <f>IFERROR(__xludf.DUMMYFUNCTION("""COMPUTED_VALUE"""),112.0)</f>
        <v>112</v>
      </c>
      <c r="CX93" s="96"/>
      <c r="CY93" s="96"/>
      <c r="CZ93" s="97"/>
      <c r="DA93" s="95"/>
      <c r="DB93" s="96"/>
      <c r="DC93" s="97"/>
      <c r="DD93" s="95"/>
      <c r="DE93" s="96"/>
      <c r="DF93" s="97"/>
      <c r="DG93" s="95">
        <f>IFERROR(__xludf.DUMMYFUNCTION("""COMPUTED_VALUE"""),112.0)</f>
        <v>112</v>
      </c>
      <c r="DH93" s="96"/>
      <c r="DI93" s="97"/>
      <c r="DJ93" s="95"/>
      <c r="DK93" s="96"/>
      <c r="DL93" s="97"/>
      <c r="DM93" s="95">
        <f>IFERROR(__xludf.DUMMYFUNCTION("""COMPUTED_VALUE"""),112.0)</f>
        <v>112</v>
      </c>
      <c r="DN93" s="96"/>
      <c r="DO93" s="97"/>
      <c r="DP93" s="95"/>
      <c r="DQ93" s="96"/>
      <c r="DR93" s="97"/>
      <c r="DS93" s="95"/>
    </row>
    <row r="94">
      <c r="B94" s="120" t="str">
        <f>IFERROR(__xludf.DUMMYFUNCTION("""COMPUTED_VALUE"""),"LDN6")</f>
        <v>LDN6</v>
      </c>
      <c r="C94" s="88" t="str">
        <f>IFERROR(__xludf.DUMMYFUNCTION("""COMPUTED_VALUE"""),"Regent Park")</f>
        <v>Regent Park</v>
      </c>
      <c r="D94" s="102">
        <f>IFERROR(__xludf.DUMMYFUNCTION("""COMPUTED_VALUE"""),16.0)</f>
        <v>16</v>
      </c>
      <c r="E94" s="82" t="b">
        <f>IFERROR(__xludf.DUMMYFUNCTION("""COMPUTED_VALUE"""),TRUE)</f>
        <v>1</v>
      </c>
      <c r="F94" s="82" t="str">
        <f>IFERROR(__xludf.DUMMYFUNCTION("""COMPUTED_VALUE"""),"Free Quests- Part 1!A668:J678")</f>
        <v>Free Quests- Part 1!A668:J678</v>
      </c>
      <c r="G94" s="82">
        <f>IFERROR(__xludf.DUMMYFUNCTION("""COMPUTED_VALUE"""),94.0)</f>
        <v>94</v>
      </c>
      <c r="H94" s="82">
        <f>IFERROR(__xludf.DUMMYFUNCTION("""COMPUTED_VALUE"""),1158.0)</f>
        <v>1158</v>
      </c>
      <c r="I94" s="95"/>
      <c r="J94" s="96"/>
      <c r="K94" s="97"/>
      <c r="L94" s="95"/>
      <c r="M94" s="96"/>
      <c r="N94" s="97"/>
      <c r="O94" s="95"/>
      <c r="P94" s="96"/>
      <c r="Q94" s="97"/>
      <c r="R94" s="95"/>
      <c r="S94" s="96"/>
      <c r="T94" s="97"/>
      <c r="U94" s="95"/>
      <c r="V94" s="96"/>
      <c r="W94" s="97"/>
      <c r="X94" s="95"/>
      <c r="Y94" s="96"/>
      <c r="Z94" s="97"/>
      <c r="AA94" s="95"/>
      <c r="AB94" s="96"/>
      <c r="AC94" s="97"/>
      <c r="AD94" s="95"/>
      <c r="AE94" s="96"/>
      <c r="AF94" s="97">
        <f>IFERROR(__xludf.DUMMYFUNCTION("""COMPUTED_VALUE"""),162.5263157894737)</f>
        <v>162.5263158</v>
      </c>
      <c r="AG94" s="95">
        <f>IFERROR(__xludf.DUMMYFUNCTION("""COMPUTED_VALUE"""),359.06976744186045)</f>
        <v>359.0697674</v>
      </c>
      <c r="AH94" s="96"/>
      <c r="AI94" s="97"/>
      <c r="AJ94" s="95"/>
      <c r="AK94" s="96"/>
      <c r="AL94" s="97"/>
      <c r="AM94" s="95"/>
      <c r="AN94" s="96"/>
      <c r="AO94" s="97"/>
      <c r="AP94" s="95"/>
      <c r="AQ94" s="96"/>
      <c r="AR94" s="97"/>
      <c r="AS94" s="95"/>
      <c r="AT94" s="96"/>
      <c r="AU94" s="97"/>
      <c r="AV94" s="95"/>
      <c r="AW94" s="96"/>
      <c r="AX94" s="97"/>
      <c r="AY94" s="95"/>
      <c r="AZ94" s="96"/>
      <c r="BA94" s="97"/>
      <c r="BB94" s="95"/>
      <c r="BC94" s="96"/>
      <c r="BD94" s="97"/>
      <c r="BE94" s="95"/>
      <c r="BF94" s="96"/>
      <c r="BG94" s="97"/>
      <c r="BH94" s="95"/>
      <c r="BI94" s="96"/>
      <c r="BJ94" s="97"/>
      <c r="BK94" s="95">
        <f>IFERROR(__xludf.DUMMYFUNCTION("""COMPUTED_VALUE"""),281.1532625189681)</f>
        <v>281.1532625</v>
      </c>
      <c r="BL94" s="96"/>
      <c r="BM94" s="97"/>
      <c r="BN94" s="95"/>
      <c r="BO94" s="96"/>
      <c r="BP94" s="97"/>
      <c r="BQ94" s="95"/>
      <c r="BR94" s="96">
        <f>IFERROR(__xludf.DUMMYFUNCTION("""COMPUTED_VALUE"""),70.47546595663749)</f>
        <v>70.47546596</v>
      </c>
      <c r="BS94" s="97"/>
      <c r="BT94" s="95"/>
      <c r="BU94" s="96"/>
      <c r="BV94" s="97">
        <f>IFERROR(__xludf.DUMMYFUNCTION("""COMPUTED_VALUE"""),73.14646664034741)</f>
        <v>73.14646664</v>
      </c>
      <c r="BW94" s="95"/>
      <c r="BX94" s="96"/>
      <c r="BY94" s="97"/>
      <c r="BZ94" s="95"/>
      <c r="CA94" s="96"/>
      <c r="CB94" s="97"/>
      <c r="CC94" s="95"/>
      <c r="CD94" s="96"/>
      <c r="CE94" s="97"/>
      <c r="CF94" s="95"/>
      <c r="CG94" s="96"/>
      <c r="CH94" s="96"/>
      <c r="CI94" s="95"/>
      <c r="CJ94" s="96"/>
      <c r="CK94" s="96"/>
      <c r="CL94" s="95"/>
      <c r="CM94" s="96"/>
      <c r="CN94" s="96"/>
      <c r="CO94" s="95"/>
      <c r="CP94" s="96"/>
      <c r="CQ94" s="96"/>
      <c r="CR94" s="95"/>
      <c r="CS94" s="96"/>
      <c r="CT94" s="96"/>
      <c r="CU94" s="95"/>
      <c r="CV94" s="96"/>
      <c r="CW94" s="97"/>
      <c r="CX94" s="96"/>
      <c r="CY94" s="96"/>
      <c r="CZ94" s="97"/>
      <c r="DA94" s="95"/>
      <c r="DB94" s="96"/>
      <c r="DC94" s="97"/>
      <c r="DD94" s="95"/>
      <c r="DE94" s="96"/>
      <c r="DF94" s="97"/>
      <c r="DG94" s="95"/>
      <c r="DH94" s="96"/>
      <c r="DI94" s="97"/>
      <c r="DJ94" s="95"/>
      <c r="DK94" s="96">
        <f>IFERROR(__xludf.DUMMYFUNCTION("""COMPUTED_VALUE"""),56.0)</f>
        <v>56</v>
      </c>
      <c r="DL94" s="97"/>
      <c r="DM94" s="95"/>
      <c r="DN94" s="96"/>
      <c r="DO94" s="97">
        <f>IFERROR(__xludf.DUMMYFUNCTION("""COMPUTED_VALUE"""),37.333333333333336)</f>
        <v>37.33333333</v>
      </c>
      <c r="DP94" s="95"/>
      <c r="DQ94" s="96"/>
      <c r="DR94" s="97"/>
      <c r="DS94" s="95"/>
    </row>
    <row r="95">
      <c r="B95" s="120" t="str">
        <f>IFERROR(__xludf.DUMMYFUNCTION("""COMPUTED_VALUE"""),"LDN7")</f>
        <v>LDN7</v>
      </c>
      <c r="C95" s="88" t="str">
        <f>IFERROR(__xludf.DUMMYFUNCTION("""COMPUTED_VALUE"""),"Clerkenwell")</f>
        <v>Clerkenwell</v>
      </c>
      <c r="D95" s="102">
        <f>IFERROR(__xludf.DUMMYFUNCTION("""COMPUTED_VALUE"""),18.0)</f>
        <v>18</v>
      </c>
      <c r="E95" s="82" t="b">
        <f>IFERROR(__xludf.DUMMYFUNCTION("""COMPUTED_VALUE"""),TRUE)</f>
        <v>1</v>
      </c>
      <c r="F95" s="82" t="str">
        <f>IFERROR(__xludf.DUMMYFUNCTION("""COMPUTED_VALUE"""),"Free Quests- Part 1!A682:J696")</f>
        <v>Free Quests- Part 1!A682:J696</v>
      </c>
      <c r="G95" s="82">
        <f>IFERROR(__xludf.DUMMYFUNCTION("""COMPUTED_VALUE"""),95.0)</f>
        <v>95</v>
      </c>
      <c r="H95" s="82">
        <f>IFERROR(__xludf.DUMMYFUNCTION("""COMPUTED_VALUE"""),5274.0)</f>
        <v>5274</v>
      </c>
      <c r="I95" s="95"/>
      <c r="J95" s="96"/>
      <c r="K95" s="97"/>
      <c r="L95" s="95"/>
      <c r="M95" s="96"/>
      <c r="N95" s="97"/>
      <c r="O95" s="95"/>
      <c r="P95" s="96"/>
      <c r="Q95" s="97"/>
      <c r="R95" s="95"/>
      <c r="S95" s="96"/>
      <c r="T95" s="97"/>
      <c r="U95" s="95"/>
      <c r="V95" s="96"/>
      <c r="W95" s="97"/>
      <c r="X95" s="95"/>
      <c r="Y95" s="96"/>
      <c r="Z95" s="97"/>
      <c r="AA95" s="95"/>
      <c r="AB95" s="96"/>
      <c r="AC95" s="97"/>
      <c r="AD95" s="95"/>
      <c r="AE95" s="96"/>
      <c r="AF95" s="97">
        <f>IFERROR(__xludf.DUMMYFUNCTION("""COMPUTED_VALUE"""),72.34612007998828)</f>
        <v>72.34612008</v>
      </c>
      <c r="AG95" s="95"/>
      <c r="AH95" s="96"/>
      <c r="AI95" s="97"/>
      <c r="AJ95" s="95"/>
      <c r="AK95" s="96"/>
      <c r="AL95" s="97"/>
      <c r="AM95" s="95"/>
      <c r="AN95" s="96"/>
      <c r="AO95" s="97"/>
      <c r="AP95" s="95"/>
      <c r="AQ95" s="96"/>
      <c r="AR95" s="97"/>
      <c r="AS95" s="95"/>
      <c r="AT95" s="96"/>
      <c r="AU95" s="97"/>
      <c r="AV95" s="95">
        <f>IFERROR(__xludf.DUMMYFUNCTION("""COMPUTED_VALUE"""),51.62175800656012)</f>
        <v>51.62175801</v>
      </c>
      <c r="AW95" s="96"/>
      <c r="AX95" s="97"/>
      <c r="AY95" s="95"/>
      <c r="AZ95" s="96"/>
      <c r="BA95" s="97"/>
      <c r="BB95" s="95"/>
      <c r="BC95" s="96"/>
      <c r="BD95" s="97"/>
      <c r="BE95" s="95"/>
      <c r="BF95" s="96"/>
      <c r="BG95" s="97"/>
      <c r="BH95" s="95"/>
      <c r="BI95" s="96">
        <f>IFERROR(__xludf.DUMMYFUNCTION("""COMPUTED_VALUE"""),607.6036866359447)</f>
        <v>607.6036866</v>
      </c>
      <c r="BJ95" s="97"/>
      <c r="BK95" s="95"/>
      <c r="BL95" s="96"/>
      <c r="BM95" s="97"/>
      <c r="BN95" s="95"/>
      <c r="BO95" s="96"/>
      <c r="BP95" s="97">
        <f>IFERROR(__xludf.DUMMYFUNCTION("""COMPUTED_VALUE"""),119.28888084682892)</f>
        <v>119.2888808</v>
      </c>
      <c r="BQ95" s="95"/>
      <c r="BR95" s="96">
        <f>IFERROR(__xludf.DUMMYFUNCTION("""COMPUTED_VALUE"""),89.1876047530646)</f>
        <v>89.18760475</v>
      </c>
      <c r="BS95" s="97"/>
      <c r="BT95" s="95"/>
      <c r="BU95" s="96"/>
      <c r="BV95" s="97"/>
      <c r="BW95" s="95">
        <f>IFERROR(__xludf.DUMMYFUNCTION("""COMPUTED_VALUE"""),240.46079961093432)</f>
        <v>240.4607996</v>
      </c>
      <c r="BX95" s="96"/>
      <c r="BY95" s="97"/>
      <c r="BZ95" s="95"/>
      <c r="CA95" s="96"/>
      <c r="CB95" s="97"/>
      <c r="CC95" s="95"/>
      <c r="CD95" s="96"/>
      <c r="CE95" s="97"/>
      <c r="CF95" s="95"/>
      <c r="CG95" s="96"/>
      <c r="CH95" s="96"/>
      <c r="CI95" s="95"/>
      <c r="CJ95" s="96"/>
      <c r="CK95" s="96"/>
      <c r="CL95" s="95"/>
      <c r="CM95" s="96"/>
      <c r="CN95" s="96"/>
      <c r="CO95" s="95"/>
      <c r="CP95" s="96"/>
      <c r="CQ95" s="96"/>
      <c r="CR95" s="95"/>
      <c r="CS95" s="96"/>
      <c r="CT95" s="96"/>
      <c r="CU95" s="95"/>
      <c r="CV95" s="96"/>
      <c r="CW95" s="97"/>
      <c r="CX95" s="96"/>
      <c r="CY95" s="96"/>
      <c r="CZ95" s="97">
        <f>IFERROR(__xludf.DUMMYFUNCTION("""COMPUTED_VALUE"""),432.0)</f>
        <v>432</v>
      </c>
      <c r="DA95" s="95"/>
      <c r="DB95" s="96"/>
      <c r="DC95" s="97"/>
      <c r="DD95" s="95"/>
      <c r="DE95" s="96"/>
      <c r="DF95" s="97"/>
      <c r="DG95" s="95"/>
      <c r="DH95" s="96"/>
      <c r="DI95" s="97"/>
      <c r="DJ95" s="95"/>
      <c r="DK95" s="96">
        <f>IFERROR(__xludf.DUMMYFUNCTION("""COMPUTED_VALUE"""),216.0)</f>
        <v>216</v>
      </c>
      <c r="DL95" s="97"/>
      <c r="DM95" s="95"/>
      <c r="DN95" s="96"/>
      <c r="DO95" s="97"/>
      <c r="DP95" s="95">
        <f>IFERROR(__xludf.DUMMYFUNCTION("""COMPUTED_VALUE"""),144.0)</f>
        <v>144</v>
      </c>
      <c r="DQ95" s="96"/>
      <c r="DR95" s="97"/>
      <c r="DS95" s="95"/>
    </row>
    <row r="96">
      <c r="B96" s="120" t="str">
        <f>IFERROR(__xludf.DUMMYFUNCTION("""COMPUTED_VALUE"""),"LDN8")</f>
        <v>LDN8</v>
      </c>
      <c r="C96" s="88" t="str">
        <f>IFERROR(__xludf.DUMMYFUNCTION("""COMPUTED_VALUE"""),"Southwark")</f>
        <v>Southwark</v>
      </c>
      <c r="D96" s="102">
        <f>IFERROR(__xludf.DUMMYFUNCTION("""COMPUTED_VALUE"""),19.0)</f>
        <v>19</v>
      </c>
      <c r="E96" s="82" t="b">
        <f>IFERROR(__xludf.DUMMYFUNCTION("""COMPUTED_VALUE"""),TRUE)</f>
        <v>1</v>
      </c>
      <c r="F96" s="82" t="str">
        <f>IFERROR(__xludf.DUMMYFUNCTION("""COMPUTED_VALUE"""),"Free Quests- Part 1!A700:J712")</f>
        <v>Free Quests- Part 1!A700:J712</v>
      </c>
      <c r="G96" s="82">
        <f>IFERROR(__xludf.DUMMYFUNCTION("""COMPUTED_VALUE"""),96.0)</f>
        <v>96</v>
      </c>
      <c r="H96" s="82">
        <f>IFERROR(__xludf.DUMMYFUNCTION("""COMPUTED_VALUE"""),10119.0)</f>
        <v>10119</v>
      </c>
      <c r="I96" s="95"/>
      <c r="J96" s="96"/>
      <c r="K96" s="97"/>
      <c r="L96" s="95"/>
      <c r="M96" s="96"/>
      <c r="N96" s="97"/>
      <c r="O96" s="95"/>
      <c r="P96" s="96"/>
      <c r="Q96" s="97"/>
      <c r="R96" s="95"/>
      <c r="S96" s="96"/>
      <c r="T96" s="97"/>
      <c r="U96" s="95"/>
      <c r="V96" s="96"/>
      <c r="W96" s="97"/>
      <c r="X96" s="95"/>
      <c r="Y96" s="96"/>
      <c r="Z96" s="97"/>
      <c r="AA96" s="95"/>
      <c r="AB96" s="96"/>
      <c r="AC96" s="97"/>
      <c r="AD96" s="95"/>
      <c r="AE96" s="96"/>
      <c r="AF96" s="97"/>
      <c r="AG96" s="95"/>
      <c r="AH96" s="96">
        <f>IFERROR(__xludf.DUMMYFUNCTION("""COMPUTED_VALUE"""),62.150574548783545)</f>
        <v>62.15057455</v>
      </c>
      <c r="AI96" s="97"/>
      <c r="AJ96" s="95"/>
      <c r="AK96" s="96"/>
      <c r="AL96" s="97"/>
      <c r="AM96" s="95"/>
      <c r="AN96" s="96"/>
      <c r="AO96" s="97"/>
      <c r="AP96" s="95"/>
      <c r="AQ96" s="96"/>
      <c r="AR96" s="97"/>
      <c r="AS96" s="95"/>
      <c r="AT96" s="96"/>
      <c r="AU96" s="97"/>
      <c r="AV96" s="95">
        <f>IFERROR(__xludf.DUMMYFUNCTION("""COMPUTED_VALUE"""),68.479040201397)</f>
        <v>68.4790402</v>
      </c>
      <c r="AW96" s="96"/>
      <c r="AX96" s="97"/>
      <c r="AY96" s="95"/>
      <c r="AZ96" s="96"/>
      <c r="BA96" s="97"/>
      <c r="BB96" s="95"/>
      <c r="BC96" s="96"/>
      <c r="BD96" s="97"/>
      <c r="BE96" s="95"/>
      <c r="BF96" s="96"/>
      <c r="BG96" s="97"/>
      <c r="BH96" s="95"/>
      <c r="BI96" s="96"/>
      <c r="BJ96" s="97"/>
      <c r="BK96" s="95"/>
      <c r="BL96" s="96"/>
      <c r="BM96" s="97">
        <f>IFERROR(__xludf.DUMMYFUNCTION("""COMPUTED_VALUE"""),193.07461643365139)</f>
        <v>193.0746164</v>
      </c>
      <c r="BN96" s="95"/>
      <c r="BO96" s="96"/>
      <c r="BP96" s="97"/>
      <c r="BQ96" s="95"/>
      <c r="BR96" s="96"/>
      <c r="BS96" s="97">
        <f>IFERROR(__xludf.DUMMYFUNCTION("""COMPUTED_VALUE"""),129.10536611112568)</f>
        <v>129.1053661</v>
      </c>
      <c r="BT96" s="95">
        <f>IFERROR(__xludf.DUMMYFUNCTION("""COMPUTED_VALUE"""),58.70597151373656)</f>
        <v>58.70597151</v>
      </c>
      <c r="BU96" s="96"/>
      <c r="BV96" s="97"/>
      <c r="BW96" s="95"/>
      <c r="BX96" s="96"/>
      <c r="BY96" s="97"/>
      <c r="BZ96" s="95"/>
      <c r="CA96" s="96"/>
      <c r="CB96" s="97"/>
      <c r="CC96" s="95"/>
      <c r="CD96" s="96"/>
      <c r="CE96" s="97"/>
      <c r="CF96" s="95"/>
      <c r="CG96" s="96"/>
      <c r="CH96" s="96"/>
      <c r="CI96" s="95"/>
      <c r="CJ96" s="96"/>
      <c r="CK96" s="96"/>
      <c r="CL96" s="95"/>
      <c r="CM96" s="96"/>
      <c r="CN96" s="96"/>
      <c r="CO96" s="95"/>
      <c r="CP96" s="96"/>
      <c r="CQ96" s="96"/>
      <c r="CR96" s="95"/>
      <c r="CS96" s="96"/>
      <c r="CT96" s="96"/>
      <c r="CU96" s="95"/>
      <c r="CV96" s="96"/>
      <c r="CW96" s="97">
        <f>IFERROR(__xludf.DUMMYFUNCTION("""COMPUTED_VALUE"""),178.23809523809524)</f>
        <v>178.2380952</v>
      </c>
      <c r="CX96" s="96"/>
      <c r="CY96" s="96"/>
      <c r="CZ96" s="97"/>
      <c r="DA96" s="95"/>
      <c r="DB96" s="96"/>
      <c r="DC96" s="97"/>
      <c r="DD96" s="95"/>
      <c r="DE96" s="96"/>
      <c r="DF96" s="97"/>
      <c r="DG96" s="95"/>
      <c r="DH96" s="96"/>
      <c r="DI96" s="97"/>
      <c r="DJ96" s="95"/>
      <c r="DK96" s="96"/>
      <c r="DL96" s="97">
        <f>IFERROR(__xludf.DUMMYFUNCTION("""COMPUTED_VALUE"""),110.08823529411765)</f>
        <v>110.0882353</v>
      </c>
      <c r="DM96" s="95">
        <f>IFERROR(__xludf.DUMMYFUNCTION("""COMPUTED_VALUE"""),124.76666666666665)</f>
        <v>124.7666667</v>
      </c>
      <c r="DN96" s="96"/>
      <c r="DO96" s="97"/>
      <c r="DP96" s="95"/>
      <c r="DQ96" s="96"/>
      <c r="DR96" s="97"/>
      <c r="DS96" s="95"/>
    </row>
    <row r="97">
      <c r="B97" s="120" t="str">
        <f>IFERROR(__xludf.DUMMYFUNCTION("""COMPUTED_VALUE"""),"LDN9")</f>
        <v>LDN9</v>
      </c>
      <c r="C97" s="88" t="str">
        <f>IFERROR(__xludf.DUMMYFUNCTION("""COMPUTED_VALUE"""),"Hyde Park")</f>
        <v>Hyde Park</v>
      </c>
      <c r="D97" s="102">
        <f>IFERROR(__xludf.DUMMYFUNCTION("""COMPUTED_VALUE"""),20.0)</f>
        <v>20</v>
      </c>
      <c r="E97" s="82" t="b">
        <f>IFERROR(__xludf.DUMMYFUNCTION("""COMPUTED_VALUE"""),TRUE)</f>
        <v>1</v>
      </c>
      <c r="F97" s="82" t="str">
        <f>IFERROR(__xludf.DUMMYFUNCTION("""COMPUTED_VALUE"""),"Free Quests- Part 1!A716:J731")</f>
        <v>Free Quests- Part 1!A716:J731</v>
      </c>
      <c r="G97" s="82">
        <f>IFERROR(__xludf.DUMMYFUNCTION("""COMPUTED_VALUE"""),97.0)</f>
        <v>97</v>
      </c>
      <c r="H97" s="82">
        <f>IFERROR(__xludf.DUMMYFUNCTION("""COMPUTED_VALUE"""),18120.0)</f>
        <v>18120</v>
      </c>
      <c r="I97" s="95"/>
      <c r="J97" s="96"/>
      <c r="K97" s="97"/>
      <c r="L97" s="95"/>
      <c r="M97" s="96"/>
      <c r="N97" s="97"/>
      <c r="O97" s="95"/>
      <c r="P97" s="96"/>
      <c r="Q97" s="97"/>
      <c r="R97" s="95"/>
      <c r="S97" s="96"/>
      <c r="T97" s="97"/>
      <c r="U97" s="95"/>
      <c r="V97" s="96"/>
      <c r="W97" s="97"/>
      <c r="X97" s="95"/>
      <c r="Y97" s="96"/>
      <c r="Z97" s="97"/>
      <c r="AA97" s="95"/>
      <c r="AB97" s="96"/>
      <c r="AC97" s="97"/>
      <c r="AD97" s="95"/>
      <c r="AE97" s="96"/>
      <c r="AF97" s="97"/>
      <c r="AG97" s="95">
        <f>IFERROR(__xludf.DUMMYFUNCTION("""COMPUTED_VALUE"""),74.34867971598149)</f>
        <v>74.34867972</v>
      </c>
      <c r="AH97" s="96"/>
      <c r="AI97" s="97"/>
      <c r="AJ97" s="95"/>
      <c r="AK97" s="96"/>
      <c r="AL97" s="97"/>
      <c r="AM97" s="95"/>
      <c r="AN97" s="96"/>
      <c r="AO97" s="97"/>
      <c r="AP97" s="95"/>
      <c r="AQ97" s="96"/>
      <c r="AR97" s="97"/>
      <c r="AS97" s="95"/>
      <c r="AT97" s="96"/>
      <c r="AU97" s="97"/>
      <c r="AV97" s="95">
        <f>IFERROR(__xludf.DUMMYFUNCTION("""COMPUTED_VALUE"""),54.415476578371646)</f>
        <v>54.41547658</v>
      </c>
      <c r="AW97" s="96"/>
      <c r="AX97" s="97"/>
      <c r="AY97" s="95"/>
      <c r="AZ97" s="96"/>
      <c r="BA97" s="97"/>
      <c r="BB97" s="95"/>
      <c r="BC97" s="96"/>
      <c r="BD97" s="97"/>
      <c r="BE97" s="95"/>
      <c r="BF97" s="96"/>
      <c r="BG97" s="97"/>
      <c r="BH97" s="95">
        <f>IFERROR(__xludf.DUMMYFUNCTION("""COMPUTED_VALUE"""),643.5458952639711)</f>
        <v>643.5458953</v>
      </c>
      <c r="BI97" s="96"/>
      <c r="BJ97" s="97"/>
      <c r="BK97" s="95"/>
      <c r="BL97" s="96"/>
      <c r="BM97" s="97"/>
      <c r="BN97" s="95"/>
      <c r="BO97" s="96">
        <f>IFERROR(__xludf.DUMMYFUNCTION("""COMPUTED_VALUE"""),130.8213516040416)</f>
        <v>130.8213516</v>
      </c>
      <c r="BP97" s="97"/>
      <c r="BQ97" s="95"/>
      <c r="BR97" s="96"/>
      <c r="BS97" s="97"/>
      <c r="BT97" s="95">
        <f>IFERROR(__xludf.DUMMYFUNCTION("""COMPUTED_VALUE"""),103.33147047753738)</f>
        <v>103.3314705</v>
      </c>
      <c r="BU97" s="96"/>
      <c r="BV97" s="97">
        <f>IFERROR(__xludf.DUMMYFUNCTION("""COMPUTED_VALUE"""),233.87435061792135)</f>
        <v>233.8743506</v>
      </c>
      <c r="BW97" s="95"/>
      <c r="BX97" s="96"/>
      <c r="BY97" s="97"/>
      <c r="BZ97" s="95"/>
      <c r="CA97" s="96"/>
      <c r="CB97" s="97"/>
      <c r="CC97" s="95"/>
      <c r="CD97" s="96"/>
      <c r="CE97" s="97"/>
      <c r="CF97" s="95"/>
      <c r="CG97" s="96"/>
      <c r="CH97" s="96"/>
      <c r="CI97" s="95"/>
      <c r="CJ97" s="96"/>
      <c r="CK97" s="96"/>
      <c r="CL97" s="95"/>
      <c r="CM97" s="96"/>
      <c r="CN97" s="96"/>
      <c r="CO97" s="95"/>
      <c r="CP97" s="96"/>
      <c r="CQ97" s="96"/>
      <c r="CR97" s="95"/>
      <c r="CS97" s="96"/>
      <c r="CT97" s="96"/>
      <c r="CU97" s="95"/>
      <c r="CV97" s="96"/>
      <c r="CW97" s="97"/>
      <c r="CX97" s="96"/>
      <c r="CY97" s="96">
        <f>IFERROR(__xludf.DUMMYFUNCTION("""COMPUTED_VALUE"""),510.27027027027026)</f>
        <v>510.2702703</v>
      </c>
      <c r="CZ97" s="97"/>
      <c r="DA97" s="95"/>
      <c r="DB97" s="96"/>
      <c r="DC97" s="97"/>
      <c r="DD97" s="95"/>
      <c r="DE97" s="96"/>
      <c r="DF97" s="97"/>
      <c r="DG97" s="95">
        <f>IFERROR(__xludf.DUMMYFUNCTION("""COMPUTED_VALUE"""),147.5)</f>
        <v>147.5</v>
      </c>
      <c r="DH97" s="96"/>
      <c r="DI97" s="97"/>
      <c r="DJ97" s="95"/>
      <c r="DK97" s="96"/>
      <c r="DL97" s="97"/>
      <c r="DM97" s="95">
        <f>IFERROR(__xludf.DUMMYFUNCTION("""COMPUTED_VALUE"""),82.80701754385966)</f>
        <v>82.80701754</v>
      </c>
      <c r="DN97" s="96"/>
      <c r="DO97" s="97">
        <f>IFERROR(__xludf.DUMMYFUNCTION("""COMPUTED_VALUE"""),286.06060606060606)</f>
        <v>286.0606061</v>
      </c>
      <c r="DP97" s="95"/>
      <c r="DQ97" s="96"/>
      <c r="DR97" s="97"/>
      <c r="DS97" s="95"/>
    </row>
    <row r="98">
      <c r="A98" s="135" t="str">
        <f>IFERROR(__xludf.DUMMYFUNCTION("""COMPUTED_VALUE"""),"E PLURIBUS UNUM")</f>
        <v>E PLURIBUS UNUM</v>
      </c>
      <c r="B98" s="120" t="str">
        <f>IFERROR(__xludf.DUMMYFUNCTION("""COMPUTED_VALUE"""),"EPU1")</f>
        <v>EPU1</v>
      </c>
      <c r="C98" s="88" t="str">
        <f>IFERROR(__xludf.DUMMYFUNCTION("""COMPUTED_VALUE"""),"Black Hills")</f>
        <v>Black Hills</v>
      </c>
      <c r="D98" s="102">
        <f>IFERROR(__xludf.DUMMYFUNCTION("""COMPUTED_VALUE"""),17.0)</f>
        <v>17</v>
      </c>
      <c r="E98" s="82" t="b">
        <f>IFERROR(__xludf.DUMMYFUNCTION("""COMPUTED_VALUE"""),TRUE)</f>
        <v>1</v>
      </c>
      <c r="F98" s="82" t="str">
        <f>IFERROR(__xludf.DUMMYFUNCTION("""COMPUTED_VALUE"""),"Free Quests- Part 1!A737:J742")</f>
        <v>Free Quests- Part 1!A737:J742</v>
      </c>
      <c r="G98" s="82">
        <f>IFERROR(__xludf.DUMMYFUNCTION("""COMPUTED_VALUE"""),98.0)</f>
        <v>98</v>
      </c>
      <c r="H98" s="82">
        <f>IFERROR(__xludf.DUMMYFUNCTION("""COMPUTED_VALUE"""),1168.0)</f>
        <v>1168</v>
      </c>
      <c r="I98" s="95"/>
      <c r="J98" s="96"/>
      <c r="K98" s="97"/>
      <c r="L98" s="95"/>
      <c r="M98" s="96"/>
      <c r="N98" s="97"/>
      <c r="O98" s="95"/>
      <c r="P98" s="96"/>
      <c r="Q98" s="97"/>
      <c r="R98" s="95"/>
      <c r="S98" s="96"/>
      <c r="T98" s="97"/>
      <c r="U98" s="95"/>
      <c r="V98" s="96"/>
      <c r="W98" s="97"/>
      <c r="X98" s="95"/>
      <c r="Y98" s="96"/>
      <c r="Z98" s="97"/>
      <c r="AA98" s="95"/>
      <c r="AB98" s="96"/>
      <c r="AC98" s="97"/>
      <c r="AD98" s="95"/>
      <c r="AE98" s="96"/>
      <c r="AF98" s="97">
        <f>IFERROR(__xludf.DUMMYFUNCTION("""COMPUTED_VALUE"""),100.58763931104357)</f>
        <v>100.5876393</v>
      </c>
      <c r="AG98" s="95"/>
      <c r="AH98" s="96"/>
      <c r="AI98" s="97"/>
      <c r="AJ98" s="95"/>
      <c r="AK98" s="96"/>
      <c r="AL98" s="97"/>
      <c r="AM98" s="95"/>
      <c r="AN98" s="96"/>
      <c r="AO98" s="97"/>
      <c r="AP98" s="95"/>
      <c r="AQ98" s="96"/>
      <c r="AR98" s="97"/>
      <c r="AS98" s="95"/>
      <c r="AT98" s="96"/>
      <c r="AU98" s="97"/>
      <c r="AV98" s="95"/>
      <c r="AW98" s="96"/>
      <c r="AX98" s="97"/>
      <c r="AY98" s="95"/>
      <c r="AZ98" s="96"/>
      <c r="BA98" s="97"/>
      <c r="BB98" s="95"/>
      <c r="BC98" s="96"/>
      <c r="BD98" s="97"/>
      <c r="BE98" s="95"/>
      <c r="BF98" s="96"/>
      <c r="BG98" s="97"/>
      <c r="BH98" s="95"/>
      <c r="BI98" s="96"/>
      <c r="BJ98" s="97"/>
      <c r="BK98" s="95"/>
      <c r="BL98" s="96"/>
      <c r="BM98" s="97"/>
      <c r="BN98" s="95"/>
      <c r="BO98" s="96"/>
      <c r="BP98" s="97"/>
      <c r="BQ98" s="95"/>
      <c r="BR98" s="96"/>
      <c r="BS98" s="97">
        <f>IFERROR(__xludf.DUMMYFUNCTION("""COMPUTED_VALUE"""),42.37302603499787)</f>
        <v>42.37302603</v>
      </c>
      <c r="BT98" s="95"/>
      <c r="BU98" s="96"/>
      <c r="BV98" s="97"/>
      <c r="BW98" s="95"/>
      <c r="BX98" s="96"/>
      <c r="BY98" s="97"/>
      <c r="BZ98" s="95"/>
      <c r="CA98" s="96"/>
      <c r="CB98" s="97"/>
      <c r="CC98" s="95"/>
      <c r="CD98" s="96"/>
      <c r="CE98" s="97"/>
      <c r="CF98" s="95"/>
      <c r="CG98" s="96"/>
      <c r="CH98" s="96"/>
      <c r="CI98" s="95"/>
      <c r="CJ98" s="96"/>
      <c r="CK98" s="96"/>
      <c r="CL98" s="95"/>
      <c r="CM98" s="96"/>
      <c r="CN98" s="96"/>
      <c r="CO98" s="95"/>
      <c r="CP98" s="96"/>
      <c r="CQ98" s="96"/>
      <c r="CR98" s="95"/>
      <c r="CS98" s="96"/>
      <c r="CT98" s="96"/>
      <c r="CU98" s="95"/>
      <c r="CV98" s="96"/>
      <c r="CW98" s="97"/>
      <c r="CX98" s="96"/>
      <c r="CY98" s="96"/>
      <c r="CZ98" s="97"/>
      <c r="DA98" s="95"/>
      <c r="DB98" s="96"/>
      <c r="DC98" s="97"/>
      <c r="DD98" s="95"/>
      <c r="DE98" s="96"/>
      <c r="DF98" s="97"/>
      <c r="DG98" s="95"/>
      <c r="DH98" s="96"/>
      <c r="DI98" s="97"/>
      <c r="DJ98" s="95"/>
      <c r="DK98" s="96"/>
      <c r="DL98" s="97">
        <f>IFERROR(__xludf.DUMMYFUNCTION("""COMPUTED_VALUE"""),32.11111111111111)</f>
        <v>32.11111111</v>
      </c>
      <c r="DM98" s="95"/>
      <c r="DN98" s="96"/>
      <c r="DO98" s="97"/>
      <c r="DP98" s="95"/>
      <c r="DQ98" s="96"/>
      <c r="DR98" s="97"/>
      <c r="DS98" s="95"/>
    </row>
    <row r="99">
      <c r="B99" s="120" t="str">
        <f>IFERROR(__xludf.DUMMYFUNCTION("""COMPUTED_VALUE"""),"EPU2")</f>
        <v>EPU2</v>
      </c>
      <c r="C99" s="88" t="str">
        <f>IFERROR(__xludf.DUMMYFUNCTION("""COMPUTED_VALUE"""),"Riverton")</f>
        <v>Riverton</v>
      </c>
      <c r="D99" s="102">
        <f>IFERROR(__xludf.DUMMYFUNCTION("""COMPUTED_VALUE"""),17.0)</f>
        <v>17</v>
      </c>
      <c r="E99" s="82" t="b">
        <f>IFERROR(__xludf.DUMMYFUNCTION("""COMPUTED_VALUE"""),TRUE)</f>
        <v>1</v>
      </c>
      <c r="F99" s="82" t="str">
        <f>IFERROR(__xludf.DUMMYFUNCTION("""COMPUTED_VALUE"""),"Free Quests- Part 1!A746:J759")</f>
        <v>Free Quests- Part 1!A746:J759</v>
      </c>
      <c r="G99" s="82">
        <f>IFERROR(__xludf.DUMMYFUNCTION("""COMPUTED_VALUE"""),99.0)</f>
        <v>99</v>
      </c>
      <c r="H99" s="82">
        <f>IFERROR(__xludf.DUMMYFUNCTION("""COMPUTED_VALUE"""),1209.0)</f>
        <v>1209</v>
      </c>
      <c r="I99" s="95"/>
      <c r="J99" s="96"/>
      <c r="K99" s="97"/>
      <c r="L99" s="95"/>
      <c r="M99" s="96"/>
      <c r="N99" s="97"/>
      <c r="O99" s="95"/>
      <c r="P99" s="96"/>
      <c r="Q99" s="97"/>
      <c r="R99" s="95"/>
      <c r="S99" s="96"/>
      <c r="T99" s="97"/>
      <c r="U99" s="95"/>
      <c r="V99" s="96"/>
      <c r="W99" s="97"/>
      <c r="X99" s="95"/>
      <c r="Y99" s="96"/>
      <c r="Z99" s="97"/>
      <c r="AA99" s="95"/>
      <c r="AB99" s="96"/>
      <c r="AC99" s="97"/>
      <c r="AD99" s="95"/>
      <c r="AE99" s="96"/>
      <c r="AF99" s="97"/>
      <c r="AG99" s="95"/>
      <c r="AH99" s="96"/>
      <c r="AI99" s="97"/>
      <c r="AJ99" s="95"/>
      <c r="AK99" s="96"/>
      <c r="AL99" s="97"/>
      <c r="AM99" s="95"/>
      <c r="AN99" s="96"/>
      <c r="AO99" s="97"/>
      <c r="AP99" s="95"/>
      <c r="AQ99" s="96"/>
      <c r="AR99" s="97"/>
      <c r="AS99" s="95"/>
      <c r="AT99" s="96"/>
      <c r="AU99" s="97">
        <f>IFERROR(__xludf.DUMMYFUNCTION("""COMPUTED_VALUE"""),39.46731699823335)</f>
        <v>39.467317</v>
      </c>
      <c r="AV99" s="95"/>
      <c r="AW99" s="96"/>
      <c r="AX99" s="97">
        <f>IFERROR(__xludf.DUMMYFUNCTION("""COMPUTED_VALUE"""),51.48031259392846)</f>
        <v>51.48031259</v>
      </c>
      <c r="AY99" s="95"/>
      <c r="AZ99" s="96"/>
      <c r="BA99" s="97"/>
      <c r="BB99" s="95"/>
      <c r="BC99" s="96"/>
      <c r="BD99" s="97"/>
      <c r="BE99" s="95"/>
      <c r="BF99" s="96"/>
      <c r="BG99" s="97"/>
      <c r="BH99" s="95"/>
      <c r="BI99" s="96"/>
      <c r="BJ99" s="97"/>
      <c r="BK99" s="95"/>
      <c r="BL99" s="96"/>
      <c r="BM99" s="97"/>
      <c r="BN99" s="95"/>
      <c r="BO99" s="96"/>
      <c r="BP99" s="97"/>
      <c r="BQ99" s="95"/>
      <c r="BR99" s="96">
        <f>IFERROR(__xludf.DUMMYFUNCTION("""COMPUTED_VALUE"""),130.78420891875382)</f>
        <v>130.7842089</v>
      </c>
      <c r="BS99" s="97">
        <f>IFERROR(__xludf.DUMMYFUNCTION("""COMPUTED_VALUE"""),328.02923901940756)</f>
        <v>328.029239</v>
      </c>
      <c r="BT99" s="95">
        <f>IFERROR(__xludf.DUMMYFUNCTION("""COMPUTED_VALUE"""),351.1652542372882)</f>
        <v>351.1652542</v>
      </c>
      <c r="BU99" s="96"/>
      <c r="BV99" s="97"/>
      <c r="BW99" s="95"/>
      <c r="BX99" s="96"/>
      <c r="BY99" s="97"/>
      <c r="BZ99" s="95"/>
      <c r="CA99" s="96">
        <f>IFERROR(__xludf.DUMMYFUNCTION("""COMPUTED_VALUE"""),218.68615934627172)</f>
        <v>218.6861593</v>
      </c>
      <c r="CB99" s="97"/>
      <c r="CC99" s="95"/>
      <c r="CD99" s="96"/>
      <c r="CE99" s="97"/>
      <c r="CF99" s="95"/>
      <c r="CG99" s="96"/>
      <c r="CH99" s="96">
        <f>IFERROR(__xludf.DUMMYFUNCTION("""COMPUTED_VALUE"""),81.39930929598884)</f>
        <v>81.3993093</v>
      </c>
      <c r="CI99" s="95"/>
      <c r="CJ99" s="96"/>
      <c r="CK99" s="96"/>
      <c r="CL99" s="95"/>
      <c r="CM99" s="96"/>
      <c r="CN99" s="96"/>
      <c r="CO99" s="95"/>
      <c r="CP99" s="96"/>
      <c r="CQ99" s="96"/>
      <c r="CR99" s="95"/>
      <c r="CS99" s="96"/>
      <c r="CT99" s="96"/>
      <c r="CU99" s="95"/>
      <c r="CV99" s="96"/>
      <c r="CW99" s="97"/>
      <c r="CX99" s="96"/>
      <c r="CY99" s="96"/>
      <c r="CZ99" s="97"/>
      <c r="DA99" s="95"/>
      <c r="DB99" s="96"/>
      <c r="DC99" s="97"/>
      <c r="DD99" s="95"/>
      <c r="DE99" s="96">
        <f>IFERROR(__xludf.DUMMYFUNCTION("""COMPUTED_VALUE"""),97.14285714285715)</f>
        <v>97.14285714</v>
      </c>
      <c r="DF99" s="97"/>
      <c r="DG99" s="95"/>
      <c r="DH99" s="96"/>
      <c r="DI99" s="97"/>
      <c r="DJ99" s="95"/>
      <c r="DK99" s="96">
        <f>IFERROR(__xludf.DUMMYFUNCTION("""COMPUTED_VALUE"""),113.33333333333334)</f>
        <v>113.3333333</v>
      </c>
      <c r="DL99" s="97">
        <f>IFERROR(__xludf.DUMMYFUNCTION("""COMPUTED_VALUE"""),680.0)</f>
        <v>680</v>
      </c>
      <c r="DM99" s="95">
        <f>IFERROR(__xludf.DUMMYFUNCTION("""COMPUTED_VALUE"""),136.0)</f>
        <v>136</v>
      </c>
      <c r="DN99" s="96"/>
      <c r="DO99" s="97"/>
      <c r="DP99" s="95"/>
      <c r="DQ99" s="96"/>
      <c r="DR99" s="97"/>
      <c r="DS99" s="95"/>
    </row>
    <row r="100">
      <c r="B100" s="120" t="str">
        <f>IFERROR(__xludf.DUMMYFUNCTION("""COMPUTED_VALUE"""),"EPU3")</f>
        <v>EPU3</v>
      </c>
      <c r="C100" s="88" t="str">
        <f>IFERROR(__xludf.DUMMYFUNCTION("""COMPUTED_VALUE"""),"Denver")</f>
        <v>Denver</v>
      </c>
      <c r="D100" s="102">
        <f>IFERROR(__xludf.DUMMYFUNCTION("""COMPUTED_VALUE"""),17.0)</f>
        <v>17</v>
      </c>
      <c r="E100" s="82" t="b">
        <f>IFERROR(__xludf.DUMMYFUNCTION("""COMPUTED_VALUE"""),TRUE)</f>
        <v>1</v>
      </c>
      <c r="F100" s="82" t="str">
        <f>IFERROR(__xludf.DUMMYFUNCTION("""COMPUTED_VALUE"""),"Free Quests- Part 1!A763:J774")</f>
        <v>Free Quests- Part 1!A763:J774</v>
      </c>
      <c r="G100" s="82">
        <f>IFERROR(__xludf.DUMMYFUNCTION("""COMPUTED_VALUE"""),100.0)</f>
        <v>100</v>
      </c>
      <c r="H100" s="82">
        <f>IFERROR(__xludf.DUMMYFUNCTION("""COMPUTED_VALUE"""),1201.0)</f>
        <v>1201</v>
      </c>
      <c r="I100" s="95"/>
      <c r="J100" s="96"/>
      <c r="K100" s="97"/>
      <c r="L100" s="95"/>
      <c r="M100" s="96"/>
      <c r="N100" s="97"/>
      <c r="O100" s="95"/>
      <c r="P100" s="96"/>
      <c r="Q100" s="97"/>
      <c r="R100" s="95"/>
      <c r="S100" s="96"/>
      <c r="T100" s="97"/>
      <c r="U100" s="95"/>
      <c r="V100" s="96"/>
      <c r="W100" s="97"/>
      <c r="X100" s="95"/>
      <c r="Y100" s="96"/>
      <c r="Z100" s="97"/>
      <c r="AA100" s="95"/>
      <c r="AB100" s="96"/>
      <c r="AC100" s="97"/>
      <c r="AD100" s="95"/>
      <c r="AE100" s="96"/>
      <c r="AF100" s="97">
        <f>IFERROR(__xludf.DUMMYFUNCTION("""COMPUTED_VALUE"""),103.88427565433302)</f>
        <v>103.8842757</v>
      </c>
      <c r="AG100" s="95"/>
      <c r="AH100" s="96"/>
      <c r="AI100" s="97"/>
      <c r="AJ100" s="95"/>
      <c r="AK100" s="96"/>
      <c r="AL100" s="97"/>
      <c r="AM100" s="95"/>
      <c r="AN100" s="96"/>
      <c r="AO100" s="97"/>
      <c r="AP100" s="95"/>
      <c r="AQ100" s="96"/>
      <c r="AR100" s="97"/>
      <c r="AS100" s="95"/>
      <c r="AT100" s="96"/>
      <c r="AU100" s="97"/>
      <c r="AV100" s="95"/>
      <c r="AW100" s="96"/>
      <c r="AX100" s="97">
        <f>IFERROR(__xludf.DUMMYFUNCTION("""COMPUTED_VALUE"""),141.2511069293779)</f>
        <v>141.2511069</v>
      </c>
      <c r="AY100" s="95"/>
      <c r="AZ100" s="96"/>
      <c r="BA100" s="97"/>
      <c r="BB100" s="95"/>
      <c r="BC100" s="96"/>
      <c r="BD100" s="97"/>
      <c r="BE100" s="95"/>
      <c r="BF100" s="96"/>
      <c r="BG100" s="97"/>
      <c r="BH100" s="95"/>
      <c r="BI100" s="96"/>
      <c r="BJ100" s="97"/>
      <c r="BK100" s="95"/>
      <c r="BL100" s="96">
        <f>IFERROR(__xludf.DUMMYFUNCTION("""COMPUTED_VALUE"""),179.84848929735443)</f>
        <v>179.8484893</v>
      </c>
      <c r="BM100" s="97"/>
      <c r="BN100" s="95"/>
      <c r="BO100" s="96"/>
      <c r="BP100" s="97"/>
      <c r="BQ100" s="95"/>
      <c r="BR100" s="96"/>
      <c r="BS100" s="97">
        <f>IFERROR(__xludf.DUMMYFUNCTION("""COMPUTED_VALUE"""),70.43210685727296)</f>
        <v>70.43210686</v>
      </c>
      <c r="BT100" s="95"/>
      <c r="BU100" s="96"/>
      <c r="BV100" s="97"/>
      <c r="BW100" s="95"/>
      <c r="BX100" s="96"/>
      <c r="BY100" s="97"/>
      <c r="BZ100" s="95"/>
      <c r="CA100" s="96">
        <f>IFERROR(__xludf.DUMMYFUNCTION("""COMPUTED_VALUE"""),843.9566798941798)</f>
        <v>843.9566799</v>
      </c>
      <c r="CB100" s="97"/>
      <c r="CC100" s="95"/>
      <c r="CD100" s="96"/>
      <c r="CE100" s="97"/>
      <c r="CF100" s="95"/>
      <c r="CG100" s="96"/>
      <c r="CH100" s="96">
        <f>IFERROR(__xludf.DUMMYFUNCTION("""COMPUTED_VALUE"""),154.14698965281633)</f>
        <v>154.1469897</v>
      </c>
      <c r="CI100" s="95"/>
      <c r="CJ100" s="96"/>
      <c r="CK100" s="96"/>
      <c r="CL100" s="95"/>
      <c r="CM100" s="96"/>
      <c r="CN100" s="96"/>
      <c r="CO100" s="95"/>
      <c r="CP100" s="96"/>
      <c r="CQ100" s="96"/>
      <c r="CR100" s="95"/>
      <c r="CS100" s="96"/>
      <c r="CT100" s="96"/>
      <c r="CU100" s="95"/>
      <c r="CV100" s="96"/>
      <c r="CW100" s="97"/>
      <c r="CX100" s="96"/>
      <c r="CY100" s="96"/>
      <c r="CZ100" s="97"/>
      <c r="DA100" s="95"/>
      <c r="DB100" s="96"/>
      <c r="DC100" s="97"/>
      <c r="DD100" s="95"/>
      <c r="DE100" s="96">
        <f>IFERROR(__xludf.DUMMYFUNCTION("""COMPUTED_VALUE"""),102.0)</f>
        <v>102</v>
      </c>
      <c r="DF100" s="97"/>
      <c r="DG100" s="95"/>
      <c r="DH100" s="96"/>
      <c r="DI100" s="97"/>
      <c r="DJ100" s="95"/>
      <c r="DK100" s="96"/>
      <c r="DL100" s="97">
        <f>IFERROR(__xludf.DUMMYFUNCTION("""COMPUTED_VALUE"""),51.0)</f>
        <v>51</v>
      </c>
      <c r="DM100" s="95"/>
      <c r="DN100" s="96"/>
      <c r="DO100" s="97"/>
      <c r="DP100" s="95"/>
      <c r="DQ100" s="96"/>
      <c r="DR100" s="97"/>
      <c r="DS100" s="95"/>
    </row>
    <row r="101">
      <c r="B101" s="120" t="str">
        <f>IFERROR(__xludf.DUMMYFUNCTION("""COMPUTED_VALUE"""),"EPU4")</f>
        <v>EPU4</v>
      </c>
      <c r="C101" s="88" t="str">
        <f>IFERROR(__xludf.DUMMYFUNCTION("""COMPUTED_VALUE"""),"Deming")</f>
        <v>Deming</v>
      </c>
      <c r="D101" s="102">
        <f>IFERROR(__xludf.DUMMYFUNCTION("""COMPUTED_VALUE"""),17.0)</f>
        <v>17</v>
      </c>
      <c r="E101" s="82" t="b">
        <f>IFERROR(__xludf.DUMMYFUNCTION("""COMPUTED_VALUE"""),TRUE)</f>
        <v>1</v>
      </c>
      <c r="F101" s="82" t="str">
        <f>IFERROR(__xludf.DUMMYFUNCTION("""COMPUTED_VALUE"""),"Free Quests- Part 1!A778:J788")</f>
        <v>Free Quests- Part 1!A778:J788</v>
      </c>
      <c r="G101" s="82">
        <f>IFERROR(__xludf.DUMMYFUNCTION("""COMPUTED_VALUE"""),101.0)</f>
        <v>101</v>
      </c>
      <c r="H101" s="82">
        <f>IFERROR(__xludf.DUMMYFUNCTION("""COMPUTED_VALUE"""),8782.0)</f>
        <v>8782</v>
      </c>
      <c r="I101" s="95"/>
      <c r="J101" s="96"/>
      <c r="K101" s="97"/>
      <c r="L101" s="95"/>
      <c r="M101" s="96"/>
      <c r="N101" s="97"/>
      <c r="O101" s="95"/>
      <c r="P101" s="96"/>
      <c r="Q101" s="97"/>
      <c r="R101" s="95"/>
      <c r="S101" s="96"/>
      <c r="T101" s="97"/>
      <c r="U101" s="95"/>
      <c r="V101" s="96"/>
      <c r="W101" s="97"/>
      <c r="X101" s="95"/>
      <c r="Y101" s="96"/>
      <c r="Z101" s="97"/>
      <c r="AA101" s="95"/>
      <c r="AB101" s="96"/>
      <c r="AC101" s="97"/>
      <c r="AD101" s="95"/>
      <c r="AE101" s="96"/>
      <c r="AF101" s="97"/>
      <c r="AG101" s="95"/>
      <c r="AH101" s="96"/>
      <c r="AI101" s="97"/>
      <c r="AJ101" s="95"/>
      <c r="AK101" s="96"/>
      <c r="AL101" s="97"/>
      <c r="AM101" s="95"/>
      <c r="AN101" s="96"/>
      <c r="AO101" s="97"/>
      <c r="AP101" s="95"/>
      <c r="AQ101" s="96"/>
      <c r="AR101" s="97"/>
      <c r="AS101" s="95"/>
      <c r="AT101" s="96"/>
      <c r="AU101" s="97"/>
      <c r="AV101" s="95"/>
      <c r="AW101" s="96">
        <f>IFERROR(__xludf.DUMMYFUNCTION("""COMPUTED_VALUE"""),27.46780455865323)</f>
        <v>27.46780456</v>
      </c>
      <c r="AX101" s="97"/>
      <c r="AY101" s="95"/>
      <c r="AZ101" s="96"/>
      <c r="BA101" s="97"/>
      <c r="BB101" s="95"/>
      <c r="BC101" s="96"/>
      <c r="BD101" s="97"/>
      <c r="BE101" s="95"/>
      <c r="BF101" s="96"/>
      <c r="BG101" s="97"/>
      <c r="BH101" s="95"/>
      <c r="BI101" s="96"/>
      <c r="BJ101" s="97"/>
      <c r="BK101" s="95"/>
      <c r="BL101" s="96"/>
      <c r="BM101" s="97"/>
      <c r="BN101" s="95">
        <f>IFERROR(__xludf.DUMMYFUNCTION("""COMPUTED_VALUE"""),233.67892238530877)</f>
        <v>233.6789224</v>
      </c>
      <c r="BO101" s="96"/>
      <c r="BP101" s="97"/>
      <c r="BQ101" s="95"/>
      <c r="BR101" s="96"/>
      <c r="BS101" s="97"/>
      <c r="BT101" s="95"/>
      <c r="BU101" s="96">
        <f>IFERROR(__xludf.DUMMYFUNCTION("""COMPUTED_VALUE"""),46.75501109250698)</f>
        <v>46.75501109</v>
      </c>
      <c r="BV101" s="97"/>
      <c r="BW101" s="95"/>
      <c r="BX101" s="96"/>
      <c r="BY101" s="97"/>
      <c r="BZ101" s="95"/>
      <c r="CA101" s="96"/>
      <c r="CB101" s="97"/>
      <c r="CC101" s="95"/>
      <c r="CD101" s="96"/>
      <c r="CE101" s="97"/>
      <c r="CF101" s="95"/>
      <c r="CG101" s="96"/>
      <c r="CH101" s="96"/>
      <c r="CI101" s="95"/>
      <c r="CJ101" s="96"/>
      <c r="CK101" s="96"/>
      <c r="CL101" s="95"/>
      <c r="CM101" s="96"/>
      <c r="CN101" s="96"/>
      <c r="CO101" s="95"/>
      <c r="CP101" s="96"/>
      <c r="CQ101" s="96"/>
      <c r="CR101" s="95"/>
      <c r="CS101" s="96"/>
      <c r="CT101" s="96"/>
      <c r="CU101" s="95"/>
      <c r="CV101" s="96"/>
      <c r="CW101" s="97"/>
      <c r="CX101" s="96">
        <f>IFERROR(__xludf.DUMMYFUNCTION("""COMPUTED_VALUE"""),314.0603448275862)</f>
        <v>314.0603448</v>
      </c>
      <c r="CY101" s="96"/>
      <c r="CZ101" s="97"/>
      <c r="DA101" s="95"/>
      <c r="DB101" s="96"/>
      <c r="DC101" s="97"/>
      <c r="DD101" s="95"/>
      <c r="DE101" s="96"/>
      <c r="DF101" s="97">
        <f>IFERROR(__xludf.DUMMYFUNCTION("""COMPUTED_VALUE"""),107.7172619047619)</f>
        <v>107.7172619</v>
      </c>
      <c r="DG101" s="95"/>
      <c r="DH101" s="96"/>
      <c r="DI101" s="97"/>
      <c r="DJ101" s="95"/>
      <c r="DK101" s="96"/>
      <c r="DL101" s="97"/>
      <c r="DM101" s="95"/>
      <c r="DN101" s="96">
        <f>IFERROR(__xludf.DUMMYFUNCTION("""COMPUTED_VALUE"""),126.99298245614034)</f>
        <v>126.9929825</v>
      </c>
      <c r="DO101" s="97"/>
      <c r="DP101" s="95"/>
      <c r="DQ101" s="96"/>
      <c r="DR101" s="97"/>
      <c r="DS101" s="95"/>
    </row>
    <row r="102">
      <c r="B102" s="120" t="str">
        <f>IFERROR(__xludf.DUMMYFUNCTION("""COMPUTED_VALUE"""),"EPU5")</f>
        <v>EPU5</v>
      </c>
      <c r="C102" s="88" t="str">
        <f>IFERROR(__xludf.DUMMYFUNCTION("""COMPUTED_VALUE"""),"Dallas")</f>
        <v>Dallas</v>
      </c>
      <c r="D102" s="102">
        <f>IFERROR(__xludf.DUMMYFUNCTION("""COMPUTED_VALUE"""),17.0)</f>
        <v>17</v>
      </c>
      <c r="E102" s="82" t="b">
        <f>IFERROR(__xludf.DUMMYFUNCTION("""COMPUTED_VALUE"""),TRUE)</f>
        <v>1</v>
      </c>
      <c r="F102" s="82" t="str">
        <f>IFERROR(__xludf.DUMMYFUNCTION("""COMPUTED_VALUE"""),"Free Quests- Part 1!A792:J799")</f>
        <v>Free Quests- Part 1!A792:J799</v>
      </c>
      <c r="G102" s="82">
        <f>IFERROR(__xludf.DUMMYFUNCTION("""COMPUTED_VALUE"""),102.0)</f>
        <v>102</v>
      </c>
      <c r="H102" s="82">
        <f>IFERROR(__xludf.DUMMYFUNCTION("""COMPUTED_VALUE"""),7907.0)</f>
        <v>7907</v>
      </c>
      <c r="I102" s="95"/>
      <c r="J102" s="96"/>
      <c r="K102" s="97"/>
      <c r="L102" s="95"/>
      <c r="M102" s="96"/>
      <c r="N102" s="97"/>
      <c r="O102" s="95"/>
      <c r="P102" s="96"/>
      <c r="Q102" s="97"/>
      <c r="R102" s="95"/>
      <c r="S102" s="96"/>
      <c r="T102" s="97"/>
      <c r="U102" s="95"/>
      <c r="V102" s="96"/>
      <c r="W102" s="97"/>
      <c r="X102" s="95"/>
      <c r="Y102" s="96"/>
      <c r="Z102" s="97"/>
      <c r="AA102" s="95"/>
      <c r="AB102" s="96"/>
      <c r="AC102" s="97"/>
      <c r="AD102" s="95"/>
      <c r="AE102" s="96"/>
      <c r="AF102" s="97"/>
      <c r="AG102" s="95"/>
      <c r="AH102" s="96"/>
      <c r="AI102" s="97"/>
      <c r="AJ102" s="95"/>
      <c r="AK102" s="96"/>
      <c r="AL102" s="97"/>
      <c r="AM102" s="95"/>
      <c r="AN102" s="96"/>
      <c r="AO102" s="97"/>
      <c r="AP102" s="95"/>
      <c r="AQ102" s="96"/>
      <c r="AR102" s="97"/>
      <c r="AS102" s="95"/>
      <c r="AT102" s="96"/>
      <c r="AU102" s="97">
        <f>IFERROR(__xludf.DUMMYFUNCTION("""COMPUTED_VALUE"""),25.594960638077474)</f>
        <v>25.59496064</v>
      </c>
      <c r="AV102" s="95"/>
      <c r="AW102" s="96"/>
      <c r="AX102" s="97"/>
      <c r="AY102" s="95"/>
      <c r="AZ102" s="96"/>
      <c r="BA102" s="97"/>
      <c r="BB102" s="95"/>
      <c r="BC102" s="96"/>
      <c r="BD102" s="97"/>
      <c r="BE102" s="95"/>
      <c r="BF102" s="96"/>
      <c r="BG102" s="97"/>
      <c r="BH102" s="95"/>
      <c r="BI102" s="96"/>
      <c r="BJ102" s="97"/>
      <c r="BK102" s="95"/>
      <c r="BL102" s="96"/>
      <c r="BM102" s="97"/>
      <c r="BN102" s="95"/>
      <c r="BO102" s="96"/>
      <c r="BP102" s="97"/>
      <c r="BQ102" s="95"/>
      <c r="BR102" s="96"/>
      <c r="BS102" s="97">
        <f>IFERROR(__xludf.DUMMYFUNCTION("""COMPUTED_VALUE"""),169.58453101491872)</f>
        <v>169.584531</v>
      </c>
      <c r="BT102" s="95">
        <f>IFERROR(__xludf.DUMMYFUNCTION("""COMPUTED_VALUE"""),66.31735557150425)</f>
        <v>66.31735557</v>
      </c>
      <c r="BU102" s="96"/>
      <c r="BV102" s="97"/>
      <c r="BW102" s="95"/>
      <c r="BX102" s="96"/>
      <c r="BY102" s="97"/>
      <c r="BZ102" s="95"/>
      <c r="CA102" s="96"/>
      <c r="CB102" s="97"/>
      <c r="CC102" s="95"/>
      <c r="CD102" s="96"/>
      <c r="CE102" s="97"/>
      <c r="CF102" s="95"/>
      <c r="CG102" s="96"/>
      <c r="CH102" s="96"/>
      <c r="CI102" s="95"/>
      <c r="CJ102" s="96"/>
      <c r="CK102" s="96"/>
      <c r="CL102" s="95"/>
      <c r="CM102" s="96"/>
      <c r="CN102" s="96"/>
      <c r="CO102" s="95"/>
      <c r="CP102" s="96"/>
      <c r="CQ102" s="96"/>
      <c r="CR102" s="95"/>
      <c r="CS102" s="96"/>
      <c r="CT102" s="96"/>
      <c r="CU102" s="95"/>
      <c r="CV102" s="96"/>
      <c r="CW102" s="97"/>
      <c r="CX102" s="96"/>
      <c r="CY102" s="96"/>
      <c r="CZ102" s="97"/>
      <c r="DA102" s="95"/>
      <c r="DB102" s="96"/>
      <c r="DC102" s="97"/>
      <c r="DD102" s="95"/>
      <c r="DE102" s="96"/>
      <c r="DF102" s="97"/>
      <c r="DG102" s="95"/>
      <c r="DH102" s="96"/>
      <c r="DI102" s="97"/>
      <c r="DJ102" s="95"/>
      <c r="DK102" s="96"/>
      <c r="DL102" s="97">
        <f>IFERROR(__xludf.DUMMYFUNCTION("""COMPUTED_VALUE"""),151.78571428571428)</f>
        <v>151.7857143</v>
      </c>
      <c r="DM102" s="95">
        <f>IFERROR(__xludf.DUMMYFUNCTION("""COMPUTED_VALUE"""),60.71428571428571)</f>
        <v>60.71428571</v>
      </c>
      <c r="DN102" s="96"/>
      <c r="DO102" s="97"/>
      <c r="DP102" s="95"/>
      <c r="DQ102" s="96"/>
      <c r="DR102" s="97"/>
      <c r="DS102" s="95"/>
    </row>
    <row r="103">
      <c r="B103" s="120" t="str">
        <f>IFERROR(__xludf.DUMMYFUNCTION("""COMPUTED_VALUE"""),"EPU6")</f>
        <v>EPU6</v>
      </c>
      <c r="C103" s="88" t="str">
        <f>IFERROR(__xludf.DUMMYFUNCTION("""COMPUTED_VALUE"""),"Alcatraz")</f>
        <v>Alcatraz</v>
      </c>
      <c r="D103" s="102">
        <f>IFERROR(__xludf.DUMMYFUNCTION("""COMPUTED_VALUE"""),18.0)</f>
        <v>18</v>
      </c>
      <c r="E103" s="82" t="b">
        <f>IFERROR(__xludf.DUMMYFUNCTION("""COMPUTED_VALUE"""),TRUE)</f>
        <v>1</v>
      </c>
      <c r="F103" s="82" t="str">
        <f>IFERROR(__xludf.DUMMYFUNCTION("""COMPUTED_VALUE"""),"Free Quests- Part 1!A803:J814")</f>
        <v>Free Quests- Part 1!A803:J814</v>
      </c>
      <c r="G103" s="82">
        <f>IFERROR(__xludf.DUMMYFUNCTION("""COMPUTED_VALUE"""),103.0)</f>
        <v>103</v>
      </c>
      <c r="H103" s="82">
        <f>IFERROR(__xludf.DUMMYFUNCTION("""COMPUTED_VALUE"""),1254.0)</f>
        <v>1254</v>
      </c>
      <c r="I103" s="95"/>
      <c r="J103" s="96"/>
      <c r="K103" s="97"/>
      <c r="L103" s="95"/>
      <c r="M103" s="96"/>
      <c r="N103" s="97"/>
      <c r="O103" s="95"/>
      <c r="P103" s="96"/>
      <c r="Q103" s="97"/>
      <c r="R103" s="95"/>
      <c r="S103" s="96"/>
      <c r="T103" s="97"/>
      <c r="U103" s="95"/>
      <c r="V103" s="96"/>
      <c r="W103" s="97"/>
      <c r="X103" s="95"/>
      <c r="Y103" s="96"/>
      <c r="Z103" s="97"/>
      <c r="AA103" s="95"/>
      <c r="AB103" s="96"/>
      <c r="AC103" s="97"/>
      <c r="AD103" s="95"/>
      <c r="AE103" s="96"/>
      <c r="AF103" s="97"/>
      <c r="AG103" s="95"/>
      <c r="AH103" s="96"/>
      <c r="AI103" s="97"/>
      <c r="AJ103" s="95"/>
      <c r="AK103" s="96"/>
      <c r="AL103" s="97"/>
      <c r="AM103" s="95"/>
      <c r="AN103" s="96"/>
      <c r="AO103" s="97"/>
      <c r="AP103" s="95"/>
      <c r="AQ103" s="96"/>
      <c r="AR103" s="97"/>
      <c r="AS103" s="95"/>
      <c r="AT103" s="96"/>
      <c r="AU103" s="97">
        <f>IFERROR(__xludf.DUMMYFUNCTION("""COMPUTED_VALUE"""),35.25167496993644)</f>
        <v>35.25167497</v>
      </c>
      <c r="AV103" s="95"/>
      <c r="AW103" s="96"/>
      <c r="AX103" s="97">
        <f>IFERROR(__xludf.DUMMYFUNCTION("""COMPUTED_VALUE"""),158.14474882645555)</f>
        <v>158.1447488</v>
      </c>
      <c r="AY103" s="95"/>
      <c r="AZ103" s="96"/>
      <c r="BA103" s="97"/>
      <c r="BB103" s="95"/>
      <c r="BC103" s="96"/>
      <c r="BD103" s="97"/>
      <c r="BE103" s="95"/>
      <c r="BF103" s="96"/>
      <c r="BG103" s="97"/>
      <c r="BH103" s="95"/>
      <c r="BI103" s="96"/>
      <c r="BJ103" s="97"/>
      <c r="BK103" s="95"/>
      <c r="BL103" s="96"/>
      <c r="BM103" s="97"/>
      <c r="BN103" s="95"/>
      <c r="BO103" s="96"/>
      <c r="BP103" s="97"/>
      <c r="BQ103" s="95"/>
      <c r="BR103" s="96">
        <f>IFERROR(__xludf.DUMMYFUNCTION("""COMPUTED_VALUE"""),309.33260243935865)</f>
        <v>309.3326024</v>
      </c>
      <c r="BS103" s="97"/>
      <c r="BT103" s="95">
        <f>IFERROR(__xludf.DUMMYFUNCTION("""COMPUTED_VALUE"""),71.85560118422309)</f>
        <v>71.85560118</v>
      </c>
      <c r="BU103" s="96"/>
      <c r="BV103" s="97"/>
      <c r="BW103" s="95"/>
      <c r="BX103" s="96"/>
      <c r="BY103" s="97"/>
      <c r="BZ103" s="95"/>
      <c r="CA103" s="96"/>
      <c r="CB103" s="97"/>
      <c r="CC103" s="95"/>
      <c r="CD103" s="96"/>
      <c r="CE103" s="97">
        <f>IFERROR(__xludf.DUMMYFUNCTION("""COMPUTED_VALUE"""),854.6762589928057)</f>
        <v>854.676259</v>
      </c>
      <c r="CF103" s="95"/>
      <c r="CG103" s="96"/>
      <c r="CH103" s="96"/>
      <c r="CI103" s="95"/>
      <c r="CJ103" s="96"/>
      <c r="CK103" s="96"/>
      <c r="CL103" s="95">
        <f>IFERROR(__xludf.DUMMYFUNCTION("""COMPUTED_VALUE"""),176.63353940057908)</f>
        <v>176.6335394</v>
      </c>
      <c r="CM103" s="96"/>
      <c r="CN103" s="96"/>
      <c r="CO103" s="95"/>
      <c r="CP103" s="96"/>
      <c r="CQ103" s="96"/>
      <c r="CR103" s="95"/>
      <c r="CS103" s="96"/>
      <c r="CT103" s="96"/>
      <c r="CU103" s="95"/>
      <c r="CV103" s="96"/>
      <c r="CW103" s="97"/>
      <c r="CX103" s="96"/>
      <c r="CY103" s="96"/>
      <c r="CZ103" s="97"/>
      <c r="DA103" s="95"/>
      <c r="DB103" s="96"/>
      <c r="DC103" s="97"/>
      <c r="DD103" s="95"/>
      <c r="DE103" s="96"/>
      <c r="DF103" s="97"/>
      <c r="DG103" s="95"/>
      <c r="DH103" s="96"/>
      <c r="DI103" s="97">
        <f>IFERROR(__xludf.DUMMYFUNCTION("""COMPUTED_VALUE"""),81.0)</f>
        <v>81</v>
      </c>
      <c r="DJ103" s="95"/>
      <c r="DK103" s="96"/>
      <c r="DL103" s="97"/>
      <c r="DM103" s="95">
        <f>IFERROR(__xludf.DUMMYFUNCTION("""COMPUTED_VALUE"""),81.0)</f>
        <v>81</v>
      </c>
      <c r="DN103" s="96"/>
      <c r="DO103" s="97"/>
      <c r="DP103" s="95"/>
      <c r="DQ103" s="96"/>
      <c r="DR103" s="97"/>
      <c r="DS103" s="95"/>
    </row>
    <row r="104">
      <c r="B104" s="120" t="str">
        <f>IFERROR(__xludf.DUMMYFUNCTION("""COMPUTED_VALUE"""),"EPU7")</f>
        <v>EPU7</v>
      </c>
      <c r="C104" s="88" t="str">
        <f>IFERROR(__xludf.DUMMYFUNCTION("""COMPUTED_VALUE"""),"Des Moines")</f>
        <v>Des Moines</v>
      </c>
      <c r="D104" s="102">
        <f>IFERROR(__xludf.DUMMYFUNCTION("""COMPUTED_VALUE"""),18.0)</f>
        <v>18</v>
      </c>
      <c r="E104" s="82" t="b">
        <f>IFERROR(__xludf.DUMMYFUNCTION("""COMPUTED_VALUE"""),TRUE)</f>
        <v>1</v>
      </c>
      <c r="F104" s="82" t="str">
        <f>IFERROR(__xludf.DUMMYFUNCTION("""COMPUTED_VALUE"""),"Free Quests- Part 1!A818:J830")</f>
        <v>Free Quests- Part 1!A818:J830</v>
      </c>
      <c r="G104" s="82">
        <f>IFERROR(__xludf.DUMMYFUNCTION("""COMPUTED_VALUE"""),104.0)</f>
        <v>104</v>
      </c>
      <c r="H104" s="82">
        <f>IFERROR(__xludf.DUMMYFUNCTION("""COMPUTED_VALUE"""),28194.0)</f>
        <v>28194</v>
      </c>
      <c r="I104" s="95">
        <f>IFERROR(__xludf.DUMMYFUNCTION("""COMPUTED_VALUE"""),89.45314097402698)</f>
        <v>89.45314097</v>
      </c>
      <c r="J104" s="96"/>
      <c r="K104" s="97"/>
      <c r="L104" s="95"/>
      <c r="M104" s="96"/>
      <c r="N104" s="97"/>
      <c r="O104" s="95"/>
      <c r="P104" s="96"/>
      <c r="Q104" s="97"/>
      <c r="R104" s="95"/>
      <c r="S104" s="96"/>
      <c r="T104" s="97"/>
      <c r="U104" s="95"/>
      <c r="V104" s="96"/>
      <c r="W104" s="97"/>
      <c r="X104" s="95"/>
      <c r="Y104" s="96"/>
      <c r="Z104" s="97"/>
      <c r="AA104" s="95">
        <f>IFERROR(__xludf.DUMMYFUNCTION("""COMPUTED_VALUE"""),196.38080909394856)</f>
        <v>196.3808091</v>
      </c>
      <c r="AB104" s="96"/>
      <c r="AC104" s="97"/>
      <c r="AD104" s="95"/>
      <c r="AE104" s="96"/>
      <c r="AF104" s="97"/>
      <c r="AG104" s="95"/>
      <c r="AH104" s="96"/>
      <c r="AI104" s="97"/>
      <c r="AJ104" s="95"/>
      <c r="AK104" s="96"/>
      <c r="AL104" s="97"/>
      <c r="AM104" s="95"/>
      <c r="AN104" s="96"/>
      <c r="AO104" s="97"/>
      <c r="AP104" s="95"/>
      <c r="AQ104" s="96"/>
      <c r="AR104" s="97"/>
      <c r="AS104" s="95"/>
      <c r="AT104" s="96"/>
      <c r="AU104" s="97"/>
      <c r="AV104" s="95"/>
      <c r="AW104" s="96"/>
      <c r="AX104" s="97">
        <f>IFERROR(__xludf.DUMMYFUNCTION("""COMPUTED_VALUE"""),113.2125475834819)</f>
        <v>113.2125476</v>
      </c>
      <c r="AY104" s="95"/>
      <c r="AZ104" s="96"/>
      <c r="BA104" s="97"/>
      <c r="BB104" s="95"/>
      <c r="BC104" s="96"/>
      <c r="BD104" s="97"/>
      <c r="BE104" s="95"/>
      <c r="BF104" s="96"/>
      <c r="BG104" s="97"/>
      <c r="BH104" s="95"/>
      <c r="BI104" s="96"/>
      <c r="BJ104" s="97"/>
      <c r="BK104" s="95"/>
      <c r="BL104" s="96"/>
      <c r="BM104" s="97"/>
      <c r="BN104" s="95"/>
      <c r="BO104" s="96"/>
      <c r="BP104" s="97">
        <f>IFERROR(__xludf.DUMMYFUNCTION("""COMPUTED_VALUE"""),197.94234173017415)</f>
        <v>197.9423417</v>
      </c>
      <c r="BQ104" s="95">
        <f>IFERROR(__xludf.DUMMYFUNCTION("""COMPUTED_VALUE"""),219.81794173566047)</f>
        <v>219.8179417</v>
      </c>
      <c r="BR104" s="96"/>
      <c r="BS104" s="97"/>
      <c r="BT104" s="95"/>
      <c r="BU104" s="96"/>
      <c r="BV104" s="97"/>
      <c r="BW104" s="95"/>
      <c r="BX104" s="96"/>
      <c r="BY104" s="97"/>
      <c r="BZ104" s="95"/>
      <c r="CA104" s="96">
        <f>IFERROR(__xludf.DUMMYFUNCTION("""COMPUTED_VALUE"""),366.28586568867047)</f>
        <v>366.2858657</v>
      </c>
      <c r="CB104" s="97"/>
      <c r="CC104" s="95"/>
      <c r="CD104" s="96"/>
      <c r="CE104" s="97"/>
      <c r="CF104" s="95"/>
      <c r="CG104" s="96"/>
      <c r="CH104" s="96">
        <f>IFERROR(__xludf.DUMMYFUNCTION("""COMPUTED_VALUE"""),196.28046586188492)</f>
        <v>196.2804659</v>
      </c>
      <c r="CI104" s="95"/>
      <c r="CJ104" s="96"/>
      <c r="CK104" s="96"/>
      <c r="CL104" s="95"/>
      <c r="CM104" s="96"/>
      <c r="CN104" s="96"/>
      <c r="CO104" s="95"/>
      <c r="CP104" s="96"/>
      <c r="CQ104" s="96"/>
      <c r="CR104" s="95"/>
      <c r="CS104" s="96"/>
      <c r="CT104" s="96"/>
      <c r="CU104" s="95"/>
      <c r="CV104" s="96"/>
      <c r="CW104" s="97"/>
      <c r="CX104" s="96"/>
      <c r="CY104" s="96"/>
      <c r="CZ104" s="97"/>
      <c r="DA104" s="95">
        <f>IFERROR(__xludf.DUMMYFUNCTION("""COMPUTED_VALUE"""),26.238095238095237)</f>
        <v>26.23809524</v>
      </c>
      <c r="DB104" s="96"/>
      <c r="DC104" s="97"/>
      <c r="DD104" s="95"/>
      <c r="DE104" s="96">
        <f>IFERROR(__xludf.DUMMYFUNCTION("""COMPUTED_VALUE"""),99.17999999999999)</f>
        <v>99.18</v>
      </c>
      <c r="DF104" s="97"/>
      <c r="DG104" s="95"/>
      <c r="DH104" s="96">
        <f>IFERROR(__xludf.DUMMYFUNCTION("""COMPUTED_VALUE"""),119.49397590361446)</f>
        <v>119.4939759</v>
      </c>
      <c r="DI104" s="97"/>
      <c r="DJ104" s="95"/>
      <c r="DK104" s="96"/>
      <c r="DL104" s="97"/>
      <c r="DM104" s="95"/>
      <c r="DN104" s="96"/>
      <c r="DO104" s="97"/>
      <c r="DP104" s="95"/>
      <c r="DQ104" s="96"/>
      <c r="DR104" s="97"/>
      <c r="DS104" s="95"/>
    </row>
    <row r="105">
      <c r="B105" s="120" t="str">
        <f>IFERROR(__xludf.DUMMYFUNCTION("""COMPUTED_VALUE"""),"EPU8")</f>
        <v>EPU8</v>
      </c>
      <c r="C105" s="88" t="str">
        <f>IFERROR(__xludf.DUMMYFUNCTION("""COMPUTED_VALUE"""),"Montgomery")</f>
        <v>Montgomery</v>
      </c>
      <c r="D105" s="102">
        <f>IFERROR(__xludf.DUMMYFUNCTION("""COMPUTED_VALUE"""),18.0)</f>
        <v>18</v>
      </c>
      <c r="E105" s="82" t="b">
        <f>IFERROR(__xludf.DUMMYFUNCTION("""COMPUTED_VALUE"""),TRUE)</f>
        <v>1</v>
      </c>
      <c r="F105" s="82" t="str">
        <f>IFERROR(__xludf.DUMMYFUNCTION("""COMPUTED_VALUE"""),"Free Quests- Part 1!A834:J843")</f>
        <v>Free Quests- Part 1!A834:J843</v>
      </c>
      <c r="G105" s="82">
        <f>IFERROR(__xludf.DUMMYFUNCTION("""COMPUTED_VALUE"""),105.0)</f>
        <v>105</v>
      </c>
      <c r="H105" s="82">
        <f>IFERROR(__xludf.DUMMYFUNCTION("""COMPUTED_VALUE"""),4543.0)</f>
        <v>4543</v>
      </c>
      <c r="I105" s="95"/>
      <c r="J105" s="96"/>
      <c r="K105" s="97"/>
      <c r="L105" s="95"/>
      <c r="M105" s="96"/>
      <c r="N105" s="97"/>
      <c r="O105" s="95"/>
      <c r="P105" s="96"/>
      <c r="Q105" s="97"/>
      <c r="R105" s="95"/>
      <c r="S105" s="96"/>
      <c r="T105" s="97"/>
      <c r="U105" s="95"/>
      <c r="V105" s="96"/>
      <c r="W105" s="97"/>
      <c r="X105" s="95"/>
      <c r="Y105" s="96"/>
      <c r="Z105" s="97"/>
      <c r="AA105" s="95"/>
      <c r="AB105" s="96"/>
      <c r="AC105" s="97"/>
      <c r="AD105" s="95"/>
      <c r="AE105" s="96"/>
      <c r="AF105" s="97"/>
      <c r="AG105" s="95"/>
      <c r="AH105" s="96"/>
      <c r="AI105" s="97"/>
      <c r="AJ105" s="95"/>
      <c r="AK105" s="96"/>
      <c r="AL105" s="97"/>
      <c r="AM105" s="95"/>
      <c r="AN105" s="96"/>
      <c r="AO105" s="97"/>
      <c r="AP105" s="95"/>
      <c r="AQ105" s="96"/>
      <c r="AR105" s="97"/>
      <c r="AS105" s="95"/>
      <c r="AT105" s="96"/>
      <c r="AU105" s="97">
        <f>IFERROR(__xludf.DUMMYFUNCTION("""COMPUTED_VALUE"""),28.788593557472275)</f>
        <v>28.78859356</v>
      </c>
      <c r="AV105" s="95"/>
      <c r="AW105" s="96"/>
      <c r="AX105" s="97">
        <f>IFERROR(__xludf.DUMMYFUNCTION("""COMPUTED_VALUE"""),116.73061769844803)</f>
        <v>116.7306177</v>
      </c>
      <c r="AY105" s="95"/>
      <c r="AZ105" s="96"/>
      <c r="BA105" s="97"/>
      <c r="BB105" s="95"/>
      <c r="BC105" s="96"/>
      <c r="BD105" s="97"/>
      <c r="BE105" s="95"/>
      <c r="BF105" s="96"/>
      <c r="BG105" s="97"/>
      <c r="BH105" s="95"/>
      <c r="BI105" s="96"/>
      <c r="BJ105" s="97"/>
      <c r="BK105" s="95"/>
      <c r="BL105" s="96"/>
      <c r="BM105" s="97"/>
      <c r="BN105" s="95"/>
      <c r="BO105" s="96"/>
      <c r="BP105" s="97"/>
      <c r="BQ105" s="95"/>
      <c r="BR105" s="96"/>
      <c r="BS105" s="97">
        <f>IFERROR(__xludf.DUMMYFUNCTION("""COMPUTED_VALUE"""),59.071990405982156)</f>
        <v>59.07199041</v>
      </c>
      <c r="BT105" s="95"/>
      <c r="BU105" s="96"/>
      <c r="BV105" s="97"/>
      <c r="BW105" s="95"/>
      <c r="BX105" s="96"/>
      <c r="BY105" s="97"/>
      <c r="BZ105" s="95">
        <f>IFERROR(__xludf.DUMMYFUNCTION("""COMPUTED_VALUE"""),427.28664370455414)</f>
        <v>427.2866437</v>
      </c>
      <c r="CA105" s="96"/>
      <c r="CB105" s="97"/>
      <c r="CC105" s="95"/>
      <c r="CD105" s="96"/>
      <c r="CE105" s="97"/>
      <c r="CF105" s="95"/>
      <c r="CG105" s="96">
        <f>IFERROR(__xludf.DUMMYFUNCTION("""COMPUTED_VALUE"""),177.37550969974052)</f>
        <v>177.3755097</v>
      </c>
      <c r="CH105" s="96"/>
      <c r="CI105" s="95"/>
      <c r="CJ105" s="96"/>
      <c r="CK105" s="96"/>
      <c r="CL105" s="95"/>
      <c r="CM105" s="96"/>
      <c r="CN105" s="96"/>
      <c r="CO105" s="95"/>
      <c r="CP105" s="96"/>
      <c r="CQ105" s="96"/>
      <c r="CR105" s="95"/>
      <c r="CS105" s="96"/>
      <c r="CT105" s="96"/>
      <c r="CU105" s="95"/>
      <c r="CV105" s="96"/>
      <c r="CW105" s="97"/>
      <c r="CX105" s="96"/>
      <c r="CY105" s="96"/>
      <c r="CZ105" s="97"/>
      <c r="DA105" s="95"/>
      <c r="DB105" s="96"/>
      <c r="DC105" s="97"/>
      <c r="DD105" s="95">
        <f>IFERROR(__xludf.DUMMYFUNCTION("""COMPUTED_VALUE"""),234.0)</f>
        <v>234</v>
      </c>
      <c r="DE105" s="96"/>
      <c r="DF105" s="97"/>
      <c r="DG105" s="95"/>
      <c r="DH105" s="96"/>
      <c r="DI105" s="97"/>
      <c r="DJ105" s="95"/>
      <c r="DK105" s="96"/>
      <c r="DL105" s="97">
        <f>IFERROR(__xludf.DUMMYFUNCTION("""COMPUTED_VALUE"""),26.0)</f>
        <v>26</v>
      </c>
      <c r="DM105" s="95"/>
      <c r="DN105" s="96"/>
      <c r="DO105" s="97"/>
      <c r="DP105" s="95"/>
      <c r="DQ105" s="96"/>
      <c r="DR105" s="97"/>
      <c r="DS105" s="95"/>
    </row>
    <row r="106">
      <c r="B106" s="120" t="str">
        <f>IFERROR(__xludf.DUMMYFUNCTION("""COMPUTED_VALUE"""),"EPU9")</f>
        <v>EPU9</v>
      </c>
      <c r="C106" s="88" t="str">
        <f>IFERROR(__xludf.DUMMYFUNCTION("""COMPUTED_VALUE"""),"Lubbock")</f>
        <v>Lubbock</v>
      </c>
      <c r="D106" s="102">
        <f>IFERROR(__xludf.DUMMYFUNCTION("""COMPUTED_VALUE"""),18.0)</f>
        <v>18</v>
      </c>
      <c r="E106" s="82" t="b">
        <f>IFERROR(__xludf.DUMMYFUNCTION("""COMPUTED_VALUE"""),TRUE)</f>
        <v>1</v>
      </c>
      <c r="F106" s="82" t="str">
        <f>IFERROR(__xludf.DUMMYFUNCTION("""COMPUTED_VALUE"""),"Free Quests- Part 1!A847:J857")</f>
        <v>Free Quests- Part 1!A847:J857</v>
      </c>
      <c r="G106" s="82">
        <f>IFERROR(__xludf.DUMMYFUNCTION("""COMPUTED_VALUE"""),106.0)</f>
        <v>106</v>
      </c>
      <c r="H106" s="82">
        <f>IFERROR(__xludf.DUMMYFUNCTION("""COMPUTED_VALUE"""),1070.0)</f>
        <v>1070</v>
      </c>
      <c r="I106" s="95"/>
      <c r="J106" s="96"/>
      <c r="K106" s="97"/>
      <c r="L106" s="95"/>
      <c r="M106" s="96"/>
      <c r="N106" s="97"/>
      <c r="O106" s="95">
        <f>IFERROR(__xludf.DUMMYFUNCTION("""COMPUTED_VALUE"""),148.59391274158082)</f>
        <v>148.5939127</v>
      </c>
      <c r="P106" s="96"/>
      <c r="Q106" s="97"/>
      <c r="R106" s="95"/>
      <c r="S106" s="96"/>
      <c r="T106" s="97"/>
      <c r="U106" s="95"/>
      <c r="V106" s="96"/>
      <c r="W106" s="97"/>
      <c r="X106" s="95"/>
      <c r="Y106" s="96"/>
      <c r="Z106" s="97"/>
      <c r="AA106" s="95"/>
      <c r="AB106" s="96"/>
      <c r="AC106" s="97"/>
      <c r="AD106" s="95"/>
      <c r="AE106" s="96"/>
      <c r="AF106" s="97"/>
      <c r="AG106" s="95"/>
      <c r="AH106" s="96"/>
      <c r="AI106" s="97"/>
      <c r="AJ106" s="95"/>
      <c r="AK106" s="96"/>
      <c r="AL106" s="97"/>
      <c r="AM106" s="95"/>
      <c r="AN106" s="96"/>
      <c r="AO106" s="97"/>
      <c r="AP106" s="95"/>
      <c r="AQ106" s="96"/>
      <c r="AR106" s="97"/>
      <c r="AS106" s="95"/>
      <c r="AT106" s="96"/>
      <c r="AU106" s="97">
        <f>IFERROR(__xludf.DUMMYFUNCTION("""COMPUTED_VALUE"""),33.16658199946617)</f>
        <v>33.166582</v>
      </c>
      <c r="AV106" s="95"/>
      <c r="AW106" s="96"/>
      <c r="AX106" s="97"/>
      <c r="AY106" s="95"/>
      <c r="AZ106" s="96"/>
      <c r="BA106" s="97"/>
      <c r="BB106" s="95"/>
      <c r="BC106" s="96"/>
      <c r="BD106" s="97"/>
      <c r="BE106" s="95"/>
      <c r="BF106" s="96"/>
      <c r="BG106" s="97"/>
      <c r="BH106" s="95"/>
      <c r="BI106" s="96"/>
      <c r="BJ106" s="97"/>
      <c r="BK106" s="95"/>
      <c r="BL106" s="96"/>
      <c r="BM106" s="97"/>
      <c r="BN106" s="95"/>
      <c r="BO106" s="96"/>
      <c r="BP106" s="97">
        <f>IFERROR(__xludf.DUMMYFUNCTION("""COMPUTED_VALUE"""),213.01775147928996)</f>
        <v>213.0177515</v>
      </c>
      <c r="BQ106" s="95"/>
      <c r="BR106" s="96">
        <f>IFERROR(__xludf.DUMMYFUNCTION("""COMPUTED_VALUE"""),81.93478399591604)</f>
        <v>81.934784</v>
      </c>
      <c r="BS106" s="97">
        <f>IFERROR(__xludf.DUMMYFUNCTION("""COMPUTED_VALUE"""),157.12828880277382)</f>
        <v>157.1282888</v>
      </c>
      <c r="BT106" s="95"/>
      <c r="BU106" s="96"/>
      <c r="BV106" s="97"/>
      <c r="BW106" s="95"/>
      <c r="BX106" s="96"/>
      <c r="BY106" s="97"/>
      <c r="BZ106" s="95"/>
      <c r="CA106" s="96"/>
      <c r="CB106" s="97"/>
      <c r="CC106" s="95"/>
      <c r="CD106" s="96"/>
      <c r="CE106" s="97"/>
      <c r="CF106" s="95"/>
      <c r="CG106" s="96"/>
      <c r="CH106" s="96"/>
      <c r="CI106" s="95"/>
      <c r="CJ106" s="96"/>
      <c r="CK106" s="96"/>
      <c r="CL106" s="95"/>
      <c r="CM106" s="96"/>
      <c r="CN106" s="96"/>
      <c r="CO106" s="95"/>
      <c r="CP106" s="96"/>
      <c r="CQ106" s="96"/>
      <c r="CR106" s="95"/>
      <c r="CS106" s="96"/>
      <c r="CT106" s="96"/>
      <c r="CU106" s="95"/>
      <c r="CV106" s="96"/>
      <c r="CW106" s="97"/>
      <c r="CX106" s="96"/>
      <c r="CY106" s="96"/>
      <c r="CZ106" s="97">
        <f>IFERROR(__xludf.DUMMYFUNCTION("""COMPUTED_VALUE"""),23.142857142857142)</f>
        <v>23.14285714</v>
      </c>
      <c r="DA106" s="95"/>
      <c r="DB106" s="96"/>
      <c r="DC106" s="97"/>
      <c r="DD106" s="95"/>
      <c r="DE106" s="96"/>
      <c r="DF106" s="97"/>
      <c r="DG106" s="95"/>
      <c r="DH106" s="96"/>
      <c r="DI106" s="97"/>
      <c r="DJ106" s="95"/>
      <c r="DK106" s="96">
        <f>IFERROR(__xludf.DUMMYFUNCTION("""COMPUTED_VALUE"""),81.0)</f>
        <v>81</v>
      </c>
      <c r="DL106" s="97">
        <f>IFERROR(__xludf.DUMMYFUNCTION("""COMPUTED_VALUE"""),81.0)</f>
        <v>81</v>
      </c>
      <c r="DM106" s="95"/>
      <c r="DN106" s="96"/>
      <c r="DO106" s="97"/>
      <c r="DP106" s="95"/>
      <c r="DQ106" s="96"/>
      <c r="DR106" s="97"/>
      <c r="DS106" s="95"/>
    </row>
    <row r="107">
      <c r="B107" s="120" t="str">
        <f>IFERROR(__xludf.DUMMYFUNCTION("""COMPUTED_VALUE"""),"EPU10")</f>
        <v>EPU10</v>
      </c>
      <c r="C107" s="88" t="str">
        <f>IFERROR(__xludf.DUMMYFUNCTION("""COMPUTED_VALUE"""),"Alexandria")</f>
        <v>Alexandria</v>
      </c>
      <c r="D107" s="102">
        <f>IFERROR(__xludf.DUMMYFUNCTION("""COMPUTED_VALUE"""),18.0)</f>
        <v>18</v>
      </c>
      <c r="E107" s="82" t="b">
        <f>IFERROR(__xludf.DUMMYFUNCTION("""COMPUTED_VALUE"""),TRUE)</f>
        <v>1</v>
      </c>
      <c r="F107" s="82" t="str">
        <f>IFERROR(__xludf.DUMMYFUNCTION("""COMPUTED_VALUE"""),"Free Quests- Part 1!A861:J873")</f>
        <v>Free Quests- Part 1!A861:J873</v>
      </c>
      <c r="G107" s="82">
        <f>IFERROR(__xludf.DUMMYFUNCTION("""COMPUTED_VALUE"""),107.0)</f>
        <v>107</v>
      </c>
      <c r="H107" s="82">
        <f>IFERROR(__xludf.DUMMYFUNCTION("""COMPUTED_VALUE"""),13074.0)</f>
        <v>13074</v>
      </c>
      <c r="I107" s="95"/>
      <c r="J107" s="96"/>
      <c r="K107" s="97"/>
      <c r="L107" s="95"/>
      <c r="M107" s="96"/>
      <c r="N107" s="97">
        <f>IFERROR(__xludf.DUMMYFUNCTION("""COMPUTED_VALUE"""),149.2072106800844)</f>
        <v>149.2072107</v>
      </c>
      <c r="O107" s="95"/>
      <c r="P107" s="96"/>
      <c r="Q107" s="97"/>
      <c r="R107" s="95"/>
      <c r="S107" s="96"/>
      <c r="T107" s="97"/>
      <c r="U107" s="95"/>
      <c r="V107" s="96"/>
      <c r="W107" s="97"/>
      <c r="X107" s="95"/>
      <c r="Y107" s="96"/>
      <c r="Z107" s="97"/>
      <c r="AA107" s="95"/>
      <c r="AB107" s="96"/>
      <c r="AC107" s="97"/>
      <c r="AD107" s="95"/>
      <c r="AE107" s="96"/>
      <c r="AF107" s="97"/>
      <c r="AG107" s="95"/>
      <c r="AH107" s="96"/>
      <c r="AI107" s="97"/>
      <c r="AJ107" s="95"/>
      <c r="AK107" s="96"/>
      <c r="AL107" s="97"/>
      <c r="AM107" s="95"/>
      <c r="AN107" s="96"/>
      <c r="AO107" s="97"/>
      <c r="AP107" s="95"/>
      <c r="AQ107" s="96"/>
      <c r="AR107" s="97"/>
      <c r="AS107" s="95"/>
      <c r="AT107" s="96"/>
      <c r="AU107" s="97">
        <f>IFERROR(__xludf.DUMMYFUNCTION("""COMPUTED_VALUE"""),33.74581855391943)</f>
        <v>33.74581855</v>
      </c>
      <c r="AV107" s="95"/>
      <c r="AW107" s="96"/>
      <c r="AX107" s="97"/>
      <c r="AY107" s="95"/>
      <c r="AZ107" s="96"/>
      <c r="BA107" s="97"/>
      <c r="BB107" s="95"/>
      <c r="BC107" s="96"/>
      <c r="BD107" s="97"/>
      <c r="BE107" s="95"/>
      <c r="BF107" s="96"/>
      <c r="BG107" s="97"/>
      <c r="BH107" s="95"/>
      <c r="BI107" s="96"/>
      <c r="BJ107" s="97"/>
      <c r="BK107" s="95"/>
      <c r="BL107" s="96">
        <f>IFERROR(__xludf.DUMMYFUNCTION("""COMPUTED_VALUE"""),225.26706742734618)</f>
        <v>225.2670674</v>
      </c>
      <c r="BM107" s="97"/>
      <c r="BN107" s="95"/>
      <c r="BO107" s="96"/>
      <c r="BP107" s="97"/>
      <c r="BQ107" s="95"/>
      <c r="BR107" s="96">
        <f>IFERROR(__xludf.DUMMYFUNCTION("""COMPUTED_VALUE"""),121.24215871341075)</f>
        <v>121.2421587</v>
      </c>
      <c r="BS107" s="97">
        <f>IFERROR(__xludf.DUMMYFUNCTION("""COMPUTED_VALUE"""),373.30110023984463)</f>
        <v>373.3011002</v>
      </c>
      <c r="BT107" s="95">
        <f>IFERROR(__xludf.DUMMYFUNCTION("""COMPUTED_VALUE"""),179.46520083947487)</f>
        <v>179.4652008</v>
      </c>
      <c r="BU107" s="96"/>
      <c r="BV107" s="97"/>
      <c r="BW107" s="95"/>
      <c r="BX107" s="96"/>
      <c r="BY107" s="97"/>
      <c r="BZ107" s="95"/>
      <c r="CA107" s="96"/>
      <c r="CB107" s="97"/>
      <c r="CC107" s="95"/>
      <c r="CD107" s="96"/>
      <c r="CE107" s="97"/>
      <c r="CF107" s="95"/>
      <c r="CG107" s="96"/>
      <c r="CH107" s="96"/>
      <c r="CI107" s="95"/>
      <c r="CJ107" s="96"/>
      <c r="CK107" s="96"/>
      <c r="CL107" s="95"/>
      <c r="CM107" s="96"/>
      <c r="CN107" s="96"/>
      <c r="CO107" s="95"/>
      <c r="CP107" s="96"/>
      <c r="CQ107" s="96"/>
      <c r="CR107" s="95"/>
      <c r="CS107" s="96"/>
      <c r="CT107" s="96"/>
      <c r="CU107" s="95"/>
      <c r="CV107" s="96">
        <f>IFERROR(__xludf.DUMMYFUNCTION("""COMPUTED_VALUE"""),18.0)</f>
        <v>18</v>
      </c>
      <c r="CW107" s="97"/>
      <c r="CX107" s="96"/>
      <c r="CY107" s="96"/>
      <c r="CZ107" s="97"/>
      <c r="DA107" s="95"/>
      <c r="DB107" s="96"/>
      <c r="DC107" s="97"/>
      <c r="DD107" s="95"/>
      <c r="DE107" s="96"/>
      <c r="DF107" s="97"/>
      <c r="DG107" s="95"/>
      <c r="DH107" s="96"/>
      <c r="DI107" s="97"/>
      <c r="DJ107" s="95"/>
      <c r="DK107" s="96">
        <f>IFERROR(__xludf.DUMMYFUNCTION("""COMPUTED_VALUE"""),72.0)</f>
        <v>72</v>
      </c>
      <c r="DL107" s="97"/>
      <c r="DM107" s="95">
        <f>IFERROR(__xludf.DUMMYFUNCTION("""COMPUTED_VALUE"""),144.0)</f>
        <v>144</v>
      </c>
      <c r="DN107" s="96"/>
      <c r="DO107" s="97"/>
      <c r="DP107" s="95"/>
      <c r="DQ107" s="96"/>
      <c r="DR107" s="97"/>
      <c r="DS107" s="95"/>
    </row>
    <row r="108">
      <c r="B108" s="120" t="str">
        <f>IFERROR(__xludf.DUMMYFUNCTION("""COMPUTED_VALUE"""),"EPU11")</f>
        <v>EPU11</v>
      </c>
      <c r="C108" s="88" t="str">
        <f>IFERROR(__xludf.DUMMYFUNCTION("""COMPUTED_VALUE"""),"Kearney")</f>
        <v>Kearney</v>
      </c>
      <c r="D108" s="102">
        <f>IFERROR(__xludf.DUMMYFUNCTION("""COMPUTED_VALUE"""),18.0)</f>
        <v>18</v>
      </c>
      <c r="E108" s="82" t="b">
        <f>IFERROR(__xludf.DUMMYFUNCTION("""COMPUTED_VALUE"""),TRUE)</f>
        <v>1</v>
      </c>
      <c r="F108" s="82" t="str">
        <f>IFERROR(__xludf.DUMMYFUNCTION("""COMPUTED_VALUE"""),"Free Quests- Part 1!A877:J887")</f>
        <v>Free Quests- Part 1!A877:J887</v>
      </c>
      <c r="G108" s="82">
        <f>IFERROR(__xludf.DUMMYFUNCTION("""COMPUTED_VALUE"""),108.0)</f>
        <v>108</v>
      </c>
      <c r="H108" s="82">
        <f>IFERROR(__xludf.DUMMYFUNCTION("""COMPUTED_VALUE"""),2611.0)</f>
        <v>2611</v>
      </c>
      <c r="I108" s="95"/>
      <c r="J108" s="96"/>
      <c r="K108" s="97"/>
      <c r="L108" s="95"/>
      <c r="M108" s="96">
        <f>IFERROR(__xludf.DUMMYFUNCTION("""COMPUTED_VALUE"""),142.2371527147267)</f>
        <v>142.2371527</v>
      </c>
      <c r="N108" s="97"/>
      <c r="O108" s="95"/>
      <c r="P108" s="96"/>
      <c r="Q108" s="97"/>
      <c r="R108" s="95"/>
      <c r="S108" s="96"/>
      <c r="T108" s="97"/>
      <c r="U108" s="95"/>
      <c r="V108" s="96"/>
      <c r="W108" s="97"/>
      <c r="X108" s="95"/>
      <c r="Y108" s="96"/>
      <c r="Z108" s="97"/>
      <c r="AA108" s="95"/>
      <c r="AB108" s="96"/>
      <c r="AC108" s="97"/>
      <c r="AD108" s="95"/>
      <c r="AE108" s="96"/>
      <c r="AF108" s="97"/>
      <c r="AG108" s="95"/>
      <c r="AH108" s="96"/>
      <c r="AI108" s="97"/>
      <c r="AJ108" s="95"/>
      <c r="AK108" s="96"/>
      <c r="AL108" s="97"/>
      <c r="AM108" s="95"/>
      <c r="AN108" s="96"/>
      <c r="AO108" s="97"/>
      <c r="AP108" s="95"/>
      <c r="AQ108" s="96"/>
      <c r="AR108" s="97"/>
      <c r="AS108" s="95"/>
      <c r="AT108" s="96"/>
      <c r="AU108" s="97">
        <f>IFERROR(__xludf.DUMMYFUNCTION("""COMPUTED_VALUE"""),32.84793206479006)</f>
        <v>32.84793206</v>
      </c>
      <c r="AV108" s="95"/>
      <c r="AW108" s="96"/>
      <c r="AX108" s="97"/>
      <c r="AY108" s="95"/>
      <c r="AZ108" s="96"/>
      <c r="BA108" s="97"/>
      <c r="BB108" s="95"/>
      <c r="BC108" s="96"/>
      <c r="BD108" s="97"/>
      <c r="BE108" s="95"/>
      <c r="BF108" s="96"/>
      <c r="BG108" s="97"/>
      <c r="BH108" s="95"/>
      <c r="BI108" s="96"/>
      <c r="BJ108" s="97"/>
      <c r="BK108" s="95"/>
      <c r="BL108" s="96"/>
      <c r="BM108" s="97">
        <f>IFERROR(__xludf.DUMMYFUNCTION("""COMPUTED_VALUE"""),201.53203984195173)</f>
        <v>201.5320398</v>
      </c>
      <c r="BN108" s="95"/>
      <c r="BO108" s="96"/>
      <c r="BP108" s="97"/>
      <c r="BQ108" s="95"/>
      <c r="BR108" s="96">
        <f>IFERROR(__xludf.DUMMYFUNCTION("""COMPUTED_VALUE"""),133.3798838727951)</f>
        <v>133.3798839</v>
      </c>
      <c r="BS108" s="97"/>
      <c r="BT108" s="95">
        <f>IFERROR(__xludf.DUMMYFUNCTION("""COMPUTED_VALUE"""),114.6526085846503)</f>
        <v>114.6526086</v>
      </c>
      <c r="BU108" s="96"/>
      <c r="BV108" s="97"/>
      <c r="BW108" s="95"/>
      <c r="BX108" s="96"/>
      <c r="BY108" s="97"/>
      <c r="BZ108" s="95"/>
      <c r="CA108" s="96"/>
      <c r="CB108" s="97"/>
      <c r="CC108" s="95"/>
      <c r="CD108" s="96"/>
      <c r="CE108" s="97"/>
      <c r="CF108" s="95"/>
      <c r="CG108" s="96"/>
      <c r="CH108" s="96"/>
      <c r="CI108" s="95"/>
      <c r="CJ108" s="96"/>
      <c r="CK108" s="96"/>
      <c r="CL108" s="95"/>
      <c r="CM108" s="96"/>
      <c r="CN108" s="96"/>
      <c r="CO108" s="95"/>
      <c r="CP108" s="96"/>
      <c r="CQ108" s="96"/>
      <c r="CR108" s="95"/>
      <c r="CS108" s="96"/>
      <c r="CT108" s="96"/>
      <c r="CU108" s="95"/>
      <c r="CV108" s="96"/>
      <c r="CW108" s="97">
        <f>IFERROR(__xludf.DUMMYFUNCTION("""COMPUTED_VALUE"""),18.0)</f>
        <v>18</v>
      </c>
      <c r="CX108" s="96"/>
      <c r="CY108" s="96"/>
      <c r="CZ108" s="97"/>
      <c r="DA108" s="95"/>
      <c r="DB108" s="96"/>
      <c r="DC108" s="97"/>
      <c r="DD108" s="95"/>
      <c r="DE108" s="96"/>
      <c r="DF108" s="97"/>
      <c r="DG108" s="95"/>
      <c r="DH108" s="96"/>
      <c r="DI108" s="97"/>
      <c r="DJ108" s="95"/>
      <c r="DK108" s="96">
        <f>IFERROR(__xludf.DUMMYFUNCTION("""COMPUTED_VALUE"""),58.5)</f>
        <v>58.5</v>
      </c>
      <c r="DL108" s="97"/>
      <c r="DM108" s="95">
        <f>IFERROR(__xludf.DUMMYFUNCTION("""COMPUTED_VALUE"""),234.0)</f>
        <v>234</v>
      </c>
      <c r="DN108" s="96"/>
      <c r="DO108" s="97"/>
      <c r="DP108" s="95"/>
      <c r="DQ108" s="96"/>
      <c r="DR108" s="97"/>
      <c r="DS108" s="95"/>
    </row>
    <row r="109">
      <c r="B109" s="120" t="str">
        <f>IFERROR(__xludf.DUMMYFUNCTION("""COMPUTED_VALUE"""),"EPU12")</f>
        <v>EPU12</v>
      </c>
      <c r="C109" s="88" t="str">
        <f>IFERROR(__xludf.DUMMYFUNCTION("""COMPUTED_VALUE"""),"Charlotte")</f>
        <v>Charlotte</v>
      </c>
      <c r="D109" s="102">
        <f>IFERROR(__xludf.DUMMYFUNCTION("""COMPUTED_VALUE"""),20.0)</f>
        <v>20</v>
      </c>
      <c r="E109" s="82" t="b">
        <f>IFERROR(__xludf.DUMMYFUNCTION("""COMPUTED_VALUE"""),TRUE)</f>
        <v>1</v>
      </c>
      <c r="F109" s="82" t="str">
        <f>IFERROR(__xludf.DUMMYFUNCTION("""COMPUTED_VALUE"""),"Free Quests- Part 1!A891:J907")</f>
        <v>Free Quests- Part 1!A891:J907</v>
      </c>
      <c r="G109" s="82">
        <f>IFERROR(__xludf.DUMMYFUNCTION("""COMPUTED_VALUE"""),109.0)</f>
        <v>109</v>
      </c>
      <c r="H109" s="82">
        <f>IFERROR(__xludf.DUMMYFUNCTION("""COMPUTED_VALUE"""),361282.0)</f>
        <v>361282</v>
      </c>
      <c r="I109" s="95"/>
      <c r="J109" s="96"/>
      <c r="K109" s="97"/>
      <c r="L109" s="95"/>
      <c r="M109" s="96"/>
      <c r="N109" s="97"/>
      <c r="O109" s="95"/>
      <c r="P109" s="96"/>
      <c r="Q109" s="97"/>
      <c r="R109" s="95"/>
      <c r="S109" s="96"/>
      <c r="T109" s="97"/>
      <c r="U109" s="95"/>
      <c r="V109" s="96"/>
      <c r="W109" s="97"/>
      <c r="X109" s="95"/>
      <c r="Y109" s="96"/>
      <c r="Z109" s="97"/>
      <c r="AA109" s="95"/>
      <c r="AB109" s="96"/>
      <c r="AC109" s="97"/>
      <c r="AD109" s="95"/>
      <c r="AE109" s="96"/>
      <c r="AF109" s="97"/>
      <c r="AG109" s="95"/>
      <c r="AH109" s="96"/>
      <c r="AI109" s="97"/>
      <c r="AJ109" s="95"/>
      <c r="AK109" s="96"/>
      <c r="AL109" s="97"/>
      <c r="AM109" s="95"/>
      <c r="AN109" s="96"/>
      <c r="AO109" s="97"/>
      <c r="AP109" s="95"/>
      <c r="AQ109" s="96"/>
      <c r="AR109" s="97"/>
      <c r="AS109" s="95"/>
      <c r="AT109" s="96"/>
      <c r="AU109" s="97">
        <f>IFERROR(__xludf.DUMMYFUNCTION("""COMPUTED_VALUE"""),41.57122098112578)</f>
        <v>41.57122098</v>
      </c>
      <c r="AV109" s="95"/>
      <c r="AW109" s="96"/>
      <c r="AX109" s="97">
        <f>IFERROR(__xludf.DUMMYFUNCTION("""COMPUTED_VALUE"""),31.15225793899189)</f>
        <v>31.15225794</v>
      </c>
      <c r="AY109" s="95"/>
      <c r="AZ109" s="96"/>
      <c r="BA109" s="97"/>
      <c r="BB109" s="95"/>
      <c r="BC109" s="96"/>
      <c r="BD109" s="97"/>
      <c r="BE109" s="95"/>
      <c r="BF109" s="96"/>
      <c r="BG109" s="97"/>
      <c r="BH109" s="95"/>
      <c r="BI109" s="96"/>
      <c r="BJ109" s="97"/>
      <c r="BK109" s="95"/>
      <c r="BL109" s="96"/>
      <c r="BM109" s="97"/>
      <c r="BN109" s="95"/>
      <c r="BO109" s="96"/>
      <c r="BP109" s="97"/>
      <c r="BQ109" s="95"/>
      <c r="BR109" s="96"/>
      <c r="BS109" s="97">
        <f>IFERROR(__xludf.DUMMYFUNCTION("""COMPUTED_VALUE"""),237.7600492776048)</f>
        <v>237.7600493</v>
      </c>
      <c r="BT109" s="95">
        <f>IFERROR(__xludf.DUMMYFUNCTION("""COMPUTED_VALUE"""),234.82725124138673)</f>
        <v>234.8272512</v>
      </c>
      <c r="BU109" s="96"/>
      <c r="BV109" s="97">
        <f>IFERROR(__xludf.DUMMYFUNCTION("""COMPUTED_VALUE"""),464.58188476760915)</f>
        <v>464.5818848</v>
      </c>
      <c r="BW109" s="95"/>
      <c r="BX109" s="96"/>
      <c r="BY109" s="97"/>
      <c r="BZ109" s="95"/>
      <c r="CA109" s="96">
        <f>IFERROR(__xludf.DUMMYFUNCTION("""COMPUTED_VALUE"""),571.1246676526717)</f>
        <v>571.1246677</v>
      </c>
      <c r="CB109" s="97"/>
      <c r="CC109" s="95"/>
      <c r="CD109" s="96"/>
      <c r="CE109" s="97">
        <f>IFERROR(__xludf.DUMMYFUNCTION("""COMPUTED_VALUE"""),193.942643477064)</f>
        <v>193.9426435</v>
      </c>
      <c r="CF109" s="95"/>
      <c r="CG109" s="96"/>
      <c r="CH109" s="96">
        <f>IFERROR(__xludf.DUMMYFUNCTION("""COMPUTED_VALUE"""),237.56175816631253)</f>
        <v>237.5617582</v>
      </c>
      <c r="CI109" s="95"/>
      <c r="CJ109" s="96"/>
      <c r="CK109" s="96"/>
      <c r="CL109" s="95">
        <f>IFERROR(__xludf.DUMMYFUNCTION("""COMPUTED_VALUE"""),79.5772375811771)</f>
        <v>79.57723758</v>
      </c>
      <c r="CM109" s="96"/>
      <c r="CN109" s="96"/>
      <c r="CO109" s="95"/>
      <c r="CP109" s="96"/>
      <c r="CQ109" s="96"/>
      <c r="CR109" s="95"/>
      <c r="CS109" s="96"/>
      <c r="CT109" s="96"/>
      <c r="CU109" s="95"/>
      <c r="CV109" s="96"/>
      <c r="CW109" s="97"/>
      <c r="CX109" s="96"/>
      <c r="CY109" s="96"/>
      <c r="CZ109" s="97"/>
      <c r="DA109" s="95"/>
      <c r="DB109" s="96"/>
      <c r="DC109" s="97"/>
      <c r="DD109" s="95"/>
      <c r="DE109" s="96">
        <f>IFERROR(__xludf.DUMMYFUNCTION("""COMPUTED_VALUE"""),129.42528735632183)</f>
        <v>129.4252874</v>
      </c>
      <c r="DF109" s="97"/>
      <c r="DG109" s="95"/>
      <c r="DH109" s="96"/>
      <c r="DI109" s="97">
        <f>IFERROR(__xludf.DUMMYFUNCTION("""COMPUTED_VALUE"""),32.079772079772084)</f>
        <v>32.07977208</v>
      </c>
      <c r="DJ109" s="95"/>
      <c r="DK109" s="96"/>
      <c r="DL109" s="97">
        <f>IFERROR(__xludf.DUMMYFUNCTION("""COMPUTED_VALUE"""),184.59016393442624)</f>
        <v>184.5901639</v>
      </c>
      <c r="DM109" s="95">
        <f>IFERROR(__xludf.DUMMYFUNCTION("""COMPUTED_VALUE"""),201.07142857142858)</f>
        <v>201.0714286</v>
      </c>
      <c r="DN109" s="96"/>
      <c r="DO109" s="97">
        <f>IFERROR(__xludf.DUMMYFUNCTION("""COMPUTED_VALUE"""),563.0)</f>
        <v>563</v>
      </c>
      <c r="DP109" s="95"/>
      <c r="DQ109" s="96"/>
      <c r="DR109" s="97"/>
      <c r="DS109" s="95"/>
    </row>
    <row r="110">
      <c r="B110" s="120" t="str">
        <f>IFERROR(__xludf.DUMMYFUNCTION("""COMPUTED_VALUE"""),"EPU13")</f>
        <v>EPU13</v>
      </c>
      <c r="C110" s="88" t="str">
        <f>IFERROR(__xludf.DUMMYFUNCTION("""COMPUTED_VALUE"""),"Washington")</f>
        <v>Washington</v>
      </c>
      <c r="D110" s="102">
        <f>IFERROR(__xludf.DUMMYFUNCTION("""COMPUTED_VALUE"""),20.0)</f>
        <v>20</v>
      </c>
      <c r="E110" s="82" t="b">
        <f>IFERROR(__xludf.DUMMYFUNCTION("""COMPUTED_VALUE"""),TRUE)</f>
        <v>1</v>
      </c>
      <c r="F110" s="82" t="str">
        <f>IFERROR(__xludf.DUMMYFUNCTION("""COMPUTED_VALUE"""),"Free Quests- Part 1!A911:J925")</f>
        <v>Free Quests- Part 1!A911:J925</v>
      </c>
      <c r="G110" s="82">
        <f>IFERROR(__xludf.DUMMYFUNCTION("""COMPUTED_VALUE"""),110.0)</f>
        <v>110</v>
      </c>
      <c r="H110" s="82">
        <f>IFERROR(__xludf.DUMMYFUNCTION("""COMPUTED_VALUE"""),1660.0)</f>
        <v>1660</v>
      </c>
      <c r="I110" s="95"/>
      <c r="J110" s="96"/>
      <c r="K110" s="97"/>
      <c r="L110" s="95">
        <f>IFERROR(__xludf.DUMMYFUNCTION("""COMPUTED_VALUE"""),246.41327662859138)</f>
        <v>246.4132766</v>
      </c>
      <c r="M110" s="96"/>
      <c r="N110" s="97"/>
      <c r="O110" s="95"/>
      <c r="P110" s="96"/>
      <c r="Q110" s="97"/>
      <c r="R110" s="95"/>
      <c r="S110" s="96"/>
      <c r="T110" s="97"/>
      <c r="U110" s="95"/>
      <c r="V110" s="96"/>
      <c r="W110" s="97"/>
      <c r="X110" s="95"/>
      <c r="Y110" s="96"/>
      <c r="Z110" s="97"/>
      <c r="AA110" s="95"/>
      <c r="AB110" s="96"/>
      <c r="AC110" s="97"/>
      <c r="AD110" s="95"/>
      <c r="AE110" s="96"/>
      <c r="AF110" s="97"/>
      <c r="AG110" s="95"/>
      <c r="AH110" s="96"/>
      <c r="AI110" s="97"/>
      <c r="AJ110" s="95"/>
      <c r="AK110" s="96"/>
      <c r="AL110" s="97"/>
      <c r="AM110" s="95"/>
      <c r="AN110" s="96"/>
      <c r="AO110" s="97"/>
      <c r="AP110" s="95"/>
      <c r="AQ110" s="96"/>
      <c r="AR110" s="97"/>
      <c r="AS110" s="95"/>
      <c r="AT110" s="96"/>
      <c r="AU110" s="97">
        <f>IFERROR(__xludf.DUMMYFUNCTION("""COMPUTED_VALUE"""),37.54055114504334)</f>
        <v>37.54055115</v>
      </c>
      <c r="AV110" s="95"/>
      <c r="AW110" s="96"/>
      <c r="AX110" s="97"/>
      <c r="AY110" s="95"/>
      <c r="AZ110" s="96"/>
      <c r="BA110" s="97"/>
      <c r="BB110" s="95"/>
      <c r="BC110" s="96"/>
      <c r="BD110" s="97">
        <f>IFERROR(__xludf.DUMMYFUNCTION("""COMPUTED_VALUE"""),630.7949536403709)</f>
        <v>630.7949536</v>
      </c>
      <c r="BE110" s="95"/>
      <c r="BF110" s="96"/>
      <c r="BG110" s="97"/>
      <c r="BH110" s="95"/>
      <c r="BI110" s="96"/>
      <c r="BJ110" s="97"/>
      <c r="BK110" s="95"/>
      <c r="BL110" s="96"/>
      <c r="BM110" s="97"/>
      <c r="BN110" s="95"/>
      <c r="BO110" s="96"/>
      <c r="BP110" s="97"/>
      <c r="BQ110" s="95"/>
      <c r="BR110" s="96">
        <f>IFERROR(__xludf.DUMMYFUNCTION("""COMPUTED_VALUE"""),140.59456254764123)</f>
        <v>140.5945625</v>
      </c>
      <c r="BS110" s="97">
        <f>IFERROR(__xludf.DUMMYFUNCTION("""COMPUTED_VALUE"""),382.69128800977467)</f>
        <v>382.691288</v>
      </c>
      <c r="BT110" s="95">
        <f>IFERROR(__xludf.DUMMYFUNCTION("""COMPUTED_VALUE"""),438.02361633353127)</f>
        <v>438.0236163</v>
      </c>
      <c r="BU110" s="96"/>
      <c r="BV110" s="97">
        <f>IFERROR(__xludf.DUMMYFUNCTION("""COMPUTED_VALUE"""),344.00936700204124)</f>
        <v>344.009367</v>
      </c>
      <c r="BW110" s="95"/>
      <c r="BX110" s="96"/>
      <c r="BY110" s="97"/>
      <c r="BZ110" s="95"/>
      <c r="CA110" s="96"/>
      <c r="CB110" s="97"/>
      <c r="CC110" s="95"/>
      <c r="CD110" s="96"/>
      <c r="CE110" s="97"/>
      <c r="CF110" s="95"/>
      <c r="CG110" s="96"/>
      <c r="CH110" s="96"/>
      <c r="CI110" s="95"/>
      <c r="CJ110" s="96"/>
      <c r="CK110" s="96"/>
      <c r="CL110" s="95"/>
      <c r="CM110" s="96">
        <f>IFERROR(__xludf.DUMMYFUNCTION("""COMPUTED_VALUE"""),22.753761224144522)</f>
        <v>22.75376122</v>
      </c>
      <c r="CN110" s="96"/>
      <c r="CO110" s="95"/>
      <c r="CP110" s="96"/>
      <c r="CQ110" s="96"/>
      <c r="CR110" s="95"/>
      <c r="CS110" s="96"/>
      <c r="CT110" s="96"/>
      <c r="CU110" s="95"/>
      <c r="CV110" s="96"/>
      <c r="CW110" s="97"/>
      <c r="CX110" s="96"/>
      <c r="CY110" s="96"/>
      <c r="CZ110" s="97"/>
      <c r="DA110" s="95"/>
      <c r="DB110" s="96"/>
      <c r="DC110" s="97"/>
      <c r="DD110" s="95"/>
      <c r="DE110" s="96"/>
      <c r="DF110" s="97"/>
      <c r="DG110" s="95"/>
      <c r="DH110" s="96"/>
      <c r="DI110" s="97"/>
      <c r="DJ110" s="95"/>
      <c r="DK110" s="96">
        <f>IFERROR(__xludf.DUMMYFUNCTION("""COMPUTED_VALUE"""),88.33333333333333)</f>
        <v>88.33333333</v>
      </c>
      <c r="DL110" s="97">
        <f>IFERROR(__xludf.DUMMYFUNCTION("""COMPUTED_VALUE"""),176.66666666666666)</f>
        <v>176.6666667</v>
      </c>
      <c r="DM110" s="95">
        <f>IFERROR(__xludf.DUMMYFUNCTION("""COMPUTED_VALUE"""),353.3333333333333)</f>
        <v>353.3333333</v>
      </c>
      <c r="DN110" s="96"/>
      <c r="DO110" s="97">
        <f>IFERROR(__xludf.DUMMYFUNCTION("""COMPUTED_VALUE"""),530.0)</f>
        <v>530</v>
      </c>
      <c r="DP110" s="95"/>
      <c r="DQ110" s="96"/>
      <c r="DR110" s="97"/>
      <c r="DS110" s="95"/>
    </row>
    <row r="111">
      <c r="B111" s="120" t="str">
        <f>IFERROR(__xludf.DUMMYFUNCTION("""COMPUTED_VALUE"""),"EPU14")</f>
        <v>EPU14</v>
      </c>
      <c r="C111" s="88" t="str">
        <f>IFERROR(__xludf.DUMMYFUNCTION("""COMPUTED_VALUE"""),"Chicago")</f>
        <v>Chicago</v>
      </c>
      <c r="D111" s="102">
        <f>IFERROR(__xludf.DUMMYFUNCTION("""COMPUTED_VALUE"""),21.0)</f>
        <v>21</v>
      </c>
      <c r="E111" s="82" t="b">
        <f>IFERROR(__xludf.DUMMYFUNCTION("""COMPUTED_VALUE"""),TRUE)</f>
        <v>1</v>
      </c>
      <c r="F111" s="82" t="str">
        <f>IFERROR(__xludf.DUMMYFUNCTION("""COMPUTED_VALUE"""),"Free Quests- Part 1!A929:J939")</f>
        <v>Free Quests- Part 1!A929:J939</v>
      </c>
      <c r="G111" s="82">
        <f>IFERROR(__xludf.DUMMYFUNCTION("""COMPUTED_VALUE"""),111.0)</f>
        <v>111</v>
      </c>
      <c r="H111" s="82">
        <f>IFERROR(__xludf.DUMMYFUNCTION("""COMPUTED_VALUE"""),3877.0)</f>
        <v>3877</v>
      </c>
      <c r="I111" s="95"/>
      <c r="J111" s="96"/>
      <c r="K111" s="97"/>
      <c r="L111" s="95"/>
      <c r="M111" s="96"/>
      <c r="N111" s="97"/>
      <c r="O111" s="95"/>
      <c r="P111" s="96"/>
      <c r="Q111" s="97"/>
      <c r="R111" s="95"/>
      <c r="S111" s="96"/>
      <c r="T111" s="97"/>
      <c r="U111" s="95"/>
      <c r="V111" s="96"/>
      <c r="W111" s="97"/>
      <c r="X111" s="95"/>
      <c r="Y111" s="96"/>
      <c r="Z111" s="97"/>
      <c r="AA111" s="95"/>
      <c r="AB111" s="96"/>
      <c r="AC111" s="97"/>
      <c r="AD111" s="95"/>
      <c r="AE111" s="96"/>
      <c r="AF111" s="97">
        <f>IFERROR(__xludf.DUMMYFUNCTION("""COMPUTED_VALUE"""),51.74011296562733)</f>
        <v>51.74011297</v>
      </c>
      <c r="AG111" s="95"/>
      <c r="AH111" s="96"/>
      <c r="AI111" s="97"/>
      <c r="AJ111" s="95"/>
      <c r="AK111" s="96"/>
      <c r="AL111" s="97"/>
      <c r="AM111" s="95"/>
      <c r="AN111" s="96"/>
      <c r="AO111" s="97"/>
      <c r="AP111" s="95"/>
      <c r="AQ111" s="96"/>
      <c r="AR111" s="97"/>
      <c r="AS111" s="95"/>
      <c r="AT111" s="96"/>
      <c r="AU111" s="97"/>
      <c r="AV111" s="95"/>
      <c r="AW111" s="96"/>
      <c r="AX111" s="97"/>
      <c r="AY111" s="95"/>
      <c r="AZ111" s="96"/>
      <c r="BA111" s="97"/>
      <c r="BB111" s="95"/>
      <c r="BC111" s="96"/>
      <c r="BD111" s="97"/>
      <c r="BE111" s="95">
        <f>IFERROR(__xludf.DUMMYFUNCTION("""COMPUTED_VALUE"""),566.292463066522)</f>
        <v>566.2924631</v>
      </c>
      <c r="BF111" s="96"/>
      <c r="BG111" s="97"/>
      <c r="BH111" s="95"/>
      <c r="BI111" s="96"/>
      <c r="BJ111" s="97"/>
      <c r="BK111" s="95"/>
      <c r="BL111" s="96">
        <f>IFERROR(__xludf.DUMMYFUNCTION("""COMPUTED_VALUE"""),128.51487399016924)</f>
        <v>128.514874</v>
      </c>
      <c r="BM111" s="97"/>
      <c r="BN111" s="95"/>
      <c r="BO111" s="96"/>
      <c r="BP111" s="97"/>
      <c r="BQ111" s="95"/>
      <c r="BR111" s="96"/>
      <c r="BS111" s="97">
        <f>IFERROR(__xludf.DUMMYFUNCTION("""COMPUTED_VALUE"""),92.45418000953873)</f>
        <v>92.45418001</v>
      </c>
      <c r="BT111" s="95"/>
      <c r="BU111" s="96"/>
      <c r="BV111" s="97"/>
      <c r="BW111" s="95"/>
      <c r="BX111" s="96"/>
      <c r="BY111" s="97"/>
      <c r="BZ111" s="95"/>
      <c r="CA111" s="96"/>
      <c r="CB111" s="97"/>
      <c r="CC111" s="95"/>
      <c r="CD111" s="96"/>
      <c r="CE111" s="97"/>
      <c r="CF111" s="95"/>
      <c r="CG111" s="96"/>
      <c r="CH111" s="96"/>
      <c r="CI111" s="95"/>
      <c r="CJ111" s="96"/>
      <c r="CK111" s="96"/>
      <c r="CL111" s="95"/>
      <c r="CM111" s="96"/>
      <c r="CN111" s="96"/>
      <c r="CO111" s="95"/>
      <c r="CP111" s="96"/>
      <c r="CQ111" s="96"/>
      <c r="CR111" s="95"/>
      <c r="CS111" s="96"/>
      <c r="CT111" s="96"/>
      <c r="CU111" s="95"/>
      <c r="CV111" s="96">
        <f>IFERROR(__xludf.DUMMYFUNCTION("""COMPUTED_VALUE"""),336.0)</f>
        <v>336</v>
      </c>
      <c r="CW111" s="97"/>
      <c r="CX111" s="96"/>
      <c r="CY111" s="96"/>
      <c r="CZ111" s="97"/>
      <c r="DA111" s="95"/>
      <c r="DB111" s="96"/>
      <c r="DC111" s="97"/>
      <c r="DD111" s="95"/>
      <c r="DE111" s="96"/>
      <c r="DF111" s="97"/>
      <c r="DG111" s="95"/>
      <c r="DH111" s="96"/>
      <c r="DI111" s="97"/>
      <c r="DJ111" s="95"/>
      <c r="DK111" s="96"/>
      <c r="DL111" s="97">
        <f>IFERROR(__xludf.DUMMYFUNCTION("""COMPUTED_VALUE"""),65.5609756097561)</f>
        <v>65.56097561</v>
      </c>
      <c r="DM111" s="95"/>
      <c r="DN111" s="96"/>
      <c r="DO111" s="97"/>
      <c r="DP111" s="95"/>
      <c r="DQ111" s="96"/>
      <c r="DR111" s="97"/>
      <c r="DS111" s="95"/>
    </row>
    <row r="112">
      <c r="A112" s="141" t="str">
        <f>IFERROR(__xludf.DUMMYFUNCTION("""COMPUTED_VALUE"""),"CAMELOT")</f>
        <v>CAMELOT</v>
      </c>
      <c r="B112" s="120" t="str">
        <f>IFERROR(__xludf.DUMMYFUNCTION("""COMPUTED_VALUE"""),"CML1")</f>
        <v>CML1</v>
      </c>
      <c r="C112" s="88" t="str">
        <f>IFERROR(__xludf.DUMMYFUNCTION("""COMPUTED_VALUE"""),"Sandstorm Desert")</f>
        <v>Sandstorm Desert</v>
      </c>
      <c r="D112" s="102">
        <f>IFERROR(__xludf.DUMMYFUNCTION("""COMPUTED_VALUE"""),19.0)</f>
        <v>19</v>
      </c>
      <c r="E112" s="82" t="b">
        <f>IFERROR(__xludf.DUMMYFUNCTION("""COMPUTED_VALUE"""),TRUE)</f>
        <v>1</v>
      </c>
      <c r="F112" s="82" t="str">
        <f>IFERROR(__xludf.DUMMYFUNCTION("""COMPUTED_VALUE"""),"Free Quests- Part 1!A945:J957")</f>
        <v>Free Quests- Part 1!A945:J957</v>
      </c>
      <c r="G112" s="82">
        <f>IFERROR(__xludf.DUMMYFUNCTION("""COMPUTED_VALUE"""),112.0)</f>
        <v>112</v>
      </c>
      <c r="H112" s="82">
        <f>IFERROR(__xludf.DUMMYFUNCTION("""COMPUTED_VALUE"""),71029.0)</f>
        <v>71029</v>
      </c>
      <c r="I112" s="95"/>
      <c r="J112" s="96"/>
      <c r="K112" s="97"/>
      <c r="L112" s="95"/>
      <c r="M112" s="96"/>
      <c r="N112" s="97"/>
      <c r="O112" s="95"/>
      <c r="P112" s="96"/>
      <c r="Q112" s="97">
        <f>IFERROR(__xludf.DUMMYFUNCTION("""COMPUTED_VALUE"""),234.61467451942752)</f>
        <v>234.6146745</v>
      </c>
      <c r="R112" s="95"/>
      <c r="S112" s="96"/>
      <c r="T112" s="97"/>
      <c r="U112" s="95"/>
      <c r="V112" s="96"/>
      <c r="W112" s="97"/>
      <c r="X112" s="95"/>
      <c r="Y112" s="96"/>
      <c r="Z112" s="97"/>
      <c r="AA112" s="95"/>
      <c r="AB112" s="96"/>
      <c r="AC112" s="97"/>
      <c r="AD112" s="95"/>
      <c r="AE112" s="96"/>
      <c r="AF112" s="97"/>
      <c r="AG112" s="95"/>
      <c r="AH112" s="96"/>
      <c r="AI112" s="97"/>
      <c r="AJ112" s="95"/>
      <c r="AK112" s="96"/>
      <c r="AL112" s="97"/>
      <c r="AM112" s="95"/>
      <c r="AN112" s="96"/>
      <c r="AO112" s="97"/>
      <c r="AP112" s="95"/>
      <c r="AQ112" s="96"/>
      <c r="AR112" s="97"/>
      <c r="AS112" s="95"/>
      <c r="AT112" s="96"/>
      <c r="AU112" s="97"/>
      <c r="AV112" s="95">
        <f>IFERROR(__xludf.DUMMYFUNCTION("""COMPUTED_VALUE"""),30.16669177668506)</f>
        <v>30.16669178</v>
      </c>
      <c r="AW112" s="96"/>
      <c r="AX112" s="97"/>
      <c r="AY112" s="95"/>
      <c r="AZ112" s="96"/>
      <c r="BA112" s="97"/>
      <c r="BB112" s="95"/>
      <c r="BC112" s="96"/>
      <c r="BD112" s="97"/>
      <c r="BE112" s="95"/>
      <c r="BF112" s="96"/>
      <c r="BG112" s="97"/>
      <c r="BH112" s="95">
        <f>IFERROR(__xludf.DUMMYFUNCTION("""COMPUTED_VALUE"""),612.5685510702637)</f>
        <v>612.5685511</v>
      </c>
      <c r="BI112" s="96"/>
      <c r="BJ112" s="97"/>
      <c r="BK112" s="95"/>
      <c r="BL112" s="96"/>
      <c r="BM112" s="97"/>
      <c r="BN112" s="95"/>
      <c r="BO112" s="96"/>
      <c r="BP112" s="97"/>
      <c r="BQ112" s="95"/>
      <c r="BR112" s="96">
        <f>IFERROR(__xludf.DUMMYFUNCTION("""COMPUTED_VALUE"""),161.1528098399447)</f>
        <v>161.1528098</v>
      </c>
      <c r="BS112" s="97">
        <f>IFERROR(__xludf.DUMMYFUNCTION("""COMPUTED_VALUE"""),193.88663139341966)</f>
        <v>193.8866314</v>
      </c>
      <c r="BT112" s="95">
        <f>IFERROR(__xludf.DUMMYFUNCTION("""COMPUTED_VALUE"""),191.7695532897431)</f>
        <v>191.7695533</v>
      </c>
      <c r="BU112" s="96"/>
      <c r="BV112" s="97"/>
      <c r="BW112" s="95"/>
      <c r="BX112" s="96"/>
      <c r="BY112" s="97"/>
      <c r="BZ112" s="95"/>
      <c r="CA112" s="96"/>
      <c r="CB112" s="97"/>
      <c r="CC112" s="95"/>
      <c r="CD112" s="96"/>
      <c r="CE112" s="97"/>
      <c r="CF112" s="95"/>
      <c r="CG112" s="96"/>
      <c r="CH112" s="96"/>
      <c r="CI112" s="95"/>
      <c r="CJ112" s="96"/>
      <c r="CK112" s="96"/>
      <c r="CL112" s="95"/>
      <c r="CM112" s="96"/>
      <c r="CN112" s="96"/>
      <c r="CO112" s="95"/>
      <c r="CP112" s="96"/>
      <c r="CQ112" s="96">
        <f>IFERROR(__xludf.DUMMYFUNCTION("""COMPUTED_VALUE"""),22.26751592356688)</f>
        <v>22.26751592</v>
      </c>
      <c r="CR112" s="95"/>
      <c r="CS112" s="96"/>
      <c r="CT112" s="96"/>
      <c r="CU112" s="95"/>
      <c r="CV112" s="96"/>
      <c r="CW112" s="97"/>
      <c r="CX112" s="96"/>
      <c r="CY112" s="96"/>
      <c r="CZ112" s="97"/>
      <c r="DA112" s="95"/>
      <c r="DB112" s="96"/>
      <c r="DC112" s="97"/>
      <c r="DD112" s="95"/>
      <c r="DE112" s="96"/>
      <c r="DF112" s="97"/>
      <c r="DG112" s="95"/>
      <c r="DH112" s="96"/>
      <c r="DI112" s="97"/>
      <c r="DJ112" s="95"/>
      <c r="DK112" s="96">
        <f>IFERROR(__xludf.DUMMYFUNCTION("""COMPUTED_VALUE"""),193.16666666666666)</f>
        <v>193.1666667</v>
      </c>
      <c r="DL112" s="97">
        <f>IFERROR(__xludf.DUMMYFUNCTION("""COMPUTED_VALUE"""),386.3333333333333)</f>
        <v>386.3333333</v>
      </c>
      <c r="DM112" s="95">
        <f>IFERROR(__xludf.DUMMYFUNCTION("""COMPUTED_VALUE"""),231.8)</f>
        <v>231.8</v>
      </c>
      <c r="DN112" s="96"/>
      <c r="DO112" s="97"/>
      <c r="DP112" s="95"/>
      <c r="DQ112" s="96"/>
      <c r="DR112" s="97"/>
      <c r="DS112" s="95"/>
    </row>
    <row r="113">
      <c r="B113" s="120" t="str">
        <f>IFERROR(__xludf.DUMMYFUNCTION("""COMPUTED_VALUE"""),"CML2")</f>
        <v>CML2</v>
      </c>
      <c r="C113" s="88" t="str">
        <f>IFERROR(__xludf.DUMMYFUNCTION("""COMPUTED_VALUE"""),"Dune of Dawn")</f>
        <v>Dune of Dawn</v>
      </c>
      <c r="D113" s="102">
        <f>IFERROR(__xludf.DUMMYFUNCTION("""COMPUTED_VALUE"""),19.0)</f>
        <v>19</v>
      </c>
      <c r="E113" s="82" t="b">
        <f>IFERROR(__xludf.DUMMYFUNCTION("""COMPUTED_VALUE"""),TRUE)</f>
        <v>1</v>
      </c>
      <c r="F113" s="82" t="str">
        <f>IFERROR(__xludf.DUMMYFUNCTION("""COMPUTED_VALUE"""),"Free Quests- Part 1!A961:J971")</f>
        <v>Free Quests- Part 1!A961:J971</v>
      </c>
      <c r="G113" s="82">
        <f>IFERROR(__xludf.DUMMYFUNCTION("""COMPUTED_VALUE"""),113.0)</f>
        <v>113</v>
      </c>
      <c r="H113" s="82">
        <f>IFERROR(__xludf.DUMMYFUNCTION("""COMPUTED_VALUE"""),1191.0)</f>
        <v>1191</v>
      </c>
      <c r="I113" s="95"/>
      <c r="J113" s="96"/>
      <c r="K113" s="97"/>
      <c r="L113" s="95"/>
      <c r="M113" s="96"/>
      <c r="N113" s="97"/>
      <c r="O113" s="95"/>
      <c r="P113" s="96">
        <f>IFERROR(__xludf.DUMMYFUNCTION("""COMPUTED_VALUE"""),169.99203713998105)</f>
        <v>169.9920371</v>
      </c>
      <c r="Q113" s="97"/>
      <c r="R113" s="95"/>
      <c r="S113" s="96"/>
      <c r="T113" s="97"/>
      <c r="U113" s="95"/>
      <c r="V113" s="96"/>
      <c r="W113" s="97"/>
      <c r="X113" s="95"/>
      <c r="Y113" s="96"/>
      <c r="Z113" s="97"/>
      <c r="AA113" s="95"/>
      <c r="AB113" s="96"/>
      <c r="AC113" s="97"/>
      <c r="AD113" s="95">
        <f>IFERROR(__xludf.DUMMYFUNCTION("""COMPUTED_VALUE"""),134.47230805799856)</f>
        <v>134.4723081</v>
      </c>
      <c r="AE113" s="96"/>
      <c r="AF113" s="97"/>
      <c r="AG113" s="95"/>
      <c r="AH113" s="96"/>
      <c r="AI113" s="97"/>
      <c r="AJ113" s="95"/>
      <c r="AK113" s="96"/>
      <c r="AL113" s="97"/>
      <c r="AM113" s="95"/>
      <c r="AN113" s="96"/>
      <c r="AO113" s="97"/>
      <c r="AP113" s="95"/>
      <c r="AQ113" s="96"/>
      <c r="AR113" s="97"/>
      <c r="AS113" s="95"/>
      <c r="AT113" s="96"/>
      <c r="AU113" s="97"/>
      <c r="AV113" s="95"/>
      <c r="AW113" s="96"/>
      <c r="AX113" s="97"/>
      <c r="AY113" s="95"/>
      <c r="AZ113" s="96"/>
      <c r="BA113" s="97"/>
      <c r="BB113" s="95"/>
      <c r="BC113" s="96"/>
      <c r="BD113" s="97"/>
      <c r="BE113" s="95"/>
      <c r="BF113" s="96"/>
      <c r="BG113" s="97"/>
      <c r="BH113" s="95"/>
      <c r="BI113" s="96"/>
      <c r="BJ113" s="97"/>
      <c r="BK113" s="95"/>
      <c r="BL113" s="96"/>
      <c r="BM113" s="97"/>
      <c r="BN113" s="95"/>
      <c r="BO113" s="96">
        <f>IFERROR(__xludf.DUMMYFUNCTION("""COMPUTED_VALUE"""),44.10911551306578)</f>
        <v>44.10911551</v>
      </c>
      <c r="BP113" s="97"/>
      <c r="BQ113" s="95"/>
      <c r="BR113" s="96"/>
      <c r="BS113" s="97"/>
      <c r="BT113" s="95"/>
      <c r="BU113" s="96"/>
      <c r="BV113" s="97">
        <f>IFERROR(__xludf.DUMMYFUNCTION("""COMPUTED_VALUE"""),116.07716313004308)</f>
        <v>116.0771631</v>
      </c>
      <c r="BW113" s="95"/>
      <c r="BX113" s="96"/>
      <c r="BY113" s="97"/>
      <c r="BZ113" s="95"/>
      <c r="CA113" s="96"/>
      <c r="CB113" s="97"/>
      <c r="CC113" s="95"/>
      <c r="CD113" s="96"/>
      <c r="CE113" s="97"/>
      <c r="CF113" s="95"/>
      <c r="CG113" s="96"/>
      <c r="CH113" s="96"/>
      <c r="CI113" s="95"/>
      <c r="CJ113" s="96"/>
      <c r="CK113" s="96"/>
      <c r="CL113" s="95"/>
      <c r="CM113" s="96"/>
      <c r="CN113" s="96"/>
      <c r="CO113" s="95"/>
      <c r="CP113" s="96"/>
      <c r="CQ113" s="96">
        <f>IFERROR(__xludf.DUMMYFUNCTION("""COMPUTED_VALUE"""),25.435483870967744)</f>
        <v>25.43548387</v>
      </c>
      <c r="CR113" s="95"/>
      <c r="CS113" s="96"/>
      <c r="CT113" s="96"/>
      <c r="CU113" s="95"/>
      <c r="CV113" s="96"/>
      <c r="CW113" s="97"/>
      <c r="CX113" s="96"/>
      <c r="CY113" s="96">
        <f>IFERROR(__xludf.DUMMYFUNCTION("""COMPUTED_VALUE"""),120.33333333333334)</f>
        <v>120.3333333</v>
      </c>
      <c r="CZ113" s="97"/>
      <c r="DA113" s="95"/>
      <c r="DB113" s="96"/>
      <c r="DC113" s="97"/>
      <c r="DD113" s="95"/>
      <c r="DE113" s="96"/>
      <c r="DF113" s="97"/>
      <c r="DG113" s="95">
        <f>IFERROR(__xludf.DUMMYFUNCTION("""COMPUTED_VALUE"""),361.0)</f>
        <v>361</v>
      </c>
      <c r="DH113" s="96"/>
      <c r="DI113" s="97"/>
      <c r="DJ113" s="95"/>
      <c r="DK113" s="96"/>
      <c r="DL113" s="97"/>
      <c r="DM113" s="95"/>
      <c r="DN113" s="96"/>
      <c r="DO113" s="97"/>
      <c r="DP113" s="95"/>
      <c r="DQ113" s="96"/>
      <c r="DR113" s="97"/>
      <c r="DS113" s="95"/>
    </row>
    <row r="114">
      <c r="B114" s="120" t="str">
        <f>IFERROR(__xludf.DUMMYFUNCTION("""COMPUTED_VALUE"""),"CML3")</f>
        <v>CML3</v>
      </c>
      <c r="C114" s="88" t="str">
        <f>IFERROR(__xludf.DUMMYFUNCTION("""COMPUTED_VALUE"""),"Wastelands of Death")</f>
        <v>Wastelands of Death</v>
      </c>
      <c r="D114" s="102">
        <f>IFERROR(__xludf.DUMMYFUNCTION("""COMPUTED_VALUE"""),19.0)</f>
        <v>19</v>
      </c>
      <c r="E114" s="82" t="b">
        <f>IFERROR(__xludf.DUMMYFUNCTION("""COMPUTED_VALUE"""),TRUE)</f>
        <v>1</v>
      </c>
      <c r="F114" s="82" t="str">
        <f>IFERROR(__xludf.DUMMYFUNCTION("""COMPUTED_VALUE"""),"Free Quests- Part 1!A975:J983")</f>
        <v>Free Quests- Part 1!A975:J983</v>
      </c>
      <c r="G114" s="82">
        <f>IFERROR(__xludf.DUMMYFUNCTION("""COMPUTED_VALUE"""),114.0)</f>
        <v>114</v>
      </c>
      <c r="H114" s="82">
        <f>IFERROR(__xludf.DUMMYFUNCTION("""COMPUTED_VALUE"""),18321.0)</f>
        <v>18321</v>
      </c>
      <c r="I114" s="95"/>
      <c r="J114" s="96"/>
      <c r="K114" s="97"/>
      <c r="L114" s="95"/>
      <c r="M114" s="96"/>
      <c r="N114" s="97"/>
      <c r="O114" s="95"/>
      <c r="P114" s="96"/>
      <c r="Q114" s="97"/>
      <c r="R114" s="95"/>
      <c r="S114" s="96"/>
      <c r="T114" s="97"/>
      <c r="U114" s="95"/>
      <c r="V114" s="96"/>
      <c r="W114" s="97"/>
      <c r="X114" s="95"/>
      <c r="Y114" s="96"/>
      <c r="Z114" s="97"/>
      <c r="AA114" s="95"/>
      <c r="AB114" s="96"/>
      <c r="AC114" s="97"/>
      <c r="AD114" s="95"/>
      <c r="AE114" s="96"/>
      <c r="AF114" s="97"/>
      <c r="AG114" s="95"/>
      <c r="AH114" s="96"/>
      <c r="AI114" s="97"/>
      <c r="AJ114" s="95"/>
      <c r="AK114" s="96"/>
      <c r="AL114" s="97"/>
      <c r="AM114" s="95"/>
      <c r="AN114" s="96"/>
      <c r="AO114" s="97"/>
      <c r="AP114" s="95"/>
      <c r="AQ114" s="96"/>
      <c r="AR114" s="97"/>
      <c r="AS114" s="95"/>
      <c r="AT114" s="96"/>
      <c r="AU114" s="97"/>
      <c r="AV114" s="95"/>
      <c r="AW114" s="96"/>
      <c r="AX114" s="97"/>
      <c r="AY114" s="95">
        <f>IFERROR(__xludf.DUMMYFUNCTION("""COMPUTED_VALUE"""),29.111230979590296)</f>
        <v>29.11123098</v>
      </c>
      <c r="AZ114" s="96"/>
      <c r="BA114" s="97"/>
      <c r="BB114" s="95"/>
      <c r="BC114" s="96"/>
      <c r="BD114" s="97"/>
      <c r="BE114" s="95"/>
      <c r="BF114" s="96"/>
      <c r="BG114" s="97"/>
      <c r="BH114" s="95"/>
      <c r="BI114" s="96"/>
      <c r="BJ114" s="97"/>
      <c r="BK114" s="95"/>
      <c r="BL114" s="96"/>
      <c r="BM114" s="97"/>
      <c r="BN114" s="95"/>
      <c r="BO114" s="96"/>
      <c r="BP114" s="97"/>
      <c r="BQ114" s="95"/>
      <c r="BR114" s="96"/>
      <c r="BS114" s="97"/>
      <c r="BT114" s="95"/>
      <c r="BU114" s="96"/>
      <c r="BV114" s="97"/>
      <c r="BW114" s="95">
        <f>IFERROR(__xludf.DUMMYFUNCTION("""COMPUTED_VALUE"""),93.9555168871699)</f>
        <v>93.95551689</v>
      </c>
      <c r="BX114" s="96">
        <f>IFERROR(__xludf.DUMMYFUNCTION("""COMPUTED_VALUE"""),123.78817372466831)</f>
        <v>123.7881737</v>
      </c>
      <c r="BY114" s="97"/>
      <c r="BZ114" s="95"/>
      <c r="CA114" s="96"/>
      <c r="CB114" s="97"/>
      <c r="CC114" s="95"/>
      <c r="CD114" s="96"/>
      <c r="CE114" s="97"/>
      <c r="CF114" s="95"/>
      <c r="CG114" s="96"/>
      <c r="CH114" s="96"/>
      <c r="CI114" s="95"/>
      <c r="CJ114" s="96"/>
      <c r="CK114" s="96"/>
      <c r="CL114" s="95"/>
      <c r="CM114" s="96"/>
      <c r="CN114" s="96"/>
      <c r="CO114" s="95"/>
      <c r="CP114" s="96"/>
      <c r="CQ114" s="96"/>
      <c r="CR114" s="95"/>
      <c r="CS114" s="96"/>
      <c r="CT114" s="96"/>
      <c r="CU114" s="95"/>
      <c r="CV114" s="96"/>
      <c r="CW114" s="97"/>
      <c r="CX114" s="96"/>
      <c r="CY114" s="96"/>
      <c r="CZ114" s="97"/>
      <c r="DA114" s="95"/>
      <c r="DB114" s="96"/>
      <c r="DC114" s="97"/>
      <c r="DD114" s="95"/>
      <c r="DE114" s="96"/>
      <c r="DF114" s="97"/>
      <c r="DG114" s="95"/>
      <c r="DH114" s="96">
        <f>IFERROR(__xludf.DUMMYFUNCTION("""COMPUTED_VALUE"""),108.0)</f>
        <v>108</v>
      </c>
      <c r="DI114" s="97">
        <f>IFERROR(__xludf.DUMMYFUNCTION("""COMPUTED_VALUE"""),128.25)</f>
        <v>128.25</v>
      </c>
      <c r="DJ114" s="95"/>
      <c r="DK114" s="96"/>
      <c r="DL114" s="97"/>
      <c r="DM114" s="95"/>
      <c r="DN114" s="96"/>
      <c r="DO114" s="97"/>
      <c r="DP114" s="95"/>
      <c r="DQ114" s="96"/>
      <c r="DR114" s="97"/>
      <c r="DS114" s="95"/>
    </row>
    <row r="115">
      <c r="B115" s="120" t="str">
        <f>IFERROR(__xludf.DUMMYFUNCTION("""COMPUTED_VALUE"""),"CML4")</f>
        <v>CML4</v>
      </c>
      <c r="C115" s="88" t="str">
        <f>IFERROR(__xludf.DUMMYFUNCTION("""COMPUTED_VALUE"""),"East Village")</f>
        <v>East Village</v>
      </c>
      <c r="D115" s="102">
        <f>IFERROR(__xludf.DUMMYFUNCTION("""COMPUTED_VALUE"""),19.0)</f>
        <v>19</v>
      </c>
      <c r="E115" s="82" t="b">
        <f>IFERROR(__xludf.DUMMYFUNCTION("""COMPUTED_VALUE"""),TRUE)</f>
        <v>1</v>
      </c>
      <c r="F115" s="82" t="str">
        <f>IFERROR(__xludf.DUMMYFUNCTION("""COMPUTED_VALUE"""),"Free Quests- Part 1!A987:J997")</f>
        <v>Free Quests- Part 1!A987:J997</v>
      </c>
      <c r="G115" s="82">
        <f>IFERROR(__xludf.DUMMYFUNCTION("""COMPUTED_VALUE"""),115.0)</f>
        <v>115</v>
      </c>
      <c r="H115" s="82">
        <f>IFERROR(__xludf.DUMMYFUNCTION("""COMPUTED_VALUE"""),1479.0)</f>
        <v>1479</v>
      </c>
      <c r="I115" s="95"/>
      <c r="J115" s="96"/>
      <c r="K115" s="97"/>
      <c r="L115" s="95"/>
      <c r="M115" s="96">
        <f>IFERROR(__xludf.DUMMYFUNCTION("""COMPUTED_VALUE"""),117.25360927981305)</f>
        <v>117.2536093</v>
      </c>
      <c r="N115" s="97"/>
      <c r="O115" s="95"/>
      <c r="P115" s="96"/>
      <c r="Q115" s="97"/>
      <c r="R115" s="95"/>
      <c r="S115" s="96"/>
      <c r="T115" s="97"/>
      <c r="U115" s="95"/>
      <c r="V115" s="96"/>
      <c r="W115" s="97"/>
      <c r="X115" s="95"/>
      <c r="Y115" s="96"/>
      <c r="Z115" s="97"/>
      <c r="AA115" s="95"/>
      <c r="AB115" s="96"/>
      <c r="AC115" s="97"/>
      <c r="AD115" s="95"/>
      <c r="AE115" s="96"/>
      <c r="AF115" s="97"/>
      <c r="AG115" s="95"/>
      <c r="AH115" s="96"/>
      <c r="AI115" s="97"/>
      <c r="AJ115" s="95"/>
      <c r="AK115" s="96"/>
      <c r="AL115" s="97"/>
      <c r="AM115" s="95"/>
      <c r="AN115" s="96"/>
      <c r="AO115" s="97"/>
      <c r="AP115" s="95"/>
      <c r="AQ115" s="96"/>
      <c r="AR115" s="97"/>
      <c r="AS115" s="95"/>
      <c r="AT115" s="96"/>
      <c r="AU115" s="97"/>
      <c r="AV115" s="95"/>
      <c r="AW115" s="96">
        <f>IFERROR(__xludf.DUMMYFUNCTION("""COMPUTED_VALUE"""),45.64518224936651)</f>
        <v>45.64518225</v>
      </c>
      <c r="AX115" s="97"/>
      <c r="AY115" s="95"/>
      <c r="AZ115" s="96"/>
      <c r="BA115" s="97"/>
      <c r="BB115" s="95"/>
      <c r="BC115" s="96"/>
      <c r="BD115" s="97"/>
      <c r="BE115" s="95"/>
      <c r="BF115" s="96"/>
      <c r="BG115" s="97"/>
      <c r="BH115" s="95"/>
      <c r="BI115" s="96"/>
      <c r="BJ115" s="97"/>
      <c r="BK115" s="95"/>
      <c r="BL115" s="96"/>
      <c r="BM115" s="97">
        <f>IFERROR(__xludf.DUMMYFUNCTION("""COMPUTED_VALUE"""),226.87870353156202)</f>
        <v>226.8787035</v>
      </c>
      <c r="BN115" s="95"/>
      <c r="BO115" s="96"/>
      <c r="BP115" s="97"/>
      <c r="BQ115" s="95"/>
      <c r="BR115" s="96"/>
      <c r="BS115" s="97"/>
      <c r="BT115" s="95"/>
      <c r="BU115" s="96">
        <f>IFERROR(__xludf.DUMMYFUNCTION("""COMPUTED_VALUE"""),49.68686489859022)</f>
        <v>49.6868649</v>
      </c>
      <c r="BV115" s="97"/>
      <c r="BW115" s="95"/>
      <c r="BX115" s="96"/>
      <c r="BY115" s="97"/>
      <c r="BZ115" s="95"/>
      <c r="CA115" s="96"/>
      <c r="CB115" s="97"/>
      <c r="CC115" s="95"/>
      <c r="CD115" s="96"/>
      <c r="CE115" s="97"/>
      <c r="CF115" s="95"/>
      <c r="CG115" s="96"/>
      <c r="CH115" s="96"/>
      <c r="CI115" s="95"/>
      <c r="CJ115" s="96"/>
      <c r="CK115" s="96"/>
      <c r="CL115" s="95"/>
      <c r="CM115" s="96"/>
      <c r="CN115" s="96"/>
      <c r="CO115" s="95"/>
      <c r="CP115" s="96"/>
      <c r="CQ115" s="96"/>
      <c r="CR115" s="95"/>
      <c r="CS115" s="96"/>
      <c r="CT115" s="96"/>
      <c r="CU115" s="95"/>
      <c r="CV115" s="96"/>
      <c r="CW115" s="97">
        <f>IFERROR(__xludf.DUMMYFUNCTION("""COMPUTED_VALUE"""),30.176470588235293)</f>
        <v>30.17647059</v>
      </c>
      <c r="CX115" s="96"/>
      <c r="CY115" s="96"/>
      <c r="CZ115" s="97"/>
      <c r="DA115" s="95"/>
      <c r="DB115" s="96"/>
      <c r="DC115" s="97"/>
      <c r="DD115" s="95"/>
      <c r="DE115" s="96"/>
      <c r="DF115" s="97">
        <f>IFERROR(__xludf.DUMMYFUNCTION("""COMPUTED_VALUE"""),256.5)</f>
        <v>256.5</v>
      </c>
      <c r="DG115" s="95"/>
      <c r="DH115" s="96"/>
      <c r="DI115" s="97"/>
      <c r="DJ115" s="95"/>
      <c r="DK115" s="96"/>
      <c r="DL115" s="97"/>
      <c r="DM115" s="95"/>
      <c r="DN115" s="96">
        <f>IFERROR(__xludf.DUMMYFUNCTION("""COMPUTED_VALUE"""),256.5)</f>
        <v>256.5</v>
      </c>
      <c r="DO115" s="97"/>
      <c r="DP115" s="95"/>
      <c r="DQ115" s="96"/>
      <c r="DR115" s="97"/>
      <c r="DS115" s="95"/>
    </row>
    <row r="116">
      <c r="B116" s="120" t="str">
        <f>IFERROR(__xludf.DUMMYFUNCTION("""COMPUTED_VALUE"""),"CML5")</f>
        <v>CML5</v>
      </c>
      <c r="C116" s="88" t="str">
        <f>IFERROR(__xludf.DUMMYFUNCTION("""COMPUTED_VALUE"""),"Fortress of the Round Table")</f>
        <v>Fortress of the Round Table</v>
      </c>
      <c r="D116" s="102">
        <f>IFERROR(__xludf.DUMMYFUNCTION("""COMPUTED_VALUE"""),19.0)</f>
        <v>19</v>
      </c>
      <c r="E116" s="82" t="b">
        <f>IFERROR(__xludf.DUMMYFUNCTION("""COMPUTED_VALUE"""),TRUE)</f>
        <v>1</v>
      </c>
      <c r="F116" s="82" t="str">
        <f>IFERROR(__xludf.DUMMYFUNCTION("""COMPUTED_VALUE"""),"Free Quests- Part 1!A1001:J1014")</f>
        <v>Free Quests- Part 1!A1001:J1014</v>
      </c>
      <c r="G116" s="82">
        <f>IFERROR(__xludf.DUMMYFUNCTION("""COMPUTED_VALUE"""),116.0)</f>
        <v>116</v>
      </c>
      <c r="H116" s="82">
        <f>IFERROR(__xludf.DUMMYFUNCTION("""COMPUTED_VALUE"""),3478.0)</f>
        <v>3478</v>
      </c>
      <c r="I116" s="95"/>
      <c r="J116" s="96"/>
      <c r="K116" s="97"/>
      <c r="L116" s="95"/>
      <c r="M116" s="96"/>
      <c r="N116" s="97"/>
      <c r="O116" s="95"/>
      <c r="P116" s="96"/>
      <c r="Q116" s="97"/>
      <c r="R116" s="95"/>
      <c r="S116" s="96"/>
      <c r="T116" s="97"/>
      <c r="U116" s="95"/>
      <c r="V116" s="96"/>
      <c r="W116" s="97"/>
      <c r="X116" s="95"/>
      <c r="Y116" s="96"/>
      <c r="Z116" s="97"/>
      <c r="AA116" s="95"/>
      <c r="AB116" s="96"/>
      <c r="AC116" s="97"/>
      <c r="AD116" s="95"/>
      <c r="AE116" s="96"/>
      <c r="AF116" s="97"/>
      <c r="AG116" s="95"/>
      <c r="AH116" s="96"/>
      <c r="AI116" s="97"/>
      <c r="AJ116" s="95">
        <f>IFERROR(__xludf.DUMMYFUNCTION("""COMPUTED_VALUE"""),104.51266592544208)</f>
        <v>104.5126659</v>
      </c>
      <c r="AK116" s="96"/>
      <c r="AL116" s="97"/>
      <c r="AM116" s="95"/>
      <c r="AN116" s="96"/>
      <c r="AO116" s="97"/>
      <c r="AP116" s="95"/>
      <c r="AQ116" s="96"/>
      <c r="AR116" s="97"/>
      <c r="AS116" s="95"/>
      <c r="AT116" s="96"/>
      <c r="AU116" s="97">
        <f>IFERROR(__xludf.DUMMYFUNCTION("""COMPUTED_VALUE"""),43.15398545164359)</f>
        <v>43.15398545</v>
      </c>
      <c r="AV116" s="95"/>
      <c r="AW116" s="96"/>
      <c r="AX116" s="97"/>
      <c r="AY116" s="95"/>
      <c r="AZ116" s="96"/>
      <c r="BA116" s="97"/>
      <c r="BB116" s="95"/>
      <c r="BC116" s="96"/>
      <c r="BD116" s="97"/>
      <c r="BE116" s="95"/>
      <c r="BF116" s="96"/>
      <c r="BG116" s="97"/>
      <c r="BH116" s="95"/>
      <c r="BI116" s="96"/>
      <c r="BJ116" s="97"/>
      <c r="BK116" s="95">
        <f>IFERROR(__xludf.DUMMYFUNCTION("""COMPUTED_VALUE"""),181.34069504511424)</f>
        <v>181.340695</v>
      </c>
      <c r="BL116" s="96"/>
      <c r="BM116" s="97">
        <f>IFERROR(__xludf.DUMMYFUNCTION("""COMPUTED_VALUE"""),199.90622116679017)</f>
        <v>199.9062212</v>
      </c>
      <c r="BN116" s="95"/>
      <c r="BO116" s="96"/>
      <c r="BP116" s="97"/>
      <c r="BQ116" s="95"/>
      <c r="BR116" s="96">
        <f>IFERROR(__xludf.DUMMYFUNCTION("""COMPUTED_VALUE"""),194.44689653548954)</f>
        <v>194.4468965</v>
      </c>
      <c r="BS116" s="97"/>
      <c r="BT116" s="95">
        <f>IFERROR(__xludf.DUMMYFUNCTION("""COMPUTED_VALUE"""),129.48571742086682)</f>
        <v>129.4857174</v>
      </c>
      <c r="BU116" s="96"/>
      <c r="BV116" s="97"/>
      <c r="BW116" s="95"/>
      <c r="BX116" s="96"/>
      <c r="BY116" s="97"/>
      <c r="BZ116" s="95"/>
      <c r="CA116" s="96"/>
      <c r="CB116" s="97"/>
      <c r="CC116" s="95"/>
      <c r="CD116" s="96"/>
      <c r="CE116" s="97"/>
      <c r="CF116" s="95"/>
      <c r="CG116" s="96"/>
      <c r="CH116" s="96"/>
      <c r="CI116" s="95"/>
      <c r="CJ116" s="96"/>
      <c r="CK116" s="96"/>
      <c r="CL116" s="95"/>
      <c r="CM116" s="96">
        <f>IFERROR(__xludf.DUMMYFUNCTION("""COMPUTED_VALUE"""),191.0505583462831)</f>
        <v>191.0505583</v>
      </c>
      <c r="CN116" s="96"/>
      <c r="CO116" s="95">
        <f>IFERROR(__xludf.DUMMYFUNCTION("""COMPUTED_VALUE"""),194.44088902227853)</f>
        <v>194.440889</v>
      </c>
      <c r="CP116" s="96"/>
      <c r="CQ116" s="96"/>
      <c r="CR116" s="95"/>
      <c r="CS116" s="96"/>
      <c r="CT116" s="96"/>
      <c r="CU116" s="95"/>
      <c r="CV116" s="96"/>
      <c r="CW116" s="97"/>
      <c r="CX116" s="96"/>
      <c r="CY116" s="96"/>
      <c r="CZ116" s="97"/>
      <c r="DA116" s="95"/>
      <c r="DB116" s="96"/>
      <c r="DC116" s="97"/>
      <c r="DD116" s="95"/>
      <c r="DE116" s="96"/>
      <c r="DF116" s="97"/>
      <c r="DG116" s="95"/>
      <c r="DH116" s="96"/>
      <c r="DI116" s="97"/>
      <c r="DJ116" s="95"/>
      <c r="DK116" s="96">
        <f>IFERROR(__xludf.DUMMYFUNCTION("""COMPUTED_VALUE"""),247.0)</f>
        <v>247</v>
      </c>
      <c r="DL116" s="97"/>
      <c r="DM116" s="95">
        <f>IFERROR(__xludf.DUMMYFUNCTION("""COMPUTED_VALUE"""),61.75)</f>
        <v>61.75</v>
      </c>
      <c r="DN116" s="96"/>
      <c r="DO116" s="97"/>
      <c r="DP116" s="95"/>
      <c r="DQ116" s="96"/>
      <c r="DR116" s="97"/>
      <c r="DS116" s="95"/>
    </row>
    <row r="117">
      <c r="B117" s="120" t="str">
        <f>IFERROR(__xludf.DUMMYFUNCTION("""COMPUTED_VALUE"""),"CML6")</f>
        <v>CML6</v>
      </c>
      <c r="C117" s="88" t="str">
        <f>IFERROR(__xludf.DUMMYFUNCTION("""COMPUTED_VALUE"""),"Mausoleum of the Evening Bell")</f>
        <v>Mausoleum of the Evening Bell</v>
      </c>
      <c r="D117" s="102">
        <f>IFERROR(__xludf.DUMMYFUNCTION("""COMPUTED_VALUE"""),19.0)</f>
        <v>19</v>
      </c>
      <c r="E117" s="82" t="b">
        <f>IFERROR(__xludf.DUMMYFUNCTION("""COMPUTED_VALUE"""),TRUE)</f>
        <v>1</v>
      </c>
      <c r="F117" s="82" t="str">
        <f>IFERROR(__xludf.DUMMYFUNCTION("""COMPUTED_VALUE"""),"Free Quests- Part 1!A1018:J1027")</f>
        <v>Free Quests- Part 1!A1018:J1027</v>
      </c>
      <c r="G117" s="82">
        <f>IFERROR(__xludf.DUMMYFUNCTION("""COMPUTED_VALUE"""),117.0)</f>
        <v>117</v>
      </c>
      <c r="H117" s="82">
        <f>IFERROR(__xludf.DUMMYFUNCTION("""COMPUTED_VALUE"""),2820.0)</f>
        <v>2820</v>
      </c>
      <c r="I117" s="95"/>
      <c r="J117" s="96"/>
      <c r="K117" s="97"/>
      <c r="L117" s="95"/>
      <c r="M117" s="96"/>
      <c r="N117" s="97"/>
      <c r="O117" s="95"/>
      <c r="P117" s="96"/>
      <c r="Q117" s="97"/>
      <c r="R117" s="95"/>
      <c r="S117" s="96"/>
      <c r="T117" s="97"/>
      <c r="U117" s="95"/>
      <c r="V117" s="96"/>
      <c r="W117" s="97"/>
      <c r="X117" s="95"/>
      <c r="Y117" s="96"/>
      <c r="Z117" s="97"/>
      <c r="AA117" s="95"/>
      <c r="AB117" s="96">
        <f>IFERROR(__xludf.DUMMYFUNCTION("""COMPUTED_VALUE"""),59.121910527076565)</f>
        <v>59.12191053</v>
      </c>
      <c r="AC117" s="97"/>
      <c r="AD117" s="95"/>
      <c r="AE117" s="96"/>
      <c r="AF117" s="97"/>
      <c r="AG117" s="95"/>
      <c r="AH117" s="96"/>
      <c r="AI117" s="97"/>
      <c r="AJ117" s="95"/>
      <c r="AK117" s="96"/>
      <c r="AL117" s="97"/>
      <c r="AM117" s="95"/>
      <c r="AN117" s="96"/>
      <c r="AO117" s="97"/>
      <c r="AP117" s="95"/>
      <c r="AQ117" s="96"/>
      <c r="AR117" s="97"/>
      <c r="AS117" s="95"/>
      <c r="AT117" s="96"/>
      <c r="AU117" s="97"/>
      <c r="AV117" s="95"/>
      <c r="AW117" s="96"/>
      <c r="AX117" s="97"/>
      <c r="AY117" s="95"/>
      <c r="AZ117" s="96"/>
      <c r="BA117" s="97"/>
      <c r="BB117" s="95"/>
      <c r="BC117" s="96"/>
      <c r="BD117" s="97"/>
      <c r="BE117" s="95"/>
      <c r="BF117" s="96"/>
      <c r="BG117" s="97"/>
      <c r="BH117" s="95"/>
      <c r="BI117" s="96"/>
      <c r="BJ117" s="97"/>
      <c r="BK117" s="95"/>
      <c r="BL117" s="96"/>
      <c r="BM117" s="97"/>
      <c r="BN117" s="95"/>
      <c r="BO117" s="96"/>
      <c r="BP117" s="97">
        <f>IFERROR(__xludf.DUMMYFUNCTION("""COMPUTED_VALUE"""),817.4577026686565)</f>
        <v>817.4577027</v>
      </c>
      <c r="BQ117" s="95"/>
      <c r="BR117" s="96"/>
      <c r="BS117" s="97"/>
      <c r="BT117" s="95"/>
      <c r="BU117" s="96"/>
      <c r="BV117" s="97"/>
      <c r="BW117" s="95">
        <f>IFERROR(__xludf.DUMMYFUNCTION("""COMPUTED_VALUE"""),39.9472151309381)</f>
        <v>39.94721513</v>
      </c>
      <c r="BX117" s="96"/>
      <c r="BY117" s="97"/>
      <c r="BZ117" s="95"/>
      <c r="CA117" s="96"/>
      <c r="CB117" s="97"/>
      <c r="CC117" s="95"/>
      <c r="CD117" s="96"/>
      <c r="CE117" s="97"/>
      <c r="CF117" s="95"/>
      <c r="CG117" s="96"/>
      <c r="CH117" s="96"/>
      <c r="CI117" s="95"/>
      <c r="CJ117" s="96"/>
      <c r="CK117" s="96"/>
      <c r="CL117" s="95"/>
      <c r="CM117" s="96"/>
      <c r="CN117" s="96"/>
      <c r="CO117" s="95"/>
      <c r="CP117" s="96"/>
      <c r="CQ117" s="96"/>
      <c r="CR117" s="95"/>
      <c r="CS117" s="96"/>
      <c r="CT117" s="96"/>
      <c r="CU117" s="95"/>
      <c r="CV117" s="96"/>
      <c r="CW117" s="97"/>
      <c r="CX117" s="96"/>
      <c r="CY117" s="96"/>
      <c r="CZ117" s="97">
        <f>IFERROR(__xludf.DUMMYFUNCTION("""COMPUTED_VALUE"""),332.5)</f>
        <v>332.5</v>
      </c>
      <c r="DA117" s="95"/>
      <c r="DB117" s="96"/>
      <c r="DC117" s="97"/>
      <c r="DD117" s="95"/>
      <c r="DE117" s="96"/>
      <c r="DF117" s="97"/>
      <c r="DG117" s="95"/>
      <c r="DH117" s="96">
        <f>IFERROR(__xludf.DUMMYFUNCTION("""COMPUTED_VALUE"""),221.66666666666666)</f>
        <v>221.6666667</v>
      </c>
      <c r="DI117" s="97"/>
      <c r="DJ117" s="95"/>
      <c r="DK117" s="96"/>
      <c r="DL117" s="97"/>
      <c r="DM117" s="95"/>
      <c r="DN117" s="96"/>
      <c r="DO117" s="97"/>
      <c r="DP117" s="95">
        <f>IFERROR(__xludf.DUMMYFUNCTION("""COMPUTED_VALUE"""),133.0)</f>
        <v>133</v>
      </c>
      <c r="DQ117" s="96"/>
      <c r="DR117" s="97"/>
      <c r="DS117" s="95"/>
    </row>
    <row r="118">
      <c r="B118" s="120" t="str">
        <f>IFERROR(__xludf.DUMMYFUNCTION("""COMPUTED_VALUE"""),"CML7")</f>
        <v>CML7</v>
      </c>
      <c r="C118" s="88" t="str">
        <f>IFERROR(__xludf.DUMMYFUNCTION("""COMPUTED_VALUE"""),"West Village Ruins")</f>
        <v>West Village Ruins</v>
      </c>
      <c r="D118" s="102">
        <f>IFERROR(__xludf.DUMMYFUNCTION("""COMPUTED_VALUE"""),20.0)</f>
        <v>20</v>
      </c>
      <c r="E118" s="82" t="b">
        <f>IFERROR(__xludf.DUMMYFUNCTION("""COMPUTED_VALUE"""),TRUE)</f>
        <v>1</v>
      </c>
      <c r="F118" s="82" t="str">
        <f>IFERROR(__xludf.DUMMYFUNCTION("""COMPUTED_VALUE"""),"Free Quests- Part 1!A1031:J1039")</f>
        <v>Free Quests- Part 1!A1031:J1039</v>
      </c>
      <c r="G118" s="82">
        <f>IFERROR(__xludf.DUMMYFUNCTION("""COMPUTED_VALUE"""),118.0)</f>
        <v>118</v>
      </c>
      <c r="H118" s="82">
        <f>IFERROR(__xludf.DUMMYFUNCTION("""COMPUTED_VALUE"""),1423.0)</f>
        <v>1423</v>
      </c>
      <c r="I118" s="95"/>
      <c r="J118" s="96"/>
      <c r="K118" s="97"/>
      <c r="L118" s="95"/>
      <c r="M118" s="96"/>
      <c r="N118" s="97"/>
      <c r="O118" s="95"/>
      <c r="P118" s="96"/>
      <c r="Q118" s="97"/>
      <c r="R118" s="95"/>
      <c r="S118" s="96"/>
      <c r="T118" s="97"/>
      <c r="U118" s="95"/>
      <c r="V118" s="96"/>
      <c r="W118" s="97"/>
      <c r="X118" s="95"/>
      <c r="Y118" s="96"/>
      <c r="Z118" s="97"/>
      <c r="AA118" s="95"/>
      <c r="AB118" s="96"/>
      <c r="AC118" s="97"/>
      <c r="AD118" s="95"/>
      <c r="AE118" s="96"/>
      <c r="AF118" s="97"/>
      <c r="AG118" s="95"/>
      <c r="AH118" s="96"/>
      <c r="AI118" s="97"/>
      <c r="AJ118" s="95"/>
      <c r="AK118" s="96"/>
      <c r="AL118" s="97"/>
      <c r="AM118" s="95"/>
      <c r="AN118" s="96"/>
      <c r="AO118" s="97"/>
      <c r="AP118" s="95"/>
      <c r="AQ118" s="96"/>
      <c r="AR118" s="97"/>
      <c r="AS118" s="95"/>
      <c r="AT118" s="96"/>
      <c r="AU118" s="97"/>
      <c r="AV118" s="95"/>
      <c r="AW118" s="96"/>
      <c r="AX118" s="97">
        <f>IFERROR(__xludf.DUMMYFUNCTION("""COMPUTED_VALUE"""),42.20861079389562)</f>
        <v>42.20861079</v>
      </c>
      <c r="AY118" s="95"/>
      <c r="AZ118" s="96"/>
      <c r="BA118" s="97"/>
      <c r="BB118" s="95"/>
      <c r="BC118" s="96"/>
      <c r="BD118" s="97"/>
      <c r="BE118" s="95"/>
      <c r="BF118" s="96"/>
      <c r="BG118" s="97"/>
      <c r="BH118" s="95"/>
      <c r="BI118" s="96"/>
      <c r="BJ118" s="97"/>
      <c r="BK118" s="95"/>
      <c r="BL118" s="96"/>
      <c r="BM118" s="97"/>
      <c r="BN118" s="95"/>
      <c r="BO118" s="96"/>
      <c r="BP118" s="97"/>
      <c r="BQ118" s="95"/>
      <c r="BR118" s="96"/>
      <c r="BS118" s="97"/>
      <c r="BT118" s="95"/>
      <c r="BU118" s="96"/>
      <c r="BV118" s="97"/>
      <c r="BW118" s="95">
        <f>IFERROR(__xludf.DUMMYFUNCTION("""COMPUTED_VALUE"""),43.72877710001075)</f>
        <v>43.7287771</v>
      </c>
      <c r="BX118" s="96"/>
      <c r="BY118" s="97"/>
      <c r="BZ118" s="95"/>
      <c r="CA118" s="96"/>
      <c r="CB118" s="97"/>
      <c r="CC118" s="95"/>
      <c r="CD118" s="96">
        <f>IFERROR(__xludf.DUMMYFUNCTION("""COMPUTED_VALUE"""),485.66552901023897)</f>
        <v>485.665529</v>
      </c>
      <c r="CE118" s="97"/>
      <c r="CF118" s="95"/>
      <c r="CG118" s="96"/>
      <c r="CH118" s="96"/>
      <c r="CI118" s="95"/>
      <c r="CJ118" s="96"/>
      <c r="CK118" s="96">
        <f>IFERROR(__xludf.DUMMYFUNCTION("""COMPUTED_VALUE"""),211.56705322628608)</f>
        <v>211.5670532</v>
      </c>
      <c r="CL118" s="95"/>
      <c r="CM118" s="96"/>
      <c r="CN118" s="96"/>
      <c r="CO118" s="95"/>
      <c r="CP118" s="96"/>
      <c r="CQ118" s="96"/>
      <c r="CR118" s="95"/>
      <c r="CS118" s="96"/>
      <c r="CT118" s="96"/>
      <c r="CU118" s="95"/>
      <c r="CV118" s="96"/>
      <c r="CW118" s="97"/>
      <c r="CX118" s="96"/>
      <c r="CY118" s="96"/>
      <c r="CZ118" s="97">
        <f>IFERROR(__xludf.DUMMYFUNCTION("""COMPUTED_VALUE"""),90.0)</f>
        <v>90</v>
      </c>
      <c r="DA118" s="95"/>
      <c r="DB118" s="96"/>
      <c r="DC118" s="97"/>
      <c r="DD118" s="95"/>
      <c r="DE118" s="96"/>
      <c r="DF118" s="97"/>
      <c r="DG118" s="95"/>
      <c r="DH118" s="96">
        <f>IFERROR(__xludf.DUMMYFUNCTION("""COMPUTED_VALUE"""),120.0)</f>
        <v>120</v>
      </c>
      <c r="DI118" s="97"/>
      <c r="DJ118" s="95"/>
      <c r="DK118" s="96"/>
      <c r="DL118" s="97"/>
      <c r="DM118" s="95"/>
      <c r="DN118" s="96"/>
      <c r="DO118" s="97"/>
      <c r="DP118" s="95"/>
      <c r="DQ118" s="96"/>
      <c r="DR118" s="97"/>
      <c r="DS118" s="95"/>
    </row>
    <row r="119">
      <c r="B119" s="120" t="str">
        <f>IFERROR(__xludf.DUMMYFUNCTION("""COMPUTED_VALUE"""),"CML8")</f>
        <v>CML8</v>
      </c>
      <c r="C119" s="88" t="str">
        <f>IFERROR(__xludf.DUMMYFUNCTION("""COMPUTED_VALUE"""),"Atlas Institute")</f>
        <v>Atlas Institute</v>
      </c>
      <c r="D119" s="102">
        <f>IFERROR(__xludf.DUMMYFUNCTION("""COMPUTED_VALUE"""),20.0)</f>
        <v>20</v>
      </c>
      <c r="E119" s="82" t="b">
        <f>IFERROR(__xludf.DUMMYFUNCTION("""COMPUTED_VALUE"""),TRUE)</f>
        <v>1</v>
      </c>
      <c r="F119" s="82" t="str">
        <f>IFERROR(__xludf.DUMMYFUNCTION("""COMPUTED_VALUE"""),"Free Quests- Part 1!A1043:J1054")</f>
        <v>Free Quests- Part 1!A1043:J1054</v>
      </c>
      <c r="G119" s="82">
        <f>IFERROR(__xludf.DUMMYFUNCTION("""COMPUTED_VALUE"""),119.0)</f>
        <v>119</v>
      </c>
      <c r="H119" s="82">
        <f>IFERROR(__xludf.DUMMYFUNCTION("""COMPUTED_VALUE"""),1161.0)</f>
        <v>1161</v>
      </c>
      <c r="I119" s="95"/>
      <c r="J119" s="96"/>
      <c r="K119" s="97"/>
      <c r="L119" s="95"/>
      <c r="M119" s="96"/>
      <c r="N119" s="97"/>
      <c r="O119" s="95"/>
      <c r="P119" s="96"/>
      <c r="Q119" s="97"/>
      <c r="R119" s="95"/>
      <c r="S119" s="96"/>
      <c r="T119" s="97"/>
      <c r="U119" s="95"/>
      <c r="V119" s="96"/>
      <c r="W119" s="97"/>
      <c r="X119" s="95"/>
      <c r="Y119" s="96"/>
      <c r="Z119" s="97"/>
      <c r="AA119" s="95"/>
      <c r="AB119" s="96"/>
      <c r="AC119" s="97"/>
      <c r="AD119" s="95"/>
      <c r="AE119" s="96"/>
      <c r="AF119" s="97">
        <f>IFERROR(__xludf.DUMMYFUNCTION("""COMPUTED_VALUE"""),98.92216589272782)</f>
        <v>98.92216589</v>
      </c>
      <c r="AG119" s="95">
        <f>IFERROR(__xludf.DUMMYFUNCTION("""COMPUTED_VALUE"""),245.766299745978)</f>
        <v>245.7662997</v>
      </c>
      <c r="AH119" s="96"/>
      <c r="AI119" s="97"/>
      <c r="AJ119" s="95"/>
      <c r="AK119" s="96"/>
      <c r="AL119" s="97"/>
      <c r="AM119" s="95"/>
      <c r="AN119" s="96"/>
      <c r="AO119" s="97"/>
      <c r="AP119" s="95"/>
      <c r="AQ119" s="96"/>
      <c r="AR119" s="97"/>
      <c r="AS119" s="95"/>
      <c r="AT119" s="96"/>
      <c r="AU119" s="97"/>
      <c r="AV119" s="95"/>
      <c r="AW119" s="96"/>
      <c r="AX119" s="97"/>
      <c r="AY119" s="95"/>
      <c r="AZ119" s="96"/>
      <c r="BA119" s="97"/>
      <c r="BB119" s="95"/>
      <c r="BC119" s="96"/>
      <c r="BD119" s="97"/>
      <c r="BE119" s="95"/>
      <c r="BF119" s="96"/>
      <c r="BG119" s="97"/>
      <c r="BH119" s="95"/>
      <c r="BI119" s="96"/>
      <c r="BJ119" s="97"/>
      <c r="BK119" s="95"/>
      <c r="BL119" s="96">
        <f>IFERROR(__xludf.DUMMYFUNCTION("""COMPUTED_VALUE"""),121.2595958013473)</f>
        <v>121.2595958</v>
      </c>
      <c r="BM119" s="97"/>
      <c r="BN119" s="95"/>
      <c r="BO119" s="96">
        <f>IFERROR(__xludf.DUMMYFUNCTION("""COMPUTED_VALUE"""),127.83387102101936)</f>
        <v>127.833871</v>
      </c>
      <c r="BP119" s="97"/>
      <c r="BQ119" s="95"/>
      <c r="BR119" s="96"/>
      <c r="BS119" s="97">
        <f>IFERROR(__xludf.DUMMYFUNCTION("""COMPUTED_VALUE"""),135.32888065181666)</f>
        <v>135.3288807</v>
      </c>
      <c r="BT119" s="95"/>
      <c r="BU119" s="96"/>
      <c r="BV119" s="97"/>
      <c r="BW119" s="95"/>
      <c r="BX119" s="96"/>
      <c r="BY119" s="97"/>
      <c r="BZ119" s="95"/>
      <c r="CA119" s="96"/>
      <c r="CB119" s="97"/>
      <c r="CC119" s="95"/>
      <c r="CD119" s="96"/>
      <c r="CE119" s="97"/>
      <c r="CF119" s="95"/>
      <c r="CG119" s="96"/>
      <c r="CH119" s="96"/>
      <c r="CI119" s="95"/>
      <c r="CJ119" s="96"/>
      <c r="CK119" s="96"/>
      <c r="CL119" s="95"/>
      <c r="CM119" s="96"/>
      <c r="CN119" s="96">
        <f>IFERROR(__xludf.DUMMYFUNCTION("""COMPUTED_VALUE"""),142.0648681007754)</f>
        <v>142.0648681</v>
      </c>
      <c r="CO119" s="95"/>
      <c r="CP119" s="96"/>
      <c r="CQ119" s="96"/>
      <c r="CR119" s="95"/>
      <c r="CS119" s="96"/>
      <c r="CT119" s="96"/>
      <c r="CU119" s="95"/>
      <c r="CV119" s="96"/>
      <c r="CW119" s="97"/>
      <c r="CX119" s="96"/>
      <c r="CY119" s="96"/>
      <c r="CZ119" s="97"/>
      <c r="DA119" s="95"/>
      <c r="DB119" s="96"/>
      <c r="DC119" s="97"/>
      <c r="DD119" s="95">
        <f>IFERROR(__xludf.DUMMYFUNCTION("""COMPUTED_VALUE"""),280.0)</f>
        <v>280</v>
      </c>
      <c r="DE119" s="96"/>
      <c r="DF119" s="97"/>
      <c r="DG119" s="95">
        <f>IFERROR(__xludf.DUMMYFUNCTION("""COMPUTED_VALUE"""),140.0)</f>
        <v>140</v>
      </c>
      <c r="DH119" s="96"/>
      <c r="DI119" s="97"/>
      <c r="DJ119" s="95"/>
      <c r="DK119" s="96"/>
      <c r="DL119" s="97"/>
      <c r="DM119" s="95"/>
      <c r="DN119" s="96"/>
      <c r="DO119" s="97"/>
      <c r="DP119" s="95"/>
      <c r="DQ119" s="96"/>
      <c r="DR119" s="97"/>
      <c r="DS119" s="95"/>
    </row>
    <row r="120">
      <c r="B120" s="120" t="str">
        <f>IFERROR(__xludf.DUMMYFUNCTION("""COMPUTED_VALUE"""),"CML9")</f>
        <v>CML9</v>
      </c>
      <c r="C120" s="88" t="str">
        <f>IFERROR(__xludf.DUMMYFUNCTION("""COMPUTED_VALUE"""),"Main Gate")</f>
        <v>Main Gate</v>
      </c>
      <c r="D120" s="102">
        <f>IFERROR(__xludf.DUMMYFUNCTION("""COMPUTED_VALUE"""),20.0)</f>
        <v>20</v>
      </c>
      <c r="E120" s="82" t="b">
        <f>IFERROR(__xludf.DUMMYFUNCTION("""COMPUTED_VALUE"""),TRUE)</f>
        <v>1</v>
      </c>
      <c r="F120" s="82" t="str">
        <f>IFERROR(__xludf.DUMMYFUNCTION("""COMPUTED_VALUE"""),"Free Quests- Part 1!A1058:J1067")</f>
        <v>Free Quests- Part 1!A1058:J1067</v>
      </c>
      <c r="G120" s="82">
        <f>IFERROR(__xludf.DUMMYFUNCTION("""COMPUTED_VALUE"""),120.0)</f>
        <v>120</v>
      </c>
      <c r="H120" s="82">
        <f>IFERROR(__xludf.DUMMYFUNCTION("""COMPUTED_VALUE"""),51965.0)</f>
        <v>51965</v>
      </c>
      <c r="I120" s="95"/>
      <c r="J120" s="96"/>
      <c r="K120" s="97"/>
      <c r="L120" s="95"/>
      <c r="M120" s="96"/>
      <c r="N120" s="97"/>
      <c r="O120" s="95"/>
      <c r="P120" s="96"/>
      <c r="Q120" s="97"/>
      <c r="R120" s="95"/>
      <c r="S120" s="96"/>
      <c r="T120" s="97"/>
      <c r="U120" s="95"/>
      <c r="V120" s="96"/>
      <c r="W120" s="97"/>
      <c r="X120" s="95"/>
      <c r="Y120" s="96"/>
      <c r="Z120" s="97"/>
      <c r="AA120" s="95"/>
      <c r="AB120" s="96"/>
      <c r="AC120" s="97"/>
      <c r="AD120" s="95"/>
      <c r="AE120" s="96"/>
      <c r="AF120" s="97"/>
      <c r="AG120" s="95"/>
      <c r="AH120" s="96"/>
      <c r="AI120" s="97"/>
      <c r="AJ120" s="95">
        <f>IFERROR(__xludf.DUMMYFUNCTION("""COMPUTED_VALUE"""),66.43442849036597)</f>
        <v>66.43442849</v>
      </c>
      <c r="AK120" s="96"/>
      <c r="AL120" s="97"/>
      <c r="AM120" s="95"/>
      <c r="AN120" s="96"/>
      <c r="AO120" s="97"/>
      <c r="AP120" s="95"/>
      <c r="AQ120" s="96"/>
      <c r="AR120" s="97"/>
      <c r="AS120" s="95"/>
      <c r="AT120" s="96"/>
      <c r="AU120" s="97"/>
      <c r="AV120" s="95"/>
      <c r="AW120" s="96"/>
      <c r="AX120" s="97"/>
      <c r="AY120" s="95"/>
      <c r="AZ120" s="96"/>
      <c r="BA120" s="97"/>
      <c r="BB120" s="95"/>
      <c r="BC120" s="96"/>
      <c r="BD120" s="97"/>
      <c r="BE120" s="95"/>
      <c r="BF120" s="96"/>
      <c r="BG120" s="97"/>
      <c r="BH120" s="95"/>
      <c r="BI120" s="96"/>
      <c r="BJ120" s="97"/>
      <c r="BK120" s="95">
        <f>IFERROR(__xludf.DUMMYFUNCTION("""COMPUTED_VALUE"""),191.77796049960804)</f>
        <v>191.7779605</v>
      </c>
      <c r="BL120" s="96">
        <f>IFERROR(__xludf.DUMMYFUNCTION("""COMPUTED_VALUE"""),377.44126562851255)</f>
        <v>377.4412656</v>
      </c>
      <c r="BM120" s="97">
        <f>IFERROR(__xludf.DUMMYFUNCTION("""COMPUTED_VALUE"""),190.90093374857761)</f>
        <v>190.9009337</v>
      </c>
      <c r="BN120" s="95"/>
      <c r="BO120" s="96"/>
      <c r="BP120" s="97"/>
      <c r="BQ120" s="95"/>
      <c r="BR120" s="96"/>
      <c r="BS120" s="97"/>
      <c r="BT120" s="95"/>
      <c r="BU120" s="96"/>
      <c r="BV120" s="97"/>
      <c r="BW120" s="95"/>
      <c r="BX120" s="96"/>
      <c r="BY120" s="97"/>
      <c r="BZ120" s="95"/>
      <c r="CA120" s="96"/>
      <c r="CB120" s="97"/>
      <c r="CC120" s="95"/>
      <c r="CD120" s="96"/>
      <c r="CE120" s="97"/>
      <c r="CF120" s="95"/>
      <c r="CG120" s="96"/>
      <c r="CH120" s="96"/>
      <c r="CI120" s="95"/>
      <c r="CJ120" s="96"/>
      <c r="CK120" s="96"/>
      <c r="CL120" s="95"/>
      <c r="CM120" s="96">
        <f>IFERROR(__xludf.DUMMYFUNCTION("""COMPUTED_VALUE"""),222.28815316131164)</f>
        <v>222.2881532</v>
      </c>
      <c r="CN120" s="96">
        <f>IFERROR(__xludf.DUMMYFUNCTION("""COMPUTED_VALUE"""),451.1338249994821)</f>
        <v>451.133825</v>
      </c>
      <c r="CO120" s="95">
        <f>IFERROR(__xludf.DUMMYFUNCTION("""COMPUTED_VALUE"""),240.24778062598696)</f>
        <v>240.2477806</v>
      </c>
      <c r="CP120" s="96"/>
      <c r="CQ120" s="96"/>
      <c r="CR120" s="95"/>
      <c r="CS120" s="96"/>
      <c r="CT120" s="96"/>
      <c r="CU120" s="95"/>
      <c r="CV120" s="96"/>
      <c r="CW120" s="97"/>
      <c r="CX120" s="96"/>
      <c r="CY120" s="96"/>
      <c r="CZ120" s="97"/>
      <c r="DA120" s="95"/>
      <c r="DB120" s="96"/>
      <c r="DC120" s="97"/>
      <c r="DD120" s="95"/>
      <c r="DE120" s="96"/>
      <c r="DF120" s="97"/>
      <c r="DG120" s="95"/>
      <c r="DH120" s="96"/>
      <c r="DI120" s="97"/>
      <c r="DJ120" s="95"/>
      <c r="DK120" s="96"/>
      <c r="DL120" s="97"/>
      <c r="DM120" s="95"/>
      <c r="DN120" s="96"/>
      <c r="DO120" s="97"/>
      <c r="DP120" s="95"/>
      <c r="DQ120" s="96"/>
      <c r="DR120" s="97"/>
      <c r="DS120" s="95"/>
    </row>
    <row r="121">
      <c r="B121" s="120" t="str">
        <f>IFERROR(__xludf.DUMMYFUNCTION("""COMPUTED_VALUE"""),"CML10")</f>
        <v>CML10</v>
      </c>
      <c r="C121" s="88" t="str">
        <f>IFERROR(__xludf.DUMMYFUNCTION("""COMPUTED_VALUE"""),"Holy City")</f>
        <v>Holy City</v>
      </c>
      <c r="D121" s="102">
        <f>IFERROR(__xludf.DUMMYFUNCTION("""COMPUTED_VALUE"""),20.0)</f>
        <v>20</v>
      </c>
      <c r="E121" s="82" t="b">
        <f>IFERROR(__xludf.DUMMYFUNCTION("""COMPUTED_VALUE"""),TRUE)</f>
        <v>1</v>
      </c>
      <c r="F121" s="82" t="str">
        <f>IFERROR(__xludf.DUMMYFUNCTION("""COMPUTED_VALUE"""),"Free Quests- Part 1!A1071:J1085")</f>
        <v>Free Quests- Part 1!A1071:J1085</v>
      </c>
      <c r="G121" s="82">
        <f>IFERROR(__xludf.DUMMYFUNCTION("""COMPUTED_VALUE"""),121.0)</f>
        <v>121</v>
      </c>
      <c r="H121" s="82">
        <f>IFERROR(__xludf.DUMMYFUNCTION("""COMPUTED_VALUE"""),31633.0)</f>
        <v>31633</v>
      </c>
      <c r="I121" s="95"/>
      <c r="J121" s="96"/>
      <c r="K121" s="97"/>
      <c r="L121" s="95">
        <f>IFERROR(__xludf.DUMMYFUNCTION("""COMPUTED_VALUE"""),167.03982595287633)</f>
        <v>167.039826</v>
      </c>
      <c r="M121" s="96"/>
      <c r="N121" s="97"/>
      <c r="O121" s="95"/>
      <c r="P121" s="96"/>
      <c r="Q121" s="97"/>
      <c r="R121" s="95"/>
      <c r="S121" s="96"/>
      <c r="T121" s="97"/>
      <c r="U121" s="95"/>
      <c r="V121" s="96"/>
      <c r="W121" s="97"/>
      <c r="X121" s="95"/>
      <c r="Y121" s="96"/>
      <c r="Z121" s="97"/>
      <c r="AA121" s="95"/>
      <c r="AB121" s="96"/>
      <c r="AC121" s="97">
        <f>IFERROR(__xludf.DUMMYFUNCTION("""COMPUTED_VALUE"""),72.82546361109596)</f>
        <v>72.82546361</v>
      </c>
      <c r="AD121" s="95"/>
      <c r="AE121" s="96"/>
      <c r="AF121" s="97"/>
      <c r="AG121" s="95"/>
      <c r="AH121" s="96"/>
      <c r="AI121" s="97"/>
      <c r="AJ121" s="95"/>
      <c r="AK121" s="96"/>
      <c r="AL121" s="97"/>
      <c r="AM121" s="95"/>
      <c r="AN121" s="96"/>
      <c r="AO121" s="97"/>
      <c r="AP121" s="95"/>
      <c r="AQ121" s="96"/>
      <c r="AR121" s="97"/>
      <c r="AS121" s="95"/>
      <c r="AT121" s="96"/>
      <c r="AU121" s="97">
        <f>IFERROR(__xludf.DUMMYFUNCTION("""COMPUTED_VALUE"""),55.93226242845354)</f>
        <v>55.93226243</v>
      </c>
      <c r="AV121" s="95"/>
      <c r="AW121" s="96"/>
      <c r="AX121" s="97"/>
      <c r="AY121" s="95"/>
      <c r="AZ121" s="96"/>
      <c r="BA121" s="97"/>
      <c r="BB121" s="95"/>
      <c r="BC121" s="96"/>
      <c r="BD121" s="97">
        <f>IFERROR(__xludf.DUMMYFUNCTION("""COMPUTED_VALUE"""),608.944577073889)</f>
        <v>608.9445771</v>
      </c>
      <c r="BE121" s="95"/>
      <c r="BF121" s="96"/>
      <c r="BG121" s="97"/>
      <c r="BH121" s="95"/>
      <c r="BI121" s="96"/>
      <c r="BJ121" s="97">
        <f>IFERROR(__xludf.DUMMYFUNCTION("""COMPUTED_VALUE"""),220.72109290830952)</f>
        <v>220.7210929</v>
      </c>
      <c r="BK121" s="95"/>
      <c r="BL121" s="96"/>
      <c r="BM121" s="97"/>
      <c r="BN121" s="95"/>
      <c r="BO121" s="96"/>
      <c r="BP121" s="97"/>
      <c r="BQ121" s="95"/>
      <c r="BR121" s="96">
        <f>IFERROR(__xludf.DUMMYFUNCTION("""COMPUTED_VALUE"""),382.283378240004)</f>
        <v>382.2833782</v>
      </c>
      <c r="BS121" s="97"/>
      <c r="BT121" s="95">
        <f>IFERROR(__xludf.DUMMYFUNCTION("""COMPUTED_VALUE"""),199.67064310661175)</f>
        <v>199.6706431</v>
      </c>
      <c r="BU121" s="96"/>
      <c r="BV121" s="97"/>
      <c r="BW121" s="95"/>
      <c r="BX121" s="96"/>
      <c r="BY121" s="97"/>
      <c r="BZ121" s="95"/>
      <c r="CA121" s="96"/>
      <c r="CB121" s="97"/>
      <c r="CC121" s="95"/>
      <c r="CD121" s="96"/>
      <c r="CE121" s="97"/>
      <c r="CF121" s="95"/>
      <c r="CG121" s="96"/>
      <c r="CH121" s="96"/>
      <c r="CI121" s="95"/>
      <c r="CJ121" s="96"/>
      <c r="CK121" s="96"/>
      <c r="CL121" s="95"/>
      <c r="CM121" s="96">
        <f>IFERROR(__xludf.DUMMYFUNCTION("""COMPUTED_VALUE"""),24.672295670243315)</f>
        <v>24.67229567</v>
      </c>
      <c r="CN121" s="96"/>
      <c r="CO121" s="95"/>
      <c r="CP121" s="96"/>
      <c r="CQ121" s="96"/>
      <c r="CR121" s="95"/>
      <c r="CS121" s="96"/>
      <c r="CT121" s="96"/>
      <c r="CU121" s="95"/>
      <c r="CV121" s="96"/>
      <c r="CW121" s="97"/>
      <c r="CX121" s="96"/>
      <c r="CY121" s="96"/>
      <c r="CZ121" s="97"/>
      <c r="DA121" s="95">
        <f>IFERROR(__xludf.DUMMYFUNCTION("""COMPUTED_VALUE"""),147.36059479553904)</f>
        <v>147.3605948</v>
      </c>
      <c r="DB121" s="96"/>
      <c r="DC121" s="97"/>
      <c r="DD121" s="95"/>
      <c r="DE121" s="96"/>
      <c r="DF121" s="97"/>
      <c r="DG121" s="95"/>
      <c r="DH121" s="96"/>
      <c r="DI121" s="97"/>
      <c r="DJ121" s="95"/>
      <c r="DK121" s="96">
        <f>IFERROR(__xludf.DUMMYFUNCTION("""COMPUTED_VALUE"""),412.9166666666667)</f>
        <v>412.9166667</v>
      </c>
      <c r="DL121" s="97"/>
      <c r="DM121" s="95">
        <f>IFERROR(__xludf.DUMMYFUNCTION("""COMPUTED_VALUE"""),201.21827411167513)</f>
        <v>201.2182741</v>
      </c>
      <c r="DN121" s="96"/>
      <c r="DO121" s="97"/>
      <c r="DP121" s="95"/>
      <c r="DQ121" s="96"/>
      <c r="DR121" s="97"/>
      <c r="DS121" s="95"/>
    </row>
    <row r="122">
      <c r="B122" s="120" t="str">
        <f>IFERROR(__xludf.DUMMYFUNCTION("""COMPUTED_VALUE"""),"CML11")</f>
        <v>CML11</v>
      </c>
      <c r="C122" s="88" t="str">
        <f>IFERROR(__xludf.DUMMYFUNCTION("""COMPUTED_VALUE"""),"Hidden Village")</f>
        <v>Hidden Village</v>
      </c>
      <c r="D122" s="102">
        <f>IFERROR(__xludf.DUMMYFUNCTION("""COMPUTED_VALUE"""),21.0)</f>
        <v>21</v>
      </c>
      <c r="E122" s="82" t="b">
        <f>IFERROR(__xludf.DUMMYFUNCTION("""COMPUTED_VALUE"""),TRUE)</f>
        <v>1</v>
      </c>
      <c r="F122" s="82" t="str">
        <f>IFERROR(__xludf.DUMMYFUNCTION("""COMPUTED_VALUE"""),"Free Quests- Part 1!A1089:J1100")</f>
        <v>Free Quests- Part 1!A1089:J1100</v>
      </c>
      <c r="G122" s="82">
        <f>IFERROR(__xludf.DUMMYFUNCTION("""COMPUTED_VALUE"""),122.0)</f>
        <v>122</v>
      </c>
      <c r="H122" s="82">
        <f>IFERROR(__xludf.DUMMYFUNCTION("""COMPUTED_VALUE"""),125149.0)</f>
        <v>125149</v>
      </c>
      <c r="I122" s="95"/>
      <c r="J122" s="96"/>
      <c r="K122" s="97"/>
      <c r="L122" s="95"/>
      <c r="M122" s="96"/>
      <c r="N122" s="97"/>
      <c r="O122" s="95"/>
      <c r="P122" s="96">
        <f>IFERROR(__xludf.DUMMYFUNCTION("""COMPUTED_VALUE"""),130.30308904802249)</f>
        <v>130.303089</v>
      </c>
      <c r="Q122" s="97"/>
      <c r="R122" s="95"/>
      <c r="S122" s="96"/>
      <c r="T122" s="97"/>
      <c r="U122" s="95"/>
      <c r="V122" s="96"/>
      <c r="W122" s="97"/>
      <c r="X122" s="95"/>
      <c r="Y122" s="96"/>
      <c r="Z122" s="97"/>
      <c r="AA122" s="95"/>
      <c r="AB122" s="96"/>
      <c r="AC122" s="97"/>
      <c r="AD122" s="95"/>
      <c r="AE122" s="96"/>
      <c r="AF122" s="97"/>
      <c r="AG122" s="95"/>
      <c r="AH122" s="96"/>
      <c r="AI122" s="97"/>
      <c r="AJ122" s="95"/>
      <c r="AK122" s="96"/>
      <c r="AL122" s="97"/>
      <c r="AM122" s="95"/>
      <c r="AN122" s="96"/>
      <c r="AO122" s="97"/>
      <c r="AP122" s="95"/>
      <c r="AQ122" s="96"/>
      <c r="AR122" s="97"/>
      <c r="AS122" s="95"/>
      <c r="AT122" s="96"/>
      <c r="AU122" s="97"/>
      <c r="AV122" s="95"/>
      <c r="AW122" s="96"/>
      <c r="AX122" s="97"/>
      <c r="AY122" s="95">
        <f>IFERROR(__xludf.DUMMYFUNCTION("""COMPUTED_VALUE"""),69.05537308427226)</f>
        <v>69.05537308</v>
      </c>
      <c r="AZ122" s="96"/>
      <c r="BA122" s="97"/>
      <c r="BB122" s="95"/>
      <c r="BC122" s="96"/>
      <c r="BD122" s="97"/>
      <c r="BE122" s="95"/>
      <c r="BF122" s="96"/>
      <c r="BG122" s="97"/>
      <c r="BH122" s="95"/>
      <c r="BI122" s="96"/>
      <c r="BJ122" s="97"/>
      <c r="BK122" s="95"/>
      <c r="BL122" s="96"/>
      <c r="BM122" s="97"/>
      <c r="BN122" s="95"/>
      <c r="BO122" s="96">
        <f>IFERROR(__xludf.DUMMYFUNCTION("""COMPUTED_VALUE"""),265.04870671862074)</f>
        <v>265.0487067</v>
      </c>
      <c r="BP122" s="97"/>
      <c r="BQ122" s="95"/>
      <c r="BR122" s="96"/>
      <c r="BS122" s="97"/>
      <c r="BT122" s="95"/>
      <c r="BU122" s="96"/>
      <c r="BV122" s="97"/>
      <c r="BW122" s="95">
        <f>IFERROR(__xludf.DUMMYFUNCTION("""COMPUTED_VALUE"""),210.2223099276251)</f>
        <v>210.2223099</v>
      </c>
      <c r="BX122" s="96">
        <f>IFERROR(__xludf.DUMMYFUNCTION("""COMPUTED_VALUE"""),429.2495318225315)</f>
        <v>429.2495318</v>
      </c>
      <c r="BY122" s="97"/>
      <c r="BZ122" s="95"/>
      <c r="CA122" s="96"/>
      <c r="CB122" s="97"/>
      <c r="CC122" s="95"/>
      <c r="CD122" s="96"/>
      <c r="CE122" s="97"/>
      <c r="CF122" s="95"/>
      <c r="CG122" s="96"/>
      <c r="CH122" s="96"/>
      <c r="CI122" s="95"/>
      <c r="CJ122" s="96"/>
      <c r="CK122" s="96"/>
      <c r="CL122" s="95"/>
      <c r="CM122" s="96"/>
      <c r="CN122" s="96"/>
      <c r="CO122" s="95"/>
      <c r="CP122" s="96"/>
      <c r="CQ122" s="96">
        <f>IFERROR(__xludf.DUMMYFUNCTION("""COMPUTED_VALUE"""),29.741116751269036)</f>
        <v>29.74111675</v>
      </c>
      <c r="CR122" s="95"/>
      <c r="CS122" s="96"/>
      <c r="CT122" s="96"/>
      <c r="CU122" s="95"/>
      <c r="CV122" s="96"/>
      <c r="CW122" s="97"/>
      <c r="CX122" s="96"/>
      <c r="CY122" s="96"/>
      <c r="CZ122" s="97"/>
      <c r="DA122" s="95"/>
      <c r="DB122" s="96"/>
      <c r="DC122" s="97"/>
      <c r="DD122" s="95"/>
      <c r="DE122" s="96"/>
      <c r="DF122" s="97"/>
      <c r="DG122" s="95"/>
      <c r="DH122" s="96">
        <f>IFERROR(__xludf.DUMMYFUNCTION("""COMPUTED_VALUE"""),315.80769230769226)</f>
        <v>315.8076923</v>
      </c>
      <c r="DI122" s="97">
        <f>IFERROR(__xludf.DUMMYFUNCTION("""COMPUTED_VALUE"""),328.44)</f>
        <v>328.44</v>
      </c>
      <c r="DJ122" s="95"/>
      <c r="DK122" s="96"/>
      <c r="DL122" s="97"/>
      <c r="DM122" s="95"/>
      <c r="DN122" s="96"/>
      <c r="DO122" s="97"/>
      <c r="DP122" s="95"/>
      <c r="DQ122" s="96"/>
      <c r="DR122" s="97"/>
      <c r="DS122" s="95"/>
    </row>
    <row r="123">
      <c r="B123" s="120" t="str">
        <f>IFERROR(__xludf.DUMMYFUNCTION("""COMPUTED_VALUE"""),"CML12")</f>
        <v>CML12</v>
      </c>
      <c r="C123" s="88" t="str">
        <f>IFERROR(__xludf.DUMMYFUNCTION("""COMPUTED_VALUE"""),"Royal Castle")</f>
        <v>Royal Castle</v>
      </c>
      <c r="D123" s="102">
        <f>IFERROR(__xludf.DUMMYFUNCTION("""COMPUTED_VALUE"""),21.0)</f>
        <v>21</v>
      </c>
      <c r="E123" s="82" t="b">
        <f>IFERROR(__xludf.DUMMYFUNCTION("""COMPUTED_VALUE"""),TRUE)</f>
        <v>1</v>
      </c>
      <c r="F123" s="82" t="str">
        <f>IFERROR(__xludf.DUMMYFUNCTION("""COMPUTED_VALUE"""),"Free Quests- Part 1!A1104:J1113")</f>
        <v>Free Quests- Part 1!A1104:J1113</v>
      </c>
      <c r="G123" s="82">
        <f>IFERROR(__xludf.DUMMYFUNCTION("""COMPUTED_VALUE"""),123.0)</f>
        <v>123</v>
      </c>
      <c r="H123" s="82">
        <f>IFERROR(__xludf.DUMMYFUNCTION("""COMPUTED_VALUE"""),101574.0)</f>
        <v>101574</v>
      </c>
      <c r="I123" s="95"/>
      <c r="J123" s="96"/>
      <c r="K123" s="97"/>
      <c r="L123" s="95"/>
      <c r="M123" s="96"/>
      <c r="N123" s="97"/>
      <c r="O123" s="95"/>
      <c r="P123" s="96"/>
      <c r="Q123" s="97"/>
      <c r="R123" s="95"/>
      <c r="S123" s="96"/>
      <c r="T123" s="97"/>
      <c r="U123" s="95"/>
      <c r="V123" s="96"/>
      <c r="W123" s="97"/>
      <c r="X123" s="95"/>
      <c r="Y123" s="96"/>
      <c r="Z123" s="97"/>
      <c r="AA123" s="95"/>
      <c r="AB123" s="96"/>
      <c r="AC123" s="97"/>
      <c r="AD123" s="95"/>
      <c r="AE123" s="96"/>
      <c r="AF123" s="97"/>
      <c r="AG123" s="95"/>
      <c r="AH123" s="96"/>
      <c r="AI123" s="97"/>
      <c r="AJ123" s="95">
        <f>IFERROR(__xludf.DUMMYFUNCTION("""COMPUTED_VALUE"""),59.53428786737002)</f>
        <v>59.53428787</v>
      </c>
      <c r="AK123" s="96"/>
      <c r="AL123" s="97"/>
      <c r="AM123" s="95"/>
      <c r="AN123" s="96"/>
      <c r="AO123" s="97"/>
      <c r="AP123" s="95"/>
      <c r="AQ123" s="96"/>
      <c r="AR123" s="97"/>
      <c r="AS123" s="95"/>
      <c r="AT123" s="96"/>
      <c r="AU123" s="97"/>
      <c r="AV123" s="95"/>
      <c r="AW123" s="96"/>
      <c r="AX123" s="97">
        <f>IFERROR(__xludf.DUMMYFUNCTION("""COMPUTED_VALUE"""),130.98274485723059)</f>
        <v>130.9827449</v>
      </c>
      <c r="AY123" s="95"/>
      <c r="AZ123" s="96"/>
      <c r="BA123" s="97"/>
      <c r="BB123" s="95"/>
      <c r="BC123" s="96"/>
      <c r="BD123" s="97"/>
      <c r="BE123" s="95"/>
      <c r="BF123" s="96"/>
      <c r="BG123" s="97"/>
      <c r="BH123" s="95"/>
      <c r="BI123" s="96"/>
      <c r="BJ123" s="97"/>
      <c r="BK123" s="95">
        <f>IFERROR(__xludf.DUMMYFUNCTION("""COMPUTED_VALUE"""),86.04509382432946)</f>
        <v>86.04509382</v>
      </c>
      <c r="BL123" s="96"/>
      <c r="BM123" s="97"/>
      <c r="BN123" s="95"/>
      <c r="BO123" s="96"/>
      <c r="BP123" s="97"/>
      <c r="BQ123" s="95"/>
      <c r="BR123" s="96"/>
      <c r="BS123" s="97"/>
      <c r="BT123" s="95"/>
      <c r="BU123" s="96"/>
      <c r="BV123" s="97"/>
      <c r="BW123" s="95"/>
      <c r="BX123" s="96"/>
      <c r="BY123" s="97">
        <f>IFERROR(__xludf.DUMMYFUNCTION("""COMPUTED_VALUE"""),510.1990554047887)</f>
        <v>510.1990554</v>
      </c>
      <c r="BZ123" s="95"/>
      <c r="CA123" s="96"/>
      <c r="CB123" s="97"/>
      <c r="CC123" s="95"/>
      <c r="CD123" s="96"/>
      <c r="CE123" s="97"/>
      <c r="CF123" s="95">
        <f>IFERROR(__xludf.DUMMYFUNCTION("""COMPUTED_VALUE"""),209.89011903737708)</f>
        <v>209.890119</v>
      </c>
      <c r="CG123" s="96"/>
      <c r="CH123" s="96"/>
      <c r="CI123" s="95"/>
      <c r="CJ123" s="96"/>
      <c r="CK123" s="96"/>
      <c r="CL123" s="95"/>
      <c r="CM123" s="96">
        <f>IFERROR(__xludf.DUMMYFUNCTION("""COMPUTED_VALUE"""),94.54452524113333)</f>
        <v>94.54452524</v>
      </c>
      <c r="CN123" s="96"/>
      <c r="CO123" s="95"/>
      <c r="CP123" s="96"/>
      <c r="CQ123" s="96"/>
      <c r="CR123" s="95"/>
      <c r="CS123" s="96"/>
      <c r="CT123" s="96"/>
      <c r="CU123" s="95"/>
      <c r="CV123" s="96"/>
      <c r="CW123" s="97"/>
      <c r="CX123" s="96"/>
      <c r="CY123" s="96"/>
      <c r="CZ123" s="97"/>
      <c r="DA123" s="95"/>
      <c r="DB123" s="96"/>
      <c r="DC123" s="97">
        <f>IFERROR(__xludf.DUMMYFUNCTION("""COMPUTED_VALUE"""),106.05)</f>
        <v>106.05</v>
      </c>
      <c r="DD123" s="95"/>
      <c r="DE123" s="96"/>
      <c r="DF123" s="97"/>
      <c r="DG123" s="95"/>
      <c r="DH123" s="96"/>
      <c r="DI123" s="97"/>
      <c r="DJ123" s="95"/>
      <c r="DK123" s="96"/>
      <c r="DL123" s="97"/>
      <c r="DM123" s="95"/>
      <c r="DN123" s="96"/>
      <c r="DO123" s="97"/>
      <c r="DP123" s="95"/>
      <c r="DQ123" s="96"/>
      <c r="DR123" s="97"/>
      <c r="DS123" s="95"/>
    </row>
    <row r="124">
      <c r="B124" s="120" t="str">
        <f>IFERROR(__xludf.DUMMYFUNCTION("""COMPUTED_VALUE"""),"CML13")</f>
        <v>CML13</v>
      </c>
      <c r="C124" s="88" t="str">
        <f>IFERROR(__xludf.DUMMYFUNCTION("""COMPUTED_VALUE"""),"Land of the Void")</f>
        <v>Land of the Void</v>
      </c>
      <c r="D124" s="102">
        <f>IFERROR(__xludf.DUMMYFUNCTION("""COMPUTED_VALUE"""),22.0)</f>
        <v>22</v>
      </c>
      <c r="E124" s="82" t="b">
        <f>IFERROR(__xludf.DUMMYFUNCTION("""COMPUTED_VALUE"""),TRUE)</f>
        <v>1</v>
      </c>
      <c r="F124" s="82" t="str">
        <f>IFERROR(__xludf.DUMMYFUNCTION("""COMPUTED_VALUE"""),"Free Quests- Part 1!A1117:J1133")</f>
        <v>Free Quests- Part 1!A1117:J1133</v>
      </c>
      <c r="G124" s="82">
        <f>IFERROR(__xludf.DUMMYFUNCTION("""COMPUTED_VALUE"""),124.0)</f>
        <v>124</v>
      </c>
      <c r="H124" s="82">
        <f>IFERROR(__xludf.DUMMYFUNCTION("""COMPUTED_VALUE"""),5686.0)</f>
        <v>5686</v>
      </c>
      <c r="I124" s="95"/>
      <c r="J124" s="96"/>
      <c r="K124" s="97"/>
      <c r="L124" s="95"/>
      <c r="M124" s="96"/>
      <c r="N124" s="97"/>
      <c r="O124" s="95"/>
      <c r="P124" s="96"/>
      <c r="Q124" s="97"/>
      <c r="R124" s="95"/>
      <c r="S124" s="96"/>
      <c r="T124" s="97"/>
      <c r="U124" s="95"/>
      <c r="V124" s="96"/>
      <c r="W124" s="97"/>
      <c r="X124" s="95"/>
      <c r="Y124" s="96"/>
      <c r="Z124" s="97"/>
      <c r="AA124" s="95"/>
      <c r="AB124" s="96"/>
      <c r="AC124" s="97"/>
      <c r="AD124" s="95"/>
      <c r="AE124" s="96"/>
      <c r="AF124" s="97"/>
      <c r="AG124" s="95"/>
      <c r="AH124" s="96"/>
      <c r="AI124" s="97">
        <f>IFERROR(__xludf.DUMMYFUNCTION("""COMPUTED_VALUE"""),49.34441885243023)</f>
        <v>49.34441885</v>
      </c>
      <c r="AJ124" s="95"/>
      <c r="AK124" s="96"/>
      <c r="AL124" s="97"/>
      <c r="AM124" s="95"/>
      <c r="AN124" s="96"/>
      <c r="AO124" s="97"/>
      <c r="AP124" s="95"/>
      <c r="AQ124" s="96"/>
      <c r="AR124" s="97"/>
      <c r="AS124" s="95"/>
      <c r="AT124" s="96"/>
      <c r="AU124" s="97"/>
      <c r="AV124" s="95"/>
      <c r="AW124" s="96"/>
      <c r="AX124" s="97"/>
      <c r="AY124" s="95"/>
      <c r="AZ124" s="96"/>
      <c r="BA124" s="97"/>
      <c r="BB124" s="95"/>
      <c r="BC124" s="96"/>
      <c r="BD124" s="97"/>
      <c r="BE124" s="95">
        <f>IFERROR(__xludf.DUMMYFUNCTION("""COMPUTED_VALUE"""),643.8715057056532)</f>
        <v>643.8715057</v>
      </c>
      <c r="BF124" s="96"/>
      <c r="BG124" s="97">
        <f>IFERROR(__xludf.DUMMYFUNCTION("""COMPUTED_VALUE"""),350.406592883294)</f>
        <v>350.4065929</v>
      </c>
      <c r="BH124" s="95"/>
      <c r="BI124" s="96"/>
      <c r="BJ124" s="97"/>
      <c r="BK124" s="95"/>
      <c r="BL124" s="96"/>
      <c r="BM124" s="97"/>
      <c r="BN124" s="95">
        <f>IFERROR(__xludf.DUMMYFUNCTION("""COMPUTED_VALUE"""),491.11924242662184)</f>
        <v>491.1192424</v>
      </c>
      <c r="BO124" s="96"/>
      <c r="BP124" s="97">
        <f>IFERROR(__xludf.DUMMYFUNCTION("""COMPUTED_VALUE"""),407.47641632355237)</f>
        <v>407.4764163</v>
      </c>
      <c r="BQ124" s="95"/>
      <c r="BR124" s="96"/>
      <c r="BS124" s="97">
        <f>IFERROR(__xludf.DUMMYFUNCTION("""COMPUTED_VALUE"""),247.85318861427143)</f>
        <v>247.8531886</v>
      </c>
      <c r="BT124" s="95"/>
      <c r="BU124" s="96">
        <f>IFERROR(__xludf.DUMMYFUNCTION("""COMPUTED_VALUE"""),143.7639132948176)</f>
        <v>143.7639133</v>
      </c>
      <c r="BV124" s="97"/>
      <c r="BW124" s="95"/>
      <c r="BX124" s="96"/>
      <c r="BY124" s="97"/>
      <c r="BZ124" s="95"/>
      <c r="CA124" s="96"/>
      <c r="CB124" s="97"/>
      <c r="CC124" s="95"/>
      <c r="CD124" s="96"/>
      <c r="CE124" s="97"/>
      <c r="CF124" s="95"/>
      <c r="CG124" s="96"/>
      <c r="CH124" s="96"/>
      <c r="CI124" s="95"/>
      <c r="CJ124" s="96"/>
      <c r="CK124" s="96"/>
      <c r="CL124" s="95"/>
      <c r="CM124" s="96"/>
      <c r="CN124" s="96"/>
      <c r="CO124" s="95"/>
      <c r="CP124" s="96"/>
      <c r="CQ124" s="96"/>
      <c r="CR124" s="95"/>
      <c r="CS124" s="96"/>
      <c r="CT124" s="96"/>
      <c r="CU124" s="95"/>
      <c r="CV124" s="96">
        <f>IFERROR(__xludf.DUMMYFUNCTION("""COMPUTED_VALUE"""),471.05882352941177)</f>
        <v>471.0588235</v>
      </c>
      <c r="CW124" s="97"/>
      <c r="CX124" s="96">
        <f>IFERROR(__xludf.DUMMYFUNCTION("""COMPUTED_VALUE"""),232.11594202898553)</f>
        <v>232.115942</v>
      </c>
      <c r="CY124" s="96"/>
      <c r="CZ124" s="97"/>
      <c r="DA124" s="95"/>
      <c r="DB124" s="96"/>
      <c r="DC124" s="97"/>
      <c r="DD124" s="95"/>
      <c r="DE124" s="96"/>
      <c r="DF124" s="97">
        <f>IFERROR(__xludf.DUMMYFUNCTION("""COMPUTED_VALUE"""),485.33333333333337)</f>
        <v>485.3333333</v>
      </c>
      <c r="DG124" s="95"/>
      <c r="DH124" s="96">
        <f>IFERROR(__xludf.DUMMYFUNCTION("""COMPUTED_VALUE"""),421.4736842105263)</f>
        <v>421.4736842</v>
      </c>
      <c r="DI124" s="97"/>
      <c r="DJ124" s="95"/>
      <c r="DK124" s="96"/>
      <c r="DL124" s="97">
        <f>IFERROR(__xludf.DUMMYFUNCTION("""COMPUTED_VALUE"""),372.4651162790698)</f>
        <v>372.4651163</v>
      </c>
      <c r="DM124" s="95"/>
      <c r="DN124" s="96">
        <f>IFERROR(__xludf.DUMMYFUNCTION("""COMPUTED_VALUE"""),222.44444444444446)</f>
        <v>222.4444444</v>
      </c>
      <c r="DO124" s="97"/>
      <c r="DP124" s="95"/>
      <c r="DQ124" s="96"/>
      <c r="DR124" s="97"/>
      <c r="DS124" s="95"/>
    </row>
    <row r="125">
      <c r="B125" s="120" t="str">
        <f>IFERROR(__xludf.DUMMYFUNCTION("""COMPUTED_VALUE"""),"CML14")</f>
        <v>CML14</v>
      </c>
      <c r="C125" s="88" t="str">
        <f>IFERROR(__xludf.DUMMYFUNCTION("""COMPUTED_VALUE"""),"Great Temple")</f>
        <v>Great Temple</v>
      </c>
      <c r="D125" s="102">
        <f>IFERROR(__xludf.DUMMYFUNCTION("""COMPUTED_VALUE"""),22.0)</f>
        <v>22</v>
      </c>
      <c r="E125" s="82" t="b">
        <f>IFERROR(__xludf.DUMMYFUNCTION("""COMPUTED_VALUE"""),TRUE)</f>
        <v>1</v>
      </c>
      <c r="F125" s="82" t="str">
        <f>IFERROR(__xludf.DUMMYFUNCTION("""COMPUTED_VALUE"""),"Free Quests- Part 1!A1137:J1148")</f>
        <v>Free Quests- Part 1!A1137:J1148</v>
      </c>
      <c r="G125" s="82">
        <f>IFERROR(__xludf.DUMMYFUNCTION("""COMPUTED_VALUE"""),125.0)</f>
        <v>125</v>
      </c>
      <c r="H125" s="82">
        <f>IFERROR(__xludf.DUMMYFUNCTION("""COMPUTED_VALUE"""),43523.0)</f>
        <v>43523</v>
      </c>
      <c r="I125" s="95"/>
      <c r="J125" s="96"/>
      <c r="K125" s="97"/>
      <c r="L125" s="95"/>
      <c r="M125" s="96"/>
      <c r="N125" s="97"/>
      <c r="O125" s="95"/>
      <c r="P125" s="96"/>
      <c r="Q125" s="97">
        <f>IFERROR(__xludf.DUMMYFUNCTION("""COMPUTED_VALUE"""),181.68677131253114)</f>
        <v>181.6867713</v>
      </c>
      <c r="R125" s="95"/>
      <c r="S125" s="96"/>
      <c r="T125" s="97"/>
      <c r="U125" s="95"/>
      <c r="V125" s="96"/>
      <c r="W125" s="97"/>
      <c r="X125" s="95"/>
      <c r="Y125" s="96"/>
      <c r="Z125" s="97"/>
      <c r="AA125" s="95"/>
      <c r="AB125" s="96"/>
      <c r="AC125" s="97"/>
      <c r="AD125" s="95"/>
      <c r="AE125" s="96"/>
      <c r="AF125" s="97"/>
      <c r="AG125" s="95"/>
      <c r="AH125" s="96"/>
      <c r="AI125" s="97"/>
      <c r="AJ125" s="95"/>
      <c r="AK125" s="96"/>
      <c r="AL125" s="97"/>
      <c r="AM125" s="95"/>
      <c r="AN125" s="96"/>
      <c r="AO125" s="97"/>
      <c r="AP125" s="95"/>
      <c r="AQ125" s="96"/>
      <c r="AR125" s="97"/>
      <c r="AS125" s="95"/>
      <c r="AT125" s="96"/>
      <c r="AU125" s="97"/>
      <c r="AV125" s="95"/>
      <c r="AW125" s="96"/>
      <c r="AX125" s="97"/>
      <c r="AY125" s="95">
        <f>IFERROR(__xludf.DUMMYFUNCTION("""COMPUTED_VALUE"""),52.128324922442246)</f>
        <v>52.12832492</v>
      </c>
      <c r="AZ125" s="96"/>
      <c r="BA125" s="97"/>
      <c r="BB125" s="95"/>
      <c r="BC125" s="96"/>
      <c r="BD125" s="97"/>
      <c r="BE125" s="95"/>
      <c r="BF125" s="96"/>
      <c r="BG125" s="97"/>
      <c r="BH125" s="95">
        <f>IFERROR(__xludf.DUMMYFUNCTION("""COMPUTED_VALUE"""),361.1703732762002)</f>
        <v>361.1703733</v>
      </c>
      <c r="BI125" s="96"/>
      <c r="BJ125" s="97"/>
      <c r="BK125" s="95"/>
      <c r="BL125" s="96"/>
      <c r="BM125" s="97"/>
      <c r="BN125" s="95"/>
      <c r="BO125" s="96"/>
      <c r="BP125" s="97"/>
      <c r="BQ125" s="95"/>
      <c r="BR125" s="96"/>
      <c r="BS125" s="97"/>
      <c r="BT125" s="95"/>
      <c r="BU125" s="96"/>
      <c r="BV125" s="97"/>
      <c r="BW125" s="95">
        <f>IFERROR(__xludf.DUMMYFUNCTION("""COMPUTED_VALUE"""),467.9791832433711)</f>
        <v>467.9791832</v>
      </c>
      <c r="BX125" s="96">
        <f>IFERROR(__xludf.DUMMYFUNCTION("""COMPUTED_VALUE"""),146.79370822346232)</f>
        <v>146.7937082</v>
      </c>
      <c r="BY125" s="97"/>
      <c r="BZ125" s="95"/>
      <c r="CA125" s="96"/>
      <c r="CB125" s="97"/>
      <c r="CC125" s="95"/>
      <c r="CD125" s="96"/>
      <c r="CE125" s="97"/>
      <c r="CF125" s="95"/>
      <c r="CG125" s="96"/>
      <c r="CH125" s="96"/>
      <c r="CI125" s="95"/>
      <c r="CJ125" s="96"/>
      <c r="CK125" s="96"/>
      <c r="CL125" s="95"/>
      <c r="CM125" s="96"/>
      <c r="CN125" s="96"/>
      <c r="CO125" s="95"/>
      <c r="CP125" s="96"/>
      <c r="CQ125" s="96">
        <f>IFERROR(__xludf.DUMMYFUNCTION("""COMPUTED_VALUE"""),15.925925925925926)</f>
        <v>15.92592593</v>
      </c>
      <c r="CR125" s="95"/>
      <c r="CS125" s="96"/>
      <c r="CT125" s="96"/>
      <c r="CU125" s="95"/>
      <c r="CV125" s="96"/>
      <c r="CW125" s="97"/>
      <c r="CX125" s="96"/>
      <c r="CY125" s="96"/>
      <c r="CZ125" s="97"/>
      <c r="DA125" s="95"/>
      <c r="DB125" s="96"/>
      <c r="DC125" s="97"/>
      <c r="DD125" s="95"/>
      <c r="DE125" s="96"/>
      <c r="DF125" s="97"/>
      <c r="DG125" s="95"/>
      <c r="DH125" s="96">
        <f>IFERROR(__xludf.DUMMYFUNCTION("""COMPUTED_VALUE"""),184.8)</f>
        <v>184.8</v>
      </c>
      <c r="DI125" s="97">
        <f>IFERROR(__xludf.DUMMYFUNCTION("""COMPUTED_VALUE"""),108.70588235294117)</f>
        <v>108.7058824</v>
      </c>
      <c r="DJ125" s="95"/>
      <c r="DK125" s="96"/>
      <c r="DL125" s="97"/>
      <c r="DM125" s="95"/>
      <c r="DN125" s="96"/>
      <c r="DO125" s="97"/>
      <c r="DP125" s="95"/>
      <c r="DQ125" s="96"/>
      <c r="DR125" s="97"/>
      <c r="DS125" s="95"/>
    </row>
    <row r="126">
      <c r="A126" s="145" t="str">
        <f>IFERROR(__xludf.DUMMYFUNCTION("""COMPUTED_VALUE"""),"BABYLONIA")</f>
        <v>BABYLONIA</v>
      </c>
      <c r="B126" s="120" t="str">
        <f>IFERROR(__xludf.DUMMYFUNCTION("""COMPUTED_VALUE"""),"BBL1")</f>
        <v>BBL1</v>
      </c>
      <c r="C126" s="88" t="str">
        <f>IFERROR(__xludf.DUMMYFUNCTION("""COMPUTED_VALUE"""),"Fallen Babylon")</f>
        <v>Fallen Babylon</v>
      </c>
      <c r="D126" s="102">
        <f>IFERROR(__xludf.DUMMYFUNCTION("""COMPUTED_VALUE"""),20.0)</f>
        <v>20</v>
      </c>
      <c r="E126" s="82" t="b">
        <f>IFERROR(__xludf.DUMMYFUNCTION("""COMPUTED_VALUE"""),TRUE)</f>
        <v>1</v>
      </c>
      <c r="F126" s="82" t="str">
        <f>IFERROR(__xludf.DUMMYFUNCTION("""COMPUTED_VALUE"""),"Free Quests- Part 1!A1154:J1159")</f>
        <v>Free Quests- Part 1!A1154:J1159</v>
      </c>
      <c r="G126" s="82">
        <f>IFERROR(__xludf.DUMMYFUNCTION("""COMPUTED_VALUE"""),126.0)</f>
        <v>126</v>
      </c>
      <c r="H126" s="82">
        <f>IFERROR(__xludf.DUMMYFUNCTION("""COMPUTED_VALUE"""),14026.0)</f>
        <v>14026</v>
      </c>
      <c r="I126" s="95"/>
      <c r="J126" s="96"/>
      <c r="K126" s="97"/>
      <c r="L126" s="95"/>
      <c r="M126" s="96"/>
      <c r="N126" s="97"/>
      <c r="O126" s="95"/>
      <c r="P126" s="96"/>
      <c r="Q126" s="97"/>
      <c r="R126" s="95"/>
      <c r="S126" s="96"/>
      <c r="T126" s="97"/>
      <c r="U126" s="95"/>
      <c r="V126" s="96"/>
      <c r="W126" s="97"/>
      <c r="X126" s="95"/>
      <c r="Y126" s="96"/>
      <c r="Z126" s="97"/>
      <c r="AA126" s="95">
        <f>IFERROR(__xludf.DUMMYFUNCTION("""COMPUTED_VALUE"""),40.39434744092334)</f>
        <v>40.39434744</v>
      </c>
      <c r="AB126" s="96"/>
      <c r="AC126" s="97"/>
      <c r="AD126" s="95"/>
      <c r="AE126" s="96"/>
      <c r="AF126" s="97"/>
      <c r="AG126" s="95"/>
      <c r="AH126" s="96"/>
      <c r="AI126" s="97"/>
      <c r="AJ126" s="95"/>
      <c r="AK126" s="96"/>
      <c r="AL126" s="97"/>
      <c r="AM126" s="95"/>
      <c r="AN126" s="96"/>
      <c r="AO126" s="97"/>
      <c r="AP126" s="95"/>
      <c r="AQ126" s="96"/>
      <c r="AR126" s="97"/>
      <c r="AS126" s="95"/>
      <c r="AT126" s="96"/>
      <c r="AU126" s="97"/>
      <c r="AV126" s="95"/>
      <c r="AW126" s="96"/>
      <c r="AX126" s="97"/>
      <c r="AY126" s="95"/>
      <c r="AZ126" s="96"/>
      <c r="BA126" s="97"/>
      <c r="BB126" s="95"/>
      <c r="BC126" s="96"/>
      <c r="BD126" s="97"/>
      <c r="BE126" s="95"/>
      <c r="BF126" s="96"/>
      <c r="BG126" s="97"/>
      <c r="BH126" s="95"/>
      <c r="BI126" s="96"/>
      <c r="BJ126" s="97"/>
      <c r="BK126" s="95"/>
      <c r="BL126" s="96"/>
      <c r="BM126" s="97"/>
      <c r="BN126" s="95"/>
      <c r="BO126" s="96"/>
      <c r="BP126" s="97"/>
      <c r="BQ126" s="95"/>
      <c r="BR126" s="96"/>
      <c r="BS126" s="97"/>
      <c r="BT126" s="95"/>
      <c r="BU126" s="96">
        <f>IFERROR(__xludf.DUMMYFUNCTION("""COMPUTED_VALUE"""),44.154553947199446)</f>
        <v>44.15455395</v>
      </c>
      <c r="BV126" s="97"/>
      <c r="BW126" s="95"/>
      <c r="BX126" s="96"/>
      <c r="BY126" s="97"/>
      <c r="BZ126" s="95"/>
      <c r="CA126" s="96"/>
      <c r="CB126" s="97"/>
      <c r="CC126" s="95"/>
      <c r="CD126" s="96"/>
      <c r="CE126" s="97"/>
      <c r="CF126" s="95"/>
      <c r="CG126" s="96"/>
      <c r="CH126" s="96"/>
      <c r="CI126" s="95"/>
      <c r="CJ126" s="96"/>
      <c r="CK126" s="96"/>
      <c r="CL126" s="95"/>
      <c r="CM126" s="96"/>
      <c r="CN126" s="96"/>
      <c r="CO126" s="95"/>
      <c r="CP126" s="96"/>
      <c r="CQ126" s="96"/>
      <c r="CR126" s="95"/>
      <c r="CS126" s="96"/>
      <c r="CT126" s="96"/>
      <c r="CU126" s="95"/>
      <c r="CV126" s="96"/>
      <c r="CW126" s="97"/>
      <c r="CX126" s="96">
        <f>IFERROR(__xludf.DUMMYFUNCTION("""COMPUTED_VALUE"""),43.02325581395348)</f>
        <v>43.02325581</v>
      </c>
      <c r="CY126" s="96"/>
      <c r="CZ126" s="97"/>
      <c r="DA126" s="95"/>
      <c r="DB126" s="96"/>
      <c r="DC126" s="97"/>
      <c r="DD126" s="95"/>
      <c r="DE126" s="96"/>
      <c r="DF126" s="97"/>
      <c r="DG126" s="95"/>
      <c r="DH126" s="96"/>
      <c r="DI126" s="97"/>
      <c r="DJ126" s="95"/>
      <c r="DK126" s="96"/>
      <c r="DL126" s="97"/>
      <c r="DM126" s="95"/>
      <c r="DN126" s="96"/>
      <c r="DO126" s="97"/>
      <c r="DP126" s="95"/>
      <c r="DQ126" s="96"/>
      <c r="DR126" s="97"/>
      <c r="DS126" s="95"/>
    </row>
    <row r="127">
      <c r="B127" s="120" t="str">
        <f>IFERROR(__xludf.DUMMYFUNCTION("""COMPUTED_VALUE"""),"BBL2")</f>
        <v>BBL2</v>
      </c>
      <c r="C127" s="88" t="str">
        <f>IFERROR(__xludf.DUMMYFUNCTION("""COMPUTED_VALUE"""),"Northern Hill")</f>
        <v>Northern Hill</v>
      </c>
      <c r="D127" s="102">
        <f>IFERROR(__xludf.DUMMYFUNCTION("""COMPUTED_VALUE"""),20.0)</f>
        <v>20</v>
      </c>
      <c r="E127" s="82" t="b">
        <f>IFERROR(__xludf.DUMMYFUNCTION("""COMPUTED_VALUE"""),TRUE)</f>
        <v>1</v>
      </c>
      <c r="F127" s="82" t="str">
        <f>IFERROR(__xludf.DUMMYFUNCTION("""COMPUTED_VALUE"""),"Free Quests- Part 1!A1163:J1172")</f>
        <v>Free Quests- Part 1!A1163:J1172</v>
      </c>
      <c r="G127" s="82">
        <f>IFERROR(__xludf.DUMMYFUNCTION("""COMPUTED_VALUE"""),127.0)</f>
        <v>127</v>
      </c>
      <c r="H127" s="82">
        <f>IFERROR(__xludf.DUMMYFUNCTION("""COMPUTED_VALUE"""),14225.0)</f>
        <v>14225</v>
      </c>
      <c r="I127" s="95"/>
      <c r="J127" s="96"/>
      <c r="K127" s="97"/>
      <c r="L127" s="95"/>
      <c r="M127" s="96"/>
      <c r="N127" s="97"/>
      <c r="O127" s="95">
        <f>IFERROR(__xludf.DUMMYFUNCTION("""COMPUTED_VALUE"""),113.12599531988413)</f>
        <v>113.1259953</v>
      </c>
      <c r="P127" s="96"/>
      <c r="Q127" s="97"/>
      <c r="R127" s="95"/>
      <c r="S127" s="96"/>
      <c r="T127" s="97"/>
      <c r="U127" s="95"/>
      <c r="V127" s="96"/>
      <c r="W127" s="97"/>
      <c r="X127" s="95"/>
      <c r="Y127" s="96"/>
      <c r="Z127" s="97"/>
      <c r="AA127" s="95">
        <f>IFERROR(__xludf.DUMMYFUNCTION("""COMPUTED_VALUE"""),80.23995837111474)</f>
        <v>80.23995837</v>
      </c>
      <c r="AB127" s="96"/>
      <c r="AC127" s="97"/>
      <c r="AD127" s="95"/>
      <c r="AE127" s="96"/>
      <c r="AF127" s="97"/>
      <c r="AG127" s="95"/>
      <c r="AH127" s="96"/>
      <c r="AI127" s="97"/>
      <c r="AJ127" s="95"/>
      <c r="AK127" s="96"/>
      <c r="AL127" s="97"/>
      <c r="AM127" s="95"/>
      <c r="AN127" s="96"/>
      <c r="AO127" s="97"/>
      <c r="AP127" s="95"/>
      <c r="AQ127" s="96"/>
      <c r="AR127" s="97"/>
      <c r="AS127" s="95"/>
      <c r="AT127" s="96"/>
      <c r="AU127" s="97"/>
      <c r="AV127" s="95"/>
      <c r="AW127" s="96"/>
      <c r="AX127" s="97"/>
      <c r="AY127" s="95"/>
      <c r="AZ127" s="96"/>
      <c r="BA127" s="97"/>
      <c r="BB127" s="95"/>
      <c r="BC127" s="96"/>
      <c r="BD127" s="97"/>
      <c r="BE127" s="95"/>
      <c r="BF127" s="96"/>
      <c r="BG127" s="97"/>
      <c r="BH127" s="95"/>
      <c r="BI127" s="96"/>
      <c r="BJ127" s="97"/>
      <c r="BK127" s="95"/>
      <c r="BL127" s="96"/>
      <c r="BM127" s="97"/>
      <c r="BN127" s="95"/>
      <c r="BO127" s="96"/>
      <c r="BP127" s="97">
        <f>IFERROR(__xludf.DUMMYFUNCTION("""COMPUTED_VALUE"""),249.3618353929243)</f>
        <v>249.3618354</v>
      </c>
      <c r="BQ127" s="95"/>
      <c r="BR127" s="96"/>
      <c r="BS127" s="97"/>
      <c r="BT127" s="95"/>
      <c r="BU127" s="96">
        <f>IFERROR(__xludf.DUMMYFUNCTION("""COMPUTED_VALUE"""),83.12115343489332)</f>
        <v>83.12115343</v>
      </c>
      <c r="BV127" s="97"/>
      <c r="BW127" s="95"/>
      <c r="BX127" s="96"/>
      <c r="BY127" s="97"/>
      <c r="BZ127" s="95"/>
      <c r="CA127" s="96"/>
      <c r="CB127" s="97"/>
      <c r="CC127" s="95"/>
      <c r="CD127" s="96"/>
      <c r="CE127" s="97"/>
      <c r="CF127" s="95"/>
      <c r="CG127" s="96"/>
      <c r="CH127" s="96"/>
      <c r="CI127" s="95"/>
      <c r="CJ127" s="96"/>
      <c r="CK127" s="96"/>
      <c r="CL127" s="95"/>
      <c r="CM127" s="96"/>
      <c r="CN127" s="96"/>
      <c r="CO127" s="95"/>
      <c r="CP127" s="96"/>
      <c r="CQ127" s="96"/>
      <c r="CR127" s="95">
        <f>IFERROR(__xludf.DUMMYFUNCTION("""COMPUTED_VALUE"""),1720.0)</f>
        <v>1720</v>
      </c>
      <c r="CS127" s="96"/>
      <c r="CT127" s="96"/>
      <c r="CU127" s="95"/>
      <c r="CV127" s="96"/>
      <c r="CW127" s="97"/>
      <c r="CX127" s="96">
        <f>IFERROR(__xludf.DUMMYFUNCTION("""COMPUTED_VALUE"""),72.72727272727272)</f>
        <v>72.72727273</v>
      </c>
      <c r="CY127" s="96"/>
      <c r="CZ127" s="97"/>
      <c r="DA127" s="95"/>
      <c r="DB127" s="96"/>
      <c r="DC127" s="97"/>
      <c r="DD127" s="95"/>
      <c r="DE127" s="96"/>
      <c r="DF127" s="97"/>
      <c r="DG127" s="95"/>
      <c r="DH127" s="96"/>
      <c r="DI127" s="97"/>
      <c r="DJ127" s="95"/>
      <c r="DK127" s="96"/>
      <c r="DL127" s="97"/>
      <c r="DM127" s="95"/>
      <c r="DN127" s="96"/>
      <c r="DO127" s="97"/>
      <c r="DP127" s="95"/>
      <c r="DQ127" s="96"/>
      <c r="DR127" s="97"/>
      <c r="DS127" s="95"/>
    </row>
    <row r="128">
      <c r="B128" s="120" t="str">
        <f>IFERROR(__xludf.DUMMYFUNCTION("""COMPUTED_VALUE"""),"BBL3")</f>
        <v>BBL3</v>
      </c>
      <c r="C128" s="88" t="str">
        <f>IFERROR(__xludf.DUMMYFUNCTION("""COMPUTED_VALUE"""),"Black Cedar Forest")</f>
        <v>Black Cedar Forest</v>
      </c>
      <c r="D128" s="102">
        <f>IFERROR(__xludf.DUMMYFUNCTION("""COMPUTED_VALUE"""),20.0)</f>
        <v>20</v>
      </c>
      <c r="E128" s="82" t="b">
        <f>IFERROR(__xludf.DUMMYFUNCTION("""COMPUTED_VALUE"""),TRUE)</f>
        <v>1</v>
      </c>
      <c r="F128" s="82" t="str">
        <f>IFERROR(__xludf.DUMMYFUNCTION("""COMPUTED_VALUE"""),"Free Quests- Part 1!A1176:J1185")</f>
        <v>Free Quests- Part 1!A1176:J1185</v>
      </c>
      <c r="G128" s="82">
        <f>IFERROR(__xludf.DUMMYFUNCTION("""COMPUTED_VALUE"""),128.0)</f>
        <v>128</v>
      </c>
      <c r="H128" s="82">
        <f>IFERROR(__xludf.DUMMYFUNCTION("""COMPUTED_VALUE"""),1979.0)</f>
        <v>1979</v>
      </c>
      <c r="I128" s="95"/>
      <c r="J128" s="96"/>
      <c r="K128" s="97"/>
      <c r="L128" s="95"/>
      <c r="M128" s="96"/>
      <c r="N128" s="97"/>
      <c r="O128" s="95"/>
      <c r="P128" s="96"/>
      <c r="Q128" s="97"/>
      <c r="R128" s="95">
        <f>IFERROR(__xludf.DUMMYFUNCTION("""COMPUTED_VALUE"""),151.74751177020872)</f>
        <v>151.7475118</v>
      </c>
      <c r="S128" s="96"/>
      <c r="T128" s="97"/>
      <c r="U128" s="95"/>
      <c r="V128" s="96"/>
      <c r="W128" s="97"/>
      <c r="X128" s="95"/>
      <c r="Y128" s="96"/>
      <c r="Z128" s="97"/>
      <c r="AA128" s="95">
        <f>IFERROR(__xludf.DUMMYFUNCTION("""COMPUTED_VALUE"""),58.60612773115216)</f>
        <v>58.60612773</v>
      </c>
      <c r="AB128" s="96"/>
      <c r="AC128" s="97"/>
      <c r="AD128" s="95"/>
      <c r="AE128" s="96"/>
      <c r="AF128" s="97"/>
      <c r="AG128" s="95"/>
      <c r="AH128" s="96"/>
      <c r="AI128" s="97"/>
      <c r="AJ128" s="95"/>
      <c r="AK128" s="96"/>
      <c r="AL128" s="97"/>
      <c r="AM128" s="95"/>
      <c r="AN128" s="96"/>
      <c r="AO128" s="97"/>
      <c r="AP128" s="95"/>
      <c r="AQ128" s="96"/>
      <c r="AR128" s="97"/>
      <c r="AS128" s="95"/>
      <c r="AT128" s="96"/>
      <c r="AU128" s="97"/>
      <c r="AV128" s="95"/>
      <c r="AW128" s="96"/>
      <c r="AX128" s="97"/>
      <c r="AY128" s="95"/>
      <c r="AZ128" s="96"/>
      <c r="BA128" s="97"/>
      <c r="BB128" s="95"/>
      <c r="BC128" s="96"/>
      <c r="BD128" s="97"/>
      <c r="BE128" s="95"/>
      <c r="BF128" s="96"/>
      <c r="BG128" s="97"/>
      <c r="BH128" s="95"/>
      <c r="BI128" s="96"/>
      <c r="BJ128" s="97"/>
      <c r="BK128" s="95"/>
      <c r="BL128" s="96"/>
      <c r="BM128" s="97"/>
      <c r="BN128" s="95">
        <f>IFERROR(__xludf.DUMMYFUNCTION("""COMPUTED_VALUE"""),227.76447840898632)</f>
        <v>227.7644784</v>
      </c>
      <c r="BO128" s="96"/>
      <c r="BP128" s="97"/>
      <c r="BQ128" s="95"/>
      <c r="BR128" s="96"/>
      <c r="BS128" s="97"/>
      <c r="BT128" s="95"/>
      <c r="BU128" s="96">
        <f>IFERROR(__xludf.DUMMYFUNCTION("""COMPUTED_VALUE"""),58.76553767942939)</f>
        <v>58.76553768</v>
      </c>
      <c r="BV128" s="97"/>
      <c r="BW128" s="95"/>
      <c r="BX128" s="96"/>
      <c r="BY128" s="97"/>
      <c r="BZ128" s="95"/>
      <c r="CA128" s="96"/>
      <c r="CB128" s="97"/>
      <c r="CC128" s="95"/>
      <c r="CD128" s="96"/>
      <c r="CE128" s="97"/>
      <c r="CF128" s="95"/>
      <c r="CG128" s="96"/>
      <c r="CH128" s="96"/>
      <c r="CI128" s="95"/>
      <c r="CJ128" s="96"/>
      <c r="CK128" s="96"/>
      <c r="CL128" s="95"/>
      <c r="CM128" s="96"/>
      <c r="CN128" s="96"/>
      <c r="CO128" s="95"/>
      <c r="CP128" s="96">
        <f>IFERROR(__xludf.DUMMYFUNCTION("""COMPUTED_VALUE"""),547.3655096113954)</f>
        <v>547.3655096</v>
      </c>
      <c r="CQ128" s="96"/>
      <c r="CR128" s="95"/>
      <c r="CS128" s="96"/>
      <c r="CT128" s="96"/>
      <c r="CU128" s="95"/>
      <c r="CV128" s="96"/>
      <c r="CW128" s="97"/>
      <c r="CX128" s="96">
        <f>IFERROR(__xludf.DUMMYFUNCTION("""COMPUTED_VALUE"""),56.84210526315789)</f>
        <v>56.84210526</v>
      </c>
      <c r="CY128" s="96"/>
      <c r="CZ128" s="97"/>
      <c r="DA128" s="95"/>
      <c r="DB128" s="96"/>
      <c r="DC128" s="97"/>
      <c r="DD128" s="95"/>
      <c r="DE128" s="96"/>
      <c r="DF128" s="97"/>
      <c r="DG128" s="95"/>
      <c r="DH128" s="96"/>
      <c r="DI128" s="97"/>
      <c r="DJ128" s="95"/>
      <c r="DK128" s="96"/>
      <c r="DL128" s="97"/>
      <c r="DM128" s="95"/>
      <c r="DN128" s="96"/>
      <c r="DO128" s="97"/>
      <c r="DP128" s="95"/>
      <c r="DQ128" s="96"/>
      <c r="DR128" s="97"/>
      <c r="DS128" s="95"/>
    </row>
    <row r="129">
      <c r="B129" s="120" t="str">
        <f>IFERROR(__xludf.DUMMYFUNCTION("""COMPUTED_VALUE"""),"BBL4")</f>
        <v>BBL4</v>
      </c>
      <c r="C129" s="88" t="str">
        <f>IFERROR(__xludf.DUMMYFUNCTION("""COMPUTED_VALUE"""),"Plateau")</f>
        <v>Plateau</v>
      </c>
      <c r="D129" s="102">
        <f>IFERROR(__xludf.DUMMYFUNCTION("""COMPUTED_VALUE"""),20.0)</f>
        <v>20</v>
      </c>
      <c r="E129" s="82" t="b">
        <f>IFERROR(__xludf.DUMMYFUNCTION("""COMPUTED_VALUE"""),TRUE)</f>
        <v>1</v>
      </c>
      <c r="F129" s="82" t="str">
        <f>IFERROR(__xludf.DUMMYFUNCTION("""COMPUTED_VALUE"""),"Free Quests- Part 1!A1189:J1199")</f>
        <v>Free Quests- Part 1!A1189:J1199</v>
      </c>
      <c r="G129" s="82">
        <f>IFERROR(__xludf.DUMMYFUNCTION("""COMPUTED_VALUE"""),129.0)</f>
        <v>129</v>
      </c>
      <c r="H129" s="82">
        <f>IFERROR(__xludf.DUMMYFUNCTION("""COMPUTED_VALUE"""),13489.0)</f>
        <v>13489</v>
      </c>
      <c r="I129" s="95"/>
      <c r="J129" s="96"/>
      <c r="K129" s="97"/>
      <c r="L129" s="95"/>
      <c r="M129" s="96"/>
      <c r="N129" s="97"/>
      <c r="O129" s="95"/>
      <c r="P129" s="96"/>
      <c r="Q129" s="97"/>
      <c r="R129" s="95"/>
      <c r="S129" s="96"/>
      <c r="T129" s="97"/>
      <c r="U129" s="95"/>
      <c r="V129" s="96"/>
      <c r="W129" s="97"/>
      <c r="X129" s="95"/>
      <c r="Y129" s="96"/>
      <c r="Z129" s="97"/>
      <c r="AA129" s="95">
        <f>IFERROR(__xludf.DUMMYFUNCTION("""COMPUTED_VALUE"""),78.68816119143524)</f>
        <v>78.68816119</v>
      </c>
      <c r="AB129" s="96"/>
      <c r="AC129" s="97"/>
      <c r="AD129" s="95"/>
      <c r="AE129" s="96"/>
      <c r="AF129" s="97"/>
      <c r="AG129" s="95"/>
      <c r="AH129" s="96"/>
      <c r="AI129" s="97"/>
      <c r="AJ129" s="95"/>
      <c r="AK129" s="96"/>
      <c r="AL129" s="97"/>
      <c r="AM129" s="95"/>
      <c r="AN129" s="96"/>
      <c r="AO129" s="97"/>
      <c r="AP129" s="95"/>
      <c r="AQ129" s="96"/>
      <c r="AR129" s="97"/>
      <c r="AS129" s="95"/>
      <c r="AT129" s="96"/>
      <c r="AU129" s="97"/>
      <c r="AV129" s="95"/>
      <c r="AW129" s="96"/>
      <c r="AX129" s="97"/>
      <c r="AY129" s="95"/>
      <c r="AZ129" s="96">
        <f>IFERROR(__xludf.DUMMYFUNCTION("""COMPUTED_VALUE"""),40.46091063294974)</f>
        <v>40.46091063</v>
      </c>
      <c r="BA129" s="97"/>
      <c r="BB129" s="95"/>
      <c r="BC129" s="96"/>
      <c r="BD129" s="97"/>
      <c r="BE129" s="95"/>
      <c r="BF129" s="96"/>
      <c r="BG129" s="97"/>
      <c r="BH129" s="95"/>
      <c r="BI129" s="96"/>
      <c r="BJ129" s="97"/>
      <c r="BK129" s="95"/>
      <c r="BL129" s="96"/>
      <c r="BM129" s="97"/>
      <c r="BN129" s="95"/>
      <c r="BO129" s="96"/>
      <c r="BP129" s="97"/>
      <c r="BQ129" s="95"/>
      <c r="BR129" s="96"/>
      <c r="BS129" s="97"/>
      <c r="BT129" s="95">
        <f>IFERROR(__xludf.DUMMYFUNCTION("""COMPUTED_VALUE"""),97.22137875703679)</f>
        <v>97.22137876</v>
      </c>
      <c r="BU129" s="96">
        <f>IFERROR(__xludf.DUMMYFUNCTION("""COMPUTED_VALUE"""),78.8822507463511)</f>
        <v>78.88225075</v>
      </c>
      <c r="BV129" s="97"/>
      <c r="BW129" s="95"/>
      <c r="BX129" s="96"/>
      <c r="BY129" s="97"/>
      <c r="BZ129" s="95"/>
      <c r="CA129" s="96"/>
      <c r="CB129" s="97"/>
      <c r="CC129" s="95"/>
      <c r="CD129" s="96"/>
      <c r="CE129" s="97"/>
      <c r="CF129" s="95"/>
      <c r="CG129" s="96"/>
      <c r="CH129" s="96"/>
      <c r="CI129" s="95"/>
      <c r="CJ129" s="96"/>
      <c r="CK129" s="96"/>
      <c r="CL129" s="95"/>
      <c r="CM129" s="96"/>
      <c r="CN129" s="96"/>
      <c r="CO129" s="95"/>
      <c r="CP129" s="96"/>
      <c r="CQ129" s="96"/>
      <c r="CR129" s="95"/>
      <c r="CS129" s="96"/>
      <c r="CT129" s="96"/>
      <c r="CU129" s="95"/>
      <c r="CV129" s="96"/>
      <c r="CW129" s="97">
        <f>IFERROR(__xludf.DUMMYFUNCTION("""COMPUTED_VALUE"""),160.0)</f>
        <v>160</v>
      </c>
      <c r="CX129" s="96">
        <f>IFERROR(__xludf.DUMMYFUNCTION("""COMPUTED_VALUE"""),64.0)</f>
        <v>64</v>
      </c>
      <c r="CY129" s="96"/>
      <c r="CZ129" s="97"/>
      <c r="DA129" s="95"/>
      <c r="DB129" s="96"/>
      <c r="DC129" s="97"/>
      <c r="DD129" s="95"/>
      <c r="DE129" s="96">
        <f>IFERROR(__xludf.DUMMYFUNCTION("""COMPUTED_VALUE"""),240.0)</f>
        <v>240</v>
      </c>
      <c r="DF129" s="97"/>
      <c r="DG129" s="95"/>
      <c r="DH129" s="96"/>
      <c r="DI129" s="97"/>
      <c r="DJ129" s="95"/>
      <c r="DK129" s="96"/>
      <c r="DL129" s="97"/>
      <c r="DM129" s="95"/>
      <c r="DN129" s="96"/>
      <c r="DO129" s="97"/>
      <c r="DP129" s="95"/>
      <c r="DQ129" s="96"/>
      <c r="DR129" s="97"/>
      <c r="DS129" s="95"/>
    </row>
    <row r="130">
      <c r="B130" s="120" t="str">
        <f>IFERROR(__xludf.DUMMYFUNCTION("""COMPUTED_VALUE"""),"BBL5")</f>
        <v>BBL5</v>
      </c>
      <c r="C130" s="88" t="str">
        <f>IFERROR(__xludf.DUMMYFUNCTION("""COMPUTED_VALUE"""),"Bog")</f>
        <v>Bog</v>
      </c>
      <c r="D130" s="102">
        <f>IFERROR(__xludf.DUMMYFUNCTION("""COMPUTED_VALUE"""),21.0)</f>
        <v>21</v>
      </c>
      <c r="E130" s="82" t="b">
        <f>IFERROR(__xludf.DUMMYFUNCTION("""COMPUTED_VALUE"""),TRUE)</f>
        <v>1</v>
      </c>
      <c r="F130" s="82" t="str">
        <f>IFERROR(__xludf.DUMMYFUNCTION("""COMPUTED_VALUE"""),"Free Quests- Part 1!A1203:J1212")</f>
        <v>Free Quests- Part 1!A1203:J1212</v>
      </c>
      <c r="G130" s="82">
        <f>IFERROR(__xludf.DUMMYFUNCTION("""COMPUTED_VALUE"""),130.0)</f>
        <v>130</v>
      </c>
      <c r="H130" s="82">
        <f>IFERROR(__xludf.DUMMYFUNCTION("""COMPUTED_VALUE"""),1941.0)</f>
        <v>1941</v>
      </c>
      <c r="I130" s="95"/>
      <c r="J130" s="96"/>
      <c r="K130" s="97"/>
      <c r="L130" s="95"/>
      <c r="M130" s="96"/>
      <c r="N130" s="97"/>
      <c r="O130" s="95"/>
      <c r="P130" s="96"/>
      <c r="Q130" s="97"/>
      <c r="R130" s="95"/>
      <c r="S130" s="96"/>
      <c r="T130" s="97"/>
      <c r="U130" s="95"/>
      <c r="V130" s="96"/>
      <c r="W130" s="97"/>
      <c r="X130" s="95"/>
      <c r="Y130" s="96"/>
      <c r="Z130" s="97"/>
      <c r="AA130" s="95"/>
      <c r="AB130" s="96"/>
      <c r="AC130" s="97"/>
      <c r="AD130" s="95">
        <f>IFERROR(__xludf.DUMMYFUNCTION("""COMPUTED_VALUE"""),84.07710316519012)</f>
        <v>84.07710317</v>
      </c>
      <c r="AE130" s="96"/>
      <c r="AF130" s="97"/>
      <c r="AG130" s="95"/>
      <c r="AH130" s="96"/>
      <c r="AI130" s="97"/>
      <c r="AJ130" s="95"/>
      <c r="AK130" s="96"/>
      <c r="AL130" s="97"/>
      <c r="AM130" s="95"/>
      <c r="AN130" s="96"/>
      <c r="AO130" s="97"/>
      <c r="AP130" s="95"/>
      <c r="AQ130" s="96"/>
      <c r="AR130" s="97"/>
      <c r="AS130" s="95"/>
      <c r="AT130" s="96"/>
      <c r="AU130" s="97"/>
      <c r="AV130" s="95"/>
      <c r="AW130" s="96"/>
      <c r="AX130" s="97"/>
      <c r="AY130" s="95"/>
      <c r="AZ130" s="96">
        <f>IFERROR(__xludf.DUMMYFUNCTION("""COMPUTED_VALUE"""),53.755542250344874)</f>
        <v>53.75554225</v>
      </c>
      <c r="BA130" s="97"/>
      <c r="BB130" s="95"/>
      <c r="BC130" s="96"/>
      <c r="BD130" s="97"/>
      <c r="BE130" s="95"/>
      <c r="BF130" s="96"/>
      <c r="BG130" s="97"/>
      <c r="BH130" s="95"/>
      <c r="BI130" s="96"/>
      <c r="BJ130" s="97"/>
      <c r="BK130" s="95"/>
      <c r="BL130" s="96">
        <f>IFERROR(__xludf.DUMMYFUNCTION("""COMPUTED_VALUE"""),126.36170305108284)</f>
        <v>126.3617031</v>
      </c>
      <c r="BM130" s="97"/>
      <c r="BN130" s="95"/>
      <c r="BO130" s="96"/>
      <c r="BP130" s="97"/>
      <c r="BQ130" s="95"/>
      <c r="BR130" s="96"/>
      <c r="BS130" s="97"/>
      <c r="BT130" s="95">
        <f>IFERROR(__xludf.DUMMYFUNCTION("""COMPUTED_VALUE"""),81.917826939773)</f>
        <v>81.91782694</v>
      </c>
      <c r="BU130" s="96"/>
      <c r="BV130" s="97"/>
      <c r="BW130" s="95"/>
      <c r="BX130" s="96"/>
      <c r="BY130" s="97"/>
      <c r="BZ130" s="95"/>
      <c r="CA130" s="96"/>
      <c r="CB130" s="97"/>
      <c r="CC130" s="95"/>
      <c r="CD130" s="96"/>
      <c r="CE130" s="97"/>
      <c r="CF130" s="95"/>
      <c r="CG130" s="96"/>
      <c r="CH130" s="96"/>
      <c r="CI130" s="95"/>
      <c r="CJ130" s="96"/>
      <c r="CK130" s="96"/>
      <c r="CL130" s="95"/>
      <c r="CM130" s="96"/>
      <c r="CN130" s="96"/>
      <c r="CO130" s="95"/>
      <c r="CP130" s="96"/>
      <c r="CQ130" s="96"/>
      <c r="CR130" s="95"/>
      <c r="CS130" s="96"/>
      <c r="CT130" s="96"/>
      <c r="CU130" s="95"/>
      <c r="CV130" s="96">
        <f>IFERROR(__xludf.DUMMYFUNCTION("""COMPUTED_VALUE"""),150.5)</f>
        <v>150.5</v>
      </c>
      <c r="CW130" s="97"/>
      <c r="CX130" s="96"/>
      <c r="CY130" s="96"/>
      <c r="CZ130" s="97"/>
      <c r="DA130" s="95"/>
      <c r="DB130" s="96"/>
      <c r="DC130" s="97"/>
      <c r="DD130" s="95"/>
      <c r="DE130" s="96">
        <f>IFERROR(__xludf.DUMMYFUNCTION("""COMPUTED_VALUE"""),64.5)</f>
        <v>64.5</v>
      </c>
      <c r="DF130" s="97"/>
      <c r="DG130" s="95"/>
      <c r="DH130" s="96"/>
      <c r="DI130" s="97"/>
      <c r="DJ130" s="95"/>
      <c r="DK130" s="96"/>
      <c r="DL130" s="97"/>
      <c r="DM130" s="95"/>
      <c r="DN130" s="96"/>
      <c r="DO130" s="97"/>
      <c r="DP130" s="95"/>
      <c r="DQ130" s="96"/>
      <c r="DR130" s="97"/>
      <c r="DS130" s="95"/>
    </row>
    <row r="131">
      <c r="B131" s="120" t="str">
        <f>IFERROR(__xludf.DUMMYFUNCTION("""COMPUTED_VALUE"""),"BBL6")</f>
        <v>BBL6</v>
      </c>
      <c r="C131" s="88" t="str">
        <f>IFERROR(__xludf.DUMMYFUNCTION("""COMPUTED_VALUE"""),"Ur")</f>
        <v>Ur</v>
      </c>
      <c r="D131" s="102">
        <f>IFERROR(__xludf.DUMMYFUNCTION("""COMPUTED_VALUE"""),21.0)</f>
        <v>21</v>
      </c>
      <c r="E131" s="82" t="b">
        <f>IFERROR(__xludf.DUMMYFUNCTION("""COMPUTED_VALUE"""),TRUE)</f>
        <v>1</v>
      </c>
      <c r="F131" s="82" t="str">
        <f>IFERROR(__xludf.DUMMYFUNCTION("""COMPUTED_VALUE"""),"Free Quests- Part 1!A1216:J1227")</f>
        <v>Free Quests- Part 1!A1216:J1227</v>
      </c>
      <c r="G131" s="82">
        <f>IFERROR(__xludf.DUMMYFUNCTION("""COMPUTED_VALUE"""),131.0)</f>
        <v>131</v>
      </c>
      <c r="H131" s="82">
        <f>IFERROR(__xludf.DUMMYFUNCTION("""COMPUTED_VALUE"""),22829.0)</f>
        <v>22829</v>
      </c>
      <c r="I131" s="95">
        <f>IFERROR(__xludf.DUMMYFUNCTION("""COMPUTED_VALUE"""),115.80755532279602)</f>
        <v>115.8075553</v>
      </c>
      <c r="J131" s="96"/>
      <c r="K131" s="97"/>
      <c r="L131" s="95"/>
      <c r="M131" s="96"/>
      <c r="N131" s="97"/>
      <c r="O131" s="95"/>
      <c r="P131" s="96"/>
      <c r="Q131" s="97"/>
      <c r="R131" s="95"/>
      <c r="S131" s="96"/>
      <c r="T131" s="97"/>
      <c r="U131" s="95"/>
      <c r="V131" s="96"/>
      <c r="W131" s="97"/>
      <c r="X131" s="95"/>
      <c r="Y131" s="96"/>
      <c r="Z131" s="97"/>
      <c r="AA131" s="95">
        <f>IFERROR(__xludf.DUMMYFUNCTION("""COMPUTED_VALUE"""),88.37045289652039)</f>
        <v>88.3704529</v>
      </c>
      <c r="AB131" s="96"/>
      <c r="AC131" s="97"/>
      <c r="AD131" s="95"/>
      <c r="AE131" s="96"/>
      <c r="AF131" s="97"/>
      <c r="AG131" s="95"/>
      <c r="AH131" s="96"/>
      <c r="AI131" s="97"/>
      <c r="AJ131" s="95"/>
      <c r="AK131" s="96"/>
      <c r="AL131" s="97"/>
      <c r="AM131" s="95"/>
      <c r="AN131" s="96"/>
      <c r="AO131" s="97"/>
      <c r="AP131" s="95"/>
      <c r="AQ131" s="96"/>
      <c r="AR131" s="97"/>
      <c r="AS131" s="95"/>
      <c r="AT131" s="96"/>
      <c r="AU131" s="97"/>
      <c r="AV131" s="95"/>
      <c r="AW131" s="96"/>
      <c r="AX131" s="97"/>
      <c r="AY131" s="95"/>
      <c r="AZ131" s="96"/>
      <c r="BA131" s="97"/>
      <c r="BB131" s="95"/>
      <c r="BC131" s="96"/>
      <c r="BD131" s="97"/>
      <c r="BE131" s="95"/>
      <c r="BF131" s="96"/>
      <c r="BG131" s="97"/>
      <c r="BH131" s="95"/>
      <c r="BI131" s="96"/>
      <c r="BJ131" s="97"/>
      <c r="BK131" s="95">
        <f>IFERROR(__xludf.DUMMYFUNCTION("""COMPUTED_VALUE"""),240.8112685904417)</f>
        <v>240.8112686</v>
      </c>
      <c r="BL131" s="96"/>
      <c r="BM131" s="97"/>
      <c r="BN131" s="95"/>
      <c r="BO131" s="96"/>
      <c r="BP131" s="97">
        <f>IFERROR(__xludf.DUMMYFUNCTION("""COMPUTED_VALUE"""),231.02444938760877)</f>
        <v>231.0244494</v>
      </c>
      <c r="BQ131" s="95">
        <f>IFERROR(__xludf.DUMMYFUNCTION("""COMPUTED_VALUE"""),91.29304631978246)</f>
        <v>91.29304632</v>
      </c>
      <c r="BR131" s="96"/>
      <c r="BS131" s="97"/>
      <c r="BT131" s="95"/>
      <c r="BU131" s="96"/>
      <c r="BV131" s="97"/>
      <c r="BW131" s="95"/>
      <c r="BX131" s="96"/>
      <c r="BY131" s="97"/>
      <c r="BZ131" s="95"/>
      <c r="CA131" s="96"/>
      <c r="CB131" s="97"/>
      <c r="CC131" s="95"/>
      <c r="CD131" s="96"/>
      <c r="CE131" s="97"/>
      <c r="CF131" s="95"/>
      <c r="CG131" s="96"/>
      <c r="CH131" s="96"/>
      <c r="CI131" s="95"/>
      <c r="CJ131" s="96"/>
      <c r="CK131" s="96"/>
      <c r="CL131" s="95"/>
      <c r="CM131" s="96"/>
      <c r="CN131" s="96"/>
      <c r="CO131" s="95"/>
      <c r="CP131" s="96"/>
      <c r="CQ131" s="96"/>
      <c r="CR131" s="95"/>
      <c r="CS131" s="96"/>
      <c r="CT131" s="96"/>
      <c r="CU131" s="95"/>
      <c r="CV131" s="96"/>
      <c r="CW131" s="97"/>
      <c r="CX131" s="96"/>
      <c r="CY131" s="96"/>
      <c r="CZ131" s="97"/>
      <c r="DA131" s="95">
        <f>IFERROR(__xludf.DUMMYFUNCTION("""COMPUTED_VALUE"""),146.27586206896552)</f>
        <v>146.2758621</v>
      </c>
      <c r="DB131" s="96"/>
      <c r="DC131" s="97">
        <f>IFERROR(__xludf.DUMMYFUNCTION("""COMPUTED_VALUE"""),128.54545454545453)</f>
        <v>128.5454545</v>
      </c>
      <c r="DD131" s="95"/>
      <c r="DE131" s="96"/>
      <c r="DF131" s="97"/>
      <c r="DG131" s="95"/>
      <c r="DH131" s="96">
        <f>IFERROR(__xludf.DUMMYFUNCTION("""COMPUTED_VALUE"""),163.15384615384616)</f>
        <v>163.1538462</v>
      </c>
      <c r="DI131" s="97"/>
      <c r="DJ131" s="95"/>
      <c r="DK131" s="96"/>
      <c r="DL131" s="97"/>
      <c r="DM131" s="95"/>
      <c r="DN131" s="96"/>
      <c r="DO131" s="97"/>
      <c r="DP131" s="95"/>
      <c r="DQ131" s="96"/>
      <c r="DR131" s="97"/>
      <c r="DS131" s="95"/>
    </row>
    <row r="132">
      <c r="B132" s="120" t="str">
        <f>IFERROR(__xludf.DUMMYFUNCTION("""COMPUTED_VALUE"""),"BBL7")</f>
        <v>BBL7</v>
      </c>
      <c r="C132" s="88" t="str">
        <f>IFERROR(__xludf.DUMMYFUNCTION("""COMPUTED_VALUE"""),"Eridu")</f>
        <v>Eridu</v>
      </c>
      <c r="D132" s="102">
        <f>IFERROR(__xludf.DUMMYFUNCTION("""COMPUTED_VALUE"""),21.0)</f>
        <v>21</v>
      </c>
      <c r="E132" s="82" t="b">
        <f>IFERROR(__xludf.DUMMYFUNCTION("""COMPUTED_VALUE"""),TRUE)</f>
        <v>1</v>
      </c>
      <c r="F132" s="82" t="str">
        <f>IFERROR(__xludf.DUMMYFUNCTION("""COMPUTED_VALUE"""),"Free Quests- Part 1!A1231:J1241")</f>
        <v>Free Quests- Part 1!A1231:J1241</v>
      </c>
      <c r="G132" s="82">
        <f>IFERROR(__xludf.DUMMYFUNCTION("""COMPUTED_VALUE"""),132.0)</f>
        <v>132</v>
      </c>
      <c r="H132" s="82">
        <f>IFERROR(__xludf.DUMMYFUNCTION("""COMPUTED_VALUE"""),16632.0)</f>
        <v>16632</v>
      </c>
      <c r="I132" s="95"/>
      <c r="J132" s="96"/>
      <c r="K132" s="97"/>
      <c r="L132" s="95"/>
      <c r="M132" s="96"/>
      <c r="N132" s="97"/>
      <c r="O132" s="95"/>
      <c r="P132" s="96"/>
      <c r="Q132" s="97"/>
      <c r="R132" s="95"/>
      <c r="S132" s="96"/>
      <c r="T132" s="97"/>
      <c r="U132" s="95"/>
      <c r="V132" s="96"/>
      <c r="W132" s="97"/>
      <c r="X132" s="95"/>
      <c r="Y132" s="96"/>
      <c r="Z132" s="97"/>
      <c r="AA132" s="95"/>
      <c r="AB132" s="96"/>
      <c r="AC132" s="97"/>
      <c r="AD132" s="95"/>
      <c r="AE132" s="96"/>
      <c r="AF132" s="97"/>
      <c r="AG132" s="95"/>
      <c r="AH132" s="96"/>
      <c r="AI132" s="97"/>
      <c r="AJ132" s="95"/>
      <c r="AK132" s="96"/>
      <c r="AL132" s="97"/>
      <c r="AM132" s="95"/>
      <c r="AN132" s="96"/>
      <c r="AO132" s="97"/>
      <c r="AP132" s="95"/>
      <c r="AQ132" s="96"/>
      <c r="AR132" s="97"/>
      <c r="AS132" s="95"/>
      <c r="AT132" s="96"/>
      <c r="AU132" s="97"/>
      <c r="AV132" s="95"/>
      <c r="AW132" s="96">
        <f>IFERROR(__xludf.DUMMYFUNCTION("""COMPUTED_VALUE"""),33.39493358340587)</f>
        <v>33.39493358</v>
      </c>
      <c r="AX132" s="97"/>
      <c r="AY132" s="95"/>
      <c r="AZ132" s="96"/>
      <c r="BA132" s="97"/>
      <c r="BB132" s="95"/>
      <c r="BC132" s="96"/>
      <c r="BD132" s="97"/>
      <c r="BE132" s="95"/>
      <c r="BF132" s="96"/>
      <c r="BG132" s="97"/>
      <c r="BH132" s="95"/>
      <c r="BI132" s="96"/>
      <c r="BJ132" s="97"/>
      <c r="BK132" s="95"/>
      <c r="BL132" s="96"/>
      <c r="BM132" s="97"/>
      <c r="BN132" s="95">
        <f>IFERROR(__xludf.DUMMYFUNCTION("""COMPUTED_VALUE"""),106.75727002772838)</f>
        <v>106.75727</v>
      </c>
      <c r="BO132" s="96"/>
      <c r="BP132" s="97"/>
      <c r="BQ132" s="95"/>
      <c r="BR132" s="96"/>
      <c r="BS132" s="97"/>
      <c r="BT132" s="95"/>
      <c r="BU132" s="96">
        <f>IFERROR(__xludf.DUMMYFUNCTION("""COMPUTED_VALUE"""),54.87174859163221)</f>
        <v>54.87174859</v>
      </c>
      <c r="BV132" s="97"/>
      <c r="BW132" s="95"/>
      <c r="BX132" s="96"/>
      <c r="BY132" s="97"/>
      <c r="BZ132" s="95"/>
      <c r="CA132" s="96"/>
      <c r="CB132" s="97"/>
      <c r="CC132" s="95"/>
      <c r="CD132" s="96"/>
      <c r="CE132" s="97"/>
      <c r="CF132" s="95"/>
      <c r="CG132" s="96"/>
      <c r="CH132" s="96"/>
      <c r="CI132" s="95"/>
      <c r="CJ132" s="96"/>
      <c r="CK132" s="96"/>
      <c r="CL132" s="95"/>
      <c r="CM132" s="96"/>
      <c r="CN132" s="96"/>
      <c r="CO132" s="95"/>
      <c r="CP132" s="96"/>
      <c r="CQ132" s="96"/>
      <c r="CR132" s="95"/>
      <c r="CS132" s="96"/>
      <c r="CT132" s="96"/>
      <c r="CU132" s="95"/>
      <c r="CV132" s="96"/>
      <c r="CW132" s="97"/>
      <c r="CX132" s="96">
        <f>IFERROR(__xludf.DUMMYFUNCTION("""COMPUTED_VALUE"""),129.11111111111111)</f>
        <v>129.1111111</v>
      </c>
      <c r="CY132" s="96"/>
      <c r="CZ132" s="97"/>
      <c r="DA132" s="95"/>
      <c r="DB132" s="96"/>
      <c r="DC132" s="97"/>
      <c r="DD132" s="95"/>
      <c r="DE132" s="96"/>
      <c r="DF132" s="97">
        <f>IFERROR(__xludf.DUMMYFUNCTION("""COMPUTED_VALUE"""),183.47368421052633)</f>
        <v>183.4736842</v>
      </c>
      <c r="DG132" s="95"/>
      <c r="DH132" s="96"/>
      <c r="DI132" s="97"/>
      <c r="DJ132" s="95"/>
      <c r="DK132" s="96"/>
      <c r="DL132" s="97"/>
      <c r="DM132" s="95"/>
      <c r="DN132" s="96">
        <f>IFERROR(__xludf.DUMMYFUNCTION("""COMPUTED_VALUE"""),127.5)</f>
        <v>127.5</v>
      </c>
      <c r="DO132" s="97"/>
      <c r="DP132" s="95"/>
      <c r="DQ132" s="96"/>
      <c r="DR132" s="97"/>
      <c r="DS132" s="95"/>
    </row>
    <row r="133">
      <c r="B133" s="120" t="str">
        <f>IFERROR(__xludf.DUMMYFUNCTION("""COMPUTED_VALUE"""),"BBL8")</f>
        <v>BBL8</v>
      </c>
      <c r="C133" s="88" t="str">
        <f>IFERROR(__xludf.DUMMYFUNCTION("""COMPUTED_VALUE"""),"Observatory")</f>
        <v>Observatory</v>
      </c>
      <c r="D133" s="102">
        <f>IFERROR(__xludf.DUMMYFUNCTION("""COMPUTED_VALUE"""),21.0)</f>
        <v>21</v>
      </c>
      <c r="E133" s="82" t="b">
        <f>IFERROR(__xludf.DUMMYFUNCTION("""COMPUTED_VALUE"""),TRUE)</f>
        <v>1</v>
      </c>
      <c r="F133" s="82" t="str">
        <f>IFERROR(__xludf.DUMMYFUNCTION("""COMPUTED_VALUE"""),"Free Quests- Part 1!A1245:J1255")</f>
        <v>Free Quests- Part 1!A1245:J1255</v>
      </c>
      <c r="G133" s="82">
        <f>IFERROR(__xludf.DUMMYFUNCTION("""COMPUTED_VALUE"""),133.0)</f>
        <v>133</v>
      </c>
      <c r="H133" s="82">
        <f>IFERROR(__xludf.DUMMYFUNCTION("""COMPUTED_VALUE"""),37766.0)</f>
        <v>37766</v>
      </c>
      <c r="I133" s="95"/>
      <c r="J133" s="96"/>
      <c r="K133" s="97"/>
      <c r="L133" s="95"/>
      <c r="M133" s="96"/>
      <c r="N133" s="97"/>
      <c r="O133" s="95"/>
      <c r="P133" s="96"/>
      <c r="Q133" s="97"/>
      <c r="R133" s="95"/>
      <c r="S133" s="96"/>
      <c r="T133" s="97"/>
      <c r="U133" s="95"/>
      <c r="V133" s="96"/>
      <c r="W133" s="97"/>
      <c r="X133" s="95"/>
      <c r="Y133" s="96"/>
      <c r="Z133" s="97"/>
      <c r="AA133" s="95"/>
      <c r="AB133" s="96"/>
      <c r="AC133" s="97"/>
      <c r="AD133" s="95"/>
      <c r="AE133" s="96"/>
      <c r="AF133" s="97"/>
      <c r="AG133" s="95"/>
      <c r="AH133" s="96"/>
      <c r="AI133" s="97"/>
      <c r="AJ133" s="95"/>
      <c r="AK133" s="96">
        <f>IFERROR(__xludf.DUMMYFUNCTION("""COMPUTED_VALUE"""),52.48508804229481)</f>
        <v>52.48508804</v>
      </c>
      <c r="AL133" s="97"/>
      <c r="AM133" s="95"/>
      <c r="AN133" s="96"/>
      <c r="AO133" s="97"/>
      <c r="AP133" s="95"/>
      <c r="AQ133" s="96"/>
      <c r="AR133" s="97"/>
      <c r="AS133" s="95"/>
      <c r="AT133" s="96"/>
      <c r="AU133" s="97"/>
      <c r="AV133" s="95"/>
      <c r="AW133" s="96"/>
      <c r="AX133" s="97"/>
      <c r="AY133" s="95"/>
      <c r="AZ133" s="96"/>
      <c r="BA133" s="97"/>
      <c r="BB133" s="95"/>
      <c r="BC133" s="96"/>
      <c r="BD133" s="97"/>
      <c r="BE133" s="95"/>
      <c r="BF133" s="96"/>
      <c r="BG133" s="97"/>
      <c r="BH133" s="95"/>
      <c r="BI133" s="96"/>
      <c r="BJ133" s="97"/>
      <c r="BK133" s="95">
        <f>IFERROR(__xludf.DUMMYFUNCTION("""COMPUTED_VALUE"""),170.68918436940046)</f>
        <v>170.6891844</v>
      </c>
      <c r="BL133" s="96"/>
      <c r="BM133" s="97"/>
      <c r="BN133" s="95"/>
      <c r="BO133" s="96"/>
      <c r="BP133" s="97"/>
      <c r="BQ133" s="95"/>
      <c r="BR133" s="96">
        <f>IFERROR(__xludf.DUMMYFUNCTION("""COMPUTED_VALUE"""),56.843908642550794)</f>
        <v>56.84390864</v>
      </c>
      <c r="BS133" s="97"/>
      <c r="BT133" s="95"/>
      <c r="BU133" s="96"/>
      <c r="BV133" s="97"/>
      <c r="BW133" s="95"/>
      <c r="BX133" s="96"/>
      <c r="BY133" s="97"/>
      <c r="BZ133" s="95"/>
      <c r="CA133" s="96"/>
      <c r="CB133" s="97"/>
      <c r="CC133" s="95"/>
      <c r="CD133" s="96"/>
      <c r="CE133" s="97"/>
      <c r="CF133" s="95"/>
      <c r="CG133" s="96"/>
      <c r="CH133" s="96"/>
      <c r="CI133" s="95"/>
      <c r="CJ133" s="96"/>
      <c r="CK133" s="96"/>
      <c r="CL133" s="95"/>
      <c r="CM133" s="96">
        <f>IFERROR(__xludf.DUMMYFUNCTION("""COMPUTED_VALUE"""),215.85987297144976)</f>
        <v>215.859873</v>
      </c>
      <c r="CN133" s="96"/>
      <c r="CO133" s="95"/>
      <c r="CP133" s="96"/>
      <c r="CQ133" s="96"/>
      <c r="CR133" s="95"/>
      <c r="CS133" s="96"/>
      <c r="CT133" s="96"/>
      <c r="CU133" s="95">
        <f>IFERROR(__xludf.DUMMYFUNCTION("""COMPUTED_VALUE"""),133.75675675675674)</f>
        <v>133.7567568</v>
      </c>
      <c r="CV133" s="96"/>
      <c r="CW133" s="97"/>
      <c r="CX133" s="96"/>
      <c r="CY133" s="96"/>
      <c r="CZ133" s="97"/>
      <c r="DA133" s="95"/>
      <c r="DB133" s="96"/>
      <c r="DC133" s="97">
        <f>IFERROR(__xludf.DUMMYFUNCTION("""COMPUTED_VALUE"""),140.06603773584908)</f>
        <v>140.0660377</v>
      </c>
      <c r="DD133" s="95"/>
      <c r="DE133" s="96"/>
      <c r="DF133" s="97"/>
      <c r="DG133" s="95"/>
      <c r="DH133" s="96"/>
      <c r="DI133" s="97"/>
      <c r="DJ133" s="95"/>
      <c r="DK133" s="96"/>
      <c r="DL133" s="97"/>
      <c r="DM133" s="95"/>
      <c r="DN133" s="96"/>
      <c r="DO133" s="97"/>
      <c r="DP133" s="95"/>
      <c r="DQ133" s="96"/>
      <c r="DR133" s="97"/>
      <c r="DS133" s="95"/>
    </row>
    <row r="134">
      <c r="B134" s="120" t="str">
        <f>IFERROR(__xludf.DUMMYFUNCTION("""COMPUTED_VALUE"""),"BBL9")</f>
        <v>BBL9</v>
      </c>
      <c r="C134" s="88" t="str">
        <f>IFERROR(__xludf.DUMMYFUNCTION("""COMPUTED_VALUE"""),"Field of Reeds")</f>
        <v>Field of Reeds</v>
      </c>
      <c r="D134" s="102">
        <f>IFERROR(__xludf.DUMMYFUNCTION("""COMPUTED_VALUE"""),21.0)</f>
        <v>21</v>
      </c>
      <c r="E134" s="82" t="b">
        <f>IFERROR(__xludf.DUMMYFUNCTION("""COMPUTED_VALUE"""),TRUE)</f>
        <v>1</v>
      </c>
      <c r="F134" s="82" t="str">
        <f>IFERROR(__xludf.DUMMYFUNCTION("""COMPUTED_VALUE"""),"Free Quests- Part 1!A1259:J1265")</f>
        <v>Free Quests- Part 1!A1259:J1265</v>
      </c>
      <c r="G134" s="82">
        <f>IFERROR(__xludf.DUMMYFUNCTION("""COMPUTED_VALUE"""),134.0)</f>
        <v>134</v>
      </c>
      <c r="H134" s="82">
        <f>IFERROR(__xludf.DUMMYFUNCTION("""COMPUTED_VALUE"""),24289.0)</f>
        <v>24289</v>
      </c>
      <c r="I134" s="95"/>
      <c r="J134" s="96"/>
      <c r="K134" s="97"/>
      <c r="L134" s="95"/>
      <c r="M134" s="96"/>
      <c r="N134" s="97"/>
      <c r="O134" s="95"/>
      <c r="P134" s="96"/>
      <c r="Q134" s="97"/>
      <c r="R134" s="95"/>
      <c r="S134" s="96"/>
      <c r="T134" s="97"/>
      <c r="U134" s="95"/>
      <c r="V134" s="96"/>
      <c r="W134" s="97"/>
      <c r="X134" s="95"/>
      <c r="Y134" s="96"/>
      <c r="Z134" s="97"/>
      <c r="AA134" s="95"/>
      <c r="AB134" s="96"/>
      <c r="AC134" s="97"/>
      <c r="AD134" s="95"/>
      <c r="AE134" s="96"/>
      <c r="AF134" s="97"/>
      <c r="AG134" s="95"/>
      <c r="AH134" s="96"/>
      <c r="AI134" s="97"/>
      <c r="AJ134" s="95"/>
      <c r="AK134" s="96"/>
      <c r="AL134" s="97"/>
      <c r="AM134" s="95"/>
      <c r="AN134" s="96"/>
      <c r="AO134" s="97"/>
      <c r="AP134" s="95"/>
      <c r="AQ134" s="96"/>
      <c r="AR134" s="97"/>
      <c r="AS134" s="95"/>
      <c r="AT134" s="96"/>
      <c r="AU134" s="97"/>
      <c r="AV134" s="95"/>
      <c r="AW134" s="96"/>
      <c r="AX134" s="97"/>
      <c r="AY134" s="95"/>
      <c r="AZ134" s="96">
        <f>IFERROR(__xludf.DUMMYFUNCTION("""COMPUTED_VALUE"""),33.65226526959603)</f>
        <v>33.65226527</v>
      </c>
      <c r="BA134" s="97"/>
      <c r="BB134" s="95"/>
      <c r="BC134" s="96"/>
      <c r="BD134" s="97"/>
      <c r="BE134" s="95"/>
      <c r="BF134" s="96"/>
      <c r="BG134" s="97"/>
      <c r="BH134" s="95"/>
      <c r="BI134" s="96"/>
      <c r="BJ134" s="97"/>
      <c r="BK134" s="95"/>
      <c r="BL134" s="96"/>
      <c r="BM134" s="97"/>
      <c r="BN134" s="95"/>
      <c r="BO134" s="96"/>
      <c r="BP134" s="97"/>
      <c r="BQ134" s="95"/>
      <c r="BR134" s="96"/>
      <c r="BS134" s="97"/>
      <c r="BT134" s="95">
        <f>IFERROR(__xludf.DUMMYFUNCTION("""COMPUTED_VALUE"""),46.892133998486415)</f>
        <v>46.892134</v>
      </c>
      <c r="BU134" s="96"/>
      <c r="BV134" s="97"/>
      <c r="BW134" s="95"/>
      <c r="BX134" s="96"/>
      <c r="BY134" s="97"/>
      <c r="BZ134" s="95"/>
      <c r="CA134" s="96"/>
      <c r="CB134" s="97"/>
      <c r="CC134" s="95"/>
      <c r="CD134" s="96"/>
      <c r="CE134" s="97"/>
      <c r="CF134" s="95"/>
      <c r="CG134" s="96"/>
      <c r="CH134" s="96"/>
      <c r="CI134" s="95"/>
      <c r="CJ134" s="96"/>
      <c r="CK134" s="96"/>
      <c r="CL134" s="95"/>
      <c r="CM134" s="96"/>
      <c r="CN134" s="96"/>
      <c r="CO134" s="95"/>
      <c r="CP134" s="96"/>
      <c r="CQ134" s="96"/>
      <c r="CR134" s="95"/>
      <c r="CS134" s="96"/>
      <c r="CT134" s="96"/>
      <c r="CU134" s="95"/>
      <c r="CV134" s="96"/>
      <c r="CW134" s="97">
        <f>IFERROR(__xludf.DUMMYFUNCTION("""COMPUTED_VALUE"""),157.5)</f>
        <v>157.5</v>
      </c>
      <c r="CX134" s="96"/>
      <c r="CY134" s="96"/>
      <c r="CZ134" s="97"/>
      <c r="DA134" s="95"/>
      <c r="DB134" s="96"/>
      <c r="DC134" s="97"/>
      <c r="DD134" s="95"/>
      <c r="DE134" s="96">
        <f>IFERROR(__xludf.DUMMYFUNCTION("""COMPUTED_VALUE"""),69.11194029850746)</f>
        <v>69.1119403</v>
      </c>
      <c r="DF134" s="97"/>
      <c r="DG134" s="95"/>
      <c r="DH134" s="96"/>
      <c r="DI134" s="97"/>
      <c r="DJ134" s="95"/>
      <c r="DK134" s="96"/>
      <c r="DL134" s="97"/>
      <c r="DM134" s="95"/>
      <c r="DN134" s="96"/>
      <c r="DO134" s="97"/>
      <c r="DP134" s="95"/>
      <c r="DQ134" s="96"/>
      <c r="DR134" s="97"/>
      <c r="DS134" s="95"/>
    </row>
    <row r="135">
      <c r="B135" s="120" t="str">
        <f>IFERROR(__xludf.DUMMYFUNCTION("""COMPUTED_VALUE"""),"BBL10")</f>
        <v>BBL10</v>
      </c>
      <c r="C135" s="88" t="str">
        <f>IFERROR(__xludf.DUMMYFUNCTION("""COMPUTED_VALUE"""),"Kutha")</f>
        <v>Kutha</v>
      </c>
      <c r="D135" s="102">
        <f>IFERROR(__xludf.DUMMYFUNCTION("""COMPUTED_VALUE"""),21.0)</f>
        <v>21</v>
      </c>
      <c r="E135" s="82" t="b">
        <f>IFERROR(__xludf.DUMMYFUNCTION("""COMPUTED_VALUE"""),TRUE)</f>
        <v>1</v>
      </c>
      <c r="F135" s="82" t="str">
        <f>IFERROR(__xludf.DUMMYFUNCTION("""COMPUTED_VALUE"""),"Free Quests- Part 1!A1269:J1280")</f>
        <v>Free Quests- Part 1!A1269:J1280</v>
      </c>
      <c r="G135" s="82">
        <f>IFERROR(__xludf.DUMMYFUNCTION("""COMPUTED_VALUE"""),135.0)</f>
        <v>135</v>
      </c>
      <c r="H135" s="82">
        <f>IFERROR(__xludf.DUMMYFUNCTION("""COMPUTED_VALUE"""),14180.0)</f>
        <v>14180</v>
      </c>
      <c r="I135" s="95"/>
      <c r="J135" s="96"/>
      <c r="K135" s="97"/>
      <c r="L135" s="95"/>
      <c r="M135" s="96"/>
      <c r="N135" s="97"/>
      <c r="O135" s="95"/>
      <c r="P135" s="96"/>
      <c r="Q135" s="97"/>
      <c r="R135" s="95"/>
      <c r="S135" s="96"/>
      <c r="T135" s="97"/>
      <c r="U135" s="95"/>
      <c r="V135" s="96"/>
      <c r="W135" s="97"/>
      <c r="X135" s="95"/>
      <c r="Y135" s="96"/>
      <c r="Z135" s="97"/>
      <c r="AA135" s="95"/>
      <c r="AB135" s="96">
        <f>IFERROR(__xludf.DUMMYFUNCTION("""COMPUTED_VALUE"""),52.17234077519499)</f>
        <v>52.17234078</v>
      </c>
      <c r="AC135" s="97"/>
      <c r="AD135" s="95"/>
      <c r="AE135" s="96"/>
      <c r="AF135" s="97"/>
      <c r="AG135" s="95"/>
      <c r="AH135" s="96"/>
      <c r="AI135" s="97"/>
      <c r="AJ135" s="95"/>
      <c r="AK135" s="96"/>
      <c r="AL135" s="97"/>
      <c r="AM135" s="95"/>
      <c r="AN135" s="96"/>
      <c r="AO135" s="97"/>
      <c r="AP135" s="95"/>
      <c r="AQ135" s="96"/>
      <c r="AR135" s="97"/>
      <c r="AS135" s="95"/>
      <c r="AT135" s="96"/>
      <c r="AU135" s="97"/>
      <c r="AV135" s="95"/>
      <c r="AW135" s="96"/>
      <c r="AX135" s="97"/>
      <c r="AY135" s="95"/>
      <c r="AZ135" s="96"/>
      <c r="BA135" s="97"/>
      <c r="BB135" s="95"/>
      <c r="BC135" s="96"/>
      <c r="BD135" s="97"/>
      <c r="BE135" s="95"/>
      <c r="BF135" s="96"/>
      <c r="BG135" s="97"/>
      <c r="BH135" s="95"/>
      <c r="BI135" s="96"/>
      <c r="BJ135" s="97"/>
      <c r="BK135" s="95"/>
      <c r="BL135" s="96"/>
      <c r="BM135" s="97"/>
      <c r="BN135" s="95"/>
      <c r="BO135" s="96"/>
      <c r="BP135" s="97">
        <f>IFERROR(__xludf.DUMMYFUNCTION("""COMPUTED_VALUE"""),173.78039172661073)</f>
        <v>173.7803917</v>
      </c>
      <c r="BQ135" s="95"/>
      <c r="BR135" s="96"/>
      <c r="BS135" s="97"/>
      <c r="BT135" s="95"/>
      <c r="BU135" s="96"/>
      <c r="BV135" s="97"/>
      <c r="BW135" s="95">
        <f>IFERROR(__xludf.DUMMYFUNCTION("""COMPUTED_VALUE"""),63.82417808527466)</f>
        <v>63.82417809</v>
      </c>
      <c r="BX135" s="96"/>
      <c r="BY135" s="97"/>
      <c r="BZ135" s="95"/>
      <c r="CA135" s="96"/>
      <c r="CB135" s="97"/>
      <c r="CC135" s="95"/>
      <c r="CD135" s="96"/>
      <c r="CE135" s="97"/>
      <c r="CF135" s="95"/>
      <c r="CG135" s="96"/>
      <c r="CH135" s="96"/>
      <c r="CI135" s="95"/>
      <c r="CJ135" s="96"/>
      <c r="CK135" s="96"/>
      <c r="CL135" s="95"/>
      <c r="CM135" s="96"/>
      <c r="CN135" s="96"/>
      <c r="CO135" s="95"/>
      <c r="CP135" s="96"/>
      <c r="CQ135" s="96"/>
      <c r="CR135" s="95">
        <f>IFERROR(__xludf.DUMMYFUNCTION("""COMPUTED_VALUE"""),441.0)</f>
        <v>441</v>
      </c>
      <c r="CS135" s="96"/>
      <c r="CT135" s="96"/>
      <c r="CU135" s="95"/>
      <c r="CV135" s="96"/>
      <c r="CW135" s="97"/>
      <c r="CX135" s="96"/>
      <c r="CY135" s="96"/>
      <c r="CZ135" s="97">
        <f>IFERROR(__xludf.DUMMYFUNCTION("""COMPUTED_VALUE"""),2079.0)</f>
        <v>2079</v>
      </c>
      <c r="DA135" s="95"/>
      <c r="DB135" s="96"/>
      <c r="DC135" s="97"/>
      <c r="DD135" s="95"/>
      <c r="DE135" s="96"/>
      <c r="DF135" s="97"/>
      <c r="DG135" s="95"/>
      <c r="DH135" s="96">
        <f>IFERROR(__xludf.DUMMYFUNCTION("""COMPUTED_VALUE"""),173.25)</f>
        <v>173.25</v>
      </c>
      <c r="DI135" s="97"/>
      <c r="DJ135" s="95"/>
      <c r="DK135" s="96"/>
      <c r="DL135" s="97"/>
      <c r="DM135" s="95"/>
      <c r="DN135" s="96"/>
      <c r="DO135" s="97"/>
      <c r="DP135" s="95">
        <f>IFERROR(__xludf.DUMMYFUNCTION("""COMPUTED_VALUE"""),129.9375)</f>
        <v>129.9375</v>
      </c>
      <c r="DQ135" s="96"/>
      <c r="DR135" s="97"/>
      <c r="DS135" s="95"/>
    </row>
    <row r="136">
      <c r="B136" s="120" t="str">
        <f>IFERROR(__xludf.DUMMYFUNCTION("""COMPUTED_VALUE"""),"BBL11")</f>
        <v>BBL11</v>
      </c>
      <c r="C136" s="88" t="str">
        <f>IFERROR(__xludf.DUMMYFUNCTION("""COMPUTED_VALUE"""),"Northern Wall")</f>
        <v>Northern Wall</v>
      </c>
      <c r="D136" s="102">
        <f>IFERROR(__xludf.DUMMYFUNCTION("""COMPUTED_VALUE"""),21.0)</f>
        <v>21</v>
      </c>
      <c r="E136" s="82" t="b">
        <f>IFERROR(__xludf.DUMMYFUNCTION("""COMPUTED_VALUE"""),TRUE)</f>
        <v>1</v>
      </c>
      <c r="F136" s="82" t="str">
        <f>IFERROR(__xludf.DUMMYFUNCTION("""COMPUTED_VALUE"""),"Free Quests- Part 1!A1284:J1294")</f>
        <v>Free Quests- Part 1!A1284:J1294</v>
      </c>
      <c r="G136" s="82">
        <f>IFERROR(__xludf.DUMMYFUNCTION("""COMPUTED_VALUE"""),136.0)</f>
        <v>136</v>
      </c>
      <c r="H136" s="82">
        <f>IFERROR(__xludf.DUMMYFUNCTION("""COMPUTED_VALUE"""),6058.0)</f>
        <v>6058</v>
      </c>
      <c r="I136" s="95"/>
      <c r="J136" s="96"/>
      <c r="K136" s="97"/>
      <c r="L136" s="95"/>
      <c r="M136" s="96"/>
      <c r="N136" s="97"/>
      <c r="O136" s="95"/>
      <c r="P136" s="96"/>
      <c r="Q136" s="97"/>
      <c r="R136" s="95">
        <f>IFERROR(__xludf.DUMMYFUNCTION("""COMPUTED_VALUE"""),165.58634262151693)</f>
        <v>165.5863426</v>
      </c>
      <c r="S136" s="96"/>
      <c r="T136" s="97"/>
      <c r="U136" s="95"/>
      <c r="V136" s="96"/>
      <c r="W136" s="97"/>
      <c r="X136" s="95"/>
      <c r="Y136" s="96"/>
      <c r="Z136" s="97"/>
      <c r="AA136" s="95"/>
      <c r="AB136" s="96"/>
      <c r="AC136" s="97"/>
      <c r="AD136" s="95"/>
      <c r="AE136" s="96"/>
      <c r="AF136" s="97"/>
      <c r="AG136" s="95"/>
      <c r="AH136" s="96"/>
      <c r="AI136" s="97"/>
      <c r="AJ136" s="95"/>
      <c r="AK136" s="96"/>
      <c r="AL136" s="97"/>
      <c r="AM136" s="95"/>
      <c r="AN136" s="96"/>
      <c r="AO136" s="97"/>
      <c r="AP136" s="95"/>
      <c r="AQ136" s="96"/>
      <c r="AR136" s="97"/>
      <c r="AS136" s="95"/>
      <c r="AT136" s="96"/>
      <c r="AU136" s="97"/>
      <c r="AV136" s="95"/>
      <c r="AW136" s="96"/>
      <c r="AX136" s="97"/>
      <c r="AY136" s="95"/>
      <c r="AZ136" s="96">
        <f>IFERROR(__xludf.DUMMYFUNCTION("""COMPUTED_VALUE"""),50.857824520556925)</f>
        <v>50.85782452</v>
      </c>
      <c r="BA136" s="97"/>
      <c r="BB136" s="95"/>
      <c r="BC136" s="96"/>
      <c r="BD136" s="97"/>
      <c r="BE136" s="95"/>
      <c r="BF136" s="96"/>
      <c r="BG136" s="97"/>
      <c r="BH136" s="95"/>
      <c r="BI136" s="96"/>
      <c r="BJ136" s="97"/>
      <c r="BK136" s="95"/>
      <c r="BL136" s="96"/>
      <c r="BM136" s="97"/>
      <c r="BN136" s="95">
        <f>IFERROR(__xludf.DUMMYFUNCTION("""COMPUTED_VALUE"""),271.8984030366242)</f>
        <v>271.898403</v>
      </c>
      <c r="BO136" s="96"/>
      <c r="BP136" s="97"/>
      <c r="BQ136" s="95"/>
      <c r="BR136" s="96"/>
      <c r="BS136" s="97"/>
      <c r="BT136" s="95">
        <f>IFERROR(__xludf.DUMMYFUNCTION("""COMPUTED_VALUE"""),67.28063903332671)</f>
        <v>67.28063903</v>
      </c>
      <c r="BU136" s="96"/>
      <c r="BV136" s="97"/>
      <c r="BW136" s="95"/>
      <c r="BX136" s="96"/>
      <c r="BY136" s="97"/>
      <c r="BZ136" s="95"/>
      <c r="CA136" s="96"/>
      <c r="CB136" s="97"/>
      <c r="CC136" s="95"/>
      <c r="CD136" s="96"/>
      <c r="CE136" s="97"/>
      <c r="CF136" s="95"/>
      <c r="CG136" s="96"/>
      <c r="CH136" s="96"/>
      <c r="CI136" s="95"/>
      <c r="CJ136" s="96"/>
      <c r="CK136" s="96"/>
      <c r="CL136" s="95"/>
      <c r="CM136" s="96"/>
      <c r="CN136" s="96"/>
      <c r="CO136" s="95"/>
      <c r="CP136" s="96">
        <f>IFERROR(__xludf.DUMMYFUNCTION("""COMPUTED_VALUE"""),405.0737900365121)</f>
        <v>405.07379</v>
      </c>
      <c r="CQ136" s="96"/>
      <c r="CR136" s="95"/>
      <c r="CS136" s="96"/>
      <c r="CT136" s="96"/>
      <c r="CU136" s="95"/>
      <c r="CV136" s="96"/>
      <c r="CW136" s="97">
        <f>IFERROR(__xludf.DUMMYFUNCTION("""COMPUTED_VALUE"""),136.23076923076923)</f>
        <v>136.2307692</v>
      </c>
      <c r="CX136" s="96"/>
      <c r="CY136" s="96"/>
      <c r="CZ136" s="97"/>
      <c r="DA136" s="95"/>
      <c r="DB136" s="96"/>
      <c r="DC136" s="97"/>
      <c r="DD136" s="95"/>
      <c r="DE136" s="96">
        <f>IFERROR(__xludf.DUMMYFUNCTION("""COMPUTED_VALUE"""),183.20689655172413)</f>
        <v>183.2068966</v>
      </c>
      <c r="DF136" s="97"/>
      <c r="DG136" s="95"/>
      <c r="DH136" s="96"/>
      <c r="DI136" s="97"/>
      <c r="DJ136" s="95"/>
      <c r="DK136" s="96"/>
      <c r="DL136" s="97"/>
      <c r="DM136" s="95"/>
      <c r="DN136" s="96"/>
      <c r="DO136" s="97"/>
      <c r="DP136" s="95"/>
      <c r="DQ136" s="96"/>
      <c r="DR136" s="97"/>
      <c r="DS136" s="95"/>
    </row>
    <row r="137">
      <c r="B137" s="120" t="str">
        <f>IFERROR(__xludf.DUMMYFUNCTION("""COMPUTED_VALUE"""),"BBL12")</f>
        <v>BBL12</v>
      </c>
      <c r="C137" s="88" t="str">
        <f>IFERROR(__xludf.DUMMYFUNCTION("""COMPUTED_VALUE"""),"Nippur")</f>
        <v>Nippur</v>
      </c>
      <c r="D137" s="102">
        <f>IFERROR(__xludf.DUMMYFUNCTION("""COMPUTED_VALUE"""),21.0)</f>
        <v>21</v>
      </c>
      <c r="E137" s="82" t="b">
        <f>IFERROR(__xludf.DUMMYFUNCTION("""COMPUTED_VALUE"""),TRUE)</f>
        <v>1</v>
      </c>
      <c r="F137" s="82" t="str">
        <f>IFERROR(__xludf.DUMMYFUNCTION("""COMPUTED_VALUE"""),"Free Quests- Part 1!A1298:J1307")</f>
        <v>Free Quests- Part 1!A1298:J1307</v>
      </c>
      <c r="G137" s="82">
        <f>IFERROR(__xludf.DUMMYFUNCTION("""COMPUTED_VALUE"""),137.0)</f>
        <v>137</v>
      </c>
      <c r="H137" s="82">
        <f>IFERROR(__xludf.DUMMYFUNCTION("""COMPUTED_VALUE"""),70296.0)</f>
        <v>70296</v>
      </c>
      <c r="I137" s="95"/>
      <c r="J137" s="96"/>
      <c r="K137" s="97">
        <f>IFERROR(__xludf.DUMMYFUNCTION("""COMPUTED_VALUE"""),173.70404385267673)</f>
        <v>173.7040439</v>
      </c>
      <c r="L137" s="95"/>
      <c r="M137" s="96"/>
      <c r="N137" s="97"/>
      <c r="O137" s="95"/>
      <c r="P137" s="96"/>
      <c r="Q137" s="97"/>
      <c r="R137" s="95"/>
      <c r="S137" s="96"/>
      <c r="T137" s="97"/>
      <c r="U137" s="95"/>
      <c r="V137" s="96"/>
      <c r="W137" s="97"/>
      <c r="X137" s="95"/>
      <c r="Y137" s="96"/>
      <c r="Z137" s="97"/>
      <c r="AA137" s="95"/>
      <c r="AB137" s="96"/>
      <c r="AC137" s="97"/>
      <c r="AD137" s="95"/>
      <c r="AE137" s="96"/>
      <c r="AF137" s="97"/>
      <c r="AG137" s="95"/>
      <c r="AH137" s="96"/>
      <c r="AI137" s="97"/>
      <c r="AJ137" s="95"/>
      <c r="AK137" s="96"/>
      <c r="AL137" s="97"/>
      <c r="AM137" s="95"/>
      <c r="AN137" s="96"/>
      <c r="AO137" s="97"/>
      <c r="AP137" s="95"/>
      <c r="AQ137" s="96"/>
      <c r="AR137" s="97"/>
      <c r="AS137" s="95"/>
      <c r="AT137" s="96"/>
      <c r="AU137" s="97"/>
      <c r="AV137" s="95"/>
      <c r="AW137" s="96"/>
      <c r="AX137" s="97"/>
      <c r="AY137" s="95"/>
      <c r="AZ137" s="96">
        <f>IFERROR(__xludf.DUMMYFUNCTION("""COMPUTED_VALUE"""),69.92473296544537)</f>
        <v>69.92473297</v>
      </c>
      <c r="BA137" s="97"/>
      <c r="BB137" s="95"/>
      <c r="BC137" s="96"/>
      <c r="BD137" s="97"/>
      <c r="BE137" s="95"/>
      <c r="BF137" s="96"/>
      <c r="BG137" s="97">
        <f>IFERROR(__xludf.DUMMYFUNCTION("""COMPUTED_VALUE"""),656.8667236223836)</f>
        <v>656.8667236</v>
      </c>
      <c r="BH137" s="95"/>
      <c r="BI137" s="96"/>
      <c r="BJ137" s="97"/>
      <c r="BK137" s="95"/>
      <c r="BL137" s="96"/>
      <c r="BM137" s="97"/>
      <c r="BN137" s="95"/>
      <c r="BO137" s="96"/>
      <c r="BP137" s="97"/>
      <c r="BQ137" s="95"/>
      <c r="BR137" s="96"/>
      <c r="BS137" s="97"/>
      <c r="BT137" s="95">
        <f>IFERROR(__xludf.DUMMYFUNCTION("""COMPUTED_VALUE"""),84.56763389634762)</f>
        <v>84.5676339</v>
      </c>
      <c r="BU137" s="96"/>
      <c r="BV137" s="97"/>
      <c r="BW137" s="95"/>
      <c r="BX137" s="96"/>
      <c r="BY137" s="97"/>
      <c r="BZ137" s="95"/>
      <c r="CA137" s="96"/>
      <c r="CB137" s="97"/>
      <c r="CC137" s="95"/>
      <c r="CD137" s="96"/>
      <c r="CE137" s="97"/>
      <c r="CF137" s="95"/>
      <c r="CG137" s="96"/>
      <c r="CH137" s="96"/>
      <c r="CI137" s="95"/>
      <c r="CJ137" s="96"/>
      <c r="CK137" s="96"/>
      <c r="CL137" s="95"/>
      <c r="CM137" s="96"/>
      <c r="CN137" s="96"/>
      <c r="CO137" s="95"/>
      <c r="CP137" s="96"/>
      <c r="CQ137" s="96"/>
      <c r="CR137" s="95"/>
      <c r="CS137" s="96"/>
      <c r="CT137" s="96"/>
      <c r="CU137" s="95"/>
      <c r="CV137" s="96"/>
      <c r="CW137" s="97">
        <f>IFERROR(__xludf.DUMMYFUNCTION("""COMPUTED_VALUE"""),141.0)</f>
        <v>141</v>
      </c>
      <c r="CX137" s="96"/>
      <c r="CY137" s="96"/>
      <c r="CZ137" s="97"/>
      <c r="DA137" s="95"/>
      <c r="DB137" s="96"/>
      <c r="DC137" s="97"/>
      <c r="DD137" s="95"/>
      <c r="DE137" s="96">
        <f>IFERROR(__xludf.DUMMYFUNCTION("""COMPUTED_VALUE"""),164.5)</f>
        <v>164.5</v>
      </c>
      <c r="DF137" s="97"/>
      <c r="DG137" s="95"/>
      <c r="DH137" s="96"/>
      <c r="DI137" s="97"/>
      <c r="DJ137" s="95"/>
      <c r="DK137" s="96"/>
      <c r="DL137" s="97"/>
      <c r="DM137" s="95"/>
      <c r="DN137" s="96"/>
      <c r="DO137" s="97"/>
      <c r="DP137" s="95"/>
      <c r="DQ137" s="96"/>
      <c r="DR137" s="97"/>
      <c r="DS137" s="95"/>
    </row>
    <row r="138">
      <c r="B138" s="120" t="str">
        <f>IFERROR(__xludf.DUMMYFUNCTION("""COMPUTED_VALUE"""),"BBL13")</f>
        <v>BBL13</v>
      </c>
      <c r="C138" s="88" t="str">
        <f>IFERROR(__xludf.DUMMYFUNCTION("""COMPUTED_VALUE"""),"Mt. Ebih")</f>
        <v>Mt. Ebih</v>
      </c>
      <c r="D138" s="102">
        <f>IFERROR(__xludf.DUMMYFUNCTION("""COMPUTED_VALUE"""),21.0)</f>
        <v>21</v>
      </c>
      <c r="E138" s="82" t="b">
        <f>IFERROR(__xludf.DUMMYFUNCTION("""COMPUTED_VALUE"""),TRUE)</f>
        <v>1</v>
      </c>
      <c r="F138" s="82" t="str">
        <f>IFERROR(__xludf.DUMMYFUNCTION("""COMPUTED_VALUE"""),"Free Quests- Part 1!A1311:J1319")</f>
        <v>Free Quests- Part 1!A1311:J1319</v>
      </c>
      <c r="G138" s="82">
        <f>IFERROR(__xludf.DUMMYFUNCTION("""COMPUTED_VALUE"""),138.0)</f>
        <v>138</v>
      </c>
      <c r="H138" s="82">
        <f>IFERROR(__xludf.DUMMYFUNCTION("""COMPUTED_VALUE"""),31195.0)</f>
        <v>31195</v>
      </c>
      <c r="I138" s="95"/>
      <c r="J138" s="96"/>
      <c r="K138" s="97"/>
      <c r="L138" s="95"/>
      <c r="M138" s="96"/>
      <c r="N138" s="97"/>
      <c r="O138" s="95"/>
      <c r="P138" s="96"/>
      <c r="Q138" s="97"/>
      <c r="R138" s="95"/>
      <c r="S138" s="96">
        <f>IFERROR(__xludf.DUMMYFUNCTION("""COMPUTED_VALUE"""),179.86955864555875)</f>
        <v>179.8695586</v>
      </c>
      <c r="T138" s="97"/>
      <c r="U138" s="95"/>
      <c r="V138" s="96"/>
      <c r="W138" s="97"/>
      <c r="X138" s="95"/>
      <c r="Y138" s="96"/>
      <c r="Z138" s="97"/>
      <c r="AA138" s="95">
        <f>IFERROR(__xludf.DUMMYFUNCTION("""COMPUTED_VALUE"""),82.5281184805942)</f>
        <v>82.52811848</v>
      </c>
      <c r="AB138" s="96"/>
      <c r="AC138" s="97"/>
      <c r="AD138" s="95"/>
      <c r="AE138" s="96"/>
      <c r="AF138" s="97"/>
      <c r="AG138" s="95"/>
      <c r="AH138" s="96"/>
      <c r="AI138" s="97"/>
      <c r="AJ138" s="95"/>
      <c r="AK138" s="96"/>
      <c r="AL138" s="97"/>
      <c r="AM138" s="95"/>
      <c r="AN138" s="96"/>
      <c r="AO138" s="97"/>
      <c r="AP138" s="95"/>
      <c r="AQ138" s="96"/>
      <c r="AR138" s="97"/>
      <c r="AS138" s="95"/>
      <c r="AT138" s="96"/>
      <c r="AU138" s="97"/>
      <c r="AV138" s="95"/>
      <c r="AW138" s="96"/>
      <c r="AX138" s="97"/>
      <c r="AY138" s="95"/>
      <c r="AZ138" s="96"/>
      <c r="BA138" s="97"/>
      <c r="BB138" s="95"/>
      <c r="BC138" s="96"/>
      <c r="BD138" s="97"/>
      <c r="BE138" s="95"/>
      <c r="BF138" s="96"/>
      <c r="BG138" s="97"/>
      <c r="BH138" s="95"/>
      <c r="BI138" s="96"/>
      <c r="BJ138" s="97">
        <f>IFERROR(__xludf.DUMMYFUNCTION("""COMPUTED_VALUE"""),672.0334915351689)</f>
        <v>672.0334915</v>
      </c>
      <c r="BK138" s="95"/>
      <c r="BL138" s="96"/>
      <c r="BM138" s="97"/>
      <c r="BN138" s="95"/>
      <c r="BO138" s="96"/>
      <c r="BP138" s="97"/>
      <c r="BQ138" s="95">
        <f>IFERROR(__xludf.DUMMYFUNCTION("""COMPUTED_VALUE"""),86.6136258910945)</f>
        <v>86.61362589</v>
      </c>
      <c r="BR138" s="96"/>
      <c r="BS138" s="97"/>
      <c r="BT138" s="95"/>
      <c r="BU138" s="96"/>
      <c r="BV138" s="97"/>
      <c r="BW138" s="95"/>
      <c r="BX138" s="96"/>
      <c r="BY138" s="97"/>
      <c r="BZ138" s="95"/>
      <c r="CA138" s="96"/>
      <c r="CB138" s="97"/>
      <c r="CC138" s="95"/>
      <c r="CD138" s="96"/>
      <c r="CE138" s="97"/>
      <c r="CF138" s="95"/>
      <c r="CG138" s="96"/>
      <c r="CH138" s="96"/>
      <c r="CI138" s="95"/>
      <c r="CJ138" s="96"/>
      <c r="CK138" s="96"/>
      <c r="CL138" s="95"/>
      <c r="CM138" s="96"/>
      <c r="CN138" s="96"/>
      <c r="CO138" s="95"/>
      <c r="CP138" s="96"/>
      <c r="CQ138" s="96"/>
      <c r="CR138" s="95"/>
      <c r="CS138" s="96">
        <f>IFERROR(__xludf.DUMMYFUNCTION("""COMPUTED_VALUE"""),581.0)</f>
        <v>581</v>
      </c>
      <c r="CT138" s="96"/>
      <c r="CU138" s="95"/>
      <c r="CV138" s="96"/>
      <c r="CW138" s="97"/>
      <c r="CX138" s="96"/>
      <c r="CY138" s="96"/>
      <c r="CZ138" s="97"/>
      <c r="DA138" s="95">
        <f>IFERROR(__xludf.DUMMYFUNCTION("""COMPUTED_VALUE"""),145.82868525896413)</f>
        <v>145.8286853</v>
      </c>
      <c r="DB138" s="96"/>
      <c r="DC138" s="97"/>
      <c r="DD138" s="95"/>
      <c r="DE138" s="96"/>
      <c r="DF138" s="97"/>
      <c r="DG138" s="95"/>
      <c r="DH138" s="96"/>
      <c r="DI138" s="97"/>
      <c r="DJ138" s="95"/>
      <c r="DK138" s="96"/>
      <c r="DL138" s="97"/>
      <c r="DM138" s="95"/>
      <c r="DN138" s="96"/>
      <c r="DO138" s="97"/>
      <c r="DP138" s="95"/>
      <c r="DQ138" s="96"/>
      <c r="DR138" s="97"/>
      <c r="DS138" s="95"/>
    </row>
    <row r="139">
      <c r="B139" s="120" t="str">
        <f>IFERROR(__xludf.DUMMYFUNCTION("""COMPUTED_VALUE"""),"BBL14")</f>
        <v>BBL14</v>
      </c>
      <c r="C139" s="88" t="str">
        <f>IFERROR(__xludf.DUMMYFUNCTION("""COMPUTED_VALUE"""),"Blood Fort")</f>
        <v>Blood Fort</v>
      </c>
      <c r="D139" s="102">
        <f>IFERROR(__xludf.DUMMYFUNCTION("""COMPUTED_VALUE"""),21.0)</f>
        <v>21</v>
      </c>
      <c r="E139" s="82" t="b">
        <f>IFERROR(__xludf.DUMMYFUNCTION("""COMPUTED_VALUE"""),TRUE)</f>
        <v>1</v>
      </c>
      <c r="F139" s="82" t="str">
        <f>IFERROR(__xludf.DUMMYFUNCTION("""COMPUTED_VALUE"""),"Free Quests- Part 1!A1323:J1332")</f>
        <v>Free Quests- Part 1!A1323:J1332</v>
      </c>
      <c r="G139" s="82">
        <f>IFERROR(__xludf.DUMMYFUNCTION("""COMPUTED_VALUE"""),139.0)</f>
        <v>139</v>
      </c>
      <c r="H139" s="82">
        <f>IFERROR(__xludf.DUMMYFUNCTION("""COMPUTED_VALUE"""),81494.0)</f>
        <v>81494</v>
      </c>
      <c r="I139" s="95"/>
      <c r="J139" s="96"/>
      <c r="K139" s="97"/>
      <c r="L139" s="95"/>
      <c r="M139" s="96"/>
      <c r="N139" s="97"/>
      <c r="O139" s="95"/>
      <c r="P139" s="96"/>
      <c r="Q139" s="97"/>
      <c r="R139" s="95">
        <f>IFERROR(__xludf.DUMMYFUNCTION("""COMPUTED_VALUE"""),115.41446521166071)</f>
        <v>115.4144652</v>
      </c>
      <c r="S139" s="96"/>
      <c r="T139" s="97"/>
      <c r="U139" s="95"/>
      <c r="V139" s="96"/>
      <c r="W139" s="97"/>
      <c r="X139" s="95"/>
      <c r="Y139" s="96"/>
      <c r="Z139" s="97"/>
      <c r="AA139" s="95">
        <f>IFERROR(__xludf.DUMMYFUNCTION("""COMPUTED_VALUE"""),87.08424452430538)</f>
        <v>87.08424452</v>
      </c>
      <c r="AB139" s="96"/>
      <c r="AC139" s="97"/>
      <c r="AD139" s="95"/>
      <c r="AE139" s="96"/>
      <c r="AF139" s="97"/>
      <c r="AG139" s="95"/>
      <c r="AH139" s="96"/>
      <c r="AI139" s="97"/>
      <c r="AJ139" s="95"/>
      <c r="AK139" s="96"/>
      <c r="AL139" s="97"/>
      <c r="AM139" s="95"/>
      <c r="AN139" s="96"/>
      <c r="AO139" s="97"/>
      <c r="AP139" s="95"/>
      <c r="AQ139" s="96"/>
      <c r="AR139" s="97"/>
      <c r="AS139" s="95"/>
      <c r="AT139" s="96"/>
      <c r="AU139" s="97"/>
      <c r="AV139" s="95"/>
      <c r="AW139" s="96"/>
      <c r="AX139" s="97"/>
      <c r="AY139" s="95"/>
      <c r="AZ139" s="96"/>
      <c r="BA139" s="97"/>
      <c r="BB139" s="95"/>
      <c r="BC139" s="96"/>
      <c r="BD139" s="97"/>
      <c r="BE139" s="95"/>
      <c r="BF139" s="96"/>
      <c r="BG139" s="97"/>
      <c r="BH139" s="95"/>
      <c r="BI139" s="96"/>
      <c r="BJ139" s="97"/>
      <c r="BK139" s="95"/>
      <c r="BL139" s="96"/>
      <c r="BM139" s="97"/>
      <c r="BN139" s="95">
        <f>IFERROR(__xludf.DUMMYFUNCTION("""COMPUTED_VALUE"""),132.095167392298)</f>
        <v>132.0951674</v>
      </c>
      <c r="BO139" s="96"/>
      <c r="BP139" s="97"/>
      <c r="BQ139" s="95"/>
      <c r="BR139" s="96"/>
      <c r="BS139" s="97"/>
      <c r="BT139" s="95"/>
      <c r="BU139" s="96">
        <f>IFERROR(__xludf.DUMMYFUNCTION("""COMPUTED_VALUE"""),140.0)</f>
        <v>140</v>
      </c>
      <c r="BV139" s="97"/>
      <c r="BW139" s="95"/>
      <c r="BX139" s="96"/>
      <c r="BY139" s="97"/>
      <c r="BZ139" s="95"/>
      <c r="CA139" s="96"/>
      <c r="CB139" s="97"/>
      <c r="CC139" s="95"/>
      <c r="CD139" s="96"/>
      <c r="CE139" s="97"/>
      <c r="CF139" s="95"/>
      <c r="CG139" s="96"/>
      <c r="CH139" s="96"/>
      <c r="CI139" s="95"/>
      <c r="CJ139" s="96"/>
      <c r="CK139" s="96"/>
      <c r="CL139" s="95"/>
      <c r="CM139" s="96"/>
      <c r="CN139" s="96"/>
      <c r="CO139" s="95"/>
      <c r="CP139" s="96">
        <f>IFERROR(__xludf.DUMMYFUNCTION("""COMPUTED_VALUE"""),207.73783457996873)</f>
        <v>207.7378346</v>
      </c>
      <c r="CQ139" s="96"/>
      <c r="CR139" s="95"/>
      <c r="CS139" s="96"/>
      <c r="CT139" s="96"/>
      <c r="CU139" s="95"/>
      <c r="CV139" s="96"/>
      <c r="CW139" s="97"/>
      <c r="CX139" s="96">
        <f>IFERROR(__xludf.DUMMYFUNCTION("""COMPUTED_VALUE"""),115.2375)</f>
        <v>115.2375</v>
      </c>
      <c r="CY139" s="96"/>
      <c r="CZ139" s="97"/>
      <c r="DA139" s="95"/>
      <c r="DB139" s="96"/>
      <c r="DC139" s="97"/>
      <c r="DD139" s="95"/>
      <c r="DE139" s="96"/>
      <c r="DF139" s="97"/>
      <c r="DG139" s="95"/>
      <c r="DH139" s="96"/>
      <c r="DI139" s="97"/>
      <c r="DJ139" s="95"/>
      <c r="DK139" s="96"/>
      <c r="DL139" s="97"/>
      <c r="DM139" s="95"/>
      <c r="DN139" s="96"/>
      <c r="DO139" s="97"/>
      <c r="DP139" s="95"/>
      <c r="DQ139" s="96"/>
      <c r="DR139" s="97"/>
      <c r="DS139" s="95"/>
    </row>
    <row r="140">
      <c r="A140" s="150" t="str">
        <f>IFERROR(__xludf.DUMMYFUNCTION("""COMPUTED_VALUE"""),"SHINJUKU")</f>
        <v>SHINJUKU</v>
      </c>
      <c r="B140" s="120" t="str">
        <f>IFERROR(__xludf.DUMMYFUNCTION("""COMPUTED_VALUE"""),"SJK1")</f>
        <v>SJK1</v>
      </c>
      <c r="C140" s="88" t="str">
        <f>IFERROR(__xludf.DUMMYFUNCTION("""COMPUTED_VALUE"""),"Yoyogi 2-Chome")</f>
        <v>Yoyogi 2-Chome</v>
      </c>
      <c r="D140" s="102">
        <f>IFERROR(__xludf.DUMMYFUNCTION("""COMPUTED_VALUE"""),20.0)</f>
        <v>20</v>
      </c>
      <c r="E140" s="82" t="b">
        <f>IFERROR(__xludf.DUMMYFUNCTION("""COMPUTED_VALUE"""),TRUE)</f>
        <v>1</v>
      </c>
      <c r="F140" s="82" t="str">
        <f>IFERROR(__xludf.DUMMYFUNCTION("""COMPUTED_VALUE"""),"Free Quests- EoR!A7:J13")</f>
        <v>Free Quests- EoR!A7:J13</v>
      </c>
      <c r="G140" s="82">
        <f>IFERROR(__xludf.DUMMYFUNCTION("""COMPUTED_VALUE"""),140.0)</f>
        <v>140</v>
      </c>
      <c r="H140" s="82">
        <f>IFERROR(__xludf.DUMMYFUNCTION("""COMPUTED_VALUE"""),1156.0)</f>
        <v>1156</v>
      </c>
      <c r="I140" s="95"/>
      <c r="J140" s="96"/>
      <c r="K140" s="97"/>
      <c r="L140" s="95"/>
      <c r="M140" s="96"/>
      <c r="N140" s="97"/>
      <c r="O140" s="95"/>
      <c r="P140" s="96"/>
      <c r="Q140" s="97"/>
      <c r="R140" s="95"/>
      <c r="S140" s="96"/>
      <c r="T140" s="97"/>
      <c r="U140" s="95"/>
      <c r="V140" s="96"/>
      <c r="W140" s="97"/>
      <c r="X140" s="95"/>
      <c r="Y140" s="96"/>
      <c r="Z140" s="97"/>
      <c r="AA140" s="95"/>
      <c r="AB140" s="96"/>
      <c r="AC140" s="97"/>
      <c r="AD140" s="95"/>
      <c r="AE140" s="96"/>
      <c r="AF140" s="97"/>
      <c r="AG140" s="95"/>
      <c r="AH140" s="96"/>
      <c r="AI140" s="97"/>
      <c r="AJ140" s="95"/>
      <c r="AK140" s="96"/>
      <c r="AL140" s="97"/>
      <c r="AM140" s="95"/>
      <c r="AN140" s="96"/>
      <c r="AO140" s="97"/>
      <c r="AP140" s="95"/>
      <c r="AQ140" s="96"/>
      <c r="AR140" s="97"/>
      <c r="AS140" s="95"/>
      <c r="AT140" s="96"/>
      <c r="AU140" s="97"/>
      <c r="AV140" s="95"/>
      <c r="AW140" s="96"/>
      <c r="AX140" s="97"/>
      <c r="AY140" s="95"/>
      <c r="AZ140" s="96"/>
      <c r="BA140" s="97">
        <f>IFERROR(__xludf.DUMMYFUNCTION("""COMPUTED_VALUE"""),49.374911906785634)</f>
        <v>49.37491191</v>
      </c>
      <c r="BB140" s="95"/>
      <c r="BC140" s="96"/>
      <c r="BD140" s="97"/>
      <c r="BE140" s="95"/>
      <c r="BF140" s="96"/>
      <c r="BG140" s="97"/>
      <c r="BH140" s="95"/>
      <c r="BI140" s="96"/>
      <c r="BJ140" s="97"/>
      <c r="BK140" s="95"/>
      <c r="BL140" s="96"/>
      <c r="BM140" s="97"/>
      <c r="BN140" s="95"/>
      <c r="BO140" s="96"/>
      <c r="BP140" s="97"/>
      <c r="BQ140" s="95"/>
      <c r="BR140" s="96"/>
      <c r="BS140" s="97"/>
      <c r="BT140" s="95"/>
      <c r="BU140" s="96"/>
      <c r="BV140" s="97">
        <f>IFERROR(__xludf.DUMMYFUNCTION("""COMPUTED_VALUE"""),67.41763064352926)</f>
        <v>67.41763064</v>
      </c>
      <c r="BW140" s="95"/>
      <c r="BX140" s="96"/>
      <c r="BY140" s="97"/>
      <c r="BZ140" s="95"/>
      <c r="CA140" s="96"/>
      <c r="CB140" s="97"/>
      <c r="CC140" s="95"/>
      <c r="CD140" s="96"/>
      <c r="CE140" s="97"/>
      <c r="CF140" s="95"/>
      <c r="CG140" s="96"/>
      <c r="CH140" s="96"/>
      <c r="CI140" s="95"/>
      <c r="CJ140" s="96"/>
      <c r="CK140" s="96"/>
      <c r="CL140" s="95"/>
      <c r="CM140" s="96"/>
      <c r="CN140" s="96"/>
      <c r="CO140" s="95"/>
      <c r="CP140" s="96"/>
      <c r="CQ140" s="96"/>
      <c r="CR140" s="95"/>
      <c r="CS140" s="96"/>
      <c r="CT140" s="96"/>
      <c r="CU140" s="95"/>
      <c r="CV140" s="96"/>
      <c r="CW140" s="97"/>
      <c r="CX140" s="96"/>
      <c r="CY140" s="96">
        <f>IFERROR(__xludf.DUMMYFUNCTION("""COMPUTED_VALUE"""),102.5)</f>
        <v>102.5</v>
      </c>
      <c r="CZ140" s="97"/>
      <c r="DA140" s="95"/>
      <c r="DB140" s="96"/>
      <c r="DC140" s="97"/>
      <c r="DD140" s="95"/>
      <c r="DE140" s="96"/>
      <c r="DF140" s="97"/>
      <c r="DG140" s="95">
        <f>IFERROR(__xludf.DUMMYFUNCTION("""COMPUTED_VALUE"""),82.0)</f>
        <v>82</v>
      </c>
      <c r="DH140" s="96"/>
      <c r="DI140" s="97"/>
      <c r="DJ140" s="95"/>
      <c r="DK140" s="96"/>
      <c r="DL140" s="97"/>
      <c r="DM140" s="95"/>
      <c r="DN140" s="96"/>
      <c r="DO140" s="97"/>
      <c r="DP140" s="95"/>
      <c r="DQ140" s="96"/>
      <c r="DR140" s="97"/>
      <c r="DS140" s="95"/>
    </row>
    <row r="141">
      <c r="B141" s="120" t="str">
        <f>IFERROR(__xludf.DUMMYFUNCTION("""COMPUTED_VALUE"""),"SJK2")</f>
        <v>SJK2</v>
      </c>
      <c r="C141" s="88" t="str">
        <f>IFERROR(__xludf.DUMMYFUNCTION("""COMPUTED_VALUE"""),"Route 20")</f>
        <v>Route 20</v>
      </c>
      <c r="D141" s="102">
        <f>IFERROR(__xludf.DUMMYFUNCTION("""COMPUTED_VALUE"""),20.0)</f>
        <v>20</v>
      </c>
      <c r="E141" s="82" t="b">
        <f>IFERROR(__xludf.DUMMYFUNCTION("""COMPUTED_VALUE"""),TRUE)</f>
        <v>1</v>
      </c>
      <c r="F141" s="82" t="str">
        <f>IFERROR(__xludf.DUMMYFUNCTION("""COMPUTED_VALUE"""),"Free Quests- EoR!A17:J26")</f>
        <v>Free Quests- EoR!A17:J26</v>
      </c>
      <c r="G141" s="82">
        <f>IFERROR(__xludf.DUMMYFUNCTION("""COMPUTED_VALUE"""),141.0)</f>
        <v>141</v>
      </c>
      <c r="H141" s="82">
        <f>IFERROR(__xludf.DUMMYFUNCTION("""COMPUTED_VALUE"""),43200.0)</f>
        <v>43200</v>
      </c>
      <c r="I141" s="95"/>
      <c r="J141" s="96"/>
      <c r="K141" s="97"/>
      <c r="L141" s="95"/>
      <c r="M141" s="96"/>
      <c r="N141" s="97"/>
      <c r="O141" s="95"/>
      <c r="P141" s="96"/>
      <c r="Q141" s="97"/>
      <c r="R141" s="95"/>
      <c r="S141" s="96"/>
      <c r="T141" s="97"/>
      <c r="U141" s="95"/>
      <c r="V141" s="96"/>
      <c r="W141" s="97"/>
      <c r="X141" s="95"/>
      <c r="Y141" s="96"/>
      <c r="Z141" s="97"/>
      <c r="AA141" s="95"/>
      <c r="AB141" s="96"/>
      <c r="AC141" s="97"/>
      <c r="AD141" s="95"/>
      <c r="AE141" s="96"/>
      <c r="AF141" s="97"/>
      <c r="AG141" s="95"/>
      <c r="AH141" s="96"/>
      <c r="AI141" s="97"/>
      <c r="AJ141" s="95"/>
      <c r="AK141" s="96"/>
      <c r="AL141" s="97"/>
      <c r="AM141" s="95"/>
      <c r="AN141" s="96"/>
      <c r="AO141" s="97"/>
      <c r="AP141" s="95"/>
      <c r="AQ141" s="96"/>
      <c r="AR141" s="97"/>
      <c r="AS141" s="95"/>
      <c r="AT141" s="96"/>
      <c r="AU141" s="97"/>
      <c r="AV141" s="95"/>
      <c r="AW141" s="96"/>
      <c r="AX141" s="97">
        <f>IFERROR(__xludf.DUMMYFUNCTION("""COMPUTED_VALUE"""),65.99665800256837)</f>
        <v>65.996658</v>
      </c>
      <c r="AY141" s="95"/>
      <c r="AZ141" s="96"/>
      <c r="BA141" s="97">
        <f>IFERROR(__xludf.DUMMYFUNCTION("""COMPUTED_VALUE"""),50.123347524892864)</f>
        <v>50.12334752</v>
      </c>
      <c r="BB141" s="95"/>
      <c r="BC141" s="96"/>
      <c r="BD141" s="97"/>
      <c r="BE141" s="95"/>
      <c r="BF141" s="96"/>
      <c r="BG141" s="97"/>
      <c r="BH141" s="95"/>
      <c r="BI141" s="96"/>
      <c r="BJ141" s="97"/>
      <c r="BK141" s="95"/>
      <c r="BL141" s="96">
        <f>IFERROR(__xludf.DUMMYFUNCTION("""COMPUTED_VALUE"""),186.92122568401484)</f>
        <v>186.9212257</v>
      </c>
      <c r="BM141" s="97"/>
      <c r="BN141" s="95"/>
      <c r="BO141" s="96"/>
      <c r="BP141" s="97"/>
      <c r="BQ141" s="95"/>
      <c r="BR141" s="96"/>
      <c r="BS141" s="97">
        <f>IFERROR(__xludf.DUMMYFUNCTION("""COMPUTED_VALUE"""),126.65665140923116)</f>
        <v>126.6566514</v>
      </c>
      <c r="BT141" s="95"/>
      <c r="BU141" s="96"/>
      <c r="BV141" s="97"/>
      <c r="BW141" s="95"/>
      <c r="BX141" s="96"/>
      <c r="BY141" s="97"/>
      <c r="BZ141" s="95"/>
      <c r="CA141" s="96"/>
      <c r="CB141" s="97"/>
      <c r="CC141" s="95"/>
      <c r="CD141" s="96"/>
      <c r="CE141" s="97"/>
      <c r="CF141" s="95"/>
      <c r="CG141" s="96"/>
      <c r="CH141" s="96"/>
      <c r="CI141" s="95"/>
      <c r="CJ141" s="96"/>
      <c r="CK141" s="96"/>
      <c r="CL141" s="95"/>
      <c r="CM141" s="96"/>
      <c r="CN141" s="96"/>
      <c r="CO141" s="95"/>
      <c r="CP141" s="96"/>
      <c r="CQ141" s="96"/>
      <c r="CR141" s="95"/>
      <c r="CS141" s="96"/>
      <c r="CT141" s="96"/>
      <c r="CU141" s="95"/>
      <c r="CV141" s="96">
        <f>IFERROR(__xludf.DUMMYFUNCTION("""COMPUTED_VALUE"""),100.0)</f>
        <v>100</v>
      </c>
      <c r="CW141" s="97"/>
      <c r="CX141" s="96"/>
      <c r="CY141" s="96"/>
      <c r="CZ141" s="97"/>
      <c r="DA141" s="95"/>
      <c r="DB141" s="96"/>
      <c r="DC141" s="97"/>
      <c r="DD141" s="95">
        <f>IFERROR(__xludf.DUMMYFUNCTION("""COMPUTED_VALUE"""),100.0)</f>
        <v>100</v>
      </c>
      <c r="DE141" s="96"/>
      <c r="DF141" s="97"/>
      <c r="DG141" s="95"/>
      <c r="DH141" s="96"/>
      <c r="DI141" s="97"/>
      <c r="DJ141" s="95"/>
      <c r="DK141" s="96"/>
      <c r="DL141" s="97"/>
      <c r="DM141" s="95"/>
      <c r="DN141" s="96"/>
      <c r="DO141" s="97"/>
      <c r="DP141" s="95"/>
      <c r="DQ141" s="96"/>
      <c r="DR141" s="97"/>
      <c r="DS141" s="95"/>
    </row>
    <row r="142">
      <c r="B142" s="120" t="str">
        <f>IFERROR(__xludf.DUMMYFUNCTION("""COMPUTED_VALUE"""),"SJK3")</f>
        <v>SJK3</v>
      </c>
      <c r="C142" s="88" t="str">
        <f>IFERROR(__xludf.DUMMYFUNCTION("""COMPUTED_VALUE"""),"Shinjuku Station")</f>
        <v>Shinjuku Station</v>
      </c>
      <c r="D142" s="102">
        <f>IFERROR(__xludf.DUMMYFUNCTION("""COMPUTED_VALUE"""),21.0)</f>
        <v>21</v>
      </c>
      <c r="E142" s="82" t="b">
        <f>IFERROR(__xludf.DUMMYFUNCTION("""COMPUTED_VALUE"""),TRUE)</f>
        <v>1</v>
      </c>
      <c r="F142" s="82" t="str">
        <f>IFERROR(__xludf.DUMMYFUNCTION("""COMPUTED_VALUE"""),"Free Quests- EoR!A30:J38")</f>
        <v>Free Quests- EoR!A30:J38</v>
      </c>
      <c r="G142" s="82">
        <f>IFERROR(__xludf.DUMMYFUNCTION("""COMPUTED_VALUE"""),142.0)</f>
        <v>142</v>
      </c>
      <c r="H142" s="82">
        <f>IFERROR(__xludf.DUMMYFUNCTION("""COMPUTED_VALUE"""),63612.0)</f>
        <v>63612</v>
      </c>
      <c r="I142" s="95"/>
      <c r="J142" s="96"/>
      <c r="K142" s="97"/>
      <c r="L142" s="95"/>
      <c r="M142" s="96"/>
      <c r="N142" s="97"/>
      <c r="O142" s="95"/>
      <c r="P142" s="96"/>
      <c r="Q142" s="97"/>
      <c r="R142" s="95"/>
      <c r="S142" s="96"/>
      <c r="T142" s="97"/>
      <c r="U142" s="95"/>
      <c r="V142" s="96"/>
      <c r="W142" s="97"/>
      <c r="X142" s="95"/>
      <c r="Y142" s="96"/>
      <c r="Z142" s="97"/>
      <c r="AA142" s="95"/>
      <c r="AB142" s="96"/>
      <c r="AC142" s="97"/>
      <c r="AD142" s="95"/>
      <c r="AE142" s="96"/>
      <c r="AF142" s="97"/>
      <c r="AG142" s="95"/>
      <c r="AH142" s="96"/>
      <c r="AI142" s="97"/>
      <c r="AJ142" s="95"/>
      <c r="AK142" s="96"/>
      <c r="AL142" s="97"/>
      <c r="AM142" s="95"/>
      <c r="AN142" s="96"/>
      <c r="AO142" s="97"/>
      <c r="AP142" s="95"/>
      <c r="AQ142" s="96"/>
      <c r="AR142" s="97"/>
      <c r="AS142" s="95"/>
      <c r="AT142" s="96"/>
      <c r="AU142" s="97"/>
      <c r="AV142" s="95"/>
      <c r="AW142" s="96"/>
      <c r="AX142" s="97"/>
      <c r="AY142" s="95"/>
      <c r="AZ142" s="96"/>
      <c r="BA142" s="97">
        <f>IFERROR(__xludf.DUMMYFUNCTION("""COMPUTED_VALUE"""),32.05261818642942)</f>
        <v>32.05261819</v>
      </c>
      <c r="BB142" s="95"/>
      <c r="BC142" s="96"/>
      <c r="BD142" s="97"/>
      <c r="BE142" s="95"/>
      <c r="BF142" s="96"/>
      <c r="BG142" s="97"/>
      <c r="BH142" s="95"/>
      <c r="BI142" s="96"/>
      <c r="BJ142" s="97"/>
      <c r="BK142" s="95"/>
      <c r="BL142" s="96">
        <f>IFERROR(__xludf.DUMMYFUNCTION("""COMPUTED_VALUE"""),83.2796984242683)</f>
        <v>83.27969842</v>
      </c>
      <c r="BM142" s="97"/>
      <c r="BN142" s="95"/>
      <c r="BO142" s="96"/>
      <c r="BP142" s="97"/>
      <c r="BQ142" s="95"/>
      <c r="BR142" s="96"/>
      <c r="BS142" s="97">
        <f>IFERROR(__xludf.DUMMYFUNCTION("""COMPUTED_VALUE"""),103.0400490697754)</f>
        <v>103.0400491</v>
      </c>
      <c r="BT142" s="95"/>
      <c r="BU142" s="96"/>
      <c r="BV142" s="97"/>
      <c r="BW142" s="95"/>
      <c r="BX142" s="96"/>
      <c r="BY142" s="97"/>
      <c r="BZ142" s="95"/>
      <c r="CA142" s="96"/>
      <c r="CB142" s="97"/>
      <c r="CC142" s="95"/>
      <c r="CD142" s="96"/>
      <c r="CE142" s="97"/>
      <c r="CF142" s="95"/>
      <c r="CG142" s="96"/>
      <c r="CH142" s="96"/>
      <c r="CI142" s="95"/>
      <c r="CJ142" s="96"/>
      <c r="CK142" s="96"/>
      <c r="CL142" s="95"/>
      <c r="CM142" s="96"/>
      <c r="CN142" s="96"/>
      <c r="CO142" s="95"/>
      <c r="CP142" s="96"/>
      <c r="CQ142" s="96"/>
      <c r="CR142" s="95"/>
      <c r="CS142" s="96"/>
      <c r="CT142" s="96"/>
      <c r="CU142" s="95"/>
      <c r="CV142" s="96">
        <f>IFERROR(__xludf.DUMMYFUNCTION("""COMPUTED_VALUE"""),118.80821917808218)</f>
        <v>118.8082192</v>
      </c>
      <c r="CW142" s="97"/>
      <c r="CX142" s="96"/>
      <c r="CY142" s="96"/>
      <c r="CZ142" s="97"/>
      <c r="DA142" s="95"/>
      <c r="DB142" s="96"/>
      <c r="DC142" s="97"/>
      <c r="DD142" s="95">
        <f>IFERROR(__xludf.DUMMYFUNCTION("""COMPUTED_VALUE"""),98.55681818181819)</f>
        <v>98.55681818</v>
      </c>
      <c r="DE142" s="96"/>
      <c r="DF142" s="97"/>
      <c r="DG142" s="95"/>
      <c r="DH142" s="96"/>
      <c r="DI142" s="97"/>
      <c r="DJ142" s="95"/>
      <c r="DK142" s="96"/>
      <c r="DL142" s="97"/>
      <c r="DM142" s="95"/>
      <c r="DN142" s="96"/>
      <c r="DO142" s="97"/>
      <c r="DP142" s="95"/>
      <c r="DQ142" s="96"/>
      <c r="DR142" s="97"/>
      <c r="DS142" s="95"/>
    </row>
    <row r="143">
      <c r="B143" s="120" t="str">
        <f>IFERROR(__xludf.DUMMYFUNCTION("""COMPUTED_VALUE"""),"SJK4")</f>
        <v>SJK4</v>
      </c>
      <c r="C143" s="88" t="str">
        <f>IFERROR(__xludf.DUMMYFUNCTION("""COMPUTED_VALUE"""),"Shinjuku 4-Chome")</f>
        <v>Shinjuku 4-Chome</v>
      </c>
      <c r="D143" s="102">
        <f>IFERROR(__xludf.DUMMYFUNCTION("""COMPUTED_VALUE"""),21.0)</f>
        <v>21</v>
      </c>
      <c r="E143" s="82" t="b">
        <f>IFERROR(__xludf.DUMMYFUNCTION("""COMPUTED_VALUE"""),TRUE)</f>
        <v>1</v>
      </c>
      <c r="F143" s="82" t="str">
        <f>IFERROR(__xludf.DUMMYFUNCTION("""COMPUTED_VALUE"""),"Free Quests- EoR!A42:J52")</f>
        <v>Free Quests- EoR!A42:J52</v>
      </c>
      <c r="G143" s="82">
        <f>IFERROR(__xludf.DUMMYFUNCTION("""COMPUTED_VALUE"""),143.0)</f>
        <v>143</v>
      </c>
      <c r="H143" s="82">
        <f>IFERROR(__xludf.DUMMYFUNCTION("""COMPUTED_VALUE"""),50704.0)</f>
        <v>50704</v>
      </c>
      <c r="I143" s="95">
        <f>IFERROR(__xludf.DUMMYFUNCTION("""COMPUTED_VALUE"""),115.74997282313294)</f>
        <v>115.7499728</v>
      </c>
      <c r="J143" s="96"/>
      <c r="K143" s="97"/>
      <c r="L143" s="95"/>
      <c r="M143" s="96"/>
      <c r="N143" s="97"/>
      <c r="O143" s="95"/>
      <c r="P143" s="96"/>
      <c r="Q143" s="97"/>
      <c r="R143" s="95"/>
      <c r="S143" s="96"/>
      <c r="T143" s="97"/>
      <c r="U143" s="95"/>
      <c r="V143" s="96"/>
      <c r="W143" s="97"/>
      <c r="X143" s="95"/>
      <c r="Y143" s="96"/>
      <c r="Z143" s="97"/>
      <c r="AA143" s="95"/>
      <c r="AB143" s="96"/>
      <c r="AC143" s="97"/>
      <c r="AD143" s="95"/>
      <c r="AE143" s="96"/>
      <c r="AF143" s="97"/>
      <c r="AG143" s="95"/>
      <c r="AH143" s="96"/>
      <c r="AI143" s="97"/>
      <c r="AJ143" s="95"/>
      <c r="AK143" s="96"/>
      <c r="AL143" s="97"/>
      <c r="AM143" s="95"/>
      <c r="AN143" s="96"/>
      <c r="AO143" s="97"/>
      <c r="AP143" s="95"/>
      <c r="AQ143" s="96"/>
      <c r="AR143" s="97"/>
      <c r="AS143" s="95"/>
      <c r="AT143" s="96"/>
      <c r="AU143" s="97"/>
      <c r="AV143" s="95"/>
      <c r="AW143" s="96"/>
      <c r="AX143" s="97"/>
      <c r="AY143" s="95"/>
      <c r="AZ143" s="96"/>
      <c r="BA143" s="97">
        <f>IFERROR(__xludf.DUMMYFUNCTION("""COMPUTED_VALUE"""),51.721183270996264)</f>
        <v>51.72118327</v>
      </c>
      <c r="BB143" s="95"/>
      <c r="BC143" s="96"/>
      <c r="BD143" s="97"/>
      <c r="BE143" s="95"/>
      <c r="BF143" s="96"/>
      <c r="BG143" s="97"/>
      <c r="BH143" s="95"/>
      <c r="BI143" s="96"/>
      <c r="BJ143" s="97">
        <f>IFERROR(__xludf.DUMMYFUNCTION("""COMPUTED_VALUE"""),413.02715283165253)</f>
        <v>413.0271528</v>
      </c>
      <c r="BK143" s="95"/>
      <c r="BL143" s="96"/>
      <c r="BM143" s="97"/>
      <c r="BN143" s="95"/>
      <c r="BO143" s="96"/>
      <c r="BP143" s="97"/>
      <c r="BQ143" s="95"/>
      <c r="BR143" s="96"/>
      <c r="BS143" s="97"/>
      <c r="BT143" s="95"/>
      <c r="BU143" s="96"/>
      <c r="BV143" s="97">
        <f>IFERROR(__xludf.DUMMYFUNCTION("""COMPUTED_VALUE"""),85.00079646938809)</f>
        <v>85.00079647</v>
      </c>
      <c r="BW143" s="95"/>
      <c r="BX143" s="96"/>
      <c r="BY143" s="97"/>
      <c r="BZ143" s="95"/>
      <c r="CA143" s="96"/>
      <c r="CB143" s="97"/>
      <c r="CC143" s="95"/>
      <c r="CD143" s="96"/>
      <c r="CE143" s="97"/>
      <c r="CF143" s="95"/>
      <c r="CG143" s="96"/>
      <c r="CH143" s="96"/>
      <c r="CI143" s="95"/>
      <c r="CJ143" s="96"/>
      <c r="CK143" s="96"/>
      <c r="CL143" s="95"/>
      <c r="CM143" s="96"/>
      <c r="CN143" s="96"/>
      <c r="CO143" s="95"/>
      <c r="CP143" s="96"/>
      <c r="CQ143" s="96"/>
      <c r="CR143" s="95"/>
      <c r="CS143" s="96">
        <f>IFERROR(__xludf.DUMMYFUNCTION("""COMPUTED_VALUE"""),455.7)</f>
        <v>455.7</v>
      </c>
      <c r="CT143" s="96"/>
      <c r="CU143" s="95"/>
      <c r="CV143" s="96"/>
      <c r="CW143" s="97"/>
      <c r="CX143" s="96"/>
      <c r="CY143" s="96">
        <f>IFERROR(__xludf.DUMMYFUNCTION("""COMPUTED_VALUE"""),151.89999999999998)</f>
        <v>151.9</v>
      </c>
      <c r="CZ143" s="97"/>
      <c r="DA143" s="95"/>
      <c r="DB143" s="96"/>
      <c r="DC143" s="97"/>
      <c r="DD143" s="95"/>
      <c r="DE143" s="96"/>
      <c r="DF143" s="97"/>
      <c r="DG143" s="95">
        <f>IFERROR(__xludf.DUMMYFUNCTION("""COMPUTED_VALUE"""),192.54929577464787)</f>
        <v>192.5492958</v>
      </c>
      <c r="DH143" s="96"/>
      <c r="DI143" s="97"/>
      <c r="DJ143" s="95"/>
      <c r="DK143" s="96"/>
      <c r="DL143" s="97"/>
      <c r="DM143" s="95"/>
      <c r="DN143" s="96"/>
      <c r="DO143" s="97"/>
      <c r="DP143" s="95"/>
      <c r="DQ143" s="96"/>
      <c r="DR143" s="97"/>
      <c r="DS143" s="95"/>
    </row>
    <row r="144">
      <c r="B144" s="120" t="str">
        <f>IFERROR(__xludf.DUMMYFUNCTION("""COMPUTED_VALUE"""),"SJK5")</f>
        <v>SJK5</v>
      </c>
      <c r="C144" s="88" t="str">
        <f>IFERROR(__xludf.DUMMYFUNCTION("""COMPUTED_VALUE"""),"Kabukicho")</f>
        <v>Kabukicho</v>
      </c>
      <c r="D144" s="102">
        <f>IFERROR(__xludf.DUMMYFUNCTION("""COMPUTED_VALUE"""),21.0)</f>
        <v>21</v>
      </c>
      <c r="E144" s="82" t="b">
        <f>IFERROR(__xludf.DUMMYFUNCTION("""COMPUTED_VALUE"""),TRUE)</f>
        <v>1</v>
      </c>
      <c r="F144" s="82" t="str">
        <f>IFERROR(__xludf.DUMMYFUNCTION("""COMPUTED_VALUE"""),"Free Quests- EoR!A56:J63")</f>
        <v>Free Quests- EoR!A56:J63</v>
      </c>
      <c r="G144" s="82">
        <f>IFERROR(__xludf.DUMMYFUNCTION("""COMPUTED_VALUE"""),144.0)</f>
        <v>144</v>
      </c>
      <c r="H144" s="82">
        <f>IFERROR(__xludf.DUMMYFUNCTION("""COMPUTED_VALUE"""),8531.0)</f>
        <v>8531</v>
      </c>
      <c r="I144" s="95"/>
      <c r="J144" s="96"/>
      <c r="K144" s="97"/>
      <c r="L144" s="95"/>
      <c r="M144" s="96"/>
      <c r="N144" s="97"/>
      <c r="O144" s="95"/>
      <c r="P144" s="96"/>
      <c r="Q144" s="97"/>
      <c r="R144" s="95"/>
      <c r="S144" s="96"/>
      <c r="T144" s="97"/>
      <c r="U144" s="95"/>
      <c r="V144" s="96"/>
      <c r="W144" s="97"/>
      <c r="X144" s="95"/>
      <c r="Y144" s="96"/>
      <c r="Z144" s="97"/>
      <c r="AA144" s="95"/>
      <c r="AB144" s="96"/>
      <c r="AC144" s="97"/>
      <c r="AD144" s="95"/>
      <c r="AE144" s="96"/>
      <c r="AF144" s="97">
        <f>IFERROR(__xludf.DUMMYFUNCTION("""COMPUTED_VALUE"""),67.26887272792813)</f>
        <v>67.26887273</v>
      </c>
      <c r="AG144" s="95"/>
      <c r="AH144" s="96"/>
      <c r="AI144" s="97"/>
      <c r="AJ144" s="95"/>
      <c r="AK144" s="96"/>
      <c r="AL144" s="97"/>
      <c r="AM144" s="95"/>
      <c r="AN144" s="96"/>
      <c r="AO144" s="97"/>
      <c r="AP144" s="95"/>
      <c r="AQ144" s="96"/>
      <c r="AR144" s="97"/>
      <c r="AS144" s="95"/>
      <c r="AT144" s="96"/>
      <c r="AU144" s="97"/>
      <c r="AV144" s="95"/>
      <c r="AW144" s="96"/>
      <c r="AX144" s="97">
        <f>IFERROR(__xludf.DUMMYFUNCTION("""COMPUTED_VALUE"""),69.18266438466198)</f>
        <v>69.18266438</v>
      </c>
      <c r="AY144" s="95"/>
      <c r="AZ144" s="96"/>
      <c r="BA144" s="97"/>
      <c r="BB144" s="95"/>
      <c r="BC144" s="96"/>
      <c r="BD144" s="97"/>
      <c r="BE144" s="95"/>
      <c r="BF144" s="96"/>
      <c r="BG144" s="97"/>
      <c r="BH144" s="95"/>
      <c r="BI144" s="96"/>
      <c r="BJ144" s="97"/>
      <c r="BK144" s="95"/>
      <c r="BL144" s="96"/>
      <c r="BM144" s="97"/>
      <c r="BN144" s="95"/>
      <c r="BO144" s="96"/>
      <c r="BP144" s="97">
        <f>IFERROR(__xludf.DUMMYFUNCTION("""COMPUTED_VALUE"""),57.99347265500825)</f>
        <v>57.99347266</v>
      </c>
      <c r="BQ144" s="95"/>
      <c r="BR144" s="96"/>
      <c r="BS144" s="97"/>
      <c r="BT144" s="95"/>
      <c r="BU144" s="96"/>
      <c r="BV144" s="97"/>
      <c r="BW144" s="95"/>
      <c r="BX144" s="96"/>
      <c r="BY144" s="97"/>
      <c r="BZ144" s="95"/>
      <c r="CA144" s="96"/>
      <c r="CB144" s="97"/>
      <c r="CC144" s="95"/>
      <c r="CD144" s="96"/>
      <c r="CE144" s="97"/>
      <c r="CF144" s="95"/>
      <c r="CG144" s="96"/>
      <c r="CH144" s="96"/>
      <c r="CI144" s="95"/>
      <c r="CJ144" s="96"/>
      <c r="CK144" s="96"/>
      <c r="CL144" s="95"/>
      <c r="CM144" s="96"/>
      <c r="CN144" s="96"/>
      <c r="CO144" s="95"/>
      <c r="CP144" s="96"/>
      <c r="CQ144" s="96"/>
      <c r="CR144" s="95"/>
      <c r="CS144" s="96"/>
      <c r="CT144" s="96"/>
      <c r="CU144" s="95"/>
      <c r="CV144" s="96"/>
      <c r="CW144" s="97"/>
      <c r="CX144" s="96"/>
      <c r="CY144" s="96"/>
      <c r="CZ144" s="97">
        <f>IFERROR(__xludf.DUMMYFUNCTION("""COMPUTED_VALUE"""),67.0)</f>
        <v>67</v>
      </c>
      <c r="DA144" s="95">
        <f>IFERROR(__xludf.DUMMYFUNCTION("""COMPUTED_VALUE"""),117.25)</f>
        <v>117.25</v>
      </c>
      <c r="DB144" s="96"/>
      <c r="DC144" s="97"/>
      <c r="DD144" s="95"/>
      <c r="DE144" s="96"/>
      <c r="DF144" s="97"/>
      <c r="DG144" s="95"/>
      <c r="DH144" s="96"/>
      <c r="DI144" s="97"/>
      <c r="DJ144" s="95"/>
      <c r="DK144" s="96"/>
      <c r="DL144" s="97"/>
      <c r="DM144" s="95"/>
      <c r="DN144" s="96"/>
      <c r="DO144" s="97"/>
      <c r="DP144" s="95"/>
      <c r="DQ144" s="96"/>
      <c r="DR144" s="97"/>
      <c r="DS144" s="95"/>
    </row>
    <row r="145">
      <c r="B145" s="120" t="str">
        <f>IFERROR(__xludf.DUMMYFUNCTION("""COMPUTED_VALUE"""),"SJK6")</f>
        <v>SJK6</v>
      </c>
      <c r="C145" s="88" t="str">
        <f>IFERROR(__xludf.DUMMYFUNCTION("""COMPUTED_VALUE"""),"Barrel Tower")</f>
        <v>Barrel Tower</v>
      </c>
      <c r="D145" s="102">
        <f>IFERROR(__xludf.DUMMYFUNCTION("""COMPUTED_VALUE"""),21.0)</f>
        <v>21</v>
      </c>
      <c r="E145" s="82" t="b">
        <f>IFERROR(__xludf.DUMMYFUNCTION("""COMPUTED_VALUE"""),TRUE)</f>
        <v>1</v>
      </c>
      <c r="F145" s="82" t="str">
        <f>IFERROR(__xludf.DUMMYFUNCTION("""COMPUTED_VALUE"""),"Free Quests- EoR!A67:J72")</f>
        <v>Free Quests- EoR!A67:J72</v>
      </c>
      <c r="G145" s="82">
        <f>IFERROR(__xludf.DUMMYFUNCTION("""COMPUTED_VALUE"""),145.0)</f>
        <v>145</v>
      </c>
      <c r="H145" s="82">
        <f>IFERROR(__xludf.DUMMYFUNCTION("""COMPUTED_VALUE"""),15507.0)</f>
        <v>15507</v>
      </c>
      <c r="I145" s="95"/>
      <c r="J145" s="96"/>
      <c r="K145" s="97"/>
      <c r="L145" s="95"/>
      <c r="M145" s="96"/>
      <c r="N145" s="97"/>
      <c r="O145" s="95"/>
      <c r="P145" s="96"/>
      <c r="Q145" s="97"/>
      <c r="R145" s="95"/>
      <c r="S145" s="96"/>
      <c r="T145" s="97"/>
      <c r="U145" s="95"/>
      <c r="V145" s="96"/>
      <c r="W145" s="97"/>
      <c r="X145" s="95"/>
      <c r="Y145" s="96"/>
      <c r="Z145" s="97"/>
      <c r="AA145" s="95"/>
      <c r="AB145" s="96"/>
      <c r="AC145" s="97"/>
      <c r="AD145" s="95"/>
      <c r="AE145" s="96"/>
      <c r="AF145" s="97">
        <f>IFERROR(__xludf.DUMMYFUNCTION("""COMPUTED_VALUE"""),45.501811426124995)</f>
        <v>45.50181143</v>
      </c>
      <c r="AG145" s="95"/>
      <c r="AH145" s="96"/>
      <c r="AI145" s="97"/>
      <c r="AJ145" s="95"/>
      <c r="AK145" s="96"/>
      <c r="AL145" s="97"/>
      <c r="AM145" s="95"/>
      <c r="AN145" s="96"/>
      <c r="AO145" s="97"/>
      <c r="AP145" s="95"/>
      <c r="AQ145" s="96"/>
      <c r="AR145" s="97"/>
      <c r="AS145" s="95"/>
      <c r="AT145" s="96"/>
      <c r="AU145" s="97"/>
      <c r="AV145" s="95"/>
      <c r="AW145" s="96"/>
      <c r="AX145" s="97"/>
      <c r="AY145" s="95"/>
      <c r="AZ145" s="96"/>
      <c r="BA145" s="97"/>
      <c r="BB145" s="95"/>
      <c r="BC145" s="96"/>
      <c r="BD145" s="97"/>
      <c r="BE145" s="95"/>
      <c r="BF145" s="96"/>
      <c r="BG145" s="97"/>
      <c r="BH145" s="95"/>
      <c r="BI145" s="96"/>
      <c r="BJ145" s="97"/>
      <c r="BK145" s="95"/>
      <c r="BL145" s="96"/>
      <c r="BM145" s="97"/>
      <c r="BN145" s="95"/>
      <c r="BO145" s="96"/>
      <c r="BP145" s="97">
        <f>IFERROR(__xludf.DUMMYFUNCTION("""COMPUTED_VALUE"""),45.54637211873802)</f>
        <v>45.54637212</v>
      </c>
      <c r="BQ145" s="95"/>
      <c r="BR145" s="96"/>
      <c r="BS145" s="97"/>
      <c r="BT145" s="95"/>
      <c r="BU145" s="96"/>
      <c r="BV145" s="97"/>
      <c r="BW145" s="95"/>
      <c r="BX145" s="96"/>
      <c r="BY145" s="97"/>
      <c r="BZ145" s="95"/>
      <c r="CA145" s="96"/>
      <c r="CB145" s="97"/>
      <c r="CC145" s="95"/>
      <c r="CD145" s="96"/>
      <c r="CE145" s="97"/>
      <c r="CF145" s="95"/>
      <c r="CG145" s="96"/>
      <c r="CH145" s="96"/>
      <c r="CI145" s="95"/>
      <c r="CJ145" s="96"/>
      <c r="CK145" s="96"/>
      <c r="CL145" s="95"/>
      <c r="CM145" s="96"/>
      <c r="CN145" s="96"/>
      <c r="CO145" s="95"/>
      <c r="CP145" s="96"/>
      <c r="CQ145" s="96"/>
      <c r="CR145" s="95"/>
      <c r="CS145" s="96"/>
      <c r="CT145" s="96"/>
      <c r="CU145" s="95"/>
      <c r="CV145" s="96"/>
      <c r="CW145" s="97"/>
      <c r="CX145" s="96"/>
      <c r="CY145" s="96"/>
      <c r="CZ145" s="97">
        <f>IFERROR(__xludf.DUMMYFUNCTION("""COMPUTED_VALUE"""),43.37075718015666)</f>
        <v>43.37075718</v>
      </c>
      <c r="DA145" s="95"/>
      <c r="DB145" s="96"/>
      <c r="DC145" s="97"/>
      <c r="DD145" s="95"/>
      <c r="DE145" s="96"/>
      <c r="DF145" s="97"/>
      <c r="DG145" s="95"/>
      <c r="DH145" s="96"/>
      <c r="DI145" s="97"/>
      <c r="DJ145" s="95"/>
      <c r="DK145" s="96"/>
      <c r="DL145" s="97"/>
      <c r="DM145" s="95"/>
      <c r="DN145" s="96"/>
      <c r="DO145" s="97"/>
      <c r="DP145" s="95"/>
      <c r="DQ145" s="96"/>
      <c r="DR145" s="97"/>
      <c r="DS145" s="95"/>
    </row>
    <row r="146">
      <c r="B146" s="120" t="str">
        <f>IFERROR(__xludf.DUMMYFUNCTION("""COMPUTED_VALUE"""),"SJK7")</f>
        <v>SJK7</v>
      </c>
      <c r="C146" s="88" t="str">
        <f>IFERROR(__xludf.DUMMYFUNCTION("""COMPUTED_VALUE"""),"Party Hall")</f>
        <v>Party Hall</v>
      </c>
      <c r="D146" s="102">
        <f>IFERROR(__xludf.DUMMYFUNCTION("""COMPUTED_VALUE"""),21.0)</f>
        <v>21</v>
      </c>
      <c r="E146" s="82" t="b">
        <f>IFERROR(__xludf.DUMMYFUNCTION("""COMPUTED_VALUE"""),TRUE)</f>
        <v>1</v>
      </c>
      <c r="F146" s="82" t="str">
        <f>IFERROR(__xludf.DUMMYFUNCTION("""COMPUTED_VALUE"""),"Free Quests- EoR!A76:J87")</f>
        <v>Free Quests- EoR!A76:J87</v>
      </c>
      <c r="G146" s="82">
        <f>IFERROR(__xludf.DUMMYFUNCTION("""COMPUTED_VALUE"""),146.0)</f>
        <v>146</v>
      </c>
      <c r="H146" s="82">
        <f>IFERROR(__xludf.DUMMYFUNCTION("""COMPUTED_VALUE"""),2858.0)</f>
        <v>2858</v>
      </c>
      <c r="I146" s="95"/>
      <c r="J146" s="96"/>
      <c r="K146" s="97"/>
      <c r="L146" s="95"/>
      <c r="M146" s="96"/>
      <c r="N146" s="97"/>
      <c r="O146" s="95"/>
      <c r="P146" s="96"/>
      <c r="Q146" s="97"/>
      <c r="R146" s="95"/>
      <c r="S146" s="96"/>
      <c r="T146" s="97"/>
      <c r="U146" s="95"/>
      <c r="V146" s="96"/>
      <c r="W146" s="97"/>
      <c r="X146" s="95"/>
      <c r="Y146" s="96"/>
      <c r="Z146" s="97"/>
      <c r="AA146" s="95"/>
      <c r="AB146" s="96"/>
      <c r="AC146" s="97"/>
      <c r="AD146" s="95"/>
      <c r="AE146" s="96"/>
      <c r="AF146" s="97">
        <f>IFERROR(__xludf.DUMMYFUNCTION("""COMPUTED_VALUE"""),107.29225510736734)</f>
        <v>107.2922551</v>
      </c>
      <c r="AG146" s="95"/>
      <c r="AH146" s="96"/>
      <c r="AI146" s="97"/>
      <c r="AJ146" s="95"/>
      <c r="AK146" s="96"/>
      <c r="AL146" s="97"/>
      <c r="AM146" s="95"/>
      <c r="AN146" s="96"/>
      <c r="AO146" s="97"/>
      <c r="AP146" s="95"/>
      <c r="AQ146" s="96"/>
      <c r="AR146" s="97"/>
      <c r="AS146" s="95"/>
      <c r="AT146" s="96"/>
      <c r="AU146" s="97"/>
      <c r="AV146" s="95"/>
      <c r="AW146" s="96"/>
      <c r="AX146" s="97">
        <f>IFERROR(__xludf.DUMMYFUNCTION("""COMPUTED_VALUE"""),73.86539853199628)</f>
        <v>73.86539853</v>
      </c>
      <c r="AY146" s="95"/>
      <c r="AZ146" s="96"/>
      <c r="BA146" s="97">
        <f>IFERROR(__xludf.DUMMYFUNCTION("""COMPUTED_VALUE"""),72.89434946730212)</f>
        <v>72.89434947</v>
      </c>
      <c r="BB146" s="95"/>
      <c r="BC146" s="96"/>
      <c r="BD146" s="97"/>
      <c r="BE146" s="95"/>
      <c r="BF146" s="96"/>
      <c r="BG146" s="97"/>
      <c r="BH146" s="95"/>
      <c r="BI146" s="96"/>
      <c r="BJ146" s="97"/>
      <c r="BK146" s="95"/>
      <c r="BL146" s="96">
        <f>IFERROR(__xludf.DUMMYFUNCTION("""COMPUTED_VALUE"""),194.33866956792042)</f>
        <v>194.3386696</v>
      </c>
      <c r="BM146" s="97"/>
      <c r="BN146" s="95"/>
      <c r="BO146" s="96"/>
      <c r="BP146" s="97">
        <f>IFERROR(__xludf.DUMMYFUNCTION("""COMPUTED_VALUE"""),141.15638258840795)</f>
        <v>141.1563826</v>
      </c>
      <c r="BQ146" s="95"/>
      <c r="BR146" s="96"/>
      <c r="BS146" s="97">
        <f>IFERROR(__xludf.DUMMYFUNCTION("""COMPUTED_VALUE"""),142.22544503213328)</f>
        <v>142.225445</v>
      </c>
      <c r="BT146" s="95"/>
      <c r="BU146" s="96"/>
      <c r="BV146" s="97"/>
      <c r="BW146" s="95"/>
      <c r="BX146" s="96"/>
      <c r="BY146" s="97"/>
      <c r="BZ146" s="95"/>
      <c r="CA146" s="96"/>
      <c r="CB146" s="97"/>
      <c r="CC146" s="95"/>
      <c r="CD146" s="96"/>
      <c r="CE146" s="97"/>
      <c r="CF146" s="95"/>
      <c r="CG146" s="96"/>
      <c r="CH146" s="96"/>
      <c r="CI146" s="95"/>
      <c r="CJ146" s="96"/>
      <c r="CK146" s="96"/>
      <c r="CL146" s="95"/>
      <c r="CM146" s="96"/>
      <c r="CN146" s="96"/>
      <c r="CO146" s="95"/>
      <c r="CP146" s="96"/>
      <c r="CQ146" s="96"/>
      <c r="CR146" s="95"/>
      <c r="CS146" s="96"/>
      <c r="CT146" s="96"/>
      <c r="CU146" s="95"/>
      <c r="CV146" s="96">
        <f>IFERROR(__xludf.DUMMYFUNCTION("""COMPUTED_VALUE"""),77.53846153846155)</f>
        <v>77.53846154</v>
      </c>
      <c r="CW146" s="97"/>
      <c r="CX146" s="96"/>
      <c r="CY146" s="96"/>
      <c r="CZ146" s="97">
        <f>IFERROR(__xludf.DUMMYFUNCTION("""COMPUTED_VALUE"""),43.826086956521735)</f>
        <v>43.82608696</v>
      </c>
      <c r="DA146" s="95"/>
      <c r="DB146" s="96"/>
      <c r="DC146" s="97"/>
      <c r="DD146" s="95"/>
      <c r="DE146" s="96"/>
      <c r="DF146" s="97"/>
      <c r="DG146" s="95"/>
      <c r="DH146" s="96"/>
      <c r="DI146" s="97"/>
      <c r="DJ146" s="95"/>
      <c r="DK146" s="96"/>
      <c r="DL146" s="97"/>
      <c r="DM146" s="95"/>
      <c r="DN146" s="96"/>
      <c r="DO146" s="97"/>
      <c r="DP146" s="95"/>
      <c r="DQ146" s="96"/>
      <c r="DR146" s="97"/>
      <c r="DS146" s="95"/>
    </row>
    <row r="147">
      <c r="B147" s="120" t="str">
        <f>IFERROR(__xludf.DUMMYFUNCTION("""COMPUTED_VALUE"""),"SJK8")</f>
        <v>SJK8</v>
      </c>
      <c r="C147" s="88" t="str">
        <f>IFERROR(__xludf.DUMMYFUNCTION("""COMPUTED_VALUE"""),"Tower - Top Floor")</f>
        <v>Tower - Top Floor</v>
      </c>
      <c r="D147" s="102">
        <f>IFERROR(__xludf.DUMMYFUNCTION("""COMPUTED_VALUE"""),21.0)</f>
        <v>21</v>
      </c>
      <c r="E147" s="82" t="b">
        <f>IFERROR(__xludf.DUMMYFUNCTION("""COMPUTED_VALUE"""),TRUE)</f>
        <v>1</v>
      </c>
      <c r="F147" s="82" t="str">
        <f>IFERROR(__xludf.DUMMYFUNCTION("""COMPUTED_VALUE"""),"Free Quests- EoR!A91:J99")</f>
        <v>Free Quests- EoR!A91:J99</v>
      </c>
      <c r="G147" s="82">
        <f>IFERROR(__xludf.DUMMYFUNCTION("""COMPUTED_VALUE"""),147.0)</f>
        <v>147</v>
      </c>
      <c r="H147" s="82">
        <f>IFERROR(__xludf.DUMMYFUNCTION("""COMPUTED_VALUE"""),14109.0)</f>
        <v>14109</v>
      </c>
      <c r="I147" s="95"/>
      <c r="J147" s="96"/>
      <c r="K147" s="97"/>
      <c r="L147" s="95">
        <f>IFERROR(__xludf.DUMMYFUNCTION("""COMPUTED_VALUE"""),180.01706063695474)</f>
        <v>180.0170606</v>
      </c>
      <c r="M147" s="96"/>
      <c r="N147" s="97"/>
      <c r="O147" s="95"/>
      <c r="P147" s="96"/>
      <c r="Q147" s="97"/>
      <c r="R147" s="95"/>
      <c r="S147" s="96"/>
      <c r="T147" s="97"/>
      <c r="U147" s="95"/>
      <c r="V147" s="96"/>
      <c r="W147" s="97"/>
      <c r="X147" s="95"/>
      <c r="Y147" s="96"/>
      <c r="Z147" s="97"/>
      <c r="AA147" s="95"/>
      <c r="AB147" s="96"/>
      <c r="AC147" s="97"/>
      <c r="AD147" s="95"/>
      <c r="AE147" s="96"/>
      <c r="AF147" s="97">
        <f>IFERROR(__xludf.DUMMYFUNCTION("""COMPUTED_VALUE"""),101.80731005686027)</f>
        <v>101.8073101</v>
      </c>
      <c r="AG147" s="95"/>
      <c r="AH147" s="96"/>
      <c r="AI147" s="97"/>
      <c r="AJ147" s="95"/>
      <c r="AK147" s="96"/>
      <c r="AL147" s="97"/>
      <c r="AM147" s="95"/>
      <c r="AN147" s="96"/>
      <c r="AO147" s="97"/>
      <c r="AP147" s="95"/>
      <c r="AQ147" s="96"/>
      <c r="AR147" s="97"/>
      <c r="AS147" s="95"/>
      <c r="AT147" s="96"/>
      <c r="AU147" s="97"/>
      <c r="AV147" s="95"/>
      <c r="AW147" s="96"/>
      <c r="AX147" s="97"/>
      <c r="AY147" s="95"/>
      <c r="AZ147" s="96"/>
      <c r="BA147" s="97"/>
      <c r="BB147" s="95"/>
      <c r="BC147" s="96"/>
      <c r="BD147" s="97">
        <f>IFERROR(__xludf.DUMMYFUNCTION("""COMPUTED_VALUE"""),501.1012239018714)</f>
        <v>501.1012239</v>
      </c>
      <c r="BE147" s="95"/>
      <c r="BF147" s="96"/>
      <c r="BG147" s="97"/>
      <c r="BH147" s="95"/>
      <c r="BI147" s="96"/>
      <c r="BJ147" s="97"/>
      <c r="BK147" s="95"/>
      <c r="BL147" s="96"/>
      <c r="BM147" s="97"/>
      <c r="BN147" s="95"/>
      <c r="BO147" s="96"/>
      <c r="BP147" s="97">
        <f>IFERROR(__xludf.DUMMYFUNCTION("""COMPUTED_VALUE"""),79.18956450422499)</f>
        <v>79.1895645</v>
      </c>
      <c r="BQ147" s="95"/>
      <c r="BR147" s="96"/>
      <c r="BS147" s="97"/>
      <c r="BT147" s="95"/>
      <c r="BU147" s="96"/>
      <c r="BV147" s="97"/>
      <c r="BW147" s="95"/>
      <c r="BX147" s="96"/>
      <c r="BY147" s="97"/>
      <c r="BZ147" s="95"/>
      <c r="CA147" s="96"/>
      <c r="CB147" s="97"/>
      <c r="CC147" s="95"/>
      <c r="CD147" s="96"/>
      <c r="CE147" s="97"/>
      <c r="CF147" s="95"/>
      <c r="CG147" s="96"/>
      <c r="CH147" s="96"/>
      <c r="CI147" s="95"/>
      <c r="CJ147" s="96"/>
      <c r="CK147" s="96"/>
      <c r="CL147" s="95"/>
      <c r="CM147" s="96">
        <f>IFERROR(__xludf.DUMMYFUNCTION("""COMPUTED_VALUE"""),436.1063784426075)</f>
        <v>436.1063784</v>
      </c>
      <c r="CN147" s="96"/>
      <c r="CO147" s="95"/>
      <c r="CP147" s="96"/>
      <c r="CQ147" s="96"/>
      <c r="CR147" s="95"/>
      <c r="CS147" s="96"/>
      <c r="CT147" s="96"/>
      <c r="CU147" s="95"/>
      <c r="CV147" s="96"/>
      <c r="CW147" s="97"/>
      <c r="CX147" s="96"/>
      <c r="CY147" s="96"/>
      <c r="CZ147" s="97">
        <f>IFERROR(__xludf.DUMMYFUNCTION("""COMPUTED_VALUE"""),81.29032258064515)</f>
        <v>81.29032258</v>
      </c>
      <c r="DA147" s="95"/>
      <c r="DB147" s="96"/>
      <c r="DC147" s="97"/>
      <c r="DD147" s="95"/>
      <c r="DE147" s="96"/>
      <c r="DF147" s="97"/>
      <c r="DG147" s="95"/>
      <c r="DH147" s="96"/>
      <c r="DI147" s="97"/>
      <c r="DJ147" s="95"/>
      <c r="DK147" s="96"/>
      <c r="DL147" s="97"/>
      <c r="DM147" s="95"/>
      <c r="DN147" s="96"/>
      <c r="DO147" s="97"/>
      <c r="DP147" s="95"/>
      <c r="DQ147" s="96"/>
      <c r="DR147" s="97"/>
      <c r="DS147" s="95"/>
    </row>
    <row r="148">
      <c r="B148" s="120" t="str">
        <f>IFERROR(__xludf.DUMMYFUNCTION("""COMPUTED_VALUE"""),"SJK9")</f>
        <v>SJK9</v>
      </c>
      <c r="C148" s="88" t="str">
        <f>IFERROR(__xludf.DUMMYFUNCTION("""COMPUTED_VALUE"""),"Shinjuku Gyoen")</f>
        <v>Shinjuku Gyoen</v>
      </c>
      <c r="D148" s="102">
        <f>IFERROR(__xludf.DUMMYFUNCTION("""COMPUTED_VALUE"""),21.0)</f>
        <v>21</v>
      </c>
      <c r="E148" s="82" t="b">
        <f>IFERROR(__xludf.DUMMYFUNCTION("""COMPUTED_VALUE"""),TRUE)</f>
        <v>1</v>
      </c>
      <c r="F148" s="82" t="str">
        <f>IFERROR(__xludf.DUMMYFUNCTION("""COMPUTED_VALUE"""),"Free Quests- EoR!A103:J112")</f>
        <v>Free Quests- EoR!A103:J112</v>
      </c>
      <c r="G148" s="82">
        <f>IFERROR(__xludf.DUMMYFUNCTION("""COMPUTED_VALUE"""),148.0)</f>
        <v>148</v>
      </c>
      <c r="H148" s="82">
        <f>IFERROR(__xludf.DUMMYFUNCTION("""COMPUTED_VALUE"""),62147.0)</f>
        <v>62147</v>
      </c>
      <c r="I148" s="95"/>
      <c r="J148" s="96">
        <f>IFERROR(__xludf.DUMMYFUNCTION("""COMPUTED_VALUE"""),175.27356970185335)</f>
        <v>175.2735697</v>
      </c>
      <c r="K148" s="97"/>
      <c r="L148" s="95"/>
      <c r="M148" s="96"/>
      <c r="N148" s="97"/>
      <c r="O148" s="95"/>
      <c r="P148" s="96"/>
      <c r="Q148" s="97"/>
      <c r="R148" s="95"/>
      <c r="S148" s="96"/>
      <c r="T148" s="97"/>
      <c r="U148" s="95"/>
      <c r="V148" s="96"/>
      <c r="W148" s="97"/>
      <c r="X148" s="95"/>
      <c r="Y148" s="96"/>
      <c r="Z148" s="97"/>
      <c r="AA148" s="95"/>
      <c r="AB148" s="96"/>
      <c r="AC148" s="97"/>
      <c r="AD148" s="95"/>
      <c r="AE148" s="96"/>
      <c r="AF148" s="97"/>
      <c r="AG148" s="95"/>
      <c r="AH148" s="96"/>
      <c r="AI148" s="97"/>
      <c r="AJ148" s="95"/>
      <c r="AK148" s="96"/>
      <c r="AL148" s="97"/>
      <c r="AM148" s="95"/>
      <c r="AN148" s="96"/>
      <c r="AO148" s="97"/>
      <c r="AP148" s="95"/>
      <c r="AQ148" s="96"/>
      <c r="AR148" s="97"/>
      <c r="AS148" s="95"/>
      <c r="AT148" s="96"/>
      <c r="AU148" s="97"/>
      <c r="AV148" s="95"/>
      <c r="AW148" s="96"/>
      <c r="AX148" s="97"/>
      <c r="AY148" s="95"/>
      <c r="AZ148" s="96"/>
      <c r="BA148" s="97">
        <f>IFERROR(__xludf.DUMMYFUNCTION("""COMPUTED_VALUE"""),69.4193366507004)</f>
        <v>69.41933665</v>
      </c>
      <c r="BB148" s="95"/>
      <c r="BC148" s="96"/>
      <c r="BD148" s="97"/>
      <c r="BE148" s="95"/>
      <c r="BF148" s="96"/>
      <c r="BG148" s="97"/>
      <c r="BH148" s="95">
        <f>IFERROR(__xludf.DUMMYFUNCTION("""COMPUTED_VALUE"""),470.5802124421522)</f>
        <v>470.5802124</v>
      </c>
      <c r="BI148" s="96"/>
      <c r="BJ148" s="97"/>
      <c r="BK148" s="95"/>
      <c r="BL148" s="96"/>
      <c r="BM148" s="97"/>
      <c r="BN148" s="95"/>
      <c r="BO148" s="96"/>
      <c r="BP148" s="97"/>
      <c r="BQ148" s="95"/>
      <c r="BR148" s="96"/>
      <c r="BS148" s="97"/>
      <c r="BT148" s="95"/>
      <c r="BU148" s="96"/>
      <c r="BV148" s="97">
        <f>IFERROR(__xludf.DUMMYFUNCTION("""COMPUTED_VALUE"""),54.12248822871749)</f>
        <v>54.12248823</v>
      </c>
      <c r="BW148" s="95"/>
      <c r="BX148" s="96"/>
      <c r="BY148" s="97"/>
      <c r="BZ148" s="95"/>
      <c r="CA148" s="96"/>
      <c r="CB148" s="97"/>
      <c r="CC148" s="95"/>
      <c r="CD148" s="96"/>
      <c r="CE148" s="97"/>
      <c r="CF148" s="95"/>
      <c r="CG148" s="96"/>
      <c r="CH148" s="96"/>
      <c r="CI148" s="95"/>
      <c r="CJ148" s="96"/>
      <c r="CK148" s="96"/>
      <c r="CL148" s="95"/>
      <c r="CM148" s="96"/>
      <c r="CN148" s="96"/>
      <c r="CO148" s="95"/>
      <c r="CP148" s="96"/>
      <c r="CQ148" s="96">
        <f>IFERROR(__xludf.DUMMYFUNCTION("""COMPUTED_VALUE"""),418.95000000000005)</f>
        <v>418.95</v>
      </c>
      <c r="CR148" s="95"/>
      <c r="CS148" s="96"/>
      <c r="CT148" s="96"/>
      <c r="CU148" s="95"/>
      <c r="CV148" s="96"/>
      <c r="CW148" s="97"/>
      <c r="CX148" s="96"/>
      <c r="CY148" s="96">
        <f>IFERROR(__xludf.DUMMYFUNCTION("""COMPUTED_VALUE"""),214.84615384615387)</f>
        <v>214.8461538</v>
      </c>
      <c r="CZ148" s="97"/>
      <c r="DA148" s="95"/>
      <c r="DB148" s="96"/>
      <c r="DC148" s="97"/>
      <c r="DD148" s="95"/>
      <c r="DE148" s="96"/>
      <c r="DF148" s="97"/>
      <c r="DG148" s="95">
        <f>IFERROR(__xludf.DUMMYFUNCTION("""COMPUTED_VALUE"""),151.24548736462094)</f>
        <v>151.2454874</v>
      </c>
      <c r="DH148" s="96"/>
      <c r="DI148" s="97"/>
      <c r="DJ148" s="95"/>
      <c r="DK148" s="96"/>
      <c r="DL148" s="97"/>
      <c r="DM148" s="95"/>
      <c r="DN148" s="96"/>
      <c r="DO148" s="97"/>
      <c r="DP148" s="95"/>
      <c r="DQ148" s="96"/>
      <c r="DR148" s="97"/>
      <c r="DS148" s="95"/>
    </row>
    <row r="149">
      <c r="B149" s="120" t="str">
        <f>IFERROR(__xludf.DUMMYFUNCTION("""COMPUTED_VALUE"""),"SJK10")</f>
        <v>SJK10</v>
      </c>
      <c r="C149" s="88" t="str">
        <f>IFERROR(__xludf.DUMMYFUNCTION("""COMPUTED_VALUE"""),"Shinjuku 2-chome")</f>
        <v>Shinjuku 2-chome</v>
      </c>
      <c r="D149" s="102">
        <f>IFERROR(__xludf.DUMMYFUNCTION("""COMPUTED_VALUE"""),21.0)</f>
        <v>21</v>
      </c>
      <c r="E149" s="82" t="b">
        <f>IFERROR(__xludf.DUMMYFUNCTION("""COMPUTED_VALUE"""),TRUE)</f>
        <v>1</v>
      </c>
      <c r="F149" s="82" t="str">
        <f>IFERROR(__xludf.DUMMYFUNCTION("""COMPUTED_VALUE"""),"Free Quests- EoR!A116:J130")</f>
        <v>Free Quests- EoR!A116:J130</v>
      </c>
      <c r="G149" s="82">
        <f>IFERROR(__xludf.DUMMYFUNCTION("""COMPUTED_VALUE"""),149.0)</f>
        <v>149</v>
      </c>
      <c r="H149" s="82">
        <f>IFERROR(__xludf.DUMMYFUNCTION("""COMPUTED_VALUE"""),72297.0)</f>
        <v>72297</v>
      </c>
      <c r="I149" s="95"/>
      <c r="J149" s="96"/>
      <c r="K149" s="97"/>
      <c r="L149" s="95"/>
      <c r="M149" s="96"/>
      <c r="N149" s="97">
        <f>IFERROR(__xludf.DUMMYFUNCTION("""COMPUTED_VALUE"""),115.8069950563081)</f>
        <v>115.8069951</v>
      </c>
      <c r="O149" s="95"/>
      <c r="P149" s="96"/>
      <c r="Q149" s="97"/>
      <c r="R149" s="95"/>
      <c r="S149" s="96"/>
      <c r="T149" s="97"/>
      <c r="U149" s="95"/>
      <c r="V149" s="96"/>
      <c r="W149" s="97"/>
      <c r="X149" s="95"/>
      <c r="Y149" s="96"/>
      <c r="Z149" s="97"/>
      <c r="AA149" s="95"/>
      <c r="AB149" s="96"/>
      <c r="AC149" s="97"/>
      <c r="AD149" s="95"/>
      <c r="AE149" s="96"/>
      <c r="AF149" s="97"/>
      <c r="AG149" s="95">
        <f>IFERROR(__xludf.DUMMYFUNCTION("""COMPUTED_VALUE"""),69.49871690056644)</f>
        <v>69.4987169</v>
      </c>
      <c r="AH149" s="96"/>
      <c r="AI149" s="97"/>
      <c r="AJ149" s="95"/>
      <c r="AK149" s="96"/>
      <c r="AL149" s="97"/>
      <c r="AM149" s="95"/>
      <c r="AN149" s="96"/>
      <c r="AO149" s="97"/>
      <c r="AP149" s="95"/>
      <c r="AQ149" s="96"/>
      <c r="AR149" s="97"/>
      <c r="AS149" s="95"/>
      <c r="AT149" s="96"/>
      <c r="AU149" s="97"/>
      <c r="AV149" s="95"/>
      <c r="AW149" s="96"/>
      <c r="AX149" s="97"/>
      <c r="AY149" s="95"/>
      <c r="AZ149" s="96"/>
      <c r="BA149" s="97"/>
      <c r="BB149" s="95"/>
      <c r="BC149" s="96"/>
      <c r="BD149" s="97"/>
      <c r="BE149" s="95"/>
      <c r="BF149" s="96"/>
      <c r="BG149" s="97"/>
      <c r="BH149" s="95">
        <f>IFERROR(__xludf.DUMMYFUNCTION("""COMPUTED_VALUE"""),636.4140493169989)</f>
        <v>636.4140493</v>
      </c>
      <c r="BI149" s="96"/>
      <c r="BJ149" s="97"/>
      <c r="BK149" s="95"/>
      <c r="BL149" s="96">
        <f>IFERROR(__xludf.DUMMYFUNCTION("""COMPUTED_VALUE"""),255.91424033590638)</f>
        <v>255.9142403</v>
      </c>
      <c r="BM149" s="97"/>
      <c r="BN149" s="95"/>
      <c r="BO149" s="96">
        <f>IFERROR(__xludf.DUMMYFUNCTION("""COMPUTED_VALUE"""),107.29845772274034)</f>
        <v>107.2984577</v>
      </c>
      <c r="BP149" s="97"/>
      <c r="BQ149" s="95"/>
      <c r="BR149" s="96"/>
      <c r="BS149" s="97"/>
      <c r="BT149" s="95"/>
      <c r="BU149" s="96"/>
      <c r="BV149" s="97">
        <f>IFERROR(__xludf.DUMMYFUNCTION("""COMPUTED_VALUE"""),250.25380841114668)</f>
        <v>250.2538084</v>
      </c>
      <c r="BW149" s="95"/>
      <c r="BX149" s="96"/>
      <c r="BY149" s="97"/>
      <c r="BZ149" s="95"/>
      <c r="CA149" s="96"/>
      <c r="CB149" s="97"/>
      <c r="CC149" s="95"/>
      <c r="CD149" s="96"/>
      <c r="CE149" s="97"/>
      <c r="CF149" s="95"/>
      <c r="CG149" s="96"/>
      <c r="CH149" s="96"/>
      <c r="CI149" s="95"/>
      <c r="CJ149" s="96"/>
      <c r="CK149" s="96"/>
      <c r="CL149" s="95"/>
      <c r="CM149" s="96"/>
      <c r="CN149" s="96">
        <f>IFERROR(__xludf.DUMMYFUNCTION("""COMPUTED_VALUE"""),483.5188234449867)</f>
        <v>483.5188234</v>
      </c>
      <c r="CO149" s="95"/>
      <c r="CP149" s="96"/>
      <c r="CQ149" s="96"/>
      <c r="CR149" s="95"/>
      <c r="CS149" s="96"/>
      <c r="CT149" s="96"/>
      <c r="CU149" s="95"/>
      <c r="CV149" s="96"/>
      <c r="CW149" s="97"/>
      <c r="CX149" s="96"/>
      <c r="CY149" s="96">
        <f>IFERROR(__xludf.DUMMYFUNCTION("""COMPUTED_VALUE"""),288.9493670886076)</f>
        <v>288.9493671</v>
      </c>
      <c r="CZ149" s="97"/>
      <c r="DA149" s="95"/>
      <c r="DB149" s="96"/>
      <c r="DC149" s="97"/>
      <c r="DD149" s="95"/>
      <c r="DE149" s="96"/>
      <c r="DF149" s="97"/>
      <c r="DG149" s="95">
        <f>IFERROR(__xludf.DUMMYFUNCTION("""COMPUTED_VALUE"""),106.17209302325583)</f>
        <v>106.172093</v>
      </c>
      <c r="DH149" s="96"/>
      <c r="DI149" s="97"/>
      <c r="DJ149" s="95"/>
      <c r="DK149" s="96"/>
      <c r="DL149" s="97"/>
      <c r="DM149" s="95"/>
      <c r="DN149" s="96"/>
      <c r="DO149" s="97">
        <f>IFERROR(__xludf.DUMMYFUNCTION("""COMPUTED_VALUE"""),465.85714285714283)</f>
        <v>465.8571429</v>
      </c>
      <c r="DP149" s="95"/>
      <c r="DQ149" s="96"/>
      <c r="DR149" s="97"/>
      <c r="DS149" s="95"/>
    </row>
    <row r="150">
      <c r="A150" s="152" t="str">
        <f>IFERROR(__xludf.DUMMYFUNCTION("""COMPUTED_VALUE"""),"AGARTHA")</f>
        <v>AGARTHA</v>
      </c>
      <c r="B150" s="120" t="str">
        <f>IFERROR(__xludf.DUMMYFUNCTION("""COMPUTED_VALUE"""),"AGT1")</f>
        <v>AGT1</v>
      </c>
      <c r="C150" s="88" t="str">
        <f>IFERROR(__xludf.DUMMYFUNCTION("""COMPUTED_VALUE"""),"Underground Plains")</f>
        <v>Underground Plains</v>
      </c>
      <c r="D150" s="102">
        <f>IFERROR(__xludf.DUMMYFUNCTION("""COMPUTED_VALUE"""),20.0)</f>
        <v>20</v>
      </c>
      <c r="E150" s="82" t="b">
        <f>IFERROR(__xludf.DUMMYFUNCTION("""COMPUTED_VALUE"""),TRUE)</f>
        <v>1</v>
      </c>
      <c r="F150" s="82" t="str">
        <f>IFERROR(__xludf.DUMMYFUNCTION("""COMPUTED_VALUE"""),"Free Quests- EoR!A136:J145")</f>
        <v>Free Quests- EoR!A136:J145</v>
      </c>
      <c r="G150" s="82">
        <f>IFERROR(__xludf.DUMMYFUNCTION("""COMPUTED_VALUE"""),150.0)</f>
        <v>150</v>
      </c>
      <c r="H150" s="82">
        <f>IFERROR(__xludf.DUMMYFUNCTION("""COMPUTED_VALUE"""),26982.0)</f>
        <v>26982</v>
      </c>
      <c r="I150" s="95">
        <f>IFERROR(__xludf.DUMMYFUNCTION("""COMPUTED_VALUE"""),97.66002543973887)</f>
        <v>97.66002544</v>
      </c>
      <c r="J150" s="96"/>
      <c r="K150" s="97"/>
      <c r="L150" s="95"/>
      <c r="M150" s="96"/>
      <c r="N150" s="97"/>
      <c r="O150" s="95"/>
      <c r="P150" s="96"/>
      <c r="Q150" s="97"/>
      <c r="R150" s="95"/>
      <c r="S150" s="96"/>
      <c r="T150" s="97"/>
      <c r="U150" s="95"/>
      <c r="V150" s="96"/>
      <c r="W150" s="97"/>
      <c r="X150" s="95"/>
      <c r="Y150" s="96"/>
      <c r="Z150" s="97"/>
      <c r="AA150" s="95"/>
      <c r="AB150" s="96"/>
      <c r="AC150" s="97"/>
      <c r="AD150" s="95"/>
      <c r="AE150" s="96"/>
      <c r="AF150" s="97"/>
      <c r="AG150" s="95"/>
      <c r="AH150" s="96"/>
      <c r="AI150" s="97"/>
      <c r="AJ150" s="95"/>
      <c r="AK150" s="96"/>
      <c r="AL150" s="97"/>
      <c r="AM150" s="95"/>
      <c r="AN150" s="96"/>
      <c r="AO150" s="97"/>
      <c r="AP150" s="95"/>
      <c r="AQ150" s="96"/>
      <c r="AR150" s="97"/>
      <c r="AS150" s="95"/>
      <c r="AT150" s="96"/>
      <c r="AU150" s="97"/>
      <c r="AV150" s="95"/>
      <c r="AW150" s="96">
        <f>IFERROR(__xludf.DUMMYFUNCTION("""COMPUTED_VALUE"""),50.1866514890269)</f>
        <v>50.18665149</v>
      </c>
      <c r="AX150" s="97"/>
      <c r="AY150" s="95"/>
      <c r="AZ150" s="96"/>
      <c r="BA150" s="97"/>
      <c r="BB150" s="95"/>
      <c r="BC150" s="96"/>
      <c r="BD150" s="97"/>
      <c r="BE150" s="95"/>
      <c r="BF150" s="96"/>
      <c r="BG150" s="97"/>
      <c r="BH150" s="95"/>
      <c r="BI150" s="96"/>
      <c r="BJ150" s="97">
        <f>IFERROR(__xludf.DUMMYFUNCTION("""COMPUTED_VALUE"""),391.798684420695)</f>
        <v>391.7986844</v>
      </c>
      <c r="BK150" s="95"/>
      <c r="BL150" s="96"/>
      <c r="BM150" s="97"/>
      <c r="BN150" s="95"/>
      <c r="BO150" s="96"/>
      <c r="BP150" s="97"/>
      <c r="BQ150" s="95"/>
      <c r="BR150" s="96"/>
      <c r="BS150" s="97"/>
      <c r="BT150" s="95"/>
      <c r="BU150" s="96">
        <f>IFERROR(__xludf.DUMMYFUNCTION("""COMPUTED_VALUE"""),67.64447610051305)</f>
        <v>67.6444761</v>
      </c>
      <c r="BV150" s="97"/>
      <c r="BW150" s="95"/>
      <c r="BX150" s="96"/>
      <c r="BY150" s="97"/>
      <c r="BZ150" s="95"/>
      <c r="CA150" s="96"/>
      <c r="CB150" s="97"/>
      <c r="CC150" s="95"/>
      <c r="CD150" s="96"/>
      <c r="CE150" s="97"/>
      <c r="CF150" s="95"/>
      <c r="CG150" s="96"/>
      <c r="CH150" s="96"/>
      <c r="CI150" s="95"/>
      <c r="CJ150" s="96"/>
      <c r="CK150" s="96"/>
      <c r="CL150" s="95"/>
      <c r="CM150" s="96"/>
      <c r="CN150" s="96"/>
      <c r="CO150" s="95"/>
      <c r="CP150" s="96"/>
      <c r="CQ150" s="96"/>
      <c r="CR150" s="95"/>
      <c r="CS150" s="96">
        <f>IFERROR(__xludf.DUMMYFUNCTION("""COMPUTED_VALUE"""),394.2857142857143)</f>
        <v>394.2857143</v>
      </c>
      <c r="CT150" s="96"/>
      <c r="CU150" s="95"/>
      <c r="CV150" s="96"/>
      <c r="CW150" s="97"/>
      <c r="CX150" s="96"/>
      <c r="CY150" s="96"/>
      <c r="CZ150" s="97"/>
      <c r="DA150" s="95"/>
      <c r="DB150" s="96"/>
      <c r="DC150" s="97"/>
      <c r="DD150" s="95"/>
      <c r="DE150" s="96"/>
      <c r="DF150" s="97"/>
      <c r="DG150" s="95"/>
      <c r="DH150" s="96"/>
      <c r="DI150" s="97"/>
      <c r="DJ150" s="95"/>
      <c r="DK150" s="96"/>
      <c r="DL150" s="97"/>
      <c r="DM150" s="95"/>
      <c r="DN150" s="96">
        <f>IFERROR(__xludf.DUMMYFUNCTION("""COMPUTED_VALUE"""),68.48)</f>
        <v>68.48</v>
      </c>
      <c r="DO150" s="97"/>
      <c r="DP150" s="95"/>
      <c r="DQ150" s="96"/>
      <c r="DR150" s="97"/>
      <c r="DS150" s="95"/>
    </row>
    <row r="151">
      <c r="B151" s="120" t="str">
        <f>IFERROR(__xludf.DUMMYFUNCTION("""COMPUTED_VALUE"""),"AGT2")</f>
        <v>AGT2</v>
      </c>
      <c r="C151" s="88" t="str">
        <f>IFERROR(__xludf.DUMMYFUNCTION("""COMPUTED_VALUE"""),"Camping Ground")</f>
        <v>Camping Ground</v>
      </c>
      <c r="D151" s="102">
        <f>IFERROR(__xludf.DUMMYFUNCTION("""COMPUTED_VALUE"""),20.0)</f>
        <v>20</v>
      </c>
      <c r="E151" s="82" t="b">
        <f>IFERROR(__xludf.DUMMYFUNCTION("""COMPUTED_VALUE"""),TRUE)</f>
        <v>1</v>
      </c>
      <c r="F151" s="82" t="str">
        <f>IFERROR(__xludf.DUMMYFUNCTION("""COMPUTED_VALUE"""),"Free Quests- EoR!A149:J161")</f>
        <v>Free Quests- EoR!A149:J161</v>
      </c>
      <c r="G151" s="82">
        <f>IFERROR(__xludf.DUMMYFUNCTION("""COMPUTED_VALUE"""),151.0)</f>
        <v>151</v>
      </c>
      <c r="H151" s="82">
        <f>IFERROR(__xludf.DUMMYFUNCTION("""COMPUTED_VALUE"""),2464.0)</f>
        <v>2464</v>
      </c>
      <c r="I151" s="95"/>
      <c r="J151" s="96"/>
      <c r="K151" s="97"/>
      <c r="L151" s="95"/>
      <c r="M151" s="96">
        <f>IFERROR(__xludf.DUMMYFUNCTION("""COMPUTED_VALUE"""),93.32378885492773)</f>
        <v>93.32378885</v>
      </c>
      <c r="N151" s="97"/>
      <c r="O151" s="95"/>
      <c r="P151" s="96"/>
      <c r="Q151" s="97"/>
      <c r="R151" s="95"/>
      <c r="S151" s="96"/>
      <c r="T151" s="97"/>
      <c r="U151" s="95"/>
      <c r="V151" s="96"/>
      <c r="W151" s="97"/>
      <c r="X151" s="95"/>
      <c r="Y151" s="96"/>
      <c r="Z151" s="97"/>
      <c r="AA151" s="95">
        <f>IFERROR(__xludf.DUMMYFUNCTION("""COMPUTED_VALUE"""),117.75106926955148)</f>
        <v>117.7510693</v>
      </c>
      <c r="AB151" s="96"/>
      <c r="AC151" s="97"/>
      <c r="AD151" s="95"/>
      <c r="AE151" s="96">
        <f>IFERROR(__xludf.DUMMYFUNCTION("""COMPUTED_VALUE"""),134.5907518018719)</f>
        <v>134.5907518</v>
      </c>
      <c r="AF151" s="97"/>
      <c r="AG151" s="95"/>
      <c r="AH151" s="96"/>
      <c r="AI151" s="97"/>
      <c r="AJ151" s="95"/>
      <c r="AK151" s="96"/>
      <c r="AL151" s="97"/>
      <c r="AM151" s="95"/>
      <c r="AN151" s="96"/>
      <c r="AO151" s="97"/>
      <c r="AP151" s="95"/>
      <c r="AQ151" s="96"/>
      <c r="AR151" s="97"/>
      <c r="AS151" s="95"/>
      <c r="AT151" s="96"/>
      <c r="AU151" s="97"/>
      <c r="AV151" s="95"/>
      <c r="AW151" s="96"/>
      <c r="AX151" s="97"/>
      <c r="AY151" s="95"/>
      <c r="AZ151" s="96"/>
      <c r="BA151" s="97"/>
      <c r="BB151" s="95"/>
      <c r="BC151" s="96"/>
      <c r="BD151" s="97"/>
      <c r="BE151" s="95"/>
      <c r="BF151" s="96"/>
      <c r="BG151" s="97"/>
      <c r="BH151" s="95"/>
      <c r="BI151" s="96"/>
      <c r="BJ151" s="97"/>
      <c r="BK151" s="95"/>
      <c r="BL151" s="96"/>
      <c r="BM151" s="97">
        <f>IFERROR(__xludf.DUMMYFUNCTION("""COMPUTED_VALUE"""),112.34956033659272)</f>
        <v>112.3495603</v>
      </c>
      <c r="BN151" s="95"/>
      <c r="BO151" s="96"/>
      <c r="BP151" s="97"/>
      <c r="BQ151" s="95"/>
      <c r="BR151" s="96"/>
      <c r="BS151" s="97"/>
      <c r="BT151" s="95">
        <f>IFERROR(__xludf.DUMMYFUNCTION("""COMPUTED_VALUE"""),48.3919591575007)</f>
        <v>48.39195916</v>
      </c>
      <c r="BU151" s="96"/>
      <c r="BV151" s="97"/>
      <c r="BW151" s="95"/>
      <c r="BX151" s="96"/>
      <c r="BY151" s="97"/>
      <c r="BZ151" s="95"/>
      <c r="CA151" s="96"/>
      <c r="CB151" s="97"/>
      <c r="CC151" s="95"/>
      <c r="CD151" s="96"/>
      <c r="CE151" s="97"/>
      <c r="CF151" s="95"/>
      <c r="CG151" s="96"/>
      <c r="CH151" s="96"/>
      <c r="CI151" s="95"/>
      <c r="CJ151" s="96"/>
      <c r="CK151" s="96"/>
      <c r="CL151" s="95"/>
      <c r="CM151" s="96"/>
      <c r="CN151" s="96"/>
      <c r="CO151" s="95">
        <f>IFERROR(__xludf.DUMMYFUNCTION("""COMPUTED_VALUE"""),356.1671557219468)</f>
        <v>356.1671557</v>
      </c>
      <c r="CP151" s="96"/>
      <c r="CQ151" s="96"/>
      <c r="CR151" s="95"/>
      <c r="CS151" s="96"/>
      <c r="CT151" s="96"/>
      <c r="CU151" s="95"/>
      <c r="CV151" s="96"/>
      <c r="CW151" s="97"/>
      <c r="CX151" s="96"/>
      <c r="CY151" s="96"/>
      <c r="CZ151" s="97"/>
      <c r="DA151" s="95"/>
      <c r="DB151" s="96"/>
      <c r="DC151" s="97"/>
      <c r="DD151" s="95"/>
      <c r="DE151" s="96">
        <f>IFERROR(__xludf.DUMMYFUNCTION("""COMPUTED_VALUE"""),172.22222222222223)</f>
        <v>172.2222222</v>
      </c>
      <c r="DF151" s="97"/>
      <c r="DG151" s="95"/>
      <c r="DH151" s="96"/>
      <c r="DI151" s="97"/>
      <c r="DJ151" s="95"/>
      <c r="DK151" s="96"/>
      <c r="DL151" s="97"/>
      <c r="DM151" s="95">
        <f>IFERROR(__xludf.DUMMYFUNCTION("""COMPUTED_VALUE"""),96.875)</f>
        <v>96.875</v>
      </c>
      <c r="DN151" s="96"/>
      <c r="DO151" s="97"/>
      <c r="DP151" s="95"/>
      <c r="DQ151" s="96"/>
      <c r="DR151" s="97"/>
      <c r="DS151" s="95"/>
    </row>
    <row r="152">
      <c r="B152" s="120" t="str">
        <f>IFERROR(__xludf.DUMMYFUNCTION("""COMPUTED_VALUE"""),"AGT3")</f>
        <v>AGT3</v>
      </c>
      <c r="C152" s="88" t="str">
        <f>IFERROR(__xludf.DUMMYFUNCTION("""COMPUTED_VALUE"""),"Riverside Town")</f>
        <v>Riverside Town</v>
      </c>
      <c r="D152" s="102">
        <f>IFERROR(__xludf.DUMMYFUNCTION("""COMPUTED_VALUE"""),20.0)</f>
        <v>20</v>
      </c>
      <c r="E152" s="82" t="b">
        <f>IFERROR(__xludf.DUMMYFUNCTION("""COMPUTED_VALUE"""),TRUE)</f>
        <v>1</v>
      </c>
      <c r="F152" s="82" t="str">
        <f>IFERROR(__xludf.DUMMYFUNCTION("""COMPUTED_VALUE"""),"Free Quests- EoR!A165:J177")</f>
        <v>Free Quests- EoR!A165:J177</v>
      </c>
      <c r="G152" s="82">
        <f>IFERROR(__xludf.DUMMYFUNCTION("""COMPUTED_VALUE"""),152.0)</f>
        <v>152</v>
      </c>
      <c r="H152" s="82">
        <f>IFERROR(__xludf.DUMMYFUNCTION("""COMPUTED_VALUE"""),20803.0)</f>
        <v>20803</v>
      </c>
      <c r="I152" s="95"/>
      <c r="J152" s="96"/>
      <c r="K152" s="97"/>
      <c r="L152" s="95"/>
      <c r="M152" s="96"/>
      <c r="N152" s="97"/>
      <c r="O152" s="95"/>
      <c r="P152" s="96"/>
      <c r="Q152" s="97"/>
      <c r="R152" s="95"/>
      <c r="S152" s="96"/>
      <c r="T152" s="97"/>
      <c r="U152" s="95"/>
      <c r="V152" s="96"/>
      <c r="W152" s="97"/>
      <c r="X152" s="95"/>
      <c r="Y152" s="96"/>
      <c r="Z152" s="97"/>
      <c r="AA152" s="95">
        <f>IFERROR(__xludf.DUMMYFUNCTION("""COMPUTED_VALUE"""),50.59959166180608)</f>
        <v>50.59959166</v>
      </c>
      <c r="AB152" s="96"/>
      <c r="AC152" s="97"/>
      <c r="AD152" s="95"/>
      <c r="AE152" s="96">
        <f>IFERROR(__xludf.DUMMYFUNCTION("""COMPUTED_VALUE"""),97.54142028508166)</f>
        <v>97.54142029</v>
      </c>
      <c r="AF152" s="97"/>
      <c r="AG152" s="95"/>
      <c r="AH152" s="96"/>
      <c r="AI152" s="97"/>
      <c r="AJ152" s="95"/>
      <c r="AK152" s="96"/>
      <c r="AL152" s="97"/>
      <c r="AM152" s="95"/>
      <c r="AN152" s="96"/>
      <c r="AO152" s="97"/>
      <c r="AP152" s="95"/>
      <c r="AQ152" s="96"/>
      <c r="AR152" s="97"/>
      <c r="AS152" s="95"/>
      <c r="AT152" s="96"/>
      <c r="AU152" s="97"/>
      <c r="AV152" s="95"/>
      <c r="AW152" s="96"/>
      <c r="AX152" s="97"/>
      <c r="AY152" s="95"/>
      <c r="AZ152" s="96"/>
      <c r="BA152" s="97"/>
      <c r="BB152" s="95"/>
      <c r="BC152" s="96"/>
      <c r="BD152" s="97">
        <f>IFERROR(__xludf.DUMMYFUNCTION("""COMPUTED_VALUE"""),584.882955932051)</f>
        <v>584.8829559</v>
      </c>
      <c r="BE152" s="95"/>
      <c r="BF152" s="96"/>
      <c r="BG152" s="97"/>
      <c r="BH152" s="95"/>
      <c r="BI152" s="96"/>
      <c r="BJ152" s="97"/>
      <c r="BK152" s="95">
        <f>IFERROR(__xludf.DUMMYFUNCTION("""COMPUTED_VALUE"""),134.57033941119732)</f>
        <v>134.5703394</v>
      </c>
      <c r="BL152" s="96"/>
      <c r="BM152" s="97"/>
      <c r="BN152" s="95"/>
      <c r="BO152" s="96"/>
      <c r="BP152" s="97"/>
      <c r="BQ152" s="95"/>
      <c r="BR152" s="96">
        <f>IFERROR(__xludf.DUMMYFUNCTION("""COMPUTED_VALUE"""),51.13860397977957)</f>
        <v>51.13860398</v>
      </c>
      <c r="BS152" s="97"/>
      <c r="BT152" s="95"/>
      <c r="BU152" s="96"/>
      <c r="BV152" s="97"/>
      <c r="BW152" s="95"/>
      <c r="BX152" s="96"/>
      <c r="BY152" s="97"/>
      <c r="BZ152" s="95"/>
      <c r="CA152" s="96"/>
      <c r="CB152" s="97"/>
      <c r="CC152" s="95"/>
      <c r="CD152" s="96"/>
      <c r="CE152" s="97"/>
      <c r="CF152" s="95"/>
      <c r="CG152" s="96"/>
      <c r="CH152" s="96"/>
      <c r="CI152" s="95"/>
      <c r="CJ152" s="96"/>
      <c r="CK152" s="96"/>
      <c r="CL152" s="95"/>
      <c r="CM152" s="96"/>
      <c r="CN152" s="96"/>
      <c r="CO152" s="95"/>
      <c r="CP152" s="96"/>
      <c r="CQ152" s="96"/>
      <c r="CR152" s="95"/>
      <c r="CS152" s="96"/>
      <c r="CT152" s="96"/>
      <c r="CU152" s="95">
        <f>IFERROR(__xludf.DUMMYFUNCTION("""COMPUTED_VALUE"""),378.1818181818182)</f>
        <v>378.1818182</v>
      </c>
      <c r="CV152" s="96"/>
      <c r="CW152" s="97"/>
      <c r="CX152" s="96"/>
      <c r="CY152" s="96"/>
      <c r="CZ152" s="97"/>
      <c r="DA152" s="95"/>
      <c r="DB152" s="96"/>
      <c r="DC152" s="97">
        <f>IFERROR(__xludf.DUMMYFUNCTION("""COMPUTED_VALUE"""),104.0)</f>
        <v>104</v>
      </c>
      <c r="DD152" s="95"/>
      <c r="DE152" s="96"/>
      <c r="DF152" s="97"/>
      <c r="DG152" s="95"/>
      <c r="DH152" s="96"/>
      <c r="DI152" s="97"/>
      <c r="DJ152" s="95"/>
      <c r="DK152" s="96">
        <f>IFERROR(__xludf.DUMMYFUNCTION("""COMPUTED_VALUE"""),80.0)</f>
        <v>80</v>
      </c>
      <c r="DL152" s="97"/>
      <c r="DM152" s="95"/>
      <c r="DN152" s="96"/>
      <c r="DO152" s="97"/>
      <c r="DP152" s="95"/>
      <c r="DQ152" s="96"/>
      <c r="DR152" s="97"/>
      <c r="DS152" s="95"/>
    </row>
    <row r="153">
      <c r="B153" s="120" t="str">
        <f>IFERROR(__xludf.DUMMYFUNCTION("""COMPUTED_VALUE"""),"AGT4")</f>
        <v>AGT4</v>
      </c>
      <c r="C153" s="88" t="str">
        <f>IFERROR(__xludf.DUMMYFUNCTION("""COMPUTED_VALUE"""),"Peach Blossom Shangri-La")</f>
        <v>Peach Blossom Shangri-La</v>
      </c>
      <c r="D153" s="102">
        <f>IFERROR(__xludf.DUMMYFUNCTION("""COMPUTED_VALUE"""),21.0)</f>
        <v>21</v>
      </c>
      <c r="E153" s="82" t="b">
        <f>IFERROR(__xludf.DUMMYFUNCTION("""COMPUTED_VALUE"""),TRUE)</f>
        <v>1</v>
      </c>
      <c r="F153" s="82" t="str">
        <f>IFERROR(__xludf.DUMMYFUNCTION("""COMPUTED_VALUE"""),"Free Quests- EoR!A181:J192")</f>
        <v>Free Quests- EoR!A181:J192</v>
      </c>
      <c r="G153" s="82">
        <f>IFERROR(__xludf.DUMMYFUNCTION("""COMPUTED_VALUE"""),153.0)</f>
        <v>153</v>
      </c>
      <c r="H153" s="82">
        <f>IFERROR(__xludf.DUMMYFUNCTION("""COMPUTED_VALUE"""),20526.0)</f>
        <v>20526</v>
      </c>
      <c r="I153" s="95"/>
      <c r="J153" s="96"/>
      <c r="K153" s="97"/>
      <c r="L153" s="95"/>
      <c r="M153" s="96"/>
      <c r="N153" s="97"/>
      <c r="O153" s="95"/>
      <c r="P153" s="96"/>
      <c r="Q153" s="97"/>
      <c r="R153" s="95"/>
      <c r="S153" s="96"/>
      <c r="T153" s="97"/>
      <c r="U153" s="95"/>
      <c r="V153" s="96"/>
      <c r="W153" s="97"/>
      <c r="X153" s="95"/>
      <c r="Y153" s="96"/>
      <c r="Z153" s="97"/>
      <c r="AA153" s="95"/>
      <c r="AB153" s="96"/>
      <c r="AC153" s="97">
        <f>IFERROR(__xludf.DUMMYFUNCTION("""COMPUTED_VALUE"""),52.11854385446476)</f>
        <v>52.11854385</v>
      </c>
      <c r="AD153" s="95"/>
      <c r="AE153" s="96"/>
      <c r="AF153" s="97"/>
      <c r="AG153" s="95"/>
      <c r="AH153" s="96"/>
      <c r="AI153" s="97"/>
      <c r="AJ153" s="95"/>
      <c r="AK153" s="96"/>
      <c r="AL153" s="97"/>
      <c r="AM153" s="95"/>
      <c r="AN153" s="96"/>
      <c r="AO153" s="97"/>
      <c r="AP153" s="95"/>
      <c r="AQ153" s="96"/>
      <c r="AR153" s="97"/>
      <c r="AS153" s="95"/>
      <c r="AT153" s="96"/>
      <c r="AU153" s="97"/>
      <c r="AV153" s="95"/>
      <c r="AW153" s="96"/>
      <c r="AX153" s="97"/>
      <c r="AY153" s="95"/>
      <c r="AZ153" s="96"/>
      <c r="BA153" s="97"/>
      <c r="BB153" s="95"/>
      <c r="BC153" s="96"/>
      <c r="BD153" s="97"/>
      <c r="BE153" s="95"/>
      <c r="BF153" s="96"/>
      <c r="BG153" s="97"/>
      <c r="BH153" s="95"/>
      <c r="BI153" s="96"/>
      <c r="BJ153" s="97">
        <f>IFERROR(__xludf.DUMMYFUNCTION("""COMPUTED_VALUE"""),561.7888785492536)</f>
        <v>561.7888785</v>
      </c>
      <c r="BK153" s="95"/>
      <c r="BL153" s="96"/>
      <c r="BM153" s="97"/>
      <c r="BN153" s="95"/>
      <c r="BO153" s="96"/>
      <c r="BP153" s="97"/>
      <c r="BQ153" s="95">
        <f>IFERROR(__xludf.DUMMYFUNCTION("""COMPUTED_VALUE"""),225.59396582223627)</f>
        <v>225.5939658</v>
      </c>
      <c r="BR153" s="96"/>
      <c r="BS153" s="97"/>
      <c r="BT153" s="95"/>
      <c r="BU153" s="96"/>
      <c r="BV153" s="97"/>
      <c r="BW153" s="95"/>
      <c r="BX153" s="96">
        <f>IFERROR(__xludf.DUMMYFUNCTION("""COMPUTED_VALUE"""),67.65613007425684)</f>
        <v>67.65613007</v>
      </c>
      <c r="BY153" s="97"/>
      <c r="BZ153" s="95"/>
      <c r="CA153" s="96"/>
      <c r="CB153" s="97"/>
      <c r="CC153" s="95"/>
      <c r="CD153" s="96"/>
      <c r="CE153" s="97"/>
      <c r="CF153" s="95"/>
      <c r="CG153" s="96"/>
      <c r="CH153" s="96"/>
      <c r="CI153" s="95"/>
      <c r="CJ153" s="96"/>
      <c r="CK153" s="96"/>
      <c r="CL153" s="95"/>
      <c r="CM153" s="96"/>
      <c r="CN153" s="96"/>
      <c r="CO153" s="95"/>
      <c r="CP153" s="96"/>
      <c r="CQ153" s="96"/>
      <c r="CR153" s="95"/>
      <c r="CS153" s="96"/>
      <c r="CT153" s="96"/>
      <c r="CU153" s="95"/>
      <c r="CV153" s="96"/>
      <c r="CW153" s="97"/>
      <c r="CX153" s="96"/>
      <c r="CY153" s="96"/>
      <c r="CZ153" s="97"/>
      <c r="DA153" s="95">
        <f>IFERROR(__xludf.DUMMYFUNCTION("""COMPUTED_VALUE"""),366.8)</f>
        <v>366.8</v>
      </c>
      <c r="DB153" s="96"/>
      <c r="DC153" s="97"/>
      <c r="DD153" s="95"/>
      <c r="DE153" s="96"/>
      <c r="DF153" s="97"/>
      <c r="DG153" s="95"/>
      <c r="DH153" s="96"/>
      <c r="DI153" s="97">
        <f>IFERROR(__xludf.DUMMYFUNCTION("""COMPUTED_VALUE"""),157.2)</f>
        <v>157.2</v>
      </c>
      <c r="DJ153" s="95"/>
      <c r="DK153" s="96"/>
      <c r="DL153" s="97"/>
      <c r="DM153" s="95"/>
      <c r="DN153" s="96"/>
      <c r="DO153" s="97"/>
      <c r="DP153" s="95"/>
      <c r="DQ153" s="96">
        <f>IFERROR(__xludf.DUMMYFUNCTION("""COMPUTED_VALUE"""),122.26666666666667)</f>
        <v>122.2666667</v>
      </c>
      <c r="DR153" s="97"/>
      <c r="DS153" s="95"/>
    </row>
    <row r="154">
      <c r="B154" s="120" t="str">
        <f>IFERROR(__xludf.DUMMYFUNCTION("""COMPUTED_VALUE"""),"AGT5")</f>
        <v>AGT5</v>
      </c>
      <c r="C154" s="88" t="str">
        <f>IFERROR(__xludf.DUMMYFUNCTION("""COMPUTED_VALUE"""),"Ys")</f>
        <v>Ys</v>
      </c>
      <c r="D154" s="102">
        <f>IFERROR(__xludf.DUMMYFUNCTION("""COMPUTED_VALUE"""),21.0)</f>
        <v>21</v>
      </c>
      <c r="E154" s="82" t="b">
        <f>IFERROR(__xludf.DUMMYFUNCTION("""COMPUTED_VALUE"""),TRUE)</f>
        <v>1</v>
      </c>
      <c r="F154" s="82" t="str">
        <f>IFERROR(__xludf.DUMMYFUNCTION("""COMPUTED_VALUE"""),"Free Quests- EoR!A196:J203")</f>
        <v>Free Quests- EoR!A196:J203</v>
      </c>
      <c r="G154" s="82">
        <f>IFERROR(__xludf.DUMMYFUNCTION("""COMPUTED_VALUE"""),154.0)</f>
        <v>154</v>
      </c>
      <c r="H154" s="82">
        <f>IFERROR(__xludf.DUMMYFUNCTION("""COMPUTED_VALUE"""),5808.0)</f>
        <v>5808</v>
      </c>
      <c r="I154" s="95"/>
      <c r="J154" s="96"/>
      <c r="K154" s="97"/>
      <c r="L154" s="95"/>
      <c r="M154" s="96"/>
      <c r="N154" s="97"/>
      <c r="O154" s="95"/>
      <c r="P154" s="96"/>
      <c r="Q154" s="97"/>
      <c r="R154" s="95"/>
      <c r="S154" s="96"/>
      <c r="T154" s="97"/>
      <c r="U154" s="95"/>
      <c r="V154" s="96"/>
      <c r="W154" s="97"/>
      <c r="X154" s="95"/>
      <c r="Y154" s="96"/>
      <c r="Z154" s="97"/>
      <c r="AA154" s="95"/>
      <c r="AB154" s="96"/>
      <c r="AC154" s="97"/>
      <c r="AD154" s="95"/>
      <c r="AE154" s="96"/>
      <c r="AF154" s="97"/>
      <c r="AG154" s="95"/>
      <c r="AH154" s="96"/>
      <c r="AI154" s="97"/>
      <c r="AJ154" s="95"/>
      <c r="AK154" s="96"/>
      <c r="AL154" s="97"/>
      <c r="AM154" s="95"/>
      <c r="AN154" s="96"/>
      <c r="AO154" s="97"/>
      <c r="AP154" s="95"/>
      <c r="AQ154" s="96"/>
      <c r="AR154" s="97"/>
      <c r="AS154" s="95"/>
      <c r="AT154" s="96"/>
      <c r="AU154" s="97">
        <f>IFERROR(__xludf.DUMMYFUNCTION("""COMPUTED_VALUE"""),56.3995094729794)</f>
        <v>56.39950947</v>
      </c>
      <c r="AV154" s="95"/>
      <c r="AW154" s="96"/>
      <c r="AX154" s="97">
        <f>IFERROR(__xludf.DUMMYFUNCTION("""COMPUTED_VALUE"""),67.5205271968751)</f>
        <v>67.5205272</v>
      </c>
      <c r="AY154" s="95"/>
      <c r="AZ154" s="96"/>
      <c r="BA154" s="97"/>
      <c r="BB154" s="95"/>
      <c r="BC154" s="96"/>
      <c r="BD154" s="97"/>
      <c r="BE154" s="95"/>
      <c r="BF154" s="96"/>
      <c r="BG154" s="97"/>
      <c r="BH154" s="95"/>
      <c r="BI154" s="96"/>
      <c r="BJ154" s="97"/>
      <c r="BK154" s="95"/>
      <c r="BL154" s="96"/>
      <c r="BM154" s="97"/>
      <c r="BN154" s="95"/>
      <c r="BO154" s="96"/>
      <c r="BP154" s="97"/>
      <c r="BQ154" s="95"/>
      <c r="BR154" s="96"/>
      <c r="BS154" s="97"/>
      <c r="BT154" s="95"/>
      <c r="BU154" s="96">
        <f>IFERROR(__xludf.DUMMYFUNCTION("""COMPUTED_VALUE"""),54.8509999892068)</f>
        <v>54.85099999</v>
      </c>
      <c r="BV154" s="97"/>
      <c r="BW154" s="95"/>
      <c r="BX154" s="96"/>
      <c r="BY154" s="97"/>
      <c r="BZ154" s="95"/>
      <c r="CA154" s="96"/>
      <c r="CB154" s="97"/>
      <c r="CC154" s="95"/>
      <c r="CD154" s="96"/>
      <c r="CE154" s="97"/>
      <c r="CF154" s="95"/>
      <c r="CG154" s="96"/>
      <c r="CH154" s="96"/>
      <c r="CI154" s="95"/>
      <c r="CJ154" s="96"/>
      <c r="CK154" s="96"/>
      <c r="CL154" s="95"/>
      <c r="CM154" s="96"/>
      <c r="CN154" s="96"/>
      <c r="CO154" s="95"/>
      <c r="CP154" s="96"/>
      <c r="CQ154" s="96"/>
      <c r="CR154" s="95"/>
      <c r="CS154" s="96"/>
      <c r="CT154" s="96"/>
      <c r="CU154" s="95"/>
      <c r="CV154" s="96"/>
      <c r="CW154" s="97"/>
      <c r="CX154" s="96">
        <f>IFERROR(__xludf.DUMMYFUNCTION("""COMPUTED_VALUE"""),122.5)</f>
        <v>122.5</v>
      </c>
      <c r="CY154" s="96"/>
      <c r="CZ154" s="97"/>
      <c r="DA154" s="95"/>
      <c r="DB154" s="96"/>
      <c r="DC154" s="97"/>
      <c r="DD154" s="95"/>
      <c r="DE154" s="96"/>
      <c r="DF154" s="97">
        <f>IFERROR(__xludf.DUMMYFUNCTION("""COMPUTED_VALUE"""),50.68965517241379)</f>
        <v>50.68965517</v>
      </c>
      <c r="DG154" s="95"/>
      <c r="DH154" s="96"/>
      <c r="DI154" s="97"/>
      <c r="DJ154" s="95"/>
      <c r="DK154" s="96"/>
      <c r="DL154" s="97"/>
      <c r="DM154" s="95"/>
      <c r="DN154" s="96"/>
      <c r="DO154" s="97"/>
      <c r="DP154" s="95"/>
      <c r="DQ154" s="96"/>
      <c r="DR154" s="97"/>
      <c r="DS154" s="95"/>
    </row>
    <row r="155">
      <c r="B155" s="120" t="str">
        <f>IFERROR(__xludf.DUMMYFUNCTION("""COMPUTED_VALUE"""),"AGT6")</f>
        <v>AGT6</v>
      </c>
      <c r="C155" s="88" t="str">
        <f>IFERROR(__xludf.DUMMYFUNCTION("""COMPUTED_VALUE"""),"Northern Cliffs")</f>
        <v>Northern Cliffs</v>
      </c>
      <c r="D155" s="102">
        <f>IFERROR(__xludf.DUMMYFUNCTION("""COMPUTED_VALUE"""),21.0)</f>
        <v>21</v>
      </c>
      <c r="E155" s="82" t="b">
        <f>IFERROR(__xludf.DUMMYFUNCTION("""COMPUTED_VALUE"""),TRUE)</f>
        <v>1</v>
      </c>
      <c r="F155" s="82" t="str">
        <f>IFERROR(__xludf.DUMMYFUNCTION("""COMPUTED_VALUE"""),"Free Quests- EoR!A207:J214")</f>
        <v>Free Quests- EoR!A207:J214</v>
      </c>
      <c r="G155" s="82">
        <f>IFERROR(__xludf.DUMMYFUNCTION("""COMPUTED_VALUE"""),155.0)</f>
        <v>155</v>
      </c>
      <c r="H155" s="82">
        <f>IFERROR(__xludf.DUMMYFUNCTION("""COMPUTED_VALUE"""),2295.0)</f>
        <v>2295</v>
      </c>
      <c r="I155" s="95"/>
      <c r="J155" s="96"/>
      <c r="K155" s="97"/>
      <c r="L155" s="95"/>
      <c r="M155" s="96"/>
      <c r="N155" s="97"/>
      <c r="O155" s="95">
        <f>IFERROR(__xludf.DUMMYFUNCTION("""COMPUTED_VALUE"""),102.01295402590804)</f>
        <v>102.012954</v>
      </c>
      <c r="P155" s="96"/>
      <c r="Q155" s="97"/>
      <c r="R155" s="95"/>
      <c r="S155" s="96"/>
      <c r="T155" s="97"/>
      <c r="U155" s="95"/>
      <c r="V155" s="96"/>
      <c r="W155" s="97"/>
      <c r="X155" s="95"/>
      <c r="Y155" s="96"/>
      <c r="Z155" s="97"/>
      <c r="AA155" s="95"/>
      <c r="AB155" s="96"/>
      <c r="AC155" s="97"/>
      <c r="AD155" s="95"/>
      <c r="AE155" s="96"/>
      <c r="AF155" s="97"/>
      <c r="AG155" s="95"/>
      <c r="AH155" s="96"/>
      <c r="AI155" s="97"/>
      <c r="AJ155" s="95"/>
      <c r="AK155" s="96"/>
      <c r="AL155" s="97"/>
      <c r="AM155" s="95"/>
      <c r="AN155" s="96"/>
      <c r="AO155" s="97"/>
      <c r="AP155" s="95"/>
      <c r="AQ155" s="96"/>
      <c r="AR155" s="97"/>
      <c r="AS155" s="95"/>
      <c r="AT155" s="96"/>
      <c r="AU155" s="97"/>
      <c r="AV155" s="95"/>
      <c r="AW155" s="96"/>
      <c r="AX155" s="97"/>
      <c r="AY155" s="95">
        <f>IFERROR(__xludf.DUMMYFUNCTION("""COMPUTED_VALUE"""),53.22356215213358)</f>
        <v>53.22356215</v>
      </c>
      <c r="AZ155" s="96"/>
      <c r="BA155" s="97"/>
      <c r="BB155" s="95"/>
      <c r="BC155" s="96"/>
      <c r="BD155" s="97"/>
      <c r="BE155" s="95"/>
      <c r="BF155" s="96"/>
      <c r="BG155" s="97"/>
      <c r="BH155" s="95"/>
      <c r="BI155" s="96"/>
      <c r="BJ155" s="97"/>
      <c r="BK155" s="95"/>
      <c r="BL155" s="96"/>
      <c r="BM155" s="97"/>
      <c r="BN155" s="95"/>
      <c r="BO155" s="96"/>
      <c r="BP155" s="97">
        <f>IFERROR(__xludf.DUMMYFUNCTION("""COMPUTED_VALUE"""),67.91471732145877)</f>
        <v>67.91471732</v>
      </c>
      <c r="BQ155" s="95"/>
      <c r="BR155" s="96"/>
      <c r="BS155" s="97"/>
      <c r="BT155" s="95"/>
      <c r="BU155" s="96"/>
      <c r="BV155" s="97"/>
      <c r="BW155" s="95"/>
      <c r="BX155" s="96"/>
      <c r="BY155" s="97"/>
      <c r="BZ155" s="95"/>
      <c r="CA155" s="96"/>
      <c r="CB155" s="97"/>
      <c r="CC155" s="95"/>
      <c r="CD155" s="96"/>
      <c r="CE155" s="97"/>
      <c r="CF155" s="95"/>
      <c r="CG155" s="96"/>
      <c r="CH155" s="96"/>
      <c r="CI155" s="95"/>
      <c r="CJ155" s="96"/>
      <c r="CK155" s="96"/>
      <c r="CL155" s="95"/>
      <c r="CM155" s="96"/>
      <c r="CN155" s="96"/>
      <c r="CO155" s="95"/>
      <c r="CP155" s="96"/>
      <c r="CQ155" s="96"/>
      <c r="CR155" s="95"/>
      <c r="CS155" s="96"/>
      <c r="CT155" s="96"/>
      <c r="CU155" s="95"/>
      <c r="CV155" s="96"/>
      <c r="CW155" s="97"/>
      <c r="CX155" s="96"/>
      <c r="CY155" s="96"/>
      <c r="CZ155" s="97">
        <f>IFERROR(__xludf.DUMMYFUNCTION("""COMPUTED_VALUE"""),57.166666666666664)</f>
        <v>57.16666667</v>
      </c>
      <c r="DA155" s="95"/>
      <c r="DB155" s="96"/>
      <c r="DC155" s="97"/>
      <c r="DD155" s="95"/>
      <c r="DE155" s="96"/>
      <c r="DF155" s="97"/>
      <c r="DG155" s="95"/>
      <c r="DH155" s="96"/>
      <c r="DI155" s="97"/>
      <c r="DJ155" s="95"/>
      <c r="DK155" s="96"/>
      <c r="DL155" s="97"/>
      <c r="DM155" s="95"/>
      <c r="DN155" s="96"/>
      <c r="DO155" s="97"/>
      <c r="DP155" s="95"/>
      <c r="DQ155" s="96"/>
      <c r="DR155" s="97"/>
      <c r="DS155" s="95"/>
    </row>
    <row r="156">
      <c r="B156" s="120" t="str">
        <f>IFERROR(__xludf.DUMMYFUNCTION("""COMPUTED_VALUE"""),"AGT7")</f>
        <v>AGT7</v>
      </c>
      <c r="C156" s="88" t="str">
        <f>IFERROR(__xludf.DUMMYFUNCTION("""COMPUTED_VALUE"""),"Nightless City")</f>
        <v>Nightless City</v>
      </c>
      <c r="D156" s="102">
        <f>IFERROR(__xludf.DUMMYFUNCTION("""COMPUTED_VALUE"""),21.0)</f>
        <v>21</v>
      </c>
      <c r="E156" s="82" t="b">
        <f>IFERROR(__xludf.DUMMYFUNCTION("""COMPUTED_VALUE"""),TRUE)</f>
        <v>1</v>
      </c>
      <c r="F156" s="82" t="str">
        <f>IFERROR(__xludf.DUMMYFUNCTION("""COMPUTED_VALUE"""),"Free Quests- EoR!A218:J224")</f>
        <v>Free Quests- EoR!A218:J224</v>
      </c>
      <c r="G156" s="82">
        <f>IFERROR(__xludf.DUMMYFUNCTION("""COMPUTED_VALUE"""),156.0)</f>
        <v>156</v>
      </c>
      <c r="H156" s="82">
        <f>IFERROR(__xludf.DUMMYFUNCTION("""COMPUTED_VALUE"""),9203.0)</f>
        <v>9203</v>
      </c>
      <c r="I156" s="95"/>
      <c r="J156" s="96"/>
      <c r="K156" s="97"/>
      <c r="L156" s="95"/>
      <c r="M156" s="96"/>
      <c r="N156" s="97"/>
      <c r="O156" s="95"/>
      <c r="P156" s="96"/>
      <c r="Q156" s="97"/>
      <c r="R156" s="95"/>
      <c r="S156" s="96"/>
      <c r="T156" s="97"/>
      <c r="U156" s="95"/>
      <c r="V156" s="96"/>
      <c r="W156" s="97"/>
      <c r="X156" s="95"/>
      <c r="Y156" s="96"/>
      <c r="Z156" s="97"/>
      <c r="AA156" s="95"/>
      <c r="AB156" s="96"/>
      <c r="AC156" s="97"/>
      <c r="AD156" s="95"/>
      <c r="AE156" s="96"/>
      <c r="AF156" s="97"/>
      <c r="AG156" s="95"/>
      <c r="AH156" s="96"/>
      <c r="AI156" s="97"/>
      <c r="AJ156" s="95"/>
      <c r="AK156" s="96"/>
      <c r="AL156" s="97"/>
      <c r="AM156" s="95"/>
      <c r="AN156" s="96"/>
      <c r="AO156" s="97"/>
      <c r="AP156" s="95"/>
      <c r="AQ156" s="96"/>
      <c r="AR156" s="97"/>
      <c r="AS156" s="95"/>
      <c r="AT156" s="96"/>
      <c r="AU156" s="97"/>
      <c r="AV156" s="95"/>
      <c r="AW156" s="96"/>
      <c r="AX156" s="97">
        <f>IFERROR(__xludf.DUMMYFUNCTION("""COMPUTED_VALUE"""),70.19470137387124)</f>
        <v>70.19470137</v>
      </c>
      <c r="AY156" s="95">
        <f>IFERROR(__xludf.DUMMYFUNCTION("""COMPUTED_VALUE"""),53.68747739443933)</f>
        <v>53.68747739</v>
      </c>
      <c r="AZ156" s="96"/>
      <c r="BA156" s="97"/>
      <c r="BB156" s="95"/>
      <c r="BC156" s="96"/>
      <c r="BD156" s="97"/>
      <c r="BE156" s="95"/>
      <c r="BF156" s="96"/>
      <c r="BG156" s="97"/>
      <c r="BH156" s="95"/>
      <c r="BI156" s="96"/>
      <c r="BJ156" s="97"/>
      <c r="BK156" s="95"/>
      <c r="BL156" s="96"/>
      <c r="BM156" s="97"/>
      <c r="BN156" s="95"/>
      <c r="BO156" s="96"/>
      <c r="BP156" s="97">
        <f>IFERROR(__xludf.DUMMYFUNCTION("""COMPUTED_VALUE"""),59.65614443193267)</f>
        <v>59.65614443</v>
      </c>
      <c r="BQ156" s="95"/>
      <c r="BR156" s="96"/>
      <c r="BS156" s="97"/>
      <c r="BT156" s="95"/>
      <c r="BU156" s="96"/>
      <c r="BV156" s="97"/>
      <c r="BW156" s="95"/>
      <c r="BX156" s="96"/>
      <c r="BY156" s="97"/>
      <c r="BZ156" s="95"/>
      <c r="CA156" s="96"/>
      <c r="CB156" s="97"/>
      <c r="CC156" s="95"/>
      <c r="CD156" s="96"/>
      <c r="CE156" s="97"/>
      <c r="CF156" s="95"/>
      <c r="CG156" s="96"/>
      <c r="CH156" s="96"/>
      <c r="CI156" s="95"/>
      <c r="CJ156" s="96"/>
      <c r="CK156" s="96"/>
      <c r="CL156" s="95"/>
      <c r="CM156" s="96"/>
      <c r="CN156" s="96"/>
      <c r="CO156" s="95"/>
      <c r="CP156" s="96"/>
      <c r="CQ156" s="96"/>
      <c r="CR156" s="95"/>
      <c r="CS156" s="96"/>
      <c r="CT156" s="96"/>
      <c r="CU156" s="95"/>
      <c r="CV156" s="96"/>
      <c r="CW156" s="97"/>
      <c r="CX156" s="96"/>
      <c r="CY156" s="96"/>
      <c r="CZ156" s="97">
        <f>IFERROR(__xludf.DUMMYFUNCTION("""COMPUTED_VALUE"""),39.0)</f>
        <v>39</v>
      </c>
      <c r="DA156" s="95"/>
      <c r="DB156" s="96"/>
      <c r="DC156" s="97"/>
      <c r="DD156" s="95"/>
      <c r="DE156" s="96"/>
      <c r="DF156" s="97"/>
      <c r="DG156" s="95"/>
      <c r="DH156" s="96"/>
      <c r="DI156" s="97"/>
      <c r="DJ156" s="95"/>
      <c r="DK156" s="96"/>
      <c r="DL156" s="97"/>
      <c r="DM156" s="95"/>
      <c r="DN156" s="96"/>
      <c r="DO156" s="97"/>
      <c r="DP156" s="95"/>
      <c r="DQ156" s="96"/>
      <c r="DR156" s="97"/>
      <c r="DS156" s="95"/>
    </row>
    <row r="157">
      <c r="B157" s="120" t="str">
        <f>IFERROR(__xludf.DUMMYFUNCTION("""COMPUTED_VALUE"""),"AGT8")</f>
        <v>AGT8</v>
      </c>
      <c r="C157" s="88" t="str">
        <f>IFERROR(__xludf.DUMMYFUNCTION("""COMPUTED_VALUE"""),"Foothills Jungle")</f>
        <v>Foothills Jungle</v>
      </c>
      <c r="D157" s="102">
        <f>IFERROR(__xludf.DUMMYFUNCTION("""COMPUTED_VALUE"""),21.0)</f>
        <v>21</v>
      </c>
      <c r="E157" s="82" t="b">
        <f>IFERROR(__xludf.DUMMYFUNCTION("""COMPUTED_VALUE"""),TRUE)</f>
        <v>1</v>
      </c>
      <c r="F157" s="82" t="str">
        <f>IFERROR(__xludf.DUMMYFUNCTION("""COMPUTED_VALUE"""),"Free Quests- EoR!A228:J245")</f>
        <v>Free Quests- EoR!A228:J245</v>
      </c>
      <c r="G157" s="82">
        <f>IFERROR(__xludf.DUMMYFUNCTION("""COMPUTED_VALUE"""),157.0)</f>
        <v>157</v>
      </c>
      <c r="H157" s="82">
        <f>IFERROR(__xludf.DUMMYFUNCTION("""COMPUTED_VALUE"""),23183.0)</f>
        <v>23183</v>
      </c>
      <c r="I157" s="95"/>
      <c r="J157" s="96"/>
      <c r="K157" s="97"/>
      <c r="L157" s="95"/>
      <c r="M157" s="96"/>
      <c r="N157" s="97"/>
      <c r="O157" s="95"/>
      <c r="P157" s="96"/>
      <c r="Q157" s="97"/>
      <c r="R157" s="95"/>
      <c r="S157" s="96"/>
      <c r="T157" s="97"/>
      <c r="U157" s="95"/>
      <c r="V157" s="96"/>
      <c r="W157" s="97"/>
      <c r="X157" s="95"/>
      <c r="Y157" s="96"/>
      <c r="Z157" s="97"/>
      <c r="AA157" s="95">
        <f>IFERROR(__xludf.DUMMYFUNCTION("""COMPUTED_VALUE"""),137.24325543371015)</f>
        <v>137.2432554</v>
      </c>
      <c r="AB157" s="96"/>
      <c r="AC157" s="97"/>
      <c r="AD157" s="95"/>
      <c r="AE157" s="96">
        <f>IFERROR(__xludf.DUMMYFUNCTION("""COMPUTED_VALUE"""),146.8916513290891)</f>
        <v>146.8916513</v>
      </c>
      <c r="AF157" s="97"/>
      <c r="AG157" s="95"/>
      <c r="AH157" s="96"/>
      <c r="AI157" s="97"/>
      <c r="AJ157" s="95"/>
      <c r="AK157" s="96"/>
      <c r="AL157" s="97"/>
      <c r="AM157" s="95"/>
      <c r="AN157" s="96"/>
      <c r="AO157" s="97"/>
      <c r="AP157" s="95"/>
      <c r="AQ157" s="96"/>
      <c r="AR157" s="97"/>
      <c r="AS157" s="95"/>
      <c r="AT157" s="96"/>
      <c r="AU157" s="97"/>
      <c r="AV157" s="95"/>
      <c r="AW157" s="96">
        <f>IFERROR(__xludf.DUMMYFUNCTION("""COMPUTED_VALUE"""),42.50641730839751)</f>
        <v>42.50641731</v>
      </c>
      <c r="AX157" s="97"/>
      <c r="AY157" s="95"/>
      <c r="AZ157" s="96"/>
      <c r="BA157" s="97"/>
      <c r="BB157" s="95"/>
      <c r="BC157" s="96"/>
      <c r="BD157" s="97"/>
      <c r="BE157" s="95"/>
      <c r="BF157" s="96"/>
      <c r="BG157" s="97"/>
      <c r="BH157" s="95"/>
      <c r="BI157" s="96"/>
      <c r="BJ157" s="97"/>
      <c r="BK157" s="95"/>
      <c r="BL157" s="96">
        <f>IFERROR(__xludf.DUMMYFUNCTION("""COMPUTED_VALUE"""),214.05377720151998)</f>
        <v>214.0537772</v>
      </c>
      <c r="BM157" s="97"/>
      <c r="BN157" s="95">
        <f>IFERROR(__xludf.DUMMYFUNCTION("""COMPUTED_VALUE"""),397.65008576329336)</f>
        <v>397.6500858</v>
      </c>
      <c r="BO157" s="96"/>
      <c r="BP157" s="97"/>
      <c r="BQ157" s="95"/>
      <c r="BR157" s="96"/>
      <c r="BS157" s="97">
        <f>IFERROR(__xludf.DUMMYFUNCTION("""COMPUTED_VALUE"""),132.04213392209488)</f>
        <v>132.0421339</v>
      </c>
      <c r="BT157" s="95"/>
      <c r="BU157" s="96">
        <f>IFERROR(__xludf.DUMMYFUNCTION("""COMPUTED_VALUE"""),83.68558029168649)</f>
        <v>83.68558029</v>
      </c>
      <c r="BV157" s="97"/>
      <c r="BW157" s="95"/>
      <c r="BX157" s="96"/>
      <c r="BY157" s="97"/>
      <c r="BZ157" s="95"/>
      <c r="CA157" s="96"/>
      <c r="CB157" s="97"/>
      <c r="CC157" s="95"/>
      <c r="CD157" s="96"/>
      <c r="CE157" s="97"/>
      <c r="CF157" s="95"/>
      <c r="CG157" s="96"/>
      <c r="CH157" s="96"/>
      <c r="CI157" s="95"/>
      <c r="CJ157" s="96"/>
      <c r="CK157" s="96"/>
      <c r="CL157" s="95"/>
      <c r="CM157" s="96"/>
      <c r="CN157" s="96"/>
      <c r="CO157" s="95"/>
      <c r="CP157" s="96"/>
      <c r="CQ157" s="96"/>
      <c r="CR157" s="95"/>
      <c r="CS157" s="96"/>
      <c r="CT157" s="96"/>
      <c r="CU157" s="95"/>
      <c r="CV157" s="96"/>
      <c r="CW157" s="97"/>
      <c r="CX157" s="96">
        <f>IFERROR(__xludf.DUMMYFUNCTION("""COMPUTED_VALUE"""),287.0)</f>
        <v>287</v>
      </c>
      <c r="CY157" s="96"/>
      <c r="CZ157" s="97"/>
      <c r="DA157" s="95"/>
      <c r="DB157" s="96"/>
      <c r="DC157" s="97"/>
      <c r="DD157" s="95">
        <f>IFERROR(__xludf.DUMMYFUNCTION("""COMPUTED_VALUE"""),215.25)</f>
        <v>215.25</v>
      </c>
      <c r="DE157" s="96"/>
      <c r="DF157" s="97">
        <f>IFERROR(__xludf.DUMMYFUNCTION("""COMPUTED_VALUE"""),430.5)</f>
        <v>430.5</v>
      </c>
      <c r="DG157" s="95"/>
      <c r="DH157" s="96"/>
      <c r="DI157" s="97"/>
      <c r="DJ157" s="95"/>
      <c r="DK157" s="96"/>
      <c r="DL157" s="97">
        <f>IFERROR(__xludf.DUMMYFUNCTION("""COMPUTED_VALUE"""),122.99999999999999)</f>
        <v>123</v>
      </c>
      <c r="DM157" s="95"/>
      <c r="DN157" s="96">
        <f>IFERROR(__xludf.DUMMYFUNCTION("""COMPUTED_VALUE"""),143.5)</f>
        <v>143.5</v>
      </c>
      <c r="DO157" s="97"/>
      <c r="DP157" s="95"/>
      <c r="DQ157" s="96"/>
      <c r="DR157" s="97"/>
      <c r="DS157" s="95"/>
    </row>
    <row r="158">
      <c r="B158" s="120" t="str">
        <f>IFERROR(__xludf.DUMMYFUNCTION("""COMPUTED_VALUE"""),"AGT9")</f>
        <v>AGT9</v>
      </c>
      <c r="C158" s="88" t="str">
        <f>IFERROR(__xludf.DUMMYFUNCTION("""COMPUTED_VALUE"""),"Palace of Dragon King")</f>
        <v>Palace of Dragon King</v>
      </c>
      <c r="D158" s="102">
        <f>IFERROR(__xludf.DUMMYFUNCTION("""COMPUTED_VALUE"""),21.0)</f>
        <v>21</v>
      </c>
      <c r="E158" s="82" t="b">
        <f>IFERROR(__xludf.DUMMYFUNCTION("""COMPUTED_VALUE"""),TRUE)</f>
        <v>1</v>
      </c>
      <c r="F158" s="82" t="str">
        <f>IFERROR(__xludf.DUMMYFUNCTION("""COMPUTED_VALUE"""),"Free Quests- EoR!A249:J257")</f>
        <v>Free Quests- EoR!A249:J257</v>
      </c>
      <c r="G158" s="82">
        <f>IFERROR(__xludf.DUMMYFUNCTION("""COMPUTED_VALUE"""),158.0)</f>
        <v>158</v>
      </c>
      <c r="H158" s="82">
        <f>IFERROR(__xludf.DUMMYFUNCTION("""COMPUTED_VALUE"""),5216.0)</f>
        <v>5216</v>
      </c>
      <c r="I158" s="95"/>
      <c r="J158" s="96"/>
      <c r="K158" s="97"/>
      <c r="L158" s="95"/>
      <c r="M158" s="96"/>
      <c r="N158" s="97"/>
      <c r="O158" s="95"/>
      <c r="P158" s="96"/>
      <c r="Q158" s="97"/>
      <c r="R158" s="95"/>
      <c r="S158" s="96"/>
      <c r="T158" s="97">
        <f>IFERROR(__xludf.DUMMYFUNCTION("""COMPUTED_VALUE"""),166.68513688816327)</f>
        <v>166.6851369</v>
      </c>
      <c r="U158" s="95"/>
      <c r="V158" s="96"/>
      <c r="W158" s="97"/>
      <c r="X158" s="95"/>
      <c r="Y158" s="96"/>
      <c r="Z158" s="97"/>
      <c r="AA158" s="95"/>
      <c r="AB158" s="96"/>
      <c r="AC158" s="97"/>
      <c r="AD158" s="95"/>
      <c r="AE158" s="96"/>
      <c r="AF158" s="97"/>
      <c r="AG158" s="95"/>
      <c r="AH158" s="96"/>
      <c r="AI158" s="97"/>
      <c r="AJ158" s="95"/>
      <c r="AK158" s="96"/>
      <c r="AL158" s="97"/>
      <c r="AM158" s="95"/>
      <c r="AN158" s="96"/>
      <c r="AO158" s="97"/>
      <c r="AP158" s="95"/>
      <c r="AQ158" s="96"/>
      <c r="AR158" s="97"/>
      <c r="AS158" s="95"/>
      <c r="AT158" s="96"/>
      <c r="AU158" s="97">
        <f>IFERROR(__xludf.DUMMYFUNCTION("""COMPUTED_VALUE"""),73.3818588650653)</f>
        <v>73.38185887</v>
      </c>
      <c r="AV158" s="95"/>
      <c r="AW158" s="96"/>
      <c r="AX158" s="97"/>
      <c r="AY158" s="95"/>
      <c r="AZ158" s="96"/>
      <c r="BA158" s="97"/>
      <c r="BB158" s="95"/>
      <c r="BC158" s="96"/>
      <c r="BD158" s="97"/>
      <c r="BE158" s="95">
        <f>IFERROR(__xludf.DUMMYFUNCTION("""COMPUTED_VALUE"""),476.9325170968037)</f>
        <v>476.9325171</v>
      </c>
      <c r="BF158" s="96"/>
      <c r="BG158" s="97"/>
      <c r="BH158" s="95"/>
      <c r="BI158" s="96"/>
      <c r="BJ158" s="97"/>
      <c r="BK158" s="95"/>
      <c r="BL158" s="96"/>
      <c r="BM158" s="97"/>
      <c r="BN158" s="95"/>
      <c r="BO158" s="96"/>
      <c r="BP158" s="97"/>
      <c r="BQ158" s="95"/>
      <c r="BR158" s="96"/>
      <c r="BS158" s="97"/>
      <c r="BT158" s="95"/>
      <c r="BU158" s="96">
        <f>IFERROR(__xludf.DUMMYFUNCTION("""COMPUTED_VALUE"""),72.69210234736424)</f>
        <v>72.69210235</v>
      </c>
      <c r="BV158" s="97"/>
      <c r="BW158" s="95"/>
      <c r="BX158" s="96"/>
      <c r="BY158" s="97"/>
      <c r="BZ158" s="95"/>
      <c r="CA158" s="96"/>
      <c r="CB158" s="97"/>
      <c r="CC158" s="95"/>
      <c r="CD158" s="96"/>
      <c r="CE158" s="97"/>
      <c r="CF158" s="95"/>
      <c r="CG158" s="96"/>
      <c r="CH158" s="96"/>
      <c r="CI158" s="95"/>
      <c r="CJ158" s="96"/>
      <c r="CK158" s="96"/>
      <c r="CL158" s="95"/>
      <c r="CM158" s="96"/>
      <c r="CN158" s="96">
        <f>IFERROR(__xludf.DUMMYFUNCTION("""COMPUTED_VALUE"""),399.58012277122623)</f>
        <v>399.5801228</v>
      </c>
      <c r="CO158" s="95"/>
      <c r="CP158" s="96"/>
      <c r="CQ158" s="96"/>
      <c r="CR158" s="95"/>
      <c r="CS158" s="96"/>
      <c r="CT158" s="96"/>
      <c r="CU158" s="95"/>
      <c r="CV158" s="96"/>
      <c r="CW158" s="97"/>
      <c r="CX158" s="96"/>
      <c r="CY158" s="96"/>
      <c r="CZ158" s="97"/>
      <c r="DA158" s="95"/>
      <c r="DB158" s="96"/>
      <c r="DC158" s="97"/>
      <c r="DD158" s="95"/>
      <c r="DE158" s="96"/>
      <c r="DF158" s="97">
        <f>IFERROR(__xludf.DUMMYFUNCTION("""COMPUTED_VALUE"""),73.73333333333333)</f>
        <v>73.73333333</v>
      </c>
      <c r="DG158" s="95"/>
      <c r="DH158" s="96"/>
      <c r="DI158" s="97"/>
      <c r="DJ158" s="95"/>
      <c r="DK158" s="96"/>
      <c r="DL158" s="97"/>
      <c r="DM158" s="95"/>
      <c r="DN158" s="96"/>
      <c r="DO158" s="97"/>
      <c r="DP158" s="95"/>
      <c r="DQ158" s="96"/>
      <c r="DR158" s="97"/>
      <c r="DS158" s="95"/>
    </row>
    <row r="159">
      <c r="B159" s="120" t="str">
        <f>IFERROR(__xludf.DUMMYFUNCTION("""COMPUTED_VALUE"""),"AGT10")</f>
        <v>AGT10</v>
      </c>
      <c r="C159" s="88" t="str">
        <f>IFERROR(__xludf.DUMMYFUNCTION("""COMPUTED_VALUE"""),"Great Underground River")</f>
        <v>Great Underground River</v>
      </c>
      <c r="D159" s="102">
        <f>IFERROR(__xludf.DUMMYFUNCTION("""COMPUTED_VALUE"""),21.0)</f>
        <v>21</v>
      </c>
      <c r="E159" s="82" t="b">
        <f>IFERROR(__xludf.DUMMYFUNCTION("""COMPUTED_VALUE"""),TRUE)</f>
        <v>1</v>
      </c>
      <c r="F159" s="82" t="str">
        <f>IFERROR(__xludf.DUMMYFUNCTION("""COMPUTED_VALUE"""),"Free Quests- EoR!A261:J273")</f>
        <v>Free Quests- EoR!A261:J273</v>
      </c>
      <c r="G159" s="82">
        <f>IFERROR(__xludf.DUMMYFUNCTION("""COMPUTED_VALUE"""),159.0)</f>
        <v>159</v>
      </c>
      <c r="H159" s="82">
        <f>IFERROR(__xludf.DUMMYFUNCTION("""COMPUTED_VALUE"""),55848.0)</f>
        <v>55848</v>
      </c>
      <c r="I159" s="95"/>
      <c r="J159" s="96"/>
      <c r="K159" s="97"/>
      <c r="L159" s="95"/>
      <c r="M159" s="96"/>
      <c r="N159" s="97"/>
      <c r="O159" s="95"/>
      <c r="P159" s="96"/>
      <c r="Q159" s="97"/>
      <c r="R159" s="95"/>
      <c r="S159" s="96"/>
      <c r="T159" s="97"/>
      <c r="U159" s="95"/>
      <c r="V159" s="96"/>
      <c r="W159" s="97"/>
      <c r="X159" s="95"/>
      <c r="Y159" s="96"/>
      <c r="Z159" s="97"/>
      <c r="AA159" s="95">
        <f>IFERROR(__xludf.DUMMYFUNCTION("""COMPUTED_VALUE"""),82.89894971111737)</f>
        <v>82.89894971</v>
      </c>
      <c r="AB159" s="96"/>
      <c r="AC159" s="97"/>
      <c r="AD159" s="95"/>
      <c r="AE159" s="96">
        <f>IFERROR(__xludf.DUMMYFUNCTION("""COMPUTED_VALUE"""),69.46399487978985)</f>
        <v>69.46399488</v>
      </c>
      <c r="AF159" s="97"/>
      <c r="AG159" s="95"/>
      <c r="AH159" s="96"/>
      <c r="AI159" s="97"/>
      <c r="AJ159" s="95"/>
      <c r="AK159" s="96"/>
      <c r="AL159" s="97"/>
      <c r="AM159" s="95"/>
      <c r="AN159" s="96"/>
      <c r="AO159" s="97"/>
      <c r="AP159" s="95"/>
      <c r="AQ159" s="96"/>
      <c r="AR159" s="97"/>
      <c r="AS159" s="95"/>
      <c r="AT159" s="96"/>
      <c r="AU159" s="97"/>
      <c r="AV159" s="95"/>
      <c r="AW159" s="96"/>
      <c r="AX159" s="97"/>
      <c r="AY159" s="95"/>
      <c r="AZ159" s="96"/>
      <c r="BA159" s="97"/>
      <c r="BB159" s="95"/>
      <c r="BC159" s="96"/>
      <c r="BD159" s="97"/>
      <c r="BE159" s="95"/>
      <c r="BF159" s="96">
        <f>IFERROR(__xludf.DUMMYFUNCTION("""COMPUTED_VALUE"""),657.0412184302859)</f>
        <v>657.0412184</v>
      </c>
      <c r="BG159" s="97"/>
      <c r="BH159" s="95"/>
      <c r="BI159" s="96"/>
      <c r="BJ159" s="97"/>
      <c r="BK159" s="95"/>
      <c r="BL159" s="96"/>
      <c r="BM159" s="97">
        <f>IFERROR(__xludf.DUMMYFUNCTION("""COMPUTED_VALUE"""),143.58634188480394)</f>
        <v>143.5863419</v>
      </c>
      <c r="BN159" s="95"/>
      <c r="BO159" s="96"/>
      <c r="BP159" s="97"/>
      <c r="BQ159" s="95"/>
      <c r="BR159" s="96"/>
      <c r="BS159" s="97">
        <f>IFERROR(__xludf.DUMMYFUNCTION("""COMPUTED_VALUE"""),53.44418334196447)</f>
        <v>53.44418334</v>
      </c>
      <c r="BT159" s="95"/>
      <c r="BU159" s="96"/>
      <c r="BV159" s="97"/>
      <c r="BW159" s="95"/>
      <c r="BX159" s="96"/>
      <c r="BY159" s="97"/>
      <c r="BZ159" s="95"/>
      <c r="CA159" s="96"/>
      <c r="CB159" s="97"/>
      <c r="CC159" s="95"/>
      <c r="CD159" s="96"/>
      <c r="CE159" s="97"/>
      <c r="CF159" s="95"/>
      <c r="CG159" s="96"/>
      <c r="CH159" s="96"/>
      <c r="CI159" s="95"/>
      <c r="CJ159" s="96"/>
      <c r="CK159" s="96"/>
      <c r="CL159" s="95"/>
      <c r="CM159" s="96"/>
      <c r="CN159" s="96"/>
      <c r="CO159" s="95"/>
      <c r="CP159" s="96"/>
      <c r="CQ159" s="96"/>
      <c r="CR159" s="95"/>
      <c r="CS159" s="96"/>
      <c r="CT159" s="96"/>
      <c r="CU159" s="95"/>
      <c r="CV159" s="96"/>
      <c r="CW159" s="97">
        <f>IFERROR(__xludf.DUMMYFUNCTION("""COMPUTED_VALUE"""),471.33333333333337)</f>
        <v>471.3333333</v>
      </c>
      <c r="CX159" s="96"/>
      <c r="CY159" s="96"/>
      <c r="CZ159" s="97"/>
      <c r="DA159" s="95"/>
      <c r="DB159" s="96"/>
      <c r="DC159" s="97"/>
      <c r="DD159" s="95"/>
      <c r="DE159" s="96">
        <f>IFERROR(__xludf.DUMMYFUNCTION("""COMPUTED_VALUE"""),176.75)</f>
        <v>176.75</v>
      </c>
      <c r="DF159" s="97"/>
      <c r="DG159" s="95"/>
      <c r="DH159" s="96"/>
      <c r="DI159" s="97"/>
      <c r="DJ159" s="95"/>
      <c r="DK159" s="96"/>
      <c r="DL159" s="97">
        <f>IFERROR(__xludf.DUMMYFUNCTION("""COMPUTED_VALUE"""),88.375)</f>
        <v>88.375</v>
      </c>
      <c r="DM159" s="95"/>
      <c r="DN159" s="96"/>
      <c r="DO159" s="97"/>
      <c r="DP159" s="95"/>
      <c r="DQ159" s="96"/>
      <c r="DR159" s="97"/>
      <c r="DS159" s="95"/>
    </row>
    <row r="160">
      <c r="B160" s="120" t="str">
        <f>IFERROR(__xludf.DUMMYFUNCTION("""COMPUTED_VALUE"""),"AGT11")</f>
        <v>AGT11</v>
      </c>
      <c r="C160" s="88" t="str">
        <f>IFERROR(__xludf.DUMMYFUNCTION("""COMPUTED_VALUE"""),"El Dorado")</f>
        <v>El Dorado</v>
      </c>
      <c r="D160" s="102">
        <f>IFERROR(__xludf.DUMMYFUNCTION("""COMPUTED_VALUE"""),21.0)</f>
        <v>21</v>
      </c>
      <c r="E160" s="82" t="b">
        <f>IFERROR(__xludf.DUMMYFUNCTION("""COMPUTED_VALUE"""),TRUE)</f>
        <v>1</v>
      </c>
      <c r="F160" s="82" t="str">
        <f>IFERROR(__xludf.DUMMYFUNCTION("""COMPUTED_VALUE"""),"Free Quests- EoR!A277:J284")</f>
        <v>Free Quests- EoR!A277:J284</v>
      </c>
      <c r="G160" s="82">
        <f>IFERROR(__xludf.DUMMYFUNCTION("""COMPUTED_VALUE"""),160.0)</f>
        <v>160</v>
      </c>
      <c r="H160" s="82">
        <f>IFERROR(__xludf.DUMMYFUNCTION("""COMPUTED_VALUE"""),3760.0)</f>
        <v>3760</v>
      </c>
      <c r="I160" s="95"/>
      <c r="J160" s="96"/>
      <c r="K160" s="97"/>
      <c r="L160" s="95"/>
      <c r="M160" s="96"/>
      <c r="N160" s="97"/>
      <c r="O160" s="95"/>
      <c r="P160" s="96"/>
      <c r="Q160" s="97"/>
      <c r="R160" s="95"/>
      <c r="S160" s="96"/>
      <c r="T160" s="97"/>
      <c r="U160" s="95"/>
      <c r="V160" s="96"/>
      <c r="W160" s="97"/>
      <c r="X160" s="95"/>
      <c r="Y160" s="96"/>
      <c r="Z160" s="97"/>
      <c r="AA160" s="95">
        <f>IFERROR(__xludf.DUMMYFUNCTION("""COMPUTED_VALUE"""),61.1133212489532)</f>
        <v>61.11332125</v>
      </c>
      <c r="AB160" s="96"/>
      <c r="AC160" s="97"/>
      <c r="AD160" s="95"/>
      <c r="AE160" s="96"/>
      <c r="AF160" s="97"/>
      <c r="AG160" s="95"/>
      <c r="AH160" s="96"/>
      <c r="AI160" s="97"/>
      <c r="AJ160" s="95"/>
      <c r="AK160" s="96"/>
      <c r="AL160" s="97"/>
      <c r="AM160" s="95"/>
      <c r="AN160" s="96"/>
      <c r="AO160" s="97"/>
      <c r="AP160" s="95"/>
      <c r="AQ160" s="96"/>
      <c r="AR160" s="97"/>
      <c r="AS160" s="95"/>
      <c r="AT160" s="96"/>
      <c r="AU160" s="97"/>
      <c r="AV160" s="95"/>
      <c r="AW160" s="96"/>
      <c r="AX160" s="97">
        <f>IFERROR(__xludf.DUMMYFUNCTION("""COMPUTED_VALUE"""),68.22164084451065)</f>
        <v>68.22164084</v>
      </c>
      <c r="AY160" s="95"/>
      <c r="AZ160" s="96"/>
      <c r="BA160" s="97"/>
      <c r="BB160" s="95"/>
      <c r="BC160" s="96"/>
      <c r="BD160" s="97"/>
      <c r="BE160" s="95"/>
      <c r="BF160" s="96"/>
      <c r="BG160" s="97"/>
      <c r="BH160" s="95"/>
      <c r="BI160" s="96"/>
      <c r="BJ160" s="97"/>
      <c r="BK160" s="95"/>
      <c r="BL160" s="96"/>
      <c r="BM160" s="97"/>
      <c r="BN160" s="95"/>
      <c r="BO160" s="96"/>
      <c r="BP160" s="97"/>
      <c r="BQ160" s="95"/>
      <c r="BR160" s="96">
        <f>IFERROR(__xludf.DUMMYFUNCTION("""COMPUTED_VALUE"""),39.89990661723983)</f>
        <v>39.89990662</v>
      </c>
      <c r="BS160" s="97"/>
      <c r="BT160" s="95"/>
      <c r="BU160" s="96"/>
      <c r="BV160" s="97"/>
      <c r="BW160" s="95"/>
      <c r="BX160" s="96"/>
      <c r="BY160" s="97"/>
      <c r="BZ160" s="95"/>
      <c r="CA160" s="96"/>
      <c r="CB160" s="97"/>
      <c r="CC160" s="95"/>
      <c r="CD160" s="96"/>
      <c r="CE160" s="97"/>
      <c r="CF160" s="95"/>
      <c r="CG160" s="96"/>
      <c r="CH160" s="96"/>
      <c r="CI160" s="95"/>
      <c r="CJ160" s="96"/>
      <c r="CK160" s="96"/>
      <c r="CL160" s="95"/>
      <c r="CM160" s="96"/>
      <c r="CN160" s="96"/>
      <c r="CO160" s="95"/>
      <c r="CP160" s="96"/>
      <c r="CQ160" s="96"/>
      <c r="CR160" s="95"/>
      <c r="CS160" s="96"/>
      <c r="CT160" s="96"/>
      <c r="CU160" s="95"/>
      <c r="CV160" s="96"/>
      <c r="CW160" s="97"/>
      <c r="CX160" s="96"/>
      <c r="CY160" s="96"/>
      <c r="CZ160" s="97"/>
      <c r="DA160" s="95">
        <f>IFERROR(__xludf.DUMMYFUNCTION("""COMPUTED_VALUE"""),96.60000000000001)</f>
        <v>96.6</v>
      </c>
      <c r="DB160" s="96"/>
      <c r="DC160" s="97"/>
      <c r="DD160" s="95"/>
      <c r="DE160" s="96"/>
      <c r="DF160" s="97"/>
      <c r="DG160" s="95"/>
      <c r="DH160" s="96"/>
      <c r="DI160" s="97"/>
      <c r="DJ160" s="95"/>
      <c r="DK160" s="96">
        <f>IFERROR(__xludf.DUMMYFUNCTION("""COMPUTED_VALUE"""),64.4)</f>
        <v>64.4</v>
      </c>
      <c r="DL160" s="97"/>
      <c r="DM160" s="95"/>
      <c r="DN160" s="96"/>
      <c r="DO160" s="97"/>
      <c r="DP160" s="95"/>
      <c r="DQ160" s="96"/>
      <c r="DR160" s="97"/>
      <c r="DS160" s="95"/>
    </row>
    <row r="161">
      <c r="B161" s="120" t="str">
        <f>IFERROR(__xludf.DUMMYFUNCTION("""COMPUTED_VALUE"""),"AGT12")</f>
        <v>AGT12</v>
      </c>
      <c r="C161" s="88" t="str">
        <f>IFERROR(__xludf.DUMMYFUNCTION("""COMPUTED_VALUE"""),"Chasm in the Earth")</f>
        <v>Chasm in the Earth</v>
      </c>
      <c r="D161" s="102">
        <f>IFERROR(__xludf.DUMMYFUNCTION("""COMPUTED_VALUE"""),21.0)</f>
        <v>21</v>
      </c>
      <c r="E161" s="82" t="b">
        <f>IFERROR(__xludf.DUMMYFUNCTION("""COMPUTED_VALUE"""),TRUE)</f>
        <v>1</v>
      </c>
      <c r="F161" s="82" t="str">
        <f>IFERROR(__xludf.DUMMYFUNCTION("""COMPUTED_VALUE"""),"Free Quests- EoR!A288:J298")</f>
        <v>Free Quests- EoR!A288:J298</v>
      </c>
      <c r="G161" s="82">
        <f>IFERROR(__xludf.DUMMYFUNCTION("""COMPUTED_VALUE"""),161.0)</f>
        <v>161</v>
      </c>
      <c r="H161" s="82">
        <f>IFERROR(__xludf.DUMMYFUNCTION("""COMPUTED_VALUE"""),1700.0)</f>
        <v>1700</v>
      </c>
      <c r="I161" s="95"/>
      <c r="J161" s="96"/>
      <c r="K161" s="97"/>
      <c r="L161" s="95"/>
      <c r="M161" s="96"/>
      <c r="N161" s="97"/>
      <c r="O161" s="95"/>
      <c r="P161" s="96"/>
      <c r="Q161" s="97"/>
      <c r="R161" s="95"/>
      <c r="S161" s="96"/>
      <c r="T161" s="97"/>
      <c r="U161" s="95"/>
      <c r="V161" s="96"/>
      <c r="W161" s="97"/>
      <c r="X161" s="95"/>
      <c r="Y161" s="96"/>
      <c r="Z161" s="97"/>
      <c r="AA161" s="95"/>
      <c r="AB161" s="96"/>
      <c r="AC161" s="97"/>
      <c r="AD161" s="95">
        <f>IFERROR(__xludf.DUMMYFUNCTION("""COMPUTED_VALUE"""),53.3003677277471)</f>
        <v>53.30036773</v>
      </c>
      <c r="AE161" s="96"/>
      <c r="AF161" s="97"/>
      <c r="AG161" s="95"/>
      <c r="AH161" s="96"/>
      <c r="AI161" s="97"/>
      <c r="AJ161" s="95"/>
      <c r="AK161" s="96"/>
      <c r="AL161" s="97"/>
      <c r="AM161" s="95"/>
      <c r="AN161" s="96"/>
      <c r="AO161" s="97"/>
      <c r="AP161" s="95"/>
      <c r="AQ161" s="96"/>
      <c r="AR161" s="97"/>
      <c r="AS161" s="95"/>
      <c r="AT161" s="96"/>
      <c r="AU161" s="97"/>
      <c r="AV161" s="95"/>
      <c r="AW161" s="96"/>
      <c r="AX161" s="97"/>
      <c r="AY161" s="95"/>
      <c r="AZ161" s="96"/>
      <c r="BA161" s="97"/>
      <c r="BB161" s="95"/>
      <c r="BC161" s="96"/>
      <c r="BD161" s="97"/>
      <c r="BE161" s="95"/>
      <c r="BF161" s="96"/>
      <c r="BG161" s="97"/>
      <c r="BH161" s="95">
        <f>IFERROR(__xludf.DUMMYFUNCTION("""COMPUTED_VALUE"""),649.7879543510311)</f>
        <v>649.7879544</v>
      </c>
      <c r="BI161" s="96"/>
      <c r="BJ161" s="97"/>
      <c r="BK161" s="95"/>
      <c r="BL161" s="96"/>
      <c r="BM161" s="97"/>
      <c r="BN161" s="95"/>
      <c r="BO161" s="96">
        <f>IFERROR(__xludf.DUMMYFUNCTION("""COMPUTED_VALUE"""),43.25516305500191)</f>
        <v>43.25516306</v>
      </c>
      <c r="BP161" s="97"/>
      <c r="BQ161" s="95"/>
      <c r="BR161" s="96"/>
      <c r="BS161" s="97"/>
      <c r="BT161" s="95"/>
      <c r="BU161" s="96"/>
      <c r="BV161" s="97"/>
      <c r="BW161" s="95"/>
      <c r="BX161" s="96"/>
      <c r="BY161" s="97"/>
      <c r="BZ161" s="95"/>
      <c r="CA161" s="96"/>
      <c r="CB161" s="97"/>
      <c r="CC161" s="95"/>
      <c r="CD161" s="96"/>
      <c r="CE161" s="97"/>
      <c r="CF161" s="95"/>
      <c r="CG161" s="96"/>
      <c r="CH161" s="96"/>
      <c r="CI161" s="95"/>
      <c r="CJ161" s="96"/>
      <c r="CK161" s="96"/>
      <c r="CL161" s="95"/>
      <c r="CM161" s="96"/>
      <c r="CN161" s="96"/>
      <c r="CO161" s="95"/>
      <c r="CP161" s="96"/>
      <c r="CQ161" s="96">
        <f>IFERROR(__xludf.DUMMYFUNCTION("""COMPUTED_VALUE"""),267.0)</f>
        <v>267</v>
      </c>
      <c r="CR161" s="95"/>
      <c r="CS161" s="96"/>
      <c r="CT161" s="96"/>
      <c r="CU161" s="95"/>
      <c r="CV161" s="96"/>
      <c r="CW161" s="97"/>
      <c r="CX161" s="96"/>
      <c r="CY161" s="96">
        <f>IFERROR(__xludf.DUMMYFUNCTION("""COMPUTED_VALUE"""),72.625)</f>
        <v>72.625</v>
      </c>
      <c r="CZ161" s="97"/>
      <c r="DA161" s="95"/>
      <c r="DB161" s="96"/>
      <c r="DC161" s="97"/>
      <c r="DD161" s="95"/>
      <c r="DE161" s="96"/>
      <c r="DF161" s="97"/>
      <c r="DG161" s="95">
        <f>IFERROR(__xludf.DUMMYFUNCTION("""COMPUTED_VALUE"""),49.8)</f>
        <v>49.8</v>
      </c>
      <c r="DH161" s="96"/>
      <c r="DI161" s="97"/>
      <c r="DJ161" s="95"/>
      <c r="DK161" s="96"/>
      <c r="DL161" s="97"/>
      <c r="DM161" s="95"/>
      <c r="DN161" s="96"/>
      <c r="DO161" s="97"/>
      <c r="DP161" s="95"/>
      <c r="DQ161" s="96"/>
      <c r="DR161" s="97"/>
      <c r="DS161" s="95"/>
    </row>
    <row r="162">
      <c r="A162" s="155" t="str">
        <f>IFERROR(__xludf.DUMMYFUNCTION("""COMPUTED_VALUE"""),"SHIMOSA")</f>
        <v>SHIMOSA</v>
      </c>
      <c r="B162" s="120" t="str">
        <f>IFERROR(__xludf.DUMMYFUNCTION("""COMPUTED_VALUE"""),"SMS1")</f>
        <v>SMS1</v>
      </c>
      <c r="C162" s="88" t="str">
        <f>IFERROR(__xludf.DUMMYFUNCTION("""COMPUTED_VALUE"""),"Rice Field")</f>
        <v>Rice Field</v>
      </c>
      <c r="D162" s="102">
        <f>IFERROR(__xludf.DUMMYFUNCTION("""COMPUTED_VALUE"""),20.0)</f>
        <v>20</v>
      </c>
      <c r="E162" s="82" t="b">
        <f>IFERROR(__xludf.DUMMYFUNCTION("""COMPUTED_VALUE"""),TRUE)</f>
        <v>1</v>
      </c>
      <c r="F162" s="82" t="str">
        <f>IFERROR(__xludf.DUMMYFUNCTION("""COMPUTED_VALUE"""),"Free Quests- EoR!A304:J314")</f>
        <v>Free Quests- EoR!A304:J314</v>
      </c>
      <c r="G162" s="82">
        <f>IFERROR(__xludf.DUMMYFUNCTION("""COMPUTED_VALUE"""),162.0)</f>
        <v>162</v>
      </c>
      <c r="H162" s="82">
        <f>IFERROR(__xludf.DUMMYFUNCTION("""COMPUTED_VALUE"""),49669.0)</f>
        <v>49669</v>
      </c>
      <c r="I162" s="95"/>
      <c r="J162" s="96"/>
      <c r="K162" s="97"/>
      <c r="L162" s="95"/>
      <c r="M162" s="96"/>
      <c r="N162" s="97"/>
      <c r="O162" s="95"/>
      <c r="P162" s="96"/>
      <c r="Q162" s="97"/>
      <c r="R162" s="95"/>
      <c r="S162" s="96"/>
      <c r="T162" s="97"/>
      <c r="U162" s="95"/>
      <c r="V162" s="96"/>
      <c r="W162" s="97"/>
      <c r="X162" s="95"/>
      <c r="Y162" s="96"/>
      <c r="Z162" s="97"/>
      <c r="AA162" s="95">
        <f>IFERROR(__xludf.DUMMYFUNCTION("""COMPUTED_VALUE"""),50.26818164475094)</f>
        <v>50.26818164</v>
      </c>
      <c r="AB162" s="96">
        <f>IFERROR(__xludf.DUMMYFUNCTION("""COMPUTED_VALUE"""),77.76925052779485)</f>
        <v>77.76925053</v>
      </c>
      <c r="AC162" s="97"/>
      <c r="AD162" s="95"/>
      <c r="AE162" s="96"/>
      <c r="AF162" s="97"/>
      <c r="AG162" s="95"/>
      <c r="AH162" s="96"/>
      <c r="AI162" s="97"/>
      <c r="AJ162" s="95"/>
      <c r="AK162" s="96"/>
      <c r="AL162" s="97"/>
      <c r="AM162" s="95"/>
      <c r="AN162" s="96"/>
      <c r="AO162" s="97"/>
      <c r="AP162" s="95"/>
      <c r="AQ162" s="96"/>
      <c r="AR162" s="97"/>
      <c r="AS162" s="95"/>
      <c r="AT162" s="96"/>
      <c r="AU162" s="97"/>
      <c r="AV162" s="95"/>
      <c r="AW162" s="96"/>
      <c r="AX162" s="97"/>
      <c r="AY162" s="95"/>
      <c r="AZ162" s="96"/>
      <c r="BA162" s="97"/>
      <c r="BB162" s="95"/>
      <c r="BC162" s="96"/>
      <c r="BD162" s="97"/>
      <c r="BE162" s="95"/>
      <c r="BF162" s="96"/>
      <c r="BG162" s="97"/>
      <c r="BH162" s="95"/>
      <c r="BI162" s="96"/>
      <c r="BJ162" s="97"/>
      <c r="BK162" s="95"/>
      <c r="BL162" s="96"/>
      <c r="BM162" s="97"/>
      <c r="BN162" s="95"/>
      <c r="BO162" s="96"/>
      <c r="BP162" s="97"/>
      <c r="BQ162" s="95"/>
      <c r="BR162" s="96"/>
      <c r="BS162" s="97"/>
      <c r="BT162" s="95">
        <f>IFERROR(__xludf.DUMMYFUNCTION("""COMPUTED_VALUE"""),79.99836668537228)</f>
        <v>79.99836669</v>
      </c>
      <c r="BU162" s="96"/>
      <c r="BV162" s="97"/>
      <c r="BW162" s="95">
        <f>IFERROR(__xludf.DUMMYFUNCTION("""COMPUTED_VALUE"""),62.30446772355444)</f>
        <v>62.30446772</v>
      </c>
      <c r="BX162" s="96"/>
      <c r="BY162" s="97"/>
      <c r="BZ162" s="95"/>
      <c r="CA162" s="96"/>
      <c r="CB162" s="97"/>
      <c r="CC162" s="95"/>
      <c r="CD162" s="96"/>
      <c r="CE162" s="97"/>
      <c r="CF162" s="95"/>
      <c r="CG162" s="96"/>
      <c r="CH162" s="96"/>
      <c r="CI162" s="95"/>
      <c r="CJ162" s="96"/>
      <c r="CK162" s="96"/>
      <c r="CL162" s="95"/>
      <c r="CM162" s="96"/>
      <c r="CN162" s="96"/>
      <c r="CO162" s="95"/>
      <c r="CP162" s="96"/>
      <c r="CQ162" s="96"/>
      <c r="CR162" s="95"/>
      <c r="CS162" s="96"/>
      <c r="CT162" s="96"/>
      <c r="CU162" s="95"/>
      <c r="CV162" s="96"/>
      <c r="CW162" s="97">
        <f>IFERROR(__xludf.DUMMYFUNCTION("""COMPUTED_VALUE"""),330.0)</f>
        <v>330</v>
      </c>
      <c r="CX162" s="96"/>
      <c r="CY162" s="96"/>
      <c r="CZ162" s="97">
        <f>IFERROR(__xludf.DUMMYFUNCTION("""COMPUTED_VALUE"""),110.0)</f>
        <v>110</v>
      </c>
      <c r="DA162" s="95"/>
      <c r="DB162" s="96"/>
      <c r="DC162" s="97"/>
      <c r="DD162" s="95"/>
      <c r="DE162" s="96">
        <f>IFERROR(__xludf.DUMMYFUNCTION("""COMPUTED_VALUE"""),82.5)</f>
        <v>82.5</v>
      </c>
      <c r="DF162" s="97"/>
      <c r="DG162" s="95"/>
      <c r="DH162" s="96"/>
      <c r="DI162" s="97"/>
      <c r="DJ162" s="95"/>
      <c r="DK162" s="96"/>
      <c r="DL162" s="97"/>
      <c r="DM162" s="95"/>
      <c r="DN162" s="96"/>
      <c r="DO162" s="97"/>
      <c r="DP162" s="95"/>
      <c r="DQ162" s="96"/>
      <c r="DR162" s="97"/>
      <c r="DS162" s="95"/>
    </row>
    <row r="163">
      <c r="B163" s="120" t="str">
        <f>IFERROR(__xludf.DUMMYFUNCTION("""COMPUTED_VALUE"""),"SMS2")</f>
        <v>SMS2</v>
      </c>
      <c r="C163" s="88" t="str">
        <f>IFERROR(__xludf.DUMMYFUNCTION("""COMPUTED_VALUE"""),"Village")</f>
        <v>Village</v>
      </c>
      <c r="D163" s="102">
        <f>IFERROR(__xludf.DUMMYFUNCTION("""COMPUTED_VALUE"""),21.0)</f>
        <v>21</v>
      </c>
      <c r="E163" s="82" t="b">
        <f>IFERROR(__xludf.DUMMYFUNCTION("""COMPUTED_VALUE"""),TRUE)</f>
        <v>1</v>
      </c>
      <c r="F163" s="82" t="str">
        <f>IFERROR(__xludf.DUMMYFUNCTION("""COMPUTED_VALUE"""),"Free Quests- EoR!A318:J329")</f>
        <v>Free Quests- EoR!A318:J329</v>
      </c>
      <c r="G163" s="82">
        <f>IFERROR(__xludf.DUMMYFUNCTION("""COMPUTED_VALUE"""),163.0)</f>
        <v>163</v>
      </c>
      <c r="H163" s="82">
        <f>IFERROR(__xludf.DUMMYFUNCTION("""COMPUTED_VALUE"""),26525.0)</f>
        <v>26525</v>
      </c>
      <c r="I163" s="95"/>
      <c r="J163" s="96"/>
      <c r="K163" s="97"/>
      <c r="L163" s="95"/>
      <c r="M163" s="96"/>
      <c r="N163" s="97"/>
      <c r="O163" s="95"/>
      <c r="P163" s="96"/>
      <c r="Q163" s="97"/>
      <c r="R163" s="95"/>
      <c r="S163" s="96"/>
      <c r="T163" s="97"/>
      <c r="U163" s="95"/>
      <c r="V163" s="96"/>
      <c r="W163" s="97"/>
      <c r="X163" s="95"/>
      <c r="Y163" s="96"/>
      <c r="Z163" s="97"/>
      <c r="AA163" s="95">
        <f>IFERROR(__xludf.DUMMYFUNCTION("""COMPUTED_VALUE"""),59.70226519734946)</f>
        <v>59.7022652</v>
      </c>
      <c r="AB163" s="96"/>
      <c r="AC163" s="97"/>
      <c r="AD163" s="95"/>
      <c r="AE163" s="96"/>
      <c r="AF163" s="97"/>
      <c r="AG163" s="95"/>
      <c r="AH163" s="96"/>
      <c r="AI163" s="97"/>
      <c r="AJ163" s="95"/>
      <c r="AK163" s="96"/>
      <c r="AL163" s="97">
        <f>IFERROR(__xludf.DUMMYFUNCTION("""COMPUTED_VALUE"""),82.72694383255987)</f>
        <v>82.72694383</v>
      </c>
      <c r="AM163" s="95"/>
      <c r="AN163" s="96"/>
      <c r="AO163" s="97"/>
      <c r="AP163" s="95"/>
      <c r="AQ163" s="96"/>
      <c r="AR163" s="97"/>
      <c r="AS163" s="95"/>
      <c r="AT163" s="96"/>
      <c r="AU163" s="97"/>
      <c r="AV163" s="95"/>
      <c r="AW163" s="96"/>
      <c r="AX163" s="97">
        <f>IFERROR(__xludf.DUMMYFUNCTION("""COMPUTED_VALUE"""),69.34060418474793)</f>
        <v>69.34060418</v>
      </c>
      <c r="AY163" s="95"/>
      <c r="AZ163" s="96"/>
      <c r="BA163" s="97"/>
      <c r="BB163" s="95"/>
      <c r="BC163" s="96"/>
      <c r="BD163" s="97"/>
      <c r="BE163" s="95"/>
      <c r="BF163" s="96"/>
      <c r="BG163" s="97"/>
      <c r="BH163" s="95"/>
      <c r="BI163" s="96"/>
      <c r="BJ163" s="97"/>
      <c r="BK163" s="95">
        <f>IFERROR(__xludf.DUMMYFUNCTION("""COMPUTED_VALUE"""),119.44410048651937)</f>
        <v>119.4441005</v>
      </c>
      <c r="BL163" s="96"/>
      <c r="BM163" s="97"/>
      <c r="BN163" s="95"/>
      <c r="BO163" s="96"/>
      <c r="BP163" s="97"/>
      <c r="BQ163" s="95"/>
      <c r="BR163" s="96"/>
      <c r="BS163" s="97"/>
      <c r="BT163" s="95">
        <f>IFERROR(__xludf.DUMMYFUNCTION("""COMPUTED_VALUE"""),88.07573222234963)</f>
        <v>88.07573222</v>
      </c>
      <c r="BU163" s="96"/>
      <c r="BV163" s="97"/>
      <c r="BW163" s="95"/>
      <c r="BX163" s="96"/>
      <c r="BY163" s="97"/>
      <c r="BZ163" s="95"/>
      <c r="CA163" s="96"/>
      <c r="CB163" s="97"/>
      <c r="CC163" s="95"/>
      <c r="CD163" s="96"/>
      <c r="CE163" s="97"/>
      <c r="CF163" s="95"/>
      <c r="CG163" s="96"/>
      <c r="CH163" s="96"/>
      <c r="CI163" s="95"/>
      <c r="CJ163" s="96"/>
      <c r="CK163" s="96"/>
      <c r="CL163" s="95"/>
      <c r="CM163" s="96">
        <f>IFERROR(__xludf.DUMMYFUNCTION("""COMPUTED_VALUE"""),159.24857150923697)</f>
        <v>159.2485715</v>
      </c>
      <c r="CN163" s="96"/>
      <c r="CO163" s="95"/>
      <c r="CP163" s="96"/>
      <c r="CQ163" s="96"/>
      <c r="CR163" s="95"/>
      <c r="CS163" s="96"/>
      <c r="CT163" s="96"/>
      <c r="CU163" s="95"/>
      <c r="CV163" s="96"/>
      <c r="CW163" s="97">
        <f>IFERROR(__xludf.DUMMYFUNCTION("""COMPUTED_VALUE"""),76.125)</f>
        <v>76.125</v>
      </c>
      <c r="CX163" s="96"/>
      <c r="CY163" s="96"/>
      <c r="CZ163" s="97"/>
      <c r="DA163" s="95"/>
      <c r="DB163" s="96"/>
      <c r="DC163" s="97"/>
      <c r="DD163" s="95"/>
      <c r="DE163" s="96">
        <f>IFERROR(__xludf.DUMMYFUNCTION("""COMPUTED_VALUE"""),64.10526315789474)</f>
        <v>64.10526316</v>
      </c>
      <c r="DF163" s="97"/>
      <c r="DG163" s="95"/>
      <c r="DH163" s="96"/>
      <c r="DI163" s="97"/>
      <c r="DJ163" s="95"/>
      <c r="DK163" s="96"/>
      <c r="DL163" s="97"/>
      <c r="DM163" s="95"/>
      <c r="DN163" s="96"/>
      <c r="DO163" s="97"/>
      <c r="DP163" s="95"/>
      <c r="DQ163" s="96"/>
      <c r="DR163" s="97"/>
      <c r="DS163" s="95"/>
    </row>
    <row r="164">
      <c r="B164" s="120" t="str">
        <f>IFERROR(__xludf.DUMMYFUNCTION("""COMPUTED_VALUE"""),"SMS3")</f>
        <v>SMS3</v>
      </c>
      <c r="C164" s="88" t="str">
        <f>IFERROR(__xludf.DUMMYFUNCTION("""COMPUTED_VALUE"""),"Monastery")</f>
        <v>Monastery</v>
      </c>
      <c r="D164" s="102">
        <f>IFERROR(__xludf.DUMMYFUNCTION("""COMPUTED_VALUE"""),21.0)</f>
        <v>21</v>
      </c>
      <c r="E164" s="82" t="b">
        <f>IFERROR(__xludf.DUMMYFUNCTION("""COMPUTED_VALUE"""),TRUE)</f>
        <v>1</v>
      </c>
      <c r="F164" s="82" t="str">
        <f>IFERROR(__xludf.DUMMYFUNCTION("""COMPUTED_VALUE"""),"Free Quests- EoR!A333:J342")</f>
        <v>Free Quests- EoR!A333:J342</v>
      </c>
      <c r="G164" s="82">
        <f>IFERROR(__xludf.DUMMYFUNCTION("""COMPUTED_VALUE"""),164.0)</f>
        <v>164</v>
      </c>
      <c r="H164" s="82">
        <f>IFERROR(__xludf.DUMMYFUNCTION("""COMPUTED_VALUE"""),10342.0)</f>
        <v>10342</v>
      </c>
      <c r="I164" s="95"/>
      <c r="J164" s="96"/>
      <c r="K164" s="97"/>
      <c r="L164" s="95"/>
      <c r="M164" s="96"/>
      <c r="N164" s="97"/>
      <c r="O164" s="95"/>
      <c r="P164" s="96"/>
      <c r="Q164" s="97"/>
      <c r="R164" s="95"/>
      <c r="S164" s="96"/>
      <c r="T164" s="97"/>
      <c r="U164" s="95"/>
      <c r="V164" s="96"/>
      <c r="W164" s="97"/>
      <c r="X164" s="95"/>
      <c r="Y164" s="96"/>
      <c r="Z164" s="97"/>
      <c r="AA164" s="95"/>
      <c r="AB164" s="96">
        <f>IFERROR(__xludf.DUMMYFUNCTION("""COMPUTED_VALUE"""),83.35201105311637)</f>
        <v>83.35201105</v>
      </c>
      <c r="AC164" s="97"/>
      <c r="AD164" s="95"/>
      <c r="AE164" s="96"/>
      <c r="AF164" s="97"/>
      <c r="AG164" s="95"/>
      <c r="AH164" s="96"/>
      <c r="AI164" s="97"/>
      <c r="AJ164" s="95"/>
      <c r="AK164" s="96"/>
      <c r="AL164" s="97">
        <f>IFERROR(__xludf.DUMMYFUNCTION("""COMPUTED_VALUE"""),83.41603933015824)</f>
        <v>83.41603933</v>
      </c>
      <c r="AM164" s="95"/>
      <c r="AN164" s="96"/>
      <c r="AO164" s="97"/>
      <c r="AP164" s="95"/>
      <c r="AQ164" s="96"/>
      <c r="AR164" s="97"/>
      <c r="AS164" s="95"/>
      <c r="AT164" s="96"/>
      <c r="AU164" s="97"/>
      <c r="AV164" s="95"/>
      <c r="AW164" s="96"/>
      <c r="AX164" s="97"/>
      <c r="AY164" s="95"/>
      <c r="AZ164" s="96"/>
      <c r="BA164" s="97"/>
      <c r="BB164" s="95"/>
      <c r="BC164" s="96"/>
      <c r="BD164" s="97"/>
      <c r="BE164" s="95"/>
      <c r="BF164" s="96"/>
      <c r="BG164" s="97"/>
      <c r="BH164" s="95"/>
      <c r="BI164" s="96"/>
      <c r="BJ164" s="97"/>
      <c r="BK164" s="95">
        <f>IFERROR(__xludf.DUMMYFUNCTION("""COMPUTED_VALUE"""),101.04308179026705)</f>
        <v>101.0430818</v>
      </c>
      <c r="BL164" s="96"/>
      <c r="BM164" s="97"/>
      <c r="BN164" s="95"/>
      <c r="BO164" s="96"/>
      <c r="BP164" s="97"/>
      <c r="BQ164" s="95"/>
      <c r="BR164" s="96"/>
      <c r="BS164" s="97"/>
      <c r="BT164" s="95"/>
      <c r="BU164" s="96"/>
      <c r="BV164" s="97"/>
      <c r="BW164" s="95">
        <f>IFERROR(__xludf.DUMMYFUNCTION("""COMPUTED_VALUE"""),51.788346472869215)</f>
        <v>51.78834647</v>
      </c>
      <c r="BX164" s="96"/>
      <c r="BY164" s="97"/>
      <c r="BZ164" s="95"/>
      <c r="CA164" s="96"/>
      <c r="CB164" s="97"/>
      <c r="CC164" s="95"/>
      <c r="CD164" s="96"/>
      <c r="CE164" s="97"/>
      <c r="CF164" s="95"/>
      <c r="CG164" s="96"/>
      <c r="CH164" s="96"/>
      <c r="CI164" s="95"/>
      <c r="CJ164" s="96"/>
      <c r="CK164" s="96"/>
      <c r="CL164" s="95"/>
      <c r="CM164" s="96">
        <f>IFERROR(__xludf.DUMMYFUNCTION("""COMPUTED_VALUE"""),93.65143494009475)</f>
        <v>93.65143494</v>
      </c>
      <c r="CN164" s="96"/>
      <c r="CO164" s="95"/>
      <c r="CP164" s="96"/>
      <c r="CQ164" s="96"/>
      <c r="CR164" s="95"/>
      <c r="CS164" s="96"/>
      <c r="CT164" s="96"/>
      <c r="CU164" s="95"/>
      <c r="CV164" s="96"/>
      <c r="CW164" s="97"/>
      <c r="CX164" s="96"/>
      <c r="CY164" s="96"/>
      <c r="CZ164" s="97">
        <f>IFERROR(__xludf.DUMMYFUNCTION("""COMPUTED_VALUE"""),117.0)</f>
        <v>117</v>
      </c>
      <c r="DA164" s="95"/>
      <c r="DB164" s="96"/>
      <c r="DC164" s="97"/>
      <c r="DD164" s="95"/>
      <c r="DE164" s="96"/>
      <c r="DF164" s="97"/>
      <c r="DG164" s="95"/>
      <c r="DH164" s="96"/>
      <c r="DI164" s="97"/>
      <c r="DJ164" s="95"/>
      <c r="DK164" s="96"/>
      <c r="DL164" s="97"/>
      <c r="DM164" s="95"/>
      <c r="DN164" s="96"/>
      <c r="DO164" s="97"/>
      <c r="DP164" s="95"/>
      <c r="DQ164" s="96"/>
      <c r="DR164" s="97"/>
      <c r="DS164" s="95"/>
    </row>
    <row r="165">
      <c r="B165" s="120" t="str">
        <f>IFERROR(__xludf.DUMMYFUNCTION("""COMPUTED_VALUE"""),"SMS4")</f>
        <v>SMS4</v>
      </c>
      <c r="C165" s="88" t="str">
        <f>IFERROR(__xludf.DUMMYFUNCTION("""COMPUTED_VALUE"""),"Castle Town")</f>
        <v>Castle Town</v>
      </c>
      <c r="D165" s="102">
        <f>IFERROR(__xludf.DUMMYFUNCTION("""COMPUTED_VALUE"""),21.0)</f>
        <v>21</v>
      </c>
      <c r="E165" s="82" t="b">
        <f>IFERROR(__xludf.DUMMYFUNCTION("""COMPUTED_VALUE"""),TRUE)</f>
        <v>1</v>
      </c>
      <c r="F165" s="82" t="str">
        <f>IFERROR(__xludf.DUMMYFUNCTION("""COMPUTED_VALUE"""),"Free Quests- EoR!A346:J351")</f>
        <v>Free Quests- EoR!A346:J351</v>
      </c>
      <c r="G165" s="82">
        <f>IFERROR(__xludf.DUMMYFUNCTION("""COMPUTED_VALUE"""),165.0)</f>
        <v>165</v>
      </c>
      <c r="H165" s="82">
        <f>IFERROR(__xludf.DUMMYFUNCTION("""COMPUTED_VALUE"""),14645.0)</f>
        <v>14645</v>
      </c>
      <c r="I165" s="95"/>
      <c r="J165" s="96"/>
      <c r="K165" s="97"/>
      <c r="L165" s="95"/>
      <c r="M165" s="96"/>
      <c r="N165" s="97"/>
      <c r="O165" s="95"/>
      <c r="P165" s="96"/>
      <c r="Q165" s="97"/>
      <c r="R165" s="95"/>
      <c r="S165" s="96"/>
      <c r="T165" s="97"/>
      <c r="U165" s="95"/>
      <c r="V165" s="96"/>
      <c r="W165" s="97"/>
      <c r="X165" s="95"/>
      <c r="Y165" s="96"/>
      <c r="Z165" s="97"/>
      <c r="AA165" s="95"/>
      <c r="AB165" s="96"/>
      <c r="AC165" s="97"/>
      <c r="AD165" s="95"/>
      <c r="AE165" s="96"/>
      <c r="AF165" s="97"/>
      <c r="AG165" s="95"/>
      <c r="AH165" s="96"/>
      <c r="AI165" s="97"/>
      <c r="AJ165" s="95"/>
      <c r="AK165" s="96"/>
      <c r="AL165" s="97">
        <f>IFERROR(__xludf.DUMMYFUNCTION("""COMPUTED_VALUE"""),51.96926235567967)</f>
        <v>51.96926236</v>
      </c>
      <c r="AM165" s="95"/>
      <c r="AN165" s="96"/>
      <c r="AO165" s="97"/>
      <c r="AP165" s="95"/>
      <c r="AQ165" s="96"/>
      <c r="AR165" s="97"/>
      <c r="AS165" s="95"/>
      <c r="AT165" s="96"/>
      <c r="AU165" s="97"/>
      <c r="AV165" s="95"/>
      <c r="AW165" s="96"/>
      <c r="AX165" s="97"/>
      <c r="AY165" s="95"/>
      <c r="AZ165" s="96"/>
      <c r="BA165" s="97"/>
      <c r="BB165" s="95"/>
      <c r="BC165" s="96"/>
      <c r="BD165" s="97"/>
      <c r="BE165" s="95"/>
      <c r="BF165" s="96"/>
      <c r="BG165" s="97"/>
      <c r="BH165" s="95"/>
      <c r="BI165" s="96"/>
      <c r="BJ165" s="97"/>
      <c r="BK165" s="95">
        <f>IFERROR(__xludf.DUMMYFUNCTION("""COMPUTED_VALUE"""),52.218147120312175)</f>
        <v>52.21814712</v>
      </c>
      <c r="BL165" s="96"/>
      <c r="BM165" s="97"/>
      <c r="BN165" s="95"/>
      <c r="BO165" s="96"/>
      <c r="BP165" s="97"/>
      <c r="BQ165" s="95"/>
      <c r="BR165" s="96"/>
      <c r="BS165" s="97"/>
      <c r="BT165" s="95"/>
      <c r="BU165" s="96"/>
      <c r="BV165" s="97"/>
      <c r="BW165" s="95"/>
      <c r="BX165" s="96"/>
      <c r="BY165" s="97"/>
      <c r="BZ165" s="95"/>
      <c r="CA165" s="96"/>
      <c r="CB165" s="97"/>
      <c r="CC165" s="95"/>
      <c r="CD165" s="96"/>
      <c r="CE165" s="97"/>
      <c r="CF165" s="95"/>
      <c r="CG165" s="96"/>
      <c r="CH165" s="96"/>
      <c r="CI165" s="95"/>
      <c r="CJ165" s="96"/>
      <c r="CK165" s="96"/>
      <c r="CL165" s="95"/>
      <c r="CM165" s="96">
        <f>IFERROR(__xludf.DUMMYFUNCTION("""COMPUTED_VALUE"""),54.75162584449426)</f>
        <v>54.75162584</v>
      </c>
      <c r="CN165" s="96"/>
      <c r="CO165" s="95"/>
      <c r="CP165" s="96"/>
      <c r="CQ165" s="96"/>
      <c r="CR165" s="95"/>
      <c r="CS165" s="96"/>
      <c r="CT165" s="96"/>
      <c r="CU165" s="95"/>
      <c r="CV165" s="96"/>
      <c r="CW165" s="97"/>
      <c r="CX165" s="96"/>
      <c r="CY165" s="96"/>
      <c r="CZ165" s="97"/>
      <c r="DA165" s="95"/>
      <c r="DB165" s="96"/>
      <c r="DC165" s="97"/>
      <c r="DD165" s="95"/>
      <c r="DE165" s="96"/>
      <c r="DF165" s="97"/>
      <c r="DG165" s="95"/>
      <c r="DH165" s="96"/>
      <c r="DI165" s="97"/>
      <c r="DJ165" s="95"/>
      <c r="DK165" s="96"/>
      <c r="DL165" s="97"/>
      <c r="DM165" s="95"/>
      <c r="DN165" s="96"/>
      <c r="DO165" s="97"/>
      <c r="DP165" s="95"/>
      <c r="DQ165" s="96"/>
      <c r="DR165" s="97"/>
      <c r="DS165" s="95"/>
    </row>
    <row r="166">
      <c r="B166" s="120" t="str">
        <f>IFERROR(__xludf.DUMMYFUNCTION("""COMPUTED_VALUE"""),"SMS5")</f>
        <v>SMS5</v>
      </c>
      <c r="C166" s="88" t="str">
        <f>IFERROR(__xludf.DUMMYFUNCTION("""COMPUTED_VALUE"""),"Battlefield")</f>
        <v>Battlefield</v>
      </c>
      <c r="D166" s="102">
        <f>IFERROR(__xludf.DUMMYFUNCTION("""COMPUTED_VALUE"""),21.0)</f>
        <v>21</v>
      </c>
      <c r="E166" s="82" t="b">
        <f>IFERROR(__xludf.DUMMYFUNCTION("""COMPUTED_VALUE"""),TRUE)</f>
        <v>1</v>
      </c>
      <c r="F166" s="82" t="str">
        <f>IFERROR(__xludf.DUMMYFUNCTION("""COMPUTED_VALUE"""),"Free Quests- EoR!A355:J366")</f>
        <v>Free Quests- EoR!A355:J366</v>
      </c>
      <c r="G166" s="82">
        <f>IFERROR(__xludf.DUMMYFUNCTION("""COMPUTED_VALUE"""),166.0)</f>
        <v>166</v>
      </c>
      <c r="H166" s="82">
        <f>IFERROR(__xludf.DUMMYFUNCTION("""COMPUTED_VALUE"""),110709.0)</f>
        <v>110709</v>
      </c>
      <c r="I166" s="95"/>
      <c r="J166" s="96"/>
      <c r="K166" s="97"/>
      <c r="L166" s="95"/>
      <c r="M166" s="96"/>
      <c r="N166" s="97"/>
      <c r="O166" s="95"/>
      <c r="P166" s="96"/>
      <c r="Q166" s="97"/>
      <c r="R166" s="95"/>
      <c r="S166" s="96"/>
      <c r="T166" s="97"/>
      <c r="U166" s="95"/>
      <c r="V166" s="96"/>
      <c r="W166" s="97"/>
      <c r="X166" s="95"/>
      <c r="Y166" s="96"/>
      <c r="Z166" s="97"/>
      <c r="AA166" s="95"/>
      <c r="AB166" s="96"/>
      <c r="AC166" s="97"/>
      <c r="AD166" s="95"/>
      <c r="AE166" s="96"/>
      <c r="AF166" s="97"/>
      <c r="AG166" s="95"/>
      <c r="AH166" s="96"/>
      <c r="AI166" s="97"/>
      <c r="AJ166" s="95"/>
      <c r="AK166" s="96"/>
      <c r="AL166" s="97">
        <f>IFERROR(__xludf.DUMMYFUNCTION("""COMPUTED_VALUE"""),83.30136080434045)</f>
        <v>83.3013608</v>
      </c>
      <c r="AM166" s="95"/>
      <c r="AN166" s="96"/>
      <c r="AO166" s="97"/>
      <c r="AP166" s="95"/>
      <c r="AQ166" s="96"/>
      <c r="AR166" s="97"/>
      <c r="AS166" s="95"/>
      <c r="AT166" s="96"/>
      <c r="AU166" s="97"/>
      <c r="AV166" s="95">
        <f>IFERROR(__xludf.DUMMYFUNCTION("""COMPUTED_VALUE"""),52.630541179626036)</f>
        <v>52.63054118</v>
      </c>
      <c r="AW166" s="96"/>
      <c r="AX166" s="97">
        <f>IFERROR(__xludf.DUMMYFUNCTION("""COMPUTED_VALUE"""),68.41034371409573)</f>
        <v>68.41034371</v>
      </c>
      <c r="AY166" s="95"/>
      <c r="AZ166" s="96"/>
      <c r="BA166" s="97"/>
      <c r="BB166" s="95"/>
      <c r="BC166" s="96"/>
      <c r="BD166" s="97"/>
      <c r="BE166" s="95"/>
      <c r="BF166" s="96"/>
      <c r="BG166" s="97"/>
      <c r="BH166" s="95"/>
      <c r="BI166" s="96"/>
      <c r="BJ166" s="97"/>
      <c r="BK166" s="95">
        <f>IFERROR(__xludf.DUMMYFUNCTION("""COMPUTED_VALUE"""),136.3682926885222)</f>
        <v>136.3682927</v>
      </c>
      <c r="BL166" s="96"/>
      <c r="BM166" s="97"/>
      <c r="BN166" s="95"/>
      <c r="BO166" s="96"/>
      <c r="BP166" s="97"/>
      <c r="BQ166" s="95"/>
      <c r="BR166" s="96">
        <f>IFERROR(__xludf.DUMMYFUNCTION("""COMPUTED_VALUE"""),85.74196767336883)</f>
        <v>85.74196767</v>
      </c>
      <c r="BS166" s="97"/>
      <c r="BT166" s="95"/>
      <c r="BU166" s="96"/>
      <c r="BV166" s="97"/>
      <c r="BW166" s="95"/>
      <c r="BX166" s="96"/>
      <c r="BY166" s="97"/>
      <c r="BZ166" s="95"/>
      <c r="CA166" s="96"/>
      <c r="CB166" s="97"/>
      <c r="CC166" s="95"/>
      <c r="CD166" s="96"/>
      <c r="CE166" s="97"/>
      <c r="CF166" s="95"/>
      <c r="CG166" s="96"/>
      <c r="CH166" s="96"/>
      <c r="CI166" s="95"/>
      <c r="CJ166" s="96"/>
      <c r="CK166" s="96"/>
      <c r="CL166" s="95"/>
      <c r="CM166" s="96">
        <f>IFERROR(__xludf.DUMMYFUNCTION("""COMPUTED_VALUE"""),155.44176328183184)</f>
        <v>155.4417633</v>
      </c>
      <c r="CN166" s="96"/>
      <c r="CO166" s="95"/>
      <c r="CP166" s="96"/>
      <c r="CQ166" s="96"/>
      <c r="CR166" s="95"/>
      <c r="CS166" s="96"/>
      <c r="CT166" s="96"/>
      <c r="CU166" s="95">
        <f>IFERROR(__xludf.DUMMYFUNCTION("""COMPUTED_VALUE"""),89.33333333333333)</f>
        <v>89.33333333</v>
      </c>
      <c r="CV166" s="96">
        <f>IFERROR(__xludf.DUMMYFUNCTION("""COMPUTED_VALUE"""),100.5)</f>
        <v>100.5</v>
      </c>
      <c r="CW166" s="97"/>
      <c r="CX166" s="96"/>
      <c r="CY166" s="96"/>
      <c r="CZ166" s="97"/>
      <c r="DA166" s="95"/>
      <c r="DB166" s="96"/>
      <c r="DC166" s="97"/>
      <c r="DD166" s="95"/>
      <c r="DE166" s="96"/>
      <c r="DF166" s="97"/>
      <c r="DG166" s="95"/>
      <c r="DH166" s="96"/>
      <c r="DI166" s="97"/>
      <c r="DJ166" s="95"/>
      <c r="DK166" s="96"/>
      <c r="DL166" s="97"/>
      <c r="DM166" s="95"/>
      <c r="DN166" s="96"/>
      <c r="DO166" s="97"/>
      <c r="DP166" s="95"/>
      <c r="DQ166" s="96"/>
      <c r="DR166" s="97"/>
      <c r="DS166" s="95"/>
    </row>
    <row r="167">
      <c r="B167" s="120" t="str">
        <f>IFERROR(__xludf.DUMMYFUNCTION("""COMPUTED_VALUE"""),"SMS6")</f>
        <v>SMS6</v>
      </c>
      <c r="C167" s="88" t="str">
        <f>IFERROR(__xludf.DUMMYFUNCTION("""COMPUTED_VALUE"""),"Toke Castle")</f>
        <v>Toke Castle</v>
      </c>
      <c r="D167" s="102">
        <f>IFERROR(__xludf.DUMMYFUNCTION("""COMPUTED_VALUE"""),21.0)</f>
        <v>21</v>
      </c>
      <c r="E167" s="82" t="b">
        <f>IFERROR(__xludf.DUMMYFUNCTION("""COMPUTED_VALUE"""),TRUE)</f>
        <v>1</v>
      </c>
      <c r="F167" s="82" t="str">
        <f>IFERROR(__xludf.DUMMYFUNCTION("""COMPUTED_VALUE"""),"Free Quests- EoR!A370:J380")</f>
        <v>Free Quests- EoR!A370:J380</v>
      </c>
      <c r="G167" s="82">
        <f>IFERROR(__xludf.DUMMYFUNCTION("""COMPUTED_VALUE"""),167.0)</f>
        <v>167</v>
      </c>
      <c r="H167" s="82">
        <f>IFERROR(__xludf.DUMMYFUNCTION("""COMPUTED_VALUE"""),2773.0)</f>
        <v>2773</v>
      </c>
      <c r="I167" s="95"/>
      <c r="J167" s="96"/>
      <c r="K167" s="97"/>
      <c r="L167" s="95"/>
      <c r="M167" s="96"/>
      <c r="N167" s="97"/>
      <c r="O167" s="95"/>
      <c r="P167" s="96"/>
      <c r="Q167" s="97"/>
      <c r="R167" s="95"/>
      <c r="S167" s="96"/>
      <c r="T167" s="97">
        <f>IFERROR(__xludf.DUMMYFUNCTION("""COMPUTED_VALUE"""),221.29624351593228)</f>
        <v>221.2962435</v>
      </c>
      <c r="U167" s="95"/>
      <c r="V167" s="96"/>
      <c r="W167" s="97"/>
      <c r="X167" s="95"/>
      <c r="Y167" s="96"/>
      <c r="Z167" s="97"/>
      <c r="AA167" s="95"/>
      <c r="AB167" s="96"/>
      <c r="AC167" s="97"/>
      <c r="AD167" s="95"/>
      <c r="AE167" s="96"/>
      <c r="AF167" s="97"/>
      <c r="AG167" s="95"/>
      <c r="AH167" s="96"/>
      <c r="AI167" s="97"/>
      <c r="AJ167" s="95"/>
      <c r="AK167" s="96"/>
      <c r="AL167" s="97">
        <f>IFERROR(__xludf.DUMMYFUNCTION("""COMPUTED_VALUE"""),78.75358551755195)</f>
        <v>78.75358552</v>
      </c>
      <c r="AM167" s="95"/>
      <c r="AN167" s="96"/>
      <c r="AO167" s="97"/>
      <c r="AP167" s="95"/>
      <c r="AQ167" s="96"/>
      <c r="AR167" s="97"/>
      <c r="AS167" s="95"/>
      <c r="AT167" s="96"/>
      <c r="AU167" s="97"/>
      <c r="AV167" s="95"/>
      <c r="AW167" s="96"/>
      <c r="AX167" s="97">
        <f>IFERROR(__xludf.DUMMYFUNCTION("""COMPUTED_VALUE"""),72.17782867851845)</f>
        <v>72.17782868</v>
      </c>
      <c r="AY167" s="95"/>
      <c r="AZ167" s="96"/>
      <c r="BA167" s="97"/>
      <c r="BB167" s="95"/>
      <c r="BC167" s="96"/>
      <c r="BD167" s="97"/>
      <c r="BE167" s="95"/>
      <c r="BF167" s="96">
        <f>IFERROR(__xludf.DUMMYFUNCTION("""COMPUTED_VALUE"""),512.4340021119324)</f>
        <v>512.4340021</v>
      </c>
      <c r="BG167" s="97"/>
      <c r="BH167" s="95"/>
      <c r="BI167" s="96"/>
      <c r="BJ167" s="97"/>
      <c r="BK167" s="95">
        <f>IFERROR(__xludf.DUMMYFUNCTION("""COMPUTED_VALUE"""),93.94825202128713)</f>
        <v>93.94825202</v>
      </c>
      <c r="BL167" s="96"/>
      <c r="BM167" s="97"/>
      <c r="BN167" s="95"/>
      <c r="BO167" s="96"/>
      <c r="BP167" s="97"/>
      <c r="BQ167" s="95"/>
      <c r="BR167" s="96"/>
      <c r="BS167" s="97"/>
      <c r="BT167" s="95"/>
      <c r="BU167" s="96"/>
      <c r="BV167" s="97"/>
      <c r="BW167" s="95"/>
      <c r="BX167" s="96"/>
      <c r="BY167" s="97"/>
      <c r="BZ167" s="95"/>
      <c r="CA167" s="96"/>
      <c r="CB167" s="97"/>
      <c r="CC167" s="95"/>
      <c r="CD167" s="96"/>
      <c r="CE167" s="97"/>
      <c r="CF167" s="95"/>
      <c r="CG167" s="96"/>
      <c r="CH167" s="96"/>
      <c r="CI167" s="95"/>
      <c r="CJ167" s="96"/>
      <c r="CK167" s="96"/>
      <c r="CL167" s="95"/>
      <c r="CM167" s="96">
        <f>IFERROR(__xludf.DUMMYFUNCTION("""COMPUTED_VALUE"""),85.74306088282975)</f>
        <v>85.74306088</v>
      </c>
      <c r="CN167" s="96"/>
      <c r="CO167" s="95">
        <f>IFERROR(__xludf.DUMMYFUNCTION("""COMPUTED_VALUE"""),497.3153049357086)</f>
        <v>497.3153049</v>
      </c>
      <c r="CP167" s="96"/>
      <c r="CQ167" s="96"/>
      <c r="CR167" s="95"/>
      <c r="CS167" s="96"/>
      <c r="CT167" s="96"/>
      <c r="CU167" s="95"/>
      <c r="CV167" s="96"/>
      <c r="CW167" s="97"/>
      <c r="CX167" s="96"/>
      <c r="CY167" s="96"/>
      <c r="CZ167" s="97">
        <f>IFERROR(__xludf.DUMMYFUNCTION("""COMPUTED_VALUE"""),77.0)</f>
        <v>77</v>
      </c>
      <c r="DA167" s="95"/>
      <c r="DB167" s="96"/>
      <c r="DC167" s="97"/>
      <c r="DD167" s="95"/>
      <c r="DE167" s="96"/>
      <c r="DF167" s="97"/>
      <c r="DG167" s="95"/>
      <c r="DH167" s="96"/>
      <c r="DI167" s="97"/>
      <c r="DJ167" s="95"/>
      <c r="DK167" s="96"/>
      <c r="DL167" s="97"/>
      <c r="DM167" s="95"/>
      <c r="DN167" s="96"/>
      <c r="DO167" s="97"/>
      <c r="DP167" s="95"/>
      <c r="DQ167" s="96"/>
      <c r="DR167" s="97"/>
      <c r="DS167" s="95"/>
    </row>
    <row r="168">
      <c r="B168" s="120" t="str">
        <f>IFERROR(__xludf.DUMMYFUNCTION("""COMPUTED_VALUE"""),"SMS7")</f>
        <v>SMS7</v>
      </c>
      <c r="C168" s="88" t="str">
        <f>IFERROR(__xludf.DUMMYFUNCTION("""COMPUTED_VALUE"""),"Rear Mountain (Nameless Sacred Mountain)")</f>
        <v>Rear Mountain (Nameless Sacred Mountain)</v>
      </c>
      <c r="D168" s="102">
        <f>IFERROR(__xludf.DUMMYFUNCTION("""COMPUTED_VALUE"""),21.0)</f>
        <v>21</v>
      </c>
      <c r="E168" s="82" t="b">
        <f>IFERROR(__xludf.DUMMYFUNCTION("""COMPUTED_VALUE"""),TRUE)</f>
        <v>1</v>
      </c>
      <c r="F168" s="82" t="str">
        <f>IFERROR(__xludf.DUMMYFUNCTION("""COMPUTED_VALUE"""),"Free Quests- EoR!A384:J395")</f>
        <v>Free Quests- EoR!A384:J395</v>
      </c>
      <c r="G168" s="82">
        <f>IFERROR(__xludf.DUMMYFUNCTION("""COMPUTED_VALUE"""),168.0)</f>
        <v>168</v>
      </c>
      <c r="H168" s="82">
        <f>IFERROR(__xludf.DUMMYFUNCTION("""COMPUTED_VALUE"""),15434.0)</f>
        <v>15434</v>
      </c>
      <c r="I168" s="95"/>
      <c r="J168" s="96"/>
      <c r="K168" s="97"/>
      <c r="L168" s="95"/>
      <c r="M168" s="96"/>
      <c r="N168" s="97"/>
      <c r="O168" s="95"/>
      <c r="P168" s="96"/>
      <c r="Q168" s="97"/>
      <c r="R168" s="95"/>
      <c r="S168" s="96"/>
      <c r="T168" s="97"/>
      <c r="U168" s="95"/>
      <c r="V168" s="96"/>
      <c r="W168" s="97"/>
      <c r="X168" s="95"/>
      <c r="Y168" s="96"/>
      <c r="Z168" s="97"/>
      <c r="AA168" s="95"/>
      <c r="AB168" s="96"/>
      <c r="AC168" s="97">
        <f>IFERROR(__xludf.DUMMYFUNCTION("""COMPUTED_VALUE"""),86.10023430153173)</f>
        <v>86.1002343</v>
      </c>
      <c r="AD168" s="95"/>
      <c r="AE168" s="96"/>
      <c r="AF168" s="97"/>
      <c r="AG168" s="95"/>
      <c r="AH168" s="96"/>
      <c r="AI168" s="97"/>
      <c r="AJ168" s="95"/>
      <c r="AK168" s="96"/>
      <c r="AL168" s="97">
        <f>IFERROR(__xludf.DUMMYFUNCTION("""COMPUTED_VALUE"""),87.14627762190474)</f>
        <v>87.14627762</v>
      </c>
      <c r="AM168" s="95"/>
      <c r="AN168" s="96"/>
      <c r="AO168" s="97"/>
      <c r="AP168" s="95"/>
      <c r="AQ168" s="96"/>
      <c r="AR168" s="97"/>
      <c r="AS168" s="95"/>
      <c r="AT168" s="96"/>
      <c r="AU168" s="97"/>
      <c r="AV168" s="95"/>
      <c r="AW168" s="96"/>
      <c r="AX168" s="97">
        <f>IFERROR(__xludf.DUMMYFUNCTION("""COMPUTED_VALUE"""),70.25940228978097)</f>
        <v>70.25940229</v>
      </c>
      <c r="AY168" s="95"/>
      <c r="AZ168" s="96"/>
      <c r="BA168" s="97"/>
      <c r="BB168" s="95"/>
      <c r="BC168" s="96"/>
      <c r="BD168" s="97"/>
      <c r="BE168" s="95"/>
      <c r="BF168" s="96"/>
      <c r="BG168" s="97"/>
      <c r="BH168" s="95"/>
      <c r="BI168" s="96"/>
      <c r="BJ168" s="97"/>
      <c r="BK168" s="95">
        <f>IFERROR(__xludf.DUMMYFUNCTION("""COMPUTED_VALUE"""),86.4134629612596)</f>
        <v>86.41346296</v>
      </c>
      <c r="BL168" s="96"/>
      <c r="BM168" s="97"/>
      <c r="BN168" s="95"/>
      <c r="BO168" s="96"/>
      <c r="BP168" s="97"/>
      <c r="BQ168" s="95">
        <f>IFERROR(__xludf.DUMMYFUNCTION("""COMPUTED_VALUE"""),262.9337083057287)</f>
        <v>262.9337083</v>
      </c>
      <c r="BR168" s="96"/>
      <c r="BS168" s="97"/>
      <c r="BT168" s="95"/>
      <c r="BU168" s="96"/>
      <c r="BV168" s="97"/>
      <c r="BW168" s="95"/>
      <c r="BX168" s="96"/>
      <c r="BY168" s="97"/>
      <c r="BZ168" s="95"/>
      <c r="CA168" s="96"/>
      <c r="CB168" s="97"/>
      <c r="CC168" s="95"/>
      <c r="CD168" s="96"/>
      <c r="CE168" s="97"/>
      <c r="CF168" s="95"/>
      <c r="CG168" s="96"/>
      <c r="CH168" s="96"/>
      <c r="CI168" s="95"/>
      <c r="CJ168" s="96"/>
      <c r="CK168" s="96"/>
      <c r="CL168" s="95"/>
      <c r="CM168" s="96">
        <f>IFERROR(__xludf.DUMMYFUNCTION("""COMPUTED_VALUE"""),88.99617963582978)</f>
        <v>88.99617964</v>
      </c>
      <c r="CN168" s="96"/>
      <c r="CO168" s="95"/>
      <c r="CP168" s="96"/>
      <c r="CQ168" s="96"/>
      <c r="CR168" s="95"/>
      <c r="CS168" s="96">
        <f>IFERROR(__xludf.DUMMYFUNCTION("""COMPUTED_VALUE"""),756.0)</f>
        <v>756</v>
      </c>
      <c r="CT168" s="96"/>
      <c r="CU168" s="95"/>
      <c r="CV168" s="96"/>
      <c r="CW168" s="97"/>
      <c r="CX168" s="96"/>
      <c r="CY168" s="96"/>
      <c r="CZ168" s="97"/>
      <c r="DA168" s="95">
        <f>IFERROR(__xludf.DUMMYFUNCTION("""COMPUTED_VALUE"""),94.5)</f>
        <v>94.5</v>
      </c>
      <c r="DB168" s="96"/>
      <c r="DC168" s="97"/>
      <c r="DD168" s="95"/>
      <c r="DE168" s="96"/>
      <c r="DF168" s="97"/>
      <c r="DG168" s="95"/>
      <c r="DH168" s="96"/>
      <c r="DI168" s="97"/>
      <c r="DJ168" s="95"/>
      <c r="DK168" s="96"/>
      <c r="DL168" s="97"/>
      <c r="DM168" s="95"/>
      <c r="DN168" s="96"/>
      <c r="DO168" s="97"/>
      <c r="DP168" s="95"/>
      <c r="DQ168" s="96"/>
      <c r="DR168" s="97"/>
      <c r="DS168" s="95"/>
    </row>
    <row r="169">
      <c r="B169" s="120" t="str">
        <f>IFERROR(__xludf.DUMMYFUNCTION("""COMPUTED_VALUE"""),"SMS8")</f>
        <v>SMS8</v>
      </c>
      <c r="C169" s="88" t="str">
        <f>IFERROR(__xludf.DUMMYFUNCTION("""COMPUTED_VALUE"""),"Arakawa Field")</f>
        <v>Arakawa Field</v>
      </c>
      <c r="D169" s="102">
        <f>IFERROR(__xludf.DUMMYFUNCTION("""COMPUTED_VALUE"""),21.0)</f>
        <v>21</v>
      </c>
      <c r="E169" s="82" t="b">
        <f>IFERROR(__xludf.DUMMYFUNCTION("""COMPUTED_VALUE"""),TRUE)</f>
        <v>1</v>
      </c>
      <c r="F169" s="82" t="str">
        <f>IFERROR(__xludf.DUMMYFUNCTION("""COMPUTED_VALUE"""),"Free Quests- EoR!A399:J409")</f>
        <v>Free Quests- EoR!A399:J409</v>
      </c>
      <c r="G169" s="82">
        <f>IFERROR(__xludf.DUMMYFUNCTION("""COMPUTED_VALUE"""),169.0)</f>
        <v>169</v>
      </c>
      <c r="H169" s="82">
        <f>IFERROR(__xludf.DUMMYFUNCTION("""COMPUTED_VALUE"""),29395.0)</f>
        <v>29395</v>
      </c>
      <c r="I169" s="95"/>
      <c r="J169" s="96"/>
      <c r="K169" s="97"/>
      <c r="L169" s="95"/>
      <c r="M169" s="96"/>
      <c r="N169" s="97"/>
      <c r="O169" s="95"/>
      <c r="P169" s="96"/>
      <c r="Q169" s="97"/>
      <c r="R169" s="95"/>
      <c r="S169" s="96">
        <f>IFERROR(__xludf.DUMMYFUNCTION("""COMPUTED_VALUE"""),170.85740777901563)</f>
        <v>170.8574078</v>
      </c>
      <c r="T169" s="97"/>
      <c r="U169" s="95"/>
      <c r="V169" s="96"/>
      <c r="W169" s="97"/>
      <c r="X169" s="95"/>
      <c r="Y169" s="96"/>
      <c r="Z169" s="97"/>
      <c r="AA169" s="95"/>
      <c r="AB169" s="96"/>
      <c r="AC169" s="97"/>
      <c r="AD169" s="95"/>
      <c r="AE169" s="96"/>
      <c r="AF169" s="97"/>
      <c r="AG169" s="95"/>
      <c r="AH169" s="96"/>
      <c r="AI169" s="97"/>
      <c r="AJ169" s="95"/>
      <c r="AK169" s="96"/>
      <c r="AL169" s="97">
        <f>IFERROR(__xludf.DUMMYFUNCTION("""COMPUTED_VALUE"""),105.52006188007744)</f>
        <v>105.5200619</v>
      </c>
      <c r="AM169" s="95"/>
      <c r="AN169" s="96"/>
      <c r="AO169" s="97"/>
      <c r="AP169" s="95"/>
      <c r="AQ169" s="96"/>
      <c r="AR169" s="97"/>
      <c r="AS169" s="95"/>
      <c r="AT169" s="96"/>
      <c r="AU169" s="97"/>
      <c r="AV169" s="95"/>
      <c r="AW169" s="96"/>
      <c r="AX169" s="97">
        <f>IFERROR(__xludf.DUMMYFUNCTION("""COMPUTED_VALUE"""),70.05560914713726)</f>
        <v>70.05560915</v>
      </c>
      <c r="AY169" s="95"/>
      <c r="AZ169" s="96"/>
      <c r="BA169" s="97"/>
      <c r="BB169" s="95"/>
      <c r="BC169" s="96"/>
      <c r="BD169" s="97"/>
      <c r="BE169" s="95"/>
      <c r="BF169" s="96"/>
      <c r="BG169" s="97"/>
      <c r="BH169" s="95"/>
      <c r="BI169" s="96"/>
      <c r="BJ169" s="97">
        <f>IFERROR(__xludf.DUMMYFUNCTION("""COMPUTED_VALUE"""),680.3887690066965)</f>
        <v>680.388769</v>
      </c>
      <c r="BK169" s="95">
        <f>IFERROR(__xludf.DUMMYFUNCTION("""COMPUTED_VALUE"""),83.94834834932537)</f>
        <v>83.94834835</v>
      </c>
      <c r="BL169" s="96"/>
      <c r="BM169" s="97"/>
      <c r="BN169" s="95"/>
      <c r="BO169" s="96"/>
      <c r="BP169" s="97"/>
      <c r="BQ169" s="95"/>
      <c r="BR169" s="96"/>
      <c r="BS169" s="97"/>
      <c r="BT169" s="95"/>
      <c r="BU169" s="96"/>
      <c r="BV169" s="97"/>
      <c r="BW169" s="95"/>
      <c r="BX169" s="96"/>
      <c r="BY169" s="97"/>
      <c r="BZ169" s="95"/>
      <c r="CA169" s="96"/>
      <c r="CB169" s="97"/>
      <c r="CC169" s="95"/>
      <c r="CD169" s="96"/>
      <c r="CE169" s="97"/>
      <c r="CF169" s="95"/>
      <c r="CG169" s="96"/>
      <c r="CH169" s="96"/>
      <c r="CI169" s="95"/>
      <c r="CJ169" s="96"/>
      <c r="CK169" s="96"/>
      <c r="CL169" s="95"/>
      <c r="CM169" s="96">
        <f>IFERROR(__xludf.DUMMYFUNCTION("""COMPUTED_VALUE"""),88.31895040811897)</f>
        <v>88.31895041</v>
      </c>
      <c r="CN169" s="96"/>
      <c r="CO169" s="95"/>
      <c r="CP169" s="96"/>
      <c r="CQ169" s="96"/>
      <c r="CR169" s="95"/>
      <c r="CS169" s="96">
        <f>IFERROR(__xludf.DUMMYFUNCTION("""COMPUTED_VALUE"""),315.0)</f>
        <v>315</v>
      </c>
      <c r="CT169" s="96"/>
      <c r="CU169" s="95"/>
      <c r="CV169" s="96"/>
      <c r="CW169" s="97"/>
      <c r="CX169" s="96">
        <f>IFERROR(__xludf.DUMMYFUNCTION("""COMPUTED_VALUE"""),135.0)</f>
        <v>135</v>
      </c>
      <c r="CY169" s="96"/>
      <c r="CZ169" s="97"/>
      <c r="DA169" s="95"/>
      <c r="DB169" s="96"/>
      <c r="DC169" s="97"/>
      <c r="DD169" s="95"/>
      <c r="DE169" s="96"/>
      <c r="DF169" s="97"/>
      <c r="DG169" s="95"/>
      <c r="DH169" s="96"/>
      <c r="DI169" s="97"/>
      <c r="DJ169" s="95"/>
      <c r="DK169" s="96"/>
      <c r="DL169" s="97"/>
      <c r="DM169" s="95"/>
      <c r="DN169" s="96"/>
      <c r="DO169" s="97"/>
      <c r="DP169" s="95"/>
      <c r="DQ169" s="96"/>
      <c r="DR169" s="97"/>
      <c r="DS169" s="95"/>
    </row>
    <row r="170">
      <c r="A170" s="155"/>
      <c r="B170" s="120" t="str">
        <f>IFERROR(__xludf.DUMMYFUNCTION("""COMPUTED_VALUE"""),"SMS9")</f>
        <v>SMS9</v>
      </c>
      <c r="C170" s="88" t="str">
        <f>IFERROR(__xludf.DUMMYFUNCTION("""COMPUTED_VALUE"""),"Rear Mountain (Trembling in Fear)")</f>
        <v>Rear Mountain (Trembling in Fear)</v>
      </c>
      <c r="D170" s="102">
        <f>IFERROR(__xludf.DUMMYFUNCTION("""COMPUTED_VALUE"""),21.0)</f>
        <v>21</v>
      </c>
      <c r="E170" s="82" t="b">
        <f>IFERROR(__xludf.DUMMYFUNCTION("""COMPUTED_VALUE"""),FALSE)</f>
        <v>0</v>
      </c>
      <c r="F170" s="82" t="str">
        <f>IFERROR(__xludf.DUMMYFUNCTION("""COMPUTED_VALUE"""),"Free Quests- EoR!A413:J421")</f>
        <v>Free Quests- EoR!A413:J421</v>
      </c>
      <c r="G170" s="82">
        <f>IFERROR(__xludf.DUMMYFUNCTION("""COMPUTED_VALUE"""),170.0)</f>
        <v>170</v>
      </c>
      <c r="H170" s="82" t="str">
        <f>IFERROR(__xludf.DUMMYFUNCTION("""COMPUTED_VALUE"""),"Closed")</f>
        <v>Closed</v>
      </c>
      <c r="I170" s="95" t="str">
        <f>IFERROR(__xludf.DUMMYFUNCTION("""COMPUTED_VALUE"""),"Closed")</f>
        <v>Closed</v>
      </c>
      <c r="J170" s="96" t="str">
        <f>IFERROR(__xludf.DUMMYFUNCTION("""COMPUTED_VALUE"""),"Closed")</f>
        <v>Closed</v>
      </c>
      <c r="K170" s="97" t="str">
        <f>IFERROR(__xludf.DUMMYFUNCTION("""COMPUTED_VALUE"""),"Closed")</f>
        <v>Closed</v>
      </c>
      <c r="L170" s="95" t="str">
        <f>IFERROR(__xludf.DUMMYFUNCTION("""COMPUTED_VALUE"""),"Closed")</f>
        <v>Closed</v>
      </c>
      <c r="M170" s="96" t="str">
        <f>IFERROR(__xludf.DUMMYFUNCTION("""COMPUTED_VALUE"""),"Closed")</f>
        <v>Closed</v>
      </c>
      <c r="N170" s="97" t="str">
        <f>IFERROR(__xludf.DUMMYFUNCTION("""COMPUTED_VALUE"""),"Closed")</f>
        <v>Closed</v>
      </c>
      <c r="O170" s="95" t="str">
        <f>IFERROR(__xludf.DUMMYFUNCTION("""COMPUTED_VALUE"""),"Closed")</f>
        <v>Closed</v>
      </c>
      <c r="P170" s="96" t="str">
        <f>IFERROR(__xludf.DUMMYFUNCTION("""COMPUTED_VALUE"""),"Closed")</f>
        <v>Closed</v>
      </c>
      <c r="Q170" s="97" t="str">
        <f>IFERROR(__xludf.DUMMYFUNCTION("""COMPUTED_VALUE"""),"Closed")</f>
        <v>Closed</v>
      </c>
      <c r="R170" s="95" t="str">
        <f>IFERROR(__xludf.DUMMYFUNCTION("""COMPUTED_VALUE"""),"Closed")</f>
        <v>Closed</v>
      </c>
      <c r="S170" s="96" t="str">
        <f>IFERROR(__xludf.DUMMYFUNCTION("""COMPUTED_VALUE"""),"Closed")</f>
        <v>Closed</v>
      </c>
      <c r="T170" s="97" t="str">
        <f>IFERROR(__xludf.DUMMYFUNCTION("""COMPUTED_VALUE"""),"Closed")</f>
        <v>Closed</v>
      </c>
      <c r="U170" s="95" t="str">
        <f>IFERROR(__xludf.DUMMYFUNCTION("""COMPUTED_VALUE"""),"Closed")</f>
        <v>Closed</v>
      </c>
      <c r="V170" s="96" t="str">
        <f>IFERROR(__xludf.DUMMYFUNCTION("""COMPUTED_VALUE"""),"Closed")</f>
        <v>Closed</v>
      </c>
      <c r="W170" s="97" t="str">
        <f>IFERROR(__xludf.DUMMYFUNCTION("""COMPUTED_VALUE"""),"Closed")</f>
        <v>Closed</v>
      </c>
      <c r="X170" s="95" t="str">
        <f>IFERROR(__xludf.DUMMYFUNCTION("""COMPUTED_VALUE"""),"Closed")</f>
        <v>Closed</v>
      </c>
      <c r="Y170" s="96" t="str">
        <f>IFERROR(__xludf.DUMMYFUNCTION("""COMPUTED_VALUE"""),"Closed")</f>
        <v>Closed</v>
      </c>
      <c r="Z170" s="97" t="str">
        <f>IFERROR(__xludf.DUMMYFUNCTION("""COMPUTED_VALUE"""),"Closed")</f>
        <v>Closed</v>
      </c>
      <c r="AA170" s="95" t="str">
        <f>IFERROR(__xludf.DUMMYFUNCTION("""COMPUTED_VALUE"""),"Closed")</f>
        <v>Closed</v>
      </c>
      <c r="AB170" s="96" t="str">
        <f>IFERROR(__xludf.DUMMYFUNCTION("""COMPUTED_VALUE"""),"Closed")</f>
        <v>Closed</v>
      </c>
      <c r="AC170" s="97" t="str">
        <f>IFERROR(__xludf.DUMMYFUNCTION("""COMPUTED_VALUE"""),"Closed")</f>
        <v>Closed</v>
      </c>
      <c r="AD170" s="95" t="str">
        <f>IFERROR(__xludf.DUMMYFUNCTION("""COMPUTED_VALUE"""),"Closed")</f>
        <v>Closed</v>
      </c>
      <c r="AE170" s="96" t="str">
        <f>IFERROR(__xludf.DUMMYFUNCTION("""COMPUTED_VALUE"""),"Closed")</f>
        <v>Closed</v>
      </c>
      <c r="AF170" s="97" t="str">
        <f>IFERROR(__xludf.DUMMYFUNCTION("""COMPUTED_VALUE"""),"Closed")</f>
        <v>Closed</v>
      </c>
      <c r="AG170" s="95" t="str">
        <f>IFERROR(__xludf.DUMMYFUNCTION("""COMPUTED_VALUE"""),"Closed")</f>
        <v>Closed</v>
      </c>
      <c r="AH170" s="96" t="str">
        <f>IFERROR(__xludf.DUMMYFUNCTION("""COMPUTED_VALUE"""),"Closed")</f>
        <v>Closed</v>
      </c>
      <c r="AI170" s="97" t="str">
        <f>IFERROR(__xludf.DUMMYFUNCTION("""COMPUTED_VALUE"""),"Closed")</f>
        <v>Closed</v>
      </c>
      <c r="AJ170" s="95" t="str">
        <f>IFERROR(__xludf.DUMMYFUNCTION("""COMPUTED_VALUE"""),"Closed")</f>
        <v>Closed</v>
      </c>
      <c r="AK170" s="96" t="str">
        <f>IFERROR(__xludf.DUMMYFUNCTION("""COMPUTED_VALUE"""),"Closed")</f>
        <v>Closed</v>
      </c>
      <c r="AL170" s="97" t="str">
        <f>IFERROR(__xludf.DUMMYFUNCTION("""COMPUTED_VALUE"""),"Closed")</f>
        <v>Closed</v>
      </c>
      <c r="AM170" s="95" t="str">
        <f>IFERROR(__xludf.DUMMYFUNCTION("""COMPUTED_VALUE"""),"Closed")</f>
        <v>Closed</v>
      </c>
      <c r="AN170" s="96" t="str">
        <f>IFERROR(__xludf.DUMMYFUNCTION("""COMPUTED_VALUE"""),"Closed")</f>
        <v>Closed</v>
      </c>
      <c r="AO170" s="97" t="str">
        <f>IFERROR(__xludf.DUMMYFUNCTION("""COMPUTED_VALUE"""),"Closed")</f>
        <v>Closed</v>
      </c>
      <c r="AP170" s="95" t="str">
        <f>IFERROR(__xludf.DUMMYFUNCTION("""COMPUTED_VALUE"""),"Closed")</f>
        <v>Closed</v>
      </c>
      <c r="AQ170" s="96" t="str">
        <f>IFERROR(__xludf.DUMMYFUNCTION("""COMPUTED_VALUE"""),"Closed")</f>
        <v>Closed</v>
      </c>
      <c r="AR170" s="97" t="str">
        <f>IFERROR(__xludf.DUMMYFUNCTION("""COMPUTED_VALUE"""),"Closed")</f>
        <v>Closed</v>
      </c>
      <c r="AS170" s="95" t="str">
        <f>IFERROR(__xludf.DUMMYFUNCTION("""COMPUTED_VALUE"""),"Closed")</f>
        <v>Closed</v>
      </c>
      <c r="AT170" s="96" t="str">
        <f>IFERROR(__xludf.DUMMYFUNCTION("""COMPUTED_VALUE"""),"Closed")</f>
        <v>Closed</v>
      </c>
      <c r="AU170" s="97" t="str">
        <f>IFERROR(__xludf.DUMMYFUNCTION("""COMPUTED_VALUE"""),"Closed")</f>
        <v>Closed</v>
      </c>
      <c r="AV170" s="95" t="str">
        <f>IFERROR(__xludf.DUMMYFUNCTION("""COMPUTED_VALUE"""),"Closed")</f>
        <v>Closed</v>
      </c>
      <c r="AW170" s="96" t="str">
        <f>IFERROR(__xludf.DUMMYFUNCTION("""COMPUTED_VALUE"""),"Closed")</f>
        <v>Closed</v>
      </c>
      <c r="AX170" s="97" t="str">
        <f>IFERROR(__xludf.DUMMYFUNCTION("""COMPUTED_VALUE"""),"Closed")</f>
        <v>Closed</v>
      </c>
      <c r="AY170" s="95" t="str">
        <f>IFERROR(__xludf.DUMMYFUNCTION("""COMPUTED_VALUE"""),"Closed")</f>
        <v>Closed</v>
      </c>
      <c r="AZ170" s="96" t="str">
        <f>IFERROR(__xludf.DUMMYFUNCTION("""COMPUTED_VALUE"""),"Closed")</f>
        <v>Closed</v>
      </c>
      <c r="BA170" s="97" t="str">
        <f>IFERROR(__xludf.DUMMYFUNCTION("""COMPUTED_VALUE"""),"Closed")</f>
        <v>Closed</v>
      </c>
      <c r="BB170" s="95" t="str">
        <f>IFERROR(__xludf.DUMMYFUNCTION("""COMPUTED_VALUE"""),"Closed")</f>
        <v>Closed</v>
      </c>
      <c r="BC170" s="96" t="str">
        <f>IFERROR(__xludf.DUMMYFUNCTION("""COMPUTED_VALUE"""),"Closed")</f>
        <v>Closed</v>
      </c>
      <c r="BD170" s="97" t="str">
        <f>IFERROR(__xludf.DUMMYFUNCTION("""COMPUTED_VALUE"""),"Closed")</f>
        <v>Closed</v>
      </c>
      <c r="BE170" s="95" t="str">
        <f>IFERROR(__xludf.DUMMYFUNCTION("""COMPUTED_VALUE"""),"Closed")</f>
        <v>Closed</v>
      </c>
      <c r="BF170" s="96" t="str">
        <f>IFERROR(__xludf.DUMMYFUNCTION("""COMPUTED_VALUE"""),"Closed")</f>
        <v>Closed</v>
      </c>
      <c r="BG170" s="97" t="str">
        <f>IFERROR(__xludf.DUMMYFUNCTION("""COMPUTED_VALUE"""),"Closed")</f>
        <v>Closed</v>
      </c>
      <c r="BH170" s="95" t="str">
        <f>IFERROR(__xludf.DUMMYFUNCTION("""COMPUTED_VALUE"""),"Closed")</f>
        <v>Closed</v>
      </c>
      <c r="BI170" s="96" t="str">
        <f>IFERROR(__xludf.DUMMYFUNCTION("""COMPUTED_VALUE"""),"Closed")</f>
        <v>Closed</v>
      </c>
      <c r="BJ170" s="97" t="str">
        <f>IFERROR(__xludf.DUMMYFUNCTION("""COMPUTED_VALUE"""),"Closed")</f>
        <v>Closed</v>
      </c>
      <c r="BK170" s="95" t="str">
        <f>IFERROR(__xludf.DUMMYFUNCTION("""COMPUTED_VALUE"""),"Closed")</f>
        <v>Closed</v>
      </c>
      <c r="BL170" s="96" t="str">
        <f>IFERROR(__xludf.DUMMYFUNCTION("""COMPUTED_VALUE"""),"Closed")</f>
        <v>Closed</v>
      </c>
      <c r="BM170" s="97" t="str">
        <f>IFERROR(__xludf.DUMMYFUNCTION("""COMPUTED_VALUE"""),"Closed")</f>
        <v>Closed</v>
      </c>
      <c r="BN170" s="95" t="str">
        <f>IFERROR(__xludf.DUMMYFUNCTION("""COMPUTED_VALUE"""),"Closed")</f>
        <v>Closed</v>
      </c>
      <c r="BO170" s="96" t="str">
        <f>IFERROR(__xludf.DUMMYFUNCTION("""COMPUTED_VALUE"""),"Closed")</f>
        <v>Closed</v>
      </c>
      <c r="BP170" s="97" t="str">
        <f>IFERROR(__xludf.DUMMYFUNCTION("""COMPUTED_VALUE"""),"Closed")</f>
        <v>Closed</v>
      </c>
      <c r="BQ170" s="95" t="str">
        <f>IFERROR(__xludf.DUMMYFUNCTION("""COMPUTED_VALUE"""),"Closed")</f>
        <v>Closed</v>
      </c>
      <c r="BR170" s="96" t="str">
        <f>IFERROR(__xludf.DUMMYFUNCTION("""COMPUTED_VALUE"""),"Closed")</f>
        <v>Closed</v>
      </c>
      <c r="BS170" s="97" t="str">
        <f>IFERROR(__xludf.DUMMYFUNCTION("""COMPUTED_VALUE"""),"Closed")</f>
        <v>Closed</v>
      </c>
      <c r="BT170" s="95" t="str">
        <f>IFERROR(__xludf.DUMMYFUNCTION("""COMPUTED_VALUE"""),"Closed")</f>
        <v>Closed</v>
      </c>
      <c r="BU170" s="96" t="str">
        <f>IFERROR(__xludf.DUMMYFUNCTION("""COMPUTED_VALUE"""),"Closed")</f>
        <v>Closed</v>
      </c>
      <c r="BV170" s="97" t="str">
        <f>IFERROR(__xludf.DUMMYFUNCTION("""COMPUTED_VALUE"""),"Closed")</f>
        <v>Closed</v>
      </c>
      <c r="BW170" s="95" t="str">
        <f>IFERROR(__xludf.DUMMYFUNCTION("""COMPUTED_VALUE"""),"Closed")</f>
        <v>Closed</v>
      </c>
      <c r="BX170" s="96" t="str">
        <f>IFERROR(__xludf.DUMMYFUNCTION("""COMPUTED_VALUE"""),"Closed")</f>
        <v>Closed</v>
      </c>
      <c r="BY170" s="97" t="str">
        <f>IFERROR(__xludf.DUMMYFUNCTION("""COMPUTED_VALUE"""),"Closed")</f>
        <v>Closed</v>
      </c>
      <c r="BZ170" s="95" t="str">
        <f>IFERROR(__xludf.DUMMYFUNCTION("""COMPUTED_VALUE"""),"Closed")</f>
        <v>Closed</v>
      </c>
      <c r="CA170" s="96" t="str">
        <f>IFERROR(__xludf.DUMMYFUNCTION("""COMPUTED_VALUE"""),"Closed")</f>
        <v>Closed</v>
      </c>
      <c r="CB170" s="97" t="str">
        <f>IFERROR(__xludf.DUMMYFUNCTION("""COMPUTED_VALUE"""),"Closed")</f>
        <v>Closed</v>
      </c>
      <c r="CC170" s="95" t="str">
        <f>IFERROR(__xludf.DUMMYFUNCTION("""COMPUTED_VALUE"""),"Closed")</f>
        <v>Closed</v>
      </c>
      <c r="CD170" s="96" t="str">
        <f>IFERROR(__xludf.DUMMYFUNCTION("""COMPUTED_VALUE"""),"Closed")</f>
        <v>Closed</v>
      </c>
      <c r="CE170" s="97" t="str">
        <f>IFERROR(__xludf.DUMMYFUNCTION("""COMPUTED_VALUE"""),"Closed")</f>
        <v>Closed</v>
      </c>
      <c r="CF170" s="95" t="str">
        <f>IFERROR(__xludf.DUMMYFUNCTION("""COMPUTED_VALUE"""),"Closed")</f>
        <v>Closed</v>
      </c>
      <c r="CG170" s="96" t="str">
        <f>IFERROR(__xludf.DUMMYFUNCTION("""COMPUTED_VALUE"""),"Closed")</f>
        <v>Closed</v>
      </c>
      <c r="CH170" s="96" t="str">
        <f>IFERROR(__xludf.DUMMYFUNCTION("""COMPUTED_VALUE"""),"Closed")</f>
        <v>Closed</v>
      </c>
      <c r="CI170" s="95" t="str">
        <f>IFERROR(__xludf.DUMMYFUNCTION("""COMPUTED_VALUE"""),"Closed")</f>
        <v>Closed</v>
      </c>
      <c r="CJ170" s="96" t="str">
        <f>IFERROR(__xludf.DUMMYFUNCTION("""COMPUTED_VALUE"""),"Closed")</f>
        <v>Closed</v>
      </c>
      <c r="CK170" s="96" t="str">
        <f>IFERROR(__xludf.DUMMYFUNCTION("""COMPUTED_VALUE"""),"Closed")</f>
        <v>Closed</v>
      </c>
      <c r="CL170" s="95" t="str">
        <f>IFERROR(__xludf.DUMMYFUNCTION("""COMPUTED_VALUE"""),"Closed")</f>
        <v>Closed</v>
      </c>
      <c r="CM170" s="96" t="str">
        <f>IFERROR(__xludf.DUMMYFUNCTION("""COMPUTED_VALUE"""),"Closed")</f>
        <v>Closed</v>
      </c>
      <c r="CN170" s="96" t="str">
        <f>IFERROR(__xludf.DUMMYFUNCTION("""COMPUTED_VALUE"""),"Closed")</f>
        <v>Closed</v>
      </c>
      <c r="CO170" s="95" t="str">
        <f>IFERROR(__xludf.DUMMYFUNCTION("""COMPUTED_VALUE"""),"Closed")</f>
        <v>Closed</v>
      </c>
      <c r="CP170" s="96" t="str">
        <f>IFERROR(__xludf.DUMMYFUNCTION("""COMPUTED_VALUE"""),"Closed")</f>
        <v>Closed</v>
      </c>
      <c r="CQ170" s="96" t="str">
        <f>IFERROR(__xludf.DUMMYFUNCTION("""COMPUTED_VALUE"""),"Closed")</f>
        <v>Closed</v>
      </c>
      <c r="CR170" s="95" t="str">
        <f>IFERROR(__xludf.DUMMYFUNCTION("""COMPUTED_VALUE"""),"Closed")</f>
        <v>Closed</v>
      </c>
      <c r="CS170" s="96" t="str">
        <f>IFERROR(__xludf.DUMMYFUNCTION("""COMPUTED_VALUE"""),"Closed")</f>
        <v>Closed</v>
      </c>
      <c r="CT170" s="96" t="str">
        <f>IFERROR(__xludf.DUMMYFUNCTION("""COMPUTED_VALUE"""),"Closed")</f>
        <v>Closed</v>
      </c>
      <c r="CU170" s="95" t="str">
        <f>IFERROR(__xludf.DUMMYFUNCTION("""COMPUTED_VALUE"""),"Closed")</f>
        <v>Closed</v>
      </c>
      <c r="CV170" s="96" t="str">
        <f>IFERROR(__xludf.DUMMYFUNCTION("""COMPUTED_VALUE"""),"Closed")</f>
        <v>Closed</v>
      </c>
      <c r="CW170" s="97" t="str">
        <f>IFERROR(__xludf.DUMMYFUNCTION("""COMPUTED_VALUE"""),"Closed")</f>
        <v>Closed</v>
      </c>
      <c r="CX170" s="96" t="str">
        <f>IFERROR(__xludf.DUMMYFUNCTION("""COMPUTED_VALUE"""),"Closed")</f>
        <v>Closed</v>
      </c>
      <c r="CY170" s="96" t="str">
        <f>IFERROR(__xludf.DUMMYFUNCTION("""COMPUTED_VALUE"""),"Closed")</f>
        <v>Closed</v>
      </c>
      <c r="CZ170" s="97" t="str">
        <f>IFERROR(__xludf.DUMMYFUNCTION("""COMPUTED_VALUE"""),"Closed")</f>
        <v>Closed</v>
      </c>
      <c r="DA170" s="95" t="str">
        <f>IFERROR(__xludf.DUMMYFUNCTION("""COMPUTED_VALUE"""),"Closed")</f>
        <v>Closed</v>
      </c>
      <c r="DB170" s="96" t="str">
        <f>IFERROR(__xludf.DUMMYFUNCTION("""COMPUTED_VALUE"""),"Closed")</f>
        <v>Closed</v>
      </c>
      <c r="DC170" s="97" t="str">
        <f>IFERROR(__xludf.DUMMYFUNCTION("""COMPUTED_VALUE"""),"Closed")</f>
        <v>Closed</v>
      </c>
      <c r="DD170" s="95" t="str">
        <f>IFERROR(__xludf.DUMMYFUNCTION("""COMPUTED_VALUE"""),"Closed")</f>
        <v>Closed</v>
      </c>
      <c r="DE170" s="96" t="str">
        <f>IFERROR(__xludf.DUMMYFUNCTION("""COMPUTED_VALUE"""),"Closed")</f>
        <v>Closed</v>
      </c>
      <c r="DF170" s="97" t="str">
        <f>IFERROR(__xludf.DUMMYFUNCTION("""COMPUTED_VALUE"""),"Closed")</f>
        <v>Closed</v>
      </c>
      <c r="DG170" s="95" t="str">
        <f>IFERROR(__xludf.DUMMYFUNCTION("""COMPUTED_VALUE"""),"Closed")</f>
        <v>Closed</v>
      </c>
      <c r="DH170" s="96" t="str">
        <f>IFERROR(__xludf.DUMMYFUNCTION("""COMPUTED_VALUE"""),"Closed")</f>
        <v>Closed</v>
      </c>
      <c r="DI170" s="97" t="str">
        <f>IFERROR(__xludf.DUMMYFUNCTION("""COMPUTED_VALUE"""),"Closed")</f>
        <v>Closed</v>
      </c>
      <c r="DJ170" s="95" t="str">
        <f>IFERROR(__xludf.DUMMYFUNCTION("""COMPUTED_VALUE"""),"Closed")</f>
        <v>Closed</v>
      </c>
      <c r="DK170" s="96" t="str">
        <f>IFERROR(__xludf.DUMMYFUNCTION("""COMPUTED_VALUE"""),"Closed")</f>
        <v>Closed</v>
      </c>
      <c r="DL170" s="97" t="str">
        <f>IFERROR(__xludf.DUMMYFUNCTION("""COMPUTED_VALUE"""),"Closed")</f>
        <v>Closed</v>
      </c>
      <c r="DM170" s="95" t="str">
        <f>IFERROR(__xludf.DUMMYFUNCTION("""COMPUTED_VALUE"""),"Closed")</f>
        <v>Closed</v>
      </c>
      <c r="DN170" s="96" t="str">
        <f>IFERROR(__xludf.DUMMYFUNCTION("""COMPUTED_VALUE"""),"Closed")</f>
        <v>Closed</v>
      </c>
      <c r="DO170" s="97" t="str">
        <f>IFERROR(__xludf.DUMMYFUNCTION("""COMPUTED_VALUE"""),"Closed")</f>
        <v>Closed</v>
      </c>
      <c r="DP170" s="95" t="str">
        <f>IFERROR(__xludf.DUMMYFUNCTION("""COMPUTED_VALUE"""),"Closed")</f>
        <v>Closed</v>
      </c>
      <c r="DQ170" s="96" t="str">
        <f>IFERROR(__xludf.DUMMYFUNCTION("""COMPUTED_VALUE"""),"Closed")</f>
        <v>Closed</v>
      </c>
      <c r="DR170" s="97"/>
      <c r="DS170" s="95"/>
    </row>
    <row r="171">
      <c r="A171" s="160" t="str">
        <f>IFERROR(__xludf.DUMMYFUNCTION("""COMPUTED_VALUE"""),"SALEM")</f>
        <v>SALEM</v>
      </c>
      <c r="B171" s="120" t="str">
        <f>IFERROR(__xludf.DUMMYFUNCTION("""COMPUTED_VALUE"""),"SLM1")</f>
        <v>SLM1</v>
      </c>
      <c r="C171" s="88" t="str">
        <f>IFERROR(__xludf.DUMMYFUNCTION("""COMPUTED_VALUE"""),"Quiet Forest")</f>
        <v>Quiet Forest</v>
      </c>
      <c r="D171" s="102">
        <f>IFERROR(__xludf.DUMMYFUNCTION("""COMPUTED_VALUE"""),20.0)</f>
        <v>20</v>
      </c>
      <c r="E171" s="82" t="b">
        <f>IFERROR(__xludf.DUMMYFUNCTION("""COMPUTED_VALUE"""),TRUE)</f>
        <v>1</v>
      </c>
      <c r="F171" s="82" t="str">
        <f>IFERROR(__xludf.DUMMYFUNCTION("""COMPUTED_VALUE"""),"Free Quests- EoR!A427:J432")</f>
        <v>Free Quests- EoR!A427:J432</v>
      </c>
      <c r="G171" s="82">
        <f>IFERROR(__xludf.DUMMYFUNCTION("""COMPUTED_VALUE"""),171.0)</f>
        <v>171</v>
      </c>
      <c r="H171" s="82">
        <f>IFERROR(__xludf.DUMMYFUNCTION("""COMPUTED_VALUE"""),100.0)</f>
        <v>100</v>
      </c>
      <c r="I171" s="95"/>
      <c r="J171" s="96"/>
      <c r="K171" s="97"/>
      <c r="L171" s="95"/>
      <c r="M171" s="96"/>
      <c r="N171" s="97"/>
      <c r="O171" s="95"/>
      <c r="P171" s="96"/>
      <c r="Q171" s="97"/>
      <c r="R171" s="95"/>
      <c r="S171" s="96"/>
      <c r="T171" s="97"/>
      <c r="U171" s="95"/>
      <c r="V171" s="96"/>
      <c r="W171" s="97"/>
      <c r="X171" s="95"/>
      <c r="Y171" s="96"/>
      <c r="Z171" s="97"/>
      <c r="AA171" s="95">
        <f>IFERROR(__xludf.DUMMYFUNCTION("""COMPUTED_VALUE"""),41.28686266309897)</f>
        <v>41.28686266</v>
      </c>
      <c r="AB171" s="96"/>
      <c r="AC171" s="97"/>
      <c r="AD171" s="95"/>
      <c r="AE171" s="96"/>
      <c r="AF171" s="97"/>
      <c r="AG171" s="95"/>
      <c r="AH171" s="96"/>
      <c r="AI171" s="97"/>
      <c r="AJ171" s="95"/>
      <c r="AK171" s="96"/>
      <c r="AL171" s="97"/>
      <c r="AM171" s="95"/>
      <c r="AN171" s="96"/>
      <c r="AO171" s="97"/>
      <c r="AP171" s="95"/>
      <c r="AQ171" s="96"/>
      <c r="AR171" s="97"/>
      <c r="AS171" s="95"/>
      <c r="AT171" s="96"/>
      <c r="AU171" s="97"/>
      <c r="AV171" s="95"/>
      <c r="AW171" s="96"/>
      <c r="AX171" s="97"/>
      <c r="AY171" s="95"/>
      <c r="AZ171" s="96"/>
      <c r="BA171" s="97"/>
      <c r="BB171" s="95"/>
      <c r="BC171" s="96"/>
      <c r="BD171" s="97"/>
      <c r="BE171" s="95"/>
      <c r="BF171" s="96"/>
      <c r="BG171" s="97"/>
      <c r="BH171" s="95"/>
      <c r="BI171" s="96"/>
      <c r="BJ171" s="97"/>
      <c r="BK171" s="95"/>
      <c r="BL171" s="96"/>
      <c r="BM171" s="97"/>
      <c r="BN171" s="95"/>
      <c r="BO171" s="96"/>
      <c r="BP171" s="97"/>
      <c r="BQ171" s="95"/>
      <c r="BR171" s="96"/>
      <c r="BS171" s="97"/>
      <c r="BT171" s="95"/>
      <c r="BU171" s="96">
        <f>IFERROR(__xludf.DUMMYFUNCTION("""COMPUTED_VALUE"""),43.679619470096036)</f>
        <v>43.67961947</v>
      </c>
      <c r="BV171" s="97"/>
      <c r="BW171" s="95"/>
      <c r="BX171" s="96"/>
      <c r="BY171" s="97"/>
      <c r="BZ171" s="95"/>
      <c r="CA171" s="96"/>
      <c r="CB171" s="97"/>
      <c r="CC171" s="95"/>
      <c r="CD171" s="96"/>
      <c r="CE171" s="97"/>
      <c r="CF171" s="95"/>
      <c r="CG171" s="96"/>
      <c r="CH171" s="96"/>
      <c r="CI171" s="95"/>
      <c r="CJ171" s="96"/>
      <c r="CK171" s="96"/>
      <c r="CL171" s="95"/>
      <c r="CM171" s="96"/>
      <c r="CN171" s="96"/>
      <c r="CO171" s="95"/>
      <c r="CP171" s="96"/>
      <c r="CQ171" s="96"/>
      <c r="CR171" s="95"/>
      <c r="CS171" s="96"/>
      <c r="CT171" s="96"/>
      <c r="CU171" s="95"/>
      <c r="CV171" s="96"/>
      <c r="CW171" s="97"/>
      <c r="CX171" s="96"/>
      <c r="CY171" s="96"/>
      <c r="CZ171" s="97"/>
      <c r="DA171" s="95"/>
      <c r="DB171" s="96"/>
      <c r="DC171" s="97"/>
      <c r="DD171" s="95"/>
      <c r="DE171" s="96"/>
      <c r="DF171" s="97">
        <f>IFERROR(__xludf.DUMMYFUNCTION("""COMPUTED_VALUE"""),37.826086956521735)</f>
        <v>37.82608696</v>
      </c>
      <c r="DG171" s="95"/>
      <c r="DH171" s="96"/>
      <c r="DI171" s="97"/>
      <c r="DJ171" s="95"/>
      <c r="DK171" s="96"/>
      <c r="DL171" s="97"/>
      <c r="DM171" s="95"/>
      <c r="DN171" s="96"/>
      <c r="DO171" s="97"/>
      <c r="DP171" s="95"/>
      <c r="DQ171" s="96"/>
      <c r="DR171" s="97"/>
      <c r="DS171" s="95"/>
    </row>
    <row r="172">
      <c r="B172" s="120" t="str">
        <f>IFERROR(__xludf.DUMMYFUNCTION("""COMPUTED_VALUE"""),"SLM2")</f>
        <v>SLM2</v>
      </c>
      <c r="C172" s="88" t="str">
        <f>IFERROR(__xludf.DUMMYFUNCTION("""COMPUTED_VALUE"""),"Carter Residence")</f>
        <v>Carter Residence</v>
      </c>
      <c r="D172" s="102">
        <f>IFERROR(__xludf.DUMMYFUNCTION("""COMPUTED_VALUE"""),20.0)</f>
        <v>20</v>
      </c>
      <c r="E172" s="82" t="b">
        <f>IFERROR(__xludf.DUMMYFUNCTION("""COMPUTED_VALUE"""),TRUE)</f>
        <v>1</v>
      </c>
      <c r="F172" s="82" t="str">
        <f>IFERROR(__xludf.DUMMYFUNCTION("""COMPUTED_VALUE"""),"Free Quests- EoR!A436:J444")</f>
        <v>Free Quests- EoR!A436:J444</v>
      </c>
      <c r="G172" s="82">
        <f>IFERROR(__xludf.DUMMYFUNCTION("""COMPUTED_VALUE"""),172.0)</f>
        <v>172</v>
      </c>
      <c r="H172" s="82">
        <f>IFERROR(__xludf.DUMMYFUNCTION("""COMPUTED_VALUE"""),2547.0)</f>
        <v>2547</v>
      </c>
      <c r="I172" s="95"/>
      <c r="J172" s="96">
        <f>IFERROR(__xludf.DUMMYFUNCTION("""COMPUTED_VALUE"""),162.64765696303664)</f>
        <v>162.647657</v>
      </c>
      <c r="K172" s="97"/>
      <c r="L172" s="95"/>
      <c r="M172" s="96"/>
      <c r="N172" s="97"/>
      <c r="O172" s="95"/>
      <c r="P172" s="96"/>
      <c r="Q172" s="97"/>
      <c r="R172" s="95"/>
      <c r="S172" s="96"/>
      <c r="T172" s="97"/>
      <c r="U172" s="95"/>
      <c r="V172" s="96"/>
      <c r="W172" s="97"/>
      <c r="X172" s="95"/>
      <c r="Y172" s="96"/>
      <c r="Z172" s="97"/>
      <c r="AA172" s="95"/>
      <c r="AB172" s="96"/>
      <c r="AC172" s="97"/>
      <c r="AD172" s="95"/>
      <c r="AE172" s="96"/>
      <c r="AF172" s="97"/>
      <c r="AG172" s="95"/>
      <c r="AH172" s="96"/>
      <c r="AI172" s="97"/>
      <c r="AJ172" s="95"/>
      <c r="AK172" s="96"/>
      <c r="AL172" s="97"/>
      <c r="AM172" s="95"/>
      <c r="AN172" s="96"/>
      <c r="AO172" s="97"/>
      <c r="AP172" s="95"/>
      <c r="AQ172" s="96"/>
      <c r="AR172" s="97"/>
      <c r="AS172" s="95"/>
      <c r="AT172" s="96"/>
      <c r="AU172" s="97"/>
      <c r="AV172" s="95"/>
      <c r="AW172" s="96"/>
      <c r="AX172" s="97"/>
      <c r="AY172" s="95"/>
      <c r="AZ172" s="96"/>
      <c r="BA172" s="97"/>
      <c r="BB172" s="95">
        <f>IFERROR(__xludf.DUMMYFUNCTION("""COMPUTED_VALUE"""),49.990650710546)</f>
        <v>49.99065071</v>
      </c>
      <c r="BC172" s="96"/>
      <c r="BD172" s="97"/>
      <c r="BE172" s="95"/>
      <c r="BF172" s="96"/>
      <c r="BG172" s="97"/>
      <c r="BH172" s="95">
        <f>IFERROR(__xludf.DUMMYFUNCTION("""COMPUTED_VALUE"""),455.6451935153025)</f>
        <v>455.6451935</v>
      </c>
      <c r="BI172" s="96"/>
      <c r="BJ172" s="97"/>
      <c r="BK172" s="95"/>
      <c r="BL172" s="96"/>
      <c r="BM172" s="97"/>
      <c r="BN172" s="95"/>
      <c r="BO172" s="96"/>
      <c r="BP172" s="97">
        <f>IFERROR(__xludf.DUMMYFUNCTION("""COMPUTED_VALUE"""),80.35242912087588)</f>
        <v>80.35242912</v>
      </c>
      <c r="BQ172" s="95"/>
      <c r="BR172" s="96"/>
      <c r="BS172" s="97"/>
      <c r="BT172" s="95"/>
      <c r="BU172" s="96"/>
      <c r="BV172" s="97"/>
      <c r="BW172" s="95"/>
      <c r="BX172" s="96"/>
      <c r="BY172" s="97"/>
      <c r="BZ172" s="95"/>
      <c r="CA172" s="96"/>
      <c r="CB172" s="97"/>
      <c r="CC172" s="95"/>
      <c r="CD172" s="96"/>
      <c r="CE172" s="97"/>
      <c r="CF172" s="95"/>
      <c r="CG172" s="96"/>
      <c r="CH172" s="96"/>
      <c r="CI172" s="95"/>
      <c r="CJ172" s="96"/>
      <c r="CK172" s="96"/>
      <c r="CL172" s="95"/>
      <c r="CM172" s="96"/>
      <c r="CN172" s="96"/>
      <c r="CO172" s="95"/>
      <c r="CP172" s="96"/>
      <c r="CQ172" s="96">
        <f>IFERROR(__xludf.DUMMYFUNCTION("""COMPUTED_VALUE"""),361.36752136752136)</f>
        <v>361.3675214</v>
      </c>
      <c r="CR172" s="95">
        <f>IFERROR(__xludf.DUMMYFUNCTION("""COMPUTED_VALUE"""),80.99616858237547)</f>
        <v>80.99616858</v>
      </c>
      <c r="CS172" s="96"/>
      <c r="CT172" s="96"/>
      <c r="CU172" s="95"/>
      <c r="CV172" s="96"/>
      <c r="CW172" s="97"/>
      <c r="CX172" s="96"/>
      <c r="CY172" s="96"/>
      <c r="CZ172" s="97"/>
      <c r="DA172" s="95"/>
      <c r="DB172" s="96"/>
      <c r="DC172" s="97"/>
      <c r="DD172" s="95"/>
      <c r="DE172" s="96"/>
      <c r="DF172" s="97"/>
      <c r="DG172" s="95"/>
      <c r="DH172" s="96"/>
      <c r="DI172" s="97"/>
      <c r="DJ172" s="95"/>
      <c r="DK172" s="96"/>
      <c r="DL172" s="97"/>
      <c r="DM172" s="95"/>
      <c r="DN172" s="96"/>
      <c r="DO172" s="97"/>
      <c r="DP172" s="95"/>
      <c r="DQ172" s="96"/>
      <c r="DR172" s="97"/>
      <c r="DS172" s="95"/>
    </row>
    <row r="173">
      <c r="B173" s="120" t="str">
        <f>IFERROR(__xludf.DUMMYFUNCTION("""COMPUTED_VALUE"""),"SLM3")</f>
        <v>SLM3</v>
      </c>
      <c r="C173" s="88" t="str">
        <f>IFERROR(__xludf.DUMMYFUNCTION("""COMPUTED_VALUE"""),"Town Hall")</f>
        <v>Town Hall</v>
      </c>
      <c r="D173" s="102">
        <f>IFERROR(__xludf.DUMMYFUNCTION("""COMPUTED_VALUE"""),21.0)</f>
        <v>21</v>
      </c>
      <c r="E173" s="82" t="b">
        <f>IFERROR(__xludf.DUMMYFUNCTION("""COMPUTED_VALUE"""),TRUE)</f>
        <v>1</v>
      </c>
      <c r="F173" s="82" t="str">
        <f>IFERROR(__xludf.DUMMYFUNCTION("""COMPUTED_VALUE"""),"Free Quests- EoR!A448:J453")</f>
        <v>Free Quests- EoR!A448:J453</v>
      </c>
      <c r="G173" s="82">
        <f>IFERROR(__xludf.DUMMYFUNCTION("""COMPUTED_VALUE"""),173.0)</f>
        <v>173</v>
      </c>
      <c r="H173" s="82">
        <f>IFERROR(__xludf.DUMMYFUNCTION("""COMPUTED_VALUE"""),4465.0)</f>
        <v>4465</v>
      </c>
      <c r="I173" s="95"/>
      <c r="J173" s="96"/>
      <c r="K173" s="97"/>
      <c r="L173" s="95"/>
      <c r="M173" s="96"/>
      <c r="N173" s="97"/>
      <c r="O173" s="95"/>
      <c r="P173" s="96"/>
      <c r="Q173" s="97"/>
      <c r="R173" s="95"/>
      <c r="S173" s="96"/>
      <c r="T173" s="97"/>
      <c r="U173" s="95"/>
      <c r="V173" s="96"/>
      <c r="W173" s="97"/>
      <c r="X173" s="95"/>
      <c r="Y173" s="96"/>
      <c r="Z173" s="97"/>
      <c r="AA173" s="95"/>
      <c r="AB173" s="96"/>
      <c r="AC173" s="97"/>
      <c r="AD173" s="95"/>
      <c r="AE173" s="96">
        <f>IFERROR(__xludf.DUMMYFUNCTION("""COMPUTED_VALUE"""),59.411127953430174)</f>
        <v>59.41112795</v>
      </c>
      <c r="AF173" s="97"/>
      <c r="AG173" s="95"/>
      <c r="AH173" s="96"/>
      <c r="AI173" s="97"/>
      <c r="AJ173" s="95"/>
      <c r="AK173" s="96"/>
      <c r="AL173" s="97"/>
      <c r="AM173" s="95"/>
      <c r="AN173" s="96"/>
      <c r="AO173" s="97"/>
      <c r="AP173" s="95"/>
      <c r="AQ173" s="96"/>
      <c r="AR173" s="97"/>
      <c r="AS173" s="95"/>
      <c r="AT173" s="96"/>
      <c r="AU173" s="97"/>
      <c r="AV173" s="95"/>
      <c r="AW173" s="96"/>
      <c r="AX173" s="97"/>
      <c r="AY173" s="95"/>
      <c r="AZ173" s="96"/>
      <c r="BA173" s="97"/>
      <c r="BB173" s="95"/>
      <c r="BC173" s="96"/>
      <c r="BD173" s="97"/>
      <c r="BE173" s="95"/>
      <c r="BF173" s="96"/>
      <c r="BG173" s="97"/>
      <c r="BH173" s="95"/>
      <c r="BI173" s="96"/>
      <c r="BJ173" s="97"/>
      <c r="BK173" s="95"/>
      <c r="BL173" s="96"/>
      <c r="BM173" s="97"/>
      <c r="BN173" s="95"/>
      <c r="BO173" s="96">
        <f>IFERROR(__xludf.DUMMYFUNCTION("""COMPUTED_VALUE"""),59.96631135880946)</f>
        <v>59.96631136</v>
      </c>
      <c r="BP173" s="97"/>
      <c r="BQ173" s="95"/>
      <c r="BR173" s="96"/>
      <c r="BS173" s="97"/>
      <c r="BT173" s="95"/>
      <c r="BU173" s="96"/>
      <c r="BV173" s="97"/>
      <c r="BW173" s="95"/>
      <c r="BX173" s="96"/>
      <c r="BY173" s="97"/>
      <c r="BZ173" s="95"/>
      <c r="CA173" s="96"/>
      <c r="CB173" s="97"/>
      <c r="CC173" s="95"/>
      <c r="CD173" s="96"/>
      <c r="CE173" s="97"/>
      <c r="CF173" s="95"/>
      <c r="CG173" s="96"/>
      <c r="CH173" s="96"/>
      <c r="CI173" s="95"/>
      <c r="CJ173" s="96"/>
      <c r="CK173" s="96"/>
      <c r="CL173" s="95"/>
      <c r="CM173" s="96"/>
      <c r="CN173" s="96"/>
      <c r="CO173" s="95"/>
      <c r="CP173" s="96"/>
      <c r="CQ173" s="96">
        <f>IFERROR(__xludf.DUMMYFUNCTION("""COMPUTED_VALUE"""),57.45855513307985)</f>
        <v>57.45855513</v>
      </c>
      <c r="CR173" s="95"/>
      <c r="CS173" s="96"/>
      <c r="CT173" s="96"/>
      <c r="CU173" s="95"/>
      <c r="CV173" s="96"/>
      <c r="CW173" s="97"/>
      <c r="CX173" s="96"/>
      <c r="CY173" s="96"/>
      <c r="CZ173" s="97"/>
      <c r="DA173" s="95"/>
      <c r="DB173" s="96"/>
      <c r="DC173" s="97"/>
      <c r="DD173" s="95"/>
      <c r="DE173" s="96"/>
      <c r="DF173" s="97"/>
      <c r="DG173" s="95"/>
      <c r="DH173" s="96"/>
      <c r="DI173" s="97"/>
      <c r="DJ173" s="95"/>
      <c r="DK173" s="96"/>
      <c r="DL173" s="97"/>
      <c r="DM173" s="95"/>
      <c r="DN173" s="96"/>
      <c r="DO173" s="97"/>
      <c r="DP173" s="95"/>
      <c r="DQ173" s="96"/>
      <c r="DR173" s="97"/>
      <c r="DS173" s="95"/>
    </row>
    <row r="174">
      <c r="B174" s="120" t="str">
        <f>IFERROR(__xludf.DUMMYFUNCTION("""COMPUTED_VALUE"""),"SLM4")</f>
        <v>SLM4</v>
      </c>
      <c r="C174" s="88" t="str">
        <f>IFERROR(__xludf.DUMMYFUNCTION("""COMPUTED_VALUE"""),"Wharf")</f>
        <v>Wharf</v>
      </c>
      <c r="D174" s="102">
        <f>IFERROR(__xludf.DUMMYFUNCTION("""COMPUTED_VALUE"""),21.0)</f>
        <v>21</v>
      </c>
      <c r="E174" s="82" t="b">
        <f>IFERROR(__xludf.DUMMYFUNCTION("""COMPUTED_VALUE"""),TRUE)</f>
        <v>1</v>
      </c>
      <c r="F174" s="82" t="str">
        <f>IFERROR(__xludf.DUMMYFUNCTION("""COMPUTED_VALUE"""),"Free Quests- EoR!A457:J466")</f>
        <v>Free Quests- EoR!A457:J466</v>
      </c>
      <c r="G174" s="82">
        <f>IFERROR(__xludf.DUMMYFUNCTION("""COMPUTED_VALUE"""),174.0)</f>
        <v>174</v>
      </c>
      <c r="H174" s="82">
        <f>IFERROR(__xludf.DUMMYFUNCTION("""COMPUTED_VALUE"""),52.0)</f>
        <v>52</v>
      </c>
      <c r="I174" s="95"/>
      <c r="J174" s="96"/>
      <c r="K174" s="97"/>
      <c r="L174" s="95"/>
      <c r="M174" s="96"/>
      <c r="N174" s="97"/>
      <c r="O174" s="95"/>
      <c r="P174" s="96"/>
      <c r="Q174" s="97"/>
      <c r="R174" s="95"/>
      <c r="S174" s="96"/>
      <c r="T174" s="97"/>
      <c r="U174" s="95"/>
      <c r="V174" s="96"/>
      <c r="W174" s="97"/>
      <c r="X174" s="95"/>
      <c r="Y174" s="96"/>
      <c r="Z174" s="97"/>
      <c r="AA174" s="95"/>
      <c r="AB174" s="96"/>
      <c r="AC174" s="97"/>
      <c r="AD174" s="95"/>
      <c r="AE174" s="96">
        <f>IFERROR(__xludf.DUMMYFUNCTION("""COMPUTED_VALUE"""),104.45042626343513)</f>
        <v>104.4504263</v>
      </c>
      <c r="AF174" s="97"/>
      <c r="AG174" s="95"/>
      <c r="AH174" s="96"/>
      <c r="AI174" s="97"/>
      <c r="AJ174" s="95"/>
      <c r="AK174" s="96"/>
      <c r="AL174" s="97"/>
      <c r="AM174" s="95"/>
      <c r="AN174" s="96"/>
      <c r="AO174" s="97"/>
      <c r="AP174" s="95"/>
      <c r="AQ174" s="96"/>
      <c r="AR174" s="97"/>
      <c r="AS174" s="95"/>
      <c r="AT174" s="96"/>
      <c r="AU174" s="97"/>
      <c r="AV174" s="95"/>
      <c r="AW174" s="96"/>
      <c r="AX174" s="97"/>
      <c r="AY174" s="95">
        <f>IFERROR(__xludf.DUMMYFUNCTION("""COMPUTED_VALUE"""),52.590366921464074)</f>
        <v>52.59036692</v>
      </c>
      <c r="AZ174" s="96"/>
      <c r="BA174" s="97"/>
      <c r="BB174" s="95"/>
      <c r="BC174" s="96"/>
      <c r="BD174" s="97"/>
      <c r="BE174" s="95"/>
      <c r="BF174" s="96"/>
      <c r="BG174" s="97"/>
      <c r="BH174" s="95"/>
      <c r="BI174" s="96"/>
      <c r="BJ174" s="97"/>
      <c r="BK174" s="95"/>
      <c r="BL174" s="96"/>
      <c r="BM174" s="97"/>
      <c r="BN174" s="95"/>
      <c r="BO174" s="96">
        <f>IFERROR(__xludf.DUMMYFUNCTION("""COMPUTED_VALUE"""),103.44730722447521)</f>
        <v>103.4473072</v>
      </c>
      <c r="BP174" s="97"/>
      <c r="BQ174" s="95"/>
      <c r="BR174" s="96"/>
      <c r="BS174" s="97"/>
      <c r="BT174" s="95"/>
      <c r="BU174" s="96"/>
      <c r="BV174" s="97"/>
      <c r="BW174" s="95">
        <f>IFERROR(__xludf.DUMMYFUNCTION("""COMPUTED_VALUE"""),84.67928071907801)</f>
        <v>84.67928072</v>
      </c>
      <c r="BX174" s="96"/>
      <c r="BY174" s="97"/>
      <c r="BZ174" s="95"/>
      <c r="CA174" s="96"/>
      <c r="CB174" s="97"/>
      <c r="CC174" s="95"/>
      <c r="CD174" s="96"/>
      <c r="CE174" s="97"/>
      <c r="CF174" s="95"/>
      <c r="CG174" s="96"/>
      <c r="CH174" s="96"/>
      <c r="CI174" s="95"/>
      <c r="CJ174" s="96"/>
      <c r="CK174" s="96"/>
      <c r="CL174" s="95"/>
      <c r="CM174" s="96"/>
      <c r="CN174" s="96"/>
      <c r="CO174" s="95"/>
      <c r="CP174" s="96"/>
      <c r="CQ174" s="96">
        <f>IFERROR(__xludf.DUMMYFUNCTION("""COMPUTED_VALUE"""),85.75)</f>
        <v>85.75</v>
      </c>
      <c r="CR174" s="95"/>
      <c r="CS174" s="96"/>
      <c r="CT174" s="96"/>
      <c r="CU174" s="95"/>
      <c r="CV174" s="96"/>
      <c r="CW174" s="97"/>
      <c r="CX174" s="96"/>
      <c r="CY174" s="96"/>
      <c r="CZ174" s="97"/>
      <c r="DA174" s="95"/>
      <c r="DB174" s="96"/>
      <c r="DC174" s="97"/>
      <c r="DD174" s="95"/>
      <c r="DE174" s="96"/>
      <c r="DF174" s="97"/>
      <c r="DG174" s="95"/>
      <c r="DH174" s="96">
        <f>IFERROR(__xludf.DUMMYFUNCTION("""COMPUTED_VALUE"""),85.75)</f>
        <v>85.75</v>
      </c>
      <c r="DI174" s="97"/>
      <c r="DJ174" s="95"/>
      <c r="DK174" s="96"/>
      <c r="DL174" s="97"/>
      <c r="DM174" s="95"/>
      <c r="DN174" s="96"/>
      <c r="DO174" s="97"/>
      <c r="DP174" s="95"/>
      <c r="DQ174" s="96"/>
      <c r="DR174" s="97"/>
      <c r="DS174" s="95"/>
    </row>
    <row r="175">
      <c r="B175" s="120" t="str">
        <f>IFERROR(__xludf.DUMMYFUNCTION("""COMPUTED_VALUE"""),"SLM5")</f>
        <v>SLM5</v>
      </c>
      <c r="C175" s="88" t="str">
        <f>IFERROR(__xludf.DUMMYFUNCTION("""COMPUTED_VALUE"""),"Whateley Residence")</f>
        <v>Whateley Residence</v>
      </c>
      <c r="D175" s="102">
        <f>IFERROR(__xludf.DUMMYFUNCTION("""COMPUTED_VALUE"""),21.0)</f>
        <v>21</v>
      </c>
      <c r="E175" s="82" t="b">
        <f>IFERROR(__xludf.DUMMYFUNCTION("""COMPUTED_VALUE"""),TRUE)</f>
        <v>1</v>
      </c>
      <c r="F175" s="82" t="str">
        <f>IFERROR(__xludf.DUMMYFUNCTION("""COMPUTED_VALUE"""),"Free Quests- EoR!A470:J478")</f>
        <v>Free Quests- EoR!A470:J478</v>
      </c>
      <c r="G175" s="82">
        <f>IFERROR(__xludf.DUMMYFUNCTION("""COMPUTED_VALUE"""),175.0)</f>
        <v>175</v>
      </c>
      <c r="H175" s="82">
        <f>IFERROR(__xludf.DUMMYFUNCTION("""COMPUTED_VALUE"""),81.0)</f>
        <v>81</v>
      </c>
      <c r="I175" s="95"/>
      <c r="J175" s="96"/>
      <c r="K175" s="97"/>
      <c r="L175" s="95"/>
      <c r="M175" s="96"/>
      <c r="N175" s="97"/>
      <c r="O175" s="95"/>
      <c r="P175" s="96"/>
      <c r="Q175" s="97"/>
      <c r="R175" s="95"/>
      <c r="S175" s="96"/>
      <c r="T175" s="97"/>
      <c r="U175" s="95"/>
      <c r="V175" s="96"/>
      <c r="W175" s="97"/>
      <c r="X175" s="95"/>
      <c r="Y175" s="96"/>
      <c r="Z175" s="97"/>
      <c r="AA175" s="95"/>
      <c r="AB175" s="96"/>
      <c r="AC175" s="97"/>
      <c r="AD175" s="95"/>
      <c r="AE175" s="96"/>
      <c r="AF175" s="97"/>
      <c r="AG175" s="95"/>
      <c r="AH175" s="96">
        <f>IFERROR(__xludf.DUMMYFUNCTION("""COMPUTED_VALUE"""),52.74198276202234)</f>
        <v>52.74198276</v>
      </c>
      <c r="AI175" s="97"/>
      <c r="AJ175" s="95"/>
      <c r="AK175" s="96"/>
      <c r="AL175" s="97"/>
      <c r="AM175" s="95"/>
      <c r="AN175" s="96"/>
      <c r="AO175" s="97"/>
      <c r="AP175" s="95"/>
      <c r="AQ175" s="96"/>
      <c r="AR175" s="97"/>
      <c r="AS175" s="95"/>
      <c r="AT175" s="96"/>
      <c r="AU175" s="97"/>
      <c r="AV175" s="95"/>
      <c r="AW175" s="96"/>
      <c r="AX175" s="97"/>
      <c r="AY175" s="95"/>
      <c r="AZ175" s="96"/>
      <c r="BA175" s="97"/>
      <c r="BB175" s="95"/>
      <c r="BC175" s="96"/>
      <c r="BD175" s="97"/>
      <c r="BE175" s="95"/>
      <c r="BF175" s="96"/>
      <c r="BG175" s="97"/>
      <c r="BH175" s="95"/>
      <c r="BI175" s="96"/>
      <c r="BJ175" s="97"/>
      <c r="BK175" s="95"/>
      <c r="BL175" s="96"/>
      <c r="BM175" s="97">
        <f>IFERROR(__xludf.DUMMYFUNCTION("""COMPUTED_VALUE"""),109.01116562844652)</f>
        <v>109.0111656</v>
      </c>
      <c r="BN175" s="95"/>
      <c r="BO175" s="96"/>
      <c r="BP175" s="97"/>
      <c r="BQ175" s="95"/>
      <c r="BR175" s="96"/>
      <c r="BS175" s="97"/>
      <c r="BT175" s="95">
        <f>IFERROR(__xludf.DUMMYFUNCTION("""COMPUTED_VALUE"""),56.31702419950036)</f>
        <v>56.3170242</v>
      </c>
      <c r="BU175" s="96"/>
      <c r="BV175" s="97"/>
      <c r="BW175" s="95"/>
      <c r="BX175" s="96"/>
      <c r="BY175" s="97"/>
      <c r="BZ175" s="95"/>
      <c r="CA175" s="96"/>
      <c r="CB175" s="97"/>
      <c r="CC175" s="95"/>
      <c r="CD175" s="96"/>
      <c r="CE175" s="97"/>
      <c r="CF175" s="95"/>
      <c r="CG175" s="96"/>
      <c r="CH175" s="96"/>
      <c r="CI175" s="95"/>
      <c r="CJ175" s="96"/>
      <c r="CK175" s="96"/>
      <c r="CL175" s="95"/>
      <c r="CM175" s="96"/>
      <c r="CN175" s="96"/>
      <c r="CO175" s="95">
        <f>IFERROR(__xludf.DUMMYFUNCTION("""COMPUTED_VALUE"""),144.1570058807476)</f>
        <v>144.1570059</v>
      </c>
      <c r="CP175" s="96"/>
      <c r="CQ175" s="96"/>
      <c r="CR175" s="95"/>
      <c r="CS175" s="96"/>
      <c r="CT175" s="96"/>
      <c r="CU175" s="95"/>
      <c r="CV175" s="96"/>
      <c r="CW175" s="97"/>
      <c r="CX175" s="96"/>
      <c r="CY175" s="96"/>
      <c r="CZ175" s="97"/>
      <c r="DA175" s="95"/>
      <c r="DB175" s="96"/>
      <c r="DC175" s="97"/>
      <c r="DD175" s="95"/>
      <c r="DE175" s="96">
        <f>IFERROR(__xludf.DUMMYFUNCTION("""COMPUTED_VALUE"""),98.7)</f>
        <v>98.7</v>
      </c>
      <c r="DF175" s="97"/>
      <c r="DG175" s="95"/>
      <c r="DH175" s="96"/>
      <c r="DI175" s="97"/>
      <c r="DJ175" s="95"/>
      <c r="DK175" s="96"/>
      <c r="DL175" s="97"/>
      <c r="DM175" s="95"/>
      <c r="DN175" s="96"/>
      <c r="DO175" s="97"/>
      <c r="DP175" s="95"/>
      <c r="DQ175" s="96"/>
      <c r="DR175" s="97"/>
      <c r="DS175" s="95"/>
    </row>
    <row r="176">
      <c r="B176" s="120" t="str">
        <f>IFERROR(__xludf.DUMMYFUNCTION("""COMPUTED_VALUE"""),"SLM6")</f>
        <v>SLM6</v>
      </c>
      <c r="C176" s="88" t="str">
        <f>IFERROR(__xludf.DUMMYFUNCTION("""COMPUTED_VALUE"""),"Isolated Mansion")</f>
        <v>Isolated Mansion</v>
      </c>
      <c r="D176" s="102">
        <f>IFERROR(__xludf.DUMMYFUNCTION("""COMPUTED_VALUE"""),21.0)</f>
        <v>21</v>
      </c>
      <c r="E176" s="82" t="b">
        <f>IFERROR(__xludf.DUMMYFUNCTION("""COMPUTED_VALUE"""),TRUE)</f>
        <v>1</v>
      </c>
      <c r="F176" s="82" t="str">
        <f>IFERROR(__xludf.DUMMYFUNCTION("""COMPUTED_VALUE"""),"Free Quests- EoR!A482:J493")</f>
        <v>Free Quests- EoR!A482:J493</v>
      </c>
      <c r="G176" s="82">
        <f>IFERROR(__xludf.DUMMYFUNCTION("""COMPUTED_VALUE"""),176.0)</f>
        <v>176</v>
      </c>
      <c r="H176" s="82">
        <f>IFERROR(__xludf.DUMMYFUNCTION("""COMPUTED_VALUE"""),100.0)</f>
        <v>100</v>
      </c>
      <c r="I176" s="95"/>
      <c r="J176" s="96"/>
      <c r="K176" s="97"/>
      <c r="L176" s="95"/>
      <c r="M176" s="96"/>
      <c r="N176" s="97"/>
      <c r="O176" s="95"/>
      <c r="P176" s="96"/>
      <c r="Q176" s="97"/>
      <c r="R176" s="95"/>
      <c r="S176" s="96"/>
      <c r="T176" s="97"/>
      <c r="U176" s="95"/>
      <c r="V176" s="96"/>
      <c r="W176" s="97"/>
      <c r="X176" s="95"/>
      <c r="Y176" s="96"/>
      <c r="Z176" s="97"/>
      <c r="AA176" s="95"/>
      <c r="AB176" s="96"/>
      <c r="AC176" s="97"/>
      <c r="AD176" s="95"/>
      <c r="AE176" s="96"/>
      <c r="AF176" s="97"/>
      <c r="AG176" s="95"/>
      <c r="AH176" s="96"/>
      <c r="AI176" s="97"/>
      <c r="AJ176" s="95"/>
      <c r="AK176" s="96"/>
      <c r="AL176" s="97"/>
      <c r="AM176" s="95"/>
      <c r="AN176" s="96"/>
      <c r="AO176" s="97"/>
      <c r="AP176" s="95"/>
      <c r="AQ176" s="96"/>
      <c r="AR176" s="97"/>
      <c r="AS176" s="95"/>
      <c r="AT176" s="96"/>
      <c r="AU176" s="97"/>
      <c r="AV176" s="95"/>
      <c r="AW176" s="96"/>
      <c r="AX176" s="97"/>
      <c r="AY176" s="95">
        <f>IFERROR(__xludf.DUMMYFUNCTION("""COMPUTED_VALUE"""),51.44362180820967)</f>
        <v>51.44362181</v>
      </c>
      <c r="AZ176" s="96"/>
      <c r="BA176" s="97"/>
      <c r="BB176" s="95">
        <f>IFERROR(__xludf.DUMMYFUNCTION("""COMPUTED_VALUE"""),51.569307659930026)</f>
        <v>51.56930766</v>
      </c>
      <c r="BC176" s="96"/>
      <c r="BD176" s="97"/>
      <c r="BE176" s="95"/>
      <c r="BF176" s="96"/>
      <c r="BG176" s="97"/>
      <c r="BH176" s="95"/>
      <c r="BI176" s="96"/>
      <c r="BJ176" s="97"/>
      <c r="BK176" s="95"/>
      <c r="BL176" s="96"/>
      <c r="BM176" s="97"/>
      <c r="BN176" s="95"/>
      <c r="BO176" s="96"/>
      <c r="BP176" s="97"/>
      <c r="BQ176" s="95"/>
      <c r="BR176" s="96"/>
      <c r="BS176" s="97"/>
      <c r="BT176" s="95"/>
      <c r="BU176" s="96"/>
      <c r="BV176" s="97"/>
      <c r="BW176" s="95">
        <f>IFERROR(__xludf.DUMMYFUNCTION("""COMPUTED_VALUE"""),83.65800812643506)</f>
        <v>83.65800813</v>
      </c>
      <c r="BX176" s="96">
        <f>IFERROR(__xludf.DUMMYFUNCTION("""COMPUTED_VALUE"""),93.38167175625294)</f>
        <v>93.38167176</v>
      </c>
      <c r="BY176" s="97"/>
      <c r="BZ176" s="95"/>
      <c r="CA176" s="96"/>
      <c r="CB176" s="97"/>
      <c r="CC176" s="95"/>
      <c r="CD176" s="96"/>
      <c r="CE176" s="97"/>
      <c r="CF176" s="95"/>
      <c r="CG176" s="96"/>
      <c r="CH176" s="96"/>
      <c r="CI176" s="95"/>
      <c r="CJ176" s="96"/>
      <c r="CK176" s="96"/>
      <c r="CL176" s="95"/>
      <c r="CM176" s="96"/>
      <c r="CN176" s="96"/>
      <c r="CO176" s="95"/>
      <c r="CP176" s="96"/>
      <c r="CQ176" s="96"/>
      <c r="CR176" s="95"/>
      <c r="CS176" s="96"/>
      <c r="CT176" s="96"/>
      <c r="CU176" s="95"/>
      <c r="CV176" s="96"/>
      <c r="CW176" s="97"/>
      <c r="CX176" s="96"/>
      <c r="CY176" s="96"/>
      <c r="CZ176" s="97"/>
      <c r="DA176" s="95">
        <f>IFERROR(__xludf.DUMMYFUNCTION("""COMPUTED_VALUE"""),441.0)</f>
        <v>441</v>
      </c>
      <c r="DB176" s="96"/>
      <c r="DC176" s="97"/>
      <c r="DD176" s="95"/>
      <c r="DE176" s="96"/>
      <c r="DF176" s="97"/>
      <c r="DG176" s="95"/>
      <c r="DH176" s="96">
        <f>IFERROR(__xludf.DUMMYFUNCTION("""COMPUTED_VALUE"""),71.55555555555554)</f>
        <v>71.55555556</v>
      </c>
      <c r="DI176" s="97">
        <f>IFERROR(__xludf.DUMMYFUNCTION("""COMPUTED_VALUE"""),352.8)</f>
        <v>352.8</v>
      </c>
      <c r="DJ176" s="95"/>
      <c r="DK176" s="96"/>
      <c r="DL176" s="97"/>
      <c r="DM176" s="95"/>
      <c r="DN176" s="96"/>
      <c r="DO176" s="97"/>
      <c r="DP176" s="95"/>
      <c r="DQ176" s="96"/>
      <c r="DR176" s="97"/>
      <c r="DS176" s="95"/>
    </row>
    <row r="177">
      <c r="B177" s="120" t="str">
        <f>IFERROR(__xludf.DUMMYFUNCTION("""COMPUTED_VALUE"""),"SLM7")</f>
        <v>SLM7</v>
      </c>
      <c r="C177" s="88" t="str">
        <f>IFERROR(__xludf.DUMMYFUNCTION("""COMPUTED_VALUE"""),"Gallows Hill")</f>
        <v>Gallows Hill</v>
      </c>
      <c r="D177" s="102">
        <f>IFERROR(__xludf.DUMMYFUNCTION("""COMPUTED_VALUE"""),21.0)</f>
        <v>21</v>
      </c>
      <c r="E177" s="82" t="b">
        <f>IFERROR(__xludf.DUMMYFUNCTION("""COMPUTED_VALUE"""),TRUE)</f>
        <v>1</v>
      </c>
      <c r="F177" s="82" t="str">
        <f>IFERROR(__xludf.DUMMYFUNCTION("""COMPUTED_VALUE"""),"Free Quests- EoR!A497:J506")</f>
        <v>Free Quests- EoR!A497:J506</v>
      </c>
      <c r="G177" s="82">
        <f>IFERROR(__xludf.DUMMYFUNCTION("""COMPUTED_VALUE"""),177.0)</f>
        <v>177</v>
      </c>
      <c r="H177" s="82">
        <f>IFERROR(__xludf.DUMMYFUNCTION("""COMPUTED_VALUE"""),6526.0)</f>
        <v>6526</v>
      </c>
      <c r="I177" s="95"/>
      <c r="J177" s="96"/>
      <c r="K177" s="97"/>
      <c r="L177" s="95"/>
      <c r="M177" s="96"/>
      <c r="N177" s="97"/>
      <c r="O177" s="95"/>
      <c r="P177" s="96"/>
      <c r="Q177" s="97"/>
      <c r="R177" s="95"/>
      <c r="S177" s="96"/>
      <c r="T177" s="97"/>
      <c r="U177" s="95"/>
      <c r="V177" s="96"/>
      <c r="W177" s="97"/>
      <c r="X177" s="95"/>
      <c r="Y177" s="96"/>
      <c r="Z177" s="97"/>
      <c r="AA177" s="95"/>
      <c r="AB177" s="96"/>
      <c r="AC177" s="97"/>
      <c r="AD177" s="95"/>
      <c r="AE177" s="96"/>
      <c r="AF177" s="97"/>
      <c r="AG177" s="95"/>
      <c r="AH177" s="96"/>
      <c r="AI177" s="97"/>
      <c r="AJ177" s="95"/>
      <c r="AK177" s="96"/>
      <c r="AL177" s="97"/>
      <c r="AM177" s="95"/>
      <c r="AN177" s="96"/>
      <c r="AO177" s="97"/>
      <c r="AP177" s="95"/>
      <c r="AQ177" s="96"/>
      <c r="AR177" s="97"/>
      <c r="AS177" s="95"/>
      <c r="AT177" s="96"/>
      <c r="AU177" s="97"/>
      <c r="AV177" s="95"/>
      <c r="AW177" s="96"/>
      <c r="AX177" s="97"/>
      <c r="AY177" s="95"/>
      <c r="AZ177" s="96"/>
      <c r="BA177" s="97"/>
      <c r="BB177" s="95">
        <f>IFERROR(__xludf.DUMMYFUNCTION("""COMPUTED_VALUE"""),31.109339825335603)</f>
        <v>31.10933983</v>
      </c>
      <c r="BC177" s="96"/>
      <c r="BD177" s="97"/>
      <c r="BE177" s="95"/>
      <c r="BF177" s="96"/>
      <c r="BG177" s="97"/>
      <c r="BH177" s="95"/>
      <c r="BI177" s="96"/>
      <c r="BJ177" s="97"/>
      <c r="BK177" s="95"/>
      <c r="BL177" s="96"/>
      <c r="BM177" s="97"/>
      <c r="BN177" s="95"/>
      <c r="BO177" s="96"/>
      <c r="BP177" s="97">
        <f>IFERROR(__xludf.DUMMYFUNCTION("""COMPUTED_VALUE"""),137.56443785743124)</f>
        <v>137.5644379</v>
      </c>
      <c r="BQ177" s="95"/>
      <c r="BR177" s="96"/>
      <c r="BS177" s="97"/>
      <c r="BT177" s="95"/>
      <c r="BU177" s="96"/>
      <c r="BV177" s="97"/>
      <c r="BW177" s="95"/>
      <c r="BX177" s="96">
        <f>IFERROR(__xludf.DUMMYFUNCTION("""COMPUTED_VALUE"""),58.66732440678709)</f>
        <v>58.66732441</v>
      </c>
      <c r="BY177" s="97"/>
      <c r="BZ177" s="95"/>
      <c r="CA177" s="96"/>
      <c r="CB177" s="97"/>
      <c r="CC177" s="95"/>
      <c r="CD177" s="96"/>
      <c r="CE177" s="97"/>
      <c r="CF177" s="95"/>
      <c r="CG177" s="96"/>
      <c r="CH177" s="96"/>
      <c r="CI177" s="95"/>
      <c r="CJ177" s="96"/>
      <c r="CK177" s="96"/>
      <c r="CL177" s="95"/>
      <c r="CM177" s="96"/>
      <c r="CN177" s="96"/>
      <c r="CO177" s="95"/>
      <c r="CP177" s="96"/>
      <c r="CQ177" s="96"/>
      <c r="CR177" s="95">
        <f>IFERROR(__xludf.DUMMYFUNCTION("""COMPUTED_VALUE"""),141.373417721519)</f>
        <v>141.3734177</v>
      </c>
      <c r="CS177" s="96"/>
      <c r="CT177" s="96"/>
      <c r="CU177" s="95"/>
      <c r="CV177" s="96"/>
      <c r="CW177" s="97"/>
      <c r="CX177" s="96"/>
      <c r="CY177" s="96"/>
      <c r="CZ177" s="97"/>
      <c r="DA177" s="95">
        <f>IFERROR(__xludf.DUMMYFUNCTION("""COMPUTED_VALUE"""),299.5560538116592)</f>
        <v>299.5560538</v>
      </c>
      <c r="DB177" s="96"/>
      <c r="DC177" s="97"/>
      <c r="DD177" s="95"/>
      <c r="DE177" s="96"/>
      <c r="DF177" s="97"/>
      <c r="DG177" s="95"/>
      <c r="DH177" s="96"/>
      <c r="DI177" s="97">
        <f>IFERROR(__xludf.DUMMYFUNCTION("""COMPUTED_VALUE"""),93.07083333333334)</f>
        <v>93.07083333</v>
      </c>
      <c r="DJ177" s="95"/>
      <c r="DK177" s="96"/>
      <c r="DL177" s="97"/>
      <c r="DM177" s="95"/>
      <c r="DN177" s="96"/>
      <c r="DO177" s="97"/>
      <c r="DP177" s="95"/>
      <c r="DQ177" s="96"/>
      <c r="DR177" s="97"/>
      <c r="DS177" s="95"/>
    </row>
    <row r="178">
      <c r="B178" s="120" t="str">
        <f>IFERROR(__xludf.DUMMYFUNCTION("""COMPUTED_VALUE"""),"SLM8")</f>
        <v>SLM8</v>
      </c>
      <c r="C178" s="88" t="str">
        <f>IFERROR(__xludf.DUMMYFUNCTION("""COMPUTED_VALUE"""),"Meadow")</f>
        <v>Meadow</v>
      </c>
      <c r="D178" s="102">
        <f>IFERROR(__xludf.DUMMYFUNCTION("""COMPUTED_VALUE"""),21.0)</f>
        <v>21</v>
      </c>
      <c r="E178" s="82" t="b">
        <f>IFERROR(__xludf.DUMMYFUNCTION("""COMPUTED_VALUE"""),TRUE)</f>
        <v>1</v>
      </c>
      <c r="F178" s="82" t="str">
        <f>IFERROR(__xludf.DUMMYFUNCTION("""COMPUTED_VALUE"""),"Free Quests- EoR!A510:J520")</f>
        <v>Free Quests- EoR!A510:J520</v>
      </c>
      <c r="G178" s="82">
        <f>IFERROR(__xludf.DUMMYFUNCTION("""COMPUTED_VALUE"""),178.0)</f>
        <v>178</v>
      </c>
      <c r="H178" s="82">
        <f>IFERROR(__xludf.DUMMYFUNCTION("""COMPUTED_VALUE"""),51.0)</f>
        <v>51</v>
      </c>
      <c r="I178" s="95"/>
      <c r="J178" s="96"/>
      <c r="K178" s="97"/>
      <c r="L178" s="95"/>
      <c r="M178" s="96"/>
      <c r="N178" s="97"/>
      <c r="O178" s="95"/>
      <c r="P178" s="96"/>
      <c r="Q178" s="97"/>
      <c r="R178" s="95"/>
      <c r="S178" s="96"/>
      <c r="T178" s="97"/>
      <c r="U178" s="95"/>
      <c r="V178" s="96"/>
      <c r="W178" s="97"/>
      <c r="X178" s="95"/>
      <c r="Y178" s="96"/>
      <c r="Z178" s="97"/>
      <c r="AA178" s="95">
        <f>IFERROR(__xludf.DUMMYFUNCTION("""COMPUTED_VALUE"""),59.89374009639056)</f>
        <v>59.8937401</v>
      </c>
      <c r="AB178" s="96"/>
      <c r="AC178" s="97"/>
      <c r="AD178" s="95"/>
      <c r="AE178" s="96"/>
      <c r="AF178" s="97"/>
      <c r="AG178" s="95"/>
      <c r="AH178" s="96"/>
      <c r="AI178" s="97"/>
      <c r="AJ178" s="95"/>
      <c r="AK178" s="96"/>
      <c r="AL178" s="97"/>
      <c r="AM178" s="95"/>
      <c r="AN178" s="96"/>
      <c r="AO178" s="97"/>
      <c r="AP178" s="95"/>
      <c r="AQ178" s="96"/>
      <c r="AR178" s="97"/>
      <c r="AS178" s="95"/>
      <c r="AT178" s="96"/>
      <c r="AU178" s="97"/>
      <c r="AV178" s="95"/>
      <c r="AW178" s="96"/>
      <c r="AX178" s="97"/>
      <c r="AY178" s="95"/>
      <c r="AZ178" s="96"/>
      <c r="BA178" s="97"/>
      <c r="BB178" s="95">
        <f>IFERROR(__xludf.DUMMYFUNCTION("""COMPUTED_VALUE"""),52.408207913334266)</f>
        <v>52.40820791</v>
      </c>
      <c r="BC178" s="96"/>
      <c r="BD178" s="97"/>
      <c r="BE178" s="95"/>
      <c r="BF178" s="96"/>
      <c r="BG178" s="97"/>
      <c r="BH178" s="95"/>
      <c r="BI178" s="96"/>
      <c r="BJ178" s="97"/>
      <c r="BK178" s="95"/>
      <c r="BL178" s="96"/>
      <c r="BM178" s="97"/>
      <c r="BN178" s="95"/>
      <c r="BO178" s="96"/>
      <c r="BP178" s="97"/>
      <c r="BQ178" s="95"/>
      <c r="BR178" s="96"/>
      <c r="BS178" s="97"/>
      <c r="BT178" s="95"/>
      <c r="BU178" s="96">
        <f>IFERROR(__xludf.DUMMYFUNCTION("""COMPUTED_VALUE"""),84.55612160833694)</f>
        <v>84.55612161</v>
      </c>
      <c r="BV178" s="97"/>
      <c r="BW178" s="95"/>
      <c r="BX178" s="96">
        <f>IFERROR(__xludf.DUMMYFUNCTION("""COMPUTED_VALUE"""),90.22330696787827)</f>
        <v>90.22330697</v>
      </c>
      <c r="BY178" s="97"/>
      <c r="BZ178" s="95"/>
      <c r="CA178" s="96"/>
      <c r="CB178" s="97"/>
      <c r="CC178" s="95"/>
      <c r="CD178" s="96"/>
      <c r="CE178" s="97"/>
      <c r="CF178" s="95"/>
      <c r="CG178" s="96"/>
      <c r="CH178" s="96"/>
      <c r="CI178" s="95"/>
      <c r="CJ178" s="96"/>
      <c r="CK178" s="96"/>
      <c r="CL178" s="95"/>
      <c r="CM178" s="96"/>
      <c r="CN178" s="96"/>
      <c r="CO178" s="95"/>
      <c r="CP178" s="96"/>
      <c r="CQ178" s="96"/>
      <c r="CR178" s="95"/>
      <c r="CS178" s="96"/>
      <c r="CT178" s="96"/>
      <c r="CU178" s="95"/>
      <c r="CV178" s="96"/>
      <c r="CW178" s="97"/>
      <c r="CX178" s="96"/>
      <c r="CY178" s="96"/>
      <c r="CZ178" s="97"/>
      <c r="DA178" s="95">
        <f>IFERROR(__xludf.DUMMYFUNCTION("""COMPUTED_VALUE"""),201.6)</f>
        <v>201.6</v>
      </c>
      <c r="DB178" s="96"/>
      <c r="DC178" s="97"/>
      <c r="DD178" s="95"/>
      <c r="DE178" s="96"/>
      <c r="DF178" s="97">
        <f>IFERROR(__xludf.DUMMYFUNCTION("""COMPUTED_VALUE"""),59.29411764705882)</f>
        <v>59.29411765</v>
      </c>
      <c r="DG178" s="95"/>
      <c r="DH178" s="96"/>
      <c r="DI178" s="97">
        <f>IFERROR(__xludf.DUMMYFUNCTION("""COMPUTED_VALUE"""),168.0)</f>
        <v>168</v>
      </c>
      <c r="DJ178" s="95"/>
      <c r="DK178" s="96"/>
      <c r="DL178" s="97"/>
      <c r="DM178" s="95"/>
      <c r="DN178" s="96"/>
      <c r="DO178" s="97"/>
      <c r="DP178" s="95"/>
      <c r="DQ178" s="96"/>
      <c r="DR178" s="97"/>
      <c r="DS178" s="95"/>
    </row>
    <row r="179">
      <c r="B179" s="120" t="str">
        <f>IFERROR(__xludf.DUMMYFUNCTION("""COMPUTED_VALUE"""),"SLM9")</f>
        <v>SLM9</v>
      </c>
      <c r="C179" s="88" t="str">
        <f>IFERROR(__xludf.DUMMYFUNCTION("""COMPUTED_VALUE"""),"Empty House")</f>
        <v>Empty House</v>
      </c>
      <c r="D179" s="102">
        <f>IFERROR(__xludf.DUMMYFUNCTION("""COMPUTED_VALUE"""),21.0)</f>
        <v>21</v>
      </c>
      <c r="E179" s="82" t="b">
        <f>IFERROR(__xludf.DUMMYFUNCTION("""COMPUTED_VALUE"""),TRUE)</f>
        <v>1</v>
      </c>
      <c r="F179" s="82" t="str">
        <f>IFERROR(__xludf.DUMMYFUNCTION("""COMPUTED_VALUE"""),"Free Quests- EoR!A524:J533")</f>
        <v>Free Quests- EoR!A524:J533</v>
      </c>
      <c r="G179" s="82">
        <f>IFERROR(__xludf.DUMMYFUNCTION("""COMPUTED_VALUE"""),179.0)</f>
        <v>179</v>
      </c>
      <c r="H179" s="82">
        <f>IFERROR(__xludf.DUMMYFUNCTION("""COMPUTED_VALUE"""),2830.0)</f>
        <v>2830</v>
      </c>
      <c r="I179" s="95"/>
      <c r="J179" s="96"/>
      <c r="K179" s="97"/>
      <c r="L179" s="95"/>
      <c r="M179" s="96"/>
      <c r="N179" s="97"/>
      <c r="O179" s="95"/>
      <c r="P179" s="96"/>
      <c r="Q179" s="97"/>
      <c r="R179" s="95"/>
      <c r="S179" s="96"/>
      <c r="T179" s="97"/>
      <c r="U179" s="95"/>
      <c r="V179" s="96"/>
      <c r="W179" s="97"/>
      <c r="X179" s="95"/>
      <c r="Y179" s="96"/>
      <c r="Z179" s="97"/>
      <c r="AA179" s="95"/>
      <c r="AB179" s="96"/>
      <c r="AC179" s="97"/>
      <c r="AD179" s="95"/>
      <c r="AE179" s="96">
        <f>IFERROR(__xludf.DUMMYFUNCTION("""COMPUTED_VALUE"""),101.8382755337845)</f>
        <v>101.8382755</v>
      </c>
      <c r="AF179" s="97"/>
      <c r="AG179" s="95"/>
      <c r="AH179" s="96"/>
      <c r="AI179" s="97"/>
      <c r="AJ179" s="95"/>
      <c r="AK179" s="96"/>
      <c r="AL179" s="97"/>
      <c r="AM179" s="95"/>
      <c r="AN179" s="96"/>
      <c r="AO179" s="97"/>
      <c r="AP179" s="95"/>
      <c r="AQ179" s="96"/>
      <c r="AR179" s="97"/>
      <c r="AS179" s="95"/>
      <c r="AT179" s="96"/>
      <c r="AU179" s="97"/>
      <c r="AV179" s="95"/>
      <c r="AW179" s="96"/>
      <c r="AX179" s="97"/>
      <c r="AY179" s="95"/>
      <c r="AZ179" s="96"/>
      <c r="BA179" s="97"/>
      <c r="BB179" s="95">
        <f>IFERROR(__xludf.DUMMYFUNCTION("""COMPUTED_VALUE"""),52.037545606356794)</f>
        <v>52.03754561</v>
      </c>
      <c r="BC179" s="96"/>
      <c r="BD179" s="97"/>
      <c r="BE179" s="95"/>
      <c r="BF179" s="96"/>
      <c r="BG179" s="97"/>
      <c r="BH179" s="95"/>
      <c r="BI179" s="96"/>
      <c r="BJ179" s="97"/>
      <c r="BK179" s="95"/>
      <c r="BL179" s="96"/>
      <c r="BM179" s="97"/>
      <c r="BN179" s="95"/>
      <c r="BO179" s="96">
        <f>IFERROR(__xludf.DUMMYFUNCTION("""COMPUTED_VALUE"""),139.5060613725891)</f>
        <v>139.5060614</v>
      </c>
      <c r="BP179" s="97"/>
      <c r="BQ179" s="95"/>
      <c r="BR179" s="96"/>
      <c r="BS179" s="97"/>
      <c r="BT179" s="95"/>
      <c r="BU179" s="96"/>
      <c r="BV179" s="97"/>
      <c r="BW179" s="95"/>
      <c r="BX179" s="96">
        <f>IFERROR(__xludf.DUMMYFUNCTION("""COMPUTED_VALUE"""),86.94697130874395)</f>
        <v>86.94697131</v>
      </c>
      <c r="BY179" s="97"/>
      <c r="BZ179" s="95"/>
      <c r="CA179" s="96"/>
      <c r="CB179" s="97"/>
      <c r="CC179" s="95"/>
      <c r="CD179" s="96"/>
      <c r="CE179" s="97"/>
      <c r="CF179" s="95"/>
      <c r="CG179" s="96"/>
      <c r="CH179" s="96"/>
      <c r="CI179" s="95"/>
      <c r="CJ179" s="96"/>
      <c r="CK179" s="96"/>
      <c r="CL179" s="95"/>
      <c r="CM179" s="96"/>
      <c r="CN179" s="96"/>
      <c r="CO179" s="95"/>
      <c r="CP179" s="96"/>
      <c r="CQ179" s="96">
        <f>IFERROR(__xludf.DUMMYFUNCTION("""COMPUTED_VALUE"""),141.40510948905109)</f>
        <v>141.4051095</v>
      </c>
      <c r="CR179" s="95"/>
      <c r="CS179" s="96"/>
      <c r="CT179" s="96"/>
      <c r="CU179" s="95"/>
      <c r="CV179" s="96"/>
      <c r="CW179" s="97"/>
      <c r="CX179" s="96"/>
      <c r="CY179" s="96"/>
      <c r="CZ179" s="97"/>
      <c r="DA179" s="95"/>
      <c r="DB179" s="96"/>
      <c r="DC179" s="97"/>
      <c r="DD179" s="95"/>
      <c r="DE179" s="96"/>
      <c r="DF179" s="97"/>
      <c r="DG179" s="95"/>
      <c r="DH179" s="96"/>
      <c r="DI179" s="97">
        <f>IFERROR(__xludf.DUMMYFUNCTION("""COMPUTED_VALUE"""),78.27272727272727)</f>
        <v>78.27272727</v>
      </c>
      <c r="DJ179" s="95"/>
      <c r="DK179" s="96"/>
      <c r="DL179" s="97"/>
      <c r="DM179" s="95"/>
      <c r="DN179" s="96"/>
      <c r="DO179" s="97"/>
      <c r="DP179" s="95"/>
      <c r="DQ179" s="96"/>
      <c r="DR179" s="97"/>
      <c r="DS179" s="95"/>
    </row>
    <row r="180">
      <c r="B180" s="120" t="str">
        <f>IFERROR(__xludf.DUMMYFUNCTION("""COMPUTED_VALUE"""),"SLM10")</f>
        <v>SLM10</v>
      </c>
      <c r="C180" s="88" t="str">
        <f>IFERROR(__xludf.DUMMYFUNCTION("""COMPUTED_VALUE"""),"Hideout")</f>
        <v>Hideout</v>
      </c>
      <c r="D180" s="102">
        <f>IFERROR(__xludf.DUMMYFUNCTION("""COMPUTED_VALUE"""),21.0)</f>
        <v>21</v>
      </c>
      <c r="E180" s="82" t="b">
        <f>IFERROR(__xludf.DUMMYFUNCTION("""COMPUTED_VALUE"""),TRUE)</f>
        <v>1</v>
      </c>
      <c r="F180" s="82" t="str">
        <f>IFERROR(__xludf.DUMMYFUNCTION("""COMPUTED_VALUE"""),"Free Quests- EoR!A537:J546")</f>
        <v>Free Quests- EoR!A537:J546</v>
      </c>
      <c r="G180" s="82">
        <f>IFERROR(__xludf.DUMMYFUNCTION("""COMPUTED_VALUE"""),180.0)</f>
        <v>180</v>
      </c>
      <c r="H180" s="82">
        <f>IFERROR(__xludf.DUMMYFUNCTION("""COMPUTED_VALUE"""),53.0)</f>
        <v>53</v>
      </c>
      <c r="I180" s="95"/>
      <c r="J180" s="96"/>
      <c r="K180" s="97"/>
      <c r="L180" s="95"/>
      <c r="M180" s="96"/>
      <c r="N180" s="97"/>
      <c r="O180" s="95"/>
      <c r="P180" s="96"/>
      <c r="Q180" s="97"/>
      <c r="R180" s="95"/>
      <c r="S180" s="96"/>
      <c r="T180" s="97"/>
      <c r="U180" s="95"/>
      <c r="V180" s="96"/>
      <c r="W180" s="97"/>
      <c r="X180" s="95"/>
      <c r="Y180" s="96"/>
      <c r="Z180" s="97"/>
      <c r="AA180" s="95">
        <f>IFERROR(__xludf.DUMMYFUNCTION("""COMPUTED_VALUE"""),46.65946640237396)</f>
        <v>46.6594664</v>
      </c>
      <c r="AB180" s="96"/>
      <c r="AC180" s="97"/>
      <c r="AD180" s="95"/>
      <c r="AE180" s="96">
        <f>IFERROR(__xludf.DUMMYFUNCTION("""COMPUTED_VALUE"""),139.99561499671125)</f>
        <v>139.995615</v>
      </c>
      <c r="AF180" s="97"/>
      <c r="AG180" s="95"/>
      <c r="AH180" s="96"/>
      <c r="AI180" s="97"/>
      <c r="AJ180" s="95"/>
      <c r="AK180" s="96"/>
      <c r="AL180" s="97"/>
      <c r="AM180" s="95"/>
      <c r="AN180" s="96"/>
      <c r="AO180" s="97"/>
      <c r="AP180" s="95"/>
      <c r="AQ180" s="96"/>
      <c r="AR180" s="97"/>
      <c r="AS180" s="95"/>
      <c r="AT180" s="96"/>
      <c r="AU180" s="97"/>
      <c r="AV180" s="95"/>
      <c r="AW180" s="96"/>
      <c r="AX180" s="97"/>
      <c r="AY180" s="95"/>
      <c r="AZ180" s="96"/>
      <c r="BA180" s="97"/>
      <c r="BB180" s="95"/>
      <c r="BC180" s="96"/>
      <c r="BD180" s="97"/>
      <c r="BE180" s="95"/>
      <c r="BF180" s="96"/>
      <c r="BG180" s="97"/>
      <c r="BH180" s="95"/>
      <c r="BI180" s="96"/>
      <c r="BJ180" s="97"/>
      <c r="BK180" s="95"/>
      <c r="BL180" s="96"/>
      <c r="BM180" s="97"/>
      <c r="BN180" s="95"/>
      <c r="BO180" s="96">
        <f>IFERROR(__xludf.DUMMYFUNCTION("""COMPUTED_VALUE"""),138.03126242999062)</f>
        <v>138.0312624</v>
      </c>
      <c r="BP180" s="97"/>
      <c r="BQ180" s="95"/>
      <c r="BR180" s="96"/>
      <c r="BS180" s="97"/>
      <c r="BT180" s="95"/>
      <c r="BU180" s="96">
        <f>IFERROR(__xludf.DUMMYFUNCTION("""COMPUTED_VALUE"""),85.03224446513454)</f>
        <v>85.03224447</v>
      </c>
      <c r="BV180" s="97"/>
      <c r="BW180" s="95"/>
      <c r="BX180" s="96"/>
      <c r="BY180" s="97"/>
      <c r="BZ180" s="95"/>
      <c r="CA180" s="96"/>
      <c r="CB180" s="97"/>
      <c r="CC180" s="95"/>
      <c r="CD180" s="96"/>
      <c r="CE180" s="97"/>
      <c r="CF180" s="95"/>
      <c r="CG180" s="96"/>
      <c r="CH180" s="96"/>
      <c r="CI180" s="95"/>
      <c r="CJ180" s="96"/>
      <c r="CK180" s="96"/>
      <c r="CL180" s="95"/>
      <c r="CM180" s="96"/>
      <c r="CN180" s="96"/>
      <c r="CO180" s="95"/>
      <c r="CP180" s="96"/>
      <c r="CQ180" s="96">
        <f>IFERROR(__xludf.DUMMYFUNCTION("""COMPUTED_VALUE"""),116.66666666666667)</f>
        <v>116.6666667</v>
      </c>
      <c r="CR180" s="95"/>
      <c r="CS180" s="96"/>
      <c r="CT180" s="96"/>
      <c r="CU180" s="95"/>
      <c r="CV180" s="96"/>
      <c r="CW180" s="97"/>
      <c r="CX180" s="96"/>
      <c r="CY180" s="96"/>
      <c r="CZ180" s="97"/>
      <c r="DA180" s="95"/>
      <c r="DB180" s="96"/>
      <c r="DC180" s="97"/>
      <c r="DD180" s="95"/>
      <c r="DE180" s="96"/>
      <c r="DF180" s="97">
        <f>IFERROR(__xludf.DUMMYFUNCTION("""COMPUTED_VALUE"""),95.45454545454545)</f>
        <v>95.45454545</v>
      </c>
      <c r="DG180" s="95"/>
      <c r="DH180" s="96"/>
      <c r="DI180" s="97"/>
      <c r="DJ180" s="95"/>
      <c r="DK180" s="96"/>
      <c r="DL180" s="97"/>
      <c r="DM180" s="95"/>
      <c r="DN180" s="96"/>
      <c r="DO180" s="97"/>
      <c r="DP180" s="95"/>
      <c r="DQ180" s="96"/>
      <c r="DR180" s="97"/>
      <c r="DS180" s="95"/>
    </row>
    <row r="181">
      <c r="B181" s="120" t="str">
        <f>IFERROR(__xludf.DUMMYFUNCTION("""COMPUTED_VALUE"""),"SLM11")</f>
        <v>SLM11</v>
      </c>
      <c r="C181" s="88" t="str">
        <f>IFERROR(__xludf.DUMMYFUNCTION("""COMPUTED_VALUE"""),"Jail")</f>
        <v>Jail</v>
      </c>
      <c r="D181" s="102">
        <f>IFERROR(__xludf.DUMMYFUNCTION("""COMPUTED_VALUE"""),21.0)</f>
        <v>21</v>
      </c>
      <c r="E181" s="82" t="b">
        <f>IFERROR(__xludf.DUMMYFUNCTION("""COMPUTED_VALUE"""),TRUE)</f>
        <v>1</v>
      </c>
      <c r="F181" s="82" t="str">
        <f>IFERROR(__xludf.DUMMYFUNCTION("""COMPUTED_VALUE"""),"Free Quests- EoR!A550:J559")</f>
        <v>Free Quests- EoR!A550:J559</v>
      </c>
      <c r="G181" s="82">
        <f>IFERROR(__xludf.DUMMYFUNCTION("""COMPUTED_VALUE"""),181.0)</f>
        <v>181</v>
      </c>
      <c r="H181" s="82">
        <f>IFERROR(__xludf.DUMMYFUNCTION("""COMPUTED_VALUE"""),102.0)</f>
        <v>102</v>
      </c>
      <c r="I181" s="95"/>
      <c r="J181" s="96"/>
      <c r="K181" s="97"/>
      <c r="L181" s="95"/>
      <c r="M181" s="96"/>
      <c r="N181" s="97"/>
      <c r="O181" s="95"/>
      <c r="P181" s="96">
        <f>IFERROR(__xludf.DUMMYFUNCTION("""COMPUTED_VALUE"""),100.92633737822592)</f>
        <v>100.9263374</v>
      </c>
      <c r="Q181" s="97"/>
      <c r="R181" s="95"/>
      <c r="S181" s="96"/>
      <c r="T181" s="97"/>
      <c r="U181" s="95"/>
      <c r="V181" s="96"/>
      <c r="W181" s="97"/>
      <c r="X181" s="95"/>
      <c r="Y181" s="96"/>
      <c r="Z181" s="97"/>
      <c r="AA181" s="95"/>
      <c r="AB181" s="96"/>
      <c r="AC181" s="97"/>
      <c r="AD181" s="95"/>
      <c r="AE181" s="96"/>
      <c r="AF181" s="97"/>
      <c r="AG181" s="95"/>
      <c r="AH181" s="96"/>
      <c r="AI181" s="97"/>
      <c r="AJ181" s="95"/>
      <c r="AK181" s="96"/>
      <c r="AL181" s="97"/>
      <c r="AM181" s="95"/>
      <c r="AN181" s="96"/>
      <c r="AO181" s="97"/>
      <c r="AP181" s="95"/>
      <c r="AQ181" s="96"/>
      <c r="AR181" s="97"/>
      <c r="AS181" s="95"/>
      <c r="AT181" s="96"/>
      <c r="AU181" s="97"/>
      <c r="AV181" s="95"/>
      <c r="AW181" s="96">
        <f>IFERROR(__xludf.DUMMYFUNCTION("""COMPUTED_VALUE"""),52.34387745788208)</f>
        <v>52.34387746</v>
      </c>
      <c r="AX181" s="97"/>
      <c r="AY181" s="95"/>
      <c r="AZ181" s="96"/>
      <c r="BA181" s="97"/>
      <c r="BB181" s="95"/>
      <c r="BC181" s="96"/>
      <c r="BD181" s="97"/>
      <c r="BE181" s="95"/>
      <c r="BF181" s="96"/>
      <c r="BG181" s="97"/>
      <c r="BH181" s="95"/>
      <c r="BI181" s="96"/>
      <c r="BJ181" s="97"/>
      <c r="BK181" s="95"/>
      <c r="BL181" s="96"/>
      <c r="BM181" s="97"/>
      <c r="BN181" s="95"/>
      <c r="BO181" s="96">
        <f>IFERROR(__xludf.DUMMYFUNCTION("""COMPUTED_VALUE"""),277.18304570275217)</f>
        <v>277.1830457</v>
      </c>
      <c r="BP181" s="97"/>
      <c r="BQ181" s="95"/>
      <c r="BR181" s="96">
        <f>IFERROR(__xludf.DUMMYFUNCTION("""COMPUTED_VALUE"""),51.697210225283065)</f>
        <v>51.69721023</v>
      </c>
      <c r="BS181" s="97"/>
      <c r="BT181" s="95"/>
      <c r="BU181" s="96"/>
      <c r="BV181" s="97"/>
      <c r="BW181" s="95"/>
      <c r="BX181" s="96"/>
      <c r="BY181" s="97"/>
      <c r="BZ181" s="95"/>
      <c r="CA181" s="96"/>
      <c r="CB181" s="97"/>
      <c r="CC181" s="95"/>
      <c r="CD181" s="96"/>
      <c r="CE181" s="97"/>
      <c r="CF181" s="95"/>
      <c r="CG181" s="96"/>
      <c r="CH181" s="96"/>
      <c r="CI181" s="95"/>
      <c r="CJ181" s="96"/>
      <c r="CK181" s="96"/>
      <c r="CL181" s="95"/>
      <c r="CM181" s="96"/>
      <c r="CN181" s="96"/>
      <c r="CO181" s="95"/>
      <c r="CP181" s="96"/>
      <c r="CQ181" s="96">
        <f>IFERROR(__xludf.DUMMYFUNCTION("""COMPUTED_VALUE"""),945.0)</f>
        <v>945</v>
      </c>
      <c r="CR181" s="95"/>
      <c r="CS181" s="96"/>
      <c r="CT181" s="96"/>
      <c r="CU181" s="95"/>
      <c r="CV181" s="96"/>
      <c r="CW181" s="97"/>
      <c r="CX181" s="96"/>
      <c r="CY181" s="96"/>
      <c r="CZ181" s="97"/>
      <c r="DA181" s="95"/>
      <c r="DB181" s="96"/>
      <c r="DC181" s="97">
        <f>IFERROR(__xludf.DUMMYFUNCTION("""COMPUTED_VALUE"""),47.25)</f>
        <v>47.25</v>
      </c>
      <c r="DD181" s="95"/>
      <c r="DE181" s="96"/>
      <c r="DF181" s="97"/>
      <c r="DG181" s="95"/>
      <c r="DH181" s="96"/>
      <c r="DI181" s="97"/>
      <c r="DJ181" s="95"/>
      <c r="DK181" s="96"/>
      <c r="DL181" s="97"/>
      <c r="DM181" s="95"/>
      <c r="DN181" s="96"/>
      <c r="DO181" s="97"/>
      <c r="DP181" s="95"/>
      <c r="DQ181" s="96"/>
      <c r="DR181" s="97"/>
      <c r="DS181" s="95"/>
    </row>
    <row r="182">
      <c r="A182" s="165" t="str">
        <f>IFERROR(__xludf.DUMMYFUNCTION("""COMPUTED_VALUE"""),"ANASTASIA")</f>
        <v>ANASTASIA</v>
      </c>
      <c r="B182" s="120" t="str">
        <f>IFERROR(__xludf.DUMMYFUNCTION("""COMPUTED_VALUE"""),"ANA1")</f>
        <v>ANA1</v>
      </c>
      <c r="C182" s="88" t="str">
        <f>IFERROR(__xludf.DUMMYFUNCTION("""COMPUTED_VALUE"""),"Anchor Point")</f>
        <v>Anchor Point</v>
      </c>
      <c r="D182" s="102">
        <f>IFERROR(__xludf.DUMMYFUNCTION("""COMPUTED_VALUE"""),20.0)</f>
        <v>20</v>
      </c>
      <c r="E182" s="82" t="b">
        <f>IFERROR(__xludf.DUMMYFUNCTION("""COMPUTED_VALUE"""),TRUE)</f>
        <v>1</v>
      </c>
      <c r="F182" s="82" t="str">
        <f>IFERROR(__xludf.DUMMYFUNCTION("""COMPUTED_VALUE"""),"Free Quests- Part 2!A7:J16")</f>
        <v>Free Quests- Part 2!A7:J16</v>
      </c>
      <c r="G182" s="82">
        <f>IFERROR(__xludf.DUMMYFUNCTION("""COMPUTED_VALUE"""),182.0)</f>
        <v>182</v>
      </c>
      <c r="H182" s="82">
        <f>IFERROR(__xludf.DUMMYFUNCTION("""COMPUTED_VALUE"""),39.0)</f>
        <v>39</v>
      </c>
      <c r="I182" s="95"/>
      <c r="J182" s="96"/>
      <c r="K182" s="97"/>
      <c r="L182" s="95"/>
      <c r="M182" s="96">
        <f>IFERROR(__xludf.DUMMYFUNCTION("""COMPUTED_VALUE"""),98.7508440243079)</f>
        <v>98.75084402</v>
      </c>
      <c r="N182" s="97"/>
      <c r="O182" s="95"/>
      <c r="P182" s="96"/>
      <c r="Q182" s="97"/>
      <c r="R182" s="95"/>
      <c r="S182" s="96"/>
      <c r="T182" s="97"/>
      <c r="U182" s="95"/>
      <c r="V182" s="96"/>
      <c r="W182" s="97"/>
      <c r="X182" s="95"/>
      <c r="Y182" s="96"/>
      <c r="Z182" s="97"/>
      <c r="AA182" s="95"/>
      <c r="AB182" s="96"/>
      <c r="AC182" s="97"/>
      <c r="AD182" s="95"/>
      <c r="AE182" s="96"/>
      <c r="AF182" s="97"/>
      <c r="AG182" s="95"/>
      <c r="AH182" s="96"/>
      <c r="AI182" s="97"/>
      <c r="AJ182" s="95"/>
      <c r="AK182" s="96"/>
      <c r="AL182" s="97"/>
      <c r="AM182" s="95"/>
      <c r="AN182" s="96"/>
      <c r="AO182" s="97"/>
      <c r="AP182" s="95"/>
      <c r="AQ182" s="96"/>
      <c r="AR182" s="97"/>
      <c r="AS182" s="95"/>
      <c r="AT182" s="96"/>
      <c r="AU182" s="97"/>
      <c r="AV182" s="95"/>
      <c r="AW182" s="96"/>
      <c r="AX182" s="97"/>
      <c r="AY182" s="95"/>
      <c r="AZ182" s="96">
        <f>IFERROR(__xludf.DUMMYFUNCTION("""COMPUTED_VALUE"""),48.50291630318017)</f>
        <v>48.5029163</v>
      </c>
      <c r="BA182" s="97"/>
      <c r="BB182" s="95"/>
      <c r="BC182" s="96"/>
      <c r="BD182" s="97"/>
      <c r="BE182" s="95"/>
      <c r="BF182" s="96"/>
      <c r="BG182" s="97"/>
      <c r="BH182" s="95"/>
      <c r="BI182" s="96"/>
      <c r="BJ182" s="97"/>
      <c r="BK182" s="95"/>
      <c r="BL182" s="96"/>
      <c r="BM182" s="97">
        <f>IFERROR(__xludf.DUMMYFUNCTION("""COMPUTED_VALUE"""),270.43504768540697)</f>
        <v>270.4350477</v>
      </c>
      <c r="BN182" s="95"/>
      <c r="BO182" s="96"/>
      <c r="BP182" s="97"/>
      <c r="BQ182" s="95"/>
      <c r="BR182" s="96"/>
      <c r="BS182" s="97"/>
      <c r="BT182" s="95">
        <f>IFERROR(__xludf.DUMMYFUNCTION("""COMPUTED_VALUE"""),54.30315325556586)</f>
        <v>54.30315326</v>
      </c>
      <c r="BU182" s="96"/>
      <c r="BV182" s="97"/>
      <c r="BW182" s="95"/>
      <c r="BX182" s="96"/>
      <c r="BY182" s="97"/>
      <c r="BZ182" s="95"/>
      <c r="CA182" s="96"/>
      <c r="CB182" s="97"/>
      <c r="CC182" s="95"/>
      <c r="CD182" s="96"/>
      <c r="CE182" s="97"/>
      <c r="CF182" s="95"/>
      <c r="CG182" s="96"/>
      <c r="CH182" s="96"/>
      <c r="CI182" s="95"/>
      <c r="CJ182" s="96"/>
      <c r="CK182" s="96"/>
      <c r="CL182" s="95"/>
      <c r="CM182" s="96"/>
      <c r="CN182" s="96"/>
      <c r="CO182" s="95">
        <f>IFERROR(__xludf.DUMMYFUNCTION("""COMPUTED_VALUE"""),353.2752040214727)</f>
        <v>353.275204</v>
      </c>
      <c r="CP182" s="96"/>
      <c r="CQ182" s="96"/>
      <c r="CR182" s="95"/>
      <c r="CS182" s="96"/>
      <c r="CT182" s="96"/>
      <c r="CU182" s="95"/>
      <c r="CV182" s="96"/>
      <c r="CW182" s="97"/>
      <c r="CX182" s="96"/>
      <c r="CY182" s="96"/>
      <c r="CZ182" s="97"/>
      <c r="DA182" s="95"/>
      <c r="DB182" s="96"/>
      <c r="DC182" s="97"/>
      <c r="DD182" s="95"/>
      <c r="DE182" s="96">
        <f>IFERROR(__xludf.DUMMYFUNCTION("""COMPUTED_VALUE"""),66.0)</f>
        <v>66</v>
      </c>
      <c r="DF182" s="97"/>
      <c r="DG182" s="95"/>
      <c r="DH182" s="96"/>
      <c r="DI182" s="97"/>
      <c r="DJ182" s="95"/>
      <c r="DK182" s="96"/>
      <c r="DL182" s="97"/>
      <c r="DM182" s="95"/>
      <c r="DN182" s="96"/>
      <c r="DO182" s="97"/>
      <c r="DP182" s="95"/>
      <c r="DQ182" s="96"/>
      <c r="DR182" s="97"/>
      <c r="DS182" s="95"/>
    </row>
    <row r="183">
      <c r="B183" s="120" t="str">
        <f>IFERROR(__xludf.DUMMYFUNCTION("""COMPUTED_VALUE"""),"ANA2")</f>
        <v>ANA2</v>
      </c>
      <c r="C183" s="88" t="str">
        <f>IFERROR(__xludf.DUMMYFUNCTION("""COMPUTED_VALUE"""),"Yaga Smolensk")</f>
        <v>Yaga Smolensk</v>
      </c>
      <c r="D183" s="102">
        <f>IFERROR(__xludf.DUMMYFUNCTION("""COMPUTED_VALUE"""),20.0)</f>
        <v>20</v>
      </c>
      <c r="E183" s="82" t="b">
        <f>IFERROR(__xludf.DUMMYFUNCTION("""COMPUTED_VALUE"""),TRUE)</f>
        <v>1</v>
      </c>
      <c r="F183" s="82" t="str">
        <f>IFERROR(__xludf.DUMMYFUNCTION("""COMPUTED_VALUE"""),"Free Quests- Part 2!A20:J28")</f>
        <v>Free Quests- Part 2!A20:J28</v>
      </c>
      <c r="G183" s="82">
        <f>IFERROR(__xludf.DUMMYFUNCTION("""COMPUTED_VALUE"""),183.0)</f>
        <v>183</v>
      </c>
      <c r="H183" s="82">
        <f>IFERROR(__xludf.DUMMYFUNCTION("""COMPUTED_VALUE"""),6324.0)</f>
        <v>6324</v>
      </c>
      <c r="I183" s="95"/>
      <c r="J183" s="96"/>
      <c r="K183" s="97"/>
      <c r="L183" s="95"/>
      <c r="M183" s="96"/>
      <c r="N183" s="97"/>
      <c r="O183" s="95"/>
      <c r="P183" s="96"/>
      <c r="Q183" s="97"/>
      <c r="R183" s="95"/>
      <c r="S183" s="96"/>
      <c r="T183" s="97"/>
      <c r="U183" s="95"/>
      <c r="V183" s="96"/>
      <c r="W183" s="97"/>
      <c r="X183" s="95"/>
      <c r="Y183" s="96"/>
      <c r="Z183" s="97"/>
      <c r="AA183" s="95"/>
      <c r="AB183" s="96"/>
      <c r="AC183" s="97"/>
      <c r="AD183" s="95"/>
      <c r="AE183" s="96"/>
      <c r="AF183" s="97"/>
      <c r="AG183" s="95"/>
      <c r="AH183" s="96"/>
      <c r="AI183" s="97"/>
      <c r="AJ183" s="95"/>
      <c r="AK183" s="96"/>
      <c r="AL183" s="97"/>
      <c r="AM183" s="95"/>
      <c r="AN183" s="96"/>
      <c r="AO183" s="97"/>
      <c r="AP183" s="95"/>
      <c r="AQ183" s="96"/>
      <c r="AR183" s="97"/>
      <c r="AS183" s="95"/>
      <c r="AT183" s="96"/>
      <c r="AU183" s="97"/>
      <c r="AV183" s="95"/>
      <c r="AW183" s="96"/>
      <c r="AX183" s="97"/>
      <c r="AY183" s="95"/>
      <c r="AZ183" s="96"/>
      <c r="BA183" s="97"/>
      <c r="BB183" s="95"/>
      <c r="BC183" s="96">
        <f>IFERROR(__xludf.DUMMYFUNCTION("""COMPUTED_VALUE"""),30.482983006990995)</f>
        <v>30.48298301</v>
      </c>
      <c r="BD183" s="97"/>
      <c r="BE183" s="95"/>
      <c r="BF183" s="96"/>
      <c r="BG183" s="97"/>
      <c r="BH183" s="95"/>
      <c r="BI183" s="96"/>
      <c r="BJ183" s="97"/>
      <c r="BK183" s="95"/>
      <c r="BL183" s="96"/>
      <c r="BM183" s="97"/>
      <c r="BN183" s="95"/>
      <c r="BO183" s="96"/>
      <c r="BP183" s="97"/>
      <c r="BQ183" s="95"/>
      <c r="BR183" s="96">
        <f>IFERROR(__xludf.DUMMYFUNCTION("""COMPUTED_VALUE"""),81.84225761108553)</f>
        <v>81.84225761</v>
      </c>
      <c r="BS183" s="97"/>
      <c r="BT183" s="95"/>
      <c r="BU183" s="96"/>
      <c r="BV183" s="97"/>
      <c r="BW183" s="95">
        <f>IFERROR(__xludf.DUMMYFUNCTION("""COMPUTED_VALUE"""),99.42343326824077)</f>
        <v>99.42343327</v>
      </c>
      <c r="BX183" s="96"/>
      <c r="BY183" s="97"/>
      <c r="BZ183" s="95"/>
      <c r="CA183" s="96"/>
      <c r="CB183" s="97"/>
      <c r="CC183" s="95"/>
      <c r="CD183" s="96"/>
      <c r="CE183" s="97"/>
      <c r="CF183" s="95"/>
      <c r="CG183" s="96"/>
      <c r="CH183" s="96"/>
      <c r="CI183" s="95"/>
      <c r="CJ183" s="96"/>
      <c r="CK183" s="96"/>
      <c r="CL183" s="95"/>
      <c r="CM183" s="96"/>
      <c r="CN183" s="96"/>
      <c r="CO183" s="95"/>
      <c r="CP183" s="96"/>
      <c r="CQ183" s="96"/>
      <c r="CR183" s="95"/>
      <c r="CS183" s="96"/>
      <c r="CT183" s="96"/>
      <c r="CU183" s="95">
        <f>IFERROR(__xludf.DUMMYFUNCTION("""COMPUTED_VALUE"""),348.3076923076923)</f>
        <v>348.3076923</v>
      </c>
      <c r="CV183" s="96"/>
      <c r="CW183" s="97"/>
      <c r="CX183" s="96"/>
      <c r="CY183" s="96"/>
      <c r="CZ183" s="97"/>
      <c r="DA183" s="95"/>
      <c r="DB183" s="96"/>
      <c r="DC183" s="97">
        <f>IFERROR(__xludf.DUMMYFUNCTION("""COMPUTED_VALUE"""),103.37899543378997)</f>
        <v>103.3789954</v>
      </c>
      <c r="DD183" s="95"/>
      <c r="DE183" s="96"/>
      <c r="DF183" s="97"/>
      <c r="DG183" s="95"/>
      <c r="DH183" s="96">
        <f>IFERROR(__xludf.DUMMYFUNCTION("""COMPUTED_VALUE"""),97.16738197424893)</f>
        <v>97.16738197</v>
      </c>
      <c r="DI183" s="97"/>
      <c r="DJ183" s="95"/>
      <c r="DK183" s="96"/>
      <c r="DL183" s="97"/>
      <c r="DM183" s="95"/>
      <c r="DN183" s="96"/>
      <c r="DO183" s="97"/>
      <c r="DP183" s="95"/>
      <c r="DQ183" s="96"/>
      <c r="DR183" s="97"/>
      <c r="DS183" s="95"/>
    </row>
    <row r="184">
      <c r="B184" s="120" t="str">
        <f>IFERROR(__xludf.DUMMYFUNCTION("""COMPUTED_VALUE"""),"ANA3")</f>
        <v>ANA3</v>
      </c>
      <c r="C184" s="88" t="str">
        <f>IFERROR(__xludf.DUMMYFUNCTION("""COMPUTED_VALUE"""),"Icy Cavern")</f>
        <v>Icy Cavern</v>
      </c>
      <c r="D184" s="102">
        <f>IFERROR(__xludf.DUMMYFUNCTION("""COMPUTED_VALUE"""),20.0)</f>
        <v>20</v>
      </c>
      <c r="E184" s="82" t="b">
        <f>IFERROR(__xludf.DUMMYFUNCTION("""COMPUTED_VALUE"""),TRUE)</f>
        <v>1</v>
      </c>
      <c r="F184" s="82" t="str">
        <f>IFERROR(__xludf.DUMMYFUNCTION("""COMPUTED_VALUE"""),"Free Quests- Part 2!A32:J41")</f>
        <v>Free Quests- Part 2!A32:J41</v>
      </c>
      <c r="G184" s="82">
        <f>IFERROR(__xludf.DUMMYFUNCTION("""COMPUTED_VALUE"""),184.0)</f>
        <v>184</v>
      </c>
      <c r="H184" s="82">
        <f>IFERROR(__xludf.DUMMYFUNCTION("""COMPUTED_VALUE"""),238.0)</f>
        <v>238</v>
      </c>
      <c r="I184" s="95"/>
      <c r="J184" s="96"/>
      <c r="K184" s="97"/>
      <c r="L184" s="95"/>
      <c r="M184" s="96"/>
      <c r="N184" s="97"/>
      <c r="O184" s="95"/>
      <c r="P184" s="96"/>
      <c r="Q184" s="97"/>
      <c r="R184" s="95"/>
      <c r="S184" s="96"/>
      <c r="T184" s="97"/>
      <c r="U184" s="95"/>
      <c r="V184" s="96"/>
      <c r="W184" s="97"/>
      <c r="X184" s="95"/>
      <c r="Y184" s="96"/>
      <c r="Z184" s="97"/>
      <c r="AA184" s="95"/>
      <c r="AB184" s="96"/>
      <c r="AC184" s="97"/>
      <c r="AD184" s="95"/>
      <c r="AE184" s="96"/>
      <c r="AF184" s="97"/>
      <c r="AG184" s="95"/>
      <c r="AH184" s="96"/>
      <c r="AI184" s="97"/>
      <c r="AJ184" s="95"/>
      <c r="AK184" s="96">
        <f>IFERROR(__xludf.DUMMYFUNCTION("""COMPUTED_VALUE"""),79.37551942188493)</f>
        <v>79.37551942</v>
      </c>
      <c r="AL184" s="97"/>
      <c r="AM184" s="95"/>
      <c r="AN184" s="96"/>
      <c r="AO184" s="97"/>
      <c r="AP184" s="95"/>
      <c r="AQ184" s="96"/>
      <c r="AR184" s="97"/>
      <c r="AS184" s="95"/>
      <c r="AT184" s="96"/>
      <c r="AU184" s="97"/>
      <c r="AV184" s="95"/>
      <c r="AW184" s="96"/>
      <c r="AX184" s="97"/>
      <c r="AY184" s="95"/>
      <c r="AZ184" s="96">
        <f>IFERROR(__xludf.DUMMYFUNCTION("""COMPUTED_VALUE"""),49.531999156684265)</f>
        <v>49.53199916</v>
      </c>
      <c r="BA184" s="97"/>
      <c r="BB184" s="95"/>
      <c r="BC184" s="96"/>
      <c r="BD184" s="97"/>
      <c r="BE184" s="95"/>
      <c r="BF184" s="96"/>
      <c r="BG184" s="97"/>
      <c r="BH184" s="95"/>
      <c r="BI184" s="96"/>
      <c r="BJ184" s="97"/>
      <c r="BK184" s="95"/>
      <c r="BL184" s="96"/>
      <c r="BM184" s="97"/>
      <c r="BN184" s="95"/>
      <c r="BO184" s="96"/>
      <c r="BP184" s="97"/>
      <c r="BQ184" s="95"/>
      <c r="BR184" s="96"/>
      <c r="BS184" s="97"/>
      <c r="BT184" s="95">
        <f>IFERROR(__xludf.DUMMYFUNCTION("""COMPUTED_VALUE"""),79.9428900211216)</f>
        <v>79.94289002</v>
      </c>
      <c r="BU184" s="96"/>
      <c r="BV184" s="97"/>
      <c r="BW184" s="95"/>
      <c r="BX184" s="96">
        <f>IFERROR(__xludf.DUMMYFUNCTION("""COMPUTED_VALUE"""),99.58774788912132)</f>
        <v>99.58774789</v>
      </c>
      <c r="BY184" s="97"/>
      <c r="BZ184" s="95"/>
      <c r="CA184" s="96"/>
      <c r="CB184" s="97"/>
      <c r="CC184" s="95"/>
      <c r="CD184" s="96"/>
      <c r="CE184" s="97"/>
      <c r="CF184" s="95"/>
      <c r="CG184" s="96"/>
      <c r="CH184" s="96"/>
      <c r="CI184" s="95"/>
      <c r="CJ184" s="96"/>
      <c r="CK184" s="96"/>
      <c r="CL184" s="95"/>
      <c r="CM184" s="96"/>
      <c r="CN184" s="96"/>
      <c r="CO184" s="95"/>
      <c r="CP184" s="96"/>
      <c r="CQ184" s="96"/>
      <c r="CR184" s="95"/>
      <c r="CS184" s="96"/>
      <c r="CT184" s="96"/>
      <c r="CU184" s="95"/>
      <c r="CV184" s="96"/>
      <c r="CW184" s="97">
        <f>IFERROR(__xludf.DUMMYFUNCTION("""COMPUTED_VALUE"""),306.6666666666667)</f>
        <v>306.6666667</v>
      </c>
      <c r="CX184" s="96"/>
      <c r="CY184" s="96"/>
      <c r="CZ184" s="97"/>
      <c r="DA184" s="95"/>
      <c r="DB184" s="96"/>
      <c r="DC184" s="97"/>
      <c r="DD184" s="95"/>
      <c r="DE184" s="96">
        <f>IFERROR(__xludf.DUMMYFUNCTION("""COMPUTED_VALUE"""),153.33333333333334)</f>
        <v>153.3333333</v>
      </c>
      <c r="DF184" s="97"/>
      <c r="DG184" s="95"/>
      <c r="DH184" s="96"/>
      <c r="DI184" s="97">
        <f>IFERROR(__xludf.DUMMYFUNCTION("""COMPUTED_VALUE"""),83.63636363636364)</f>
        <v>83.63636364</v>
      </c>
      <c r="DJ184" s="95"/>
      <c r="DK184" s="96"/>
      <c r="DL184" s="97"/>
      <c r="DM184" s="95"/>
      <c r="DN184" s="96"/>
      <c r="DO184" s="97"/>
      <c r="DP184" s="95"/>
      <c r="DQ184" s="96"/>
      <c r="DR184" s="97"/>
      <c r="DS184" s="95"/>
    </row>
    <row r="185">
      <c r="B185" s="120" t="str">
        <f>IFERROR(__xludf.DUMMYFUNCTION("""COMPUTED_VALUE"""),"ANA4")</f>
        <v>ANA4</v>
      </c>
      <c r="C185" s="88" t="str">
        <f>IFERROR(__xludf.DUMMYFUNCTION("""COMPUTED_VALUE"""),"Rebel Stronghold")</f>
        <v>Rebel Stronghold</v>
      </c>
      <c r="D185" s="102">
        <f>IFERROR(__xludf.DUMMYFUNCTION("""COMPUTED_VALUE"""),21.0)</f>
        <v>21</v>
      </c>
      <c r="E185" s="82" t="b">
        <f>IFERROR(__xludf.DUMMYFUNCTION("""COMPUTED_VALUE"""),TRUE)</f>
        <v>1</v>
      </c>
      <c r="F185" s="82" t="str">
        <f>IFERROR(__xludf.DUMMYFUNCTION("""COMPUTED_VALUE"""),"Free Quests- Part 2!A45:J54")</f>
        <v>Free Quests- Part 2!A45:J54</v>
      </c>
      <c r="G185" s="82">
        <f>IFERROR(__xludf.DUMMYFUNCTION("""COMPUTED_VALUE"""),185.0)</f>
        <v>185</v>
      </c>
      <c r="H185" s="82">
        <f>IFERROR(__xludf.DUMMYFUNCTION("""COMPUTED_VALUE"""),38.0)</f>
        <v>38</v>
      </c>
      <c r="I185" s="95"/>
      <c r="J185" s="96"/>
      <c r="K185" s="97"/>
      <c r="L185" s="95"/>
      <c r="M185" s="96">
        <f>IFERROR(__xludf.DUMMYFUNCTION("""COMPUTED_VALUE"""),96.07701706092767)</f>
        <v>96.07701706</v>
      </c>
      <c r="N185" s="97"/>
      <c r="O185" s="95"/>
      <c r="P185" s="96"/>
      <c r="Q185" s="97"/>
      <c r="R185" s="95"/>
      <c r="S185" s="96"/>
      <c r="T185" s="97"/>
      <c r="U185" s="95"/>
      <c r="V185" s="96"/>
      <c r="W185" s="97"/>
      <c r="X185" s="95"/>
      <c r="Y185" s="96"/>
      <c r="Z185" s="97"/>
      <c r="AA185" s="95"/>
      <c r="AB185" s="96"/>
      <c r="AC185" s="97"/>
      <c r="AD185" s="95"/>
      <c r="AE185" s="96"/>
      <c r="AF185" s="97"/>
      <c r="AG185" s="95"/>
      <c r="AH185" s="96"/>
      <c r="AI185" s="97"/>
      <c r="AJ185" s="95"/>
      <c r="AK185" s="96"/>
      <c r="AL185" s="97"/>
      <c r="AM185" s="95"/>
      <c r="AN185" s="96"/>
      <c r="AO185" s="97"/>
      <c r="AP185" s="95"/>
      <c r="AQ185" s="96"/>
      <c r="AR185" s="97"/>
      <c r="AS185" s="95"/>
      <c r="AT185" s="96"/>
      <c r="AU185" s="97"/>
      <c r="AV185" s="95"/>
      <c r="AW185" s="96"/>
      <c r="AX185" s="97"/>
      <c r="AY185" s="95"/>
      <c r="AZ185" s="96"/>
      <c r="BA185" s="97"/>
      <c r="BB185" s="95"/>
      <c r="BC185" s="96">
        <f>IFERROR(__xludf.DUMMYFUNCTION("""COMPUTED_VALUE"""),50.55694123843902)</f>
        <v>50.55694124</v>
      </c>
      <c r="BD185" s="97"/>
      <c r="BE185" s="95"/>
      <c r="BF185" s="96"/>
      <c r="BG185" s="97"/>
      <c r="BH185" s="95"/>
      <c r="BI185" s="96"/>
      <c r="BJ185" s="97"/>
      <c r="BK185" s="95"/>
      <c r="BL185" s="96"/>
      <c r="BM185" s="97">
        <f>IFERROR(__xludf.DUMMYFUNCTION("""COMPUTED_VALUE"""),258.15412085117924)</f>
        <v>258.1541209</v>
      </c>
      <c r="BN185" s="95"/>
      <c r="BO185" s="96"/>
      <c r="BP185" s="97"/>
      <c r="BQ185" s="95"/>
      <c r="BR185" s="96">
        <f>IFERROR(__xludf.DUMMYFUNCTION("""COMPUTED_VALUE"""),56.59378909685492)</f>
        <v>56.5937891</v>
      </c>
      <c r="BS185" s="97"/>
      <c r="BT185" s="95"/>
      <c r="BU185" s="96"/>
      <c r="BV185" s="97"/>
      <c r="BW185" s="95"/>
      <c r="BX185" s="96"/>
      <c r="BY185" s="97"/>
      <c r="BZ185" s="95"/>
      <c r="CA185" s="96"/>
      <c r="CB185" s="97"/>
      <c r="CC185" s="95"/>
      <c r="CD185" s="96"/>
      <c r="CE185" s="97"/>
      <c r="CF185" s="95"/>
      <c r="CG185" s="96"/>
      <c r="CH185" s="96"/>
      <c r="CI185" s="95"/>
      <c r="CJ185" s="96"/>
      <c r="CK185" s="96"/>
      <c r="CL185" s="95"/>
      <c r="CM185" s="96"/>
      <c r="CN185" s="96"/>
      <c r="CO185" s="95">
        <f>IFERROR(__xludf.DUMMYFUNCTION("""COMPUTED_VALUE"""),521.41402037148)</f>
        <v>521.4140204</v>
      </c>
      <c r="CP185" s="96"/>
      <c r="CQ185" s="96"/>
      <c r="CR185" s="95"/>
      <c r="CS185" s="96"/>
      <c r="CT185" s="96"/>
      <c r="CU185" s="95"/>
      <c r="CV185" s="96"/>
      <c r="CW185" s="97"/>
      <c r="CX185" s="96"/>
      <c r="CY185" s="96"/>
      <c r="CZ185" s="97"/>
      <c r="DA185" s="95"/>
      <c r="DB185" s="96"/>
      <c r="DC185" s="97">
        <f>IFERROR(__xludf.DUMMYFUNCTION("""COMPUTED_VALUE"""),67.2)</f>
        <v>67.2</v>
      </c>
      <c r="DD185" s="95"/>
      <c r="DE185" s="96"/>
      <c r="DF185" s="97"/>
      <c r="DG185" s="95"/>
      <c r="DH185" s="96"/>
      <c r="DI185" s="97"/>
      <c r="DJ185" s="95"/>
      <c r="DK185" s="96"/>
      <c r="DL185" s="97"/>
      <c r="DM185" s="95"/>
      <c r="DN185" s="96"/>
      <c r="DO185" s="97"/>
      <c r="DP185" s="95"/>
      <c r="DQ185" s="96"/>
      <c r="DR185" s="97"/>
      <c r="DS185" s="95"/>
    </row>
    <row r="186">
      <c r="B186" s="120" t="str">
        <f>IFERROR(__xludf.DUMMYFUNCTION("""COMPUTED_VALUE"""),"ANA5")</f>
        <v>ANA5</v>
      </c>
      <c r="C186" s="88" t="str">
        <f>IFERROR(__xludf.DUMMYFUNCTION("""COMPUTED_VALUE"""),"Yaga Sychyovka")</f>
        <v>Yaga Sychyovka</v>
      </c>
      <c r="D186" s="102">
        <f>IFERROR(__xludf.DUMMYFUNCTION("""COMPUTED_VALUE"""),21.0)</f>
        <v>21</v>
      </c>
      <c r="E186" s="82" t="b">
        <f>IFERROR(__xludf.DUMMYFUNCTION("""COMPUTED_VALUE"""),TRUE)</f>
        <v>1</v>
      </c>
      <c r="F186" s="82" t="str">
        <f>IFERROR(__xludf.DUMMYFUNCTION("""COMPUTED_VALUE"""),"Free Quests- Part 2!A58:J67")</f>
        <v>Free Quests- Part 2!A58:J67</v>
      </c>
      <c r="G186" s="82">
        <f>IFERROR(__xludf.DUMMYFUNCTION("""COMPUTED_VALUE"""),186.0)</f>
        <v>186</v>
      </c>
      <c r="H186" s="82">
        <f>IFERROR(__xludf.DUMMYFUNCTION("""COMPUTED_VALUE"""),190.0)</f>
        <v>190</v>
      </c>
      <c r="I186" s="95"/>
      <c r="J186" s="96"/>
      <c r="K186" s="97"/>
      <c r="L186" s="95"/>
      <c r="M186" s="96"/>
      <c r="N186" s="97"/>
      <c r="O186" s="95"/>
      <c r="P186" s="96"/>
      <c r="Q186" s="97"/>
      <c r="R186" s="95"/>
      <c r="S186" s="96"/>
      <c r="T186" s="97"/>
      <c r="U186" s="95"/>
      <c r="V186" s="96"/>
      <c r="W186" s="97"/>
      <c r="X186" s="95"/>
      <c r="Y186" s="96"/>
      <c r="Z186" s="97"/>
      <c r="AA186" s="95">
        <f>IFERROR(__xludf.DUMMYFUNCTION("""COMPUTED_VALUE"""),84.7873583504753)</f>
        <v>84.78735835</v>
      </c>
      <c r="AB186" s="96"/>
      <c r="AC186" s="97"/>
      <c r="AD186" s="95"/>
      <c r="AE186" s="96"/>
      <c r="AF186" s="97"/>
      <c r="AG186" s="95"/>
      <c r="AH186" s="96"/>
      <c r="AI186" s="97"/>
      <c r="AJ186" s="95"/>
      <c r="AK186" s="96"/>
      <c r="AL186" s="97"/>
      <c r="AM186" s="95"/>
      <c r="AN186" s="96"/>
      <c r="AO186" s="97"/>
      <c r="AP186" s="95"/>
      <c r="AQ186" s="96"/>
      <c r="AR186" s="97"/>
      <c r="AS186" s="95"/>
      <c r="AT186" s="96"/>
      <c r="AU186" s="97"/>
      <c r="AV186" s="95"/>
      <c r="AW186" s="96"/>
      <c r="AX186" s="97"/>
      <c r="AY186" s="95"/>
      <c r="AZ186" s="96"/>
      <c r="BA186" s="97"/>
      <c r="BB186" s="95"/>
      <c r="BC186" s="96">
        <f>IFERROR(__xludf.DUMMYFUNCTION("""COMPUTED_VALUE"""),50.73741496268313)</f>
        <v>50.73741496</v>
      </c>
      <c r="BD186" s="97"/>
      <c r="BE186" s="95"/>
      <c r="BF186" s="96"/>
      <c r="BG186" s="97"/>
      <c r="BH186" s="95"/>
      <c r="BI186" s="96"/>
      <c r="BJ186" s="97"/>
      <c r="BK186" s="95"/>
      <c r="BL186" s="96"/>
      <c r="BM186" s="97"/>
      <c r="BN186" s="95"/>
      <c r="BO186" s="96"/>
      <c r="BP186" s="97"/>
      <c r="BQ186" s="95">
        <f>IFERROR(__xludf.DUMMYFUNCTION("""COMPUTED_VALUE"""),102.99466468114846)</f>
        <v>102.9946647</v>
      </c>
      <c r="BR186" s="96"/>
      <c r="BS186" s="97">
        <f>IFERROR(__xludf.DUMMYFUNCTION("""COMPUTED_VALUE"""),83.63486727715312)</f>
        <v>83.63486728</v>
      </c>
      <c r="BT186" s="95"/>
      <c r="BU186" s="96"/>
      <c r="BV186" s="97"/>
      <c r="BW186" s="95"/>
      <c r="BX186" s="96"/>
      <c r="BY186" s="97"/>
      <c r="BZ186" s="95"/>
      <c r="CA186" s="96"/>
      <c r="CB186" s="97"/>
      <c r="CC186" s="95"/>
      <c r="CD186" s="96"/>
      <c r="CE186" s="97"/>
      <c r="CF186" s="95"/>
      <c r="CG186" s="96"/>
      <c r="CH186" s="96"/>
      <c r="CI186" s="95"/>
      <c r="CJ186" s="96"/>
      <c r="CK186" s="96"/>
      <c r="CL186" s="95"/>
      <c r="CM186" s="96"/>
      <c r="CN186" s="96"/>
      <c r="CO186" s="95"/>
      <c r="CP186" s="96"/>
      <c r="CQ186" s="96"/>
      <c r="CR186" s="95"/>
      <c r="CS186" s="96"/>
      <c r="CT186" s="96"/>
      <c r="CU186" s="95"/>
      <c r="CV186" s="96">
        <f>IFERROR(__xludf.DUMMYFUNCTION("""COMPUTED_VALUE"""),399.0)</f>
        <v>399</v>
      </c>
      <c r="CW186" s="97"/>
      <c r="CX186" s="96"/>
      <c r="CY186" s="96"/>
      <c r="CZ186" s="97"/>
      <c r="DA186" s="95"/>
      <c r="DB186" s="96"/>
      <c r="DC186" s="97"/>
      <c r="DD186" s="95">
        <f>IFERROR(__xludf.DUMMYFUNCTION("""COMPUTED_VALUE"""),133.0)</f>
        <v>133</v>
      </c>
      <c r="DE186" s="96"/>
      <c r="DF186" s="97"/>
      <c r="DG186" s="95"/>
      <c r="DH186" s="96"/>
      <c r="DI186" s="97">
        <f>IFERROR(__xludf.DUMMYFUNCTION("""COMPUTED_VALUE"""),88.66666666666667)</f>
        <v>88.66666667</v>
      </c>
      <c r="DJ186" s="95"/>
      <c r="DK186" s="96"/>
      <c r="DL186" s="97"/>
      <c r="DM186" s="95"/>
      <c r="DN186" s="96"/>
      <c r="DO186" s="97"/>
      <c r="DP186" s="95"/>
      <c r="DQ186" s="96"/>
      <c r="DR186" s="97"/>
      <c r="DS186" s="95"/>
    </row>
    <row r="187">
      <c r="B187" s="120" t="str">
        <f>IFERROR(__xludf.DUMMYFUNCTION("""COMPUTED_VALUE"""),"ANA6")</f>
        <v>ANA6</v>
      </c>
      <c r="C187" s="88" t="str">
        <f>IFERROR(__xludf.DUMMYFUNCTION("""COMPUTED_VALUE"""),"Burned Village")</f>
        <v>Burned Village</v>
      </c>
      <c r="D187" s="102">
        <f>IFERROR(__xludf.DUMMYFUNCTION("""COMPUTED_VALUE"""),21.0)</f>
        <v>21</v>
      </c>
      <c r="E187" s="82" t="b">
        <f>IFERROR(__xludf.DUMMYFUNCTION("""COMPUTED_VALUE"""),TRUE)</f>
        <v>1</v>
      </c>
      <c r="F187" s="82" t="str">
        <f>IFERROR(__xludf.DUMMYFUNCTION("""COMPUTED_VALUE"""),"Free Quests- Part 2!A71:J80")</f>
        <v>Free Quests- Part 2!A71:J80</v>
      </c>
      <c r="G187" s="82">
        <f>IFERROR(__xludf.DUMMYFUNCTION("""COMPUTED_VALUE"""),187.0)</f>
        <v>187</v>
      </c>
      <c r="H187" s="82">
        <f>IFERROR(__xludf.DUMMYFUNCTION("""COMPUTED_VALUE"""),2995.0)</f>
        <v>2995</v>
      </c>
      <c r="I187" s="95"/>
      <c r="J187" s="96"/>
      <c r="K187" s="97"/>
      <c r="L187" s="95"/>
      <c r="M187" s="96"/>
      <c r="N187" s="97"/>
      <c r="O187" s="95"/>
      <c r="P187" s="96"/>
      <c r="Q187" s="97"/>
      <c r="R187" s="95"/>
      <c r="S187" s="96"/>
      <c r="T187" s="97"/>
      <c r="U187" s="95"/>
      <c r="V187" s="96"/>
      <c r="W187" s="97"/>
      <c r="X187" s="95"/>
      <c r="Y187" s="96"/>
      <c r="Z187" s="97"/>
      <c r="AA187" s="95"/>
      <c r="AB187" s="96"/>
      <c r="AC187" s="97"/>
      <c r="AD187" s="95"/>
      <c r="AE187" s="96"/>
      <c r="AF187" s="97"/>
      <c r="AG187" s="95"/>
      <c r="AH187" s="96"/>
      <c r="AI187" s="97"/>
      <c r="AJ187" s="95"/>
      <c r="AK187" s="96">
        <f>IFERROR(__xludf.DUMMYFUNCTION("""COMPUTED_VALUE"""),84.36212497397732)</f>
        <v>84.36212497</v>
      </c>
      <c r="AL187" s="97"/>
      <c r="AM187" s="95"/>
      <c r="AN187" s="96"/>
      <c r="AO187" s="97"/>
      <c r="AP187" s="95"/>
      <c r="AQ187" s="96"/>
      <c r="AR187" s="97"/>
      <c r="AS187" s="95"/>
      <c r="AT187" s="96"/>
      <c r="AU187" s="97"/>
      <c r="AV187" s="95"/>
      <c r="AW187" s="96"/>
      <c r="AX187" s="97"/>
      <c r="AY187" s="95"/>
      <c r="AZ187" s="96"/>
      <c r="BA187" s="97"/>
      <c r="BB187" s="95"/>
      <c r="BC187" s="96">
        <f>IFERROR(__xludf.DUMMYFUNCTION("""COMPUTED_VALUE"""),51.928685519661634)</f>
        <v>51.92868552</v>
      </c>
      <c r="BD187" s="97"/>
      <c r="BE187" s="95"/>
      <c r="BF187" s="96"/>
      <c r="BG187" s="97"/>
      <c r="BH187" s="95"/>
      <c r="BI187" s="96"/>
      <c r="BJ187" s="97"/>
      <c r="BK187" s="95"/>
      <c r="BL187" s="96"/>
      <c r="BM187" s="97"/>
      <c r="BN187" s="95"/>
      <c r="BO187" s="96"/>
      <c r="BP187" s="97"/>
      <c r="BQ187" s="95"/>
      <c r="BR187" s="96">
        <f>IFERROR(__xludf.DUMMYFUNCTION("""COMPUTED_VALUE"""),84.11124108331151)</f>
        <v>84.11124108</v>
      </c>
      <c r="BS187" s="97"/>
      <c r="BT187" s="95"/>
      <c r="BU187" s="96"/>
      <c r="BV187" s="97"/>
      <c r="BW187" s="95"/>
      <c r="BX187" s="96">
        <f>IFERROR(__xludf.DUMMYFUNCTION("""COMPUTED_VALUE"""),104.46354399505604)</f>
        <v>104.463544</v>
      </c>
      <c r="BY187" s="97"/>
      <c r="BZ187" s="95"/>
      <c r="CA187" s="96"/>
      <c r="CB187" s="97"/>
      <c r="CC187" s="95"/>
      <c r="CD187" s="96"/>
      <c r="CE187" s="97"/>
      <c r="CF187" s="95"/>
      <c r="CG187" s="96"/>
      <c r="CH187" s="96"/>
      <c r="CI187" s="95"/>
      <c r="CJ187" s="96"/>
      <c r="CK187" s="96"/>
      <c r="CL187" s="95"/>
      <c r="CM187" s="96"/>
      <c r="CN187" s="96"/>
      <c r="CO187" s="95"/>
      <c r="CP187" s="96"/>
      <c r="CQ187" s="96"/>
      <c r="CR187" s="95"/>
      <c r="CS187" s="96"/>
      <c r="CT187" s="96"/>
      <c r="CU187" s="95">
        <f>IFERROR(__xludf.DUMMYFUNCTION("""COMPUTED_VALUE"""),306.0)</f>
        <v>306</v>
      </c>
      <c r="CV187" s="96"/>
      <c r="CW187" s="97"/>
      <c r="CX187" s="96"/>
      <c r="CY187" s="96"/>
      <c r="CZ187" s="97"/>
      <c r="DA187" s="95"/>
      <c r="DB187" s="96"/>
      <c r="DC187" s="97">
        <f>IFERROR(__xludf.DUMMYFUNCTION("""COMPUTED_VALUE"""),109.84615384615385)</f>
        <v>109.8461538</v>
      </c>
      <c r="DD187" s="95"/>
      <c r="DE187" s="96"/>
      <c r="DF187" s="97"/>
      <c r="DG187" s="95"/>
      <c r="DH187" s="96"/>
      <c r="DI187" s="97">
        <f>IFERROR(__xludf.DUMMYFUNCTION("""COMPUTED_VALUE"""),129.8181818181818)</f>
        <v>129.8181818</v>
      </c>
      <c r="DJ187" s="95"/>
      <c r="DK187" s="96"/>
      <c r="DL187" s="97"/>
      <c r="DM187" s="95"/>
      <c r="DN187" s="96"/>
      <c r="DO187" s="97"/>
      <c r="DP187" s="95"/>
      <c r="DQ187" s="96"/>
      <c r="DR187" s="97"/>
      <c r="DS187" s="95"/>
    </row>
    <row r="188">
      <c r="B188" s="120" t="str">
        <f>IFERROR(__xludf.DUMMYFUNCTION("""COMPUTED_VALUE"""),"ANA7")</f>
        <v>ANA7</v>
      </c>
      <c r="C188" s="88" t="str">
        <f>IFERROR(__xludf.DUMMYFUNCTION("""COMPUTED_VALUE"""),"Yaga Vyazma")</f>
        <v>Yaga Vyazma</v>
      </c>
      <c r="D188" s="102">
        <f>IFERROR(__xludf.DUMMYFUNCTION("""COMPUTED_VALUE"""),21.0)</f>
        <v>21</v>
      </c>
      <c r="E188" s="82" t="b">
        <f>IFERROR(__xludf.DUMMYFUNCTION("""COMPUTED_VALUE"""),TRUE)</f>
        <v>1</v>
      </c>
      <c r="F188" s="82" t="str">
        <f>IFERROR(__xludf.DUMMYFUNCTION("""COMPUTED_VALUE"""),"Free Quests- Part 2!A84:J93")</f>
        <v>Free Quests- Part 2!A84:J93</v>
      </c>
      <c r="G188" s="82">
        <f>IFERROR(__xludf.DUMMYFUNCTION("""COMPUTED_VALUE"""),188.0)</f>
        <v>188</v>
      </c>
      <c r="H188" s="82">
        <f>IFERROR(__xludf.DUMMYFUNCTION("""COMPUTED_VALUE"""),72.0)</f>
        <v>72</v>
      </c>
      <c r="I188" s="95"/>
      <c r="J188" s="96"/>
      <c r="K188" s="97"/>
      <c r="L188" s="95"/>
      <c r="M188" s="96"/>
      <c r="N188" s="97"/>
      <c r="O188" s="95"/>
      <c r="P188" s="96"/>
      <c r="Q188" s="97"/>
      <c r="R188" s="95"/>
      <c r="S188" s="96"/>
      <c r="T188" s="97"/>
      <c r="U188" s="95"/>
      <c r="V188" s="96"/>
      <c r="W188" s="97"/>
      <c r="X188" s="95"/>
      <c r="Y188" s="96"/>
      <c r="Z188" s="97"/>
      <c r="AA188" s="95"/>
      <c r="AB188" s="96"/>
      <c r="AC188" s="97"/>
      <c r="AD188" s="95"/>
      <c r="AE188" s="96"/>
      <c r="AF188" s="97"/>
      <c r="AG188" s="95"/>
      <c r="AH188" s="96"/>
      <c r="AI188" s="97"/>
      <c r="AJ188" s="95"/>
      <c r="AK188" s="96"/>
      <c r="AL188" s="97"/>
      <c r="AM188" s="95"/>
      <c r="AN188" s="96"/>
      <c r="AO188" s="97"/>
      <c r="AP188" s="95"/>
      <c r="AQ188" s="96"/>
      <c r="AR188" s="97"/>
      <c r="AS188" s="95"/>
      <c r="AT188" s="96"/>
      <c r="AU188" s="97"/>
      <c r="AV188" s="95"/>
      <c r="AW188" s="96"/>
      <c r="AX188" s="97"/>
      <c r="AY188" s="95"/>
      <c r="AZ188" s="96">
        <f>IFERROR(__xludf.DUMMYFUNCTION("""COMPUTED_VALUE"""),51.85224215072592)</f>
        <v>51.85224215</v>
      </c>
      <c r="BA188" s="97"/>
      <c r="BB188" s="95"/>
      <c r="BC188" s="96">
        <f>IFERROR(__xludf.DUMMYFUNCTION("""COMPUTED_VALUE"""),52.64346434818293)</f>
        <v>52.64346435</v>
      </c>
      <c r="BD188" s="97"/>
      <c r="BE188" s="95"/>
      <c r="BF188" s="96"/>
      <c r="BG188" s="97"/>
      <c r="BH188" s="95"/>
      <c r="BI188" s="96"/>
      <c r="BJ188" s="97"/>
      <c r="BK188" s="95"/>
      <c r="BL188" s="96"/>
      <c r="BM188" s="97"/>
      <c r="BN188" s="95"/>
      <c r="BO188" s="96"/>
      <c r="BP188" s="97"/>
      <c r="BQ188" s="95"/>
      <c r="BR188" s="96"/>
      <c r="BS188" s="97"/>
      <c r="BT188" s="95">
        <f>IFERROR(__xludf.DUMMYFUNCTION("""COMPUTED_VALUE"""),110.4822168825584)</f>
        <v>110.4822169</v>
      </c>
      <c r="BU188" s="96"/>
      <c r="BV188" s="97"/>
      <c r="BW188" s="95">
        <f>IFERROR(__xludf.DUMMYFUNCTION("""COMPUTED_VALUE"""),88.2219961712287)</f>
        <v>88.22199617</v>
      </c>
      <c r="BX188" s="96"/>
      <c r="BY188" s="97"/>
      <c r="BZ188" s="95"/>
      <c r="CA188" s="96"/>
      <c r="CB188" s="97"/>
      <c r="CC188" s="95"/>
      <c r="CD188" s="96"/>
      <c r="CE188" s="97"/>
      <c r="CF188" s="95"/>
      <c r="CG188" s="96"/>
      <c r="CH188" s="96"/>
      <c r="CI188" s="95"/>
      <c r="CJ188" s="96"/>
      <c r="CK188" s="96"/>
      <c r="CL188" s="95"/>
      <c r="CM188" s="96"/>
      <c r="CN188" s="96"/>
      <c r="CO188" s="95"/>
      <c r="CP188" s="96"/>
      <c r="CQ188" s="96"/>
      <c r="CR188" s="95"/>
      <c r="CS188" s="96"/>
      <c r="CT188" s="96"/>
      <c r="CU188" s="95"/>
      <c r="CV188" s="96"/>
      <c r="CW188" s="97"/>
      <c r="CX188" s="96"/>
      <c r="CY188" s="96"/>
      <c r="CZ188" s="97">
        <f>IFERROR(__xludf.DUMMYFUNCTION("""COMPUTED_VALUE"""),252.0)</f>
        <v>252</v>
      </c>
      <c r="DA188" s="95"/>
      <c r="DB188" s="96"/>
      <c r="DC188" s="97"/>
      <c r="DD188" s="95"/>
      <c r="DE188" s="96">
        <f>IFERROR(__xludf.DUMMYFUNCTION("""COMPUTED_VALUE"""),168.0)</f>
        <v>168</v>
      </c>
      <c r="DF188" s="97"/>
      <c r="DG188" s="95"/>
      <c r="DH188" s="96">
        <f>IFERROR(__xludf.DUMMYFUNCTION("""COMPUTED_VALUE"""),126.0)</f>
        <v>126</v>
      </c>
      <c r="DI188" s="97"/>
      <c r="DJ188" s="95"/>
      <c r="DK188" s="96"/>
      <c r="DL188" s="97"/>
      <c r="DM188" s="95"/>
      <c r="DN188" s="96"/>
      <c r="DO188" s="97"/>
      <c r="DP188" s="95"/>
      <c r="DQ188" s="96"/>
      <c r="DR188" s="97"/>
      <c r="DS188" s="95"/>
    </row>
    <row r="189">
      <c r="B189" s="120" t="str">
        <f>IFERROR(__xludf.DUMMYFUNCTION("""COMPUTED_VALUE"""),"ANA8")</f>
        <v>ANA8</v>
      </c>
      <c r="C189" s="88" t="str">
        <f>IFERROR(__xludf.DUMMYFUNCTION("""COMPUTED_VALUE"""),"Yaga Demensk")</f>
        <v>Yaga Demensk</v>
      </c>
      <c r="D189" s="102">
        <f>IFERROR(__xludf.DUMMYFUNCTION("""COMPUTED_VALUE"""),21.0)</f>
        <v>21</v>
      </c>
      <c r="E189" s="82" t="b">
        <f>IFERROR(__xludf.DUMMYFUNCTION("""COMPUTED_VALUE"""),TRUE)</f>
        <v>1</v>
      </c>
      <c r="F189" s="82" t="str">
        <f>IFERROR(__xludf.DUMMYFUNCTION("""COMPUTED_VALUE"""),"Free Quests- Part 2!A97:J106")</f>
        <v>Free Quests- Part 2!A97:J106</v>
      </c>
      <c r="G189" s="82">
        <f>IFERROR(__xludf.DUMMYFUNCTION("""COMPUTED_VALUE"""),189.0)</f>
        <v>189</v>
      </c>
      <c r="H189" s="82">
        <f>IFERROR(__xludf.DUMMYFUNCTION("""COMPUTED_VALUE"""),34.0)</f>
        <v>34</v>
      </c>
      <c r="I189" s="95"/>
      <c r="J189" s="96"/>
      <c r="K189" s="97"/>
      <c r="L189" s="95"/>
      <c r="M189" s="96">
        <f>IFERROR(__xludf.DUMMYFUNCTION("""COMPUTED_VALUE"""),100.09787255962499)</f>
        <v>100.0978726</v>
      </c>
      <c r="N189" s="97"/>
      <c r="O189" s="95"/>
      <c r="P189" s="96"/>
      <c r="Q189" s="97"/>
      <c r="R189" s="95"/>
      <c r="S189" s="96"/>
      <c r="T189" s="97"/>
      <c r="U189" s="95"/>
      <c r="V189" s="96"/>
      <c r="W189" s="97"/>
      <c r="X189" s="95"/>
      <c r="Y189" s="96"/>
      <c r="Z189" s="97"/>
      <c r="AA189" s="95"/>
      <c r="AB189" s="96"/>
      <c r="AC189" s="97"/>
      <c r="AD189" s="95"/>
      <c r="AE189" s="96"/>
      <c r="AF189" s="97"/>
      <c r="AG189" s="95"/>
      <c r="AH189" s="96"/>
      <c r="AI189" s="97"/>
      <c r="AJ189" s="95"/>
      <c r="AK189" s="96"/>
      <c r="AL189" s="97"/>
      <c r="AM189" s="95">
        <f>IFERROR(__xludf.DUMMYFUNCTION("""COMPUTED_VALUE"""),81.18304202450699)</f>
        <v>81.18304202</v>
      </c>
      <c r="AN189" s="96"/>
      <c r="AO189" s="97"/>
      <c r="AP189" s="95"/>
      <c r="AQ189" s="96"/>
      <c r="AR189" s="97"/>
      <c r="AS189" s="95"/>
      <c r="AT189" s="96"/>
      <c r="AU189" s="97"/>
      <c r="AV189" s="95"/>
      <c r="AW189" s="96"/>
      <c r="AX189" s="97"/>
      <c r="AY189" s="95"/>
      <c r="AZ189" s="96"/>
      <c r="BA189" s="97"/>
      <c r="BB189" s="95"/>
      <c r="BC189" s="96"/>
      <c r="BD189" s="97"/>
      <c r="BE189" s="95"/>
      <c r="BF189" s="96"/>
      <c r="BG189" s="97"/>
      <c r="BH189" s="95"/>
      <c r="BI189" s="96"/>
      <c r="BJ189" s="97"/>
      <c r="BK189" s="95"/>
      <c r="BL189" s="96"/>
      <c r="BM189" s="97">
        <f>IFERROR(__xludf.DUMMYFUNCTION("""COMPUTED_VALUE"""),256.4323923024989)</f>
        <v>256.4323923</v>
      </c>
      <c r="BN189" s="95"/>
      <c r="BO189" s="96"/>
      <c r="BP189" s="97">
        <f>IFERROR(__xludf.DUMMYFUNCTION("""COMPUTED_VALUE"""),52.53632415272715)</f>
        <v>52.53632415</v>
      </c>
      <c r="BQ189" s="95"/>
      <c r="BR189" s="96"/>
      <c r="BS189" s="97"/>
      <c r="BT189" s="95"/>
      <c r="BU189" s="96"/>
      <c r="BV189" s="97"/>
      <c r="BW189" s="95"/>
      <c r="BX189" s="96"/>
      <c r="BY189" s="97"/>
      <c r="BZ189" s="95"/>
      <c r="CA189" s="96"/>
      <c r="CB189" s="97"/>
      <c r="CC189" s="95"/>
      <c r="CD189" s="96"/>
      <c r="CE189" s="97"/>
      <c r="CF189" s="95"/>
      <c r="CG189" s="96"/>
      <c r="CH189" s="96"/>
      <c r="CI189" s="95"/>
      <c r="CJ189" s="96"/>
      <c r="CK189" s="96"/>
      <c r="CL189" s="95"/>
      <c r="CM189" s="96"/>
      <c r="CN189" s="96"/>
      <c r="CO189" s="95">
        <f>IFERROR(__xludf.DUMMYFUNCTION("""COMPUTED_VALUE"""),651.3353210452725)</f>
        <v>651.335321</v>
      </c>
      <c r="CP189" s="96"/>
      <c r="CQ189" s="96"/>
      <c r="CR189" s="95"/>
      <c r="CS189" s="96"/>
      <c r="CT189" s="96"/>
      <c r="CU189" s="95"/>
      <c r="CV189" s="96"/>
      <c r="CW189" s="97"/>
      <c r="CX189" s="96"/>
      <c r="CY189" s="96"/>
      <c r="CZ189" s="97">
        <f>IFERROR(__xludf.DUMMYFUNCTION("""COMPUTED_VALUE"""),40.5)</f>
        <v>40.5</v>
      </c>
      <c r="DA189" s="95"/>
      <c r="DB189" s="96"/>
      <c r="DC189" s="97"/>
      <c r="DD189" s="95"/>
      <c r="DE189" s="96"/>
      <c r="DF189" s="97"/>
      <c r="DG189" s="95"/>
      <c r="DH189" s="96"/>
      <c r="DI189" s="97"/>
      <c r="DJ189" s="95"/>
      <c r="DK189" s="96"/>
      <c r="DL189" s="97"/>
      <c r="DM189" s="95"/>
      <c r="DN189" s="96"/>
      <c r="DO189" s="97"/>
      <c r="DP189" s="95"/>
      <c r="DQ189" s="96"/>
      <c r="DR189" s="97"/>
      <c r="DS189" s="95"/>
    </row>
    <row r="190">
      <c r="B190" s="120" t="str">
        <f>IFERROR(__xludf.DUMMYFUNCTION("""COMPUTED_VALUE"""),"ANA9")</f>
        <v>ANA9</v>
      </c>
      <c r="C190" s="88" t="str">
        <f>IFERROR(__xludf.DUMMYFUNCTION("""COMPUTED_VALUE"""),"Yaga Tula")</f>
        <v>Yaga Tula</v>
      </c>
      <c r="D190" s="102">
        <f>IFERROR(__xludf.DUMMYFUNCTION("""COMPUTED_VALUE"""),21.0)</f>
        <v>21</v>
      </c>
      <c r="E190" s="82" t="b">
        <f>IFERROR(__xludf.DUMMYFUNCTION("""COMPUTED_VALUE"""),TRUE)</f>
        <v>1</v>
      </c>
      <c r="F190" s="82" t="str">
        <f>IFERROR(__xludf.DUMMYFUNCTION("""COMPUTED_VALUE"""),"Free Quests- Part 2!A110:J120")</f>
        <v>Free Quests- Part 2!A110:J120</v>
      </c>
      <c r="G190" s="82">
        <f>IFERROR(__xludf.DUMMYFUNCTION("""COMPUTED_VALUE"""),190.0)</f>
        <v>190</v>
      </c>
      <c r="H190" s="82">
        <f>IFERROR(__xludf.DUMMYFUNCTION("""COMPUTED_VALUE"""),450.0)</f>
        <v>450</v>
      </c>
      <c r="I190" s="95"/>
      <c r="J190" s="96"/>
      <c r="K190" s="97"/>
      <c r="L190" s="95"/>
      <c r="M190" s="96"/>
      <c r="N190" s="97"/>
      <c r="O190" s="95"/>
      <c r="P190" s="96"/>
      <c r="Q190" s="97"/>
      <c r="R190" s="95"/>
      <c r="S190" s="96"/>
      <c r="T190" s="97"/>
      <c r="U190" s="95"/>
      <c r="V190" s="96"/>
      <c r="W190" s="97"/>
      <c r="X190" s="95"/>
      <c r="Y190" s="96"/>
      <c r="Z190" s="97"/>
      <c r="AA190" s="95"/>
      <c r="AB190" s="96"/>
      <c r="AC190" s="97"/>
      <c r="AD190" s="95"/>
      <c r="AE190" s="96"/>
      <c r="AF190" s="97"/>
      <c r="AG190" s="95"/>
      <c r="AH190" s="96"/>
      <c r="AI190" s="97"/>
      <c r="AJ190" s="95"/>
      <c r="AK190" s="96"/>
      <c r="AL190" s="97"/>
      <c r="AM190" s="95">
        <f>IFERROR(__xludf.DUMMYFUNCTION("""COMPUTED_VALUE"""),103.97453943883735)</f>
        <v>103.9745394</v>
      </c>
      <c r="AN190" s="96"/>
      <c r="AO190" s="97"/>
      <c r="AP190" s="95"/>
      <c r="AQ190" s="96"/>
      <c r="AR190" s="97"/>
      <c r="AS190" s="95"/>
      <c r="AT190" s="96"/>
      <c r="AU190" s="97"/>
      <c r="AV190" s="95"/>
      <c r="AW190" s="96"/>
      <c r="AX190" s="97">
        <f>IFERROR(__xludf.DUMMYFUNCTION("""COMPUTED_VALUE"""),70.93277662415447)</f>
        <v>70.93277662</v>
      </c>
      <c r="AY190" s="95"/>
      <c r="AZ190" s="96"/>
      <c r="BA190" s="97"/>
      <c r="BB190" s="95"/>
      <c r="BC190" s="96">
        <f>IFERROR(__xludf.DUMMYFUNCTION("""COMPUTED_VALUE"""),69.4865482793484)</f>
        <v>69.48654828</v>
      </c>
      <c r="BD190" s="97"/>
      <c r="BE190" s="95"/>
      <c r="BF190" s="96"/>
      <c r="BG190" s="97"/>
      <c r="BH190" s="95"/>
      <c r="BI190" s="96"/>
      <c r="BJ190" s="97"/>
      <c r="BK190" s="95"/>
      <c r="BL190" s="96"/>
      <c r="BM190" s="97"/>
      <c r="BN190" s="95"/>
      <c r="BO190" s="96"/>
      <c r="BP190" s="97">
        <f>IFERROR(__xludf.DUMMYFUNCTION("""COMPUTED_VALUE"""),84.28033163068231)</f>
        <v>84.28033163</v>
      </c>
      <c r="BQ190" s="95"/>
      <c r="BR190" s="96"/>
      <c r="BS190" s="97">
        <f>IFERROR(__xludf.DUMMYFUNCTION("""COMPUTED_VALUE"""),139.30247266607506)</f>
        <v>139.3024727</v>
      </c>
      <c r="BT190" s="95"/>
      <c r="BU190" s="96"/>
      <c r="BV190" s="97"/>
      <c r="BW190" s="95"/>
      <c r="BX190" s="96"/>
      <c r="BY190" s="97"/>
      <c r="BZ190" s="95"/>
      <c r="CA190" s="96"/>
      <c r="CB190" s="97"/>
      <c r="CC190" s="95"/>
      <c r="CD190" s="96"/>
      <c r="CE190" s="97"/>
      <c r="CF190" s="95"/>
      <c r="CG190" s="96"/>
      <c r="CH190" s="96"/>
      <c r="CI190" s="95"/>
      <c r="CJ190" s="96"/>
      <c r="CK190" s="96"/>
      <c r="CL190" s="95"/>
      <c r="CM190" s="96"/>
      <c r="CN190" s="96"/>
      <c r="CO190" s="95"/>
      <c r="CP190" s="96"/>
      <c r="CQ190" s="96"/>
      <c r="CR190" s="95"/>
      <c r="CS190" s="96"/>
      <c r="CT190" s="96"/>
      <c r="CU190" s="95"/>
      <c r="CV190" s="96"/>
      <c r="CW190" s="97"/>
      <c r="CX190" s="96"/>
      <c r="CY190" s="96"/>
      <c r="CZ190" s="97">
        <f>IFERROR(__xludf.DUMMYFUNCTION("""COMPUTED_VALUE"""),72.33333333333333)</f>
        <v>72.33333333</v>
      </c>
      <c r="DA190" s="95"/>
      <c r="DB190" s="96"/>
      <c r="DC190" s="97"/>
      <c r="DD190" s="95">
        <f>IFERROR(__xludf.DUMMYFUNCTION("""COMPUTED_VALUE"""),139.5)</f>
        <v>139.5</v>
      </c>
      <c r="DE190" s="96"/>
      <c r="DF190" s="97"/>
      <c r="DG190" s="95"/>
      <c r="DH190" s="96"/>
      <c r="DI190" s="97"/>
      <c r="DJ190" s="95"/>
      <c r="DK190" s="96"/>
      <c r="DL190" s="97"/>
      <c r="DM190" s="95"/>
      <c r="DN190" s="96"/>
      <c r="DO190" s="97"/>
      <c r="DP190" s="95"/>
      <c r="DQ190" s="96"/>
      <c r="DR190" s="97"/>
      <c r="DS190" s="95"/>
    </row>
    <row r="191">
      <c r="B191" s="120" t="str">
        <f>IFERROR(__xludf.DUMMYFUNCTION("""COMPUTED_VALUE"""),"ANA10")</f>
        <v>ANA10</v>
      </c>
      <c r="C191" s="88" t="str">
        <f>IFERROR(__xludf.DUMMYFUNCTION("""COMPUTED_VALUE"""),"Crushed Village")</f>
        <v>Crushed Village</v>
      </c>
      <c r="D191" s="102">
        <f>IFERROR(__xludf.DUMMYFUNCTION("""COMPUTED_VALUE"""),21.0)</f>
        <v>21</v>
      </c>
      <c r="E191" s="82" t="b">
        <f>IFERROR(__xludf.DUMMYFUNCTION("""COMPUTED_VALUE"""),TRUE)</f>
        <v>1</v>
      </c>
      <c r="F191" s="82" t="str">
        <f>IFERROR(__xludf.DUMMYFUNCTION("""COMPUTED_VALUE"""),"Free Quests- Part 2!A124:J133")</f>
        <v>Free Quests- Part 2!A124:J133</v>
      </c>
      <c r="G191" s="82">
        <f>IFERROR(__xludf.DUMMYFUNCTION("""COMPUTED_VALUE"""),191.0)</f>
        <v>191</v>
      </c>
      <c r="H191" s="82">
        <f>IFERROR(__xludf.DUMMYFUNCTION("""COMPUTED_VALUE"""),1110.0)</f>
        <v>1110</v>
      </c>
      <c r="I191" s="95"/>
      <c r="J191" s="96"/>
      <c r="K191" s="97"/>
      <c r="L191" s="95"/>
      <c r="M191" s="96"/>
      <c r="N191" s="97"/>
      <c r="O191" s="95"/>
      <c r="P191" s="96"/>
      <c r="Q191" s="97"/>
      <c r="R191" s="95"/>
      <c r="S191" s="96"/>
      <c r="T191" s="97"/>
      <c r="U191" s="95"/>
      <c r="V191" s="96"/>
      <c r="W191" s="97"/>
      <c r="X191" s="95"/>
      <c r="Y191" s="96"/>
      <c r="Z191" s="97"/>
      <c r="AA191" s="95"/>
      <c r="AB191" s="96"/>
      <c r="AC191" s="97"/>
      <c r="AD191" s="95"/>
      <c r="AE191" s="96"/>
      <c r="AF191" s="97"/>
      <c r="AG191" s="95"/>
      <c r="AH191" s="96"/>
      <c r="AI191" s="97"/>
      <c r="AJ191" s="95"/>
      <c r="AK191" s="96">
        <f>IFERROR(__xludf.DUMMYFUNCTION("""COMPUTED_VALUE"""),85.84244330448045)</f>
        <v>85.8424433</v>
      </c>
      <c r="AL191" s="97"/>
      <c r="AM191" s="95">
        <f>IFERROR(__xludf.DUMMYFUNCTION("""COMPUTED_VALUE"""),83.07013560954344)</f>
        <v>83.07013561</v>
      </c>
      <c r="AN191" s="96"/>
      <c r="AO191" s="97"/>
      <c r="AP191" s="95"/>
      <c r="AQ191" s="96"/>
      <c r="AR191" s="97"/>
      <c r="AS191" s="95"/>
      <c r="AT191" s="96"/>
      <c r="AU191" s="97"/>
      <c r="AV191" s="95"/>
      <c r="AW191" s="96"/>
      <c r="AX191" s="97"/>
      <c r="AY191" s="95"/>
      <c r="AZ191" s="96"/>
      <c r="BA191" s="97"/>
      <c r="BB191" s="95"/>
      <c r="BC191" s="96"/>
      <c r="BD191" s="97"/>
      <c r="BE191" s="95"/>
      <c r="BF191" s="96"/>
      <c r="BG191" s="97"/>
      <c r="BH191" s="95"/>
      <c r="BI191" s="96"/>
      <c r="BJ191" s="97"/>
      <c r="BK191" s="95"/>
      <c r="BL191" s="96"/>
      <c r="BM191" s="97"/>
      <c r="BN191" s="95"/>
      <c r="BO191" s="96"/>
      <c r="BP191" s="97">
        <f>IFERROR(__xludf.DUMMYFUNCTION("""COMPUTED_VALUE"""),84.38000814080657)</f>
        <v>84.38000814</v>
      </c>
      <c r="BQ191" s="95"/>
      <c r="BR191" s="96"/>
      <c r="BS191" s="97"/>
      <c r="BT191" s="95"/>
      <c r="BU191" s="96"/>
      <c r="BV191" s="97"/>
      <c r="BW191" s="95"/>
      <c r="BX191" s="96">
        <f>IFERROR(__xludf.DUMMYFUNCTION("""COMPUTED_VALUE"""),103.19095059084691)</f>
        <v>103.1909506</v>
      </c>
      <c r="BY191" s="97"/>
      <c r="BZ191" s="95"/>
      <c r="CA191" s="96"/>
      <c r="CB191" s="97"/>
      <c r="CC191" s="95"/>
      <c r="CD191" s="96"/>
      <c r="CE191" s="97"/>
      <c r="CF191" s="95"/>
      <c r="CG191" s="96"/>
      <c r="CH191" s="96"/>
      <c r="CI191" s="95"/>
      <c r="CJ191" s="96"/>
      <c r="CK191" s="96"/>
      <c r="CL191" s="95"/>
      <c r="CM191" s="96"/>
      <c r="CN191" s="96"/>
      <c r="CO191" s="95"/>
      <c r="CP191" s="96"/>
      <c r="CQ191" s="96"/>
      <c r="CR191" s="95"/>
      <c r="CS191" s="96"/>
      <c r="CT191" s="96"/>
      <c r="CU191" s="95"/>
      <c r="CV191" s="96"/>
      <c r="CW191" s="97"/>
      <c r="CX191" s="96"/>
      <c r="CY191" s="96"/>
      <c r="CZ191" s="97">
        <f>IFERROR(__xludf.DUMMYFUNCTION("""COMPUTED_VALUE"""),81.6375)</f>
        <v>81.6375</v>
      </c>
      <c r="DA191" s="95"/>
      <c r="DB191" s="96"/>
      <c r="DC191" s="97"/>
      <c r="DD191" s="95"/>
      <c r="DE191" s="96"/>
      <c r="DF191" s="97"/>
      <c r="DG191" s="95"/>
      <c r="DH191" s="96"/>
      <c r="DI191" s="97">
        <f>IFERROR(__xludf.DUMMYFUNCTION("""COMPUTED_VALUE"""),125.59615384615385)</f>
        <v>125.5961538</v>
      </c>
      <c r="DJ191" s="95"/>
      <c r="DK191" s="96"/>
      <c r="DL191" s="97"/>
      <c r="DM191" s="95"/>
      <c r="DN191" s="96"/>
      <c r="DO191" s="97"/>
      <c r="DP191" s="95"/>
      <c r="DQ191" s="96"/>
      <c r="DR191" s="97"/>
      <c r="DS191" s="95"/>
    </row>
    <row r="192">
      <c r="B192" s="120" t="str">
        <f>IFERROR(__xludf.DUMMYFUNCTION("""COMPUTED_VALUE"""),"ANA11")</f>
        <v>ANA11</v>
      </c>
      <c r="C192" s="88" t="str">
        <f>IFERROR(__xludf.DUMMYFUNCTION("""COMPUTED_VALUE"""),"Yaga Moscow")</f>
        <v>Yaga Moscow</v>
      </c>
      <c r="D192" s="102">
        <f>IFERROR(__xludf.DUMMYFUNCTION("""COMPUTED_VALUE"""),21.0)</f>
        <v>21</v>
      </c>
      <c r="E192" s="82" t="b">
        <f>IFERROR(__xludf.DUMMYFUNCTION("""COMPUTED_VALUE"""),TRUE)</f>
        <v>1</v>
      </c>
      <c r="F192" s="82" t="str">
        <f>IFERROR(__xludf.DUMMYFUNCTION("""COMPUTED_VALUE"""),"Free Quests- Part 2!A137:J142")</f>
        <v>Free Quests- Part 2!A137:J142</v>
      </c>
      <c r="G192" s="82">
        <f>IFERROR(__xludf.DUMMYFUNCTION("""COMPUTED_VALUE"""),192.0)</f>
        <v>192</v>
      </c>
      <c r="H192" s="82">
        <f>IFERROR(__xludf.DUMMYFUNCTION("""COMPUTED_VALUE"""),2765.0)</f>
        <v>2765</v>
      </c>
      <c r="I192" s="95"/>
      <c r="J192" s="96"/>
      <c r="K192" s="97"/>
      <c r="L192" s="95"/>
      <c r="M192" s="96"/>
      <c r="N192" s="97"/>
      <c r="O192" s="95"/>
      <c r="P192" s="96"/>
      <c r="Q192" s="97"/>
      <c r="R192" s="95"/>
      <c r="S192" s="96"/>
      <c r="T192" s="97"/>
      <c r="U192" s="95"/>
      <c r="V192" s="96"/>
      <c r="W192" s="97"/>
      <c r="X192" s="95"/>
      <c r="Y192" s="96"/>
      <c r="Z192" s="97"/>
      <c r="AA192" s="95"/>
      <c r="AB192" s="96"/>
      <c r="AC192" s="97"/>
      <c r="AD192" s="95"/>
      <c r="AE192" s="96"/>
      <c r="AF192" s="97"/>
      <c r="AG192" s="95"/>
      <c r="AH192" s="96"/>
      <c r="AI192" s="97"/>
      <c r="AJ192" s="95"/>
      <c r="AK192" s="96"/>
      <c r="AL192" s="97"/>
      <c r="AM192" s="95">
        <f>IFERROR(__xludf.DUMMYFUNCTION("""COMPUTED_VALUE"""),46.3587963988131)</f>
        <v>46.3587964</v>
      </c>
      <c r="AN192" s="96"/>
      <c r="AO192" s="97"/>
      <c r="AP192" s="95"/>
      <c r="AQ192" s="96"/>
      <c r="AR192" s="97"/>
      <c r="AS192" s="95"/>
      <c r="AT192" s="96"/>
      <c r="AU192" s="97"/>
      <c r="AV192" s="95"/>
      <c r="AW192" s="96"/>
      <c r="AX192" s="97"/>
      <c r="AY192" s="95"/>
      <c r="AZ192" s="96"/>
      <c r="BA192" s="97"/>
      <c r="BB192" s="95"/>
      <c r="BC192" s="96"/>
      <c r="BD192" s="97"/>
      <c r="BE192" s="95"/>
      <c r="BF192" s="96"/>
      <c r="BG192" s="97"/>
      <c r="BH192" s="95"/>
      <c r="BI192" s="96"/>
      <c r="BJ192" s="97"/>
      <c r="BK192" s="95"/>
      <c r="BL192" s="96"/>
      <c r="BM192" s="97"/>
      <c r="BN192" s="95"/>
      <c r="BO192" s="96"/>
      <c r="BP192" s="97">
        <f>IFERROR(__xludf.DUMMYFUNCTION("""COMPUTED_VALUE"""),45.154267020903525)</f>
        <v>45.15426702</v>
      </c>
      <c r="BQ192" s="95"/>
      <c r="BR192" s="96"/>
      <c r="BS192" s="97"/>
      <c r="BT192" s="95"/>
      <c r="BU192" s="96"/>
      <c r="BV192" s="97"/>
      <c r="BW192" s="95"/>
      <c r="BX192" s="96"/>
      <c r="BY192" s="97"/>
      <c r="BZ192" s="95"/>
      <c r="CA192" s="96"/>
      <c r="CB192" s="97"/>
      <c r="CC192" s="95"/>
      <c r="CD192" s="96"/>
      <c r="CE192" s="97"/>
      <c r="CF192" s="95"/>
      <c r="CG192" s="96"/>
      <c r="CH192" s="96"/>
      <c r="CI192" s="95"/>
      <c r="CJ192" s="96"/>
      <c r="CK192" s="96"/>
      <c r="CL192" s="95"/>
      <c r="CM192" s="96"/>
      <c r="CN192" s="96"/>
      <c r="CO192" s="95"/>
      <c r="CP192" s="96"/>
      <c r="CQ192" s="96"/>
      <c r="CR192" s="95"/>
      <c r="CS192" s="96"/>
      <c r="CT192" s="96"/>
      <c r="CU192" s="95"/>
      <c r="CV192" s="96"/>
      <c r="CW192" s="97"/>
      <c r="CX192" s="96"/>
      <c r="CY192" s="96"/>
      <c r="CZ192" s="97">
        <f>IFERROR(__xludf.DUMMYFUNCTION("""COMPUTED_VALUE"""),47.068965517241374)</f>
        <v>47.06896552</v>
      </c>
      <c r="DA192" s="95"/>
      <c r="DB192" s="96"/>
      <c r="DC192" s="97"/>
      <c r="DD192" s="95"/>
      <c r="DE192" s="96"/>
      <c r="DF192" s="97"/>
      <c r="DG192" s="95"/>
      <c r="DH192" s="96"/>
      <c r="DI192" s="97"/>
      <c r="DJ192" s="95"/>
      <c r="DK192" s="96"/>
      <c r="DL192" s="97"/>
      <c r="DM192" s="95"/>
      <c r="DN192" s="96"/>
      <c r="DO192" s="97"/>
      <c r="DP192" s="95"/>
      <c r="DQ192" s="96"/>
      <c r="DR192" s="97"/>
      <c r="DS192" s="95"/>
    </row>
    <row r="193">
      <c r="B193" s="120" t="str">
        <f>IFERROR(__xludf.DUMMYFUNCTION("""COMPUTED_VALUE"""),"ANA12")</f>
        <v>ANA12</v>
      </c>
      <c r="C193" s="88" t="str">
        <f>IFERROR(__xludf.DUMMYFUNCTION("""COMPUTED_VALUE"""),"Strath Stronghold")</f>
        <v>Strath Stronghold</v>
      </c>
      <c r="D193" s="102">
        <f>IFERROR(__xludf.DUMMYFUNCTION("""COMPUTED_VALUE"""),21.0)</f>
        <v>21</v>
      </c>
      <c r="E193" s="82" t="b">
        <f>IFERROR(__xludf.DUMMYFUNCTION("""COMPUTED_VALUE"""),TRUE)</f>
        <v>1</v>
      </c>
      <c r="F193" s="82" t="str">
        <f>IFERROR(__xludf.DUMMYFUNCTION("""COMPUTED_VALUE"""),"Free Quests- Part 2!A146:J156")</f>
        <v>Free Quests- Part 2!A146:J156</v>
      </c>
      <c r="G193" s="82">
        <f>IFERROR(__xludf.DUMMYFUNCTION("""COMPUTED_VALUE"""),193.0)</f>
        <v>193</v>
      </c>
      <c r="H193" s="82">
        <f>IFERROR(__xludf.DUMMYFUNCTION("""COMPUTED_VALUE"""),33.0)</f>
        <v>33</v>
      </c>
      <c r="I193" s="95"/>
      <c r="J193" s="96"/>
      <c r="K193" s="97"/>
      <c r="L193" s="95"/>
      <c r="M193" s="96"/>
      <c r="N193" s="97"/>
      <c r="O193" s="95"/>
      <c r="P193" s="96"/>
      <c r="Q193" s="97"/>
      <c r="R193" s="95"/>
      <c r="S193" s="96"/>
      <c r="T193" s="97">
        <f>IFERROR(__xludf.DUMMYFUNCTION("""COMPUTED_VALUE"""),207.96899114718974)</f>
        <v>207.9689911</v>
      </c>
      <c r="U193" s="95"/>
      <c r="V193" s="96"/>
      <c r="W193" s="97"/>
      <c r="X193" s="95"/>
      <c r="Y193" s="96"/>
      <c r="Z193" s="97"/>
      <c r="AA193" s="95"/>
      <c r="AB193" s="96"/>
      <c r="AC193" s="97"/>
      <c r="AD193" s="95"/>
      <c r="AE193" s="96"/>
      <c r="AF193" s="97"/>
      <c r="AG193" s="95"/>
      <c r="AH193" s="96"/>
      <c r="AI193" s="97"/>
      <c r="AJ193" s="95"/>
      <c r="AK193" s="96"/>
      <c r="AL193" s="97"/>
      <c r="AM193" s="95"/>
      <c r="AN193" s="96"/>
      <c r="AO193" s="97"/>
      <c r="AP193" s="95"/>
      <c r="AQ193" s="96"/>
      <c r="AR193" s="97"/>
      <c r="AS193" s="95"/>
      <c r="AT193" s="96"/>
      <c r="AU193" s="97"/>
      <c r="AV193" s="95"/>
      <c r="AW193" s="96"/>
      <c r="AX193" s="97">
        <f>IFERROR(__xludf.DUMMYFUNCTION("""COMPUTED_VALUE"""),71.19891037396908)</f>
        <v>71.19891037</v>
      </c>
      <c r="AY193" s="95"/>
      <c r="AZ193" s="96"/>
      <c r="BA193" s="97"/>
      <c r="BB193" s="95"/>
      <c r="BC193" s="96">
        <f>IFERROR(__xludf.DUMMYFUNCTION("""COMPUTED_VALUE"""),73.61893344143243)</f>
        <v>73.61893344</v>
      </c>
      <c r="BD193" s="97"/>
      <c r="BE193" s="95"/>
      <c r="BF193" s="96"/>
      <c r="BG193" s="97"/>
      <c r="BH193" s="95"/>
      <c r="BI193" s="96">
        <f>IFERROR(__xludf.DUMMYFUNCTION("""COMPUTED_VALUE"""),512.4173903497864)</f>
        <v>512.4173903</v>
      </c>
      <c r="BJ193" s="97"/>
      <c r="BK193" s="95"/>
      <c r="BL193" s="96"/>
      <c r="BM193" s="97"/>
      <c r="BN193" s="95"/>
      <c r="BO193" s="96"/>
      <c r="BP193" s="97"/>
      <c r="BQ193" s="95"/>
      <c r="BR193" s="96"/>
      <c r="BS193" s="97"/>
      <c r="BT193" s="95"/>
      <c r="BU193" s="96"/>
      <c r="BV193" s="97"/>
      <c r="BW193" s="95">
        <f>IFERROR(__xludf.DUMMYFUNCTION("""COMPUTED_VALUE"""),71.38764139721404)</f>
        <v>71.3876414</v>
      </c>
      <c r="BX193" s="96"/>
      <c r="BY193" s="97"/>
      <c r="BZ193" s="95"/>
      <c r="CA193" s="96"/>
      <c r="CB193" s="97"/>
      <c r="CC193" s="95"/>
      <c r="CD193" s="96"/>
      <c r="CE193" s="97"/>
      <c r="CF193" s="95"/>
      <c r="CG193" s="96"/>
      <c r="CH193" s="96"/>
      <c r="CI193" s="95"/>
      <c r="CJ193" s="96"/>
      <c r="CK193" s="96"/>
      <c r="CL193" s="95"/>
      <c r="CM193" s="96"/>
      <c r="CN193" s="96"/>
      <c r="CO193" s="95"/>
      <c r="CP193" s="96"/>
      <c r="CQ193" s="96"/>
      <c r="CR193" s="95">
        <f>IFERROR(__xludf.DUMMYFUNCTION("""COMPUTED_VALUE"""),567.0)</f>
        <v>567</v>
      </c>
      <c r="CS193" s="96"/>
      <c r="CT193" s="96"/>
      <c r="CU193" s="95"/>
      <c r="CV193" s="96"/>
      <c r="CW193" s="97"/>
      <c r="CX193" s="96"/>
      <c r="CY193" s="96"/>
      <c r="CZ193" s="97"/>
      <c r="DA193" s="95">
        <f>IFERROR(__xludf.DUMMYFUNCTION("""COMPUTED_VALUE"""),81.0)</f>
        <v>81</v>
      </c>
      <c r="DB193" s="96"/>
      <c r="DC193" s="97"/>
      <c r="DD193" s="95"/>
      <c r="DE193" s="96"/>
      <c r="DF193" s="97"/>
      <c r="DG193" s="95"/>
      <c r="DH193" s="96">
        <f>IFERROR(__xludf.DUMMYFUNCTION("""COMPUTED_VALUE"""),51.54545454545455)</f>
        <v>51.54545455</v>
      </c>
      <c r="DI193" s="97"/>
      <c r="DJ193" s="95"/>
      <c r="DK193" s="96"/>
      <c r="DL193" s="97"/>
      <c r="DM193" s="95"/>
      <c r="DN193" s="96"/>
      <c r="DO193" s="97"/>
      <c r="DP193" s="95"/>
      <c r="DQ193" s="96"/>
      <c r="DR193" s="97"/>
      <c r="DS193" s="95"/>
    </row>
    <row r="194">
      <c r="B194" s="120" t="str">
        <f>IFERROR(__xludf.DUMMYFUNCTION("""COMPUTED_VALUE"""),"ANA13")</f>
        <v>ANA13</v>
      </c>
      <c r="C194" s="88" t="str">
        <f>IFERROR(__xludf.DUMMYFUNCTION("""COMPUTED_VALUE"""),"Base of the Great Tree")</f>
        <v>Base of the Great Tree</v>
      </c>
      <c r="D194" s="102">
        <f>IFERROR(__xludf.DUMMYFUNCTION("""COMPUTED_VALUE"""),21.0)</f>
        <v>21</v>
      </c>
      <c r="E194" s="82" t="b">
        <f>IFERROR(__xludf.DUMMYFUNCTION("""COMPUTED_VALUE"""),TRUE)</f>
        <v>1</v>
      </c>
      <c r="F194" s="82" t="str">
        <f>IFERROR(__xludf.DUMMYFUNCTION("""COMPUTED_VALUE"""),"Free Quests- Part 2!A160:J171")</f>
        <v>Free Quests- Part 2!A160:J171</v>
      </c>
      <c r="G194" s="82">
        <f>IFERROR(__xludf.DUMMYFUNCTION("""COMPUTED_VALUE"""),194.0)</f>
        <v>194</v>
      </c>
      <c r="H194" s="82">
        <f>IFERROR(__xludf.DUMMYFUNCTION("""COMPUTED_VALUE"""),36.0)</f>
        <v>36</v>
      </c>
      <c r="I194" s="95"/>
      <c r="J194" s="96"/>
      <c r="K194" s="97"/>
      <c r="L194" s="95"/>
      <c r="M194" s="96"/>
      <c r="N194" s="97"/>
      <c r="O194" s="95"/>
      <c r="P194" s="96"/>
      <c r="Q194" s="97"/>
      <c r="R194" s="95"/>
      <c r="S194" s="96"/>
      <c r="T194" s="97"/>
      <c r="U194" s="95"/>
      <c r="V194" s="96"/>
      <c r="W194" s="97"/>
      <c r="X194" s="95"/>
      <c r="Y194" s="96"/>
      <c r="Z194" s="97"/>
      <c r="AA194" s="95"/>
      <c r="AB194" s="96"/>
      <c r="AC194" s="97"/>
      <c r="AD194" s="95"/>
      <c r="AE194" s="96"/>
      <c r="AF194" s="97"/>
      <c r="AG194" s="95"/>
      <c r="AH194" s="96"/>
      <c r="AI194" s="97"/>
      <c r="AJ194" s="95"/>
      <c r="AK194" s="96"/>
      <c r="AL194" s="97"/>
      <c r="AM194" s="95">
        <f>IFERROR(__xludf.DUMMYFUNCTION("""COMPUTED_VALUE"""),105.08389018012782)</f>
        <v>105.0838902</v>
      </c>
      <c r="AN194" s="96"/>
      <c r="AO194" s="97"/>
      <c r="AP194" s="95"/>
      <c r="AQ194" s="96"/>
      <c r="AR194" s="97"/>
      <c r="AS194" s="95"/>
      <c r="AT194" s="96"/>
      <c r="AU194" s="97"/>
      <c r="AV194" s="95"/>
      <c r="AW194" s="96"/>
      <c r="AX194" s="97">
        <f>IFERROR(__xludf.DUMMYFUNCTION("""COMPUTED_VALUE"""),69.97968511934992)</f>
        <v>69.97968512</v>
      </c>
      <c r="AY194" s="95"/>
      <c r="AZ194" s="96">
        <f>IFERROR(__xludf.DUMMYFUNCTION("""COMPUTED_VALUE"""),71.36839052081643)</f>
        <v>71.36839052</v>
      </c>
      <c r="BA194" s="97"/>
      <c r="BB194" s="95"/>
      <c r="BC194" s="96"/>
      <c r="BD194" s="97"/>
      <c r="BE194" s="95"/>
      <c r="BF194" s="96"/>
      <c r="BG194" s="97"/>
      <c r="BH194" s="95"/>
      <c r="BI194" s="96"/>
      <c r="BJ194" s="97"/>
      <c r="BK194" s="95"/>
      <c r="BL194" s="96"/>
      <c r="BM194" s="97"/>
      <c r="BN194" s="95"/>
      <c r="BO194" s="96"/>
      <c r="BP194" s="97">
        <f>IFERROR(__xludf.DUMMYFUNCTION("""COMPUTED_VALUE"""),107.79888125117796)</f>
        <v>107.7988813</v>
      </c>
      <c r="BQ194" s="95"/>
      <c r="BR194" s="96"/>
      <c r="BS194" s="97"/>
      <c r="BT194" s="95">
        <f>IFERROR(__xludf.DUMMYFUNCTION("""COMPUTED_VALUE"""),99.52468462786129)</f>
        <v>99.52468463</v>
      </c>
      <c r="BU194" s="96"/>
      <c r="BV194" s="97"/>
      <c r="BW194" s="95"/>
      <c r="BX194" s="96"/>
      <c r="BY194" s="97"/>
      <c r="BZ194" s="95"/>
      <c r="CA194" s="96"/>
      <c r="CB194" s="97"/>
      <c r="CC194" s="95"/>
      <c r="CD194" s="96"/>
      <c r="CE194" s="97"/>
      <c r="CF194" s="95"/>
      <c r="CG194" s="96"/>
      <c r="CH194" s="96"/>
      <c r="CI194" s="95"/>
      <c r="CJ194" s="96"/>
      <c r="CK194" s="96"/>
      <c r="CL194" s="95"/>
      <c r="CM194" s="96"/>
      <c r="CN194" s="96"/>
      <c r="CO194" s="95"/>
      <c r="CP194" s="96"/>
      <c r="CQ194" s="96"/>
      <c r="CR194" s="95"/>
      <c r="CS194" s="96"/>
      <c r="CT194" s="96"/>
      <c r="CU194" s="95"/>
      <c r="CV194" s="96"/>
      <c r="CW194" s="97"/>
      <c r="CX194" s="96"/>
      <c r="CY194" s="96">
        <f>IFERROR(__xludf.DUMMYFUNCTION("""COMPUTED_VALUE"""),78.75)</f>
        <v>78.75</v>
      </c>
      <c r="CZ194" s="97">
        <f>IFERROR(__xludf.DUMMYFUNCTION("""COMPUTED_VALUE"""),105.0)</f>
        <v>105</v>
      </c>
      <c r="DA194" s="95"/>
      <c r="DB194" s="96"/>
      <c r="DC194" s="97"/>
      <c r="DD194" s="95"/>
      <c r="DE194" s="96">
        <f>IFERROR(__xludf.DUMMYFUNCTION("""COMPUTED_VALUE"""),90.0)</f>
        <v>90</v>
      </c>
      <c r="DF194" s="97"/>
      <c r="DG194" s="95"/>
      <c r="DH194" s="96"/>
      <c r="DI194" s="97"/>
      <c r="DJ194" s="95"/>
      <c r="DK194" s="96"/>
      <c r="DL194" s="97"/>
      <c r="DM194" s="95"/>
      <c r="DN194" s="96"/>
      <c r="DO194" s="97"/>
      <c r="DP194" s="95"/>
      <c r="DQ194" s="96"/>
      <c r="DR194" s="97"/>
      <c r="DS194" s="95"/>
    </row>
    <row r="195">
      <c r="B195" s="120" t="str">
        <f>IFERROR(__xludf.DUMMYFUNCTION("""COMPUTED_VALUE"""),"ANA14")</f>
        <v>ANA14</v>
      </c>
      <c r="C195" s="88" t="str">
        <f>IFERROR(__xludf.DUMMYFUNCTION("""COMPUTED_VALUE"""),"Yaga Ryazan")</f>
        <v>Yaga Ryazan</v>
      </c>
      <c r="D195" s="102">
        <f>IFERROR(__xludf.DUMMYFUNCTION("""COMPUTED_VALUE"""),21.0)</f>
        <v>21</v>
      </c>
      <c r="E195" s="82" t="b">
        <f>IFERROR(__xludf.DUMMYFUNCTION("""COMPUTED_VALUE"""),TRUE)</f>
        <v>1</v>
      </c>
      <c r="F195" s="82" t="str">
        <f>IFERROR(__xludf.DUMMYFUNCTION("""COMPUTED_VALUE"""),"Free Quests- Part 2!A175:J184")</f>
        <v>Free Quests- Part 2!A175:J184</v>
      </c>
      <c r="G195" s="82">
        <f>IFERROR(__xludf.DUMMYFUNCTION("""COMPUTED_VALUE"""),195.0)</f>
        <v>195</v>
      </c>
      <c r="H195" s="82">
        <f>IFERROR(__xludf.DUMMYFUNCTION("""COMPUTED_VALUE"""),164.0)</f>
        <v>164</v>
      </c>
      <c r="I195" s="95">
        <f>IFERROR(__xludf.DUMMYFUNCTION("""COMPUTED_VALUE"""),101.95781987719283)</f>
        <v>101.9578199</v>
      </c>
      <c r="J195" s="96"/>
      <c r="K195" s="97"/>
      <c r="L195" s="95"/>
      <c r="M195" s="96"/>
      <c r="N195" s="97"/>
      <c r="O195" s="95"/>
      <c r="P195" s="96"/>
      <c r="Q195" s="97"/>
      <c r="R195" s="95"/>
      <c r="S195" s="96"/>
      <c r="T195" s="97"/>
      <c r="U195" s="95"/>
      <c r="V195" s="96"/>
      <c r="W195" s="97"/>
      <c r="X195" s="95"/>
      <c r="Y195" s="96"/>
      <c r="Z195" s="97"/>
      <c r="AA195" s="95"/>
      <c r="AB195" s="96"/>
      <c r="AC195" s="97"/>
      <c r="AD195" s="95"/>
      <c r="AE195" s="96"/>
      <c r="AF195" s="97"/>
      <c r="AG195" s="95"/>
      <c r="AH195" s="96"/>
      <c r="AI195" s="97"/>
      <c r="AJ195" s="95"/>
      <c r="AK195" s="96"/>
      <c r="AL195" s="97"/>
      <c r="AM195" s="95">
        <f>IFERROR(__xludf.DUMMYFUNCTION("""COMPUTED_VALUE"""),84.15336735964149)</f>
        <v>84.15336736</v>
      </c>
      <c r="AN195" s="96"/>
      <c r="AO195" s="97"/>
      <c r="AP195" s="95"/>
      <c r="AQ195" s="96"/>
      <c r="AR195" s="97"/>
      <c r="AS195" s="95"/>
      <c r="AT195" s="96"/>
      <c r="AU195" s="97"/>
      <c r="AV195" s="95"/>
      <c r="AW195" s="96"/>
      <c r="AX195" s="97"/>
      <c r="AY195" s="95"/>
      <c r="AZ195" s="96"/>
      <c r="BA195" s="97"/>
      <c r="BB195" s="95"/>
      <c r="BC195" s="96"/>
      <c r="BD195" s="97"/>
      <c r="BE195" s="95"/>
      <c r="BF195" s="96"/>
      <c r="BG195" s="97"/>
      <c r="BH195" s="95"/>
      <c r="BI195" s="96"/>
      <c r="BJ195" s="97">
        <f>IFERROR(__xludf.DUMMYFUNCTION("""COMPUTED_VALUE"""),658.1173355144512)</f>
        <v>658.1173355</v>
      </c>
      <c r="BK195" s="95"/>
      <c r="BL195" s="96"/>
      <c r="BM195" s="97"/>
      <c r="BN195" s="95"/>
      <c r="BO195" s="96"/>
      <c r="BP195" s="97">
        <f>IFERROR(__xludf.DUMMYFUNCTION("""COMPUTED_VALUE"""),59.62815786085435)</f>
        <v>59.62815786</v>
      </c>
      <c r="BQ195" s="95"/>
      <c r="BR195" s="96"/>
      <c r="BS195" s="97"/>
      <c r="BT195" s="95"/>
      <c r="BU195" s="96"/>
      <c r="BV195" s="97"/>
      <c r="BW195" s="95"/>
      <c r="BX195" s="96"/>
      <c r="BY195" s="97"/>
      <c r="BZ195" s="95"/>
      <c r="CA195" s="96"/>
      <c r="CB195" s="97"/>
      <c r="CC195" s="95"/>
      <c r="CD195" s="96"/>
      <c r="CE195" s="97"/>
      <c r="CF195" s="95"/>
      <c r="CG195" s="96"/>
      <c r="CH195" s="96"/>
      <c r="CI195" s="95"/>
      <c r="CJ195" s="96"/>
      <c r="CK195" s="96"/>
      <c r="CL195" s="95"/>
      <c r="CM195" s="96"/>
      <c r="CN195" s="96"/>
      <c r="CO195" s="95"/>
      <c r="CP195" s="96"/>
      <c r="CQ195" s="96"/>
      <c r="CR195" s="95"/>
      <c r="CS195" s="96">
        <f>IFERROR(__xludf.DUMMYFUNCTION("""COMPUTED_VALUE"""),714.0)</f>
        <v>714</v>
      </c>
      <c r="CT195" s="96"/>
      <c r="CU195" s="95"/>
      <c r="CV195" s="96"/>
      <c r="CW195" s="97"/>
      <c r="CX195" s="96"/>
      <c r="CY195" s="96"/>
      <c r="CZ195" s="97">
        <f>IFERROR(__xludf.DUMMYFUNCTION("""COMPUTED_VALUE"""),102.0)</f>
        <v>102</v>
      </c>
      <c r="DA195" s="95"/>
      <c r="DB195" s="96"/>
      <c r="DC195" s="97"/>
      <c r="DD195" s="95"/>
      <c r="DE195" s="96"/>
      <c r="DF195" s="97"/>
      <c r="DG195" s="95"/>
      <c r="DH195" s="96"/>
      <c r="DI195" s="97"/>
      <c r="DJ195" s="95"/>
      <c r="DK195" s="96"/>
      <c r="DL195" s="97"/>
      <c r="DM195" s="95"/>
      <c r="DN195" s="96"/>
      <c r="DO195" s="97"/>
      <c r="DP195" s="95"/>
      <c r="DQ195" s="96"/>
      <c r="DR195" s="97"/>
      <c r="DS195" s="95"/>
    </row>
    <row r="196" ht="16.5" customHeight="1">
      <c r="A196" s="173" t="str">
        <f>IFERROR(__xludf.DUMMYFUNCTION("""COMPUTED_VALUE"""),"GÖTTERDÄMMERUNG")</f>
        <v>GÖTTERDÄMMERUNG</v>
      </c>
      <c r="B196" s="120" t="str">
        <f>IFERROR(__xludf.DUMMYFUNCTION("""COMPUTED_VALUE"""),"GTT1")</f>
        <v>GTT1</v>
      </c>
      <c r="C196" s="88" t="str">
        <f>IFERROR(__xludf.DUMMYFUNCTION("""COMPUTED_VALUE"""),"Landing Point")</f>
        <v>Landing Point</v>
      </c>
      <c r="D196" s="102">
        <f>IFERROR(__xludf.DUMMYFUNCTION("""COMPUTED_VALUE"""),20.0)</f>
        <v>20</v>
      </c>
      <c r="E196" s="82" t="b">
        <f>IFERROR(__xludf.DUMMYFUNCTION("""COMPUTED_VALUE"""),TRUE)</f>
        <v>1</v>
      </c>
      <c r="F196" s="82" t="str">
        <f>IFERROR(__xludf.DUMMYFUNCTION("""COMPUTED_VALUE"""),"Free Quests- Part 2!A190:J202")</f>
        <v>Free Quests- Part 2!A190:J202</v>
      </c>
      <c r="G196" s="82">
        <f>IFERROR(__xludf.DUMMYFUNCTION("""COMPUTED_VALUE"""),196.0)</f>
        <v>196</v>
      </c>
      <c r="H196" s="82">
        <f>IFERROR(__xludf.DUMMYFUNCTION("""COMPUTED_VALUE"""),52.0)</f>
        <v>52</v>
      </c>
      <c r="I196" s="95"/>
      <c r="J196" s="96"/>
      <c r="K196" s="97"/>
      <c r="L196" s="95"/>
      <c r="M196" s="96"/>
      <c r="N196" s="97"/>
      <c r="O196" s="95"/>
      <c r="P196" s="96"/>
      <c r="Q196" s="97"/>
      <c r="R196" s="95">
        <f>IFERROR(__xludf.DUMMYFUNCTION("""COMPUTED_VALUE"""),165.33883367094123)</f>
        <v>165.3388337</v>
      </c>
      <c r="S196" s="96"/>
      <c r="T196" s="97"/>
      <c r="U196" s="95"/>
      <c r="V196" s="96"/>
      <c r="W196" s="97"/>
      <c r="X196" s="95"/>
      <c r="Y196" s="96"/>
      <c r="Z196" s="97"/>
      <c r="AA196" s="95">
        <f>IFERROR(__xludf.DUMMYFUNCTION("""COMPUTED_VALUE"""),77.23741868861458)</f>
        <v>77.23741869</v>
      </c>
      <c r="AB196" s="96"/>
      <c r="AC196" s="97"/>
      <c r="AD196" s="95"/>
      <c r="AE196" s="96"/>
      <c r="AF196" s="97"/>
      <c r="AG196" s="95"/>
      <c r="AH196" s="96"/>
      <c r="AI196" s="97"/>
      <c r="AJ196" s="95"/>
      <c r="AK196" s="96"/>
      <c r="AL196" s="97"/>
      <c r="AM196" s="95"/>
      <c r="AN196" s="96"/>
      <c r="AO196" s="97"/>
      <c r="AP196" s="95"/>
      <c r="AQ196" s="96"/>
      <c r="AR196" s="97"/>
      <c r="AS196" s="95"/>
      <c r="AT196" s="96"/>
      <c r="AU196" s="97"/>
      <c r="AV196" s="95"/>
      <c r="AW196" s="96"/>
      <c r="AX196" s="97">
        <f>IFERROR(__xludf.DUMMYFUNCTION("""COMPUTED_VALUE"""),64.77868356321395)</f>
        <v>64.77868356</v>
      </c>
      <c r="AY196" s="95"/>
      <c r="AZ196" s="96"/>
      <c r="BA196" s="97"/>
      <c r="BB196" s="95"/>
      <c r="BC196" s="96"/>
      <c r="BD196" s="97"/>
      <c r="BE196" s="95"/>
      <c r="BF196" s="96"/>
      <c r="BG196" s="97"/>
      <c r="BH196" s="95"/>
      <c r="BI196" s="96"/>
      <c r="BJ196" s="97"/>
      <c r="BK196" s="95"/>
      <c r="BL196" s="96"/>
      <c r="BM196" s="97"/>
      <c r="BN196" s="95"/>
      <c r="BO196" s="96"/>
      <c r="BP196" s="97">
        <f>IFERROR(__xludf.DUMMYFUNCTION("""COMPUTED_VALUE"""),242.79284171403057)</f>
        <v>242.7928417</v>
      </c>
      <c r="BQ196" s="95"/>
      <c r="BR196" s="96"/>
      <c r="BS196" s="97"/>
      <c r="BT196" s="95"/>
      <c r="BU196" s="96"/>
      <c r="BV196" s="97"/>
      <c r="BW196" s="95">
        <f>IFERROR(__xludf.DUMMYFUNCTION("""COMPUTED_VALUE"""),41.79467844894381)</f>
        <v>41.79467845</v>
      </c>
      <c r="BX196" s="96"/>
      <c r="BY196" s="97"/>
      <c r="BZ196" s="95"/>
      <c r="CA196" s="96"/>
      <c r="CB196" s="97"/>
      <c r="CC196" s="95"/>
      <c r="CD196" s="96"/>
      <c r="CE196" s="97"/>
      <c r="CF196" s="95"/>
      <c r="CG196" s="96"/>
      <c r="CH196" s="96"/>
      <c r="CI196" s="95"/>
      <c r="CJ196" s="96"/>
      <c r="CK196" s="96"/>
      <c r="CL196" s="95"/>
      <c r="CM196" s="96"/>
      <c r="CN196" s="96"/>
      <c r="CO196" s="95"/>
      <c r="CP196" s="96"/>
      <c r="CQ196" s="96"/>
      <c r="CR196" s="95">
        <f>IFERROR(__xludf.DUMMYFUNCTION("""COMPUTED_VALUE"""),440.0)</f>
        <v>440</v>
      </c>
      <c r="CS196" s="96"/>
      <c r="CT196" s="96"/>
      <c r="CU196" s="95">
        <f>IFERROR(__xludf.DUMMYFUNCTION("""COMPUTED_VALUE"""),146.66666666666669)</f>
        <v>146.6666667</v>
      </c>
      <c r="CV196" s="96"/>
      <c r="CW196" s="97"/>
      <c r="CX196" s="96"/>
      <c r="CY196" s="96"/>
      <c r="CZ196" s="97">
        <f>IFERROR(__xludf.DUMMYFUNCTION("""COMPUTED_VALUE"""),125.71428571428572)</f>
        <v>125.7142857</v>
      </c>
      <c r="DA196" s="95"/>
      <c r="DB196" s="96"/>
      <c r="DC196" s="97"/>
      <c r="DD196" s="95"/>
      <c r="DE196" s="96"/>
      <c r="DF196" s="97"/>
      <c r="DG196" s="95"/>
      <c r="DH196" s="96"/>
      <c r="DI196" s="97"/>
      <c r="DJ196" s="95"/>
      <c r="DK196" s="96"/>
      <c r="DL196" s="97"/>
      <c r="DM196" s="95"/>
      <c r="DN196" s="96"/>
      <c r="DO196" s="97"/>
      <c r="DP196" s="95"/>
      <c r="DQ196" s="96"/>
      <c r="DR196" s="97"/>
      <c r="DS196" s="95"/>
    </row>
    <row r="197" ht="16.5" customHeight="1">
      <c r="B197" s="120" t="str">
        <f>IFERROR(__xludf.DUMMYFUNCTION("""COMPUTED_VALUE"""),"GTT2")</f>
        <v>GTT2</v>
      </c>
      <c r="C197" s="88" t="str">
        <f>IFERROR(__xludf.DUMMYFUNCTION("""COMPUTED_VALUE"""),"Thin Ice Hill")</f>
        <v>Thin Ice Hill</v>
      </c>
      <c r="D197" s="102">
        <f>IFERROR(__xludf.DUMMYFUNCTION("""COMPUTED_VALUE"""),20.0)</f>
        <v>20</v>
      </c>
      <c r="E197" s="82" t="b">
        <f>IFERROR(__xludf.DUMMYFUNCTION("""COMPUTED_VALUE"""),TRUE)</f>
        <v>1</v>
      </c>
      <c r="F197" s="82" t="str">
        <f>IFERROR(__xludf.DUMMYFUNCTION("""COMPUTED_VALUE"""),"Free Quests- Part 2!A206:J214")</f>
        <v>Free Quests- Part 2!A206:J214</v>
      </c>
      <c r="G197" s="82">
        <f>IFERROR(__xludf.DUMMYFUNCTION("""COMPUTED_VALUE"""),197.0)</f>
        <v>197</v>
      </c>
      <c r="H197" s="82">
        <f>IFERROR(__xludf.DUMMYFUNCTION("""COMPUTED_VALUE"""),50.0)</f>
        <v>50</v>
      </c>
      <c r="I197" s="95"/>
      <c r="J197" s="96"/>
      <c r="K197" s="97"/>
      <c r="L197" s="95"/>
      <c r="M197" s="96"/>
      <c r="N197" s="97"/>
      <c r="O197" s="95"/>
      <c r="P197" s="96"/>
      <c r="Q197" s="97"/>
      <c r="R197" s="95"/>
      <c r="S197" s="96"/>
      <c r="T197" s="97"/>
      <c r="U197" s="95"/>
      <c r="V197" s="96"/>
      <c r="W197" s="97"/>
      <c r="X197" s="95"/>
      <c r="Y197" s="96"/>
      <c r="Z197" s="97"/>
      <c r="AA197" s="95">
        <f>IFERROR(__xludf.DUMMYFUNCTION("""COMPUTED_VALUE"""),78.34058709139734)</f>
        <v>78.34058709</v>
      </c>
      <c r="AB197" s="96"/>
      <c r="AC197" s="97"/>
      <c r="AD197" s="95"/>
      <c r="AE197" s="96"/>
      <c r="AF197" s="97"/>
      <c r="AG197" s="95"/>
      <c r="AH197" s="96"/>
      <c r="AI197" s="97"/>
      <c r="AJ197" s="95"/>
      <c r="AK197" s="96"/>
      <c r="AL197" s="97"/>
      <c r="AM197" s="95"/>
      <c r="AN197" s="96">
        <f>IFERROR(__xludf.DUMMYFUNCTION("""COMPUTED_VALUE"""),79.57260294587934)</f>
        <v>79.57260295</v>
      </c>
      <c r="AO197" s="97"/>
      <c r="AP197" s="95"/>
      <c r="AQ197" s="96"/>
      <c r="AR197" s="97"/>
      <c r="AS197" s="95"/>
      <c r="AT197" s="96"/>
      <c r="AU197" s="97"/>
      <c r="AV197" s="95"/>
      <c r="AW197" s="96"/>
      <c r="AX197" s="97"/>
      <c r="AY197" s="95"/>
      <c r="AZ197" s="96"/>
      <c r="BA197" s="97"/>
      <c r="BB197" s="95"/>
      <c r="BC197" s="96"/>
      <c r="BD197" s="97"/>
      <c r="BE197" s="95"/>
      <c r="BF197" s="96"/>
      <c r="BG197" s="97"/>
      <c r="BH197" s="95"/>
      <c r="BI197" s="96"/>
      <c r="BJ197" s="97"/>
      <c r="BK197" s="95"/>
      <c r="BL197" s="96"/>
      <c r="BM197" s="97"/>
      <c r="BN197" s="95"/>
      <c r="BO197" s="96"/>
      <c r="BP197" s="97"/>
      <c r="BQ197" s="95">
        <f>IFERROR(__xludf.DUMMYFUNCTION("""COMPUTED_VALUE"""),81.75980358894323)</f>
        <v>81.75980359</v>
      </c>
      <c r="BR197" s="96"/>
      <c r="BS197" s="97"/>
      <c r="BT197" s="95"/>
      <c r="BU197" s="96"/>
      <c r="BV197" s="97"/>
      <c r="BW197" s="95">
        <f>IFERROR(__xludf.DUMMYFUNCTION("""COMPUTED_VALUE"""),64.70725508250248)</f>
        <v>64.70725508</v>
      </c>
      <c r="BX197" s="96"/>
      <c r="BY197" s="97"/>
      <c r="BZ197" s="95"/>
      <c r="CA197" s="96"/>
      <c r="CB197" s="97"/>
      <c r="CC197" s="95"/>
      <c r="CD197" s="96"/>
      <c r="CE197" s="97"/>
      <c r="CF197" s="95"/>
      <c r="CG197" s="96"/>
      <c r="CH197" s="96"/>
      <c r="CI197" s="95"/>
      <c r="CJ197" s="96"/>
      <c r="CK197" s="96"/>
      <c r="CL197" s="95"/>
      <c r="CM197" s="96"/>
      <c r="CN197" s="96"/>
      <c r="CO197" s="95"/>
      <c r="CP197" s="96"/>
      <c r="CQ197" s="96"/>
      <c r="CR197" s="95"/>
      <c r="CS197" s="96"/>
      <c r="CT197" s="96"/>
      <c r="CU197" s="95"/>
      <c r="CV197" s="96"/>
      <c r="CW197" s="97"/>
      <c r="CX197" s="96"/>
      <c r="CY197" s="96"/>
      <c r="CZ197" s="97">
        <f>IFERROR(__xludf.DUMMYFUNCTION("""COMPUTED_VALUE"""),136.66666666666669)</f>
        <v>136.6666667</v>
      </c>
      <c r="DA197" s="95"/>
      <c r="DB197" s="96"/>
      <c r="DC197" s="97"/>
      <c r="DD197" s="95"/>
      <c r="DE197" s="96"/>
      <c r="DF197" s="97"/>
      <c r="DG197" s="95"/>
      <c r="DH197" s="96"/>
      <c r="DI197" s="97">
        <f>IFERROR(__xludf.DUMMYFUNCTION("""COMPUTED_VALUE"""),102.5)</f>
        <v>102.5</v>
      </c>
      <c r="DJ197" s="95"/>
      <c r="DK197" s="96"/>
      <c r="DL197" s="97"/>
      <c r="DM197" s="95"/>
      <c r="DN197" s="96"/>
      <c r="DO197" s="97"/>
      <c r="DP197" s="95"/>
      <c r="DQ197" s="96"/>
      <c r="DR197" s="97"/>
      <c r="DS197" s="95"/>
    </row>
    <row r="198" ht="16.5" customHeight="1">
      <c r="B198" s="120" t="str">
        <f>IFERROR(__xludf.DUMMYFUNCTION("""COMPUTED_VALUE"""),"GTT3")</f>
        <v>GTT3</v>
      </c>
      <c r="C198" s="88" t="str">
        <f>IFERROR(__xludf.DUMMYFUNCTION("""COMPUTED_VALUE"""),"Giant's Flower Garden")</f>
        <v>Giant's Flower Garden</v>
      </c>
      <c r="D198" s="102">
        <f>IFERROR(__xludf.DUMMYFUNCTION("""COMPUTED_VALUE"""),20.0)</f>
        <v>20</v>
      </c>
      <c r="E198" s="82" t="b">
        <f>IFERROR(__xludf.DUMMYFUNCTION("""COMPUTED_VALUE"""),TRUE)</f>
        <v>1</v>
      </c>
      <c r="F198" s="82" t="str">
        <f>IFERROR(__xludf.DUMMYFUNCTION("""COMPUTED_VALUE"""),"Free Quests- Part 2!A218:J225")</f>
        <v>Free Quests- Part 2!A218:J225</v>
      </c>
      <c r="G198" s="82">
        <f>IFERROR(__xludf.DUMMYFUNCTION("""COMPUTED_VALUE"""),198.0)</f>
        <v>198</v>
      </c>
      <c r="H198" s="82">
        <f>IFERROR(__xludf.DUMMYFUNCTION("""COMPUTED_VALUE"""),1315.0)</f>
        <v>1315</v>
      </c>
      <c r="I198" s="95"/>
      <c r="J198" s="96"/>
      <c r="K198" s="97"/>
      <c r="L198" s="95"/>
      <c r="M198" s="96"/>
      <c r="N198" s="97"/>
      <c r="O198" s="95"/>
      <c r="P198" s="96"/>
      <c r="Q198" s="97"/>
      <c r="R198" s="95"/>
      <c r="S198" s="96"/>
      <c r="T198" s="97"/>
      <c r="U198" s="95"/>
      <c r="V198" s="96"/>
      <c r="W198" s="97"/>
      <c r="X198" s="95"/>
      <c r="Y198" s="96"/>
      <c r="Z198" s="97"/>
      <c r="AA198" s="95"/>
      <c r="AB198" s="96"/>
      <c r="AC198" s="97"/>
      <c r="AD198" s="95"/>
      <c r="AE198" s="96"/>
      <c r="AF198" s="97"/>
      <c r="AG198" s="95"/>
      <c r="AH198" s="96"/>
      <c r="AI198" s="97"/>
      <c r="AJ198" s="95"/>
      <c r="AK198" s="96"/>
      <c r="AL198" s="97"/>
      <c r="AM198" s="95"/>
      <c r="AN198" s="96">
        <f>IFERROR(__xludf.DUMMYFUNCTION("""COMPUTED_VALUE"""),49.20568614957447)</f>
        <v>49.20568615</v>
      </c>
      <c r="AO198" s="97"/>
      <c r="AP198" s="95"/>
      <c r="AQ198" s="96"/>
      <c r="AR198" s="97"/>
      <c r="AS198" s="95"/>
      <c r="AT198" s="96"/>
      <c r="AU198" s="97"/>
      <c r="AV198" s="95"/>
      <c r="AW198" s="96"/>
      <c r="AX198" s="97"/>
      <c r="AY198" s="95"/>
      <c r="AZ198" s="96"/>
      <c r="BA198" s="97"/>
      <c r="BB198" s="95"/>
      <c r="BC198" s="96"/>
      <c r="BD198" s="97"/>
      <c r="BE198" s="95"/>
      <c r="BF198" s="96"/>
      <c r="BG198" s="97"/>
      <c r="BH198" s="95"/>
      <c r="BI198" s="96"/>
      <c r="BJ198" s="97"/>
      <c r="BK198" s="95"/>
      <c r="BL198" s="96"/>
      <c r="BM198" s="97"/>
      <c r="BN198" s="95"/>
      <c r="BO198" s="96"/>
      <c r="BP198" s="97"/>
      <c r="BQ198" s="95">
        <f>IFERROR(__xludf.DUMMYFUNCTION("""COMPUTED_VALUE"""),45.53377809864083)</f>
        <v>45.5337781</v>
      </c>
      <c r="BR198" s="96"/>
      <c r="BS198" s="97"/>
      <c r="BT198" s="95"/>
      <c r="BU198" s="96"/>
      <c r="BV198" s="97"/>
      <c r="BW198" s="95"/>
      <c r="BX198" s="96"/>
      <c r="BY198" s="97"/>
      <c r="BZ198" s="95"/>
      <c r="CA198" s="96"/>
      <c r="CB198" s="97"/>
      <c r="CC198" s="95"/>
      <c r="CD198" s="96"/>
      <c r="CE198" s="97"/>
      <c r="CF198" s="95"/>
      <c r="CG198" s="96"/>
      <c r="CH198" s="96"/>
      <c r="CI198" s="95"/>
      <c r="CJ198" s="96"/>
      <c r="CK198" s="96"/>
      <c r="CL198" s="95"/>
      <c r="CM198" s="96"/>
      <c r="CN198" s="96"/>
      <c r="CO198" s="95"/>
      <c r="CP198" s="96"/>
      <c r="CQ198" s="96"/>
      <c r="CR198" s="95"/>
      <c r="CS198" s="96"/>
      <c r="CT198" s="96"/>
      <c r="CU198" s="95"/>
      <c r="CV198" s="96"/>
      <c r="CW198" s="97"/>
      <c r="CX198" s="96"/>
      <c r="CY198" s="96"/>
      <c r="CZ198" s="97"/>
      <c r="DA198" s="95">
        <f>IFERROR(__xludf.DUMMYFUNCTION("""COMPUTED_VALUE"""),114.05405405405405)</f>
        <v>114.0540541</v>
      </c>
      <c r="DB198" s="96"/>
      <c r="DC198" s="97"/>
      <c r="DD198" s="95"/>
      <c r="DE198" s="96"/>
      <c r="DF198" s="97"/>
      <c r="DG198" s="95"/>
      <c r="DH198" s="96"/>
      <c r="DI198" s="97">
        <f>IFERROR(__xludf.DUMMYFUNCTION("""COMPUTED_VALUE"""),124.11764705882354)</f>
        <v>124.1176471</v>
      </c>
      <c r="DJ198" s="95"/>
      <c r="DK198" s="96"/>
      <c r="DL198" s="97"/>
      <c r="DM198" s="95"/>
      <c r="DN198" s="96"/>
      <c r="DO198" s="97"/>
      <c r="DP198" s="95"/>
      <c r="DQ198" s="96"/>
      <c r="DR198" s="97"/>
      <c r="DS198" s="95"/>
    </row>
    <row r="199" ht="16.5" customHeight="1">
      <c r="B199" s="120" t="str">
        <f>IFERROR(__xludf.DUMMYFUNCTION("""COMPUTED_VALUE"""),"GTT4")</f>
        <v>GTT4</v>
      </c>
      <c r="C199" s="88" t="str">
        <f>IFERROR(__xludf.DUMMYFUNCTION("""COMPUTED_VALUE"""),"Village 23")</f>
        <v>Village 23</v>
      </c>
      <c r="D199" s="102">
        <f>IFERROR(__xludf.DUMMYFUNCTION("""COMPUTED_VALUE"""),21.0)</f>
        <v>21</v>
      </c>
      <c r="E199" s="82" t="b">
        <f>IFERROR(__xludf.DUMMYFUNCTION("""COMPUTED_VALUE"""),TRUE)</f>
        <v>1</v>
      </c>
      <c r="F199" s="82" t="str">
        <f>IFERROR(__xludf.DUMMYFUNCTION("""COMPUTED_VALUE"""),"Free Quests- Part 2!A229:J238")</f>
        <v>Free Quests- Part 2!A229:J238</v>
      </c>
      <c r="G199" s="82">
        <f>IFERROR(__xludf.DUMMYFUNCTION("""COMPUTED_VALUE"""),199.0)</f>
        <v>199</v>
      </c>
      <c r="H199" s="82">
        <f>IFERROR(__xludf.DUMMYFUNCTION("""COMPUTED_VALUE"""),230.0)</f>
        <v>230</v>
      </c>
      <c r="I199" s="95"/>
      <c r="J199" s="96"/>
      <c r="K199" s="97"/>
      <c r="L199" s="95"/>
      <c r="M199" s="96"/>
      <c r="N199" s="97"/>
      <c r="O199" s="95"/>
      <c r="P199" s="96"/>
      <c r="Q199" s="97"/>
      <c r="R199" s="95"/>
      <c r="S199" s="96"/>
      <c r="T199" s="97"/>
      <c r="U199" s="95"/>
      <c r="V199" s="96"/>
      <c r="W199" s="97"/>
      <c r="X199" s="95"/>
      <c r="Y199" s="96"/>
      <c r="Z199" s="97"/>
      <c r="AA199" s="95">
        <f>IFERROR(__xludf.DUMMYFUNCTION("""COMPUTED_VALUE"""),82.34080188679246)</f>
        <v>82.34080189</v>
      </c>
      <c r="AB199" s="96"/>
      <c r="AC199" s="97"/>
      <c r="AD199" s="95"/>
      <c r="AE199" s="96"/>
      <c r="AF199" s="97"/>
      <c r="AG199" s="95"/>
      <c r="AH199" s="96"/>
      <c r="AI199" s="97"/>
      <c r="AJ199" s="95"/>
      <c r="AK199" s="96"/>
      <c r="AL199" s="97"/>
      <c r="AM199" s="95"/>
      <c r="AN199" s="96"/>
      <c r="AO199" s="97">
        <f>IFERROR(__xludf.DUMMYFUNCTION("""COMPUTED_VALUE"""),87.06359102244389)</f>
        <v>87.06359102</v>
      </c>
      <c r="AP199" s="95"/>
      <c r="AQ199" s="96"/>
      <c r="AR199" s="97"/>
      <c r="AS199" s="95"/>
      <c r="AT199" s="96"/>
      <c r="AU199" s="97"/>
      <c r="AV199" s="95"/>
      <c r="AW199" s="96"/>
      <c r="AX199" s="97"/>
      <c r="AY199" s="95"/>
      <c r="AZ199" s="96"/>
      <c r="BA199" s="97"/>
      <c r="BB199" s="95"/>
      <c r="BC199" s="96"/>
      <c r="BD199" s="97"/>
      <c r="BE199" s="95"/>
      <c r="BF199" s="96"/>
      <c r="BG199" s="97"/>
      <c r="BH199" s="95"/>
      <c r="BI199" s="96"/>
      <c r="BJ199" s="97"/>
      <c r="BK199" s="95"/>
      <c r="BL199" s="96"/>
      <c r="BM199" s="97"/>
      <c r="BN199" s="95">
        <f>IFERROR(__xludf.DUMMYFUNCTION("""COMPUTED_VALUE"""),85.01596024081782)</f>
        <v>85.01596024</v>
      </c>
      <c r="BO199" s="96"/>
      <c r="BP199" s="97"/>
      <c r="BQ199" s="95"/>
      <c r="BR199" s="96"/>
      <c r="BS199" s="97"/>
      <c r="BT199" s="95"/>
      <c r="BU199" s="96"/>
      <c r="BV199" s="97"/>
      <c r="BW199" s="95">
        <f>IFERROR(__xludf.DUMMYFUNCTION("""COMPUTED_VALUE"""),68.93825876884499)</f>
        <v>68.93825877</v>
      </c>
      <c r="BX199" s="96"/>
      <c r="BY199" s="97"/>
      <c r="BZ199" s="95"/>
      <c r="CA199" s="96"/>
      <c r="CB199" s="97"/>
      <c r="CC199" s="95"/>
      <c r="CD199" s="96"/>
      <c r="CE199" s="97"/>
      <c r="CF199" s="95"/>
      <c r="CG199" s="96"/>
      <c r="CH199" s="96"/>
      <c r="CI199" s="95"/>
      <c r="CJ199" s="96"/>
      <c r="CK199" s="96"/>
      <c r="CL199" s="95"/>
      <c r="CM199" s="96"/>
      <c r="CN199" s="96"/>
      <c r="CO199" s="95"/>
      <c r="CP199" s="96"/>
      <c r="CQ199" s="96"/>
      <c r="CR199" s="95"/>
      <c r="CS199" s="96"/>
      <c r="CT199" s="96"/>
      <c r="CU199" s="95"/>
      <c r="CV199" s="96"/>
      <c r="CW199" s="97"/>
      <c r="CX199" s="96">
        <f>IFERROR(__xludf.DUMMYFUNCTION("""COMPUTED_VALUE"""),85.16666666666667)</f>
        <v>85.16666667</v>
      </c>
      <c r="CY199" s="96"/>
      <c r="CZ199" s="97">
        <f>IFERROR(__xludf.DUMMYFUNCTION("""COMPUTED_VALUE"""),98.29787234042554)</f>
        <v>98.29787234</v>
      </c>
      <c r="DA199" s="95"/>
      <c r="DB199" s="96"/>
      <c r="DC199" s="97"/>
      <c r="DD199" s="95"/>
      <c r="DE199" s="96"/>
      <c r="DF199" s="97"/>
      <c r="DG199" s="95"/>
      <c r="DH199" s="96"/>
      <c r="DI199" s="97"/>
      <c r="DJ199" s="95"/>
      <c r="DK199" s="96"/>
      <c r="DL199" s="97"/>
      <c r="DM199" s="95"/>
      <c r="DN199" s="96"/>
      <c r="DO199" s="97"/>
      <c r="DP199" s="95"/>
      <c r="DQ199" s="96"/>
      <c r="DR199" s="97"/>
      <c r="DS199" s="95"/>
    </row>
    <row r="200" ht="16.5" customHeight="1">
      <c r="B200" s="120" t="str">
        <f>IFERROR(__xludf.DUMMYFUNCTION("""COMPUTED_VALUE"""),"GTT5")</f>
        <v>GTT5</v>
      </c>
      <c r="C200" s="88" t="str">
        <f>IFERROR(__xludf.DUMMYFUNCTION("""COMPUTED_VALUE"""),"Hero's Lair")</f>
        <v>Hero's Lair</v>
      </c>
      <c r="D200" s="102">
        <f>IFERROR(__xludf.DUMMYFUNCTION("""COMPUTED_VALUE"""),21.0)</f>
        <v>21</v>
      </c>
      <c r="E200" s="82" t="b">
        <f>IFERROR(__xludf.DUMMYFUNCTION("""COMPUTED_VALUE"""),TRUE)</f>
        <v>1</v>
      </c>
      <c r="F200" s="82" t="str">
        <f>IFERROR(__xludf.DUMMYFUNCTION("""COMPUTED_VALUE"""),"Free Quests- Part 2!A242:J251")</f>
        <v>Free Quests- Part 2!A242:J251</v>
      </c>
      <c r="G200" s="82">
        <f>IFERROR(__xludf.DUMMYFUNCTION("""COMPUTED_VALUE"""),200.0)</f>
        <v>200</v>
      </c>
      <c r="H200" s="82">
        <f>IFERROR(__xludf.DUMMYFUNCTION("""COMPUTED_VALUE"""),49.0)</f>
        <v>49</v>
      </c>
      <c r="I200" s="95"/>
      <c r="J200" s="96"/>
      <c r="K200" s="97"/>
      <c r="L200" s="95"/>
      <c r="M200" s="96"/>
      <c r="N200" s="97"/>
      <c r="O200" s="95"/>
      <c r="P200" s="96"/>
      <c r="Q200" s="97"/>
      <c r="R200" s="95"/>
      <c r="S200" s="96"/>
      <c r="T200" s="97"/>
      <c r="U200" s="95"/>
      <c r="V200" s="96"/>
      <c r="W200" s="97"/>
      <c r="X200" s="95"/>
      <c r="Y200" s="96"/>
      <c r="Z200" s="97"/>
      <c r="AA200" s="95"/>
      <c r="AB200" s="96"/>
      <c r="AC200" s="97">
        <f>IFERROR(__xludf.DUMMYFUNCTION("""COMPUTED_VALUE"""),84.56414235736645)</f>
        <v>84.56414236</v>
      </c>
      <c r="AD200" s="95"/>
      <c r="AE200" s="96"/>
      <c r="AF200" s="97"/>
      <c r="AG200" s="95"/>
      <c r="AH200" s="96"/>
      <c r="AI200" s="97"/>
      <c r="AJ200" s="95"/>
      <c r="AK200" s="96"/>
      <c r="AL200" s="97"/>
      <c r="AM200" s="95"/>
      <c r="AN200" s="96">
        <f>IFERROR(__xludf.DUMMYFUNCTION("""COMPUTED_VALUE"""),82.23899387157718)</f>
        <v>82.23899387</v>
      </c>
      <c r="AO200" s="97"/>
      <c r="AP200" s="95"/>
      <c r="AQ200" s="96"/>
      <c r="AR200" s="97"/>
      <c r="AS200" s="95"/>
      <c r="AT200" s="96"/>
      <c r="AU200" s="97"/>
      <c r="AV200" s="95"/>
      <c r="AW200" s="96"/>
      <c r="AX200" s="97"/>
      <c r="AY200" s="95"/>
      <c r="AZ200" s="96"/>
      <c r="BA200" s="97"/>
      <c r="BB200" s="95"/>
      <c r="BC200" s="96"/>
      <c r="BD200" s="97"/>
      <c r="BE200" s="95"/>
      <c r="BF200" s="96"/>
      <c r="BG200" s="97"/>
      <c r="BH200" s="95"/>
      <c r="BI200" s="96"/>
      <c r="BJ200" s="97">
        <f>IFERROR(__xludf.DUMMYFUNCTION("""COMPUTED_VALUE"""),429.9385695097771)</f>
        <v>429.9385695</v>
      </c>
      <c r="BK200" s="95"/>
      <c r="BL200" s="96"/>
      <c r="BM200" s="97"/>
      <c r="BN200" s="95"/>
      <c r="BO200" s="96"/>
      <c r="BP200" s="97"/>
      <c r="BQ200" s="95">
        <f>IFERROR(__xludf.DUMMYFUNCTION("""COMPUTED_VALUE"""),67.34395216762566)</f>
        <v>67.34395217</v>
      </c>
      <c r="BR200" s="96"/>
      <c r="BS200" s="97"/>
      <c r="BT200" s="95"/>
      <c r="BU200" s="96"/>
      <c r="BV200" s="97"/>
      <c r="BW200" s="95"/>
      <c r="BX200" s="96"/>
      <c r="BY200" s="97"/>
      <c r="BZ200" s="95"/>
      <c r="CA200" s="96"/>
      <c r="CB200" s="97"/>
      <c r="CC200" s="95"/>
      <c r="CD200" s="96"/>
      <c r="CE200" s="97"/>
      <c r="CF200" s="95"/>
      <c r="CG200" s="96"/>
      <c r="CH200" s="96"/>
      <c r="CI200" s="95"/>
      <c r="CJ200" s="96"/>
      <c r="CK200" s="96"/>
      <c r="CL200" s="95"/>
      <c r="CM200" s="96"/>
      <c r="CN200" s="96"/>
      <c r="CO200" s="95"/>
      <c r="CP200" s="96"/>
      <c r="CQ200" s="96"/>
      <c r="CR200" s="95"/>
      <c r="CS200" s="96"/>
      <c r="CT200" s="96"/>
      <c r="CU200" s="95"/>
      <c r="CV200" s="96"/>
      <c r="CW200" s="97"/>
      <c r="CX200" s="96"/>
      <c r="CY200" s="96"/>
      <c r="CZ200" s="97"/>
      <c r="DA200" s="95">
        <f>IFERROR(__xludf.DUMMYFUNCTION("""COMPUTED_VALUE"""),140.0)</f>
        <v>140</v>
      </c>
      <c r="DB200" s="96"/>
      <c r="DC200" s="97"/>
      <c r="DD200" s="95"/>
      <c r="DE200" s="96"/>
      <c r="DF200" s="97"/>
      <c r="DG200" s="95"/>
      <c r="DH200" s="96"/>
      <c r="DI200" s="97">
        <f>IFERROR(__xludf.DUMMYFUNCTION("""COMPUTED_VALUE"""),105.0)</f>
        <v>105</v>
      </c>
      <c r="DJ200" s="95"/>
      <c r="DK200" s="96"/>
      <c r="DL200" s="97"/>
      <c r="DM200" s="95"/>
      <c r="DN200" s="96"/>
      <c r="DO200" s="97"/>
      <c r="DP200" s="95"/>
      <c r="DQ200" s="96"/>
      <c r="DR200" s="97"/>
      <c r="DS200" s="95"/>
    </row>
    <row r="201" ht="16.5" customHeight="1">
      <c r="B201" s="120" t="str">
        <f>IFERROR(__xludf.DUMMYFUNCTION("""COMPUTED_VALUE"""),"GTT6")</f>
        <v>GTT6</v>
      </c>
      <c r="C201" s="88" t="str">
        <f>IFERROR(__xludf.DUMMYFUNCTION("""COMPUTED_VALUE"""),"Castle of Snow and Ice")</f>
        <v>Castle of Snow and Ice</v>
      </c>
      <c r="D201" s="102">
        <f>IFERROR(__xludf.DUMMYFUNCTION("""COMPUTED_VALUE"""),21.0)</f>
        <v>21</v>
      </c>
      <c r="E201" s="82" t="b">
        <f>IFERROR(__xludf.DUMMYFUNCTION("""COMPUTED_VALUE"""),TRUE)</f>
        <v>1</v>
      </c>
      <c r="F201" s="82" t="str">
        <f>IFERROR(__xludf.DUMMYFUNCTION("""COMPUTED_VALUE"""),"Free Quests- Part 2!A255:J260")</f>
        <v>Free Quests- Part 2!A255:J260</v>
      </c>
      <c r="G201" s="82">
        <f>IFERROR(__xludf.DUMMYFUNCTION("""COMPUTED_VALUE"""),201.0)</f>
        <v>201</v>
      </c>
      <c r="H201" s="82">
        <f>IFERROR(__xludf.DUMMYFUNCTION("""COMPUTED_VALUE"""),4174.0)</f>
        <v>4174</v>
      </c>
      <c r="I201" s="95"/>
      <c r="J201" s="96"/>
      <c r="K201" s="97"/>
      <c r="L201" s="95"/>
      <c r="M201" s="96"/>
      <c r="N201" s="97"/>
      <c r="O201" s="95"/>
      <c r="P201" s="96"/>
      <c r="Q201" s="97"/>
      <c r="R201" s="95"/>
      <c r="S201" s="96"/>
      <c r="T201" s="97"/>
      <c r="U201" s="95"/>
      <c r="V201" s="96"/>
      <c r="W201" s="97"/>
      <c r="X201" s="95"/>
      <c r="Y201" s="96"/>
      <c r="Z201" s="97"/>
      <c r="AA201" s="95"/>
      <c r="AB201" s="96"/>
      <c r="AC201" s="97"/>
      <c r="AD201" s="95"/>
      <c r="AE201" s="96"/>
      <c r="AF201" s="97"/>
      <c r="AG201" s="95"/>
      <c r="AH201" s="96"/>
      <c r="AI201" s="97"/>
      <c r="AJ201" s="95"/>
      <c r="AK201" s="96"/>
      <c r="AL201" s="97"/>
      <c r="AM201" s="95"/>
      <c r="AN201" s="96"/>
      <c r="AO201" s="97">
        <f>IFERROR(__xludf.DUMMYFUNCTION("""COMPUTED_VALUE"""),53.7264667006599)</f>
        <v>53.7264667</v>
      </c>
      <c r="AP201" s="95"/>
      <c r="AQ201" s="96"/>
      <c r="AR201" s="97"/>
      <c r="AS201" s="95"/>
      <c r="AT201" s="96"/>
      <c r="AU201" s="97"/>
      <c r="AV201" s="95"/>
      <c r="AW201" s="96"/>
      <c r="AX201" s="97"/>
      <c r="AY201" s="95"/>
      <c r="AZ201" s="96"/>
      <c r="BA201" s="97"/>
      <c r="BB201" s="95"/>
      <c r="BC201" s="96"/>
      <c r="BD201" s="97"/>
      <c r="BE201" s="95"/>
      <c r="BF201" s="96"/>
      <c r="BG201" s="97"/>
      <c r="BH201" s="95"/>
      <c r="BI201" s="96"/>
      <c r="BJ201" s="97"/>
      <c r="BK201" s="95"/>
      <c r="BL201" s="96"/>
      <c r="BM201" s="97"/>
      <c r="BN201" s="95">
        <f>IFERROR(__xludf.DUMMYFUNCTION("""COMPUTED_VALUE"""),45.77796900976925)</f>
        <v>45.77796901</v>
      </c>
      <c r="BO201" s="96"/>
      <c r="BP201" s="97"/>
      <c r="BQ201" s="95"/>
      <c r="BR201" s="96"/>
      <c r="BS201" s="97"/>
      <c r="BT201" s="95"/>
      <c r="BU201" s="96"/>
      <c r="BV201" s="97"/>
      <c r="BW201" s="95"/>
      <c r="BX201" s="96"/>
      <c r="BY201" s="97"/>
      <c r="BZ201" s="95"/>
      <c r="CA201" s="96"/>
      <c r="CB201" s="97"/>
      <c r="CC201" s="95"/>
      <c r="CD201" s="96"/>
      <c r="CE201" s="97"/>
      <c r="CF201" s="95"/>
      <c r="CG201" s="96"/>
      <c r="CH201" s="96"/>
      <c r="CI201" s="95"/>
      <c r="CJ201" s="96"/>
      <c r="CK201" s="96"/>
      <c r="CL201" s="95"/>
      <c r="CM201" s="96"/>
      <c r="CN201" s="96"/>
      <c r="CO201" s="95"/>
      <c r="CP201" s="96"/>
      <c r="CQ201" s="96"/>
      <c r="CR201" s="95"/>
      <c r="CS201" s="96"/>
      <c r="CT201" s="96"/>
      <c r="CU201" s="95"/>
      <c r="CV201" s="96"/>
      <c r="CW201" s="97"/>
      <c r="CX201" s="96">
        <f>IFERROR(__xludf.DUMMYFUNCTION("""COMPUTED_VALUE"""),46.64720974983964)</f>
        <v>46.64720975</v>
      </c>
      <c r="CY201" s="96"/>
      <c r="CZ201" s="97"/>
      <c r="DA201" s="95"/>
      <c r="DB201" s="96"/>
      <c r="DC201" s="97"/>
      <c r="DD201" s="95"/>
      <c r="DE201" s="96"/>
      <c r="DF201" s="97"/>
      <c r="DG201" s="95"/>
      <c r="DH201" s="96"/>
      <c r="DI201" s="97"/>
      <c r="DJ201" s="95"/>
      <c r="DK201" s="96"/>
      <c r="DL201" s="97"/>
      <c r="DM201" s="95"/>
      <c r="DN201" s="96"/>
      <c r="DO201" s="97"/>
      <c r="DP201" s="95"/>
      <c r="DQ201" s="96"/>
      <c r="DR201" s="97"/>
      <c r="DS201" s="95"/>
    </row>
    <row r="202" ht="16.5" customHeight="1">
      <c r="B202" s="120" t="str">
        <f>IFERROR(__xludf.DUMMYFUNCTION("""COMPUTED_VALUE"""),"GTT7")</f>
        <v>GTT7</v>
      </c>
      <c r="C202" s="88" t="str">
        <f>IFERROR(__xludf.DUMMYFUNCTION("""COMPUTED_VALUE"""),"Road to the End")</f>
        <v>Road to the End</v>
      </c>
      <c r="D202" s="102">
        <f>IFERROR(__xludf.DUMMYFUNCTION("""COMPUTED_VALUE"""),21.0)</f>
        <v>21</v>
      </c>
      <c r="E202" s="82" t="b">
        <f>IFERROR(__xludf.DUMMYFUNCTION("""COMPUTED_VALUE"""),TRUE)</f>
        <v>1</v>
      </c>
      <c r="F202" s="82" t="str">
        <f>IFERROR(__xludf.DUMMYFUNCTION("""COMPUTED_VALUE"""),"Free Quests- Part 2!A264:J273")</f>
        <v>Free Quests- Part 2!A264:J273</v>
      </c>
      <c r="G202" s="82">
        <f>IFERROR(__xludf.DUMMYFUNCTION("""COMPUTED_VALUE"""),202.0)</f>
        <v>202</v>
      </c>
      <c r="H202" s="82">
        <f>IFERROR(__xludf.DUMMYFUNCTION("""COMPUTED_VALUE"""),52.0)</f>
        <v>52</v>
      </c>
      <c r="I202" s="95"/>
      <c r="J202" s="96"/>
      <c r="K202" s="97"/>
      <c r="L202" s="95"/>
      <c r="M202" s="96"/>
      <c r="N202" s="97"/>
      <c r="O202" s="95"/>
      <c r="P202" s="96"/>
      <c r="Q202" s="97"/>
      <c r="R202" s="95">
        <f>IFERROR(__xludf.DUMMYFUNCTION("""COMPUTED_VALUE"""),118.69329010782576)</f>
        <v>118.6932901</v>
      </c>
      <c r="S202" s="96"/>
      <c r="T202" s="97"/>
      <c r="U202" s="95"/>
      <c r="V202" s="96"/>
      <c r="W202" s="97"/>
      <c r="X202" s="95"/>
      <c r="Y202" s="96"/>
      <c r="Z202" s="97"/>
      <c r="AA202" s="95"/>
      <c r="AB202" s="96"/>
      <c r="AC202" s="97"/>
      <c r="AD202" s="95"/>
      <c r="AE202" s="96"/>
      <c r="AF202" s="97"/>
      <c r="AG202" s="95"/>
      <c r="AH202" s="96"/>
      <c r="AI202" s="97"/>
      <c r="AJ202" s="95"/>
      <c r="AK202" s="96"/>
      <c r="AL202" s="97"/>
      <c r="AM202" s="95"/>
      <c r="AN202" s="96">
        <f>IFERROR(__xludf.DUMMYFUNCTION("""COMPUTED_VALUE"""),84.73774479415742)</f>
        <v>84.73774479</v>
      </c>
      <c r="AO202" s="97"/>
      <c r="AP202" s="95"/>
      <c r="AQ202" s="96"/>
      <c r="AR202" s="97"/>
      <c r="AS202" s="95"/>
      <c r="AT202" s="96"/>
      <c r="AU202" s="97"/>
      <c r="AV202" s="95"/>
      <c r="AW202" s="96"/>
      <c r="AX202" s="97"/>
      <c r="AY202" s="95"/>
      <c r="AZ202" s="96"/>
      <c r="BA202" s="97"/>
      <c r="BB202" s="95"/>
      <c r="BC202" s="96"/>
      <c r="BD202" s="97"/>
      <c r="BE202" s="95"/>
      <c r="BF202" s="96"/>
      <c r="BG202" s="97"/>
      <c r="BH202" s="95"/>
      <c r="BI202" s="96"/>
      <c r="BJ202" s="97"/>
      <c r="BK202" s="95"/>
      <c r="BL202" s="96"/>
      <c r="BM202" s="97"/>
      <c r="BN202" s="95"/>
      <c r="BO202" s="96"/>
      <c r="BP202" s="97">
        <f>IFERROR(__xludf.DUMMYFUNCTION("""COMPUTED_VALUE"""),250.4081020087675)</f>
        <v>250.408102</v>
      </c>
      <c r="BQ202" s="95">
        <f>IFERROR(__xludf.DUMMYFUNCTION("""COMPUTED_VALUE"""),51.93691514961229)</f>
        <v>51.93691515</v>
      </c>
      <c r="BR202" s="96"/>
      <c r="BS202" s="97"/>
      <c r="BT202" s="95"/>
      <c r="BU202" s="96"/>
      <c r="BV202" s="97"/>
      <c r="BW202" s="95"/>
      <c r="BX202" s="96"/>
      <c r="BY202" s="97"/>
      <c r="BZ202" s="95"/>
      <c r="CA202" s="96"/>
      <c r="CB202" s="97"/>
      <c r="CC202" s="95"/>
      <c r="CD202" s="96"/>
      <c r="CE202" s="97"/>
      <c r="CF202" s="95"/>
      <c r="CG202" s="96"/>
      <c r="CH202" s="96"/>
      <c r="CI202" s="95"/>
      <c r="CJ202" s="96"/>
      <c r="CK202" s="96"/>
      <c r="CL202" s="95"/>
      <c r="CM202" s="96"/>
      <c r="CN202" s="96"/>
      <c r="CO202" s="95"/>
      <c r="CP202" s="96"/>
      <c r="CQ202" s="96"/>
      <c r="CR202" s="95">
        <f>IFERROR(__xludf.DUMMYFUNCTION("""COMPUTED_VALUE"""),225.75)</f>
        <v>225.75</v>
      </c>
      <c r="CS202" s="96"/>
      <c r="CT202" s="96"/>
      <c r="CU202" s="95"/>
      <c r="CV202" s="96"/>
      <c r="CW202" s="97"/>
      <c r="CX202" s="96"/>
      <c r="CY202" s="96"/>
      <c r="CZ202" s="97"/>
      <c r="DA202" s="95">
        <f>IFERROR(__xludf.DUMMYFUNCTION("""COMPUTED_VALUE"""),90.3)</f>
        <v>90.3</v>
      </c>
      <c r="DB202" s="96"/>
      <c r="DC202" s="97"/>
      <c r="DD202" s="95"/>
      <c r="DE202" s="96"/>
      <c r="DF202" s="97"/>
      <c r="DG202" s="95"/>
      <c r="DH202" s="96"/>
      <c r="DI202" s="97"/>
      <c r="DJ202" s="95"/>
      <c r="DK202" s="96"/>
      <c r="DL202" s="97"/>
      <c r="DM202" s="95"/>
      <c r="DN202" s="96"/>
      <c r="DO202" s="97"/>
      <c r="DP202" s="95"/>
      <c r="DQ202" s="96"/>
      <c r="DR202" s="97"/>
      <c r="DS202" s="95"/>
    </row>
    <row r="203" ht="16.5" customHeight="1">
      <c r="B203" s="120" t="str">
        <f>IFERROR(__xludf.DUMMYFUNCTION("""COMPUTED_VALUE"""),"GTT8")</f>
        <v>GTT8</v>
      </c>
      <c r="C203" s="88" t="str">
        <f>IFERROR(__xludf.DUMMYFUNCTION("""COMPUTED_VALUE"""),"Flaming Mansion")</f>
        <v>Flaming Mansion</v>
      </c>
      <c r="D203" s="102">
        <f>IFERROR(__xludf.DUMMYFUNCTION("""COMPUTED_VALUE"""),21.0)</f>
        <v>21</v>
      </c>
      <c r="E203" s="82" t="b">
        <f>IFERROR(__xludf.DUMMYFUNCTION("""COMPUTED_VALUE"""),TRUE)</f>
        <v>1</v>
      </c>
      <c r="F203" s="82" t="str">
        <f>IFERROR(__xludf.DUMMYFUNCTION("""COMPUTED_VALUE"""),"Free Quests- Part 2!A277:J286")</f>
        <v>Free Quests- Part 2!A277:J286</v>
      </c>
      <c r="G203" s="82">
        <f>IFERROR(__xludf.DUMMYFUNCTION("""COMPUTED_VALUE"""),203.0)</f>
        <v>203</v>
      </c>
      <c r="H203" s="82">
        <f>IFERROR(__xludf.DUMMYFUNCTION("""COMPUTED_VALUE"""),2851.0)</f>
        <v>2851</v>
      </c>
      <c r="I203" s="95"/>
      <c r="J203" s="96"/>
      <c r="K203" s="97"/>
      <c r="L203" s="95"/>
      <c r="M203" s="96"/>
      <c r="N203" s="97"/>
      <c r="O203" s="95"/>
      <c r="P203" s="96"/>
      <c r="Q203" s="97"/>
      <c r="R203" s="95"/>
      <c r="S203" s="96"/>
      <c r="T203" s="97"/>
      <c r="U203" s="95"/>
      <c r="V203" s="96"/>
      <c r="W203" s="97"/>
      <c r="X203" s="95"/>
      <c r="Y203" s="96"/>
      <c r="Z203" s="97"/>
      <c r="AA203" s="95"/>
      <c r="AB203" s="96"/>
      <c r="AC203" s="97"/>
      <c r="AD203" s="95"/>
      <c r="AE203" s="96"/>
      <c r="AF203" s="97"/>
      <c r="AG203" s="95"/>
      <c r="AH203" s="96"/>
      <c r="AI203" s="97"/>
      <c r="AJ203" s="95"/>
      <c r="AK203" s="96"/>
      <c r="AL203" s="97"/>
      <c r="AM203" s="95"/>
      <c r="AN203" s="96">
        <f>IFERROR(__xludf.DUMMYFUNCTION("""COMPUTED_VALUE"""),81.51420334273165)</f>
        <v>81.51420334</v>
      </c>
      <c r="AO203" s="97">
        <f>IFERROR(__xludf.DUMMYFUNCTION("""COMPUTED_VALUE"""),85.0356356687554)</f>
        <v>85.03563567</v>
      </c>
      <c r="AP203" s="95"/>
      <c r="AQ203" s="96"/>
      <c r="AR203" s="97"/>
      <c r="AS203" s="95"/>
      <c r="AT203" s="96"/>
      <c r="AU203" s="97"/>
      <c r="AV203" s="95"/>
      <c r="AW203" s="96"/>
      <c r="AX203" s="97"/>
      <c r="AY203" s="95"/>
      <c r="AZ203" s="96"/>
      <c r="BA203" s="97"/>
      <c r="BB203" s="95"/>
      <c r="BC203" s="96"/>
      <c r="BD203" s="97"/>
      <c r="BE203" s="95"/>
      <c r="BF203" s="96"/>
      <c r="BG203" s="97"/>
      <c r="BH203" s="95"/>
      <c r="BI203" s="96"/>
      <c r="BJ203" s="97"/>
      <c r="BK203" s="95"/>
      <c r="BL203" s="96"/>
      <c r="BM203" s="97"/>
      <c r="BN203" s="95">
        <f>IFERROR(__xludf.DUMMYFUNCTION("""COMPUTED_VALUE"""),82.91425135712316)</f>
        <v>82.91425136</v>
      </c>
      <c r="BO203" s="96"/>
      <c r="BP203" s="97"/>
      <c r="BQ203" s="95">
        <f>IFERROR(__xludf.DUMMYFUNCTION("""COMPUTED_VALUE"""),105.56915117866585)</f>
        <v>105.5691512</v>
      </c>
      <c r="BR203" s="96"/>
      <c r="BS203" s="97"/>
      <c r="BT203" s="95"/>
      <c r="BU203" s="96"/>
      <c r="BV203" s="97"/>
      <c r="BW203" s="95"/>
      <c r="BX203" s="96"/>
      <c r="BY203" s="97"/>
      <c r="BZ203" s="95"/>
      <c r="CA203" s="96"/>
      <c r="CB203" s="97"/>
      <c r="CC203" s="95"/>
      <c r="CD203" s="96"/>
      <c r="CE203" s="97"/>
      <c r="CF203" s="95"/>
      <c r="CG203" s="96"/>
      <c r="CH203" s="96"/>
      <c r="CI203" s="95"/>
      <c r="CJ203" s="96"/>
      <c r="CK203" s="96"/>
      <c r="CL203" s="95"/>
      <c r="CM203" s="96"/>
      <c r="CN203" s="96"/>
      <c r="CO203" s="95"/>
      <c r="CP203" s="96"/>
      <c r="CQ203" s="96"/>
      <c r="CR203" s="95"/>
      <c r="CS203" s="96">
        <f>IFERROR(__xludf.DUMMYFUNCTION("""COMPUTED_VALUE"""),110.22388059701493)</f>
        <v>110.2238806</v>
      </c>
      <c r="CT203" s="96"/>
      <c r="CU203" s="95"/>
      <c r="CV203" s="96"/>
      <c r="CW203" s="97"/>
      <c r="CX203" s="96">
        <f>IFERROR(__xludf.DUMMYFUNCTION("""COMPUTED_VALUE"""),75.03370786516854)</f>
        <v>75.03370787</v>
      </c>
      <c r="CY203" s="96"/>
      <c r="CZ203" s="97"/>
      <c r="DA203" s="95"/>
      <c r="DB203" s="96"/>
      <c r="DC203" s="97"/>
      <c r="DD203" s="95"/>
      <c r="DE203" s="96"/>
      <c r="DF203" s="97"/>
      <c r="DG203" s="95"/>
      <c r="DH203" s="96"/>
      <c r="DI203" s="97"/>
      <c r="DJ203" s="95"/>
      <c r="DK203" s="96"/>
      <c r="DL203" s="97"/>
      <c r="DM203" s="95"/>
      <c r="DN203" s="96"/>
      <c r="DO203" s="97"/>
      <c r="DP203" s="95"/>
      <c r="DQ203" s="96"/>
      <c r="DR203" s="97"/>
      <c r="DS203" s="95"/>
    </row>
    <row r="204" ht="16.5" customHeight="1">
      <c r="B204" s="120" t="str">
        <f>IFERROR(__xludf.DUMMYFUNCTION("""COMPUTED_VALUE"""),"GTT9")</f>
        <v>GTT9</v>
      </c>
      <c r="C204" s="88" t="str">
        <f>IFERROR(__xludf.DUMMYFUNCTION("""COMPUTED_VALUE"""),"Village 67")</f>
        <v>Village 67</v>
      </c>
      <c r="D204" s="102">
        <f>IFERROR(__xludf.DUMMYFUNCTION("""COMPUTED_VALUE"""),21.0)</f>
        <v>21</v>
      </c>
      <c r="E204" s="82" t="b">
        <f>IFERROR(__xludf.DUMMYFUNCTION("""COMPUTED_VALUE"""),TRUE)</f>
        <v>1</v>
      </c>
      <c r="F204" s="82" t="str">
        <f>IFERROR(__xludf.DUMMYFUNCTION("""COMPUTED_VALUE"""),"Free Quests- Part 2!A290:J299")</f>
        <v>Free Quests- Part 2!A290:J299</v>
      </c>
      <c r="G204" s="82">
        <f>IFERROR(__xludf.DUMMYFUNCTION("""COMPUTED_VALUE"""),204.0)</f>
        <v>204</v>
      </c>
      <c r="H204" s="82">
        <f>IFERROR(__xludf.DUMMYFUNCTION("""COMPUTED_VALUE"""),55.0)</f>
        <v>55</v>
      </c>
      <c r="I204" s="95"/>
      <c r="J204" s="96"/>
      <c r="K204" s="97"/>
      <c r="L204" s="95"/>
      <c r="M204" s="96"/>
      <c r="N204" s="97"/>
      <c r="O204" s="95"/>
      <c r="P204" s="96"/>
      <c r="Q204" s="97"/>
      <c r="R204" s="95">
        <f>IFERROR(__xludf.DUMMYFUNCTION("""COMPUTED_VALUE"""),113.96339678571928)</f>
        <v>113.9633968</v>
      </c>
      <c r="S204" s="96"/>
      <c r="T204" s="97"/>
      <c r="U204" s="95"/>
      <c r="V204" s="96"/>
      <c r="W204" s="97"/>
      <c r="X204" s="95"/>
      <c r="Y204" s="96"/>
      <c r="Z204" s="97"/>
      <c r="AA204" s="95"/>
      <c r="AB204" s="96"/>
      <c r="AC204" s="97"/>
      <c r="AD204" s="95"/>
      <c r="AE204" s="96"/>
      <c r="AF204" s="97"/>
      <c r="AG204" s="95"/>
      <c r="AH204" s="96"/>
      <c r="AI204" s="97"/>
      <c r="AJ204" s="95"/>
      <c r="AK204" s="96"/>
      <c r="AL204" s="97"/>
      <c r="AM204" s="95"/>
      <c r="AN204" s="96"/>
      <c r="AO204" s="97">
        <f>IFERROR(__xludf.DUMMYFUNCTION("""COMPUTED_VALUE"""),82.63733301888381)</f>
        <v>82.63733302</v>
      </c>
      <c r="AP204" s="95"/>
      <c r="AQ204" s="96"/>
      <c r="AR204" s="97"/>
      <c r="AS204" s="95"/>
      <c r="AT204" s="96"/>
      <c r="AU204" s="97"/>
      <c r="AV204" s="95"/>
      <c r="AW204" s="96"/>
      <c r="AX204" s="97"/>
      <c r="AY204" s="95"/>
      <c r="AZ204" s="96"/>
      <c r="BA204" s="97"/>
      <c r="BB204" s="95"/>
      <c r="BC204" s="96"/>
      <c r="BD204" s="97"/>
      <c r="BE204" s="95"/>
      <c r="BF204" s="96"/>
      <c r="BG204" s="97"/>
      <c r="BH204" s="95"/>
      <c r="BI204" s="96"/>
      <c r="BJ204" s="97"/>
      <c r="BK204" s="95"/>
      <c r="BL204" s="96"/>
      <c r="BM204" s="97"/>
      <c r="BN204" s="95">
        <f>IFERROR(__xludf.DUMMYFUNCTION("""COMPUTED_VALUE"""),62.28738294891096)</f>
        <v>62.28738295</v>
      </c>
      <c r="BO204" s="96"/>
      <c r="BP204" s="97">
        <f>IFERROR(__xludf.DUMMYFUNCTION("""COMPUTED_VALUE"""),286.94508912140253)</f>
        <v>286.9450891</v>
      </c>
      <c r="BQ204" s="95"/>
      <c r="BR204" s="96"/>
      <c r="BS204" s="97"/>
      <c r="BT204" s="95"/>
      <c r="BU204" s="96"/>
      <c r="BV204" s="97"/>
      <c r="BW204" s="95"/>
      <c r="BX204" s="96"/>
      <c r="BY204" s="97"/>
      <c r="BZ204" s="95"/>
      <c r="CA204" s="96"/>
      <c r="CB204" s="97"/>
      <c r="CC204" s="95"/>
      <c r="CD204" s="96"/>
      <c r="CE204" s="97"/>
      <c r="CF204" s="95"/>
      <c r="CG204" s="96"/>
      <c r="CH204" s="96"/>
      <c r="CI204" s="95"/>
      <c r="CJ204" s="96"/>
      <c r="CK204" s="96"/>
      <c r="CL204" s="95"/>
      <c r="CM204" s="96"/>
      <c r="CN204" s="96"/>
      <c r="CO204" s="95"/>
      <c r="CP204" s="96"/>
      <c r="CQ204" s="96"/>
      <c r="CR204" s="95"/>
      <c r="CS204" s="96"/>
      <c r="CT204" s="96"/>
      <c r="CU204" s="95"/>
      <c r="CV204" s="96"/>
      <c r="CW204" s="97"/>
      <c r="CX204" s="96">
        <f>IFERROR(__xludf.DUMMYFUNCTION("""COMPUTED_VALUE"""),74.3076923076923)</f>
        <v>74.30769231</v>
      </c>
      <c r="CY204" s="96"/>
      <c r="CZ204" s="97"/>
      <c r="DA204" s="95"/>
      <c r="DB204" s="96"/>
      <c r="DC204" s="97"/>
      <c r="DD204" s="95"/>
      <c r="DE204" s="96"/>
      <c r="DF204" s="97"/>
      <c r="DG204" s="95"/>
      <c r="DH204" s="96"/>
      <c r="DI204" s="97"/>
      <c r="DJ204" s="95"/>
      <c r="DK204" s="96"/>
      <c r="DL204" s="97"/>
      <c r="DM204" s="95"/>
      <c r="DN204" s="96"/>
      <c r="DO204" s="97"/>
      <c r="DP204" s="95"/>
      <c r="DQ204" s="96"/>
      <c r="DR204" s="97"/>
      <c r="DS204" s="95"/>
    </row>
    <row r="205" ht="16.5" customHeight="1">
      <c r="B205" s="120" t="str">
        <f>IFERROR(__xludf.DUMMYFUNCTION("""COMPUTED_VALUE"""),"GTT10")</f>
        <v>GTT10</v>
      </c>
      <c r="C205" s="88" t="str">
        <f>IFERROR(__xludf.DUMMYFUNCTION("""COMPUTED_VALUE"""),"North Boundary")</f>
        <v>North Boundary</v>
      </c>
      <c r="D205" s="102">
        <f>IFERROR(__xludf.DUMMYFUNCTION("""COMPUTED_VALUE"""),21.0)</f>
        <v>21</v>
      </c>
      <c r="E205" s="82" t="b">
        <f>IFERROR(__xludf.DUMMYFUNCTION("""COMPUTED_VALUE"""),TRUE)</f>
        <v>1</v>
      </c>
      <c r="F205" s="82" t="str">
        <f>IFERROR(__xludf.DUMMYFUNCTION("""COMPUTED_VALUE"""),"Free Quests- Part 2!A303:J312")</f>
        <v>Free Quests- Part 2!A303:J312</v>
      </c>
      <c r="G205" s="82">
        <f>IFERROR(__xludf.DUMMYFUNCTION("""COMPUTED_VALUE"""),205.0)</f>
        <v>205</v>
      </c>
      <c r="H205" s="82">
        <f>IFERROR(__xludf.DUMMYFUNCTION("""COMPUTED_VALUE"""),54.0)</f>
        <v>54</v>
      </c>
      <c r="I205" s="95"/>
      <c r="J205" s="96"/>
      <c r="K205" s="97"/>
      <c r="L205" s="95"/>
      <c r="M205" s="96"/>
      <c r="N205" s="97"/>
      <c r="O205" s="95"/>
      <c r="P205" s="96"/>
      <c r="Q205" s="97"/>
      <c r="R205" s="95"/>
      <c r="S205" s="96"/>
      <c r="T205" s="97"/>
      <c r="U205" s="95"/>
      <c r="V205" s="96"/>
      <c r="W205" s="97"/>
      <c r="X205" s="95"/>
      <c r="Y205" s="96"/>
      <c r="Z205" s="97"/>
      <c r="AA205" s="95"/>
      <c r="AB205" s="96"/>
      <c r="AC205" s="97"/>
      <c r="AD205" s="95"/>
      <c r="AE205" s="96"/>
      <c r="AF205" s="97"/>
      <c r="AG205" s="95"/>
      <c r="AH205" s="96"/>
      <c r="AI205" s="97"/>
      <c r="AJ205" s="95"/>
      <c r="AK205" s="96"/>
      <c r="AL205" s="97"/>
      <c r="AM205" s="95"/>
      <c r="AN205" s="96">
        <f>IFERROR(__xludf.DUMMYFUNCTION("""COMPUTED_VALUE"""),83.44449692961739)</f>
        <v>83.44449693</v>
      </c>
      <c r="AO205" s="97"/>
      <c r="AP205" s="95"/>
      <c r="AQ205" s="96"/>
      <c r="AR205" s="97"/>
      <c r="AS205" s="95"/>
      <c r="AT205" s="96"/>
      <c r="AU205" s="97"/>
      <c r="AV205" s="95"/>
      <c r="AW205" s="96"/>
      <c r="AX205" s="97">
        <f>IFERROR(__xludf.DUMMYFUNCTION("""COMPUTED_VALUE"""),69.5383581811454)</f>
        <v>69.53835818</v>
      </c>
      <c r="AY205" s="95"/>
      <c r="AZ205" s="96"/>
      <c r="BA205" s="97"/>
      <c r="BB205" s="95"/>
      <c r="BC205" s="96"/>
      <c r="BD205" s="97"/>
      <c r="BE205" s="95"/>
      <c r="BF205" s="96"/>
      <c r="BG205" s="97"/>
      <c r="BH205" s="95"/>
      <c r="BI205" s="96"/>
      <c r="BJ205" s="97"/>
      <c r="BK205" s="95"/>
      <c r="BL205" s="96"/>
      <c r="BM205" s="97"/>
      <c r="BN205" s="95"/>
      <c r="BO205" s="96"/>
      <c r="BP205" s="97"/>
      <c r="BQ205" s="95">
        <f>IFERROR(__xludf.DUMMYFUNCTION("""COMPUTED_VALUE"""),51.196669496639835)</f>
        <v>51.1966695</v>
      </c>
      <c r="BR205" s="96"/>
      <c r="BS205" s="97"/>
      <c r="BT205" s="95"/>
      <c r="BU205" s="96"/>
      <c r="BV205" s="97"/>
      <c r="BW205" s="95"/>
      <c r="BX205" s="96"/>
      <c r="BY205" s="97"/>
      <c r="BZ205" s="95"/>
      <c r="CA205" s="96"/>
      <c r="CB205" s="97"/>
      <c r="CC205" s="95"/>
      <c r="CD205" s="96"/>
      <c r="CE205" s="97"/>
      <c r="CF205" s="95"/>
      <c r="CG205" s="96"/>
      <c r="CH205" s="96"/>
      <c r="CI205" s="95"/>
      <c r="CJ205" s="96"/>
      <c r="CK205" s="96"/>
      <c r="CL205" s="95"/>
      <c r="CM205" s="96"/>
      <c r="CN205" s="96"/>
      <c r="CO205" s="95"/>
      <c r="CP205" s="96"/>
      <c r="CQ205" s="96"/>
      <c r="CR205" s="95"/>
      <c r="CS205" s="96">
        <f>IFERROR(__xludf.DUMMYFUNCTION("""COMPUTED_VALUE"""),118.125)</f>
        <v>118.125</v>
      </c>
      <c r="CT205" s="96"/>
      <c r="CU205" s="95"/>
      <c r="CV205" s="96"/>
      <c r="CW205" s="97">
        <f>IFERROR(__xludf.DUMMYFUNCTION("""COMPUTED_VALUE"""),105.0)</f>
        <v>105</v>
      </c>
      <c r="CX205" s="96"/>
      <c r="CY205" s="96"/>
      <c r="CZ205" s="97"/>
      <c r="DA205" s="95">
        <f>IFERROR(__xludf.DUMMYFUNCTION("""COMPUTED_VALUE"""),135.0)</f>
        <v>135</v>
      </c>
      <c r="DB205" s="96"/>
      <c r="DC205" s="97"/>
      <c r="DD205" s="95"/>
      <c r="DE205" s="96"/>
      <c r="DF205" s="97"/>
      <c r="DG205" s="95"/>
      <c r="DH205" s="96"/>
      <c r="DI205" s="97"/>
      <c r="DJ205" s="95"/>
      <c r="DK205" s="96"/>
      <c r="DL205" s="97"/>
      <c r="DM205" s="95"/>
      <c r="DN205" s="96"/>
      <c r="DO205" s="97"/>
      <c r="DP205" s="95"/>
      <c r="DQ205" s="96"/>
      <c r="DR205" s="97"/>
      <c r="DS205" s="95"/>
    </row>
    <row r="206" ht="16.5" customHeight="1">
      <c r="B206" s="120" t="str">
        <f>IFERROR(__xludf.DUMMYFUNCTION("""COMPUTED_VALUE"""),"GTT11")</f>
        <v>GTT11</v>
      </c>
      <c r="C206" s="88" t="str">
        <f>IFERROR(__xludf.DUMMYFUNCTION("""COMPUTED_VALUE"""),"Forgotten Shrine")</f>
        <v>Forgotten Shrine</v>
      </c>
      <c r="D206" s="102">
        <f>IFERROR(__xludf.DUMMYFUNCTION("""COMPUTED_VALUE"""),21.0)</f>
        <v>21</v>
      </c>
      <c r="E206" s="82" t="b">
        <f>IFERROR(__xludf.DUMMYFUNCTION("""COMPUTED_VALUE"""),TRUE)</f>
        <v>1</v>
      </c>
      <c r="F206" s="82" t="str">
        <f>IFERROR(__xludf.DUMMYFUNCTION("""COMPUTED_VALUE"""),"Free Quests- Part 2!A316:J324")</f>
        <v>Free Quests- Part 2!A316:J324</v>
      </c>
      <c r="G206" s="82">
        <f>IFERROR(__xludf.DUMMYFUNCTION("""COMPUTED_VALUE"""),206.0)</f>
        <v>206</v>
      </c>
      <c r="H206" s="82">
        <f>IFERROR(__xludf.DUMMYFUNCTION("""COMPUTED_VALUE"""),59.0)</f>
        <v>59</v>
      </c>
      <c r="I206" s="95"/>
      <c r="J206" s="96"/>
      <c r="K206" s="97"/>
      <c r="L206" s="95">
        <f>IFERROR(__xludf.DUMMYFUNCTION("""COMPUTED_VALUE"""),184.4824851450115)</f>
        <v>184.4824851</v>
      </c>
      <c r="M206" s="96"/>
      <c r="N206" s="97"/>
      <c r="O206" s="95"/>
      <c r="P206" s="96"/>
      <c r="Q206" s="97"/>
      <c r="R206" s="95"/>
      <c r="S206" s="96"/>
      <c r="T206" s="97"/>
      <c r="U206" s="95"/>
      <c r="V206" s="96"/>
      <c r="W206" s="97"/>
      <c r="X206" s="95"/>
      <c r="Y206" s="96"/>
      <c r="Z206" s="97"/>
      <c r="AA206" s="95"/>
      <c r="AB206" s="96"/>
      <c r="AC206" s="97"/>
      <c r="AD206" s="95"/>
      <c r="AE206" s="96"/>
      <c r="AF206" s="97"/>
      <c r="AG206" s="95"/>
      <c r="AH206" s="96"/>
      <c r="AI206" s="97"/>
      <c r="AJ206" s="95"/>
      <c r="AK206" s="96"/>
      <c r="AL206" s="97"/>
      <c r="AM206" s="95"/>
      <c r="AN206" s="96"/>
      <c r="AO206" s="97">
        <f>IFERROR(__xludf.DUMMYFUNCTION("""COMPUTED_VALUE"""),87.91541048995978)</f>
        <v>87.91541049</v>
      </c>
      <c r="AP206" s="95"/>
      <c r="AQ206" s="96"/>
      <c r="AR206" s="97"/>
      <c r="AS206" s="95"/>
      <c r="AT206" s="96"/>
      <c r="AU206" s="97"/>
      <c r="AV206" s="95"/>
      <c r="AW206" s="96"/>
      <c r="AX206" s="97"/>
      <c r="AY206" s="95"/>
      <c r="AZ206" s="96"/>
      <c r="BA206" s="97"/>
      <c r="BB206" s="95"/>
      <c r="BC206" s="96"/>
      <c r="BD206" s="97">
        <f>IFERROR(__xludf.DUMMYFUNCTION("""COMPUTED_VALUE"""),525.7693549588932)</f>
        <v>525.769355</v>
      </c>
      <c r="BE206" s="95"/>
      <c r="BF206" s="96"/>
      <c r="BG206" s="97"/>
      <c r="BH206" s="95"/>
      <c r="BI206" s="96"/>
      <c r="BJ206" s="97"/>
      <c r="BK206" s="95"/>
      <c r="BL206" s="96"/>
      <c r="BM206" s="97"/>
      <c r="BN206" s="95">
        <f>IFERROR(__xludf.DUMMYFUNCTION("""COMPUTED_VALUE"""),52.03399547816189)</f>
        <v>52.03399548</v>
      </c>
      <c r="BO206" s="96"/>
      <c r="BP206" s="97"/>
      <c r="BQ206" s="95"/>
      <c r="BR206" s="96"/>
      <c r="BS206" s="97"/>
      <c r="BT206" s="95"/>
      <c r="BU206" s="96"/>
      <c r="BV206" s="97"/>
      <c r="BW206" s="95"/>
      <c r="BX206" s="96"/>
      <c r="BY206" s="97"/>
      <c r="BZ206" s="95"/>
      <c r="CA206" s="96"/>
      <c r="CB206" s="97"/>
      <c r="CC206" s="95"/>
      <c r="CD206" s="96"/>
      <c r="CE206" s="97"/>
      <c r="CF206" s="95"/>
      <c r="CG206" s="96"/>
      <c r="CH206" s="96"/>
      <c r="CI206" s="95"/>
      <c r="CJ206" s="96"/>
      <c r="CK206" s="96"/>
      <c r="CL206" s="95"/>
      <c r="CM206" s="96">
        <f>IFERROR(__xludf.DUMMYFUNCTION("""COMPUTED_VALUE"""),470.2345471037968)</f>
        <v>470.2345471</v>
      </c>
      <c r="CN206" s="96"/>
      <c r="CO206" s="95"/>
      <c r="CP206" s="96"/>
      <c r="CQ206" s="96"/>
      <c r="CR206" s="95"/>
      <c r="CS206" s="96"/>
      <c r="CT206" s="96"/>
      <c r="CU206" s="95"/>
      <c r="CV206" s="96"/>
      <c r="CW206" s="97"/>
      <c r="CX206" s="96">
        <f>IFERROR(__xludf.DUMMYFUNCTION("""COMPUTED_VALUE"""),43.75)</f>
        <v>43.75</v>
      </c>
      <c r="CY206" s="96"/>
      <c r="CZ206" s="97"/>
      <c r="DA206" s="95"/>
      <c r="DB206" s="96"/>
      <c r="DC206" s="97"/>
      <c r="DD206" s="95"/>
      <c r="DE206" s="96"/>
      <c r="DF206" s="97"/>
      <c r="DG206" s="95"/>
      <c r="DH206" s="96"/>
      <c r="DI206" s="97"/>
      <c r="DJ206" s="95"/>
      <c r="DK206" s="96"/>
      <c r="DL206" s="97"/>
      <c r="DM206" s="95"/>
      <c r="DN206" s="96"/>
      <c r="DO206" s="97"/>
      <c r="DP206" s="95"/>
      <c r="DQ206" s="96"/>
      <c r="DR206" s="97"/>
      <c r="DS206" s="95"/>
    </row>
    <row r="207">
      <c r="A207" s="263" t="str">
        <f>IFERROR(__xludf.DUMMYFUNCTION("""COMPUTED_VALUE"""),"SIN")</f>
        <v>SIN</v>
      </c>
      <c r="B207" s="180" t="str">
        <f>IFERROR(__xludf.DUMMYFUNCTION("""COMPUTED_VALUE"""),"SIN1")</f>
        <v>SIN1</v>
      </c>
      <c r="C207" s="264" t="str">
        <f>IFERROR(__xludf.DUMMYFUNCTION("""COMPUTED_VALUE"""),"Seeding Point")</f>
        <v>Seeding Point</v>
      </c>
      <c r="D207" s="102">
        <f>IFERROR(__xludf.DUMMYFUNCTION("""COMPUTED_VALUE"""),20.0)</f>
        <v>20</v>
      </c>
      <c r="E207" s="82" t="b">
        <f>IFERROR(__xludf.DUMMYFUNCTION("""COMPUTED_VALUE"""),TRUE)</f>
        <v>1</v>
      </c>
      <c r="F207" s="82" t="str">
        <f>IFERROR(__xludf.DUMMYFUNCTION("""COMPUTED_VALUE"""),"Free Quests- Part 2!A330:J340")</f>
        <v>Free Quests- Part 2!A330:J340</v>
      </c>
      <c r="G207" s="82">
        <f>IFERROR(__xludf.DUMMYFUNCTION("""COMPUTED_VALUE"""),207.0)</f>
        <v>207</v>
      </c>
      <c r="H207" s="82">
        <f>IFERROR(__xludf.DUMMYFUNCTION("""COMPUTED_VALUE"""),42.0)</f>
        <v>42</v>
      </c>
      <c r="I207" s="265"/>
      <c r="J207" s="266"/>
      <c r="K207" s="267"/>
      <c r="L207" s="268"/>
      <c r="M207" s="266"/>
      <c r="N207" s="267"/>
      <c r="O207" s="268"/>
      <c r="P207" s="266"/>
      <c r="Q207" s="267"/>
      <c r="R207" s="268"/>
      <c r="S207" s="266"/>
      <c r="T207" s="267"/>
      <c r="U207" s="265"/>
      <c r="V207" s="266"/>
      <c r="W207" s="267"/>
      <c r="X207" s="268"/>
      <c r="Y207" s="266"/>
      <c r="Z207" s="267"/>
      <c r="AA207" s="268"/>
      <c r="AB207" s="266"/>
      <c r="AC207" s="267"/>
      <c r="AD207" s="268"/>
      <c r="AE207" s="266"/>
      <c r="AF207" s="269">
        <f>IFERROR(__xludf.DUMMYFUNCTION("""COMPUTED_VALUE"""),66.38950305196069)</f>
        <v>66.38950305</v>
      </c>
      <c r="AG207" s="265"/>
      <c r="AH207" s="266"/>
      <c r="AI207" s="267"/>
      <c r="AJ207" s="268"/>
      <c r="AK207" s="266"/>
      <c r="AL207" s="267"/>
      <c r="AM207" s="268"/>
      <c r="AN207" s="266"/>
      <c r="AO207" s="267"/>
      <c r="AP207" s="268"/>
      <c r="AQ207" s="266"/>
      <c r="AR207" s="267"/>
      <c r="AS207" s="265"/>
      <c r="AT207" s="266"/>
      <c r="AU207" s="267"/>
      <c r="AV207" s="268"/>
      <c r="AW207" s="266"/>
      <c r="AX207" s="267"/>
      <c r="AY207" s="268"/>
      <c r="AZ207" s="270">
        <f>IFERROR(__xludf.DUMMYFUNCTION("""COMPUTED_VALUE"""),50.77641885392332)</f>
        <v>50.77641885</v>
      </c>
      <c r="BA207" s="267"/>
      <c r="BB207" s="268"/>
      <c r="BC207" s="266"/>
      <c r="BD207" s="267"/>
      <c r="BE207" s="265"/>
      <c r="BF207" s="266"/>
      <c r="BG207" s="267"/>
      <c r="BH207" s="268"/>
      <c r="BI207" s="266"/>
      <c r="BJ207" s="267"/>
      <c r="BK207" s="268"/>
      <c r="BL207" s="266"/>
      <c r="BM207" s="267"/>
      <c r="BN207" s="268"/>
      <c r="BO207" s="266"/>
      <c r="BP207" s="267"/>
      <c r="BQ207" s="265"/>
      <c r="BR207" s="266"/>
      <c r="BS207" s="267"/>
      <c r="BT207" s="271">
        <f>IFERROR(__xludf.DUMMYFUNCTION("""COMPUTED_VALUE"""),79.4500256829883)</f>
        <v>79.45002568</v>
      </c>
      <c r="BU207" s="270">
        <f>IFERROR(__xludf.DUMMYFUNCTION("""COMPUTED_VALUE"""),102.18054815846614)</f>
        <v>102.1805482</v>
      </c>
      <c r="BV207" s="267"/>
      <c r="BW207" s="268"/>
      <c r="BX207" s="266"/>
      <c r="BY207" s="267"/>
      <c r="BZ207" s="268"/>
      <c r="CA207" s="266"/>
      <c r="CB207" s="267"/>
      <c r="CC207" s="268"/>
      <c r="CD207" s="266"/>
      <c r="CE207" s="267"/>
      <c r="CF207" s="268"/>
      <c r="CG207" s="266"/>
      <c r="CH207" s="266"/>
      <c r="CI207" s="268"/>
      <c r="CJ207" s="266"/>
      <c r="CK207" s="266"/>
      <c r="CL207" s="268"/>
      <c r="CM207" s="266"/>
      <c r="CN207" s="266"/>
      <c r="CO207" s="268"/>
      <c r="CP207" s="266"/>
      <c r="CQ207" s="266"/>
      <c r="CR207" s="268"/>
      <c r="CS207" s="266"/>
      <c r="CT207" s="266"/>
      <c r="CU207" s="268"/>
      <c r="CV207" s="266"/>
      <c r="CW207" s="269">
        <f>IFERROR(__xludf.DUMMYFUNCTION("""COMPUTED_VALUE"""),60.0)</f>
        <v>60</v>
      </c>
      <c r="CX207" s="270">
        <f>IFERROR(__xludf.DUMMYFUNCTION("""COMPUTED_VALUE"""),220.0)</f>
        <v>220</v>
      </c>
      <c r="CY207" s="266"/>
      <c r="CZ207" s="267"/>
      <c r="DA207" s="268"/>
      <c r="DB207" s="266"/>
      <c r="DC207" s="267"/>
      <c r="DD207" s="268"/>
      <c r="DE207" s="270">
        <f>IFERROR(__xludf.DUMMYFUNCTION("""COMPUTED_VALUE"""),94.28571428571428)</f>
        <v>94.28571429</v>
      </c>
      <c r="DF207" s="269">
        <f>IFERROR(__xludf.DUMMYFUNCTION("""COMPUTED_VALUE"""),660.0)</f>
        <v>660</v>
      </c>
      <c r="DG207" s="271"/>
      <c r="DH207" s="270"/>
      <c r="DI207" s="269"/>
      <c r="DJ207" s="271"/>
      <c r="DK207" s="270"/>
      <c r="DL207" s="269"/>
      <c r="DM207" s="271"/>
      <c r="DN207" s="270"/>
      <c r="DO207" s="269"/>
      <c r="DP207" s="271"/>
      <c r="DQ207" s="270"/>
      <c r="DR207" s="269"/>
      <c r="DS207" s="271"/>
    </row>
    <row r="208">
      <c r="B208" s="180" t="str">
        <f>IFERROR(__xludf.DUMMYFUNCTION("""COMPUTED_VALUE"""),"SIN2")</f>
        <v>SIN2</v>
      </c>
      <c r="C208" s="264" t="str">
        <f>IFERROR(__xludf.DUMMYFUNCTION("""COMPUTED_VALUE"""),"Neighboring Village")</f>
        <v>Neighboring Village</v>
      </c>
      <c r="D208" s="102">
        <f>IFERROR(__xludf.DUMMYFUNCTION("""COMPUTED_VALUE"""),20.0)</f>
        <v>20</v>
      </c>
      <c r="E208" s="82" t="b">
        <f>IFERROR(__xludf.DUMMYFUNCTION("""COMPUTED_VALUE"""),TRUE)</f>
        <v>1</v>
      </c>
      <c r="F208" s="82" t="str">
        <f>IFERROR(__xludf.DUMMYFUNCTION("""COMPUTED_VALUE"""),"Free Quests- Part 2!A344:J354")</f>
        <v>Free Quests- Part 2!A344:J354</v>
      </c>
      <c r="G208" s="82">
        <f>IFERROR(__xludf.DUMMYFUNCTION("""COMPUTED_VALUE"""),208.0)</f>
        <v>208</v>
      </c>
      <c r="H208" s="82">
        <f>IFERROR(__xludf.DUMMYFUNCTION("""COMPUTED_VALUE"""),45.0)</f>
        <v>45</v>
      </c>
      <c r="I208" s="95"/>
      <c r="J208" s="270"/>
      <c r="K208" s="269"/>
      <c r="L208" s="271"/>
      <c r="M208" s="270"/>
      <c r="N208" s="269"/>
      <c r="O208" s="271"/>
      <c r="P208" s="270"/>
      <c r="Q208" s="269"/>
      <c r="R208" s="271"/>
      <c r="S208" s="270"/>
      <c r="T208" s="269"/>
      <c r="U208" s="95"/>
      <c r="V208" s="270"/>
      <c r="W208" s="269"/>
      <c r="X208" s="271"/>
      <c r="Y208" s="270"/>
      <c r="Z208" s="269"/>
      <c r="AA208" s="271"/>
      <c r="AB208" s="270"/>
      <c r="AC208" s="269"/>
      <c r="AD208" s="271"/>
      <c r="AE208" s="270"/>
      <c r="AF208" s="269"/>
      <c r="AG208" s="95"/>
      <c r="AH208" s="270"/>
      <c r="AI208" s="269"/>
      <c r="AJ208" s="271"/>
      <c r="AK208" s="270"/>
      <c r="AL208" s="269"/>
      <c r="AM208" s="271"/>
      <c r="AN208" s="270">
        <f>IFERROR(__xludf.DUMMYFUNCTION("""COMPUTED_VALUE"""),77.87988072468119)</f>
        <v>77.87988072</v>
      </c>
      <c r="AO208" s="269"/>
      <c r="AP208" s="271"/>
      <c r="AQ208" s="270"/>
      <c r="AR208" s="269"/>
      <c r="AS208" s="95"/>
      <c r="AT208" s="270"/>
      <c r="AU208" s="269"/>
      <c r="AV208" s="271"/>
      <c r="AW208" s="270"/>
      <c r="AX208" s="269"/>
      <c r="AY208" s="271"/>
      <c r="AZ208" s="270">
        <f>IFERROR(__xludf.DUMMYFUNCTION("""COMPUTED_VALUE"""),49.431575536412225)</f>
        <v>49.43157554</v>
      </c>
      <c r="BA208" s="269"/>
      <c r="BB208" s="271"/>
      <c r="BC208" s="270"/>
      <c r="BD208" s="269"/>
      <c r="BE208" s="95"/>
      <c r="BF208" s="270"/>
      <c r="BG208" s="269"/>
      <c r="BH208" s="271"/>
      <c r="BI208" s="270"/>
      <c r="BJ208" s="269"/>
      <c r="BK208" s="271"/>
      <c r="BL208" s="270"/>
      <c r="BM208" s="269"/>
      <c r="BN208" s="271"/>
      <c r="BO208" s="270"/>
      <c r="BP208" s="269"/>
      <c r="BQ208" s="95">
        <f>IFERROR(__xludf.DUMMYFUNCTION("""COMPUTED_VALUE"""),143.20919012241112)</f>
        <v>143.2091901</v>
      </c>
      <c r="BR208" s="270"/>
      <c r="BS208" s="269"/>
      <c r="BT208" s="271">
        <f>IFERROR(__xludf.DUMMYFUNCTION("""COMPUTED_VALUE"""),78.2556480689697)</f>
        <v>78.25564807</v>
      </c>
      <c r="BU208" s="270"/>
      <c r="BV208" s="269"/>
      <c r="BW208" s="271"/>
      <c r="BX208" s="270"/>
      <c r="BY208" s="269"/>
      <c r="BZ208" s="271"/>
      <c r="CA208" s="270"/>
      <c r="CB208" s="269"/>
      <c r="CC208" s="271"/>
      <c r="CD208" s="270"/>
      <c r="CE208" s="269"/>
      <c r="CF208" s="271"/>
      <c r="CG208" s="270"/>
      <c r="CH208" s="270"/>
      <c r="CI208" s="271"/>
      <c r="CJ208" s="270"/>
      <c r="CK208" s="270"/>
      <c r="CL208" s="271"/>
      <c r="CM208" s="270"/>
      <c r="CN208" s="270"/>
      <c r="CO208" s="271"/>
      <c r="CP208" s="270"/>
      <c r="CQ208" s="270"/>
      <c r="CR208" s="271"/>
      <c r="CS208" s="270"/>
      <c r="CT208" s="270"/>
      <c r="CU208" s="271"/>
      <c r="CV208" s="270"/>
      <c r="CW208" s="269">
        <f>IFERROR(__xludf.DUMMYFUNCTION("""COMPUTED_VALUE"""),102.85714285714286)</f>
        <v>102.8571429</v>
      </c>
      <c r="CX208" s="270"/>
      <c r="CY208" s="270"/>
      <c r="CZ208" s="269"/>
      <c r="DA208" s="271"/>
      <c r="DB208" s="270"/>
      <c r="DC208" s="269"/>
      <c r="DD208" s="271"/>
      <c r="DE208" s="270">
        <f>IFERROR(__xludf.DUMMYFUNCTION("""COMPUTED_VALUE"""),102.85714285714286)</f>
        <v>102.8571429</v>
      </c>
      <c r="DF208" s="267"/>
      <c r="DG208" s="271"/>
      <c r="DH208" s="270"/>
      <c r="DI208" s="269">
        <f>IFERROR(__xludf.DUMMYFUNCTION("""COMPUTED_VALUE"""),80.0)</f>
        <v>80</v>
      </c>
      <c r="DJ208" s="271"/>
      <c r="DK208" s="270"/>
      <c r="DL208" s="269"/>
      <c r="DM208" s="271"/>
      <c r="DN208" s="270"/>
      <c r="DO208" s="269"/>
      <c r="DP208" s="271"/>
      <c r="DQ208" s="270"/>
      <c r="DR208" s="269"/>
      <c r="DS208" s="271"/>
    </row>
    <row r="209">
      <c r="B209" s="180" t="str">
        <f>IFERROR(__xludf.DUMMYFUNCTION("""COMPUTED_VALUE"""),"SIN3")</f>
        <v>SIN3</v>
      </c>
      <c r="C209" s="264" t="str">
        <f>IFERROR(__xludf.DUMMYFUNCTION("""COMPUTED_VALUE"""),"Icy Cave")</f>
        <v>Icy Cave</v>
      </c>
      <c r="D209" s="102">
        <f>IFERROR(__xludf.DUMMYFUNCTION("""COMPUTED_VALUE"""),20.0)</f>
        <v>20</v>
      </c>
      <c r="E209" s="82" t="b">
        <f>IFERROR(__xludf.DUMMYFUNCTION("""COMPUTED_VALUE"""),TRUE)</f>
        <v>1</v>
      </c>
      <c r="F209" s="82" t="str">
        <f>IFERROR(__xludf.DUMMYFUNCTION("""COMPUTED_VALUE"""),"Free Quests- Part 2!A358:J367")</f>
        <v>Free Quests- Part 2!A358:J367</v>
      </c>
      <c r="G209" s="82">
        <f>IFERROR(__xludf.DUMMYFUNCTION("""COMPUTED_VALUE"""),209.0)</f>
        <v>209</v>
      </c>
      <c r="H209" s="82">
        <f>IFERROR(__xludf.DUMMYFUNCTION("""COMPUTED_VALUE"""),55.0)</f>
        <v>55</v>
      </c>
      <c r="I209" s="95"/>
      <c r="J209" s="270"/>
      <c r="K209" s="269"/>
      <c r="L209" s="271"/>
      <c r="M209" s="270"/>
      <c r="N209" s="269"/>
      <c r="O209" s="271"/>
      <c r="P209" s="270"/>
      <c r="Q209" s="269"/>
      <c r="R209" s="271"/>
      <c r="S209" s="270"/>
      <c r="T209" s="269">
        <f>IFERROR(__xludf.DUMMYFUNCTION("""COMPUTED_VALUE"""),196.5604471826676)</f>
        <v>196.5604472</v>
      </c>
      <c r="U209" s="95"/>
      <c r="V209" s="270"/>
      <c r="W209" s="269"/>
      <c r="X209" s="271"/>
      <c r="Y209" s="270"/>
      <c r="Z209" s="269"/>
      <c r="AA209" s="271">
        <f>IFERROR(__xludf.DUMMYFUNCTION("""COMPUTED_VALUE"""),60.14732505150134)</f>
        <v>60.14732505</v>
      </c>
      <c r="AB209" s="270"/>
      <c r="AC209" s="269"/>
      <c r="AD209" s="271"/>
      <c r="AE209" s="270"/>
      <c r="AF209" s="269"/>
      <c r="AG209" s="95"/>
      <c r="AH209" s="270"/>
      <c r="AI209" s="269"/>
      <c r="AJ209" s="271"/>
      <c r="AK209" s="270"/>
      <c r="AL209" s="269"/>
      <c r="AM209" s="271"/>
      <c r="AN209" s="270"/>
      <c r="AO209" s="269"/>
      <c r="AP209" s="271"/>
      <c r="AQ209" s="270"/>
      <c r="AR209" s="269"/>
      <c r="AS209" s="95"/>
      <c r="AT209" s="270"/>
      <c r="AU209" s="269"/>
      <c r="AV209" s="271"/>
      <c r="AW209" s="270"/>
      <c r="AX209" s="269"/>
      <c r="AY209" s="271"/>
      <c r="AZ209" s="270"/>
      <c r="BA209" s="269"/>
      <c r="BB209" s="271"/>
      <c r="BC209" s="270"/>
      <c r="BD209" s="269"/>
      <c r="BE209" s="95"/>
      <c r="BF209" s="270"/>
      <c r="BG209" s="269"/>
      <c r="BH209" s="271"/>
      <c r="BI209" s="270">
        <f>IFERROR(__xludf.DUMMYFUNCTION("""COMPUTED_VALUE"""),553.4422286097448)</f>
        <v>553.4422286</v>
      </c>
      <c r="BJ209" s="269"/>
      <c r="BK209" s="271"/>
      <c r="BL209" s="270"/>
      <c r="BM209" s="269"/>
      <c r="BN209" s="271"/>
      <c r="BO209" s="270"/>
      <c r="BP209" s="269"/>
      <c r="BQ209" s="95"/>
      <c r="BR209" s="270"/>
      <c r="BS209" s="269"/>
      <c r="BT209" s="271"/>
      <c r="BU209" s="270"/>
      <c r="BV209" s="269"/>
      <c r="BW209" s="271">
        <f>IFERROR(__xludf.DUMMYFUNCTION("""COMPUTED_VALUE"""),54.03656697746147)</f>
        <v>54.03656698</v>
      </c>
      <c r="BX209" s="270"/>
      <c r="BY209" s="269"/>
      <c r="BZ209" s="271"/>
      <c r="CA209" s="270"/>
      <c r="CB209" s="269"/>
      <c r="CC209" s="271"/>
      <c r="CD209" s="270"/>
      <c r="CE209" s="269"/>
      <c r="CF209" s="271"/>
      <c r="CG209" s="270"/>
      <c r="CH209" s="270"/>
      <c r="CI209" s="271"/>
      <c r="CJ209" s="270"/>
      <c r="CK209" s="270"/>
      <c r="CL209" s="271"/>
      <c r="CM209" s="270"/>
      <c r="CN209" s="270"/>
      <c r="CO209" s="271"/>
      <c r="CP209" s="270"/>
      <c r="CQ209" s="270"/>
      <c r="CR209" s="271">
        <f>IFERROR(__xludf.DUMMYFUNCTION("""COMPUTED_VALUE"""),920.0)</f>
        <v>920</v>
      </c>
      <c r="CS209" s="270"/>
      <c r="CT209" s="270"/>
      <c r="CU209" s="271"/>
      <c r="CV209" s="270"/>
      <c r="CW209" s="269"/>
      <c r="CX209" s="270"/>
      <c r="CY209" s="270"/>
      <c r="CZ209" s="269">
        <f>IFERROR(__xludf.DUMMYFUNCTION("""COMPUTED_VALUE"""),38.333333333333336)</f>
        <v>38.33333333</v>
      </c>
      <c r="DA209" s="271"/>
      <c r="DB209" s="270"/>
      <c r="DC209" s="269"/>
      <c r="DD209" s="271"/>
      <c r="DE209" s="270"/>
      <c r="DF209" s="267"/>
      <c r="DG209" s="271"/>
      <c r="DH209" s="270"/>
      <c r="DI209" s="269"/>
      <c r="DJ209" s="271"/>
      <c r="DK209" s="270"/>
      <c r="DL209" s="269"/>
      <c r="DM209" s="271"/>
      <c r="DN209" s="270"/>
      <c r="DO209" s="269"/>
      <c r="DP209" s="271"/>
      <c r="DQ209" s="270"/>
      <c r="DR209" s="269"/>
      <c r="DS209" s="271"/>
    </row>
    <row r="210">
      <c r="B210" s="180" t="str">
        <f>IFERROR(__xludf.DUMMYFUNCTION("""COMPUTED_VALUE"""),"SIN4")</f>
        <v>SIN4</v>
      </c>
      <c r="C210" s="264" t="str">
        <f>IFERROR(__xludf.DUMMYFUNCTION("""COMPUTED_VALUE"""),"Akuta's Camp")</f>
        <v>Akuta's Camp</v>
      </c>
      <c r="D210" s="102">
        <f>IFERROR(__xludf.DUMMYFUNCTION("""COMPUTED_VALUE"""),21.0)</f>
        <v>21</v>
      </c>
      <c r="E210" s="82" t="b">
        <f>IFERROR(__xludf.DUMMYFUNCTION("""COMPUTED_VALUE"""),TRUE)</f>
        <v>1</v>
      </c>
      <c r="F210" s="82" t="str">
        <f>IFERROR(__xludf.DUMMYFUNCTION("""COMPUTED_VALUE"""),"Free Quests- Part 2!A371:J382")</f>
        <v>Free Quests- Part 2!A371:J382</v>
      </c>
      <c r="G210" s="82">
        <f>IFERROR(__xludf.DUMMYFUNCTION("""COMPUTED_VALUE"""),210.0)</f>
        <v>210</v>
      </c>
      <c r="H210" s="82">
        <f>IFERROR(__xludf.DUMMYFUNCTION("""COMPUTED_VALUE"""),40.0)</f>
        <v>40</v>
      </c>
      <c r="I210" s="95"/>
      <c r="J210" s="270"/>
      <c r="K210" s="269"/>
      <c r="L210" s="271"/>
      <c r="M210" s="270"/>
      <c r="N210" s="269"/>
      <c r="O210" s="271"/>
      <c r="P210" s="270"/>
      <c r="Q210" s="269"/>
      <c r="R210" s="271"/>
      <c r="S210" s="270"/>
      <c r="T210" s="269"/>
      <c r="U210" s="95"/>
      <c r="V210" s="270"/>
      <c r="W210" s="269"/>
      <c r="X210" s="271"/>
      <c r="Y210" s="270"/>
      <c r="Z210" s="269"/>
      <c r="AA210" s="271"/>
      <c r="AB210" s="270"/>
      <c r="AC210" s="269"/>
      <c r="AD210" s="271"/>
      <c r="AE210" s="270"/>
      <c r="AF210" s="269">
        <f>IFERROR(__xludf.DUMMYFUNCTION("""COMPUTED_VALUE"""),102.47851058088887)</f>
        <v>102.4785106</v>
      </c>
      <c r="AG210" s="95"/>
      <c r="AH210" s="270"/>
      <c r="AI210" s="269"/>
      <c r="AJ210" s="271"/>
      <c r="AK210" s="270"/>
      <c r="AL210" s="269"/>
      <c r="AM210" s="271"/>
      <c r="AN210" s="270">
        <f>IFERROR(__xludf.DUMMYFUNCTION("""COMPUTED_VALUE"""),112.65158769840933)</f>
        <v>112.6515877</v>
      </c>
      <c r="AO210" s="269"/>
      <c r="AP210" s="271"/>
      <c r="AQ210" s="270"/>
      <c r="AR210" s="269"/>
      <c r="AS210" s="95"/>
      <c r="AT210" s="270"/>
      <c r="AU210" s="269"/>
      <c r="AV210" s="271"/>
      <c r="AW210" s="270"/>
      <c r="AX210" s="269">
        <f>IFERROR(__xludf.DUMMYFUNCTION("""COMPUTED_VALUE"""),70.74055941078801)</f>
        <v>70.74055941</v>
      </c>
      <c r="AY210" s="271"/>
      <c r="AZ210" s="270"/>
      <c r="BA210" s="269"/>
      <c r="BB210" s="271"/>
      <c r="BC210" s="270"/>
      <c r="BD210" s="269"/>
      <c r="BE210" s="95"/>
      <c r="BF210" s="270"/>
      <c r="BG210" s="269"/>
      <c r="BH210" s="271"/>
      <c r="BI210" s="270"/>
      <c r="BJ210" s="269"/>
      <c r="BK210" s="271"/>
      <c r="BL210" s="270"/>
      <c r="BM210" s="269"/>
      <c r="BN210" s="271"/>
      <c r="BO210" s="270"/>
      <c r="BP210" s="269"/>
      <c r="BQ210" s="95">
        <f>IFERROR(__xludf.DUMMYFUNCTION("""COMPUTED_VALUE"""),134.7373831084739)</f>
        <v>134.7373831</v>
      </c>
      <c r="BR210" s="270"/>
      <c r="BS210" s="269"/>
      <c r="BT210" s="271"/>
      <c r="BU210" s="270">
        <f>IFERROR(__xludf.DUMMYFUNCTION("""COMPUTED_VALUE"""),81.57823107641059)</f>
        <v>81.57823108</v>
      </c>
      <c r="BV210" s="269"/>
      <c r="BW210" s="271"/>
      <c r="BX210" s="270"/>
      <c r="BY210" s="269"/>
      <c r="BZ210" s="271"/>
      <c r="CA210" s="270"/>
      <c r="CB210" s="269"/>
      <c r="CC210" s="271"/>
      <c r="CD210" s="270"/>
      <c r="CE210" s="269"/>
      <c r="CF210" s="271"/>
      <c r="CG210" s="270"/>
      <c r="CH210" s="270"/>
      <c r="CI210" s="271"/>
      <c r="CJ210" s="270"/>
      <c r="CK210" s="270"/>
      <c r="CL210" s="271"/>
      <c r="CM210" s="270"/>
      <c r="CN210" s="270"/>
      <c r="CO210" s="271"/>
      <c r="CP210" s="270"/>
      <c r="CQ210" s="270"/>
      <c r="CR210" s="271"/>
      <c r="CS210" s="270"/>
      <c r="CT210" s="270"/>
      <c r="CU210" s="271">
        <f>IFERROR(__xludf.DUMMYFUNCTION("""COMPUTED_VALUE"""),168.0)</f>
        <v>168</v>
      </c>
      <c r="CV210" s="270"/>
      <c r="CW210" s="269"/>
      <c r="CX210" s="270"/>
      <c r="CY210" s="270"/>
      <c r="CZ210" s="269"/>
      <c r="DA210" s="271">
        <f>IFERROR(__xludf.DUMMYFUNCTION("""COMPUTED_VALUE"""),84.0)</f>
        <v>84</v>
      </c>
      <c r="DB210" s="270"/>
      <c r="DC210" s="269"/>
      <c r="DD210" s="271"/>
      <c r="DE210" s="270"/>
      <c r="DF210" s="269">
        <f>IFERROR(__xludf.DUMMYFUNCTION("""COMPUTED_VALUE"""),84.0)</f>
        <v>84</v>
      </c>
      <c r="DG210" s="271"/>
      <c r="DH210" s="270"/>
      <c r="DI210" s="269"/>
      <c r="DJ210" s="271"/>
      <c r="DK210" s="270"/>
      <c r="DL210" s="269"/>
      <c r="DM210" s="271"/>
      <c r="DN210" s="270"/>
      <c r="DO210" s="269"/>
      <c r="DP210" s="271"/>
      <c r="DQ210" s="270"/>
      <c r="DR210" s="269"/>
      <c r="DS210" s="271"/>
    </row>
    <row r="211">
      <c r="B211" s="180" t="str">
        <f>IFERROR(__xludf.DUMMYFUNCTION("""COMPUTED_VALUE"""),"SIN5")</f>
        <v>SIN5</v>
      </c>
      <c r="C211" s="264" t="str">
        <f>IFERROR(__xludf.DUMMYFUNCTION("""COMPUTED_VALUE"""),"Jingyang Field")</f>
        <v>Jingyang Field</v>
      </c>
      <c r="D211" s="102">
        <f>IFERROR(__xludf.DUMMYFUNCTION("""COMPUTED_VALUE"""),21.0)</f>
        <v>21</v>
      </c>
      <c r="E211" s="82" t="b">
        <f>IFERROR(__xludf.DUMMYFUNCTION("""COMPUTED_VALUE"""),TRUE)</f>
        <v>1</v>
      </c>
      <c r="F211" s="82" t="str">
        <f>IFERROR(__xludf.DUMMYFUNCTION("""COMPUTED_VALUE"""),"Free Quests- Part 2!A386:J397")</f>
        <v>Free Quests- Part 2!A386:J397</v>
      </c>
      <c r="G211" s="82">
        <f>IFERROR(__xludf.DUMMYFUNCTION("""COMPUTED_VALUE"""),211.0)</f>
        <v>211</v>
      </c>
      <c r="H211" s="82">
        <f>IFERROR(__xludf.DUMMYFUNCTION("""COMPUTED_VALUE"""),45.0)</f>
        <v>45</v>
      </c>
      <c r="I211" s="95"/>
      <c r="J211" s="270"/>
      <c r="K211" s="269"/>
      <c r="L211" s="271"/>
      <c r="M211" s="270"/>
      <c r="N211" s="269"/>
      <c r="O211" s="271"/>
      <c r="P211" s="270"/>
      <c r="Q211" s="269"/>
      <c r="R211" s="271"/>
      <c r="S211" s="270"/>
      <c r="T211" s="269"/>
      <c r="U211" s="95">
        <f>IFERROR(__xludf.DUMMYFUNCTION("""COMPUTED_VALUE"""),133.47898819096235)</f>
        <v>133.4789882</v>
      </c>
      <c r="V211" s="270"/>
      <c r="W211" s="269"/>
      <c r="X211" s="271"/>
      <c r="Y211" s="270"/>
      <c r="Z211" s="269"/>
      <c r="AA211" s="271"/>
      <c r="AB211" s="270"/>
      <c r="AC211" s="269"/>
      <c r="AD211" s="271"/>
      <c r="AE211" s="270"/>
      <c r="AF211" s="269"/>
      <c r="AG211" s="95"/>
      <c r="AH211" s="270"/>
      <c r="AI211" s="269"/>
      <c r="AJ211" s="271"/>
      <c r="AK211" s="270"/>
      <c r="AL211" s="269"/>
      <c r="AM211" s="271"/>
      <c r="AN211" s="270">
        <f>IFERROR(__xludf.DUMMYFUNCTION("""COMPUTED_VALUE"""),101.30942992431059)</f>
        <v>101.3094299</v>
      </c>
      <c r="AO211" s="269"/>
      <c r="AP211" s="271"/>
      <c r="AQ211" s="270"/>
      <c r="AR211" s="269"/>
      <c r="AS211" s="95"/>
      <c r="AT211" s="270"/>
      <c r="AU211" s="269"/>
      <c r="AV211" s="271"/>
      <c r="AW211" s="270"/>
      <c r="AX211" s="269">
        <f>IFERROR(__xludf.DUMMYFUNCTION("""COMPUTED_VALUE"""),65.4705386012735)</f>
        <v>65.4705386</v>
      </c>
      <c r="AY211" s="271"/>
      <c r="AZ211" s="270"/>
      <c r="BA211" s="269"/>
      <c r="BB211" s="271"/>
      <c r="BC211" s="270"/>
      <c r="BD211" s="269"/>
      <c r="BE211" s="95"/>
      <c r="BF211" s="270"/>
      <c r="BG211" s="269"/>
      <c r="BH211" s="271"/>
      <c r="BI211" s="270"/>
      <c r="BJ211" s="269"/>
      <c r="BK211" s="271"/>
      <c r="BL211" s="270">
        <f>IFERROR(__xludf.DUMMYFUNCTION("""COMPUTED_VALUE"""),207.89622396391587)</f>
        <v>207.896224</v>
      </c>
      <c r="BM211" s="269"/>
      <c r="BN211" s="271"/>
      <c r="BO211" s="270"/>
      <c r="BP211" s="269"/>
      <c r="BQ211" s="95">
        <f>IFERROR(__xludf.DUMMYFUNCTION("""COMPUTED_VALUE"""),206.29777556115866)</f>
        <v>206.2977756</v>
      </c>
      <c r="BR211" s="270"/>
      <c r="BS211" s="269"/>
      <c r="BT211" s="271"/>
      <c r="BU211" s="270"/>
      <c r="BV211" s="269"/>
      <c r="BW211" s="271"/>
      <c r="BX211" s="270"/>
      <c r="BY211" s="269"/>
      <c r="BZ211" s="271"/>
      <c r="CA211" s="270"/>
      <c r="CB211" s="269"/>
      <c r="CC211" s="271"/>
      <c r="CD211" s="270"/>
      <c r="CE211" s="269"/>
      <c r="CF211" s="271"/>
      <c r="CG211" s="270"/>
      <c r="CH211" s="270"/>
      <c r="CI211" s="271"/>
      <c r="CJ211" s="270"/>
      <c r="CK211" s="270"/>
      <c r="CL211" s="271"/>
      <c r="CM211" s="270"/>
      <c r="CN211" s="270"/>
      <c r="CO211" s="271"/>
      <c r="CP211" s="270"/>
      <c r="CQ211" s="270"/>
      <c r="CR211" s="271"/>
      <c r="CS211" s="270"/>
      <c r="CT211" s="270"/>
      <c r="CU211" s="271"/>
      <c r="CV211" s="270">
        <f>IFERROR(__xludf.DUMMYFUNCTION("""COMPUTED_VALUE"""),252.0)</f>
        <v>252</v>
      </c>
      <c r="CW211" s="269"/>
      <c r="CX211" s="270"/>
      <c r="CY211" s="270"/>
      <c r="CZ211" s="269"/>
      <c r="DA211" s="271">
        <f>IFERROR(__xludf.DUMMYFUNCTION("""COMPUTED_VALUE"""),126.0)</f>
        <v>126</v>
      </c>
      <c r="DB211" s="270"/>
      <c r="DC211" s="269"/>
      <c r="DD211" s="271"/>
      <c r="DE211" s="270"/>
      <c r="DF211" s="267"/>
      <c r="DG211" s="271"/>
      <c r="DH211" s="270"/>
      <c r="DI211" s="269">
        <f>IFERROR(__xludf.DUMMYFUNCTION("""COMPUTED_VALUE"""),252.0)</f>
        <v>252</v>
      </c>
      <c r="DJ211" s="271"/>
      <c r="DK211" s="270"/>
      <c r="DL211" s="269"/>
      <c r="DM211" s="271"/>
      <c r="DN211" s="270"/>
      <c r="DO211" s="269"/>
      <c r="DP211" s="271"/>
      <c r="DQ211" s="270"/>
      <c r="DR211" s="269"/>
      <c r="DS211" s="271"/>
    </row>
    <row r="212">
      <c r="B212" s="180" t="str">
        <f>IFERROR(__xludf.DUMMYFUNCTION("""COMPUTED_VALUE"""),"SIN6")</f>
        <v>SIN6</v>
      </c>
      <c r="C212" s="264" t="str">
        <f>IFERROR(__xludf.DUMMYFUNCTION("""COMPUTED_VALUE"""),"Shanyang Hill")</f>
        <v>Shanyang Hill</v>
      </c>
      <c r="D212" s="102">
        <f>IFERROR(__xludf.DUMMYFUNCTION("""COMPUTED_VALUE"""),21.0)</f>
        <v>21</v>
      </c>
      <c r="E212" s="82" t="b">
        <f>IFERROR(__xludf.DUMMYFUNCTION("""COMPUTED_VALUE"""),TRUE)</f>
        <v>1</v>
      </c>
      <c r="F212" s="82" t="str">
        <f>IFERROR(__xludf.DUMMYFUNCTION("""COMPUTED_VALUE"""),"Free Quests- Part 2!A401:J413")</f>
        <v>Free Quests- Part 2!A401:J413</v>
      </c>
      <c r="G212" s="82">
        <f>IFERROR(__xludf.DUMMYFUNCTION("""COMPUTED_VALUE"""),212.0)</f>
        <v>212</v>
      </c>
      <c r="H212" s="82">
        <f>IFERROR(__xludf.DUMMYFUNCTION("""COMPUTED_VALUE"""),49.0)</f>
        <v>49</v>
      </c>
      <c r="I212" s="95"/>
      <c r="J212" s="270"/>
      <c r="K212" s="269"/>
      <c r="L212" s="271"/>
      <c r="M212" s="270"/>
      <c r="N212" s="269"/>
      <c r="O212" s="271"/>
      <c r="P212" s="270"/>
      <c r="Q212" s="269"/>
      <c r="R212" s="271"/>
      <c r="S212" s="270"/>
      <c r="T212" s="269"/>
      <c r="U212" s="95">
        <f>IFERROR(__xludf.DUMMYFUNCTION("""COMPUTED_VALUE"""),137.57463963792645)</f>
        <v>137.5746396</v>
      </c>
      <c r="V212" s="270"/>
      <c r="W212" s="269"/>
      <c r="X212" s="271"/>
      <c r="Y212" s="270"/>
      <c r="Z212" s="269"/>
      <c r="AA212" s="271"/>
      <c r="AB212" s="270"/>
      <c r="AC212" s="269"/>
      <c r="AD212" s="271"/>
      <c r="AE212" s="270"/>
      <c r="AF212" s="269"/>
      <c r="AG212" s="95"/>
      <c r="AH212" s="270"/>
      <c r="AI212" s="269"/>
      <c r="AJ212" s="271"/>
      <c r="AK212" s="270"/>
      <c r="AL212" s="269"/>
      <c r="AM212" s="271"/>
      <c r="AN212" s="270"/>
      <c r="AO212" s="269"/>
      <c r="AP212" s="271"/>
      <c r="AQ212" s="270"/>
      <c r="AR212" s="269"/>
      <c r="AS212" s="95"/>
      <c r="AT212" s="270"/>
      <c r="AU212" s="269"/>
      <c r="AV212" s="271"/>
      <c r="AW212" s="270"/>
      <c r="AX212" s="269">
        <f>IFERROR(__xludf.DUMMYFUNCTION("""COMPUTED_VALUE"""),71.88690072512911)</f>
        <v>71.88690073</v>
      </c>
      <c r="AY212" s="271"/>
      <c r="AZ212" s="270">
        <f>IFERROR(__xludf.DUMMYFUNCTION("""COMPUTED_VALUE"""),69.63100117122433)</f>
        <v>69.63100117</v>
      </c>
      <c r="BA212" s="269"/>
      <c r="BB212" s="271"/>
      <c r="BC212" s="270"/>
      <c r="BD212" s="269"/>
      <c r="BE212" s="95"/>
      <c r="BF212" s="270"/>
      <c r="BG212" s="269"/>
      <c r="BH212" s="271"/>
      <c r="BI212" s="270"/>
      <c r="BJ212" s="269"/>
      <c r="BK212" s="271"/>
      <c r="BL212" s="270">
        <f>IFERROR(__xludf.DUMMYFUNCTION("""COMPUTED_VALUE"""),171.9114956989798)</f>
        <v>171.9114957</v>
      </c>
      <c r="BM212" s="269"/>
      <c r="BN212" s="271"/>
      <c r="BO212" s="270"/>
      <c r="BP212" s="269"/>
      <c r="BQ212" s="95"/>
      <c r="BR212" s="270"/>
      <c r="BS212" s="269"/>
      <c r="BT212" s="271">
        <f>IFERROR(__xludf.DUMMYFUNCTION("""COMPUTED_VALUE"""),82.58325961017094)</f>
        <v>82.58325961</v>
      </c>
      <c r="BU212" s="270"/>
      <c r="BV212" s="269"/>
      <c r="BW212" s="271"/>
      <c r="BX212" s="270"/>
      <c r="BY212" s="269"/>
      <c r="BZ212" s="271"/>
      <c r="CA212" s="270"/>
      <c r="CB212" s="269"/>
      <c r="CC212" s="271"/>
      <c r="CD212" s="270"/>
      <c r="CE212" s="269"/>
      <c r="CF212" s="271"/>
      <c r="CG212" s="270"/>
      <c r="CH212" s="270"/>
      <c r="CI212" s="271"/>
      <c r="CJ212" s="270"/>
      <c r="CK212" s="270"/>
      <c r="CL212" s="271"/>
      <c r="CM212" s="270"/>
      <c r="CN212" s="270"/>
      <c r="CO212" s="271"/>
      <c r="CP212" s="270"/>
      <c r="CQ212" s="270"/>
      <c r="CR212" s="271"/>
      <c r="CS212" s="270"/>
      <c r="CT212" s="270"/>
      <c r="CU212" s="271"/>
      <c r="CV212" s="270">
        <f>IFERROR(__xludf.DUMMYFUNCTION("""COMPUTED_VALUE"""),155.39999999999998)</f>
        <v>155.4</v>
      </c>
      <c r="CW212" s="269">
        <f>IFERROR(__xludf.DUMMYFUNCTION("""COMPUTED_VALUE"""),111.0)</f>
        <v>111</v>
      </c>
      <c r="CX212" s="270">
        <f>IFERROR(__xludf.DUMMYFUNCTION("""COMPUTED_VALUE"""),111.0)</f>
        <v>111</v>
      </c>
      <c r="CY212" s="270"/>
      <c r="CZ212" s="269"/>
      <c r="DA212" s="271"/>
      <c r="DB212" s="270"/>
      <c r="DC212" s="269"/>
      <c r="DD212" s="271"/>
      <c r="DE212" s="270">
        <f>IFERROR(__xludf.DUMMYFUNCTION("""COMPUTED_VALUE"""),102.0)</f>
        <v>102</v>
      </c>
      <c r="DF212" s="267"/>
      <c r="DG212" s="271"/>
      <c r="DH212" s="270"/>
      <c r="DI212" s="269"/>
      <c r="DJ212" s="271"/>
      <c r="DK212" s="270"/>
      <c r="DL212" s="269"/>
      <c r="DM212" s="271"/>
      <c r="DN212" s="270"/>
      <c r="DO212" s="269"/>
      <c r="DP212" s="271"/>
      <c r="DQ212" s="270"/>
      <c r="DR212" s="269"/>
      <c r="DS212" s="271"/>
    </row>
    <row r="213">
      <c r="B213" s="180" t="str">
        <f>IFERROR(__xludf.DUMMYFUNCTION("""COMPUTED_VALUE"""),"SIN7")</f>
        <v>SIN7</v>
      </c>
      <c r="C213" s="264" t="str">
        <f>IFERROR(__xludf.DUMMYFUNCTION("""COMPUTED_VALUE"""),"Prison Camp")</f>
        <v>Prison Camp</v>
      </c>
      <c r="D213" s="102">
        <f>IFERROR(__xludf.DUMMYFUNCTION("""COMPUTED_VALUE"""),21.0)</f>
        <v>21</v>
      </c>
      <c r="E213" s="82" t="b">
        <f>IFERROR(__xludf.DUMMYFUNCTION("""COMPUTED_VALUE"""),TRUE)</f>
        <v>1</v>
      </c>
      <c r="F213" s="82" t="str">
        <f>IFERROR(__xludf.DUMMYFUNCTION("""COMPUTED_VALUE"""),"Free Quests- Part 2!A417:J426")</f>
        <v>Free Quests- Part 2!A417:J426</v>
      </c>
      <c r="G213" s="82">
        <f>IFERROR(__xludf.DUMMYFUNCTION("""COMPUTED_VALUE"""),213.0)</f>
        <v>213</v>
      </c>
      <c r="H213" s="82">
        <f>IFERROR(__xludf.DUMMYFUNCTION("""COMPUTED_VALUE"""),4712.0)</f>
        <v>4712</v>
      </c>
      <c r="I213" s="95"/>
      <c r="J213" s="270"/>
      <c r="K213" s="269"/>
      <c r="L213" s="271"/>
      <c r="M213" s="270"/>
      <c r="N213" s="269"/>
      <c r="O213" s="271"/>
      <c r="P213" s="270"/>
      <c r="Q213" s="269"/>
      <c r="R213" s="271"/>
      <c r="S213" s="270"/>
      <c r="T213" s="269"/>
      <c r="U213" s="95">
        <f>IFERROR(__xludf.DUMMYFUNCTION("""COMPUTED_VALUE"""),104.18979528080344)</f>
        <v>104.1897953</v>
      </c>
      <c r="V213" s="270"/>
      <c r="W213" s="269"/>
      <c r="X213" s="271"/>
      <c r="Y213" s="270"/>
      <c r="Z213" s="269"/>
      <c r="AA213" s="271"/>
      <c r="AB213" s="270"/>
      <c r="AC213" s="269"/>
      <c r="AD213" s="271"/>
      <c r="AE213" s="270"/>
      <c r="AF213" s="269"/>
      <c r="AG213" s="95"/>
      <c r="AH213" s="270"/>
      <c r="AI213" s="269"/>
      <c r="AJ213" s="271"/>
      <c r="AK213" s="270"/>
      <c r="AL213" s="269"/>
      <c r="AM213" s="271"/>
      <c r="AN213" s="270"/>
      <c r="AO213" s="269"/>
      <c r="AP213" s="271">
        <f>IFERROR(__xludf.DUMMYFUNCTION("""COMPUTED_VALUE"""),83.11361783791729)</f>
        <v>83.11361784</v>
      </c>
      <c r="AQ213" s="270"/>
      <c r="AR213" s="269"/>
      <c r="AS213" s="95"/>
      <c r="AT213" s="270"/>
      <c r="AU213" s="269"/>
      <c r="AV213" s="271"/>
      <c r="AW213" s="270"/>
      <c r="AX213" s="269"/>
      <c r="AY213" s="271"/>
      <c r="AZ213" s="270"/>
      <c r="BA213" s="269"/>
      <c r="BB213" s="271"/>
      <c r="BC213" s="270"/>
      <c r="BD213" s="269"/>
      <c r="BE213" s="95"/>
      <c r="BF213" s="270"/>
      <c r="BG213" s="269"/>
      <c r="BH213" s="271"/>
      <c r="BI213" s="270"/>
      <c r="BJ213" s="269"/>
      <c r="BK213" s="271"/>
      <c r="BL213" s="270">
        <f>IFERROR(__xludf.DUMMYFUNCTION("""COMPUTED_VALUE"""),141.2613216030159)</f>
        <v>141.2613216</v>
      </c>
      <c r="BM213" s="269"/>
      <c r="BN213" s="271"/>
      <c r="BO213" s="270"/>
      <c r="BP213" s="269">
        <f>IFERROR(__xludf.DUMMYFUNCTION("""COMPUTED_VALUE"""),104.51356772668363)</f>
        <v>104.5135677</v>
      </c>
      <c r="BQ213" s="95"/>
      <c r="BR213" s="270"/>
      <c r="BS213" s="269"/>
      <c r="BT213" s="271"/>
      <c r="BU213" s="270"/>
      <c r="BV213" s="269"/>
      <c r="BW213" s="271"/>
      <c r="BX213" s="270"/>
      <c r="BY213" s="269"/>
      <c r="BZ213" s="271"/>
      <c r="CA213" s="270"/>
      <c r="CB213" s="269"/>
      <c r="CC213" s="271"/>
      <c r="CD213" s="270"/>
      <c r="CE213" s="269"/>
      <c r="CF213" s="271"/>
      <c r="CG213" s="270"/>
      <c r="CH213" s="270"/>
      <c r="CI213" s="271"/>
      <c r="CJ213" s="270"/>
      <c r="CK213" s="270"/>
      <c r="CL213" s="271"/>
      <c r="CM213" s="270"/>
      <c r="CN213" s="270"/>
      <c r="CO213" s="271"/>
      <c r="CP213" s="270"/>
      <c r="CQ213" s="270"/>
      <c r="CR213" s="271"/>
      <c r="CS213" s="270"/>
      <c r="CT213" s="270"/>
      <c r="CU213" s="271"/>
      <c r="CV213" s="270">
        <f>IFERROR(__xludf.DUMMYFUNCTION("""COMPUTED_VALUE"""),127.37704918032786)</f>
        <v>127.3770492</v>
      </c>
      <c r="CW213" s="269"/>
      <c r="CX213" s="270"/>
      <c r="CY213" s="270"/>
      <c r="CZ213" s="269">
        <f>IFERROR(__xludf.DUMMYFUNCTION("""COMPUTED_VALUE"""),103.6)</f>
        <v>103.6</v>
      </c>
      <c r="DA213" s="271"/>
      <c r="DB213" s="270"/>
      <c r="DC213" s="269"/>
      <c r="DD213" s="271"/>
      <c r="DE213" s="270"/>
      <c r="DF213" s="267"/>
      <c r="DG213" s="271"/>
      <c r="DH213" s="270"/>
      <c r="DI213" s="269"/>
      <c r="DJ213" s="271"/>
      <c r="DK213" s="270"/>
      <c r="DL213" s="269"/>
      <c r="DM213" s="271"/>
      <c r="DN213" s="270"/>
      <c r="DO213" s="269"/>
      <c r="DP213" s="271"/>
      <c r="DQ213" s="270"/>
      <c r="DR213" s="269"/>
      <c r="DS213" s="271"/>
    </row>
    <row r="214">
      <c r="B214" s="180" t="str">
        <f>IFERROR(__xludf.DUMMYFUNCTION("""COMPUTED_VALUE"""),"SIN8")</f>
        <v>SIN8</v>
      </c>
      <c r="C214" s="264" t="str">
        <f>IFERROR(__xludf.DUMMYFUNCTION("""COMPUTED_VALUE"""),"Shiquan Canyon")</f>
        <v>Shiquan Canyon</v>
      </c>
      <c r="D214" s="102">
        <f>IFERROR(__xludf.DUMMYFUNCTION("""COMPUTED_VALUE"""),21.0)</f>
        <v>21</v>
      </c>
      <c r="E214" s="82" t="b">
        <f>IFERROR(__xludf.DUMMYFUNCTION("""COMPUTED_VALUE"""),TRUE)</f>
        <v>1</v>
      </c>
      <c r="F214" s="82" t="str">
        <f>IFERROR(__xludf.DUMMYFUNCTION("""COMPUTED_VALUE"""),"Free Quests- Part 2!A430:J439")</f>
        <v>Free Quests- Part 2!A430:J439</v>
      </c>
      <c r="G214" s="82">
        <f>IFERROR(__xludf.DUMMYFUNCTION("""COMPUTED_VALUE"""),214.0)</f>
        <v>214</v>
      </c>
      <c r="H214" s="82">
        <f>IFERROR(__xludf.DUMMYFUNCTION("""COMPUTED_VALUE"""),36.0)</f>
        <v>36</v>
      </c>
      <c r="I214" s="95"/>
      <c r="J214" s="270"/>
      <c r="K214" s="269"/>
      <c r="L214" s="271"/>
      <c r="M214" s="270"/>
      <c r="N214" s="269"/>
      <c r="O214" s="271"/>
      <c r="P214" s="270"/>
      <c r="Q214" s="269"/>
      <c r="R214" s="271"/>
      <c r="S214" s="270"/>
      <c r="T214" s="269"/>
      <c r="U214" s="95">
        <f>IFERROR(__xludf.DUMMYFUNCTION("""COMPUTED_VALUE"""),105.09357530584138)</f>
        <v>105.0935753</v>
      </c>
      <c r="V214" s="270"/>
      <c r="W214" s="269"/>
      <c r="X214" s="271"/>
      <c r="Y214" s="270"/>
      <c r="Z214" s="269"/>
      <c r="AA214" s="271"/>
      <c r="AB214" s="270"/>
      <c r="AC214" s="269"/>
      <c r="AD214" s="271"/>
      <c r="AE214" s="270"/>
      <c r="AF214" s="269">
        <f>IFERROR(__xludf.DUMMYFUNCTION("""COMPUTED_VALUE"""),69.6894043545603)</f>
        <v>69.68940435</v>
      </c>
      <c r="AG214" s="95"/>
      <c r="AH214" s="270"/>
      <c r="AI214" s="269"/>
      <c r="AJ214" s="271"/>
      <c r="AK214" s="270"/>
      <c r="AL214" s="269"/>
      <c r="AM214" s="271"/>
      <c r="AN214" s="270"/>
      <c r="AO214" s="269"/>
      <c r="AP214" s="271"/>
      <c r="AQ214" s="270"/>
      <c r="AR214" s="269"/>
      <c r="AS214" s="95"/>
      <c r="AT214" s="270"/>
      <c r="AU214" s="269"/>
      <c r="AV214" s="271"/>
      <c r="AW214" s="270"/>
      <c r="AX214" s="269"/>
      <c r="AY214" s="271"/>
      <c r="AZ214" s="270"/>
      <c r="BA214" s="269"/>
      <c r="BB214" s="271"/>
      <c r="BC214" s="270"/>
      <c r="BD214" s="269"/>
      <c r="BE214" s="95"/>
      <c r="BF214" s="270"/>
      <c r="BG214" s="269"/>
      <c r="BH214" s="271"/>
      <c r="BI214" s="270"/>
      <c r="BJ214" s="269"/>
      <c r="BK214" s="271"/>
      <c r="BL214" s="270">
        <f>IFERROR(__xludf.DUMMYFUNCTION("""COMPUTED_VALUE"""),107.43568750082656)</f>
        <v>107.4356875</v>
      </c>
      <c r="BM214" s="269"/>
      <c r="BN214" s="271"/>
      <c r="BO214" s="270"/>
      <c r="BP214" s="269"/>
      <c r="BQ214" s="95"/>
      <c r="BR214" s="270"/>
      <c r="BS214" s="269"/>
      <c r="BT214" s="271"/>
      <c r="BU214" s="270">
        <f>IFERROR(__xludf.DUMMYFUNCTION("""COMPUTED_VALUE"""),81.90901975776015)</f>
        <v>81.90901976</v>
      </c>
      <c r="BV214" s="269"/>
      <c r="BW214" s="271"/>
      <c r="BX214" s="270"/>
      <c r="BY214" s="269"/>
      <c r="BZ214" s="271"/>
      <c r="CA214" s="270"/>
      <c r="CB214" s="269"/>
      <c r="CC214" s="271"/>
      <c r="CD214" s="270"/>
      <c r="CE214" s="269"/>
      <c r="CF214" s="271"/>
      <c r="CG214" s="270"/>
      <c r="CH214" s="270"/>
      <c r="CI214" s="271"/>
      <c r="CJ214" s="270"/>
      <c r="CK214" s="270"/>
      <c r="CL214" s="271"/>
      <c r="CM214" s="270"/>
      <c r="CN214" s="270"/>
      <c r="CO214" s="271"/>
      <c r="CP214" s="270"/>
      <c r="CQ214" s="270"/>
      <c r="CR214" s="271"/>
      <c r="CS214" s="270"/>
      <c r="CT214" s="270"/>
      <c r="CU214" s="271"/>
      <c r="CV214" s="270">
        <f>IFERROR(__xludf.DUMMYFUNCTION("""COMPUTED_VALUE"""),65.33333333333333)</f>
        <v>65.33333333</v>
      </c>
      <c r="CW214" s="269"/>
      <c r="CX214" s="270"/>
      <c r="CY214" s="270"/>
      <c r="CZ214" s="269"/>
      <c r="DA214" s="271"/>
      <c r="DB214" s="270"/>
      <c r="DC214" s="269"/>
      <c r="DD214" s="271"/>
      <c r="DE214" s="270"/>
      <c r="DF214" s="269">
        <f>IFERROR(__xludf.DUMMYFUNCTION("""COMPUTED_VALUE"""),84.0)</f>
        <v>84</v>
      </c>
      <c r="DG214" s="271"/>
      <c r="DH214" s="270"/>
      <c r="DI214" s="269"/>
      <c r="DJ214" s="271"/>
      <c r="DK214" s="270"/>
      <c r="DL214" s="269"/>
      <c r="DM214" s="271"/>
      <c r="DN214" s="270"/>
      <c r="DO214" s="269"/>
      <c r="DP214" s="271"/>
      <c r="DQ214" s="270"/>
      <c r="DR214" s="269"/>
      <c r="DS214" s="271"/>
    </row>
    <row r="215">
      <c r="B215" s="180" t="str">
        <f>IFERROR(__xludf.DUMMYFUNCTION("""COMPUTED_VALUE"""),"SIN9")</f>
        <v>SIN9</v>
      </c>
      <c r="C215" s="264" t="str">
        <f>IFERROR(__xludf.DUMMYFUNCTION("""COMPUTED_VALUE"""),"Daping Yu")</f>
        <v>Daping Yu</v>
      </c>
      <c r="D215" s="102">
        <f>IFERROR(__xludf.DUMMYFUNCTION("""COMPUTED_VALUE"""),21.0)</f>
        <v>21</v>
      </c>
      <c r="E215" s="82" t="b">
        <f>IFERROR(__xludf.DUMMYFUNCTION("""COMPUTED_VALUE"""),TRUE)</f>
        <v>1</v>
      </c>
      <c r="F215" s="82" t="str">
        <f>IFERROR(__xludf.DUMMYFUNCTION("""COMPUTED_VALUE"""),"Free Quests- Part 2!A443:J452")</f>
        <v>Free Quests- Part 2!A443:J452</v>
      </c>
      <c r="G215" s="82">
        <f>IFERROR(__xludf.DUMMYFUNCTION("""COMPUTED_VALUE"""),215.0)</f>
        <v>215</v>
      </c>
      <c r="H215" s="82">
        <f>IFERROR(__xludf.DUMMYFUNCTION("""COMPUTED_VALUE"""),111.0)</f>
        <v>111</v>
      </c>
      <c r="I215" s="95"/>
      <c r="J215" s="270"/>
      <c r="K215" s="269"/>
      <c r="L215" s="271"/>
      <c r="M215" s="270"/>
      <c r="N215" s="269"/>
      <c r="O215" s="271"/>
      <c r="P215" s="270"/>
      <c r="Q215" s="269"/>
      <c r="R215" s="271"/>
      <c r="S215" s="270"/>
      <c r="T215" s="269"/>
      <c r="U215" s="95"/>
      <c r="V215" s="270"/>
      <c r="W215" s="269"/>
      <c r="X215" s="271"/>
      <c r="Y215" s="270"/>
      <c r="Z215" s="269"/>
      <c r="AA215" s="271"/>
      <c r="AB215" s="270"/>
      <c r="AC215" s="269"/>
      <c r="AD215" s="271"/>
      <c r="AE215" s="270"/>
      <c r="AF215" s="269">
        <f>IFERROR(__xludf.DUMMYFUNCTION("""COMPUTED_VALUE"""),73.08489504006357)</f>
        <v>73.08489504</v>
      </c>
      <c r="AG215" s="95"/>
      <c r="AH215" s="270"/>
      <c r="AI215" s="269"/>
      <c r="AJ215" s="271"/>
      <c r="AK215" s="270"/>
      <c r="AL215" s="269"/>
      <c r="AM215" s="271"/>
      <c r="AN215" s="270"/>
      <c r="AO215" s="269"/>
      <c r="AP215" s="271">
        <f>IFERROR(__xludf.DUMMYFUNCTION("""COMPUTED_VALUE"""),82.55947037701975)</f>
        <v>82.55947038</v>
      </c>
      <c r="AQ215" s="270"/>
      <c r="AR215" s="269"/>
      <c r="AS215" s="95"/>
      <c r="AT215" s="270"/>
      <c r="AU215" s="269"/>
      <c r="AV215" s="271"/>
      <c r="AW215" s="270"/>
      <c r="AX215" s="269"/>
      <c r="AY215" s="271"/>
      <c r="AZ215" s="270"/>
      <c r="BA215" s="269"/>
      <c r="BB215" s="271"/>
      <c r="BC215" s="270"/>
      <c r="BD215" s="269"/>
      <c r="BE215" s="95"/>
      <c r="BF215" s="270"/>
      <c r="BG215" s="269"/>
      <c r="BH215" s="271"/>
      <c r="BI215" s="270"/>
      <c r="BJ215" s="269"/>
      <c r="BK215" s="271"/>
      <c r="BL215" s="270"/>
      <c r="BM215" s="269"/>
      <c r="BN215" s="271"/>
      <c r="BO215" s="270"/>
      <c r="BP215" s="269">
        <f>IFERROR(__xludf.DUMMYFUNCTION("""COMPUTED_VALUE"""),103.36198707571276)</f>
        <v>103.3619871</v>
      </c>
      <c r="BQ215" s="95"/>
      <c r="BR215" s="270"/>
      <c r="BS215" s="269"/>
      <c r="BT215" s="271"/>
      <c r="BU215" s="270">
        <f>IFERROR(__xludf.DUMMYFUNCTION("""COMPUTED_VALUE"""),82.34563361366034)</f>
        <v>82.34563361</v>
      </c>
      <c r="BV215" s="269"/>
      <c r="BW215" s="271"/>
      <c r="BX215" s="270"/>
      <c r="BY215" s="269"/>
      <c r="BZ215" s="271"/>
      <c r="CA215" s="270"/>
      <c r="CB215" s="269"/>
      <c r="CC215" s="271"/>
      <c r="CD215" s="270"/>
      <c r="CE215" s="269"/>
      <c r="CF215" s="271"/>
      <c r="CG215" s="270"/>
      <c r="CH215" s="270"/>
      <c r="CI215" s="271"/>
      <c r="CJ215" s="270"/>
      <c r="CK215" s="270"/>
      <c r="CL215" s="271"/>
      <c r="CM215" s="270"/>
      <c r="CN215" s="270"/>
      <c r="CO215" s="271"/>
      <c r="CP215" s="270"/>
      <c r="CQ215" s="270"/>
      <c r="CR215" s="271"/>
      <c r="CS215" s="270"/>
      <c r="CT215" s="270"/>
      <c r="CU215" s="271"/>
      <c r="CV215" s="270"/>
      <c r="CW215" s="269"/>
      <c r="CX215" s="270"/>
      <c r="CY215" s="270"/>
      <c r="CZ215" s="269">
        <f>IFERROR(__xludf.DUMMYFUNCTION("""COMPUTED_VALUE"""),121.8)</f>
        <v>121.8</v>
      </c>
      <c r="DA215" s="271"/>
      <c r="DB215" s="270"/>
      <c r="DC215" s="269"/>
      <c r="DD215" s="271"/>
      <c r="DE215" s="270"/>
      <c r="DF215" s="269">
        <f>IFERROR(__xludf.DUMMYFUNCTION("""COMPUTED_VALUE"""),55.36363636363637)</f>
        <v>55.36363636</v>
      </c>
      <c r="DG215" s="271"/>
      <c r="DH215" s="270"/>
      <c r="DI215" s="269"/>
      <c r="DJ215" s="271"/>
      <c r="DK215" s="270"/>
      <c r="DL215" s="269"/>
      <c r="DM215" s="271"/>
      <c r="DN215" s="270"/>
      <c r="DO215" s="269"/>
      <c r="DP215" s="271"/>
      <c r="DQ215" s="270"/>
      <c r="DR215" s="269"/>
      <c r="DS215" s="271"/>
    </row>
    <row r="216">
      <c r="B216" s="180" t="str">
        <f>IFERROR(__xludf.DUMMYFUNCTION("""COMPUTED_VALUE"""),"SIN10")</f>
        <v>SIN10</v>
      </c>
      <c r="C216" s="264" t="str">
        <f>IFERROR(__xludf.DUMMYFUNCTION("""COMPUTED_VALUE"""),"Xianyang")</f>
        <v>Xianyang</v>
      </c>
      <c r="D216" s="102">
        <f>IFERROR(__xludf.DUMMYFUNCTION("""COMPUTED_VALUE"""),21.0)</f>
        <v>21</v>
      </c>
      <c r="E216" s="82" t="b">
        <f>IFERROR(__xludf.DUMMYFUNCTION("""COMPUTED_VALUE"""),TRUE)</f>
        <v>1</v>
      </c>
      <c r="F216" s="82" t="str">
        <f>IFERROR(__xludf.DUMMYFUNCTION("""COMPUTED_VALUE"""),"Free Quests- Part 2!A456:J467")</f>
        <v>Free Quests- Part 2!A456:J467</v>
      </c>
      <c r="G216" s="82">
        <f>IFERROR(__xludf.DUMMYFUNCTION("""COMPUTED_VALUE"""),216.0)</f>
        <v>216</v>
      </c>
      <c r="H216" s="82">
        <f>IFERROR(__xludf.DUMMYFUNCTION("""COMPUTED_VALUE"""),43.0)</f>
        <v>43</v>
      </c>
      <c r="I216" s="95"/>
      <c r="J216" s="270"/>
      <c r="K216" s="269"/>
      <c r="L216" s="271"/>
      <c r="M216" s="270"/>
      <c r="N216" s="269"/>
      <c r="O216" s="271"/>
      <c r="P216" s="270"/>
      <c r="Q216" s="269"/>
      <c r="R216" s="271"/>
      <c r="S216" s="270"/>
      <c r="T216" s="269"/>
      <c r="U216" s="95">
        <f>IFERROR(__xludf.DUMMYFUNCTION("""COMPUTED_VALUE"""),131.9024368970674)</f>
        <v>131.9024369</v>
      </c>
      <c r="V216" s="270"/>
      <c r="W216" s="269"/>
      <c r="X216" s="271"/>
      <c r="Y216" s="270"/>
      <c r="Z216" s="269"/>
      <c r="AA216" s="271"/>
      <c r="AB216" s="270"/>
      <c r="AC216" s="269"/>
      <c r="AD216" s="271"/>
      <c r="AE216" s="270"/>
      <c r="AF216" s="269"/>
      <c r="AG216" s="95"/>
      <c r="AH216" s="270"/>
      <c r="AI216" s="269"/>
      <c r="AJ216" s="271"/>
      <c r="AK216" s="270"/>
      <c r="AL216" s="269"/>
      <c r="AM216" s="271"/>
      <c r="AN216" s="270"/>
      <c r="AO216" s="269"/>
      <c r="AP216" s="271">
        <f>IFERROR(__xludf.DUMMYFUNCTION("""COMPUTED_VALUE"""),105.45389920840572)</f>
        <v>105.4538992</v>
      </c>
      <c r="AQ216" s="270"/>
      <c r="AR216" s="269"/>
      <c r="AS216" s="95"/>
      <c r="AT216" s="270"/>
      <c r="AU216" s="269"/>
      <c r="AV216" s="271"/>
      <c r="AW216" s="270"/>
      <c r="AX216" s="269">
        <f>IFERROR(__xludf.DUMMYFUNCTION("""COMPUTED_VALUE"""),70.58722856395492)</f>
        <v>70.58722856</v>
      </c>
      <c r="AY216" s="271"/>
      <c r="AZ216" s="270"/>
      <c r="BA216" s="269"/>
      <c r="BB216" s="271"/>
      <c r="BC216" s="270"/>
      <c r="BD216" s="269"/>
      <c r="BE216" s="95"/>
      <c r="BF216" s="270"/>
      <c r="BG216" s="269"/>
      <c r="BH216" s="271"/>
      <c r="BI216" s="270"/>
      <c r="BJ216" s="269"/>
      <c r="BK216" s="271"/>
      <c r="BL216" s="270">
        <f>IFERROR(__xludf.DUMMYFUNCTION("""COMPUTED_VALUE"""),137.410899695645)</f>
        <v>137.4108997</v>
      </c>
      <c r="BM216" s="269"/>
      <c r="BN216" s="271"/>
      <c r="BO216" s="270"/>
      <c r="BP216" s="269">
        <f>IFERROR(__xludf.DUMMYFUNCTION("""COMPUTED_VALUE"""),88.06150255272904)</f>
        <v>88.06150255</v>
      </c>
      <c r="BQ216" s="95"/>
      <c r="BR216" s="270"/>
      <c r="BS216" s="269"/>
      <c r="BT216" s="271"/>
      <c r="BU216" s="270"/>
      <c r="BV216" s="269"/>
      <c r="BW216" s="271"/>
      <c r="BX216" s="270"/>
      <c r="BY216" s="269"/>
      <c r="BZ216" s="271"/>
      <c r="CA216" s="270"/>
      <c r="CB216" s="269"/>
      <c r="CC216" s="271"/>
      <c r="CD216" s="270"/>
      <c r="CE216" s="269"/>
      <c r="CF216" s="271"/>
      <c r="CG216" s="270"/>
      <c r="CH216" s="270"/>
      <c r="CI216" s="271"/>
      <c r="CJ216" s="270"/>
      <c r="CK216" s="270"/>
      <c r="CL216" s="271"/>
      <c r="CM216" s="270"/>
      <c r="CN216" s="270"/>
      <c r="CO216" s="271"/>
      <c r="CP216" s="270"/>
      <c r="CQ216" s="270"/>
      <c r="CR216" s="271"/>
      <c r="CS216" s="270"/>
      <c r="CT216" s="270"/>
      <c r="CU216" s="271"/>
      <c r="CV216" s="270">
        <f>IFERROR(__xludf.DUMMYFUNCTION("""COMPUTED_VALUE"""),173.25)</f>
        <v>173.25</v>
      </c>
      <c r="CW216" s="269">
        <f>IFERROR(__xludf.DUMMYFUNCTION("""COMPUTED_VALUE"""),231.0)</f>
        <v>231</v>
      </c>
      <c r="CX216" s="270"/>
      <c r="CY216" s="270"/>
      <c r="CZ216" s="269">
        <f>IFERROR(__xludf.DUMMYFUNCTION("""COMPUTED_VALUE"""),86.625)</f>
        <v>86.625</v>
      </c>
      <c r="DA216" s="271"/>
      <c r="DB216" s="270"/>
      <c r="DC216" s="269"/>
      <c r="DD216" s="271"/>
      <c r="DE216" s="270"/>
      <c r="DF216" s="267"/>
      <c r="DG216" s="271"/>
      <c r="DH216" s="270"/>
      <c r="DI216" s="269"/>
      <c r="DJ216" s="271"/>
      <c r="DK216" s="270"/>
      <c r="DL216" s="269"/>
      <c r="DM216" s="271"/>
      <c r="DN216" s="270"/>
      <c r="DO216" s="269"/>
      <c r="DP216" s="271"/>
      <c r="DQ216" s="270"/>
      <c r="DR216" s="269"/>
      <c r="DS216" s="271"/>
    </row>
    <row r="217">
      <c r="B217" s="180" t="str">
        <f>IFERROR(__xludf.DUMMYFUNCTION("""COMPUTED_VALUE"""),"SIN11")</f>
        <v>SIN11</v>
      </c>
      <c r="C217" s="264" t="str">
        <f>IFERROR(__xludf.DUMMYFUNCTION("""COMPUTED_VALUE"""),"Ba Men Cave")</f>
        <v>Ba Men Cave</v>
      </c>
      <c r="D217" s="102">
        <f>IFERROR(__xludf.DUMMYFUNCTION("""COMPUTED_VALUE"""),21.0)</f>
        <v>21</v>
      </c>
      <c r="E217" s="82" t="b">
        <f>IFERROR(__xludf.DUMMYFUNCTION("""COMPUTED_VALUE"""),TRUE)</f>
        <v>1</v>
      </c>
      <c r="F217" s="82" t="str">
        <f>IFERROR(__xludf.DUMMYFUNCTION("""COMPUTED_VALUE"""),"Free Quests- Part 2!A471:J476")</f>
        <v>Free Quests- Part 2!A471:J476</v>
      </c>
      <c r="G217" s="82">
        <f>IFERROR(__xludf.DUMMYFUNCTION("""COMPUTED_VALUE"""),217.0)</f>
        <v>217</v>
      </c>
      <c r="H217" s="82">
        <f>IFERROR(__xludf.DUMMYFUNCTION("""COMPUTED_VALUE"""),1450.0)</f>
        <v>1450</v>
      </c>
      <c r="I217" s="95"/>
      <c r="J217" s="270"/>
      <c r="K217" s="269"/>
      <c r="L217" s="271"/>
      <c r="M217" s="270"/>
      <c r="N217" s="269"/>
      <c r="O217" s="271"/>
      <c r="P217" s="270"/>
      <c r="Q217" s="269"/>
      <c r="R217" s="271"/>
      <c r="S217" s="270"/>
      <c r="T217" s="269"/>
      <c r="U217" s="95"/>
      <c r="V217" s="270"/>
      <c r="W217" s="269"/>
      <c r="X217" s="271"/>
      <c r="Y217" s="270"/>
      <c r="Z217" s="269"/>
      <c r="AA217" s="271"/>
      <c r="AB217" s="270"/>
      <c r="AC217" s="269"/>
      <c r="AD217" s="271"/>
      <c r="AE217" s="270"/>
      <c r="AF217" s="269"/>
      <c r="AG217" s="95"/>
      <c r="AH217" s="270"/>
      <c r="AI217" s="269"/>
      <c r="AJ217" s="271"/>
      <c r="AK217" s="270"/>
      <c r="AL217" s="269"/>
      <c r="AM217" s="271"/>
      <c r="AN217" s="270"/>
      <c r="AO217" s="269"/>
      <c r="AP217" s="271">
        <f>IFERROR(__xludf.DUMMYFUNCTION("""COMPUTED_VALUE"""),53.456725132983685)</f>
        <v>53.45672513</v>
      </c>
      <c r="AQ217" s="270"/>
      <c r="AR217" s="269"/>
      <c r="AS217" s="95"/>
      <c r="AT217" s="270"/>
      <c r="AU217" s="269"/>
      <c r="AV217" s="271"/>
      <c r="AW217" s="270"/>
      <c r="AX217" s="269"/>
      <c r="AY217" s="271"/>
      <c r="AZ217" s="270"/>
      <c r="BA217" s="269"/>
      <c r="BB217" s="271"/>
      <c r="BC217" s="270"/>
      <c r="BD217" s="269"/>
      <c r="BE217" s="95"/>
      <c r="BF217" s="270"/>
      <c r="BG217" s="269"/>
      <c r="BH217" s="271"/>
      <c r="BI217" s="270"/>
      <c r="BJ217" s="269"/>
      <c r="BK217" s="271"/>
      <c r="BL217" s="270"/>
      <c r="BM217" s="269"/>
      <c r="BN217" s="271"/>
      <c r="BO217" s="270"/>
      <c r="BP217" s="269">
        <f>IFERROR(__xludf.DUMMYFUNCTION("""COMPUTED_VALUE"""),46.59635293112283)</f>
        <v>46.59635293</v>
      </c>
      <c r="BQ217" s="95"/>
      <c r="BR217" s="270"/>
      <c r="BS217" s="269"/>
      <c r="BT217" s="271"/>
      <c r="BU217" s="270"/>
      <c r="BV217" s="269"/>
      <c r="BW217" s="271"/>
      <c r="BX217" s="270"/>
      <c r="BY217" s="269"/>
      <c r="BZ217" s="271"/>
      <c r="CA217" s="270"/>
      <c r="CB217" s="269"/>
      <c r="CC217" s="271"/>
      <c r="CD217" s="270"/>
      <c r="CE217" s="269"/>
      <c r="CF217" s="271"/>
      <c r="CG217" s="270"/>
      <c r="CH217" s="270"/>
      <c r="CI217" s="271"/>
      <c r="CJ217" s="270"/>
      <c r="CK217" s="270"/>
      <c r="CL217" s="271"/>
      <c r="CM217" s="270"/>
      <c r="CN217" s="270"/>
      <c r="CO217" s="271"/>
      <c r="CP217" s="270"/>
      <c r="CQ217" s="270"/>
      <c r="CR217" s="271"/>
      <c r="CS217" s="270"/>
      <c r="CT217" s="270"/>
      <c r="CU217" s="271"/>
      <c r="CV217" s="270"/>
      <c r="CW217" s="269"/>
      <c r="CX217" s="270"/>
      <c r="CY217" s="270"/>
      <c r="CZ217" s="269">
        <f>IFERROR(__xludf.DUMMYFUNCTION("""COMPUTED_VALUE"""),45.100671140939596)</f>
        <v>45.10067114</v>
      </c>
      <c r="DA217" s="271"/>
      <c r="DB217" s="270"/>
      <c r="DC217" s="269"/>
      <c r="DD217" s="271"/>
      <c r="DE217" s="270"/>
      <c r="DF217" s="267"/>
      <c r="DG217" s="271"/>
      <c r="DH217" s="270"/>
      <c r="DI217" s="269"/>
      <c r="DJ217" s="271"/>
      <c r="DK217" s="270"/>
      <c r="DL217" s="269"/>
      <c r="DM217" s="271"/>
      <c r="DN217" s="270"/>
      <c r="DO217" s="269"/>
      <c r="DP217" s="271"/>
      <c r="DQ217" s="270"/>
      <c r="DR217" s="269"/>
      <c r="DS217" s="271"/>
    </row>
    <row r="218">
      <c r="A218" s="183" t="str">
        <f>IFERROR(__xludf.DUMMYFUNCTION("""COMPUTED_VALUE"""),"YUGA KSHETRA")</f>
        <v>YUGA KSHETRA</v>
      </c>
      <c r="B218" s="180" t="str">
        <f>IFERROR(__xludf.DUMMYFUNCTION("""COMPUTED_VALUE"""),"YKS1")</f>
        <v>YKS1</v>
      </c>
      <c r="C218" s="88" t="str">
        <f>IFERROR(__xludf.DUMMYFUNCTION("""COMPUTED_VALUE"""),"Initiate Point")</f>
        <v>Initiate Point</v>
      </c>
      <c r="D218" s="102">
        <f>IFERROR(__xludf.DUMMYFUNCTION("""COMPUTED_VALUE"""),20.0)</f>
        <v>20</v>
      </c>
      <c r="E218" s="82" t="b">
        <f>IFERROR(__xludf.DUMMYFUNCTION("""COMPUTED_VALUE"""),FALSE)</f>
        <v>0</v>
      </c>
      <c r="F218" s="82" t="str">
        <f>IFERROR(__xludf.DUMMYFUNCTION("""COMPUTED_VALUE"""),"Free Quests- Part 2!A482:J490")</f>
        <v>Free Quests- Part 2!A482:J490</v>
      </c>
      <c r="G218" s="82">
        <f>IFERROR(__xludf.DUMMYFUNCTION("""COMPUTED_VALUE"""),218.0)</f>
        <v>218</v>
      </c>
      <c r="H218" s="82" t="str">
        <f>IFERROR(__xludf.DUMMYFUNCTION("""COMPUTED_VALUE"""),"Closed")</f>
        <v>Closed</v>
      </c>
      <c r="I218" s="95" t="str">
        <f>IFERROR(__xludf.DUMMYFUNCTION("""COMPUTED_VALUE"""),"Closed")</f>
        <v>Closed</v>
      </c>
      <c r="J218" s="96" t="str">
        <f>IFERROR(__xludf.DUMMYFUNCTION("""COMPUTED_VALUE"""),"Closed")</f>
        <v>Closed</v>
      </c>
      <c r="K218" s="97" t="str">
        <f>IFERROR(__xludf.DUMMYFUNCTION("""COMPUTED_VALUE"""),"Closed")</f>
        <v>Closed</v>
      </c>
      <c r="L218" s="95" t="str">
        <f>IFERROR(__xludf.DUMMYFUNCTION("""COMPUTED_VALUE"""),"Closed")</f>
        <v>Closed</v>
      </c>
      <c r="M218" s="96" t="str">
        <f>IFERROR(__xludf.DUMMYFUNCTION("""COMPUTED_VALUE"""),"Closed")</f>
        <v>Closed</v>
      </c>
      <c r="N218" s="97" t="str">
        <f>IFERROR(__xludf.DUMMYFUNCTION("""COMPUTED_VALUE"""),"Closed")</f>
        <v>Closed</v>
      </c>
      <c r="O218" s="95" t="str">
        <f>IFERROR(__xludf.DUMMYFUNCTION("""COMPUTED_VALUE"""),"Closed")</f>
        <v>Closed</v>
      </c>
      <c r="P218" s="96" t="str">
        <f>IFERROR(__xludf.DUMMYFUNCTION("""COMPUTED_VALUE"""),"Closed")</f>
        <v>Closed</v>
      </c>
      <c r="Q218" s="97" t="str">
        <f>IFERROR(__xludf.DUMMYFUNCTION("""COMPUTED_VALUE"""),"Closed")</f>
        <v>Closed</v>
      </c>
      <c r="R218" s="95" t="str">
        <f>IFERROR(__xludf.DUMMYFUNCTION("""COMPUTED_VALUE"""),"Closed")</f>
        <v>Closed</v>
      </c>
      <c r="S218" s="96" t="str">
        <f>IFERROR(__xludf.DUMMYFUNCTION("""COMPUTED_VALUE"""),"Closed")</f>
        <v>Closed</v>
      </c>
      <c r="T218" s="97" t="str">
        <f>IFERROR(__xludf.DUMMYFUNCTION("""COMPUTED_VALUE"""),"Closed")</f>
        <v>Closed</v>
      </c>
      <c r="U218" s="95" t="str">
        <f>IFERROR(__xludf.DUMMYFUNCTION("""COMPUTED_VALUE"""),"Closed")</f>
        <v>Closed</v>
      </c>
      <c r="V218" s="96" t="str">
        <f>IFERROR(__xludf.DUMMYFUNCTION("""COMPUTED_VALUE"""),"Closed")</f>
        <v>Closed</v>
      </c>
      <c r="W218" s="97" t="str">
        <f>IFERROR(__xludf.DUMMYFUNCTION("""COMPUTED_VALUE"""),"Closed")</f>
        <v>Closed</v>
      </c>
      <c r="X218" s="95" t="str">
        <f>IFERROR(__xludf.DUMMYFUNCTION("""COMPUTED_VALUE"""),"Closed")</f>
        <v>Closed</v>
      </c>
      <c r="Y218" s="96" t="str">
        <f>IFERROR(__xludf.DUMMYFUNCTION("""COMPUTED_VALUE"""),"Closed")</f>
        <v>Closed</v>
      </c>
      <c r="Z218" s="97" t="str">
        <f>IFERROR(__xludf.DUMMYFUNCTION("""COMPUTED_VALUE"""),"Closed")</f>
        <v>Closed</v>
      </c>
      <c r="AA218" s="95" t="str">
        <f>IFERROR(__xludf.DUMMYFUNCTION("""COMPUTED_VALUE"""),"Closed")</f>
        <v>Closed</v>
      </c>
      <c r="AB218" s="96" t="str">
        <f>IFERROR(__xludf.DUMMYFUNCTION("""COMPUTED_VALUE"""),"Closed")</f>
        <v>Closed</v>
      </c>
      <c r="AC218" s="97" t="str">
        <f>IFERROR(__xludf.DUMMYFUNCTION("""COMPUTED_VALUE"""),"Closed")</f>
        <v>Closed</v>
      </c>
      <c r="AD218" s="95" t="str">
        <f>IFERROR(__xludf.DUMMYFUNCTION("""COMPUTED_VALUE"""),"Closed")</f>
        <v>Closed</v>
      </c>
      <c r="AE218" s="96" t="str">
        <f>IFERROR(__xludf.DUMMYFUNCTION("""COMPUTED_VALUE"""),"Closed")</f>
        <v>Closed</v>
      </c>
      <c r="AF218" s="97" t="str">
        <f>IFERROR(__xludf.DUMMYFUNCTION("""COMPUTED_VALUE"""),"Closed")</f>
        <v>Closed</v>
      </c>
      <c r="AG218" s="95" t="str">
        <f>IFERROR(__xludf.DUMMYFUNCTION("""COMPUTED_VALUE"""),"Closed")</f>
        <v>Closed</v>
      </c>
      <c r="AH218" s="96" t="str">
        <f>IFERROR(__xludf.DUMMYFUNCTION("""COMPUTED_VALUE"""),"Closed")</f>
        <v>Closed</v>
      </c>
      <c r="AI218" s="97" t="str">
        <f>IFERROR(__xludf.DUMMYFUNCTION("""COMPUTED_VALUE"""),"Closed")</f>
        <v>Closed</v>
      </c>
      <c r="AJ218" s="95" t="str">
        <f>IFERROR(__xludf.DUMMYFUNCTION("""COMPUTED_VALUE"""),"Closed")</f>
        <v>Closed</v>
      </c>
      <c r="AK218" s="96" t="str">
        <f>IFERROR(__xludf.DUMMYFUNCTION("""COMPUTED_VALUE"""),"Closed")</f>
        <v>Closed</v>
      </c>
      <c r="AL218" s="97" t="str">
        <f>IFERROR(__xludf.DUMMYFUNCTION("""COMPUTED_VALUE"""),"Closed")</f>
        <v>Closed</v>
      </c>
      <c r="AM218" s="95" t="str">
        <f>IFERROR(__xludf.DUMMYFUNCTION("""COMPUTED_VALUE"""),"Closed")</f>
        <v>Closed</v>
      </c>
      <c r="AN218" s="96" t="str">
        <f>IFERROR(__xludf.DUMMYFUNCTION("""COMPUTED_VALUE"""),"Closed")</f>
        <v>Closed</v>
      </c>
      <c r="AO218" s="97" t="str">
        <f>IFERROR(__xludf.DUMMYFUNCTION("""COMPUTED_VALUE"""),"Closed")</f>
        <v>Closed</v>
      </c>
      <c r="AP218" s="95" t="str">
        <f>IFERROR(__xludf.DUMMYFUNCTION("""COMPUTED_VALUE"""),"Closed")</f>
        <v>Closed</v>
      </c>
      <c r="AQ218" s="96" t="str">
        <f>IFERROR(__xludf.DUMMYFUNCTION("""COMPUTED_VALUE"""),"Closed")</f>
        <v>Closed</v>
      </c>
      <c r="AR218" s="97" t="str">
        <f>IFERROR(__xludf.DUMMYFUNCTION("""COMPUTED_VALUE"""),"Closed")</f>
        <v>Closed</v>
      </c>
      <c r="AS218" s="95" t="str">
        <f>IFERROR(__xludf.DUMMYFUNCTION("""COMPUTED_VALUE"""),"Closed")</f>
        <v>Closed</v>
      </c>
      <c r="AT218" s="96" t="str">
        <f>IFERROR(__xludf.DUMMYFUNCTION("""COMPUTED_VALUE"""),"Closed")</f>
        <v>Closed</v>
      </c>
      <c r="AU218" s="97" t="str">
        <f>IFERROR(__xludf.DUMMYFUNCTION("""COMPUTED_VALUE"""),"Closed")</f>
        <v>Closed</v>
      </c>
      <c r="AV218" s="95" t="str">
        <f>IFERROR(__xludf.DUMMYFUNCTION("""COMPUTED_VALUE"""),"Closed")</f>
        <v>Closed</v>
      </c>
      <c r="AW218" s="96" t="str">
        <f>IFERROR(__xludf.DUMMYFUNCTION("""COMPUTED_VALUE"""),"Closed")</f>
        <v>Closed</v>
      </c>
      <c r="AX218" s="97" t="str">
        <f>IFERROR(__xludf.DUMMYFUNCTION("""COMPUTED_VALUE"""),"Closed")</f>
        <v>Closed</v>
      </c>
      <c r="AY218" s="95" t="str">
        <f>IFERROR(__xludf.DUMMYFUNCTION("""COMPUTED_VALUE"""),"Closed")</f>
        <v>Closed</v>
      </c>
      <c r="AZ218" s="96" t="str">
        <f>IFERROR(__xludf.DUMMYFUNCTION("""COMPUTED_VALUE"""),"Closed")</f>
        <v>Closed</v>
      </c>
      <c r="BA218" s="97" t="str">
        <f>IFERROR(__xludf.DUMMYFUNCTION("""COMPUTED_VALUE"""),"Closed")</f>
        <v>Closed</v>
      </c>
      <c r="BB218" s="95" t="str">
        <f>IFERROR(__xludf.DUMMYFUNCTION("""COMPUTED_VALUE"""),"Closed")</f>
        <v>Closed</v>
      </c>
      <c r="BC218" s="96" t="str">
        <f>IFERROR(__xludf.DUMMYFUNCTION("""COMPUTED_VALUE"""),"Closed")</f>
        <v>Closed</v>
      </c>
      <c r="BD218" s="97" t="str">
        <f>IFERROR(__xludf.DUMMYFUNCTION("""COMPUTED_VALUE"""),"Closed")</f>
        <v>Closed</v>
      </c>
      <c r="BE218" s="95" t="str">
        <f>IFERROR(__xludf.DUMMYFUNCTION("""COMPUTED_VALUE"""),"Closed")</f>
        <v>Closed</v>
      </c>
      <c r="BF218" s="96" t="str">
        <f>IFERROR(__xludf.DUMMYFUNCTION("""COMPUTED_VALUE"""),"Closed")</f>
        <v>Closed</v>
      </c>
      <c r="BG218" s="97" t="str">
        <f>IFERROR(__xludf.DUMMYFUNCTION("""COMPUTED_VALUE"""),"Closed")</f>
        <v>Closed</v>
      </c>
      <c r="BH218" s="95" t="str">
        <f>IFERROR(__xludf.DUMMYFUNCTION("""COMPUTED_VALUE"""),"Closed")</f>
        <v>Closed</v>
      </c>
      <c r="BI218" s="96" t="str">
        <f>IFERROR(__xludf.DUMMYFUNCTION("""COMPUTED_VALUE"""),"Closed")</f>
        <v>Closed</v>
      </c>
      <c r="BJ218" s="97" t="str">
        <f>IFERROR(__xludf.DUMMYFUNCTION("""COMPUTED_VALUE"""),"Closed")</f>
        <v>Closed</v>
      </c>
      <c r="BK218" s="95" t="str">
        <f>IFERROR(__xludf.DUMMYFUNCTION("""COMPUTED_VALUE"""),"Closed")</f>
        <v>Closed</v>
      </c>
      <c r="BL218" s="96" t="str">
        <f>IFERROR(__xludf.DUMMYFUNCTION("""COMPUTED_VALUE"""),"Closed")</f>
        <v>Closed</v>
      </c>
      <c r="BM218" s="97" t="str">
        <f>IFERROR(__xludf.DUMMYFUNCTION("""COMPUTED_VALUE"""),"Closed")</f>
        <v>Closed</v>
      </c>
      <c r="BN218" s="95" t="str">
        <f>IFERROR(__xludf.DUMMYFUNCTION("""COMPUTED_VALUE"""),"Closed")</f>
        <v>Closed</v>
      </c>
      <c r="BO218" s="96" t="str">
        <f>IFERROR(__xludf.DUMMYFUNCTION("""COMPUTED_VALUE"""),"Closed")</f>
        <v>Closed</v>
      </c>
      <c r="BP218" s="97" t="str">
        <f>IFERROR(__xludf.DUMMYFUNCTION("""COMPUTED_VALUE"""),"Closed")</f>
        <v>Closed</v>
      </c>
      <c r="BQ218" s="95" t="str">
        <f>IFERROR(__xludf.DUMMYFUNCTION("""COMPUTED_VALUE"""),"Closed")</f>
        <v>Closed</v>
      </c>
      <c r="BR218" s="96" t="str">
        <f>IFERROR(__xludf.DUMMYFUNCTION("""COMPUTED_VALUE"""),"Closed")</f>
        <v>Closed</v>
      </c>
      <c r="BS218" s="97" t="str">
        <f>IFERROR(__xludf.DUMMYFUNCTION("""COMPUTED_VALUE"""),"Closed")</f>
        <v>Closed</v>
      </c>
      <c r="BT218" s="95" t="str">
        <f>IFERROR(__xludf.DUMMYFUNCTION("""COMPUTED_VALUE"""),"Closed")</f>
        <v>Closed</v>
      </c>
      <c r="BU218" s="96" t="str">
        <f>IFERROR(__xludf.DUMMYFUNCTION("""COMPUTED_VALUE"""),"Closed")</f>
        <v>Closed</v>
      </c>
      <c r="BV218" s="97" t="str">
        <f>IFERROR(__xludf.DUMMYFUNCTION("""COMPUTED_VALUE"""),"Closed")</f>
        <v>Closed</v>
      </c>
      <c r="BW218" s="95" t="str">
        <f>IFERROR(__xludf.DUMMYFUNCTION("""COMPUTED_VALUE"""),"Closed")</f>
        <v>Closed</v>
      </c>
      <c r="BX218" s="96" t="str">
        <f>IFERROR(__xludf.DUMMYFUNCTION("""COMPUTED_VALUE"""),"Closed")</f>
        <v>Closed</v>
      </c>
      <c r="BY218" s="97" t="str">
        <f>IFERROR(__xludf.DUMMYFUNCTION("""COMPUTED_VALUE"""),"Closed")</f>
        <v>Closed</v>
      </c>
      <c r="BZ218" s="95" t="str">
        <f>IFERROR(__xludf.DUMMYFUNCTION("""COMPUTED_VALUE"""),"Closed")</f>
        <v>Closed</v>
      </c>
      <c r="CA218" s="96" t="str">
        <f>IFERROR(__xludf.DUMMYFUNCTION("""COMPUTED_VALUE"""),"Closed")</f>
        <v>Closed</v>
      </c>
      <c r="CB218" s="97" t="str">
        <f>IFERROR(__xludf.DUMMYFUNCTION("""COMPUTED_VALUE"""),"Closed")</f>
        <v>Closed</v>
      </c>
      <c r="CC218" s="95" t="str">
        <f>IFERROR(__xludf.DUMMYFUNCTION("""COMPUTED_VALUE"""),"Closed")</f>
        <v>Closed</v>
      </c>
      <c r="CD218" s="96" t="str">
        <f>IFERROR(__xludf.DUMMYFUNCTION("""COMPUTED_VALUE"""),"Closed")</f>
        <v>Closed</v>
      </c>
      <c r="CE218" s="97" t="str">
        <f>IFERROR(__xludf.DUMMYFUNCTION("""COMPUTED_VALUE"""),"Closed")</f>
        <v>Closed</v>
      </c>
      <c r="CF218" s="95" t="str">
        <f>IFERROR(__xludf.DUMMYFUNCTION("""COMPUTED_VALUE"""),"Closed")</f>
        <v>Closed</v>
      </c>
      <c r="CG218" s="96" t="str">
        <f>IFERROR(__xludf.DUMMYFUNCTION("""COMPUTED_VALUE"""),"Closed")</f>
        <v>Closed</v>
      </c>
      <c r="CH218" s="96" t="str">
        <f>IFERROR(__xludf.DUMMYFUNCTION("""COMPUTED_VALUE"""),"Closed")</f>
        <v>Closed</v>
      </c>
      <c r="CI218" s="95" t="str">
        <f>IFERROR(__xludf.DUMMYFUNCTION("""COMPUTED_VALUE"""),"Closed")</f>
        <v>Closed</v>
      </c>
      <c r="CJ218" s="96" t="str">
        <f>IFERROR(__xludf.DUMMYFUNCTION("""COMPUTED_VALUE"""),"Closed")</f>
        <v>Closed</v>
      </c>
      <c r="CK218" s="96" t="str">
        <f>IFERROR(__xludf.DUMMYFUNCTION("""COMPUTED_VALUE"""),"Closed")</f>
        <v>Closed</v>
      </c>
      <c r="CL218" s="95" t="str">
        <f>IFERROR(__xludf.DUMMYFUNCTION("""COMPUTED_VALUE"""),"Closed")</f>
        <v>Closed</v>
      </c>
      <c r="CM218" s="96" t="str">
        <f>IFERROR(__xludf.DUMMYFUNCTION("""COMPUTED_VALUE"""),"Closed")</f>
        <v>Closed</v>
      </c>
      <c r="CN218" s="96" t="str">
        <f>IFERROR(__xludf.DUMMYFUNCTION("""COMPUTED_VALUE"""),"Closed")</f>
        <v>Closed</v>
      </c>
      <c r="CO218" s="95" t="str">
        <f>IFERROR(__xludf.DUMMYFUNCTION("""COMPUTED_VALUE"""),"Closed")</f>
        <v>Closed</v>
      </c>
      <c r="CP218" s="96" t="str">
        <f>IFERROR(__xludf.DUMMYFUNCTION("""COMPUTED_VALUE"""),"Closed")</f>
        <v>Closed</v>
      </c>
      <c r="CQ218" s="96" t="str">
        <f>IFERROR(__xludf.DUMMYFUNCTION("""COMPUTED_VALUE"""),"Closed")</f>
        <v>Closed</v>
      </c>
      <c r="CR218" s="95" t="str">
        <f>IFERROR(__xludf.DUMMYFUNCTION("""COMPUTED_VALUE"""),"Closed")</f>
        <v>Closed</v>
      </c>
      <c r="CS218" s="96" t="str">
        <f>IFERROR(__xludf.DUMMYFUNCTION("""COMPUTED_VALUE"""),"Closed")</f>
        <v>Closed</v>
      </c>
      <c r="CT218" s="96" t="str">
        <f>IFERROR(__xludf.DUMMYFUNCTION("""COMPUTED_VALUE"""),"Closed")</f>
        <v>Closed</v>
      </c>
      <c r="CU218" s="95" t="str">
        <f>IFERROR(__xludf.DUMMYFUNCTION("""COMPUTED_VALUE"""),"Closed")</f>
        <v>Closed</v>
      </c>
      <c r="CV218" s="96" t="str">
        <f>IFERROR(__xludf.DUMMYFUNCTION("""COMPUTED_VALUE"""),"Closed")</f>
        <v>Closed</v>
      </c>
      <c r="CW218" s="97" t="str">
        <f>IFERROR(__xludf.DUMMYFUNCTION("""COMPUTED_VALUE"""),"Closed")</f>
        <v>Closed</v>
      </c>
      <c r="CX218" s="96" t="str">
        <f>IFERROR(__xludf.DUMMYFUNCTION("""COMPUTED_VALUE"""),"Closed")</f>
        <v>Closed</v>
      </c>
      <c r="CY218" s="96" t="str">
        <f>IFERROR(__xludf.DUMMYFUNCTION("""COMPUTED_VALUE"""),"Closed")</f>
        <v>Closed</v>
      </c>
      <c r="CZ218" s="97" t="str">
        <f>IFERROR(__xludf.DUMMYFUNCTION("""COMPUTED_VALUE"""),"Closed")</f>
        <v>Closed</v>
      </c>
      <c r="DA218" s="95" t="str">
        <f>IFERROR(__xludf.DUMMYFUNCTION("""COMPUTED_VALUE"""),"Closed")</f>
        <v>Closed</v>
      </c>
      <c r="DB218" s="96" t="str">
        <f>IFERROR(__xludf.DUMMYFUNCTION("""COMPUTED_VALUE"""),"Closed")</f>
        <v>Closed</v>
      </c>
      <c r="DC218" s="97" t="str">
        <f>IFERROR(__xludf.DUMMYFUNCTION("""COMPUTED_VALUE"""),"Closed")</f>
        <v>Closed</v>
      </c>
      <c r="DD218" s="95" t="str">
        <f>IFERROR(__xludf.DUMMYFUNCTION("""COMPUTED_VALUE"""),"Closed")</f>
        <v>Closed</v>
      </c>
      <c r="DE218" s="96" t="str">
        <f>IFERROR(__xludf.DUMMYFUNCTION("""COMPUTED_VALUE"""),"Closed")</f>
        <v>Closed</v>
      </c>
      <c r="DF218" s="97" t="str">
        <f>IFERROR(__xludf.DUMMYFUNCTION("""COMPUTED_VALUE"""),"Closed")</f>
        <v>Closed</v>
      </c>
      <c r="DG218" s="95" t="str">
        <f>IFERROR(__xludf.DUMMYFUNCTION("""COMPUTED_VALUE"""),"Closed")</f>
        <v>Closed</v>
      </c>
      <c r="DH218" s="96" t="str">
        <f>IFERROR(__xludf.DUMMYFUNCTION("""COMPUTED_VALUE"""),"Closed")</f>
        <v>Closed</v>
      </c>
      <c r="DI218" s="97" t="str">
        <f>IFERROR(__xludf.DUMMYFUNCTION("""COMPUTED_VALUE"""),"Closed")</f>
        <v>Closed</v>
      </c>
      <c r="DJ218" s="95" t="str">
        <f>IFERROR(__xludf.DUMMYFUNCTION("""COMPUTED_VALUE"""),"Closed")</f>
        <v>Closed</v>
      </c>
      <c r="DK218" s="96" t="str">
        <f>IFERROR(__xludf.DUMMYFUNCTION("""COMPUTED_VALUE"""),"Closed")</f>
        <v>Closed</v>
      </c>
      <c r="DL218" s="97" t="str">
        <f>IFERROR(__xludf.DUMMYFUNCTION("""COMPUTED_VALUE"""),"Closed")</f>
        <v>Closed</v>
      </c>
      <c r="DM218" s="95" t="str">
        <f>IFERROR(__xludf.DUMMYFUNCTION("""COMPUTED_VALUE"""),"Closed")</f>
        <v>Closed</v>
      </c>
      <c r="DN218" s="96" t="str">
        <f>IFERROR(__xludf.DUMMYFUNCTION("""COMPUTED_VALUE"""),"Closed")</f>
        <v>Closed</v>
      </c>
      <c r="DO218" s="97" t="str">
        <f>IFERROR(__xludf.DUMMYFUNCTION("""COMPUTED_VALUE"""),"Closed")</f>
        <v>Closed</v>
      </c>
      <c r="DP218" s="95" t="str">
        <f>IFERROR(__xludf.DUMMYFUNCTION("""COMPUTED_VALUE"""),"Closed")</f>
        <v>Closed</v>
      </c>
      <c r="DQ218" s="96" t="str">
        <f>IFERROR(__xludf.DUMMYFUNCTION("""COMPUTED_VALUE"""),"Closed")</f>
        <v>Closed</v>
      </c>
      <c r="DR218" s="97"/>
      <c r="DS218" s="95"/>
    </row>
    <row r="219">
      <c r="B219" s="180" t="str">
        <f>IFERROR(__xludf.DUMMYFUNCTION("""COMPUTED_VALUE"""),"YKS2")</f>
        <v>YKS2</v>
      </c>
      <c r="C219" s="88" t="str">
        <f>IFERROR(__xludf.DUMMYFUNCTION("""COMPUTED_VALUE"""),"Bich")</f>
        <v>Bich</v>
      </c>
      <c r="D219" s="102">
        <f>IFERROR(__xludf.DUMMYFUNCTION("""COMPUTED_VALUE"""),20.0)</f>
        <v>20</v>
      </c>
      <c r="E219" s="82" t="b">
        <f>IFERROR(__xludf.DUMMYFUNCTION("""COMPUTED_VALUE"""),FALSE)</f>
        <v>0</v>
      </c>
      <c r="F219" s="82" t="str">
        <f>IFERROR(__xludf.DUMMYFUNCTION("""COMPUTED_VALUE"""),"Free Quests- Part 2!A494:J504")</f>
        <v>Free Quests- Part 2!A494:J504</v>
      </c>
      <c r="G219" s="82">
        <f>IFERROR(__xludf.DUMMYFUNCTION("""COMPUTED_VALUE"""),219.0)</f>
        <v>219</v>
      </c>
      <c r="H219" s="82" t="str">
        <f>IFERROR(__xludf.DUMMYFUNCTION("""COMPUTED_VALUE"""),"Closed")</f>
        <v>Closed</v>
      </c>
      <c r="I219" s="95" t="str">
        <f>IFERROR(__xludf.DUMMYFUNCTION("""COMPUTED_VALUE"""),"Closed")</f>
        <v>Closed</v>
      </c>
      <c r="J219" s="96" t="str">
        <f>IFERROR(__xludf.DUMMYFUNCTION("""COMPUTED_VALUE"""),"Closed")</f>
        <v>Closed</v>
      </c>
      <c r="K219" s="97" t="str">
        <f>IFERROR(__xludf.DUMMYFUNCTION("""COMPUTED_VALUE"""),"Closed")</f>
        <v>Closed</v>
      </c>
      <c r="L219" s="95" t="str">
        <f>IFERROR(__xludf.DUMMYFUNCTION("""COMPUTED_VALUE"""),"Closed")</f>
        <v>Closed</v>
      </c>
      <c r="M219" s="96" t="str">
        <f>IFERROR(__xludf.DUMMYFUNCTION("""COMPUTED_VALUE"""),"Closed")</f>
        <v>Closed</v>
      </c>
      <c r="N219" s="97" t="str">
        <f>IFERROR(__xludf.DUMMYFUNCTION("""COMPUTED_VALUE"""),"Closed")</f>
        <v>Closed</v>
      </c>
      <c r="O219" s="95" t="str">
        <f>IFERROR(__xludf.DUMMYFUNCTION("""COMPUTED_VALUE"""),"Closed")</f>
        <v>Closed</v>
      </c>
      <c r="P219" s="96" t="str">
        <f>IFERROR(__xludf.DUMMYFUNCTION("""COMPUTED_VALUE"""),"Closed")</f>
        <v>Closed</v>
      </c>
      <c r="Q219" s="97" t="str">
        <f>IFERROR(__xludf.DUMMYFUNCTION("""COMPUTED_VALUE"""),"Closed")</f>
        <v>Closed</v>
      </c>
      <c r="R219" s="95" t="str">
        <f>IFERROR(__xludf.DUMMYFUNCTION("""COMPUTED_VALUE"""),"Closed")</f>
        <v>Closed</v>
      </c>
      <c r="S219" s="96" t="str">
        <f>IFERROR(__xludf.DUMMYFUNCTION("""COMPUTED_VALUE"""),"Closed")</f>
        <v>Closed</v>
      </c>
      <c r="T219" s="97" t="str">
        <f>IFERROR(__xludf.DUMMYFUNCTION("""COMPUTED_VALUE"""),"Closed")</f>
        <v>Closed</v>
      </c>
      <c r="U219" s="95" t="str">
        <f>IFERROR(__xludf.DUMMYFUNCTION("""COMPUTED_VALUE"""),"Closed")</f>
        <v>Closed</v>
      </c>
      <c r="V219" s="96" t="str">
        <f>IFERROR(__xludf.DUMMYFUNCTION("""COMPUTED_VALUE"""),"Closed")</f>
        <v>Closed</v>
      </c>
      <c r="W219" s="97" t="str">
        <f>IFERROR(__xludf.DUMMYFUNCTION("""COMPUTED_VALUE"""),"Closed")</f>
        <v>Closed</v>
      </c>
      <c r="X219" s="95" t="str">
        <f>IFERROR(__xludf.DUMMYFUNCTION("""COMPUTED_VALUE"""),"Closed")</f>
        <v>Closed</v>
      </c>
      <c r="Y219" s="96" t="str">
        <f>IFERROR(__xludf.DUMMYFUNCTION("""COMPUTED_VALUE"""),"Closed")</f>
        <v>Closed</v>
      </c>
      <c r="Z219" s="97" t="str">
        <f>IFERROR(__xludf.DUMMYFUNCTION("""COMPUTED_VALUE"""),"Closed")</f>
        <v>Closed</v>
      </c>
      <c r="AA219" s="95" t="str">
        <f>IFERROR(__xludf.DUMMYFUNCTION("""COMPUTED_VALUE"""),"Closed")</f>
        <v>Closed</v>
      </c>
      <c r="AB219" s="96" t="str">
        <f>IFERROR(__xludf.DUMMYFUNCTION("""COMPUTED_VALUE"""),"Closed")</f>
        <v>Closed</v>
      </c>
      <c r="AC219" s="97" t="str">
        <f>IFERROR(__xludf.DUMMYFUNCTION("""COMPUTED_VALUE"""),"Closed")</f>
        <v>Closed</v>
      </c>
      <c r="AD219" s="95" t="str">
        <f>IFERROR(__xludf.DUMMYFUNCTION("""COMPUTED_VALUE"""),"Closed")</f>
        <v>Closed</v>
      </c>
      <c r="AE219" s="96" t="str">
        <f>IFERROR(__xludf.DUMMYFUNCTION("""COMPUTED_VALUE"""),"Closed")</f>
        <v>Closed</v>
      </c>
      <c r="AF219" s="97" t="str">
        <f>IFERROR(__xludf.DUMMYFUNCTION("""COMPUTED_VALUE"""),"Closed")</f>
        <v>Closed</v>
      </c>
      <c r="AG219" s="95" t="str">
        <f>IFERROR(__xludf.DUMMYFUNCTION("""COMPUTED_VALUE"""),"Closed")</f>
        <v>Closed</v>
      </c>
      <c r="AH219" s="96" t="str">
        <f>IFERROR(__xludf.DUMMYFUNCTION("""COMPUTED_VALUE"""),"Closed")</f>
        <v>Closed</v>
      </c>
      <c r="AI219" s="97" t="str">
        <f>IFERROR(__xludf.DUMMYFUNCTION("""COMPUTED_VALUE"""),"Closed")</f>
        <v>Closed</v>
      </c>
      <c r="AJ219" s="95" t="str">
        <f>IFERROR(__xludf.DUMMYFUNCTION("""COMPUTED_VALUE"""),"Closed")</f>
        <v>Closed</v>
      </c>
      <c r="AK219" s="96" t="str">
        <f>IFERROR(__xludf.DUMMYFUNCTION("""COMPUTED_VALUE"""),"Closed")</f>
        <v>Closed</v>
      </c>
      <c r="AL219" s="97" t="str">
        <f>IFERROR(__xludf.DUMMYFUNCTION("""COMPUTED_VALUE"""),"Closed")</f>
        <v>Closed</v>
      </c>
      <c r="AM219" s="95" t="str">
        <f>IFERROR(__xludf.DUMMYFUNCTION("""COMPUTED_VALUE"""),"Closed")</f>
        <v>Closed</v>
      </c>
      <c r="AN219" s="96" t="str">
        <f>IFERROR(__xludf.DUMMYFUNCTION("""COMPUTED_VALUE"""),"Closed")</f>
        <v>Closed</v>
      </c>
      <c r="AO219" s="97" t="str">
        <f>IFERROR(__xludf.DUMMYFUNCTION("""COMPUTED_VALUE"""),"Closed")</f>
        <v>Closed</v>
      </c>
      <c r="AP219" s="95" t="str">
        <f>IFERROR(__xludf.DUMMYFUNCTION("""COMPUTED_VALUE"""),"Closed")</f>
        <v>Closed</v>
      </c>
      <c r="AQ219" s="96" t="str">
        <f>IFERROR(__xludf.DUMMYFUNCTION("""COMPUTED_VALUE"""),"Closed")</f>
        <v>Closed</v>
      </c>
      <c r="AR219" s="97" t="str">
        <f>IFERROR(__xludf.DUMMYFUNCTION("""COMPUTED_VALUE"""),"Closed")</f>
        <v>Closed</v>
      </c>
      <c r="AS219" s="95" t="str">
        <f>IFERROR(__xludf.DUMMYFUNCTION("""COMPUTED_VALUE"""),"Closed")</f>
        <v>Closed</v>
      </c>
      <c r="AT219" s="96" t="str">
        <f>IFERROR(__xludf.DUMMYFUNCTION("""COMPUTED_VALUE"""),"Closed")</f>
        <v>Closed</v>
      </c>
      <c r="AU219" s="97" t="str">
        <f>IFERROR(__xludf.DUMMYFUNCTION("""COMPUTED_VALUE"""),"Closed")</f>
        <v>Closed</v>
      </c>
      <c r="AV219" s="95" t="str">
        <f>IFERROR(__xludf.DUMMYFUNCTION("""COMPUTED_VALUE"""),"Closed")</f>
        <v>Closed</v>
      </c>
      <c r="AW219" s="96" t="str">
        <f>IFERROR(__xludf.DUMMYFUNCTION("""COMPUTED_VALUE"""),"Closed")</f>
        <v>Closed</v>
      </c>
      <c r="AX219" s="97" t="str">
        <f>IFERROR(__xludf.DUMMYFUNCTION("""COMPUTED_VALUE"""),"Closed")</f>
        <v>Closed</v>
      </c>
      <c r="AY219" s="95" t="str">
        <f>IFERROR(__xludf.DUMMYFUNCTION("""COMPUTED_VALUE"""),"Closed")</f>
        <v>Closed</v>
      </c>
      <c r="AZ219" s="96" t="str">
        <f>IFERROR(__xludf.DUMMYFUNCTION("""COMPUTED_VALUE"""),"Closed")</f>
        <v>Closed</v>
      </c>
      <c r="BA219" s="97" t="str">
        <f>IFERROR(__xludf.DUMMYFUNCTION("""COMPUTED_VALUE"""),"Closed")</f>
        <v>Closed</v>
      </c>
      <c r="BB219" s="95" t="str">
        <f>IFERROR(__xludf.DUMMYFUNCTION("""COMPUTED_VALUE"""),"Closed")</f>
        <v>Closed</v>
      </c>
      <c r="BC219" s="96" t="str">
        <f>IFERROR(__xludf.DUMMYFUNCTION("""COMPUTED_VALUE"""),"Closed")</f>
        <v>Closed</v>
      </c>
      <c r="BD219" s="97" t="str">
        <f>IFERROR(__xludf.DUMMYFUNCTION("""COMPUTED_VALUE"""),"Closed")</f>
        <v>Closed</v>
      </c>
      <c r="BE219" s="95" t="str">
        <f>IFERROR(__xludf.DUMMYFUNCTION("""COMPUTED_VALUE"""),"Closed")</f>
        <v>Closed</v>
      </c>
      <c r="BF219" s="96" t="str">
        <f>IFERROR(__xludf.DUMMYFUNCTION("""COMPUTED_VALUE"""),"Closed")</f>
        <v>Closed</v>
      </c>
      <c r="BG219" s="97" t="str">
        <f>IFERROR(__xludf.DUMMYFUNCTION("""COMPUTED_VALUE"""),"Closed")</f>
        <v>Closed</v>
      </c>
      <c r="BH219" s="95" t="str">
        <f>IFERROR(__xludf.DUMMYFUNCTION("""COMPUTED_VALUE"""),"Closed")</f>
        <v>Closed</v>
      </c>
      <c r="BI219" s="96" t="str">
        <f>IFERROR(__xludf.DUMMYFUNCTION("""COMPUTED_VALUE"""),"Closed")</f>
        <v>Closed</v>
      </c>
      <c r="BJ219" s="97" t="str">
        <f>IFERROR(__xludf.DUMMYFUNCTION("""COMPUTED_VALUE"""),"Closed")</f>
        <v>Closed</v>
      </c>
      <c r="BK219" s="95" t="str">
        <f>IFERROR(__xludf.DUMMYFUNCTION("""COMPUTED_VALUE"""),"Closed")</f>
        <v>Closed</v>
      </c>
      <c r="BL219" s="96" t="str">
        <f>IFERROR(__xludf.DUMMYFUNCTION("""COMPUTED_VALUE"""),"Closed")</f>
        <v>Closed</v>
      </c>
      <c r="BM219" s="97" t="str">
        <f>IFERROR(__xludf.DUMMYFUNCTION("""COMPUTED_VALUE"""),"Closed")</f>
        <v>Closed</v>
      </c>
      <c r="BN219" s="95" t="str">
        <f>IFERROR(__xludf.DUMMYFUNCTION("""COMPUTED_VALUE"""),"Closed")</f>
        <v>Closed</v>
      </c>
      <c r="BO219" s="96" t="str">
        <f>IFERROR(__xludf.DUMMYFUNCTION("""COMPUTED_VALUE"""),"Closed")</f>
        <v>Closed</v>
      </c>
      <c r="BP219" s="97" t="str">
        <f>IFERROR(__xludf.DUMMYFUNCTION("""COMPUTED_VALUE"""),"Closed")</f>
        <v>Closed</v>
      </c>
      <c r="BQ219" s="95" t="str">
        <f>IFERROR(__xludf.DUMMYFUNCTION("""COMPUTED_VALUE"""),"Closed")</f>
        <v>Closed</v>
      </c>
      <c r="BR219" s="96" t="str">
        <f>IFERROR(__xludf.DUMMYFUNCTION("""COMPUTED_VALUE"""),"Closed")</f>
        <v>Closed</v>
      </c>
      <c r="BS219" s="97" t="str">
        <f>IFERROR(__xludf.DUMMYFUNCTION("""COMPUTED_VALUE"""),"Closed")</f>
        <v>Closed</v>
      </c>
      <c r="BT219" s="95" t="str">
        <f>IFERROR(__xludf.DUMMYFUNCTION("""COMPUTED_VALUE"""),"Closed")</f>
        <v>Closed</v>
      </c>
      <c r="BU219" s="96" t="str">
        <f>IFERROR(__xludf.DUMMYFUNCTION("""COMPUTED_VALUE"""),"Closed")</f>
        <v>Closed</v>
      </c>
      <c r="BV219" s="97" t="str">
        <f>IFERROR(__xludf.DUMMYFUNCTION("""COMPUTED_VALUE"""),"Closed")</f>
        <v>Closed</v>
      </c>
      <c r="BW219" s="95" t="str">
        <f>IFERROR(__xludf.DUMMYFUNCTION("""COMPUTED_VALUE"""),"Closed")</f>
        <v>Closed</v>
      </c>
      <c r="BX219" s="96" t="str">
        <f>IFERROR(__xludf.DUMMYFUNCTION("""COMPUTED_VALUE"""),"Closed")</f>
        <v>Closed</v>
      </c>
      <c r="BY219" s="97" t="str">
        <f>IFERROR(__xludf.DUMMYFUNCTION("""COMPUTED_VALUE"""),"Closed")</f>
        <v>Closed</v>
      </c>
      <c r="BZ219" s="95" t="str">
        <f>IFERROR(__xludf.DUMMYFUNCTION("""COMPUTED_VALUE"""),"Closed")</f>
        <v>Closed</v>
      </c>
      <c r="CA219" s="96" t="str">
        <f>IFERROR(__xludf.DUMMYFUNCTION("""COMPUTED_VALUE"""),"Closed")</f>
        <v>Closed</v>
      </c>
      <c r="CB219" s="97" t="str">
        <f>IFERROR(__xludf.DUMMYFUNCTION("""COMPUTED_VALUE"""),"Closed")</f>
        <v>Closed</v>
      </c>
      <c r="CC219" s="95" t="str">
        <f>IFERROR(__xludf.DUMMYFUNCTION("""COMPUTED_VALUE"""),"Closed")</f>
        <v>Closed</v>
      </c>
      <c r="CD219" s="96" t="str">
        <f>IFERROR(__xludf.DUMMYFUNCTION("""COMPUTED_VALUE"""),"Closed")</f>
        <v>Closed</v>
      </c>
      <c r="CE219" s="97" t="str">
        <f>IFERROR(__xludf.DUMMYFUNCTION("""COMPUTED_VALUE"""),"Closed")</f>
        <v>Closed</v>
      </c>
      <c r="CF219" s="95" t="str">
        <f>IFERROR(__xludf.DUMMYFUNCTION("""COMPUTED_VALUE"""),"Closed")</f>
        <v>Closed</v>
      </c>
      <c r="CG219" s="96" t="str">
        <f>IFERROR(__xludf.DUMMYFUNCTION("""COMPUTED_VALUE"""),"Closed")</f>
        <v>Closed</v>
      </c>
      <c r="CH219" s="96" t="str">
        <f>IFERROR(__xludf.DUMMYFUNCTION("""COMPUTED_VALUE"""),"Closed")</f>
        <v>Closed</v>
      </c>
      <c r="CI219" s="95" t="str">
        <f>IFERROR(__xludf.DUMMYFUNCTION("""COMPUTED_VALUE"""),"Closed")</f>
        <v>Closed</v>
      </c>
      <c r="CJ219" s="96" t="str">
        <f>IFERROR(__xludf.DUMMYFUNCTION("""COMPUTED_VALUE"""),"Closed")</f>
        <v>Closed</v>
      </c>
      <c r="CK219" s="96" t="str">
        <f>IFERROR(__xludf.DUMMYFUNCTION("""COMPUTED_VALUE"""),"Closed")</f>
        <v>Closed</v>
      </c>
      <c r="CL219" s="95" t="str">
        <f>IFERROR(__xludf.DUMMYFUNCTION("""COMPUTED_VALUE"""),"Closed")</f>
        <v>Closed</v>
      </c>
      <c r="CM219" s="96" t="str">
        <f>IFERROR(__xludf.DUMMYFUNCTION("""COMPUTED_VALUE"""),"Closed")</f>
        <v>Closed</v>
      </c>
      <c r="CN219" s="96" t="str">
        <f>IFERROR(__xludf.DUMMYFUNCTION("""COMPUTED_VALUE"""),"Closed")</f>
        <v>Closed</v>
      </c>
      <c r="CO219" s="95" t="str">
        <f>IFERROR(__xludf.DUMMYFUNCTION("""COMPUTED_VALUE"""),"Closed")</f>
        <v>Closed</v>
      </c>
      <c r="CP219" s="96" t="str">
        <f>IFERROR(__xludf.DUMMYFUNCTION("""COMPUTED_VALUE"""),"Closed")</f>
        <v>Closed</v>
      </c>
      <c r="CQ219" s="96" t="str">
        <f>IFERROR(__xludf.DUMMYFUNCTION("""COMPUTED_VALUE"""),"Closed")</f>
        <v>Closed</v>
      </c>
      <c r="CR219" s="95" t="str">
        <f>IFERROR(__xludf.DUMMYFUNCTION("""COMPUTED_VALUE"""),"Closed")</f>
        <v>Closed</v>
      </c>
      <c r="CS219" s="96" t="str">
        <f>IFERROR(__xludf.DUMMYFUNCTION("""COMPUTED_VALUE"""),"Closed")</f>
        <v>Closed</v>
      </c>
      <c r="CT219" s="96" t="str">
        <f>IFERROR(__xludf.DUMMYFUNCTION("""COMPUTED_VALUE"""),"Closed")</f>
        <v>Closed</v>
      </c>
      <c r="CU219" s="95" t="str">
        <f>IFERROR(__xludf.DUMMYFUNCTION("""COMPUTED_VALUE"""),"Closed")</f>
        <v>Closed</v>
      </c>
      <c r="CV219" s="96" t="str">
        <f>IFERROR(__xludf.DUMMYFUNCTION("""COMPUTED_VALUE"""),"Closed")</f>
        <v>Closed</v>
      </c>
      <c r="CW219" s="97" t="str">
        <f>IFERROR(__xludf.DUMMYFUNCTION("""COMPUTED_VALUE"""),"Closed")</f>
        <v>Closed</v>
      </c>
      <c r="CX219" s="96" t="str">
        <f>IFERROR(__xludf.DUMMYFUNCTION("""COMPUTED_VALUE"""),"Closed")</f>
        <v>Closed</v>
      </c>
      <c r="CY219" s="96" t="str">
        <f>IFERROR(__xludf.DUMMYFUNCTION("""COMPUTED_VALUE"""),"Closed")</f>
        <v>Closed</v>
      </c>
      <c r="CZ219" s="97" t="str">
        <f>IFERROR(__xludf.DUMMYFUNCTION("""COMPUTED_VALUE"""),"Closed")</f>
        <v>Closed</v>
      </c>
      <c r="DA219" s="95" t="str">
        <f>IFERROR(__xludf.DUMMYFUNCTION("""COMPUTED_VALUE"""),"Closed")</f>
        <v>Closed</v>
      </c>
      <c r="DB219" s="96" t="str">
        <f>IFERROR(__xludf.DUMMYFUNCTION("""COMPUTED_VALUE"""),"Closed")</f>
        <v>Closed</v>
      </c>
      <c r="DC219" s="97" t="str">
        <f>IFERROR(__xludf.DUMMYFUNCTION("""COMPUTED_VALUE"""),"Closed")</f>
        <v>Closed</v>
      </c>
      <c r="DD219" s="95" t="str">
        <f>IFERROR(__xludf.DUMMYFUNCTION("""COMPUTED_VALUE"""),"Closed")</f>
        <v>Closed</v>
      </c>
      <c r="DE219" s="96" t="str">
        <f>IFERROR(__xludf.DUMMYFUNCTION("""COMPUTED_VALUE"""),"Closed")</f>
        <v>Closed</v>
      </c>
      <c r="DF219" s="97" t="str">
        <f>IFERROR(__xludf.DUMMYFUNCTION("""COMPUTED_VALUE"""),"Closed")</f>
        <v>Closed</v>
      </c>
      <c r="DG219" s="95" t="str">
        <f>IFERROR(__xludf.DUMMYFUNCTION("""COMPUTED_VALUE"""),"Closed")</f>
        <v>Closed</v>
      </c>
      <c r="DH219" s="96" t="str">
        <f>IFERROR(__xludf.DUMMYFUNCTION("""COMPUTED_VALUE"""),"Closed")</f>
        <v>Closed</v>
      </c>
      <c r="DI219" s="97" t="str">
        <f>IFERROR(__xludf.DUMMYFUNCTION("""COMPUTED_VALUE"""),"Closed")</f>
        <v>Closed</v>
      </c>
      <c r="DJ219" s="95" t="str">
        <f>IFERROR(__xludf.DUMMYFUNCTION("""COMPUTED_VALUE"""),"Closed")</f>
        <v>Closed</v>
      </c>
      <c r="DK219" s="96" t="str">
        <f>IFERROR(__xludf.DUMMYFUNCTION("""COMPUTED_VALUE"""),"Closed")</f>
        <v>Closed</v>
      </c>
      <c r="DL219" s="97" t="str">
        <f>IFERROR(__xludf.DUMMYFUNCTION("""COMPUTED_VALUE"""),"Closed")</f>
        <v>Closed</v>
      </c>
      <c r="DM219" s="95" t="str">
        <f>IFERROR(__xludf.DUMMYFUNCTION("""COMPUTED_VALUE"""),"Closed")</f>
        <v>Closed</v>
      </c>
      <c r="DN219" s="96" t="str">
        <f>IFERROR(__xludf.DUMMYFUNCTION("""COMPUTED_VALUE"""),"Closed")</f>
        <v>Closed</v>
      </c>
      <c r="DO219" s="97" t="str">
        <f>IFERROR(__xludf.DUMMYFUNCTION("""COMPUTED_VALUE"""),"Closed")</f>
        <v>Closed</v>
      </c>
      <c r="DP219" s="95" t="str">
        <f>IFERROR(__xludf.DUMMYFUNCTION("""COMPUTED_VALUE"""),"Closed")</f>
        <v>Closed</v>
      </c>
      <c r="DQ219" s="96" t="str">
        <f>IFERROR(__xludf.DUMMYFUNCTION("""COMPUTED_VALUE"""),"Closed")</f>
        <v>Closed</v>
      </c>
      <c r="DR219" s="97"/>
      <c r="DS219" s="95"/>
    </row>
    <row r="220">
      <c r="B220" s="180" t="str">
        <f>IFERROR(__xludf.DUMMYFUNCTION("""COMPUTED_VALUE"""),"YKS3")</f>
        <v>YKS3</v>
      </c>
      <c r="C220" s="88" t="str">
        <f>IFERROR(__xludf.DUMMYFUNCTION("""COMPUTED_VALUE"""),"Secluded Grotto")</f>
        <v>Secluded Grotto</v>
      </c>
      <c r="D220" s="102">
        <f>IFERROR(__xludf.DUMMYFUNCTION("""COMPUTED_VALUE"""),21.0)</f>
        <v>21</v>
      </c>
      <c r="E220" s="82" t="b">
        <f>IFERROR(__xludf.DUMMYFUNCTION("""COMPUTED_VALUE"""),FALSE)</f>
        <v>0</v>
      </c>
      <c r="F220" s="82" t="str">
        <f>IFERROR(__xludf.DUMMYFUNCTION("""COMPUTED_VALUE"""),"Free Quests- Part 2!A508:J516")</f>
        <v>Free Quests- Part 2!A508:J516</v>
      </c>
      <c r="G220" s="82">
        <f>IFERROR(__xludf.DUMMYFUNCTION("""COMPUTED_VALUE"""),220.0)</f>
        <v>220</v>
      </c>
      <c r="H220" s="82" t="str">
        <f>IFERROR(__xludf.DUMMYFUNCTION("""COMPUTED_VALUE"""),"Closed")</f>
        <v>Closed</v>
      </c>
      <c r="I220" s="95" t="str">
        <f>IFERROR(__xludf.DUMMYFUNCTION("""COMPUTED_VALUE"""),"Closed")</f>
        <v>Closed</v>
      </c>
      <c r="J220" s="96" t="str">
        <f>IFERROR(__xludf.DUMMYFUNCTION("""COMPUTED_VALUE"""),"Closed")</f>
        <v>Closed</v>
      </c>
      <c r="K220" s="97" t="str">
        <f>IFERROR(__xludf.DUMMYFUNCTION("""COMPUTED_VALUE"""),"Closed")</f>
        <v>Closed</v>
      </c>
      <c r="L220" s="95" t="str">
        <f>IFERROR(__xludf.DUMMYFUNCTION("""COMPUTED_VALUE"""),"Closed")</f>
        <v>Closed</v>
      </c>
      <c r="M220" s="96" t="str">
        <f>IFERROR(__xludf.DUMMYFUNCTION("""COMPUTED_VALUE"""),"Closed")</f>
        <v>Closed</v>
      </c>
      <c r="N220" s="97" t="str">
        <f>IFERROR(__xludf.DUMMYFUNCTION("""COMPUTED_VALUE"""),"Closed")</f>
        <v>Closed</v>
      </c>
      <c r="O220" s="95" t="str">
        <f>IFERROR(__xludf.DUMMYFUNCTION("""COMPUTED_VALUE"""),"Closed")</f>
        <v>Closed</v>
      </c>
      <c r="P220" s="96" t="str">
        <f>IFERROR(__xludf.DUMMYFUNCTION("""COMPUTED_VALUE"""),"Closed")</f>
        <v>Closed</v>
      </c>
      <c r="Q220" s="97" t="str">
        <f>IFERROR(__xludf.DUMMYFUNCTION("""COMPUTED_VALUE"""),"Closed")</f>
        <v>Closed</v>
      </c>
      <c r="R220" s="95" t="str">
        <f>IFERROR(__xludf.DUMMYFUNCTION("""COMPUTED_VALUE"""),"Closed")</f>
        <v>Closed</v>
      </c>
      <c r="S220" s="96" t="str">
        <f>IFERROR(__xludf.DUMMYFUNCTION("""COMPUTED_VALUE"""),"Closed")</f>
        <v>Closed</v>
      </c>
      <c r="T220" s="97" t="str">
        <f>IFERROR(__xludf.DUMMYFUNCTION("""COMPUTED_VALUE"""),"Closed")</f>
        <v>Closed</v>
      </c>
      <c r="U220" s="95" t="str">
        <f>IFERROR(__xludf.DUMMYFUNCTION("""COMPUTED_VALUE"""),"Closed")</f>
        <v>Closed</v>
      </c>
      <c r="V220" s="96" t="str">
        <f>IFERROR(__xludf.DUMMYFUNCTION("""COMPUTED_VALUE"""),"Closed")</f>
        <v>Closed</v>
      </c>
      <c r="W220" s="97" t="str">
        <f>IFERROR(__xludf.DUMMYFUNCTION("""COMPUTED_VALUE"""),"Closed")</f>
        <v>Closed</v>
      </c>
      <c r="X220" s="95" t="str">
        <f>IFERROR(__xludf.DUMMYFUNCTION("""COMPUTED_VALUE"""),"Closed")</f>
        <v>Closed</v>
      </c>
      <c r="Y220" s="96" t="str">
        <f>IFERROR(__xludf.DUMMYFUNCTION("""COMPUTED_VALUE"""),"Closed")</f>
        <v>Closed</v>
      </c>
      <c r="Z220" s="97" t="str">
        <f>IFERROR(__xludf.DUMMYFUNCTION("""COMPUTED_VALUE"""),"Closed")</f>
        <v>Closed</v>
      </c>
      <c r="AA220" s="95" t="str">
        <f>IFERROR(__xludf.DUMMYFUNCTION("""COMPUTED_VALUE"""),"Closed")</f>
        <v>Closed</v>
      </c>
      <c r="AB220" s="96" t="str">
        <f>IFERROR(__xludf.DUMMYFUNCTION("""COMPUTED_VALUE"""),"Closed")</f>
        <v>Closed</v>
      </c>
      <c r="AC220" s="97" t="str">
        <f>IFERROR(__xludf.DUMMYFUNCTION("""COMPUTED_VALUE"""),"Closed")</f>
        <v>Closed</v>
      </c>
      <c r="AD220" s="95" t="str">
        <f>IFERROR(__xludf.DUMMYFUNCTION("""COMPUTED_VALUE"""),"Closed")</f>
        <v>Closed</v>
      </c>
      <c r="AE220" s="96" t="str">
        <f>IFERROR(__xludf.DUMMYFUNCTION("""COMPUTED_VALUE"""),"Closed")</f>
        <v>Closed</v>
      </c>
      <c r="AF220" s="97" t="str">
        <f>IFERROR(__xludf.DUMMYFUNCTION("""COMPUTED_VALUE"""),"Closed")</f>
        <v>Closed</v>
      </c>
      <c r="AG220" s="95" t="str">
        <f>IFERROR(__xludf.DUMMYFUNCTION("""COMPUTED_VALUE"""),"Closed")</f>
        <v>Closed</v>
      </c>
      <c r="AH220" s="96" t="str">
        <f>IFERROR(__xludf.DUMMYFUNCTION("""COMPUTED_VALUE"""),"Closed")</f>
        <v>Closed</v>
      </c>
      <c r="AI220" s="97" t="str">
        <f>IFERROR(__xludf.DUMMYFUNCTION("""COMPUTED_VALUE"""),"Closed")</f>
        <v>Closed</v>
      </c>
      <c r="AJ220" s="95" t="str">
        <f>IFERROR(__xludf.DUMMYFUNCTION("""COMPUTED_VALUE"""),"Closed")</f>
        <v>Closed</v>
      </c>
      <c r="AK220" s="96" t="str">
        <f>IFERROR(__xludf.DUMMYFUNCTION("""COMPUTED_VALUE"""),"Closed")</f>
        <v>Closed</v>
      </c>
      <c r="AL220" s="97" t="str">
        <f>IFERROR(__xludf.DUMMYFUNCTION("""COMPUTED_VALUE"""),"Closed")</f>
        <v>Closed</v>
      </c>
      <c r="AM220" s="95" t="str">
        <f>IFERROR(__xludf.DUMMYFUNCTION("""COMPUTED_VALUE"""),"Closed")</f>
        <v>Closed</v>
      </c>
      <c r="AN220" s="96" t="str">
        <f>IFERROR(__xludf.DUMMYFUNCTION("""COMPUTED_VALUE"""),"Closed")</f>
        <v>Closed</v>
      </c>
      <c r="AO220" s="97" t="str">
        <f>IFERROR(__xludf.DUMMYFUNCTION("""COMPUTED_VALUE"""),"Closed")</f>
        <v>Closed</v>
      </c>
      <c r="AP220" s="95" t="str">
        <f>IFERROR(__xludf.DUMMYFUNCTION("""COMPUTED_VALUE"""),"Closed")</f>
        <v>Closed</v>
      </c>
      <c r="AQ220" s="96" t="str">
        <f>IFERROR(__xludf.DUMMYFUNCTION("""COMPUTED_VALUE"""),"Closed")</f>
        <v>Closed</v>
      </c>
      <c r="AR220" s="97" t="str">
        <f>IFERROR(__xludf.DUMMYFUNCTION("""COMPUTED_VALUE"""),"Closed")</f>
        <v>Closed</v>
      </c>
      <c r="AS220" s="95" t="str">
        <f>IFERROR(__xludf.DUMMYFUNCTION("""COMPUTED_VALUE"""),"Closed")</f>
        <v>Closed</v>
      </c>
      <c r="AT220" s="96" t="str">
        <f>IFERROR(__xludf.DUMMYFUNCTION("""COMPUTED_VALUE"""),"Closed")</f>
        <v>Closed</v>
      </c>
      <c r="AU220" s="97" t="str">
        <f>IFERROR(__xludf.DUMMYFUNCTION("""COMPUTED_VALUE"""),"Closed")</f>
        <v>Closed</v>
      </c>
      <c r="AV220" s="95" t="str">
        <f>IFERROR(__xludf.DUMMYFUNCTION("""COMPUTED_VALUE"""),"Closed")</f>
        <v>Closed</v>
      </c>
      <c r="AW220" s="96" t="str">
        <f>IFERROR(__xludf.DUMMYFUNCTION("""COMPUTED_VALUE"""),"Closed")</f>
        <v>Closed</v>
      </c>
      <c r="AX220" s="97" t="str">
        <f>IFERROR(__xludf.DUMMYFUNCTION("""COMPUTED_VALUE"""),"Closed")</f>
        <v>Closed</v>
      </c>
      <c r="AY220" s="95" t="str">
        <f>IFERROR(__xludf.DUMMYFUNCTION("""COMPUTED_VALUE"""),"Closed")</f>
        <v>Closed</v>
      </c>
      <c r="AZ220" s="96" t="str">
        <f>IFERROR(__xludf.DUMMYFUNCTION("""COMPUTED_VALUE"""),"Closed")</f>
        <v>Closed</v>
      </c>
      <c r="BA220" s="97" t="str">
        <f>IFERROR(__xludf.DUMMYFUNCTION("""COMPUTED_VALUE"""),"Closed")</f>
        <v>Closed</v>
      </c>
      <c r="BB220" s="95" t="str">
        <f>IFERROR(__xludf.DUMMYFUNCTION("""COMPUTED_VALUE"""),"Closed")</f>
        <v>Closed</v>
      </c>
      <c r="BC220" s="96" t="str">
        <f>IFERROR(__xludf.DUMMYFUNCTION("""COMPUTED_VALUE"""),"Closed")</f>
        <v>Closed</v>
      </c>
      <c r="BD220" s="97" t="str">
        <f>IFERROR(__xludf.DUMMYFUNCTION("""COMPUTED_VALUE"""),"Closed")</f>
        <v>Closed</v>
      </c>
      <c r="BE220" s="95" t="str">
        <f>IFERROR(__xludf.DUMMYFUNCTION("""COMPUTED_VALUE"""),"Closed")</f>
        <v>Closed</v>
      </c>
      <c r="BF220" s="96" t="str">
        <f>IFERROR(__xludf.DUMMYFUNCTION("""COMPUTED_VALUE"""),"Closed")</f>
        <v>Closed</v>
      </c>
      <c r="BG220" s="97" t="str">
        <f>IFERROR(__xludf.DUMMYFUNCTION("""COMPUTED_VALUE"""),"Closed")</f>
        <v>Closed</v>
      </c>
      <c r="BH220" s="95" t="str">
        <f>IFERROR(__xludf.DUMMYFUNCTION("""COMPUTED_VALUE"""),"Closed")</f>
        <v>Closed</v>
      </c>
      <c r="BI220" s="96" t="str">
        <f>IFERROR(__xludf.DUMMYFUNCTION("""COMPUTED_VALUE"""),"Closed")</f>
        <v>Closed</v>
      </c>
      <c r="BJ220" s="97" t="str">
        <f>IFERROR(__xludf.DUMMYFUNCTION("""COMPUTED_VALUE"""),"Closed")</f>
        <v>Closed</v>
      </c>
      <c r="BK220" s="95" t="str">
        <f>IFERROR(__xludf.DUMMYFUNCTION("""COMPUTED_VALUE"""),"Closed")</f>
        <v>Closed</v>
      </c>
      <c r="BL220" s="96" t="str">
        <f>IFERROR(__xludf.DUMMYFUNCTION("""COMPUTED_VALUE"""),"Closed")</f>
        <v>Closed</v>
      </c>
      <c r="BM220" s="97" t="str">
        <f>IFERROR(__xludf.DUMMYFUNCTION("""COMPUTED_VALUE"""),"Closed")</f>
        <v>Closed</v>
      </c>
      <c r="BN220" s="95" t="str">
        <f>IFERROR(__xludf.DUMMYFUNCTION("""COMPUTED_VALUE"""),"Closed")</f>
        <v>Closed</v>
      </c>
      <c r="BO220" s="96" t="str">
        <f>IFERROR(__xludf.DUMMYFUNCTION("""COMPUTED_VALUE"""),"Closed")</f>
        <v>Closed</v>
      </c>
      <c r="BP220" s="97" t="str">
        <f>IFERROR(__xludf.DUMMYFUNCTION("""COMPUTED_VALUE"""),"Closed")</f>
        <v>Closed</v>
      </c>
      <c r="BQ220" s="95" t="str">
        <f>IFERROR(__xludf.DUMMYFUNCTION("""COMPUTED_VALUE"""),"Closed")</f>
        <v>Closed</v>
      </c>
      <c r="BR220" s="96" t="str">
        <f>IFERROR(__xludf.DUMMYFUNCTION("""COMPUTED_VALUE"""),"Closed")</f>
        <v>Closed</v>
      </c>
      <c r="BS220" s="97" t="str">
        <f>IFERROR(__xludf.DUMMYFUNCTION("""COMPUTED_VALUE"""),"Closed")</f>
        <v>Closed</v>
      </c>
      <c r="BT220" s="95" t="str">
        <f>IFERROR(__xludf.DUMMYFUNCTION("""COMPUTED_VALUE"""),"Closed")</f>
        <v>Closed</v>
      </c>
      <c r="BU220" s="96" t="str">
        <f>IFERROR(__xludf.DUMMYFUNCTION("""COMPUTED_VALUE"""),"Closed")</f>
        <v>Closed</v>
      </c>
      <c r="BV220" s="97" t="str">
        <f>IFERROR(__xludf.DUMMYFUNCTION("""COMPUTED_VALUE"""),"Closed")</f>
        <v>Closed</v>
      </c>
      <c r="BW220" s="95" t="str">
        <f>IFERROR(__xludf.DUMMYFUNCTION("""COMPUTED_VALUE"""),"Closed")</f>
        <v>Closed</v>
      </c>
      <c r="BX220" s="96" t="str">
        <f>IFERROR(__xludf.DUMMYFUNCTION("""COMPUTED_VALUE"""),"Closed")</f>
        <v>Closed</v>
      </c>
      <c r="BY220" s="97" t="str">
        <f>IFERROR(__xludf.DUMMYFUNCTION("""COMPUTED_VALUE"""),"Closed")</f>
        <v>Closed</v>
      </c>
      <c r="BZ220" s="95" t="str">
        <f>IFERROR(__xludf.DUMMYFUNCTION("""COMPUTED_VALUE"""),"Closed")</f>
        <v>Closed</v>
      </c>
      <c r="CA220" s="96" t="str">
        <f>IFERROR(__xludf.DUMMYFUNCTION("""COMPUTED_VALUE"""),"Closed")</f>
        <v>Closed</v>
      </c>
      <c r="CB220" s="97" t="str">
        <f>IFERROR(__xludf.DUMMYFUNCTION("""COMPUTED_VALUE"""),"Closed")</f>
        <v>Closed</v>
      </c>
      <c r="CC220" s="95" t="str">
        <f>IFERROR(__xludf.DUMMYFUNCTION("""COMPUTED_VALUE"""),"Closed")</f>
        <v>Closed</v>
      </c>
      <c r="CD220" s="96" t="str">
        <f>IFERROR(__xludf.DUMMYFUNCTION("""COMPUTED_VALUE"""),"Closed")</f>
        <v>Closed</v>
      </c>
      <c r="CE220" s="97" t="str">
        <f>IFERROR(__xludf.DUMMYFUNCTION("""COMPUTED_VALUE"""),"Closed")</f>
        <v>Closed</v>
      </c>
      <c r="CF220" s="95" t="str">
        <f>IFERROR(__xludf.DUMMYFUNCTION("""COMPUTED_VALUE"""),"Closed")</f>
        <v>Closed</v>
      </c>
      <c r="CG220" s="96" t="str">
        <f>IFERROR(__xludf.DUMMYFUNCTION("""COMPUTED_VALUE"""),"Closed")</f>
        <v>Closed</v>
      </c>
      <c r="CH220" s="96" t="str">
        <f>IFERROR(__xludf.DUMMYFUNCTION("""COMPUTED_VALUE"""),"Closed")</f>
        <v>Closed</v>
      </c>
      <c r="CI220" s="95" t="str">
        <f>IFERROR(__xludf.DUMMYFUNCTION("""COMPUTED_VALUE"""),"Closed")</f>
        <v>Closed</v>
      </c>
      <c r="CJ220" s="96" t="str">
        <f>IFERROR(__xludf.DUMMYFUNCTION("""COMPUTED_VALUE"""),"Closed")</f>
        <v>Closed</v>
      </c>
      <c r="CK220" s="96" t="str">
        <f>IFERROR(__xludf.DUMMYFUNCTION("""COMPUTED_VALUE"""),"Closed")</f>
        <v>Closed</v>
      </c>
      <c r="CL220" s="95" t="str">
        <f>IFERROR(__xludf.DUMMYFUNCTION("""COMPUTED_VALUE"""),"Closed")</f>
        <v>Closed</v>
      </c>
      <c r="CM220" s="96" t="str">
        <f>IFERROR(__xludf.DUMMYFUNCTION("""COMPUTED_VALUE"""),"Closed")</f>
        <v>Closed</v>
      </c>
      <c r="CN220" s="96" t="str">
        <f>IFERROR(__xludf.DUMMYFUNCTION("""COMPUTED_VALUE"""),"Closed")</f>
        <v>Closed</v>
      </c>
      <c r="CO220" s="95" t="str">
        <f>IFERROR(__xludf.DUMMYFUNCTION("""COMPUTED_VALUE"""),"Closed")</f>
        <v>Closed</v>
      </c>
      <c r="CP220" s="96" t="str">
        <f>IFERROR(__xludf.DUMMYFUNCTION("""COMPUTED_VALUE"""),"Closed")</f>
        <v>Closed</v>
      </c>
      <c r="CQ220" s="96" t="str">
        <f>IFERROR(__xludf.DUMMYFUNCTION("""COMPUTED_VALUE"""),"Closed")</f>
        <v>Closed</v>
      </c>
      <c r="CR220" s="95" t="str">
        <f>IFERROR(__xludf.DUMMYFUNCTION("""COMPUTED_VALUE"""),"Closed")</f>
        <v>Closed</v>
      </c>
      <c r="CS220" s="96" t="str">
        <f>IFERROR(__xludf.DUMMYFUNCTION("""COMPUTED_VALUE"""),"Closed")</f>
        <v>Closed</v>
      </c>
      <c r="CT220" s="96" t="str">
        <f>IFERROR(__xludf.DUMMYFUNCTION("""COMPUTED_VALUE"""),"Closed")</f>
        <v>Closed</v>
      </c>
      <c r="CU220" s="95" t="str">
        <f>IFERROR(__xludf.DUMMYFUNCTION("""COMPUTED_VALUE"""),"Closed")</f>
        <v>Closed</v>
      </c>
      <c r="CV220" s="96" t="str">
        <f>IFERROR(__xludf.DUMMYFUNCTION("""COMPUTED_VALUE"""),"Closed")</f>
        <v>Closed</v>
      </c>
      <c r="CW220" s="97" t="str">
        <f>IFERROR(__xludf.DUMMYFUNCTION("""COMPUTED_VALUE"""),"Closed")</f>
        <v>Closed</v>
      </c>
      <c r="CX220" s="96" t="str">
        <f>IFERROR(__xludf.DUMMYFUNCTION("""COMPUTED_VALUE"""),"Closed")</f>
        <v>Closed</v>
      </c>
      <c r="CY220" s="96" t="str">
        <f>IFERROR(__xludf.DUMMYFUNCTION("""COMPUTED_VALUE"""),"Closed")</f>
        <v>Closed</v>
      </c>
      <c r="CZ220" s="97" t="str">
        <f>IFERROR(__xludf.DUMMYFUNCTION("""COMPUTED_VALUE"""),"Closed")</f>
        <v>Closed</v>
      </c>
      <c r="DA220" s="95" t="str">
        <f>IFERROR(__xludf.DUMMYFUNCTION("""COMPUTED_VALUE"""),"Closed")</f>
        <v>Closed</v>
      </c>
      <c r="DB220" s="96" t="str">
        <f>IFERROR(__xludf.DUMMYFUNCTION("""COMPUTED_VALUE"""),"Closed")</f>
        <v>Closed</v>
      </c>
      <c r="DC220" s="97" t="str">
        <f>IFERROR(__xludf.DUMMYFUNCTION("""COMPUTED_VALUE"""),"Closed")</f>
        <v>Closed</v>
      </c>
      <c r="DD220" s="95" t="str">
        <f>IFERROR(__xludf.DUMMYFUNCTION("""COMPUTED_VALUE"""),"Closed")</f>
        <v>Closed</v>
      </c>
      <c r="DE220" s="96" t="str">
        <f>IFERROR(__xludf.DUMMYFUNCTION("""COMPUTED_VALUE"""),"Closed")</f>
        <v>Closed</v>
      </c>
      <c r="DF220" s="97" t="str">
        <f>IFERROR(__xludf.DUMMYFUNCTION("""COMPUTED_VALUE"""),"Closed")</f>
        <v>Closed</v>
      </c>
      <c r="DG220" s="95" t="str">
        <f>IFERROR(__xludf.DUMMYFUNCTION("""COMPUTED_VALUE"""),"Closed")</f>
        <v>Closed</v>
      </c>
      <c r="DH220" s="96" t="str">
        <f>IFERROR(__xludf.DUMMYFUNCTION("""COMPUTED_VALUE"""),"Closed")</f>
        <v>Closed</v>
      </c>
      <c r="DI220" s="97" t="str">
        <f>IFERROR(__xludf.DUMMYFUNCTION("""COMPUTED_VALUE"""),"Closed")</f>
        <v>Closed</v>
      </c>
      <c r="DJ220" s="95" t="str">
        <f>IFERROR(__xludf.DUMMYFUNCTION("""COMPUTED_VALUE"""),"Closed")</f>
        <v>Closed</v>
      </c>
      <c r="DK220" s="96" t="str">
        <f>IFERROR(__xludf.DUMMYFUNCTION("""COMPUTED_VALUE"""),"Closed")</f>
        <v>Closed</v>
      </c>
      <c r="DL220" s="97" t="str">
        <f>IFERROR(__xludf.DUMMYFUNCTION("""COMPUTED_VALUE"""),"Closed")</f>
        <v>Closed</v>
      </c>
      <c r="DM220" s="95" t="str">
        <f>IFERROR(__xludf.DUMMYFUNCTION("""COMPUTED_VALUE"""),"Closed")</f>
        <v>Closed</v>
      </c>
      <c r="DN220" s="96" t="str">
        <f>IFERROR(__xludf.DUMMYFUNCTION("""COMPUTED_VALUE"""),"Closed")</f>
        <v>Closed</v>
      </c>
      <c r="DO220" s="97" t="str">
        <f>IFERROR(__xludf.DUMMYFUNCTION("""COMPUTED_VALUE"""),"Closed")</f>
        <v>Closed</v>
      </c>
      <c r="DP220" s="95" t="str">
        <f>IFERROR(__xludf.DUMMYFUNCTION("""COMPUTED_VALUE"""),"Closed")</f>
        <v>Closed</v>
      </c>
      <c r="DQ220" s="96" t="str">
        <f>IFERROR(__xludf.DUMMYFUNCTION("""COMPUTED_VALUE"""),"Closed")</f>
        <v>Closed</v>
      </c>
      <c r="DR220" s="97"/>
      <c r="DS220" s="95"/>
    </row>
    <row r="221">
      <c r="B221" s="180" t="str">
        <f>IFERROR(__xludf.DUMMYFUNCTION("""COMPUTED_VALUE"""),"YKS4")</f>
        <v>YKS4</v>
      </c>
      <c r="C221" s="88" t="str">
        <f>IFERROR(__xludf.DUMMYFUNCTION("""COMPUTED_VALUE"""),"Northern Sacred Mountain")</f>
        <v>Northern Sacred Mountain</v>
      </c>
      <c r="D221" s="102">
        <f>IFERROR(__xludf.DUMMYFUNCTION("""COMPUTED_VALUE"""),21.0)</f>
        <v>21</v>
      </c>
      <c r="E221" s="82" t="b">
        <f>IFERROR(__xludf.DUMMYFUNCTION("""COMPUTED_VALUE"""),FALSE)</f>
        <v>0</v>
      </c>
      <c r="F221" s="82" t="str">
        <f>IFERROR(__xludf.DUMMYFUNCTION("""COMPUTED_VALUE"""),"Free Quests- Part 2!A520:J530")</f>
        <v>Free Quests- Part 2!A520:J530</v>
      </c>
      <c r="G221" s="82">
        <f>IFERROR(__xludf.DUMMYFUNCTION("""COMPUTED_VALUE"""),221.0)</f>
        <v>221</v>
      </c>
      <c r="H221" s="82" t="str">
        <f>IFERROR(__xludf.DUMMYFUNCTION("""COMPUTED_VALUE"""),"Closed")</f>
        <v>Closed</v>
      </c>
      <c r="I221" s="95" t="str">
        <f>IFERROR(__xludf.DUMMYFUNCTION("""COMPUTED_VALUE"""),"Closed")</f>
        <v>Closed</v>
      </c>
      <c r="J221" s="96" t="str">
        <f>IFERROR(__xludf.DUMMYFUNCTION("""COMPUTED_VALUE"""),"Closed")</f>
        <v>Closed</v>
      </c>
      <c r="K221" s="97" t="str">
        <f>IFERROR(__xludf.DUMMYFUNCTION("""COMPUTED_VALUE"""),"Closed")</f>
        <v>Closed</v>
      </c>
      <c r="L221" s="95" t="str">
        <f>IFERROR(__xludf.DUMMYFUNCTION("""COMPUTED_VALUE"""),"Closed")</f>
        <v>Closed</v>
      </c>
      <c r="M221" s="96" t="str">
        <f>IFERROR(__xludf.DUMMYFUNCTION("""COMPUTED_VALUE"""),"Closed")</f>
        <v>Closed</v>
      </c>
      <c r="N221" s="97" t="str">
        <f>IFERROR(__xludf.DUMMYFUNCTION("""COMPUTED_VALUE"""),"Closed")</f>
        <v>Closed</v>
      </c>
      <c r="O221" s="95" t="str">
        <f>IFERROR(__xludf.DUMMYFUNCTION("""COMPUTED_VALUE"""),"Closed")</f>
        <v>Closed</v>
      </c>
      <c r="P221" s="96" t="str">
        <f>IFERROR(__xludf.DUMMYFUNCTION("""COMPUTED_VALUE"""),"Closed")</f>
        <v>Closed</v>
      </c>
      <c r="Q221" s="97" t="str">
        <f>IFERROR(__xludf.DUMMYFUNCTION("""COMPUTED_VALUE"""),"Closed")</f>
        <v>Closed</v>
      </c>
      <c r="R221" s="95" t="str">
        <f>IFERROR(__xludf.DUMMYFUNCTION("""COMPUTED_VALUE"""),"Closed")</f>
        <v>Closed</v>
      </c>
      <c r="S221" s="96" t="str">
        <f>IFERROR(__xludf.DUMMYFUNCTION("""COMPUTED_VALUE"""),"Closed")</f>
        <v>Closed</v>
      </c>
      <c r="T221" s="97" t="str">
        <f>IFERROR(__xludf.DUMMYFUNCTION("""COMPUTED_VALUE"""),"Closed")</f>
        <v>Closed</v>
      </c>
      <c r="U221" s="95" t="str">
        <f>IFERROR(__xludf.DUMMYFUNCTION("""COMPUTED_VALUE"""),"Closed")</f>
        <v>Closed</v>
      </c>
      <c r="V221" s="96" t="str">
        <f>IFERROR(__xludf.DUMMYFUNCTION("""COMPUTED_VALUE"""),"Closed")</f>
        <v>Closed</v>
      </c>
      <c r="W221" s="97" t="str">
        <f>IFERROR(__xludf.DUMMYFUNCTION("""COMPUTED_VALUE"""),"Closed")</f>
        <v>Closed</v>
      </c>
      <c r="X221" s="95" t="str">
        <f>IFERROR(__xludf.DUMMYFUNCTION("""COMPUTED_VALUE"""),"Closed")</f>
        <v>Closed</v>
      </c>
      <c r="Y221" s="96" t="str">
        <f>IFERROR(__xludf.DUMMYFUNCTION("""COMPUTED_VALUE"""),"Closed")</f>
        <v>Closed</v>
      </c>
      <c r="Z221" s="97" t="str">
        <f>IFERROR(__xludf.DUMMYFUNCTION("""COMPUTED_VALUE"""),"Closed")</f>
        <v>Closed</v>
      </c>
      <c r="AA221" s="95" t="str">
        <f>IFERROR(__xludf.DUMMYFUNCTION("""COMPUTED_VALUE"""),"Closed")</f>
        <v>Closed</v>
      </c>
      <c r="AB221" s="96" t="str">
        <f>IFERROR(__xludf.DUMMYFUNCTION("""COMPUTED_VALUE"""),"Closed")</f>
        <v>Closed</v>
      </c>
      <c r="AC221" s="97" t="str">
        <f>IFERROR(__xludf.DUMMYFUNCTION("""COMPUTED_VALUE"""),"Closed")</f>
        <v>Closed</v>
      </c>
      <c r="AD221" s="95" t="str">
        <f>IFERROR(__xludf.DUMMYFUNCTION("""COMPUTED_VALUE"""),"Closed")</f>
        <v>Closed</v>
      </c>
      <c r="AE221" s="96" t="str">
        <f>IFERROR(__xludf.DUMMYFUNCTION("""COMPUTED_VALUE"""),"Closed")</f>
        <v>Closed</v>
      </c>
      <c r="AF221" s="97" t="str">
        <f>IFERROR(__xludf.DUMMYFUNCTION("""COMPUTED_VALUE"""),"Closed")</f>
        <v>Closed</v>
      </c>
      <c r="AG221" s="95" t="str">
        <f>IFERROR(__xludf.DUMMYFUNCTION("""COMPUTED_VALUE"""),"Closed")</f>
        <v>Closed</v>
      </c>
      <c r="AH221" s="96" t="str">
        <f>IFERROR(__xludf.DUMMYFUNCTION("""COMPUTED_VALUE"""),"Closed")</f>
        <v>Closed</v>
      </c>
      <c r="AI221" s="97" t="str">
        <f>IFERROR(__xludf.DUMMYFUNCTION("""COMPUTED_VALUE"""),"Closed")</f>
        <v>Closed</v>
      </c>
      <c r="AJ221" s="95" t="str">
        <f>IFERROR(__xludf.DUMMYFUNCTION("""COMPUTED_VALUE"""),"Closed")</f>
        <v>Closed</v>
      </c>
      <c r="AK221" s="96" t="str">
        <f>IFERROR(__xludf.DUMMYFUNCTION("""COMPUTED_VALUE"""),"Closed")</f>
        <v>Closed</v>
      </c>
      <c r="AL221" s="97" t="str">
        <f>IFERROR(__xludf.DUMMYFUNCTION("""COMPUTED_VALUE"""),"Closed")</f>
        <v>Closed</v>
      </c>
      <c r="AM221" s="95" t="str">
        <f>IFERROR(__xludf.DUMMYFUNCTION("""COMPUTED_VALUE"""),"Closed")</f>
        <v>Closed</v>
      </c>
      <c r="AN221" s="96" t="str">
        <f>IFERROR(__xludf.DUMMYFUNCTION("""COMPUTED_VALUE"""),"Closed")</f>
        <v>Closed</v>
      </c>
      <c r="AO221" s="97" t="str">
        <f>IFERROR(__xludf.DUMMYFUNCTION("""COMPUTED_VALUE"""),"Closed")</f>
        <v>Closed</v>
      </c>
      <c r="AP221" s="95" t="str">
        <f>IFERROR(__xludf.DUMMYFUNCTION("""COMPUTED_VALUE"""),"Closed")</f>
        <v>Closed</v>
      </c>
      <c r="AQ221" s="96" t="str">
        <f>IFERROR(__xludf.DUMMYFUNCTION("""COMPUTED_VALUE"""),"Closed")</f>
        <v>Closed</v>
      </c>
      <c r="AR221" s="97" t="str">
        <f>IFERROR(__xludf.DUMMYFUNCTION("""COMPUTED_VALUE"""),"Closed")</f>
        <v>Closed</v>
      </c>
      <c r="AS221" s="95" t="str">
        <f>IFERROR(__xludf.DUMMYFUNCTION("""COMPUTED_VALUE"""),"Closed")</f>
        <v>Closed</v>
      </c>
      <c r="AT221" s="96" t="str">
        <f>IFERROR(__xludf.DUMMYFUNCTION("""COMPUTED_VALUE"""),"Closed")</f>
        <v>Closed</v>
      </c>
      <c r="AU221" s="97" t="str">
        <f>IFERROR(__xludf.DUMMYFUNCTION("""COMPUTED_VALUE"""),"Closed")</f>
        <v>Closed</v>
      </c>
      <c r="AV221" s="95" t="str">
        <f>IFERROR(__xludf.DUMMYFUNCTION("""COMPUTED_VALUE"""),"Closed")</f>
        <v>Closed</v>
      </c>
      <c r="AW221" s="96" t="str">
        <f>IFERROR(__xludf.DUMMYFUNCTION("""COMPUTED_VALUE"""),"Closed")</f>
        <v>Closed</v>
      </c>
      <c r="AX221" s="97" t="str">
        <f>IFERROR(__xludf.DUMMYFUNCTION("""COMPUTED_VALUE"""),"Closed")</f>
        <v>Closed</v>
      </c>
      <c r="AY221" s="95" t="str">
        <f>IFERROR(__xludf.DUMMYFUNCTION("""COMPUTED_VALUE"""),"Closed")</f>
        <v>Closed</v>
      </c>
      <c r="AZ221" s="96" t="str">
        <f>IFERROR(__xludf.DUMMYFUNCTION("""COMPUTED_VALUE"""),"Closed")</f>
        <v>Closed</v>
      </c>
      <c r="BA221" s="97" t="str">
        <f>IFERROR(__xludf.DUMMYFUNCTION("""COMPUTED_VALUE"""),"Closed")</f>
        <v>Closed</v>
      </c>
      <c r="BB221" s="95" t="str">
        <f>IFERROR(__xludf.DUMMYFUNCTION("""COMPUTED_VALUE"""),"Closed")</f>
        <v>Closed</v>
      </c>
      <c r="BC221" s="96" t="str">
        <f>IFERROR(__xludf.DUMMYFUNCTION("""COMPUTED_VALUE"""),"Closed")</f>
        <v>Closed</v>
      </c>
      <c r="BD221" s="97" t="str">
        <f>IFERROR(__xludf.DUMMYFUNCTION("""COMPUTED_VALUE"""),"Closed")</f>
        <v>Closed</v>
      </c>
      <c r="BE221" s="95" t="str">
        <f>IFERROR(__xludf.DUMMYFUNCTION("""COMPUTED_VALUE"""),"Closed")</f>
        <v>Closed</v>
      </c>
      <c r="BF221" s="96" t="str">
        <f>IFERROR(__xludf.DUMMYFUNCTION("""COMPUTED_VALUE"""),"Closed")</f>
        <v>Closed</v>
      </c>
      <c r="BG221" s="97" t="str">
        <f>IFERROR(__xludf.DUMMYFUNCTION("""COMPUTED_VALUE"""),"Closed")</f>
        <v>Closed</v>
      </c>
      <c r="BH221" s="95" t="str">
        <f>IFERROR(__xludf.DUMMYFUNCTION("""COMPUTED_VALUE"""),"Closed")</f>
        <v>Closed</v>
      </c>
      <c r="BI221" s="96" t="str">
        <f>IFERROR(__xludf.DUMMYFUNCTION("""COMPUTED_VALUE"""),"Closed")</f>
        <v>Closed</v>
      </c>
      <c r="BJ221" s="97" t="str">
        <f>IFERROR(__xludf.DUMMYFUNCTION("""COMPUTED_VALUE"""),"Closed")</f>
        <v>Closed</v>
      </c>
      <c r="BK221" s="95" t="str">
        <f>IFERROR(__xludf.DUMMYFUNCTION("""COMPUTED_VALUE"""),"Closed")</f>
        <v>Closed</v>
      </c>
      <c r="BL221" s="96" t="str">
        <f>IFERROR(__xludf.DUMMYFUNCTION("""COMPUTED_VALUE"""),"Closed")</f>
        <v>Closed</v>
      </c>
      <c r="BM221" s="97" t="str">
        <f>IFERROR(__xludf.DUMMYFUNCTION("""COMPUTED_VALUE"""),"Closed")</f>
        <v>Closed</v>
      </c>
      <c r="BN221" s="95" t="str">
        <f>IFERROR(__xludf.DUMMYFUNCTION("""COMPUTED_VALUE"""),"Closed")</f>
        <v>Closed</v>
      </c>
      <c r="BO221" s="96" t="str">
        <f>IFERROR(__xludf.DUMMYFUNCTION("""COMPUTED_VALUE"""),"Closed")</f>
        <v>Closed</v>
      </c>
      <c r="BP221" s="97" t="str">
        <f>IFERROR(__xludf.DUMMYFUNCTION("""COMPUTED_VALUE"""),"Closed")</f>
        <v>Closed</v>
      </c>
      <c r="BQ221" s="95" t="str">
        <f>IFERROR(__xludf.DUMMYFUNCTION("""COMPUTED_VALUE"""),"Closed")</f>
        <v>Closed</v>
      </c>
      <c r="BR221" s="96" t="str">
        <f>IFERROR(__xludf.DUMMYFUNCTION("""COMPUTED_VALUE"""),"Closed")</f>
        <v>Closed</v>
      </c>
      <c r="BS221" s="97" t="str">
        <f>IFERROR(__xludf.DUMMYFUNCTION("""COMPUTED_VALUE"""),"Closed")</f>
        <v>Closed</v>
      </c>
      <c r="BT221" s="95" t="str">
        <f>IFERROR(__xludf.DUMMYFUNCTION("""COMPUTED_VALUE"""),"Closed")</f>
        <v>Closed</v>
      </c>
      <c r="BU221" s="96" t="str">
        <f>IFERROR(__xludf.DUMMYFUNCTION("""COMPUTED_VALUE"""),"Closed")</f>
        <v>Closed</v>
      </c>
      <c r="BV221" s="97" t="str">
        <f>IFERROR(__xludf.DUMMYFUNCTION("""COMPUTED_VALUE"""),"Closed")</f>
        <v>Closed</v>
      </c>
      <c r="BW221" s="95" t="str">
        <f>IFERROR(__xludf.DUMMYFUNCTION("""COMPUTED_VALUE"""),"Closed")</f>
        <v>Closed</v>
      </c>
      <c r="BX221" s="96" t="str">
        <f>IFERROR(__xludf.DUMMYFUNCTION("""COMPUTED_VALUE"""),"Closed")</f>
        <v>Closed</v>
      </c>
      <c r="BY221" s="97" t="str">
        <f>IFERROR(__xludf.DUMMYFUNCTION("""COMPUTED_VALUE"""),"Closed")</f>
        <v>Closed</v>
      </c>
      <c r="BZ221" s="95" t="str">
        <f>IFERROR(__xludf.DUMMYFUNCTION("""COMPUTED_VALUE"""),"Closed")</f>
        <v>Closed</v>
      </c>
      <c r="CA221" s="96" t="str">
        <f>IFERROR(__xludf.DUMMYFUNCTION("""COMPUTED_VALUE"""),"Closed")</f>
        <v>Closed</v>
      </c>
      <c r="CB221" s="97" t="str">
        <f>IFERROR(__xludf.DUMMYFUNCTION("""COMPUTED_VALUE"""),"Closed")</f>
        <v>Closed</v>
      </c>
      <c r="CC221" s="95" t="str">
        <f>IFERROR(__xludf.DUMMYFUNCTION("""COMPUTED_VALUE"""),"Closed")</f>
        <v>Closed</v>
      </c>
      <c r="CD221" s="96" t="str">
        <f>IFERROR(__xludf.DUMMYFUNCTION("""COMPUTED_VALUE"""),"Closed")</f>
        <v>Closed</v>
      </c>
      <c r="CE221" s="97" t="str">
        <f>IFERROR(__xludf.DUMMYFUNCTION("""COMPUTED_VALUE"""),"Closed")</f>
        <v>Closed</v>
      </c>
      <c r="CF221" s="95" t="str">
        <f>IFERROR(__xludf.DUMMYFUNCTION("""COMPUTED_VALUE"""),"Closed")</f>
        <v>Closed</v>
      </c>
      <c r="CG221" s="96" t="str">
        <f>IFERROR(__xludf.DUMMYFUNCTION("""COMPUTED_VALUE"""),"Closed")</f>
        <v>Closed</v>
      </c>
      <c r="CH221" s="96" t="str">
        <f>IFERROR(__xludf.DUMMYFUNCTION("""COMPUTED_VALUE"""),"Closed")</f>
        <v>Closed</v>
      </c>
      <c r="CI221" s="95" t="str">
        <f>IFERROR(__xludf.DUMMYFUNCTION("""COMPUTED_VALUE"""),"Closed")</f>
        <v>Closed</v>
      </c>
      <c r="CJ221" s="96" t="str">
        <f>IFERROR(__xludf.DUMMYFUNCTION("""COMPUTED_VALUE"""),"Closed")</f>
        <v>Closed</v>
      </c>
      <c r="CK221" s="96" t="str">
        <f>IFERROR(__xludf.DUMMYFUNCTION("""COMPUTED_VALUE"""),"Closed")</f>
        <v>Closed</v>
      </c>
      <c r="CL221" s="95" t="str">
        <f>IFERROR(__xludf.DUMMYFUNCTION("""COMPUTED_VALUE"""),"Closed")</f>
        <v>Closed</v>
      </c>
      <c r="CM221" s="96" t="str">
        <f>IFERROR(__xludf.DUMMYFUNCTION("""COMPUTED_VALUE"""),"Closed")</f>
        <v>Closed</v>
      </c>
      <c r="CN221" s="96" t="str">
        <f>IFERROR(__xludf.DUMMYFUNCTION("""COMPUTED_VALUE"""),"Closed")</f>
        <v>Closed</v>
      </c>
      <c r="CO221" s="95" t="str">
        <f>IFERROR(__xludf.DUMMYFUNCTION("""COMPUTED_VALUE"""),"Closed")</f>
        <v>Closed</v>
      </c>
      <c r="CP221" s="96" t="str">
        <f>IFERROR(__xludf.DUMMYFUNCTION("""COMPUTED_VALUE"""),"Closed")</f>
        <v>Closed</v>
      </c>
      <c r="CQ221" s="96" t="str">
        <f>IFERROR(__xludf.DUMMYFUNCTION("""COMPUTED_VALUE"""),"Closed")</f>
        <v>Closed</v>
      </c>
      <c r="CR221" s="95" t="str">
        <f>IFERROR(__xludf.DUMMYFUNCTION("""COMPUTED_VALUE"""),"Closed")</f>
        <v>Closed</v>
      </c>
      <c r="CS221" s="96" t="str">
        <f>IFERROR(__xludf.DUMMYFUNCTION("""COMPUTED_VALUE"""),"Closed")</f>
        <v>Closed</v>
      </c>
      <c r="CT221" s="96" t="str">
        <f>IFERROR(__xludf.DUMMYFUNCTION("""COMPUTED_VALUE"""),"Closed")</f>
        <v>Closed</v>
      </c>
      <c r="CU221" s="95" t="str">
        <f>IFERROR(__xludf.DUMMYFUNCTION("""COMPUTED_VALUE"""),"Closed")</f>
        <v>Closed</v>
      </c>
      <c r="CV221" s="96" t="str">
        <f>IFERROR(__xludf.DUMMYFUNCTION("""COMPUTED_VALUE"""),"Closed")</f>
        <v>Closed</v>
      </c>
      <c r="CW221" s="97" t="str">
        <f>IFERROR(__xludf.DUMMYFUNCTION("""COMPUTED_VALUE"""),"Closed")</f>
        <v>Closed</v>
      </c>
      <c r="CX221" s="96" t="str">
        <f>IFERROR(__xludf.DUMMYFUNCTION("""COMPUTED_VALUE"""),"Closed")</f>
        <v>Closed</v>
      </c>
      <c r="CY221" s="96" t="str">
        <f>IFERROR(__xludf.DUMMYFUNCTION("""COMPUTED_VALUE"""),"Closed")</f>
        <v>Closed</v>
      </c>
      <c r="CZ221" s="97" t="str">
        <f>IFERROR(__xludf.DUMMYFUNCTION("""COMPUTED_VALUE"""),"Closed")</f>
        <v>Closed</v>
      </c>
      <c r="DA221" s="95" t="str">
        <f>IFERROR(__xludf.DUMMYFUNCTION("""COMPUTED_VALUE"""),"Closed")</f>
        <v>Closed</v>
      </c>
      <c r="DB221" s="96" t="str">
        <f>IFERROR(__xludf.DUMMYFUNCTION("""COMPUTED_VALUE"""),"Closed")</f>
        <v>Closed</v>
      </c>
      <c r="DC221" s="97" t="str">
        <f>IFERROR(__xludf.DUMMYFUNCTION("""COMPUTED_VALUE"""),"Closed")</f>
        <v>Closed</v>
      </c>
      <c r="DD221" s="95" t="str">
        <f>IFERROR(__xludf.DUMMYFUNCTION("""COMPUTED_VALUE"""),"Closed")</f>
        <v>Closed</v>
      </c>
      <c r="DE221" s="96" t="str">
        <f>IFERROR(__xludf.DUMMYFUNCTION("""COMPUTED_VALUE"""),"Closed")</f>
        <v>Closed</v>
      </c>
      <c r="DF221" s="97" t="str">
        <f>IFERROR(__xludf.DUMMYFUNCTION("""COMPUTED_VALUE"""),"Closed")</f>
        <v>Closed</v>
      </c>
      <c r="DG221" s="95" t="str">
        <f>IFERROR(__xludf.DUMMYFUNCTION("""COMPUTED_VALUE"""),"Closed")</f>
        <v>Closed</v>
      </c>
      <c r="DH221" s="96" t="str">
        <f>IFERROR(__xludf.DUMMYFUNCTION("""COMPUTED_VALUE"""),"Closed")</f>
        <v>Closed</v>
      </c>
      <c r="DI221" s="97" t="str">
        <f>IFERROR(__xludf.DUMMYFUNCTION("""COMPUTED_VALUE"""),"Closed")</f>
        <v>Closed</v>
      </c>
      <c r="DJ221" s="95" t="str">
        <f>IFERROR(__xludf.DUMMYFUNCTION("""COMPUTED_VALUE"""),"Closed")</f>
        <v>Closed</v>
      </c>
      <c r="DK221" s="96" t="str">
        <f>IFERROR(__xludf.DUMMYFUNCTION("""COMPUTED_VALUE"""),"Closed")</f>
        <v>Closed</v>
      </c>
      <c r="DL221" s="97" t="str">
        <f>IFERROR(__xludf.DUMMYFUNCTION("""COMPUTED_VALUE"""),"Closed")</f>
        <v>Closed</v>
      </c>
      <c r="DM221" s="95" t="str">
        <f>IFERROR(__xludf.DUMMYFUNCTION("""COMPUTED_VALUE"""),"Closed")</f>
        <v>Closed</v>
      </c>
      <c r="DN221" s="96" t="str">
        <f>IFERROR(__xludf.DUMMYFUNCTION("""COMPUTED_VALUE"""),"Closed")</f>
        <v>Closed</v>
      </c>
      <c r="DO221" s="97" t="str">
        <f>IFERROR(__xludf.DUMMYFUNCTION("""COMPUTED_VALUE"""),"Closed")</f>
        <v>Closed</v>
      </c>
      <c r="DP221" s="95" t="str">
        <f>IFERROR(__xludf.DUMMYFUNCTION("""COMPUTED_VALUE"""),"Closed")</f>
        <v>Closed</v>
      </c>
      <c r="DQ221" s="96" t="str">
        <f>IFERROR(__xludf.DUMMYFUNCTION("""COMPUTED_VALUE"""),"Closed")</f>
        <v>Closed</v>
      </c>
      <c r="DR221" s="97"/>
      <c r="DS221" s="95"/>
    </row>
    <row r="222">
      <c r="B222" s="180" t="str">
        <f>IFERROR(__xludf.DUMMYFUNCTION("""COMPUTED_VALUE"""),"YKS5")</f>
        <v>YKS5</v>
      </c>
      <c r="C222" s="88" t="str">
        <f>IFERROR(__xludf.DUMMYFUNCTION("""COMPUTED_VALUE"""),"Western Fault")</f>
        <v>Western Fault</v>
      </c>
      <c r="D222" s="102">
        <f>IFERROR(__xludf.DUMMYFUNCTION("""COMPUTED_VALUE"""),21.0)</f>
        <v>21</v>
      </c>
      <c r="E222" s="82" t="b">
        <f>IFERROR(__xludf.DUMMYFUNCTION("""COMPUTED_VALUE"""),FALSE)</f>
        <v>0</v>
      </c>
      <c r="F222" s="82" t="str">
        <f>IFERROR(__xludf.DUMMYFUNCTION("""COMPUTED_VALUE"""),"Free Quests- Part 2!A534:J543")</f>
        <v>Free Quests- Part 2!A534:J543</v>
      </c>
      <c r="G222" s="82">
        <f>IFERROR(__xludf.DUMMYFUNCTION("""COMPUTED_VALUE"""),222.0)</f>
        <v>222</v>
      </c>
      <c r="H222" s="82" t="str">
        <f>IFERROR(__xludf.DUMMYFUNCTION("""COMPUTED_VALUE"""),"Closed")</f>
        <v>Closed</v>
      </c>
      <c r="I222" s="95" t="str">
        <f>IFERROR(__xludf.DUMMYFUNCTION("""COMPUTED_VALUE"""),"Closed")</f>
        <v>Closed</v>
      </c>
      <c r="J222" s="96" t="str">
        <f>IFERROR(__xludf.DUMMYFUNCTION("""COMPUTED_VALUE"""),"Closed")</f>
        <v>Closed</v>
      </c>
      <c r="K222" s="97" t="str">
        <f>IFERROR(__xludf.DUMMYFUNCTION("""COMPUTED_VALUE"""),"Closed")</f>
        <v>Closed</v>
      </c>
      <c r="L222" s="95" t="str">
        <f>IFERROR(__xludf.DUMMYFUNCTION("""COMPUTED_VALUE"""),"Closed")</f>
        <v>Closed</v>
      </c>
      <c r="M222" s="96" t="str">
        <f>IFERROR(__xludf.DUMMYFUNCTION("""COMPUTED_VALUE"""),"Closed")</f>
        <v>Closed</v>
      </c>
      <c r="N222" s="97" t="str">
        <f>IFERROR(__xludf.DUMMYFUNCTION("""COMPUTED_VALUE"""),"Closed")</f>
        <v>Closed</v>
      </c>
      <c r="O222" s="95" t="str">
        <f>IFERROR(__xludf.DUMMYFUNCTION("""COMPUTED_VALUE"""),"Closed")</f>
        <v>Closed</v>
      </c>
      <c r="P222" s="96" t="str">
        <f>IFERROR(__xludf.DUMMYFUNCTION("""COMPUTED_VALUE"""),"Closed")</f>
        <v>Closed</v>
      </c>
      <c r="Q222" s="97" t="str">
        <f>IFERROR(__xludf.DUMMYFUNCTION("""COMPUTED_VALUE"""),"Closed")</f>
        <v>Closed</v>
      </c>
      <c r="R222" s="95" t="str">
        <f>IFERROR(__xludf.DUMMYFUNCTION("""COMPUTED_VALUE"""),"Closed")</f>
        <v>Closed</v>
      </c>
      <c r="S222" s="96" t="str">
        <f>IFERROR(__xludf.DUMMYFUNCTION("""COMPUTED_VALUE"""),"Closed")</f>
        <v>Closed</v>
      </c>
      <c r="T222" s="97" t="str">
        <f>IFERROR(__xludf.DUMMYFUNCTION("""COMPUTED_VALUE"""),"Closed")</f>
        <v>Closed</v>
      </c>
      <c r="U222" s="95" t="str">
        <f>IFERROR(__xludf.DUMMYFUNCTION("""COMPUTED_VALUE"""),"Closed")</f>
        <v>Closed</v>
      </c>
      <c r="V222" s="96" t="str">
        <f>IFERROR(__xludf.DUMMYFUNCTION("""COMPUTED_VALUE"""),"Closed")</f>
        <v>Closed</v>
      </c>
      <c r="W222" s="97" t="str">
        <f>IFERROR(__xludf.DUMMYFUNCTION("""COMPUTED_VALUE"""),"Closed")</f>
        <v>Closed</v>
      </c>
      <c r="X222" s="95" t="str">
        <f>IFERROR(__xludf.DUMMYFUNCTION("""COMPUTED_VALUE"""),"Closed")</f>
        <v>Closed</v>
      </c>
      <c r="Y222" s="96" t="str">
        <f>IFERROR(__xludf.DUMMYFUNCTION("""COMPUTED_VALUE"""),"Closed")</f>
        <v>Closed</v>
      </c>
      <c r="Z222" s="97" t="str">
        <f>IFERROR(__xludf.DUMMYFUNCTION("""COMPUTED_VALUE"""),"Closed")</f>
        <v>Closed</v>
      </c>
      <c r="AA222" s="95" t="str">
        <f>IFERROR(__xludf.DUMMYFUNCTION("""COMPUTED_VALUE"""),"Closed")</f>
        <v>Closed</v>
      </c>
      <c r="AB222" s="96" t="str">
        <f>IFERROR(__xludf.DUMMYFUNCTION("""COMPUTED_VALUE"""),"Closed")</f>
        <v>Closed</v>
      </c>
      <c r="AC222" s="97" t="str">
        <f>IFERROR(__xludf.DUMMYFUNCTION("""COMPUTED_VALUE"""),"Closed")</f>
        <v>Closed</v>
      </c>
      <c r="AD222" s="95" t="str">
        <f>IFERROR(__xludf.DUMMYFUNCTION("""COMPUTED_VALUE"""),"Closed")</f>
        <v>Closed</v>
      </c>
      <c r="AE222" s="96" t="str">
        <f>IFERROR(__xludf.DUMMYFUNCTION("""COMPUTED_VALUE"""),"Closed")</f>
        <v>Closed</v>
      </c>
      <c r="AF222" s="97" t="str">
        <f>IFERROR(__xludf.DUMMYFUNCTION("""COMPUTED_VALUE"""),"Closed")</f>
        <v>Closed</v>
      </c>
      <c r="AG222" s="95" t="str">
        <f>IFERROR(__xludf.DUMMYFUNCTION("""COMPUTED_VALUE"""),"Closed")</f>
        <v>Closed</v>
      </c>
      <c r="AH222" s="96" t="str">
        <f>IFERROR(__xludf.DUMMYFUNCTION("""COMPUTED_VALUE"""),"Closed")</f>
        <v>Closed</v>
      </c>
      <c r="AI222" s="97" t="str">
        <f>IFERROR(__xludf.DUMMYFUNCTION("""COMPUTED_VALUE"""),"Closed")</f>
        <v>Closed</v>
      </c>
      <c r="AJ222" s="95" t="str">
        <f>IFERROR(__xludf.DUMMYFUNCTION("""COMPUTED_VALUE"""),"Closed")</f>
        <v>Closed</v>
      </c>
      <c r="AK222" s="96" t="str">
        <f>IFERROR(__xludf.DUMMYFUNCTION("""COMPUTED_VALUE"""),"Closed")</f>
        <v>Closed</v>
      </c>
      <c r="AL222" s="97" t="str">
        <f>IFERROR(__xludf.DUMMYFUNCTION("""COMPUTED_VALUE"""),"Closed")</f>
        <v>Closed</v>
      </c>
      <c r="AM222" s="95" t="str">
        <f>IFERROR(__xludf.DUMMYFUNCTION("""COMPUTED_VALUE"""),"Closed")</f>
        <v>Closed</v>
      </c>
      <c r="AN222" s="96" t="str">
        <f>IFERROR(__xludf.DUMMYFUNCTION("""COMPUTED_VALUE"""),"Closed")</f>
        <v>Closed</v>
      </c>
      <c r="AO222" s="97" t="str">
        <f>IFERROR(__xludf.DUMMYFUNCTION("""COMPUTED_VALUE"""),"Closed")</f>
        <v>Closed</v>
      </c>
      <c r="AP222" s="95" t="str">
        <f>IFERROR(__xludf.DUMMYFUNCTION("""COMPUTED_VALUE"""),"Closed")</f>
        <v>Closed</v>
      </c>
      <c r="AQ222" s="96" t="str">
        <f>IFERROR(__xludf.DUMMYFUNCTION("""COMPUTED_VALUE"""),"Closed")</f>
        <v>Closed</v>
      </c>
      <c r="AR222" s="97" t="str">
        <f>IFERROR(__xludf.DUMMYFUNCTION("""COMPUTED_VALUE"""),"Closed")</f>
        <v>Closed</v>
      </c>
      <c r="AS222" s="95" t="str">
        <f>IFERROR(__xludf.DUMMYFUNCTION("""COMPUTED_VALUE"""),"Closed")</f>
        <v>Closed</v>
      </c>
      <c r="AT222" s="96" t="str">
        <f>IFERROR(__xludf.DUMMYFUNCTION("""COMPUTED_VALUE"""),"Closed")</f>
        <v>Closed</v>
      </c>
      <c r="AU222" s="97" t="str">
        <f>IFERROR(__xludf.DUMMYFUNCTION("""COMPUTED_VALUE"""),"Closed")</f>
        <v>Closed</v>
      </c>
      <c r="AV222" s="95" t="str">
        <f>IFERROR(__xludf.DUMMYFUNCTION("""COMPUTED_VALUE"""),"Closed")</f>
        <v>Closed</v>
      </c>
      <c r="AW222" s="96" t="str">
        <f>IFERROR(__xludf.DUMMYFUNCTION("""COMPUTED_VALUE"""),"Closed")</f>
        <v>Closed</v>
      </c>
      <c r="AX222" s="97" t="str">
        <f>IFERROR(__xludf.DUMMYFUNCTION("""COMPUTED_VALUE"""),"Closed")</f>
        <v>Closed</v>
      </c>
      <c r="AY222" s="95" t="str">
        <f>IFERROR(__xludf.DUMMYFUNCTION("""COMPUTED_VALUE"""),"Closed")</f>
        <v>Closed</v>
      </c>
      <c r="AZ222" s="96" t="str">
        <f>IFERROR(__xludf.DUMMYFUNCTION("""COMPUTED_VALUE"""),"Closed")</f>
        <v>Closed</v>
      </c>
      <c r="BA222" s="97" t="str">
        <f>IFERROR(__xludf.DUMMYFUNCTION("""COMPUTED_VALUE"""),"Closed")</f>
        <v>Closed</v>
      </c>
      <c r="BB222" s="95" t="str">
        <f>IFERROR(__xludf.DUMMYFUNCTION("""COMPUTED_VALUE"""),"Closed")</f>
        <v>Closed</v>
      </c>
      <c r="BC222" s="96" t="str">
        <f>IFERROR(__xludf.DUMMYFUNCTION("""COMPUTED_VALUE"""),"Closed")</f>
        <v>Closed</v>
      </c>
      <c r="BD222" s="97" t="str">
        <f>IFERROR(__xludf.DUMMYFUNCTION("""COMPUTED_VALUE"""),"Closed")</f>
        <v>Closed</v>
      </c>
      <c r="BE222" s="95" t="str">
        <f>IFERROR(__xludf.DUMMYFUNCTION("""COMPUTED_VALUE"""),"Closed")</f>
        <v>Closed</v>
      </c>
      <c r="BF222" s="96" t="str">
        <f>IFERROR(__xludf.DUMMYFUNCTION("""COMPUTED_VALUE"""),"Closed")</f>
        <v>Closed</v>
      </c>
      <c r="BG222" s="97" t="str">
        <f>IFERROR(__xludf.DUMMYFUNCTION("""COMPUTED_VALUE"""),"Closed")</f>
        <v>Closed</v>
      </c>
      <c r="BH222" s="95" t="str">
        <f>IFERROR(__xludf.DUMMYFUNCTION("""COMPUTED_VALUE"""),"Closed")</f>
        <v>Closed</v>
      </c>
      <c r="BI222" s="96" t="str">
        <f>IFERROR(__xludf.DUMMYFUNCTION("""COMPUTED_VALUE"""),"Closed")</f>
        <v>Closed</v>
      </c>
      <c r="BJ222" s="97" t="str">
        <f>IFERROR(__xludf.DUMMYFUNCTION("""COMPUTED_VALUE"""),"Closed")</f>
        <v>Closed</v>
      </c>
      <c r="BK222" s="95" t="str">
        <f>IFERROR(__xludf.DUMMYFUNCTION("""COMPUTED_VALUE"""),"Closed")</f>
        <v>Closed</v>
      </c>
      <c r="BL222" s="96" t="str">
        <f>IFERROR(__xludf.DUMMYFUNCTION("""COMPUTED_VALUE"""),"Closed")</f>
        <v>Closed</v>
      </c>
      <c r="BM222" s="97" t="str">
        <f>IFERROR(__xludf.DUMMYFUNCTION("""COMPUTED_VALUE"""),"Closed")</f>
        <v>Closed</v>
      </c>
      <c r="BN222" s="95" t="str">
        <f>IFERROR(__xludf.DUMMYFUNCTION("""COMPUTED_VALUE"""),"Closed")</f>
        <v>Closed</v>
      </c>
      <c r="BO222" s="96" t="str">
        <f>IFERROR(__xludf.DUMMYFUNCTION("""COMPUTED_VALUE"""),"Closed")</f>
        <v>Closed</v>
      </c>
      <c r="BP222" s="97" t="str">
        <f>IFERROR(__xludf.DUMMYFUNCTION("""COMPUTED_VALUE"""),"Closed")</f>
        <v>Closed</v>
      </c>
      <c r="BQ222" s="95" t="str">
        <f>IFERROR(__xludf.DUMMYFUNCTION("""COMPUTED_VALUE"""),"Closed")</f>
        <v>Closed</v>
      </c>
      <c r="BR222" s="96" t="str">
        <f>IFERROR(__xludf.DUMMYFUNCTION("""COMPUTED_VALUE"""),"Closed")</f>
        <v>Closed</v>
      </c>
      <c r="BS222" s="97" t="str">
        <f>IFERROR(__xludf.DUMMYFUNCTION("""COMPUTED_VALUE"""),"Closed")</f>
        <v>Closed</v>
      </c>
      <c r="BT222" s="95" t="str">
        <f>IFERROR(__xludf.DUMMYFUNCTION("""COMPUTED_VALUE"""),"Closed")</f>
        <v>Closed</v>
      </c>
      <c r="BU222" s="96" t="str">
        <f>IFERROR(__xludf.DUMMYFUNCTION("""COMPUTED_VALUE"""),"Closed")</f>
        <v>Closed</v>
      </c>
      <c r="BV222" s="97" t="str">
        <f>IFERROR(__xludf.DUMMYFUNCTION("""COMPUTED_VALUE"""),"Closed")</f>
        <v>Closed</v>
      </c>
      <c r="BW222" s="95" t="str">
        <f>IFERROR(__xludf.DUMMYFUNCTION("""COMPUTED_VALUE"""),"Closed")</f>
        <v>Closed</v>
      </c>
      <c r="BX222" s="96" t="str">
        <f>IFERROR(__xludf.DUMMYFUNCTION("""COMPUTED_VALUE"""),"Closed")</f>
        <v>Closed</v>
      </c>
      <c r="BY222" s="97" t="str">
        <f>IFERROR(__xludf.DUMMYFUNCTION("""COMPUTED_VALUE"""),"Closed")</f>
        <v>Closed</v>
      </c>
      <c r="BZ222" s="95" t="str">
        <f>IFERROR(__xludf.DUMMYFUNCTION("""COMPUTED_VALUE"""),"Closed")</f>
        <v>Closed</v>
      </c>
      <c r="CA222" s="96" t="str">
        <f>IFERROR(__xludf.DUMMYFUNCTION("""COMPUTED_VALUE"""),"Closed")</f>
        <v>Closed</v>
      </c>
      <c r="CB222" s="97" t="str">
        <f>IFERROR(__xludf.DUMMYFUNCTION("""COMPUTED_VALUE"""),"Closed")</f>
        <v>Closed</v>
      </c>
      <c r="CC222" s="95" t="str">
        <f>IFERROR(__xludf.DUMMYFUNCTION("""COMPUTED_VALUE"""),"Closed")</f>
        <v>Closed</v>
      </c>
      <c r="CD222" s="96" t="str">
        <f>IFERROR(__xludf.DUMMYFUNCTION("""COMPUTED_VALUE"""),"Closed")</f>
        <v>Closed</v>
      </c>
      <c r="CE222" s="97" t="str">
        <f>IFERROR(__xludf.DUMMYFUNCTION("""COMPUTED_VALUE"""),"Closed")</f>
        <v>Closed</v>
      </c>
      <c r="CF222" s="95" t="str">
        <f>IFERROR(__xludf.DUMMYFUNCTION("""COMPUTED_VALUE"""),"Closed")</f>
        <v>Closed</v>
      </c>
      <c r="CG222" s="96" t="str">
        <f>IFERROR(__xludf.DUMMYFUNCTION("""COMPUTED_VALUE"""),"Closed")</f>
        <v>Closed</v>
      </c>
      <c r="CH222" s="96" t="str">
        <f>IFERROR(__xludf.DUMMYFUNCTION("""COMPUTED_VALUE"""),"Closed")</f>
        <v>Closed</v>
      </c>
      <c r="CI222" s="95" t="str">
        <f>IFERROR(__xludf.DUMMYFUNCTION("""COMPUTED_VALUE"""),"Closed")</f>
        <v>Closed</v>
      </c>
      <c r="CJ222" s="96" t="str">
        <f>IFERROR(__xludf.DUMMYFUNCTION("""COMPUTED_VALUE"""),"Closed")</f>
        <v>Closed</v>
      </c>
      <c r="CK222" s="96" t="str">
        <f>IFERROR(__xludf.DUMMYFUNCTION("""COMPUTED_VALUE"""),"Closed")</f>
        <v>Closed</v>
      </c>
      <c r="CL222" s="95" t="str">
        <f>IFERROR(__xludf.DUMMYFUNCTION("""COMPUTED_VALUE"""),"Closed")</f>
        <v>Closed</v>
      </c>
      <c r="CM222" s="96" t="str">
        <f>IFERROR(__xludf.DUMMYFUNCTION("""COMPUTED_VALUE"""),"Closed")</f>
        <v>Closed</v>
      </c>
      <c r="CN222" s="96" t="str">
        <f>IFERROR(__xludf.DUMMYFUNCTION("""COMPUTED_VALUE"""),"Closed")</f>
        <v>Closed</v>
      </c>
      <c r="CO222" s="95" t="str">
        <f>IFERROR(__xludf.DUMMYFUNCTION("""COMPUTED_VALUE"""),"Closed")</f>
        <v>Closed</v>
      </c>
      <c r="CP222" s="96" t="str">
        <f>IFERROR(__xludf.DUMMYFUNCTION("""COMPUTED_VALUE"""),"Closed")</f>
        <v>Closed</v>
      </c>
      <c r="CQ222" s="96" t="str">
        <f>IFERROR(__xludf.DUMMYFUNCTION("""COMPUTED_VALUE"""),"Closed")</f>
        <v>Closed</v>
      </c>
      <c r="CR222" s="95" t="str">
        <f>IFERROR(__xludf.DUMMYFUNCTION("""COMPUTED_VALUE"""),"Closed")</f>
        <v>Closed</v>
      </c>
      <c r="CS222" s="96" t="str">
        <f>IFERROR(__xludf.DUMMYFUNCTION("""COMPUTED_VALUE"""),"Closed")</f>
        <v>Closed</v>
      </c>
      <c r="CT222" s="96" t="str">
        <f>IFERROR(__xludf.DUMMYFUNCTION("""COMPUTED_VALUE"""),"Closed")</f>
        <v>Closed</v>
      </c>
      <c r="CU222" s="95" t="str">
        <f>IFERROR(__xludf.DUMMYFUNCTION("""COMPUTED_VALUE"""),"Closed")</f>
        <v>Closed</v>
      </c>
      <c r="CV222" s="96" t="str">
        <f>IFERROR(__xludf.DUMMYFUNCTION("""COMPUTED_VALUE"""),"Closed")</f>
        <v>Closed</v>
      </c>
      <c r="CW222" s="97" t="str">
        <f>IFERROR(__xludf.DUMMYFUNCTION("""COMPUTED_VALUE"""),"Closed")</f>
        <v>Closed</v>
      </c>
      <c r="CX222" s="96" t="str">
        <f>IFERROR(__xludf.DUMMYFUNCTION("""COMPUTED_VALUE"""),"Closed")</f>
        <v>Closed</v>
      </c>
      <c r="CY222" s="96" t="str">
        <f>IFERROR(__xludf.DUMMYFUNCTION("""COMPUTED_VALUE"""),"Closed")</f>
        <v>Closed</v>
      </c>
      <c r="CZ222" s="97" t="str">
        <f>IFERROR(__xludf.DUMMYFUNCTION("""COMPUTED_VALUE"""),"Closed")</f>
        <v>Closed</v>
      </c>
      <c r="DA222" s="95" t="str">
        <f>IFERROR(__xludf.DUMMYFUNCTION("""COMPUTED_VALUE"""),"Closed")</f>
        <v>Closed</v>
      </c>
      <c r="DB222" s="96" t="str">
        <f>IFERROR(__xludf.DUMMYFUNCTION("""COMPUTED_VALUE"""),"Closed")</f>
        <v>Closed</v>
      </c>
      <c r="DC222" s="97" t="str">
        <f>IFERROR(__xludf.DUMMYFUNCTION("""COMPUTED_VALUE"""),"Closed")</f>
        <v>Closed</v>
      </c>
      <c r="DD222" s="95" t="str">
        <f>IFERROR(__xludf.DUMMYFUNCTION("""COMPUTED_VALUE"""),"Closed")</f>
        <v>Closed</v>
      </c>
      <c r="DE222" s="96" t="str">
        <f>IFERROR(__xludf.DUMMYFUNCTION("""COMPUTED_VALUE"""),"Closed")</f>
        <v>Closed</v>
      </c>
      <c r="DF222" s="97" t="str">
        <f>IFERROR(__xludf.DUMMYFUNCTION("""COMPUTED_VALUE"""),"Closed")</f>
        <v>Closed</v>
      </c>
      <c r="DG222" s="95" t="str">
        <f>IFERROR(__xludf.DUMMYFUNCTION("""COMPUTED_VALUE"""),"Closed")</f>
        <v>Closed</v>
      </c>
      <c r="DH222" s="96" t="str">
        <f>IFERROR(__xludf.DUMMYFUNCTION("""COMPUTED_VALUE"""),"Closed")</f>
        <v>Closed</v>
      </c>
      <c r="DI222" s="97" t="str">
        <f>IFERROR(__xludf.DUMMYFUNCTION("""COMPUTED_VALUE"""),"Closed")</f>
        <v>Closed</v>
      </c>
      <c r="DJ222" s="95" t="str">
        <f>IFERROR(__xludf.DUMMYFUNCTION("""COMPUTED_VALUE"""),"Closed")</f>
        <v>Closed</v>
      </c>
      <c r="DK222" s="96" t="str">
        <f>IFERROR(__xludf.DUMMYFUNCTION("""COMPUTED_VALUE"""),"Closed")</f>
        <v>Closed</v>
      </c>
      <c r="DL222" s="97" t="str">
        <f>IFERROR(__xludf.DUMMYFUNCTION("""COMPUTED_VALUE"""),"Closed")</f>
        <v>Closed</v>
      </c>
      <c r="DM222" s="95" t="str">
        <f>IFERROR(__xludf.DUMMYFUNCTION("""COMPUTED_VALUE"""),"Closed")</f>
        <v>Closed</v>
      </c>
      <c r="DN222" s="96" t="str">
        <f>IFERROR(__xludf.DUMMYFUNCTION("""COMPUTED_VALUE"""),"Closed")</f>
        <v>Closed</v>
      </c>
      <c r="DO222" s="97" t="str">
        <f>IFERROR(__xludf.DUMMYFUNCTION("""COMPUTED_VALUE"""),"Closed")</f>
        <v>Closed</v>
      </c>
      <c r="DP222" s="95" t="str">
        <f>IFERROR(__xludf.DUMMYFUNCTION("""COMPUTED_VALUE"""),"Closed")</f>
        <v>Closed</v>
      </c>
      <c r="DQ222" s="96" t="str">
        <f>IFERROR(__xludf.DUMMYFUNCTION("""COMPUTED_VALUE"""),"Closed")</f>
        <v>Closed</v>
      </c>
      <c r="DR222" s="97"/>
      <c r="DS222" s="95"/>
    </row>
    <row r="223">
      <c r="B223" s="180" t="str">
        <f>IFERROR(__xludf.DUMMYFUNCTION("""COMPUTED_VALUE"""),"YKS6")</f>
        <v>YKS6</v>
      </c>
      <c r="C223" s="88" t="str">
        <f>IFERROR(__xludf.DUMMYFUNCTION("""COMPUTED_VALUE"""),"Deewar")</f>
        <v>Deewar</v>
      </c>
      <c r="D223" s="102">
        <f>IFERROR(__xludf.DUMMYFUNCTION("""COMPUTED_VALUE"""),21.0)</f>
        <v>21</v>
      </c>
      <c r="E223" s="82" t="b">
        <f>IFERROR(__xludf.DUMMYFUNCTION("""COMPUTED_VALUE"""),FALSE)</f>
        <v>0</v>
      </c>
      <c r="F223" s="82" t="str">
        <f>IFERROR(__xludf.DUMMYFUNCTION("""COMPUTED_VALUE"""),"Free Quests- Part 2!A547:J555")</f>
        <v>Free Quests- Part 2!A547:J555</v>
      </c>
      <c r="G223" s="82">
        <f>IFERROR(__xludf.DUMMYFUNCTION("""COMPUTED_VALUE"""),223.0)</f>
        <v>223</v>
      </c>
      <c r="H223" s="82" t="str">
        <f>IFERROR(__xludf.DUMMYFUNCTION("""COMPUTED_VALUE"""),"Closed")</f>
        <v>Closed</v>
      </c>
      <c r="I223" s="95" t="str">
        <f>IFERROR(__xludf.DUMMYFUNCTION("""COMPUTED_VALUE"""),"Closed")</f>
        <v>Closed</v>
      </c>
      <c r="J223" s="96" t="str">
        <f>IFERROR(__xludf.DUMMYFUNCTION("""COMPUTED_VALUE"""),"Closed")</f>
        <v>Closed</v>
      </c>
      <c r="K223" s="97" t="str">
        <f>IFERROR(__xludf.DUMMYFUNCTION("""COMPUTED_VALUE"""),"Closed")</f>
        <v>Closed</v>
      </c>
      <c r="L223" s="95" t="str">
        <f>IFERROR(__xludf.DUMMYFUNCTION("""COMPUTED_VALUE"""),"Closed")</f>
        <v>Closed</v>
      </c>
      <c r="M223" s="96" t="str">
        <f>IFERROR(__xludf.DUMMYFUNCTION("""COMPUTED_VALUE"""),"Closed")</f>
        <v>Closed</v>
      </c>
      <c r="N223" s="97" t="str">
        <f>IFERROR(__xludf.DUMMYFUNCTION("""COMPUTED_VALUE"""),"Closed")</f>
        <v>Closed</v>
      </c>
      <c r="O223" s="95" t="str">
        <f>IFERROR(__xludf.DUMMYFUNCTION("""COMPUTED_VALUE"""),"Closed")</f>
        <v>Closed</v>
      </c>
      <c r="P223" s="96" t="str">
        <f>IFERROR(__xludf.DUMMYFUNCTION("""COMPUTED_VALUE"""),"Closed")</f>
        <v>Closed</v>
      </c>
      <c r="Q223" s="97" t="str">
        <f>IFERROR(__xludf.DUMMYFUNCTION("""COMPUTED_VALUE"""),"Closed")</f>
        <v>Closed</v>
      </c>
      <c r="R223" s="95" t="str">
        <f>IFERROR(__xludf.DUMMYFUNCTION("""COMPUTED_VALUE"""),"Closed")</f>
        <v>Closed</v>
      </c>
      <c r="S223" s="96" t="str">
        <f>IFERROR(__xludf.DUMMYFUNCTION("""COMPUTED_VALUE"""),"Closed")</f>
        <v>Closed</v>
      </c>
      <c r="T223" s="97" t="str">
        <f>IFERROR(__xludf.DUMMYFUNCTION("""COMPUTED_VALUE"""),"Closed")</f>
        <v>Closed</v>
      </c>
      <c r="U223" s="95" t="str">
        <f>IFERROR(__xludf.DUMMYFUNCTION("""COMPUTED_VALUE"""),"Closed")</f>
        <v>Closed</v>
      </c>
      <c r="V223" s="96" t="str">
        <f>IFERROR(__xludf.DUMMYFUNCTION("""COMPUTED_VALUE"""),"Closed")</f>
        <v>Closed</v>
      </c>
      <c r="W223" s="97" t="str">
        <f>IFERROR(__xludf.DUMMYFUNCTION("""COMPUTED_VALUE"""),"Closed")</f>
        <v>Closed</v>
      </c>
      <c r="X223" s="95" t="str">
        <f>IFERROR(__xludf.DUMMYFUNCTION("""COMPUTED_VALUE"""),"Closed")</f>
        <v>Closed</v>
      </c>
      <c r="Y223" s="96" t="str">
        <f>IFERROR(__xludf.DUMMYFUNCTION("""COMPUTED_VALUE"""),"Closed")</f>
        <v>Closed</v>
      </c>
      <c r="Z223" s="97" t="str">
        <f>IFERROR(__xludf.DUMMYFUNCTION("""COMPUTED_VALUE"""),"Closed")</f>
        <v>Closed</v>
      </c>
      <c r="AA223" s="95" t="str">
        <f>IFERROR(__xludf.DUMMYFUNCTION("""COMPUTED_VALUE"""),"Closed")</f>
        <v>Closed</v>
      </c>
      <c r="AB223" s="96" t="str">
        <f>IFERROR(__xludf.DUMMYFUNCTION("""COMPUTED_VALUE"""),"Closed")</f>
        <v>Closed</v>
      </c>
      <c r="AC223" s="97" t="str">
        <f>IFERROR(__xludf.DUMMYFUNCTION("""COMPUTED_VALUE"""),"Closed")</f>
        <v>Closed</v>
      </c>
      <c r="AD223" s="95" t="str">
        <f>IFERROR(__xludf.DUMMYFUNCTION("""COMPUTED_VALUE"""),"Closed")</f>
        <v>Closed</v>
      </c>
      <c r="AE223" s="96" t="str">
        <f>IFERROR(__xludf.DUMMYFUNCTION("""COMPUTED_VALUE"""),"Closed")</f>
        <v>Closed</v>
      </c>
      <c r="AF223" s="97" t="str">
        <f>IFERROR(__xludf.DUMMYFUNCTION("""COMPUTED_VALUE"""),"Closed")</f>
        <v>Closed</v>
      </c>
      <c r="AG223" s="95" t="str">
        <f>IFERROR(__xludf.DUMMYFUNCTION("""COMPUTED_VALUE"""),"Closed")</f>
        <v>Closed</v>
      </c>
      <c r="AH223" s="96" t="str">
        <f>IFERROR(__xludf.DUMMYFUNCTION("""COMPUTED_VALUE"""),"Closed")</f>
        <v>Closed</v>
      </c>
      <c r="AI223" s="97" t="str">
        <f>IFERROR(__xludf.DUMMYFUNCTION("""COMPUTED_VALUE"""),"Closed")</f>
        <v>Closed</v>
      </c>
      <c r="AJ223" s="95" t="str">
        <f>IFERROR(__xludf.DUMMYFUNCTION("""COMPUTED_VALUE"""),"Closed")</f>
        <v>Closed</v>
      </c>
      <c r="AK223" s="96" t="str">
        <f>IFERROR(__xludf.DUMMYFUNCTION("""COMPUTED_VALUE"""),"Closed")</f>
        <v>Closed</v>
      </c>
      <c r="AL223" s="97" t="str">
        <f>IFERROR(__xludf.DUMMYFUNCTION("""COMPUTED_VALUE"""),"Closed")</f>
        <v>Closed</v>
      </c>
      <c r="AM223" s="95" t="str">
        <f>IFERROR(__xludf.DUMMYFUNCTION("""COMPUTED_VALUE"""),"Closed")</f>
        <v>Closed</v>
      </c>
      <c r="AN223" s="96" t="str">
        <f>IFERROR(__xludf.DUMMYFUNCTION("""COMPUTED_VALUE"""),"Closed")</f>
        <v>Closed</v>
      </c>
      <c r="AO223" s="97" t="str">
        <f>IFERROR(__xludf.DUMMYFUNCTION("""COMPUTED_VALUE"""),"Closed")</f>
        <v>Closed</v>
      </c>
      <c r="AP223" s="95" t="str">
        <f>IFERROR(__xludf.DUMMYFUNCTION("""COMPUTED_VALUE"""),"Closed")</f>
        <v>Closed</v>
      </c>
      <c r="AQ223" s="96" t="str">
        <f>IFERROR(__xludf.DUMMYFUNCTION("""COMPUTED_VALUE"""),"Closed")</f>
        <v>Closed</v>
      </c>
      <c r="AR223" s="97" t="str">
        <f>IFERROR(__xludf.DUMMYFUNCTION("""COMPUTED_VALUE"""),"Closed")</f>
        <v>Closed</v>
      </c>
      <c r="AS223" s="95" t="str">
        <f>IFERROR(__xludf.DUMMYFUNCTION("""COMPUTED_VALUE"""),"Closed")</f>
        <v>Closed</v>
      </c>
      <c r="AT223" s="96" t="str">
        <f>IFERROR(__xludf.DUMMYFUNCTION("""COMPUTED_VALUE"""),"Closed")</f>
        <v>Closed</v>
      </c>
      <c r="AU223" s="97" t="str">
        <f>IFERROR(__xludf.DUMMYFUNCTION("""COMPUTED_VALUE"""),"Closed")</f>
        <v>Closed</v>
      </c>
      <c r="AV223" s="95" t="str">
        <f>IFERROR(__xludf.DUMMYFUNCTION("""COMPUTED_VALUE"""),"Closed")</f>
        <v>Closed</v>
      </c>
      <c r="AW223" s="96" t="str">
        <f>IFERROR(__xludf.DUMMYFUNCTION("""COMPUTED_VALUE"""),"Closed")</f>
        <v>Closed</v>
      </c>
      <c r="AX223" s="97" t="str">
        <f>IFERROR(__xludf.DUMMYFUNCTION("""COMPUTED_VALUE"""),"Closed")</f>
        <v>Closed</v>
      </c>
      <c r="AY223" s="95" t="str">
        <f>IFERROR(__xludf.DUMMYFUNCTION("""COMPUTED_VALUE"""),"Closed")</f>
        <v>Closed</v>
      </c>
      <c r="AZ223" s="96" t="str">
        <f>IFERROR(__xludf.DUMMYFUNCTION("""COMPUTED_VALUE"""),"Closed")</f>
        <v>Closed</v>
      </c>
      <c r="BA223" s="97" t="str">
        <f>IFERROR(__xludf.DUMMYFUNCTION("""COMPUTED_VALUE"""),"Closed")</f>
        <v>Closed</v>
      </c>
      <c r="BB223" s="95" t="str">
        <f>IFERROR(__xludf.DUMMYFUNCTION("""COMPUTED_VALUE"""),"Closed")</f>
        <v>Closed</v>
      </c>
      <c r="BC223" s="96" t="str">
        <f>IFERROR(__xludf.DUMMYFUNCTION("""COMPUTED_VALUE"""),"Closed")</f>
        <v>Closed</v>
      </c>
      <c r="BD223" s="97" t="str">
        <f>IFERROR(__xludf.DUMMYFUNCTION("""COMPUTED_VALUE"""),"Closed")</f>
        <v>Closed</v>
      </c>
      <c r="BE223" s="95" t="str">
        <f>IFERROR(__xludf.DUMMYFUNCTION("""COMPUTED_VALUE"""),"Closed")</f>
        <v>Closed</v>
      </c>
      <c r="BF223" s="96" t="str">
        <f>IFERROR(__xludf.DUMMYFUNCTION("""COMPUTED_VALUE"""),"Closed")</f>
        <v>Closed</v>
      </c>
      <c r="BG223" s="97" t="str">
        <f>IFERROR(__xludf.DUMMYFUNCTION("""COMPUTED_VALUE"""),"Closed")</f>
        <v>Closed</v>
      </c>
      <c r="BH223" s="95" t="str">
        <f>IFERROR(__xludf.DUMMYFUNCTION("""COMPUTED_VALUE"""),"Closed")</f>
        <v>Closed</v>
      </c>
      <c r="BI223" s="96" t="str">
        <f>IFERROR(__xludf.DUMMYFUNCTION("""COMPUTED_VALUE"""),"Closed")</f>
        <v>Closed</v>
      </c>
      <c r="BJ223" s="97" t="str">
        <f>IFERROR(__xludf.DUMMYFUNCTION("""COMPUTED_VALUE"""),"Closed")</f>
        <v>Closed</v>
      </c>
      <c r="BK223" s="95" t="str">
        <f>IFERROR(__xludf.DUMMYFUNCTION("""COMPUTED_VALUE"""),"Closed")</f>
        <v>Closed</v>
      </c>
      <c r="BL223" s="96" t="str">
        <f>IFERROR(__xludf.DUMMYFUNCTION("""COMPUTED_VALUE"""),"Closed")</f>
        <v>Closed</v>
      </c>
      <c r="BM223" s="97" t="str">
        <f>IFERROR(__xludf.DUMMYFUNCTION("""COMPUTED_VALUE"""),"Closed")</f>
        <v>Closed</v>
      </c>
      <c r="BN223" s="95" t="str">
        <f>IFERROR(__xludf.DUMMYFUNCTION("""COMPUTED_VALUE"""),"Closed")</f>
        <v>Closed</v>
      </c>
      <c r="BO223" s="96" t="str">
        <f>IFERROR(__xludf.DUMMYFUNCTION("""COMPUTED_VALUE"""),"Closed")</f>
        <v>Closed</v>
      </c>
      <c r="BP223" s="97" t="str">
        <f>IFERROR(__xludf.DUMMYFUNCTION("""COMPUTED_VALUE"""),"Closed")</f>
        <v>Closed</v>
      </c>
      <c r="BQ223" s="95" t="str">
        <f>IFERROR(__xludf.DUMMYFUNCTION("""COMPUTED_VALUE"""),"Closed")</f>
        <v>Closed</v>
      </c>
      <c r="BR223" s="96" t="str">
        <f>IFERROR(__xludf.DUMMYFUNCTION("""COMPUTED_VALUE"""),"Closed")</f>
        <v>Closed</v>
      </c>
      <c r="BS223" s="97" t="str">
        <f>IFERROR(__xludf.DUMMYFUNCTION("""COMPUTED_VALUE"""),"Closed")</f>
        <v>Closed</v>
      </c>
      <c r="BT223" s="95" t="str">
        <f>IFERROR(__xludf.DUMMYFUNCTION("""COMPUTED_VALUE"""),"Closed")</f>
        <v>Closed</v>
      </c>
      <c r="BU223" s="96" t="str">
        <f>IFERROR(__xludf.DUMMYFUNCTION("""COMPUTED_VALUE"""),"Closed")</f>
        <v>Closed</v>
      </c>
      <c r="BV223" s="97" t="str">
        <f>IFERROR(__xludf.DUMMYFUNCTION("""COMPUTED_VALUE"""),"Closed")</f>
        <v>Closed</v>
      </c>
      <c r="BW223" s="95" t="str">
        <f>IFERROR(__xludf.DUMMYFUNCTION("""COMPUTED_VALUE"""),"Closed")</f>
        <v>Closed</v>
      </c>
      <c r="BX223" s="96" t="str">
        <f>IFERROR(__xludf.DUMMYFUNCTION("""COMPUTED_VALUE"""),"Closed")</f>
        <v>Closed</v>
      </c>
      <c r="BY223" s="97" t="str">
        <f>IFERROR(__xludf.DUMMYFUNCTION("""COMPUTED_VALUE"""),"Closed")</f>
        <v>Closed</v>
      </c>
      <c r="BZ223" s="95" t="str">
        <f>IFERROR(__xludf.DUMMYFUNCTION("""COMPUTED_VALUE"""),"Closed")</f>
        <v>Closed</v>
      </c>
      <c r="CA223" s="96" t="str">
        <f>IFERROR(__xludf.DUMMYFUNCTION("""COMPUTED_VALUE"""),"Closed")</f>
        <v>Closed</v>
      </c>
      <c r="CB223" s="97" t="str">
        <f>IFERROR(__xludf.DUMMYFUNCTION("""COMPUTED_VALUE"""),"Closed")</f>
        <v>Closed</v>
      </c>
      <c r="CC223" s="95" t="str">
        <f>IFERROR(__xludf.DUMMYFUNCTION("""COMPUTED_VALUE"""),"Closed")</f>
        <v>Closed</v>
      </c>
      <c r="CD223" s="96" t="str">
        <f>IFERROR(__xludf.DUMMYFUNCTION("""COMPUTED_VALUE"""),"Closed")</f>
        <v>Closed</v>
      </c>
      <c r="CE223" s="97" t="str">
        <f>IFERROR(__xludf.DUMMYFUNCTION("""COMPUTED_VALUE"""),"Closed")</f>
        <v>Closed</v>
      </c>
      <c r="CF223" s="95" t="str">
        <f>IFERROR(__xludf.DUMMYFUNCTION("""COMPUTED_VALUE"""),"Closed")</f>
        <v>Closed</v>
      </c>
      <c r="CG223" s="96" t="str">
        <f>IFERROR(__xludf.DUMMYFUNCTION("""COMPUTED_VALUE"""),"Closed")</f>
        <v>Closed</v>
      </c>
      <c r="CH223" s="96" t="str">
        <f>IFERROR(__xludf.DUMMYFUNCTION("""COMPUTED_VALUE"""),"Closed")</f>
        <v>Closed</v>
      </c>
      <c r="CI223" s="95" t="str">
        <f>IFERROR(__xludf.DUMMYFUNCTION("""COMPUTED_VALUE"""),"Closed")</f>
        <v>Closed</v>
      </c>
      <c r="CJ223" s="96" t="str">
        <f>IFERROR(__xludf.DUMMYFUNCTION("""COMPUTED_VALUE"""),"Closed")</f>
        <v>Closed</v>
      </c>
      <c r="CK223" s="96" t="str">
        <f>IFERROR(__xludf.DUMMYFUNCTION("""COMPUTED_VALUE"""),"Closed")</f>
        <v>Closed</v>
      </c>
      <c r="CL223" s="95" t="str">
        <f>IFERROR(__xludf.DUMMYFUNCTION("""COMPUTED_VALUE"""),"Closed")</f>
        <v>Closed</v>
      </c>
      <c r="CM223" s="96" t="str">
        <f>IFERROR(__xludf.DUMMYFUNCTION("""COMPUTED_VALUE"""),"Closed")</f>
        <v>Closed</v>
      </c>
      <c r="CN223" s="96" t="str">
        <f>IFERROR(__xludf.DUMMYFUNCTION("""COMPUTED_VALUE"""),"Closed")</f>
        <v>Closed</v>
      </c>
      <c r="CO223" s="95" t="str">
        <f>IFERROR(__xludf.DUMMYFUNCTION("""COMPUTED_VALUE"""),"Closed")</f>
        <v>Closed</v>
      </c>
      <c r="CP223" s="96" t="str">
        <f>IFERROR(__xludf.DUMMYFUNCTION("""COMPUTED_VALUE"""),"Closed")</f>
        <v>Closed</v>
      </c>
      <c r="CQ223" s="96" t="str">
        <f>IFERROR(__xludf.DUMMYFUNCTION("""COMPUTED_VALUE"""),"Closed")</f>
        <v>Closed</v>
      </c>
      <c r="CR223" s="95" t="str">
        <f>IFERROR(__xludf.DUMMYFUNCTION("""COMPUTED_VALUE"""),"Closed")</f>
        <v>Closed</v>
      </c>
      <c r="CS223" s="96" t="str">
        <f>IFERROR(__xludf.DUMMYFUNCTION("""COMPUTED_VALUE"""),"Closed")</f>
        <v>Closed</v>
      </c>
      <c r="CT223" s="96" t="str">
        <f>IFERROR(__xludf.DUMMYFUNCTION("""COMPUTED_VALUE"""),"Closed")</f>
        <v>Closed</v>
      </c>
      <c r="CU223" s="95" t="str">
        <f>IFERROR(__xludf.DUMMYFUNCTION("""COMPUTED_VALUE"""),"Closed")</f>
        <v>Closed</v>
      </c>
      <c r="CV223" s="96" t="str">
        <f>IFERROR(__xludf.DUMMYFUNCTION("""COMPUTED_VALUE"""),"Closed")</f>
        <v>Closed</v>
      </c>
      <c r="CW223" s="97" t="str">
        <f>IFERROR(__xludf.DUMMYFUNCTION("""COMPUTED_VALUE"""),"Closed")</f>
        <v>Closed</v>
      </c>
      <c r="CX223" s="96" t="str">
        <f>IFERROR(__xludf.DUMMYFUNCTION("""COMPUTED_VALUE"""),"Closed")</f>
        <v>Closed</v>
      </c>
      <c r="CY223" s="96" t="str">
        <f>IFERROR(__xludf.DUMMYFUNCTION("""COMPUTED_VALUE"""),"Closed")</f>
        <v>Closed</v>
      </c>
      <c r="CZ223" s="97" t="str">
        <f>IFERROR(__xludf.DUMMYFUNCTION("""COMPUTED_VALUE"""),"Closed")</f>
        <v>Closed</v>
      </c>
      <c r="DA223" s="95" t="str">
        <f>IFERROR(__xludf.DUMMYFUNCTION("""COMPUTED_VALUE"""),"Closed")</f>
        <v>Closed</v>
      </c>
      <c r="DB223" s="96" t="str">
        <f>IFERROR(__xludf.DUMMYFUNCTION("""COMPUTED_VALUE"""),"Closed")</f>
        <v>Closed</v>
      </c>
      <c r="DC223" s="97" t="str">
        <f>IFERROR(__xludf.DUMMYFUNCTION("""COMPUTED_VALUE"""),"Closed")</f>
        <v>Closed</v>
      </c>
      <c r="DD223" s="95" t="str">
        <f>IFERROR(__xludf.DUMMYFUNCTION("""COMPUTED_VALUE"""),"Closed")</f>
        <v>Closed</v>
      </c>
      <c r="DE223" s="96" t="str">
        <f>IFERROR(__xludf.DUMMYFUNCTION("""COMPUTED_VALUE"""),"Closed")</f>
        <v>Closed</v>
      </c>
      <c r="DF223" s="97" t="str">
        <f>IFERROR(__xludf.DUMMYFUNCTION("""COMPUTED_VALUE"""),"Closed")</f>
        <v>Closed</v>
      </c>
      <c r="DG223" s="95" t="str">
        <f>IFERROR(__xludf.DUMMYFUNCTION("""COMPUTED_VALUE"""),"Closed")</f>
        <v>Closed</v>
      </c>
      <c r="DH223" s="96" t="str">
        <f>IFERROR(__xludf.DUMMYFUNCTION("""COMPUTED_VALUE"""),"Closed")</f>
        <v>Closed</v>
      </c>
      <c r="DI223" s="97" t="str">
        <f>IFERROR(__xludf.DUMMYFUNCTION("""COMPUTED_VALUE"""),"Closed")</f>
        <v>Closed</v>
      </c>
      <c r="DJ223" s="95" t="str">
        <f>IFERROR(__xludf.DUMMYFUNCTION("""COMPUTED_VALUE"""),"Closed")</f>
        <v>Closed</v>
      </c>
      <c r="DK223" s="96" t="str">
        <f>IFERROR(__xludf.DUMMYFUNCTION("""COMPUTED_VALUE"""),"Closed")</f>
        <v>Closed</v>
      </c>
      <c r="DL223" s="97" t="str">
        <f>IFERROR(__xludf.DUMMYFUNCTION("""COMPUTED_VALUE"""),"Closed")</f>
        <v>Closed</v>
      </c>
      <c r="DM223" s="95" t="str">
        <f>IFERROR(__xludf.DUMMYFUNCTION("""COMPUTED_VALUE"""),"Closed")</f>
        <v>Closed</v>
      </c>
      <c r="DN223" s="96" t="str">
        <f>IFERROR(__xludf.DUMMYFUNCTION("""COMPUTED_VALUE"""),"Closed")</f>
        <v>Closed</v>
      </c>
      <c r="DO223" s="97" t="str">
        <f>IFERROR(__xludf.DUMMYFUNCTION("""COMPUTED_VALUE"""),"Closed")</f>
        <v>Closed</v>
      </c>
      <c r="DP223" s="95" t="str">
        <f>IFERROR(__xludf.DUMMYFUNCTION("""COMPUTED_VALUE"""),"Closed")</f>
        <v>Closed</v>
      </c>
      <c r="DQ223" s="96" t="str">
        <f>IFERROR(__xludf.DUMMYFUNCTION("""COMPUTED_VALUE"""),"Closed")</f>
        <v>Closed</v>
      </c>
      <c r="DR223" s="97"/>
      <c r="DS223" s="95"/>
    </row>
    <row r="224">
      <c r="B224" s="180" t="str">
        <f>IFERROR(__xludf.DUMMYFUNCTION("""COMPUTED_VALUE"""),"YKS7")</f>
        <v>YKS7</v>
      </c>
      <c r="C224" s="88" t="str">
        <f>IFERROR(__xludf.DUMMYFUNCTION("""COMPUTED_VALUE"""),"Divine Sky Rock Ruins")</f>
        <v>Divine Sky Rock Ruins</v>
      </c>
      <c r="D224" s="102">
        <f>IFERROR(__xludf.DUMMYFUNCTION("""COMPUTED_VALUE"""),21.0)</f>
        <v>21</v>
      </c>
      <c r="E224" s="82" t="b">
        <f>IFERROR(__xludf.DUMMYFUNCTION("""COMPUTED_VALUE"""),FALSE)</f>
        <v>0</v>
      </c>
      <c r="F224" s="82" t="str">
        <f>IFERROR(__xludf.DUMMYFUNCTION("""COMPUTED_VALUE"""),"Free Quests- Part 2!A559:J566")</f>
        <v>Free Quests- Part 2!A559:J566</v>
      </c>
      <c r="G224" s="82">
        <f>IFERROR(__xludf.DUMMYFUNCTION("""COMPUTED_VALUE"""),224.0)</f>
        <v>224</v>
      </c>
      <c r="H224" s="82" t="str">
        <f>IFERROR(__xludf.DUMMYFUNCTION("""COMPUTED_VALUE"""),"Closed")</f>
        <v>Closed</v>
      </c>
      <c r="I224" s="95" t="str">
        <f>IFERROR(__xludf.DUMMYFUNCTION("""COMPUTED_VALUE"""),"Closed")</f>
        <v>Closed</v>
      </c>
      <c r="J224" s="96" t="str">
        <f>IFERROR(__xludf.DUMMYFUNCTION("""COMPUTED_VALUE"""),"Closed")</f>
        <v>Closed</v>
      </c>
      <c r="K224" s="97" t="str">
        <f>IFERROR(__xludf.DUMMYFUNCTION("""COMPUTED_VALUE"""),"Closed")</f>
        <v>Closed</v>
      </c>
      <c r="L224" s="95" t="str">
        <f>IFERROR(__xludf.DUMMYFUNCTION("""COMPUTED_VALUE"""),"Closed")</f>
        <v>Closed</v>
      </c>
      <c r="M224" s="96" t="str">
        <f>IFERROR(__xludf.DUMMYFUNCTION("""COMPUTED_VALUE"""),"Closed")</f>
        <v>Closed</v>
      </c>
      <c r="N224" s="97" t="str">
        <f>IFERROR(__xludf.DUMMYFUNCTION("""COMPUTED_VALUE"""),"Closed")</f>
        <v>Closed</v>
      </c>
      <c r="O224" s="95" t="str">
        <f>IFERROR(__xludf.DUMMYFUNCTION("""COMPUTED_VALUE"""),"Closed")</f>
        <v>Closed</v>
      </c>
      <c r="P224" s="96" t="str">
        <f>IFERROR(__xludf.DUMMYFUNCTION("""COMPUTED_VALUE"""),"Closed")</f>
        <v>Closed</v>
      </c>
      <c r="Q224" s="97" t="str">
        <f>IFERROR(__xludf.DUMMYFUNCTION("""COMPUTED_VALUE"""),"Closed")</f>
        <v>Closed</v>
      </c>
      <c r="R224" s="95" t="str">
        <f>IFERROR(__xludf.DUMMYFUNCTION("""COMPUTED_VALUE"""),"Closed")</f>
        <v>Closed</v>
      </c>
      <c r="S224" s="96" t="str">
        <f>IFERROR(__xludf.DUMMYFUNCTION("""COMPUTED_VALUE"""),"Closed")</f>
        <v>Closed</v>
      </c>
      <c r="T224" s="97" t="str">
        <f>IFERROR(__xludf.DUMMYFUNCTION("""COMPUTED_VALUE"""),"Closed")</f>
        <v>Closed</v>
      </c>
      <c r="U224" s="95" t="str">
        <f>IFERROR(__xludf.DUMMYFUNCTION("""COMPUTED_VALUE"""),"Closed")</f>
        <v>Closed</v>
      </c>
      <c r="V224" s="96" t="str">
        <f>IFERROR(__xludf.DUMMYFUNCTION("""COMPUTED_VALUE"""),"Closed")</f>
        <v>Closed</v>
      </c>
      <c r="W224" s="97" t="str">
        <f>IFERROR(__xludf.DUMMYFUNCTION("""COMPUTED_VALUE"""),"Closed")</f>
        <v>Closed</v>
      </c>
      <c r="X224" s="95" t="str">
        <f>IFERROR(__xludf.DUMMYFUNCTION("""COMPUTED_VALUE"""),"Closed")</f>
        <v>Closed</v>
      </c>
      <c r="Y224" s="96" t="str">
        <f>IFERROR(__xludf.DUMMYFUNCTION("""COMPUTED_VALUE"""),"Closed")</f>
        <v>Closed</v>
      </c>
      <c r="Z224" s="97" t="str">
        <f>IFERROR(__xludf.DUMMYFUNCTION("""COMPUTED_VALUE"""),"Closed")</f>
        <v>Closed</v>
      </c>
      <c r="AA224" s="95" t="str">
        <f>IFERROR(__xludf.DUMMYFUNCTION("""COMPUTED_VALUE"""),"Closed")</f>
        <v>Closed</v>
      </c>
      <c r="AB224" s="96" t="str">
        <f>IFERROR(__xludf.DUMMYFUNCTION("""COMPUTED_VALUE"""),"Closed")</f>
        <v>Closed</v>
      </c>
      <c r="AC224" s="97" t="str">
        <f>IFERROR(__xludf.DUMMYFUNCTION("""COMPUTED_VALUE"""),"Closed")</f>
        <v>Closed</v>
      </c>
      <c r="AD224" s="95" t="str">
        <f>IFERROR(__xludf.DUMMYFUNCTION("""COMPUTED_VALUE"""),"Closed")</f>
        <v>Closed</v>
      </c>
      <c r="AE224" s="96" t="str">
        <f>IFERROR(__xludf.DUMMYFUNCTION("""COMPUTED_VALUE"""),"Closed")</f>
        <v>Closed</v>
      </c>
      <c r="AF224" s="97" t="str">
        <f>IFERROR(__xludf.DUMMYFUNCTION("""COMPUTED_VALUE"""),"Closed")</f>
        <v>Closed</v>
      </c>
      <c r="AG224" s="95" t="str">
        <f>IFERROR(__xludf.DUMMYFUNCTION("""COMPUTED_VALUE"""),"Closed")</f>
        <v>Closed</v>
      </c>
      <c r="AH224" s="96" t="str">
        <f>IFERROR(__xludf.DUMMYFUNCTION("""COMPUTED_VALUE"""),"Closed")</f>
        <v>Closed</v>
      </c>
      <c r="AI224" s="97" t="str">
        <f>IFERROR(__xludf.DUMMYFUNCTION("""COMPUTED_VALUE"""),"Closed")</f>
        <v>Closed</v>
      </c>
      <c r="AJ224" s="95" t="str">
        <f>IFERROR(__xludf.DUMMYFUNCTION("""COMPUTED_VALUE"""),"Closed")</f>
        <v>Closed</v>
      </c>
      <c r="AK224" s="96" t="str">
        <f>IFERROR(__xludf.DUMMYFUNCTION("""COMPUTED_VALUE"""),"Closed")</f>
        <v>Closed</v>
      </c>
      <c r="AL224" s="97" t="str">
        <f>IFERROR(__xludf.DUMMYFUNCTION("""COMPUTED_VALUE"""),"Closed")</f>
        <v>Closed</v>
      </c>
      <c r="AM224" s="95" t="str">
        <f>IFERROR(__xludf.DUMMYFUNCTION("""COMPUTED_VALUE"""),"Closed")</f>
        <v>Closed</v>
      </c>
      <c r="AN224" s="96" t="str">
        <f>IFERROR(__xludf.DUMMYFUNCTION("""COMPUTED_VALUE"""),"Closed")</f>
        <v>Closed</v>
      </c>
      <c r="AO224" s="97" t="str">
        <f>IFERROR(__xludf.DUMMYFUNCTION("""COMPUTED_VALUE"""),"Closed")</f>
        <v>Closed</v>
      </c>
      <c r="AP224" s="95" t="str">
        <f>IFERROR(__xludf.DUMMYFUNCTION("""COMPUTED_VALUE"""),"Closed")</f>
        <v>Closed</v>
      </c>
      <c r="AQ224" s="96" t="str">
        <f>IFERROR(__xludf.DUMMYFUNCTION("""COMPUTED_VALUE"""),"Closed")</f>
        <v>Closed</v>
      </c>
      <c r="AR224" s="97" t="str">
        <f>IFERROR(__xludf.DUMMYFUNCTION("""COMPUTED_VALUE"""),"Closed")</f>
        <v>Closed</v>
      </c>
      <c r="AS224" s="95" t="str">
        <f>IFERROR(__xludf.DUMMYFUNCTION("""COMPUTED_VALUE"""),"Closed")</f>
        <v>Closed</v>
      </c>
      <c r="AT224" s="96" t="str">
        <f>IFERROR(__xludf.DUMMYFUNCTION("""COMPUTED_VALUE"""),"Closed")</f>
        <v>Closed</v>
      </c>
      <c r="AU224" s="97" t="str">
        <f>IFERROR(__xludf.DUMMYFUNCTION("""COMPUTED_VALUE"""),"Closed")</f>
        <v>Closed</v>
      </c>
      <c r="AV224" s="95" t="str">
        <f>IFERROR(__xludf.DUMMYFUNCTION("""COMPUTED_VALUE"""),"Closed")</f>
        <v>Closed</v>
      </c>
      <c r="AW224" s="96" t="str">
        <f>IFERROR(__xludf.DUMMYFUNCTION("""COMPUTED_VALUE"""),"Closed")</f>
        <v>Closed</v>
      </c>
      <c r="AX224" s="97" t="str">
        <f>IFERROR(__xludf.DUMMYFUNCTION("""COMPUTED_VALUE"""),"Closed")</f>
        <v>Closed</v>
      </c>
      <c r="AY224" s="95" t="str">
        <f>IFERROR(__xludf.DUMMYFUNCTION("""COMPUTED_VALUE"""),"Closed")</f>
        <v>Closed</v>
      </c>
      <c r="AZ224" s="96" t="str">
        <f>IFERROR(__xludf.DUMMYFUNCTION("""COMPUTED_VALUE"""),"Closed")</f>
        <v>Closed</v>
      </c>
      <c r="BA224" s="97" t="str">
        <f>IFERROR(__xludf.DUMMYFUNCTION("""COMPUTED_VALUE"""),"Closed")</f>
        <v>Closed</v>
      </c>
      <c r="BB224" s="95" t="str">
        <f>IFERROR(__xludf.DUMMYFUNCTION("""COMPUTED_VALUE"""),"Closed")</f>
        <v>Closed</v>
      </c>
      <c r="BC224" s="96" t="str">
        <f>IFERROR(__xludf.DUMMYFUNCTION("""COMPUTED_VALUE"""),"Closed")</f>
        <v>Closed</v>
      </c>
      <c r="BD224" s="97" t="str">
        <f>IFERROR(__xludf.DUMMYFUNCTION("""COMPUTED_VALUE"""),"Closed")</f>
        <v>Closed</v>
      </c>
      <c r="BE224" s="95" t="str">
        <f>IFERROR(__xludf.DUMMYFUNCTION("""COMPUTED_VALUE"""),"Closed")</f>
        <v>Closed</v>
      </c>
      <c r="BF224" s="96" t="str">
        <f>IFERROR(__xludf.DUMMYFUNCTION("""COMPUTED_VALUE"""),"Closed")</f>
        <v>Closed</v>
      </c>
      <c r="BG224" s="97" t="str">
        <f>IFERROR(__xludf.DUMMYFUNCTION("""COMPUTED_VALUE"""),"Closed")</f>
        <v>Closed</v>
      </c>
      <c r="BH224" s="95" t="str">
        <f>IFERROR(__xludf.DUMMYFUNCTION("""COMPUTED_VALUE"""),"Closed")</f>
        <v>Closed</v>
      </c>
      <c r="BI224" s="96" t="str">
        <f>IFERROR(__xludf.DUMMYFUNCTION("""COMPUTED_VALUE"""),"Closed")</f>
        <v>Closed</v>
      </c>
      <c r="BJ224" s="97" t="str">
        <f>IFERROR(__xludf.DUMMYFUNCTION("""COMPUTED_VALUE"""),"Closed")</f>
        <v>Closed</v>
      </c>
      <c r="BK224" s="95" t="str">
        <f>IFERROR(__xludf.DUMMYFUNCTION("""COMPUTED_VALUE"""),"Closed")</f>
        <v>Closed</v>
      </c>
      <c r="BL224" s="96" t="str">
        <f>IFERROR(__xludf.DUMMYFUNCTION("""COMPUTED_VALUE"""),"Closed")</f>
        <v>Closed</v>
      </c>
      <c r="BM224" s="97" t="str">
        <f>IFERROR(__xludf.DUMMYFUNCTION("""COMPUTED_VALUE"""),"Closed")</f>
        <v>Closed</v>
      </c>
      <c r="BN224" s="95" t="str">
        <f>IFERROR(__xludf.DUMMYFUNCTION("""COMPUTED_VALUE"""),"Closed")</f>
        <v>Closed</v>
      </c>
      <c r="BO224" s="96" t="str">
        <f>IFERROR(__xludf.DUMMYFUNCTION("""COMPUTED_VALUE"""),"Closed")</f>
        <v>Closed</v>
      </c>
      <c r="BP224" s="97" t="str">
        <f>IFERROR(__xludf.DUMMYFUNCTION("""COMPUTED_VALUE"""),"Closed")</f>
        <v>Closed</v>
      </c>
      <c r="BQ224" s="95" t="str">
        <f>IFERROR(__xludf.DUMMYFUNCTION("""COMPUTED_VALUE"""),"Closed")</f>
        <v>Closed</v>
      </c>
      <c r="BR224" s="96" t="str">
        <f>IFERROR(__xludf.DUMMYFUNCTION("""COMPUTED_VALUE"""),"Closed")</f>
        <v>Closed</v>
      </c>
      <c r="BS224" s="97" t="str">
        <f>IFERROR(__xludf.DUMMYFUNCTION("""COMPUTED_VALUE"""),"Closed")</f>
        <v>Closed</v>
      </c>
      <c r="BT224" s="95" t="str">
        <f>IFERROR(__xludf.DUMMYFUNCTION("""COMPUTED_VALUE"""),"Closed")</f>
        <v>Closed</v>
      </c>
      <c r="BU224" s="96" t="str">
        <f>IFERROR(__xludf.DUMMYFUNCTION("""COMPUTED_VALUE"""),"Closed")</f>
        <v>Closed</v>
      </c>
      <c r="BV224" s="97" t="str">
        <f>IFERROR(__xludf.DUMMYFUNCTION("""COMPUTED_VALUE"""),"Closed")</f>
        <v>Closed</v>
      </c>
      <c r="BW224" s="95" t="str">
        <f>IFERROR(__xludf.DUMMYFUNCTION("""COMPUTED_VALUE"""),"Closed")</f>
        <v>Closed</v>
      </c>
      <c r="BX224" s="96" t="str">
        <f>IFERROR(__xludf.DUMMYFUNCTION("""COMPUTED_VALUE"""),"Closed")</f>
        <v>Closed</v>
      </c>
      <c r="BY224" s="97" t="str">
        <f>IFERROR(__xludf.DUMMYFUNCTION("""COMPUTED_VALUE"""),"Closed")</f>
        <v>Closed</v>
      </c>
      <c r="BZ224" s="95" t="str">
        <f>IFERROR(__xludf.DUMMYFUNCTION("""COMPUTED_VALUE"""),"Closed")</f>
        <v>Closed</v>
      </c>
      <c r="CA224" s="96" t="str">
        <f>IFERROR(__xludf.DUMMYFUNCTION("""COMPUTED_VALUE"""),"Closed")</f>
        <v>Closed</v>
      </c>
      <c r="CB224" s="97" t="str">
        <f>IFERROR(__xludf.DUMMYFUNCTION("""COMPUTED_VALUE"""),"Closed")</f>
        <v>Closed</v>
      </c>
      <c r="CC224" s="95" t="str">
        <f>IFERROR(__xludf.DUMMYFUNCTION("""COMPUTED_VALUE"""),"Closed")</f>
        <v>Closed</v>
      </c>
      <c r="CD224" s="96" t="str">
        <f>IFERROR(__xludf.DUMMYFUNCTION("""COMPUTED_VALUE"""),"Closed")</f>
        <v>Closed</v>
      </c>
      <c r="CE224" s="97" t="str">
        <f>IFERROR(__xludf.DUMMYFUNCTION("""COMPUTED_VALUE"""),"Closed")</f>
        <v>Closed</v>
      </c>
      <c r="CF224" s="95" t="str">
        <f>IFERROR(__xludf.DUMMYFUNCTION("""COMPUTED_VALUE"""),"Closed")</f>
        <v>Closed</v>
      </c>
      <c r="CG224" s="96" t="str">
        <f>IFERROR(__xludf.DUMMYFUNCTION("""COMPUTED_VALUE"""),"Closed")</f>
        <v>Closed</v>
      </c>
      <c r="CH224" s="96" t="str">
        <f>IFERROR(__xludf.DUMMYFUNCTION("""COMPUTED_VALUE"""),"Closed")</f>
        <v>Closed</v>
      </c>
      <c r="CI224" s="95" t="str">
        <f>IFERROR(__xludf.DUMMYFUNCTION("""COMPUTED_VALUE"""),"Closed")</f>
        <v>Closed</v>
      </c>
      <c r="CJ224" s="96" t="str">
        <f>IFERROR(__xludf.DUMMYFUNCTION("""COMPUTED_VALUE"""),"Closed")</f>
        <v>Closed</v>
      </c>
      <c r="CK224" s="96" t="str">
        <f>IFERROR(__xludf.DUMMYFUNCTION("""COMPUTED_VALUE"""),"Closed")</f>
        <v>Closed</v>
      </c>
      <c r="CL224" s="95" t="str">
        <f>IFERROR(__xludf.DUMMYFUNCTION("""COMPUTED_VALUE"""),"Closed")</f>
        <v>Closed</v>
      </c>
      <c r="CM224" s="96" t="str">
        <f>IFERROR(__xludf.DUMMYFUNCTION("""COMPUTED_VALUE"""),"Closed")</f>
        <v>Closed</v>
      </c>
      <c r="CN224" s="96" t="str">
        <f>IFERROR(__xludf.DUMMYFUNCTION("""COMPUTED_VALUE"""),"Closed")</f>
        <v>Closed</v>
      </c>
      <c r="CO224" s="95" t="str">
        <f>IFERROR(__xludf.DUMMYFUNCTION("""COMPUTED_VALUE"""),"Closed")</f>
        <v>Closed</v>
      </c>
      <c r="CP224" s="96" t="str">
        <f>IFERROR(__xludf.DUMMYFUNCTION("""COMPUTED_VALUE"""),"Closed")</f>
        <v>Closed</v>
      </c>
      <c r="CQ224" s="96" t="str">
        <f>IFERROR(__xludf.DUMMYFUNCTION("""COMPUTED_VALUE"""),"Closed")</f>
        <v>Closed</v>
      </c>
      <c r="CR224" s="95" t="str">
        <f>IFERROR(__xludf.DUMMYFUNCTION("""COMPUTED_VALUE"""),"Closed")</f>
        <v>Closed</v>
      </c>
      <c r="CS224" s="96" t="str">
        <f>IFERROR(__xludf.DUMMYFUNCTION("""COMPUTED_VALUE"""),"Closed")</f>
        <v>Closed</v>
      </c>
      <c r="CT224" s="96" t="str">
        <f>IFERROR(__xludf.DUMMYFUNCTION("""COMPUTED_VALUE"""),"Closed")</f>
        <v>Closed</v>
      </c>
      <c r="CU224" s="95" t="str">
        <f>IFERROR(__xludf.DUMMYFUNCTION("""COMPUTED_VALUE"""),"Closed")</f>
        <v>Closed</v>
      </c>
      <c r="CV224" s="96" t="str">
        <f>IFERROR(__xludf.DUMMYFUNCTION("""COMPUTED_VALUE"""),"Closed")</f>
        <v>Closed</v>
      </c>
      <c r="CW224" s="97" t="str">
        <f>IFERROR(__xludf.DUMMYFUNCTION("""COMPUTED_VALUE"""),"Closed")</f>
        <v>Closed</v>
      </c>
      <c r="CX224" s="96" t="str">
        <f>IFERROR(__xludf.DUMMYFUNCTION("""COMPUTED_VALUE"""),"Closed")</f>
        <v>Closed</v>
      </c>
      <c r="CY224" s="96" t="str">
        <f>IFERROR(__xludf.DUMMYFUNCTION("""COMPUTED_VALUE"""),"Closed")</f>
        <v>Closed</v>
      </c>
      <c r="CZ224" s="97" t="str">
        <f>IFERROR(__xludf.DUMMYFUNCTION("""COMPUTED_VALUE"""),"Closed")</f>
        <v>Closed</v>
      </c>
      <c r="DA224" s="95" t="str">
        <f>IFERROR(__xludf.DUMMYFUNCTION("""COMPUTED_VALUE"""),"Closed")</f>
        <v>Closed</v>
      </c>
      <c r="DB224" s="96" t="str">
        <f>IFERROR(__xludf.DUMMYFUNCTION("""COMPUTED_VALUE"""),"Closed")</f>
        <v>Closed</v>
      </c>
      <c r="DC224" s="97" t="str">
        <f>IFERROR(__xludf.DUMMYFUNCTION("""COMPUTED_VALUE"""),"Closed")</f>
        <v>Closed</v>
      </c>
      <c r="DD224" s="95" t="str">
        <f>IFERROR(__xludf.DUMMYFUNCTION("""COMPUTED_VALUE"""),"Closed")</f>
        <v>Closed</v>
      </c>
      <c r="DE224" s="96" t="str">
        <f>IFERROR(__xludf.DUMMYFUNCTION("""COMPUTED_VALUE"""),"Closed")</f>
        <v>Closed</v>
      </c>
      <c r="DF224" s="97" t="str">
        <f>IFERROR(__xludf.DUMMYFUNCTION("""COMPUTED_VALUE"""),"Closed")</f>
        <v>Closed</v>
      </c>
      <c r="DG224" s="95" t="str">
        <f>IFERROR(__xludf.DUMMYFUNCTION("""COMPUTED_VALUE"""),"Closed")</f>
        <v>Closed</v>
      </c>
      <c r="DH224" s="96" t="str">
        <f>IFERROR(__xludf.DUMMYFUNCTION("""COMPUTED_VALUE"""),"Closed")</f>
        <v>Closed</v>
      </c>
      <c r="DI224" s="97" t="str">
        <f>IFERROR(__xludf.DUMMYFUNCTION("""COMPUTED_VALUE"""),"Closed")</f>
        <v>Closed</v>
      </c>
      <c r="DJ224" s="95" t="str">
        <f>IFERROR(__xludf.DUMMYFUNCTION("""COMPUTED_VALUE"""),"Closed")</f>
        <v>Closed</v>
      </c>
      <c r="DK224" s="96" t="str">
        <f>IFERROR(__xludf.DUMMYFUNCTION("""COMPUTED_VALUE"""),"Closed")</f>
        <v>Closed</v>
      </c>
      <c r="DL224" s="97" t="str">
        <f>IFERROR(__xludf.DUMMYFUNCTION("""COMPUTED_VALUE"""),"Closed")</f>
        <v>Closed</v>
      </c>
      <c r="DM224" s="95" t="str">
        <f>IFERROR(__xludf.DUMMYFUNCTION("""COMPUTED_VALUE"""),"Closed")</f>
        <v>Closed</v>
      </c>
      <c r="DN224" s="96" t="str">
        <f>IFERROR(__xludf.DUMMYFUNCTION("""COMPUTED_VALUE"""),"Closed")</f>
        <v>Closed</v>
      </c>
      <c r="DO224" s="97" t="str">
        <f>IFERROR(__xludf.DUMMYFUNCTION("""COMPUTED_VALUE"""),"Closed")</f>
        <v>Closed</v>
      </c>
      <c r="DP224" s="95" t="str">
        <f>IFERROR(__xludf.DUMMYFUNCTION("""COMPUTED_VALUE"""),"Closed")</f>
        <v>Closed</v>
      </c>
      <c r="DQ224" s="96" t="str">
        <f>IFERROR(__xludf.DUMMYFUNCTION("""COMPUTED_VALUE"""),"Closed")</f>
        <v>Closed</v>
      </c>
      <c r="DR224" s="97"/>
      <c r="DS224" s="95"/>
    </row>
    <row r="225">
      <c r="B225" s="180" t="str">
        <f>IFERROR(__xludf.DUMMYFUNCTION("""COMPUTED_VALUE"""),"YKS8")</f>
        <v>YKS8</v>
      </c>
      <c r="C225" s="88" t="str">
        <f>IFERROR(__xludf.DUMMYFUNCTION("""COMPUTED_VALUE"""),"Southern Town")</f>
        <v>Southern Town</v>
      </c>
      <c r="D225" s="102">
        <f>IFERROR(__xludf.DUMMYFUNCTION("""COMPUTED_VALUE"""),21.0)</f>
        <v>21</v>
      </c>
      <c r="E225" s="82" t="b">
        <f>IFERROR(__xludf.DUMMYFUNCTION("""COMPUTED_VALUE"""),FALSE)</f>
        <v>0</v>
      </c>
      <c r="F225" s="82" t="str">
        <f>IFERROR(__xludf.DUMMYFUNCTION("""COMPUTED_VALUE"""),"Free Quests- Part 2!A570:J580")</f>
        <v>Free Quests- Part 2!A570:J580</v>
      </c>
      <c r="G225" s="82">
        <f>IFERROR(__xludf.DUMMYFUNCTION("""COMPUTED_VALUE"""),225.0)</f>
        <v>225</v>
      </c>
      <c r="H225" s="82" t="str">
        <f>IFERROR(__xludf.DUMMYFUNCTION("""COMPUTED_VALUE"""),"Closed")</f>
        <v>Closed</v>
      </c>
      <c r="I225" s="95" t="str">
        <f>IFERROR(__xludf.DUMMYFUNCTION("""COMPUTED_VALUE"""),"Closed")</f>
        <v>Closed</v>
      </c>
      <c r="J225" s="96" t="str">
        <f>IFERROR(__xludf.DUMMYFUNCTION("""COMPUTED_VALUE"""),"Closed")</f>
        <v>Closed</v>
      </c>
      <c r="K225" s="97" t="str">
        <f>IFERROR(__xludf.DUMMYFUNCTION("""COMPUTED_VALUE"""),"Closed")</f>
        <v>Closed</v>
      </c>
      <c r="L225" s="95" t="str">
        <f>IFERROR(__xludf.DUMMYFUNCTION("""COMPUTED_VALUE"""),"Closed")</f>
        <v>Closed</v>
      </c>
      <c r="M225" s="96" t="str">
        <f>IFERROR(__xludf.DUMMYFUNCTION("""COMPUTED_VALUE"""),"Closed")</f>
        <v>Closed</v>
      </c>
      <c r="N225" s="97" t="str">
        <f>IFERROR(__xludf.DUMMYFUNCTION("""COMPUTED_VALUE"""),"Closed")</f>
        <v>Closed</v>
      </c>
      <c r="O225" s="95" t="str">
        <f>IFERROR(__xludf.DUMMYFUNCTION("""COMPUTED_VALUE"""),"Closed")</f>
        <v>Closed</v>
      </c>
      <c r="P225" s="96" t="str">
        <f>IFERROR(__xludf.DUMMYFUNCTION("""COMPUTED_VALUE"""),"Closed")</f>
        <v>Closed</v>
      </c>
      <c r="Q225" s="97" t="str">
        <f>IFERROR(__xludf.DUMMYFUNCTION("""COMPUTED_VALUE"""),"Closed")</f>
        <v>Closed</v>
      </c>
      <c r="R225" s="95" t="str">
        <f>IFERROR(__xludf.DUMMYFUNCTION("""COMPUTED_VALUE"""),"Closed")</f>
        <v>Closed</v>
      </c>
      <c r="S225" s="96" t="str">
        <f>IFERROR(__xludf.DUMMYFUNCTION("""COMPUTED_VALUE"""),"Closed")</f>
        <v>Closed</v>
      </c>
      <c r="T225" s="97" t="str">
        <f>IFERROR(__xludf.DUMMYFUNCTION("""COMPUTED_VALUE"""),"Closed")</f>
        <v>Closed</v>
      </c>
      <c r="U225" s="95" t="str">
        <f>IFERROR(__xludf.DUMMYFUNCTION("""COMPUTED_VALUE"""),"Closed")</f>
        <v>Closed</v>
      </c>
      <c r="V225" s="96" t="str">
        <f>IFERROR(__xludf.DUMMYFUNCTION("""COMPUTED_VALUE"""),"Closed")</f>
        <v>Closed</v>
      </c>
      <c r="W225" s="97" t="str">
        <f>IFERROR(__xludf.DUMMYFUNCTION("""COMPUTED_VALUE"""),"Closed")</f>
        <v>Closed</v>
      </c>
      <c r="X225" s="95" t="str">
        <f>IFERROR(__xludf.DUMMYFUNCTION("""COMPUTED_VALUE"""),"Closed")</f>
        <v>Closed</v>
      </c>
      <c r="Y225" s="96" t="str">
        <f>IFERROR(__xludf.DUMMYFUNCTION("""COMPUTED_VALUE"""),"Closed")</f>
        <v>Closed</v>
      </c>
      <c r="Z225" s="97" t="str">
        <f>IFERROR(__xludf.DUMMYFUNCTION("""COMPUTED_VALUE"""),"Closed")</f>
        <v>Closed</v>
      </c>
      <c r="AA225" s="95" t="str">
        <f>IFERROR(__xludf.DUMMYFUNCTION("""COMPUTED_VALUE"""),"Closed")</f>
        <v>Closed</v>
      </c>
      <c r="AB225" s="96" t="str">
        <f>IFERROR(__xludf.DUMMYFUNCTION("""COMPUTED_VALUE"""),"Closed")</f>
        <v>Closed</v>
      </c>
      <c r="AC225" s="97" t="str">
        <f>IFERROR(__xludf.DUMMYFUNCTION("""COMPUTED_VALUE"""),"Closed")</f>
        <v>Closed</v>
      </c>
      <c r="AD225" s="95" t="str">
        <f>IFERROR(__xludf.DUMMYFUNCTION("""COMPUTED_VALUE"""),"Closed")</f>
        <v>Closed</v>
      </c>
      <c r="AE225" s="96" t="str">
        <f>IFERROR(__xludf.DUMMYFUNCTION("""COMPUTED_VALUE"""),"Closed")</f>
        <v>Closed</v>
      </c>
      <c r="AF225" s="97" t="str">
        <f>IFERROR(__xludf.DUMMYFUNCTION("""COMPUTED_VALUE"""),"Closed")</f>
        <v>Closed</v>
      </c>
      <c r="AG225" s="95" t="str">
        <f>IFERROR(__xludf.DUMMYFUNCTION("""COMPUTED_VALUE"""),"Closed")</f>
        <v>Closed</v>
      </c>
      <c r="AH225" s="96" t="str">
        <f>IFERROR(__xludf.DUMMYFUNCTION("""COMPUTED_VALUE"""),"Closed")</f>
        <v>Closed</v>
      </c>
      <c r="AI225" s="97" t="str">
        <f>IFERROR(__xludf.DUMMYFUNCTION("""COMPUTED_VALUE"""),"Closed")</f>
        <v>Closed</v>
      </c>
      <c r="AJ225" s="95" t="str">
        <f>IFERROR(__xludf.DUMMYFUNCTION("""COMPUTED_VALUE"""),"Closed")</f>
        <v>Closed</v>
      </c>
      <c r="AK225" s="96" t="str">
        <f>IFERROR(__xludf.DUMMYFUNCTION("""COMPUTED_VALUE"""),"Closed")</f>
        <v>Closed</v>
      </c>
      <c r="AL225" s="97" t="str">
        <f>IFERROR(__xludf.DUMMYFUNCTION("""COMPUTED_VALUE"""),"Closed")</f>
        <v>Closed</v>
      </c>
      <c r="AM225" s="95" t="str">
        <f>IFERROR(__xludf.DUMMYFUNCTION("""COMPUTED_VALUE"""),"Closed")</f>
        <v>Closed</v>
      </c>
      <c r="AN225" s="96" t="str">
        <f>IFERROR(__xludf.DUMMYFUNCTION("""COMPUTED_VALUE"""),"Closed")</f>
        <v>Closed</v>
      </c>
      <c r="AO225" s="97" t="str">
        <f>IFERROR(__xludf.DUMMYFUNCTION("""COMPUTED_VALUE"""),"Closed")</f>
        <v>Closed</v>
      </c>
      <c r="AP225" s="95" t="str">
        <f>IFERROR(__xludf.DUMMYFUNCTION("""COMPUTED_VALUE"""),"Closed")</f>
        <v>Closed</v>
      </c>
      <c r="AQ225" s="96" t="str">
        <f>IFERROR(__xludf.DUMMYFUNCTION("""COMPUTED_VALUE"""),"Closed")</f>
        <v>Closed</v>
      </c>
      <c r="AR225" s="97" t="str">
        <f>IFERROR(__xludf.DUMMYFUNCTION("""COMPUTED_VALUE"""),"Closed")</f>
        <v>Closed</v>
      </c>
      <c r="AS225" s="95" t="str">
        <f>IFERROR(__xludf.DUMMYFUNCTION("""COMPUTED_VALUE"""),"Closed")</f>
        <v>Closed</v>
      </c>
      <c r="AT225" s="96" t="str">
        <f>IFERROR(__xludf.DUMMYFUNCTION("""COMPUTED_VALUE"""),"Closed")</f>
        <v>Closed</v>
      </c>
      <c r="AU225" s="97" t="str">
        <f>IFERROR(__xludf.DUMMYFUNCTION("""COMPUTED_VALUE"""),"Closed")</f>
        <v>Closed</v>
      </c>
      <c r="AV225" s="95" t="str">
        <f>IFERROR(__xludf.DUMMYFUNCTION("""COMPUTED_VALUE"""),"Closed")</f>
        <v>Closed</v>
      </c>
      <c r="AW225" s="96" t="str">
        <f>IFERROR(__xludf.DUMMYFUNCTION("""COMPUTED_VALUE"""),"Closed")</f>
        <v>Closed</v>
      </c>
      <c r="AX225" s="97" t="str">
        <f>IFERROR(__xludf.DUMMYFUNCTION("""COMPUTED_VALUE"""),"Closed")</f>
        <v>Closed</v>
      </c>
      <c r="AY225" s="95" t="str">
        <f>IFERROR(__xludf.DUMMYFUNCTION("""COMPUTED_VALUE"""),"Closed")</f>
        <v>Closed</v>
      </c>
      <c r="AZ225" s="96" t="str">
        <f>IFERROR(__xludf.DUMMYFUNCTION("""COMPUTED_VALUE"""),"Closed")</f>
        <v>Closed</v>
      </c>
      <c r="BA225" s="97" t="str">
        <f>IFERROR(__xludf.DUMMYFUNCTION("""COMPUTED_VALUE"""),"Closed")</f>
        <v>Closed</v>
      </c>
      <c r="BB225" s="95" t="str">
        <f>IFERROR(__xludf.DUMMYFUNCTION("""COMPUTED_VALUE"""),"Closed")</f>
        <v>Closed</v>
      </c>
      <c r="BC225" s="96" t="str">
        <f>IFERROR(__xludf.DUMMYFUNCTION("""COMPUTED_VALUE"""),"Closed")</f>
        <v>Closed</v>
      </c>
      <c r="BD225" s="97" t="str">
        <f>IFERROR(__xludf.DUMMYFUNCTION("""COMPUTED_VALUE"""),"Closed")</f>
        <v>Closed</v>
      </c>
      <c r="BE225" s="95" t="str">
        <f>IFERROR(__xludf.DUMMYFUNCTION("""COMPUTED_VALUE"""),"Closed")</f>
        <v>Closed</v>
      </c>
      <c r="BF225" s="96" t="str">
        <f>IFERROR(__xludf.DUMMYFUNCTION("""COMPUTED_VALUE"""),"Closed")</f>
        <v>Closed</v>
      </c>
      <c r="BG225" s="97" t="str">
        <f>IFERROR(__xludf.DUMMYFUNCTION("""COMPUTED_VALUE"""),"Closed")</f>
        <v>Closed</v>
      </c>
      <c r="BH225" s="95" t="str">
        <f>IFERROR(__xludf.DUMMYFUNCTION("""COMPUTED_VALUE"""),"Closed")</f>
        <v>Closed</v>
      </c>
      <c r="BI225" s="96" t="str">
        <f>IFERROR(__xludf.DUMMYFUNCTION("""COMPUTED_VALUE"""),"Closed")</f>
        <v>Closed</v>
      </c>
      <c r="BJ225" s="97" t="str">
        <f>IFERROR(__xludf.DUMMYFUNCTION("""COMPUTED_VALUE"""),"Closed")</f>
        <v>Closed</v>
      </c>
      <c r="BK225" s="95" t="str">
        <f>IFERROR(__xludf.DUMMYFUNCTION("""COMPUTED_VALUE"""),"Closed")</f>
        <v>Closed</v>
      </c>
      <c r="BL225" s="96" t="str">
        <f>IFERROR(__xludf.DUMMYFUNCTION("""COMPUTED_VALUE"""),"Closed")</f>
        <v>Closed</v>
      </c>
      <c r="BM225" s="97" t="str">
        <f>IFERROR(__xludf.DUMMYFUNCTION("""COMPUTED_VALUE"""),"Closed")</f>
        <v>Closed</v>
      </c>
      <c r="BN225" s="95" t="str">
        <f>IFERROR(__xludf.DUMMYFUNCTION("""COMPUTED_VALUE"""),"Closed")</f>
        <v>Closed</v>
      </c>
      <c r="BO225" s="96" t="str">
        <f>IFERROR(__xludf.DUMMYFUNCTION("""COMPUTED_VALUE"""),"Closed")</f>
        <v>Closed</v>
      </c>
      <c r="BP225" s="97" t="str">
        <f>IFERROR(__xludf.DUMMYFUNCTION("""COMPUTED_VALUE"""),"Closed")</f>
        <v>Closed</v>
      </c>
      <c r="BQ225" s="95" t="str">
        <f>IFERROR(__xludf.DUMMYFUNCTION("""COMPUTED_VALUE"""),"Closed")</f>
        <v>Closed</v>
      </c>
      <c r="BR225" s="96" t="str">
        <f>IFERROR(__xludf.DUMMYFUNCTION("""COMPUTED_VALUE"""),"Closed")</f>
        <v>Closed</v>
      </c>
      <c r="BS225" s="97" t="str">
        <f>IFERROR(__xludf.DUMMYFUNCTION("""COMPUTED_VALUE"""),"Closed")</f>
        <v>Closed</v>
      </c>
      <c r="BT225" s="95" t="str">
        <f>IFERROR(__xludf.DUMMYFUNCTION("""COMPUTED_VALUE"""),"Closed")</f>
        <v>Closed</v>
      </c>
      <c r="BU225" s="96" t="str">
        <f>IFERROR(__xludf.DUMMYFUNCTION("""COMPUTED_VALUE"""),"Closed")</f>
        <v>Closed</v>
      </c>
      <c r="BV225" s="97" t="str">
        <f>IFERROR(__xludf.DUMMYFUNCTION("""COMPUTED_VALUE"""),"Closed")</f>
        <v>Closed</v>
      </c>
      <c r="BW225" s="95" t="str">
        <f>IFERROR(__xludf.DUMMYFUNCTION("""COMPUTED_VALUE"""),"Closed")</f>
        <v>Closed</v>
      </c>
      <c r="BX225" s="96" t="str">
        <f>IFERROR(__xludf.DUMMYFUNCTION("""COMPUTED_VALUE"""),"Closed")</f>
        <v>Closed</v>
      </c>
      <c r="BY225" s="97" t="str">
        <f>IFERROR(__xludf.DUMMYFUNCTION("""COMPUTED_VALUE"""),"Closed")</f>
        <v>Closed</v>
      </c>
      <c r="BZ225" s="95" t="str">
        <f>IFERROR(__xludf.DUMMYFUNCTION("""COMPUTED_VALUE"""),"Closed")</f>
        <v>Closed</v>
      </c>
      <c r="CA225" s="96" t="str">
        <f>IFERROR(__xludf.DUMMYFUNCTION("""COMPUTED_VALUE"""),"Closed")</f>
        <v>Closed</v>
      </c>
      <c r="CB225" s="97" t="str">
        <f>IFERROR(__xludf.DUMMYFUNCTION("""COMPUTED_VALUE"""),"Closed")</f>
        <v>Closed</v>
      </c>
      <c r="CC225" s="95" t="str">
        <f>IFERROR(__xludf.DUMMYFUNCTION("""COMPUTED_VALUE"""),"Closed")</f>
        <v>Closed</v>
      </c>
      <c r="CD225" s="96" t="str">
        <f>IFERROR(__xludf.DUMMYFUNCTION("""COMPUTED_VALUE"""),"Closed")</f>
        <v>Closed</v>
      </c>
      <c r="CE225" s="97" t="str">
        <f>IFERROR(__xludf.DUMMYFUNCTION("""COMPUTED_VALUE"""),"Closed")</f>
        <v>Closed</v>
      </c>
      <c r="CF225" s="95" t="str">
        <f>IFERROR(__xludf.DUMMYFUNCTION("""COMPUTED_VALUE"""),"Closed")</f>
        <v>Closed</v>
      </c>
      <c r="CG225" s="96" t="str">
        <f>IFERROR(__xludf.DUMMYFUNCTION("""COMPUTED_VALUE"""),"Closed")</f>
        <v>Closed</v>
      </c>
      <c r="CH225" s="96" t="str">
        <f>IFERROR(__xludf.DUMMYFUNCTION("""COMPUTED_VALUE"""),"Closed")</f>
        <v>Closed</v>
      </c>
      <c r="CI225" s="95" t="str">
        <f>IFERROR(__xludf.DUMMYFUNCTION("""COMPUTED_VALUE"""),"Closed")</f>
        <v>Closed</v>
      </c>
      <c r="CJ225" s="96" t="str">
        <f>IFERROR(__xludf.DUMMYFUNCTION("""COMPUTED_VALUE"""),"Closed")</f>
        <v>Closed</v>
      </c>
      <c r="CK225" s="96" t="str">
        <f>IFERROR(__xludf.DUMMYFUNCTION("""COMPUTED_VALUE"""),"Closed")</f>
        <v>Closed</v>
      </c>
      <c r="CL225" s="95" t="str">
        <f>IFERROR(__xludf.DUMMYFUNCTION("""COMPUTED_VALUE"""),"Closed")</f>
        <v>Closed</v>
      </c>
      <c r="CM225" s="96" t="str">
        <f>IFERROR(__xludf.DUMMYFUNCTION("""COMPUTED_VALUE"""),"Closed")</f>
        <v>Closed</v>
      </c>
      <c r="CN225" s="96" t="str">
        <f>IFERROR(__xludf.DUMMYFUNCTION("""COMPUTED_VALUE"""),"Closed")</f>
        <v>Closed</v>
      </c>
      <c r="CO225" s="95" t="str">
        <f>IFERROR(__xludf.DUMMYFUNCTION("""COMPUTED_VALUE"""),"Closed")</f>
        <v>Closed</v>
      </c>
      <c r="CP225" s="96" t="str">
        <f>IFERROR(__xludf.DUMMYFUNCTION("""COMPUTED_VALUE"""),"Closed")</f>
        <v>Closed</v>
      </c>
      <c r="CQ225" s="96" t="str">
        <f>IFERROR(__xludf.DUMMYFUNCTION("""COMPUTED_VALUE"""),"Closed")</f>
        <v>Closed</v>
      </c>
      <c r="CR225" s="95" t="str">
        <f>IFERROR(__xludf.DUMMYFUNCTION("""COMPUTED_VALUE"""),"Closed")</f>
        <v>Closed</v>
      </c>
      <c r="CS225" s="96" t="str">
        <f>IFERROR(__xludf.DUMMYFUNCTION("""COMPUTED_VALUE"""),"Closed")</f>
        <v>Closed</v>
      </c>
      <c r="CT225" s="96" t="str">
        <f>IFERROR(__xludf.DUMMYFUNCTION("""COMPUTED_VALUE"""),"Closed")</f>
        <v>Closed</v>
      </c>
      <c r="CU225" s="95" t="str">
        <f>IFERROR(__xludf.DUMMYFUNCTION("""COMPUTED_VALUE"""),"Closed")</f>
        <v>Closed</v>
      </c>
      <c r="CV225" s="96" t="str">
        <f>IFERROR(__xludf.DUMMYFUNCTION("""COMPUTED_VALUE"""),"Closed")</f>
        <v>Closed</v>
      </c>
      <c r="CW225" s="97" t="str">
        <f>IFERROR(__xludf.DUMMYFUNCTION("""COMPUTED_VALUE"""),"Closed")</f>
        <v>Closed</v>
      </c>
      <c r="CX225" s="96" t="str">
        <f>IFERROR(__xludf.DUMMYFUNCTION("""COMPUTED_VALUE"""),"Closed")</f>
        <v>Closed</v>
      </c>
      <c r="CY225" s="96" t="str">
        <f>IFERROR(__xludf.DUMMYFUNCTION("""COMPUTED_VALUE"""),"Closed")</f>
        <v>Closed</v>
      </c>
      <c r="CZ225" s="97" t="str">
        <f>IFERROR(__xludf.DUMMYFUNCTION("""COMPUTED_VALUE"""),"Closed")</f>
        <v>Closed</v>
      </c>
      <c r="DA225" s="95" t="str">
        <f>IFERROR(__xludf.DUMMYFUNCTION("""COMPUTED_VALUE"""),"Closed")</f>
        <v>Closed</v>
      </c>
      <c r="DB225" s="96" t="str">
        <f>IFERROR(__xludf.DUMMYFUNCTION("""COMPUTED_VALUE"""),"Closed")</f>
        <v>Closed</v>
      </c>
      <c r="DC225" s="97" t="str">
        <f>IFERROR(__xludf.DUMMYFUNCTION("""COMPUTED_VALUE"""),"Closed")</f>
        <v>Closed</v>
      </c>
      <c r="DD225" s="95" t="str">
        <f>IFERROR(__xludf.DUMMYFUNCTION("""COMPUTED_VALUE"""),"Closed")</f>
        <v>Closed</v>
      </c>
      <c r="DE225" s="96" t="str">
        <f>IFERROR(__xludf.DUMMYFUNCTION("""COMPUTED_VALUE"""),"Closed")</f>
        <v>Closed</v>
      </c>
      <c r="DF225" s="97" t="str">
        <f>IFERROR(__xludf.DUMMYFUNCTION("""COMPUTED_VALUE"""),"Closed")</f>
        <v>Closed</v>
      </c>
      <c r="DG225" s="95" t="str">
        <f>IFERROR(__xludf.DUMMYFUNCTION("""COMPUTED_VALUE"""),"Closed")</f>
        <v>Closed</v>
      </c>
      <c r="DH225" s="96" t="str">
        <f>IFERROR(__xludf.DUMMYFUNCTION("""COMPUTED_VALUE"""),"Closed")</f>
        <v>Closed</v>
      </c>
      <c r="DI225" s="97" t="str">
        <f>IFERROR(__xludf.DUMMYFUNCTION("""COMPUTED_VALUE"""),"Closed")</f>
        <v>Closed</v>
      </c>
      <c r="DJ225" s="95" t="str">
        <f>IFERROR(__xludf.DUMMYFUNCTION("""COMPUTED_VALUE"""),"Closed")</f>
        <v>Closed</v>
      </c>
      <c r="DK225" s="96" t="str">
        <f>IFERROR(__xludf.DUMMYFUNCTION("""COMPUTED_VALUE"""),"Closed")</f>
        <v>Closed</v>
      </c>
      <c r="DL225" s="97" t="str">
        <f>IFERROR(__xludf.DUMMYFUNCTION("""COMPUTED_VALUE"""),"Closed")</f>
        <v>Closed</v>
      </c>
      <c r="DM225" s="95" t="str">
        <f>IFERROR(__xludf.DUMMYFUNCTION("""COMPUTED_VALUE"""),"Closed")</f>
        <v>Closed</v>
      </c>
      <c r="DN225" s="96" t="str">
        <f>IFERROR(__xludf.DUMMYFUNCTION("""COMPUTED_VALUE"""),"Closed")</f>
        <v>Closed</v>
      </c>
      <c r="DO225" s="97" t="str">
        <f>IFERROR(__xludf.DUMMYFUNCTION("""COMPUTED_VALUE"""),"Closed")</f>
        <v>Closed</v>
      </c>
      <c r="DP225" s="95" t="str">
        <f>IFERROR(__xludf.DUMMYFUNCTION("""COMPUTED_VALUE"""),"Closed")</f>
        <v>Closed</v>
      </c>
      <c r="DQ225" s="96" t="str">
        <f>IFERROR(__xludf.DUMMYFUNCTION("""COMPUTED_VALUE"""),"Closed")</f>
        <v>Closed</v>
      </c>
      <c r="DR225" s="97"/>
      <c r="DS225" s="95"/>
    </row>
    <row r="226">
      <c r="B226" s="180" t="str">
        <f>IFERROR(__xludf.DUMMYFUNCTION("""COMPUTED_VALUE"""),"YKS9")</f>
        <v>YKS9</v>
      </c>
      <c r="C226" s="88" t="str">
        <f>IFERROR(__xludf.DUMMYFUNCTION("""COMPUTED_VALUE"""),"Eternal Grounds")</f>
        <v>Eternal Grounds</v>
      </c>
      <c r="D226" s="102">
        <f>IFERROR(__xludf.DUMMYFUNCTION("""COMPUTED_VALUE"""),21.0)</f>
        <v>21</v>
      </c>
      <c r="E226" s="82" t="b">
        <f>IFERROR(__xludf.DUMMYFUNCTION("""COMPUTED_VALUE"""),FALSE)</f>
        <v>0</v>
      </c>
      <c r="F226" s="82" t="str">
        <f>IFERROR(__xludf.DUMMYFUNCTION("""COMPUTED_VALUE"""),"Free Quests- Part 2!A584:J594")</f>
        <v>Free Quests- Part 2!A584:J594</v>
      </c>
      <c r="G226" s="82">
        <f>IFERROR(__xludf.DUMMYFUNCTION("""COMPUTED_VALUE"""),226.0)</f>
        <v>226</v>
      </c>
      <c r="H226" s="82" t="str">
        <f>IFERROR(__xludf.DUMMYFUNCTION("""COMPUTED_VALUE"""),"Closed")</f>
        <v>Closed</v>
      </c>
      <c r="I226" s="95" t="str">
        <f>IFERROR(__xludf.DUMMYFUNCTION("""COMPUTED_VALUE"""),"Closed")</f>
        <v>Closed</v>
      </c>
      <c r="J226" s="96" t="str">
        <f>IFERROR(__xludf.DUMMYFUNCTION("""COMPUTED_VALUE"""),"Closed")</f>
        <v>Closed</v>
      </c>
      <c r="K226" s="97" t="str">
        <f>IFERROR(__xludf.DUMMYFUNCTION("""COMPUTED_VALUE"""),"Closed")</f>
        <v>Closed</v>
      </c>
      <c r="L226" s="95" t="str">
        <f>IFERROR(__xludf.DUMMYFUNCTION("""COMPUTED_VALUE"""),"Closed")</f>
        <v>Closed</v>
      </c>
      <c r="M226" s="96" t="str">
        <f>IFERROR(__xludf.DUMMYFUNCTION("""COMPUTED_VALUE"""),"Closed")</f>
        <v>Closed</v>
      </c>
      <c r="N226" s="97" t="str">
        <f>IFERROR(__xludf.DUMMYFUNCTION("""COMPUTED_VALUE"""),"Closed")</f>
        <v>Closed</v>
      </c>
      <c r="O226" s="95" t="str">
        <f>IFERROR(__xludf.DUMMYFUNCTION("""COMPUTED_VALUE"""),"Closed")</f>
        <v>Closed</v>
      </c>
      <c r="P226" s="96" t="str">
        <f>IFERROR(__xludf.DUMMYFUNCTION("""COMPUTED_VALUE"""),"Closed")</f>
        <v>Closed</v>
      </c>
      <c r="Q226" s="97" t="str">
        <f>IFERROR(__xludf.DUMMYFUNCTION("""COMPUTED_VALUE"""),"Closed")</f>
        <v>Closed</v>
      </c>
      <c r="R226" s="95" t="str">
        <f>IFERROR(__xludf.DUMMYFUNCTION("""COMPUTED_VALUE"""),"Closed")</f>
        <v>Closed</v>
      </c>
      <c r="S226" s="96" t="str">
        <f>IFERROR(__xludf.DUMMYFUNCTION("""COMPUTED_VALUE"""),"Closed")</f>
        <v>Closed</v>
      </c>
      <c r="T226" s="97" t="str">
        <f>IFERROR(__xludf.DUMMYFUNCTION("""COMPUTED_VALUE"""),"Closed")</f>
        <v>Closed</v>
      </c>
      <c r="U226" s="95" t="str">
        <f>IFERROR(__xludf.DUMMYFUNCTION("""COMPUTED_VALUE"""),"Closed")</f>
        <v>Closed</v>
      </c>
      <c r="V226" s="96" t="str">
        <f>IFERROR(__xludf.DUMMYFUNCTION("""COMPUTED_VALUE"""),"Closed")</f>
        <v>Closed</v>
      </c>
      <c r="W226" s="97" t="str">
        <f>IFERROR(__xludf.DUMMYFUNCTION("""COMPUTED_VALUE"""),"Closed")</f>
        <v>Closed</v>
      </c>
      <c r="X226" s="95" t="str">
        <f>IFERROR(__xludf.DUMMYFUNCTION("""COMPUTED_VALUE"""),"Closed")</f>
        <v>Closed</v>
      </c>
      <c r="Y226" s="96" t="str">
        <f>IFERROR(__xludf.DUMMYFUNCTION("""COMPUTED_VALUE"""),"Closed")</f>
        <v>Closed</v>
      </c>
      <c r="Z226" s="97" t="str">
        <f>IFERROR(__xludf.DUMMYFUNCTION("""COMPUTED_VALUE"""),"Closed")</f>
        <v>Closed</v>
      </c>
      <c r="AA226" s="95" t="str">
        <f>IFERROR(__xludf.DUMMYFUNCTION("""COMPUTED_VALUE"""),"Closed")</f>
        <v>Closed</v>
      </c>
      <c r="AB226" s="96" t="str">
        <f>IFERROR(__xludf.DUMMYFUNCTION("""COMPUTED_VALUE"""),"Closed")</f>
        <v>Closed</v>
      </c>
      <c r="AC226" s="97" t="str">
        <f>IFERROR(__xludf.DUMMYFUNCTION("""COMPUTED_VALUE"""),"Closed")</f>
        <v>Closed</v>
      </c>
      <c r="AD226" s="95" t="str">
        <f>IFERROR(__xludf.DUMMYFUNCTION("""COMPUTED_VALUE"""),"Closed")</f>
        <v>Closed</v>
      </c>
      <c r="AE226" s="96" t="str">
        <f>IFERROR(__xludf.DUMMYFUNCTION("""COMPUTED_VALUE"""),"Closed")</f>
        <v>Closed</v>
      </c>
      <c r="AF226" s="97" t="str">
        <f>IFERROR(__xludf.DUMMYFUNCTION("""COMPUTED_VALUE"""),"Closed")</f>
        <v>Closed</v>
      </c>
      <c r="AG226" s="95" t="str">
        <f>IFERROR(__xludf.DUMMYFUNCTION("""COMPUTED_VALUE"""),"Closed")</f>
        <v>Closed</v>
      </c>
      <c r="AH226" s="96" t="str">
        <f>IFERROR(__xludf.DUMMYFUNCTION("""COMPUTED_VALUE"""),"Closed")</f>
        <v>Closed</v>
      </c>
      <c r="AI226" s="97" t="str">
        <f>IFERROR(__xludf.DUMMYFUNCTION("""COMPUTED_VALUE"""),"Closed")</f>
        <v>Closed</v>
      </c>
      <c r="AJ226" s="95" t="str">
        <f>IFERROR(__xludf.DUMMYFUNCTION("""COMPUTED_VALUE"""),"Closed")</f>
        <v>Closed</v>
      </c>
      <c r="AK226" s="96" t="str">
        <f>IFERROR(__xludf.DUMMYFUNCTION("""COMPUTED_VALUE"""),"Closed")</f>
        <v>Closed</v>
      </c>
      <c r="AL226" s="97" t="str">
        <f>IFERROR(__xludf.DUMMYFUNCTION("""COMPUTED_VALUE"""),"Closed")</f>
        <v>Closed</v>
      </c>
      <c r="AM226" s="95" t="str">
        <f>IFERROR(__xludf.DUMMYFUNCTION("""COMPUTED_VALUE"""),"Closed")</f>
        <v>Closed</v>
      </c>
      <c r="AN226" s="96" t="str">
        <f>IFERROR(__xludf.DUMMYFUNCTION("""COMPUTED_VALUE"""),"Closed")</f>
        <v>Closed</v>
      </c>
      <c r="AO226" s="97" t="str">
        <f>IFERROR(__xludf.DUMMYFUNCTION("""COMPUTED_VALUE"""),"Closed")</f>
        <v>Closed</v>
      </c>
      <c r="AP226" s="95" t="str">
        <f>IFERROR(__xludf.DUMMYFUNCTION("""COMPUTED_VALUE"""),"Closed")</f>
        <v>Closed</v>
      </c>
      <c r="AQ226" s="96" t="str">
        <f>IFERROR(__xludf.DUMMYFUNCTION("""COMPUTED_VALUE"""),"Closed")</f>
        <v>Closed</v>
      </c>
      <c r="AR226" s="97" t="str">
        <f>IFERROR(__xludf.DUMMYFUNCTION("""COMPUTED_VALUE"""),"Closed")</f>
        <v>Closed</v>
      </c>
      <c r="AS226" s="95" t="str">
        <f>IFERROR(__xludf.DUMMYFUNCTION("""COMPUTED_VALUE"""),"Closed")</f>
        <v>Closed</v>
      </c>
      <c r="AT226" s="96" t="str">
        <f>IFERROR(__xludf.DUMMYFUNCTION("""COMPUTED_VALUE"""),"Closed")</f>
        <v>Closed</v>
      </c>
      <c r="AU226" s="97" t="str">
        <f>IFERROR(__xludf.DUMMYFUNCTION("""COMPUTED_VALUE"""),"Closed")</f>
        <v>Closed</v>
      </c>
      <c r="AV226" s="95" t="str">
        <f>IFERROR(__xludf.DUMMYFUNCTION("""COMPUTED_VALUE"""),"Closed")</f>
        <v>Closed</v>
      </c>
      <c r="AW226" s="96" t="str">
        <f>IFERROR(__xludf.DUMMYFUNCTION("""COMPUTED_VALUE"""),"Closed")</f>
        <v>Closed</v>
      </c>
      <c r="AX226" s="97" t="str">
        <f>IFERROR(__xludf.DUMMYFUNCTION("""COMPUTED_VALUE"""),"Closed")</f>
        <v>Closed</v>
      </c>
      <c r="AY226" s="95" t="str">
        <f>IFERROR(__xludf.DUMMYFUNCTION("""COMPUTED_VALUE"""),"Closed")</f>
        <v>Closed</v>
      </c>
      <c r="AZ226" s="96" t="str">
        <f>IFERROR(__xludf.DUMMYFUNCTION("""COMPUTED_VALUE"""),"Closed")</f>
        <v>Closed</v>
      </c>
      <c r="BA226" s="97" t="str">
        <f>IFERROR(__xludf.DUMMYFUNCTION("""COMPUTED_VALUE"""),"Closed")</f>
        <v>Closed</v>
      </c>
      <c r="BB226" s="95" t="str">
        <f>IFERROR(__xludf.DUMMYFUNCTION("""COMPUTED_VALUE"""),"Closed")</f>
        <v>Closed</v>
      </c>
      <c r="BC226" s="96" t="str">
        <f>IFERROR(__xludf.DUMMYFUNCTION("""COMPUTED_VALUE"""),"Closed")</f>
        <v>Closed</v>
      </c>
      <c r="BD226" s="97" t="str">
        <f>IFERROR(__xludf.DUMMYFUNCTION("""COMPUTED_VALUE"""),"Closed")</f>
        <v>Closed</v>
      </c>
      <c r="BE226" s="95" t="str">
        <f>IFERROR(__xludf.DUMMYFUNCTION("""COMPUTED_VALUE"""),"Closed")</f>
        <v>Closed</v>
      </c>
      <c r="BF226" s="96" t="str">
        <f>IFERROR(__xludf.DUMMYFUNCTION("""COMPUTED_VALUE"""),"Closed")</f>
        <v>Closed</v>
      </c>
      <c r="BG226" s="97" t="str">
        <f>IFERROR(__xludf.DUMMYFUNCTION("""COMPUTED_VALUE"""),"Closed")</f>
        <v>Closed</v>
      </c>
      <c r="BH226" s="95" t="str">
        <f>IFERROR(__xludf.DUMMYFUNCTION("""COMPUTED_VALUE"""),"Closed")</f>
        <v>Closed</v>
      </c>
      <c r="BI226" s="96" t="str">
        <f>IFERROR(__xludf.DUMMYFUNCTION("""COMPUTED_VALUE"""),"Closed")</f>
        <v>Closed</v>
      </c>
      <c r="BJ226" s="97" t="str">
        <f>IFERROR(__xludf.DUMMYFUNCTION("""COMPUTED_VALUE"""),"Closed")</f>
        <v>Closed</v>
      </c>
      <c r="BK226" s="95" t="str">
        <f>IFERROR(__xludf.DUMMYFUNCTION("""COMPUTED_VALUE"""),"Closed")</f>
        <v>Closed</v>
      </c>
      <c r="BL226" s="96" t="str">
        <f>IFERROR(__xludf.DUMMYFUNCTION("""COMPUTED_VALUE"""),"Closed")</f>
        <v>Closed</v>
      </c>
      <c r="BM226" s="97" t="str">
        <f>IFERROR(__xludf.DUMMYFUNCTION("""COMPUTED_VALUE"""),"Closed")</f>
        <v>Closed</v>
      </c>
      <c r="BN226" s="95" t="str">
        <f>IFERROR(__xludf.DUMMYFUNCTION("""COMPUTED_VALUE"""),"Closed")</f>
        <v>Closed</v>
      </c>
      <c r="BO226" s="96" t="str">
        <f>IFERROR(__xludf.DUMMYFUNCTION("""COMPUTED_VALUE"""),"Closed")</f>
        <v>Closed</v>
      </c>
      <c r="BP226" s="97" t="str">
        <f>IFERROR(__xludf.DUMMYFUNCTION("""COMPUTED_VALUE"""),"Closed")</f>
        <v>Closed</v>
      </c>
      <c r="BQ226" s="95" t="str">
        <f>IFERROR(__xludf.DUMMYFUNCTION("""COMPUTED_VALUE"""),"Closed")</f>
        <v>Closed</v>
      </c>
      <c r="BR226" s="96" t="str">
        <f>IFERROR(__xludf.DUMMYFUNCTION("""COMPUTED_VALUE"""),"Closed")</f>
        <v>Closed</v>
      </c>
      <c r="BS226" s="97" t="str">
        <f>IFERROR(__xludf.DUMMYFUNCTION("""COMPUTED_VALUE"""),"Closed")</f>
        <v>Closed</v>
      </c>
      <c r="BT226" s="95" t="str">
        <f>IFERROR(__xludf.DUMMYFUNCTION("""COMPUTED_VALUE"""),"Closed")</f>
        <v>Closed</v>
      </c>
      <c r="BU226" s="96" t="str">
        <f>IFERROR(__xludf.DUMMYFUNCTION("""COMPUTED_VALUE"""),"Closed")</f>
        <v>Closed</v>
      </c>
      <c r="BV226" s="97" t="str">
        <f>IFERROR(__xludf.DUMMYFUNCTION("""COMPUTED_VALUE"""),"Closed")</f>
        <v>Closed</v>
      </c>
      <c r="BW226" s="95" t="str">
        <f>IFERROR(__xludf.DUMMYFUNCTION("""COMPUTED_VALUE"""),"Closed")</f>
        <v>Closed</v>
      </c>
      <c r="BX226" s="96" t="str">
        <f>IFERROR(__xludf.DUMMYFUNCTION("""COMPUTED_VALUE"""),"Closed")</f>
        <v>Closed</v>
      </c>
      <c r="BY226" s="97" t="str">
        <f>IFERROR(__xludf.DUMMYFUNCTION("""COMPUTED_VALUE"""),"Closed")</f>
        <v>Closed</v>
      </c>
      <c r="BZ226" s="95" t="str">
        <f>IFERROR(__xludf.DUMMYFUNCTION("""COMPUTED_VALUE"""),"Closed")</f>
        <v>Closed</v>
      </c>
      <c r="CA226" s="96" t="str">
        <f>IFERROR(__xludf.DUMMYFUNCTION("""COMPUTED_VALUE"""),"Closed")</f>
        <v>Closed</v>
      </c>
      <c r="CB226" s="97" t="str">
        <f>IFERROR(__xludf.DUMMYFUNCTION("""COMPUTED_VALUE"""),"Closed")</f>
        <v>Closed</v>
      </c>
      <c r="CC226" s="95" t="str">
        <f>IFERROR(__xludf.DUMMYFUNCTION("""COMPUTED_VALUE"""),"Closed")</f>
        <v>Closed</v>
      </c>
      <c r="CD226" s="96" t="str">
        <f>IFERROR(__xludf.DUMMYFUNCTION("""COMPUTED_VALUE"""),"Closed")</f>
        <v>Closed</v>
      </c>
      <c r="CE226" s="97" t="str">
        <f>IFERROR(__xludf.DUMMYFUNCTION("""COMPUTED_VALUE"""),"Closed")</f>
        <v>Closed</v>
      </c>
      <c r="CF226" s="95" t="str">
        <f>IFERROR(__xludf.DUMMYFUNCTION("""COMPUTED_VALUE"""),"Closed")</f>
        <v>Closed</v>
      </c>
      <c r="CG226" s="96" t="str">
        <f>IFERROR(__xludf.DUMMYFUNCTION("""COMPUTED_VALUE"""),"Closed")</f>
        <v>Closed</v>
      </c>
      <c r="CH226" s="96" t="str">
        <f>IFERROR(__xludf.DUMMYFUNCTION("""COMPUTED_VALUE"""),"Closed")</f>
        <v>Closed</v>
      </c>
      <c r="CI226" s="95" t="str">
        <f>IFERROR(__xludf.DUMMYFUNCTION("""COMPUTED_VALUE"""),"Closed")</f>
        <v>Closed</v>
      </c>
      <c r="CJ226" s="96" t="str">
        <f>IFERROR(__xludf.DUMMYFUNCTION("""COMPUTED_VALUE"""),"Closed")</f>
        <v>Closed</v>
      </c>
      <c r="CK226" s="96" t="str">
        <f>IFERROR(__xludf.DUMMYFUNCTION("""COMPUTED_VALUE"""),"Closed")</f>
        <v>Closed</v>
      </c>
      <c r="CL226" s="95" t="str">
        <f>IFERROR(__xludf.DUMMYFUNCTION("""COMPUTED_VALUE"""),"Closed")</f>
        <v>Closed</v>
      </c>
      <c r="CM226" s="96" t="str">
        <f>IFERROR(__xludf.DUMMYFUNCTION("""COMPUTED_VALUE"""),"Closed")</f>
        <v>Closed</v>
      </c>
      <c r="CN226" s="96" t="str">
        <f>IFERROR(__xludf.DUMMYFUNCTION("""COMPUTED_VALUE"""),"Closed")</f>
        <v>Closed</v>
      </c>
      <c r="CO226" s="95" t="str">
        <f>IFERROR(__xludf.DUMMYFUNCTION("""COMPUTED_VALUE"""),"Closed")</f>
        <v>Closed</v>
      </c>
      <c r="CP226" s="96" t="str">
        <f>IFERROR(__xludf.DUMMYFUNCTION("""COMPUTED_VALUE"""),"Closed")</f>
        <v>Closed</v>
      </c>
      <c r="CQ226" s="96" t="str">
        <f>IFERROR(__xludf.DUMMYFUNCTION("""COMPUTED_VALUE"""),"Closed")</f>
        <v>Closed</v>
      </c>
      <c r="CR226" s="95" t="str">
        <f>IFERROR(__xludf.DUMMYFUNCTION("""COMPUTED_VALUE"""),"Closed")</f>
        <v>Closed</v>
      </c>
      <c r="CS226" s="96" t="str">
        <f>IFERROR(__xludf.DUMMYFUNCTION("""COMPUTED_VALUE"""),"Closed")</f>
        <v>Closed</v>
      </c>
      <c r="CT226" s="96" t="str">
        <f>IFERROR(__xludf.DUMMYFUNCTION("""COMPUTED_VALUE"""),"Closed")</f>
        <v>Closed</v>
      </c>
      <c r="CU226" s="95" t="str">
        <f>IFERROR(__xludf.DUMMYFUNCTION("""COMPUTED_VALUE"""),"Closed")</f>
        <v>Closed</v>
      </c>
      <c r="CV226" s="96" t="str">
        <f>IFERROR(__xludf.DUMMYFUNCTION("""COMPUTED_VALUE"""),"Closed")</f>
        <v>Closed</v>
      </c>
      <c r="CW226" s="97" t="str">
        <f>IFERROR(__xludf.DUMMYFUNCTION("""COMPUTED_VALUE"""),"Closed")</f>
        <v>Closed</v>
      </c>
      <c r="CX226" s="96" t="str">
        <f>IFERROR(__xludf.DUMMYFUNCTION("""COMPUTED_VALUE"""),"Closed")</f>
        <v>Closed</v>
      </c>
      <c r="CY226" s="96" t="str">
        <f>IFERROR(__xludf.DUMMYFUNCTION("""COMPUTED_VALUE"""),"Closed")</f>
        <v>Closed</v>
      </c>
      <c r="CZ226" s="97" t="str">
        <f>IFERROR(__xludf.DUMMYFUNCTION("""COMPUTED_VALUE"""),"Closed")</f>
        <v>Closed</v>
      </c>
      <c r="DA226" s="95" t="str">
        <f>IFERROR(__xludf.DUMMYFUNCTION("""COMPUTED_VALUE"""),"Closed")</f>
        <v>Closed</v>
      </c>
      <c r="DB226" s="96" t="str">
        <f>IFERROR(__xludf.DUMMYFUNCTION("""COMPUTED_VALUE"""),"Closed")</f>
        <v>Closed</v>
      </c>
      <c r="DC226" s="97" t="str">
        <f>IFERROR(__xludf.DUMMYFUNCTION("""COMPUTED_VALUE"""),"Closed")</f>
        <v>Closed</v>
      </c>
      <c r="DD226" s="95" t="str">
        <f>IFERROR(__xludf.DUMMYFUNCTION("""COMPUTED_VALUE"""),"Closed")</f>
        <v>Closed</v>
      </c>
      <c r="DE226" s="96" t="str">
        <f>IFERROR(__xludf.DUMMYFUNCTION("""COMPUTED_VALUE"""),"Closed")</f>
        <v>Closed</v>
      </c>
      <c r="DF226" s="97" t="str">
        <f>IFERROR(__xludf.DUMMYFUNCTION("""COMPUTED_VALUE"""),"Closed")</f>
        <v>Closed</v>
      </c>
      <c r="DG226" s="95" t="str">
        <f>IFERROR(__xludf.DUMMYFUNCTION("""COMPUTED_VALUE"""),"Closed")</f>
        <v>Closed</v>
      </c>
      <c r="DH226" s="96" t="str">
        <f>IFERROR(__xludf.DUMMYFUNCTION("""COMPUTED_VALUE"""),"Closed")</f>
        <v>Closed</v>
      </c>
      <c r="DI226" s="97" t="str">
        <f>IFERROR(__xludf.DUMMYFUNCTION("""COMPUTED_VALUE"""),"Closed")</f>
        <v>Closed</v>
      </c>
      <c r="DJ226" s="95" t="str">
        <f>IFERROR(__xludf.DUMMYFUNCTION("""COMPUTED_VALUE"""),"Closed")</f>
        <v>Closed</v>
      </c>
      <c r="DK226" s="96" t="str">
        <f>IFERROR(__xludf.DUMMYFUNCTION("""COMPUTED_VALUE"""),"Closed")</f>
        <v>Closed</v>
      </c>
      <c r="DL226" s="97" t="str">
        <f>IFERROR(__xludf.DUMMYFUNCTION("""COMPUTED_VALUE"""),"Closed")</f>
        <v>Closed</v>
      </c>
      <c r="DM226" s="95" t="str">
        <f>IFERROR(__xludf.DUMMYFUNCTION("""COMPUTED_VALUE"""),"Closed")</f>
        <v>Closed</v>
      </c>
      <c r="DN226" s="96" t="str">
        <f>IFERROR(__xludf.DUMMYFUNCTION("""COMPUTED_VALUE"""),"Closed")</f>
        <v>Closed</v>
      </c>
      <c r="DO226" s="97" t="str">
        <f>IFERROR(__xludf.DUMMYFUNCTION("""COMPUTED_VALUE"""),"Closed")</f>
        <v>Closed</v>
      </c>
      <c r="DP226" s="95" t="str">
        <f>IFERROR(__xludf.DUMMYFUNCTION("""COMPUTED_VALUE"""),"Closed")</f>
        <v>Closed</v>
      </c>
      <c r="DQ226" s="96" t="str">
        <f>IFERROR(__xludf.DUMMYFUNCTION("""COMPUTED_VALUE"""),"Closed")</f>
        <v>Closed</v>
      </c>
      <c r="DR226" s="97"/>
      <c r="DS226" s="95"/>
    </row>
    <row r="227">
      <c r="B227" s="180" t="str">
        <f>IFERROR(__xludf.DUMMYFUNCTION("""COMPUTED_VALUE"""),"YKS10")</f>
        <v>YKS10</v>
      </c>
      <c r="C227" s="88" t="str">
        <f>IFERROR(__xludf.DUMMYFUNCTION("""COMPUTED_VALUE"""),"Eastern Flower Garden")</f>
        <v>Eastern Flower Garden</v>
      </c>
      <c r="D227" s="102">
        <f>IFERROR(__xludf.DUMMYFUNCTION("""COMPUTED_VALUE"""),21.0)</f>
        <v>21</v>
      </c>
      <c r="E227" s="82" t="b">
        <f>IFERROR(__xludf.DUMMYFUNCTION("""COMPUTED_VALUE"""),FALSE)</f>
        <v>0</v>
      </c>
      <c r="F227" s="82" t="str">
        <f>IFERROR(__xludf.DUMMYFUNCTION("""COMPUTED_VALUE"""),"Free Quests- Part 2!A598:J604")</f>
        <v>Free Quests- Part 2!A598:J604</v>
      </c>
      <c r="G227" s="82">
        <f>IFERROR(__xludf.DUMMYFUNCTION("""COMPUTED_VALUE"""),227.0)</f>
        <v>227</v>
      </c>
      <c r="H227" s="82" t="str">
        <f>IFERROR(__xludf.DUMMYFUNCTION("""COMPUTED_VALUE"""),"Closed")</f>
        <v>Closed</v>
      </c>
      <c r="I227" s="95" t="str">
        <f>IFERROR(__xludf.DUMMYFUNCTION("""COMPUTED_VALUE"""),"Closed")</f>
        <v>Closed</v>
      </c>
      <c r="J227" s="96" t="str">
        <f>IFERROR(__xludf.DUMMYFUNCTION("""COMPUTED_VALUE"""),"Closed")</f>
        <v>Closed</v>
      </c>
      <c r="K227" s="97" t="str">
        <f>IFERROR(__xludf.DUMMYFUNCTION("""COMPUTED_VALUE"""),"Closed")</f>
        <v>Closed</v>
      </c>
      <c r="L227" s="95" t="str">
        <f>IFERROR(__xludf.DUMMYFUNCTION("""COMPUTED_VALUE"""),"Closed")</f>
        <v>Closed</v>
      </c>
      <c r="M227" s="96" t="str">
        <f>IFERROR(__xludf.DUMMYFUNCTION("""COMPUTED_VALUE"""),"Closed")</f>
        <v>Closed</v>
      </c>
      <c r="N227" s="97" t="str">
        <f>IFERROR(__xludf.DUMMYFUNCTION("""COMPUTED_VALUE"""),"Closed")</f>
        <v>Closed</v>
      </c>
      <c r="O227" s="95" t="str">
        <f>IFERROR(__xludf.DUMMYFUNCTION("""COMPUTED_VALUE"""),"Closed")</f>
        <v>Closed</v>
      </c>
      <c r="P227" s="96" t="str">
        <f>IFERROR(__xludf.DUMMYFUNCTION("""COMPUTED_VALUE"""),"Closed")</f>
        <v>Closed</v>
      </c>
      <c r="Q227" s="97" t="str">
        <f>IFERROR(__xludf.DUMMYFUNCTION("""COMPUTED_VALUE"""),"Closed")</f>
        <v>Closed</v>
      </c>
      <c r="R227" s="95" t="str">
        <f>IFERROR(__xludf.DUMMYFUNCTION("""COMPUTED_VALUE"""),"Closed")</f>
        <v>Closed</v>
      </c>
      <c r="S227" s="96" t="str">
        <f>IFERROR(__xludf.DUMMYFUNCTION("""COMPUTED_VALUE"""),"Closed")</f>
        <v>Closed</v>
      </c>
      <c r="T227" s="97" t="str">
        <f>IFERROR(__xludf.DUMMYFUNCTION("""COMPUTED_VALUE"""),"Closed")</f>
        <v>Closed</v>
      </c>
      <c r="U227" s="95" t="str">
        <f>IFERROR(__xludf.DUMMYFUNCTION("""COMPUTED_VALUE"""),"Closed")</f>
        <v>Closed</v>
      </c>
      <c r="V227" s="96" t="str">
        <f>IFERROR(__xludf.DUMMYFUNCTION("""COMPUTED_VALUE"""),"Closed")</f>
        <v>Closed</v>
      </c>
      <c r="W227" s="97" t="str">
        <f>IFERROR(__xludf.DUMMYFUNCTION("""COMPUTED_VALUE"""),"Closed")</f>
        <v>Closed</v>
      </c>
      <c r="X227" s="95" t="str">
        <f>IFERROR(__xludf.DUMMYFUNCTION("""COMPUTED_VALUE"""),"Closed")</f>
        <v>Closed</v>
      </c>
      <c r="Y227" s="96" t="str">
        <f>IFERROR(__xludf.DUMMYFUNCTION("""COMPUTED_VALUE"""),"Closed")</f>
        <v>Closed</v>
      </c>
      <c r="Z227" s="97" t="str">
        <f>IFERROR(__xludf.DUMMYFUNCTION("""COMPUTED_VALUE"""),"Closed")</f>
        <v>Closed</v>
      </c>
      <c r="AA227" s="95" t="str">
        <f>IFERROR(__xludf.DUMMYFUNCTION("""COMPUTED_VALUE"""),"Closed")</f>
        <v>Closed</v>
      </c>
      <c r="AB227" s="96" t="str">
        <f>IFERROR(__xludf.DUMMYFUNCTION("""COMPUTED_VALUE"""),"Closed")</f>
        <v>Closed</v>
      </c>
      <c r="AC227" s="97" t="str">
        <f>IFERROR(__xludf.DUMMYFUNCTION("""COMPUTED_VALUE"""),"Closed")</f>
        <v>Closed</v>
      </c>
      <c r="AD227" s="95" t="str">
        <f>IFERROR(__xludf.DUMMYFUNCTION("""COMPUTED_VALUE"""),"Closed")</f>
        <v>Closed</v>
      </c>
      <c r="AE227" s="96" t="str">
        <f>IFERROR(__xludf.DUMMYFUNCTION("""COMPUTED_VALUE"""),"Closed")</f>
        <v>Closed</v>
      </c>
      <c r="AF227" s="97" t="str">
        <f>IFERROR(__xludf.DUMMYFUNCTION("""COMPUTED_VALUE"""),"Closed")</f>
        <v>Closed</v>
      </c>
      <c r="AG227" s="95" t="str">
        <f>IFERROR(__xludf.DUMMYFUNCTION("""COMPUTED_VALUE"""),"Closed")</f>
        <v>Closed</v>
      </c>
      <c r="AH227" s="96" t="str">
        <f>IFERROR(__xludf.DUMMYFUNCTION("""COMPUTED_VALUE"""),"Closed")</f>
        <v>Closed</v>
      </c>
      <c r="AI227" s="97" t="str">
        <f>IFERROR(__xludf.DUMMYFUNCTION("""COMPUTED_VALUE"""),"Closed")</f>
        <v>Closed</v>
      </c>
      <c r="AJ227" s="95" t="str">
        <f>IFERROR(__xludf.DUMMYFUNCTION("""COMPUTED_VALUE"""),"Closed")</f>
        <v>Closed</v>
      </c>
      <c r="AK227" s="96" t="str">
        <f>IFERROR(__xludf.DUMMYFUNCTION("""COMPUTED_VALUE"""),"Closed")</f>
        <v>Closed</v>
      </c>
      <c r="AL227" s="97" t="str">
        <f>IFERROR(__xludf.DUMMYFUNCTION("""COMPUTED_VALUE"""),"Closed")</f>
        <v>Closed</v>
      </c>
      <c r="AM227" s="95" t="str">
        <f>IFERROR(__xludf.DUMMYFUNCTION("""COMPUTED_VALUE"""),"Closed")</f>
        <v>Closed</v>
      </c>
      <c r="AN227" s="96" t="str">
        <f>IFERROR(__xludf.DUMMYFUNCTION("""COMPUTED_VALUE"""),"Closed")</f>
        <v>Closed</v>
      </c>
      <c r="AO227" s="97" t="str">
        <f>IFERROR(__xludf.DUMMYFUNCTION("""COMPUTED_VALUE"""),"Closed")</f>
        <v>Closed</v>
      </c>
      <c r="AP227" s="95" t="str">
        <f>IFERROR(__xludf.DUMMYFUNCTION("""COMPUTED_VALUE"""),"Closed")</f>
        <v>Closed</v>
      </c>
      <c r="AQ227" s="96" t="str">
        <f>IFERROR(__xludf.DUMMYFUNCTION("""COMPUTED_VALUE"""),"Closed")</f>
        <v>Closed</v>
      </c>
      <c r="AR227" s="97" t="str">
        <f>IFERROR(__xludf.DUMMYFUNCTION("""COMPUTED_VALUE"""),"Closed")</f>
        <v>Closed</v>
      </c>
      <c r="AS227" s="95" t="str">
        <f>IFERROR(__xludf.DUMMYFUNCTION("""COMPUTED_VALUE"""),"Closed")</f>
        <v>Closed</v>
      </c>
      <c r="AT227" s="96" t="str">
        <f>IFERROR(__xludf.DUMMYFUNCTION("""COMPUTED_VALUE"""),"Closed")</f>
        <v>Closed</v>
      </c>
      <c r="AU227" s="97" t="str">
        <f>IFERROR(__xludf.DUMMYFUNCTION("""COMPUTED_VALUE"""),"Closed")</f>
        <v>Closed</v>
      </c>
      <c r="AV227" s="95" t="str">
        <f>IFERROR(__xludf.DUMMYFUNCTION("""COMPUTED_VALUE"""),"Closed")</f>
        <v>Closed</v>
      </c>
      <c r="AW227" s="96" t="str">
        <f>IFERROR(__xludf.DUMMYFUNCTION("""COMPUTED_VALUE"""),"Closed")</f>
        <v>Closed</v>
      </c>
      <c r="AX227" s="97" t="str">
        <f>IFERROR(__xludf.DUMMYFUNCTION("""COMPUTED_VALUE"""),"Closed")</f>
        <v>Closed</v>
      </c>
      <c r="AY227" s="95" t="str">
        <f>IFERROR(__xludf.DUMMYFUNCTION("""COMPUTED_VALUE"""),"Closed")</f>
        <v>Closed</v>
      </c>
      <c r="AZ227" s="96" t="str">
        <f>IFERROR(__xludf.DUMMYFUNCTION("""COMPUTED_VALUE"""),"Closed")</f>
        <v>Closed</v>
      </c>
      <c r="BA227" s="97" t="str">
        <f>IFERROR(__xludf.DUMMYFUNCTION("""COMPUTED_VALUE"""),"Closed")</f>
        <v>Closed</v>
      </c>
      <c r="BB227" s="95" t="str">
        <f>IFERROR(__xludf.DUMMYFUNCTION("""COMPUTED_VALUE"""),"Closed")</f>
        <v>Closed</v>
      </c>
      <c r="BC227" s="96" t="str">
        <f>IFERROR(__xludf.DUMMYFUNCTION("""COMPUTED_VALUE"""),"Closed")</f>
        <v>Closed</v>
      </c>
      <c r="BD227" s="97" t="str">
        <f>IFERROR(__xludf.DUMMYFUNCTION("""COMPUTED_VALUE"""),"Closed")</f>
        <v>Closed</v>
      </c>
      <c r="BE227" s="95" t="str">
        <f>IFERROR(__xludf.DUMMYFUNCTION("""COMPUTED_VALUE"""),"Closed")</f>
        <v>Closed</v>
      </c>
      <c r="BF227" s="96" t="str">
        <f>IFERROR(__xludf.DUMMYFUNCTION("""COMPUTED_VALUE"""),"Closed")</f>
        <v>Closed</v>
      </c>
      <c r="BG227" s="97" t="str">
        <f>IFERROR(__xludf.DUMMYFUNCTION("""COMPUTED_VALUE"""),"Closed")</f>
        <v>Closed</v>
      </c>
      <c r="BH227" s="95" t="str">
        <f>IFERROR(__xludf.DUMMYFUNCTION("""COMPUTED_VALUE"""),"Closed")</f>
        <v>Closed</v>
      </c>
      <c r="BI227" s="96" t="str">
        <f>IFERROR(__xludf.DUMMYFUNCTION("""COMPUTED_VALUE"""),"Closed")</f>
        <v>Closed</v>
      </c>
      <c r="BJ227" s="97" t="str">
        <f>IFERROR(__xludf.DUMMYFUNCTION("""COMPUTED_VALUE"""),"Closed")</f>
        <v>Closed</v>
      </c>
      <c r="BK227" s="95" t="str">
        <f>IFERROR(__xludf.DUMMYFUNCTION("""COMPUTED_VALUE"""),"Closed")</f>
        <v>Closed</v>
      </c>
      <c r="BL227" s="96" t="str">
        <f>IFERROR(__xludf.DUMMYFUNCTION("""COMPUTED_VALUE"""),"Closed")</f>
        <v>Closed</v>
      </c>
      <c r="BM227" s="97" t="str">
        <f>IFERROR(__xludf.DUMMYFUNCTION("""COMPUTED_VALUE"""),"Closed")</f>
        <v>Closed</v>
      </c>
      <c r="BN227" s="95" t="str">
        <f>IFERROR(__xludf.DUMMYFUNCTION("""COMPUTED_VALUE"""),"Closed")</f>
        <v>Closed</v>
      </c>
      <c r="BO227" s="96" t="str">
        <f>IFERROR(__xludf.DUMMYFUNCTION("""COMPUTED_VALUE"""),"Closed")</f>
        <v>Closed</v>
      </c>
      <c r="BP227" s="97" t="str">
        <f>IFERROR(__xludf.DUMMYFUNCTION("""COMPUTED_VALUE"""),"Closed")</f>
        <v>Closed</v>
      </c>
      <c r="BQ227" s="95" t="str">
        <f>IFERROR(__xludf.DUMMYFUNCTION("""COMPUTED_VALUE"""),"Closed")</f>
        <v>Closed</v>
      </c>
      <c r="BR227" s="96" t="str">
        <f>IFERROR(__xludf.DUMMYFUNCTION("""COMPUTED_VALUE"""),"Closed")</f>
        <v>Closed</v>
      </c>
      <c r="BS227" s="97" t="str">
        <f>IFERROR(__xludf.DUMMYFUNCTION("""COMPUTED_VALUE"""),"Closed")</f>
        <v>Closed</v>
      </c>
      <c r="BT227" s="95" t="str">
        <f>IFERROR(__xludf.DUMMYFUNCTION("""COMPUTED_VALUE"""),"Closed")</f>
        <v>Closed</v>
      </c>
      <c r="BU227" s="96" t="str">
        <f>IFERROR(__xludf.DUMMYFUNCTION("""COMPUTED_VALUE"""),"Closed")</f>
        <v>Closed</v>
      </c>
      <c r="BV227" s="97" t="str">
        <f>IFERROR(__xludf.DUMMYFUNCTION("""COMPUTED_VALUE"""),"Closed")</f>
        <v>Closed</v>
      </c>
      <c r="BW227" s="95" t="str">
        <f>IFERROR(__xludf.DUMMYFUNCTION("""COMPUTED_VALUE"""),"Closed")</f>
        <v>Closed</v>
      </c>
      <c r="BX227" s="96" t="str">
        <f>IFERROR(__xludf.DUMMYFUNCTION("""COMPUTED_VALUE"""),"Closed")</f>
        <v>Closed</v>
      </c>
      <c r="BY227" s="97" t="str">
        <f>IFERROR(__xludf.DUMMYFUNCTION("""COMPUTED_VALUE"""),"Closed")</f>
        <v>Closed</v>
      </c>
      <c r="BZ227" s="95" t="str">
        <f>IFERROR(__xludf.DUMMYFUNCTION("""COMPUTED_VALUE"""),"Closed")</f>
        <v>Closed</v>
      </c>
      <c r="CA227" s="96" t="str">
        <f>IFERROR(__xludf.DUMMYFUNCTION("""COMPUTED_VALUE"""),"Closed")</f>
        <v>Closed</v>
      </c>
      <c r="CB227" s="97" t="str">
        <f>IFERROR(__xludf.DUMMYFUNCTION("""COMPUTED_VALUE"""),"Closed")</f>
        <v>Closed</v>
      </c>
      <c r="CC227" s="95" t="str">
        <f>IFERROR(__xludf.DUMMYFUNCTION("""COMPUTED_VALUE"""),"Closed")</f>
        <v>Closed</v>
      </c>
      <c r="CD227" s="96" t="str">
        <f>IFERROR(__xludf.DUMMYFUNCTION("""COMPUTED_VALUE"""),"Closed")</f>
        <v>Closed</v>
      </c>
      <c r="CE227" s="97" t="str">
        <f>IFERROR(__xludf.DUMMYFUNCTION("""COMPUTED_VALUE"""),"Closed")</f>
        <v>Closed</v>
      </c>
      <c r="CF227" s="95" t="str">
        <f>IFERROR(__xludf.DUMMYFUNCTION("""COMPUTED_VALUE"""),"Closed")</f>
        <v>Closed</v>
      </c>
      <c r="CG227" s="96" t="str">
        <f>IFERROR(__xludf.DUMMYFUNCTION("""COMPUTED_VALUE"""),"Closed")</f>
        <v>Closed</v>
      </c>
      <c r="CH227" s="96" t="str">
        <f>IFERROR(__xludf.DUMMYFUNCTION("""COMPUTED_VALUE"""),"Closed")</f>
        <v>Closed</v>
      </c>
      <c r="CI227" s="95" t="str">
        <f>IFERROR(__xludf.DUMMYFUNCTION("""COMPUTED_VALUE"""),"Closed")</f>
        <v>Closed</v>
      </c>
      <c r="CJ227" s="96" t="str">
        <f>IFERROR(__xludf.DUMMYFUNCTION("""COMPUTED_VALUE"""),"Closed")</f>
        <v>Closed</v>
      </c>
      <c r="CK227" s="96" t="str">
        <f>IFERROR(__xludf.DUMMYFUNCTION("""COMPUTED_VALUE"""),"Closed")</f>
        <v>Closed</v>
      </c>
      <c r="CL227" s="95" t="str">
        <f>IFERROR(__xludf.DUMMYFUNCTION("""COMPUTED_VALUE"""),"Closed")</f>
        <v>Closed</v>
      </c>
      <c r="CM227" s="96" t="str">
        <f>IFERROR(__xludf.DUMMYFUNCTION("""COMPUTED_VALUE"""),"Closed")</f>
        <v>Closed</v>
      </c>
      <c r="CN227" s="96" t="str">
        <f>IFERROR(__xludf.DUMMYFUNCTION("""COMPUTED_VALUE"""),"Closed")</f>
        <v>Closed</v>
      </c>
      <c r="CO227" s="95" t="str">
        <f>IFERROR(__xludf.DUMMYFUNCTION("""COMPUTED_VALUE"""),"Closed")</f>
        <v>Closed</v>
      </c>
      <c r="CP227" s="96" t="str">
        <f>IFERROR(__xludf.DUMMYFUNCTION("""COMPUTED_VALUE"""),"Closed")</f>
        <v>Closed</v>
      </c>
      <c r="CQ227" s="96" t="str">
        <f>IFERROR(__xludf.DUMMYFUNCTION("""COMPUTED_VALUE"""),"Closed")</f>
        <v>Closed</v>
      </c>
      <c r="CR227" s="95" t="str">
        <f>IFERROR(__xludf.DUMMYFUNCTION("""COMPUTED_VALUE"""),"Closed")</f>
        <v>Closed</v>
      </c>
      <c r="CS227" s="96" t="str">
        <f>IFERROR(__xludf.DUMMYFUNCTION("""COMPUTED_VALUE"""),"Closed")</f>
        <v>Closed</v>
      </c>
      <c r="CT227" s="96" t="str">
        <f>IFERROR(__xludf.DUMMYFUNCTION("""COMPUTED_VALUE"""),"Closed")</f>
        <v>Closed</v>
      </c>
      <c r="CU227" s="95" t="str">
        <f>IFERROR(__xludf.DUMMYFUNCTION("""COMPUTED_VALUE"""),"Closed")</f>
        <v>Closed</v>
      </c>
      <c r="CV227" s="96" t="str">
        <f>IFERROR(__xludf.DUMMYFUNCTION("""COMPUTED_VALUE"""),"Closed")</f>
        <v>Closed</v>
      </c>
      <c r="CW227" s="97" t="str">
        <f>IFERROR(__xludf.DUMMYFUNCTION("""COMPUTED_VALUE"""),"Closed")</f>
        <v>Closed</v>
      </c>
      <c r="CX227" s="96" t="str">
        <f>IFERROR(__xludf.DUMMYFUNCTION("""COMPUTED_VALUE"""),"Closed")</f>
        <v>Closed</v>
      </c>
      <c r="CY227" s="96" t="str">
        <f>IFERROR(__xludf.DUMMYFUNCTION("""COMPUTED_VALUE"""),"Closed")</f>
        <v>Closed</v>
      </c>
      <c r="CZ227" s="97" t="str">
        <f>IFERROR(__xludf.DUMMYFUNCTION("""COMPUTED_VALUE"""),"Closed")</f>
        <v>Closed</v>
      </c>
      <c r="DA227" s="95" t="str">
        <f>IFERROR(__xludf.DUMMYFUNCTION("""COMPUTED_VALUE"""),"Closed")</f>
        <v>Closed</v>
      </c>
      <c r="DB227" s="96" t="str">
        <f>IFERROR(__xludf.DUMMYFUNCTION("""COMPUTED_VALUE"""),"Closed")</f>
        <v>Closed</v>
      </c>
      <c r="DC227" s="97" t="str">
        <f>IFERROR(__xludf.DUMMYFUNCTION("""COMPUTED_VALUE"""),"Closed")</f>
        <v>Closed</v>
      </c>
      <c r="DD227" s="95" t="str">
        <f>IFERROR(__xludf.DUMMYFUNCTION("""COMPUTED_VALUE"""),"Closed")</f>
        <v>Closed</v>
      </c>
      <c r="DE227" s="96" t="str">
        <f>IFERROR(__xludf.DUMMYFUNCTION("""COMPUTED_VALUE"""),"Closed")</f>
        <v>Closed</v>
      </c>
      <c r="DF227" s="97" t="str">
        <f>IFERROR(__xludf.DUMMYFUNCTION("""COMPUTED_VALUE"""),"Closed")</f>
        <v>Closed</v>
      </c>
      <c r="DG227" s="95" t="str">
        <f>IFERROR(__xludf.DUMMYFUNCTION("""COMPUTED_VALUE"""),"Closed")</f>
        <v>Closed</v>
      </c>
      <c r="DH227" s="96" t="str">
        <f>IFERROR(__xludf.DUMMYFUNCTION("""COMPUTED_VALUE"""),"Closed")</f>
        <v>Closed</v>
      </c>
      <c r="DI227" s="97" t="str">
        <f>IFERROR(__xludf.DUMMYFUNCTION("""COMPUTED_VALUE"""),"Closed")</f>
        <v>Closed</v>
      </c>
      <c r="DJ227" s="95" t="str">
        <f>IFERROR(__xludf.DUMMYFUNCTION("""COMPUTED_VALUE"""),"Closed")</f>
        <v>Closed</v>
      </c>
      <c r="DK227" s="96" t="str">
        <f>IFERROR(__xludf.DUMMYFUNCTION("""COMPUTED_VALUE"""),"Closed")</f>
        <v>Closed</v>
      </c>
      <c r="DL227" s="97" t="str">
        <f>IFERROR(__xludf.DUMMYFUNCTION("""COMPUTED_VALUE"""),"Closed")</f>
        <v>Closed</v>
      </c>
      <c r="DM227" s="95" t="str">
        <f>IFERROR(__xludf.DUMMYFUNCTION("""COMPUTED_VALUE"""),"Closed")</f>
        <v>Closed</v>
      </c>
      <c r="DN227" s="96" t="str">
        <f>IFERROR(__xludf.DUMMYFUNCTION("""COMPUTED_VALUE"""),"Closed")</f>
        <v>Closed</v>
      </c>
      <c r="DO227" s="97" t="str">
        <f>IFERROR(__xludf.DUMMYFUNCTION("""COMPUTED_VALUE"""),"Closed")</f>
        <v>Closed</v>
      </c>
      <c r="DP227" s="95" t="str">
        <f>IFERROR(__xludf.DUMMYFUNCTION("""COMPUTED_VALUE"""),"Closed")</f>
        <v>Closed</v>
      </c>
      <c r="DQ227" s="96" t="str">
        <f>IFERROR(__xludf.DUMMYFUNCTION("""COMPUTED_VALUE"""),"Closed")</f>
        <v>Closed</v>
      </c>
      <c r="DR227" s="97"/>
      <c r="DS227" s="95"/>
    </row>
    <row r="228" hidden="1">
      <c r="A228" s="188" t="str">
        <f>IFERROR(__xludf.DUMMYFUNCTION("""COMPUTED_VALUE"""),"ATLANTIS")</f>
        <v>ATLANTIS</v>
      </c>
      <c r="B228" s="189" t="str">
        <f>IFERROR(__xludf.DUMMYFUNCTION("""COMPUTED_VALUE"""),"ATL1")</f>
        <v>ATL1</v>
      </c>
      <c r="C228" s="239" t="str">
        <f>IFERROR(__xludf.DUMMYFUNCTION("""COMPUTED_VALUE"""),"Sailing Point")</f>
        <v>Sailing Point</v>
      </c>
      <c r="D228" s="240">
        <f>IFERROR(__xludf.DUMMYFUNCTION("""COMPUTED_VALUE"""),21.0)</f>
        <v>21</v>
      </c>
      <c r="E228" s="190" t="b">
        <f>IFERROR(__xludf.DUMMYFUNCTION("""COMPUTED_VALUE"""),FALSE)</f>
        <v>0</v>
      </c>
      <c r="F228" s="190" t="str">
        <f>IFERROR(__xludf.DUMMYFUNCTION("""COMPUTED_VALUE"""),"Free Quests- Part 2!A610:J619")</f>
        <v>Free Quests- Part 2!A610:J619</v>
      </c>
      <c r="G228" s="190">
        <f>IFERROR(__xludf.DUMMYFUNCTION("""COMPUTED_VALUE"""),228.0)</f>
        <v>228</v>
      </c>
      <c r="H228" s="190" t="str">
        <f>IFERROR(__xludf.DUMMYFUNCTION("""COMPUTED_VALUE"""),"Closed")</f>
        <v>Closed</v>
      </c>
      <c r="I228" s="194" t="str">
        <f>IFERROR(__xludf.DUMMYFUNCTION("""COMPUTED_VALUE"""),"Closed")</f>
        <v>Closed</v>
      </c>
      <c r="J228" s="195" t="str">
        <f>IFERROR(__xludf.DUMMYFUNCTION("""COMPUTED_VALUE"""),"Closed")</f>
        <v>Closed</v>
      </c>
      <c r="K228" s="196" t="str">
        <f>IFERROR(__xludf.DUMMYFUNCTION("""COMPUTED_VALUE"""),"Closed")</f>
        <v>Closed</v>
      </c>
      <c r="L228" s="194" t="str">
        <f>IFERROR(__xludf.DUMMYFUNCTION("""COMPUTED_VALUE"""),"Closed")</f>
        <v>Closed</v>
      </c>
      <c r="M228" s="195" t="str">
        <f>IFERROR(__xludf.DUMMYFUNCTION("""COMPUTED_VALUE"""),"Closed")</f>
        <v>Closed</v>
      </c>
      <c r="N228" s="196" t="str">
        <f>IFERROR(__xludf.DUMMYFUNCTION("""COMPUTED_VALUE"""),"Closed")</f>
        <v>Closed</v>
      </c>
      <c r="O228" s="194" t="str">
        <f>IFERROR(__xludf.DUMMYFUNCTION("""COMPUTED_VALUE"""),"Closed")</f>
        <v>Closed</v>
      </c>
      <c r="P228" s="195" t="str">
        <f>IFERROR(__xludf.DUMMYFUNCTION("""COMPUTED_VALUE"""),"Closed")</f>
        <v>Closed</v>
      </c>
      <c r="Q228" s="196" t="str">
        <f>IFERROR(__xludf.DUMMYFUNCTION("""COMPUTED_VALUE"""),"Closed")</f>
        <v>Closed</v>
      </c>
      <c r="R228" s="194" t="str">
        <f>IFERROR(__xludf.DUMMYFUNCTION("""COMPUTED_VALUE"""),"Closed")</f>
        <v>Closed</v>
      </c>
      <c r="S228" s="195" t="str">
        <f>IFERROR(__xludf.DUMMYFUNCTION("""COMPUTED_VALUE"""),"Closed")</f>
        <v>Closed</v>
      </c>
      <c r="T228" s="196" t="str">
        <f>IFERROR(__xludf.DUMMYFUNCTION("""COMPUTED_VALUE"""),"Closed")</f>
        <v>Closed</v>
      </c>
      <c r="U228" s="194" t="str">
        <f>IFERROR(__xludf.DUMMYFUNCTION("""COMPUTED_VALUE"""),"Closed")</f>
        <v>Closed</v>
      </c>
      <c r="V228" s="195" t="str">
        <f>IFERROR(__xludf.DUMMYFUNCTION("""COMPUTED_VALUE"""),"Closed")</f>
        <v>Closed</v>
      </c>
      <c r="W228" s="196" t="str">
        <f>IFERROR(__xludf.DUMMYFUNCTION("""COMPUTED_VALUE"""),"Closed")</f>
        <v>Closed</v>
      </c>
      <c r="X228" s="194" t="str">
        <f>IFERROR(__xludf.DUMMYFUNCTION("""COMPUTED_VALUE"""),"Closed")</f>
        <v>Closed</v>
      </c>
      <c r="Y228" s="195" t="str">
        <f>IFERROR(__xludf.DUMMYFUNCTION("""COMPUTED_VALUE"""),"Closed")</f>
        <v>Closed</v>
      </c>
      <c r="Z228" s="196" t="str">
        <f>IFERROR(__xludf.DUMMYFUNCTION("""COMPUTED_VALUE"""),"Closed")</f>
        <v>Closed</v>
      </c>
      <c r="AA228" s="194" t="str">
        <f>IFERROR(__xludf.DUMMYFUNCTION("""COMPUTED_VALUE"""),"Closed")</f>
        <v>Closed</v>
      </c>
      <c r="AB228" s="195" t="str">
        <f>IFERROR(__xludf.DUMMYFUNCTION("""COMPUTED_VALUE"""),"Closed")</f>
        <v>Closed</v>
      </c>
      <c r="AC228" s="196" t="str">
        <f>IFERROR(__xludf.DUMMYFUNCTION("""COMPUTED_VALUE"""),"Closed")</f>
        <v>Closed</v>
      </c>
      <c r="AD228" s="194" t="str">
        <f>IFERROR(__xludf.DUMMYFUNCTION("""COMPUTED_VALUE"""),"Closed")</f>
        <v>Closed</v>
      </c>
      <c r="AE228" s="195" t="str">
        <f>IFERROR(__xludf.DUMMYFUNCTION("""COMPUTED_VALUE"""),"Closed")</f>
        <v>Closed</v>
      </c>
      <c r="AF228" s="196" t="str">
        <f>IFERROR(__xludf.DUMMYFUNCTION("""COMPUTED_VALUE"""),"Closed")</f>
        <v>Closed</v>
      </c>
      <c r="AG228" s="194" t="str">
        <f>IFERROR(__xludf.DUMMYFUNCTION("""COMPUTED_VALUE"""),"Closed")</f>
        <v>Closed</v>
      </c>
      <c r="AH228" s="195" t="str">
        <f>IFERROR(__xludf.DUMMYFUNCTION("""COMPUTED_VALUE"""),"Closed")</f>
        <v>Closed</v>
      </c>
      <c r="AI228" s="196" t="str">
        <f>IFERROR(__xludf.DUMMYFUNCTION("""COMPUTED_VALUE"""),"Closed")</f>
        <v>Closed</v>
      </c>
      <c r="AJ228" s="194" t="str">
        <f>IFERROR(__xludf.DUMMYFUNCTION("""COMPUTED_VALUE"""),"Closed")</f>
        <v>Closed</v>
      </c>
      <c r="AK228" s="195" t="str">
        <f>IFERROR(__xludf.DUMMYFUNCTION("""COMPUTED_VALUE"""),"Closed")</f>
        <v>Closed</v>
      </c>
      <c r="AL228" s="196" t="str">
        <f>IFERROR(__xludf.DUMMYFUNCTION("""COMPUTED_VALUE"""),"Closed")</f>
        <v>Closed</v>
      </c>
      <c r="AM228" s="194" t="str">
        <f>IFERROR(__xludf.DUMMYFUNCTION("""COMPUTED_VALUE"""),"Closed")</f>
        <v>Closed</v>
      </c>
      <c r="AN228" s="195" t="str">
        <f>IFERROR(__xludf.DUMMYFUNCTION("""COMPUTED_VALUE"""),"Closed")</f>
        <v>Closed</v>
      </c>
      <c r="AO228" s="196" t="str">
        <f>IFERROR(__xludf.DUMMYFUNCTION("""COMPUTED_VALUE"""),"Closed")</f>
        <v>Closed</v>
      </c>
      <c r="AP228" s="194" t="str">
        <f>IFERROR(__xludf.DUMMYFUNCTION("""COMPUTED_VALUE"""),"Closed")</f>
        <v>Closed</v>
      </c>
      <c r="AQ228" s="195" t="str">
        <f>IFERROR(__xludf.DUMMYFUNCTION("""COMPUTED_VALUE"""),"Closed")</f>
        <v>Closed</v>
      </c>
      <c r="AR228" s="196" t="str">
        <f>IFERROR(__xludf.DUMMYFUNCTION("""COMPUTED_VALUE"""),"Closed")</f>
        <v>Closed</v>
      </c>
      <c r="AS228" s="194" t="str">
        <f>IFERROR(__xludf.DUMMYFUNCTION("""COMPUTED_VALUE"""),"Closed")</f>
        <v>Closed</v>
      </c>
      <c r="AT228" s="195" t="str">
        <f>IFERROR(__xludf.DUMMYFUNCTION("""COMPUTED_VALUE"""),"Closed")</f>
        <v>Closed</v>
      </c>
      <c r="AU228" s="196" t="str">
        <f>IFERROR(__xludf.DUMMYFUNCTION("""COMPUTED_VALUE"""),"Closed")</f>
        <v>Closed</v>
      </c>
      <c r="AV228" s="194" t="str">
        <f>IFERROR(__xludf.DUMMYFUNCTION("""COMPUTED_VALUE"""),"Closed")</f>
        <v>Closed</v>
      </c>
      <c r="AW228" s="195" t="str">
        <f>IFERROR(__xludf.DUMMYFUNCTION("""COMPUTED_VALUE"""),"Closed")</f>
        <v>Closed</v>
      </c>
      <c r="AX228" s="196" t="str">
        <f>IFERROR(__xludf.DUMMYFUNCTION("""COMPUTED_VALUE"""),"Closed")</f>
        <v>Closed</v>
      </c>
      <c r="AY228" s="194" t="str">
        <f>IFERROR(__xludf.DUMMYFUNCTION("""COMPUTED_VALUE"""),"Closed")</f>
        <v>Closed</v>
      </c>
      <c r="AZ228" s="195" t="str">
        <f>IFERROR(__xludf.DUMMYFUNCTION("""COMPUTED_VALUE"""),"Closed")</f>
        <v>Closed</v>
      </c>
      <c r="BA228" s="196" t="str">
        <f>IFERROR(__xludf.DUMMYFUNCTION("""COMPUTED_VALUE"""),"Closed")</f>
        <v>Closed</v>
      </c>
      <c r="BB228" s="194" t="str">
        <f>IFERROR(__xludf.DUMMYFUNCTION("""COMPUTED_VALUE"""),"Closed")</f>
        <v>Closed</v>
      </c>
      <c r="BC228" s="195" t="str">
        <f>IFERROR(__xludf.DUMMYFUNCTION("""COMPUTED_VALUE"""),"Closed")</f>
        <v>Closed</v>
      </c>
      <c r="BD228" s="196" t="str">
        <f>IFERROR(__xludf.DUMMYFUNCTION("""COMPUTED_VALUE"""),"Closed")</f>
        <v>Closed</v>
      </c>
      <c r="BE228" s="194" t="str">
        <f>IFERROR(__xludf.DUMMYFUNCTION("""COMPUTED_VALUE"""),"Closed")</f>
        <v>Closed</v>
      </c>
      <c r="BF228" s="195" t="str">
        <f>IFERROR(__xludf.DUMMYFUNCTION("""COMPUTED_VALUE"""),"Closed")</f>
        <v>Closed</v>
      </c>
      <c r="BG228" s="196" t="str">
        <f>IFERROR(__xludf.DUMMYFUNCTION("""COMPUTED_VALUE"""),"Closed")</f>
        <v>Closed</v>
      </c>
      <c r="BH228" s="194" t="str">
        <f>IFERROR(__xludf.DUMMYFUNCTION("""COMPUTED_VALUE"""),"Closed")</f>
        <v>Closed</v>
      </c>
      <c r="BI228" s="195" t="str">
        <f>IFERROR(__xludf.DUMMYFUNCTION("""COMPUTED_VALUE"""),"Closed")</f>
        <v>Closed</v>
      </c>
      <c r="BJ228" s="196" t="str">
        <f>IFERROR(__xludf.DUMMYFUNCTION("""COMPUTED_VALUE"""),"Closed")</f>
        <v>Closed</v>
      </c>
      <c r="BK228" s="194" t="str">
        <f>IFERROR(__xludf.DUMMYFUNCTION("""COMPUTED_VALUE"""),"Closed")</f>
        <v>Closed</v>
      </c>
      <c r="BL228" s="195" t="str">
        <f>IFERROR(__xludf.DUMMYFUNCTION("""COMPUTED_VALUE"""),"Closed")</f>
        <v>Closed</v>
      </c>
      <c r="BM228" s="196" t="str">
        <f>IFERROR(__xludf.DUMMYFUNCTION("""COMPUTED_VALUE"""),"Closed")</f>
        <v>Closed</v>
      </c>
      <c r="BN228" s="194" t="str">
        <f>IFERROR(__xludf.DUMMYFUNCTION("""COMPUTED_VALUE"""),"Closed")</f>
        <v>Closed</v>
      </c>
      <c r="BO228" s="195" t="str">
        <f>IFERROR(__xludf.DUMMYFUNCTION("""COMPUTED_VALUE"""),"Closed")</f>
        <v>Closed</v>
      </c>
      <c r="BP228" s="196" t="str">
        <f>IFERROR(__xludf.DUMMYFUNCTION("""COMPUTED_VALUE"""),"Closed")</f>
        <v>Closed</v>
      </c>
      <c r="BQ228" s="194" t="str">
        <f>IFERROR(__xludf.DUMMYFUNCTION("""COMPUTED_VALUE"""),"Closed")</f>
        <v>Closed</v>
      </c>
      <c r="BR228" s="195" t="str">
        <f>IFERROR(__xludf.DUMMYFUNCTION("""COMPUTED_VALUE"""),"Closed")</f>
        <v>Closed</v>
      </c>
      <c r="BS228" s="196" t="str">
        <f>IFERROR(__xludf.DUMMYFUNCTION("""COMPUTED_VALUE"""),"Closed")</f>
        <v>Closed</v>
      </c>
      <c r="BT228" s="194" t="str">
        <f>IFERROR(__xludf.DUMMYFUNCTION("""COMPUTED_VALUE"""),"Closed")</f>
        <v>Closed</v>
      </c>
      <c r="BU228" s="195" t="str">
        <f>IFERROR(__xludf.DUMMYFUNCTION("""COMPUTED_VALUE"""),"Closed")</f>
        <v>Closed</v>
      </c>
      <c r="BV228" s="196" t="str">
        <f>IFERROR(__xludf.DUMMYFUNCTION("""COMPUTED_VALUE"""),"Closed")</f>
        <v>Closed</v>
      </c>
      <c r="BW228" s="194" t="str">
        <f>IFERROR(__xludf.DUMMYFUNCTION("""COMPUTED_VALUE"""),"Closed")</f>
        <v>Closed</v>
      </c>
      <c r="BX228" s="195" t="str">
        <f>IFERROR(__xludf.DUMMYFUNCTION("""COMPUTED_VALUE"""),"Closed")</f>
        <v>Closed</v>
      </c>
      <c r="BY228" s="196" t="str">
        <f>IFERROR(__xludf.DUMMYFUNCTION("""COMPUTED_VALUE"""),"Closed")</f>
        <v>Closed</v>
      </c>
      <c r="BZ228" s="194" t="str">
        <f>IFERROR(__xludf.DUMMYFUNCTION("""COMPUTED_VALUE"""),"Closed")</f>
        <v>Closed</v>
      </c>
      <c r="CA228" s="195" t="str">
        <f>IFERROR(__xludf.DUMMYFUNCTION("""COMPUTED_VALUE"""),"Closed")</f>
        <v>Closed</v>
      </c>
      <c r="CB228" s="196" t="str">
        <f>IFERROR(__xludf.DUMMYFUNCTION("""COMPUTED_VALUE"""),"Closed")</f>
        <v>Closed</v>
      </c>
      <c r="CC228" s="194" t="str">
        <f>IFERROR(__xludf.DUMMYFUNCTION("""COMPUTED_VALUE"""),"Closed")</f>
        <v>Closed</v>
      </c>
      <c r="CD228" s="195" t="str">
        <f>IFERROR(__xludf.DUMMYFUNCTION("""COMPUTED_VALUE"""),"Closed")</f>
        <v>Closed</v>
      </c>
      <c r="CE228" s="196" t="str">
        <f>IFERROR(__xludf.DUMMYFUNCTION("""COMPUTED_VALUE"""),"Closed")</f>
        <v>Closed</v>
      </c>
      <c r="CF228" s="194" t="str">
        <f>IFERROR(__xludf.DUMMYFUNCTION("""COMPUTED_VALUE"""),"Closed")</f>
        <v>Closed</v>
      </c>
      <c r="CG228" s="195" t="str">
        <f>IFERROR(__xludf.DUMMYFUNCTION("""COMPUTED_VALUE"""),"Closed")</f>
        <v>Closed</v>
      </c>
      <c r="CH228" s="195" t="str">
        <f>IFERROR(__xludf.DUMMYFUNCTION("""COMPUTED_VALUE"""),"Closed")</f>
        <v>Closed</v>
      </c>
      <c r="CI228" s="194" t="str">
        <f>IFERROR(__xludf.DUMMYFUNCTION("""COMPUTED_VALUE"""),"Closed")</f>
        <v>Closed</v>
      </c>
      <c r="CJ228" s="195" t="str">
        <f>IFERROR(__xludf.DUMMYFUNCTION("""COMPUTED_VALUE"""),"Closed")</f>
        <v>Closed</v>
      </c>
      <c r="CK228" s="195" t="str">
        <f>IFERROR(__xludf.DUMMYFUNCTION("""COMPUTED_VALUE"""),"Closed")</f>
        <v>Closed</v>
      </c>
      <c r="CL228" s="194" t="str">
        <f>IFERROR(__xludf.DUMMYFUNCTION("""COMPUTED_VALUE"""),"Closed")</f>
        <v>Closed</v>
      </c>
      <c r="CM228" s="195" t="str">
        <f>IFERROR(__xludf.DUMMYFUNCTION("""COMPUTED_VALUE"""),"Closed")</f>
        <v>Closed</v>
      </c>
      <c r="CN228" s="195" t="str">
        <f>IFERROR(__xludf.DUMMYFUNCTION("""COMPUTED_VALUE"""),"Closed")</f>
        <v>Closed</v>
      </c>
      <c r="CO228" s="194" t="str">
        <f>IFERROR(__xludf.DUMMYFUNCTION("""COMPUTED_VALUE"""),"Closed")</f>
        <v>Closed</v>
      </c>
      <c r="CP228" s="195" t="str">
        <f>IFERROR(__xludf.DUMMYFUNCTION("""COMPUTED_VALUE"""),"Closed")</f>
        <v>Closed</v>
      </c>
      <c r="CQ228" s="195" t="str">
        <f>IFERROR(__xludf.DUMMYFUNCTION("""COMPUTED_VALUE"""),"Closed")</f>
        <v>Closed</v>
      </c>
      <c r="CR228" s="194" t="str">
        <f>IFERROR(__xludf.DUMMYFUNCTION("""COMPUTED_VALUE"""),"Closed")</f>
        <v>Closed</v>
      </c>
      <c r="CS228" s="195" t="str">
        <f>IFERROR(__xludf.DUMMYFUNCTION("""COMPUTED_VALUE"""),"Closed")</f>
        <v>Closed</v>
      </c>
      <c r="CT228" s="195" t="str">
        <f>IFERROR(__xludf.DUMMYFUNCTION("""COMPUTED_VALUE"""),"Closed")</f>
        <v>Closed</v>
      </c>
      <c r="CU228" s="194" t="str">
        <f>IFERROR(__xludf.DUMMYFUNCTION("""COMPUTED_VALUE"""),"Closed")</f>
        <v>Closed</v>
      </c>
      <c r="CV228" s="195" t="str">
        <f>IFERROR(__xludf.DUMMYFUNCTION("""COMPUTED_VALUE"""),"Closed")</f>
        <v>Closed</v>
      </c>
      <c r="CW228" s="196" t="str">
        <f>IFERROR(__xludf.DUMMYFUNCTION("""COMPUTED_VALUE"""),"Closed")</f>
        <v>Closed</v>
      </c>
      <c r="CX228" s="195" t="str">
        <f>IFERROR(__xludf.DUMMYFUNCTION("""COMPUTED_VALUE"""),"Closed")</f>
        <v>Closed</v>
      </c>
      <c r="CY228" s="195" t="str">
        <f>IFERROR(__xludf.DUMMYFUNCTION("""COMPUTED_VALUE"""),"Closed")</f>
        <v>Closed</v>
      </c>
      <c r="CZ228" s="196" t="str">
        <f>IFERROR(__xludf.DUMMYFUNCTION("""COMPUTED_VALUE"""),"Closed")</f>
        <v>Closed</v>
      </c>
      <c r="DA228" s="194" t="str">
        <f>IFERROR(__xludf.DUMMYFUNCTION("""COMPUTED_VALUE"""),"Closed")</f>
        <v>Closed</v>
      </c>
      <c r="DB228" s="195" t="str">
        <f>IFERROR(__xludf.DUMMYFUNCTION("""COMPUTED_VALUE"""),"Closed")</f>
        <v>Closed</v>
      </c>
      <c r="DC228" s="196" t="str">
        <f>IFERROR(__xludf.DUMMYFUNCTION("""COMPUTED_VALUE"""),"Closed")</f>
        <v>Closed</v>
      </c>
      <c r="DD228" s="194" t="str">
        <f>IFERROR(__xludf.DUMMYFUNCTION("""COMPUTED_VALUE"""),"Closed")</f>
        <v>Closed</v>
      </c>
      <c r="DE228" s="195" t="str">
        <f>IFERROR(__xludf.DUMMYFUNCTION("""COMPUTED_VALUE"""),"Closed")</f>
        <v>Closed</v>
      </c>
      <c r="DF228" s="196" t="str">
        <f>IFERROR(__xludf.DUMMYFUNCTION("""COMPUTED_VALUE"""),"Closed")</f>
        <v>Closed</v>
      </c>
      <c r="DG228" s="194" t="str">
        <f>IFERROR(__xludf.DUMMYFUNCTION("""COMPUTED_VALUE"""),"Closed")</f>
        <v>Closed</v>
      </c>
      <c r="DH228" s="195" t="str">
        <f>IFERROR(__xludf.DUMMYFUNCTION("""COMPUTED_VALUE"""),"Closed")</f>
        <v>Closed</v>
      </c>
      <c r="DI228" s="196" t="str">
        <f>IFERROR(__xludf.DUMMYFUNCTION("""COMPUTED_VALUE"""),"Closed")</f>
        <v>Closed</v>
      </c>
      <c r="DJ228" s="194" t="str">
        <f>IFERROR(__xludf.DUMMYFUNCTION("""COMPUTED_VALUE"""),"Closed")</f>
        <v>Closed</v>
      </c>
      <c r="DK228" s="195" t="str">
        <f>IFERROR(__xludf.DUMMYFUNCTION("""COMPUTED_VALUE"""),"Closed")</f>
        <v>Closed</v>
      </c>
      <c r="DL228" s="196" t="str">
        <f>IFERROR(__xludf.DUMMYFUNCTION("""COMPUTED_VALUE"""),"Closed")</f>
        <v>Closed</v>
      </c>
      <c r="DM228" s="194" t="str">
        <f>IFERROR(__xludf.DUMMYFUNCTION("""COMPUTED_VALUE"""),"Closed")</f>
        <v>Closed</v>
      </c>
      <c r="DN228" s="195" t="str">
        <f>IFERROR(__xludf.DUMMYFUNCTION("""COMPUTED_VALUE"""),"Closed")</f>
        <v>Closed</v>
      </c>
      <c r="DO228" s="196" t="str">
        <f>IFERROR(__xludf.DUMMYFUNCTION("""COMPUTED_VALUE"""),"Closed")</f>
        <v>Closed</v>
      </c>
      <c r="DP228" s="194" t="str">
        <f>IFERROR(__xludf.DUMMYFUNCTION("""COMPUTED_VALUE"""),"Closed")</f>
        <v>Closed</v>
      </c>
      <c r="DQ228" s="195" t="str">
        <f>IFERROR(__xludf.DUMMYFUNCTION("""COMPUTED_VALUE"""),"Closed")</f>
        <v>Closed</v>
      </c>
      <c r="DR228" s="196"/>
      <c r="DS228" s="194"/>
    </row>
    <row r="229" hidden="1">
      <c r="B229" s="201" t="str">
        <f>IFERROR(__xludf.DUMMYFUNCTION("""COMPUTED_VALUE"""),"ATL2")</f>
        <v>ATL2</v>
      </c>
      <c r="C229" s="247" t="str">
        <f>IFERROR(__xludf.DUMMYFUNCTION("""COMPUTED_VALUE"""),"Hestia Island")</f>
        <v>Hestia Island</v>
      </c>
      <c r="D229" s="248">
        <f>IFERROR(__xludf.DUMMYFUNCTION("""COMPUTED_VALUE"""),21.0)</f>
        <v>21</v>
      </c>
      <c r="E229" s="68" t="b">
        <f>IFERROR(__xludf.DUMMYFUNCTION("""COMPUTED_VALUE"""),FALSE)</f>
        <v>0</v>
      </c>
      <c r="F229" s="68" t="str">
        <f>IFERROR(__xludf.DUMMYFUNCTION("""COMPUTED_VALUE"""),"Free Quests- Part 2!A623:J633")</f>
        <v>Free Quests- Part 2!A623:J633</v>
      </c>
      <c r="G229" s="68">
        <f>IFERROR(__xludf.DUMMYFUNCTION("""COMPUTED_VALUE"""),229.0)</f>
        <v>229</v>
      </c>
      <c r="H229" s="68" t="str">
        <f>IFERROR(__xludf.DUMMYFUNCTION("""COMPUTED_VALUE"""),"Closed")</f>
        <v>Closed</v>
      </c>
      <c r="I229" s="204" t="str">
        <f>IFERROR(__xludf.DUMMYFUNCTION("""COMPUTED_VALUE"""),"Closed")</f>
        <v>Closed</v>
      </c>
      <c r="J229" s="205" t="str">
        <f>IFERROR(__xludf.DUMMYFUNCTION("""COMPUTED_VALUE"""),"Closed")</f>
        <v>Closed</v>
      </c>
      <c r="K229" s="206" t="str">
        <f>IFERROR(__xludf.DUMMYFUNCTION("""COMPUTED_VALUE"""),"Closed")</f>
        <v>Closed</v>
      </c>
      <c r="L229" s="204" t="str">
        <f>IFERROR(__xludf.DUMMYFUNCTION("""COMPUTED_VALUE"""),"Closed")</f>
        <v>Closed</v>
      </c>
      <c r="M229" s="205" t="str">
        <f>IFERROR(__xludf.DUMMYFUNCTION("""COMPUTED_VALUE"""),"Closed")</f>
        <v>Closed</v>
      </c>
      <c r="N229" s="206" t="str">
        <f>IFERROR(__xludf.DUMMYFUNCTION("""COMPUTED_VALUE"""),"Closed")</f>
        <v>Closed</v>
      </c>
      <c r="O229" s="204" t="str">
        <f>IFERROR(__xludf.DUMMYFUNCTION("""COMPUTED_VALUE"""),"Closed")</f>
        <v>Closed</v>
      </c>
      <c r="P229" s="205" t="str">
        <f>IFERROR(__xludf.DUMMYFUNCTION("""COMPUTED_VALUE"""),"Closed")</f>
        <v>Closed</v>
      </c>
      <c r="Q229" s="206" t="str">
        <f>IFERROR(__xludf.DUMMYFUNCTION("""COMPUTED_VALUE"""),"Closed")</f>
        <v>Closed</v>
      </c>
      <c r="R229" s="204" t="str">
        <f>IFERROR(__xludf.DUMMYFUNCTION("""COMPUTED_VALUE"""),"Closed")</f>
        <v>Closed</v>
      </c>
      <c r="S229" s="205" t="str">
        <f>IFERROR(__xludf.DUMMYFUNCTION("""COMPUTED_VALUE"""),"Closed")</f>
        <v>Closed</v>
      </c>
      <c r="T229" s="206" t="str">
        <f>IFERROR(__xludf.DUMMYFUNCTION("""COMPUTED_VALUE"""),"Closed")</f>
        <v>Closed</v>
      </c>
      <c r="U229" s="204" t="str">
        <f>IFERROR(__xludf.DUMMYFUNCTION("""COMPUTED_VALUE"""),"Closed")</f>
        <v>Closed</v>
      </c>
      <c r="V229" s="205" t="str">
        <f>IFERROR(__xludf.DUMMYFUNCTION("""COMPUTED_VALUE"""),"Closed")</f>
        <v>Closed</v>
      </c>
      <c r="W229" s="206" t="str">
        <f>IFERROR(__xludf.DUMMYFUNCTION("""COMPUTED_VALUE"""),"Closed")</f>
        <v>Closed</v>
      </c>
      <c r="X229" s="204" t="str">
        <f>IFERROR(__xludf.DUMMYFUNCTION("""COMPUTED_VALUE"""),"Closed")</f>
        <v>Closed</v>
      </c>
      <c r="Y229" s="205" t="str">
        <f>IFERROR(__xludf.DUMMYFUNCTION("""COMPUTED_VALUE"""),"Closed")</f>
        <v>Closed</v>
      </c>
      <c r="Z229" s="206" t="str">
        <f>IFERROR(__xludf.DUMMYFUNCTION("""COMPUTED_VALUE"""),"Closed")</f>
        <v>Closed</v>
      </c>
      <c r="AA229" s="204" t="str">
        <f>IFERROR(__xludf.DUMMYFUNCTION("""COMPUTED_VALUE"""),"Closed")</f>
        <v>Closed</v>
      </c>
      <c r="AB229" s="205" t="str">
        <f>IFERROR(__xludf.DUMMYFUNCTION("""COMPUTED_VALUE"""),"Closed")</f>
        <v>Closed</v>
      </c>
      <c r="AC229" s="206" t="str">
        <f>IFERROR(__xludf.DUMMYFUNCTION("""COMPUTED_VALUE"""),"Closed")</f>
        <v>Closed</v>
      </c>
      <c r="AD229" s="204" t="str">
        <f>IFERROR(__xludf.DUMMYFUNCTION("""COMPUTED_VALUE"""),"Closed")</f>
        <v>Closed</v>
      </c>
      <c r="AE229" s="205" t="str">
        <f>IFERROR(__xludf.DUMMYFUNCTION("""COMPUTED_VALUE"""),"Closed")</f>
        <v>Closed</v>
      </c>
      <c r="AF229" s="206" t="str">
        <f>IFERROR(__xludf.DUMMYFUNCTION("""COMPUTED_VALUE"""),"Closed")</f>
        <v>Closed</v>
      </c>
      <c r="AG229" s="204" t="str">
        <f>IFERROR(__xludf.DUMMYFUNCTION("""COMPUTED_VALUE"""),"Closed")</f>
        <v>Closed</v>
      </c>
      <c r="AH229" s="205" t="str">
        <f>IFERROR(__xludf.DUMMYFUNCTION("""COMPUTED_VALUE"""),"Closed")</f>
        <v>Closed</v>
      </c>
      <c r="AI229" s="206" t="str">
        <f>IFERROR(__xludf.DUMMYFUNCTION("""COMPUTED_VALUE"""),"Closed")</f>
        <v>Closed</v>
      </c>
      <c r="AJ229" s="204" t="str">
        <f>IFERROR(__xludf.DUMMYFUNCTION("""COMPUTED_VALUE"""),"Closed")</f>
        <v>Closed</v>
      </c>
      <c r="AK229" s="205" t="str">
        <f>IFERROR(__xludf.DUMMYFUNCTION("""COMPUTED_VALUE"""),"Closed")</f>
        <v>Closed</v>
      </c>
      <c r="AL229" s="206" t="str">
        <f>IFERROR(__xludf.DUMMYFUNCTION("""COMPUTED_VALUE"""),"Closed")</f>
        <v>Closed</v>
      </c>
      <c r="AM229" s="204" t="str">
        <f>IFERROR(__xludf.DUMMYFUNCTION("""COMPUTED_VALUE"""),"Closed")</f>
        <v>Closed</v>
      </c>
      <c r="AN229" s="205" t="str">
        <f>IFERROR(__xludf.DUMMYFUNCTION("""COMPUTED_VALUE"""),"Closed")</f>
        <v>Closed</v>
      </c>
      <c r="AO229" s="206" t="str">
        <f>IFERROR(__xludf.DUMMYFUNCTION("""COMPUTED_VALUE"""),"Closed")</f>
        <v>Closed</v>
      </c>
      <c r="AP229" s="204" t="str">
        <f>IFERROR(__xludf.DUMMYFUNCTION("""COMPUTED_VALUE"""),"Closed")</f>
        <v>Closed</v>
      </c>
      <c r="AQ229" s="205" t="str">
        <f>IFERROR(__xludf.DUMMYFUNCTION("""COMPUTED_VALUE"""),"Closed")</f>
        <v>Closed</v>
      </c>
      <c r="AR229" s="206" t="str">
        <f>IFERROR(__xludf.DUMMYFUNCTION("""COMPUTED_VALUE"""),"Closed")</f>
        <v>Closed</v>
      </c>
      <c r="AS229" s="204" t="str">
        <f>IFERROR(__xludf.DUMMYFUNCTION("""COMPUTED_VALUE"""),"Closed")</f>
        <v>Closed</v>
      </c>
      <c r="AT229" s="205" t="str">
        <f>IFERROR(__xludf.DUMMYFUNCTION("""COMPUTED_VALUE"""),"Closed")</f>
        <v>Closed</v>
      </c>
      <c r="AU229" s="206" t="str">
        <f>IFERROR(__xludf.DUMMYFUNCTION("""COMPUTED_VALUE"""),"Closed")</f>
        <v>Closed</v>
      </c>
      <c r="AV229" s="204" t="str">
        <f>IFERROR(__xludf.DUMMYFUNCTION("""COMPUTED_VALUE"""),"Closed")</f>
        <v>Closed</v>
      </c>
      <c r="AW229" s="205" t="str">
        <f>IFERROR(__xludf.DUMMYFUNCTION("""COMPUTED_VALUE"""),"Closed")</f>
        <v>Closed</v>
      </c>
      <c r="AX229" s="206" t="str">
        <f>IFERROR(__xludf.DUMMYFUNCTION("""COMPUTED_VALUE"""),"Closed")</f>
        <v>Closed</v>
      </c>
      <c r="AY229" s="204" t="str">
        <f>IFERROR(__xludf.DUMMYFUNCTION("""COMPUTED_VALUE"""),"Closed")</f>
        <v>Closed</v>
      </c>
      <c r="AZ229" s="205" t="str">
        <f>IFERROR(__xludf.DUMMYFUNCTION("""COMPUTED_VALUE"""),"Closed")</f>
        <v>Closed</v>
      </c>
      <c r="BA229" s="206" t="str">
        <f>IFERROR(__xludf.DUMMYFUNCTION("""COMPUTED_VALUE"""),"Closed")</f>
        <v>Closed</v>
      </c>
      <c r="BB229" s="204" t="str">
        <f>IFERROR(__xludf.DUMMYFUNCTION("""COMPUTED_VALUE"""),"Closed")</f>
        <v>Closed</v>
      </c>
      <c r="BC229" s="205" t="str">
        <f>IFERROR(__xludf.DUMMYFUNCTION("""COMPUTED_VALUE"""),"Closed")</f>
        <v>Closed</v>
      </c>
      <c r="BD229" s="206" t="str">
        <f>IFERROR(__xludf.DUMMYFUNCTION("""COMPUTED_VALUE"""),"Closed")</f>
        <v>Closed</v>
      </c>
      <c r="BE229" s="204" t="str">
        <f>IFERROR(__xludf.DUMMYFUNCTION("""COMPUTED_VALUE"""),"Closed")</f>
        <v>Closed</v>
      </c>
      <c r="BF229" s="205" t="str">
        <f>IFERROR(__xludf.DUMMYFUNCTION("""COMPUTED_VALUE"""),"Closed")</f>
        <v>Closed</v>
      </c>
      <c r="BG229" s="206" t="str">
        <f>IFERROR(__xludf.DUMMYFUNCTION("""COMPUTED_VALUE"""),"Closed")</f>
        <v>Closed</v>
      </c>
      <c r="BH229" s="204" t="str">
        <f>IFERROR(__xludf.DUMMYFUNCTION("""COMPUTED_VALUE"""),"Closed")</f>
        <v>Closed</v>
      </c>
      <c r="BI229" s="205" t="str">
        <f>IFERROR(__xludf.DUMMYFUNCTION("""COMPUTED_VALUE"""),"Closed")</f>
        <v>Closed</v>
      </c>
      <c r="BJ229" s="206" t="str">
        <f>IFERROR(__xludf.DUMMYFUNCTION("""COMPUTED_VALUE"""),"Closed")</f>
        <v>Closed</v>
      </c>
      <c r="BK229" s="204" t="str">
        <f>IFERROR(__xludf.DUMMYFUNCTION("""COMPUTED_VALUE"""),"Closed")</f>
        <v>Closed</v>
      </c>
      <c r="BL229" s="205" t="str">
        <f>IFERROR(__xludf.DUMMYFUNCTION("""COMPUTED_VALUE"""),"Closed")</f>
        <v>Closed</v>
      </c>
      <c r="BM229" s="206" t="str">
        <f>IFERROR(__xludf.DUMMYFUNCTION("""COMPUTED_VALUE"""),"Closed")</f>
        <v>Closed</v>
      </c>
      <c r="BN229" s="204" t="str">
        <f>IFERROR(__xludf.DUMMYFUNCTION("""COMPUTED_VALUE"""),"Closed")</f>
        <v>Closed</v>
      </c>
      <c r="BO229" s="205" t="str">
        <f>IFERROR(__xludf.DUMMYFUNCTION("""COMPUTED_VALUE"""),"Closed")</f>
        <v>Closed</v>
      </c>
      <c r="BP229" s="206" t="str">
        <f>IFERROR(__xludf.DUMMYFUNCTION("""COMPUTED_VALUE"""),"Closed")</f>
        <v>Closed</v>
      </c>
      <c r="BQ229" s="204" t="str">
        <f>IFERROR(__xludf.DUMMYFUNCTION("""COMPUTED_VALUE"""),"Closed")</f>
        <v>Closed</v>
      </c>
      <c r="BR229" s="205" t="str">
        <f>IFERROR(__xludf.DUMMYFUNCTION("""COMPUTED_VALUE"""),"Closed")</f>
        <v>Closed</v>
      </c>
      <c r="BS229" s="206" t="str">
        <f>IFERROR(__xludf.DUMMYFUNCTION("""COMPUTED_VALUE"""),"Closed")</f>
        <v>Closed</v>
      </c>
      <c r="BT229" s="204" t="str">
        <f>IFERROR(__xludf.DUMMYFUNCTION("""COMPUTED_VALUE"""),"Closed")</f>
        <v>Closed</v>
      </c>
      <c r="BU229" s="205" t="str">
        <f>IFERROR(__xludf.DUMMYFUNCTION("""COMPUTED_VALUE"""),"Closed")</f>
        <v>Closed</v>
      </c>
      <c r="BV229" s="206" t="str">
        <f>IFERROR(__xludf.DUMMYFUNCTION("""COMPUTED_VALUE"""),"Closed")</f>
        <v>Closed</v>
      </c>
      <c r="BW229" s="204" t="str">
        <f>IFERROR(__xludf.DUMMYFUNCTION("""COMPUTED_VALUE"""),"Closed")</f>
        <v>Closed</v>
      </c>
      <c r="BX229" s="205" t="str">
        <f>IFERROR(__xludf.DUMMYFUNCTION("""COMPUTED_VALUE"""),"Closed")</f>
        <v>Closed</v>
      </c>
      <c r="BY229" s="206" t="str">
        <f>IFERROR(__xludf.DUMMYFUNCTION("""COMPUTED_VALUE"""),"Closed")</f>
        <v>Closed</v>
      </c>
      <c r="BZ229" s="204" t="str">
        <f>IFERROR(__xludf.DUMMYFUNCTION("""COMPUTED_VALUE"""),"Closed")</f>
        <v>Closed</v>
      </c>
      <c r="CA229" s="205" t="str">
        <f>IFERROR(__xludf.DUMMYFUNCTION("""COMPUTED_VALUE"""),"Closed")</f>
        <v>Closed</v>
      </c>
      <c r="CB229" s="206" t="str">
        <f>IFERROR(__xludf.DUMMYFUNCTION("""COMPUTED_VALUE"""),"Closed")</f>
        <v>Closed</v>
      </c>
      <c r="CC229" s="204" t="str">
        <f>IFERROR(__xludf.DUMMYFUNCTION("""COMPUTED_VALUE"""),"Closed")</f>
        <v>Closed</v>
      </c>
      <c r="CD229" s="205" t="str">
        <f>IFERROR(__xludf.DUMMYFUNCTION("""COMPUTED_VALUE"""),"Closed")</f>
        <v>Closed</v>
      </c>
      <c r="CE229" s="206" t="str">
        <f>IFERROR(__xludf.DUMMYFUNCTION("""COMPUTED_VALUE"""),"Closed")</f>
        <v>Closed</v>
      </c>
      <c r="CF229" s="204" t="str">
        <f>IFERROR(__xludf.DUMMYFUNCTION("""COMPUTED_VALUE"""),"Closed")</f>
        <v>Closed</v>
      </c>
      <c r="CG229" s="205" t="str">
        <f>IFERROR(__xludf.DUMMYFUNCTION("""COMPUTED_VALUE"""),"Closed")</f>
        <v>Closed</v>
      </c>
      <c r="CH229" s="205" t="str">
        <f>IFERROR(__xludf.DUMMYFUNCTION("""COMPUTED_VALUE"""),"Closed")</f>
        <v>Closed</v>
      </c>
      <c r="CI229" s="204" t="str">
        <f>IFERROR(__xludf.DUMMYFUNCTION("""COMPUTED_VALUE"""),"Closed")</f>
        <v>Closed</v>
      </c>
      <c r="CJ229" s="205" t="str">
        <f>IFERROR(__xludf.DUMMYFUNCTION("""COMPUTED_VALUE"""),"Closed")</f>
        <v>Closed</v>
      </c>
      <c r="CK229" s="205" t="str">
        <f>IFERROR(__xludf.DUMMYFUNCTION("""COMPUTED_VALUE"""),"Closed")</f>
        <v>Closed</v>
      </c>
      <c r="CL229" s="204" t="str">
        <f>IFERROR(__xludf.DUMMYFUNCTION("""COMPUTED_VALUE"""),"Closed")</f>
        <v>Closed</v>
      </c>
      <c r="CM229" s="205" t="str">
        <f>IFERROR(__xludf.DUMMYFUNCTION("""COMPUTED_VALUE"""),"Closed")</f>
        <v>Closed</v>
      </c>
      <c r="CN229" s="205" t="str">
        <f>IFERROR(__xludf.DUMMYFUNCTION("""COMPUTED_VALUE"""),"Closed")</f>
        <v>Closed</v>
      </c>
      <c r="CO229" s="204" t="str">
        <f>IFERROR(__xludf.DUMMYFUNCTION("""COMPUTED_VALUE"""),"Closed")</f>
        <v>Closed</v>
      </c>
      <c r="CP229" s="205" t="str">
        <f>IFERROR(__xludf.DUMMYFUNCTION("""COMPUTED_VALUE"""),"Closed")</f>
        <v>Closed</v>
      </c>
      <c r="CQ229" s="205" t="str">
        <f>IFERROR(__xludf.DUMMYFUNCTION("""COMPUTED_VALUE"""),"Closed")</f>
        <v>Closed</v>
      </c>
      <c r="CR229" s="204" t="str">
        <f>IFERROR(__xludf.DUMMYFUNCTION("""COMPUTED_VALUE"""),"Closed")</f>
        <v>Closed</v>
      </c>
      <c r="CS229" s="205" t="str">
        <f>IFERROR(__xludf.DUMMYFUNCTION("""COMPUTED_VALUE"""),"Closed")</f>
        <v>Closed</v>
      </c>
      <c r="CT229" s="205" t="str">
        <f>IFERROR(__xludf.DUMMYFUNCTION("""COMPUTED_VALUE"""),"Closed")</f>
        <v>Closed</v>
      </c>
      <c r="CU229" s="204" t="str">
        <f>IFERROR(__xludf.DUMMYFUNCTION("""COMPUTED_VALUE"""),"Closed")</f>
        <v>Closed</v>
      </c>
      <c r="CV229" s="205" t="str">
        <f>IFERROR(__xludf.DUMMYFUNCTION("""COMPUTED_VALUE"""),"Closed")</f>
        <v>Closed</v>
      </c>
      <c r="CW229" s="206" t="str">
        <f>IFERROR(__xludf.DUMMYFUNCTION("""COMPUTED_VALUE"""),"Closed")</f>
        <v>Closed</v>
      </c>
      <c r="CX229" s="205" t="str">
        <f>IFERROR(__xludf.DUMMYFUNCTION("""COMPUTED_VALUE"""),"Closed")</f>
        <v>Closed</v>
      </c>
      <c r="CY229" s="205" t="str">
        <f>IFERROR(__xludf.DUMMYFUNCTION("""COMPUTED_VALUE"""),"Closed")</f>
        <v>Closed</v>
      </c>
      <c r="CZ229" s="206" t="str">
        <f>IFERROR(__xludf.DUMMYFUNCTION("""COMPUTED_VALUE"""),"Closed")</f>
        <v>Closed</v>
      </c>
      <c r="DA229" s="204" t="str">
        <f>IFERROR(__xludf.DUMMYFUNCTION("""COMPUTED_VALUE"""),"Closed")</f>
        <v>Closed</v>
      </c>
      <c r="DB229" s="205" t="str">
        <f>IFERROR(__xludf.DUMMYFUNCTION("""COMPUTED_VALUE"""),"Closed")</f>
        <v>Closed</v>
      </c>
      <c r="DC229" s="206" t="str">
        <f>IFERROR(__xludf.DUMMYFUNCTION("""COMPUTED_VALUE"""),"Closed")</f>
        <v>Closed</v>
      </c>
      <c r="DD229" s="204" t="str">
        <f>IFERROR(__xludf.DUMMYFUNCTION("""COMPUTED_VALUE"""),"Closed")</f>
        <v>Closed</v>
      </c>
      <c r="DE229" s="205" t="str">
        <f>IFERROR(__xludf.DUMMYFUNCTION("""COMPUTED_VALUE"""),"Closed")</f>
        <v>Closed</v>
      </c>
      <c r="DF229" s="206" t="str">
        <f>IFERROR(__xludf.DUMMYFUNCTION("""COMPUTED_VALUE"""),"Closed")</f>
        <v>Closed</v>
      </c>
      <c r="DG229" s="204" t="str">
        <f>IFERROR(__xludf.DUMMYFUNCTION("""COMPUTED_VALUE"""),"Closed")</f>
        <v>Closed</v>
      </c>
      <c r="DH229" s="205" t="str">
        <f>IFERROR(__xludf.DUMMYFUNCTION("""COMPUTED_VALUE"""),"Closed")</f>
        <v>Closed</v>
      </c>
      <c r="DI229" s="206" t="str">
        <f>IFERROR(__xludf.DUMMYFUNCTION("""COMPUTED_VALUE"""),"Closed")</f>
        <v>Closed</v>
      </c>
      <c r="DJ229" s="204" t="str">
        <f>IFERROR(__xludf.DUMMYFUNCTION("""COMPUTED_VALUE"""),"Closed")</f>
        <v>Closed</v>
      </c>
      <c r="DK229" s="205" t="str">
        <f>IFERROR(__xludf.DUMMYFUNCTION("""COMPUTED_VALUE"""),"Closed")</f>
        <v>Closed</v>
      </c>
      <c r="DL229" s="206" t="str">
        <f>IFERROR(__xludf.DUMMYFUNCTION("""COMPUTED_VALUE"""),"Closed")</f>
        <v>Closed</v>
      </c>
      <c r="DM229" s="204" t="str">
        <f>IFERROR(__xludf.DUMMYFUNCTION("""COMPUTED_VALUE"""),"Closed")</f>
        <v>Closed</v>
      </c>
      <c r="DN229" s="205" t="str">
        <f>IFERROR(__xludf.DUMMYFUNCTION("""COMPUTED_VALUE"""),"Closed")</f>
        <v>Closed</v>
      </c>
      <c r="DO229" s="206" t="str">
        <f>IFERROR(__xludf.DUMMYFUNCTION("""COMPUTED_VALUE"""),"Closed")</f>
        <v>Closed</v>
      </c>
      <c r="DP229" s="204" t="str">
        <f>IFERROR(__xludf.DUMMYFUNCTION("""COMPUTED_VALUE"""),"Closed")</f>
        <v>Closed</v>
      </c>
      <c r="DQ229" s="205" t="str">
        <f>IFERROR(__xludf.DUMMYFUNCTION("""COMPUTED_VALUE"""),"Closed")</f>
        <v>Closed</v>
      </c>
      <c r="DR229" s="206"/>
      <c r="DS229" s="204"/>
    </row>
    <row r="230" hidden="1">
      <c r="B230" s="189" t="str">
        <f>IFERROR(__xludf.DUMMYFUNCTION("""COMPUTED_VALUE"""),"ATL3")</f>
        <v>ATL3</v>
      </c>
      <c r="C230" s="239" t="str">
        <f>IFERROR(__xludf.DUMMYFUNCTION("""COMPUTED_VALUE"""),"Hecate Island")</f>
        <v>Hecate Island</v>
      </c>
      <c r="D230" s="240">
        <f>IFERROR(__xludf.DUMMYFUNCTION("""COMPUTED_VALUE"""),21.0)</f>
        <v>21</v>
      </c>
      <c r="E230" s="190" t="b">
        <f>IFERROR(__xludf.DUMMYFUNCTION("""COMPUTED_VALUE"""),FALSE)</f>
        <v>0</v>
      </c>
      <c r="F230" s="190" t="str">
        <f>IFERROR(__xludf.DUMMYFUNCTION("""COMPUTED_VALUE"""),"Free Quests- Part 2!A637:J646")</f>
        <v>Free Quests- Part 2!A637:J646</v>
      </c>
      <c r="G230" s="190">
        <f>IFERROR(__xludf.DUMMYFUNCTION("""COMPUTED_VALUE"""),230.0)</f>
        <v>230</v>
      </c>
      <c r="H230" s="190" t="str">
        <f>IFERROR(__xludf.DUMMYFUNCTION("""COMPUTED_VALUE"""),"Closed")</f>
        <v>Closed</v>
      </c>
      <c r="I230" s="194" t="str">
        <f>IFERROR(__xludf.DUMMYFUNCTION("""COMPUTED_VALUE"""),"Closed")</f>
        <v>Closed</v>
      </c>
      <c r="J230" s="195" t="str">
        <f>IFERROR(__xludf.DUMMYFUNCTION("""COMPUTED_VALUE"""),"Closed")</f>
        <v>Closed</v>
      </c>
      <c r="K230" s="196" t="str">
        <f>IFERROR(__xludf.DUMMYFUNCTION("""COMPUTED_VALUE"""),"Closed")</f>
        <v>Closed</v>
      </c>
      <c r="L230" s="194" t="str">
        <f>IFERROR(__xludf.DUMMYFUNCTION("""COMPUTED_VALUE"""),"Closed")</f>
        <v>Closed</v>
      </c>
      <c r="M230" s="195" t="str">
        <f>IFERROR(__xludf.DUMMYFUNCTION("""COMPUTED_VALUE"""),"Closed")</f>
        <v>Closed</v>
      </c>
      <c r="N230" s="196" t="str">
        <f>IFERROR(__xludf.DUMMYFUNCTION("""COMPUTED_VALUE"""),"Closed")</f>
        <v>Closed</v>
      </c>
      <c r="O230" s="194" t="str">
        <f>IFERROR(__xludf.DUMMYFUNCTION("""COMPUTED_VALUE"""),"Closed")</f>
        <v>Closed</v>
      </c>
      <c r="P230" s="195" t="str">
        <f>IFERROR(__xludf.DUMMYFUNCTION("""COMPUTED_VALUE"""),"Closed")</f>
        <v>Closed</v>
      </c>
      <c r="Q230" s="196" t="str">
        <f>IFERROR(__xludf.DUMMYFUNCTION("""COMPUTED_VALUE"""),"Closed")</f>
        <v>Closed</v>
      </c>
      <c r="R230" s="194" t="str">
        <f>IFERROR(__xludf.DUMMYFUNCTION("""COMPUTED_VALUE"""),"Closed")</f>
        <v>Closed</v>
      </c>
      <c r="S230" s="195" t="str">
        <f>IFERROR(__xludf.DUMMYFUNCTION("""COMPUTED_VALUE"""),"Closed")</f>
        <v>Closed</v>
      </c>
      <c r="T230" s="196" t="str">
        <f>IFERROR(__xludf.DUMMYFUNCTION("""COMPUTED_VALUE"""),"Closed")</f>
        <v>Closed</v>
      </c>
      <c r="U230" s="194" t="str">
        <f>IFERROR(__xludf.DUMMYFUNCTION("""COMPUTED_VALUE"""),"Closed")</f>
        <v>Closed</v>
      </c>
      <c r="V230" s="195" t="str">
        <f>IFERROR(__xludf.DUMMYFUNCTION("""COMPUTED_VALUE"""),"Closed")</f>
        <v>Closed</v>
      </c>
      <c r="W230" s="196" t="str">
        <f>IFERROR(__xludf.DUMMYFUNCTION("""COMPUTED_VALUE"""),"Closed")</f>
        <v>Closed</v>
      </c>
      <c r="X230" s="194" t="str">
        <f>IFERROR(__xludf.DUMMYFUNCTION("""COMPUTED_VALUE"""),"Closed")</f>
        <v>Closed</v>
      </c>
      <c r="Y230" s="195" t="str">
        <f>IFERROR(__xludf.DUMMYFUNCTION("""COMPUTED_VALUE"""),"Closed")</f>
        <v>Closed</v>
      </c>
      <c r="Z230" s="196" t="str">
        <f>IFERROR(__xludf.DUMMYFUNCTION("""COMPUTED_VALUE"""),"Closed")</f>
        <v>Closed</v>
      </c>
      <c r="AA230" s="194" t="str">
        <f>IFERROR(__xludf.DUMMYFUNCTION("""COMPUTED_VALUE"""),"Closed")</f>
        <v>Closed</v>
      </c>
      <c r="AB230" s="195" t="str">
        <f>IFERROR(__xludf.DUMMYFUNCTION("""COMPUTED_VALUE"""),"Closed")</f>
        <v>Closed</v>
      </c>
      <c r="AC230" s="196" t="str">
        <f>IFERROR(__xludf.DUMMYFUNCTION("""COMPUTED_VALUE"""),"Closed")</f>
        <v>Closed</v>
      </c>
      <c r="AD230" s="194" t="str">
        <f>IFERROR(__xludf.DUMMYFUNCTION("""COMPUTED_VALUE"""),"Closed")</f>
        <v>Closed</v>
      </c>
      <c r="AE230" s="195" t="str">
        <f>IFERROR(__xludf.DUMMYFUNCTION("""COMPUTED_VALUE"""),"Closed")</f>
        <v>Closed</v>
      </c>
      <c r="AF230" s="196" t="str">
        <f>IFERROR(__xludf.DUMMYFUNCTION("""COMPUTED_VALUE"""),"Closed")</f>
        <v>Closed</v>
      </c>
      <c r="AG230" s="194" t="str">
        <f>IFERROR(__xludf.DUMMYFUNCTION("""COMPUTED_VALUE"""),"Closed")</f>
        <v>Closed</v>
      </c>
      <c r="AH230" s="195" t="str">
        <f>IFERROR(__xludf.DUMMYFUNCTION("""COMPUTED_VALUE"""),"Closed")</f>
        <v>Closed</v>
      </c>
      <c r="AI230" s="196" t="str">
        <f>IFERROR(__xludf.DUMMYFUNCTION("""COMPUTED_VALUE"""),"Closed")</f>
        <v>Closed</v>
      </c>
      <c r="AJ230" s="194" t="str">
        <f>IFERROR(__xludf.DUMMYFUNCTION("""COMPUTED_VALUE"""),"Closed")</f>
        <v>Closed</v>
      </c>
      <c r="AK230" s="195" t="str">
        <f>IFERROR(__xludf.DUMMYFUNCTION("""COMPUTED_VALUE"""),"Closed")</f>
        <v>Closed</v>
      </c>
      <c r="AL230" s="196" t="str">
        <f>IFERROR(__xludf.DUMMYFUNCTION("""COMPUTED_VALUE"""),"Closed")</f>
        <v>Closed</v>
      </c>
      <c r="AM230" s="194" t="str">
        <f>IFERROR(__xludf.DUMMYFUNCTION("""COMPUTED_VALUE"""),"Closed")</f>
        <v>Closed</v>
      </c>
      <c r="AN230" s="195" t="str">
        <f>IFERROR(__xludf.DUMMYFUNCTION("""COMPUTED_VALUE"""),"Closed")</f>
        <v>Closed</v>
      </c>
      <c r="AO230" s="196" t="str">
        <f>IFERROR(__xludf.DUMMYFUNCTION("""COMPUTED_VALUE"""),"Closed")</f>
        <v>Closed</v>
      </c>
      <c r="AP230" s="194" t="str">
        <f>IFERROR(__xludf.DUMMYFUNCTION("""COMPUTED_VALUE"""),"Closed")</f>
        <v>Closed</v>
      </c>
      <c r="AQ230" s="195" t="str">
        <f>IFERROR(__xludf.DUMMYFUNCTION("""COMPUTED_VALUE"""),"Closed")</f>
        <v>Closed</v>
      </c>
      <c r="AR230" s="196" t="str">
        <f>IFERROR(__xludf.DUMMYFUNCTION("""COMPUTED_VALUE"""),"Closed")</f>
        <v>Closed</v>
      </c>
      <c r="AS230" s="194" t="str">
        <f>IFERROR(__xludf.DUMMYFUNCTION("""COMPUTED_VALUE"""),"Closed")</f>
        <v>Closed</v>
      </c>
      <c r="AT230" s="195" t="str">
        <f>IFERROR(__xludf.DUMMYFUNCTION("""COMPUTED_VALUE"""),"Closed")</f>
        <v>Closed</v>
      </c>
      <c r="AU230" s="196" t="str">
        <f>IFERROR(__xludf.DUMMYFUNCTION("""COMPUTED_VALUE"""),"Closed")</f>
        <v>Closed</v>
      </c>
      <c r="AV230" s="194" t="str">
        <f>IFERROR(__xludf.DUMMYFUNCTION("""COMPUTED_VALUE"""),"Closed")</f>
        <v>Closed</v>
      </c>
      <c r="AW230" s="195" t="str">
        <f>IFERROR(__xludf.DUMMYFUNCTION("""COMPUTED_VALUE"""),"Closed")</f>
        <v>Closed</v>
      </c>
      <c r="AX230" s="196" t="str">
        <f>IFERROR(__xludf.DUMMYFUNCTION("""COMPUTED_VALUE"""),"Closed")</f>
        <v>Closed</v>
      </c>
      <c r="AY230" s="194" t="str">
        <f>IFERROR(__xludf.DUMMYFUNCTION("""COMPUTED_VALUE"""),"Closed")</f>
        <v>Closed</v>
      </c>
      <c r="AZ230" s="195" t="str">
        <f>IFERROR(__xludf.DUMMYFUNCTION("""COMPUTED_VALUE"""),"Closed")</f>
        <v>Closed</v>
      </c>
      <c r="BA230" s="196" t="str">
        <f>IFERROR(__xludf.DUMMYFUNCTION("""COMPUTED_VALUE"""),"Closed")</f>
        <v>Closed</v>
      </c>
      <c r="BB230" s="194" t="str">
        <f>IFERROR(__xludf.DUMMYFUNCTION("""COMPUTED_VALUE"""),"Closed")</f>
        <v>Closed</v>
      </c>
      <c r="BC230" s="195" t="str">
        <f>IFERROR(__xludf.DUMMYFUNCTION("""COMPUTED_VALUE"""),"Closed")</f>
        <v>Closed</v>
      </c>
      <c r="BD230" s="196" t="str">
        <f>IFERROR(__xludf.DUMMYFUNCTION("""COMPUTED_VALUE"""),"Closed")</f>
        <v>Closed</v>
      </c>
      <c r="BE230" s="194" t="str">
        <f>IFERROR(__xludf.DUMMYFUNCTION("""COMPUTED_VALUE"""),"Closed")</f>
        <v>Closed</v>
      </c>
      <c r="BF230" s="195" t="str">
        <f>IFERROR(__xludf.DUMMYFUNCTION("""COMPUTED_VALUE"""),"Closed")</f>
        <v>Closed</v>
      </c>
      <c r="BG230" s="196" t="str">
        <f>IFERROR(__xludf.DUMMYFUNCTION("""COMPUTED_VALUE"""),"Closed")</f>
        <v>Closed</v>
      </c>
      <c r="BH230" s="194" t="str">
        <f>IFERROR(__xludf.DUMMYFUNCTION("""COMPUTED_VALUE"""),"Closed")</f>
        <v>Closed</v>
      </c>
      <c r="BI230" s="195" t="str">
        <f>IFERROR(__xludf.DUMMYFUNCTION("""COMPUTED_VALUE"""),"Closed")</f>
        <v>Closed</v>
      </c>
      <c r="BJ230" s="196" t="str">
        <f>IFERROR(__xludf.DUMMYFUNCTION("""COMPUTED_VALUE"""),"Closed")</f>
        <v>Closed</v>
      </c>
      <c r="BK230" s="194" t="str">
        <f>IFERROR(__xludf.DUMMYFUNCTION("""COMPUTED_VALUE"""),"Closed")</f>
        <v>Closed</v>
      </c>
      <c r="BL230" s="195" t="str">
        <f>IFERROR(__xludf.DUMMYFUNCTION("""COMPUTED_VALUE"""),"Closed")</f>
        <v>Closed</v>
      </c>
      <c r="BM230" s="196" t="str">
        <f>IFERROR(__xludf.DUMMYFUNCTION("""COMPUTED_VALUE"""),"Closed")</f>
        <v>Closed</v>
      </c>
      <c r="BN230" s="194" t="str">
        <f>IFERROR(__xludf.DUMMYFUNCTION("""COMPUTED_VALUE"""),"Closed")</f>
        <v>Closed</v>
      </c>
      <c r="BO230" s="195" t="str">
        <f>IFERROR(__xludf.DUMMYFUNCTION("""COMPUTED_VALUE"""),"Closed")</f>
        <v>Closed</v>
      </c>
      <c r="BP230" s="196" t="str">
        <f>IFERROR(__xludf.DUMMYFUNCTION("""COMPUTED_VALUE"""),"Closed")</f>
        <v>Closed</v>
      </c>
      <c r="BQ230" s="194" t="str">
        <f>IFERROR(__xludf.DUMMYFUNCTION("""COMPUTED_VALUE"""),"Closed")</f>
        <v>Closed</v>
      </c>
      <c r="BR230" s="195" t="str">
        <f>IFERROR(__xludf.DUMMYFUNCTION("""COMPUTED_VALUE"""),"Closed")</f>
        <v>Closed</v>
      </c>
      <c r="BS230" s="196" t="str">
        <f>IFERROR(__xludf.DUMMYFUNCTION("""COMPUTED_VALUE"""),"Closed")</f>
        <v>Closed</v>
      </c>
      <c r="BT230" s="194" t="str">
        <f>IFERROR(__xludf.DUMMYFUNCTION("""COMPUTED_VALUE"""),"Closed")</f>
        <v>Closed</v>
      </c>
      <c r="BU230" s="195" t="str">
        <f>IFERROR(__xludf.DUMMYFUNCTION("""COMPUTED_VALUE"""),"Closed")</f>
        <v>Closed</v>
      </c>
      <c r="BV230" s="196" t="str">
        <f>IFERROR(__xludf.DUMMYFUNCTION("""COMPUTED_VALUE"""),"Closed")</f>
        <v>Closed</v>
      </c>
      <c r="BW230" s="194" t="str">
        <f>IFERROR(__xludf.DUMMYFUNCTION("""COMPUTED_VALUE"""),"Closed")</f>
        <v>Closed</v>
      </c>
      <c r="BX230" s="195" t="str">
        <f>IFERROR(__xludf.DUMMYFUNCTION("""COMPUTED_VALUE"""),"Closed")</f>
        <v>Closed</v>
      </c>
      <c r="BY230" s="196" t="str">
        <f>IFERROR(__xludf.DUMMYFUNCTION("""COMPUTED_VALUE"""),"Closed")</f>
        <v>Closed</v>
      </c>
      <c r="BZ230" s="194" t="str">
        <f>IFERROR(__xludf.DUMMYFUNCTION("""COMPUTED_VALUE"""),"Closed")</f>
        <v>Closed</v>
      </c>
      <c r="CA230" s="195" t="str">
        <f>IFERROR(__xludf.DUMMYFUNCTION("""COMPUTED_VALUE"""),"Closed")</f>
        <v>Closed</v>
      </c>
      <c r="CB230" s="196" t="str">
        <f>IFERROR(__xludf.DUMMYFUNCTION("""COMPUTED_VALUE"""),"Closed")</f>
        <v>Closed</v>
      </c>
      <c r="CC230" s="194" t="str">
        <f>IFERROR(__xludf.DUMMYFUNCTION("""COMPUTED_VALUE"""),"Closed")</f>
        <v>Closed</v>
      </c>
      <c r="CD230" s="195" t="str">
        <f>IFERROR(__xludf.DUMMYFUNCTION("""COMPUTED_VALUE"""),"Closed")</f>
        <v>Closed</v>
      </c>
      <c r="CE230" s="196" t="str">
        <f>IFERROR(__xludf.DUMMYFUNCTION("""COMPUTED_VALUE"""),"Closed")</f>
        <v>Closed</v>
      </c>
      <c r="CF230" s="194" t="str">
        <f>IFERROR(__xludf.DUMMYFUNCTION("""COMPUTED_VALUE"""),"Closed")</f>
        <v>Closed</v>
      </c>
      <c r="CG230" s="195" t="str">
        <f>IFERROR(__xludf.DUMMYFUNCTION("""COMPUTED_VALUE"""),"Closed")</f>
        <v>Closed</v>
      </c>
      <c r="CH230" s="195" t="str">
        <f>IFERROR(__xludf.DUMMYFUNCTION("""COMPUTED_VALUE"""),"Closed")</f>
        <v>Closed</v>
      </c>
      <c r="CI230" s="194" t="str">
        <f>IFERROR(__xludf.DUMMYFUNCTION("""COMPUTED_VALUE"""),"Closed")</f>
        <v>Closed</v>
      </c>
      <c r="CJ230" s="195" t="str">
        <f>IFERROR(__xludf.DUMMYFUNCTION("""COMPUTED_VALUE"""),"Closed")</f>
        <v>Closed</v>
      </c>
      <c r="CK230" s="195" t="str">
        <f>IFERROR(__xludf.DUMMYFUNCTION("""COMPUTED_VALUE"""),"Closed")</f>
        <v>Closed</v>
      </c>
      <c r="CL230" s="194" t="str">
        <f>IFERROR(__xludf.DUMMYFUNCTION("""COMPUTED_VALUE"""),"Closed")</f>
        <v>Closed</v>
      </c>
      <c r="CM230" s="195" t="str">
        <f>IFERROR(__xludf.DUMMYFUNCTION("""COMPUTED_VALUE"""),"Closed")</f>
        <v>Closed</v>
      </c>
      <c r="CN230" s="195" t="str">
        <f>IFERROR(__xludf.DUMMYFUNCTION("""COMPUTED_VALUE"""),"Closed")</f>
        <v>Closed</v>
      </c>
      <c r="CO230" s="194" t="str">
        <f>IFERROR(__xludf.DUMMYFUNCTION("""COMPUTED_VALUE"""),"Closed")</f>
        <v>Closed</v>
      </c>
      <c r="CP230" s="195" t="str">
        <f>IFERROR(__xludf.DUMMYFUNCTION("""COMPUTED_VALUE"""),"Closed")</f>
        <v>Closed</v>
      </c>
      <c r="CQ230" s="195" t="str">
        <f>IFERROR(__xludf.DUMMYFUNCTION("""COMPUTED_VALUE"""),"Closed")</f>
        <v>Closed</v>
      </c>
      <c r="CR230" s="194" t="str">
        <f>IFERROR(__xludf.DUMMYFUNCTION("""COMPUTED_VALUE"""),"Closed")</f>
        <v>Closed</v>
      </c>
      <c r="CS230" s="195" t="str">
        <f>IFERROR(__xludf.DUMMYFUNCTION("""COMPUTED_VALUE"""),"Closed")</f>
        <v>Closed</v>
      </c>
      <c r="CT230" s="195" t="str">
        <f>IFERROR(__xludf.DUMMYFUNCTION("""COMPUTED_VALUE"""),"Closed")</f>
        <v>Closed</v>
      </c>
      <c r="CU230" s="194" t="str">
        <f>IFERROR(__xludf.DUMMYFUNCTION("""COMPUTED_VALUE"""),"Closed")</f>
        <v>Closed</v>
      </c>
      <c r="CV230" s="195" t="str">
        <f>IFERROR(__xludf.DUMMYFUNCTION("""COMPUTED_VALUE"""),"Closed")</f>
        <v>Closed</v>
      </c>
      <c r="CW230" s="196" t="str">
        <f>IFERROR(__xludf.DUMMYFUNCTION("""COMPUTED_VALUE"""),"Closed")</f>
        <v>Closed</v>
      </c>
      <c r="CX230" s="195" t="str">
        <f>IFERROR(__xludf.DUMMYFUNCTION("""COMPUTED_VALUE"""),"Closed")</f>
        <v>Closed</v>
      </c>
      <c r="CY230" s="195" t="str">
        <f>IFERROR(__xludf.DUMMYFUNCTION("""COMPUTED_VALUE"""),"Closed")</f>
        <v>Closed</v>
      </c>
      <c r="CZ230" s="196" t="str">
        <f>IFERROR(__xludf.DUMMYFUNCTION("""COMPUTED_VALUE"""),"Closed")</f>
        <v>Closed</v>
      </c>
      <c r="DA230" s="194" t="str">
        <f>IFERROR(__xludf.DUMMYFUNCTION("""COMPUTED_VALUE"""),"Closed")</f>
        <v>Closed</v>
      </c>
      <c r="DB230" s="195" t="str">
        <f>IFERROR(__xludf.DUMMYFUNCTION("""COMPUTED_VALUE"""),"Closed")</f>
        <v>Closed</v>
      </c>
      <c r="DC230" s="196" t="str">
        <f>IFERROR(__xludf.DUMMYFUNCTION("""COMPUTED_VALUE"""),"Closed")</f>
        <v>Closed</v>
      </c>
      <c r="DD230" s="194" t="str">
        <f>IFERROR(__xludf.DUMMYFUNCTION("""COMPUTED_VALUE"""),"Closed")</f>
        <v>Closed</v>
      </c>
      <c r="DE230" s="195" t="str">
        <f>IFERROR(__xludf.DUMMYFUNCTION("""COMPUTED_VALUE"""),"Closed")</f>
        <v>Closed</v>
      </c>
      <c r="DF230" s="196" t="str">
        <f>IFERROR(__xludf.DUMMYFUNCTION("""COMPUTED_VALUE"""),"Closed")</f>
        <v>Closed</v>
      </c>
      <c r="DG230" s="194" t="str">
        <f>IFERROR(__xludf.DUMMYFUNCTION("""COMPUTED_VALUE"""),"Closed")</f>
        <v>Closed</v>
      </c>
      <c r="DH230" s="195" t="str">
        <f>IFERROR(__xludf.DUMMYFUNCTION("""COMPUTED_VALUE"""),"Closed")</f>
        <v>Closed</v>
      </c>
      <c r="DI230" s="196" t="str">
        <f>IFERROR(__xludf.DUMMYFUNCTION("""COMPUTED_VALUE"""),"Closed")</f>
        <v>Closed</v>
      </c>
      <c r="DJ230" s="194" t="str">
        <f>IFERROR(__xludf.DUMMYFUNCTION("""COMPUTED_VALUE"""),"Closed")</f>
        <v>Closed</v>
      </c>
      <c r="DK230" s="195" t="str">
        <f>IFERROR(__xludf.DUMMYFUNCTION("""COMPUTED_VALUE"""),"Closed")</f>
        <v>Closed</v>
      </c>
      <c r="DL230" s="196" t="str">
        <f>IFERROR(__xludf.DUMMYFUNCTION("""COMPUTED_VALUE"""),"Closed")</f>
        <v>Closed</v>
      </c>
      <c r="DM230" s="194" t="str">
        <f>IFERROR(__xludf.DUMMYFUNCTION("""COMPUTED_VALUE"""),"Closed")</f>
        <v>Closed</v>
      </c>
      <c r="DN230" s="195" t="str">
        <f>IFERROR(__xludf.DUMMYFUNCTION("""COMPUTED_VALUE"""),"Closed")</f>
        <v>Closed</v>
      </c>
      <c r="DO230" s="196" t="str">
        <f>IFERROR(__xludf.DUMMYFUNCTION("""COMPUTED_VALUE"""),"Closed")</f>
        <v>Closed</v>
      </c>
      <c r="DP230" s="194" t="str">
        <f>IFERROR(__xludf.DUMMYFUNCTION("""COMPUTED_VALUE"""),"Closed")</f>
        <v>Closed</v>
      </c>
      <c r="DQ230" s="195" t="str">
        <f>IFERROR(__xludf.DUMMYFUNCTION("""COMPUTED_VALUE"""),"Closed")</f>
        <v>Closed</v>
      </c>
      <c r="DR230" s="196"/>
      <c r="DS230" s="194"/>
    </row>
    <row r="231" hidden="1">
      <c r="B231" s="201" t="str">
        <f>IFERROR(__xludf.DUMMYFUNCTION("""COMPUTED_VALUE"""),"ATL4")</f>
        <v>ATL4</v>
      </c>
      <c r="C231" s="247" t="str">
        <f>IFERROR(__xludf.DUMMYFUNCTION("""COMPUTED_VALUE"""),"Deimos Island")</f>
        <v>Deimos Island</v>
      </c>
      <c r="D231" s="248">
        <f>IFERROR(__xludf.DUMMYFUNCTION("""COMPUTED_VALUE"""),21.0)</f>
        <v>21</v>
      </c>
      <c r="E231" s="68" t="b">
        <f>IFERROR(__xludf.DUMMYFUNCTION("""COMPUTED_VALUE"""),FALSE)</f>
        <v>0</v>
      </c>
      <c r="F231" s="68" t="str">
        <f>IFERROR(__xludf.DUMMYFUNCTION("""COMPUTED_VALUE"""),"Free Quests- Part 2!A650:J658")</f>
        <v>Free Quests- Part 2!A650:J658</v>
      </c>
      <c r="G231" s="68">
        <f>IFERROR(__xludf.DUMMYFUNCTION("""COMPUTED_VALUE"""),231.0)</f>
        <v>231</v>
      </c>
      <c r="H231" s="68" t="str">
        <f>IFERROR(__xludf.DUMMYFUNCTION("""COMPUTED_VALUE"""),"Closed")</f>
        <v>Closed</v>
      </c>
      <c r="I231" s="204" t="str">
        <f>IFERROR(__xludf.DUMMYFUNCTION("""COMPUTED_VALUE"""),"Closed")</f>
        <v>Closed</v>
      </c>
      <c r="J231" s="205" t="str">
        <f>IFERROR(__xludf.DUMMYFUNCTION("""COMPUTED_VALUE"""),"Closed")</f>
        <v>Closed</v>
      </c>
      <c r="K231" s="206" t="str">
        <f>IFERROR(__xludf.DUMMYFUNCTION("""COMPUTED_VALUE"""),"Closed")</f>
        <v>Closed</v>
      </c>
      <c r="L231" s="204" t="str">
        <f>IFERROR(__xludf.DUMMYFUNCTION("""COMPUTED_VALUE"""),"Closed")</f>
        <v>Closed</v>
      </c>
      <c r="M231" s="205" t="str">
        <f>IFERROR(__xludf.DUMMYFUNCTION("""COMPUTED_VALUE"""),"Closed")</f>
        <v>Closed</v>
      </c>
      <c r="N231" s="206" t="str">
        <f>IFERROR(__xludf.DUMMYFUNCTION("""COMPUTED_VALUE"""),"Closed")</f>
        <v>Closed</v>
      </c>
      <c r="O231" s="204" t="str">
        <f>IFERROR(__xludf.DUMMYFUNCTION("""COMPUTED_VALUE"""),"Closed")</f>
        <v>Closed</v>
      </c>
      <c r="P231" s="205" t="str">
        <f>IFERROR(__xludf.DUMMYFUNCTION("""COMPUTED_VALUE"""),"Closed")</f>
        <v>Closed</v>
      </c>
      <c r="Q231" s="206" t="str">
        <f>IFERROR(__xludf.DUMMYFUNCTION("""COMPUTED_VALUE"""),"Closed")</f>
        <v>Closed</v>
      </c>
      <c r="R231" s="204" t="str">
        <f>IFERROR(__xludf.DUMMYFUNCTION("""COMPUTED_VALUE"""),"Closed")</f>
        <v>Closed</v>
      </c>
      <c r="S231" s="205" t="str">
        <f>IFERROR(__xludf.DUMMYFUNCTION("""COMPUTED_VALUE"""),"Closed")</f>
        <v>Closed</v>
      </c>
      <c r="T231" s="206" t="str">
        <f>IFERROR(__xludf.DUMMYFUNCTION("""COMPUTED_VALUE"""),"Closed")</f>
        <v>Closed</v>
      </c>
      <c r="U231" s="204" t="str">
        <f>IFERROR(__xludf.DUMMYFUNCTION("""COMPUTED_VALUE"""),"Closed")</f>
        <v>Closed</v>
      </c>
      <c r="V231" s="205" t="str">
        <f>IFERROR(__xludf.DUMMYFUNCTION("""COMPUTED_VALUE"""),"Closed")</f>
        <v>Closed</v>
      </c>
      <c r="W231" s="206" t="str">
        <f>IFERROR(__xludf.DUMMYFUNCTION("""COMPUTED_VALUE"""),"Closed")</f>
        <v>Closed</v>
      </c>
      <c r="X231" s="204" t="str">
        <f>IFERROR(__xludf.DUMMYFUNCTION("""COMPUTED_VALUE"""),"Closed")</f>
        <v>Closed</v>
      </c>
      <c r="Y231" s="205" t="str">
        <f>IFERROR(__xludf.DUMMYFUNCTION("""COMPUTED_VALUE"""),"Closed")</f>
        <v>Closed</v>
      </c>
      <c r="Z231" s="206" t="str">
        <f>IFERROR(__xludf.DUMMYFUNCTION("""COMPUTED_VALUE"""),"Closed")</f>
        <v>Closed</v>
      </c>
      <c r="AA231" s="204" t="str">
        <f>IFERROR(__xludf.DUMMYFUNCTION("""COMPUTED_VALUE"""),"Closed")</f>
        <v>Closed</v>
      </c>
      <c r="AB231" s="205" t="str">
        <f>IFERROR(__xludf.DUMMYFUNCTION("""COMPUTED_VALUE"""),"Closed")</f>
        <v>Closed</v>
      </c>
      <c r="AC231" s="206" t="str">
        <f>IFERROR(__xludf.DUMMYFUNCTION("""COMPUTED_VALUE"""),"Closed")</f>
        <v>Closed</v>
      </c>
      <c r="AD231" s="204" t="str">
        <f>IFERROR(__xludf.DUMMYFUNCTION("""COMPUTED_VALUE"""),"Closed")</f>
        <v>Closed</v>
      </c>
      <c r="AE231" s="205" t="str">
        <f>IFERROR(__xludf.DUMMYFUNCTION("""COMPUTED_VALUE"""),"Closed")</f>
        <v>Closed</v>
      </c>
      <c r="AF231" s="206" t="str">
        <f>IFERROR(__xludf.DUMMYFUNCTION("""COMPUTED_VALUE"""),"Closed")</f>
        <v>Closed</v>
      </c>
      <c r="AG231" s="204" t="str">
        <f>IFERROR(__xludf.DUMMYFUNCTION("""COMPUTED_VALUE"""),"Closed")</f>
        <v>Closed</v>
      </c>
      <c r="AH231" s="205" t="str">
        <f>IFERROR(__xludf.DUMMYFUNCTION("""COMPUTED_VALUE"""),"Closed")</f>
        <v>Closed</v>
      </c>
      <c r="AI231" s="206" t="str">
        <f>IFERROR(__xludf.DUMMYFUNCTION("""COMPUTED_VALUE"""),"Closed")</f>
        <v>Closed</v>
      </c>
      <c r="AJ231" s="204" t="str">
        <f>IFERROR(__xludf.DUMMYFUNCTION("""COMPUTED_VALUE"""),"Closed")</f>
        <v>Closed</v>
      </c>
      <c r="AK231" s="205" t="str">
        <f>IFERROR(__xludf.DUMMYFUNCTION("""COMPUTED_VALUE"""),"Closed")</f>
        <v>Closed</v>
      </c>
      <c r="AL231" s="206" t="str">
        <f>IFERROR(__xludf.DUMMYFUNCTION("""COMPUTED_VALUE"""),"Closed")</f>
        <v>Closed</v>
      </c>
      <c r="AM231" s="204" t="str">
        <f>IFERROR(__xludf.DUMMYFUNCTION("""COMPUTED_VALUE"""),"Closed")</f>
        <v>Closed</v>
      </c>
      <c r="AN231" s="205" t="str">
        <f>IFERROR(__xludf.DUMMYFUNCTION("""COMPUTED_VALUE"""),"Closed")</f>
        <v>Closed</v>
      </c>
      <c r="AO231" s="206" t="str">
        <f>IFERROR(__xludf.DUMMYFUNCTION("""COMPUTED_VALUE"""),"Closed")</f>
        <v>Closed</v>
      </c>
      <c r="AP231" s="204" t="str">
        <f>IFERROR(__xludf.DUMMYFUNCTION("""COMPUTED_VALUE"""),"Closed")</f>
        <v>Closed</v>
      </c>
      <c r="AQ231" s="205" t="str">
        <f>IFERROR(__xludf.DUMMYFUNCTION("""COMPUTED_VALUE"""),"Closed")</f>
        <v>Closed</v>
      </c>
      <c r="AR231" s="206" t="str">
        <f>IFERROR(__xludf.DUMMYFUNCTION("""COMPUTED_VALUE"""),"Closed")</f>
        <v>Closed</v>
      </c>
      <c r="AS231" s="204" t="str">
        <f>IFERROR(__xludf.DUMMYFUNCTION("""COMPUTED_VALUE"""),"Closed")</f>
        <v>Closed</v>
      </c>
      <c r="AT231" s="205" t="str">
        <f>IFERROR(__xludf.DUMMYFUNCTION("""COMPUTED_VALUE"""),"Closed")</f>
        <v>Closed</v>
      </c>
      <c r="AU231" s="206" t="str">
        <f>IFERROR(__xludf.DUMMYFUNCTION("""COMPUTED_VALUE"""),"Closed")</f>
        <v>Closed</v>
      </c>
      <c r="AV231" s="204" t="str">
        <f>IFERROR(__xludf.DUMMYFUNCTION("""COMPUTED_VALUE"""),"Closed")</f>
        <v>Closed</v>
      </c>
      <c r="AW231" s="205" t="str">
        <f>IFERROR(__xludf.DUMMYFUNCTION("""COMPUTED_VALUE"""),"Closed")</f>
        <v>Closed</v>
      </c>
      <c r="AX231" s="206" t="str">
        <f>IFERROR(__xludf.DUMMYFUNCTION("""COMPUTED_VALUE"""),"Closed")</f>
        <v>Closed</v>
      </c>
      <c r="AY231" s="204" t="str">
        <f>IFERROR(__xludf.DUMMYFUNCTION("""COMPUTED_VALUE"""),"Closed")</f>
        <v>Closed</v>
      </c>
      <c r="AZ231" s="205" t="str">
        <f>IFERROR(__xludf.DUMMYFUNCTION("""COMPUTED_VALUE"""),"Closed")</f>
        <v>Closed</v>
      </c>
      <c r="BA231" s="206" t="str">
        <f>IFERROR(__xludf.DUMMYFUNCTION("""COMPUTED_VALUE"""),"Closed")</f>
        <v>Closed</v>
      </c>
      <c r="BB231" s="204" t="str">
        <f>IFERROR(__xludf.DUMMYFUNCTION("""COMPUTED_VALUE"""),"Closed")</f>
        <v>Closed</v>
      </c>
      <c r="BC231" s="205" t="str">
        <f>IFERROR(__xludf.DUMMYFUNCTION("""COMPUTED_VALUE"""),"Closed")</f>
        <v>Closed</v>
      </c>
      <c r="BD231" s="206" t="str">
        <f>IFERROR(__xludf.DUMMYFUNCTION("""COMPUTED_VALUE"""),"Closed")</f>
        <v>Closed</v>
      </c>
      <c r="BE231" s="204" t="str">
        <f>IFERROR(__xludf.DUMMYFUNCTION("""COMPUTED_VALUE"""),"Closed")</f>
        <v>Closed</v>
      </c>
      <c r="BF231" s="205" t="str">
        <f>IFERROR(__xludf.DUMMYFUNCTION("""COMPUTED_VALUE"""),"Closed")</f>
        <v>Closed</v>
      </c>
      <c r="BG231" s="206" t="str">
        <f>IFERROR(__xludf.DUMMYFUNCTION("""COMPUTED_VALUE"""),"Closed")</f>
        <v>Closed</v>
      </c>
      <c r="BH231" s="204" t="str">
        <f>IFERROR(__xludf.DUMMYFUNCTION("""COMPUTED_VALUE"""),"Closed")</f>
        <v>Closed</v>
      </c>
      <c r="BI231" s="205" t="str">
        <f>IFERROR(__xludf.DUMMYFUNCTION("""COMPUTED_VALUE"""),"Closed")</f>
        <v>Closed</v>
      </c>
      <c r="BJ231" s="206" t="str">
        <f>IFERROR(__xludf.DUMMYFUNCTION("""COMPUTED_VALUE"""),"Closed")</f>
        <v>Closed</v>
      </c>
      <c r="BK231" s="204" t="str">
        <f>IFERROR(__xludf.DUMMYFUNCTION("""COMPUTED_VALUE"""),"Closed")</f>
        <v>Closed</v>
      </c>
      <c r="BL231" s="205" t="str">
        <f>IFERROR(__xludf.DUMMYFUNCTION("""COMPUTED_VALUE"""),"Closed")</f>
        <v>Closed</v>
      </c>
      <c r="BM231" s="206" t="str">
        <f>IFERROR(__xludf.DUMMYFUNCTION("""COMPUTED_VALUE"""),"Closed")</f>
        <v>Closed</v>
      </c>
      <c r="BN231" s="204" t="str">
        <f>IFERROR(__xludf.DUMMYFUNCTION("""COMPUTED_VALUE"""),"Closed")</f>
        <v>Closed</v>
      </c>
      <c r="BO231" s="205" t="str">
        <f>IFERROR(__xludf.DUMMYFUNCTION("""COMPUTED_VALUE"""),"Closed")</f>
        <v>Closed</v>
      </c>
      <c r="BP231" s="206" t="str">
        <f>IFERROR(__xludf.DUMMYFUNCTION("""COMPUTED_VALUE"""),"Closed")</f>
        <v>Closed</v>
      </c>
      <c r="BQ231" s="204" t="str">
        <f>IFERROR(__xludf.DUMMYFUNCTION("""COMPUTED_VALUE"""),"Closed")</f>
        <v>Closed</v>
      </c>
      <c r="BR231" s="205" t="str">
        <f>IFERROR(__xludf.DUMMYFUNCTION("""COMPUTED_VALUE"""),"Closed")</f>
        <v>Closed</v>
      </c>
      <c r="BS231" s="206" t="str">
        <f>IFERROR(__xludf.DUMMYFUNCTION("""COMPUTED_VALUE"""),"Closed")</f>
        <v>Closed</v>
      </c>
      <c r="BT231" s="204" t="str">
        <f>IFERROR(__xludf.DUMMYFUNCTION("""COMPUTED_VALUE"""),"Closed")</f>
        <v>Closed</v>
      </c>
      <c r="BU231" s="205" t="str">
        <f>IFERROR(__xludf.DUMMYFUNCTION("""COMPUTED_VALUE"""),"Closed")</f>
        <v>Closed</v>
      </c>
      <c r="BV231" s="206" t="str">
        <f>IFERROR(__xludf.DUMMYFUNCTION("""COMPUTED_VALUE"""),"Closed")</f>
        <v>Closed</v>
      </c>
      <c r="BW231" s="204" t="str">
        <f>IFERROR(__xludf.DUMMYFUNCTION("""COMPUTED_VALUE"""),"Closed")</f>
        <v>Closed</v>
      </c>
      <c r="BX231" s="205" t="str">
        <f>IFERROR(__xludf.DUMMYFUNCTION("""COMPUTED_VALUE"""),"Closed")</f>
        <v>Closed</v>
      </c>
      <c r="BY231" s="206" t="str">
        <f>IFERROR(__xludf.DUMMYFUNCTION("""COMPUTED_VALUE"""),"Closed")</f>
        <v>Closed</v>
      </c>
      <c r="BZ231" s="204" t="str">
        <f>IFERROR(__xludf.DUMMYFUNCTION("""COMPUTED_VALUE"""),"Closed")</f>
        <v>Closed</v>
      </c>
      <c r="CA231" s="205" t="str">
        <f>IFERROR(__xludf.DUMMYFUNCTION("""COMPUTED_VALUE"""),"Closed")</f>
        <v>Closed</v>
      </c>
      <c r="CB231" s="206" t="str">
        <f>IFERROR(__xludf.DUMMYFUNCTION("""COMPUTED_VALUE"""),"Closed")</f>
        <v>Closed</v>
      </c>
      <c r="CC231" s="204" t="str">
        <f>IFERROR(__xludf.DUMMYFUNCTION("""COMPUTED_VALUE"""),"Closed")</f>
        <v>Closed</v>
      </c>
      <c r="CD231" s="205" t="str">
        <f>IFERROR(__xludf.DUMMYFUNCTION("""COMPUTED_VALUE"""),"Closed")</f>
        <v>Closed</v>
      </c>
      <c r="CE231" s="206" t="str">
        <f>IFERROR(__xludf.DUMMYFUNCTION("""COMPUTED_VALUE"""),"Closed")</f>
        <v>Closed</v>
      </c>
      <c r="CF231" s="204" t="str">
        <f>IFERROR(__xludf.DUMMYFUNCTION("""COMPUTED_VALUE"""),"Closed")</f>
        <v>Closed</v>
      </c>
      <c r="CG231" s="205" t="str">
        <f>IFERROR(__xludf.DUMMYFUNCTION("""COMPUTED_VALUE"""),"Closed")</f>
        <v>Closed</v>
      </c>
      <c r="CH231" s="205" t="str">
        <f>IFERROR(__xludf.DUMMYFUNCTION("""COMPUTED_VALUE"""),"Closed")</f>
        <v>Closed</v>
      </c>
      <c r="CI231" s="204" t="str">
        <f>IFERROR(__xludf.DUMMYFUNCTION("""COMPUTED_VALUE"""),"Closed")</f>
        <v>Closed</v>
      </c>
      <c r="CJ231" s="205" t="str">
        <f>IFERROR(__xludf.DUMMYFUNCTION("""COMPUTED_VALUE"""),"Closed")</f>
        <v>Closed</v>
      </c>
      <c r="CK231" s="205" t="str">
        <f>IFERROR(__xludf.DUMMYFUNCTION("""COMPUTED_VALUE"""),"Closed")</f>
        <v>Closed</v>
      </c>
      <c r="CL231" s="204" t="str">
        <f>IFERROR(__xludf.DUMMYFUNCTION("""COMPUTED_VALUE"""),"Closed")</f>
        <v>Closed</v>
      </c>
      <c r="CM231" s="205" t="str">
        <f>IFERROR(__xludf.DUMMYFUNCTION("""COMPUTED_VALUE"""),"Closed")</f>
        <v>Closed</v>
      </c>
      <c r="CN231" s="205" t="str">
        <f>IFERROR(__xludf.DUMMYFUNCTION("""COMPUTED_VALUE"""),"Closed")</f>
        <v>Closed</v>
      </c>
      <c r="CO231" s="204" t="str">
        <f>IFERROR(__xludf.DUMMYFUNCTION("""COMPUTED_VALUE"""),"Closed")</f>
        <v>Closed</v>
      </c>
      <c r="CP231" s="205" t="str">
        <f>IFERROR(__xludf.DUMMYFUNCTION("""COMPUTED_VALUE"""),"Closed")</f>
        <v>Closed</v>
      </c>
      <c r="CQ231" s="205" t="str">
        <f>IFERROR(__xludf.DUMMYFUNCTION("""COMPUTED_VALUE"""),"Closed")</f>
        <v>Closed</v>
      </c>
      <c r="CR231" s="204" t="str">
        <f>IFERROR(__xludf.DUMMYFUNCTION("""COMPUTED_VALUE"""),"Closed")</f>
        <v>Closed</v>
      </c>
      <c r="CS231" s="205" t="str">
        <f>IFERROR(__xludf.DUMMYFUNCTION("""COMPUTED_VALUE"""),"Closed")</f>
        <v>Closed</v>
      </c>
      <c r="CT231" s="205" t="str">
        <f>IFERROR(__xludf.DUMMYFUNCTION("""COMPUTED_VALUE"""),"Closed")</f>
        <v>Closed</v>
      </c>
      <c r="CU231" s="204" t="str">
        <f>IFERROR(__xludf.DUMMYFUNCTION("""COMPUTED_VALUE"""),"Closed")</f>
        <v>Closed</v>
      </c>
      <c r="CV231" s="205" t="str">
        <f>IFERROR(__xludf.DUMMYFUNCTION("""COMPUTED_VALUE"""),"Closed")</f>
        <v>Closed</v>
      </c>
      <c r="CW231" s="206" t="str">
        <f>IFERROR(__xludf.DUMMYFUNCTION("""COMPUTED_VALUE"""),"Closed")</f>
        <v>Closed</v>
      </c>
      <c r="CX231" s="205" t="str">
        <f>IFERROR(__xludf.DUMMYFUNCTION("""COMPUTED_VALUE"""),"Closed")</f>
        <v>Closed</v>
      </c>
      <c r="CY231" s="205" t="str">
        <f>IFERROR(__xludf.DUMMYFUNCTION("""COMPUTED_VALUE"""),"Closed")</f>
        <v>Closed</v>
      </c>
      <c r="CZ231" s="206" t="str">
        <f>IFERROR(__xludf.DUMMYFUNCTION("""COMPUTED_VALUE"""),"Closed")</f>
        <v>Closed</v>
      </c>
      <c r="DA231" s="204" t="str">
        <f>IFERROR(__xludf.DUMMYFUNCTION("""COMPUTED_VALUE"""),"Closed")</f>
        <v>Closed</v>
      </c>
      <c r="DB231" s="205" t="str">
        <f>IFERROR(__xludf.DUMMYFUNCTION("""COMPUTED_VALUE"""),"Closed")</f>
        <v>Closed</v>
      </c>
      <c r="DC231" s="206" t="str">
        <f>IFERROR(__xludf.DUMMYFUNCTION("""COMPUTED_VALUE"""),"Closed")</f>
        <v>Closed</v>
      </c>
      <c r="DD231" s="204" t="str">
        <f>IFERROR(__xludf.DUMMYFUNCTION("""COMPUTED_VALUE"""),"Closed")</f>
        <v>Closed</v>
      </c>
      <c r="DE231" s="205" t="str">
        <f>IFERROR(__xludf.DUMMYFUNCTION("""COMPUTED_VALUE"""),"Closed")</f>
        <v>Closed</v>
      </c>
      <c r="DF231" s="206" t="str">
        <f>IFERROR(__xludf.DUMMYFUNCTION("""COMPUTED_VALUE"""),"Closed")</f>
        <v>Closed</v>
      </c>
      <c r="DG231" s="204" t="str">
        <f>IFERROR(__xludf.DUMMYFUNCTION("""COMPUTED_VALUE"""),"Closed")</f>
        <v>Closed</v>
      </c>
      <c r="DH231" s="205" t="str">
        <f>IFERROR(__xludf.DUMMYFUNCTION("""COMPUTED_VALUE"""),"Closed")</f>
        <v>Closed</v>
      </c>
      <c r="DI231" s="206" t="str">
        <f>IFERROR(__xludf.DUMMYFUNCTION("""COMPUTED_VALUE"""),"Closed")</f>
        <v>Closed</v>
      </c>
      <c r="DJ231" s="204" t="str">
        <f>IFERROR(__xludf.DUMMYFUNCTION("""COMPUTED_VALUE"""),"Closed")</f>
        <v>Closed</v>
      </c>
      <c r="DK231" s="205" t="str">
        <f>IFERROR(__xludf.DUMMYFUNCTION("""COMPUTED_VALUE"""),"Closed")</f>
        <v>Closed</v>
      </c>
      <c r="DL231" s="206" t="str">
        <f>IFERROR(__xludf.DUMMYFUNCTION("""COMPUTED_VALUE"""),"Closed")</f>
        <v>Closed</v>
      </c>
      <c r="DM231" s="204" t="str">
        <f>IFERROR(__xludf.DUMMYFUNCTION("""COMPUTED_VALUE"""),"Closed")</f>
        <v>Closed</v>
      </c>
      <c r="DN231" s="205" t="str">
        <f>IFERROR(__xludf.DUMMYFUNCTION("""COMPUTED_VALUE"""),"Closed")</f>
        <v>Closed</v>
      </c>
      <c r="DO231" s="206" t="str">
        <f>IFERROR(__xludf.DUMMYFUNCTION("""COMPUTED_VALUE"""),"Closed")</f>
        <v>Closed</v>
      </c>
      <c r="DP231" s="204" t="str">
        <f>IFERROR(__xludf.DUMMYFUNCTION("""COMPUTED_VALUE"""),"Closed")</f>
        <v>Closed</v>
      </c>
      <c r="DQ231" s="205" t="str">
        <f>IFERROR(__xludf.DUMMYFUNCTION("""COMPUTED_VALUE"""),"Closed")</f>
        <v>Closed</v>
      </c>
      <c r="DR231" s="206"/>
      <c r="DS231" s="204"/>
    </row>
    <row r="232" hidden="1">
      <c r="B232" s="189" t="str">
        <f>IFERROR(__xludf.DUMMYFUNCTION("""COMPUTED_VALUE"""),"ATL5")</f>
        <v>ATL5</v>
      </c>
      <c r="C232" s="239" t="str">
        <f>IFERROR(__xludf.DUMMYFUNCTION("""COMPUTED_VALUE"""),"Astraea Island")</f>
        <v>Astraea Island</v>
      </c>
      <c r="D232" s="240">
        <f>IFERROR(__xludf.DUMMYFUNCTION("""COMPUTED_VALUE"""),21.0)</f>
        <v>21</v>
      </c>
      <c r="E232" s="190" t="b">
        <f>IFERROR(__xludf.DUMMYFUNCTION("""COMPUTED_VALUE"""),FALSE)</f>
        <v>0</v>
      </c>
      <c r="F232" s="190" t="str">
        <f>IFERROR(__xludf.DUMMYFUNCTION("""COMPUTED_VALUE"""),"Free Quests- Part 2!A662:J671")</f>
        <v>Free Quests- Part 2!A662:J671</v>
      </c>
      <c r="G232" s="190">
        <f>IFERROR(__xludf.DUMMYFUNCTION("""COMPUTED_VALUE"""),232.0)</f>
        <v>232</v>
      </c>
      <c r="H232" s="190" t="str">
        <f>IFERROR(__xludf.DUMMYFUNCTION("""COMPUTED_VALUE"""),"Closed")</f>
        <v>Closed</v>
      </c>
      <c r="I232" s="194" t="str">
        <f>IFERROR(__xludf.DUMMYFUNCTION("""COMPUTED_VALUE"""),"Closed")</f>
        <v>Closed</v>
      </c>
      <c r="J232" s="195" t="str">
        <f>IFERROR(__xludf.DUMMYFUNCTION("""COMPUTED_VALUE"""),"Closed")</f>
        <v>Closed</v>
      </c>
      <c r="K232" s="196" t="str">
        <f>IFERROR(__xludf.DUMMYFUNCTION("""COMPUTED_VALUE"""),"Closed")</f>
        <v>Closed</v>
      </c>
      <c r="L232" s="194" t="str">
        <f>IFERROR(__xludf.DUMMYFUNCTION("""COMPUTED_VALUE"""),"Closed")</f>
        <v>Closed</v>
      </c>
      <c r="M232" s="195" t="str">
        <f>IFERROR(__xludf.DUMMYFUNCTION("""COMPUTED_VALUE"""),"Closed")</f>
        <v>Closed</v>
      </c>
      <c r="N232" s="196" t="str">
        <f>IFERROR(__xludf.DUMMYFUNCTION("""COMPUTED_VALUE"""),"Closed")</f>
        <v>Closed</v>
      </c>
      <c r="O232" s="194" t="str">
        <f>IFERROR(__xludf.DUMMYFUNCTION("""COMPUTED_VALUE"""),"Closed")</f>
        <v>Closed</v>
      </c>
      <c r="P232" s="195" t="str">
        <f>IFERROR(__xludf.DUMMYFUNCTION("""COMPUTED_VALUE"""),"Closed")</f>
        <v>Closed</v>
      </c>
      <c r="Q232" s="196" t="str">
        <f>IFERROR(__xludf.DUMMYFUNCTION("""COMPUTED_VALUE"""),"Closed")</f>
        <v>Closed</v>
      </c>
      <c r="R232" s="194" t="str">
        <f>IFERROR(__xludf.DUMMYFUNCTION("""COMPUTED_VALUE"""),"Closed")</f>
        <v>Closed</v>
      </c>
      <c r="S232" s="195" t="str">
        <f>IFERROR(__xludf.DUMMYFUNCTION("""COMPUTED_VALUE"""),"Closed")</f>
        <v>Closed</v>
      </c>
      <c r="T232" s="196" t="str">
        <f>IFERROR(__xludf.DUMMYFUNCTION("""COMPUTED_VALUE"""),"Closed")</f>
        <v>Closed</v>
      </c>
      <c r="U232" s="194" t="str">
        <f>IFERROR(__xludf.DUMMYFUNCTION("""COMPUTED_VALUE"""),"Closed")</f>
        <v>Closed</v>
      </c>
      <c r="V232" s="195" t="str">
        <f>IFERROR(__xludf.DUMMYFUNCTION("""COMPUTED_VALUE"""),"Closed")</f>
        <v>Closed</v>
      </c>
      <c r="W232" s="196" t="str">
        <f>IFERROR(__xludf.DUMMYFUNCTION("""COMPUTED_VALUE"""),"Closed")</f>
        <v>Closed</v>
      </c>
      <c r="X232" s="194" t="str">
        <f>IFERROR(__xludf.DUMMYFUNCTION("""COMPUTED_VALUE"""),"Closed")</f>
        <v>Closed</v>
      </c>
      <c r="Y232" s="195" t="str">
        <f>IFERROR(__xludf.DUMMYFUNCTION("""COMPUTED_VALUE"""),"Closed")</f>
        <v>Closed</v>
      </c>
      <c r="Z232" s="196" t="str">
        <f>IFERROR(__xludf.DUMMYFUNCTION("""COMPUTED_VALUE"""),"Closed")</f>
        <v>Closed</v>
      </c>
      <c r="AA232" s="194" t="str">
        <f>IFERROR(__xludf.DUMMYFUNCTION("""COMPUTED_VALUE"""),"Closed")</f>
        <v>Closed</v>
      </c>
      <c r="AB232" s="195" t="str">
        <f>IFERROR(__xludf.DUMMYFUNCTION("""COMPUTED_VALUE"""),"Closed")</f>
        <v>Closed</v>
      </c>
      <c r="AC232" s="196" t="str">
        <f>IFERROR(__xludf.DUMMYFUNCTION("""COMPUTED_VALUE"""),"Closed")</f>
        <v>Closed</v>
      </c>
      <c r="AD232" s="194" t="str">
        <f>IFERROR(__xludf.DUMMYFUNCTION("""COMPUTED_VALUE"""),"Closed")</f>
        <v>Closed</v>
      </c>
      <c r="AE232" s="195" t="str">
        <f>IFERROR(__xludf.DUMMYFUNCTION("""COMPUTED_VALUE"""),"Closed")</f>
        <v>Closed</v>
      </c>
      <c r="AF232" s="196" t="str">
        <f>IFERROR(__xludf.DUMMYFUNCTION("""COMPUTED_VALUE"""),"Closed")</f>
        <v>Closed</v>
      </c>
      <c r="AG232" s="194" t="str">
        <f>IFERROR(__xludf.DUMMYFUNCTION("""COMPUTED_VALUE"""),"Closed")</f>
        <v>Closed</v>
      </c>
      <c r="AH232" s="195" t="str">
        <f>IFERROR(__xludf.DUMMYFUNCTION("""COMPUTED_VALUE"""),"Closed")</f>
        <v>Closed</v>
      </c>
      <c r="AI232" s="196" t="str">
        <f>IFERROR(__xludf.DUMMYFUNCTION("""COMPUTED_VALUE"""),"Closed")</f>
        <v>Closed</v>
      </c>
      <c r="AJ232" s="194" t="str">
        <f>IFERROR(__xludf.DUMMYFUNCTION("""COMPUTED_VALUE"""),"Closed")</f>
        <v>Closed</v>
      </c>
      <c r="AK232" s="195" t="str">
        <f>IFERROR(__xludf.DUMMYFUNCTION("""COMPUTED_VALUE"""),"Closed")</f>
        <v>Closed</v>
      </c>
      <c r="AL232" s="196" t="str">
        <f>IFERROR(__xludf.DUMMYFUNCTION("""COMPUTED_VALUE"""),"Closed")</f>
        <v>Closed</v>
      </c>
      <c r="AM232" s="194" t="str">
        <f>IFERROR(__xludf.DUMMYFUNCTION("""COMPUTED_VALUE"""),"Closed")</f>
        <v>Closed</v>
      </c>
      <c r="AN232" s="195" t="str">
        <f>IFERROR(__xludf.DUMMYFUNCTION("""COMPUTED_VALUE"""),"Closed")</f>
        <v>Closed</v>
      </c>
      <c r="AO232" s="196" t="str">
        <f>IFERROR(__xludf.DUMMYFUNCTION("""COMPUTED_VALUE"""),"Closed")</f>
        <v>Closed</v>
      </c>
      <c r="AP232" s="194" t="str">
        <f>IFERROR(__xludf.DUMMYFUNCTION("""COMPUTED_VALUE"""),"Closed")</f>
        <v>Closed</v>
      </c>
      <c r="AQ232" s="195" t="str">
        <f>IFERROR(__xludf.DUMMYFUNCTION("""COMPUTED_VALUE"""),"Closed")</f>
        <v>Closed</v>
      </c>
      <c r="AR232" s="196" t="str">
        <f>IFERROR(__xludf.DUMMYFUNCTION("""COMPUTED_VALUE"""),"Closed")</f>
        <v>Closed</v>
      </c>
      <c r="AS232" s="194" t="str">
        <f>IFERROR(__xludf.DUMMYFUNCTION("""COMPUTED_VALUE"""),"Closed")</f>
        <v>Closed</v>
      </c>
      <c r="AT232" s="195" t="str">
        <f>IFERROR(__xludf.DUMMYFUNCTION("""COMPUTED_VALUE"""),"Closed")</f>
        <v>Closed</v>
      </c>
      <c r="AU232" s="196" t="str">
        <f>IFERROR(__xludf.DUMMYFUNCTION("""COMPUTED_VALUE"""),"Closed")</f>
        <v>Closed</v>
      </c>
      <c r="AV232" s="194" t="str">
        <f>IFERROR(__xludf.DUMMYFUNCTION("""COMPUTED_VALUE"""),"Closed")</f>
        <v>Closed</v>
      </c>
      <c r="AW232" s="195" t="str">
        <f>IFERROR(__xludf.DUMMYFUNCTION("""COMPUTED_VALUE"""),"Closed")</f>
        <v>Closed</v>
      </c>
      <c r="AX232" s="196" t="str">
        <f>IFERROR(__xludf.DUMMYFUNCTION("""COMPUTED_VALUE"""),"Closed")</f>
        <v>Closed</v>
      </c>
      <c r="AY232" s="194" t="str">
        <f>IFERROR(__xludf.DUMMYFUNCTION("""COMPUTED_VALUE"""),"Closed")</f>
        <v>Closed</v>
      </c>
      <c r="AZ232" s="195" t="str">
        <f>IFERROR(__xludf.DUMMYFUNCTION("""COMPUTED_VALUE"""),"Closed")</f>
        <v>Closed</v>
      </c>
      <c r="BA232" s="196" t="str">
        <f>IFERROR(__xludf.DUMMYFUNCTION("""COMPUTED_VALUE"""),"Closed")</f>
        <v>Closed</v>
      </c>
      <c r="BB232" s="194" t="str">
        <f>IFERROR(__xludf.DUMMYFUNCTION("""COMPUTED_VALUE"""),"Closed")</f>
        <v>Closed</v>
      </c>
      <c r="BC232" s="195" t="str">
        <f>IFERROR(__xludf.DUMMYFUNCTION("""COMPUTED_VALUE"""),"Closed")</f>
        <v>Closed</v>
      </c>
      <c r="BD232" s="196" t="str">
        <f>IFERROR(__xludf.DUMMYFUNCTION("""COMPUTED_VALUE"""),"Closed")</f>
        <v>Closed</v>
      </c>
      <c r="BE232" s="194" t="str">
        <f>IFERROR(__xludf.DUMMYFUNCTION("""COMPUTED_VALUE"""),"Closed")</f>
        <v>Closed</v>
      </c>
      <c r="BF232" s="195" t="str">
        <f>IFERROR(__xludf.DUMMYFUNCTION("""COMPUTED_VALUE"""),"Closed")</f>
        <v>Closed</v>
      </c>
      <c r="BG232" s="196" t="str">
        <f>IFERROR(__xludf.DUMMYFUNCTION("""COMPUTED_VALUE"""),"Closed")</f>
        <v>Closed</v>
      </c>
      <c r="BH232" s="194" t="str">
        <f>IFERROR(__xludf.DUMMYFUNCTION("""COMPUTED_VALUE"""),"Closed")</f>
        <v>Closed</v>
      </c>
      <c r="BI232" s="195" t="str">
        <f>IFERROR(__xludf.DUMMYFUNCTION("""COMPUTED_VALUE"""),"Closed")</f>
        <v>Closed</v>
      </c>
      <c r="BJ232" s="196" t="str">
        <f>IFERROR(__xludf.DUMMYFUNCTION("""COMPUTED_VALUE"""),"Closed")</f>
        <v>Closed</v>
      </c>
      <c r="BK232" s="194" t="str">
        <f>IFERROR(__xludf.DUMMYFUNCTION("""COMPUTED_VALUE"""),"Closed")</f>
        <v>Closed</v>
      </c>
      <c r="BL232" s="195" t="str">
        <f>IFERROR(__xludf.DUMMYFUNCTION("""COMPUTED_VALUE"""),"Closed")</f>
        <v>Closed</v>
      </c>
      <c r="BM232" s="196" t="str">
        <f>IFERROR(__xludf.DUMMYFUNCTION("""COMPUTED_VALUE"""),"Closed")</f>
        <v>Closed</v>
      </c>
      <c r="BN232" s="194" t="str">
        <f>IFERROR(__xludf.DUMMYFUNCTION("""COMPUTED_VALUE"""),"Closed")</f>
        <v>Closed</v>
      </c>
      <c r="BO232" s="195" t="str">
        <f>IFERROR(__xludf.DUMMYFUNCTION("""COMPUTED_VALUE"""),"Closed")</f>
        <v>Closed</v>
      </c>
      <c r="BP232" s="196" t="str">
        <f>IFERROR(__xludf.DUMMYFUNCTION("""COMPUTED_VALUE"""),"Closed")</f>
        <v>Closed</v>
      </c>
      <c r="BQ232" s="194" t="str">
        <f>IFERROR(__xludf.DUMMYFUNCTION("""COMPUTED_VALUE"""),"Closed")</f>
        <v>Closed</v>
      </c>
      <c r="BR232" s="195" t="str">
        <f>IFERROR(__xludf.DUMMYFUNCTION("""COMPUTED_VALUE"""),"Closed")</f>
        <v>Closed</v>
      </c>
      <c r="BS232" s="196" t="str">
        <f>IFERROR(__xludf.DUMMYFUNCTION("""COMPUTED_VALUE"""),"Closed")</f>
        <v>Closed</v>
      </c>
      <c r="BT232" s="194" t="str">
        <f>IFERROR(__xludf.DUMMYFUNCTION("""COMPUTED_VALUE"""),"Closed")</f>
        <v>Closed</v>
      </c>
      <c r="BU232" s="195" t="str">
        <f>IFERROR(__xludf.DUMMYFUNCTION("""COMPUTED_VALUE"""),"Closed")</f>
        <v>Closed</v>
      </c>
      <c r="BV232" s="196" t="str">
        <f>IFERROR(__xludf.DUMMYFUNCTION("""COMPUTED_VALUE"""),"Closed")</f>
        <v>Closed</v>
      </c>
      <c r="BW232" s="194" t="str">
        <f>IFERROR(__xludf.DUMMYFUNCTION("""COMPUTED_VALUE"""),"Closed")</f>
        <v>Closed</v>
      </c>
      <c r="BX232" s="195" t="str">
        <f>IFERROR(__xludf.DUMMYFUNCTION("""COMPUTED_VALUE"""),"Closed")</f>
        <v>Closed</v>
      </c>
      <c r="BY232" s="196" t="str">
        <f>IFERROR(__xludf.DUMMYFUNCTION("""COMPUTED_VALUE"""),"Closed")</f>
        <v>Closed</v>
      </c>
      <c r="BZ232" s="194" t="str">
        <f>IFERROR(__xludf.DUMMYFUNCTION("""COMPUTED_VALUE"""),"Closed")</f>
        <v>Closed</v>
      </c>
      <c r="CA232" s="195" t="str">
        <f>IFERROR(__xludf.DUMMYFUNCTION("""COMPUTED_VALUE"""),"Closed")</f>
        <v>Closed</v>
      </c>
      <c r="CB232" s="196" t="str">
        <f>IFERROR(__xludf.DUMMYFUNCTION("""COMPUTED_VALUE"""),"Closed")</f>
        <v>Closed</v>
      </c>
      <c r="CC232" s="194" t="str">
        <f>IFERROR(__xludf.DUMMYFUNCTION("""COMPUTED_VALUE"""),"Closed")</f>
        <v>Closed</v>
      </c>
      <c r="CD232" s="195" t="str">
        <f>IFERROR(__xludf.DUMMYFUNCTION("""COMPUTED_VALUE"""),"Closed")</f>
        <v>Closed</v>
      </c>
      <c r="CE232" s="196" t="str">
        <f>IFERROR(__xludf.DUMMYFUNCTION("""COMPUTED_VALUE"""),"Closed")</f>
        <v>Closed</v>
      </c>
      <c r="CF232" s="194" t="str">
        <f>IFERROR(__xludf.DUMMYFUNCTION("""COMPUTED_VALUE"""),"Closed")</f>
        <v>Closed</v>
      </c>
      <c r="CG232" s="195" t="str">
        <f>IFERROR(__xludf.DUMMYFUNCTION("""COMPUTED_VALUE"""),"Closed")</f>
        <v>Closed</v>
      </c>
      <c r="CH232" s="195" t="str">
        <f>IFERROR(__xludf.DUMMYFUNCTION("""COMPUTED_VALUE"""),"Closed")</f>
        <v>Closed</v>
      </c>
      <c r="CI232" s="194" t="str">
        <f>IFERROR(__xludf.DUMMYFUNCTION("""COMPUTED_VALUE"""),"Closed")</f>
        <v>Closed</v>
      </c>
      <c r="CJ232" s="195" t="str">
        <f>IFERROR(__xludf.DUMMYFUNCTION("""COMPUTED_VALUE"""),"Closed")</f>
        <v>Closed</v>
      </c>
      <c r="CK232" s="195" t="str">
        <f>IFERROR(__xludf.DUMMYFUNCTION("""COMPUTED_VALUE"""),"Closed")</f>
        <v>Closed</v>
      </c>
      <c r="CL232" s="194" t="str">
        <f>IFERROR(__xludf.DUMMYFUNCTION("""COMPUTED_VALUE"""),"Closed")</f>
        <v>Closed</v>
      </c>
      <c r="CM232" s="195" t="str">
        <f>IFERROR(__xludf.DUMMYFUNCTION("""COMPUTED_VALUE"""),"Closed")</f>
        <v>Closed</v>
      </c>
      <c r="CN232" s="195" t="str">
        <f>IFERROR(__xludf.DUMMYFUNCTION("""COMPUTED_VALUE"""),"Closed")</f>
        <v>Closed</v>
      </c>
      <c r="CO232" s="194" t="str">
        <f>IFERROR(__xludf.DUMMYFUNCTION("""COMPUTED_VALUE"""),"Closed")</f>
        <v>Closed</v>
      </c>
      <c r="CP232" s="195" t="str">
        <f>IFERROR(__xludf.DUMMYFUNCTION("""COMPUTED_VALUE"""),"Closed")</f>
        <v>Closed</v>
      </c>
      <c r="CQ232" s="195" t="str">
        <f>IFERROR(__xludf.DUMMYFUNCTION("""COMPUTED_VALUE"""),"Closed")</f>
        <v>Closed</v>
      </c>
      <c r="CR232" s="194" t="str">
        <f>IFERROR(__xludf.DUMMYFUNCTION("""COMPUTED_VALUE"""),"Closed")</f>
        <v>Closed</v>
      </c>
      <c r="CS232" s="195" t="str">
        <f>IFERROR(__xludf.DUMMYFUNCTION("""COMPUTED_VALUE"""),"Closed")</f>
        <v>Closed</v>
      </c>
      <c r="CT232" s="195" t="str">
        <f>IFERROR(__xludf.DUMMYFUNCTION("""COMPUTED_VALUE"""),"Closed")</f>
        <v>Closed</v>
      </c>
      <c r="CU232" s="194" t="str">
        <f>IFERROR(__xludf.DUMMYFUNCTION("""COMPUTED_VALUE"""),"Closed")</f>
        <v>Closed</v>
      </c>
      <c r="CV232" s="195" t="str">
        <f>IFERROR(__xludf.DUMMYFUNCTION("""COMPUTED_VALUE"""),"Closed")</f>
        <v>Closed</v>
      </c>
      <c r="CW232" s="196" t="str">
        <f>IFERROR(__xludf.DUMMYFUNCTION("""COMPUTED_VALUE"""),"Closed")</f>
        <v>Closed</v>
      </c>
      <c r="CX232" s="195" t="str">
        <f>IFERROR(__xludf.DUMMYFUNCTION("""COMPUTED_VALUE"""),"Closed")</f>
        <v>Closed</v>
      </c>
      <c r="CY232" s="195" t="str">
        <f>IFERROR(__xludf.DUMMYFUNCTION("""COMPUTED_VALUE"""),"Closed")</f>
        <v>Closed</v>
      </c>
      <c r="CZ232" s="196" t="str">
        <f>IFERROR(__xludf.DUMMYFUNCTION("""COMPUTED_VALUE"""),"Closed")</f>
        <v>Closed</v>
      </c>
      <c r="DA232" s="194" t="str">
        <f>IFERROR(__xludf.DUMMYFUNCTION("""COMPUTED_VALUE"""),"Closed")</f>
        <v>Closed</v>
      </c>
      <c r="DB232" s="195" t="str">
        <f>IFERROR(__xludf.DUMMYFUNCTION("""COMPUTED_VALUE"""),"Closed")</f>
        <v>Closed</v>
      </c>
      <c r="DC232" s="196" t="str">
        <f>IFERROR(__xludf.DUMMYFUNCTION("""COMPUTED_VALUE"""),"Closed")</f>
        <v>Closed</v>
      </c>
      <c r="DD232" s="194" t="str">
        <f>IFERROR(__xludf.DUMMYFUNCTION("""COMPUTED_VALUE"""),"Closed")</f>
        <v>Closed</v>
      </c>
      <c r="DE232" s="195" t="str">
        <f>IFERROR(__xludf.DUMMYFUNCTION("""COMPUTED_VALUE"""),"Closed")</f>
        <v>Closed</v>
      </c>
      <c r="DF232" s="196" t="str">
        <f>IFERROR(__xludf.DUMMYFUNCTION("""COMPUTED_VALUE"""),"Closed")</f>
        <v>Closed</v>
      </c>
      <c r="DG232" s="194" t="str">
        <f>IFERROR(__xludf.DUMMYFUNCTION("""COMPUTED_VALUE"""),"Closed")</f>
        <v>Closed</v>
      </c>
      <c r="DH232" s="195" t="str">
        <f>IFERROR(__xludf.DUMMYFUNCTION("""COMPUTED_VALUE"""),"Closed")</f>
        <v>Closed</v>
      </c>
      <c r="DI232" s="196" t="str">
        <f>IFERROR(__xludf.DUMMYFUNCTION("""COMPUTED_VALUE"""),"Closed")</f>
        <v>Closed</v>
      </c>
      <c r="DJ232" s="194" t="str">
        <f>IFERROR(__xludf.DUMMYFUNCTION("""COMPUTED_VALUE"""),"Closed")</f>
        <v>Closed</v>
      </c>
      <c r="DK232" s="195" t="str">
        <f>IFERROR(__xludf.DUMMYFUNCTION("""COMPUTED_VALUE"""),"Closed")</f>
        <v>Closed</v>
      </c>
      <c r="DL232" s="196" t="str">
        <f>IFERROR(__xludf.DUMMYFUNCTION("""COMPUTED_VALUE"""),"Closed")</f>
        <v>Closed</v>
      </c>
      <c r="DM232" s="194" t="str">
        <f>IFERROR(__xludf.DUMMYFUNCTION("""COMPUTED_VALUE"""),"Closed")</f>
        <v>Closed</v>
      </c>
      <c r="DN232" s="195" t="str">
        <f>IFERROR(__xludf.DUMMYFUNCTION("""COMPUTED_VALUE"""),"Closed")</f>
        <v>Closed</v>
      </c>
      <c r="DO232" s="196" t="str">
        <f>IFERROR(__xludf.DUMMYFUNCTION("""COMPUTED_VALUE"""),"Closed")</f>
        <v>Closed</v>
      </c>
      <c r="DP232" s="194" t="str">
        <f>IFERROR(__xludf.DUMMYFUNCTION("""COMPUTED_VALUE"""),"Closed")</f>
        <v>Closed</v>
      </c>
      <c r="DQ232" s="195" t="str">
        <f>IFERROR(__xludf.DUMMYFUNCTION("""COMPUTED_VALUE"""),"Closed")</f>
        <v>Closed</v>
      </c>
      <c r="DR232" s="196"/>
      <c r="DS232" s="194"/>
    </row>
    <row r="233" hidden="1">
      <c r="B233" s="201" t="str">
        <f>IFERROR(__xludf.DUMMYFUNCTION("""COMPUTED_VALUE"""),"ATL6")</f>
        <v>ATL6</v>
      </c>
      <c r="C233" s="247" t="str">
        <f>IFERROR(__xludf.DUMMYFUNCTION("""COMPUTED_VALUE"""),"Thetis Island")</f>
        <v>Thetis Island</v>
      </c>
      <c r="D233" s="248">
        <f>IFERROR(__xludf.DUMMYFUNCTION("""COMPUTED_VALUE"""),21.0)</f>
        <v>21</v>
      </c>
      <c r="E233" s="68" t="b">
        <f>IFERROR(__xludf.DUMMYFUNCTION("""COMPUTED_VALUE"""),FALSE)</f>
        <v>0</v>
      </c>
      <c r="F233" s="68" t="str">
        <f>IFERROR(__xludf.DUMMYFUNCTION("""COMPUTED_VALUE"""),"Free Quests- Part 2!A675:J684")</f>
        <v>Free Quests- Part 2!A675:J684</v>
      </c>
      <c r="G233" s="68">
        <f>IFERROR(__xludf.DUMMYFUNCTION("""COMPUTED_VALUE"""),233.0)</f>
        <v>233</v>
      </c>
      <c r="H233" s="68" t="str">
        <f>IFERROR(__xludf.DUMMYFUNCTION("""COMPUTED_VALUE"""),"Closed")</f>
        <v>Closed</v>
      </c>
      <c r="I233" s="204" t="str">
        <f>IFERROR(__xludf.DUMMYFUNCTION("""COMPUTED_VALUE"""),"Closed")</f>
        <v>Closed</v>
      </c>
      <c r="J233" s="205" t="str">
        <f>IFERROR(__xludf.DUMMYFUNCTION("""COMPUTED_VALUE"""),"Closed")</f>
        <v>Closed</v>
      </c>
      <c r="K233" s="206" t="str">
        <f>IFERROR(__xludf.DUMMYFUNCTION("""COMPUTED_VALUE"""),"Closed")</f>
        <v>Closed</v>
      </c>
      <c r="L233" s="204" t="str">
        <f>IFERROR(__xludf.DUMMYFUNCTION("""COMPUTED_VALUE"""),"Closed")</f>
        <v>Closed</v>
      </c>
      <c r="M233" s="205" t="str">
        <f>IFERROR(__xludf.DUMMYFUNCTION("""COMPUTED_VALUE"""),"Closed")</f>
        <v>Closed</v>
      </c>
      <c r="N233" s="206" t="str">
        <f>IFERROR(__xludf.DUMMYFUNCTION("""COMPUTED_VALUE"""),"Closed")</f>
        <v>Closed</v>
      </c>
      <c r="O233" s="204" t="str">
        <f>IFERROR(__xludf.DUMMYFUNCTION("""COMPUTED_VALUE"""),"Closed")</f>
        <v>Closed</v>
      </c>
      <c r="P233" s="205" t="str">
        <f>IFERROR(__xludf.DUMMYFUNCTION("""COMPUTED_VALUE"""),"Closed")</f>
        <v>Closed</v>
      </c>
      <c r="Q233" s="206" t="str">
        <f>IFERROR(__xludf.DUMMYFUNCTION("""COMPUTED_VALUE"""),"Closed")</f>
        <v>Closed</v>
      </c>
      <c r="R233" s="204" t="str">
        <f>IFERROR(__xludf.DUMMYFUNCTION("""COMPUTED_VALUE"""),"Closed")</f>
        <v>Closed</v>
      </c>
      <c r="S233" s="205" t="str">
        <f>IFERROR(__xludf.DUMMYFUNCTION("""COMPUTED_VALUE"""),"Closed")</f>
        <v>Closed</v>
      </c>
      <c r="T233" s="206" t="str">
        <f>IFERROR(__xludf.DUMMYFUNCTION("""COMPUTED_VALUE"""),"Closed")</f>
        <v>Closed</v>
      </c>
      <c r="U233" s="204" t="str">
        <f>IFERROR(__xludf.DUMMYFUNCTION("""COMPUTED_VALUE"""),"Closed")</f>
        <v>Closed</v>
      </c>
      <c r="V233" s="205" t="str">
        <f>IFERROR(__xludf.DUMMYFUNCTION("""COMPUTED_VALUE"""),"Closed")</f>
        <v>Closed</v>
      </c>
      <c r="W233" s="206" t="str">
        <f>IFERROR(__xludf.DUMMYFUNCTION("""COMPUTED_VALUE"""),"Closed")</f>
        <v>Closed</v>
      </c>
      <c r="X233" s="204" t="str">
        <f>IFERROR(__xludf.DUMMYFUNCTION("""COMPUTED_VALUE"""),"Closed")</f>
        <v>Closed</v>
      </c>
      <c r="Y233" s="205" t="str">
        <f>IFERROR(__xludf.DUMMYFUNCTION("""COMPUTED_VALUE"""),"Closed")</f>
        <v>Closed</v>
      </c>
      <c r="Z233" s="206" t="str">
        <f>IFERROR(__xludf.DUMMYFUNCTION("""COMPUTED_VALUE"""),"Closed")</f>
        <v>Closed</v>
      </c>
      <c r="AA233" s="204" t="str">
        <f>IFERROR(__xludf.DUMMYFUNCTION("""COMPUTED_VALUE"""),"Closed")</f>
        <v>Closed</v>
      </c>
      <c r="AB233" s="205" t="str">
        <f>IFERROR(__xludf.DUMMYFUNCTION("""COMPUTED_VALUE"""),"Closed")</f>
        <v>Closed</v>
      </c>
      <c r="AC233" s="206" t="str">
        <f>IFERROR(__xludf.DUMMYFUNCTION("""COMPUTED_VALUE"""),"Closed")</f>
        <v>Closed</v>
      </c>
      <c r="AD233" s="204" t="str">
        <f>IFERROR(__xludf.DUMMYFUNCTION("""COMPUTED_VALUE"""),"Closed")</f>
        <v>Closed</v>
      </c>
      <c r="AE233" s="205" t="str">
        <f>IFERROR(__xludf.DUMMYFUNCTION("""COMPUTED_VALUE"""),"Closed")</f>
        <v>Closed</v>
      </c>
      <c r="AF233" s="206" t="str">
        <f>IFERROR(__xludf.DUMMYFUNCTION("""COMPUTED_VALUE"""),"Closed")</f>
        <v>Closed</v>
      </c>
      <c r="AG233" s="204" t="str">
        <f>IFERROR(__xludf.DUMMYFUNCTION("""COMPUTED_VALUE"""),"Closed")</f>
        <v>Closed</v>
      </c>
      <c r="AH233" s="205" t="str">
        <f>IFERROR(__xludf.DUMMYFUNCTION("""COMPUTED_VALUE"""),"Closed")</f>
        <v>Closed</v>
      </c>
      <c r="AI233" s="206" t="str">
        <f>IFERROR(__xludf.DUMMYFUNCTION("""COMPUTED_VALUE"""),"Closed")</f>
        <v>Closed</v>
      </c>
      <c r="AJ233" s="204" t="str">
        <f>IFERROR(__xludf.DUMMYFUNCTION("""COMPUTED_VALUE"""),"Closed")</f>
        <v>Closed</v>
      </c>
      <c r="AK233" s="205" t="str">
        <f>IFERROR(__xludf.DUMMYFUNCTION("""COMPUTED_VALUE"""),"Closed")</f>
        <v>Closed</v>
      </c>
      <c r="AL233" s="206" t="str">
        <f>IFERROR(__xludf.DUMMYFUNCTION("""COMPUTED_VALUE"""),"Closed")</f>
        <v>Closed</v>
      </c>
      <c r="AM233" s="204" t="str">
        <f>IFERROR(__xludf.DUMMYFUNCTION("""COMPUTED_VALUE"""),"Closed")</f>
        <v>Closed</v>
      </c>
      <c r="AN233" s="205" t="str">
        <f>IFERROR(__xludf.DUMMYFUNCTION("""COMPUTED_VALUE"""),"Closed")</f>
        <v>Closed</v>
      </c>
      <c r="AO233" s="206" t="str">
        <f>IFERROR(__xludf.DUMMYFUNCTION("""COMPUTED_VALUE"""),"Closed")</f>
        <v>Closed</v>
      </c>
      <c r="AP233" s="204" t="str">
        <f>IFERROR(__xludf.DUMMYFUNCTION("""COMPUTED_VALUE"""),"Closed")</f>
        <v>Closed</v>
      </c>
      <c r="AQ233" s="205" t="str">
        <f>IFERROR(__xludf.DUMMYFUNCTION("""COMPUTED_VALUE"""),"Closed")</f>
        <v>Closed</v>
      </c>
      <c r="AR233" s="206" t="str">
        <f>IFERROR(__xludf.DUMMYFUNCTION("""COMPUTED_VALUE"""),"Closed")</f>
        <v>Closed</v>
      </c>
      <c r="AS233" s="204" t="str">
        <f>IFERROR(__xludf.DUMMYFUNCTION("""COMPUTED_VALUE"""),"Closed")</f>
        <v>Closed</v>
      </c>
      <c r="AT233" s="205" t="str">
        <f>IFERROR(__xludf.DUMMYFUNCTION("""COMPUTED_VALUE"""),"Closed")</f>
        <v>Closed</v>
      </c>
      <c r="AU233" s="206" t="str">
        <f>IFERROR(__xludf.DUMMYFUNCTION("""COMPUTED_VALUE"""),"Closed")</f>
        <v>Closed</v>
      </c>
      <c r="AV233" s="204" t="str">
        <f>IFERROR(__xludf.DUMMYFUNCTION("""COMPUTED_VALUE"""),"Closed")</f>
        <v>Closed</v>
      </c>
      <c r="AW233" s="205" t="str">
        <f>IFERROR(__xludf.DUMMYFUNCTION("""COMPUTED_VALUE"""),"Closed")</f>
        <v>Closed</v>
      </c>
      <c r="AX233" s="206" t="str">
        <f>IFERROR(__xludf.DUMMYFUNCTION("""COMPUTED_VALUE"""),"Closed")</f>
        <v>Closed</v>
      </c>
      <c r="AY233" s="204" t="str">
        <f>IFERROR(__xludf.DUMMYFUNCTION("""COMPUTED_VALUE"""),"Closed")</f>
        <v>Closed</v>
      </c>
      <c r="AZ233" s="205" t="str">
        <f>IFERROR(__xludf.DUMMYFUNCTION("""COMPUTED_VALUE"""),"Closed")</f>
        <v>Closed</v>
      </c>
      <c r="BA233" s="206" t="str">
        <f>IFERROR(__xludf.DUMMYFUNCTION("""COMPUTED_VALUE"""),"Closed")</f>
        <v>Closed</v>
      </c>
      <c r="BB233" s="204" t="str">
        <f>IFERROR(__xludf.DUMMYFUNCTION("""COMPUTED_VALUE"""),"Closed")</f>
        <v>Closed</v>
      </c>
      <c r="BC233" s="205" t="str">
        <f>IFERROR(__xludf.DUMMYFUNCTION("""COMPUTED_VALUE"""),"Closed")</f>
        <v>Closed</v>
      </c>
      <c r="BD233" s="206" t="str">
        <f>IFERROR(__xludf.DUMMYFUNCTION("""COMPUTED_VALUE"""),"Closed")</f>
        <v>Closed</v>
      </c>
      <c r="BE233" s="204" t="str">
        <f>IFERROR(__xludf.DUMMYFUNCTION("""COMPUTED_VALUE"""),"Closed")</f>
        <v>Closed</v>
      </c>
      <c r="BF233" s="205" t="str">
        <f>IFERROR(__xludf.DUMMYFUNCTION("""COMPUTED_VALUE"""),"Closed")</f>
        <v>Closed</v>
      </c>
      <c r="BG233" s="206" t="str">
        <f>IFERROR(__xludf.DUMMYFUNCTION("""COMPUTED_VALUE"""),"Closed")</f>
        <v>Closed</v>
      </c>
      <c r="BH233" s="204" t="str">
        <f>IFERROR(__xludf.DUMMYFUNCTION("""COMPUTED_VALUE"""),"Closed")</f>
        <v>Closed</v>
      </c>
      <c r="BI233" s="205" t="str">
        <f>IFERROR(__xludf.DUMMYFUNCTION("""COMPUTED_VALUE"""),"Closed")</f>
        <v>Closed</v>
      </c>
      <c r="BJ233" s="206" t="str">
        <f>IFERROR(__xludf.DUMMYFUNCTION("""COMPUTED_VALUE"""),"Closed")</f>
        <v>Closed</v>
      </c>
      <c r="BK233" s="204" t="str">
        <f>IFERROR(__xludf.DUMMYFUNCTION("""COMPUTED_VALUE"""),"Closed")</f>
        <v>Closed</v>
      </c>
      <c r="BL233" s="205" t="str">
        <f>IFERROR(__xludf.DUMMYFUNCTION("""COMPUTED_VALUE"""),"Closed")</f>
        <v>Closed</v>
      </c>
      <c r="BM233" s="206" t="str">
        <f>IFERROR(__xludf.DUMMYFUNCTION("""COMPUTED_VALUE"""),"Closed")</f>
        <v>Closed</v>
      </c>
      <c r="BN233" s="204" t="str">
        <f>IFERROR(__xludf.DUMMYFUNCTION("""COMPUTED_VALUE"""),"Closed")</f>
        <v>Closed</v>
      </c>
      <c r="BO233" s="205" t="str">
        <f>IFERROR(__xludf.DUMMYFUNCTION("""COMPUTED_VALUE"""),"Closed")</f>
        <v>Closed</v>
      </c>
      <c r="BP233" s="206" t="str">
        <f>IFERROR(__xludf.DUMMYFUNCTION("""COMPUTED_VALUE"""),"Closed")</f>
        <v>Closed</v>
      </c>
      <c r="BQ233" s="204" t="str">
        <f>IFERROR(__xludf.DUMMYFUNCTION("""COMPUTED_VALUE"""),"Closed")</f>
        <v>Closed</v>
      </c>
      <c r="BR233" s="205" t="str">
        <f>IFERROR(__xludf.DUMMYFUNCTION("""COMPUTED_VALUE"""),"Closed")</f>
        <v>Closed</v>
      </c>
      <c r="BS233" s="206" t="str">
        <f>IFERROR(__xludf.DUMMYFUNCTION("""COMPUTED_VALUE"""),"Closed")</f>
        <v>Closed</v>
      </c>
      <c r="BT233" s="204" t="str">
        <f>IFERROR(__xludf.DUMMYFUNCTION("""COMPUTED_VALUE"""),"Closed")</f>
        <v>Closed</v>
      </c>
      <c r="BU233" s="205" t="str">
        <f>IFERROR(__xludf.DUMMYFUNCTION("""COMPUTED_VALUE"""),"Closed")</f>
        <v>Closed</v>
      </c>
      <c r="BV233" s="206" t="str">
        <f>IFERROR(__xludf.DUMMYFUNCTION("""COMPUTED_VALUE"""),"Closed")</f>
        <v>Closed</v>
      </c>
      <c r="BW233" s="204" t="str">
        <f>IFERROR(__xludf.DUMMYFUNCTION("""COMPUTED_VALUE"""),"Closed")</f>
        <v>Closed</v>
      </c>
      <c r="BX233" s="205" t="str">
        <f>IFERROR(__xludf.DUMMYFUNCTION("""COMPUTED_VALUE"""),"Closed")</f>
        <v>Closed</v>
      </c>
      <c r="BY233" s="206" t="str">
        <f>IFERROR(__xludf.DUMMYFUNCTION("""COMPUTED_VALUE"""),"Closed")</f>
        <v>Closed</v>
      </c>
      <c r="BZ233" s="204" t="str">
        <f>IFERROR(__xludf.DUMMYFUNCTION("""COMPUTED_VALUE"""),"Closed")</f>
        <v>Closed</v>
      </c>
      <c r="CA233" s="205" t="str">
        <f>IFERROR(__xludf.DUMMYFUNCTION("""COMPUTED_VALUE"""),"Closed")</f>
        <v>Closed</v>
      </c>
      <c r="CB233" s="206" t="str">
        <f>IFERROR(__xludf.DUMMYFUNCTION("""COMPUTED_VALUE"""),"Closed")</f>
        <v>Closed</v>
      </c>
      <c r="CC233" s="204" t="str">
        <f>IFERROR(__xludf.DUMMYFUNCTION("""COMPUTED_VALUE"""),"Closed")</f>
        <v>Closed</v>
      </c>
      <c r="CD233" s="205" t="str">
        <f>IFERROR(__xludf.DUMMYFUNCTION("""COMPUTED_VALUE"""),"Closed")</f>
        <v>Closed</v>
      </c>
      <c r="CE233" s="206" t="str">
        <f>IFERROR(__xludf.DUMMYFUNCTION("""COMPUTED_VALUE"""),"Closed")</f>
        <v>Closed</v>
      </c>
      <c r="CF233" s="204" t="str">
        <f>IFERROR(__xludf.DUMMYFUNCTION("""COMPUTED_VALUE"""),"Closed")</f>
        <v>Closed</v>
      </c>
      <c r="CG233" s="205" t="str">
        <f>IFERROR(__xludf.DUMMYFUNCTION("""COMPUTED_VALUE"""),"Closed")</f>
        <v>Closed</v>
      </c>
      <c r="CH233" s="205" t="str">
        <f>IFERROR(__xludf.DUMMYFUNCTION("""COMPUTED_VALUE"""),"Closed")</f>
        <v>Closed</v>
      </c>
      <c r="CI233" s="204" t="str">
        <f>IFERROR(__xludf.DUMMYFUNCTION("""COMPUTED_VALUE"""),"Closed")</f>
        <v>Closed</v>
      </c>
      <c r="CJ233" s="205" t="str">
        <f>IFERROR(__xludf.DUMMYFUNCTION("""COMPUTED_VALUE"""),"Closed")</f>
        <v>Closed</v>
      </c>
      <c r="CK233" s="205" t="str">
        <f>IFERROR(__xludf.DUMMYFUNCTION("""COMPUTED_VALUE"""),"Closed")</f>
        <v>Closed</v>
      </c>
      <c r="CL233" s="204" t="str">
        <f>IFERROR(__xludf.DUMMYFUNCTION("""COMPUTED_VALUE"""),"Closed")</f>
        <v>Closed</v>
      </c>
      <c r="CM233" s="205" t="str">
        <f>IFERROR(__xludf.DUMMYFUNCTION("""COMPUTED_VALUE"""),"Closed")</f>
        <v>Closed</v>
      </c>
      <c r="CN233" s="205" t="str">
        <f>IFERROR(__xludf.DUMMYFUNCTION("""COMPUTED_VALUE"""),"Closed")</f>
        <v>Closed</v>
      </c>
      <c r="CO233" s="204" t="str">
        <f>IFERROR(__xludf.DUMMYFUNCTION("""COMPUTED_VALUE"""),"Closed")</f>
        <v>Closed</v>
      </c>
      <c r="CP233" s="205" t="str">
        <f>IFERROR(__xludf.DUMMYFUNCTION("""COMPUTED_VALUE"""),"Closed")</f>
        <v>Closed</v>
      </c>
      <c r="CQ233" s="205" t="str">
        <f>IFERROR(__xludf.DUMMYFUNCTION("""COMPUTED_VALUE"""),"Closed")</f>
        <v>Closed</v>
      </c>
      <c r="CR233" s="204" t="str">
        <f>IFERROR(__xludf.DUMMYFUNCTION("""COMPUTED_VALUE"""),"Closed")</f>
        <v>Closed</v>
      </c>
      <c r="CS233" s="205" t="str">
        <f>IFERROR(__xludf.DUMMYFUNCTION("""COMPUTED_VALUE"""),"Closed")</f>
        <v>Closed</v>
      </c>
      <c r="CT233" s="205" t="str">
        <f>IFERROR(__xludf.DUMMYFUNCTION("""COMPUTED_VALUE"""),"Closed")</f>
        <v>Closed</v>
      </c>
      <c r="CU233" s="204" t="str">
        <f>IFERROR(__xludf.DUMMYFUNCTION("""COMPUTED_VALUE"""),"Closed")</f>
        <v>Closed</v>
      </c>
      <c r="CV233" s="205" t="str">
        <f>IFERROR(__xludf.DUMMYFUNCTION("""COMPUTED_VALUE"""),"Closed")</f>
        <v>Closed</v>
      </c>
      <c r="CW233" s="206" t="str">
        <f>IFERROR(__xludf.DUMMYFUNCTION("""COMPUTED_VALUE"""),"Closed")</f>
        <v>Closed</v>
      </c>
      <c r="CX233" s="205" t="str">
        <f>IFERROR(__xludf.DUMMYFUNCTION("""COMPUTED_VALUE"""),"Closed")</f>
        <v>Closed</v>
      </c>
      <c r="CY233" s="205" t="str">
        <f>IFERROR(__xludf.DUMMYFUNCTION("""COMPUTED_VALUE"""),"Closed")</f>
        <v>Closed</v>
      </c>
      <c r="CZ233" s="206" t="str">
        <f>IFERROR(__xludf.DUMMYFUNCTION("""COMPUTED_VALUE"""),"Closed")</f>
        <v>Closed</v>
      </c>
      <c r="DA233" s="204" t="str">
        <f>IFERROR(__xludf.DUMMYFUNCTION("""COMPUTED_VALUE"""),"Closed")</f>
        <v>Closed</v>
      </c>
      <c r="DB233" s="205" t="str">
        <f>IFERROR(__xludf.DUMMYFUNCTION("""COMPUTED_VALUE"""),"Closed")</f>
        <v>Closed</v>
      </c>
      <c r="DC233" s="206" t="str">
        <f>IFERROR(__xludf.DUMMYFUNCTION("""COMPUTED_VALUE"""),"Closed")</f>
        <v>Closed</v>
      </c>
      <c r="DD233" s="204" t="str">
        <f>IFERROR(__xludf.DUMMYFUNCTION("""COMPUTED_VALUE"""),"Closed")</f>
        <v>Closed</v>
      </c>
      <c r="DE233" s="205" t="str">
        <f>IFERROR(__xludf.DUMMYFUNCTION("""COMPUTED_VALUE"""),"Closed")</f>
        <v>Closed</v>
      </c>
      <c r="DF233" s="206" t="str">
        <f>IFERROR(__xludf.DUMMYFUNCTION("""COMPUTED_VALUE"""),"Closed")</f>
        <v>Closed</v>
      </c>
      <c r="DG233" s="204" t="str">
        <f>IFERROR(__xludf.DUMMYFUNCTION("""COMPUTED_VALUE"""),"Closed")</f>
        <v>Closed</v>
      </c>
      <c r="DH233" s="205" t="str">
        <f>IFERROR(__xludf.DUMMYFUNCTION("""COMPUTED_VALUE"""),"Closed")</f>
        <v>Closed</v>
      </c>
      <c r="DI233" s="206" t="str">
        <f>IFERROR(__xludf.DUMMYFUNCTION("""COMPUTED_VALUE"""),"Closed")</f>
        <v>Closed</v>
      </c>
      <c r="DJ233" s="204" t="str">
        <f>IFERROR(__xludf.DUMMYFUNCTION("""COMPUTED_VALUE"""),"Closed")</f>
        <v>Closed</v>
      </c>
      <c r="DK233" s="205" t="str">
        <f>IFERROR(__xludf.DUMMYFUNCTION("""COMPUTED_VALUE"""),"Closed")</f>
        <v>Closed</v>
      </c>
      <c r="DL233" s="206" t="str">
        <f>IFERROR(__xludf.DUMMYFUNCTION("""COMPUTED_VALUE"""),"Closed")</f>
        <v>Closed</v>
      </c>
      <c r="DM233" s="204" t="str">
        <f>IFERROR(__xludf.DUMMYFUNCTION("""COMPUTED_VALUE"""),"Closed")</f>
        <v>Closed</v>
      </c>
      <c r="DN233" s="205" t="str">
        <f>IFERROR(__xludf.DUMMYFUNCTION("""COMPUTED_VALUE"""),"Closed")</f>
        <v>Closed</v>
      </c>
      <c r="DO233" s="206" t="str">
        <f>IFERROR(__xludf.DUMMYFUNCTION("""COMPUTED_VALUE"""),"Closed")</f>
        <v>Closed</v>
      </c>
      <c r="DP233" s="204" t="str">
        <f>IFERROR(__xludf.DUMMYFUNCTION("""COMPUTED_VALUE"""),"Closed")</f>
        <v>Closed</v>
      </c>
      <c r="DQ233" s="205" t="str">
        <f>IFERROR(__xludf.DUMMYFUNCTION("""COMPUTED_VALUE"""),"Closed")</f>
        <v>Closed</v>
      </c>
      <c r="DR233" s="206"/>
      <c r="DS233" s="204"/>
    </row>
    <row r="234" hidden="1">
      <c r="B234" s="189" t="str">
        <f>IFERROR(__xludf.DUMMYFUNCTION("""COMPUTED_VALUE"""),"ATL7")</f>
        <v>ATL7</v>
      </c>
      <c r="C234" s="239" t="str">
        <f>IFERROR(__xludf.DUMMYFUNCTION("""COMPUTED_VALUE"""),"Eris Island")</f>
        <v>Eris Island</v>
      </c>
      <c r="D234" s="240">
        <f>IFERROR(__xludf.DUMMYFUNCTION("""COMPUTED_VALUE"""),21.0)</f>
        <v>21</v>
      </c>
      <c r="E234" s="190" t="b">
        <f>IFERROR(__xludf.DUMMYFUNCTION("""COMPUTED_VALUE"""),FALSE)</f>
        <v>0</v>
      </c>
      <c r="F234" s="190" t="str">
        <f>IFERROR(__xludf.DUMMYFUNCTION("""COMPUTED_VALUE"""),"Free Quests- Part 2!A688:J700")</f>
        <v>Free Quests- Part 2!A688:J700</v>
      </c>
      <c r="G234" s="190">
        <f>IFERROR(__xludf.DUMMYFUNCTION("""COMPUTED_VALUE"""),234.0)</f>
        <v>234</v>
      </c>
      <c r="H234" s="190" t="str">
        <f>IFERROR(__xludf.DUMMYFUNCTION("""COMPUTED_VALUE"""),"Closed")</f>
        <v>Closed</v>
      </c>
      <c r="I234" s="194" t="str">
        <f>IFERROR(__xludf.DUMMYFUNCTION("""COMPUTED_VALUE"""),"Closed")</f>
        <v>Closed</v>
      </c>
      <c r="J234" s="195" t="str">
        <f>IFERROR(__xludf.DUMMYFUNCTION("""COMPUTED_VALUE"""),"Closed")</f>
        <v>Closed</v>
      </c>
      <c r="K234" s="196" t="str">
        <f>IFERROR(__xludf.DUMMYFUNCTION("""COMPUTED_VALUE"""),"Closed")</f>
        <v>Closed</v>
      </c>
      <c r="L234" s="194" t="str">
        <f>IFERROR(__xludf.DUMMYFUNCTION("""COMPUTED_VALUE"""),"Closed")</f>
        <v>Closed</v>
      </c>
      <c r="M234" s="195" t="str">
        <f>IFERROR(__xludf.DUMMYFUNCTION("""COMPUTED_VALUE"""),"Closed")</f>
        <v>Closed</v>
      </c>
      <c r="N234" s="196" t="str">
        <f>IFERROR(__xludf.DUMMYFUNCTION("""COMPUTED_VALUE"""),"Closed")</f>
        <v>Closed</v>
      </c>
      <c r="O234" s="194" t="str">
        <f>IFERROR(__xludf.DUMMYFUNCTION("""COMPUTED_VALUE"""),"Closed")</f>
        <v>Closed</v>
      </c>
      <c r="P234" s="195" t="str">
        <f>IFERROR(__xludf.DUMMYFUNCTION("""COMPUTED_VALUE"""),"Closed")</f>
        <v>Closed</v>
      </c>
      <c r="Q234" s="196" t="str">
        <f>IFERROR(__xludf.DUMMYFUNCTION("""COMPUTED_VALUE"""),"Closed")</f>
        <v>Closed</v>
      </c>
      <c r="R234" s="194" t="str">
        <f>IFERROR(__xludf.DUMMYFUNCTION("""COMPUTED_VALUE"""),"Closed")</f>
        <v>Closed</v>
      </c>
      <c r="S234" s="195" t="str">
        <f>IFERROR(__xludf.DUMMYFUNCTION("""COMPUTED_VALUE"""),"Closed")</f>
        <v>Closed</v>
      </c>
      <c r="T234" s="196" t="str">
        <f>IFERROR(__xludf.DUMMYFUNCTION("""COMPUTED_VALUE"""),"Closed")</f>
        <v>Closed</v>
      </c>
      <c r="U234" s="194" t="str">
        <f>IFERROR(__xludf.DUMMYFUNCTION("""COMPUTED_VALUE"""),"Closed")</f>
        <v>Closed</v>
      </c>
      <c r="V234" s="195" t="str">
        <f>IFERROR(__xludf.DUMMYFUNCTION("""COMPUTED_VALUE"""),"Closed")</f>
        <v>Closed</v>
      </c>
      <c r="W234" s="196" t="str">
        <f>IFERROR(__xludf.DUMMYFUNCTION("""COMPUTED_VALUE"""),"Closed")</f>
        <v>Closed</v>
      </c>
      <c r="X234" s="194" t="str">
        <f>IFERROR(__xludf.DUMMYFUNCTION("""COMPUTED_VALUE"""),"Closed")</f>
        <v>Closed</v>
      </c>
      <c r="Y234" s="195" t="str">
        <f>IFERROR(__xludf.DUMMYFUNCTION("""COMPUTED_VALUE"""),"Closed")</f>
        <v>Closed</v>
      </c>
      <c r="Z234" s="196" t="str">
        <f>IFERROR(__xludf.DUMMYFUNCTION("""COMPUTED_VALUE"""),"Closed")</f>
        <v>Closed</v>
      </c>
      <c r="AA234" s="194" t="str">
        <f>IFERROR(__xludf.DUMMYFUNCTION("""COMPUTED_VALUE"""),"Closed")</f>
        <v>Closed</v>
      </c>
      <c r="AB234" s="195" t="str">
        <f>IFERROR(__xludf.DUMMYFUNCTION("""COMPUTED_VALUE"""),"Closed")</f>
        <v>Closed</v>
      </c>
      <c r="AC234" s="196" t="str">
        <f>IFERROR(__xludf.DUMMYFUNCTION("""COMPUTED_VALUE"""),"Closed")</f>
        <v>Closed</v>
      </c>
      <c r="AD234" s="194" t="str">
        <f>IFERROR(__xludf.DUMMYFUNCTION("""COMPUTED_VALUE"""),"Closed")</f>
        <v>Closed</v>
      </c>
      <c r="AE234" s="195" t="str">
        <f>IFERROR(__xludf.DUMMYFUNCTION("""COMPUTED_VALUE"""),"Closed")</f>
        <v>Closed</v>
      </c>
      <c r="AF234" s="196" t="str">
        <f>IFERROR(__xludf.DUMMYFUNCTION("""COMPUTED_VALUE"""),"Closed")</f>
        <v>Closed</v>
      </c>
      <c r="AG234" s="194" t="str">
        <f>IFERROR(__xludf.DUMMYFUNCTION("""COMPUTED_VALUE"""),"Closed")</f>
        <v>Closed</v>
      </c>
      <c r="AH234" s="195" t="str">
        <f>IFERROR(__xludf.DUMMYFUNCTION("""COMPUTED_VALUE"""),"Closed")</f>
        <v>Closed</v>
      </c>
      <c r="AI234" s="196" t="str">
        <f>IFERROR(__xludf.DUMMYFUNCTION("""COMPUTED_VALUE"""),"Closed")</f>
        <v>Closed</v>
      </c>
      <c r="AJ234" s="194" t="str">
        <f>IFERROR(__xludf.DUMMYFUNCTION("""COMPUTED_VALUE"""),"Closed")</f>
        <v>Closed</v>
      </c>
      <c r="AK234" s="195" t="str">
        <f>IFERROR(__xludf.DUMMYFUNCTION("""COMPUTED_VALUE"""),"Closed")</f>
        <v>Closed</v>
      </c>
      <c r="AL234" s="196" t="str">
        <f>IFERROR(__xludf.DUMMYFUNCTION("""COMPUTED_VALUE"""),"Closed")</f>
        <v>Closed</v>
      </c>
      <c r="AM234" s="194" t="str">
        <f>IFERROR(__xludf.DUMMYFUNCTION("""COMPUTED_VALUE"""),"Closed")</f>
        <v>Closed</v>
      </c>
      <c r="AN234" s="195" t="str">
        <f>IFERROR(__xludf.DUMMYFUNCTION("""COMPUTED_VALUE"""),"Closed")</f>
        <v>Closed</v>
      </c>
      <c r="AO234" s="196" t="str">
        <f>IFERROR(__xludf.DUMMYFUNCTION("""COMPUTED_VALUE"""),"Closed")</f>
        <v>Closed</v>
      </c>
      <c r="AP234" s="194" t="str">
        <f>IFERROR(__xludf.DUMMYFUNCTION("""COMPUTED_VALUE"""),"Closed")</f>
        <v>Closed</v>
      </c>
      <c r="AQ234" s="195" t="str">
        <f>IFERROR(__xludf.DUMMYFUNCTION("""COMPUTED_VALUE"""),"Closed")</f>
        <v>Closed</v>
      </c>
      <c r="AR234" s="196" t="str">
        <f>IFERROR(__xludf.DUMMYFUNCTION("""COMPUTED_VALUE"""),"Closed")</f>
        <v>Closed</v>
      </c>
      <c r="AS234" s="194" t="str">
        <f>IFERROR(__xludf.DUMMYFUNCTION("""COMPUTED_VALUE"""),"Closed")</f>
        <v>Closed</v>
      </c>
      <c r="AT234" s="195" t="str">
        <f>IFERROR(__xludf.DUMMYFUNCTION("""COMPUTED_VALUE"""),"Closed")</f>
        <v>Closed</v>
      </c>
      <c r="AU234" s="196" t="str">
        <f>IFERROR(__xludf.DUMMYFUNCTION("""COMPUTED_VALUE"""),"Closed")</f>
        <v>Closed</v>
      </c>
      <c r="AV234" s="194" t="str">
        <f>IFERROR(__xludf.DUMMYFUNCTION("""COMPUTED_VALUE"""),"Closed")</f>
        <v>Closed</v>
      </c>
      <c r="AW234" s="195" t="str">
        <f>IFERROR(__xludf.DUMMYFUNCTION("""COMPUTED_VALUE"""),"Closed")</f>
        <v>Closed</v>
      </c>
      <c r="AX234" s="196" t="str">
        <f>IFERROR(__xludf.DUMMYFUNCTION("""COMPUTED_VALUE"""),"Closed")</f>
        <v>Closed</v>
      </c>
      <c r="AY234" s="194" t="str">
        <f>IFERROR(__xludf.DUMMYFUNCTION("""COMPUTED_VALUE"""),"Closed")</f>
        <v>Closed</v>
      </c>
      <c r="AZ234" s="195" t="str">
        <f>IFERROR(__xludf.DUMMYFUNCTION("""COMPUTED_VALUE"""),"Closed")</f>
        <v>Closed</v>
      </c>
      <c r="BA234" s="196" t="str">
        <f>IFERROR(__xludf.DUMMYFUNCTION("""COMPUTED_VALUE"""),"Closed")</f>
        <v>Closed</v>
      </c>
      <c r="BB234" s="194" t="str">
        <f>IFERROR(__xludf.DUMMYFUNCTION("""COMPUTED_VALUE"""),"Closed")</f>
        <v>Closed</v>
      </c>
      <c r="BC234" s="195" t="str">
        <f>IFERROR(__xludf.DUMMYFUNCTION("""COMPUTED_VALUE"""),"Closed")</f>
        <v>Closed</v>
      </c>
      <c r="BD234" s="196" t="str">
        <f>IFERROR(__xludf.DUMMYFUNCTION("""COMPUTED_VALUE"""),"Closed")</f>
        <v>Closed</v>
      </c>
      <c r="BE234" s="194" t="str">
        <f>IFERROR(__xludf.DUMMYFUNCTION("""COMPUTED_VALUE"""),"Closed")</f>
        <v>Closed</v>
      </c>
      <c r="BF234" s="195" t="str">
        <f>IFERROR(__xludf.DUMMYFUNCTION("""COMPUTED_VALUE"""),"Closed")</f>
        <v>Closed</v>
      </c>
      <c r="BG234" s="196" t="str">
        <f>IFERROR(__xludf.DUMMYFUNCTION("""COMPUTED_VALUE"""),"Closed")</f>
        <v>Closed</v>
      </c>
      <c r="BH234" s="194" t="str">
        <f>IFERROR(__xludf.DUMMYFUNCTION("""COMPUTED_VALUE"""),"Closed")</f>
        <v>Closed</v>
      </c>
      <c r="BI234" s="195" t="str">
        <f>IFERROR(__xludf.DUMMYFUNCTION("""COMPUTED_VALUE"""),"Closed")</f>
        <v>Closed</v>
      </c>
      <c r="BJ234" s="196" t="str">
        <f>IFERROR(__xludf.DUMMYFUNCTION("""COMPUTED_VALUE"""),"Closed")</f>
        <v>Closed</v>
      </c>
      <c r="BK234" s="194" t="str">
        <f>IFERROR(__xludf.DUMMYFUNCTION("""COMPUTED_VALUE"""),"Closed")</f>
        <v>Closed</v>
      </c>
      <c r="BL234" s="195" t="str">
        <f>IFERROR(__xludf.DUMMYFUNCTION("""COMPUTED_VALUE"""),"Closed")</f>
        <v>Closed</v>
      </c>
      <c r="BM234" s="196" t="str">
        <f>IFERROR(__xludf.DUMMYFUNCTION("""COMPUTED_VALUE"""),"Closed")</f>
        <v>Closed</v>
      </c>
      <c r="BN234" s="194" t="str">
        <f>IFERROR(__xludf.DUMMYFUNCTION("""COMPUTED_VALUE"""),"Closed")</f>
        <v>Closed</v>
      </c>
      <c r="BO234" s="195" t="str">
        <f>IFERROR(__xludf.DUMMYFUNCTION("""COMPUTED_VALUE"""),"Closed")</f>
        <v>Closed</v>
      </c>
      <c r="BP234" s="196" t="str">
        <f>IFERROR(__xludf.DUMMYFUNCTION("""COMPUTED_VALUE"""),"Closed")</f>
        <v>Closed</v>
      </c>
      <c r="BQ234" s="194" t="str">
        <f>IFERROR(__xludf.DUMMYFUNCTION("""COMPUTED_VALUE"""),"Closed")</f>
        <v>Closed</v>
      </c>
      <c r="BR234" s="195" t="str">
        <f>IFERROR(__xludf.DUMMYFUNCTION("""COMPUTED_VALUE"""),"Closed")</f>
        <v>Closed</v>
      </c>
      <c r="BS234" s="196" t="str">
        <f>IFERROR(__xludf.DUMMYFUNCTION("""COMPUTED_VALUE"""),"Closed")</f>
        <v>Closed</v>
      </c>
      <c r="BT234" s="194" t="str">
        <f>IFERROR(__xludf.DUMMYFUNCTION("""COMPUTED_VALUE"""),"Closed")</f>
        <v>Closed</v>
      </c>
      <c r="BU234" s="195" t="str">
        <f>IFERROR(__xludf.DUMMYFUNCTION("""COMPUTED_VALUE"""),"Closed")</f>
        <v>Closed</v>
      </c>
      <c r="BV234" s="196" t="str">
        <f>IFERROR(__xludf.DUMMYFUNCTION("""COMPUTED_VALUE"""),"Closed")</f>
        <v>Closed</v>
      </c>
      <c r="BW234" s="194" t="str">
        <f>IFERROR(__xludf.DUMMYFUNCTION("""COMPUTED_VALUE"""),"Closed")</f>
        <v>Closed</v>
      </c>
      <c r="BX234" s="195" t="str">
        <f>IFERROR(__xludf.DUMMYFUNCTION("""COMPUTED_VALUE"""),"Closed")</f>
        <v>Closed</v>
      </c>
      <c r="BY234" s="196" t="str">
        <f>IFERROR(__xludf.DUMMYFUNCTION("""COMPUTED_VALUE"""),"Closed")</f>
        <v>Closed</v>
      </c>
      <c r="BZ234" s="194" t="str">
        <f>IFERROR(__xludf.DUMMYFUNCTION("""COMPUTED_VALUE"""),"Closed")</f>
        <v>Closed</v>
      </c>
      <c r="CA234" s="195" t="str">
        <f>IFERROR(__xludf.DUMMYFUNCTION("""COMPUTED_VALUE"""),"Closed")</f>
        <v>Closed</v>
      </c>
      <c r="CB234" s="196" t="str">
        <f>IFERROR(__xludf.DUMMYFUNCTION("""COMPUTED_VALUE"""),"Closed")</f>
        <v>Closed</v>
      </c>
      <c r="CC234" s="194" t="str">
        <f>IFERROR(__xludf.DUMMYFUNCTION("""COMPUTED_VALUE"""),"Closed")</f>
        <v>Closed</v>
      </c>
      <c r="CD234" s="195" t="str">
        <f>IFERROR(__xludf.DUMMYFUNCTION("""COMPUTED_VALUE"""),"Closed")</f>
        <v>Closed</v>
      </c>
      <c r="CE234" s="196" t="str">
        <f>IFERROR(__xludf.DUMMYFUNCTION("""COMPUTED_VALUE"""),"Closed")</f>
        <v>Closed</v>
      </c>
      <c r="CF234" s="194" t="str">
        <f>IFERROR(__xludf.DUMMYFUNCTION("""COMPUTED_VALUE"""),"Closed")</f>
        <v>Closed</v>
      </c>
      <c r="CG234" s="195" t="str">
        <f>IFERROR(__xludf.DUMMYFUNCTION("""COMPUTED_VALUE"""),"Closed")</f>
        <v>Closed</v>
      </c>
      <c r="CH234" s="195" t="str">
        <f>IFERROR(__xludf.DUMMYFUNCTION("""COMPUTED_VALUE"""),"Closed")</f>
        <v>Closed</v>
      </c>
      <c r="CI234" s="194" t="str">
        <f>IFERROR(__xludf.DUMMYFUNCTION("""COMPUTED_VALUE"""),"Closed")</f>
        <v>Closed</v>
      </c>
      <c r="CJ234" s="195" t="str">
        <f>IFERROR(__xludf.DUMMYFUNCTION("""COMPUTED_VALUE"""),"Closed")</f>
        <v>Closed</v>
      </c>
      <c r="CK234" s="195" t="str">
        <f>IFERROR(__xludf.DUMMYFUNCTION("""COMPUTED_VALUE"""),"Closed")</f>
        <v>Closed</v>
      </c>
      <c r="CL234" s="194" t="str">
        <f>IFERROR(__xludf.DUMMYFUNCTION("""COMPUTED_VALUE"""),"Closed")</f>
        <v>Closed</v>
      </c>
      <c r="CM234" s="195" t="str">
        <f>IFERROR(__xludf.DUMMYFUNCTION("""COMPUTED_VALUE"""),"Closed")</f>
        <v>Closed</v>
      </c>
      <c r="CN234" s="195" t="str">
        <f>IFERROR(__xludf.DUMMYFUNCTION("""COMPUTED_VALUE"""),"Closed")</f>
        <v>Closed</v>
      </c>
      <c r="CO234" s="194" t="str">
        <f>IFERROR(__xludf.DUMMYFUNCTION("""COMPUTED_VALUE"""),"Closed")</f>
        <v>Closed</v>
      </c>
      <c r="CP234" s="195" t="str">
        <f>IFERROR(__xludf.DUMMYFUNCTION("""COMPUTED_VALUE"""),"Closed")</f>
        <v>Closed</v>
      </c>
      <c r="CQ234" s="195" t="str">
        <f>IFERROR(__xludf.DUMMYFUNCTION("""COMPUTED_VALUE"""),"Closed")</f>
        <v>Closed</v>
      </c>
      <c r="CR234" s="194" t="str">
        <f>IFERROR(__xludf.DUMMYFUNCTION("""COMPUTED_VALUE"""),"Closed")</f>
        <v>Closed</v>
      </c>
      <c r="CS234" s="195" t="str">
        <f>IFERROR(__xludf.DUMMYFUNCTION("""COMPUTED_VALUE"""),"Closed")</f>
        <v>Closed</v>
      </c>
      <c r="CT234" s="195" t="str">
        <f>IFERROR(__xludf.DUMMYFUNCTION("""COMPUTED_VALUE"""),"Closed")</f>
        <v>Closed</v>
      </c>
      <c r="CU234" s="194" t="str">
        <f>IFERROR(__xludf.DUMMYFUNCTION("""COMPUTED_VALUE"""),"Closed")</f>
        <v>Closed</v>
      </c>
      <c r="CV234" s="195" t="str">
        <f>IFERROR(__xludf.DUMMYFUNCTION("""COMPUTED_VALUE"""),"Closed")</f>
        <v>Closed</v>
      </c>
      <c r="CW234" s="196" t="str">
        <f>IFERROR(__xludf.DUMMYFUNCTION("""COMPUTED_VALUE"""),"Closed")</f>
        <v>Closed</v>
      </c>
      <c r="CX234" s="195" t="str">
        <f>IFERROR(__xludf.DUMMYFUNCTION("""COMPUTED_VALUE"""),"Closed")</f>
        <v>Closed</v>
      </c>
      <c r="CY234" s="195" t="str">
        <f>IFERROR(__xludf.DUMMYFUNCTION("""COMPUTED_VALUE"""),"Closed")</f>
        <v>Closed</v>
      </c>
      <c r="CZ234" s="196" t="str">
        <f>IFERROR(__xludf.DUMMYFUNCTION("""COMPUTED_VALUE"""),"Closed")</f>
        <v>Closed</v>
      </c>
      <c r="DA234" s="194" t="str">
        <f>IFERROR(__xludf.DUMMYFUNCTION("""COMPUTED_VALUE"""),"Closed")</f>
        <v>Closed</v>
      </c>
      <c r="DB234" s="195" t="str">
        <f>IFERROR(__xludf.DUMMYFUNCTION("""COMPUTED_VALUE"""),"Closed")</f>
        <v>Closed</v>
      </c>
      <c r="DC234" s="196" t="str">
        <f>IFERROR(__xludf.DUMMYFUNCTION("""COMPUTED_VALUE"""),"Closed")</f>
        <v>Closed</v>
      </c>
      <c r="DD234" s="194" t="str">
        <f>IFERROR(__xludf.DUMMYFUNCTION("""COMPUTED_VALUE"""),"Closed")</f>
        <v>Closed</v>
      </c>
      <c r="DE234" s="195" t="str">
        <f>IFERROR(__xludf.DUMMYFUNCTION("""COMPUTED_VALUE"""),"Closed")</f>
        <v>Closed</v>
      </c>
      <c r="DF234" s="196" t="str">
        <f>IFERROR(__xludf.DUMMYFUNCTION("""COMPUTED_VALUE"""),"Closed")</f>
        <v>Closed</v>
      </c>
      <c r="DG234" s="194" t="str">
        <f>IFERROR(__xludf.DUMMYFUNCTION("""COMPUTED_VALUE"""),"Closed")</f>
        <v>Closed</v>
      </c>
      <c r="DH234" s="195" t="str">
        <f>IFERROR(__xludf.DUMMYFUNCTION("""COMPUTED_VALUE"""),"Closed")</f>
        <v>Closed</v>
      </c>
      <c r="DI234" s="196" t="str">
        <f>IFERROR(__xludf.DUMMYFUNCTION("""COMPUTED_VALUE"""),"Closed")</f>
        <v>Closed</v>
      </c>
      <c r="DJ234" s="194" t="str">
        <f>IFERROR(__xludf.DUMMYFUNCTION("""COMPUTED_VALUE"""),"Closed")</f>
        <v>Closed</v>
      </c>
      <c r="DK234" s="195" t="str">
        <f>IFERROR(__xludf.DUMMYFUNCTION("""COMPUTED_VALUE"""),"Closed")</f>
        <v>Closed</v>
      </c>
      <c r="DL234" s="196" t="str">
        <f>IFERROR(__xludf.DUMMYFUNCTION("""COMPUTED_VALUE"""),"Closed")</f>
        <v>Closed</v>
      </c>
      <c r="DM234" s="194" t="str">
        <f>IFERROR(__xludf.DUMMYFUNCTION("""COMPUTED_VALUE"""),"Closed")</f>
        <v>Closed</v>
      </c>
      <c r="DN234" s="195" t="str">
        <f>IFERROR(__xludf.DUMMYFUNCTION("""COMPUTED_VALUE"""),"Closed")</f>
        <v>Closed</v>
      </c>
      <c r="DO234" s="196" t="str">
        <f>IFERROR(__xludf.DUMMYFUNCTION("""COMPUTED_VALUE"""),"Closed")</f>
        <v>Closed</v>
      </c>
      <c r="DP234" s="194" t="str">
        <f>IFERROR(__xludf.DUMMYFUNCTION("""COMPUTED_VALUE"""),"Closed")</f>
        <v>Closed</v>
      </c>
      <c r="DQ234" s="195" t="str">
        <f>IFERROR(__xludf.DUMMYFUNCTION("""COMPUTED_VALUE"""),"Closed")</f>
        <v>Closed</v>
      </c>
      <c r="DR234" s="196"/>
      <c r="DS234" s="194"/>
    </row>
    <row r="235" hidden="1">
      <c r="B235" s="201" t="str">
        <f>IFERROR(__xludf.DUMMYFUNCTION("""COMPUTED_VALUE"""),"ATL8")</f>
        <v>ATL8</v>
      </c>
      <c r="C235" s="247" t="str">
        <f>IFERROR(__xludf.DUMMYFUNCTION("""COMPUTED_VALUE"""),"Nemesis Island")</f>
        <v>Nemesis Island</v>
      </c>
      <c r="D235" s="248">
        <f>IFERROR(__xludf.DUMMYFUNCTION("""COMPUTED_VALUE"""),21.0)</f>
        <v>21</v>
      </c>
      <c r="E235" s="68" t="b">
        <f>IFERROR(__xludf.DUMMYFUNCTION("""COMPUTED_VALUE"""),FALSE)</f>
        <v>0</v>
      </c>
      <c r="F235" s="68" t="str">
        <f>IFERROR(__xludf.DUMMYFUNCTION("""COMPUTED_VALUE"""),"Free Quests- Part 2!A704:J713")</f>
        <v>Free Quests- Part 2!A704:J713</v>
      </c>
      <c r="G235" s="68">
        <f>IFERROR(__xludf.DUMMYFUNCTION("""COMPUTED_VALUE"""),235.0)</f>
        <v>235</v>
      </c>
      <c r="H235" s="68" t="str">
        <f>IFERROR(__xludf.DUMMYFUNCTION("""COMPUTED_VALUE"""),"Closed")</f>
        <v>Closed</v>
      </c>
      <c r="I235" s="204" t="str">
        <f>IFERROR(__xludf.DUMMYFUNCTION("""COMPUTED_VALUE"""),"Closed")</f>
        <v>Closed</v>
      </c>
      <c r="J235" s="205" t="str">
        <f>IFERROR(__xludf.DUMMYFUNCTION("""COMPUTED_VALUE"""),"Closed")</f>
        <v>Closed</v>
      </c>
      <c r="K235" s="206" t="str">
        <f>IFERROR(__xludf.DUMMYFUNCTION("""COMPUTED_VALUE"""),"Closed")</f>
        <v>Closed</v>
      </c>
      <c r="L235" s="204" t="str">
        <f>IFERROR(__xludf.DUMMYFUNCTION("""COMPUTED_VALUE"""),"Closed")</f>
        <v>Closed</v>
      </c>
      <c r="M235" s="205" t="str">
        <f>IFERROR(__xludf.DUMMYFUNCTION("""COMPUTED_VALUE"""),"Closed")</f>
        <v>Closed</v>
      </c>
      <c r="N235" s="206" t="str">
        <f>IFERROR(__xludf.DUMMYFUNCTION("""COMPUTED_VALUE"""),"Closed")</f>
        <v>Closed</v>
      </c>
      <c r="O235" s="204" t="str">
        <f>IFERROR(__xludf.DUMMYFUNCTION("""COMPUTED_VALUE"""),"Closed")</f>
        <v>Closed</v>
      </c>
      <c r="P235" s="205" t="str">
        <f>IFERROR(__xludf.DUMMYFUNCTION("""COMPUTED_VALUE"""),"Closed")</f>
        <v>Closed</v>
      </c>
      <c r="Q235" s="206" t="str">
        <f>IFERROR(__xludf.DUMMYFUNCTION("""COMPUTED_VALUE"""),"Closed")</f>
        <v>Closed</v>
      </c>
      <c r="R235" s="204" t="str">
        <f>IFERROR(__xludf.DUMMYFUNCTION("""COMPUTED_VALUE"""),"Closed")</f>
        <v>Closed</v>
      </c>
      <c r="S235" s="205" t="str">
        <f>IFERROR(__xludf.DUMMYFUNCTION("""COMPUTED_VALUE"""),"Closed")</f>
        <v>Closed</v>
      </c>
      <c r="T235" s="206" t="str">
        <f>IFERROR(__xludf.DUMMYFUNCTION("""COMPUTED_VALUE"""),"Closed")</f>
        <v>Closed</v>
      </c>
      <c r="U235" s="204" t="str">
        <f>IFERROR(__xludf.DUMMYFUNCTION("""COMPUTED_VALUE"""),"Closed")</f>
        <v>Closed</v>
      </c>
      <c r="V235" s="205" t="str">
        <f>IFERROR(__xludf.DUMMYFUNCTION("""COMPUTED_VALUE"""),"Closed")</f>
        <v>Closed</v>
      </c>
      <c r="W235" s="206" t="str">
        <f>IFERROR(__xludf.DUMMYFUNCTION("""COMPUTED_VALUE"""),"Closed")</f>
        <v>Closed</v>
      </c>
      <c r="X235" s="204" t="str">
        <f>IFERROR(__xludf.DUMMYFUNCTION("""COMPUTED_VALUE"""),"Closed")</f>
        <v>Closed</v>
      </c>
      <c r="Y235" s="205" t="str">
        <f>IFERROR(__xludf.DUMMYFUNCTION("""COMPUTED_VALUE"""),"Closed")</f>
        <v>Closed</v>
      </c>
      <c r="Z235" s="206" t="str">
        <f>IFERROR(__xludf.DUMMYFUNCTION("""COMPUTED_VALUE"""),"Closed")</f>
        <v>Closed</v>
      </c>
      <c r="AA235" s="204" t="str">
        <f>IFERROR(__xludf.DUMMYFUNCTION("""COMPUTED_VALUE"""),"Closed")</f>
        <v>Closed</v>
      </c>
      <c r="AB235" s="205" t="str">
        <f>IFERROR(__xludf.DUMMYFUNCTION("""COMPUTED_VALUE"""),"Closed")</f>
        <v>Closed</v>
      </c>
      <c r="AC235" s="206" t="str">
        <f>IFERROR(__xludf.DUMMYFUNCTION("""COMPUTED_VALUE"""),"Closed")</f>
        <v>Closed</v>
      </c>
      <c r="AD235" s="204" t="str">
        <f>IFERROR(__xludf.DUMMYFUNCTION("""COMPUTED_VALUE"""),"Closed")</f>
        <v>Closed</v>
      </c>
      <c r="AE235" s="205" t="str">
        <f>IFERROR(__xludf.DUMMYFUNCTION("""COMPUTED_VALUE"""),"Closed")</f>
        <v>Closed</v>
      </c>
      <c r="AF235" s="206" t="str">
        <f>IFERROR(__xludf.DUMMYFUNCTION("""COMPUTED_VALUE"""),"Closed")</f>
        <v>Closed</v>
      </c>
      <c r="AG235" s="204" t="str">
        <f>IFERROR(__xludf.DUMMYFUNCTION("""COMPUTED_VALUE"""),"Closed")</f>
        <v>Closed</v>
      </c>
      <c r="AH235" s="205" t="str">
        <f>IFERROR(__xludf.DUMMYFUNCTION("""COMPUTED_VALUE"""),"Closed")</f>
        <v>Closed</v>
      </c>
      <c r="AI235" s="206" t="str">
        <f>IFERROR(__xludf.DUMMYFUNCTION("""COMPUTED_VALUE"""),"Closed")</f>
        <v>Closed</v>
      </c>
      <c r="AJ235" s="204" t="str">
        <f>IFERROR(__xludf.DUMMYFUNCTION("""COMPUTED_VALUE"""),"Closed")</f>
        <v>Closed</v>
      </c>
      <c r="AK235" s="205" t="str">
        <f>IFERROR(__xludf.DUMMYFUNCTION("""COMPUTED_VALUE"""),"Closed")</f>
        <v>Closed</v>
      </c>
      <c r="AL235" s="206" t="str">
        <f>IFERROR(__xludf.DUMMYFUNCTION("""COMPUTED_VALUE"""),"Closed")</f>
        <v>Closed</v>
      </c>
      <c r="AM235" s="204" t="str">
        <f>IFERROR(__xludf.DUMMYFUNCTION("""COMPUTED_VALUE"""),"Closed")</f>
        <v>Closed</v>
      </c>
      <c r="AN235" s="205" t="str">
        <f>IFERROR(__xludf.DUMMYFUNCTION("""COMPUTED_VALUE"""),"Closed")</f>
        <v>Closed</v>
      </c>
      <c r="AO235" s="206" t="str">
        <f>IFERROR(__xludf.DUMMYFUNCTION("""COMPUTED_VALUE"""),"Closed")</f>
        <v>Closed</v>
      </c>
      <c r="AP235" s="204" t="str">
        <f>IFERROR(__xludf.DUMMYFUNCTION("""COMPUTED_VALUE"""),"Closed")</f>
        <v>Closed</v>
      </c>
      <c r="AQ235" s="205" t="str">
        <f>IFERROR(__xludf.DUMMYFUNCTION("""COMPUTED_VALUE"""),"Closed")</f>
        <v>Closed</v>
      </c>
      <c r="AR235" s="206" t="str">
        <f>IFERROR(__xludf.DUMMYFUNCTION("""COMPUTED_VALUE"""),"Closed")</f>
        <v>Closed</v>
      </c>
      <c r="AS235" s="204" t="str">
        <f>IFERROR(__xludf.DUMMYFUNCTION("""COMPUTED_VALUE"""),"Closed")</f>
        <v>Closed</v>
      </c>
      <c r="AT235" s="205" t="str">
        <f>IFERROR(__xludf.DUMMYFUNCTION("""COMPUTED_VALUE"""),"Closed")</f>
        <v>Closed</v>
      </c>
      <c r="AU235" s="206" t="str">
        <f>IFERROR(__xludf.DUMMYFUNCTION("""COMPUTED_VALUE"""),"Closed")</f>
        <v>Closed</v>
      </c>
      <c r="AV235" s="204" t="str">
        <f>IFERROR(__xludf.DUMMYFUNCTION("""COMPUTED_VALUE"""),"Closed")</f>
        <v>Closed</v>
      </c>
      <c r="AW235" s="205" t="str">
        <f>IFERROR(__xludf.DUMMYFUNCTION("""COMPUTED_VALUE"""),"Closed")</f>
        <v>Closed</v>
      </c>
      <c r="AX235" s="206" t="str">
        <f>IFERROR(__xludf.DUMMYFUNCTION("""COMPUTED_VALUE"""),"Closed")</f>
        <v>Closed</v>
      </c>
      <c r="AY235" s="204" t="str">
        <f>IFERROR(__xludf.DUMMYFUNCTION("""COMPUTED_VALUE"""),"Closed")</f>
        <v>Closed</v>
      </c>
      <c r="AZ235" s="205" t="str">
        <f>IFERROR(__xludf.DUMMYFUNCTION("""COMPUTED_VALUE"""),"Closed")</f>
        <v>Closed</v>
      </c>
      <c r="BA235" s="206" t="str">
        <f>IFERROR(__xludf.DUMMYFUNCTION("""COMPUTED_VALUE"""),"Closed")</f>
        <v>Closed</v>
      </c>
      <c r="BB235" s="204" t="str">
        <f>IFERROR(__xludf.DUMMYFUNCTION("""COMPUTED_VALUE"""),"Closed")</f>
        <v>Closed</v>
      </c>
      <c r="BC235" s="205" t="str">
        <f>IFERROR(__xludf.DUMMYFUNCTION("""COMPUTED_VALUE"""),"Closed")</f>
        <v>Closed</v>
      </c>
      <c r="BD235" s="206" t="str">
        <f>IFERROR(__xludf.DUMMYFUNCTION("""COMPUTED_VALUE"""),"Closed")</f>
        <v>Closed</v>
      </c>
      <c r="BE235" s="204" t="str">
        <f>IFERROR(__xludf.DUMMYFUNCTION("""COMPUTED_VALUE"""),"Closed")</f>
        <v>Closed</v>
      </c>
      <c r="BF235" s="205" t="str">
        <f>IFERROR(__xludf.DUMMYFUNCTION("""COMPUTED_VALUE"""),"Closed")</f>
        <v>Closed</v>
      </c>
      <c r="BG235" s="206" t="str">
        <f>IFERROR(__xludf.DUMMYFUNCTION("""COMPUTED_VALUE"""),"Closed")</f>
        <v>Closed</v>
      </c>
      <c r="BH235" s="204" t="str">
        <f>IFERROR(__xludf.DUMMYFUNCTION("""COMPUTED_VALUE"""),"Closed")</f>
        <v>Closed</v>
      </c>
      <c r="BI235" s="205" t="str">
        <f>IFERROR(__xludf.DUMMYFUNCTION("""COMPUTED_VALUE"""),"Closed")</f>
        <v>Closed</v>
      </c>
      <c r="BJ235" s="206" t="str">
        <f>IFERROR(__xludf.DUMMYFUNCTION("""COMPUTED_VALUE"""),"Closed")</f>
        <v>Closed</v>
      </c>
      <c r="BK235" s="204" t="str">
        <f>IFERROR(__xludf.DUMMYFUNCTION("""COMPUTED_VALUE"""),"Closed")</f>
        <v>Closed</v>
      </c>
      <c r="BL235" s="205" t="str">
        <f>IFERROR(__xludf.DUMMYFUNCTION("""COMPUTED_VALUE"""),"Closed")</f>
        <v>Closed</v>
      </c>
      <c r="BM235" s="206" t="str">
        <f>IFERROR(__xludf.DUMMYFUNCTION("""COMPUTED_VALUE"""),"Closed")</f>
        <v>Closed</v>
      </c>
      <c r="BN235" s="204" t="str">
        <f>IFERROR(__xludf.DUMMYFUNCTION("""COMPUTED_VALUE"""),"Closed")</f>
        <v>Closed</v>
      </c>
      <c r="BO235" s="205" t="str">
        <f>IFERROR(__xludf.DUMMYFUNCTION("""COMPUTED_VALUE"""),"Closed")</f>
        <v>Closed</v>
      </c>
      <c r="BP235" s="206" t="str">
        <f>IFERROR(__xludf.DUMMYFUNCTION("""COMPUTED_VALUE"""),"Closed")</f>
        <v>Closed</v>
      </c>
      <c r="BQ235" s="204" t="str">
        <f>IFERROR(__xludf.DUMMYFUNCTION("""COMPUTED_VALUE"""),"Closed")</f>
        <v>Closed</v>
      </c>
      <c r="BR235" s="205" t="str">
        <f>IFERROR(__xludf.DUMMYFUNCTION("""COMPUTED_VALUE"""),"Closed")</f>
        <v>Closed</v>
      </c>
      <c r="BS235" s="206" t="str">
        <f>IFERROR(__xludf.DUMMYFUNCTION("""COMPUTED_VALUE"""),"Closed")</f>
        <v>Closed</v>
      </c>
      <c r="BT235" s="204" t="str">
        <f>IFERROR(__xludf.DUMMYFUNCTION("""COMPUTED_VALUE"""),"Closed")</f>
        <v>Closed</v>
      </c>
      <c r="BU235" s="205" t="str">
        <f>IFERROR(__xludf.DUMMYFUNCTION("""COMPUTED_VALUE"""),"Closed")</f>
        <v>Closed</v>
      </c>
      <c r="BV235" s="206" t="str">
        <f>IFERROR(__xludf.DUMMYFUNCTION("""COMPUTED_VALUE"""),"Closed")</f>
        <v>Closed</v>
      </c>
      <c r="BW235" s="204" t="str">
        <f>IFERROR(__xludf.DUMMYFUNCTION("""COMPUTED_VALUE"""),"Closed")</f>
        <v>Closed</v>
      </c>
      <c r="BX235" s="205" t="str">
        <f>IFERROR(__xludf.DUMMYFUNCTION("""COMPUTED_VALUE"""),"Closed")</f>
        <v>Closed</v>
      </c>
      <c r="BY235" s="206" t="str">
        <f>IFERROR(__xludf.DUMMYFUNCTION("""COMPUTED_VALUE"""),"Closed")</f>
        <v>Closed</v>
      </c>
      <c r="BZ235" s="204" t="str">
        <f>IFERROR(__xludf.DUMMYFUNCTION("""COMPUTED_VALUE"""),"Closed")</f>
        <v>Closed</v>
      </c>
      <c r="CA235" s="205" t="str">
        <f>IFERROR(__xludf.DUMMYFUNCTION("""COMPUTED_VALUE"""),"Closed")</f>
        <v>Closed</v>
      </c>
      <c r="CB235" s="206" t="str">
        <f>IFERROR(__xludf.DUMMYFUNCTION("""COMPUTED_VALUE"""),"Closed")</f>
        <v>Closed</v>
      </c>
      <c r="CC235" s="204" t="str">
        <f>IFERROR(__xludf.DUMMYFUNCTION("""COMPUTED_VALUE"""),"Closed")</f>
        <v>Closed</v>
      </c>
      <c r="CD235" s="205" t="str">
        <f>IFERROR(__xludf.DUMMYFUNCTION("""COMPUTED_VALUE"""),"Closed")</f>
        <v>Closed</v>
      </c>
      <c r="CE235" s="206" t="str">
        <f>IFERROR(__xludf.DUMMYFUNCTION("""COMPUTED_VALUE"""),"Closed")</f>
        <v>Closed</v>
      </c>
      <c r="CF235" s="204" t="str">
        <f>IFERROR(__xludf.DUMMYFUNCTION("""COMPUTED_VALUE"""),"Closed")</f>
        <v>Closed</v>
      </c>
      <c r="CG235" s="205" t="str">
        <f>IFERROR(__xludf.DUMMYFUNCTION("""COMPUTED_VALUE"""),"Closed")</f>
        <v>Closed</v>
      </c>
      <c r="CH235" s="205" t="str">
        <f>IFERROR(__xludf.DUMMYFUNCTION("""COMPUTED_VALUE"""),"Closed")</f>
        <v>Closed</v>
      </c>
      <c r="CI235" s="204" t="str">
        <f>IFERROR(__xludf.DUMMYFUNCTION("""COMPUTED_VALUE"""),"Closed")</f>
        <v>Closed</v>
      </c>
      <c r="CJ235" s="205" t="str">
        <f>IFERROR(__xludf.DUMMYFUNCTION("""COMPUTED_VALUE"""),"Closed")</f>
        <v>Closed</v>
      </c>
      <c r="CK235" s="205" t="str">
        <f>IFERROR(__xludf.DUMMYFUNCTION("""COMPUTED_VALUE"""),"Closed")</f>
        <v>Closed</v>
      </c>
      <c r="CL235" s="204" t="str">
        <f>IFERROR(__xludf.DUMMYFUNCTION("""COMPUTED_VALUE"""),"Closed")</f>
        <v>Closed</v>
      </c>
      <c r="CM235" s="205" t="str">
        <f>IFERROR(__xludf.DUMMYFUNCTION("""COMPUTED_VALUE"""),"Closed")</f>
        <v>Closed</v>
      </c>
      <c r="CN235" s="205" t="str">
        <f>IFERROR(__xludf.DUMMYFUNCTION("""COMPUTED_VALUE"""),"Closed")</f>
        <v>Closed</v>
      </c>
      <c r="CO235" s="204" t="str">
        <f>IFERROR(__xludf.DUMMYFUNCTION("""COMPUTED_VALUE"""),"Closed")</f>
        <v>Closed</v>
      </c>
      <c r="CP235" s="205" t="str">
        <f>IFERROR(__xludf.DUMMYFUNCTION("""COMPUTED_VALUE"""),"Closed")</f>
        <v>Closed</v>
      </c>
      <c r="CQ235" s="205" t="str">
        <f>IFERROR(__xludf.DUMMYFUNCTION("""COMPUTED_VALUE"""),"Closed")</f>
        <v>Closed</v>
      </c>
      <c r="CR235" s="204" t="str">
        <f>IFERROR(__xludf.DUMMYFUNCTION("""COMPUTED_VALUE"""),"Closed")</f>
        <v>Closed</v>
      </c>
      <c r="CS235" s="205" t="str">
        <f>IFERROR(__xludf.DUMMYFUNCTION("""COMPUTED_VALUE"""),"Closed")</f>
        <v>Closed</v>
      </c>
      <c r="CT235" s="205" t="str">
        <f>IFERROR(__xludf.DUMMYFUNCTION("""COMPUTED_VALUE"""),"Closed")</f>
        <v>Closed</v>
      </c>
      <c r="CU235" s="204" t="str">
        <f>IFERROR(__xludf.DUMMYFUNCTION("""COMPUTED_VALUE"""),"Closed")</f>
        <v>Closed</v>
      </c>
      <c r="CV235" s="205" t="str">
        <f>IFERROR(__xludf.DUMMYFUNCTION("""COMPUTED_VALUE"""),"Closed")</f>
        <v>Closed</v>
      </c>
      <c r="CW235" s="206" t="str">
        <f>IFERROR(__xludf.DUMMYFUNCTION("""COMPUTED_VALUE"""),"Closed")</f>
        <v>Closed</v>
      </c>
      <c r="CX235" s="205" t="str">
        <f>IFERROR(__xludf.DUMMYFUNCTION("""COMPUTED_VALUE"""),"Closed")</f>
        <v>Closed</v>
      </c>
      <c r="CY235" s="205" t="str">
        <f>IFERROR(__xludf.DUMMYFUNCTION("""COMPUTED_VALUE"""),"Closed")</f>
        <v>Closed</v>
      </c>
      <c r="CZ235" s="206" t="str">
        <f>IFERROR(__xludf.DUMMYFUNCTION("""COMPUTED_VALUE"""),"Closed")</f>
        <v>Closed</v>
      </c>
      <c r="DA235" s="204" t="str">
        <f>IFERROR(__xludf.DUMMYFUNCTION("""COMPUTED_VALUE"""),"Closed")</f>
        <v>Closed</v>
      </c>
      <c r="DB235" s="205" t="str">
        <f>IFERROR(__xludf.DUMMYFUNCTION("""COMPUTED_VALUE"""),"Closed")</f>
        <v>Closed</v>
      </c>
      <c r="DC235" s="206" t="str">
        <f>IFERROR(__xludf.DUMMYFUNCTION("""COMPUTED_VALUE"""),"Closed")</f>
        <v>Closed</v>
      </c>
      <c r="DD235" s="204" t="str">
        <f>IFERROR(__xludf.DUMMYFUNCTION("""COMPUTED_VALUE"""),"Closed")</f>
        <v>Closed</v>
      </c>
      <c r="DE235" s="205" t="str">
        <f>IFERROR(__xludf.DUMMYFUNCTION("""COMPUTED_VALUE"""),"Closed")</f>
        <v>Closed</v>
      </c>
      <c r="DF235" s="206" t="str">
        <f>IFERROR(__xludf.DUMMYFUNCTION("""COMPUTED_VALUE"""),"Closed")</f>
        <v>Closed</v>
      </c>
      <c r="DG235" s="204" t="str">
        <f>IFERROR(__xludf.DUMMYFUNCTION("""COMPUTED_VALUE"""),"Closed")</f>
        <v>Closed</v>
      </c>
      <c r="DH235" s="205" t="str">
        <f>IFERROR(__xludf.DUMMYFUNCTION("""COMPUTED_VALUE"""),"Closed")</f>
        <v>Closed</v>
      </c>
      <c r="DI235" s="206" t="str">
        <f>IFERROR(__xludf.DUMMYFUNCTION("""COMPUTED_VALUE"""),"Closed")</f>
        <v>Closed</v>
      </c>
      <c r="DJ235" s="204" t="str">
        <f>IFERROR(__xludf.DUMMYFUNCTION("""COMPUTED_VALUE"""),"Closed")</f>
        <v>Closed</v>
      </c>
      <c r="DK235" s="205" t="str">
        <f>IFERROR(__xludf.DUMMYFUNCTION("""COMPUTED_VALUE"""),"Closed")</f>
        <v>Closed</v>
      </c>
      <c r="DL235" s="206" t="str">
        <f>IFERROR(__xludf.DUMMYFUNCTION("""COMPUTED_VALUE"""),"Closed")</f>
        <v>Closed</v>
      </c>
      <c r="DM235" s="204" t="str">
        <f>IFERROR(__xludf.DUMMYFUNCTION("""COMPUTED_VALUE"""),"Closed")</f>
        <v>Closed</v>
      </c>
      <c r="DN235" s="205" t="str">
        <f>IFERROR(__xludf.DUMMYFUNCTION("""COMPUTED_VALUE"""),"Closed")</f>
        <v>Closed</v>
      </c>
      <c r="DO235" s="206" t="str">
        <f>IFERROR(__xludf.DUMMYFUNCTION("""COMPUTED_VALUE"""),"Closed")</f>
        <v>Closed</v>
      </c>
      <c r="DP235" s="204" t="str">
        <f>IFERROR(__xludf.DUMMYFUNCTION("""COMPUTED_VALUE"""),"Closed")</f>
        <v>Closed</v>
      </c>
      <c r="DQ235" s="205" t="str">
        <f>IFERROR(__xludf.DUMMYFUNCTION("""COMPUTED_VALUE"""),"Closed")</f>
        <v>Closed</v>
      </c>
      <c r="DR235" s="206"/>
      <c r="DS235" s="204"/>
    </row>
    <row r="236" hidden="1">
      <c r="B236" s="189" t="str">
        <f>IFERROR(__xludf.DUMMYFUNCTION("""COMPUTED_VALUE"""),"ATL9")</f>
        <v>ATL9</v>
      </c>
      <c r="C236" s="239" t="str">
        <f>IFERROR(__xludf.DUMMYFUNCTION("""COMPUTED_VALUE"""),"Thanatos Island")</f>
        <v>Thanatos Island</v>
      </c>
      <c r="D236" s="240">
        <f>IFERROR(__xludf.DUMMYFUNCTION("""COMPUTED_VALUE"""),21.0)</f>
        <v>21</v>
      </c>
      <c r="E236" s="190" t="b">
        <f>IFERROR(__xludf.DUMMYFUNCTION("""COMPUTED_VALUE"""),FALSE)</f>
        <v>0</v>
      </c>
      <c r="F236" s="190" t="str">
        <f>IFERROR(__xludf.DUMMYFUNCTION("""COMPUTED_VALUE"""),"Free Quests- Part 2!A717:J727")</f>
        <v>Free Quests- Part 2!A717:J727</v>
      </c>
      <c r="G236" s="190">
        <f>IFERROR(__xludf.DUMMYFUNCTION("""COMPUTED_VALUE"""),236.0)</f>
        <v>236</v>
      </c>
      <c r="H236" s="190" t="str">
        <f>IFERROR(__xludf.DUMMYFUNCTION("""COMPUTED_VALUE"""),"Closed")</f>
        <v>Closed</v>
      </c>
      <c r="I236" s="194" t="str">
        <f>IFERROR(__xludf.DUMMYFUNCTION("""COMPUTED_VALUE"""),"Closed")</f>
        <v>Closed</v>
      </c>
      <c r="J236" s="195" t="str">
        <f>IFERROR(__xludf.DUMMYFUNCTION("""COMPUTED_VALUE"""),"Closed")</f>
        <v>Closed</v>
      </c>
      <c r="K236" s="196" t="str">
        <f>IFERROR(__xludf.DUMMYFUNCTION("""COMPUTED_VALUE"""),"Closed")</f>
        <v>Closed</v>
      </c>
      <c r="L236" s="194" t="str">
        <f>IFERROR(__xludf.DUMMYFUNCTION("""COMPUTED_VALUE"""),"Closed")</f>
        <v>Closed</v>
      </c>
      <c r="M236" s="195" t="str">
        <f>IFERROR(__xludf.DUMMYFUNCTION("""COMPUTED_VALUE"""),"Closed")</f>
        <v>Closed</v>
      </c>
      <c r="N236" s="196" t="str">
        <f>IFERROR(__xludf.DUMMYFUNCTION("""COMPUTED_VALUE"""),"Closed")</f>
        <v>Closed</v>
      </c>
      <c r="O236" s="194" t="str">
        <f>IFERROR(__xludf.DUMMYFUNCTION("""COMPUTED_VALUE"""),"Closed")</f>
        <v>Closed</v>
      </c>
      <c r="P236" s="195" t="str">
        <f>IFERROR(__xludf.DUMMYFUNCTION("""COMPUTED_VALUE"""),"Closed")</f>
        <v>Closed</v>
      </c>
      <c r="Q236" s="196" t="str">
        <f>IFERROR(__xludf.DUMMYFUNCTION("""COMPUTED_VALUE"""),"Closed")</f>
        <v>Closed</v>
      </c>
      <c r="R236" s="194" t="str">
        <f>IFERROR(__xludf.DUMMYFUNCTION("""COMPUTED_VALUE"""),"Closed")</f>
        <v>Closed</v>
      </c>
      <c r="S236" s="195" t="str">
        <f>IFERROR(__xludf.DUMMYFUNCTION("""COMPUTED_VALUE"""),"Closed")</f>
        <v>Closed</v>
      </c>
      <c r="T236" s="196" t="str">
        <f>IFERROR(__xludf.DUMMYFUNCTION("""COMPUTED_VALUE"""),"Closed")</f>
        <v>Closed</v>
      </c>
      <c r="U236" s="194" t="str">
        <f>IFERROR(__xludf.DUMMYFUNCTION("""COMPUTED_VALUE"""),"Closed")</f>
        <v>Closed</v>
      </c>
      <c r="V236" s="195" t="str">
        <f>IFERROR(__xludf.DUMMYFUNCTION("""COMPUTED_VALUE"""),"Closed")</f>
        <v>Closed</v>
      </c>
      <c r="W236" s="196" t="str">
        <f>IFERROR(__xludf.DUMMYFUNCTION("""COMPUTED_VALUE"""),"Closed")</f>
        <v>Closed</v>
      </c>
      <c r="X236" s="194" t="str">
        <f>IFERROR(__xludf.DUMMYFUNCTION("""COMPUTED_VALUE"""),"Closed")</f>
        <v>Closed</v>
      </c>
      <c r="Y236" s="195" t="str">
        <f>IFERROR(__xludf.DUMMYFUNCTION("""COMPUTED_VALUE"""),"Closed")</f>
        <v>Closed</v>
      </c>
      <c r="Z236" s="196" t="str">
        <f>IFERROR(__xludf.DUMMYFUNCTION("""COMPUTED_VALUE"""),"Closed")</f>
        <v>Closed</v>
      </c>
      <c r="AA236" s="194" t="str">
        <f>IFERROR(__xludf.DUMMYFUNCTION("""COMPUTED_VALUE"""),"Closed")</f>
        <v>Closed</v>
      </c>
      <c r="AB236" s="195" t="str">
        <f>IFERROR(__xludf.DUMMYFUNCTION("""COMPUTED_VALUE"""),"Closed")</f>
        <v>Closed</v>
      </c>
      <c r="AC236" s="196" t="str">
        <f>IFERROR(__xludf.DUMMYFUNCTION("""COMPUTED_VALUE"""),"Closed")</f>
        <v>Closed</v>
      </c>
      <c r="AD236" s="194" t="str">
        <f>IFERROR(__xludf.DUMMYFUNCTION("""COMPUTED_VALUE"""),"Closed")</f>
        <v>Closed</v>
      </c>
      <c r="AE236" s="195" t="str">
        <f>IFERROR(__xludf.DUMMYFUNCTION("""COMPUTED_VALUE"""),"Closed")</f>
        <v>Closed</v>
      </c>
      <c r="AF236" s="196" t="str">
        <f>IFERROR(__xludf.DUMMYFUNCTION("""COMPUTED_VALUE"""),"Closed")</f>
        <v>Closed</v>
      </c>
      <c r="AG236" s="194" t="str">
        <f>IFERROR(__xludf.DUMMYFUNCTION("""COMPUTED_VALUE"""),"Closed")</f>
        <v>Closed</v>
      </c>
      <c r="AH236" s="195" t="str">
        <f>IFERROR(__xludf.DUMMYFUNCTION("""COMPUTED_VALUE"""),"Closed")</f>
        <v>Closed</v>
      </c>
      <c r="AI236" s="196" t="str">
        <f>IFERROR(__xludf.DUMMYFUNCTION("""COMPUTED_VALUE"""),"Closed")</f>
        <v>Closed</v>
      </c>
      <c r="AJ236" s="194" t="str">
        <f>IFERROR(__xludf.DUMMYFUNCTION("""COMPUTED_VALUE"""),"Closed")</f>
        <v>Closed</v>
      </c>
      <c r="AK236" s="195" t="str">
        <f>IFERROR(__xludf.DUMMYFUNCTION("""COMPUTED_VALUE"""),"Closed")</f>
        <v>Closed</v>
      </c>
      <c r="AL236" s="196" t="str">
        <f>IFERROR(__xludf.DUMMYFUNCTION("""COMPUTED_VALUE"""),"Closed")</f>
        <v>Closed</v>
      </c>
      <c r="AM236" s="194" t="str">
        <f>IFERROR(__xludf.DUMMYFUNCTION("""COMPUTED_VALUE"""),"Closed")</f>
        <v>Closed</v>
      </c>
      <c r="AN236" s="195" t="str">
        <f>IFERROR(__xludf.DUMMYFUNCTION("""COMPUTED_VALUE"""),"Closed")</f>
        <v>Closed</v>
      </c>
      <c r="AO236" s="196" t="str">
        <f>IFERROR(__xludf.DUMMYFUNCTION("""COMPUTED_VALUE"""),"Closed")</f>
        <v>Closed</v>
      </c>
      <c r="AP236" s="194" t="str">
        <f>IFERROR(__xludf.DUMMYFUNCTION("""COMPUTED_VALUE"""),"Closed")</f>
        <v>Closed</v>
      </c>
      <c r="AQ236" s="195" t="str">
        <f>IFERROR(__xludf.DUMMYFUNCTION("""COMPUTED_VALUE"""),"Closed")</f>
        <v>Closed</v>
      </c>
      <c r="AR236" s="196" t="str">
        <f>IFERROR(__xludf.DUMMYFUNCTION("""COMPUTED_VALUE"""),"Closed")</f>
        <v>Closed</v>
      </c>
      <c r="AS236" s="194" t="str">
        <f>IFERROR(__xludf.DUMMYFUNCTION("""COMPUTED_VALUE"""),"Closed")</f>
        <v>Closed</v>
      </c>
      <c r="AT236" s="195" t="str">
        <f>IFERROR(__xludf.DUMMYFUNCTION("""COMPUTED_VALUE"""),"Closed")</f>
        <v>Closed</v>
      </c>
      <c r="AU236" s="196" t="str">
        <f>IFERROR(__xludf.DUMMYFUNCTION("""COMPUTED_VALUE"""),"Closed")</f>
        <v>Closed</v>
      </c>
      <c r="AV236" s="194" t="str">
        <f>IFERROR(__xludf.DUMMYFUNCTION("""COMPUTED_VALUE"""),"Closed")</f>
        <v>Closed</v>
      </c>
      <c r="AW236" s="195" t="str">
        <f>IFERROR(__xludf.DUMMYFUNCTION("""COMPUTED_VALUE"""),"Closed")</f>
        <v>Closed</v>
      </c>
      <c r="AX236" s="196" t="str">
        <f>IFERROR(__xludf.DUMMYFUNCTION("""COMPUTED_VALUE"""),"Closed")</f>
        <v>Closed</v>
      </c>
      <c r="AY236" s="194" t="str">
        <f>IFERROR(__xludf.DUMMYFUNCTION("""COMPUTED_VALUE"""),"Closed")</f>
        <v>Closed</v>
      </c>
      <c r="AZ236" s="195" t="str">
        <f>IFERROR(__xludf.DUMMYFUNCTION("""COMPUTED_VALUE"""),"Closed")</f>
        <v>Closed</v>
      </c>
      <c r="BA236" s="196" t="str">
        <f>IFERROR(__xludf.DUMMYFUNCTION("""COMPUTED_VALUE"""),"Closed")</f>
        <v>Closed</v>
      </c>
      <c r="BB236" s="194" t="str">
        <f>IFERROR(__xludf.DUMMYFUNCTION("""COMPUTED_VALUE"""),"Closed")</f>
        <v>Closed</v>
      </c>
      <c r="BC236" s="195" t="str">
        <f>IFERROR(__xludf.DUMMYFUNCTION("""COMPUTED_VALUE"""),"Closed")</f>
        <v>Closed</v>
      </c>
      <c r="BD236" s="196" t="str">
        <f>IFERROR(__xludf.DUMMYFUNCTION("""COMPUTED_VALUE"""),"Closed")</f>
        <v>Closed</v>
      </c>
      <c r="BE236" s="194" t="str">
        <f>IFERROR(__xludf.DUMMYFUNCTION("""COMPUTED_VALUE"""),"Closed")</f>
        <v>Closed</v>
      </c>
      <c r="BF236" s="195" t="str">
        <f>IFERROR(__xludf.DUMMYFUNCTION("""COMPUTED_VALUE"""),"Closed")</f>
        <v>Closed</v>
      </c>
      <c r="BG236" s="196" t="str">
        <f>IFERROR(__xludf.DUMMYFUNCTION("""COMPUTED_VALUE"""),"Closed")</f>
        <v>Closed</v>
      </c>
      <c r="BH236" s="194" t="str">
        <f>IFERROR(__xludf.DUMMYFUNCTION("""COMPUTED_VALUE"""),"Closed")</f>
        <v>Closed</v>
      </c>
      <c r="BI236" s="195" t="str">
        <f>IFERROR(__xludf.DUMMYFUNCTION("""COMPUTED_VALUE"""),"Closed")</f>
        <v>Closed</v>
      </c>
      <c r="BJ236" s="196" t="str">
        <f>IFERROR(__xludf.DUMMYFUNCTION("""COMPUTED_VALUE"""),"Closed")</f>
        <v>Closed</v>
      </c>
      <c r="BK236" s="194" t="str">
        <f>IFERROR(__xludf.DUMMYFUNCTION("""COMPUTED_VALUE"""),"Closed")</f>
        <v>Closed</v>
      </c>
      <c r="BL236" s="195" t="str">
        <f>IFERROR(__xludf.DUMMYFUNCTION("""COMPUTED_VALUE"""),"Closed")</f>
        <v>Closed</v>
      </c>
      <c r="BM236" s="196" t="str">
        <f>IFERROR(__xludf.DUMMYFUNCTION("""COMPUTED_VALUE"""),"Closed")</f>
        <v>Closed</v>
      </c>
      <c r="BN236" s="194" t="str">
        <f>IFERROR(__xludf.DUMMYFUNCTION("""COMPUTED_VALUE"""),"Closed")</f>
        <v>Closed</v>
      </c>
      <c r="BO236" s="195" t="str">
        <f>IFERROR(__xludf.DUMMYFUNCTION("""COMPUTED_VALUE"""),"Closed")</f>
        <v>Closed</v>
      </c>
      <c r="BP236" s="196" t="str">
        <f>IFERROR(__xludf.DUMMYFUNCTION("""COMPUTED_VALUE"""),"Closed")</f>
        <v>Closed</v>
      </c>
      <c r="BQ236" s="194" t="str">
        <f>IFERROR(__xludf.DUMMYFUNCTION("""COMPUTED_VALUE"""),"Closed")</f>
        <v>Closed</v>
      </c>
      <c r="BR236" s="195" t="str">
        <f>IFERROR(__xludf.DUMMYFUNCTION("""COMPUTED_VALUE"""),"Closed")</f>
        <v>Closed</v>
      </c>
      <c r="BS236" s="196" t="str">
        <f>IFERROR(__xludf.DUMMYFUNCTION("""COMPUTED_VALUE"""),"Closed")</f>
        <v>Closed</v>
      </c>
      <c r="BT236" s="194" t="str">
        <f>IFERROR(__xludf.DUMMYFUNCTION("""COMPUTED_VALUE"""),"Closed")</f>
        <v>Closed</v>
      </c>
      <c r="BU236" s="195" t="str">
        <f>IFERROR(__xludf.DUMMYFUNCTION("""COMPUTED_VALUE"""),"Closed")</f>
        <v>Closed</v>
      </c>
      <c r="BV236" s="196" t="str">
        <f>IFERROR(__xludf.DUMMYFUNCTION("""COMPUTED_VALUE"""),"Closed")</f>
        <v>Closed</v>
      </c>
      <c r="BW236" s="194" t="str">
        <f>IFERROR(__xludf.DUMMYFUNCTION("""COMPUTED_VALUE"""),"Closed")</f>
        <v>Closed</v>
      </c>
      <c r="BX236" s="195" t="str">
        <f>IFERROR(__xludf.DUMMYFUNCTION("""COMPUTED_VALUE"""),"Closed")</f>
        <v>Closed</v>
      </c>
      <c r="BY236" s="196" t="str">
        <f>IFERROR(__xludf.DUMMYFUNCTION("""COMPUTED_VALUE"""),"Closed")</f>
        <v>Closed</v>
      </c>
      <c r="BZ236" s="194" t="str">
        <f>IFERROR(__xludf.DUMMYFUNCTION("""COMPUTED_VALUE"""),"Closed")</f>
        <v>Closed</v>
      </c>
      <c r="CA236" s="195" t="str">
        <f>IFERROR(__xludf.DUMMYFUNCTION("""COMPUTED_VALUE"""),"Closed")</f>
        <v>Closed</v>
      </c>
      <c r="CB236" s="196" t="str">
        <f>IFERROR(__xludf.DUMMYFUNCTION("""COMPUTED_VALUE"""),"Closed")</f>
        <v>Closed</v>
      </c>
      <c r="CC236" s="194" t="str">
        <f>IFERROR(__xludf.DUMMYFUNCTION("""COMPUTED_VALUE"""),"Closed")</f>
        <v>Closed</v>
      </c>
      <c r="CD236" s="195" t="str">
        <f>IFERROR(__xludf.DUMMYFUNCTION("""COMPUTED_VALUE"""),"Closed")</f>
        <v>Closed</v>
      </c>
      <c r="CE236" s="196" t="str">
        <f>IFERROR(__xludf.DUMMYFUNCTION("""COMPUTED_VALUE"""),"Closed")</f>
        <v>Closed</v>
      </c>
      <c r="CF236" s="194" t="str">
        <f>IFERROR(__xludf.DUMMYFUNCTION("""COMPUTED_VALUE"""),"Closed")</f>
        <v>Closed</v>
      </c>
      <c r="CG236" s="195" t="str">
        <f>IFERROR(__xludf.DUMMYFUNCTION("""COMPUTED_VALUE"""),"Closed")</f>
        <v>Closed</v>
      </c>
      <c r="CH236" s="195" t="str">
        <f>IFERROR(__xludf.DUMMYFUNCTION("""COMPUTED_VALUE"""),"Closed")</f>
        <v>Closed</v>
      </c>
      <c r="CI236" s="194" t="str">
        <f>IFERROR(__xludf.DUMMYFUNCTION("""COMPUTED_VALUE"""),"Closed")</f>
        <v>Closed</v>
      </c>
      <c r="CJ236" s="195" t="str">
        <f>IFERROR(__xludf.DUMMYFUNCTION("""COMPUTED_VALUE"""),"Closed")</f>
        <v>Closed</v>
      </c>
      <c r="CK236" s="195" t="str">
        <f>IFERROR(__xludf.DUMMYFUNCTION("""COMPUTED_VALUE"""),"Closed")</f>
        <v>Closed</v>
      </c>
      <c r="CL236" s="194" t="str">
        <f>IFERROR(__xludf.DUMMYFUNCTION("""COMPUTED_VALUE"""),"Closed")</f>
        <v>Closed</v>
      </c>
      <c r="CM236" s="195" t="str">
        <f>IFERROR(__xludf.DUMMYFUNCTION("""COMPUTED_VALUE"""),"Closed")</f>
        <v>Closed</v>
      </c>
      <c r="CN236" s="195" t="str">
        <f>IFERROR(__xludf.DUMMYFUNCTION("""COMPUTED_VALUE"""),"Closed")</f>
        <v>Closed</v>
      </c>
      <c r="CO236" s="194" t="str">
        <f>IFERROR(__xludf.DUMMYFUNCTION("""COMPUTED_VALUE"""),"Closed")</f>
        <v>Closed</v>
      </c>
      <c r="CP236" s="195" t="str">
        <f>IFERROR(__xludf.DUMMYFUNCTION("""COMPUTED_VALUE"""),"Closed")</f>
        <v>Closed</v>
      </c>
      <c r="CQ236" s="195" t="str">
        <f>IFERROR(__xludf.DUMMYFUNCTION("""COMPUTED_VALUE"""),"Closed")</f>
        <v>Closed</v>
      </c>
      <c r="CR236" s="194" t="str">
        <f>IFERROR(__xludf.DUMMYFUNCTION("""COMPUTED_VALUE"""),"Closed")</f>
        <v>Closed</v>
      </c>
      <c r="CS236" s="195" t="str">
        <f>IFERROR(__xludf.DUMMYFUNCTION("""COMPUTED_VALUE"""),"Closed")</f>
        <v>Closed</v>
      </c>
      <c r="CT236" s="195" t="str">
        <f>IFERROR(__xludf.DUMMYFUNCTION("""COMPUTED_VALUE"""),"Closed")</f>
        <v>Closed</v>
      </c>
      <c r="CU236" s="194" t="str">
        <f>IFERROR(__xludf.DUMMYFUNCTION("""COMPUTED_VALUE"""),"Closed")</f>
        <v>Closed</v>
      </c>
      <c r="CV236" s="195" t="str">
        <f>IFERROR(__xludf.DUMMYFUNCTION("""COMPUTED_VALUE"""),"Closed")</f>
        <v>Closed</v>
      </c>
      <c r="CW236" s="196" t="str">
        <f>IFERROR(__xludf.DUMMYFUNCTION("""COMPUTED_VALUE"""),"Closed")</f>
        <v>Closed</v>
      </c>
      <c r="CX236" s="195" t="str">
        <f>IFERROR(__xludf.DUMMYFUNCTION("""COMPUTED_VALUE"""),"Closed")</f>
        <v>Closed</v>
      </c>
      <c r="CY236" s="195" t="str">
        <f>IFERROR(__xludf.DUMMYFUNCTION("""COMPUTED_VALUE"""),"Closed")</f>
        <v>Closed</v>
      </c>
      <c r="CZ236" s="196" t="str">
        <f>IFERROR(__xludf.DUMMYFUNCTION("""COMPUTED_VALUE"""),"Closed")</f>
        <v>Closed</v>
      </c>
      <c r="DA236" s="194" t="str">
        <f>IFERROR(__xludf.DUMMYFUNCTION("""COMPUTED_VALUE"""),"Closed")</f>
        <v>Closed</v>
      </c>
      <c r="DB236" s="195" t="str">
        <f>IFERROR(__xludf.DUMMYFUNCTION("""COMPUTED_VALUE"""),"Closed")</f>
        <v>Closed</v>
      </c>
      <c r="DC236" s="196" t="str">
        <f>IFERROR(__xludf.DUMMYFUNCTION("""COMPUTED_VALUE"""),"Closed")</f>
        <v>Closed</v>
      </c>
      <c r="DD236" s="194" t="str">
        <f>IFERROR(__xludf.DUMMYFUNCTION("""COMPUTED_VALUE"""),"Closed")</f>
        <v>Closed</v>
      </c>
      <c r="DE236" s="195" t="str">
        <f>IFERROR(__xludf.DUMMYFUNCTION("""COMPUTED_VALUE"""),"Closed")</f>
        <v>Closed</v>
      </c>
      <c r="DF236" s="196" t="str">
        <f>IFERROR(__xludf.DUMMYFUNCTION("""COMPUTED_VALUE"""),"Closed")</f>
        <v>Closed</v>
      </c>
      <c r="DG236" s="194" t="str">
        <f>IFERROR(__xludf.DUMMYFUNCTION("""COMPUTED_VALUE"""),"Closed")</f>
        <v>Closed</v>
      </c>
      <c r="DH236" s="195" t="str">
        <f>IFERROR(__xludf.DUMMYFUNCTION("""COMPUTED_VALUE"""),"Closed")</f>
        <v>Closed</v>
      </c>
      <c r="DI236" s="196" t="str">
        <f>IFERROR(__xludf.DUMMYFUNCTION("""COMPUTED_VALUE"""),"Closed")</f>
        <v>Closed</v>
      </c>
      <c r="DJ236" s="194" t="str">
        <f>IFERROR(__xludf.DUMMYFUNCTION("""COMPUTED_VALUE"""),"Closed")</f>
        <v>Closed</v>
      </c>
      <c r="DK236" s="195" t="str">
        <f>IFERROR(__xludf.DUMMYFUNCTION("""COMPUTED_VALUE"""),"Closed")</f>
        <v>Closed</v>
      </c>
      <c r="DL236" s="196" t="str">
        <f>IFERROR(__xludf.DUMMYFUNCTION("""COMPUTED_VALUE"""),"Closed")</f>
        <v>Closed</v>
      </c>
      <c r="DM236" s="194" t="str">
        <f>IFERROR(__xludf.DUMMYFUNCTION("""COMPUTED_VALUE"""),"Closed")</f>
        <v>Closed</v>
      </c>
      <c r="DN236" s="195" t="str">
        <f>IFERROR(__xludf.DUMMYFUNCTION("""COMPUTED_VALUE"""),"Closed")</f>
        <v>Closed</v>
      </c>
      <c r="DO236" s="196" t="str">
        <f>IFERROR(__xludf.DUMMYFUNCTION("""COMPUTED_VALUE"""),"Closed")</f>
        <v>Closed</v>
      </c>
      <c r="DP236" s="194" t="str">
        <f>IFERROR(__xludf.DUMMYFUNCTION("""COMPUTED_VALUE"""),"Closed")</f>
        <v>Closed</v>
      </c>
      <c r="DQ236" s="195" t="str">
        <f>IFERROR(__xludf.DUMMYFUNCTION("""COMPUTED_VALUE"""),"Closed")</f>
        <v>Closed</v>
      </c>
      <c r="DR236" s="196"/>
      <c r="DS236" s="194"/>
    </row>
    <row r="237" hidden="1">
      <c r="A237" s="214" t="str">
        <f>IFERROR(__xludf.DUMMYFUNCTION("""COMPUTED_VALUE"""),"OLYMPUS")</f>
        <v>OLYMPUS</v>
      </c>
      <c r="B237" s="180" t="str">
        <f>IFERROR(__xludf.DUMMYFUNCTION("""COMPUTED_VALUE"""),"OLP1")</f>
        <v>OLP1</v>
      </c>
      <c r="C237" s="88" t="str">
        <f>IFERROR(__xludf.DUMMYFUNCTION("""COMPUTED_VALUE"""),"Gliding Point")</f>
        <v>Gliding Point</v>
      </c>
      <c r="D237" s="102">
        <f>IFERROR(__xludf.DUMMYFUNCTION("""COMPUTED_VALUE"""),21.0)</f>
        <v>21</v>
      </c>
      <c r="E237" s="82" t="b">
        <f>IFERROR(__xludf.DUMMYFUNCTION("""COMPUTED_VALUE"""),FALSE)</f>
        <v>0</v>
      </c>
      <c r="F237" s="82" t="str">
        <f>IFERROR(__xludf.DUMMYFUNCTION("""COMPUTED_VALUE"""),"Free Quests- Part 2!A733:J742")</f>
        <v>Free Quests- Part 2!A733:J742</v>
      </c>
      <c r="G237" s="82">
        <f>IFERROR(__xludf.DUMMYFUNCTION("""COMPUTED_VALUE"""),237.0)</f>
        <v>237</v>
      </c>
      <c r="H237" s="82" t="str">
        <f>IFERROR(__xludf.DUMMYFUNCTION("""COMPUTED_VALUE"""),"Closed")</f>
        <v>Closed</v>
      </c>
      <c r="I237" s="95" t="str">
        <f>IFERROR(__xludf.DUMMYFUNCTION("""COMPUTED_VALUE"""),"Closed")</f>
        <v>Closed</v>
      </c>
      <c r="J237" s="96" t="str">
        <f>IFERROR(__xludf.DUMMYFUNCTION("""COMPUTED_VALUE"""),"Closed")</f>
        <v>Closed</v>
      </c>
      <c r="K237" s="97" t="str">
        <f>IFERROR(__xludf.DUMMYFUNCTION("""COMPUTED_VALUE"""),"Closed")</f>
        <v>Closed</v>
      </c>
      <c r="L237" s="95" t="str">
        <f>IFERROR(__xludf.DUMMYFUNCTION("""COMPUTED_VALUE"""),"Closed")</f>
        <v>Closed</v>
      </c>
      <c r="M237" s="96" t="str">
        <f>IFERROR(__xludf.DUMMYFUNCTION("""COMPUTED_VALUE"""),"Closed")</f>
        <v>Closed</v>
      </c>
      <c r="N237" s="97" t="str">
        <f>IFERROR(__xludf.DUMMYFUNCTION("""COMPUTED_VALUE"""),"Closed")</f>
        <v>Closed</v>
      </c>
      <c r="O237" s="95" t="str">
        <f>IFERROR(__xludf.DUMMYFUNCTION("""COMPUTED_VALUE"""),"Closed")</f>
        <v>Closed</v>
      </c>
      <c r="P237" s="96" t="str">
        <f>IFERROR(__xludf.DUMMYFUNCTION("""COMPUTED_VALUE"""),"Closed")</f>
        <v>Closed</v>
      </c>
      <c r="Q237" s="97" t="str">
        <f>IFERROR(__xludf.DUMMYFUNCTION("""COMPUTED_VALUE"""),"Closed")</f>
        <v>Closed</v>
      </c>
      <c r="R237" s="95" t="str">
        <f>IFERROR(__xludf.DUMMYFUNCTION("""COMPUTED_VALUE"""),"Closed")</f>
        <v>Closed</v>
      </c>
      <c r="S237" s="96" t="str">
        <f>IFERROR(__xludf.DUMMYFUNCTION("""COMPUTED_VALUE"""),"Closed")</f>
        <v>Closed</v>
      </c>
      <c r="T237" s="97" t="str">
        <f>IFERROR(__xludf.DUMMYFUNCTION("""COMPUTED_VALUE"""),"Closed")</f>
        <v>Closed</v>
      </c>
      <c r="U237" s="95" t="str">
        <f>IFERROR(__xludf.DUMMYFUNCTION("""COMPUTED_VALUE"""),"Closed")</f>
        <v>Closed</v>
      </c>
      <c r="V237" s="96" t="str">
        <f>IFERROR(__xludf.DUMMYFUNCTION("""COMPUTED_VALUE"""),"Closed")</f>
        <v>Closed</v>
      </c>
      <c r="W237" s="97" t="str">
        <f>IFERROR(__xludf.DUMMYFUNCTION("""COMPUTED_VALUE"""),"Closed")</f>
        <v>Closed</v>
      </c>
      <c r="X237" s="95" t="str">
        <f>IFERROR(__xludf.DUMMYFUNCTION("""COMPUTED_VALUE"""),"Closed")</f>
        <v>Closed</v>
      </c>
      <c r="Y237" s="96" t="str">
        <f>IFERROR(__xludf.DUMMYFUNCTION("""COMPUTED_VALUE"""),"Closed")</f>
        <v>Closed</v>
      </c>
      <c r="Z237" s="97" t="str">
        <f>IFERROR(__xludf.DUMMYFUNCTION("""COMPUTED_VALUE"""),"Closed")</f>
        <v>Closed</v>
      </c>
      <c r="AA237" s="95" t="str">
        <f>IFERROR(__xludf.DUMMYFUNCTION("""COMPUTED_VALUE"""),"Closed")</f>
        <v>Closed</v>
      </c>
      <c r="AB237" s="96" t="str">
        <f>IFERROR(__xludf.DUMMYFUNCTION("""COMPUTED_VALUE"""),"Closed")</f>
        <v>Closed</v>
      </c>
      <c r="AC237" s="97" t="str">
        <f>IFERROR(__xludf.DUMMYFUNCTION("""COMPUTED_VALUE"""),"Closed")</f>
        <v>Closed</v>
      </c>
      <c r="AD237" s="95" t="str">
        <f>IFERROR(__xludf.DUMMYFUNCTION("""COMPUTED_VALUE"""),"Closed")</f>
        <v>Closed</v>
      </c>
      <c r="AE237" s="96" t="str">
        <f>IFERROR(__xludf.DUMMYFUNCTION("""COMPUTED_VALUE"""),"Closed")</f>
        <v>Closed</v>
      </c>
      <c r="AF237" s="97" t="str">
        <f>IFERROR(__xludf.DUMMYFUNCTION("""COMPUTED_VALUE"""),"Closed")</f>
        <v>Closed</v>
      </c>
      <c r="AG237" s="95" t="str">
        <f>IFERROR(__xludf.DUMMYFUNCTION("""COMPUTED_VALUE"""),"Closed")</f>
        <v>Closed</v>
      </c>
      <c r="AH237" s="96" t="str">
        <f>IFERROR(__xludf.DUMMYFUNCTION("""COMPUTED_VALUE"""),"Closed")</f>
        <v>Closed</v>
      </c>
      <c r="AI237" s="97" t="str">
        <f>IFERROR(__xludf.DUMMYFUNCTION("""COMPUTED_VALUE"""),"Closed")</f>
        <v>Closed</v>
      </c>
      <c r="AJ237" s="95" t="str">
        <f>IFERROR(__xludf.DUMMYFUNCTION("""COMPUTED_VALUE"""),"Closed")</f>
        <v>Closed</v>
      </c>
      <c r="AK237" s="96" t="str">
        <f>IFERROR(__xludf.DUMMYFUNCTION("""COMPUTED_VALUE"""),"Closed")</f>
        <v>Closed</v>
      </c>
      <c r="AL237" s="97" t="str">
        <f>IFERROR(__xludf.DUMMYFUNCTION("""COMPUTED_VALUE"""),"Closed")</f>
        <v>Closed</v>
      </c>
      <c r="AM237" s="95" t="str">
        <f>IFERROR(__xludf.DUMMYFUNCTION("""COMPUTED_VALUE"""),"Closed")</f>
        <v>Closed</v>
      </c>
      <c r="AN237" s="96" t="str">
        <f>IFERROR(__xludf.DUMMYFUNCTION("""COMPUTED_VALUE"""),"Closed")</f>
        <v>Closed</v>
      </c>
      <c r="AO237" s="97" t="str">
        <f>IFERROR(__xludf.DUMMYFUNCTION("""COMPUTED_VALUE"""),"Closed")</f>
        <v>Closed</v>
      </c>
      <c r="AP237" s="95" t="str">
        <f>IFERROR(__xludf.DUMMYFUNCTION("""COMPUTED_VALUE"""),"Closed")</f>
        <v>Closed</v>
      </c>
      <c r="AQ237" s="96" t="str">
        <f>IFERROR(__xludf.DUMMYFUNCTION("""COMPUTED_VALUE"""),"Closed")</f>
        <v>Closed</v>
      </c>
      <c r="AR237" s="97" t="str">
        <f>IFERROR(__xludf.DUMMYFUNCTION("""COMPUTED_VALUE"""),"Closed")</f>
        <v>Closed</v>
      </c>
      <c r="AS237" s="95" t="str">
        <f>IFERROR(__xludf.DUMMYFUNCTION("""COMPUTED_VALUE"""),"Closed")</f>
        <v>Closed</v>
      </c>
      <c r="AT237" s="96" t="str">
        <f>IFERROR(__xludf.DUMMYFUNCTION("""COMPUTED_VALUE"""),"Closed")</f>
        <v>Closed</v>
      </c>
      <c r="AU237" s="97" t="str">
        <f>IFERROR(__xludf.DUMMYFUNCTION("""COMPUTED_VALUE"""),"Closed")</f>
        <v>Closed</v>
      </c>
      <c r="AV237" s="95" t="str">
        <f>IFERROR(__xludf.DUMMYFUNCTION("""COMPUTED_VALUE"""),"Closed")</f>
        <v>Closed</v>
      </c>
      <c r="AW237" s="96" t="str">
        <f>IFERROR(__xludf.DUMMYFUNCTION("""COMPUTED_VALUE"""),"Closed")</f>
        <v>Closed</v>
      </c>
      <c r="AX237" s="97" t="str">
        <f>IFERROR(__xludf.DUMMYFUNCTION("""COMPUTED_VALUE"""),"Closed")</f>
        <v>Closed</v>
      </c>
      <c r="AY237" s="95" t="str">
        <f>IFERROR(__xludf.DUMMYFUNCTION("""COMPUTED_VALUE"""),"Closed")</f>
        <v>Closed</v>
      </c>
      <c r="AZ237" s="96" t="str">
        <f>IFERROR(__xludf.DUMMYFUNCTION("""COMPUTED_VALUE"""),"Closed")</f>
        <v>Closed</v>
      </c>
      <c r="BA237" s="97" t="str">
        <f>IFERROR(__xludf.DUMMYFUNCTION("""COMPUTED_VALUE"""),"Closed")</f>
        <v>Closed</v>
      </c>
      <c r="BB237" s="95" t="str">
        <f>IFERROR(__xludf.DUMMYFUNCTION("""COMPUTED_VALUE"""),"Closed")</f>
        <v>Closed</v>
      </c>
      <c r="BC237" s="96" t="str">
        <f>IFERROR(__xludf.DUMMYFUNCTION("""COMPUTED_VALUE"""),"Closed")</f>
        <v>Closed</v>
      </c>
      <c r="BD237" s="97" t="str">
        <f>IFERROR(__xludf.DUMMYFUNCTION("""COMPUTED_VALUE"""),"Closed")</f>
        <v>Closed</v>
      </c>
      <c r="BE237" s="95" t="str">
        <f>IFERROR(__xludf.DUMMYFUNCTION("""COMPUTED_VALUE"""),"Closed")</f>
        <v>Closed</v>
      </c>
      <c r="BF237" s="96" t="str">
        <f>IFERROR(__xludf.DUMMYFUNCTION("""COMPUTED_VALUE"""),"Closed")</f>
        <v>Closed</v>
      </c>
      <c r="BG237" s="97" t="str">
        <f>IFERROR(__xludf.DUMMYFUNCTION("""COMPUTED_VALUE"""),"Closed")</f>
        <v>Closed</v>
      </c>
      <c r="BH237" s="95" t="str">
        <f>IFERROR(__xludf.DUMMYFUNCTION("""COMPUTED_VALUE"""),"Closed")</f>
        <v>Closed</v>
      </c>
      <c r="BI237" s="96" t="str">
        <f>IFERROR(__xludf.DUMMYFUNCTION("""COMPUTED_VALUE"""),"Closed")</f>
        <v>Closed</v>
      </c>
      <c r="BJ237" s="97" t="str">
        <f>IFERROR(__xludf.DUMMYFUNCTION("""COMPUTED_VALUE"""),"Closed")</f>
        <v>Closed</v>
      </c>
      <c r="BK237" s="95" t="str">
        <f>IFERROR(__xludf.DUMMYFUNCTION("""COMPUTED_VALUE"""),"Closed")</f>
        <v>Closed</v>
      </c>
      <c r="BL237" s="96" t="str">
        <f>IFERROR(__xludf.DUMMYFUNCTION("""COMPUTED_VALUE"""),"Closed")</f>
        <v>Closed</v>
      </c>
      <c r="BM237" s="97" t="str">
        <f>IFERROR(__xludf.DUMMYFUNCTION("""COMPUTED_VALUE"""),"Closed")</f>
        <v>Closed</v>
      </c>
      <c r="BN237" s="95" t="str">
        <f>IFERROR(__xludf.DUMMYFUNCTION("""COMPUTED_VALUE"""),"Closed")</f>
        <v>Closed</v>
      </c>
      <c r="BO237" s="96" t="str">
        <f>IFERROR(__xludf.DUMMYFUNCTION("""COMPUTED_VALUE"""),"Closed")</f>
        <v>Closed</v>
      </c>
      <c r="BP237" s="97" t="str">
        <f>IFERROR(__xludf.DUMMYFUNCTION("""COMPUTED_VALUE"""),"Closed")</f>
        <v>Closed</v>
      </c>
      <c r="BQ237" s="95" t="str">
        <f>IFERROR(__xludf.DUMMYFUNCTION("""COMPUTED_VALUE"""),"Closed")</f>
        <v>Closed</v>
      </c>
      <c r="BR237" s="96" t="str">
        <f>IFERROR(__xludf.DUMMYFUNCTION("""COMPUTED_VALUE"""),"Closed")</f>
        <v>Closed</v>
      </c>
      <c r="BS237" s="97" t="str">
        <f>IFERROR(__xludf.DUMMYFUNCTION("""COMPUTED_VALUE"""),"Closed")</f>
        <v>Closed</v>
      </c>
      <c r="BT237" s="95" t="str">
        <f>IFERROR(__xludf.DUMMYFUNCTION("""COMPUTED_VALUE"""),"Closed")</f>
        <v>Closed</v>
      </c>
      <c r="BU237" s="96" t="str">
        <f>IFERROR(__xludf.DUMMYFUNCTION("""COMPUTED_VALUE"""),"Closed")</f>
        <v>Closed</v>
      </c>
      <c r="BV237" s="97" t="str">
        <f>IFERROR(__xludf.DUMMYFUNCTION("""COMPUTED_VALUE"""),"Closed")</f>
        <v>Closed</v>
      </c>
      <c r="BW237" s="95" t="str">
        <f>IFERROR(__xludf.DUMMYFUNCTION("""COMPUTED_VALUE"""),"Closed")</f>
        <v>Closed</v>
      </c>
      <c r="BX237" s="96" t="str">
        <f>IFERROR(__xludf.DUMMYFUNCTION("""COMPUTED_VALUE"""),"Closed")</f>
        <v>Closed</v>
      </c>
      <c r="BY237" s="97" t="str">
        <f>IFERROR(__xludf.DUMMYFUNCTION("""COMPUTED_VALUE"""),"Closed")</f>
        <v>Closed</v>
      </c>
      <c r="BZ237" s="95" t="str">
        <f>IFERROR(__xludf.DUMMYFUNCTION("""COMPUTED_VALUE"""),"Closed")</f>
        <v>Closed</v>
      </c>
      <c r="CA237" s="96" t="str">
        <f>IFERROR(__xludf.DUMMYFUNCTION("""COMPUTED_VALUE"""),"Closed")</f>
        <v>Closed</v>
      </c>
      <c r="CB237" s="97" t="str">
        <f>IFERROR(__xludf.DUMMYFUNCTION("""COMPUTED_VALUE"""),"Closed")</f>
        <v>Closed</v>
      </c>
      <c r="CC237" s="95" t="str">
        <f>IFERROR(__xludf.DUMMYFUNCTION("""COMPUTED_VALUE"""),"Closed")</f>
        <v>Closed</v>
      </c>
      <c r="CD237" s="96" t="str">
        <f>IFERROR(__xludf.DUMMYFUNCTION("""COMPUTED_VALUE"""),"Closed")</f>
        <v>Closed</v>
      </c>
      <c r="CE237" s="97" t="str">
        <f>IFERROR(__xludf.DUMMYFUNCTION("""COMPUTED_VALUE"""),"Closed")</f>
        <v>Closed</v>
      </c>
      <c r="CF237" s="95" t="str">
        <f>IFERROR(__xludf.DUMMYFUNCTION("""COMPUTED_VALUE"""),"Closed")</f>
        <v>Closed</v>
      </c>
      <c r="CG237" s="96" t="str">
        <f>IFERROR(__xludf.DUMMYFUNCTION("""COMPUTED_VALUE"""),"Closed")</f>
        <v>Closed</v>
      </c>
      <c r="CH237" s="96" t="str">
        <f>IFERROR(__xludf.DUMMYFUNCTION("""COMPUTED_VALUE"""),"Closed")</f>
        <v>Closed</v>
      </c>
      <c r="CI237" s="95" t="str">
        <f>IFERROR(__xludf.DUMMYFUNCTION("""COMPUTED_VALUE"""),"Closed")</f>
        <v>Closed</v>
      </c>
      <c r="CJ237" s="96" t="str">
        <f>IFERROR(__xludf.DUMMYFUNCTION("""COMPUTED_VALUE"""),"Closed")</f>
        <v>Closed</v>
      </c>
      <c r="CK237" s="96" t="str">
        <f>IFERROR(__xludf.DUMMYFUNCTION("""COMPUTED_VALUE"""),"Closed")</f>
        <v>Closed</v>
      </c>
      <c r="CL237" s="95" t="str">
        <f>IFERROR(__xludf.DUMMYFUNCTION("""COMPUTED_VALUE"""),"Closed")</f>
        <v>Closed</v>
      </c>
      <c r="CM237" s="96" t="str">
        <f>IFERROR(__xludf.DUMMYFUNCTION("""COMPUTED_VALUE"""),"Closed")</f>
        <v>Closed</v>
      </c>
      <c r="CN237" s="96" t="str">
        <f>IFERROR(__xludf.DUMMYFUNCTION("""COMPUTED_VALUE"""),"Closed")</f>
        <v>Closed</v>
      </c>
      <c r="CO237" s="95" t="str">
        <f>IFERROR(__xludf.DUMMYFUNCTION("""COMPUTED_VALUE"""),"Closed")</f>
        <v>Closed</v>
      </c>
      <c r="CP237" s="96" t="str">
        <f>IFERROR(__xludf.DUMMYFUNCTION("""COMPUTED_VALUE"""),"Closed")</f>
        <v>Closed</v>
      </c>
      <c r="CQ237" s="96" t="str">
        <f>IFERROR(__xludf.DUMMYFUNCTION("""COMPUTED_VALUE"""),"Closed")</f>
        <v>Closed</v>
      </c>
      <c r="CR237" s="95" t="str">
        <f>IFERROR(__xludf.DUMMYFUNCTION("""COMPUTED_VALUE"""),"Closed")</f>
        <v>Closed</v>
      </c>
      <c r="CS237" s="96" t="str">
        <f>IFERROR(__xludf.DUMMYFUNCTION("""COMPUTED_VALUE"""),"Closed")</f>
        <v>Closed</v>
      </c>
      <c r="CT237" s="96" t="str">
        <f>IFERROR(__xludf.DUMMYFUNCTION("""COMPUTED_VALUE"""),"Closed")</f>
        <v>Closed</v>
      </c>
      <c r="CU237" s="95" t="str">
        <f>IFERROR(__xludf.DUMMYFUNCTION("""COMPUTED_VALUE"""),"Closed")</f>
        <v>Closed</v>
      </c>
      <c r="CV237" s="96" t="str">
        <f>IFERROR(__xludf.DUMMYFUNCTION("""COMPUTED_VALUE"""),"Closed")</f>
        <v>Closed</v>
      </c>
      <c r="CW237" s="97" t="str">
        <f>IFERROR(__xludf.DUMMYFUNCTION("""COMPUTED_VALUE"""),"Closed")</f>
        <v>Closed</v>
      </c>
      <c r="CX237" s="96" t="str">
        <f>IFERROR(__xludf.DUMMYFUNCTION("""COMPUTED_VALUE"""),"Closed")</f>
        <v>Closed</v>
      </c>
      <c r="CY237" s="96" t="str">
        <f>IFERROR(__xludf.DUMMYFUNCTION("""COMPUTED_VALUE"""),"Closed")</f>
        <v>Closed</v>
      </c>
      <c r="CZ237" s="97" t="str">
        <f>IFERROR(__xludf.DUMMYFUNCTION("""COMPUTED_VALUE"""),"Closed")</f>
        <v>Closed</v>
      </c>
      <c r="DA237" s="95" t="str">
        <f>IFERROR(__xludf.DUMMYFUNCTION("""COMPUTED_VALUE"""),"Closed")</f>
        <v>Closed</v>
      </c>
      <c r="DB237" s="96" t="str">
        <f>IFERROR(__xludf.DUMMYFUNCTION("""COMPUTED_VALUE"""),"Closed")</f>
        <v>Closed</v>
      </c>
      <c r="DC237" s="97" t="str">
        <f>IFERROR(__xludf.DUMMYFUNCTION("""COMPUTED_VALUE"""),"Closed")</f>
        <v>Closed</v>
      </c>
      <c r="DD237" s="95" t="str">
        <f>IFERROR(__xludf.DUMMYFUNCTION("""COMPUTED_VALUE"""),"Closed")</f>
        <v>Closed</v>
      </c>
      <c r="DE237" s="96" t="str">
        <f>IFERROR(__xludf.DUMMYFUNCTION("""COMPUTED_VALUE"""),"Closed")</f>
        <v>Closed</v>
      </c>
      <c r="DF237" s="97" t="str">
        <f>IFERROR(__xludf.DUMMYFUNCTION("""COMPUTED_VALUE"""),"Closed")</f>
        <v>Closed</v>
      </c>
      <c r="DG237" s="95" t="str">
        <f>IFERROR(__xludf.DUMMYFUNCTION("""COMPUTED_VALUE"""),"Closed")</f>
        <v>Closed</v>
      </c>
      <c r="DH237" s="96" t="str">
        <f>IFERROR(__xludf.DUMMYFUNCTION("""COMPUTED_VALUE"""),"Closed")</f>
        <v>Closed</v>
      </c>
      <c r="DI237" s="97" t="str">
        <f>IFERROR(__xludf.DUMMYFUNCTION("""COMPUTED_VALUE"""),"Closed")</f>
        <v>Closed</v>
      </c>
      <c r="DJ237" s="95" t="str">
        <f>IFERROR(__xludf.DUMMYFUNCTION("""COMPUTED_VALUE"""),"Closed")</f>
        <v>Closed</v>
      </c>
      <c r="DK237" s="96" t="str">
        <f>IFERROR(__xludf.DUMMYFUNCTION("""COMPUTED_VALUE"""),"Closed")</f>
        <v>Closed</v>
      </c>
      <c r="DL237" s="97" t="str">
        <f>IFERROR(__xludf.DUMMYFUNCTION("""COMPUTED_VALUE"""),"Closed")</f>
        <v>Closed</v>
      </c>
      <c r="DM237" s="95" t="str">
        <f>IFERROR(__xludf.DUMMYFUNCTION("""COMPUTED_VALUE"""),"Closed")</f>
        <v>Closed</v>
      </c>
      <c r="DN237" s="96" t="str">
        <f>IFERROR(__xludf.DUMMYFUNCTION("""COMPUTED_VALUE"""),"Closed")</f>
        <v>Closed</v>
      </c>
      <c r="DO237" s="97" t="str">
        <f>IFERROR(__xludf.DUMMYFUNCTION("""COMPUTED_VALUE"""),"Closed")</f>
        <v>Closed</v>
      </c>
      <c r="DP237" s="95" t="str">
        <f>IFERROR(__xludf.DUMMYFUNCTION("""COMPUTED_VALUE"""),"Closed")</f>
        <v>Closed</v>
      </c>
      <c r="DQ237" s="96" t="str">
        <f>IFERROR(__xludf.DUMMYFUNCTION("""COMPUTED_VALUE"""),"Closed")</f>
        <v>Closed</v>
      </c>
      <c r="DR237" s="97"/>
      <c r="DS237" s="95"/>
    </row>
    <row r="238" hidden="1">
      <c r="B238" s="180" t="str">
        <f>IFERROR(__xludf.DUMMYFUNCTION("""COMPUTED_VALUE"""),"OLP2")</f>
        <v>OLP2</v>
      </c>
      <c r="C238" s="88" t="str">
        <f>IFERROR(__xludf.DUMMYFUNCTION("""COMPUTED_VALUE"""),"Interstellar City: West")</f>
        <v>Interstellar City: West</v>
      </c>
      <c r="D238" s="102">
        <f>IFERROR(__xludf.DUMMYFUNCTION("""COMPUTED_VALUE"""),21.0)</f>
        <v>21</v>
      </c>
      <c r="E238" s="82" t="b">
        <f>IFERROR(__xludf.DUMMYFUNCTION("""COMPUTED_VALUE"""),FALSE)</f>
        <v>0</v>
      </c>
      <c r="F238" s="82" t="str">
        <f>IFERROR(__xludf.DUMMYFUNCTION("""COMPUTED_VALUE"""),"Free Quests- Part 2!A746:J752")</f>
        <v>Free Quests- Part 2!A746:J752</v>
      </c>
      <c r="G238" s="82">
        <f>IFERROR(__xludf.DUMMYFUNCTION("""COMPUTED_VALUE"""),238.0)</f>
        <v>238</v>
      </c>
      <c r="H238" s="82" t="str">
        <f>IFERROR(__xludf.DUMMYFUNCTION("""COMPUTED_VALUE"""),"Closed")</f>
        <v>Closed</v>
      </c>
      <c r="I238" s="95" t="str">
        <f>IFERROR(__xludf.DUMMYFUNCTION("""COMPUTED_VALUE"""),"Closed")</f>
        <v>Closed</v>
      </c>
      <c r="J238" s="96" t="str">
        <f>IFERROR(__xludf.DUMMYFUNCTION("""COMPUTED_VALUE"""),"Closed")</f>
        <v>Closed</v>
      </c>
      <c r="K238" s="97" t="str">
        <f>IFERROR(__xludf.DUMMYFUNCTION("""COMPUTED_VALUE"""),"Closed")</f>
        <v>Closed</v>
      </c>
      <c r="L238" s="95" t="str">
        <f>IFERROR(__xludf.DUMMYFUNCTION("""COMPUTED_VALUE"""),"Closed")</f>
        <v>Closed</v>
      </c>
      <c r="M238" s="96" t="str">
        <f>IFERROR(__xludf.DUMMYFUNCTION("""COMPUTED_VALUE"""),"Closed")</f>
        <v>Closed</v>
      </c>
      <c r="N238" s="97" t="str">
        <f>IFERROR(__xludf.DUMMYFUNCTION("""COMPUTED_VALUE"""),"Closed")</f>
        <v>Closed</v>
      </c>
      <c r="O238" s="95" t="str">
        <f>IFERROR(__xludf.DUMMYFUNCTION("""COMPUTED_VALUE"""),"Closed")</f>
        <v>Closed</v>
      </c>
      <c r="P238" s="96" t="str">
        <f>IFERROR(__xludf.DUMMYFUNCTION("""COMPUTED_VALUE"""),"Closed")</f>
        <v>Closed</v>
      </c>
      <c r="Q238" s="97" t="str">
        <f>IFERROR(__xludf.DUMMYFUNCTION("""COMPUTED_VALUE"""),"Closed")</f>
        <v>Closed</v>
      </c>
      <c r="R238" s="95" t="str">
        <f>IFERROR(__xludf.DUMMYFUNCTION("""COMPUTED_VALUE"""),"Closed")</f>
        <v>Closed</v>
      </c>
      <c r="S238" s="96" t="str">
        <f>IFERROR(__xludf.DUMMYFUNCTION("""COMPUTED_VALUE"""),"Closed")</f>
        <v>Closed</v>
      </c>
      <c r="T238" s="97" t="str">
        <f>IFERROR(__xludf.DUMMYFUNCTION("""COMPUTED_VALUE"""),"Closed")</f>
        <v>Closed</v>
      </c>
      <c r="U238" s="95" t="str">
        <f>IFERROR(__xludf.DUMMYFUNCTION("""COMPUTED_VALUE"""),"Closed")</f>
        <v>Closed</v>
      </c>
      <c r="V238" s="96" t="str">
        <f>IFERROR(__xludf.DUMMYFUNCTION("""COMPUTED_VALUE"""),"Closed")</f>
        <v>Closed</v>
      </c>
      <c r="W238" s="97" t="str">
        <f>IFERROR(__xludf.DUMMYFUNCTION("""COMPUTED_VALUE"""),"Closed")</f>
        <v>Closed</v>
      </c>
      <c r="X238" s="95" t="str">
        <f>IFERROR(__xludf.DUMMYFUNCTION("""COMPUTED_VALUE"""),"Closed")</f>
        <v>Closed</v>
      </c>
      <c r="Y238" s="96" t="str">
        <f>IFERROR(__xludf.DUMMYFUNCTION("""COMPUTED_VALUE"""),"Closed")</f>
        <v>Closed</v>
      </c>
      <c r="Z238" s="97" t="str">
        <f>IFERROR(__xludf.DUMMYFUNCTION("""COMPUTED_VALUE"""),"Closed")</f>
        <v>Closed</v>
      </c>
      <c r="AA238" s="95" t="str">
        <f>IFERROR(__xludf.DUMMYFUNCTION("""COMPUTED_VALUE"""),"Closed")</f>
        <v>Closed</v>
      </c>
      <c r="AB238" s="96" t="str">
        <f>IFERROR(__xludf.DUMMYFUNCTION("""COMPUTED_VALUE"""),"Closed")</f>
        <v>Closed</v>
      </c>
      <c r="AC238" s="97" t="str">
        <f>IFERROR(__xludf.DUMMYFUNCTION("""COMPUTED_VALUE"""),"Closed")</f>
        <v>Closed</v>
      </c>
      <c r="AD238" s="95" t="str">
        <f>IFERROR(__xludf.DUMMYFUNCTION("""COMPUTED_VALUE"""),"Closed")</f>
        <v>Closed</v>
      </c>
      <c r="AE238" s="96" t="str">
        <f>IFERROR(__xludf.DUMMYFUNCTION("""COMPUTED_VALUE"""),"Closed")</f>
        <v>Closed</v>
      </c>
      <c r="AF238" s="97" t="str">
        <f>IFERROR(__xludf.DUMMYFUNCTION("""COMPUTED_VALUE"""),"Closed")</f>
        <v>Closed</v>
      </c>
      <c r="AG238" s="95" t="str">
        <f>IFERROR(__xludf.DUMMYFUNCTION("""COMPUTED_VALUE"""),"Closed")</f>
        <v>Closed</v>
      </c>
      <c r="AH238" s="96" t="str">
        <f>IFERROR(__xludf.DUMMYFUNCTION("""COMPUTED_VALUE"""),"Closed")</f>
        <v>Closed</v>
      </c>
      <c r="AI238" s="97" t="str">
        <f>IFERROR(__xludf.DUMMYFUNCTION("""COMPUTED_VALUE"""),"Closed")</f>
        <v>Closed</v>
      </c>
      <c r="AJ238" s="95" t="str">
        <f>IFERROR(__xludf.DUMMYFUNCTION("""COMPUTED_VALUE"""),"Closed")</f>
        <v>Closed</v>
      </c>
      <c r="AK238" s="96" t="str">
        <f>IFERROR(__xludf.DUMMYFUNCTION("""COMPUTED_VALUE"""),"Closed")</f>
        <v>Closed</v>
      </c>
      <c r="AL238" s="97" t="str">
        <f>IFERROR(__xludf.DUMMYFUNCTION("""COMPUTED_VALUE"""),"Closed")</f>
        <v>Closed</v>
      </c>
      <c r="AM238" s="95" t="str">
        <f>IFERROR(__xludf.DUMMYFUNCTION("""COMPUTED_VALUE"""),"Closed")</f>
        <v>Closed</v>
      </c>
      <c r="AN238" s="96" t="str">
        <f>IFERROR(__xludf.DUMMYFUNCTION("""COMPUTED_VALUE"""),"Closed")</f>
        <v>Closed</v>
      </c>
      <c r="AO238" s="97" t="str">
        <f>IFERROR(__xludf.DUMMYFUNCTION("""COMPUTED_VALUE"""),"Closed")</f>
        <v>Closed</v>
      </c>
      <c r="AP238" s="95" t="str">
        <f>IFERROR(__xludf.DUMMYFUNCTION("""COMPUTED_VALUE"""),"Closed")</f>
        <v>Closed</v>
      </c>
      <c r="AQ238" s="96" t="str">
        <f>IFERROR(__xludf.DUMMYFUNCTION("""COMPUTED_VALUE"""),"Closed")</f>
        <v>Closed</v>
      </c>
      <c r="AR238" s="97" t="str">
        <f>IFERROR(__xludf.DUMMYFUNCTION("""COMPUTED_VALUE"""),"Closed")</f>
        <v>Closed</v>
      </c>
      <c r="AS238" s="95" t="str">
        <f>IFERROR(__xludf.DUMMYFUNCTION("""COMPUTED_VALUE"""),"Closed")</f>
        <v>Closed</v>
      </c>
      <c r="AT238" s="96" t="str">
        <f>IFERROR(__xludf.DUMMYFUNCTION("""COMPUTED_VALUE"""),"Closed")</f>
        <v>Closed</v>
      </c>
      <c r="AU238" s="97" t="str">
        <f>IFERROR(__xludf.DUMMYFUNCTION("""COMPUTED_VALUE"""),"Closed")</f>
        <v>Closed</v>
      </c>
      <c r="AV238" s="95" t="str">
        <f>IFERROR(__xludf.DUMMYFUNCTION("""COMPUTED_VALUE"""),"Closed")</f>
        <v>Closed</v>
      </c>
      <c r="AW238" s="96" t="str">
        <f>IFERROR(__xludf.DUMMYFUNCTION("""COMPUTED_VALUE"""),"Closed")</f>
        <v>Closed</v>
      </c>
      <c r="AX238" s="97" t="str">
        <f>IFERROR(__xludf.DUMMYFUNCTION("""COMPUTED_VALUE"""),"Closed")</f>
        <v>Closed</v>
      </c>
      <c r="AY238" s="95" t="str">
        <f>IFERROR(__xludf.DUMMYFUNCTION("""COMPUTED_VALUE"""),"Closed")</f>
        <v>Closed</v>
      </c>
      <c r="AZ238" s="96" t="str">
        <f>IFERROR(__xludf.DUMMYFUNCTION("""COMPUTED_VALUE"""),"Closed")</f>
        <v>Closed</v>
      </c>
      <c r="BA238" s="97" t="str">
        <f>IFERROR(__xludf.DUMMYFUNCTION("""COMPUTED_VALUE"""),"Closed")</f>
        <v>Closed</v>
      </c>
      <c r="BB238" s="95" t="str">
        <f>IFERROR(__xludf.DUMMYFUNCTION("""COMPUTED_VALUE"""),"Closed")</f>
        <v>Closed</v>
      </c>
      <c r="BC238" s="96" t="str">
        <f>IFERROR(__xludf.DUMMYFUNCTION("""COMPUTED_VALUE"""),"Closed")</f>
        <v>Closed</v>
      </c>
      <c r="BD238" s="97" t="str">
        <f>IFERROR(__xludf.DUMMYFUNCTION("""COMPUTED_VALUE"""),"Closed")</f>
        <v>Closed</v>
      </c>
      <c r="BE238" s="95" t="str">
        <f>IFERROR(__xludf.DUMMYFUNCTION("""COMPUTED_VALUE"""),"Closed")</f>
        <v>Closed</v>
      </c>
      <c r="BF238" s="96" t="str">
        <f>IFERROR(__xludf.DUMMYFUNCTION("""COMPUTED_VALUE"""),"Closed")</f>
        <v>Closed</v>
      </c>
      <c r="BG238" s="97" t="str">
        <f>IFERROR(__xludf.DUMMYFUNCTION("""COMPUTED_VALUE"""),"Closed")</f>
        <v>Closed</v>
      </c>
      <c r="BH238" s="95" t="str">
        <f>IFERROR(__xludf.DUMMYFUNCTION("""COMPUTED_VALUE"""),"Closed")</f>
        <v>Closed</v>
      </c>
      <c r="BI238" s="96" t="str">
        <f>IFERROR(__xludf.DUMMYFUNCTION("""COMPUTED_VALUE"""),"Closed")</f>
        <v>Closed</v>
      </c>
      <c r="BJ238" s="97" t="str">
        <f>IFERROR(__xludf.DUMMYFUNCTION("""COMPUTED_VALUE"""),"Closed")</f>
        <v>Closed</v>
      </c>
      <c r="BK238" s="95" t="str">
        <f>IFERROR(__xludf.DUMMYFUNCTION("""COMPUTED_VALUE"""),"Closed")</f>
        <v>Closed</v>
      </c>
      <c r="BL238" s="96" t="str">
        <f>IFERROR(__xludf.DUMMYFUNCTION("""COMPUTED_VALUE"""),"Closed")</f>
        <v>Closed</v>
      </c>
      <c r="BM238" s="97" t="str">
        <f>IFERROR(__xludf.DUMMYFUNCTION("""COMPUTED_VALUE"""),"Closed")</f>
        <v>Closed</v>
      </c>
      <c r="BN238" s="95" t="str">
        <f>IFERROR(__xludf.DUMMYFUNCTION("""COMPUTED_VALUE"""),"Closed")</f>
        <v>Closed</v>
      </c>
      <c r="BO238" s="96" t="str">
        <f>IFERROR(__xludf.DUMMYFUNCTION("""COMPUTED_VALUE"""),"Closed")</f>
        <v>Closed</v>
      </c>
      <c r="BP238" s="97" t="str">
        <f>IFERROR(__xludf.DUMMYFUNCTION("""COMPUTED_VALUE"""),"Closed")</f>
        <v>Closed</v>
      </c>
      <c r="BQ238" s="95" t="str">
        <f>IFERROR(__xludf.DUMMYFUNCTION("""COMPUTED_VALUE"""),"Closed")</f>
        <v>Closed</v>
      </c>
      <c r="BR238" s="96" t="str">
        <f>IFERROR(__xludf.DUMMYFUNCTION("""COMPUTED_VALUE"""),"Closed")</f>
        <v>Closed</v>
      </c>
      <c r="BS238" s="97" t="str">
        <f>IFERROR(__xludf.DUMMYFUNCTION("""COMPUTED_VALUE"""),"Closed")</f>
        <v>Closed</v>
      </c>
      <c r="BT238" s="95" t="str">
        <f>IFERROR(__xludf.DUMMYFUNCTION("""COMPUTED_VALUE"""),"Closed")</f>
        <v>Closed</v>
      </c>
      <c r="BU238" s="96" t="str">
        <f>IFERROR(__xludf.DUMMYFUNCTION("""COMPUTED_VALUE"""),"Closed")</f>
        <v>Closed</v>
      </c>
      <c r="BV238" s="97" t="str">
        <f>IFERROR(__xludf.DUMMYFUNCTION("""COMPUTED_VALUE"""),"Closed")</f>
        <v>Closed</v>
      </c>
      <c r="BW238" s="95" t="str">
        <f>IFERROR(__xludf.DUMMYFUNCTION("""COMPUTED_VALUE"""),"Closed")</f>
        <v>Closed</v>
      </c>
      <c r="BX238" s="96" t="str">
        <f>IFERROR(__xludf.DUMMYFUNCTION("""COMPUTED_VALUE"""),"Closed")</f>
        <v>Closed</v>
      </c>
      <c r="BY238" s="97" t="str">
        <f>IFERROR(__xludf.DUMMYFUNCTION("""COMPUTED_VALUE"""),"Closed")</f>
        <v>Closed</v>
      </c>
      <c r="BZ238" s="95" t="str">
        <f>IFERROR(__xludf.DUMMYFUNCTION("""COMPUTED_VALUE"""),"Closed")</f>
        <v>Closed</v>
      </c>
      <c r="CA238" s="96" t="str">
        <f>IFERROR(__xludf.DUMMYFUNCTION("""COMPUTED_VALUE"""),"Closed")</f>
        <v>Closed</v>
      </c>
      <c r="CB238" s="97" t="str">
        <f>IFERROR(__xludf.DUMMYFUNCTION("""COMPUTED_VALUE"""),"Closed")</f>
        <v>Closed</v>
      </c>
      <c r="CC238" s="95" t="str">
        <f>IFERROR(__xludf.DUMMYFUNCTION("""COMPUTED_VALUE"""),"Closed")</f>
        <v>Closed</v>
      </c>
      <c r="CD238" s="96" t="str">
        <f>IFERROR(__xludf.DUMMYFUNCTION("""COMPUTED_VALUE"""),"Closed")</f>
        <v>Closed</v>
      </c>
      <c r="CE238" s="97" t="str">
        <f>IFERROR(__xludf.DUMMYFUNCTION("""COMPUTED_VALUE"""),"Closed")</f>
        <v>Closed</v>
      </c>
      <c r="CF238" s="95" t="str">
        <f>IFERROR(__xludf.DUMMYFUNCTION("""COMPUTED_VALUE"""),"Closed")</f>
        <v>Closed</v>
      </c>
      <c r="CG238" s="96" t="str">
        <f>IFERROR(__xludf.DUMMYFUNCTION("""COMPUTED_VALUE"""),"Closed")</f>
        <v>Closed</v>
      </c>
      <c r="CH238" s="96" t="str">
        <f>IFERROR(__xludf.DUMMYFUNCTION("""COMPUTED_VALUE"""),"Closed")</f>
        <v>Closed</v>
      </c>
      <c r="CI238" s="95" t="str">
        <f>IFERROR(__xludf.DUMMYFUNCTION("""COMPUTED_VALUE"""),"Closed")</f>
        <v>Closed</v>
      </c>
      <c r="CJ238" s="96" t="str">
        <f>IFERROR(__xludf.DUMMYFUNCTION("""COMPUTED_VALUE"""),"Closed")</f>
        <v>Closed</v>
      </c>
      <c r="CK238" s="96" t="str">
        <f>IFERROR(__xludf.DUMMYFUNCTION("""COMPUTED_VALUE"""),"Closed")</f>
        <v>Closed</v>
      </c>
      <c r="CL238" s="95" t="str">
        <f>IFERROR(__xludf.DUMMYFUNCTION("""COMPUTED_VALUE"""),"Closed")</f>
        <v>Closed</v>
      </c>
      <c r="CM238" s="96" t="str">
        <f>IFERROR(__xludf.DUMMYFUNCTION("""COMPUTED_VALUE"""),"Closed")</f>
        <v>Closed</v>
      </c>
      <c r="CN238" s="96" t="str">
        <f>IFERROR(__xludf.DUMMYFUNCTION("""COMPUTED_VALUE"""),"Closed")</f>
        <v>Closed</v>
      </c>
      <c r="CO238" s="95" t="str">
        <f>IFERROR(__xludf.DUMMYFUNCTION("""COMPUTED_VALUE"""),"Closed")</f>
        <v>Closed</v>
      </c>
      <c r="CP238" s="96" t="str">
        <f>IFERROR(__xludf.DUMMYFUNCTION("""COMPUTED_VALUE"""),"Closed")</f>
        <v>Closed</v>
      </c>
      <c r="CQ238" s="96" t="str">
        <f>IFERROR(__xludf.DUMMYFUNCTION("""COMPUTED_VALUE"""),"Closed")</f>
        <v>Closed</v>
      </c>
      <c r="CR238" s="95" t="str">
        <f>IFERROR(__xludf.DUMMYFUNCTION("""COMPUTED_VALUE"""),"Closed")</f>
        <v>Closed</v>
      </c>
      <c r="CS238" s="96" t="str">
        <f>IFERROR(__xludf.DUMMYFUNCTION("""COMPUTED_VALUE"""),"Closed")</f>
        <v>Closed</v>
      </c>
      <c r="CT238" s="96" t="str">
        <f>IFERROR(__xludf.DUMMYFUNCTION("""COMPUTED_VALUE"""),"Closed")</f>
        <v>Closed</v>
      </c>
      <c r="CU238" s="95" t="str">
        <f>IFERROR(__xludf.DUMMYFUNCTION("""COMPUTED_VALUE"""),"Closed")</f>
        <v>Closed</v>
      </c>
      <c r="CV238" s="96" t="str">
        <f>IFERROR(__xludf.DUMMYFUNCTION("""COMPUTED_VALUE"""),"Closed")</f>
        <v>Closed</v>
      </c>
      <c r="CW238" s="97" t="str">
        <f>IFERROR(__xludf.DUMMYFUNCTION("""COMPUTED_VALUE"""),"Closed")</f>
        <v>Closed</v>
      </c>
      <c r="CX238" s="96" t="str">
        <f>IFERROR(__xludf.DUMMYFUNCTION("""COMPUTED_VALUE"""),"Closed")</f>
        <v>Closed</v>
      </c>
      <c r="CY238" s="96" t="str">
        <f>IFERROR(__xludf.DUMMYFUNCTION("""COMPUTED_VALUE"""),"Closed")</f>
        <v>Closed</v>
      </c>
      <c r="CZ238" s="97" t="str">
        <f>IFERROR(__xludf.DUMMYFUNCTION("""COMPUTED_VALUE"""),"Closed")</f>
        <v>Closed</v>
      </c>
      <c r="DA238" s="95" t="str">
        <f>IFERROR(__xludf.DUMMYFUNCTION("""COMPUTED_VALUE"""),"Closed")</f>
        <v>Closed</v>
      </c>
      <c r="DB238" s="96" t="str">
        <f>IFERROR(__xludf.DUMMYFUNCTION("""COMPUTED_VALUE"""),"Closed")</f>
        <v>Closed</v>
      </c>
      <c r="DC238" s="97" t="str">
        <f>IFERROR(__xludf.DUMMYFUNCTION("""COMPUTED_VALUE"""),"Closed")</f>
        <v>Closed</v>
      </c>
      <c r="DD238" s="95" t="str">
        <f>IFERROR(__xludf.DUMMYFUNCTION("""COMPUTED_VALUE"""),"Closed")</f>
        <v>Closed</v>
      </c>
      <c r="DE238" s="96" t="str">
        <f>IFERROR(__xludf.DUMMYFUNCTION("""COMPUTED_VALUE"""),"Closed")</f>
        <v>Closed</v>
      </c>
      <c r="DF238" s="97" t="str">
        <f>IFERROR(__xludf.DUMMYFUNCTION("""COMPUTED_VALUE"""),"Closed")</f>
        <v>Closed</v>
      </c>
      <c r="DG238" s="95" t="str">
        <f>IFERROR(__xludf.DUMMYFUNCTION("""COMPUTED_VALUE"""),"Closed")</f>
        <v>Closed</v>
      </c>
      <c r="DH238" s="96" t="str">
        <f>IFERROR(__xludf.DUMMYFUNCTION("""COMPUTED_VALUE"""),"Closed")</f>
        <v>Closed</v>
      </c>
      <c r="DI238" s="97" t="str">
        <f>IFERROR(__xludf.DUMMYFUNCTION("""COMPUTED_VALUE"""),"Closed")</f>
        <v>Closed</v>
      </c>
      <c r="DJ238" s="95" t="str">
        <f>IFERROR(__xludf.DUMMYFUNCTION("""COMPUTED_VALUE"""),"Closed")</f>
        <v>Closed</v>
      </c>
      <c r="DK238" s="96" t="str">
        <f>IFERROR(__xludf.DUMMYFUNCTION("""COMPUTED_VALUE"""),"Closed")</f>
        <v>Closed</v>
      </c>
      <c r="DL238" s="97" t="str">
        <f>IFERROR(__xludf.DUMMYFUNCTION("""COMPUTED_VALUE"""),"Closed")</f>
        <v>Closed</v>
      </c>
      <c r="DM238" s="95" t="str">
        <f>IFERROR(__xludf.DUMMYFUNCTION("""COMPUTED_VALUE"""),"Closed")</f>
        <v>Closed</v>
      </c>
      <c r="DN238" s="96" t="str">
        <f>IFERROR(__xludf.DUMMYFUNCTION("""COMPUTED_VALUE"""),"Closed")</f>
        <v>Closed</v>
      </c>
      <c r="DO238" s="97" t="str">
        <f>IFERROR(__xludf.DUMMYFUNCTION("""COMPUTED_VALUE"""),"Closed")</f>
        <v>Closed</v>
      </c>
      <c r="DP238" s="95" t="str">
        <f>IFERROR(__xludf.DUMMYFUNCTION("""COMPUTED_VALUE"""),"Closed")</f>
        <v>Closed</v>
      </c>
      <c r="DQ238" s="96" t="str">
        <f>IFERROR(__xludf.DUMMYFUNCTION("""COMPUTED_VALUE"""),"Closed")</f>
        <v>Closed</v>
      </c>
      <c r="DR238" s="97"/>
      <c r="DS238" s="95"/>
    </row>
    <row r="239" hidden="1">
      <c r="B239" s="180" t="str">
        <f>IFERROR(__xludf.DUMMYFUNCTION("""COMPUTED_VALUE"""),"OLP3")</f>
        <v>OLP3</v>
      </c>
      <c r="C239" s="88" t="str">
        <f>IFERROR(__xludf.DUMMYFUNCTION("""COMPUTED_VALUE"""),"Interstellar City: South")</f>
        <v>Interstellar City: South</v>
      </c>
      <c r="D239" s="102">
        <f>IFERROR(__xludf.DUMMYFUNCTION("""COMPUTED_VALUE"""),21.0)</f>
        <v>21</v>
      </c>
      <c r="E239" s="82" t="b">
        <f>IFERROR(__xludf.DUMMYFUNCTION("""COMPUTED_VALUE"""),FALSE)</f>
        <v>0</v>
      </c>
      <c r="F239" s="82" t="str">
        <f>IFERROR(__xludf.DUMMYFUNCTION("""COMPUTED_VALUE"""),"Free Quests- Part 2!A756:J765")</f>
        <v>Free Quests- Part 2!A756:J765</v>
      </c>
      <c r="G239" s="82">
        <f>IFERROR(__xludf.DUMMYFUNCTION("""COMPUTED_VALUE"""),239.0)</f>
        <v>239</v>
      </c>
      <c r="H239" s="82" t="str">
        <f>IFERROR(__xludf.DUMMYFUNCTION("""COMPUTED_VALUE"""),"Closed")</f>
        <v>Closed</v>
      </c>
      <c r="I239" s="95" t="str">
        <f>IFERROR(__xludf.DUMMYFUNCTION("""COMPUTED_VALUE"""),"Closed")</f>
        <v>Closed</v>
      </c>
      <c r="J239" s="96" t="str">
        <f>IFERROR(__xludf.DUMMYFUNCTION("""COMPUTED_VALUE"""),"Closed")</f>
        <v>Closed</v>
      </c>
      <c r="K239" s="97" t="str">
        <f>IFERROR(__xludf.DUMMYFUNCTION("""COMPUTED_VALUE"""),"Closed")</f>
        <v>Closed</v>
      </c>
      <c r="L239" s="95" t="str">
        <f>IFERROR(__xludf.DUMMYFUNCTION("""COMPUTED_VALUE"""),"Closed")</f>
        <v>Closed</v>
      </c>
      <c r="M239" s="96" t="str">
        <f>IFERROR(__xludf.DUMMYFUNCTION("""COMPUTED_VALUE"""),"Closed")</f>
        <v>Closed</v>
      </c>
      <c r="N239" s="97" t="str">
        <f>IFERROR(__xludf.DUMMYFUNCTION("""COMPUTED_VALUE"""),"Closed")</f>
        <v>Closed</v>
      </c>
      <c r="O239" s="95" t="str">
        <f>IFERROR(__xludf.DUMMYFUNCTION("""COMPUTED_VALUE"""),"Closed")</f>
        <v>Closed</v>
      </c>
      <c r="P239" s="96" t="str">
        <f>IFERROR(__xludf.DUMMYFUNCTION("""COMPUTED_VALUE"""),"Closed")</f>
        <v>Closed</v>
      </c>
      <c r="Q239" s="97" t="str">
        <f>IFERROR(__xludf.DUMMYFUNCTION("""COMPUTED_VALUE"""),"Closed")</f>
        <v>Closed</v>
      </c>
      <c r="R239" s="95" t="str">
        <f>IFERROR(__xludf.DUMMYFUNCTION("""COMPUTED_VALUE"""),"Closed")</f>
        <v>Closed</v>
      </c>
      <c r="S239" s="96" t="str">
        <f>IFERROR(__xludf.DUMMYFUNCTION("""COMPUTED_VALUE"""),"Closed")</f>
        <v>Closed</v>
      </c>
      <c r="T239" s="97" t="str">
        <f>IFERROR(__xludf.DUMMYFUNCTION("""COMPUTED_VALUE"""),"Closed")</f>
        <v>Closed</v>
      </c>
      <c r="U239" s="95" t="str">
        <f>IFERROR(__xludf.DUMMYFUNCTION("""COMPUTED_VALUE"""),"Closed")</f>
        <v>Closed</v>
      </c>
      <c r="V239" s="96" t="str">
        <f>IFERROR(__xludf.DUMMYFUNCTION("""COMPUTED_VALUE"""),"Closed")</f>
        <v>Closed</v>
      </c>
      <c r="W239" s="97" t="str">
        <f>IFERROR(__xludf.DUMMYFUNCTION("""COMPUTED_VALUE"""),"Closed")</f>
        <v>Closed</v>
      </c>
      <c r="X239" s="95" t="str">
        <f>IFERROR(__xludf.DUMMYFUNCTION("""COMPUTED_VALUE"""),"Closed")</f>
        <v>Closed</v>
      </c>
      <c r="Y239" s="96" t="str">
        <f>IFERROR(__xludf.DUMMYFUNCTION("""COMPUTED_VALUE"""),"Closed")</f>
        <v>Closed</v>
      </c>
      <c r="Z239" s="97" t="str">
        <f>IFERROR(__xludf.DUMMYFUNCTION("""COMPUTED_VALUE"""),"Closed")</f>
        <v>Closed</v>
      </c>
      <c r="AA239" s="95" t="str">
        <f>IFERROR(__xludf.DUMMYFUNCTION("""COMPUTED_VALUE"""),"Closed")</f>
        <v>Closed</v>
      </c>
      <c r="AB239" s="96" t="str">
        <f>IFERROR(__xludf.DUMMYFUNCTION("""COMPUTED_VALUE"""),"Closed")</f>
        <v>Closed</v>
      </c>
      <c r="AC239" s="97" t="str">
        <f>IFERROR(__xludf.DUMMYFUNCTION("""COMPUTED_VALUE"""),"Closed")</f>
        <v>Closed</v>
      </c>
      <c r="AD239" s="95" t="str">
        <f>IFERROR(__xludf.DUMMYFUNCTION("""COMPUTED_VALUE"""),"Closed")</f>
        <v>Closed</v>
      </c>
      <c r="AE239" s="96" t="str">
        <f>IFERROR(__xludf.DUMMYFUNCTION("""COMPUTED_VALUE"""),"Closed")</f>
        <v>Closed</v>
      </c>
      <c r="AF239" s="97" t="str">
        <f>IFERROR(__xludf.DUMMYFUNCTION("""COMPUTED_VALUE"""),"Closed")</f>
        <v>Closed</v>
      </c>
      <c r="AG239" s="95" t="str">
        <f>IFERROR(__xludf.DUMMYFUNCTION("""COMPUTED_VALUE"""),"Closed")</f>
        <v>Closed</v>
      </c>
      <c r="AH239" s="96" t="str">
        <f>IFERROR(__xludf.DUMMYFUNCTION("""COMPUTED_VALUE"""),"Closed")</f>
        <v>Closed</v>
      </c>
      <c r="AI239" s="97" t="str">
        <f>IFERROR(__xludf.DUMMYFUNCTION("""COMPUTED_VALUE"""),"Closed")</f>
        <v>Closed</v>
      </c>
      <c r="AJ239" s="95" t="str">
        <f>IFERROR(__xludf.DUMMYFUNCTION("""COMPUTED_VALUE"""),"Closed")</f>
        <v>Closed</v>
      </c>
      <c r="AK239" s="96" t="str">
        <f>IFERROR(__xludf.DUMMYFUNCTION("""COMPUTED_VALUE"""),"Closed")</f>
        <v>Closed</v>
      </c>
      <c r="AL239" s="97" t="str">
        <f>IFERROR(__xludf.DUMMYFUNCTION("""COMPUTED_VALUE"""),"Closed")</f>
        <v>Closed</v>
      </c>
      <c r="AM239" s="95" t="str">
        <f>IFERROR(__xludf.DUMMYFUNCTION("""COMPUTED_VALUE"""),"Closed")</f>
        <v>Closed</v>
      </c>
      <c r="AN239" s="96" t="str">
        <f>IFERROR(__xludf.DUMMYFUNCTION("""COMPUTED_VALUE"""),"Closed")</f>
        <v>Closed</v>
      </c>
      <c r="AO239" s="97" t="str">
        <f>IFERROR(__xludf.DUMMYFUNCTION("""COMPUTED_VALUE"""),"Closed")</f>
        <v>Closed</v>
      </c>
      <c r="AP239" s="95" t="str">
        <f>IFERROR(__xludf.DUMMYFUNCTION("""COMPUTED_VALUE"""),"Closed")</f>
        <v>Closed</v>
      </c>
      <c r="AQ239" s="96" t="str">
        <f>IFERROR(__xludf.DUMMYFUNCTION("""COMPUTED_VALUE"""),"Closed")</f>
        <v>Closed</v>
      </c>
      <c r="AR239" s="97" t="str">
        <f>IFERROR(__xludf.DUMMYFUNCTION("""COMPUTED_VALUE"""),"Closed")</f>
        <v>Closed</v>
      </c>
      <c r="AS239" s="95" t="str">
        <f>IFERROR(__xludf.DUMMYFUNCTION("""COMPUTED_VALUE"""),"Closed")</f>
        <v>Closed</v>
      </c>
      <c r="AT239" s="96" t="str">
        <f>IFERROR(__xludf.DUMMYFUNCTION("""COMPUTED_VALUE"""),"Closed")</f>
        <v>Closed</v>
      </c>
      <c r="AU239" s="97" t="str">
        <f>IFERROR(__xludf.DUMMYFUNCTION("""COMPUTED_VALUE"""),"Closed")</f>
        <v>Closed</v>
      </c>
      <c r="AV239" s="95" t="str">
        <f>IFERROR(__xludf.DUMMYFUNCTION("""COMPUTED_VALUE"""),"Closed")</f>
        <v>Closed</v>
      </c>
      <c r="AW239" s="96" t="str">
        <f>IFERROR(__xludf.DUMMYFUNCTION("""COMPUTED_VALUE"""),"Closed")</f>
        <v>Closed</v>
      </c>
      <c r="AX239" s="97" t="str">
        <f>IFERROR(__xludf.DUMMYFUNCTION("""COMPUTED_VALUE"""),"Closed")</f>
        <v>Closed</v>
      </c>
      <c r="AY239" s="95" t="str">
        <f>IFERROR(__xludf.DUMMYFUNCTION("""COMPUTED_VALUE"""),"Closed")</f>
        <v>Closed</v>
      </c>
      <c r="AZ239" s="96" t="str">
        <f>IFERROR(__xludf.DUMMYFUNCTION("""COMPUTED_VALUE"""),"Closed")</f>
        <v>Closed</v>
      </c>
      <c r="BA239" s="97" t="str">
        <f>IFERROR(__xludf.DUMMYFUNCTION("""COMPUTED_VALUE"""),"Closed")</f>
        <v>Closed</v>
      </c>
      <c r="BB239" s="95" t="str">
        <f>IFERROR(__xludf.DUMMYFUNCTION("""COMPUTED_VALUE"""),"Closed")</f>
        <v>Closed</v>
      </c>
      <c r="BC239" s="96" t="str">
        <f>IFERROR(__xludf.DUMMYFUNCTION("""COMPUTED_VALUE"""),"Closed")</f>
        <v>Closed</v>
      </c>
      <c r="BD239" s="97" t="str">
        <f>IFERROR(__xludf.DUMMYFUNCTION("""COMPUTED_VALUE"""),"Closed")</f>
        <v>Closed</v>
      </c>
      <c r="BE239" s="95" t="str">
        <f>IFERROR(__xludf.DUMMYFUNCTION("""COMPUTED_VALUE"""),"Closed")</f>
        <v>Closed</v>
      </c>
      <c r="BF239" s="96" t="str">
        <f>IFERROR(__xludf.DUMMYFUNCTION("""COMPUTED_VALUE"""),"Closed")</f>
        <v>Closed</v>
      </c>
      <c r="BG239" s="97" t="str">
        <f>IFERROR(__xludf.DUMMYFUNCTION("""COMPUTED_VALUE"""),"Closed")</f>
        <v>Closed</v>
      </c>
      <c r="BH239" s="95" t="str">
        <f>IFERROR(__xludf.DUMMYFUNCTION("""COMPUTED_VALUE"""),"Closed")</f>
        <v>Closed</v>
      </c>
      <c r="BI239" s="96" t="str">
        <f>IFERROR(__xludf.DUMMYFUNCTION("""COMPUTED_VALUE"""),"Closed")</f>
        <v>Closed</v>
      </c>
      <c r="BJ239" s="97" t="str">
        <f>IFERROR(__xludf.DUMMYFUNCTION("""COMPUTED_VALUE"""),"Closed")</f>
        <v>Closed</v>
      </c>
      <c r="BK239" s="95" t="str">
        <f>IFERROR(__xludf.DUMMYFUNCTION("""COMPUTED_VALUE"""),"Closed")</f>
        <v>Closed</v>
      </c>
      <c r="BL239" s="96" t="str">
        <f>IFERROR(__xludf.DUMMYFUNCTION("""COMPUTED_VALUE"""),"Closed")</f>
        <v>Closed</v>
      </c>
      <c r="BM239" s="97" t="str">
        <f>IFERROR(__xludf.DUMMYFUNCTION("""COMPUTED_VALUE"""),"Closed")</f>
        <v>Closed</v>
      </c>
      <c r="BN239" s="95" t="str">
        <f>IFERROR(__xludf.DUMMYFUNCTION("""COMPUTED_VALUE"""),"Closed")</f>
        <v>Closed</v>
      </c>
      <c r="BO239" s="96" t="str">
        <f>IFERROR(__xludf.DUMMYFUNCTION("""COMPUTED_VALUE"""),"Closed")</f>
        <v>Closed</v>
      </c>
      <c r="BP239" s="97" t="str">
        <f>IFERROR(__xludf.DUMMYFUNCTION("""COMPUTED_VALUE"""),"Closed")</f>
        <v>Closed</v>
      </c>
      <c r="BQ239" s="95" t="str">
        <f>IFERROR(__xludf.DUMMYFUNCTION("""COMPUTED_VALUE"""),"Closed")</f>
        <v>Closed</v>
      </c>
      <c r="BR239" s="96" t="str">
        <f>IFERROR(__xludf.DUMMYFUNCTION("""COMPUTED_VALUE"""),"Closed")</f>
        <v>Closed</v>
      </c>
      <c r="BS239" s="97" t="str">
        <f>IFERROR(__xludf.DUMMYFUNCTION("""COMPUTED_VALUE"""),"Closed")</f>
        <v>Closed</v>
      </c>
      <c r="BT239" s="95" t="str">
        <f>IFERROR(__xludf.DUMMYFUNCTION("""COMPUTED_VALUE"""),"Closed")</f>
        <v>Closed</v>
      </c>
      <c r="BU239" s="96" t="str">
        <f>IFERROR(__xludf.DUMMYFUNCTION("""COMPUTED_VALUE"""),"Closed")</f>
        <v>Closed</v>
      </c>
      <c r="BV239" s="97" t="str">
        <f>IFERROR(__xludf.DUMMYFUNCTION("""COMPUTED_VALUE"""),"Closed")</f>
        <v>Closed</v>
      </c>
      <c r="BW239" s="95" t="str">
        <f>IFERROR(__xludf.DUMMYFUNCTION("""COMPUTED_VALUE"""),"Closed")</f>
        <v>Closed</v>
      </c>
      <c r="BX239" s="96" t="str">
        <f>IFERROR(__xludf.DUMMYFUNCTION("""COMPUTED_VALUE"""),"Closed")</f>
        <v>Closed</v>
      </c>
      <c r="BY239" s="97" t="str">
        <f>IFERROR(__xludf.DUMMYFUNCTION("""COMPUTED_VALUE"""),"Closed")</f>
        <v>Closed</v>
      </c>
      <c r="BZ239" s="95" t="str">
        <f>IFERROR(__xludf.DUMMYFUNCTION("""COMPUTED_VALUE"""),"Closed")</f>
        <v>Closed</v>
      </c>
      <c r="CA239" s="96" t="str">
        <f>IFERROR(__xludf.DUMMYFUNCTION("""COMPUTED_VALUE"""),"Closed")</f>
        <v>Closed</v>
      </c>
      <c r="CB239" s="97" t="str">
        <f>IFERROR(__xludf.DUMMYFUNCTION("""COMPUTED_VALUE"""),"Closed")</f>
        <v>Closed</v>
      </c>
      <c r="CC239" s="95" t="str">
        <f>IFERROR(__xludf.DUMMYFUNCTION("""COMPUTED_VALUE"""),"Closed")</f>
        <v>Closed</v>
      </c>
      <c r="CD239" s="96" t="str">
        <f>IFERROR(__xludf.DUMMYFUNCTION("""COMPUTED_VALUE"""),"Closed")</f>
        <v>Closed</v>
      </c>
      <c r="CE239" s="97" t="str">
        <f>IFERROR(__xludf.DUMMYFUNCTION("""COMPUTED_VALUE"""),"Closed")</f>
        <v>Closed</v>
      </c>
      <c r="CF239" s="95" t="str">
        <f>IFERROR(__xludf.DUMMYFUNCTION("""COMPUTED_VALUE"""),"Closed")</f>
        <v>Closed</v>
      </c>
      <c r="CG239" s="96" t="str">
        <f>IFERROR(__xludf.DUMMYFUNCTION("""COMPUTED_VALUE"""),"Closed")</f>
        <v>Closed</v>
      </c>
      <c r="CH239" s="96" t="str">
        <f>IFERROR(__xludf.DUMMYFUNCTION("""COMPUTED_VALUE"""),"Closed")</f>
        <v>Closed</v>
      </c>
      <c r="CI239" s="95" t="str">
        <f>IFERROR(__xludf.DUMMYFUNCTION("""COMPUTED_VALUE"""),"Closed")</f>
        <v>Closed</v>
      </c>
      <c r="CJ239" s="96" t="str">
        <f>IFERROR(__xludf.DUMMYFUNCTION("""COMPUTED_VALUE"""),"Closed")</f>
        <v>Closed</v>
      </c>
      <c r="CK239" s="96" t="str">
        <f>IFERROR(__xludf.DUMMYFUNCTION("""COMPUTED_VALUE"""),"Closed")</f>
        <v>Closed</v>
      </c>
      <c r="CL239" s="95" t="str">
        <f>IFERROR(__xludf.DUMMYFUNCTION("""COMPUTED_VALUE"""),"Closed")</f>
        <v>Closed</v>
      </c>
      <c r="CM239" s="96" t="str">
        <f>IFERROR(__xludf.DUMMYFUNCTION("""COMPUTED_VALUE"""),"Closed")</f>
        <v>Closed</v>
      </c>
      <c r="CN239" s="96" t="str">
        <f>IFERROR(__xludf.DUMMYFUNCTION("""COMPUTED_VALUE"""),"Closed")</f>
        <v>Closed</v>
      </c>
      <c r="CO239" s="95" t="str">
        <f>IFERROR(__xludf.DUMMYFUNCTION("""COMPUTED_VALUE"""),"Closed")</f>
        <v>Closed</v>
      </c>
      <c r="CP239" s="96" t="str">
        <f>IFERROR(__xludf.DUMMYFUNCTION("""COMPUTED_VALUE"""),"Closed")</f>
        <v>Closed</v>
      </c>
      <c r="CQ239" s="96" t="str">
        <f>IFERROR(__xludf.DUMMYFUNCTION("""COMPUTED_VALUE"""),"Closed")</f>
        <v>Closed</v>
      </c>
      <c r="CR239" s="95" t="str">
        <f>IFERROR(__xludf.DUMMYFUNCTION("""COMPUTED_VALUE"""),"Closed")</f>
        <v>Closed</v>
      </c>
      <c r="CS239" s="96" t="str">
        <f>IFERROR(__xludf.DUMMYFUNCTION("""COMPUTED_VALUE"""),"Closed")</f>
        <v>Closed</v>
      </c>
      <c r="CT239" s="96" t="str">
        <f>IFERROR(__xludf.DUMMYFUNCTION("""COMPUTED_VALUE"""),"Closed")</f>
        <v>Closed</v>
      </c>
      <c r="CU239" s="95" t="str">
        <f>IFERROR(__xludf.DUMMYFUNCTION("""COMPUTED_VALUE"""),"Closed")</f>
        <v>Closed</v>
      </c>
      <c r="CV239" s="96" t="str">
        <f>IFERROR(__xludf.DUMMYFUNCTION("""COMPUTED_VALUE"""),"Closed")</f>
        <v>Closed</v>
      </c>
      <c r="CW239" s="97" t="str">
        <f>IFERROR(__xludf.DUMMYFUNCTION("""COMPUTED_VALUE"""),"Closed")</f>
        <v>Closed</v>
      </c>
      <c r="CX239" s="96" t="str">
        <f>IFERROR(__xludf.DUMMYFUNCTION("""COMPUTED_VALUE"""),"Closed")</f>
        <v>Closed</v>
      </c>
      <c r="CY239" s="96" t="str">
        <f>IFERROR(__xludf.DUMMYFUNCTION("""COMPUTED_VALUE"""),"Closed")</f>
        <v>Closed</v>
      </c>
      <c r="CZ239" s="97" t="str">
        <f>IFERROR(__xludf.DUMMYFUNCTION("""COMPUTED_VALUE"""),"Closed")</f>
        <v>Closed</v>
      </c>
      <c r="DA239" s="95" t="str">
        <f>IFERROR(__xludf.DUMMYFUNCTION("""COMPUTED_VALUE"""),"Closed")</f>
        <v>Closed</v>
      </c>
      <c r="DB239" s="96" t="str">
        <f>IFERROR(__xludf.DUMMYFUNCTION("""COMPUTED_VALUE"""),"Closed")</f>
        <v>Closed</v>
      </c>
      <c r="DC239" s="97" t="str">
        <f>IFERROR(__xludf.DUMMYFUNCTION("""COMPUTED_VALUE"""),"Closed")</f>
        <v>Closed</v>
      </c>
      <c r="DD239" s="95" t="str">
        <f>IFERROR(__xludf.DUMMYFUNCTION("""COMPUTED_VALUE"""),"Closed")</f>
        <v>Closed</v>
      </c>
      <c r="DE239" s="96" t="str">
        <f>IFERROR(__xludf.DUMMYFUNCTION("""COMPUTED_VALUE"""),"Closed")</f>
        <v>Closed</v>
      </c>
      <c r="DF239" s="97" t="str">
        <f>IFERROR(__xludf.DUMMYFUNCTION("""COMPUTED_VALUE"""),"Closed")</f>
        <v>Closed</v>
      </c>
      <c r="DG239" s="95" t="str">
        <f>IFERROR(__xludf.DUMMYFUNCTION("""COMPUTED_VALUE"""),"Closed")</f>
        <v>Closed</v>
      </c>
      <c r="DH239" s="96" t="str">
        <f>IFERROR(__xludf.DUMMYFUNCTION("""COMPUTED_VALUE"""),"Closed")</f>
        <v>Closed</v>
      </c>
      <c r="DI239" s="97" t="str">
        <f>IFERROR(__xludf.DUMMYFUNCTION("""COMPUTED_VALUE"""),"Closed")</f>
        <v>Closed</v>
      </c>
      <c r="DJ239" s="95" t="str">
        <f>IFERROR(__xludf.DUMMYFUNCTION("""COMPUTED_VALUE"""),"Closed")</f>
        <v>Closed</v>
      </c>
      <c r="DK239" s="96" t="str">
        <f>IFERROR(__xludf.DUMMYFUNCTION("""COMPUTED_VALUE"""),"Closed")</f>
        <v>Closed</v>
      </c>
      <c r="DL239" s="97" t="str">
        <f>IFERROR(__xludf.DUMMYFUNCTION("""COMPUTED_VALUE"""),"Closed")</f>
        <v>Closed</v>
      </c>
      <c r="DM239" s="95" t="str">
        <f>IFERROR(__xludf.DUMMYFUNCTION("""COMPUTED_VALUE"""),"Closed")</f>
        <v>Closed</v>
      </c>
      <c r="DN239" s="96" t="str">
        <f>IFERROR(__xludf.DUMMYFUNCTION("""COMPUTED_VALUE"""),"Closed")</f>
        <v>Closed</v>
      </c>
      <c r="DO239" s="97" t="str">
        <f>IFERROR(__xludf.DUMMYFUNCTION("""COMPUTED_VALUE"""),"Closed")</f>
        <v>Closed</v>
      </c>
      <c r="DP239" s="95" t="str">
        <f>IFERROR(__xludf.DUMMYFUNCTION("""COMPUTED_VALUE"""),"Closed")</f>
        <v>Closed</v>
      </c>
      <c r="DQ239" s="96" t="str">
        <f>IFERROR(__xludf.DUMMYFUNCTION("""COMPUTED_VALUE"""),"Closed")</f>
        <v>Closed</v>
      </c>
      <c r="DR239" s="97"/>
      <c r="DS239" s="95"/>
    </row>
    <row r="240" hidden="1">
      <c r="B240" s="180" t="str">
        <f>IFERROR(__xludf.DUMMYFUNCTION("""COMPUTED_VALUE"""),"OLP4")</f>
        <v>OLP4</v>
      </c>
      <c r="C240" s="88" t="str">
        <f>IFERROR(__xludf.DUMMYFUNCTION("""COMPUTED_VALUE"""),"Interstellar City: East")</f>
        <v>Interstellar City: East</v>
      </c>
      <c r="D240" s="102">
        <f>IFERROR(__xludf.DUMMYFUNCTION("""COMPUTED_VALUE"""),21.0)</f>
        <v>21</v>
      </c>
      <c r="E240" s="82" t="b">
        <f>IFERROR(__xludf.DUMMYFUNCTION("""COMPUTED_VALUE"""),FALSE)</f>
        <v>0</v>
      </c>
      <c r="F240" s="82" t="str">
        <f>IFERROR(__xludf.DUMMYFUNCTION("""COMPUTED_VALUE"""),"Free Quests- Part 2!A769:J780")</f>
        <v>Free Quests- Part 2!A769:J780</v>
      </c>
      <c r="G240" s="82">
        <f>IFERROR(__xludf.DUMMYFUNCTION("""COMPUTED_VALUE"""),240.0)</f>
        <v>240</v>
      </c>
      <c r="H240" s="82" t="str">
        <f>IFERROR(__xludf.DUMMYFUNCTION("""COMPUTED_VALUE"""),"Closed")</f>
        <v>Closed</v>
      </c>
      <c r="I240" s="95" t="str">
        <f>IFERROR(__xludf.DUMMYFUNCTION("""COMPUTED_VALUE"""),"Closed")</f>
        <v>Closed</v>
      </c>
      <c r="J240" s="96" t="str">
        <f>IFERROR(__xludf.DUMMYFUNCTION("""COMPUTED_VALUE"""),"Closed")</f>
        <v>Closed</v>
      </c>
      <c r="K240" s="97" t="str">
        <f>IFERROR(__xludf.DUMMYFUNCTION("""COMPUTED_VALUE"""),"Closed")</f>
        <v>Closed</v>
      </c>
      <c r="L240" s="95" t="str">
        <f>IFERROR(__xludf.DUMMYFUNCTION("""COMPUTED_VALUE"""),"Closed")</f>
        <v>Closed</v>
      </c>
      <c r="M240" s="96" t="str">
        <f>IFERROR(__xludf.DUMMYFUNCTION("""COMPUTED_VALUE"""),"Closed")</f>
        <v>Closed</v>
      </c>
      <c r="N240" s="97" t="str">
        <f>IFERROR(__xludf.DUMMYFUNCTION("""COMPUTED_VALUE"""),"Closed")</f>
        <v>Closed</v>
      </c>
      <c r="O240" s="95" t="str">
        <f>IFERROR(__xludf.DUMMYFUNCTION("""COMPUTED_VALUE"""),"Closed")</f>
        <v>Closed</v>
      </c>
      <c r="P240" s="96" t="str">
        <f>IFERROR(__xludf.DUMMYFUNCTION("""COMPUTED_VALUE"""),"Closed")</f>
        <v>Closed</v>
      </c>
      <c r="Q240" s="97" t="str">
        <f>IFERROR(__xludf.DUMMYFUNCTION("""COMPUTED_VALUE"""),"Closed")</f>
        <v>Closed</v>
      </c>
      <c r="R240" s="95" t="str">
        <f>IFERROR(__xludf.DUMMYFUNCTION("""COMPUTED_VALUE"""),"Closed")</f>
        <v>Closed</v>
      </c>
      <c r="S240" s="96" t="str">
        <f>IFERROR(__xludf.DUMMYFUNCTION("""COMPUTED_VALUE"""),"Closed")</f>
        <v>Closed</v>
      </c>
      <c r="T240" s="97" t="str">
        <f>IFERROR(__xludf.DUMMYFUNCTION("""COMPUTED_VALUE"""),"Closed")</f>
        <v>Closed</v>
      </c>
      <c r="U240" s="95" t="str">
        <f>IFERROR(__xludf.DUMMYFUNCTION("""COMPUTED_VALUE"""),"Closed")</f>
        <v>Closed</v>
      </c>
      <c r="V240" s="96" t="str">
        <f>IFERROR(__xludf.DUMMYFUNCTION("""COMPUTED_VALUE"""),"Closed")</f>
        <v>Closed</v>
      </c>
      <c r="W240" s="97" t="str">
        <f>IFERROR(__xludf.DUMMYFUNCTION("""COMPUTED_VALUE"""),"Closed")</f>
        <v>Closed</v>
      </c>
      <c r="X240" s="95" t="str">
        <f>IFERROR(__xludf.DUMMYFUNCTION("""COMPUTED_VALUE"""),"Closed")</f>
        <v>Closed</v>
      </c>
      <c r="Y240" s="96" t="str">
        <f>IFERROR(__xludf.DUMMYFUNCTION("""COMPUTED_VALUE"""),"Closed")</f>
        <v>Closed</v>
      </c>
      <c r="Z240" s="97" t="str">
        <f>IFERROR(__xludf.DUMMYFUNCTION("""COMPUTED_VALUE"""),"Closed")</f>
        <v>Closed</v>
      </c>
      <c r="AA240" s="95" t="str">
        <f>IFERROR(__xludf.DUMMYFUNCTION("""COMPUTED_VALUE"""),"Closed")</f>
        <v>Closed</v>
      </c>
      <c r="AB240" s="96" t="str">
        <f>IFERROR(__xludf.DUMMYFUNCTION("""COMPUTED_VALUE"""),"Closed")</f>
        <v>Closed</v>
      </c>
      <c r="AC240" s="97" t="str">
        <f>IFERROR(__xludf.DUMMYFUNCTION("""COMPUTED_VALUE"""),"Closed")</f>
        <v>Closed</v>
      </c>
      <c r="AD240" s="95" t="str">
        <f>IFERROR(__xludf.DUMMYFUNCTION("""COMPUTED_VALUE"""),"Closed")</f>
        <v>Closed</v>
      </c>
      <c r="AE240" s="96" t="str">
        <f>IFERROR(__xludf.DUMMYFUNCTION("""COMPUTED_VALUE"""),"Closed")</f>
        <v>Closed</v>
      </c>
      <c r="AF240" s="97" t="str">
        <f>IFERROR(__xludf.DUMMYFUNCTION("""COMPUTED_VALUE"""),"Closed")</f>
        <v>Closed</v>
      </c>
      <c r="AG240" s="95" t="str">
        <f>IFERROR(__xludf.DUMMYFUNCTION("""COMPUTED_VALUE"""),"Closed")</f>
        <v>Closed</v>
      </c>
      <c r="AH240" s="96" t="str">
        <f>IFERROR(__xludf.DUMMYFUNCTION("""COMPUTED_VALUE"""),"Closed")</f>
        <v>Closed</v>
      </c>
      <c r="AI240" s="97" t="str">
        <f>IFERROR(__xludf.DUMMYFUNCTION("""COMPUTED_VALUE"""),"Closed")</f>
        <v>Closed</v>
      </c>
      <c r="AJ240" s="95" t="str">
        <f>IFERROR(__xludf.DUMMYFUNCTION("""COMPUTED_VALUE"""),"Closed")</f>
        <v>Closed</v>
      </c>
      <c r="AK240" s="96" t="str">
        <f>IFERROR(__xludf.DUMMYFUNCTION("""COMPUTED_VALUE"""),"Closed")</f>
        <v>Closed</v>
      </c>
      <c r="AL240" s="97" t="str">
        <f>IFERROR(__xludf.DUMMYFUNCTION("""COMPUTED_VALUE"""),"Closed")</f>
        <v>Closed</v>
      </c>
      <c r="AM240" s="95" t="str">
        <f>IFERROR(__xludf.DUMMYFUNCTION("""COMPUTED_VALUE"""),"Closed")</f>
        <v>Closed</v>
      </c>
      <c r="AN240" s="96" t="str">
        <f>IFERROR(__xludf.DUMMYFUNCTION("""COMPUTED_VALUE"""),"Closed")</f>
        <v>Closed</v>
      </c>
      <c r="AO240" s="97" t="str">
        <f>IFERROR(__xludf.DUMMYFUNCTION("""COMPUTED_VALUE"""),"Closed")</f>
        <v>Closed</v>
      </c>
      <c r="AP240" s="95" t="str">
        <f>IFERROR(__xludf.DUMMYFUNCTION("""COMPUTED_VALUE"""),"Closed")</f>
        <v>Closed</v>
      </c>
      <c r="AQ240" s="96" t="str">
        <f>IFERROR(__xludf.DUMMYFUNCTION("""COMPUTED_VALUE"""),"Closed")</f>
        <v>Closed</v>
      </c>
      <c r="AR240" s="97" t="str">
        <f>IFERROR(__xludf.DUMMYFUNCTION("""COMPUTED_VALUE"""),"Closed")</f>
        <v>Closed</v>
      </c>
      <c r="AS240" s="95" t="str">
        <f>IFERROR(__xludf.DUMMYFUNCTION("""COMPUTED_VALUE"""),"Closed")</f>
        <v>Closed</v>
      </c>
      <c r="AT240" s="96" t="str">
        <f>IFERROR(__xludf.DUMMYFUNCTION("""COMPUTED_VALUE"""),"Closed")</f>
        <v>Closed</v>
      </c>
      <c r="AU240" s="97" t="str">
        <f>IFERROR(__xludf.DUMMYFUNCTION("""COMPUTED_VALUE"""),"Closed")</f>
        <v>Closed</v>
      </c>
      <c r="AV240" s="95" t="str">
        <f>IFERROR(__xludf.DUMMYFUNCTION("""COMPUTED_VALUE"""),"Closed")</f>
        <v>Closed</v>
      </c>
      <c r="AW240" s="96" t="str">
        <f>IFERROR(__xludf.DUMMYFUNCTION("""COMPUTED_VALUE"""),"Closed")</f>
        <v>Closed</v>
      </c>
      <c r="AX240" s="97" t="str">
        <f>IFERROR(__xludf.DUMMYFUNCTION("""COMPUTED_VALUE"""),"Closed")</f>
        <v>Closed</v>
      </c>
      <c r="AY240" s="95" t="str">
        <f>IFERROR(__xludf.DUMMYFUNCTION("""COMPUTED_VALUE"""),"Closed")</f>
        <v>Closed</v>
      </c>
      <c r="AZ240" s="96" t="str">
        <f>IFERROR(__xludf.DUMMYFUNCTION("""COMPUTED_VALUE"""),"Closed")</f>
        <v>Closed</v>
      </c>
      <c r="BA240" s="97" t="str">
        <f>IFERROR(__xludf.DUMMYFUNCTION("""COMPUTED_VALUE"""),"Closed")</f>
        <v>Closed</v>
      </c>
      <c r="BB240" s="95" t="str">
        <f>IFERROR(__xludf.DUMMYFUNCTION("""COMPUTED_VALUE"""),"Closed")</f>
        <v>Closed</v>
      </c>
      <c r="BC240" s="96" t="str">
        <f>IFERROR(__xludf.DUMMYFUNCTION("""COMPUTED_VALUE"""),"Closed")</f>
        <v>Closed</v>
      </c>
      <c r="BD240" s="97" t="str">
        <f>IFERROR(__xludf.DUMMYFUNCTION("""COMPUTED_VALUE"""),"Closed")</f>
        <v>Closed</v>
      </c>
      <c r="BE240" s="95" t="str">
        <f>IFERROR(__xludf.DUMMYFUNCTION("""COMPUTED_VALUE"""),"Closed")</f>
        <v>Closed</v>
      </c>
      <c r="BF240" s="96" t="str">
        <f>IFERROR(__xludf.DUMMYFUNCTION("""COMPUTED_VALUE"""),"Closed")</f>
        <v>Closed</v>
      </c>
      <c r="BG240" s="97" t="str">
        <f>IFERROR(__xludf.DUMMYFUNCTION("""COMPUTED_VALUE"""),"Closed")</f>
        <v>Closed</v>
      </c>
      <c r="BH240" s="95" t="str">
        <f>IFERROR(__xludf.DUMMYFUNCTION("""COMPUTED_VALUE"""),"Closed")</f>
        <v>Closed</v>
      </c>
      <c r="BI240" s="96" t="str">
        <f>IFERROR(__xludf.DUMMYFUNCTION("""COMPUTED_VALUE"""),"Closed")</f>
        <v>Closed</v>
      </c>
      <c r="BJ240" s="97" t="str">
        <f>IFERROR(__xludf.DUMMYFUNCTION("""COMPUTED_VALUE"""),"Closed")</f>
        <v>Closed</v>
      </c>
      <c r="BK240" s="95" t="str">
        <f>IFERROR(__xludf.DUMMYFUNCTION("""COMPUTED_VALUE"""),"Closed")</f>
        <v>Closed</v>
      </c>
      <c r="BL240" s="96" t="str">
        <f>IFERROR(__xludf.DUMMYFUNCTION("""COMPUTED_VALUE"""),"Closed")</f>
        <v>Closed</v>
      </c>
      <c r="BM240" s="97" t="str">
        <f>IFERROR(__xludf.DUMMYFUNCTION("""COMPUTED_VALUE"""),"Closed")</f>
        <v>Closed</v>
      </c>
      <c r="BN240" s="95" t="str">
        <f>IFERROR(__xludf.DUMMYFUNCTION("""COMPUTED_VALUE"""),"Closed")</f>
        <v>Closed</v>
      </c>
      <c r="BO240" s="96" t="str">
        <f>IFERROR(__xludf.DUMMYFUNCTION("""COMPUTED_VALUE"""),"Closed")</f>
        <v>Closed</v>
      </c>
      <c r="BP240" s="97" t="str">
        <f>IFERROR(__xludf.DUMMYFUNCTION("""COMPUTED_VALUE"""),"Closed")</f>
        <v>Closed</v>
      </c>
      <c r="BQ240" s="95" t="str">
        <f>IFERROR(__xludf.DUMMYFUNCTION("""COMPUTED_VALUE"""),"Closed")</f>
        <v>Closed</v>
      </c>
      <c r="BR240" s="96" t="str">
        <f>IFERROR(__xludf.DUMMYFUNCTION("""COMPUTED_VALUE"""),"Closed")</f>
        <v>Closed</v>
      </c>
      <c r="BS240" s="97" t="str">
        <f>IFERROR(__xludf.DUMMYFUNCTION("""COMPUTED_VALUE"""),"Closed")</f>
        <v>Closed</v>
      </c>
      <c r="BT240" s="95" t="str">
        <f>IFERROR(__xludf.DUMMYFUNCTION("""COMPUTED_VALUE"""),"Closed")</f>
        <v>Closed</v>
      </c>
      <c r="BU240" s="96" t="str">
        <f>IFERROR(__xludf.DUMMYFUNCTION("""COMPUTED_VALUE"""),"Closed")</f>
        <v>Closed</v>
      </c>
      <c r="BV240" s="97" t="str">
        <f>IFERROR(__xludf.DUMMYFUNCTION("""COMPUTED_VALUE"""),"Closed")</f>
        <v>Closed</v>
      </c>
      <c r="BW240" s="95" t="str">
        <f>IFERROR(__xludf.DUMMYFUNCTION("""COMPUTED_VALUE"""),"Closed")</f>
        <v>Closed</v>
      </c>
      <c r="BX240" s="96" t="str">
        <f>IFERROR(__xludf.DUMMYFUNCTION("""COMPUTED_VALUE"""),"Closed")</f>
        <v>Closed</v>
      </c>
      <c r="BY240" s="97" t="str">
        <f>IFERROR(__xludf.DUMMYFUNCTION("""COMPUTED_VALUE"""),"Closed")</f>
        <v>Closed</v>
      </c>
      <c r="BZ240" s="95" t="str">
        <f>IFERROR(__xludf.DUMMYFUNCTION("""COMPUTED_VALUE"""),"Closed")</f>
        <v>Closed</v>
      </c>
      <c r="CA240" s="96" t="str">
        <f>IFERROR(__xludf.DUMMYFUNCTION("""COMPUTED_VALUE"""),"Closed")</f>
        <v>Closed</v>
      </c>
      <c r="CB240" s="97" t="str">
        <f>IFERROR(__xludf.DUMMYFUNCTION("""COMPUTED_VALUE"""),"Closed")</f>
        <v>Closed</v>
      </c>
      <c r="CC240" s="95" t="str">
        <f>IFERROR(__xludf.DUMMYFUNCTION("""COMPUTED_VALUE"""),"Closed")</f>
        <v>Closed</v>
      </c>
      <c r="CD240" s="96" t="str">
        <f>IFERROR(__xludf.DUMMYFUNCTION("""COMPUTED_VALUE"""),"Closed")</f>
        <v>Closed</v>
      </c>
      <c r="CE240" s="97" t="str">
        <f>IFERROR(__xludf.DUMMYFUNCTION("""COMPUTED_VALUE"""),"Closed")</f>
        <v>Closed</v>
      </c>
      <c r="CF240" s="95" t="str">
        <f>IFERROR(__xludf.DUMMYFUNCTION("""COMPUTED_VALUE"""),"Closed")</f>
        <v>Closed</v>
      </c>
      <c r="CG240" s="96" t="str">
        <f>IFERROR(__xludf.DUMMYFUNCTION("""COMPUTED_VALUE"""),"Closed")</f>
        <v>Closed</v>
      </c>
      <c r="CH240" s="96" t="str">
        <f>IFERROR(__xludf.DUMMYFUNCTION("""COMPUTED_VALUE"""),"Closed")</f>
        <v>Closed</v>
      </c>
      <c r="CI240" s="95" t="str">
        <f>IFERROR(__xludf.DUMMYFUNCTION("""COMPUTED_VALUE"""),"Closed")</f>
        <v>Closed</v>
      </c>
      <c r="CJ240" s="96" t="str">
        <f>IFERROR(__xludf.DUMMYFUNCTION("""COMPUTED_VALUE"""),"Closed")</f>
        <v>Closed</v>
      </c>
      <c r="CK240" s="96" t="str">
        <f>IFERROR(__xludf.DUMMYFUNCTION("""COMPUTED_VALUE"""),"Closed")</f>
        <v>Closed</v>
      </c>
      <c r="CL240" s="95" t="str">
        <f>IFERROR(__xludf.DUMMYFUNCTION("""COMPUTED_VALUE"""),"Closed")</f>
        <v>Closed</v>
      </c>
      <c r="CM240" s="96" t="str">
        <f>IFERROR(__xludf.DUMMYFUNCTION("""COMPUTED_VALUE"""),"Closed")</f>
        <v>Closed</v>
      </c>
      <c r="CN240" s="96" t="str">
        <f>IFERROR(__xludf.DUMMYFUNCTION("""COMPUTED_VALUE"""),"Closed")</f>
        <v>Closed</v>
      </c>
      <c r="CO240" s="95" t="str">
        <f>IFERROR(__xludf.DUMMYFUNCTION("""COMPUTED_VALUE"""),"Closed")</f>
        <v>Closed</v>
      </c>
      <c r="CP240" s="96" t="str">
        <f>IFERROR(__xludf.DUMMYFUNCTION("""COMPUTED_VALUE"""),"Closed")</f>
        <v>Closed</v>
      </c>
      <c r="CQ240" s="96" t="str">
        <f>IFERROR(__xludf.DUMMYFUNCTION("""COMPUTED_VALUE"""),"Closed")</f>
        <v>Closed</v>
      </c>
      <c r="CR240" s="95" t="str">
        <f>IFERROR(__xludf.DUMMYFUNCTION("""COMPUTED_VALUE"""),"Closed")</f>
        <v>Closed</v>
      </c>
      <c r="CS240" s="96" t="str">
        <f>IFERROR(__xludf.DUMMYFUNCTION("""COMPUTED_VALUE"""),"Closed")</f>
        <v>Closed</v>
      </c>
      <c r="CT240" s="96" t="str">
        <f>IFERROR(__xludf.DUMMYFUNCTION("""COMPUTED_VALUE"""),"Closed")</f>
        <v>Closed</v>
      </c>
      <c r="CU240" s="95" t="str">
        <f>IFERROR(__xludf.DUMMYFUNCTION("""COMPUTED_VALUE"""),"Closed")</f>
        <v>Closed</v>
      </c>
      <c r="CV240" s="96" t="str">
        <f>IFERROR(__xludf.DUMMYFUNCTION("""COMPUTED_VALUE"""),"Closed")</f>
        <v>Closed</v>
      </c>
      <c r="CW240" s="97" t="str">
        <f>IFERROR(__xludf.DUMMYFUNCTION("""COMPUTED_VALUE"""),"Closed")</f>
        <v>Closed</v>
      </c>
      <c r="CX240" s="96" t="str">
        <f>IFERROR(__xludf.DUMMYFUNCTION("""COMPUTED_VALUE"""),"Closed")</f>
        <v>Closed</v>
      </c>
      <c r="CY240" s="96" t="str">
        <f>IFERROR(__xludf.DUMMYFUNCTION("""COMPUTED_VALUE"""),"Closed")</f>
        <v>Closed</v>
      </c>
      <c r="CZ240" s="97" t="str">
        <f>IFERROR(__xludf.DUMMYFUNCTION("""COMPUTED_VALUE"""),"Closed")</f>
        <v>Closed</v>
      </c>
      <c r="DA240" s="95" t="str">
        <f>IFERROR(__xludf.DUMMYFUNCTION("""COMPUTED_VALUE"""),"Closed")</f>
        <v>Closed</v>
      </c>
      <c r="DB240" s="96" t="str">
        <f>IFERROR(__xludf.DUMMYFUNCTION("""COMPUTED_VALUE"""),"Closed")</f>
        <v>Closed</v>
      </c>
      <c r="DC240" s="97" t="str">
        <f>IFERROR(__xludf.DUMMYFUNCTION("""COMPUTED_VALUE"""),"Closed")</f>
        <v>Closed</v>
      </c>
      <c r="DD240" s="95" t="str">
        <f>IFERROR(__xludf.DUMMYFUNCTION("""COMPUTED_VALUE"""),"Closed")</f>
        <v>Closed</v>
      </c>
      <c r="DE240" s="96" t="str">
        <f>IFERROR(__xludf.DUMMYFUNCTION("""COMPUTED_VALUE"""),"Closed")</f>
        <v>Closed</v>
      </c>
      <c r="DF240" s="97" t="str">
        <f>IFERROR(__xludf.DUMMYFUNCTION("""COMPUTED_VALUE"""),"Closed")</f>
        <v>Closed</v>
      </c>
      <c r="DG240" s="95" t="str">
        <f>IFERROR(__xludf.DUMMYFUNCTION("""COMPUTED_VALUE"""),"Closed")</f>
        <v>Closed</v>
      </c>
      <c r="DH240" s="96" t="str">
        <f>IFERROR(__xludf.DUMMYFUNCTION("""COMPUTED_VALUE"""),"Closed")</f>
        <v>Closed</v>
      </c>
      <c r="DI240" s="97" t="str">
        <f>IFERROR(__xludf.DUMMYFUNCTION("""COMPUTED_VALUE"""),"Closed")</f>
        <v>Closed</v>
      </c>
      <c r="DJ240" s="95" t="str">
        <f>IFERROR(__xludf.DUMMYFUNCTION("""COMPUTED_VALUE"""),"Closed")</f>
        <v>Closed</v>
      </c>
      <c r="DK240" s="96" t="str">
        <f>IFERROR(__xludf.DUMMYFUNCTION("""COMPUTED_VALUE"""),"Closed")</f>
        <v>Closed</v>
      </c>
      <c r="DL240" s="97" t="str">
        <f>IFERROR(__xludf.DUMMYFUNCTION("""COMPUTED_VALUE"""),"Closed")</f>
        <v>Closed</v>
      </c>
      <c r="DM240" s="95" t="str">
        <f>IFERROR(__xludf.DUMMYFUNCTION("""COMPUTED_VALUE"""),"Closed")</f>
        <v>Closed</v>
      </c>
      <c r="DN240" s="96" t="str">
        <f>IFERROR(__xludf.DUMMYFUNCTION("""COMPUTED_VALUE"""),"Closed")</f>
        <v>Closed</v>
      </c>
      <c r="DO240" s="97" t="str">
        <f>IFERROR(__xludf.DUMMYFUNCTION("""COMPUTED_VALUE"""),"Closed")</f>
        <v>Closed</v>
      </c>
      <c r="DP240" s="95" t="str">
        <f>IFERROR(__xludf.DUMMYFUNCTION("""COMPUTED_VALUE"""),"Closed")</f>
        <v>Closed</v>
      </c>
      <c r="DQ240" s="96" t="str">
        <f>IFERROR(__xludf.DUMMYFUNCTION("""COMPUTED_VALUE"""),"Closed")</f>
        <v>Closed</v>
      </c>
      <c r="DR240" s="97"/>
      <c r="DS240" s="95"/>
    </row>
    <row r="241" hidden="1">
      <c r="B241" s="180" t="str">
        <f>IFERROR(__xludf.DUMMYFUNCTION("""COMPUTED_VALUE"""),"OLP5")</f>
        <v>OLP5</v>
      </c>
      <c r="C241" s="88" t="str">
        <f>IFERROR(__xludf.DUMMYFUNCTION("""COMPUTED_VALUE"""),"Grand Workshop")</f>
        <v>Grand Workshop</v>
      </c>
      <c r="D241" s="102">
        <f>IFERROR(__xludf.DUMMYFUNCTION("""COMPUTED_VALUE"""),21.0)</f>
        <v>21</v>
      </c>
      <c r="E241" s="82" t="b">
        <f>IFERROR(__xludf.DUMMYFUNCTION("""COMPUTED_VALUE"""),FALSE)</f>
        <v>0</v>
      </c>
      <c r="F241" s="82" t="str">
        <f>IFERROR(__xludf.DUMMYFUNCTION("""COMPUTED_VALUE"""),"Free Quests- Part 2!A784:J794")</f>
        <v>Free Quests- Part 2!A784:J794</v>
      </c>
      <c r="G241" s="82">
        <f>IFERROR(__xludf.DUMMYFUNCTION("""COMPUTED_VALUE"""),241.0)</f>
        <v>241</v>
      </c>
      <c r="H241" s="82" t="str">
        <f>IFERROR(__xludf.DUMMYFUNCTION("""COMPUTED_VALUE"""),"Closed")</f>
        <v>Closed</v>
      </c>
      <c r="I241" s="95" t="str">
        <f>IFERROR(__xludf.DUMMYFUNCTION("""COMPUTED_VALUE"""),"Closed")</f>
        <v>Closed</v>
      </c>
      <c r="J241" s="96" t="str">
        <f>IFERROR(__xludf.DUMMYFUNCTION("""COMPUTED_VALUE"""),"Closed")</f>
        <v>Closed</v>
      </c>
      <c r="K241" s="97" t="str">
        <f>IFERROR(__xludf.DUMMYFUNCTION("""COMPUTED_VALUE"""),"Closed")</f>
        <v>Closed</v>
      </c>
      <c r="L241" s="95" t="str">
        <f>IFERROR(__xludf.DUMMYFUNCTION("""COMPUTED_VALUE"""),"Closed")</f>
        <v>Closed</v>
      </c>
      <c r="M241" s="96" t="str">
        <f>IFERROR(__xludf.DUMMYFUNCTION("""COMPUTED_VALUE"""),"Closed")</f>
        <v>Closed</v>
      </c>
      <c r="N241" s="97" t="str">
        <f>IFERROR(__xludf.DUMMYFUNCTION("""COMPUTED_VALUE"""),"Closed")</f>
        <v>Closed</v>
      </c>
      <c r="O241" s="95" t="str">
        <f>IFERROR(__xludf.DUMMYFUNCTION("""COMPUTED_VALUE"""),"Closed")</f>
        <v>Closed</v>
      </c>
      <c r="P241" s="96" t="str">
        <f>IFERROR(__xludf.DUMMYFUNCTION("""COMPUTED_VALUE"""),"Closed")</f>
        <v>Closed</v>
      </c>
      <c r="Q241" s="97" t="str">
        <f>IFERROR(__xludf.DUMMYFUNCTION("""COMPUTED_VALUE"""),"Closed")</f>
        <v>Closed</v>
      </c>
      <c r="R241" s="95" t="str">
        <f>IFERROR(__xludf.DUMMYFUNCTION("""COMPUTED_VALUE"""),"Closed")</f>
        <v>Closed</v>
      </c>
      <c r="S241" s="96" t="str">
        <f>IFERROR(__xludf.DUMMYFUNCTION("""COMPUTED_VALUE"""),"Closed")</f>
        <v>Closed</v>
      </c>
      <c r="T241" s="97" t="str">
        <f>IFERROR(__xludf.DUMMYFUNCTION("""COMPUTED_VALUE"""),"Closed")</f>
        <v>Closed</v>
      </c>
      <c r="U241" s="95" t="str">
        <f>IFERROR(__xludf.DUMMYFUNCTION("""COMPUTED_VALUE"""),"Closed")</f>
        <v>Closed</v>
      </c>
      <c r="V241" s="96" t="str">
        <f>IFERROR(__xludf.DUMMYFUNCTION("""COMPUTED_VALUE"""),"Closed")</f>
        <v>Closed</v>
      </c>
      <c r="W241" s="97" t="str">
        <f>IFERROR(__xludf.DUMMYFUNCTION("""COMPUTED_VALUE"""),"Closed")</f>
        <v>Closed</v>
      </c>
      <c r="X241" s="95" t="str">
        <f>IFERROR(__xludf.DUMMYFUNCTION("""COMPUTED_VALUE"""),"Closed")</f>
        <v>Closed</v>
      </c>
      <c r="Y241" s="96" t="str">
        <f>IFERROR(__xludf.DUMMYFUNCTION("""COMPUTED_VALUE"""),"Closed")</f>
        <v>Closed</v>
      </c>
      <c r="Z241" s="97" t="str">
        <f>IFERROR(__xludf.DUMMYFUNCTION("""COMPUTED_VALUE"""),"Closed")</f>
        <v>Closed</v>
      </c>
      <c r="AA241" s="95" t="str">
        <f>IFERROR(__xludf.DUMMYFUNCTION("""COMPUTED_VALUE"""),"Closed")</f>
        <v>Closed</v>
      </c>
      <c r="AB241" s="96" t="str">
        <f>IFERROR(__xludf.DUMMYFUNCTION("""COMPUTED_VALUE"""),"Closed")</f>
        <v>Closed</v>
      </c>
      <c r="AC241" s="97" t="str">
        <f>IFERROR(__xludf.DUMMYFUNCTION("""COMPUTED_VALUE"""),"Closed")</f>
        <v>Closed</v>
      </c>
      <c r="AD241" s="95" t="str">
        <f>IFERROR(__xludf.DUMMYFUNCTION("""COMPUTED_VALUE"""),"Closed")</f>
        <v>Closed</v>
      </c>
      <c r="AE241" s="96" t="str">
        <f>IFERROR(__xludf.DUMMYFUNCTION("""COMPUTED_VALUE"""),"Closed")</f>
        <v>Closed</v>
      </c>
      <c r="AF241" s="97" t="str">
        <f>IFERROR(__xludf.DUMMYFUNCTION("""COMPUTED_VALUE"""),"Closed")</f>
        <v>Closed</v>
      </c>
      <c r="AG241" s="95" t="str">
        <f>IFERROR(__xludf.DUMMYFUNCTION("""COMPUTED_VALUE"""),"Closed")</f>
        <v>Closed</v>
      </c>
      <c r="AH241" s="96" t="str">
        <f>IFERROR(__xludf.DUMMYFUNCTION("""COMPUTED_VALUE"""),"Closed")</f>
        <v>Closed</v>
      </c>
      <c r="AI241" s="97" t="str">
        <f>IFERROR(__xludf.DUMMYFUNCTION("""COMPUTED_VALUE"""),"Closed")</f>
        <v>Closed</v>
      </c>
      <c r="AJ241" s="95" t="str">
        <f>IFERROR(__xludf.DUMMYFUNCTION("""COMPUTED_VALUE"""),"Closed")</f>
        <v>Closed</v>
      </c>
      <c r="AK241" s="96" t="str">
        <f>IFERROR(__xludf.DUMMYFUNCTION("""COMPUTED_VALUE"""),"Closed")</f>
        <v>Closed</v>
      </c>
      <c r="AL241" s="97" t="str">
        <f>IFERROR(__xludf.DUMMYFUNCTION("""COMPUTED_VALUE"""),"Closed")</f>
        <v>Closed</v>
      </c>
      <c r="AM241" s="95" t="str">
        <f>IFERROR(__xludf.DUMMYFUNCTION("""COMPUTED_VALUE"""),"Closed")</f>
        <v>Closed</v>
      </c>
      <c r="AN241" s="96" t="str">
        <f>IFERROR(__xludf.DUMMYFUNCTION("""COMPUTED_VALUE"""),"Closed")</f>
        <v>Closed</v>
      </c>
      <c r="AO241" s="97" t="str">
        <f>IFERROR(__xludf.DUMMYFUNCTION("""COMPUTED_VALUE"""),"Closed")</f>
        <v>Closed</v>
      </c>
      <c r="AP241" s="95" t="str">
        <f>IFERROR(__xludf.DUMMYFUNCTION("""COMPUTED_VALUE"""),"Closed")</f>
        <v>Closed</v>
      </c>
      <c r="AQ241" s="96" t="str">
        <f>IFERROR(__xludf.DUMMYFUNCTION("""COMPUTED_VALUE"""),"Closed")</f>
        <v>Closed</v>
      </c>
      <c r="AR241" s="97" t="str">
        <f>IFERROR(__xludf.DUMMYFUNCTION("""COMPUTED_VALUE"""),"Closed")</f>
        <v>Closed</v>
      </c>
      <c r="AS241" s="95" t="str">
        <f>IFERROR(__xludf.DUMMYFUNCTION("""COMPUTED_VALUE"""),"Closed")</f>
        <v>Closed</v>
      </c>
      <c r="AT241" s="96" t="str">
        <f>IFERROR(__xludf.DUMMYFUNCTION("""COMPUTED_VALUE"""),"Closed")</f>
        <v>Closed</v>
      </c>
      <c r="AU241" s="97" t="str">
        <f>IFERROR(__xludf.DUMMYFUNCTION("""COMPUTED_VALUE"""),"Closed")</f>
        <v>Closed</v>
      </c>
      <c r="AV241" s="95" t="str">
        <f>IFERROR(__xludf.DUMMYFUNCTION("""COMPUTED_VALUE"""),"Closed")</f>
        <v>Closed</v>
      </c>
      <c r="AW241" s="96" t="str">
        <f>IFERROR(__xludf.DUMMYFUNCTION("""COMPUTED_VALUE"""),"Closed")</f>
        <v>Closed</v>
      </c>
      <c r="AX241" s="97" t="str">
        <f>IFERROR(__xludf.DUMMYFUNCTION("""COMPUTED_VALUE"""),"Closed")</f>
        <v>Closed</v>
      </c>
      <c r="AY241" s="95" t="str">
        <f>IFERROR(__xludf.DUMMYFUNCTION("""COMPUTED_VALUE"""),"Closed")</f>
        <v>Closed</v>
      </c>
      <c r="AZ241" s="96" t="str">
        <f>IFERROR(__xludf.DUMMYFUNCTION("""COMPUTED_VALUE"""),"Closed")</f>
        <v>Closed</v>
      </c>
      <c r="BA241" s="97" t="str">
        <f>IFERROR(__xludf.DUMMYFUNCTION("""COMPUTED_VALUE"""),"Closed")</f>
        <v>Closed</v>
      </c>
      <c r="BB241" s="95" t="str">
        <f>IFERROR(__xludf.DUMMYFUNCTION("""COMPUTED_VALUE"""),"Closed")</f>
        <v>Closed</v>
      </c>
      <c r="BC241" s="96" t="str">
        <f>IFERROR(__xludf.DUMMYFUNCTION("""COMPUTED_VALUE"""),"Closed")</f>
        <v>Closed</v>
      </c>
      <c r="BD241" s="97" t="str">
        <f>IFERROR(__xludf.DUMMYFUNCTION("""COMPUTED_VALUE"""),"Closed")</f>
        <v>Closed</v>
      </c>
      <c r="BE241" s="95" t="str">
        <f>IFERROR(__xludf.DUMMYFUNCTION("""COMPUTED_VALUE"""),"Closed")</f>
        <v>Closed</v>
      </c>
      <c r="BF241" s="96" t="str">
        <f>IFERROR(__xludf.DUMMYFUNCTION("""COMPUTED_VALUE"""),"Closed")</f>
        <v>Closed</v>
      </c>
      <c r="BG241" s="97" t="str">
        <f>IFERROR(__xludf.DUMMYFUNCTION("""COMPUTED_VALUE"""),"Closed")</f>
        <v>Closed</v>
      </c>
      <c r="BH241" s="95" t="str">
        <f>IFERROR(__xludf.DUMMYFUNCTION("""COMPUTED_VALUE"""),"Closed")</f>
        <v>Closed</v>
      </c>
      <c r="BI241" s="96" t="str">
        <f>IFERROR(__xludf.DUMMYFUNCTION("""COMPUTED_VALUE"""),"Closed")</f>
        <v>Closed</v>
      </c>
      <c r="BJ241" s="97" t="str">
        <f>IFERROR(__xludf.DUMMYFUNCTION("""COMPUTED_VALUE"""),"Closed")</f>
        <v>Closed</v>
      </c>
      <c r="BK241" s="95" t="str">
        <f>IFERROR(__xludf.DUMMYFUNCTION("""COMPUTED_VALUE"""),"Closed")</f>
        <v>Closed</v>
      </c>
      <c r="BL241" s="96" t="str">
        <f>IFERROR(__xludf.DUMMYFUNCTION("""COMPUTED_VALUE"""),"Closed")</f>
        <v>Closed</v>
      </c>
      <c r="BM241" s="97" t="str">
        <f>IFERROR(__xludf.DUMMYFUNCTION("""COMPUTED_VALUE"""),"Closed")</f>
        <v>Closed</v>
      </c>
      <c r="BN241" s="95" t="str">
        <f>IFERROR(__xludf.DUMMYFUNCTION("""COMPUTED_VALUE"""),"Closed")</f>
        <v>Closed</v>
      </c>
      <c r="BO241" s="96" t="str">
        <f>IFERROR(__xludf.DUMMYFUNCTION("""COMPUTED_VALUE"""),"Closed")</f>
        <v>Closed</v>
      </c>
      <c r="BP241" s="97" t="str">
        <f>IFERROR(__xludf.DUMMYFUNCTION("""COMPUTED_VALUE"""),"Closed")</f>
        <v>Closed</v>
      </c>
      <c r="BQ241" s="95" t="str">
        <f>IFERROR(__xludf.DUMMYFUNCTION("""COMPUTED_VALUE"""),"Closed")</f>
        <v>Closed</v>
      </c>
      <c r="BR241" s="96" t="str">
        <f>IFERROR(__xludf.DUMMYFUNCTION("""COMPUTED_VALUE"""),"Closed")</f>
        <v>Closed</v>
      </c>
      <c r="BS241" s="97" t="str">
        <f>IFERROR(__xludf.DUMMYFUNCTION("""COMPUTED_VALUE"""),"Closed")</f>
        <v>Closed</v>
      </c>
      <c r="BT241" s="95" t="str">
        <f>IFERROR(__xludf.DUMMYFUNCTION("""COMPUTED_VALUE"""),"Closed")</f>
        <v>Closed</v>
      </c>
      <c r="BU241" s="96" t="str">
        <f>IFERROR(__xludf.DUMMYFUNCTION("""COMPUTED_VALUE"""),"Closed")</f>
        <v>Closed</v>
      </c>
      <c r="BV241" s="97" t="str">
        <f>IFERROR(__xludf.DUMMYFUNCTION("""COMPUTED_VALUE"""),"Closed")</f>
        <v>Closed</v>
      </c>
      <c r="BW241" s="95" t="str">
        <f>IFERROR(__xludf.DUMMYFUNCTION("""COMPUTED_VALUE"""),"Closed")</f>
        <v>Closed</v>
      </c>
      <c r="BX241" s="96" t="str">
        <f>IFERROR(__xludf.DUMMYFUNCTION("""COMPUTED_VALUE"""),"Closed")</f>
        <v>Closed</v>
      </c>
      <c r="BY241" s="97" t="str">
        <f>IFERROR(__xludf.DUMMYFUNCTION("""COMPUTED_VALUE"""),"Closed")</f>
        <v>Closed</v>
      </c>
      <c r="BZ241" s="95" t="str">
        <f>IFERROR(__xludf.DUMMYFUNCTION("""COMPUTED_VALUE"""),"Closed")</f>
        <v>Closed</v>
      </c>
      <c r="CA241" s="96" t="str">
        <f>IFERROR(__xludf.DUMMYFUNCTION("""COMPUTED_VALUE"""),"Closed")</f>
        <v>Closed</v>
      </c>
      <c r="CB241" s="97" t="str">
        <f>IFERROR(__xludf.DUMMYFUNCTION("""COMPUTED_VALUE"""),"Closed")</f>
        <v>Closed</v>
      </c>
      <c r="CC241" s="95" t="str">
        <f>IFERROR(__xludf.DUMMYFUNCTION("""COMPUTED_VALUE"""),"Closed")</f>
        <v>Closed</v>
      </c>
      <c r="CD241" s="96" t="str">
        <f>IFERROR(__xludf.DUMMYFUNCTION("""COMPUTED_VALUE"""),"Closed")</f>
        <v>Closed</v>
      </c>
      <c r="CE241" s="97" t="str">
        <f>IFERROR(__xludf.DUMMYFUNCTION("""COMPUTED_VALUE"""),"Closed")</f>
        <v>Closed</v>
      </c>
      <c r="CF241" s="95" t="str">
        <f>IFERROR(__xludf.DUMMYFUNCTION("""COMPUTED_VALUE"""),"Closed")</f>
        <v>Closed</v>
      </c>
      <c r="CG241" s="96" t="str">
        <f>IFERROR(__xludf.DUMMYFUNCTION("""COMPUTED_VALUE"""),"Closed")</f>
        <v>Closed</v>
      </c>
      <c r="CH241" s="96" t="str">
        <f>IFERROR(__xludf.DUMMYFUNCTION("""COMPUTED_VALUE"""),"Closed")</f>
        <v>Closed</v>
      </c>
      <c r="CI241" s="95" t="str">
        <f>IFERROR(__xludf.DUMMYFUNCTION("""COMPUTED_VALUE"""),"Closed")</f>
        <v>Closed</v>
      </c>
      <c r="CJ241" s="96" t="str">
        <f>IFERROR(__xludf.DUMMYFUNCTION("""COMPUTED_VALUE"""),"Closed")</f>
        <v>Closed</v>
      </c>
      <c r="CK241" s="96" t="str">
        <f>IFERROR(__xludf.DUMMYFUNCTION("""COMPUTED_VALUE"""),"Closed")</f>
        <v>Closed</v>
      </c>
      <c r="CL241" s="95" t="str">
        <f>IFERROR(__xludf.DUMMYFUNCTION("""COMPUTED_VALUE"""),"Closed")</f>
        <v>Closed</v>
      </c>
      <c r="CM241" s="96" t="str">
        <f>IFERROR(__xludf.DUMMYFUNCTION("""COMPUTED_VALUE"""),"Closed")</f>
        <v>Closed</v>
      </c>
      <c r="CN241" s="96" t="str">
        <f>IFERROR(__xludf.DUMMYFUNCTION("""COMPUTED_VALUE"""),"Closed")</f>
        <v>Closed</v>
      </c>
      <c r="CO241" s="95" t="str">
        <f>IFERROR(__xludf.DUMMYFUNCTION("""COMPUTED_VALUE"""),"Closed")</f>
        <v>Closed</v>
      </c>
      <c r="CP241" s="96" t="str">
        <f>IFERROR(__xludf.DUMMYFUNCTION("""COMPUTED_VALUE"""),"Closed")</f>
        <v>Closed</v>
      </c>
      <c r="CQ241" s="96" t="str">
        <f>IFERROR(__xludf.DUMMYFUNCTION("""COMPUTED_VALUE"""),"Closed")</f>
        <v>Closed</v>
      </c>
      <c r="CR241" s="95" t="str">
        <f>IFERROR(__xludf.DUMMYFUNCTION("""COMPUTED_VALUE"""),"Closed")</f>
        <v>Closed</v>
      </c>
      <c r="CS241" s="96" t="str">
        <f>IFERROR(__xludf.DUMMYFUNCTION("""COMPUTED_VALUE"""),"Closed")</f>
        <v>Closed</v>
      </c>
      <c r="CT241" s="96" t="str">
        <f>IFERROR(__xludf.DUMMYFUNCTION("""COMPUTED_VALUE"""),"Closed")</f>
        <v>Closed</v>
      </c>
      <c r="CU241" s="95" t="str">
        <f>IFERROR(__xludf.DUMMYFUNCTION("""COMPUTED_VALUE"""),"Closed")</f>
        <v>Closed</v>
      </c>
      <c r="CV241" s="96" t="str">
        <f>IFERROR(__xludf.DUMMYFUNCTION("""COMPUTED_VALUE"""),"Closed")</f>
        <v>Closed</v>
      </c>
      <c r="CW241" s="97" t="str">
        <f>IFERROR(__xludf.DUMMYFUNCTION("""COMPUTED_VALUE"""),"Closed")</f>
        <v>Closed</v>
      </c>
      <c r="CX241" s="96" t="str">
        <f>IFERROR(__xludf.DUMMYFUNCTION("""COMPUTED_VALUE"""),"Closed")</f>
        <v>Closed</v>
      </c>
      <c r="CY241" s="96" t="str">
        <f>IFERROR(__xludf.DUMMYFUNCTION("""COMPUTED_VALUE"""),"Closed")</f>
        <v>Closed</v>
      </c>
      <c r="CZ241" s="97" t="str">
        <f>IFERROR(__xludf.DUMMYFUNCTION("""COMPUTED_VALUE"""),"Closed")</f>
        <v>Closed</v>
      </c>
      <c r="DA241" s="95" t="str">
        <f>IFERROR(__xludf.DUMMYFUNCTION("""COMPUTED_VALUE"""),"Closed")</f>
        <v>Closed</v>
      </c>
      <c r="DB241" s="96" t="str">
        <f>IFERROR(__xludf.DUMMYFUNCTION("""COMPUTED_VALUE"""),"Closed")</f>
        <v>Closed</v>
      </c>
      <c r="DC241" s="97" t="str">
        <f>IFERROR(__xludf.DUMMYFUNCTION("""COMPUTED_VALUE"""),"Closed")</f>
        <v>Closed</v>
      </c>
      <c r="DD241" s="95" t="str">
        <f>IFERROR(__xludf.DUMMYFUNCTION("""COMPUTED_VALUE"""),"Closed")</f>
        <v>Closed</v>
      </c>
      <c r="DE241" s="96" t="str">
        <f>IFERROR(__xludf.DUMMYFUNCTION("""COMPUTED_VALUE"""),"Closed")</f>
        <v>Closed</v>
      </c>
      <c r="DF241" s="97" t="str">
        <f>IFERROR(__xludf.DUMMYFUNCTION("""COMPUTED_VALUE"""),"Closed")</f>
        <v>Closed</v>
      </c>
      <c r="DG241" s="95" t="str">
        <f>IFERROR(__xludf.DUMMYFUNCTION("""COMPUTED_VALUE"""),"Closed")</f>
        <v>Closed</v>
      </c>
      <c r="DH241" s="96" t="str">
        <f>IFERROR(__xludf.DUMMYFUNCTION("""COMPUTED_VALUE"""),"Closed")</f>
        <v>Closed</v>
      </c>
      <c r="DI241" s="97" t="str">
        <f>IFERROR(__xludf.DUMMYFUNCTION("""COMPUTED_VALUE"""),"Closed")</f>
        <v>Closed</v>
      </c>
      <c r="DJ241" s="95" t="str">
        <f>IFERROR(__xludf.DUMMYFUNCTION("""COMPUTED_VALUE"""),"Closed")</f>
        <v>Closed</v>
      </c>
      <c r="DK241" s="96" t="str">
        <f>IFERROR(__xludf.DUMMYFUNCTION("""COMPUTED_VALUE"""),"Closed")</f>
        <v>Closed</v>
      </c>
      <c r="DL241" s="97" t="str">
        <f>IFERROR(__xludf.DUMMYFUNCTION("""COMPUTED_VALUE"""),"Closed")</f>
        <v>Closed</v>
      </c>
      <c r="DM241" s="95" t="str">
        <f>IFERROR(__xludf.DUMMYFUNCTION("""COMPUTED_VALUE"""),"Closed")</f>
        <v>Closed</v>
      </c>
      <c r="DN241" s="96" t="str">
        <f>IFERROR(__xludf.DUMMYFUNCTION("""COMPUTED_VALUE"""),"Closed")</f>
        <v>Closed</v>
      </c>
      <c r="DO241" s="97" t="str">
        <f>IFERROR(__xludf.DUMMYFUNCTION("""COMPUTED_VALUE"""),"Closed")</f>
        <v>Closed</v>
      </c>
      <c r="DP241" s="95" t="str">
        <f>IFERROR(__xludf.DUMMYFUNCTION("""COMPUTED_VALUE"""),"Closed")</f>
        <v>Closed</v>
      </c>
      <c r="DQ241" s="96" t="str">
        <f>IFERROR(__xludf.DUMMYFUNCTION("""COMPUTED_VALUE"""),"Closed")</f>
        <v>Closed</v>
      </c>
      <c r="DR241" s="97"/>
      <c r="DS241" s="95"/>
    </row>
    <row r="242" hidden="1">
      <c r="B242" s="180" t="str">
        <f>IFERROR(__xludf.DUMMYFUNCTION("""COMPUTED_VALUE"""),"OLP6")</f>
        <v>OLP6</v>
      </c>
      <c r="C242" s="88" t="str">
        <f>IFERROR(__xludf.DUMMYFUNCTION("""COMPUTED_VALUE"""),"God Slayers League Base")</f>
        <v>God Slayers League Base</v>
      </c>
      <c r="D242" s="102">
        <f>IFERROR(__xludf.DUMMYFUNCTION("""COMPUTED_VALUE"""),21.0)</f>
        <v>21</v>
      </c>
      <c r="E242" s="82" t="b">
        <f>IFERROR(__xludf.DUMMYFUNCTION("""COMPUTED_VALUE"""),FALSE)</f>
        <v>0</v>
      </c>
      <c r="F242" s="82" t="str">
        <f>IFERROR(__xludf.DUMMYFUNCTION("""COMPUTED_VALUE"""),"Free Quests- Part 2!A798:J806")</f>
        <v>Free Quests- Part 2!A798:J806</v>
      </c>
      <c r="G242" s="82">
        <f>IFERROR(__xludf.DUMMYFUNCTION("""COMPUTED_VALUE"""),242.0)</f>
        <v>242</v>
      </c>
      <c r="H242" s="82" t="str">
        <f>IFERROR(__xludf.DUMMYFUNCTION("""COMPUTED_VALUE"""),"Closed")</f>
        <v>Closed</v>
      </c>
      <c r="I242" s="95" t="str">
        <f>IFERROR(__xludf.DUMMYFUNCTION("""COMPUTED_VALUE"""),"Closed")</f>
        <v>Closed</v>
      </c>
      <c r="J242" s="96" t="str">
        <f>IFERROR(__xludf.DUMMYFUNCTION("""COMPUTED_VALUE"""),"Closed")</f>
        <v>Closed</v>
      </c>
      <c r="K242" s="97" t="str">
        <f>IFERROR(__xludf.DUMMYFUNCTION("""COMPUTED_VALUE"""),"Closed")</f>
        <v>Closed</v>
      </c>
      <c r="L242" s="95" t="str">
        <f>IFERROR(__xludf.DUMMYFUNCTION("""COMPUTED_VALUE"""),"Closed")</f>
        <v>Closed</v>
      </c>
      <c r="M242" s="96" t="str">
        <f>IFERROR(__xludf.DUMMYFUNCTION("""COMPUTED_VALUE"""),"Closed")</f>
        <v>Closed</v>
      </c>
      <c r="N242" s="97" t="str">
        <f>IFERROR(__xludf.DUMMYFUNCTION("""COMPUTED_VALUE"""),"Closed")</f>
        <v>Closed</v>
      </c>
      <c r="O242" s="95" t="str">
        <f>IFERROR(__xludf.DUMMYFUNCTION("""COMPUTED_VALUE"""),"Closed")</f>
        <v>Closed</v>
      </c>
      <c r="P242" s="96" t="str">
        <f>IFERROR(__xludf.DUMMYFUNCTION("""COMPUTED_VALUE"""),"Closed")</f>
        <v>Closed</v>
      </c>
      <c r="Q242" s="97" t="str">
        <f>IFERROR(__xludf.DUMMYFUNCTION("""COMPUTED_VALUE"""),"Closed")</f>
        <v>Closed</v>
      </c>
      <c r="R242" s="95" t="str">
        <f>IFERROR(__xludf.DUMMYFUNCTION("""COMPUTED_VALUE"""),"Closed")</f>
        <v>Closed</v>
      </c>
      <c r="S242" s="96" t="str">
        <f>IFERROR(__xludf.DUMMYFUNCTION("""COMPUTED_VALUE"""),"Closed")</f>
        <v>Closed</v>
      </c>
      <c r="T242" s="97" t="str">
        <f>IFERROR(__xludf.DUMMYFUNCTION("""COMPUTED_VALUE"""),"Closed")</f>
        <v>Closed</v>
      </c>
      <c r="U242" s="95" t="str">
        <f>IFERROR(__xludf.DUMMYFUNCTION("""COMPUTED_VALUE"""),"Closed")</f>
        <v>Closed</v>
      </c>
      <c r="V242" s="96" t="str">
        <f>IFERROR(__xludf.DUMMYFUNCTION("""COMPUTED_VALUE"""),"Closed")</f>
        <v>Closed</v>
      </c>
      <c r="W242" s="97" t="str">
        <f>IFERROR(__xludf.DUMMYFUNCTION("""COMPUTED_VALUE"""),"Closed")</f>
        <v>Closed</v>
      </c>
      <c r="X242" s="95" t="str">
        <f>IFERROR(__xludf.DUMMYFUNCTION("""COMPUTED_VALUE"""),"Closed")</f>
        <v>Closed</v>
      </c>
      <c r="Y242" s="96" t="str">
        <f>IFERROR(__xludf.DUMMYFUNCTION("""COMPUTED_VALUE"""),"Closed")</f>
        <v>Closed</v>
      </c>
      <c r="Z242" s="97" t="str">
        <f>IFERROR(__xludf.DUMMYFUNCTION("""COMPUTED_VALUE"""),"Closed")</f>
        <v>Closed</v>
      </c>
      <c r="AA242" s="95" t="str">
        <f>IFERROR(__xludf.DUMMYFUNCTION("""COMPUTED_VALUE"""),"Closed")</f>
        <v>Closed</v>
      </c>
      <c r="AB242" s="96" t="str">
        <f>IFERROR(__xludf.DUMMYFUNCTION("""COMPUTED_VALUE"""),"Closed")</f>
        <v>Closed</v>
      </c>
      <c r="AC242" s="97" t="str">
        <f>IFERROR(__xludf.DUMMYFUNCTION("""COMPUTED_VALUE"""),"Closed")</f>
        <v>Closed</v>
      </c>
      <c r="AD242" s="95" t="str">
        <f>IFERROR(__xludf.DUMMYFUNCTION("""COMPUTED_VALUE"""),"Closed")</f>
        <v>Closed</v>
      </c>
      <c r="AE242" s="96" t="str">
        <f>IFERROR(__xludf.DUMMYFUNCTION("""COMPUTED_VALUE"""),"Closed")</f>
        <v>Closed</v>
      </c>
      <c r="AF242" s="97" t="str">
        <f>IFERROR(__xludf.DUMMYFUNCTION("""COMPUTED_VALUE"""),"Closed")</f>
        <v>Closed</v>
      </c>
      <c r="AG242" s="95" t="str">
        <f>IFERROR(__xludf.DUMMYFUNCTION("""COMPUTED_VALUE"""),"Closed")</f>
        <v>Closed</v>
      </c>
      <c r="AH242" s="96" t="str">
        <f>IFERROR(__xludf.DUMMYFUNCTION("""COMPUTED_VALUE"""),"Closed")</f>
        <v>Closed</v>
      </c>
      <c r="AI242" s="97" t="str">
        <f>IFERROR(__xludf.DUMMYFUNCTION("""COMPUTED_VALUE"""),"Closed")</f>
        <v>Closed</v>
      </c>
      <c r="AJ242" s="95" t="str">
        <f>IFERROR(__xludf.DUMMYFUNCTION("""COMPUTED_VALUE"""),"Closed")</f>
        <v>Closed</v>
      </c>
      <c r="AK242" s="96" t="str">
        <f>IFERROR(__xludf.DUMMYFUNCTION("""COMPUTED_VALUE"""),"Closed")</f>
        <v>Closed</v>
      </c>
      <c r="AL242" s="97" t="str">
        <f>IFERROR(__xludf.DUMMYFUNCTION("""COMPUTED_VALUE"""),"Closed")</f>
        <v>Closed</v>
      </c>
      <c r="AM242" s="95" t="str">
        <f>IFERROR(__xludf.DUMMYFUNCTION("""COMPUTED_VALUE"""),"Closed")</f>
        <v>Closed</v>
      </c>
      <c r="AN242" s="96" t="str">
        <f>IFERROR(__xludf.DUMMYFUNCTION("""COMPUTED_VALUE"""),"Closed")</f>
        <v>Closed</v>
      </c>
      <c r="AO242" s="97" t="str">
        <f>IFERROR(__xludf.DUMMYFUNCTION("""COMPUTED_VALUE"""),"Closed")</f>
        <v>Closed</v>
      </c>
      <c r="AP242" s="95" t="str">
        <f>IFERROR(__xludf.DUMMYFUNCTION("""COMPUTED_VALUE"""),"Closed")</f>
        <v>Closed</v>
      </c>
      <c r="AQ242" s="96" t="str">
        <f>IFERROR(__xludf.DUMMYFUNCTION("""COMPUTED_VALUE"""),"Closed")</f>
        <v>Closed</v>
      </c>
      <c r="AR242" s="97" t="str">
        <f>IFERROR(__xludf.DUMMYFUNCTION("""COMPUTED_VALUE"""),"Closed")</f>
        <v>Closed</v>
      </c>
      <c r="AS242" s="95" t="str">
        <f>IFERROR(__xludf.DUMMYFUNCTION("""COMPUTED_VALUE"""),"Closed")</f>
        <v>Closed</v>
      </c>
      <c r="AT242" s="96" t="str">
        <f>IFERROR(__xludf.DUMMYFUNCTION("""COMPUTED_VALUE"""),"Closed")</f>
        <v>Closed</v>
      </c>
      <c r="AU242" s="97" t="str">
        <f>IFERROR(__xludf.DUMMYFUNCTION("""COMPUTED_VALUE"""),"Closed")</f>
        <v>Closed</v>
      </c>
      <c r="AV242" s="95" t="str">
        <f>IFERROR(__xludf.DUMMYFUNCTION("""COMPUTED_VALUE"""),"Closed")</f>
        <v>Closed</v>
      </c>
      <c r="AW242" s="96" t="str">
        <f>IFERROR(__xludf.DUMMYFUNCTION("""COMPUTED_VALUE"""),"Closed")</f>
        <v>Closed</v>
      </c>
      <c r="AX242" s="97" t="str">
        <f>IFERROR(__xludf.DUMMYFUNCTION("""COMPUTED_VALUE"""),"Closed")</f>
        <v>Closed</v>
      </c>
      <c r="AY242" s="95" t="str">
        <f>IFERROR(__xludf.DUMMYFUNCTION("""COMPUTED_VALUE"""),"Closed")</f>
        <v>Closed</v>
      </c>
      <c r="AZ242" s="96" t="str">
        <f>IFERROR(__xludf.DUMMYFUNCTION("""COMPUTED_VALUE"""),"Closed")</f>
        <v>Closed</v>
      </c>
      <c r="BA242" s="97" t="str">
        <f>IFERROR(__xludf.DUMMYFUNCTION("""COMPUTED_VALUE"""),"Closed")</f>
        <v>Closed</v>
      </c>
      <c r="BB242" s="95" t="str">
        <f>IFERROR(__xludf.DUMMYFUNCTION("""COMPUTED_VALUE"""),"Closed")</f>
        <v>Closed</v>
      </c>
      <c r="BC242" s="96" t="str">
        <f>IFERROR(__xludf.DUMMYFUNCTION("""COMPUTED_VALUE"""),"Closed")</f>
        <v>Closed</v>
      </c>
      <c r="BD242" s="97" t="str">
        <f>IFERROR(__xludf.DUMMYFUNCTION("""COMPUTED_VALUE"""),"Closed")</f>
        <v>Closed</v>
      </c>
      <c r="BE242" s="95" t="str">
        <f>IFERROR(__xludf.DUMMYFUNCTION("""COMPUTED_VALUE"""),"Closed")</f>
        <v>Closed</v>
      </c>
      <c r="BF242" s="96" t="str">
        <f>IFERROR(__xludf.DUMMYFUNCTION("""COMPUTED_VALUE"""),"Closed")</f>
        <v>Closed</v>
      </c>
      <c r="BG242" s="97" t="str">
        <f>IFERROR(__xludf.DUMMYFUNCTION("""COMPUTED_VALUE"""),"Closed")</f>
        <v>Closed</v>
      </c>
      <c r="BH242" s="95" t="str">
        <f>IFERROR(__xludf.DUMMYFUNCTION("""COMPUTED_VALUE"""),"Closed")</f>
        <v>Closed</v>
      </c>
      <c r="BI242" s="96" t="str">
        <f>IFERROR(__xludf.DUMMYFUNCTION("""COMPUTED_VALUE"""),"Closed")</f>
        <v>Closed</v>
      </c>
      <c r="BJ242" s="97" t="str">
        <f>IFERROR(__xludf.DUMMYFUNCTION("""COMPUTED_VALUE"""),"Closed")</f>
        <v>Closed</v>
      </c>
      <c r="BK242" s="95" t="str">
        <f>IFERROR(__xludf.DUMMYFUNCTION("""COMPUTED_VALUE"""),"Closed")</f>
        <v>Closed</v>
      </c>
      <c r="BL242" s="96" t="str">
        <f>IFERROR(__xludf.DUMMYFUNCTION("""COMPUTED_VALUE"""),"Closed")</f>
        <v>Closed</v>
      </c>
      <c r="BM242" s="97" t="str">
        <f>IFERROR(__xludf.DUMMYFUNCTION("""COMPUTED_VALUE"""),"Closed")</f>
        <v>Closed</v>
      </c>
      <c r="BN242" s="95" t="str">
        <f>IFERROR(__xludf.DUMMYFUNCTION("""COMPUTED_VALUE"""),"Closed")</f>
        <v>Closed</v>
      </c>
      <c r="BO242" s="96" t="str">
        <f>IFERROR(__xludf.DUMMYFUNCTION("""COMPUTED_VALUE"""),"Closed")</f>
        <v>Closed</v>
      </c>
      <c r="BP242" s="97" t="str">
        <f>IFERROR(__xludf.DUMMYFUNCTION("""COMPUTED_VALUE"""),"Closed")</f>
        <v>Closed</v>
      </c>
      <c r="BQ242" s="95" t="str">
        <f>IFERROR(__xludf.DUMMYFUNCTION("""COMPUTED_VALUE"""),"Closed")</f>
        <v>Closed</v>
      </c>
      <c r="BR242" s="96" t="str">
        <f>IFERROR(__xludf.DUMMYFUNCTION("""COMPUTED_VALUE"""),"Closed")</f>
        <v>Closed</v>
      </c>
      <c r="BS242" s="97" t="str">
        <f>IFERROR(__xludf.DUMMYFUNCTION("""COMPUTED_VALUE"""),"Closed")</f>
        <v>Closed</v>
      </c>
      <c r="BT242" s="95" t="str">
        <f>IFERROR(__xludf.DUMMYFUNCTION("""COMPUTED_VALUE"""),"Closed")</f>
        <v>Closed</v>
      </c>
      <c r="BU242" s="96" t="str">
        <f>IFERROR(__xludf.DUMMYFUNCTION("""COMPUTED_VALUE"""),"Closed")</f>
        <v>Closed</v>
      </c>
      <c r="BV242" s="97" t="str">
        <f>IFERROR(__xludf.DUMMYFUNCTION("""COMPUTED_VALUE"""),"Closed")</f>
        <v>Closed</v>
      </c>
      <c r="BW242" s="95" t="str">
        <f>IFERROR(__xludf.DUMMYFUNCTION("""COMPUTED_VALUE"""),"Closed")</f>
        <v>Closed</v>
      </c>
      <c r="BX242" s="96" t="str">
        <f>IFERROR(__xludf.DUMMYFUNCTION("""COMPUTED_VALUE"""),"Closed")</f>
        <v>Closed</v>
      </c>
      <c r="BY242" s="97" t="str">
        <f>IFERROR(__xludf.DUMMYFUNCTION("""COMPUTED_VALUE"""),"Closed")</f>
        <v>Closed</v>
      </c>
      <c r="BZ242" s="95" t="str">
        <f>IFERROR(__xludf.DUMMYFUNCTION("""COMPUTED_VALUE"""),"Closed")</f>
        <v>Closed</v>
      </c>
      <c r="CA242" s="96" t="str">
        <f>IFERROR(__xludf.DUMMYFUNCTION("""COMPUTED_VALUE"""),"Closed")</f>
        <v>Closed</v>
      </c>
      <c r="CB242" s="97" t="str">
        <f>IFERROR(__xludf.DUMMYFUNCTION("""COMPUTED_VALUE"""),"Closed")</f>
        <v>Closed</v>
      </c>
      <c r="CC242" s="95" t="str">
        <f>IFERROR(__xludf.DUMMYFUNCTION("""COMPUTED_VALUE"""),"Closed")</f>
        <v>Closed</v>
      </c>
      <c r="CD242" s="96" t="str">
        <f>IFERROR(__xludf.DUMMYFUNCTION("""COMPUTED_VALUE"""),"Closed")</f>
        <v>Closed</v>
      </c>
      <c r="CE242" s="97" t="str">
        <f>IFERROR(__xludf.DUMMYFUNCTION("""COMPUTED_VALUE"""),"Closed")</f>
        <v>Closed</v>
      </c>
      <c r="CF242" s="95" t="str">
        <f>IFERROR(__xludf.DUMMYFUNCTION("""COMPUTED_VALUE"""),"Closed")</f>
        <v>Closed</v>
      </c>
      <c r="CG242" s="96" t="str">
        <f>IFERROR(__xludf.DUMMYFUNCTION("""COMPUTED_VALUE"""),"Closed")</f>
        <v>Closed</v>
      </c>
      <c r="CH242" s="96" t="str">
        <f>IFERROR(__xludf.DUMMYFUNCTION("""COMPUTED_VALUE"""),"Closed")</f>
        <v>Closed</v>
      </c>
      <c r="CI242" s="95" t="str">
        <f>IFERROR(__xludf.DUMMYFUNCTION("""COMPUTED_VALUE"""),"Closed")</f>
        <v>Closed</v>
      </c>
      <c r="CJ242" s="96" t="str">
        <f>IFERROR(__xludf.DUMMYFUNCTION("""COMPUTED_VALUE"""),"Closed")</f>
        <v>Closed</v>
      </c>
      <c r="CK242" s="96" t="str">
        <f>IFERROR(__xludf.DUMMYFUNCTION("""COMPUTED_VALUE"""),"Closed")</f>
        <v>Closed</v>
      </c>
      <c r="CL242" s="95" t="str">
        <f>IFERROR(__xludf.DUMMYFUNCTION("""COMPUTED_VALUE"""),"Closed")</f>
        <v>Closed</v>
      </c>
      <c r="CM242" s="96" t="str">
        <f>IFERROR(__xludf.DUMMYFUNCTION("""COMPUTED_VALUE"""),"Closed")</f>
        <v>Closed</v>
      </c>
      <c r="CN242" s="96" t="str">
        <f>IFERROR(__xludf.DUMMYFUNCTION("""COMPUTED_VALUE"""),"Closed")</f>
        <v>Closed</v>
      </c>
      <c r="CO242" s="95" t="str">
        <f>IFERROR(__xludf.DUMMYFUNCTION("""COMPUTED_VALUE"""),"Closed")</f>
        <v>Closed</v>
      </c>
      <c r="CP242" s="96" t="str">
        <f>IFERROR(__xludf.DUMMYFUNCTION("""COMPUTED_VALUE"""),"Closed")</f>
        <v>Closed</v>
      </c>
      <c r="CQ242" s="96" t="str">
        <f>IFERROR(__xludf.DUMMYFUNCTION("""COMPUTED_VALUE"""),"Closed")</f>
        <v>Closed</v>
      </c>
      <c r="CR242" s="95" t="str">
        <f>IFERROR(__xludf.DUMMYFUNCTION("""COMPUTED_VALUE"""),"Closed")</f>
        <v>Closed</v>
      </c>
      <c r="CS242" s="96" t="str">
        <f>IFERROR(__xludf.DUMMYFUNCTION("""COMPUTED_VALUE"""),"Closed")</f>
        <v>Closed</v>
      </c>
      <c r="CT242" s="96" t="str">
        <f>IFERROR(__xludf.DUMMYFUNCTION("""COMPUTED_VALUE"""),"Closed")</f>
        <v>Closed</v>
      </c>
      <c r="CU242" s="95" t="str">
        <f>IFERROR(__xludf.DUMMYFUNCTION("""COMPUTED_VALUE"""),"Closed")</f>
        <v>Closed</v>
      </c>
      <c r="CV242" s="96" t="str">
        <f>IFERROR(__xludf.DUMMYFUNCTION("""COMPUTED_VALUE"""),"Closed")</f>
        <v>Closed</v>
      </c>
      <c r="CW242" s="97" t="str">
        <f>IFERROR(__xludf.DUMMYFUNCTION("""COMPUTED_VALUE"""),"Closed")</f>
        <v>Closed</v>
      </c>
      <c r="CX242" s="96" t="str">
        <f>IFERROR(__xludf.DUMMYFUNCTION("""COMPUTED_VALUE"""),"Closed")</f>
        <v>Closed</v>
      </c>
      <c r="CY242" s="96" t="str">
        <f>IFERROR(__xludf.DUMMYFUNCTION("""COMPUTED_VALUE"""),"Closed")</f>
        <v>Closed</v>
      </c>
      <c r="CZ242" s="97" t="str">
        <f>IFERROR(__xludf.DUMMYFUNCTION("""COMPUTED_VALUE"""),"Closed")</f>
        <v>Closed</v>
      </c>
      <c r="DA242" s="95" t="str">
        <f>IFERROR(__xludf.DUMMYFUNCTION("""COMPUTED_VALUE"""),"Closed")</f>
        <v>Closed</v>
      </c>
      <c r="DB242" s="96" t="str">
        <f>IFERROR(__xludf.DUMMYFUNCTION("""COMPUTED_VALUE"""),"Closed")</f>
        <v>Closed</v>
      </c>
      <c r="DC242" s="97" t="str">
        <f>IFERROR(__xludf.DUMMYFUNCTION("""COMPUTED_VALUE"""),"Closed")</f>
        <v>Closed</v>
      </c>
      <c r="DD242" s="95" t="str">
        <f>IFERROR(__xludf.DUMMYFUNCTION("""COMPUTED_VALUE"""),"Closed")</f>
        <v>Closed</v>
      </c>
      <c r="DE242" s="96" t="str">
        <f>IFERROR(__xludf.DUMMYFUNCTION("""COMPUTED_VALUE"""),"Closed")</f>
        <v>Closed</v>
      </c>
      <c r="DF242" s="97" t="str">
        <f>IFERROR(__xludf.DUMMYFUNCTION("""COMPUTED_VALUE"""),"Closed")</f>
        <v>Closed</v>
      </c>
      <c r="DG242" s="95" t="str">
        <f>IFERROR(__xludf.DUMMYFUNCTION("""COMPUTED_VALUE"""),"Closed")</f>
        <v>Closed</v>
      </c>
      <c r="DH242" s="96" t="str">
        <f>IFERROR(__xludf.DUMMYFUNCTION("""COMPUTED_VALUE"""),"Closed")</f>
        <v>Closed</v>
      </c>
      <c r="DI242" s="97" t="str">
        <f>IFERROR(__xludf.DUMMYFUNCTION("""COMPUTED_VALUE"""),"Closed")</f>
        <v>Closed</v>
      </c>
      <c r="DJ242" s="95" t="str">
        <f>IFERROR(__xludf.DUMMYFUNCTION("""COMPUTED_VALUE"""),"Closed")</f>
        <v>Closed</v>
      </c>
      <c r="DK242" s="96" t="str">
        <f>IFERROR(__xludf.DUMMYFUNCTION("""COMPUTED_VALUE"""),"Closed")</f>
        <v>Closed</v>
      </c>
      <c r="DL242" s="97" t="str">
        <f>IFERROR(__xludf.DUMMYFUNCTION("""COMPUTED_VALUE"""),"Closed")</f>
        <v>Closed</v>
      </c>
      <c r="DM242" s="95" t="str">
        <f>IFERROR(__xludf.DUMMYFUNCTION("""COMPUTED_VALUE"""),"Closed")</f>
        <v>Closed</v>
      </c>
      <c r="DN242" s="96" t="str">
        <f>IFERROR(__xludf.DUMMYFUNCTION("""COMPUTED_VALUE"""),"Closed")</f>
        <v>Closed</v>
      </c>
      <c r="DO242" s="97" t="str">
        <f>IFERROR(__xludf.DUMMYFUNCTION("""COMPUTED_VALUE"""),"Closed")</f>
        <v>Closed</v>
      </c>
      <c r="DP242" s="95" t="str">
        <f>IFERROR(__xludf.DUMMYFUNCTION("""COMPUTED_VALUE"""),"Closed")</f>
        <v>Closed</v>
      </c>
      <c r="DQ242" s="96" t="str">
        <f>IFERROR(__xludf.DUMMYFUNCTION("""COMPUTED_VALUE"""),"Closed")</f>
        <v>Closed</v>
      </c>
      <c r="DR242" s="97"/>
      <c r="DS242" s="95"/>
    </row>
    <row r="243" hidden="1">
      <c r="B243" s="180" t="str">
        <f>IFERROR(__xludf.DUMMYFUNCTION("""COMPUTED_VALUE"""),"OLP7")</f>
        <v>OLP7</v>
      </c>
      <c r="C243" s="88" t="str">
        <f>IFERROR(__xludf.DUMMYFUNCTION("""COMPUTED_VALUE"""),"Altar District")</f>
        <v>Altar District</v>
      </c>
      <c r="D243" s="102">
        <f>IFERROR(__xludf.DUMMYFUNCTION("""COMPUTED_VALUE"""),21.0)</f>
        <v>21</v>
      </c>
      <c r="E243" s="82" t="b">
        <f>IFERROR(__xludf.DUMMYFUNCTION("""COMPUTED_VALUE"""),FALSE)</f>
        <v>0</v>
      </c>
      <c r="F243" s="82" t="str">
        <f>IFERROR(__xludf.DUMMYFUNCTION("""COMPUTED_VALUE"""),"Free Quests- Part 2!A810:J819")</f>
        <v>Free Quests- Part 2!A810:J819</v>
      </c>
      <c r="G243" s="82">
        <f>IFERROR(__xludf.DUMMYFUNCTION("""COMPUTED_VALUE"""),243.0)</f>
        <v>243</v>
      </c>
      <c r="H243" s="82" t="str">
        <f>IFERROR(__xludf.DUMMYFUNCTION("""COMPUTED_VALUE"""),"Closed")</f>
        <v>Closed</v>
      </c>
      <c r="I243" s="95" t="str">
        <f>IFERROR(__xludf.DUMMYFUNCTION("""COMPUTED_VALUE"""),"Closed")</f>
        <v>Closed</v>
      </c>
      <c r="J243" s="96" t="str">
        <f>IFERROR(__xludf.DUMMYFUNCTION("""COMPUTED_VALUE"""),"Closed")</f>
        <v>Closed</v>
      </c>
      <c r="K243" s="97" t="str">
        <f>IFERROR(__xludf.DUMMYFUNCTION("""COMPUTED_VALUE"""),"Closed")</f>
        <v>Closed</v>
      </c>
      <c r="L243" s="95" t="str">
        <f>IFERROR(__xludf.DUMMYFUNCTION("""COMPUTED_VALUE"""),"Closed")</f>
        <v>Closed</v>
      </c>
      <c r="M243" s="96" t="str">
        <f>IFERROR(__xludf.DUMMYFUNCTION("""COMPUTED_VALUE"""),"Closed")</f>
        <v>Closed</v>
      </c>
      <c r="N243" s="97" t="str">
        <f>IFERROR(__xludf.DUMMYFUNCTION("""COMPUTED_VALUE"""),"Closed")</f>
        <v>Closed</v>
      </c>
      <c r="O243" s="95" t="str">
        <f>IFERROR(__xludf.DUMMYFUNCTION("""COMPUTED_VALUE"""),"Closed")</f>
        <v>Closed</v>
      </c>
      <c r="P243" s="96" t="str">
        <f>IFERROR(__xludf.DUMMYFUNCTION("""COMPUTED_VALUE"""),"Closed")</f>
        <v>Closed</v>
      </c>
      <c r="Q243" s="97" t="str">
        <f>IFERROR(__xludf.DUMMYFUNCTION("""COMPUTED_VALUE"""),"Closed")</f>
        <v>Closed</v>
      </c>
      <c r="R243" s="95" t="str">
        <f>IFERROR(__xludf.DUMMYFUNCTION("""COMPUTED_VALUE"""),"Closed")</f>
        <v>Closed</v>
      </c>
      <c r="S243" s="96" t="str">
        <f>IFERROR(__xludf.DUMMYFUNCTION("""COMPUTED_VALUE"""),"Closed")</f>
        <v>Closed</v>
      </c>
      <c r="T243" s="97" t="str">
        <f>IFERROR(__xludf.DUMMYFUNCTION("""COMPUTED_VALUE"""),"Closed")</f>
        <v>Closed</v>
      </c>
      <c r="U243" s="95" t="str">
        <f>IFERROR(__xludf.DUMMYFUNCTION("""COMPUTED_VALUE"""),"Closed")</f>
        <v>Closed</v>
      </c>
      <c r="V243" s="96" t="str">
        <f>IFERROR(__xludf.DUMMYFUNCTION("""COMPUTED_VALUE"""),"Closed")</f>
        <v>Closed</v>
      </c>
      <c r="W243" s="97" t="str">
        <f>IFERROR(__xludf.DUMMYFUNCTION("""COMPUTED_VALUE"""),"Closed")</f>
        <v>Closed</v>
      </c>
      <c r="X243" s="95" t="str">
        <f>IFERROR(__xludf.DUMMYFUNCTION("""COMPUTED_VALUE"""),"Closed")</f>
        <v>Closed</v>
      </c>
      <c r="Y243" s="96" t="str">
        <f>IFERROR(__xludf.DUMMYFUNCTION("""COMPUTED_VALUE"""),"Closed")</f>
        <v>Closed</v>
      </c>
      <c r="Z243" s="97" t="str">
        <f>IFERROR(__xludf.DUMMYFUNCTION("""COMPUTED_VALUE"""),"Closed")</f>
        <v>Closed</v>
      </c>
      <c r="AA243" s="95" t="str">
        <f>IFERROR(__xludf.DUMMYFUNCTION("""COMPUTED_VALUE"""),"Closed")</f>
        <v>Closed</v>
      </c>
      <c r="AB243" s="96" t="str">
        <f>IFERROR(__xludf.DUMMYFUNCTION("""COMPUTED_VALUE"""),"Closed")</f>
        <v>Closed</v>
      </c>
      <c r="AC243" s="97" t="str">
        <f>IFERROR(__xludf.DUMMYFUNCTION("""COMPUTED_VALUE"""),"Closed")</f>
        <v>Closed</v>
      </c>
      <c r="AD243" s="95" t="str">
        <f>IFERROR(__xludf.DUMMYFUNCTION("""COMPUTED_VALUE"""),"Closed")</f>
        <v>Closed</v>
      </c>
      <c r="AE243" s="96" t="str">
        <f>IFERROR(__xludf.DUMMYFUNCTION("""COMPUTED_VALUE"""),"Closed")</f>
        <v>Closed</v>
      </c>
      <c r="AF243" s="97" t="str">
        <f>IFERROR(__xludf.DUMMYFUNCTION("""COMPUTED_VALUE"""),"Closed")</f>
        <v>Closed</v>
      </c>
      <c r="AG243" s="95" t="str">
        <f>IFERROR(__xludf.DUMMYFUNCTION("""COMPUTED_VALUE"""),"Closed")</f>
        <v>Closed</v>
      </c>
      <c r="AH243" s="96" t="str">
        <f>IFERROR(__xludf.DUMMYFUNCTION("""COMPUTED_VALUE"""),"Closed")</f>
        <v>Closed</v>
      </c>
      <c r="AI243" s="97" t="str">
        <f>IFERROR(__xludf.DUMMYFUNCTION("""COMPUTED_VALUE"""),"Closed")</f>
        <v>Closed</v>
      </c>
      <c r="AJ243" s="95" t="str">
        <f>IFERROR(__xludf.DUMMYFUNCTION("""COMPUTED_VALUE"""),"Closed")</f>
        <v>Closed</v>
      </c>
      <c r="AK243" s="96" t="str">
        <f>IFERROR(__xludf.DUMMYFUNCTION("""COMPUTED_VALUE"""),"Closed")</f>
        <v>Closed</v>
      </c>
      <c r="AL243" s="97" t="str">
        <f>IFERROR(__xludf.DUMMYFUNCTION("""COMPUTED_VALUE"""),"Closed")</f>
        <v>Closed</v>
      </c>
      <c r="AM243" s="95" t="str">
        <f>IFERROR(__xludf.DUMMYFUNCTION("""COMPUTED_VALUE"""),"Closed")</f>
        <v>Closed</v>
      </c>
      <c r="AN243" s="96" t="str">
        <f>IFERROR(__xludf.DUMMYFUNCTION("""COMPUTED_VALUE"""),"Closed")</f>
        <v>Closed</v>
      </c>
      <c r="AO243" s="97" t="str">
        <f>IFERROR(__xludf.DUMMYFUNCTION("""COMPUTED_VALUE"""),"Closed")</f>
        <v>Closed</v>
      </c>
      <c r="AP243" s="95" t="str">
        <f>IFERROR(__xludf.DUMMYFUNCTION("""COMPUTED_VALUE"""),"Closed")</f>
        <v>Closed</v>
      </c>
      <c r="AQ243" s="96" t="str">
        <f>IFERROR(__xludf.DUMMYFUNCTION("""COMPUTED_VALUE"""),"Closed")</f>
        <v>Closed</v>
      </c>
      <c r="AR243" s="97" t="str">
        <f>IFERROR(__xludf.DUMMYFUNCTION("""COMPUTED_VALUE"""),"Closed")</f>
        <v>Closed</v>
      </c>
      <c r="AS243" s="95" t="str">
        <f>IFERROR(__xludf.DUMMYFUNCTION("""COMPUTED_VALUE"""),"Closed")</f>
        <v>Closed</v>
      </c>
      <c r="AT243" s="96" t="str">
        <f>IFERROR(__xludf.DUMMYFUNCTION("""COMPUTED_VALUE"""),"Closed")</f>
        <v>Closed</v>
      </c>
      <c r="AU243" s="97" t="str">
        <f>IFERROR(__xludf.DUMMYFUNCTION("""COMPUTED_VALUE"""),"Closed")</f>
        <v>Closed</v>
      </c>
      <c r="AV243" s="95" t="str">
        <f>IFERROR(__xludf.DUMMYFUNCTION("""COMPUTED_VALUE"""),"Closed")</f>
        <v>Closed</v>
      </c>
      <c r="AW243" s="96" t="str">
        <f>IFERROR(__xludf.DUMMYFUNCTION("""COMPUTED_VALUE"""),"Closed")</f>
        <v>Closed</v>
      </c>
      <c r="AX243" s="97" t="str">
        <f>IFERROR(__xludf.DUMMYFUNCTION("""COMPUTED_VALUE"""),"Closed")</f>
        <v>Closed</v>
      </c>
      <c r="AY243" s="95" t="str">
        <f>IFERROR(__xludf.DUMMYFUNCTION("""COMPUTED_VALUE"""),"Closed")</f>
        <v>Closed</v>
      </c>
      <c r="AZ243" s="96" t="str">
        <f>IFERROR(__xludf.DUMMYFUNCTION("""COMPUTED_VALUE"""),"Closed")</f>
        <v>Closed</v>
      </c>
      <c r="BA243" s="97" t="str">
        <f>IFERROR(__xludf.DUMMYFUNCTION("""COMPUTED_VALUE"""),"Closed")</f>
        <v>Closed</v>
      </c>
      <c r="BB243" s="95" t="str">
        <f>IFERROR(__xludf.DUMMYFUNCTION("""COMPUTED_VALUE"""),"Closed")</f>
        <v>Closed</v>
      </c>
      <c r="BC243" s="96" t="str">
        <f>IFERROR(__xludf.DUMMYFUNCTION("""COMPUTED_VALUE"""),"Closed")</f>
        <v>Closed</v>
      </c>
      <c r="BD243" s="97" t="str">
        <f>IFERROR(__xludf.DUMMYFUNCTION("""COMPUTED_VALUE"""),"Closed")</f>
        <v>Closed</v>
      </c>
      <c r="BE243" s="95" t="str">
        <f>IFERROR(__xludf.DUMMYFUNCTION("""COMPUTED_VALUE"""),"Closed")</f>
        <v>Closed</v>
      </c>
      <c r="BF243" s="96" t="str">
        <f>IFERROR(__xludf.DUMMYFUNCTION("""COMPUTED_VALUE"""),"Closed")</f>
        <v>Closed</v>
      </c>
      <c r="BG243" s="97" t="str">
        <f>IFERROR(__xludf.DUMMYFUNCTION("""COMPUTED_VALUE"""),"Closed")</f>
        <v>Closed</v>
      </c>
      <c r="BH243" s="95" t="str">
        <f>IFERROR(__xludf.DUMMYFUNCTION("""COMPUTED_VALUE"""),"Closed")</f>
        <v>Closed</v>
      </c>
      <c r="BI243" s="96" t="str">
        <f>IFERROR(__xludf.DUMMYFUNCTION("""COMPUTED_VALUE"""),"Closed")</f>
        <v>Closed</v>
      </c>
      <c r="BJ243" s="97" t="str">
        <f>IFERROR(__xludf.DUMMYFUNCTION("""COMPUTED_VALUE"""),"Closed")</f>
        <v>Closed</v>
      </c>
      <c r="BK243" s="95" t="str">
        <f>IFERROR(__xludf.DUMMYFUNCTION("""COMPUTED_VALUE"""),"Closed")</f>
        <v>Closed</v>
      </c>
      <c r="BL243" s="96" t="str">
        <f>IFERROR(__xludf.DUMMYFUNCTION("""COMPUTED_VALUE"""),"Closed")</f>
        <v>Closed</v>
      </c>
      <c r="BM243" s="97" t="str">
        <f>IFERROR(__xludf.DUMMYFUNCTION("""COMPUTED_VALUE"""),"Closed")</f>
        <v>Closed</v>
      </c>
      <c r="BN243" s="95" t="str">
        <f>IFERROR(__xludf.DUMMYFUNCTION("""COMPUTED_VALUE"""),"Closed")</f>
        <v>Closed</v>
      </c>
      <c r="BO243" s="96" t="str">
        <f>IFERROR(__xludf.DUMMYFUNCTION("""COMPUTED_VALUE"""),"Closed")</f>
        <v>Closed</v>
      </c>
      <c r="BP243" s="97" t="str">
        <f>IFERROR(__xludf.DUMMYFUNCTION("""COMPUTED_VALUE"""),"Closed")</f>
        <v>Closed</v>
      </c>
      <c r="BQ243" s="95" t="str">
        <f>IFERROR(__xludf.DUMMYFUNCTION("""COMPUTED_VALUE"""),"Closed")</f>
        <v>Closed</v>
      </c>
      <c r="BR243" s="96" t="str">
        <f>IFERROR(__xludf.DUMMYFUNCTION("""COMPUTED_VALUE"""),"Closed")</f>
        <v>Closed</v>
      </c>
      <c r="BS243" s="97" t="str">
        <f>IFERROR(__xludf.DUMMYFUNCTION("""COMPUTED_VALUE"""),"Closed")</f>
        <v>Closed</v>
      </c>
      <c r="BT243" s="95" t="str">
        <f>IFERROR(__xludf.DUMMYFUNCTION("""COMPUTED_VALUE"""),"Closed")</f>
        <v>Closed</v>
      </c>
      <c r="BU243" s="96" t="str">
        <f>IFERROR(__xludf.DUMMYFUNCTION("""COMPUTED_VALUE"""),"Closed")</f>
        <v>Closed</v>
      </c>
      <c r="BV243" s="97" t="str">
        <f>IFERROR(__xludf.DUMMYFUNCTION("""COMPUTED_VALUE"""),"Closed")</f>
        <v>Closed</v>
      </c>
      <c r="BW243" s="95" t="str">
        <f>IFERROR(__xludf.DUMMYFUNCTION("""COMPUTED_VALUE"""),"Closed")</f>
        <v>Closed</v>
      </c>
      <c r="BX243" s="96" t="str">
        <f>IFERROR(__xludf.DUMMYFUNCTION("""COMPUTED_VALUE"""),"Closed")</f>
        <v>Closed</v>
      </c>
      <c r="BY243" s="97" t="str">
        <f>IFERROR(__xludf.DUMMYFUNCTION("""COMPUTED_VALUE"""),"Closed")</f>
        <v>Closed</v>
      </c>
      <c r="BZ243" s="95" t="str">
        <f>IFERROR(__xludf.DUMMYFUNCTION("""COMPUTED_VALUE"""),"Closed")</f>
        <v>Closed</v>
      </c>
      <c r="CA243" s="96" t="str">
        <f>IFERROR(__xludf.DUMMYFUNCTION("""COMPUTED_VALUE"""),"Closed")</f>
        <v>Closed</v>
      </c>
      <c r="CB243" s="97" t="str">
        <f>IFERROR(__xludf.DUMMYFUNCTION("""COMPUTED_VALUE"""),"Closed")</f>
        <v>Closed</v>
      </c>
      <c r="CC243" s="95" t="str">
        <f>IFERROR(__xludf.DUMMYFUNCTION("""COMPUTED_VALUE"""),"Closed")</f>
        <v>Closed</v>
      </c>
      <c r="CD243" s="96" t="str">
        <f>IFERROR(__xludf.DUMMYFUNCTION("""COMPUTED_VALUE"""),"Closed")</f>
        <v>Closed</v>
      </c>
      <c r="CE243" s="97" t="str">
        <f>IFERROR(__xludf.DUMMYFUNCTION("""COMPUTED_VALUE"""),"Closed")</f>
        <v>Closed</v>
      </c>
      <c r="CF243" s="95" t="str">
        <f>IFERROR(__xludf.DUMMYFUNCTION("""COMPUTED_VALUE"""),"Closed")</f>
        <v>Closed</v>
      </c>
      <c r="CG243" s="96" t="str">
        <f>IFERROR(__xludf.DUMMYFUNCTION("""COMPUTED_VALUE"""),"Closed")</f>
        <v>Closed</v>
      </c>
      <c r="CH243" s="96" t="str">
        <f>IFERROR(__xludf.DUMMYFUNCTION("""COMPUTED_VALUE"""),"Closed")</f>
        <v>Closed</v>
      </c>
      <c r="CI243" s="95" t="str">
        <f>IFERROR(__xludf.DUMMYFUNCTION("""COMPUTED_VALUE"""),"Closed")</f>
        <v>Closed</v>
      </c>
      <c r="CJ243" s="96" t="str">
        <f>IFERROR(__xludf.DUMMYFUNCTION("""COMPUTED_VALUE"""),"Closed")</f>
        <v>Closed</v>
      </c>
      <c r="CK243" s="96" t="str">
        <f>IFERROR(__xludf.DUMMYFUNCTION("""COMPUTED_VALUE"""),"Closed")</f>
        <v>Closed</v>
      </c>
      <c r="CL243" s="95" t="str">
        <f>IFERROR(__xludf.DUMMYFUNCTION("""COMPUTED_VALUE"""),"Closed")</f>
        <v>Closed</v>
      </c>
      <c r="CM243" s="96" t="str">
        <f>IFERROR(__xludf.DUMMYFUNCTION("""COMPUTED_VALUE"""),"Closed")</f>
        <v>Closed</v>
      </c>
      <c r="CN243" s="96" t="str">
        <f>IFERROR(__xludf.DUMMYFUNCTION("""COMPUTED_VALUE"""),"Closed")</f>
        <v>Closed</v>
      </c>
      <c r="CO243" s="95" t="str">
        <f>IFERROR(__xludf.DUMMYFUNCTION("""COMPUTED_VALUE"""),"Closed")</f>
        <v>Closed</v>
      </c>
      <c r="CP243" s="96" t="str">
        <f>IFERROR(__xludf.DUMMYFUNCTION("""COMPUTED_VALUE"""),"Closed")</f>
        <v>Closed</v>
      </c>
      <c r="CQ243" s="96" t="str">
        <f>IFERROR(__xludf.DUMMYFUNCTION("""COMPUTED_VALUE"""),"Closed")</f>
        <v>Closed</v>
      </c>
      <c r="CR243" s="95" t="str">
        <f>IFERROR(__xludf.DUMMYFUNCTION("""COMPUTED_VALUE"""),"Closed")</f>
        <v>Closed</v>
      </c>
      <c r="CS243" s="96" t="str">
        <f>IFERROR(__xludf.DUMMYFUNCTION("""COMPUTED_VALUE"""),"Closed")</f>
        <v>Closed</v>
      </c>
      <c r="CT243" s="96" t="str">
        <f>IFERROR(__xludf.DUMMYFUNCTION("""COMPUTED_VALUE"""),"Closed")</f>
        <v>Closed</v>
      </c>
      <c r="CU243" s="95" t="str">
        <f>IFERROR(__xludf.DUMMYFUNCTION("""COMPUTED_VALUE"""),"Closed")</f>
        <v>Closed</v>
      </c>
      <c r="CV243" s="96" t="str">
        <f>IFERROR(__xludf.DUMMYFUNCTION("""COMPUTED_VALUE"""),"Closed")</f>
        <v>Closed</v>
      </c>
      <c r="CW243" s="97" t="str">
        <f>IFERROR(__xludf.DUMMYFUNCTION("""COMPUTED_VALUE"""),"Closed")</f>
        <v>Closed</v>
      </c>
      <c r="CX243" s="96" t="str">
        <f>IFERROR(__xludf.DUMMYFUNCTION("""COMPUTED_VALUE"""),"Closed")</f>
        <v>Closed</v>
      </c>
      <c r="CY243" s="96" t="str">
        <f>IFERROR(__xludf.DUMMYFUNCTION("""COMPUTED_VALUE"""),"Closed")</f>
        <v>Closed</v>
      </c>
      <c r="CZ243" s="97" t="str">
        <f>IFERROR(__xludf.DUMMYFUNCTION("""COMPUTED_VALUE"""),"Closed")</f>
        <v>Closed</v>
      </c>
      <c r="DA243" s="95" t="str">
        <f>IFERROR(__xludf.DUMMYFUNCTION("""COMPUTED_VALUE"""),"Closed")</f>
        <v>Closed</v>
      </c>
      <c r="DB243" s="96" t="str">
        <f>IFERROR(__xludf.DUMMYFUNCTION("""COMPUTED_VALUE"""),"Closed")</f>
        <v>Closed</v>
      </c>
      <c r="DC243" s="97" t="str">
        <f>IFERROR(__xludf.DUMMYFUNCTION("""COMPUTED_VALUE"""),"Closed")</f>
        <v>Closed</v>
      </c>
      <c r="DD243" s="95" t="str">
        <f>IFERROR(__xludf.DUMMYFUNCTION("""COMPUTED_VALUE"""),"Closed")</f>
        <v>Closed</v>
      </c>
      <c r="DE243" s="96" t="str">
        <f>IFERROR(__xludf.DUMMYFUNCTION("""COMPUTED_VALUE"""),"Closed")</f>
        <v>Closed</v>
      </c>
      <c r="DF243" s="97" t="str">
        <f>IFERROR(__xludf.DUMMYFUNCTION("""COMPUTED_VALUE"""),"Closed")</f>
        <v>Closed</v>
      </c>
      <c r="DG243" s="95" t="str">
        <f>IFERROR(__xludf.DUMMYFUNCTION("""COMPUTED_VALUE"""),"Closed")</f>
        <v>Closed</v>
      </c>
      <c r="DH243" s="96" t="str">
        <f>IFERROR(__xludf.DUMMYFUNCTION("""COMPUTED_VALUE"""),"Closed")</f>
        <v>Closed</v>
      </c>
      <c r="DI243" s="97" t="str">
        <f>IFERROR(__xludf.DUMMYFUNCTION("""COMPUTED_VALUE"""),"Closed")</f>
        <v>Closed</v>
      </c>
      <c r="DJ243" s="95" t="str">
        <f>IFERROR(__xludf.DUMMYFUNCTION("""COMPUTED_VALUE"""),"Closed")</f>
        <v>Closed</v>
      </c>
      <c r="DK243" s="96" t="str">
        <f>IFERROR(__xludf.DUMMYFUNCTION("""COMPUTED_VALUE"""),"Closed")</f>
        <v>Closed</v>
      </c>
      <c r="DL243" s="97" t="str">
        <f>IFERROR(__xludf.DUMMYFUNCTION("""COMPUTED_VALUE"""),"Closed")</f>
        <v>Closed</v>
      </c>
      <c r="DM243" s="95" t="str">
        <f>IFERROR(__xludf.DUMMYFUNCTION("""COMPUTED_VALUE"""),"Closed")</f>
        <v>Closed</v>
      </c>
      <c r="DN243" s="96" t="str">
        <f>IFERROR(__xludf.DUMMYFUNCTION("""COMPUTED_VALUE"""),"Closed")</f>
        <v>Closed</v>
      </c>
      <c r="DO243" s="97" t="str">
        <f>IFERROR(__xludf.DUMMYFUNCTION("""COMPUTED_VALUE"""),"Closed")</f>
        <v>Closed</v>
      </c>
      <c r="DP243" s="95" t="str">
        <f>IFERROR(__xludf.DUMMYFUNCTION("""COMPUTED_VALUE"""),"Closed")</f>
        <v>Closed</v>
      </c>
      <c r="DQ243" s="96" t="str">
        <f>IFERROR(__xludf.DUMMYFUNCTION("""COMPUTED_VALUE"""),"Closed")</f>
        <v>Closed</v>
      </c>
      <c r="DR243" s="97"/>
      <c r="DS243" s="95"/>
    </row>
    <row r="244" hidden="1">
      <c r="B244" s="180" t="str">
        <f>IFERROR(__xludf.DUMMYFUNCTION("""COMPUTED_VALUE"""),"OLP8")</f>
        <v>OLP8</v>
      </c>
      <c r="C244" s="88" t="str">
        <f>IFERROR(__xludf.DUMMYFUNCTION("""COMPUTED_VALUE"""),"Aerial Garden")</f>
        <v>Aerial Garden</v>
      </c>
      <c r="D244" s="102">
        <f>IFERROR(__xludf.DUMMYFUNCTION("""COMPUTED_VALUE"""),21.0)</f>
        <v>21</v>
      </c>
      <c r="E244" s="82" t="b">
        <f>IFERROR(__xludf.DUMMYFUNCTION("""COMPUTED_VALUE"""),FALSE)</f>
        <v>0</v>
      </c>
      <c r="F244" s="82" t="str">
        <f>IFERROR(__xludf.DUMMYFUNCTION("""COMPUTED_VALUE"""),"Free Quests- Part 2!A823:J831")</f>
        <v>Free Quests- Part 2!A823:J831</v>
      </c>
      <c r="G244" s="82">
        <f>IFERROR(__xludf.DUMMYFUNCTION("""COMPUTED_VALUE"""),244.0)</f>
        <v>244</v>
      </c>
      <c r="H244" s="82" t="str">
        <f>IFERROR(__xludf.DUMMYFUNCTION("""COMPUTED_VALUE"""),"Closed")</f>
        <v>Closed</v>
      </c>
      <c r="I244" s="95" t="str">
        <f>IFERROR(__xludf.DUMMYFUNCTION("""COMPUTED_VALUE"""),"Closed")</f>
        <v>Closed</v>
      </c>
      <c r="J244" s="96" t="str">
        <f>IFERROR(__xludf.DUMMYFUNCTION("""COMPUTED_VALUE"""),"Closed")</f>
        <v>Closed</v>
      </c>
      <c r="K244" s="97" t="str">
        <f>IFERROR(__xludf.DUMMYFUNCTION("""COMPUTED_VALUE"""),"Closed")</f>
        <v>Closed</v>
      </c>
      <c r="L244" s="95" t="str">
        <f>IFERROR(__xludf.DUMMYFUNCTION("""COMPUTED_VALUE"""),"Closed")</f>
        <v>Closed</v>
      </c>
      <c r="M244" s="96" t="str">
        <f>IFERROR(__xludf.DUMMYFUNCTION("""COMPUTED_VALUE"""),"Closed")</f>
        <v>Closed</v>
      </c>
      <c r="N244" s="97" t="str">
        <f>IFERROR(__xludf.DUMMYFUNCTION("""COMPUTED_VALUE"""),"Closed")</f>
        <v>Closed</v>
      </c>
      <c r="O244" s="95" t="str">
        <f>IFERROR(__xludf.DUMMYFUNCTION("""COMPUTED_VALUE"""),"Closed")</f>
        <v>Closed</v>
      </c>
      <c r="P244" s="96" t="str">
        <f>IFERROR(__xludf.DUMMYFUNCTION("""COMPUTED_VALUE"""),"Closed")</f>
        <v>Closed</v>
      </c>
      <c r="Q244" s="97" t="str">
        <f>IFERROR(__xludf.DUMMYFUNCTION("""COMPUTED_VALUE"""),"Closed")</f>
        <v>Closed</v>
      </c>
      <c r="R244" s="95" t="str">
        <f>IFERROR(__xludf.DUMMYFUNCTION("""COMPUTED_VALUE"""),"Closed")</f>
        <v>Closed</v>
      </c>
      <c r="S244" s="96" t="str">
        <f>IFERROR(__xludf.DUMMYFUNCTION("""COMPUTED_VALUE"""),"Closed")</f>
        <v>Closed</v>
      </c>
      <c r="T244" s="97" t="str">
        <f>IFERROR(__xludf.DUMMYFUNCTION("""COMPUTED_VALUE"""),"Closed")</f>
        <v>Closed</v>
      </c>
      <c r="U244" s="95" t="str">
        <f>IFERROR(__xludf.DUMMYFUNCTION("""COMPUTED_VALUE"""),"Closed")</f>
        <v>Closed</v>
      </c>
      <c r="V244" s="96" t="str">
        <f>IFERROR(__xludf.DUMMYFUNCTION("""COMPUTED_VALUE"""),"Closed")</f>
        <v>Closed</v>
      </c>
      <c r="W244" s="97" t="str">
        <f>IFERROR(__xludf.DUMMYFUNCTION("""COMPUTED_VALUE"""),"Closed")</f>
        <v>Closed</v>
      </c>
      <c r="X244" s="95" t="str">
        <f>IFERROR(__xludf.DUMMYFUNCTION("""COMPUTED_VALUE"""),"Closed")</f>
        <v>Closed</v>
      </c>
      <c r="Y244" s="96" t="str">
        <f>IFERROR(__xludf.DUMMYFUNCTION("""COMPUTED_VALUE"""),"Closed")</f>
        <v>Closed</v>
      </c>
      <c r="Z244" s="97" t="str">
        <f>IFERROR(__xludf.DUMMYFUNCTION("""COMPUTED_VALUE"""),"Closed")</f>
        <v>Closed</v>
      </c>
      <c r="AA244" s="95" t="str">
        <f>IFERROR(__xludf.DUMMYFUNCTION("""COMPUTED_VALUE"""),"Closed")</f>
        <v>Closed</v>
      </c>
      <c r="AB244" s="96" t="str">
        <f>IFERROR(__xludf.DUMMYFUNCTION("""COMPUTED_VALUE"""),"Closed")</f>
        <v>Closed</v>
      </c>
      <c r="AC244" s="97" t="str">
        <f>IFERROR(__xludf.DUMMYFUNCTION("""COMPUTED_VALUE"""),"Closed")</f>
        <v>Closed</v>
      </c>
      <c r="AD244" s="95" t="str">
        <f>IFERROR(__xludf.DUMMYFUNCTION("""COMPUTED_VALUE"""),"Closed")</f>
        <v>Closed</v>
      </c>
      <c r="AE244" s="96" t="str">
        <f>IFERROR(__xludf.DUMMYFUNCTION("""COMPUTED_VALUE"""),"Closed")</f>
        <v>Closed</v>
      </c>
      <c r="AF244" s="97" t="str">
        <f>IFERROR(__xludf.DUMMYFUNCTION("""COMPUTED_VALUE"""),"Closed")</f>
        <v>Closed</v>
      </c>
      <c r="AG244" s="95" t="str">
        <f>IFERROR(__xludf.DUMMYFUNCTION("""COMPUTED_VALUE"""),"Closed")</f>
        <v>Closed</v>
      </c>
      <c r="AH244" s="96" t="str">
        <f>IFERROR(__xludf.DUMMYFUNCTION("""COMPUTED_VALUE"""),"Closed")</f>
        <v>Closed</v>
      </c>
      <c r="AI244" s="97" t="str">
        <f>IFERROR(__xludf.DUMMYFUNCTION("""COMPUTED_VALUE"""),"Closed")</f>
        <v>Closed</v>
      </c>
      <c r="AJ244" s="95" t="str">
        <f>IFERROR(__xludf.DUMMYFUNCTION("""COMPUTED_VALUE"""),"Closed")</f>
        <v>Closed</v>
      </c>
      <c r="AK244" s="96" t="str">
        <f>IFERROR(__xludf.DUMMYFUNCTION("""COMPUTED_VALUE"""),"Closed")</f>
        <v>Closed</v>
      </c>
      <c r="AL244" s="97" t="str">
        <f>IFERROR(__xludf.DUMMYFUNCTION("""COMPUTED_VALUE"""),"Closed")</f>
        <v>Closed</v>
      </c>
      <c r="AM244" s="95" t="str">
        <f>IFERROR(__xludf.DUMMYFUNCTION("""COMPUTED_VALUE"""),"Closed")</f>
        <v>Closed</v>
      </c>
      <c r="AN244" s="96" t="str">
        <f>IFERROR(__xludf.DUMMYFUNCTION("""COMPUTED_VALUE"""),"Closed")</f>
        <v>Closed</v>
      </c>
      <c r="AO244" s="97" t="str">
        <f>IFERROR(__xludf.DUMMYFUNCTION("""COMPUTED_VALUE"""),"Closed")</f>
        <v>Closed</v>
      </c>
      <c r="AP244" s="95" t="str">
        <f>IFERROR(__xludf.DUMMYFUNCTION("""COMPUTED_VALUE"""),"Closed")</f>
        <v>Closed</v>
      </c>
      <c r="AQ244" s="96" t="str">
        <f>IFERROR(__xludf.DUMMYFUNCTION("""COMPUTED_VALUE"""),"Closed")</f>
        <v>Closed</v>
      </c>
      <c r="AR244" s="97" t="str">
        <f>IFERROR(__xludf.DUMMYFUNCTION("""COMPUTED_VALUE"""),"Closed")</f>
        <v>Closed</v>
      </c>
      <c r="AS244" s="95" t="str">
        <f>IFERROR(__xludf.DUMMYFUNCTION("""COMPUTED_VALUE"""),"Closed")</f>
        <v>Closed</v>
      </c>
      <c r="AT244" s="96" t="str">
        <f>IFERROR(__xludf.DUMMYFUNCTION("""COMPUTED_VALUE"""),"Closed")</f>
        <v>Closed</v>
      </c>
      <c r="AU244" s="97" t="str">
        <f>IFERROR(__xludf.DUMMYFUNCTION("""COMPUTED_VALUE"""),"Closed")</f>
        <v>Closed</v>
      </c>
      <c r="AV244" s="95" t="str">
        <f>IFERROR(__xludf.DUMMYFUNCTION("""COMPUTED_VALUE"""),"Closed")</f>
        <v>Closed</v>
      </c>
      <c r="AW244" s="96" t="str">
        <f>IFERROR(__xludf.DUMMYFUNCTION("""COMPUTED_VALUE"""),"Closed")</f>
        <v>Closed</v>
      </c>
      <c r="AX244" s="97" t="str">
        <f>IFERROR(__xludf.DUMMYFUNCTION("""COMPUTED_VALUE"""),"Closed")</f>
        <v>Closed</v>
      </c>
      <c r="AY244" s="95" t="str">
        <f>IFERROR(__xludf.DUMMYFUNCTION("""COMPUTED_VALUE"""),"Closed")</f>
        <v>Closed</v>
      </c>
      <c r="AZ244" s="96" t="str">
        <f>IFERROR(__xludf.DUMMYFUNCTION("""COMPUTED_VALUE"""),"Closed")</f>
        <v>Closed</v>
      </c>
      <c r="BA244" s="97" t="str">
        <f>IFERROR(__xludf.DUMMYFUNCTION("""COMPUTED_VALUE"""),"Closed")</f>
        <v>Closed</v>
      </c>
      <c r="BB244" s="95" t="str">
        <f>IFERROR(__xludf.DUMMYFUNCTION("""COMPUTED_VALUE"""),"Closed")</f>
        <v>Closed</v>
      </c>
      <c r="BC244" s="96" t="str">
        <f>IFERROR(__xludf.DUMMYFUNCTION("""COMPUTED_VALUE"""),"Closed")</f>
        <v>Closed</v>
      </c>
      <c r="BD244" s="97" t="str">
        <f>IFERROR(__xludf.DUMMYFUNCTION("""COMPUTED_VALUE"""),"Closed")</f>
        <v>Closed</v>
      </c>
      <c r="BE244" s="95" t="str">
        <f>IFERROR(__xludf.DUMMYFUNCTION("""COMPUTED_VALUE"""),"Closed")</f>
        <v>Closed</v>
      </c>
      <c r="BF244" s="96" t="str">
        <f>IFERROR(__xludf.DUMMYFUNCTION("""COMPUTED_VALUE"""),"Closed")</f>
        <v>Closed</v>
      </c>
      <c r="BG244" s="97" t="str">
        <f>IFERROR(__xludf.DUMMYFUNCTION("""COMPUTED_VALUE"""),"Closed")</f>
        <v>Closed</v>
      </c>
      <c r="BH244" s="95" t="str">
        <f>IFERROR(__xludf.DUMMYFUNCTION("""COMPUTED_VALUE"""),"Closed")</f>
        <v>Closed</v>
      </c>
      <c r="BI244" s="96" t="str">
        <f>IFERROR(__xludf.DUMMYFUNCTION("""COMPUTED_VALUE"""),"Closed")</f>
        <v>Closed</v>
      </c>
      <c r="BJ244" s="97" t="str">
        <f>IFERROR(__xludf.DUMMYFUNCTION("""COMPUTED_VALUE"""),"Closed")</f>
        <v>Closed</v>
      </c>
      <c r="BK244" s="95" t="str">
        <f>IFERROR(__xludf.DUMMYFUNCTION("""COMPUTED_VALUE"""),"Closed")</f>
        <v>Closed</v>
      </c>
      <c r="BL244" s="96" t="str">
        <f>IFERROR(__xludf.DUMMYFUNCTION("""COMPUTED_VALUE"""),"Closed")</f>
        <v>Closed</v>
      </c>
      <c r="BM244" s="97" t="str">
        <f>IFERROR(__xludf.DUMMYFUNCTION("""COMPUTED_VALUE"""),"Closed")</f>
        <v>Closed</v>
      </c>
      <c r="BN244" s="95" t="str">
        <f>IFERROR(__xludf.DUMMYFUNCTION("""COMPUTED_VALUE"""),"Closed")</f>
        <v>Closed</v>
      </c>
      <c r="BO244" s="96" t="str">
        <f>IFERROR(__xludf.DUMMYFUNCTION("""COMPUTED_VALUE"""),"Closed")</f>
        <v>Closed</v>
      </c>
      <c r="BP244" s="97" t="str">
        <f>IFERROR(__xludf.DUMMYFUNCTION("""COMPUTED_VALUE"""),"Closed")</f>
        <v>Closed</v>
      </c>
      <c r="BQ244" s="95" t="str">
        <f>IFERROR(__xludf.DUMMYFUNCTION("""COMPUTED_VALUE"""),"Closed")</f>
        <v>Closed</v>
      </c>
      <c r="BR244" s="96" t="str">
        <f>IFERROR(__xludf.DUMMYFUNCTION("""COMPUTED_VALUE"""),"Closed")</f>
        <v>Closed</v>
      </c>
      <c r="BS244" s="97" t="str">
        <f>IFERROR(__xludf.DUMMYFUNCTION("""COMPUTED_VALUE"""),"Closed")</f>
        <v>Closed</v>
      </c>
      <c r="BT244" s="95" t="str">
        <f>IFERROR(__xludf.DUMMYFUNCTION("""COMPUTED_VALUE"""),"Closed")</f>
        <v>Closed</v>
      </c>
      <c r="BU244" s="96" t="str">
        <f>IFERROR(__xludf.DUMMYFUNCTION("""COMPUTED_VALUE"""),"Closed")</f>
        <v>Closed</v>
      </c>
      <c r="BV244" s="97" t="str">
        <f>IFERROR(__xludf.DUMMYFUNCTION("""COMPUTED_VALUE"""),"Closed")</f>
        <v>Closed</v>
      </c>
      <c r="BW244" s="95" t="str">
        <f>IFERROR(__xludf.DUMMYFUNCTION("""COMPUTED_VALUE"""),"Closed")</f>
        <v>Closed</v>
      </c>
      <c r="BX244" s="96" t="str">
        <f>IFERROR(__xludf.DUMMYFUNCTION("""COMPUTED_VALUE"""),"Closed")</f>
        <v>Closed</v>
      </c>
      <c r="BY244" s="97" t="str">
        <f>IFERROR(__xludf.DUMMYFUNCTION("""COMPUTED_VALUE"""),"Closed")</f>
        <v>Closed</v>
      </c>
      <c r="BZ244" s="95" t="str">
        <f>IFERROR(__xludf.DUMMYFUNCTION("""COMPUTED_VALUE"""),"Closed")</f>
        <v>Closed</v>
      </c>
      <c r="CA244" s="96" t="str">
        <f>IFERROR(__xludf.DUMMYFUNCTION("""COMPUTED_VALUE"""),"Closed")</f>
        <v>Closed</v>
      </c>
      <c r="CB244" s="97" t="str">
        <f>IFERROR(__xludf.DUMMYFUNCTION("""COMPUTED_VALUE"""),"Closed")</f>
        <v>Closed</v>
      </c>
      <c r="CC244" s="95" t="str">
        <f>IFERROR(__xludf.DUMMYFUNCTION("""COMPUTED_VALUE"""),"Closed")</f>
        <v>Closed</v>
      </c>
      <c r="CD244" s="96" t="str">
        <f>IFERROR(__xludf.DUMMYFUNCTION("""COMPUTED_VALUE"""),"Closed")</f>
        <v>Closed</v>
      </c>
      <c r="CE244" s="97" t="str">
        <f>IFERROR(__xludf.DUMMYFUNCTION("""COMPUTED_VALUE"""),"Closed")</f>
        <v>Closed</v>
      </c>
      <c r="CF244" s="95" t="str">
        <f>IFERROR(__xludf.DUMMYFUNCTION("""COMPUTED_VALUE"""),"Closed")</f>
        <v>Closed</v>
      </c>
      <c r="CG244" s="96" t="str">
        <f>IFERROR(__xludf.DUMMYFUNCTION("""COMPUTED_VALUE"""),"Closed")</f>
        <v>Closed</v>
      </c>
      <c r="CH244" s="96" t="str">
        <f>IFERROR(__xludf.DUMMYFUNCTION("""COMPUTED_VALUE"""),"Closed")</f>
        <v>Closed</v>
      </c>
      <c r="CI244" s="95" t="str">
        <f>IFERROR(__xludf.DUMMYFUNCTION("""COMPUTED_VALUE"""),"Closed")</f>
        <v>Closed</v>
      </c>
      <c r="CJ244" s="96" t="str">
        <f>IFERROR(__xludf.DUMMYFUNCTION("""COMPUTED_VALUE"""),"Closed")</f>
        <v>Closed</v>
      </c>
      <c r="CK244" s="96" t="str">
        <f>IFERROR(__xludf.DUMMYFUNCTION("""COMPUTED_VALUE"""),"Closed")</f>
        <v>Closed</v>
      </c>
      <c r="CL244" s="95" t="str">
        <f>IFERROR(__xludf.DUMMYFUNCTION("""COMPUTED_VALUE"""),"Closed")</f>
        <v>Closed</v>
      </c>
      <c r="CM244" s="96" t="str">
        <f>IFERROR(__xludf.DUMMYFUNCTION("""COMPUTED_VALUE"""),"Closed")</f>
        <v>Closed</v>
      </c>
      <c r="CN244" s="96" t="str">
        <f>IFERROR(__xludf.DUMMYFUNCTION("""COMPUTED_VALUE"""),"Closed")</f>
        <v>Closed</v>
      </c>
      <c r="CO244" s="95" t="str">
        <f>IFERROR(__xludf.DUMMYFUNCTION("""COMPUTED_VALUE"""),"Closed")</f>
        <v>Closed</v>
      </c>
      <c r="CP244" s="96" t="str">
        <f>IFERROR(__xludf.DUMMYFUNCTION("""COMPUTED_VALUE"""),"Closed")</f>
        <v>Closed</v>
      </c>
      <c r="CQ244" s="96" t="str">
        <f>IFERROR(__xludf.DUMMYFUNCTION("""COMPUTED_VALUE"""),"Closed")</f>
        <v>Closed</v>
      </c>
      <c r="CR244" s="95" t="str">
        <f>IFERROR(__xludf.DUMMYFUNCTION("""COMPUTED_VALUE"""),"Closed")</f>
        <v>Closed</v>
      </c>
      <c r="CS244" s="96" t="str">
        <f>IFERROR(__xludf.DUMMYFUNCTION("""COMPUTED_VALUE"""),"Closed")</f>
        <v>Closed</v>
      </c>
      <c r="CT244" s="96" t="str">
        <f>IFERROR(__xludf.DUMMYFUNCTION("""COMPUTED_VALUE"""),"Closed")</f>
        <v>Closed</v>
      </c>
      <c r="CU244" s="95" t="str">
        <f>IFERROR(__xludf.DUMMYFUNCTION("""COMPUTED_VALUE"""),"Closed")</f>
        <v>Closed</v>
      </c>
      <c r="CV244" s="96" t="str">
        <f>IFERROR(__xludf.DUMMYFUNCTION("""COMPUTED_VALUE"""),"Closed")</f>
        <v>Closed</v>
      </c>
      <c r="CW244" s="97" t="str">
        <f>IFERROR(__xludf.DUMMYFUNCTION("""COMPUTED_VALUE"""),"Closed")</f>
        <v>Closed</v>
      </c>
      <c r="CX244" s="96" t="str">
        <f>IFERROR(__xludf.DUMMYFUNCTION("""COMPUTED_VALUE"""),"Closed")</f>
        <v>Closed</v>
      </c>
      <c r="CY244" s="96" t="str">
        <f>IFERROR(__xludf.DUMMYFUNCTION("""COMPUTED_VALUE"""),"Closed")</f>
        <v>Closed</v>
      </c>
      <c r="CZ244" s="97" t="str">
        <f>IFERROR(__xludf.DUMMYFUNCTION("""COMPUTED_VALUE"""),"Closed")</f>
        <v>Closed</v>
      </c>
      <c r="DA244" s="95" t="str">
        <f>IFERROR(__xludf.DUMMYFUNCTION("""COMPUTED_VALUE"""),"Closed")</f>
        <v>Closed</v>
      </c>
      <c r="DB244" s="96" t="str">
        <f>IFERROR(__xludf.DUMMYFUNCTION("""COMPUTED_VALUE"""),"Closed")</f>
        <v>Closed</v>
      </c>
      <c r="DC244" s="97" t="str">
        <f>IFERROR(__xludf.DUMMYFUNCTION("""COMPUTED_VALUE"""),"Closed")</f>
        <v>Closed</v>
      </c>
      <c r="DD244" s="95" t="str">
        <f>IFERROR(__xludf.DUMMYFUNCTION("""COMPUTED_VALUE"""),"Closed")</f>
        <v>Closed</v>
      </c>
      <c r="DE244" s="96" t="str">
        <f>IFERROR(__xludf.DUMMYFUNCTION("""COMPUTED_VALUE"""),"Closed")</f>
        <v>Closed</v>
      </c>
      <c r="DF244" s="97" t="str">
        <f>IFERROR(__xludf.DUMMYFUNCTION("""COMPUTED_VALUE"""),"Closed")</f>
        <v>Closed</v>
      </c>
      <c r="DG244" s="95" t="str">
        <f>IFERROR(__xludf.DUMMYFUNCTION("""COMPUTED_VALUE"""),"Closed")</f>
        <v>Closed</v>
      </c>
      <c r="DH244" s="96" t="str">
        <f>IFERROR(__xludf.DUMMYFUNCTION("""COMPUTED_VALUE"""),"Closed")</f>
        <v>Closed</v>
      </c>
      <c r="DI244" s="97" t="str">
        <f>IFERROR(__xludf.DUMMYFUNCTION("""COMPUTED_VALUE"""),"Closed")</f>
        <v>Closed</v>
      </c>
      <c r="DJ244" s="95" t="str">
        <f>IFERROR(__xludf.DUMMYFUNCTION("""COMPUTED_VALUE"""),"Closed")</f>
        <v>Closed</v>
      </c>
      <c r="DK244" s="96" t="str">
        <f>IFERROR(__xludf.DUMMYFUNCTION("""COMPUTED_VALUE"""),"Closed")</f>
        <v>Closed</v>
      </c>
      <c r="DL244" s="97" t="str">
        <f>IFERROR(__xludf.DUMMYFUNCTION("""COMPUTED_VALUE"""),"Closed")</f>
        <v>Closed</v>
      </c>
      <c r="DM244" s="95" t="str">
        <f>IFERROR(__xludf.DUMMYFUNCTION("""COMPUTED_VALUE"""),"Closed")</f>
        <v>Closed</v>
      </c>
      <c r="DN244" s="96" t="str">
        <f>IFERROR(__xludf.DUMMYFUNCTION("""COMPUTED_VALUE"""),"Closed")</f>
        <v>Closed</v>
      </c>
      <c r="DO244" s="97" t="str">
        <f>IFERROR(__xludf.DUMMYFUNCTION("""COMPUTED_VALUE"""),"Closed")</f>
        <v>Closed</v>
      </c>
      <c r="DP244" s="95" t="str">
        <f>IFERROR(__xludf.DUMMYFUNCTION("""COMPUTED_VALUE"""),"Closed")</f>
        <v>Closed</v>
      </c>
      <c r="DQ244" s="96" t="str">
        <f>IFERROR(__xludf.DUMMYFUNCTION("""COMPUTED_VALUE"""),"Closed")</f>
        <v>Closed</v>
      </c>
      <c r="DR244" s="97"/>
      <c r="DS244" s="95"/>
    </row>
    <row r="245" hidden="1">
      <c r="B245" s="180" t="str">
        <f>IFERROR(__xludf.DUMMYFUNCTION("""COMPUTED_VALUE"""),"OLP9")</f>
        <v>OLP9</v>
      </c>
      <c r="C245" s="88" t="str">
        <f>IFERROR(__xludf.DUMMYFUNCTION("""COMPUTED_VALUE"""),"Machine God's Cloister")</f>
        <v>Machine God's Cloister</v>
      </c>
      <c r="D245" s="102">
        <f>IFERROR(__xludf.DUMMYFUNCTION("""COMPUTED_VALUE"""),21.0)</f>
        <v>21</v>
      </c>
      <c r="E245" s="82" t="b">
        <f>IFERROR(__xludf.DUMMYFUNCTION("""COMPUTED_VALUE"""),FALSE)</f>
        <v>0</v>
      </c>
      <c r="F245" s="82" t="str">
        <f>IFERROR(__xludf.DUMMYFUNCTION("""COMPUTED_VALUE"""),"Free Quests- Part 2!A835:J843")</f>
        <v>Free Quests- Part 2!A835:J843</v>
      </c>
      <c r="G245" s="82">
        <f>IFERROR(__xludf.DUMMYFUNCTION("""COMPUTED_VALUE"""),245.0)</f>
        <v>245</v>
      </c>
      <c r="H245" s="82" t="str">
        <f>IFERROR(__xludf.DUMMYFUNCTION("""COMPUTED_VALUE"""),"Closed")</f>
        <v>Closed</v>
      </c>
      <c r="I245" s="95" t="str">
        <f>IFERROR(__xludf.DUMMYFUNCTION("""COMPUTED_VALUE"""),"Closed")</f>
        <v>Closed</v>
      </c>
      <c r="J245" s="96" t="str">
        <f>IFERROR(__xludf.DUMMYFUNCTION("""COMPUTED_VALUE"""),"Closed")</f>
        <v>Closed</v>
      </c>
      <c r="K245" s="97" t="str">
        <f>IFERROR(__xludf.DUMMYFUNCTION("""COMPUTED_VALUE"""),"Closed")</f>
        <v>Closed</v>
      </c>
      <c r="L245" s="95" t="str">
        <f>IFERROR(__xludf.DUMMYFUNCTION("""COMPUTED_VALUE"""),"Closed")</f>
        <v>Closed</v>
      </c>
      <c r="M245" s="96" t="str">
        <f>IFERROR(__xludf.DUMMYFUNCTION("""COMPUTED_VALUE"""),"Closed")</f>
        <v>Closed</v>
      </c>
      <c r="N245" s="97" t="str">
        <f>IFERROR(__xludf.DUMMYFUNCTION("""COMPUTED_VALUE"""),"Closed")</f>
        <v>Closed</v>
      </c>
      <c r="O245" s="95" t="str">
        <f>IFERROR(__xludf.DUMMYFUNCTION("""COMPUTED_VALUE"""),"Closed")</f>
        <v>Closed</v>
      </c>
      <c r="P245" s="96" t="str">
        <f>IFERROR(__xludf.DUMMYFUNCTION("""COMPUTED_VALUE"""),"Closed")</f>
        <v>Closed</v>
      </c>
      <c r="Q245" s="97" t="str">
        <f>IFERROR(__xludf.DUMMYFUNCTION("""COMPUTED_VALUE"""),"Closed")</f>
        <v>Closed</v>
      </c>
      <c r="R245" s="95" t="str">
        <f>IFERROR(__xludf.DUMMYFUNCTION("""COMPUTED_VALUE"""),"Closed")</f>
        <v>Closed</v>
      </c>
      <c r="S245" s="96" t="str">
        <f>IFERROR(__xludf.DUMMYFUNCTION("""COMPUTED_VALUE"""),"Closed")</f>
        <v>Closed</v>
      </c>
      <c r="T245" s="97" t="str">
        <f>IFERROR(__xludf.DUMMYFUNCTION("""COMPUTED_VALUE"""),"Closed")</f>
        <v>Closed</v>
      </c>
      <c r="U245" s="95" t="str">
        <f>IFERROR(__xludf.DUMMYFUNCTION("""COMPUTED_VALUE"""),"Closed")</f>
        <v>Closed</v>
      </c>
      <c r="V245" s="96" t="str">
        <f>IFERROR(__xludf.DUMMYFUNCTION("""COMPUTED_VALUE"""),"Closed")</f>
        <v>Closed</v>
      </c>
      <c r="W245" s="97" t="str">
        <f>IFERROR(__xludf.DUMMYFUNCTION("""COMPUTED_VALUE"""),"Closed")</f>
        <v>Closed</v>
      </c>
      <c r="X245" s="95" t="str">
        <f>IFERROR(__xludf.DUMMYFUNCTION("""COMPUTED_VALUE"""),"Closed")</f>
        <v>Closed</v>
      </c>
      <c r="Y245" s="96" t="str">
        <f>IFERROR(__xludf.DUMMYFUNCTION("""COMPUTED_VALUE"""),"Closed")</f>
        <v>Closed</v>
      </c>
      <c r="Z245" s="97" t="str">
        <f>IFERROR(__xludf.DUMMYFUNCTION("""COMPUTED_VALUE"""),"Closed")</f>
        <v>Closed</v>
      </c>
      <c r="AA245" s="95" t="str">
        <f>IFERROR(__xludf.DUMMYFUNCTION("""COMPUTED_VALUE"""),"Closed")</f>
        <v>Closed</v>
      </c>
      <c r="AB245" s="96" t="str">
        <f>IFERROR(__xludf.DUMMYFUNCTION("""COMPUTED_VALUE"""),"Closed")</f>
        <v>Closed</v>
      </c>
      <c r="AC245" s="97" t="str">
        <f>IFERROR(__xludf.DUMMYFUNCTION("""COMPUTED_VALUE"""),"Closed")</f>
        <v>Closed</v>
      </c>
      <c r="AD245" s="95" t="str">
        <f>IFERROR(__xludf.DUMMYFUNCTION("""COMPUTED_VALUE"""),"Closed")</f>
        <v>Closed</v>
      </c>
      <c r="AE245" s="96" t="str">
        <f>IFERROR(__xludf.DUMMYFUNCTION("""COMPUTED_VALUE"""),"Closed")</f>
        <v>Closed</v>
      </c>
      <c r="AF245" s="97" t="str">
        <f>IFERROR(__xludf.DUMMYFUNCTION("""COMPUTED_VALUE"""),"Closed")</f>
        <v>Closed</v>
      </c>
      <c r="AG245" s="95" t="str">
        <f>IFERROR(__xludf.DUMMYFUNCTION("""COMPUTED_VALUE"""),"Closed")</f>
        <v>Closed</v>
      </c>
      <c r="AH245" s="96" t="str">
        <f>IFERROR(__xludf.DUMMYFUNCTION("""COMPUTED_VALUE"""),"Closed")</f>
        <v>Closed</v>
      </c>
      <c r="AI245" s="97" t="str">
        <f>IFERROR(__xludf.DUMMYFUNCTION("""COMPUTED_VALUE"""),"Closed")</f>
        <v>Closed</v>
      </c>
      <c r="AJ245" s="95" t="str">
        <f>IFERROR(__xludf.DUMMYFUNCTION("""COMPUTED_VALUE"""),"Closed")</f>
        <v>Closed</v>
      </c>
      <c r="AK245" s="96" t="str">
        <f>IFERROR(__xludf.DUMMYFUNCTION("""COMPUTED_VALUE"""),"Closed")</f>
        <v>Closed</v>
      </c>
      <c r="AL245" s="97" t="str">
        <f>IFERROR(__xludf.DUMMYFUNCTION("""COMPUTED_VALUE"""),"Closed")</f>
        <v>Closed</v>
      </c>
      <c r="AM245" s="95" t="str">
        <f>IFERROR(__xludf.DUMMYFUNCTION("""COMPUTED_VALUE"""),"Closed")</f>
        <v>Closed</v>
      </c>
      <c r="AN245" s="96" t="str">
        <f>IFERROR(__xludf.DUMMYFUNCTION("""COMPUTED_VALUE"""),"Closed")</f>
        <v>Closed</v>
      </c>
      <c r="AO245" s="97" t="str">
        <f>IFERROR(__xludf.DUMMYFUNCTION("""COMPUTED_VALUE"""),"Closed")</f>
        <v>Closed</v>
      </c>
      <c r="AP245" s="95" t="str">
        <f>IFERROR(__xludf.DUMMYFUNCTION("""COMPUTED_VALUE"""),"Closed")</f>
        <v>Closed</v>
      </c>
      <c r="AQ245" s="96" t="str">
        <f>IFERROR(__xludf.DUMMYFUNCTION("""COMPUTED_VALUE"""),"Closed")</f>
        <v>Closed</v>
      </c>
      <c r="AR245" s="97" t="str">
        <f>IFERROR(__xludf.DUMMYFUNCTION("""COMPUTED_VALUE"""),"Closed")</f>
        <v>Closed</v>
      </c>
      <c r="AS245" s="95" t="str">
        <f>IFERROR(__xludf.DUMMYFUNCTION("""COMPUTED_VALUE"""),"Closed")</f>
        <v>Closed</v>
      </c>
      <c r="AT245" s="96" t="str">
        <f>IFERROR(__xludf.DUMMYFUNCTION("""COMPUTED_VALUE"""),"Closed")</f>
        <v>Closed</v>
      </c>
      <c r="AU245" s="97" t="str">
        <f>IFERROR(__xludf.DUMMYFUNCTION("""COMPUTED_VALUE"""),"Closed")</f>
        <v>Closed</v>
      </c>
      <c r="AV245" s="95" t="str">
        <f>IFERROR(__xludf.DUMMYFUNCTION("""COMPUTED_VALUE"""),"Closed")</f>
        <v>Closed</v>
      </c>
      <c r="AW245" s="96" t="str">
        <f>IFERROR(__xludf.DUMMYFUNCTION("""COMPUTED_VALUE"""),"Closed")</f>
        <v>Closed</v>
      </c>
      <c r="AX245" s="97" t="str">
        <f>IFERROR(__xludf.DUMMYFUNCTION("""COMPUTED_VALUE"""),"Closed")</f>
        <v>Closed</v>
      </c>
      <c r="AY245" s="95" t="str">
        <f>IFERROR(__xludf.DUMMYFUNCTION("""COMPUTED_VALUE"""),"Closed")</f>
        <v>Closed</v>
      </c>
      <c r="AZ245" s="96" t="str">
        <f>IFERROR(__xludf.DUMMYFUNCTION("""COMPUTED_VALUE"""),"Closed")</f>
        <v>Closed</v>
      </c>
      <c r="BA245" s="97" t="str">
        <f>IFERROR(__xludf.DUMMYFUNCTION("""COMPUTED_VALUE"""),"Closed")</f>
        <v>Closed</v>
      </c>
      <c r="BB245" s="95" t="str">
        <f>IFERROR(__xludf.DUMMYFUNCTION("""COMPUTED_VALUE"""),"Closed")</f>
        <v>Closed</v>
      </c>
      <c r="BC245" s="96" t="str">
        <f>IFERROR(__xludf.DUMMYFUNCTION("""COMPUTED_VALUE"""),"Closed")</f>
        <v>Closed</v>
      </c>
      <c r="BD245" s="97" t="str">
        <f>IFERROR(__xludf.DUMMYFUNCTION("""COMPUTED_VALUE"""),"Closed")</f>
        <v>Closed</v>
      </c>
      <c r="BE245" s="95" t="str">
        <f>IFERROR(__xludf.DUMMYFUNCTION("""COMPUTED_VALUE"""),"Closed")</f>
        <v>Closed</v>
      </c>
      <c r="BF245" s="96" t="str">
        <f>IFERROR(__xludf.DUMMYFUNCTION("""COMPUTED_VALUE"""),"Closed")</f>
        <v>Closed</v>
      </c>
      <c r="BG245" s="97" t="str">
        <f>IFERROR(__xludf.DUMMYFUNCTION("""COMPUTED_VALUE"""),"Closed")</f>
        <v>Closed</v>
      </c>
      <c r="BH245" s="95" t="str">
        <f>IFERROR(__xludf.DUMMYFUNCTION("""COMPUTED_VALUE"""),"Closed")</f>
        <v>Closed</v>
      </c>
      <c r="BI245" s="96" t="str">
        <f>IFERROR(__xludf.DUMMYFUNCTION("""COMPUTED_VALUE"""),"Closed")</f>
        <v>Closed</v>
      </c>
      <c r="BJ245" s="97" t="str">
        <f>IFERROR(__xludf.DUMMYFUNCTION("""COMPUTED_VALUE"""),"Closed")</f>
        <v>Closed</v>
      </c>
      <c r="BK245" s="95" t="str">
        <f>IFERROR(__xludf.DUMMYFUNCTION("""COMPUTED_VALUE"""),"Closed")</f>
        <v>Closed</v>
      </c>
      <c r="BL245" s="96" t="str">
        <f>IFERROR(__xludf.DUMMYFUNCTION("""COMPUTED_VALUE"""),"Closed")</f>
        <v>Closed</v>
      </c>
      <c r="BM245" s="97" t="str">
        <f>IFERROR(__xludf.DUMMYFUNCTION("""COMPUTED_VALUE"""),"Closed")</f>
        <v>Closed</v>
      </c>
      <c r="BN245" s="95" t="str">
        <f>IFERROR(__xludf.DUMMYFUNCTION("""COMPUTED_VALUE"""),"Closed")</f>
        <v>Closed</v>
      </c>
      <c r="BO245" s="96" t="str">
        <f>IFERROR(__xludf.DUMMYFUNCTION("""COMPUTED_VALUE"""),"Closed")</f>
        <v>Closed</v>
      </c>
      <c r="BP245" s="97" t="str">
        <f>IFERROR(__xludf.DUMMYFUNCTION("""COMPUTED_VALUE"""),"Closed")</f>
        <v>Closed</v>
      </c>
      <c r="BQ245" s="95" t="str">
        <f>IFERROR(__xludf.DUMMYFUNCTION("""COMPUTED_VALUE"""),"Closed")</f>
        <v>Closed</v>
      </c>
      <c r="BR245" s="96" t="str">
        <f>IFERROR(__xludf.DUMMYFUNCTION("""COMPUTED_VALUE"""),"Closed")</f>
        <v>Closed</v>
      </c>
      <c r="BS245" s="97" t="str">
        <f>IFERROR(__xludf.DUMMYFUNCTION("""COMPUTED_VALUE"""),"Closed")</f>
        <v>Closed</v>
      </c>
      <c r="BT245" s="95" t="str">
        <f>IFERROR(__xludf.DUMMYFUNCTION("""COMPUTED_VALUE"""),"Closed")</f>
        <v>Closed</v>
      </c>
      <c r="BU245" s="96" t="str">
        <f>IFERROR(__xludf.DUMMYFUNCTION("""COMPUTED_VALUE"""),"Closed")</f>
        <v>Closed</v>
      </c>
      <c r="BV245" s="97" t="str">
        <f>IFERROR(__xludf.DUMMYFUNCTION("""COMPUTED_VALUE"""),"Closed")</f>
        <v>Closed</v>
      </c>
      <c r="BW245" s="95" t="str">
        <f>IFERROR(__xludf.DUMMYFUNCTION("""COMPUTED_VALUE"""),"Closed")</f>
        <v>Closed</v>
      </c>
      <c r="BX245" s="96" t="str">
        <f>IFERROR(__xludf.DUMMYFUNCTION("""COMPUTED_VALUE"""),"Closed")</f>
        <v>Closed</v>
      </c>
      <c r="BY245" s="97" t="str">
        <f>IFERROR(__xludf.DUMMYFUNCTION("""COMPUTED_VALUE"""),"Closed")</f>
        <v>Closed</v>
      </c>
      <c r="BZ245" s="95" t="str">
        <f>IFERROR(__xludf.DUMMYFUNCTION("""COMPUTED_VALUE"""),"Closed")</f>
        <v>Closed</v>
      </c>
      <c r="CA245" s="96" t="str">
        <f>IFERROR(__xludf.DUMMYFUNCTION("""COMPUTED_VALUE"""),"Closed")</f>
        <v>Closed</v>
      </c>
      <c r="CB245" s="97" t="str">
        <f>IFERROR(__xludf.DUMMYFUNCTION("""COMPUTED_VALUE"""),"Closed")</f>
        <v>Closed</v>
      </c>
      <c r="CC245" s="95" t="str">
        <f>IFERROR(__xludf.DUMMYFUNCTION("""COMPUTED_VALUE"""),"Closed")</f>
        <v>Closed</v>
      </c>
      <c r="CD245" s="96" t="str">
        <f>IFERROR(__xludf.DUMMYFUNCTION("""COMPUTED_VALUE"""),"Closed")</f>
        <v>Closed</v>
      </c>
      <c r="CE245" s="97" t="str">
        <f>IFERROR(__xludf.DUMMYFUNCTION("""COMPUTED_VALUE"""),"Closed")</f>
        <v>Closed</v>
      </c>
      <c r="CF245" s="95" t="str">
        <f>IFERROR(__xludf.DUMMYFUNCTION("""COMPUTED_VALUE"""),"Closed")</f>
        <v>Closed</v>
      </c>
      <c r="CG245" s="96" t="str">
        <f>IFERROR(__xludf.DUMMYFUNCTION("""COMPUTED_VALUE"""),"Closed")</f>
        <v>Closed</v>
      </c>
      <c r="CH245" s="96" t="str">
        <f>IFERROR(__xludf.DUMMYFUNCTION("""COMPUTED_VALUE"""),"Closed")</f>
        <v>Closed</v>
      </c>
      <c r="CI245" s="95" t="str">
        <f>IFERROR(__xludf.DUMMYFUNCTION("""COMPUTED_VALUE"""),"Closed")</f>
        <v>Closed</v>
      </c>
      <c r="CJ245" s="96" t="str">
        <f>IFERROR(__xludf.DUMMYFUNCTION("""COMPUTED_VALUE"""),"Closed")</f>
        <v>Closed</v>
      </c>
      <c r="CK245" s="96" t="str">
        <f>IFERROR(__xludf.DUMMYFUNCTION("""COMPUTED_VALUE"""),"Closed")</f>
        <v>Closed</v>
      </c>
      <c r="CL245" s="95" t="str">
        <f>IFERROR(__xludf.DUMMYFUNCTION("""COMPUTED_VALUE"""),"Closed")</f>
        <v>Closed</v>
      </c>
      <c r="CM245" s="96" t="str">
        <f>IFERROR(__xludf.DUMMYFUNCTION("""COMPUTED_VALUE"""),"Closed")</f>
        <v>Closed</v>
      </c>
      <c r="CN245" s="96" t="str">
        <f>IFERROR(__xludf.DUMMYFUNCTION("""COMPUTED_VALUE"""),"Closed")</f>
        <v>Closed</v>
      </c>
      <c r="CO245" s="95" t="str">
        <f>IFERROR(__xludf.DUMMYFUNCTION("""COMPUTED_VALUE"""),"Closed")</f>
        <v>Closed</v>
      </c>
      <c r="CP245" s="96" t="str">
        <f>IFERROR(__xludf.DUMMYFUNCTION("""COMPUTED_VALUE"""),"Closed")</f>
        <v>Closed</v>
      </c>
      <c r="CQ245" s="96" t="str">
        <f>IFERROR(__xludf.DUMMYFUNCTION("""COMPUTED_VALUE"""),"Closed")</f>
        <v>Closed</v>
      </c>
      <c r="CR245" s="95" t="str">
        <f>IFERROR(__xludf.DUMMYFUNCTION("""COMPUTED_VALUE"""),"Closed")</f>
        <v>Closed</v>
      </c>
      <c r="CS245" s="96" t="str">
        <f>IFERROR(__xludf.DUMMYFUNCTION("""COMPUTED_VALUE"""),"Closed")</f>
        <v>Closed</v>
      </c>
      <c r="CT245" s="96" t="str">
        <f>IFERROR(__xludf.DUMMYFUNCTION("""COMPUTED_VALUE"""),"Closed")</f>
        <v>Closed</v>
      </c>
      <c r="CU245" s="95" t="str">
        <f>IFERROR(__xludf.DUMMYFUNCTION("""COMPUTED_VALUE"""),"Closed")</f>
        <v>Closed</v>
      </c>
      <c r="CV245" s="96" t="str">
        <f>IFERROR(__xludf.DUMMYFUNCTION("""COMPUTED_VALUE"""),"Closed")</f>
        <v>Closed</v>
      </c>
      <c r="CW245" s="97" t="str">
        <f>IFERROR(__xludf.DUMMYFUNCTION("""COMPUTED_VALUE"""),"Closed")</f>
        <v>Closed</v>
      </c>
      <c r="CX245" s="96" t="str">
        <f>IFERROR(__xludf.DUMMYFUNCTION("""COMPUTED_VALUE"""),"Closed")</f>
        <v>Closed</v>
      </c>
      <c r="CY245" s="96" t="str">
        <f>IFERROR(__xludf.DUMMYFUNCTION("""COMPUTED_VALUE"""),"Closed")</f>
        <v>Closed</v>
      </c>
      <c r="CZ245" s="97" t="str">
        <f>IFERROR(__xludf.DUMMYFUNCTION("""COMPUTED_VALUE"""),"Closed")</f>
        <v>Closed</v>
      </c>
      <c r="DA245" s="95" t="str">
        <f>IFERROR(__xludf.DUMMYFUNCTION("""COMPUTED_VALUE"""),"Closed")</f>
        <v>Closed</v>
      </c>
      <c r="DB245" s="96" t="str">
        <f>IFERROR(__xludf.DUMMYFUNCTION("""COMPUTED_VALUE"""),"Closed")</f>
        <v>Closed</v>
      </c>
      <c r="DC245" s="97" t="str">
        <f>IFERROR(__xludf.DUMMYFUNCTION("""COMPUTED_VALUE"""),"Closed")</f>
        <v>Closed</v>
      </c>
      <c r="DD245" s="95" t="str">
        <f>IFERROR(__xludf.DUMMYFUNCTION("""COMPUTED_VALUE"""),"Closed")</f>
        <v>Closed</v>
      </c>
      <c r="DE245" s="96" t="str">
        <f>IFERROR(__xludf.DUMMYFUNCTION("""COMPUTED_VALUE"""),"Closed")</f>
        <v>Closed</v>
      </c>
      <c r="DF245" s="97" t="str">
        <f>IFERROR(__xludf.DUMMYFUNCTION("""COMPUTED_VALUE"""),"Closed")</f>
        <v>Closed</v>
      </c>
      <c r="DG245" s="95" t="str">
        <f>IFERROR(__xludf.DUMMYFUNCTION("""COMPUTED_VALUE"""),"Closed")</f>
        <v>Closed</v>
      </c>
      <c r="DH245" s="96" t="str">
        <f>IFERROR(__xludf.DUMMYFUNCTION("""COMPUTED_VALUE"""),"Closed")</f>
        <v>Closed</v>
      </c>
      <c r="DI245" s="97" t="str">
        <f>IFERROR(__xludf.DUMMYFUNCTION("""COMPUTED_VALUE"""),"Closed")</f>
        <v>Closed</v>
      </c>
      <c r="DJ245" s="95" t="str">
        <f>IFERROR(__xludf.DUMMYFUNCTION("""COMPUTED_VALUE"""),"Closed")</f>
        <v>Closed</v>
      </c>
      <c r="DK245" s="96" t="str">
        <f>IFERROR(__xludf.DUMMYFUNCTION("""COMPUTED_VALUE"""),"Closed")</f>
        <v>Closed</v>
      </c>
      <c r="DL245" s="97" t="str">
        <f>IFERROR(__xludf.DUMMYFUNCTION("""COMPUTED_VALUE"""),"Closed")</f>
        <v>Closed</v>
      </c>
      <c r="DM245" s="95" t="str">
        <f>IFERROR(__xludf.DUMMYFUNCTION("""COMPUTED_VALUE"""),"Closed")</f>
        <v>Closed</v>
      </c>
      <c r="DN245" s="96" t="str">
        <f>IFERROR(__xludf.DUMMYFUNCTION("""COMPUTED_VALUE"""),"Closed")</f>
        <v>Closed</v>
      </c>
      <c r="DO245" s="97" t="str">
        <f>IFERROR(__xludf.DUMMYFUNCTION("""COMPUTED_VALUE"""),"Closed")</f>
        <v>Closed</v>
      </c>
      <c r="DP245" s="95" t="str">
        <f>IFERROR(__xludf.DUMMYFUNCTION("""COMPUTED_VALUE"""),"Closed")</f>
        <v>Closed</v>
      </c>
      <c r="DQ245" s="96" t="str">
        <f>IFERROR(__xludf.DUMMYFUNCTION("""COMPUTED_VALUE"""),"Closed")</f>
        <v>Closed</v>
      </c>
      <c r="DR245" s="97"/>
      <c r="DS245" s="95"/>
    </row>
    <row r="246" hidden="1">
      <c r="B246" s="180" t="str">
        <f>IFERROR(__xludf.DUMMYFUNCTION("""COMPUTED_VALUE"""),"OLP10")</f>
        <v>OLP10</v>
      </c>
      <c r="C246" s="88" t="str">
        <f>IFERROR(__xludf.DUMMYFUNCTION("""COMPUTED_VALUE"""),"Grand Altar")</f>
        <v>Grand Altar</v>
      </c>
      <c r="D246" s="102">
        <f>IFERROR(__xludf.DUMMYFUNCTION("""COMPUTED_VALUE"""),21.0)</f>
        <v>21</v>
      </c>
      <c r="E246" s="82" t="b">
        <f>IFERROR(__xludf.DUMMYFUNCTION("""COMPUTED_VALUE"""),FALSE)</f>
        <v>0</v>
      </c>
      <c r="F246" s="82" t="str">
        <f>IFERROR(__xludf.DUMMYFUNCTION("""COMPUTED_VALUE"""),"Free Quests- Part 2!A847:J858")</f>
        <v>Free Quests- Part 2!A847:J858</v>
      </c>
      <c r="G246" s="82">
        <f>IFERROR(__xludf.DUMMYFUNCTION("""COMPUTED_VALUE"""),246.0)</f>
        <v>246</v>
      </c>
      <c r="H246" s="82" t="str">
        <f>IFERROR(__xludf.DUMMYFUNCTION("""COMPUTED_VALUE"""),"Closed")</f>
        <v>Closed</v>
      </c>
      <c r="I246" s="95" t="str">
        <f>IFERROR(__xludf.DUMMYFUNCTION("""COMPUTED_VALUE"""),"Closed")</f>
        <v>Closed</v>
      </c>
      <c r="J246" s="96" t="str">
        <f>IFERROR(__xludf.DUMMYFUNCTION("""COMPUTED_VALUE"""),"Closed")</f>
        <v>Closed</v>
      </c>
      <c r="K246" s="97" t="str">
        <f>IFERROR(__xludf.DUMMYFUNCTION("""COMPUTED_VALUE"""),"Closed")</f>
        <v>Closed</v>
      </c>
      <c r="L246" s="95" t="str">
        <f>IFERROR(__xludf.DUMMYFUNCTION("""COMPUTED_VALUE"""),"Closed")</f>
        <v>Closed</v>
      </c>
      <c r="M246" s="96" t="str">
        <f>IFERROR(__xludf.DUMMYFUNCTION("""COMPUTED_VALUE"""),"Closed")</f>
        <v>Closed</v>
      </c>
      <c r="N246" s="97" t="str">
        <f>IFERROR(__xludf.DUMMYFUNCTION("""COMPUTED_VALUE"""),"Closed")</f>
        <v>Closed</v>
      </c>
      <c r="O246" s="95" t="str">
        <f>IFERROR(__xludf.DUMMYFUNCTION("""COMPUTED_VALUE"""),"Closed")</f>
        <v>Closed</v>
      </c>
      <c r="P246" s="96" t="str">
        <f>IFERROR(__xludf.DUMMYFUNCTION("""COMPUTED_VALUE"""),"Closed")</f>
        <v>Closed</v>
      </c>
      <c r="Q246" s="97" t="str">
        <f>IFERROR(__xludf.DUMMYFUNCTION("""COMPUTED_VALUE"""),"Closed")</f>
        <v>Closed</v>
      </c>
      <c r="R246" s="95" t="str">
        <f>IFERROR(__xludf.DUMMYFUNCTION("""COMPUTED_VALUE"""),"Closed")</f>
        <v>Closed</v>
      </c>
      <c r="S246" s="96" t="str">
        <f>IFERROR(__xludf.DUMMYFUNCTION("""COMPUTED_VALUE"""),"Closed")</f>
        <v>Closed</v>
      </c>
      <c r="T246" s="97" t="str">
        <f>IFERROR(__xludf.DUMMYFUNCTION("""COMPUTED_VALUE"""),"Closed")</f>
        <v>Closed</v>
      </c>
      <c r="U246" s="95" t="str">
        <f>IFERROR(__xludf.DUMMYFUNCTION("""COMPUTED_VALUE"""),"Closed")</f>
        <v>Closed</v>
      </c>
      <c r="V246" s="96" t="str">
        <f>IFERROR(__xludf.DUMMYFUNCTION("""COMPUTED_VALUE"""),"Closed")</f>
        <v>Closed</v>
      </c>
      <c r="W246" s="97" t="str">
        <f>IFERROR(__xludf.DUMMYFUNCTION("""COMPUTED_VALUE"""),"Closed")</f>
        <v>Closed</v>
      </c>
      <c r="X246" s="95" t="str">
        <f>IFERROR(__xludf.DUMMYFUNCTION("""COMPUTED_VALUE"""),"Closed")</f>
        <v>Closed</v>
      </c>
      <c r="Y246" s="96" t="str">
        <f>IFERROR(__xludf.DUMMYFUNCTION("""COMPUTED_VALUE"""),"Closed")</f>
        <v>Closed</v>
      </c>
      <c r="Z246" s="97" t="str">
        <f>IFERROR(__xludf.DUMMYFUNCTION("""COMPUTED_VALUE"""),"Closed")</f>
        <v>Closed</v>
      </c>
      <c r="AA246" s="95" t="str">
        <f>IFERROR(__xludf.DUMMYFUNCTION("""COMPUTED_VALUE"""),"Closed")</f>
        <v>Closed</v>
      </c>
      <c r="AB246" s="96" t="str">
        <f>IFERROR(__xludf.DUMMYFUNCTION("""COMPUTED_VALUE"""),"Closed")</f>
        <v>Closed</v>
      </c>
      <c r="AC246" s="97" t="str">
        <f>IFERROR(__xludf.DUMMYFUNCTION("""COMPUTED_VALUE"""),"Closed")</f>
        <v>Closed</v>
      </c>
      <c r="AD246" s="95" t="str">
        <f>IFERROR(__xludf.DUMMYFUNCTION("""COMPUTED_VALUE"""),"Closed")</f>
        <v>Closed</v>
      </c>
      <c r="AE246" s="96" t="str">
        <f>IFERROR(__xludf.DUMMYFUNCTION("""COMPUTED_VALUE"""),"Closed")</f>
        <v>Closed</v>
      </c>
      <c r="AF246" s="97" t="str">
        <f>IFERROR(__xludf.DUMMYFUNCTION("""COMPUTED_VALUE"""),"Closed")</f>
        <v>Closed</v>
      </c>
      <c r="AG246" s="95" t="str">
        <f>IFERROR(__xludf.DUMMYFUNCTION("""COMPUTED_VALUE"""),"Closed")</f>
        <v>Closed</v>
      </c>
      <c r="AH246" s="96" t="str">
        <f>IFERROR(__xludf.DUMMYFUNCTION("""COMPUTED_VALUE"""),"Closed")</f>
        <v>Closed</v>
      </c>
      <c r="AI246" s="97" t="str">
        <f>IFERROR(__xludf.DUMMYFUNCTION("""COMPUTED_VALUE"""),"Closed")</f>
        <v>Closed</v>
      </c>
      <c r="AJ246" s="95" t="str">
        <f>IFERROR(__xludf.DUMMYFUNCTION("""COMPUTED_VALUE"""),"Closed")</f>
        <v>Closed</v>
      </c>
      <c r="AK246" s="96" t="str">
        <f>IFERROR(__xludf.DUMMYFUNCTION("""COMPUTED_VALUE"""),"Closed")</f>
        <v>Closed</v>
      </c>
      <c r="AL246" s="97" t="str">
        <f>IFERROR(__xludf.DUMMYFUNCTION("""COMPUTED_VALUE"""),"Closed")</f>
        <v>Closed</v>
      </c>
      <c r="AM246" s="95" t="str">
        <f>IFERROR(__xludf.DUMMYFUNCTION("""COMPUTED_VALUE"""),"Closed")</f>
        <v>Closed</v>
      </c>
      <c r="AN246" s="96" t="str">
        <f>IFERROR(__xludf.DUMMYFUNCTION("""COMPUTED_VALUE"""),"Closed")</f>
        <v>Closed</v>
      </c>
      <c r="AO246" s="97" t="str">
        <f>IFERROR(__xludf.DUMMYFUNCTION("""COMPUTED_VALUE"""),"Closed")</f>
        <v>Closed</v>
      </c>
      <c r="AP246" s="95" t="str">
        <f>IFERROR(__xludf.DUMMYFUNCTION("""COMPUTED_VALUE"""),"Closed")</f>
        <v>Closed</v>
      </c>
      <c r="AQ246" s="96" t="str">
        <f>IFERROR(__xludf.DUMMYFUNCTION("""COMPUTED_VALUE"""),"Closed")</f>
        <v>Closed</v>
      </c>
      <c r="AR246" s="97" t="str">
        <f>IFERROR(__xludf.DUMMYFUNCTION("""COMPUTED_VALUE"""),"Closed")</f>
        <v>Closed</v>
      </c>
      <c r="AS246" s="95" t="str">
        <f>IFERROR(__xludf.DUMMYFUNCTION("""COMPUTED_VALUE"""),"Closed")</f>
        <v>Closed</v>
      </c>
      <c r="AT246" s="96" t="str">
        <f>IFERROR(__xludf.DUMMYFUNCTION("""COMPUTED_VALUE"""),"Closed")</f>
        <v>Closed</v>
      </c>
      <c r="AU246" s="97" t="str">
        <f>IFERROR(__xludf.DUMMYFUNCTION("""COMPUTED_VALUE"""),"Closed")</f>
        <v>Closed</v>
      </c>
      <c r="AV246" s="95" t="str">
        <f>IFERROR(__xludf.DUMMYFUNCTION("""COMPUTED_VALUE"""),"Closed")</f>
        <v>Closed</v>
      </c>
      <c r="AW246" s="96" t="str">
        <f>IFERROR(__xludf.DUMMYFUNCTION("""COMPUTED_VALUE"""),"Closed")</f>
        <v>Closed</v>
      </c>
      <c r="AX246" s="97" t="str">
        <f>IFERROR(__xludf.DUMMYFUNCTION("""COMPUTED_VALUE"""),"Closed")</f>
        <v>Closed</v>
      </c>
      <c r="AY246" s="95" t="str">
        <f>IFERROR(__xludf.DUMMYFUNCTION("""COMPUTED_VALUE"""),"Closed")</f>
        <v>Closed</v>
      </c>
      <c r="AZ246" s="96" t="str">
        <f>IFERROR(__xludf.DUMMYFUNCTION("""COMPUTED_VALUE"""),"Closed")</f>
        <v>Closed</v>
      </c>
      <c r="BA246" s="97" t="str">
        <f>IFERROR(__xludf.DUMMYFUNCTION("""COMPUTED_VALUE"""),"Closed")</f>
        <v>Closed</v>
      </c>
      <c r="BB246" s="95" t="str">
        <f>IFERROR(__xludf.DUMMYFUNCTION("""COMPUTED_VALUE"""),"Closed")</f>
        <v>Closed</v>
      </c>
      <c r="BC246" s="96" t="str">
        <f>IFERROR(__xludf.DUMMYFUNCTION("""COMPUTED_VALUE"""),"Closed")</f>
        <v>Closed</v>
      </c>
      <c r="BD246" s="97" t="str">
        <f>IFERROR(__xludf.DUMMYFUNCTION("""COMPUTED_VALUE"""),"Closed")</f>
        <v>Closed</v>
      </c>
      <c r="BE246" s="95" t="str">
        <f>IFERROR(__xludf.DUMMYFUNCTION("""COMPUTED_VALUE"""),"Closed")</f>
        <v>Closed</v>
      </c>
      <c r="BF246" s="96" t="str">
        <f>IFERROR(__xludf.DUMMYFUNCTION("""COMPUTED_VALUE"""),"Closed")</f>
        <v>Closed</v>
      </c>
      <c r="BG246" s="97" t="str">
        <f>IFERROR(__xludf.DUMMYFUNCTION("""COMPUTED_VALUE"""),"Closed")</f>
        <v>Closed</v>
      </c>
      <c r="BH246" s="95" t="str">
        <f>IFERROR(__xludf.DUMMYFUNCTION("""COMPUTED_VALUE"""),"Closed")</f>
        <v>Closed</v>
      </c>
      <c r="BI246" s="96" t="str">
        <f>IFERROR(__xludf.DUMMYFUNCTION("""COMPUTED_VALUE"""),"Closed")</f>
        <v>Closed</v>
      </c>
      <c r="BJ246" s="97" t="str">
        <f>IFERROR(__xludf.DUMMYFUNCTION("""COMPUTED_VALUE"""),"Closed")</f>
        <v>Closed</v>
      </c>
      <c r="BK246" s="95" t="str">
        <f>IFERROR(__xludf.DUMMYFUNCTION("""COMPUTED_VALUE"""),"Closed")</f>
        <v>Closed</v>
      </c>
      <c r="BL246" s="96" t="str">
        <f>IFERROR(__xludf.DUMMYFUNCTION("""COMPUTED_VALUE"""),"Closed")</f>
        <v>Closed</v>
      </c>
      <c r="BM246" s="97" t="str">
        <f>IFERROR(__xludf.DUMMYFUNCTION("""COMPUTED_VALUE"""),"Closed")</f>
        <v>Closed</v>
      </c>
      <c r="BN246" s="95" t="str">
        <f>IFERROR(__xludf.DUMMYFUNCTION("""COMPUTED_VALUE"""),"Closed")</f>
        <v>Closed</v>
      </c>
      <c r="BO246" s="96" t="str">
        <f>IFERROR(__xludf.DUMMYFUNCTION("""COMPUTED_VALUE"""),"Closed")</f>
        <v>Closed</v>
      </c>
      <c r="BP246" s="97" t="str">
        <f>IFERROR(__xludf.DUMMYFUNCTION("""COMPUTED_VALUE"""),"Closed")</f>
        <v>Closed</v>
      </c>
      <c r="BQ246" s="95" t="str">
        <f>IFERROR(__xludf.DUMMYFUNCTION("""COMPUTED_VALUE"""),"Closed")</f>
        <v>Closed</v>
      </c>
      <c r="BR246" s="96" t="str">
        <f>IFERROR(__xludf.DUMMYFUNCTION("""COMPUTED_VALUE"""),"Closed")</f>
        <v>Closed</v>
      </c>
      <c r="BS246" s="97" t="str">
        <f>IFERROR(__xludf.DUMMYFUNCTION("""COMPUTED_VALUE"""),"Closed")</f>
        <v>Closed</v>
      </c>
      <c r="BT246" s="95" t="str">
        <f>IFERROR(__xludf.DUMMYFUNCTION("""COMPUTED_VALUE"""),"Closed")</f>
        <v>Closed</v>
      </c>
      <c r="BU246" s="96" t="str">
        <f>IFERROR(__xludf.DUMMYFUNCTION("""COMPUTED_VALUE"""),"Closed")</f>
        <v>Closed</v>
      </c>
      <c r="BV246" s="97" t="str">
        <f>IFERROR(__xludf.DUMMYFUNCTION("""COMPUTED_VALUE"""),"Closed")</f>
        <v>Closed</v>
      </c>
      <c r="BW246" s="95" t="str">
        <f>IFERROR(__xludf.DUMMYFUNCTION("""COMPUTED_VALUE"""),"Closed")</f>
        <v>Closed</v>
      </c>
      <c r="BX246" s="96" t="str">
        <f>IFERROR(__xludf.DUMMYFUNCTION("""COMPUTED_VALUE"""),"Closed")</f>
        <v>Closed</v>
      </c>
      <c r="BY246" s="97" t="str">
        <f>IFERROR(__xludf.DUMMYFUNCTION("""COMPUTED_VALUE"""),"Closed")</f>
        <v>Closed</v>
      </c>
      <c r="BZ246" s="95" t="str">
        <f>IFERROR(__xludf.DUMMYFUNCTION("""COMPUTED_VALUE"""),"Closed")</f>
        <v>Closed</v>
      </c>
      <c r="CA246" s="96" t="str">
        <f>IFERROR(__xludf.DUMMYFUNCTION("""COMPUTED_VALUE"""),"Closed")</f>
        <v>Closed</v>
      </c>
      <c r="CB246" s="97" t="str">
        <f>IFERROR(__xludf.DUMMYFUNCTION("""COMPUTED_VALUE"""),"Closed")</f>
        <v>Closed</v>
      </c>
      <c r="CC246" s="95" t="str">
        <f>IFERROR(__xludf.DUMMYFUNCTION("""COMPUTED_VALUE"""),"Closed")</f>
        <v>Closed</v>
      </c>
      <c r="CD246" s="96" t="str">
        <f>IFERROR(__xludf.DUMMYFUNCTION("""COMPUTED_VALUE"""),"Closed")</f>
        <v>Closed</v>
      </c>
      <c r="CE246" s="97" t="str">
        <f>IFERROR(__xludf.DUMMYFUNCTION("""COMPUTED_VALUE"""),"Closed")</f>
        <v>Closed</v>
      </c>
      <c r="CF246" s="95" t="str">
        <f>IFERROR(__xludf.DUMMYFUNCTION("""COMPUTED_VALUE"""),"Closed")</f>
        <v>Closed</v>
      </c>
      <c r="CG246" s="96" t="str">
        <f>IFERROR(__xludf.DUMMYFUNCTION("""COMPUTED_VALUE"""),"Closed")</f>
        <v>Closed</v>
      </c>
      <c r="CH246" s="96" t="str">
        <f>IFERROR(__xludf.DUMMYFUNCTION("""COMPUTED_VALUE"""),"Closed")</f>
        <v>Closed</v>
      </c>
      <c r="CI246" s="95" t="str">
        <f>IFERROR(__xludf.DUMMYFUNCTION("""COMPUTED_VALUE"""),"Closed")</f>
        <v>Closed</v>
      </c>
      <c r="CJ246" s="96" t="str">
        <f>IFERROR(__xludf.DUMMYFUNCTION("""COMPUTED_VALUE"""),"Closed")</f>
        <v>Closed</v>
      </c>
      <c r="CK246" s="96" t="str">
        <f>IFERROR(__xludf.DUMMYFUNCTION("""COMPUTED_VALUE"""),"Closed")</f>
        <v>Closed</v>
      </c>
      <c r="CL246" s="95" t="str">
        <f>IFERROR(__xludf.DUMMYFUNCTION("""COMPUTED_VALUE"""),"Closed")</f>
        <v>Closed</v>
      </c>
      <c r="CM246" s="96" t="str">
        <f>IFERROR(__xludf.DUMMYFUNCTION("""COMPUTED_VALUE"""),"Closed")</f>
        <v>Closed</v>
      </c>
      <c r="CN246" s="96" t="str">
        <f>IFERROR(__xludf.DUMMYFUNCTION("""COMPUTED_VALUE"""),"Closed")</f>
        <v>Closed</v>
      </c>
      <c r="CO246" s="95" t="str">
        <f>IFERROR(__xludf.DUMMYFUNCTION("""COMPUTED_VALUE"""),"Closed")</f>
        <v>Closed</v>
      </c>
      <c r="CP246" s="96" t="str">
        <f>IFERROR(__xludf.DUMMYFUNCTION("""COMPUTED_VALUE"""),"Closed")</f>
        <v>Closed</v>
      </c>
      <c r="CQ246" s="96" t="str">
        <f>IFERROR(__xludf.DUMMYFUNCTION("""COMPUTED_VALUE"""),"Closed")</f>
        <v>Closed</v>
      </c>
      <c r="CR246" s="95" t="str">
        <f>IFERROR(__xludf.DUMMYFUNCTION("""COMPUTED_VALUE"""),"Closed")</f>
        <v>Closed</v>
      </c>
      <c r="CS246" s="96" t="str">
        <f>IFERROR(__xludf.DUMMYFUNCTION("""COMPUTED_VALUE"""),"Closed")</f>
        <v>Closed</v>
      </c>
      <c r="CT246" s="96" t="str">
        <f>IFERROR(__xludf.DUMMYFUNCTION("""COMPUTED_VALUE"""),"Closed")</f>
        <v>Closed</v>
      </c>
      <c r="CU246" s="95" t="str">
        <f>IFERROR(__xludf.DUMMYFUNCTION("""COMPUTED_VALUE"""),"Closed")</f>
        <v>Closed</v>
      </c>
      <c r="CV246" s="96" t="str">
        <f>IFERROR(__xludf.DUMMYFUNCTION("""COMPUTED_VALUE"""),"Closed")</f>
        <v>Closed</v>
      </c>
      <c r="CW246" s="97" t="str">
        <f>IFERROR(__xludf.DUMMYFUNCTION("""COMPUTED_VALUE"""),"Closed")</f>
        <v>Closed</v>
      </c>
      <c r="CX246" s="96" t="str">
        <f>IFERROR(__xludf.DUMMYFUNCTION("""COMPUTED_VALUE"""),"Closed")</f>
        <v>Closed</v>
      </c>
      <c r="CY246" s="96" t="str">
        <f>IFERROR(__xludf.DUMMYFUNCTION("""COMPUTED_VALUE"""),"Closed")</f>
        <v>Closed</v>
      </c>
      <c r="CZ246" s="97" t="str">
        <f>IFERROR(__xludf.DUMMYFUNCTION("""COMPUTED_VALUE"""),"Closed")</f>
        <v>Closed</v>
      </c>
      <c r="DA246" s="95" t="str">
        <f>IFERROR(__xludf.DUMMYFUNCTION("""COMPUTED_VALUE"""),"Closed")</f>
        <v>Closed</v>
      </c>
      <c r="DB246" s="96" t="str">
        <f>IFERROR(__xludf.DUMMYFUNCTION("""COMPUTED_VALUE"""),"Closed")</f>
        <v>Closed</v>
      </c>
      <c r="DC246" s="97" t="str">
        <f>IFERROR(__xludf.DUMMYFUNCTION("""COMPUTED_VALUE"""),"Closed")</f>
        <v>Closed</v>
      </c>
      <c r="DD246" s="95" t="str">
        <f>IFERROR(__xludf.DUMMYFUNCTION("""COMPUTED_VALUE"""),"Closed")</f>
        <v>Closed</v>
      </c>
      <c r="DE246" s="96" t="str">
        <f>IFERROR(__xludf.DUMMYFUNCTION("""COMPUTED_VALUE"""),"Closed")</f>
        <v>Closed</v>
      </c>
      <c r="DF246" s="97" t="str">
        <f>IFERROR(__xludf.DUMMYFUNCTION("""COMPUTED_VALUE"""),"Closed")</f>
        <v>Closed</v>
      </c>
      <c r="DG246" s="95" t="str">
        <f>IFERROR(__xludf.DUMMYFUNCTION("""COMPUTED_VALUE"""),"Closed")</f>
        <v>Closed</v>
      </c>
      <c r="DH246" s="96" t="str">
        <f>IFERROR(__xludf.DUMMYFUNCTION("""COMPUTED_VALUE"""),"Closed")</f>
        <v>Closed</v>
      </c>
      <c r="DI246" s="97" t="str">
        <f>IFERROR(__xludf.DUMMYFUNCTION("""COMPUTED_VALUE"""),"Closed")</f>
        <v>Closed</v>
      </c>
      <c r="DJ246" s="95" t="str">
        <f>IFERROR(__xludf.DUMMYFUNCTION("""COMPUTED_VALUE"""),"Closed")</f>
        <v>Closed</v>
      </c>
      <c r="DK246" s="96" t="str">
        <f>IFERROR(__xludf.DUMMYFUNCTION("""COMPUTED_VALUE"""),"Closed")</f>
        <v>Closed</v>
      </c>
      <c r="DL246" s="97" t="str">
        <f>IFERROR(__xludf.DUMMYFUNCTION("""COMPUTED_VALUE"""),"Closed")</f>
        <v>Closed</v>
      </c>
      <c r="DM246" s="95" t="str">
        <f>IFERROR(__xludf.DUMMYFUNCTION("""COMPUTED_VALUE"""),"Closed")</f>
        <v>Closed</v>
      </c>
      <c r="DN246" s="96" t="str">
        <f>IFERROR(__xludf.DUMMYFUNCTION("""COMPUTED_VALUE"""),"Closed")</f>
        <v>Closed</v>
      </c>
      <c r="DO246" s="97" t="str">
        <f>IFERROR(__xludf.DUMMYFUNCTION("""COMPUTED_VALUE"""),"Closed")</f>
        <v>Closed</v>
      </c>
      <c r="DP246" s="95" t="str">
        <f>IFERROR(__xludf.DUMMYFUNCTION("""COMPUTED_VALUE"""),"Closed")</f>
        <v>Closed</v>
      </c>
      <c r="DQ246" s="96" t="str">
        <f>IFERROR(__xludf.DUMMYFUNCTION("""COMPUTED_VALUE"""),"Closed")</f>
        <v>Closed</v>
      </c>
      <c r="DR246" s="97"/>
      <c r="DS246" s="95"/>
    </row>
    <row r="247" hidden="1">
      <c r="B247" s="180" t="str">
        <f>IFERROR(__xludf.DUMMYFUNCTION("""COMPUTED_VALUE"""),"OLP11")</f>
        <v>OLP11</v>
      </c>
      <c r="C247" s="88" t="str">
        <f>IFERROR(__xludf.DUMMYFUNCTION("""COMPUTED_VALUE"""),"Underground Belt Mechanism - Outer Region")</f>
        <v>Underground Belt Mechanism - Outer Region</v>
      </c>
      <c r="D247" s="102">
        <f>IFERROR(__xludf.DUMMYFUNCTION("""COMPUTED_VALUE"""),21.0)</f>
        <v>21</v>
      </c>
      <c r="E247" s="82" t="b">
        <f>IFERROR(__xludf.DUMMYFUNCTION("""COMPUTED_VALUE"""),FALSE)</f>
        <v>0</v>
      </c>
      <c r="F247" s="82" t="str">
        <f>IFERROR(__xludf.DUMMYFUNCTION("""COMPUTED_VALUE"""),"Free Quests- Part 2!A862:J867")</f>
        <v>Free Quests- Part 2!A862:J867</v>
      </c>
      <c r="G247" s="82">
        <f>IFERROR(__xludf.DUMMYFUNCTION("""COMPUTED_VALUE"""),247.0)</f>
        <v>247</v>
      </c>
      <c r="H247" s="82" t="str">
        <f>IFERROR(__xludf.DUMMYFUNCTION("""COMPUTED_VALUE"""),"Closed")</f>
        <v>Closed</v>
      </c>
      <c r="I247" s="95" t="str">
        <f>IFERROR(__xludf.DUMMYFUNCTION("""COMPUTED_VALUE"""),"Closed")</f>
        <v>Closed</v>
      </c>
      <c r="J247" s="96" t="str">
        <f>IFERROR(__xludf.DUMMYFUNCTION("""COMPUTED_VALUE"""),"Closed")</f>
        <v>Closed</v>
      </c>
      <c r="K247" s="97" t="str">
        <f>IFERROR(__xludf.DUMMYFUNCTION("""COMPUTED_VALUE"""),"Closed")</f>
        <v>Closed</v>
      </c>
      <c r="L247" s="95" t="str">
        <f>IFERROR(__xludf.DUMMYFUNCTION("""COMPUTED_VALUE"""),"Closed")</f>
        <v>Closed</v>
      </c>
      <c r="M247" s="96" t="str">
        <f>IFERROR(__xludf.DUMMYFUNCTION("""COMPUTED_VALUE"""),"Closed")</f>
        <v>Closed</v>
      </c>
      <c r="N247" s="97" t="str">
        <f>IFERROR(__xludf.DUMMYFUNCTION("""COMPUTED_VALUE"""),"Closed")</f>
        <v>Closed</v>
      </c>
      <c r="O247" s="95" t="str">
        <f>IFERROR(__xludf.DUMMYFUNCTION("""COMPUTED_VALUE"""),"Closed")</f>
        <v>Closed</v>
      </c>
      <c r="P247" s="96" t="str">
        <f>IFERROR(__xludf.DUMMYFUNCTION("""COMPUTED_VALUE"""),"Closed")</f>
        <v>Closed</v>
      </c>
      <c r="Q247" s="97" t="str">
        <f>IFERROR(__xludf.DUMMYFUNCTION("""COMPUTED_VALUE"""),"Closed")</f>
        <v>Closed</v>
      </c>
      <c r="R247" s="95" t="str">
        <f>IFERROR(__xludf.DUMMYFUNCTION("""COMPUTED_VALUE"""),"Closed")</f>
        <v>Closed</v>
      </c>
      <c r="S247" s="96" t="str">
        <f>IFERROR(__xludf.DUMMYFUNCTION("""COMPUTED_VALUE"""),"Closed")</f>
        <v>Closed</v>
      </c>
      <c r="T247" s="97" t="str">
        <f>IFERROR(__xludf.DUMMYFUNCTION("""COMPUTED_VALUE"""),"Closed")</f>
        <v>Closed</v>
      </c>
      <c r="U247" s="95" t="str">
        <f>IFERROR(__xludf.DUMMYFUNCTION("""COMPUTED_VALUE"""),"Closed")</f>
        <v>Closed</v>
      </c>
      <c r="V247" s="96" t="str">
        <f>IFERROR(__xludf.DUMMYFUNCTION("""COMPUTED_VALUE"""),"Closed")</f>
        <v>Closed</v>
      </c>
      <c r="W247" s="97" t="str">
        <f>IFERROR(__xludf.DUMMYFUNCTION("""COMPUTED_VALUE"""),"Closed")</f>
        <v>Closed</v>
      </c>
      <c r="X247" s="95" t="str">
        <f>IFERROR(__xludf.DUMMYFUNCTION("""COMPUTED_VALUE"""),"Closed")</f>
        <v>Closed</v>
      </c>
      <c r="Y247" s="96" t="str">
        <f>IFERROR(__xludf.DUMMYFUNCTION("""COMPUTED_VALUE"""),"Closed")</f>
        <v>Closed</v>
      </c>
      <c r="Z247" s="97" t="str">
        <f>IFERROR(__xludf.DUMMYFUNCTION("""COMPUTED_VALUE"""),"Closed")</f>
        <v>Closed</v>
      </c>
      <c r="AA247" s="95" t="str">
        <f>IFERROR(__xludf.DUMMYFUNCTION("""COMPUTED_VALUE"""),"Closed")</f>
        <v>Closed</v>
      </c>
      <c r="AB247" s="96" t="str">
        <f>IFERROR(__xludf.DUMMYFUNCTION("""COMPUTED_VALUE"""),"Closed")</f>
        <v>Closed</v>
      </c>
      <c r="AC247" s="97" t="str">
        <f>IFERROR(__xludf.DUMMYFUNCTION("""COMPUTED_VALUE"""),"Closed")</f>
        <v>Closed</v>
      </c>
      <c r="AD247" s="95" t="str">
        <f>IFERROR(__xludf.DUMMYFUNCTION("""COMPUTED_VALUE"""),"Closed")</f>
        <v>Closed</v>
      </c>
      <c r="AE247" s="96" t="str">
        <f>IFERROR(__xludf.DUMMYFUNCTION("""COMPUTED_VALUE"""),"Closed")</f>
        <v>Closed</v>
      </c>
      <c r="AF247" s="97" t="str">
        <f>IFERROR(__xludf.DUMMYFUNCTION("""COMPUTED_VALUE"""),"Closed")</f>
        <v>Closed</v>
      </c>
      <c r="AG247" s="95" t="str">
        <f>IFERROR(__xludf.DUMMYFUNCTION("""COMPUTED_VALUE"""),"Closed")</f>
        <v>Closed</v>
      </c>
      <c r="AH247" s="96" t="str">
        <f>IFERROR(__xludf.DUMMYFUNCTION("""COMPUTED_VALUE"""),"Closed")</f>
        <v>Closed</v>
      </c>
      <c r="AI247" s="97" t="str">
        <f>IFERROR(__xludf.DUMMYFUNCTION("""COMPUTED_VALUE"""),"Closed")</f>
        <v>Closed</v>
      </c>
      <c r="AJ247" s="95" t="str">
        <f>IFERROR(__xludf.DUMMYFUNCTION("""COMPUTED_VALUE"""),"Closed")</f>
        <v>Closed</v>
      </c>
      <c r="AK247" s="96" t="str">
        <f>IFERROR(__xludf.DUMMYFUNCTION("""COMPUTED_VALUE"""),"Closed")</f>
        <v>Closed</v>
      </c>
      <c r="AL247" s="97" t="str">
        <f>IFERROR(__xludf.DUMMYFUNCTION("""COMPUTED_VALUE"""),"Closed")</f>
        <v>Closed</v>
      </c>
      <c r="AM247" s="95" t="str">
        <f>IFERROR(__xludf.DUMMYFUNCTION("""COMPUTED_VALUE"""),"Closed")</f>
        <v>Closed</v>
      </c>
      <c r="AN247" s="96" t="str">
        <f>IFERROR(__xludf.DUMMYFUNCTION("""COMPUTED_VALUE"""),"Closed")</f>
        <v>Closed</v>
      </c>
      <c r="AO247" s="97" t="str">
        <f>IFERROR(__xludf.DUMMYFUNCTION("""COMPUTED_VALUE"""),"Closed")</f>
        <v>Closed</v>
      </c>
      <c r="AP247" s="95" t="str">
        <f>IFERROR(__xludf.DUMMYFUNCTION("""COMPUTED_VALUE"""),"Closed")</f>
        <v>Closed</v>
      </c>
      <c r="AQ247" s="96" t="str">
        <f>IFERROR(__xludf.DUMMYFUNCTION("""COMPUTED_VALUE"""),"Closed")</f>
        <v>Closed</v>
      </c>
      <c r="AR247" s="97" t="str">
        <f>IFERROR(__xludf.DUMMYFUNCTION("""COMPUTED_VALUE"""),"Closed")</f>
        <v>Closed</v>
      </c>
      <c r="AS247" s="95" t="str">
        <f>IFERROR(__xludf.DUMMYFUNCTION("""COMPUTED_VALUE"""),"Closed")</f>
        <v>Closed</v>
      </c>
      <c r="AT247" s="96" t="str">
        <f>IFERROR(__xludf.DUMMYFUNCTION("""COMPUTED_VALUE"""),"Closed")</f>
        <v>Closed</v>
      </c>
      <c r="AU247" s="97" t="str">
        <f>IFERROR(__xludf.DUMMYFUNCTION("""COMPUTED_VALUE"""),"Closed")</f>
        <v>Closed</v>
      </c>
      <c r="AV247" s="95" t="str">
        <f>IFERROR(__xludf.DUMMYFUNCTION("""COMPUTED_VALUE"""),"Closed")</f>
        <v>Closed</v>
      </c>
      <c r="AW247" s="96" t="str">
        <f>IFERROR(__xludf.DUMMYFUNCTION("""COMPUTED_VALUE"""),"Closed")</f>
        <v>Closed</v>
      </c>
      <c r="AX247" s="97" t="str">
        <f>IFERROR(__xludf.DUMMYFUNCTION("""COMPUTED_VALUE"""),"Closed")</f>
        <v>Closed</v>
      </c>
      <c r="AY247" s="95" t="str">
        <f>IFERROR(__xludf.DUMMYFUNCTION("""COMPUTED_VALUE"""),"Closed")</f>
        <v>Closed</v>
      </c>
      <c r="AZ247" s="96" t="str">
        <f>IFERROR(__xludf.DUMMYFUNCTION("""COMPUTED_VALUE"""),"Closed")</f>
        <v>Closed</v>
      </c>
      <c r="BA247" s="97" t="str">
        <f>IFERROR(__xludf.DUMMYFUNCTION("""COMPUTED_VALUE"""),"Closed")</f>
        <v>Closed</v>
      </c>
      <c r="BB247" s="95" t="str">
        <f>IFERROR(__xludf.DUMMYFUNCTION("""COMPUTED_VALUE"""),"Closed")</f>
        <v>Closed</v>
      </c>
      <c r="BC247" s="96" t="str">
        <f>IFERROR(__xludf.DUMMYFUNCTION("""COMPUTED_VALUE"""),"Closed")</f>
        <v>Closed</v>
      </c>
      <c r="BD247" s="97" t="str">
        <f>IFERROR(__xludf.DUMMYFUNCTION("""COMPUTED_VALUE"""),"Closed")</f>
        <v>Closed</v>
      </c>
      <c r="BE247" s="95" t="str">
        <f>IFERROR(__xludf.DUMMYFUNCTION("""COMPUTED_VALUE"""),"Closed")</f>
        <v>Closed</v>
      </c>
      <c r="BF247" s="96" t="str">
        <f>IFERROR(__xludf.DUMMYFUNCTION("""COMPUTED_VALUE"""),"Closed")</f>
        <v>Closed</v>
      </c>
      <c r="BG247" s="97" t="str">
        <f>IFERROR(__xludf.DUMMYFUNCTION("""COMPUTED_VALUE"""),"Closed")</f>
        <v>Closed</v>
      </c>
      <c r="BH247" s="95" t="str">
        <f>IFERROR(__xludf.DUMMYFUNCTION("""COMPUTED_VALUE"""),"Closed")</f>
        <v>Closed</v>
      </c>
      <c r="BI247" s="96" t="str">
        <f>IFERROR(__xludf.DUMMYFUNCTION("""COMPUTED_VALUE"""),"Closed")</f>
        <v>Closed</v>
      </c>
      <c r="BJ247" s="97" t="str">
        <f>IFERROR(__xludf.DUMMYFUNCTION("""COMPUTED_VALUE"""),"Closed")</f>
        <v>Closed</v>
      </c>
      <c r="BK247" s="95" t="str">
        <f>IFERROR(__xludf.DUMMYFUNCTION("""COMPUTED_VALUE"""),"Closed")</f>
        <v>Closed</v>
      </c>
      <c r="BL247" s="96" t="str">
        <f>IFERROR(__xludf.DUMMYFUNCTION("""COMPUTED_VALUE"""),"Closed")</f>
        <v>Closed</v>
      </c>
      <c r="BM247" s="97" t="str">
        <f>IFERROR(__xludf.DUMMYFUNCTION("""COMPUTED_VALUE"""),"Closed")</f>
        <v>Closed</v>
      </c>
      <c r="BN247" s="95" t="str">
        <f>IFERROR(__xludf.DUMMYFUNCTION("""COMPUTED_VALUE"""),"Closed")</f>
        <v>Closed</v>
      </c>
      <c r="BO247" s="96" t="str">
        <f>IFERROR(__xludf.DUMMYFUNCTION("""COMPUTED_VALUE"""),"Closed")</f>
        <v>Closed</v>
      </c>
      <c r="BP247" s="97" t="str">
        <f>IFERROR(__xludf.DUMMYFUNCTION("""COMPUTED_VALUE"""),"Closed")</f>
        <v>Closed</v>
      </c>
      <c r="BQ247" s="95" t="str">
        <f>IFERROR(__xludf.DUMMYFUNCTION("""COMPUTED_VALUE"""),"Closed")</f>
        <v>Closed</v>
      </c>
      <c r="BR247" s="96" t="str">
        <f>IFERROR(__xludf.DUMMYFUNCTION("""COMPUTED_VALUE"""),"Closed")</f>
        <v>Closed</v>
      </c>
      <c r="BS247" s="97" t="str">
        <f>IFERROR(__xludf.DUMMYFUNCTION("""COMPUTED_VALUE"""),"Closed")</f>
        <v>Closed</v>
      </c>
      <c r="BT247" s="95" t="str">
        <f>IFERROR(__xludf.DUMMYFUNCTION("""COMPUTED_VALUE"""),"Closed")</f>
        <v>Closed</v>
      </c>
      <c r="BU247" s="96" t="str">
        <f>IFERROR(__xludf.DUMMYFUNCTION("""COMPUTED_VALUE"""),"Closed")</f>
        <v>Closed</v>
      </c>
      <c r="BV247" s="97" t="str">
        <f>IFERROR(__xludf.DUMMYFUNCTION("""COMPUTED_VALUE"""),"Closed")</f>
        <v>Closed</v>
      </c>
      <c r="BW247" s="95" t="str">
        <f>IFERROR(__xludf.DUMMYFUNCTION("""COMPUTED_VALUE"""),"Closed")</f>
        <v>Closed</v>
      </c>
      <c r="BX247" s="96" t="str">
        <f>IFERROR(__xludf.DUMMYFUNCTION("""COMPUTED_VALUE"""),"Closed")</f>
        <v>Closed</v>
      </c>
      <c r="BY247" s="97" t="str">
        <f>IFERROR(__xludf.DUMMYFUNCTION("""COMPUTED_VALUE"""),"Closed")</f>
        <v>Closed</v>
      </c>
      <c r="BZ247" s="95" t="str">
        <f>IFERROR(__xludf.DUMMYFUNCTION("""COMPUTED_VALUE"""),"Closed")</f>
        <v>Closed</v>
      </c>
      <c r="CA247" s="96" t="str">
        <f>IFERROR(__xludf.DUMMYFUNCTION("""COMPUTED_VALUE"""),"Closed")</f>
        <v>Closed</v>
      </c>
      <c r="CB247" s="97" t="str">
        <f>IFERROR(__xludf.DUMMYFUNCTION("""COMPUTED_VALUE"""),"Closed")</f>
        <v>Closed</v>
      </c>
      <c r="CC247" s="95" t="str">
        <f>IFERROR(__xludf.DUMMYFUNCTION("""COMPUTED_VALUE"""),"Closed")</f>
        <v>Closed</v>
      </c>
      <c r="CD247" s="96" t="str">
        <f>IFERROR(__xludf.DUMMYFUNCTION("""COMPUTED_VALUE"""),"Closed")</f>
        <v>Closed</v>
      </c>
      <c r="CE247" s="97" t="str">
        <f>IFERROR(__xludf.DUMMYFUNCTION("""COMPUTED_VALUE"""),"Closed")</f>
        <v>Closed</v>
      </c>
      <c r="CF247" s="95" t="str">
        <f>IFERROR(__xludf.DUMMYFUNCTION("""COMPUTED_VALUE"""),"Closed")</f>
        <v>Closed</v>
      </c>
      <c r="CG247" s="96" t="str">
        <f>IFERROR(__xludf.DUMMYFUNCTION("""COMPUTED_VALUE"""),"Closed")</f>
        <v>Closed</v>
      </c>
      <c r="CH247" s="96" t="str">
        <f>IFERROR(__xludf.DUMMYFUNCTION("""COMPUTED_VALUE"""),"Closed")</f>
        <v>Closed</v>
      </c>
      <c r="CI247" s="95" t="str">
        <f>IFERROR(__xludf.DUMMYFUNCTION("""COMPUTED_VALUE"""),"Closed")</f>
        <v>Closed</v>
      </c>
      <c r="CJ247" s="96" t="str">
        <f>IFERROR(__xludf.DUMMYFUNCTION("""COMPUTED_VALUE"""),"Closed")</f>
        <v>Closed</v>
      </c>
      <c r="CK247" s="96" t="str">
        <f>IFERROR(__xludf.DUMMYFUNCTION("""COMPUTED_VALUE"""),"Closed")</f>
        <v>Closed</v>
      </c>
      <c r="CL247" s="95" t="str">
        <f>IFERROR(__xludf.DUMMYFUNCTION("""COMPUTED_VALUE"""),"Closed")</f>
        <v>Closed</v>
      </c>
      <c r="CM247" s="96" t="str">
        <f>IFERROR(__xludf.DUMMYFUNCTION("""COMPUTED_VALUE"""),"Closed")</f>
        <v>Closed</v>
      </c>
      <c r="CN247" s="96" t="str">
        <f>IFERROR(__xludf.DUMMYFUNCTION("""COMPUTED_VALUE"""),"Closed")</f>
        <v>Closed</v>
      </c>
      <c r="CO247" s="95" t="str">
        <f>IFERROR(__xludf.DUMMYFUNCTION("""COMPUTED_VALUE"""),"Closed")</f>
        <v>Closed</v>
      </c>
      <c r="CP247" s="96" t="str">
        <f>IFERROR(__xludf.DUMMYFUNCTION("""COMPUTED_VALUE"""),"Closed")</f>
        <v>Closed</v>
      </c>
      <c r="CQ247" s="96" t="str">
        <f>IFERROR(__xludf.DUMMYFUNCTION("""COMPUTED_VALUE"""),"Closed")</f>
        <v>Closed</v>
      </c>
      <c r="CR247" s="95" t="str">
        <f>IFERROR(__xludf.DUMMYFUNCTION("""COMPUTED_VALUE"""),"Closed")</f>
        <v>Closed</v>
      </c>
      <c r="CS247" s="96" t="str">
        <f>IFERROR(__xludf.DUMMYFUNCTION("""COMPUTED_VALUE"""),"Closed")</f>
        <v>Closed</v>
      </c>
      <c r="CT247" s="96" t="str">
        <f>IFERROR(__xludf.DUMMYFUNCTION("""COMPUTED_VALUE"""),"Closed")</f>
        <v>Closed</v>
      </c>
      <c r="CU247" s="95" t="str">
        <f>IFERROR(__xludf.DUMMYFUNCTION("""COMPUTED_VALUE"""),"Closed")</f>
        <v>Closed</v>
      </c>
      <c r="CV247" s="96" t="str">
        <f>IFERROR(__xludf.DUMMYFUNCTION("""COMPUTED_VALUE"""),"Closed")</f>
        <v>Closed</v>
      </c>
      <c r="CW247" s="97" t="str">
        <f>IFERROR(__xludf.DUMMYFUNCTION("""COMPUTED_VALUE"""),"Closed")</f>
        <v>Closed</v>
      </c>
      <c r="CX247" s="96" t="str">
        <f>IFERROR(__xludf.DUMMYFUNCTION("""COMPUTED_VALUE"""),"Closed")</f>
        <v>Closed</v>
      </c>
      <c r="CY247" s="96" t="str">
        <f>IFERROR(__xludf.DUMMYFUNCTION("""COMPUTED_VALUE"""),"Closed")</f>
        <v>Closed</v>
      </c>
      <c r="CZ247" s="97" t="str">
        <f>IFERROR(__xludf.DUMMYFUNCTION("""COMPUTED_VALUE"""),"Closed")</f>
        <v>Closed</v>
      </c>
      <c r="DA247" s="95" t="str">
        <f>IFERROR(__xludf.DUMMYFUNCTION("""COMPUTED_VALUE"""),"Closed")</f>
        <v>Closed</v>
      </c>
      <c r="DB247" s="96" t="str">
        <f>IFERROR(__xludf.DUMMYFUNCTION("""COMPUTED_VALUE"""),"Closed")</f>
        <v>Closed</v>
      </c>
      <c r="DC247" s="97" t="str">
        <f>IFERROR(__xludf.DUMMYFUNCTION("""COMPUTED_VALUE"""),"Closed")</f>
        <v>Closed</v>
      </c>
      <c r="DD247" s="95" t="str">
        <f>IFERROR(__xludf.DUMMYFUNCTION("""COMPUTED_VALUE"""),"Closed")</f>
        <v>Closed</v>
      </c>
      <c r="DE247" s="96" t="str">
        <f>IFERROR(__xludf.DUMMYFUNCTION("""COMPUTED_VALUE"""),"Closed")</f>
        <v>Closed</v>
      </c>
      <c r="DF247" s="97" t="str">
        <f>IFERROR(__xludf.DUMMYFUNCTION("""COMPUTED_VALUE"""),"Closed")</f>
        <v>Closed</v>
      </c>
      <c r="DG247" s="95" t="str">
        <f>IFERROR(__xludf.DUMMYFUNCTION("""COMPUTED_VALUE"""),"Closed")</f>
        <v>Closed</v>
      </c>
      <c r="DH247" s="96" t="str">
        <f>IFERROR(__xludf.DUMMYFUNCTION("""COMPUTED_VALUE"""),"Closed")</f>
        <v>Closed</v>
      </c>
      <c r="DI247" s="97" t="str">
        <f>IFERROR(__xludf.DUMMYFUNCTION("""COMPUTED_VALUE"""),"Closed")</f>
        <v>Closed</v>
      </c>
      <c r="DJ247" s="95" t="str">
        <f>IFERROR(__xludf.DUMMYFUNCTION("""COMPUTED_VALUE"""),"Closed")</f>
        <v>Closed</v>
      </c>
      <c r="DK247" s="96" t="str">
        <f>IFERROR(__xludf.DUMMYFUNCTION("""COMPUTED_VALUE"""),"Closed")</f>
        <v>Closed</v>
      </c>
      <c r="DL247" s="97" t="str">
        <f>IFERROR(__xludf.DUMMYFUNCTION("""COMPUTED_VALUE"""),"Closed")</f>
        <v>Closed</v>
      </c>
      <c r="DM247" s="95" t="str">
        <f>IFERROR(__xludf.DUMMYFUNCTION("""COMPUTED_VALUE"""),"Closed")</f>
        <v>Closed</v>
      </c>
      <c r="DN247" s="96" t="str">
        <f>IFERROR(__xludf.DUMMYFUNCTION("""COMPUTED_VALUE"""),"Closed")</f>
        <v>Closed</v>
      </c>
      <c r="DO247" s="97" t="str">
        <f>IFERROR(__xludf.DUMMYFUNCTION("""COMPUTED_VALUE"""),"Closed")</f>
        <v>Closed</v>
      </c>
      <c r="DP247" s="95" t="str">
        <f>IFERROR(__xludf.DUMMYFUNCTION("""COMPUTED_VALUE"""),"Closed")</f>
        <v>Closed</v>
      </c>
      <c r="DQ247" s="96" t="str">
        <f>IFERROR(__xludf.DUMMYFUNCTION("""COMPUTED_VALUE"""),"Closed")</f>
        <v>Closed</v>
      </c>
      <c r="DR247" s="97"/>
      <c r="DS247" s="95"/>
    </row>
    <row r="248" hidden="1">
      <c r="A248" t="str">
        <f>IFERROR(__xludf.DUMMYFUNCTION("""COMPUTED_VALUE"""),"Heian-Kyo")</f>
        <v>Heian-Kyo</v>
      </c>
      <c r="B248" s="180" t="str">
        <f>IFERROR(__xludf.DUMMYFUNCTION("""COMPUTED_VALUE"""),"HEA1")</f>
        <v>HEA1</v>
      </c>
      <c r="C248" s="272" t="str">
        <f>IFERROR(__xludf.DUMMYFUNCTION("""COMPUTED_VALUE"""),"Jō Seven, Bō Four")</f>
        <v>Jō Seven, Bō Four</v>
      </c>
      <c r="D248" s="273">
        <f>IFERROR(__xludf.DUMMYFUNCTION("""COMPUTED_VALUE"""),21.0)</f>
        <v>21</v>
      </c>
      <c r="E248" t="b">
        <f>IFERROR(__xludf.DUMMYFUNCTION("""COMPUTED_VALUE"""),FALSE)</f>
        <v>0</v>
      </c>
      <c r="F248" t="str">
        <f>IFERROR(__xludf.DUMMYFUNCTION("""COMPUTED_VALUE"""),"Free Quests- Part 2!A871:J881")</f>
        <v>Free Quests- Part 2!A871:J881</v>
      </c>
      <c r="G248">
        <f>IFERROR(__xludf.DUMMYFUNCTION("""COMPUTED_VALUE"""),248.0)</f>
        <v>248</v>
      </c>
      <c r="H248" t="str">
        <f>IFERROR(__xludf.DUMMYFUNCTION("""COMPUTED_VALUE"""),"Closed")</f>
        <v>Closed</v>
      </c>
      <c r="I248" s="274" t="str">
        <f>IFERROR(__xludf.DUMMYFUNCTION("""COMPUTED_VALUE"""),"Closed")</f>
        <v>Closed</v>
      </c>
      <c r="J248" s="275" t="str">
        <f>IFERROR(__xludf.DUMMYFUNCTION("""COMPUTED_VALUE"""),"Closed")</f>
        <v>Closed</v>
      </c>
      <c r="K248" s="276" t="str">
        <f>IFERROR(__xludf.DUMMYFUNCTION("""COMPUTED_VALUE"""),"Closed")</f>
        <v>Closed</v>
      </c>
      <c r="L248" s="274" t="str">
        <f>IFERROR(__xludf.DUMMYFUNCTION("""COMPUTED_VALUE"""),"Closed")</f>
        <v>Closed</v>
      </c>
      <c r="M248" s="275" t="str">
        <f>IFERROR(__xludf.DUMMYFUNCTION("""COMPUTED_VALUE"""),"Closed")</f>
        <v>Closed</v>
      </c>
      <c r="N248" s="276" t="str">
        <f>IFERROR(__xludf.DUMMYFUNCTION("""COMPUTED_VALUE"""),"Closed")</f>
        <v>Closed</v>
      </c>
      <c r="O248" s="274" t="str">
        <f>IFERROR(__xludf.DUMMYFUNCTION("""COMPUTED_VALUE"""),"Closed")</f>
        <v>Closed</v>
      </c>
      <c r="P248" s="275" t="str">
        <f>IFERROR(__xludf.DUMMYFUNCTION("""COMPUTED_VALUE"""),"Closed")</f>
        <v>Closed</v>
      </c>
      <c r="Q248" s="276" t="str">
        <f>IFERROR(__xludf.DUMMYFUNCTION("""COMPUTED_VALUE"""),"Closed")</f>
        <v>Closed</v>
      </c>
      <c r="R248" s="274" t="str">
        <f>IFERROR(__xludf.DUMMYFUNCTION("""COMPUTED_VALUE"""),"Closed")</f>
        <v>Closed</v>
      </c>
      <c r="S248" s="275" t="str">
        <f>IFERROR(__xludf.DUMMYFUNCTION("""COMPUTED_VALUE"""),"Closed")</f>
        <v>Closed</v>
      </c>
      <c r="T248" s="276" t="str">
        <f>IFERROR(__xludf.DUMMYFUNCTION("""COMPUTED_VALUE"""),"Closed")</f>
        <v>Closed</v>
      </c>
      <c r="U248" s="274" t="str">
        <f>IFERROR(__xludf.DUMMYFUNCTION("""COMPUTED_VALUE"""),"Closed")</f>
        <v>Closed</v>
      </c>
      <c r="V248" s="275" t="str">
        <f>IFERROR(__xludf.DUMMYFUNCTION("""COMPUTED_VALUE"""),"Closed")</f>
        <v>Closed</v>
      </c>
      <c r="W248" s="276" t="str">
        <f>IFERROR(__xludf.DUMMYFUNCTION("""COMPUTED_VALUE"""),"Closed")</f>
        <v>Closed</v>
      </c>
      <c r="X248" s="274" t="str">
        <f>IFERROR(__xludf.DUMMYFUNCTION("""COMPUTED_VALUE"""),"Closed")</f>
        <v>Closed</v>
      </c>
      <c r="Y248" s="275" t="str">
        <f>IFERROR(__xludf.DUMMYFUNCTION("""COMPUTED_VALUE"""),"Closed")</f>
        <v>Closed</v>
      </c>
      <c r="Z248" s="276" t="str">
        <f>IFERROR(__xludf.DUMMYFUNCTION("""COMPUTED_VALUE"""),"Closed")</f>
        <v>Closed</v>
      </c>
      <c r="AA248" s="274" t="str">
        <f>IFERROR(__xludf.DUMMYFUNCTION("""COMPUTED_VALUE"""),"Closed")</f>
        <v>Closed</v>
      </c>
      <c r="AB248" s="275" t="str">
        <f>IFERROR(__xludf.DUMMYFUNCTION("""COMPUTED_VALUE"""),"Closed")</f>
        <v>Closed</v>
      </c>
      <c r="AC248" s="276" t="str">
        <f>IFERROR(__xludf.DUMMYFUNCTION("""COMPUTED_VALUE"""),"Closed")</f>
        <v>Closed</v>
      </c>
      <c r="AD248" s="274" t="str">
        <f>IFERROR(__xludf.DUMMYFUNCTION("""COMPUTED_VALUE"""),"Closed")</f>
        <v>Closed</v>
      </c>
      <c r="AE248" s="275" t="str">
        <f>IFERROR(__xludf.DUMMYFUNCTION("""COMPUTED_VALUE"""),"Closed")</f>
        <v>Closed</v>
      </c>
      <c r="AF248" s="276" t="str">
        <f>IFERROR(__xludf.DUMMYFUNCTION("""COMPUTED_VALUE"""),"Closed")</f>
        <v>Closed</v>
      </c>
      <c r="AG248" s="274" t="str">
        <f>IFERROR(__xludf.DUMMYFUNCTION("""COMPUTED_VALUE"""),"Closed")</f>
        <v>Closed</v>
      </c>
      <c r="AH248" s="275" t="str">
        <f>IFERROR(__xludf.DUMMYFUNCTION("""COMPUTED_VALUE"""),"Closed")</f>
        <v>Closed</v>
      </c>
      <c r="AI248" s="276" t="str">
        <f>IFERROR(__xludf.DUMMYFUNCTION("""COMPUTED_VALUE"""),"Closed")</f>
        <v>Closed</v>
      </c>
      <c r="AJ248" s="274" t="str">
        <f>IFERROR(__xludf.DUMMYFUNCTION("""COMPUTED_VALUE"""),"Closed")</f>
        <v>Closed</v>
      </c>
      <c r="AK248" s="275" t="str">
        <f>IFERROR(__xludf.DUMMYFUNCTION("""COMPUTED_VALUE"""),"Closed")</f>
        <v>Closed</v>
      </c>
      <c r="AL248" s="276" t="str">
        <f>IFERROR(__xludf.DUMMYFUNCTION("""COMPUTED_VALUE"""),"Closed")</f>
        <v>Closed</v>
      </c>
      <c r="AM248" s="274" t="str">
        <f>IFERROR(__xludf.DUMMYFUNCTION("""COMPUTED_VALUE"""),"Closed")</f>
        <v>Closed</v>
      </c>
      <c r="AN248" s="275" t="str">
        <f>IFERROR(__xludf.DUMMYFUNCTION("""COMPUTED_VALUE"""),"Closed")</f>
        <v>Closed</v>
      </c>
      <c r="AO248" s="276" t="str">
        <f>IFERROR(__xludf.DUMMYFUNCTION("""COMPUTED_VALUE"""),"Closed")</f>
        <v>Closed</v>
      </c>
      <c r="AP248" s="274" t="str">
        <f>IFERROR(__xludf.DUMMYFUNCTION("""COMPUTED_VALUE"""),"Closed")</f>
        <v>Closed</v>
      </c>
      <c r="AQ248" s="275" t="str">
        <f>IFERROR(__xludf.DUMMYFUNCTION("""COMPUTED_VALUE"""),"Closed")</f>
        <v>Closed</v>
      </c>
      <c r="AR248" s="276" t="str">
        <f>IFERROR(__xludf.DUMMYFUNCTION("""COMPUTED_VALUE"""),"Closed")</f>
        <v>Closed</v>
      </c>
      <c r="AS248" s="274" t="str">
        <f>IFERROR(__xludf.DUMMYFUNCTION("""COMPUTED_VALUE"""),"Closed")</f>
        <v>Closed</v>
      </c>
      <c r="AT248" s="275" t="str">
        <f>IFERROR(__xludf.DUMMYFUNCTION("""COMPUTED_VALUE"""),"Closed")</f>
        <v>Closed</v>
      </c>
      <c r="AU248" s="276" t="str">
        <f>IFERROR(__xludf.DUMMYFUNCTION("""COMPUTED_VALUE"""),"Closed")</f>
        <v>Closed</v>
      </c>
      <c r="AV248" s="274" t="str">
        <f>IFERROR(__xludf.DUMMYFUNCTION("""COMPUTED_VALUE"""),"Closed")</f>
        <v>Closed</v>
      </c>
      <c r="AW248" s="275" t="str">
        <f>IFERROR(__xludf.DUMMYFUNCTION("""COMPUTED_VALUE"""),"Closed")</f>
        <v>Closed</v>
      </c>
      <c r="AX248" s="276" t="str">
        <f>IFERROR(__xludf.DUMMYFUNCTION("""COMPUTED_VALUE"""),"Closed")</f>
        <v>Closed</v>
      </c>
      <c r="AY248" s="274" t="str">
        <f>IFERROR(__xludf.DUMMYFUNCTION("""COMPUTED_VALUE"""),"Closed")</f>
        <v>Closed</v>
      </c>
      <c r="AZ248" s="275" t="str">
        <f>IFERROR(__xludf.DUMMYFUNCTION("""COMPUTED_VALUE"""),"Closed")</f>
        <v>Closed</v>
      </c>
      <c r="BA248" s="276" t="str">
        <f>IFERROR(__xludf.DUMMYFUNCTION("""COMPUTED_VALUE"""),"Closed")</f>
        <v>Closed</v>
      </c>
      <c r="BB248" s="274" t="str">
        <f>IFERROR(__xludf.DUMMYFUNCTION("""COMPUTED_VALUE"""),"Closed")</f>
        <v>Closed</v>
      </c>
      <c r="BC248" s="275" t="str">
        <f>IFERROR(__xludf.DUMMYFUNCTION("""COMPUTED_VALUE"""),"Closed")</f>
        <v>Closed</v>
      </c>
      <c r="BD248" s="276" t="str">
        <f>IFERROR(__xludf.DUMMYFUNCTION("""COMPUTED_VALUE"""),"Closed")</f>
        <v>Closed</v>
      </c>
      <c r="BE248" s="274" t="str">
        <f>IFERROR(__xludf.DUMMYFUNCTION("""COMPUTED_VALUE"""),"Closed")</f>
        <v>Closed</v>
      </c>
      <c r="BF248" s="275" t="str">
        <f>IFERROR(__xludf.DUMMYFUNCTION("""COMPUTED_VALUE"""),"Closed")</f>
        <v>Closed</v>
      </c>
      <c r="BG248" s="276" t="str">
        <f>IFERROR(__xludf.DUMMYFUNCTION("""COMPUTED_VALUE"""),"Closed")</f>
        <v>Closed</v>
      </c>
      <c r="BH248" s="274" t="str">
        <f>IFERROR(__xludf.DUMMYFUNCTION("""COMPUTED_VALUE"""),"Closed")</f>
        <v>Closed</v>
      </c>
      <c r="BI248" s="275" t="str">
        <f>IFERROR(__xludf.DUMMYFUNCTION("""COMPUTED_VALUE"""),"Closed")</f>
        <v>Closed</v>
      </c>
      <c r="BJ248" s="276" t="str">
        <f>IFERROR(__xludf.DUMMYFUNCTION("""COMPUTED_VALUE"""),"Closed")</f>
        <v>Closed</v>
      </c>
      <c r="BK248" s="274" t="str">
        <f>IFERROR(__xludf.DUMMYFUNCTION("""COMPUTED_VALUE"""),"Closed")</f>
        <v>Closed</v>
      </c>
      <c r="BL248" s="275" t="str">
        <f>IFERROR(__xludf.DUMMYFUNCTION("""COMPUTED_VALUE"""),"Closed")</f>
        <v>Closed</v>
      </c>
      <c r="BM248" s="276" t="str">
        <f>IFERROR(__xludf.DUMMYFUNCTION("""COMPUTED_VALUE"""),"Closed")</f>
        <v>Closed</v>
      </c>
      <c r="BN248" s="274" t="str">
        <f>IFERROR(__xludf.DUMMYFUNCTION("""COMPUTED_VALUE"""),"Closed")</f>
        <v>Closed</v>
      </c>
      <c r="BO248" s="275" t="str">
        <f>IFERROR(__xludf.DUMMYFUNCTION("""COMPUTED_VALUE"""),"Closed")</f>
        <v>Closed</v>
      </c>
      <c r="BP248" s="276" t="str">
        <f>IFERROR(__xludf.DUMMYFUNCTION("""COMPUTED_VALUE"""),"Closed")</f>
        <v>Closed</v>
      </c>
      <c r="BQ248" s="274" t="str">
        <f>IFERROR(__xludf.DUMMYFUNCTION("""COMPUTED_VALUE"""),"Closed")</f>
        <v>Closed</v>
      </c>
      <c r="BR248" s="275" t="str">
        <f>IFERROR(__xludf.DUMMYFUNCTION("""COMPUTED_VALUE"""),"Closed")</f>
        <v>Closed</v>
      </c>
      <c r="BS248" s="276" t="str">
        <f>IFERROR(__xludf.DUMMYFUNCTION("""COMPUTED_VALUE"""),"Closed")</f>
        <v>Closed</v>
      </c>
      <c r="BT248" s="274" t="str">
        <f>IFERROR(__xludf.DUMMYFUNCTION("""COMPUTED_VALUE"""),"Closed")</f>
        <v>Closed</v>
      </c>
      <c r="BU248" s="275" t="str">
        <f>IFERROR(__xludf.DUMMYFUNCTION("""COMPUTED_VALUE"""),"Closed")</f>
        <v>Closed</v>
      </c>
      <c r="BV248" s="276" t="str">
        <f>IFERROR(__xludf.DUMMYFUNCTION("""COMPUTED_VALUE"""),"Closed")</f>
        <v>Closed</v>
      </c>
      <c r="BW248" s="274" t="str">
        <f>IFERROR(__xludf.DUMMYFUNCTION("""COMPUTED_VALUE"""),"Closed")</f>
        <v>Closed</v>
      </c>
      <c r="BX248" s="275" t="str">
        <f>IFERROR(__xludf.DUMMYFUNCTION("""COMPUTED_VALUE"""),"Closed")</f>
        <v>Closed</v>
      </c>
      <c r="BY248" s="276" t="str">
        <f>IFERROR(__xludf.DUMMYFUNCTION("""COMPUTED_VALUE"""),"Closed")</f>
        <v>Closed</v>
      </c>
      <c r="BZ248" s="274" t="str">
        <f>IFERROR(__xludf.DUMMYFUNCTION("""COMPUTED_VALUE"""),"Closed")</f>
        <v>Closed</v>
      </c>
      <c r="CA248" s="275" t="str">
        <f>IFERROR(__xludf.DUMMYFUNCTION("""COMPUTED_VALUE"""),"Closed")</f>
        <v>Closed</v>
      </c>
      <c r="CB248" s="276" t="str">
        <f>IFERROR(__xludf.DUMMYFUNCTION("""COMPUTED_VALUE"""),"Closed")</f>
        <v>Closed</v>
      </c>
      <c r="CC248" s="274" t="str">
        <f>IFERROR(__xludf.DUMMYFUNCTION("""COMPUTED_VALUE"""),"Closed")</f>
        <v>Closed</v>
      </c>
      <c r="CD248" s="275" t="str">
        <f>IFERROR(__xludf.DUMMYFUNCTION("""COMPUTED_VALUE"""),"Closed")</f>
        <v>Closed</v>
      </c>
      <c r="CE248" s="276" t="str">
        <f>IFERROR(__xludf.DUMMYFUNCTION("""COMPUTED_VALUE"""),"Closed")</f>
        <v>Closed</v>
      </c>
      <c r="CF248" s="274" t="str">
        <f>IFERROR(__xludf.DUMMYFUNCTION("""COMPUTED_VALUE"""),"Closed")</f>
        <v>Closed</v>
      </c>
      <c r="CG248" s="275" t="str">
        <f>IFERROR(__xludf.DUMMYFUNCTION("""COMPUTED_VALUE"""),"Closed")</f>
        <v>Closed</v>
      </c>
      <c r="CH248" s="275" t="str">
        <f>IFERROR(__xludf.DUMMYFUNCTION("""COMPUTED_VALUE"""),"Closed")</f>
        <v>Closed</v>
      </c>
      <c r="CI248" s="274" t="str">
        <f>IFERROR(__xludf.DUMMYFUNCTION("""COMPUTED_VALUE"""),"Closed")</f>
        <v>Closed</v>
      </c>
      <c r="CJ248" s="275" t="str">
        <f>IFERROR(__xludf.DUMMYFUNCTION("""COMPUTED_VALUE"""),"Closed")</f>
        <v>Closed</v>
      </c>
      <c r="CK248" s="275" t="str">
        <f>IFERROR(__xludf.DUMMYFUNCTION("""COMPUTED_VALUE"""),"Closed")</f>
        <v>Closed</v>
      </c>
      <c r="CL248" s="274" t="str">
        <f>IFERROR(__xludf.DUMMYFUNCTION("""COMPUTED_VALUE"""),"Closed")</f>
        <v>Closed</v>
      </c>
      <c r="CM248" s="275" t="str">
        <f>IFERROR(__xludf.DUMMYFUNCTION("""COMPUTED_VALUE"""),"Closed")</f>
        <v>Closed</v>
      </c>
      <c r="CN248" s="275" t="str">
        <f>IFERROR(__xludf.DUMMYFUNCTION("""COMPUTED_VALUE"""),"Closed")</f>
        <v>Closed</v>
      </c>
      <c r="CO248" s="274" t="str">
        <f>IFERROR(__xludf.DUMMYFUNCTION("""COMPUTED_VALUE"""),"Closed")</f>
        <v>Closed</v>
      </c>
      <c r="CP248" s="275" t="str">
        <f>IFERROR(__xludf.DUMMYFUNCTION("""COMPUTED_VALUE"""),"Closed")</f>
        <v>Closed</v>
      </c>
      <c r="CQ248" s="275" t="str">
        <f>IFERROR(__xludf.DUMMYFUNCTION("""COMPUTED_VALUE"""),"Closed")</f>
        <v>Closed</v>
      </c>
      <c r="CR248" s="274" t="str">
        <f>IFERROR(__xludf.DUMMYFUNCTION("""COMPUTED_VALUE"""),"Closed")</f>
        <v>Closed</v>
      </c>
      <c r="CS248" s="275" t="str">
        <f>IFERROR(__xludf.DUMMYFUNCTION("""COMPUTED_VALUE"""),"Closed")</f>
        <v>Closed</v>
      </c>
      <c r="CT248" s="275" t="str">
        <f>IFERROR(__xludf.DUMMYFUNCTION("""COMPUTED_VALUE"""),"Closed")</f>
        <v>Closed</v>
      </c>
      <c r="CU248" s="274" t="str">
        <f>IFERROR(__xludf.DUMMYFUNCTION("""COMPUTED_VALUE"""),"Closed")</f>
        <v>Closed</v>
      </c>
      <c r="CV248" s="275" t="str">
        <f>IFERROR(__xludf.DUMMYFUNCTION("""COMPUTED_VALUE"""),"Closed")</f>
        <v>Closed</v>
      </c>
      <c r="CW248" s="276" t="str">
        <f>IFERROR(__xludf.DUMMYFUNCTION("""COMPUTED_VALUE"""),"Closed")</f>
        <v>Closed</v>
      </c>
      <c r="CX248" s="275" t="str">
        <f>IFERROR(__xludf.DUMMYFUNCTION("""COMPUTED_VALUE"""),"Closed")</f>
        <v>Closed</v>
      </c>
      <c r="CY248" s="275" t="str">
        <f>IFERROR(__xludf.DUMMYFUNCTION("""COMPUTED_VALUE"""),"Closed")</f>
        <v>Closed</v>
      </c>
      <c r="CZ248" s="276" t="str">
        <f>IFERROR(__xludf.DUMMYFUNCTION("""COMPUTED_VALUE"""),"Closed")</f>
        <v>Closed</v>
      </c>
      <c r="DA248" s="274" t="str">
        <f>IFERROR(__xludf.DUMMYFUNCTION("""COMPUTED_VALUE"""),"Closed")</f>
        <v>Closed</v>
      </c>
      <c r="DB248" s="275" t="str">
        <f>IFERROR(__xludf.DUMMYFUNCTION("""COMPUTED_VALUE"""),"Closed")</f>
        <v>Closed</v>
      </c>
      <c r="DC248" s="276" t="str">
        <f>IFERROR(__xludf.DUMMYFUNCTION("""COMPUTED_VALUE"""),"Closed")</f>
        <v>Closed</v>
      </c>
      <c r="DD248" s="274" t="str">
        <f>IFERROR(__xludf.DUMMYFUNCTION("""COMPUTED_VALUE"""),"Closed")</f>
        <v>Closed</v>
      </c>
      <c r="DE248" s="275" t="str">
        <f>IFERROR(__xludf.DUMMYFUNCTION("""COMPUTED_VALUE"""),"Closed")</f>
        <v>Closed</v>
      </c>
      <c r="DF248" s="276" t="str">
        <f>IFERROR(__xludf.DUMMYFUNCTION("""COMPUTED_VALUE"""),"Closed")</f>
        <v>Closed</v>
      </c>
      <c r="DG248" s="274" t="str">
        <f>IFERROR(__xludf.DUMMYFUNCTION("""COMPUTED_VALUE"""),"Closed")</f>
        <v>Closed</v>
      </c>
      <c r="DH248" s="275" t="str">
        <f>IFERROR(__xludf.DUMMYFUNCTION("""COMPUTED_VALUE"""),"Closed")</f>
        <v>Closed</v>
      </c>
      <c r="DI248" s="276" t="str">
        <f>IFERROR(__xludf.DUMMYFUNCTION("""COMPUTED_VALUE"""),"Closed")</f>
        <v>Closed</v>
      </c>
      <c r="DJ248" s="274" t="str">
        <f>IFERROR(__xludf.DUMMYFUNCTION("""COMPUTED_VALUE"""),"Closed")</f>
        <v>Closed</v>
      </c>
      <c r="DK248" s="275" t="str">
        <f>IFERROR(__xludf.DUMMYFUNCTION("""COMPUTED_VALUE"""),"Closed")</f>
        <v>Closed</v>
      </c>
      <c r="DL248" s="276" t="str">
        <f>IFERROR(__xludf.DUMMYFUNCTION("""COMPUTED_VALUE"""),"Closed")</f>
        <v>Closed</v>
      </c>
      <c r="DM248" s="274" t="str">
        <f>IFERROR(__xludf.DUMMYFUNCTION("""COMPUTED_VALUE"""),"Closed")</f>
        <v>Closed</v>
      </c>
      <c r="DN248" s="275" t="str">
        <f>IFERROR(__xludf.DUMMYFUNCTION("""COMPUTED_VALUE"""),"Closed")</f>
        <v>Closed</v>
      </c>
      <c r="DO248" s="276" t="str">
        <f>IFERROR(__xludf.DUMMYFUNCTION("""COMPUTED_VALUE"""),"Closed")</f>
        <v>Closed</v>
      </c>
      <c r="DP248" s="274" t="str">
        <f>IFERROR(__xludf.DUMMYFUNCTION("""COMPUTED_VALUE"""),"Closed")</f>
        <v>Closed</v>
      </c>
      <c r="DQ248" s="275" t="str">
        <f>IFERROR(__xludf.DUMMYFUNCTION("""COMPUTED_VALUE"""),"Closed")</f>
        <v>Closed</v>
      </c>
      <c r="DR248" s="276"/>
      <c r="DS248" s="274"/>
    </row>
    <row r="249" hidden="1">
      <c r="B249" s="180" t="str">
        <f>IFERROR(__xludf.DUMMYFUNCTION("""COMPUTED_VALUE"""),"HEA2")</f>
        <v>HEA2</v>
      </c>
      <c r="C249" s="272" t="str">
        <f>IFERROR(__xludf.DUMMYFUNCTION("""COMPUTED_VALUE"""),"Jō Seven, Bō Two")</f>
        <v>Jō Seven, Bō Two</v>
      </c>
      <c r="D249" s="273">
        <f>IFERROR(__xludf.DUMMYFUNCTION("""COMPUTED_VALUE"""),21.0)</f>
        <v>21</v>
      </c>
      <c r="E249" t="b">
        <f>IFERROR(__xludf.DUMMYFUNCTION("""COMPUTED_VALUE"""),FALSE)</f>
        <v>0</v>
      </c>
      <c r="F249" t="str">
        <f>IFERROR(__xludf.DUMMYFUNCTION("""COMPUTED_VALUE"""),"Free Quests- Part 2!A885:J896")</f>
        <v>Free Quests- Part 2!A885:J896</v>
      </c>
      <c r="G249">
        <f>IFERROR(__xludf.DUMMYFUNCTION("""COMPUTED_VALUE"""),249.0)</f>
        <v>249</v>
      </c>
      <c r="H249" t="str">
        <f>IFERROR(__xludf.DUMMYFUNCTION("""COMPUTED_VALUE"""),"Closed")</f>
        <v>Closed</v>
      </c>
      <c r="I249" s="274" t="str">
        <f>IFERROR(__xludf.DUMMYFUNCTION("""COMPUTED_VALUE"""),"Closed")</f>
        <v>Closed</v>
      </c>
      <c r="J249" s="275" t="str">
        <f>IFERROR(__xludf.DUMMYFUNCTION("""COMPUTED_VALUE"""),"Closed")</f>
        <v>Closed</v>
      </c>
      <c r="K249" s="276" t="str">
        <f>IFERROR(__xludf.DUMMYFUNCTION("""COMPUTED_VALUE"""),"Closed")</f>
        <v>Closed</v>
      </c>
      <c r="L249" s="274" t="str">
        <f>IFERROR(__xludf.DUMMYFUNCTION("""COMPUTED_VALUE"""),"Closed")</f>
        <v>Closed</v>
      </c>
      <c r="M249" s="275" t="str">
        <f>IFERROR(__xludf.DUMMYFUNCTION("""COMPUTED_VALUE"""),"Closed")</f>
        <v>Closed</v>
      </c>
      <c r="N249" s="276" t="str">
        <f>IFERROR(__xludf.DUMMYFUNCTION("""COMPUTED_VALUE"""),"Closed")</f>
        <v>Closed</v>
      </c>
      <c r="O249" s="274" t="str">
        <f>IFERROR(__xludf.DUMMYFUNCTION("""COMPUTED_VALUE"""),"Closed")</f>
        <v>Closed</v>
      </c>
      <c r="P249" s="275" t="str">
        <f>IFERROR(__xludf.DUMMYFUNCTION("""COMPUTED_VALUE"""),"Closed")</f>
        <v>Closed</v>
      </c>
      <c r="Q249" s="276" t="str">
        <f>IFERROR(__xludf.DUMMYFUNCTION("""COMPUTED_VALUE"""),"Closed")</f>
        <v>Closed</v>
      </c>
      <c r="R249" s="274" t="str">
        <f>IFERROR(__xludf.DUMMYFUNCTION("""COMPUTED_VALUE"""),"Closed")</f>
        <v>Closed</v>
      </c>
      <c r="S249" s="275" t="str">
        <f>IFERROR(__xludf.DUMMYFUNCTION("""COMPUTED_VALUE"""),"Closed")</f>
        <v>Closed</v>
      </c>
      <c r="T249" s="276" t="str">
        <f>IFERROR(__xludf.DUMMYFUNCTION("""COMPUTED_VALUE"""),"Closed")</f>
        <v>Closed</v>
      </c>
      <c r="U249" s="274" t="str">
        <f>IFERROR(__xludf.DUMMYFUNCTION("""COMPUTED_VALUE"""),"Closed")</f>
        <v>Closed</v>
      </c>
      <c r="V249" s="275" t="str">
        <f>IFERROR(__xludf.DUMMYFUNCTION("""COMPUTED_VALUE"""),"Closed")</f>
        <v>Closed</v>
      </c>
      <c r="W249" s="276" t="str">
        <f>IFERROR(__xludf.DUMMYFUNCTION("""COMPUTED_VALUE"""),"Closed")</f>
        <v>Closed</v>
      </c>
      <c r="X249" s="274" t="str">
        <f>IFERROR(__xludf.DUMMYFUNCTION("""COMPUTED_VALUE"""),"Closed")</f>
        <v>Closed</v>
      </c>
      <c r="Y249" s="275" t="str">
        <f>IFERROR(__xludf.DUMMYFUNCTION("""COMPUTED_VALUE"""),"Closed")</f>
        <v>Closed</v>
      </c>
      <c r="Z249" s="276" t="str">
        <f>IFERROR(__xludf.DUMMYFUNCTION("""COMPUTED_VALUE"""),"Closed")</f>
        <v>Closed</v>
      </c>
      <c r="AA249" s="274" t="str">
        <f>IFERROR(__xludf.DUMMYFUNCTION("""COMPUTED_VALUE"""),"Closed")</f>
        <v>Closed</v>
      </c>
      <c r="AB249" s="275" t="str">
        <f>IFERROR(__xludf.DUMMYFUNCTION("""COMPUTED_VALUE"""),"Closed")</f>
        <v>Closed</v>
      </c>
      <c r="AC249" s="276" t="str">
        <f>IFERROR(__xludf.DUMMYFUNCTION("""COMPUTED_VALUE"""),"Closed")</f>
        <v>Closed</v>
      </c>
      <c r="AD249" s="274" t="str">
        <f>IFERROR(__xludf.DUMMYFUNCTION("""COMPUTED_VALUE"""),"Closed")</f>
        <v>Closed</v>
      </c>
      <c r="AE249" s="275" t="str">
        <f>IFERROR(__xludf.DUMMYFUNCTION("""COMPUTED_VALUE"""),"Closed")</f>
        <v>Closed</v>
      </c>
      <c r="AF249" s="276" t="str">
        <f>IFERROR(__xludf.DUMMYFUNCTION("""COMPUTED_VALUE"""),"Closed")</f>
        <v>Closed</v>
      </c>
      <c r="AG249" s="274" t="str">
        <f>IFERROR(__xludf.DUMMYFUNCTION("""COMPUTED_VALUE"""),"Closed")</f>
        <v>Closed</v>
      </c>
      <c r="AH249" s="275" t="str">
        <f>IFERROR(__xludf.DUMMYFUNCTION("""COMPUTED_VALUE"""),"Closed")</f>
        <v>Closed</v>
      </c>
      <c r="AI249" s="276" t="str">
        <f>IFERROR(__xludf.DUMMYFUNCTION("""COMPUTED_VALUE"""),"Closed")</f>
        <v>Closed</v>
      </c>
      <c r="AJ249" s="274" t="str">
        <f>IFERROR(__xludf.DUMMYFUNCTION("""COMPUTED_VALUE"""),"Closed")</f>
        <v>Closed</v>
      </c>
      <c r="AK249" s="275" t="str">
        <f>IFERROR(__xludf.DUMMYFUNCTION("""COMPUTED_VALUE"""),"Closed")</f>
        <v>Closed</v>
      </c>
      <c r="AL249" s="276" t="str">
        <f>IFERROR(__xludf.DUMMYFUNCTION("""COMPUTED_VALUE"""),"Closed")</f>
        <v>Closed</v>
      </c>
      <c r="AM249" s="274" t="str">
        <f>IFERROR(__xludf.DUMMYFUNCTION("""COMPUTED_VALUE"""),"Closed")</f>
        <v>Closed</v>
      </c>
      <c r="AN249" s="275" t="str">
        <f>IFERROR(__xludf.DUMMYFUNCTION("""COMPUTED_VALUE"""),"Closed")</f>
        <v>Closed</v>
      </c>
      <c r="AO249" s="276" t="str">
        <f>IFERROR(__xludf.DUMMYFUNCTION("""COMPUTED_VALUE"""),"Closed")</f>
        <v>Closed</v>
      </c>
      <c r="AP249" s="274" t="str">
        <f>IFERROR(__xludf.DUMMYFUNCTION("""COMPUTED_VALUE"""),"Closed")</f>
        <v>Closed</v>
      </c>
      <c r="AQ249" s="275" t="str">
        <f>IFERROR(__xludf.DUMMYFUNCTION("""COMPUTED_VALUE"""),"Closed")</f>
        <v>Closed</v>
      </c>
      <c r="AR249" s="276" t="str">
        <f>IFERROR(__xludf.DUMMYFUNCTION("""COMPUTED_VALUE"""),"Closed")</f>
        <v>Closed</v>
      </c>
      <c r="AS249" s="274" t="str">
        <f>IFERROR(__xludf.DUMMYFUNCTION("""COMPUTED_VALUE"""),"Closed")</f>
        <v>Closed</v>
      </c>
      <c r="AT249" s="275" t="str">
        <f>IFERROR(__xludf.DUMMYFUNCTION("""COMPUTED_VALUE"""),"Closed")</f>
        <v>Closed</v>
      </c>
      <c r="AU249" s="276" t="str">
        <f>IFERROR(__xludf.DUMMYFUNCTION("""COMPUTED_VALUE"""),"Closed")</f>
        <v>Closed</v>
      </c>
      <c r="AV249" s="274" t="str">
        <f>IFERROR(__xludf.DUMMYFUNCTION("""COMPUTED_VALUE"""),"Closed")</f>
        <v>Closed</v>
      </c>
      <c r="AW249" s="275" t="str">
        <f>IFERROR(__xludf.DUMMYFUNCTION("""COMPUTED_VALUE"""),"Closed")</f>
        <v>Closed</v>
      </c>
      <c r="AX249" s="276" t="str">
        <f>IFERROR(__xludf.DUMMYFUNCTION("""COMPUTED_VALUE"""),"Closed")</f>
        <v>Closed</v>
      </c>
      <c r="AY249" s="274" t="str">
        <f>IFERROR(__xludf.DUMMYFUNCTION("""COMPUTED_VALUE"""),"Closed")</f>
        <v>Closed</v>
      </c>
      <c r="AZ249" s="275" t="str">
        <f>IFERROR(__xludf.DUMMYFUNCTION("""COMPUTED_VALUE"""),"Closed")</f>
        <v>Closed</v>
      </c>
      <c r="BA249" s="276" t="str">
        <f>IFERROR(__xludf.DUMMYFUNCTION("""COMPUTED_VALUE"""),"Closed")</f>
        <v>Closed</v>
      </c>
      <c r="BB249" s="274" t="str">
        <f>IFERROR(__xludf.DUMMYFUNCTION("""COMPUTED_VALUE"""),"Closed")</f>
        <v>Closed</v>
      </c>
      <c r="BC249" s="275" t="str">
        <f>IFERROR(__xludf.DUMMYFUNCTION("""COMPUTED_VALUE"""),"Closed")</f>
        <v>Closed</v>
      </c>
      <c r="BD249" s="276" t="str">
        <f>IFERROR(__xludf.DUMMYFUNCTION("""COMPUTED_VALUE"""),"Closed")</f>
        <v>Closed</v>
      </c>
      <c r="BE249" s="274" t="str">
        <f>IFERROR(__xludf.DUMMYFUNCTION("""COMPUTED_VALUE"""),"Closed")</f>
        <v>Closed</v>
      </c>
      <c r="BF249" s="275" t="str">
        <f>IFERROR(__xludf.DUMMYFUNCTION("""COMPUTED_VALUE"""),"Closed")</f>
        <v>Closed</v>
      </c>
      <c r="BG249" s="276" t="str">
        <f>IFERROR(__xludf.DUMMYFUNCTION("""COMPUTED_VALUE"""),"Closed")</f>
        <v>Closed</v>
      </c>
      <c r="BH249" s="274" t="str">
        <f>IFERROR(__xludf.DUMMYFUNCTION("""COMPUTED_VALUE"""),"Closed")</f>
        <v>Closed</v>
      </c>
      <c r="BI249" s="275" t="str">
        <f>IFERROR(__xludf.DUMMYFUNCTION("""COMPUTED_VALUE"""),"Closed")</f>
        <v>Closed</v>
      </c>
      <c r="BJ249" s="276" t="str">
        <f>IFERROR(__xludf.DUMMYFUNCTION("""COMPUTED_VALUE"""),"Closed")</f>
        <v>Closed</v>
      </c>
      <c r="BK249" s="274" t="str">
        <f>IFERROR(__xludf.DUMMYFUNCTION("""COMPUTED_VALUE"""),"Closed")</f>
        <v>Closed</v>
      </c>
      <c r="BL249" s="275" t="str">
        <f>IFERROR(__xludf.DUMMYFUNCTION("""COMPUTED_VALUE"""),"Closed")</f>
        <v>Closed</v>
      </c>
      <c r="BM249" s="276" t="str">
        <f>IFERROR(__xludf.DUMMYFUNCTION("""COMPUTED_VALUE"""),"Closed")</f>
        <v>Closed</v>
      </c>
      <c r="BN249" s="274" t="str">
        <f>IFERROR(__xludf.DUMMYFUNCTION("""COMPUTED_VALUE"""),"Closed")</f>
        <v>Closed</v>
      </c>
      <c r="BO249" s="275" t="str">
        <f>IFERROR(__xludf.DUMMYFUNCTION("""COMPUTED_VALUE"""),"Closed")</f>
        <v>Closed</v>
      </c>
      <c r="BP249" s="276" t="str">
        <f>IFERROR(__xludf.DUMMYFUNCTION("""COMPUTED_VALUE"""),"Closed")</f>
        <v>Closed</v>
      </c>
      <c r="BQ249" s="274" t="str">
        <f>IFERROR(__xludf.DUMMYFUNCTION("""COMPUTED_VALUE"""),"Closed")</f>
        <v>Closed</v>
      </c>
      <c r="BR249" s="275" t="str">
        <f>IFERROR(__xludf.DUMMYFUNCTION("""COMPUTED_VALUE"""),"Closed")</f>
        <v>Closed</v>
      </c>
      <c r="BS249" s="276" t="str">
        <f>IFERROR(__xludf.DUMMYFUNCTION("""COMPUTED_VALUE"""),"Closed")</f>
        <v>Closed</v>
      </c>
      <c r="BT249" s="274" t="str">
        <f>IFERROR(__xludf.DUMMYFUNCTION("""COMPUTED_VALUE"""),"Closed")</f>
        <v>Closed</v>
      </c>
      <c r="BU249" s="275" t="str">
        <f>IFERROR(__xludf.DUMMYFUNCTION("""COMPUTED_VALUE"""),"Closed")</f>
        <v>Closed</v>
      </c>
      <c r="BV249" s="276" t="str">
        <f>IFERROR(__xludf.DUMMYFUNCTION("""COMPUTED_VALUE"""),"Closed")</f>
        <v>Closed</v>
      </c>
      <c r="BW249" s="274" t="str">
        <f>IFERROR(__xludf.DUMMYFUNCTION("""COMPUTED_VALUE"""),"Closed")</f>
        <v>Closed</v>
      </c>
      <c r="BX249" s="275" t="str">
        <f>IFERROR(__xludf.DUMMYFUNCTION("""COMPUTED_VALUE"""),"Closed")</f>
        <v>Closed</v>
      </c>
      <c r="BY249" s="276" t="str">
        <f>IFERROR(__xludf.DUMMYFUNCTION("""COMPUTED_VALUE"""),"Closed")</f>
        <v>Closed</v>
      </c>
      <c r="BZ249" s="274" t="str">
        <f>IFERROR(__xludf.DUMMYFUNCTION("""COMPUTED_VALUE"""),"Closed")</f>
        <v>Closed</v>
      </c>
      <c r="CA249" s="275" t="str">
        <f>IFERROR(__xludf.DUMMYFUNCTION("""COMPUTED_VALUE"""),"Closed")</f>
        <v>Closed</v>
      </c>
      <c r="CB249" s="276" t="str">
        <f>IFERROR(__xludf.DUMMYFUNCTION("""COMPUTED_VALUE"""),"Closed")</f>
        <v>Closed</v>
      </c>
      <c r="CC249" s="274" t="str">
        <f>IFERROR(__xludf.DUMMYFUNCTION("""COMPUTED_VALUE"""),"Closed")</f>
        <v>Closed</v>
      </c>
      <c r="CD249" s="275" t="str">
        <f>IFERROR(__xludf.DUMMYFUNCTION("""COMPUTED_VALUE"""),"Closed")</f>
        <v>Closed</v>
      </c>
      <c r="CE249" s="276" t="str">
        <f>IFERROR(__xludf.DUMMYFUNCTION("""COMPUTED_VALUE"""),"Closed")</f>
        <v>Closed</v>
      </c>
      <c r="CF249" s="274" t="str">
        <f>IFERROR(__xludf.DUMMYFUNCTION("""COMPUTED_VALUE"""),"Closed")</f>
        <v>Closed</v>
      </c>
      <c r="CG249" s="275" t="str">
        <f>IFERROR(__xludf.DUMMYFUNCTION("""COMPUTED_VALUE"""),"Closed")</f>
        <v>Closed</v>
      </c>
      <c r="CH249" s="275" t="str">
        <f>IFERROR(__xludf.DUMMYFUNCTION("""COMPUTED_VALUE"""),"Closed")</f>
        <v>Closed</v>
      </c>
      <c r="CI249" s="274" t="str">
        <f>IFERROR(__xludf.DUMMYFUNCTION("""COMPUTED_VALUE"""),"Closed")</f>
        <v>Closed</v>
      </c>
      <c r="CJ249" s="275" t="str">
        <f>IFERROR(__xludf.DUMMYFUNCTION("""COMPUTED_VALUE"""),"Closed")</f>
        <v>Closed</v>
      </c>
      <c r="CK249" s="275" t="str">
        <f>IFERROR(__xludf.DUMMYFUNCTION("""COMPUTED_VALUE"""),"Closed")</f>
        <v>Closed</v>
      </c>
      <c r="CL249" s="274" t="str">
        <f>IFERROR(__xludf.DUMMYFUNCTION("""COMPUTED_VALUE"""),"Closed")</f>
        <v>Closed</v>
      </c>
      <c r="CM249" s="275" t="str">
        <f>IFERROR(__xludf.DUMMYFUNCTION("""COMPUTED_VALUE"""),"Closed")</f>
        <v>Closed</v>
      </c>
      <c r="CN249" s="275" t="str">
        <f>IFERROR(__xludf.DUMMYFUNCTION("""COMPUTED_VALUE"""),"Closed")</f>
        <v>Closed</v>
      </c>
      <c r="CO249" s="274" t="str">
        <f>IFERROR(__xludf.DUMMYFUNCTION("""COMPUTED_VALUE"""),"Closed")</f>
        <v>Closed</v>
      </c>
      <c r="CP249" s="275" t="str">
        <f>IFERROR(__xludf.DUMMYFUNCTION("""COMPUTED_VALUE"""),"Closed")</f>
        <v>Closed</v>
      </c>
      <c r="CQ249" s="275" t="str">
        <f>IFERROR(__xludf.DUMMYFUNCTION("""COMPUTED_VALUE"""),"Closed")</f>
        <v>Closed</v>
      </c>
      <c r="CR249" s="274" t="str">
        <f>IFERROR(__xludf.DUMMYFUNCTION("""COMPUTED_VALUE"""),"Closed")</f>
        <v>Closed</v>
      </c>
      <c r="CS249" s="275" t="str">
        <f>IFERROR(__xludf.DUMMYFUNCTION("""COMPUTED_VALUE"""),"Closed")</f>
        <v>Closed</v>
      </c>
      <c r="CT249" s="275" t="str">
        <f>IFERROR(__xludf.DUMMYFUNCTION("""COMPUTED_VALUE"""),"Closed")</f>
        <v>Closed</v>
      </c>
      <c r="CU249" s="274" t="str">
        <f>IFERROR(__xludf.DUMMYFUNCTION("""COMPUTED_VALUE"""),"Closed")</f>
        <v>Closed</v>
      </c>
      <c r="CV249" s="275" t="str">
        <f>IFERROR(__xludf.DUMMYFUNCTION("""COMPUTED_VALUE"""),"Closed")</f>
        <v>Closed</v>
      </c>
      <c r="CW249" s="276" t="str">
        <f>IFERROR(__xludf.DUMMYFUNCTION("""COMPUTED_VALUE"""),"Closed")</f>
        <v>Closed</v>
      </c>
      <c r="CX249" s="275" t="str">
        <f>IFERROR(__xludf.DUMMYFUNCTION("""COMPUTED_VALUE"""),"Closed")</f>
        <v>Closed</v>
      </c>
      <c r="CY249" s="275" t="str">
        <f>IFERROR(__xludf.DUMMYFUNCTION("""COMPUTED_VALUE"""),"Closed")</f>
        <v>Closed</v>
      </c>
      <c r="CZ249" s="276" t="str">
        <f>IFERROR(__xludf.DUMMYFUNCTION("""COMPUTED_VALUE"""),"Closed")</f>
        <v>Closed</v>
      </c>
      <c r="DA249" s="274" t="str">
        <f>IFERROR(__xludf.DUMMYFUNCTION("""COMPUTED_VALUE"""),"Closed")</f>
        <v>Closed</v>
      </c>
      <c r="DB249" s="275" t="str">
        <f>IFERROR(__xludf.DUMMYFUNCTION("""COMPUTED_VALUE"""),"Closed")</f>
        <v>Closed</v>
      </c>
      <c r="DC249" s="276" t="str">
        <f>IFERROR(__xludf.DUMMYFUNCTION("""COMPUTED_VALUE"""),"Closed")</f>
        <v>Closed</v>
      </c>
      <c r="DD249" s="274" t="str">
        <f>IFERROR(__xludf.DUMMYFUNCTION("""COMPUTED_VALUE"""),"Closed")</f>
        <v>Closed</v>
      </c>
      <c r="DE249" s="275" t="str">
        <f>IFERROR(__xludf.DUMMYFUNCTION("""COMPUTED_VALUE"""),"Closed")</f>
        <v>Closed</v>
      </c>
      <c r="DF249" s="276" t="str">
        <f>IFERROR(__xludf.DUMMYFUNCTION("""COMPUTED_VALUE"""),"Closed")</f>
        <v>Closed</v>
      </c>
      <c r="DG249" s="274" t="str">
        <f>IFERROR(__xludf.DUMMYFUNCTION("""COMPUTED_VALUE"""),"Closed")</f>
        <v>Closed</v>
      </c>
      <c r="DH249" s="275" t="str">
        <f>IFERROR(__xludf.DUMMYFUNCTION("""COMPUTED_VALUE"""),"Closed")</f>
        <v>Closed</v>
      </c>
      <c r="DI249" s="276" t="str">
        <f>IFERROR(__xludf.DUMMYFUNCTION("""COMPUTED_VALUE"""),"Closed")</f>
        <v>Closed</v>
      </c>
      <c r="DJ249" s="274" t="str">
        <f>IFERROR(__xludf.DUMMYFUNCTION("""COMPUTED_VALUE"""),"Closed")</f>
        <v>Closed</v>
      </c>
      <c r="DK249" s="275" t="str">
        <f>IFERROR(__xludf.DUMMYFUNCTION("""COMPUTED_VALUE"""),"Closed")</f>
        <v>Closed</v>
      </c>
      <c r="DL249" s="276" t="str">
        <f>IFERROR(__xludf.DUMMYFUNCTION("""COMPUTED_VALUE"""),"Closed")</f>
        <v>Closed</v>
      </c>
      <c r="DM249" s="274" t="str">
        <f>IFERROR(__xludf.DUMMYFUNCTION("""COMPUTED_VALUE"""),"Closed")</f>
        <v>Closed</v>
      </c>
      <c r="DN249" s="275" t="str">
        <f>IFERROR(__xludf.DUMMYFUNCTION("""COMPUTED_VALUE"""),"Closed")</f>
        <v>Closed</v>
      </c>
      <c r="DO249" s="276" t="str">
        <f>IFERROR(__xludf.DUMMYFUNCTION("""COMPUTED_VALUE"""),"Closed")</f>
        <v>Closed</v>
      </c>
      <c r="DP249" s="274" t="str">
        <f>IFERROR(__xludf.DUMMYFUNCTION("""COMPUTED_VALUE"""),"Closed")</f>
        <v>Closed</v>
      </c>
      <c r="DQ249" s="275" t="str">
        <f>IFERROR(__xludf.DUMMYFUNCTION("""COMPUTED_VALUE"""),"Closed")</f>
        <v>Closed</v>
      </c>
      <c r="DR249" s="276"/>
      <c r="DS249" s="274"/>
    </row>
    <row r="250" hidden="1">
      <c r="B250" s="180" t="str">
        <f>IFERROR(__xludf.DUMMYFUNCTION("""COMPUTED_VALUE"""),"HEA3")</f>
        <v>HEA3</v>
      </c>
      <c r="C250" s="272" t="str">
        <f>IFERROR(__xludf.DUMMYFUNCTION("""COMPUTED_VALUE"""),"Jō Six, Main Street")</f>
        <v>Jō Six, Main Street</v>
      </c>
      <c r="D250" s="273">
        <f>IFERROR(__xludf.DUMMYFUNCTION("""COMPUTED_VALUE"""),21.0)</f>
        <v>21</v>
      </c>
      <c r="E250" t="b">
        <f>IFERROR(__xludf.DUMMYFUNCTION("""COMPUTED_VALUE"""),FALSE)</f>
        <v>0</v>
      </c>
      <c r="F250" t="str">
        <f>IFERROR(__xludf.DUMMYFUNCTION("""COMPUTED_VALUE"""),"Free Quests- Part 2!A900:J909")</f>
        <v>Free Quests- Part 2!A900:J909</v>
      </c>
      <c r="G250">
        <f>IFERROR(__xludf.DUMMYFUNCTION("""COMPUTED_VALUE"""),250.0)</f>
        <v>250</v>
      </c>
      <c r="H250" t="str">
        <f>IFERROR(__xludf.DUMMYFUNCTION("""COMPUTED_VALUE"""),"Closed")</f>
        <v>Closed</v>
      </c>
      <c r="I250" s="274" t="str">
        <f>IFERROR(__xludf.DUMMYFUNCTION("""COMPUTED_VALUE"""),"Closed")</f>
        <v>Closed</v>
      </c>
      <c r="J250" s="275" t="str">
        <f>IFERROR(__xludf.DUMMYFUNCTION("""COMPUTED_VALUE"""),"Closed")</f>
        <v>Closed</v>
      </c>
      <c r="K250" s="276" t="str">
        <f>IFERROR(__xludf.DUMMYFUNCTION("""COMPUTED_VALUE"""),"Closed")</f>
        <v>Closed</v>
      </c>
      <c r="L250" s="274" t="str">
        <f>IFERROR(__xludf.DUMMYFUNCTION("""COMPUTED_VALUE"""),"Closed")</f>
        <v>Closed</v>
      </c>
      <c r="M250" s="275" t="str">
        <f>IFERROR(__xludf.DUMMYFUNCTION("""COMPUTED_VALUE"""),"Closed")</f>
        <v>Closed</v>
      </c>
      <c r="N250" s="276" t="str">
        <f>IFERROR(__xludf.DUMMYFUNCTION("""COMPUTED_VALUE"""),"Closed")</f>
        <v>Closed</v>
      </c>
      <c r="O250" s="274" t="str">
        <f>IFERROR(__xludf.DUMMYFUNCTION("""COMPUTED_VALUE"""),"Closed")</f>
        <v>Closed</v>
      </c>
      <c r="P250" s="275" t="str">
        <f>IFERROR(__xludf.DUMMYFUNCTION("""COMPUTED_VALUE"""),"Closed")</f>
        <v>Closed</v>
      </c>
      <c r="Q250" s="276" t="str">
        <f>IFERROR(__xludf.DUMMYFUNCTION("""COMPUTED_VALUE"""),"Closed")</f>
        <v>Closed</v>
      </c>
      <c r="R250" s="274" t="str">
        <f>IFERROR(__xludf.DUMMYFUNCTION("""COMPUTED_VALUE"""),"Closed")</f>
        <v>Closed</v>
      </c>
      <c r="S250" s="275" t="str">
        <f>IFERROR(__xludf.DUMMYFUNCTION("""COMPUTED_VALUE"""),"Closed")</f>
        <v>Closed</v>
      </c>
      <c r="T250" s="276" t="str">
        <f>IFERROR(__xludf.DUMMYFUNCTION("""COMPUTED_VALUE"""),"Closed")</f>
        <v>Closed</v>
      </c>
      <c r="U250" s="274" t="str">
        <f>IFERROR(__xludf.DUMMYFUNCTION("""COMPUTED_VALUE"""),"Closed")</f>
        <v>Closed</v>
      </c>
      <c r="V250" s="275" t="str">
        <f>IFERROR(__xludf.DUMMYFUNCTION("""COMPUTED_VALUE"""),"Closed")</f>
        <v>Closed</v>
      </c>
      <c r="W250" s="276" t="str">
        <f>IFERROR(__xludf.DUMMYFUNCTION("""COMPUTED_VALUE"""),"Closed")</f>
        <v>Closed</v>
      </c>
      <c r="X250" s="274" t="str">
        <f>IFERROR(__xludf.DUMMYFUNCTION("""COMPUTED_VALUE"""),"Closed")</f>
        <v>Closed</v>
      </c>
      <c r="Y250" s="275" t="str">
        <f>IFERROR(__xludf.DUMMYFUNCTION("""COMPUTED_VALUE"""),"Closed")</f>
        <v>Closed</v>
      </c>
      <c r="Z250" s="276" t="str">
        <f>IFERROR(__xludf.DUMMYFUNCTION("""COMPUTED_VALUE"""),"Closed")</f>
        <v>Closed</v>
      </c>
      <c r="AA250" s="274" t="str">
        <f>IFERROR(__xludf.DUMMYFUNCTION("""COMPUTED_VALUE"""),"Closed")</f>
        <v>Closed</v>
      </c>
      <c r="AB250" s="275" t="str">
        <f>IFERROR(__xludf.DUMMYFUNCTION("""COMPUTED_VALUE"""),"Closed")</f>
        <v>Closed</v>
      </c>
      <c r="AC250" s="276" t="str">
        <f>IFERROR(__xludf.DUMMYFUNCTION("""COMPUTED_VALUE"""),"Closed")</f>
        <v>Closed</v>
      </c>
      <c r="AD250" s="274" t="str">
        <f>IFERROR(__xludf.DUMMYFUNCTION("""COMPUTED_VALUE"""),"Closed")</f>
        <v>Closed</v>
      </c>
      <c r="AE250" s="275" t="str">
        <f>IFERROR(__xludf.DUMMYFUNCTION("""COMPUTED_VALUE"""),"Closed")</f>
        <v>Closed</v>
      </c>
      <c r="AF250" s="276" t="str">
        <f>IFERROR(__xludf.DUMMYFUNCTION("""COMPUTED_VALUE"""),"Closed")</f>
        <v>Closed</v>
      </c>
      <c r="AG250" s="274" t="str">
        <f>IFERROR(__xludf.DUMMYFUNCTION("""COMPUTED_VALUE"""),"Closed")</f>
        <v>Closed</v>
      </c>
      <c r="AH250" s="275" t="str">
        <f>IFERROR(__xludf.DUMMYFUNCTION("""COMPUTED_VALUE"""),"Closed")</f>
        <v>Closed</v>
      </c>
      <c r="AI250" s="276" t="str">
        <f>IFERROR(__xludf.DUMMYFUNCTION("""COMPUTED_VALUE"""),"Closed")</f>
        <v>Closed</v>
      </c>
      <c r="AJ250" s="274" t="str">
        <f>IFERROR(__xludf.DUMMYFUNCTION("""COMPUTED_VALUE"""),"Closed")</f>
        <v>Closed</v>
      </c>
      <c r="AK250" s="275" t="str">
        <f>IFERROR(__xludf.DUMMYFUNCTION("""COMPUTED_VALUE"""),"Closed")</f>
        <v>Closed</v>
      </c>
      <c r="AL250" s="276" t="str">
        <f>IFERROR(__xludf.DUMMYFUNCTION("""COMPUTED_VALUE"""),"Closed")</f>
        <v>Closed</v>
      </c>
      <c r="AM250" s="274" t="str">
        <f>IFERROR(__xludf.DUMMYFUNCTION("""COMPUTED_VALUE"""),"Closed")</f>
        <v>Closed</v>
      </c>
      <c r="AN250" s="275" t="str">
        <f>IFERROR(__xludf.DUMMYFUNCTION("""COMPUTED_VALUE"""),"Closed")</f>
        <v>Closed</v>
      </c>
      <c r="AO250" s="276" t="str">
        <f>IFERROR(__xludf.DUMMYFUNCTION("""COMPUTED_VALUE"""),"Closed")</f>
        <v>Closed</v>
      </c>
      <c r="AP250" s="274" t="str">
        <f>IFERROR(__xludf.DUMMYFUNCTION("""COMPUTED_VALUE"""),"Closed")</f>
        <v>Closed</v>
      </c>
      <c r="AQ250" s="275" t="str">
        <f>IFERROR(__xludf.DUMMYFUNCTION("""COMPUTED_VALUE"""),"Closed")</f>
        <v>Closed</v>
      </c>
      <c r="AR250" s="276" t="str">
        <f>IFERROR(__xludf.DUMMYFUNCTION("""COMPUTED_VALUE"""),"Closed")</f>
        <v>Closed</v>
      </c>
      <c r="AS250" s="274" t="str">
        <f>IFERROR(__xludf.DUMMYFUNCTION("""COMPUTED_VALUE"""),"Closed")</f>
        <v>Closed</v>
      </c>
      <c r="AT250" s="275" t="str">
        <f>IFERROR(__xludf.DUMMYFUNCTION("""COMPUTED_VALUE"""),"Closed")</f>
        <v>Closed</v>
      </c>
      <c r="AU250" s="276" t="str">
        <f>IFERROR(__xludf.DUMMYFUNCTION("""COMPUTED_VALUE"""),"Closed")</f>
        <v>Closed</v>
      </c>
      <c r="AV250" s="274" t="str">
        <f>IFERROR(__xludf.DUMMYFUNCTION("""COMPUTED_VALUE"""),"Closed")</f>
        <v>Closed</v>
      </c>
      <c r="AW250" s="275" t="str">
        <f>IFERROR(__xludf.DUMMYFUNCTION("""COMPUTED_VALUE"""),"Closed")</f>
        <v>Closed</v>
      </c>
      <c r="AX250" s="276" t="str">
        <f>IFERROR(__xludf.DUMMYFUNCTION("""COMPUTED_VALUE"""),"Closed")</f>
        <v>Closed</v>
      </c>
      <c r="AY250" s="274" t="str">
        <f>IFERROR(__xludf.DUMMYFUNCTION("""COMPUTED_VALUE"""),"Closed")</f>
        <v>Closed</v>
      </c>
      <c r="AZ250" s="275" t="str">
        <f>IFERROR(__xludf.DUMMYFUNCTION("""COMPUTED_VALUE"""),"Closed")</f>
        <v>Closed</v>
      </c>
      <c r="BA250" s="276" t="str">
        <f>IFERROR(__xludf.DUMMYFUNCTION("""COMPUTED_VALUE"""),"Closed")</f>
        <v>Closed</v>
      </c>
      <c r="BB250" s="274" t="str">
        <f>IFERROR(__xludf.DUMMYFUNCTION("""COMPUTED_VALUE"""),"Closed")</f>
        <v>Closed</v>
      </c>
      <c r="BC250" s="275" t="str">
        <f>IFERROR(__xludf.DUMMYFUNCTION("""COMPUTED_VALUE"""),"Closed")</f>
        <v>Closed</v>
      </c>
      <c r="BD250" s="276" t="str">
        <f>IFERROR(__xludf.DUMMYFUNCTION("""COMPUTED_VALUE"""),"Closed")</f>
        <v>Closed</v>
      </c>
      <c r="BE250" s="274" t="str">
        <f>IFERROR(__xludf.DUMMYFUNCTION("""COMPUTED_VALUE"""),"Closed")</f>
        <v>Closed</v>
      </c>
      <c r="BF250" s="275" t="str">
        <f>IFERROR(__xludf.DUMMYFUNCTION("""COMPUTED_VALUE"""),"Closed")</f>
        <v>Closed</v>
      </c>
      <c r="BG250" s="276" t="str">
        <f>IFERROR(__xludf.DUMMYFUNCTION("""COMPUTED_VALUE"""),"Closed")</f>
        <v>Closed</v>
      </c>
      <c r="BH250" s="274" t="str">
        <f>IFERROR(__xludf.DUMMYFUNCTION("""COMPUTED_VALUE"""),"Closed")</f>
        <v>Closed</v>
      </c>
      <c r="BI250" s="275" t="str">
        <f>IFERROR(__xludf.DUMMYFUNCTION("""COMPUTED_VALUE"""),"Closed")</f>
        <v>Closed</v>
      </c>
      <c r="BJ250" s="276" t="str">
        <f>IFERROR(__xludf.DUMMYFUNCTION("""COMPUTED_VALUE"""),"Closed")</f>
        <v>Closed</v>
      </c>
      <c r="BK250" s="274" t="str">
        <f>IFERROR(__xludf.DUMMYFUNCTION("""COMPUTED_VALUE"""),"Closed")</f>
        <v>Closed</v>
      </c>
      <c r="BL250" s="275" t="str">
        <f>IFERROR(__xludf.DUMMYFUNCTION("""COMPUTED_VALUE"""),"Closed")</f>
        <v>Closed</v>
      </c>
      <c r="BM250" s="276" t="str">
        <f>IFERROR(__xludf.DUMMYFUNCTION("""COMPUTED_VALUE"""),"Closed")</f>
        <v>Closed</v>
      </c>
      <c r="BN250" s="274" t="str">
        <f>IFERROR(__xludf.DUMMYFUNCTION("""COMPUTED_VALUE"""),"Closed")</f>
        <v>Closed</v>
      </c>
      <c r="BO250" s="275" t="str">
        <f>IFERROR(__xludf.DUMMYFUNCTION("""COMPUTED_VALUE"""),"Closed")</f>
        <v>Closed</v>
      </c>
      <c r="BP250" s="276" t="str">
        <f>IFERROR(__xludf.DUMMYFUNCTION("""COMPUTED_VALUE"""),"Closed")</f>
        <v>Closed</v>
      </c>
      <c r="BQ250" s="274" t="str">
        <f>IFERROR(__xludf.DUMMYFUNCTION("""COMPUTED_VALUE"""),"Closed")</f>
        <v>Closed</v>
      </c>
      <c r="BR250" s="275" t="str">
        <f>IFERROR(__xludf.DUMMYFUNCTION("""COMPUTED_VALUE"""),"Closed")</f>
        <v>Closed</v>
      </c>
      <c r="BS250" s="276" t="str">
        <f>IFERROR(__xludf.DUMMYFUNCTION("""COMPUTED_VALUE"""),"Closed")</f>
        <v>Closed</v>
      </c>
      <c r="BT250" s="274" t="str">
        <f>IFERROR(__xludf.DUMMYFUNCTION("""COMPUTED_VALUE"""),"Closed")</f>
        <v>Closed</v>
      </c>
      <c r="BU250" s="275" t="str">
        <f>IFERROR(__xludf.DUMMYFUNCTION("""COMPUTED_VALUE"""),"Closed")</f>
        <v>Closed</v>
      </c>
      <c r="BV250" s="276" t="str">
        <f>IFERROR(__xludf.DUMMYFUNCTION("""COMPUTED_VALUE"""),"Closed")</f>
        <v>Closed</v>
      </c>
      <c r="BW250" s="274" t="str">
        <f>IFERROR(__xludf.DUMMYFUNCTION("""COMPUTED_VALUE"""),"Closed")</f>
        <v>Closed</v>
      </c>
      <c r="BX250" s="275" t="str">
        <f>IFERROR(__xludf.DUMMYFUNCTION("""COMPUTED_VALUE"""),"Closed")</f>
        <v>Closed</v>
      </c>
      <c r="BY250" s="276" t="str">
        <f>IFERROR(__xludf.DUMMYFUNCTION("""COMPUTED_VALUE"""),"Closed")</f>
        <v>Closed</v>
      </c>
      <c r="BZ250" s="274" t="str">
        <f>IFERROR(__xludf.DUMMYFUNCTION("""COMPUTED_VALUE"""),"Closed")</f>
        <v>Closed</v>
      </c>
      <c r="CA250" s="275" t="str">
        <f>IFERROR(__xludf.DUMMYFUNCTION("""COMPUTED_VALUE"""),"Closed")</f>
        <v>Closed</v>
      </c>
      <c r="CB250" s="276" t="str">
        <f>IFERROR(__xludf.DUMMYFUNCTION("""COMPUTED_VALUE"""),"Closed")</f>
        <v>Closed</v>
      </c>
      <c r="CC250" s="274" t="str">
        <f>IFERROR(__xludf.DUMMYFUNCTION("""COMPUTED_VALUE"""),"Closed")</f>
        <v>Closed</v>
      </c>
      <c r="CD250" s="275" t="str">
        <f>IFERROR(__xludf.DUMMYFUNCTION("""COMPUTED_VALUE"""),"Closed")</f>
        <v>Closed</v>
      </c>
      <c r="CE250" s="276" t="str">
        <f>IFERROR(__xludf.DUMMYFUNCTION("""COMPUTED_VALUE"""),"Closed")</f>
        <v>Closed</v>
      </c>
      <c r="CF250" s="274" t="str">
        <f>IFERROR(__xludf.DUMMYFUNCTION("""COMPUTED_VALUE"""),"Closed")</f>
        <v>Closed</v>
      </c>
      <c r="CG250" s="275" t="str">
        <f>IFERROR(__xludf.DUMMYFUNCTION("""COMPUTED_VALUE"""),"Closed")</f>
        <v>Closed</v>
      </c>
      <c r="CH250" s="275" t="str">
        <f>IFERROR(__xludf.DUMMYFUNCTION("""COMPUTED_VALUE"""),"Closed")</f>
        <v>Closed</v>
      </c>
      <c r="CI250" s="274" t="str">
        <f>IFERROR(__xludf.DUMMYFUNCTION("""COMPUTED_VALUE"""),"Closed")</f>
        <v>Closed</v>
      </c>
      <c r="CJ250" s="275" t="str">
        <f>IFERROR(__xludf.DUMMYFUNCTION("""COMPUTED_VALUE"""),"Closed")</f>
        <v>Closed</v>
      </c>
      <c r="CK250" s="275" t="str">
        <f>IFERROR(__xludf.DUMMYFUNCTION("""COMPUTED_VALUE"""),"Closed")</f>
        <v>Closed</v>
      </c>
      <c r="CL250" s="274" t="str">
        <f>IFERROR(__xludf.DUMMYFUNCTION("""COMPUTED_VALUE"""),"Closed")</f>
        <v>Closed</v>
      </c>
      <c r="CM250" s="275" t="str">
        <f>IFERROR(__xludf.DUMMYFUNCTION("""COMPUTED_VALUE"""),"Closed")</f>
        <v>Closed</v>
      </c>
      <c r="CN250" s="275" t="str">
        <f>IFERROR(__xludf.DUMMYFUNCTION("""COMPUTED_VALUE"""),"Closed")</f>
        <v>Closed</v>
      </c>
      <c r="CO250" s="274" t="str">
        <f>IFERROR(__xludf.DUMMYFUNCTION("""COMPUTED_VALUE"""),"Closed")</f>
        <v>Closed</v>
      </c>
      <c r="CP250" s="275" t="str">
        <f>IFERROR(__xludf.DUMMYFUNCTION("""COMPUTED_VALUE"""),"Closed")</f>
        <v>Closed</v>
      </c>
      <c r="CQ250" s="275" t="str">
        <f>IFERROR(__xludf.DUMMYFUNCTION("""COMPUTED_VALUE"""),"Closed")</f>
        <v>Closed</v>
      </c>
      <c r="CR250" s="274" t="str">
        <f>IFERROR(__xludf.DUMMYFUNCTION("""COMPUTED_VALUE"""),"Closed")</f>
        <v>Closed</v>
      </c>
      <c r="CS250" s="275" t="str">
        <f>IFERROR(__xludf.DUMMYFUNCTION("""COMPUTED_VALUE"""),"Closed")</f>
        <v>Closed</v>
      </c>
      <c r="CT250" s="275" t="str">
        <f>IFERROR(__xludf.DUMMYFUNCTION("""COMPUTED_VALUE"""),"Closed")</f>
        <v>Closed</v>
      </c>
      <c r="CU250" s="274" t="str">
        <f>IFERROR(__xludf.DUMMYFUNCTION("""COMPUTED_VALUE"""),"Closed")</f>
        <v>Closed</v>
      </c>
      <c r="CV250" s="275" t="str">
        <f>IFERROR(__xludf.DUMMYFUNCTION("""COMPUTED_VALUE"""),"Closed")</f>
        <v>Closed</v>
      </c>
      <c r="CW250" s="276" t="str">
        <f>IFERROR(__xludf.DUMMYFUNCTION("""COMPUTED_VALUE"""),"Closed")</f>
        <v>Closed</v>
      </c>
      <c r="CX250" s="275" t="str">
        <f>IFERROR(__xludf.DUMMYFUNCTION("""COMPUTED_VALUE"""),"Closed")</f>
        <v>Closed</v>
      </c>
      <c r="CY250" s="275" t="str">
        <f>IFERROR(__xludf.DUMMYFUNCTION("""COMPUTED_VALUE"""),"Closed")</f>
        <v>Closed</v>
      </c>
      <c r="CZ250" s="276" t="str">
        <f>IFERROR(__xludf.DUMMYFUNCTION("""COMPUTED_VALUE"""),"Closed")</f>
        <v>Closed</v>
      </c>
      <c r="DA250" s="274" t="str">
        <f>IFERROR(__xludf.DUMMYFUNCTION("""COMPUTED_VALUE"""),"Closed")</f>
        <v>Closed</v>
      </c>
      <c r="DB250" s="275" t="str">
        <f>IFERROR(__xludf.DUMMYFUNCTION("""COMPUTED_VALUE"""),"Closed")</f>
        <v>Closed</v>
      </c>
      <c r="DC250" s="276" t="str">
        <f>IFERROR(__xludf.DUMMYFUNCTION("""COMPUTED_VALUE"""),"Closed")</f>
        <v>Closed</v>
      </c>
      <c r="DD250" s="274" t="str">
        <f>IFERROR(__xludf.DUMMYFUNCTION("""COMPUTED_VALUE"""),"Closed")</f>
        <v>Closed</v>
      </c>
      <c r="DE250" s="275" t="str">
        <f>IFERROR(__xludf.DUMMYFUNCTION("""COMPUTED_VALUE"""),"Closed")</f>
        <v>Closed</v>
      </c>
      <c r="DF250" s="276" t="str">
        <f>IFERROR(__xludf.DUMMYFUNCTION("""COMPUTED_VALUE"""),"Closed")</f>
        <v>Closed</v>
      </c>
      <c r="DG250" s="274" t="str">
        <f>IFERROR(__xludf.DUMMYFUNCTION("""COMPUTED_VALUE"""),"Closed")</f>
        <v>Closed</v>
      </c>
      <c r="DH250" s="275" t="str">
        <f>IFERROR(__xludf.DUMMYFUNCTION("""COMPUTED_VALUE"""),"Closed")</f>
        <v>Closed</v>
      </c>
      <c r="DI250" s="276" t="str">
        <f>IFERROR(__xludf.DUMMYFUNCTION("""COMPUTED_VALUE"""),"Closed")</f>
        <v>Closed</v>
      </c>
      <c r="DJ250" s="274" t="str">
        <f>IFERROR(__xludf.DUMMYFUNCTION("""COMPUTED_VALUE"""),"Closed")</f>
        <v>Closed</v>
      </c>
      <c r="DK250" s="275" t="str">
        <f>IFERROR(__xludf.DUMMYFUNCTION("""COMPUTED_VALUE"""),"Closed")</f>
        <v>Closed</v>
      </c>
      <c r="DL250" s="276" t="str">
        <f>IFERROR(__xludf.DUMMYFUNCTION("""COMPUTED_VALUE"""),"Closed")</f>
        <v>Closed</v>
      </c>
      <c r="DM250" s="274" t="str">
        <f>IFERROR(__xludf.DUMMYFUNCTION("""COMPUTED_VALUE"""),"Closed")</f>
        <v>Closed</v>
      </c>
      <c r="DN250" s="275" t="str">
        <f>IFERROR(__xludf.DUMMYFUNCTION("""COMPUTED_VALUE"""),"Closed")</f>
        <v>Closed</v>
      </c>
      <c r="DO250" s="276" t="str">
        <f>IFERROR(__xludf.DUMMYFUNCTION("""COMPUTED_VALUE"""),"Closed")</f>
        <v>Closed</v>
      </c>
      <c r="DP250" s="274" t="str">
        <f>IFERROR(__xludf.DUMMYFUNCTION("""COMPUTED_VALUE"""),"Closed")</f>
        <v>Closed</v>
      </c>
      <c r="DQ250" s="275" t="str">
        <f>IFERROR(__xludf.DUMMYFUNCTION("""COMPUTED_VALUE"""),"Closed")</f>
        <v>Closed</v>
      </c>
      <c r="DR250" s="276"/>
      <c r="DS250" s="274"/>
    </row>
    <row r="251" hidden="1">
      <c r="B251" s="180" t="str">
        <f>IFERROR(__xludf.DUMMYFUNCTION("""COMPUTED_VALUE"""),"HEA4")</f>
        <v>HEA4</v>
      </c>
      <c r="C251" s="272" t="str">
        <f>IFERROR(__xludf.DUMMYFUNCTION("""COMPUTED_VALUE"""),"Aristocrat's Residence")</f>
        <v>Aristocrat's Residence</v>
      </c>
      <c r="D251" s="273">
        <f>IFERROR(__xludf.DUMMYFUNCTION("""COMPUTED_VALUE"""),21.0)</f>
        <v>21</v>
      </c>
      <c r="E251" t="b">
        <f>IFERROR(__xludf.DUMMYFUNCTION("""COMPUTED_VALUE"""),FALSE)</f>
        <v>0</v>
      </c>
      <c r="F251" t="str">
        <f>IFERROR(__xludf.DUMMYFUNCTION("""COMPUTED_VALUE"""),"Free Quests- Part 2!A913:J921")</f>
        <v>Free Quests- Part 2!A913:J921</v>
      </c>
      <c r="G251">
        <f>IFERROR(__xludf.DUMMYFUNCTION("""COMPUTED_VALUE"""),251.0)</f>
        <v>251</v>
      </c>
      <c r="H251" t="str">
        <f>IFERROR(__xludf.DUMMYFUNCTION("""COMPUTED_VALUE"""),"Closed")</f>
        <v>Closed</v>
      </c>
      <c r="I251" s="274" t="str">
        <f>IFERROR(__xludf.DUMMYFUNCTION("""COMPUTED_VALUE"""),"Closed")</f>
        <v>Closed</v>
      </c>
      <c r="J251" s="275" t="str">
        <f>IFERROR(__xludf.DUMMYFUNCTION("""COMPUTED_VALUE"""),"Closed")</f>
        <v>Closed</v>
      </c>
      <c r="K251" s="276" t="str">
        <f>IFERROR(__xludf.DUMMYFUNCTION("""COMPUTED_VALUE"""),"Closed")</f>
        <v>Closed</v>
      </c>
      <c r="L251" s="274" t="str">
        <f>IFERROR(__xludf.DUMMYFUNCTION("""COMPUTED_VALUE"""),"Closed")</f>
        <v>Closed</v>
      </c>
      <c r="M251" s="275" t="str">
        <f>IFERROR(__xludf.DUMMYFUNCTION("""COMPUTED_VALUE"""),"Closed")</f>
        <v>Closed</v>
      </c>
      <c r="N251" s="276" t="str">
        <f>IFERROR(__xludf.DUMMYFUNCTION("""COMPUTED_VALUE"""),"Closed")</f>
        <v>Closed</v>
      </c>
      <c r="O251" s="274" t="str">
        <f>IFERROR(__xludf.DUMMYFUNCTION("""COMPUTED_VALUE"""),"Closed")</f>
        <v>Closed</v>
      </c>
      <c r="P251" s="275" t="str">
        <f>IFERROR(__xludf.DUMMYFUNCTION("""COMPUTED_VALUE"""),"Closed")</f>
        <v>Closed</v>
      </c>
      <c r="Q251" s="276" t="str">
        <f>IFERROR(__xludf.DUMMYFUNCTION("""COMPUTED_VALUE"""),"Closed")</f>
        <v>Closed</v>
      </c>
      <c r="R251" s="274" t="str">
        <f>IFERROR(__xludf.DUMMYFUNCTION("""COMPUTED_VALUE"""),"Closed")</f>
        <v>Closed</v>
      </c>
      <c r="S251" s="275" t="str">
        <f>IFERROR(__xludf.DUMMYFUNCTION("""COMPUTED_VALUE"""),"Closed")</f>
        <v>Closed</v>
      </c>
      <c r="T251" s="276" t="str">
        <f>IFERROR(__xludf.DUMMYFUNCTION("""COMPUTED_VALUE"""),"Closed")</f>
        <v>Closed</v>
      </c>
      <c r="U251" s="274" t="str">
        <f>IFERROR(__xludf.DUMMYFUNCTION("""COMPUTED_VALUE"""),"Closed")</f>
        <v>Closed</v>
      </c>
      <c r="V251" s="275" t="str">
        <f>IFERROR(__xludf.DUMMYFUNCTION("""COMPUTED_VALUE"""),"Closed")</f>
        <v>Closed</v>
      </c>
      <c r="W251" s="276" t="str">
        <f>IFERROR(__xludf.DUMMYFUNCTION("""COMPUTED_VALUE"""),"Closed")</f>
        <v>Closed</v>
      </c>
      <c r="X251" s="274" t="str">
        <f>IFERROR(__xludf.DUMMYFUNCTION("""COMPUTED_VALUE"""),"Closed")</f>
        <v>Closed</v>
      </c>
      <c r="Y251" s="275" t="str">
        <f>IFERROR(__xludf.DUMMYFUNCTION("""COMPUTED_VALUE"""),"Closed")</f>
        <v>Closed</v>
      </c>
      <c r="Z251" s="276" t="str">
        <f>IFERROR(__xludf.DUMMYFUNCTION("""COMPUTED_VALUE"""),"Closed")</f>
        <v>Closed</v>
      </c>
      <c r="AA251" s="274" t="str">
        <f>IFERROR(__xludf.DUMMYFUNCTION("""COMPUTED_VALUE"""),"Closed")</f>
        <v>Closed</v>
      </c>
      <c r="AB251" s="275" t="str">
        <f>IFERROR(__xludf.DUMMYFUNCTION("""COMPUTED_VALUE"""),"Closed")</f>
        <v>Closed</v>
      </c>
      <c r="AC251" s="276" t="str">
        <f>IFERROR(__xludf.DUMMYFUNCTION("""COMPUTED_VALUE"""),"Closed")</f>
        <v>Closed</v>
      </c>
      <c r="AD251" s="274" t="str">
        <f>IFERROR(__xludf.DUMMYFUNCTION("""COMPUTED_VALUE"""),"Closed")</f>
        <v>Closed</v>
      </c>
      <c r="AE251" s="275" t="str">
        <f>IFERROR(__xludf.DUMMYFUNCTION("""COMPUTED_VALUE"""),"Closed")</f>
        <v>Closed</v>
      </c>
      <c r="AF251" s="276" t="str">
        <f>IFERROR(__xludf.DUMMYFUNCTION("""COMPUTED_VALUE"""),"Closed")</f>
        <v>Closed</v>
      </c>
      <c r="AG251" s="274" t="str">
        <f>IFERROR(__xludf.DUMMYFUNCTION("""COMPUTED_VALUE"""),"Closed")</f>
        <v>Closed</v>
      </c>
      <c r="AH251" s="275" t="str">
        <f>IFERROR(__xludf.DUMMYFUNCTION("""COMPUTED_VALUE"""),"Closed")</f>
        <v>Closed</v>
      </c>
      <c r="AI251" s="276" t="str">
        <f>IFERROR(__xludf.DUMMYFUNCTION("""COMPUTED_VALUE"""),"Closed")</f>
        <v>Closed</v>
      </c>
      <c r="AJ251" s="274" t="str">
        <f>IFERROR(__xludf.DUMMYFUNCTION("""COMPUTED_VALUE"""),"Closed")</f>
        <v>Closed</v>
      </c>
      <c r="AK251" s="275" t="str">
        <f>IFERROR(__xludf.DUMMYFUNCTION("""COMPUTED_VALUE"""),"Closed")</f>
        <v>Closed</v>
      </c>
      <c r="AL251" s="276" t="str">
        <f>IFERROR(__xludf.DUMMYFUNCTION("""COMPUTED_VALUE"""),"Closed")</f>
        <v>Closed</v>
      </c>
      <c r="AM251" s="274" t="str">
        <f>IFERROR(__xludf.DUMMYFUNCTION("""COMPUTED_VALUE"""),"Closed")</f>
        <v>Closed</v>
      </c>
      <c r="AN251" s="275" t="str">
        <f>IFERROR(__xludf.DUMMYFUNCTION("""COMPUTED_VALUE"""),"Closed")</f>
        <v>Closed</v>
      </c>
      <c r="AO251" s="276" t="str">
        <f>IFERROR(__xludf.DUMMYFUNCTION("""COMPUTED_VALUE"""),"Closed")</f>
        <v>Closed</v>
      </c>
      <c r="AP251" s="274" t="str">
        <f>IFERROR(__xludf.DUMMYFUNCTION("""COMPUTED_VALUE"""),"Closed")</f>
        <v>Closed</v>
      </c>
      <c r="AQ251" s="275" t="str">
        <f>IFERROR(__xludf.DUMMYFUNCTION("""COMPUTED_VALUE"""),"Closed")</f>
        <v>Closed</v>
      </c>
      <c r="AR251" s="276" t="str">
        <f>IFERROR(__xludf.DUMMYFUNCTION("""COMPUTED_VALUE"""),"Closed")</f>
        <v>Closed</v>
      </c>
      <c r="AS251" s="274" t="str">
        <f>IFERROR(__xludf.DUMMYFUNCTION("""COMPUTED_VALUE"""),"Closed")</f>
        <v>Closed</v>
      </c>
      <c r="AT251" s="275" t="str">
        <f>IFERROR(__xludf.DUMMYFUNCTION("""COMPUTED_VALUE"""),"Closed")</f>
        <v>Closed</v>
      </c>
      <c r="AU251" s="276" t="str">
        <f>IFERROR(__xludf.DUMMYFUNCTION("""COMPUTED_VALUE"""),"Closed")</f>
        <v>Closed</v>
      </c>
      <c r="AV251" s="274" t="str">
        <f>IFERROR(__xludf.DUMMYFUNCTION("""COMPUTED_VALUE"""),"Closed")</f>
        <v>Closed</v>
      </c>
      <c r="AW251" s="275" t="str">
        <f>IFERROR(__xludf.DUMMYFUNCTION("""COMPUTED_VALUE"""),"Closed")</f>
        <v>Closed</v>
      </c>
      <c r="AX251" s="276" t="str">
        <f>IFERROR(__xludf.DUMMYFUNCTION("""COMPUTED_VALUE"""),"Closed")</f>
        <v>Closed</v>
      </c>
      <c r="AY251" s="274" t="str">
        <f>IFERROR(__xludf.DUMMYFUNCTION("""COMPUTED_VALUE"""),"Closed")</f>
        <v>Closed</v>
      </c>
      <c r="AZ251" s="275" t="str">
        <f>IFERROR(__xludf.DUMMYFUNCTION("""COMPUTED_VALUE"""),"Closed")</f>
        <v>Closed</v>
      </c>
      <c r="BA251" s="276" t="str">
        <f>IFERROR(__xludf.DUMMYFUNCTION("""COMPUTED_VALUE"""),"Closed")</f>
        <v>Closed</v>
      </c>
      <c r="BB251" s="274" t="str">
        <f>IFERROR(__xludf.DUMMYFUNCTION("""COMPUTED_VALUE"""),"Closed")</f>
        <v>Closed</v>
      </c>
      <c r="BC251" s="275" t="str">
        <f>IFERROR(__xludf.DUMMYFUNCTION("""COMPUTED_VALUE"""),"Closed")</f>
        <v>Closed</v>
      </c>
      <c r="BD251" s="276" t="str">
        <f>IFERROR(__xludf.DUMMYFUNCTION("""COMPUTED_VALUE"""),"Closed")</f>
        <v>Closed</v>
      </c>
      <c r="BE251" s="274" t="str">
        <f>IFERROR(__xludf.DUMMYFUNCTION("""COMPUTED_VALUE"""),"Closed")</f>
        <v>Closed</v>
      </c>
      <c r="BF251" s="275" t="str">
        <f>IFERROR(__xludf.DUMMYFUNCTION("""COMPUTED_VALUE"""),"Closed")</f>
        <v>Closed</v>
      </c>
      <c r="BG251" s="276" t="str">
        <f>IFERROR(__xludf.DUMMYFUNCTION("""COMPUTED_VALUE"""),"Closed")</f>
        <v>Closed</v>
      </c>
      <c r="BH251" s="274" t="str">
        <f>IFERROR(__xludf.DUMMYFUNCTION("""COMPUTED_VALUE"""),"Closed")</f>
        <v>Closed</v>
      </c>
      <c r="BI251" s="275" t="str">
        <f>IFERROR(__xludf.DUMMYFUNCTION("""COMPUTED_VALUE"""),"Closed")</f>
        <v>Closed</v>
      </c>
      <c r="BJ251" s="276" t="str">
        <f>IFERROR(__xludf.DUMMYFUNCTION("""COMPUTED_VALUE"""),"Closed")</f>
        <v>Closed</v>
      </c>
      <c r="BK251" s="274" t="str">
        <f>IFERROR(__xludf.DUMMYFUNCTION("""COMPUTED_VALUE"""),"Closed")</f>
        <v>Closed</v>
      </c>
      <c r="BL251" s="275" t="str">
        <f>IFERROR(__xludf.DUMMYFUNCTION("""COMPUTED_VALUE"""),"Closed")</f>
        <v>Closed</v>
      </c>
      <c r="BM251" s="276" t="str">
        <f>IFERROR(__xludf.DUMMYFUNCTION("""COMPUTED_VALUE"""),"Closed")</f>
        <v>Closed</v>
      </c>
      <c r="BN251" s="274" t="str">
        <f>IFERROR(__xludf.DUMMYFUNCTION("""COMPUTED_VALUE"""),"Closed")</f>
        <v>Closed</v>
      </c>
      <c r="BO251" s="275" t="str">
        <f>IFERROR(__xludf.DUMMYFUNCTION("""COMPUTED_VALUE"""),"Closed")</f>
        <v>Closed</v>
      </c>
      <c r="BP251" s="276" t="str">
        <f>IFERROR(__xludf.DUMMYFUNCTION("""COMPUTED_VALUE"""),"Closed")</f>
        <v>Closed</v>
      </c>
      <c r="BQ251" s="274" t="str">
        <f>IFERROR(__xludf.DUMMYFUNCTION("""COMPUTED_VALUE"""),"Closed")</f>
        <v>Closed</v>
      </c>
      <c r="BR251" s="275" t="str">
        <f>IFERROR(__xludf.DUMMYFUNCTION("""COMPUTED_VALUE"""),"Closed")</f>
        <v>Closed</v>
      </c>
      <c r="BS251" s="276" t="str">
        <f>IFERROR(__xludf.DUMMYFUNCTION("""COMPUTED_VALUE"""),"Closed")</f>
        <v>Closed</v>
      </c>
      <c r="BT251" s="274" t="str">
        <f>IFERROR(__xludf.DUMMYFUNCTION("""COMPUTED_VALUE"""),"Closed")</f>
        <v>Closed</v>
      </c>
      <c r="BU251" s="275" t="str">
        <f>IFERROR(__xludf.DUMMYFUNCTION("""COMPUTED_VALUE"""),"Closed")</f>
        <v>Closed</v>
      </c>
      <c r="BV251" s="276" t="str">
        <f>IFERROR(__xludf.DUMMYFUNCTION("""COMPUTED_VALUE"""),"Closed")</f>
        <v>Closed</v>
      </c>
      <c r="BW251" s="274" t="str">
        <f>IFERROR(__xludf.DUMMYFUNCTION("""COMPUTED_VALUE"""),"Closed")</f>
        <v>Closed</v>
      </c>
      <c r="BX251" s="275" t="str">
        <f>IFERROR(__xludf.DUMMYFUNCTION("""COMPUTED_VALUE"""),"Closed")</f>
        <v>Closed</v>
      </c>
      <c r="BY251" s="276" t="str">
        <f>IFERROR(__xludf.DUMMYFUNCTION("""COMPUTED_VALUE"""),"Closed")</f>
        <v>Closed</v>
      </c>
      <c r="BZ251" s="274" t="str">
        <f>IFERROR(__xludf.DUMMYFUNCTION("""COMPUTED_VALUE"""),"Closed")</f>
        <v>Closed</v>
      </c>
      <c r="CA251" s="275" t="str">
        <f>IFERROR(__xludf.DUMMYFUNCTION("""COMPUTED_VALUE"""),"Closed")</f>
        <v>Closed</v>
      </c>
      <c r="CB251" s="276" t="str">
        <f>IFERROR(__xludf.DUMMYFUNCTION("""COMPUTED_VALUE"""),"Closed")</f>
        <v>Closed</v>
      </c>
      <c r="CC251" s="274" t="str">
        <f>IFERROR(__xludf.DUMMYFUNCTION("""COMPUTED_VALUE"""),"Closed")</f>
        <v>Closed</v>
      </c>
      <c r="CD251" s="275" t="str">
        <f>IFERROR(__xludf.DUMMYFUNCTION("""COMPUTED_VALUE"""),"Closed")</f>
        <v>Closed</v>
      </c>
      <c r="CE251" s="276" t="str">
        <f>IFERROR(__xludf.DUMMYFUNCTION("""COMPUTED_VALUE"""),"Closed")</f>
        <v>Closed</v>
      </c>
      <c r="CF251" s="274" t="str">
        <f>IFERROR(__xludf.DUMMYFUNCTION("""COMPUTED_VALUE"""),"Closed")</f>
        <v>Closed</v>
      </c>
      <c r="CG251" s="275" t="str">
        <f>IFERROR(__xludf.DUMMYFUNCTION("""COMPUTED_VALUE"""),"Closed")</f>
        <v>Closed</v>
      </c>
      <c r="CH251" s="275" t="str">
        <f>IFERROR(__xludf.DUMMYFUNCTION("""COMPUTED_VALUE"""),"Closed")</f>
        <v>Closed</v>
      </c>
      <c r="CI251" s="274" t="str">
        <f>IFERROR(__xludf.DUMMYFUNCTION("""COMPUTED_VALUE"""),"Closed")</f>
        <v>Closed</v>
      </c>
      <c r="CJ251" s="275" t="str">
        <f>IFERROR(__xludf.DUMMYFUNCTION("""COMPUTED_VALUE"""),"Closed")</f>
        <v>Closed</v>
      </c>
      <c r="CK251" s="275" t="str">
        <f>IFERROR(__xludf.DUMMYFUNCTION("""COMPUTED_VALUE"""),"Closed")</f>
        <v>Closed</v>
      </c>
      <c r="CL251" s="274" t="str">
        <f>IFERROR(__xludf.DUMMYFUNCTION("""COMPUTED_VALUE"""),"Closed")</f>
        <v>Closed</v>
      </c>
      <c r="CM251" s="275" t="str">
        <f>IFERROR(__xludf.DUMMYFUNCTION("""COMPUTED_VALUE"""),"Closed")</f>
        <v>Closed</v>
      </c>
      <c r="CN251" s="275" t="str">
        <f>IFERROR(__xludf.DUMMYFUNCTION("""COMPUTED_VALUE"""),"Closed")</f>
        <v>Closed</v>
      </c>
      <c r="CO251" s="274" t="str">
        <f>IFERROR(__xludf.DUMMYFUNCTION("""COMPUTED_VALUE"""),"Closed")</f>
        <v>Closed</v>
      </c>
      <c r="CP251" s="275" t="str">
        <f>IFERROR(__xludf.DUMMYFUNCTION("""COMPUTED_VALUE"""),"Closed")</f>
        <v>Closed</v>
      </c>
      <c r="CQ251" s="275" t="str">
        <f>IFERROR(__xludf.DUMMYFUNCTION("""COMPUTED_VALUE"""),"Closed")</f>
        <v>Closed</v>
      </c>
      <c r="CR251" s="274" t="str">
        <f>IFERROR(__xludf.DUMMYFUNCTION("""COMPUTED_VALUE"""),"Closed")</f>
        <v>Closed</v>
      </c>
      <c r="CS251" s="275" t="str">
        <f>IFERROR(__xludf.DUMMYFUNCTION("""COMPUTED_VALUE"""),"Closed")</f>
        <v>Closed</v>
      </c>
      <c r="CT251" s="275" t="str">
        <f>IFERROR(__xludf.DUMMYFUNCTION("""COMPUTED_VALUE"""),"Closed")</f>
        <v>Closed</v>
      </c>
      <c r="CU251" s="274" t="str">
        <f>IFERROR(__xludf.DUMMYFUNCTION("""COMPUTED_VALUE"""),"Closed")</f>
        <v>Closed</v>
      </c>
      <c r="CV251" s="275" t="str">
        <f>IFERROR(__xludf.DUMMYFUNCTION("""COMPUTED_VALUE"""),"Closed")</f>
        <v>Closed</v>
      </c>
      <c r="CW251" s="276" t="str">
        <f>IFERROR(__xludf.DUMMYFUNCTION("""COMPUTED_VALUE"""),"Closed")</f>
        <v>Closed</v>
      </c>
      <c r="CX251" s="275" t="str">
        <f>IFERROR(__xludf.DUMMYFUNCTION("""COMPUTED_VALUE"""),"Closed")</f>
        <v>Closed</v>
      </c>
      <c r="CY251" s="275" t="str">
        <f>IFERROR(__xludf.DUMMYFUNCTION("""COMPUTED_VALUE"""),"Closed")</f>
        <v>Closed</v>
      </c>
      <c r="CZ251" s="276" t="str">
        <f>IFERROR(__xludf.DUMMYFUNCTION("""COMPUTED_VALUE"""),"Closed")</f>
        <v>Closed</v>
      </c>
      <c r="DA251" s="274" t="str">
        <f>IFERROR(__xludf.DUMMYFUNCTION("""COMPUTED_VALUE"""),"Closed")</f>
        <v>Closed</v>
      </c>
      <c r="DB251" s="275" t="str">
        <f>IFERROR(__xludf.DUMMYFUNCTION("""COMPUTED_VALUE"""),"Closed")</f>
        <v>Closed</v>
      </c>
      <c r="DC251" s="276" t="str">
        <f>IFERROR(__xludf.DUMMYFUNCTION("""COMPUTED_VALUE"""),"Closed")</f>
        <v>Closed</v>
      </c>
      <c r="DD251" s="274" t="str">
        <f>IFERROR(__xludf.DUMMYFUNCTION("""COMPUTED_VALUE"""),"Closed")</f>
        <v>Closed</v>
      </c>
      <c r="DE251" s="275" t="str">
        <f>IFERROR(__xludf.DUMMYFUNCTION("""COMPUTED_VALUE"""),"Closed")</f>
        <v>Closed</v>
      </c>
      <c r="DF251" s="276" t="str">
        <f>IFERROR(__xludf.DUMMYFUNCTION("""COMPUTED_VALUE"""),"Closed")</f>
        <v>Closed</v>
      </c>
      <c r="DG251" s="274" t="str">
        <f>IFERROR(__xludf.DUMMYFUNCTION("""COMPUTED_VALUE"""),"Closed")</f>
        <v>Closed</v>
      </c>
      <c r="DH251" s="275" t="str">
        <f>IFERROR(__xludf.DUMMYFUNCTION("""COMPUTED_VALUE"""),"Closed")</f>
        <v>Closed</v>
      </c>
      <c r="DI251" s="276" t="str">
        <f>IFERROR(__xludf.DUMMYFUNCTION("""COMPUTED_VALUE"""),"Closed")</f>
        <v>Closed</v>
      </c>
      <c r="DJ251" s="274" t="str">
        <f>IFERROR(__xludf.DUMMYFUNCTION("""COMPUTED_VALUE"""),"Closed")</f>
        <v>Closed</v>
      </c>
      <c r="DK251" s="275" t="str">
        <f>IFERROR(__xludf.DUMMYFUNCTION("""COMPUTED_VALUE"""),"Closed")</f>
        <v>Closed</v>
      </c>
      <c r="DL251" s="276" t="str">
        <f>IFERROR(__xludf.DUMMYFUNCTION("""COMPUTED_VALUE"""),"Closed")</f>
        <v>Closed</v>
      </c>
      <c r="DM251" s="274" t="str">
        <f>IFERROR(__xludf.DUMMYFUNCTION("""COMPUTED_VALUE"""),"Closed")</f>
        <v>Closed</v>
      </c>
      <c r="DN251" s="275" t="str">
        <f>IFERROR(__xludf.DUMMYFUNCTION("""COMPUTED_VALUE"""),"Closed")</f>
        <v>Closed</v>
      </c>
      <c r="DO251" s="276" t="str">
        <f>IFERROR(__xludf.DUMMYFUNCTION("""COMPUTED_VALUE"""),"Closed")</f>
        <v>Closed</v>
      </c>
      <c r="DP251" s="274" t="str">
        <f>IFERROR(__xludf.DUMMYFUNCTION("""COMPUTED_VALUE"""),"Closed")</f>
        <v>Closed</v>
      </c>
      <c r="DQ251" s="275" t="str">
        <f>IFERROR(__xludf.DUMMYFUNCTION("""COMPUTED_VALUE"""),"Closed")</f>
        <v>Closed</v>
      </c>
      <c r="DR251" s="276"/>
      <c r="DS251" s="274"/>
    </row>
    <row r="252" hidden="1">
      <c r="B252" s="180" t="str">
        <f>IFERROR(__xludf.DUMMYFUNCTION("""COMPUTED_VALUE"""),"HEA5")</f>
        <v>HEA5</v>
      </c>
      <c r="C252" s="272" t="str">
        <f>IFERROR(__xludf.DUMMYFUNCTION("""COMPUTED_VALUE"""),"Suzakumon")</f>
        <v>Suzakumon</v>
      </c>
      <c r="D252" s="273">
        <f>IFERROR(__xludf.DUMMYFUNCTION("""COMPUTED_VALUE"""),21.0)</f>
        <v>21</v>
      </c>
      <c r="E252" t="b">
        <f>IFERROR(__xludf.DUMMYFUNCTION("""COMPUTED_VALUE"""),FALSE)</f>
        <v>0</v>
      </c>
      <c r="F252" t="str">
        <f>IFERROR(__xludf.DUMMYFUNCTION("""COMPUTED_VALUE"""),"Free Quests- Part 2!A925:J934")</f>
        <v>Free Quests- Part 2!A925:J934</v>
      </c>
      <c r="G252">
        <f>IFERROR(__xludf.DUMMYFUNCTION("""COMPUTED_VALUE"""),252.0)</f>
        <v>252</v>
      </c>
      <c r="H252" t="str">
        <f>IFERROR(__xludf.DUMMYFUNCTION("""COMPUTED_VALUE"""),"Closed")</f>
        <v>Closed</v>
      </c>
      <c r="I252" s="274" t="str">
        <f>IFERROR(__xludf.DUMMYFUNCTION("""COMPUTED_VALUE"""),"Closed")</f>
        <v>Closed</v>
      </c>
      <c r="J252" s="275" t="str">
        <f>IFERROR(__xludf.DUMMYFUNCTION("""COMPUTED_VALUE"""),"Closed")</f>
        <v>Closed</v>
      </c>
      <c r="K252" s="276" t="str">
        <f>IFERROR(__xludf.DUMMYFUNCTION("""COMPUTED_VALUE"""),"Closed")</f>
        <v>Closed</v>
      </c>
      <c r="L252" s="274" t="str">
        <f>IFERROR(__xludf.DUMMYFUNCTION("""COMPUTED_VALUE"""),"Closed")</f>
        <v>Closed</v>
      </c>
      <c r="M252" s="275" t="str">
        <f>IFERROR(__xludf.DUMMYFUNCTION("""COMPUTED_VALUE"""),"Closed")</f>
        <v>Closed</v>
      </c>
      <c r="N252" s="276" t="str">
        <f>IFERROR(__xludf.DUMMYFUNCTION("""COMPUTED_VALUE"""),"Closed")</f>
        <v>Closed</v>
      </c>
      <c r="O252" s="274" t="str">
        <f>IFERROR(__xludf.DUMMYFUNCTION("""COMPUTED_VALUE"""),"Closed")</f>
        <v>Closed</v>
      </c>
      <c r="P252" s="275" t="str">
        <f>IFERROR(__xludf.DUMMYFUNCTION("""COMPUTED_VALUE"""),"Closed")</f>
        <v>Closed</v>
      </c>
      <c r="Q252" s="276" t="str">
        <f>IFERROR(__xludf.DUMMYFUNCTION("""COMPUTED_VALUE"""),"Closed")</f>
        <v>Closed</v>
      </c>
      <c r="R252" s="274" t="str">
        <f>IFERROR(__xludf.DUMMYFUNCTION("""COMPUTED_VALUE"""),"Closed")</f>
        <v>Closed</v>
      </c>
      <c r="S252" s="275" t="str">
        <f>IFERROR(__xludf.DUMMYFUNCTION("""COMPUTED_VALUE"""),"Closed")</f>
        <v>Closed</v>
      </c>
      <c r="T252" s="276" t="str">
        <f>IFERROR(__xludf.DUMMYFUNCTION("""COMPUTED_VALUE"""),"Closed")</f>
        <v>Closed</v>
      </c>
      <c r="U252" s="274" t="str">
        <f>IFERROR(__xludf.DUMMYFUNCTION("""COMPUTED_VALUE"""),"Closed")</f>
        <v>Closed</v>
      </c>
      <c r="V252" s="275" t="str">
        <f>IFERROR(__xludf.DUMMYFUNCTION("""COMPUTED_VALUE"""),"Closed")</f>
        <v>Closed</v>
      </c>
      <c r="W252" s="276" t="str">
        <f>IFERROR(__xludf.DUMMYFUNCTION("""COMPUTED_VALUE"""),"Closed")</f>
        <v>Closed</v>
      </c>
      <c r="X252" s="274" t="str">
        <f>IFERROR(__xludf.DUMMYFUNCTION("""COMPUTED_VALUE"""),"Closed")</f>
        <v>Closed</v>
      </c>
      <c r="Y252" s="275" t="str">
        <f>IFERROR(__xludf.DUMMYFUNCTION("""COMPUTED_VALUE"""),"Closed")</f>
        <v>Closed</v>
      </c>
      <c r="Z252" s="276" t="str">
        <f>IFERROR(__xludf.DUMMYFUNCTION("""COMPUTED_VALUE"""),"Closed")</f>
        <v>Closed</v>
      </c>
      <c r="AA252" s="274" t="str">
        <f>IFERROR(__xludf.DUMMYFUNCTION("""COMPUTED_VALUE"""),"Closed")</f>
        <v>Closed</v>
      </c>
      <c r="AB252" s="275" t="str">
        <f>IFERROR(__xludf.DUMMYFUNCTION("""COMPUTED_VALUE"""),"Closed")</f>
        <v>Closed</v>
      </c>
      <c r="AC252" s="276" t="str">
        <f>IFERROR(__xludf.DUMMYFUNCTION("""COMPUTED_VALUE"""),"Closed")</f>
        <v>Closed</v>
      </c>
      <c r="AD252" s="274" t="str">
        <f>IFERROR(__xludf.DUMMYFUNCTION("""COMPUTED_VALUE"""),"Closed")</f>
        <v>Closed</v>
      </c>
      <c r="AE252" s="275" t="str">
        <f>IFERROR(__xludf.DUMMYFUNCTION("""COMPUTED_VALUE"""),"Closed")</f>
        <v>Closed</v>
      </c>
      <c r="AF252" s="276" t="str">
        <f>IFERROR(__xludf.DUMMYFUNCTION("""COMPUTED_VALUE"""),"Closed")</f>
        <v>Closed</v>
      </c>
      <c r="AG252" s="274" t="str">
        <f>IFERROR(__xludf.DUMMYFUNCTION("""COMPUTED_VALUE"""),"Closed")</f>
        <v>Closed</v>
      </c>
      <c r="AH252" s="275" t="str">
        <f>IFERROR(__xludf.DUMMYFUNCTION("""COMPUTED_VALUE"""),"Closed")</f>
        <v>Closed</v>
      </c>
      <c r="AI252" s="276" t="str">
        <f>IFERROR(__xludf.DUMMYFUNCTION("""COMPUTED_VALUE"""),"Closed")</f>
        <v>Closed</v>
      </c>
      <c r="AJ252" s="274" t="str">
        <f>IFERROR(__xludf.DUMMYFUNCTION("""COMPUTED_VALUE"""),"Closed")</f>
        <v>Closed</v>
      </c>
      <c r="AK252" s="275" t="str">
        <f>IFERROR(__xludf.DUMMYFUNCTION("""COMPUTED_VALUE"""),"Closed")</f>
        <v>Closed</v>
      </c>
      <c r="AL252" s="276" t="str">
        <f>IFERROR(__xludf.DUMMYFUNCTION("""COMPUTED_VALUE"""),"Closed")</f>
        <v>Closed</v>
      </c>
      <c r="AM252" s="274" t="str">
        <f>IFERROR(__xludf.DUMMYFUNCTION("""COMPUTED_VALUE"""),"Closed")</f>
        <v>Closed</v>
      </c>
      <c r="AN252" s="275" t="str">
        <f>IFERROR(__xludf.DUMMYFUNCTION("""COMPUTED_VALUE"""),"Closed")</f>
        <v>Closed</v>
      </c>
      <c r="AO252" s="276" t="str">
        <f>IFERROR(__xludf.DUMMYFUNCTION("""COMPUTED_VALUE"""),"Closed")</f>
        <v>Closed</v>
      </c>
      <c r="AP252" s="274" t="str">
        <f>IFERROR(__xludf.DUMMYFUNCTION("""COMPUTED_VALUE"""),"Closed")</f>
        <v>Closed</v>
      </c>
      <c r="AQ252" s="275" t="str">
        <f>IFERROR(__xludf.DUMMYFUNCTION("""COMPUTED_VALUE"""),"Closed")</f>
        <v>Closed</v>
      </c>
      <c r="AR252" s="276" t="str">
        <f>IFERROR(__xludf.DUMMYFUNCTION("""COMPUTED_VALUE"""),"Closed")</f>
        <v>Closed</v>
      </c>
      <c r="AS252" s="274" t="str">
        <f>IFERROR(__xludf.DUMMYFUNCTION("""COMPUTED_VALUE"""),"Closed")</f>
        <v>Closed</v>
      </c>
      <c r="AT252" s="275" t="str">
        <f>IFERROR(__xludf.DUMMYFUNCTION("""COMPUTED_VALUE"""),"Closed")</f>
        <v>Closed</v>
      </c>
      <c r="AU252" s="276" t="str">
        <f>IFERROR(__xludf.DUMMYFUNCTION("""COMPUTED_VALUE"""),"Closed")</f>
        <v>Closed</v>
      </c>
      <c r="AV252" s="274" t="str">
        <f>IFERROR(__xludf.DUMMYFUNCTION("""COMPUTED_VALUE"""),"Closed")</f>
        <v>Closed</v>
      </c>
      <c r="AW252" s="275" t="str">
        <f>IFERROR(__xludf.DUMMYFUNCTION("""COMPUTED_VALUE"""),"Closed")</f>
        <v>Closed</v>
      </c>
      <c r="AX252" s="276" t="str">
        <f>IFERROR(__xludf.DUMMYFUNCTION("""COMPUTED_VALUE"""),"Closed")</f>
        <v>Closed</v>
      </c>
      <c r="AY252" s="274" t="str">
        <f>IFERROR(__xludf.DUMMYFUNCTION("""COMPUTED_VALUE"""),"Closed")</f>
        <v>Closed</v>
      </c>
      <c r="AZ252" s="275" t="str">
        <f>IFERROR(__xludf.DUMMYFUNCTION("""COMPUTED_VALUE"""),"Closed")</f>
        <v>Closed</v>
      </c>
      <c r="BA252" s="276" t="str">
        <f>IFERROR(__xludf.DUMMYFUNCTION("""COMPUTED_VALUE"""),"Closed")</f>
        <v>Closed</v>
      </c>
      <c r="BB252" s="274" t="str">
        <f>IFERROR(__xludf.DUMMYFUNCTION("""COMPUTED_VALUE"""),"Closed")</f>
        <v>Closed</v>
      </c>
      <c r="BC252" s="275" t="str">
        <f>IFERROR(__xludf.DUMMYFUNCTION("""COMPUTED_VALUE"""),"Closed")</f>
        <v>Closed</v>
      </c>
      <c r="BD252" s="276" t="str">
        <f>IFERROR(__xludf.DUMMYFUNCTION("""COMPUTED_VALUE"""),"Closed")</f>
        <v>Closed</v>
      </c>
      <c r="BE252" s="274" t="str">
        <f>IFERROR(__xludf.DUMMYFUNCTION("""COMPUTED_VALUE"""),"Closed")</f>
        <v>Closed</v>
      </c>
      <c r="BF252" s="275" t="str">
        <f>IFERROR(__xludf.DUMMYFUNCTION("""COMPUTED_VALUE"""),"Closed")</f>
        <v>Closed</v>
      </c>
      <c r="BG252" s="276" t="str">
        <f>IFERROR(__xludf.DUMMYFUNCTION("""COMPUTED_VALUE"""),"Closed")</f>
        <v>Closed</v>
      </c>
      <c r="BH252" s="274" t="str">
        <f>IFERROR(__xludf.DUMMYFUNCTION("""COMPUTED_VALUE"""),"Closed")</f>
        <v>Closed</v>
      </c>
      <c r="BI252" s="275" t="str">
        <f>IFERROR(__xludf.DUMMYFUNCTION("""COMPUTED_VALUE"""),"Closed")</f>
        <v>Closed</v>
      </c>
      <c r="BJ252" s="276" t="str">
        <f>IFERROR(__xludf.DUMMYFUNCTION("""COMPUTED_VALUE"""),"Closed")</f>
        <v>Closed</v>
      </c>
      <c r="BK252" s="274" t="str">
        <f>IFERROR(__xludf.DUMMYFUNCTION("""COMPUTED_VALUE"""),"Closed")</f>
        <v>Closed</v>
      </c>
      <c r="BL252" s="275" t="str">
        <f>IFERROR(__xludf.DUMMYFUNCTION("""COMPUTED_VALUE"""),"Closed")</f>
        <v>Closed</v>
      </c>
      <c r="BM252" s="276" t="str">
        <f>IFERROR(__xludf.DUMMYFUNCTION("""COMPUTED_VALUE"""),"Closed")</f>
        <v>Closed</v>
      </c>
      <c r="BN252" s="274" t="str">
        <f>IFERROR(__xludf.DUMMYFUNCTION("""COMPUTED_VALUE"""),"Closed")</f>
        <v>Closed</v>
      </c>
      <c r="BO252" s="275" t="str">
        <f>IFERROR(__xludf.DUMMYFUNCTION("""COMPUTED_VALUE"""),"Closed")</f>
        <v>Closed</v>
      </c>
      <c r="BP252" s="276" t="str">
        <f>IFERROR(__xludf.DUMMYFUNCTION("""COMPUTED_VALUE"""),"Closed")</f>
        <v>Closed</v>
      </c>
      <c r="BQ252" s="274" t="str">
        <f>IFERROR(__xludf.DUMMYFUNCTION("""COMPUTED_VALUE"""),"Closed")</f>
        <v>Closed</v>
      </c>
      <c r="BR252" s="275" t="str">
        <f>IFERROR(__xludf.DUMMYFUNCTION("""COMPUTED_VALUE"""),"Closed")</f>
        <v>Closed</v>
      </c>
      <c r="BS252" s="276" t="str">
        <f>IFERROR(__xludf.DUMMYFUNCTION("""COMPUTED_VALUE"""),"Closed")</f>
        <v>Closed</v>
      </c>
      <c r="BT252" s="274" t="str">
        <f>IFERROR(__xludf.DUMMYFUNCTION("""COMPUTED_VALUE"""),"Closed")</f>
        <v>Closed</v>
      </c>
      <c r="BU252" s="275" t="str">
        <f>IFERROR(__xludf.DUMMYFUNCTION("""COMPUTED_VALUE"""),"Closed")</f>
        <v>Closed</v>
      </c>
      <c r="BV252" s="276" t="str">
        <f>IFERROR(__xludf.DUMMYFUNCTION("""COMPUTED_VALUE"""),"Closed")</f>
        <v>Closed</v>
      </c>
      <c r="BW252" s="274" t="str">
        <f>IFERROR(__xludf.DUMMYFUNCTION("""COMPUTED_VALUE"""),"Closed")</f>
        <v>Closed</v>
      </c>
      <c r="BX252" s="275" t="str">
        <f>IFERROR(__xludf.DUMMYFUNCTION("""COMPUTED_VALUE"""),"Closed")</f>
        <v>Closed</v>
      </c>
      <c r="BY252" s="276" t="str">
        <f>IFERROR(__xludf.DUMMYFUNCTION("""COMPUTED_VALUE"""),"Closed")</f>
        <v>Closed</v>
      </c>
      <c r="BZ252" s="274" t="str">
        <f>IFERROR(__xludf.DUMMYFUNCTION("""COMPUTED_VALUE"""),"Closed")</f>
        <v>Closed</v>
      </c>
      <c r="CA252" s="275" t="str">
        <f>IFERROR(__xludf.DUMMYFUNCTION("""COMPUTED_VALUE"""),"Closed")</f>
        <v>Closed</v>
      </c>
      <c r="CB252" s="276" t="str">
        <f>IFERROR(__xludf.DUMMYFUNCTION("""COMPUTED_VALUE"""),"Closed")</f>
        <v>Closed</v>
      </c>
      <c r="CC252" s="274" t="str">
        <f>IFERROR(__xludf.DUMMYFUNCTION("""COMPUTED_VALUE"""),"Closed")</f>
        <v>Closed</v>
      </c>
      <c r="CD252" s="275" t="str">
        <f>IFERROR(__xludf.DUMMYFUNCTION("""COMPUTED_VALUE"""),"Closed")</f>
        <v>Closed</v>
      </c>
      <c r="CE252" s="276" t="str">
        <f>IFERROR(__xludf.DUMMYFUNCTION("""COMPUTED_VALUE"""),"Closed")</f>
        <v>Closed</v>
      </c>
      <c r="CF252" s="274" t="str">
        <f>IFERROR(__xludf.DUMMYFUNCTION("""COMPUTED_VALUE"""),"Closed")</f>
        <v>Closed</v>
      </c>
      <c r="CG252" s="275" t="str">
        <f>IFERROR(__xludf.DUMMYFUNCTION("""COMPUTED_VALUE"""),"Closed")</f>
        <v>Closed</v>
      </c>
      <c r="CH252" s="275" t="str">
        <f>IFERROR(__xludf.DUMMYFUNCTION("""COMPUTED_VALUE"""),"Closed")</f>
        <v>Closed</v>
      </c>
      <c r="CI252" s="274" t="str">
        <f>IFERROR(__xludf.DUMMYFUNCTION("""COMPUTED_VALUE"""),"Closed")</f>
        <v>Closed</v>
      </c>
      <c r="CJ252" s="275" t="str">
        <f>IFERROR(__xludf.DUMMYFUNCTION("""COMPUTED_VALUE"""),"Closed")</f>
        <v>Closed</v>
      </c>
      <c r="CK252" s="275" t="str">
        <f>IFERROR(__xludf.DUMMYFUNCTION("""COMPUTED_VALUE"""),"Closed")</f>
        <v>Closed</v>
      </c>
      <c r="CL252" s="274" t="str">
        <f>IFERROR(__xludf.DUMMYFUNCTION("""COMPUTED_VALUE"""),"Closed")</f>
        <v>Closed</v>
      </c>
      <c r="CM252" s="275" t="str">
        <f>IFERROR(__xludf.DUMMYFUNCTION("""COMPUTED_VALUE"""),"Closed")</f>
        <v>Closed</v>
      </c>
      <c r="CN252" s="275" t="str">
        <f>IFERROR(__xludf.DUMMYFUNCTION("""COMPUTED_VALUE"""),"Closed")</f>
        <v>Closed</v>
      </c>
      <c r="CO252" s="274" t="str">
        <f>IFERROR(__xludf.DUMMYFUNCTION("""COMPUTED_VALUE"""),"Closed")</f>
        <v>Closed</v>
      </c>
      <c r="CP252" s="275" t="str">
        <f>IFERROR(__xludf.DUMMYFUNCTION("""COMPUTED_VALUE"""),"Closed")</f>
        <v>Closed</v>
      </c>
      <c r="CQ252" s="275" t="str">
        <f>IFERROR(__xludf.DUMMYFUNCTION("""COMPUTED_VALUE"""),"Closed")</f>
        <v>Closed</v>
      </c>
      <c r="CR252" s="274" t="str">
        <f>IFERROR(__xludf.DUMMYFUNCTION("""COMPUTED_VALUE"""),"Closed")</f>
        <v>Closed</v>
      </c>
      <c r="CS252" s="275" t="str">
        <f>IFERROR(__xludf.DUMMYFUNCTION("""COMPUTED_VALUE"""),"Closed")</f>
        <v>Closed</v>
      </c>
      <c r="CT252" s="275" t="str">
        <f>IFERROR(__xludf.DUMMYFUNCTION("""COMPUTED_VALUE"""),"Closed")</f>
        <v>Closed</v>
      </c>
      <c r="CU252" s="274" t="str">
        <f>IFERROR(__xludf.DUMMYFUNCTION("""COMPUTED_VALUE"""),"Closed")</f>
        <v>Closed</v>
      </c>
      <c r="CV252" s="275" t="str">
        <f>IFERROR(__xludf.DUMMYFUNCTION("""COMPUTED_VALUE"""),"Closed")</f>
        <v>Closed</v>
      </c>
      <c r="CW252" s="276" t="str">
        <f>IFERROR(__xludf.DUMMYFUNCTION("""COMPUTED_VALUE"""),"Closed")</f>
        <v>Closed</v>
      </c>
      <c r="CX252" s="275" t="str">
        <f>IFERROR(__xludf.DUMMYFUNCTION("""COMPUTED_VALUE"""),"Closed")</f>
        <v>Closed</v>
      </c>
      <c r="CY252" s="275" t="str">
        <f>IFERROR(__xludf.DUMMYFUNCTION("""COMPUTED_VALUE"""),"Closed")</f>
        <v>Closed</v>
      </c>
      <c r="CZ252" s="276" t="str">
        <f>IFERROR(__xludf.DUMMYFUNCTION("""COMPUTED_VALUE"""),"Closed")</f>
        <v>Closed</v>
      </c>
      <c r="DA252" s="274" t="str">
        <f>IFERROR(__xludf.DUMMYFUNCTION("""COMPUTED_VALUE"""),"Closed")</f>
        <v>Closed</v>
      </c>
      <c r="DB252" s="275" t="str">
        <f>IFERROR(__xludf.DUMMYFUNCTION("""COMPUTED_VALUE"""),"Closed")</f>
        <v>Closed</v>
      </c>
      <c r="DC252" s="276" t="str">
        <f>IFERROR(__xludf.DUMMYFUNCTION("""COMPUTED_VALUE"""),"Closed")</f>
        <v>Closed</v>
      </c>
      <c r="DD252" s="274" t="str">
        <f>IFERROR(__xludf.DUMMYFUNCTION("""COMPUTED_VALUE"""),"Closed")</f>
        <v>Closed</v>
      </c>
      <c r="DE252" s="275" t="str">
        <f>IFERROR(__xludf.DUMMYFUNCTION("""COMPUTED_VALUE"""),"Closed")</f>
        <v>Closed</v>
      </c>
      <c r="DF252" s="276" t="str">
        <f>IFERROR(__xludf.DUMMYFUNCTION("""COMPUTED_VALUE"""),"Closed")</f>
        <v>Closed</v>
      </c>
      <c r="DG252" s="274" t="str">
        <f>IFERROR(__xludf.DUMMYFUNCTION("""COMPUTED_VALUE"""),"Closed")</f>
        <v>Closed</v>
      </c>
      <c r="DH252" s="275" t="str">
        <f>IFERROR(__xludf.DUMMYFUNCTION("""COMPUTED_VALUE"""),"Closed")</f>
        <v>Closed</v>
      </c>
      <c r="DI252" s="276" t="str">
        <f>IFERROR(__xludf.DUMMYFUNCTION("""COMPUTED_VALUE"""),"Closed")</f>
        <v>Closed</v>
      </c>
      <c r="DJ252" s="274" t="str">
        <f>IFERROR(__xludf.DUMMYFUNCTION("""COMPUTED_VALUE"""),"Closed")</f>
        <v>Closed</v>
      </c>
      <c r="DK252" s="275" t="str">
        <f>IFERROR(__xludf.DUMMYFUNCTION("""COMPUTED_VALUE"""),"Closed")</f>
        <v>Closed</v>
      </c>
      <c r="DL252" s="276" t="str">
        <f>IFERROR(__xludf.DUMMYFUNCTION("""COMPUTED_VALUE"""),"Closed")</f>
        <v>Closed</v>
      </c>
      <c r="DM252" s="274" t="str">
        <f>IFERROR(__xludf.DUMMYFUNCTION("""COMPUTED_VALUE"""),"Closed")</f>
        <v>Closed</v>
      </c>
      <c r="DN252" s="275" t="str">
        <f>IFERROR(__xludf.DUMMYFUNCTION("""COMPUTED_VALUE"""),"Closed")</f>
        <v>Closed</v>
      </c>
      <c r="DO252" s="276" t="str">
        <f>IFERROR(__xludf.DUMMYFUNCTION("""COMPUTED_VALUE"""),"Closed")</f>
        <v>Closed</v>
      </c>
      <c r="DP252" s="274" t="str">
        <f>IFERROR(__xludf.DUMMYFUNCTION("""COMPUTED_VALUE"""),"Closed")</f>
        <v>Closed</v>
      </c>
      <c r="DQ252" s="275" t="str">
        <f>IFERROR(__xludf.DUMMYFUNCTION("""COMPUTED_VALUE"""),"Closed")</f>
        <v>Closed</v>
      </c>
      <c r="DR252" s="276"/>
      <c r="DS252" s="274"/>
    </row>
    <row r="253" hidden="1">
      <c r="B253" s="180" t="str">
        <f>IFERROR(__xludf.DUMMYFUNCTION("""COMPUTED_VALUE"""),"HEA6")</f>
        <v>HEA6</v>
      </c>
      <c r="C253" s="272" t="str">
        <f>IFERROR(__xludf.DUMMYFUNCTION("""COMPUTED_VALUE"""),"Heian Imperial Palace")</f>
        <v>Heian Imperial Palace</v>
      </c>
      <c r="D253" s="273">
        <f>IFERROR(__xludf.DUMMYFUNCTION("""COMPUTED_VALUE"""),21.0)</f>
        <v>21</v>
      </c>
      <c r="E253" t="b">
        <f>IFERROR(__xludf.DUMMYFUNCTION("""COMPUTED_VALUE"""),FALSE)</f>
        <v>0</v>
      </c>
      <c r="F253" t="str">
        <f>IFERROR(__xludf.DUMMYFUNCTION("""COMPUTED_VALUE"""),"Free Quests- Part 2!A938:J947")</f>
        <v>Free Quests- Part 2!A938:J947</v>
      </c>
      <c r="G253">
        <f>IFERROR(__xludf.DUMMYFUNCTION("""COMPUTED_VALUE"""),253.0)</f>
        <v>253</v>
      </c>
      <c r="H253" t="str">
        <f>IFERROR(__xludf.DUMMYFUNCTION("""COMPUTED_VALUE"""),"Closed")</f>
        <v>Closed</v>
      </c>
      <c r="I253" s="274" t="str">
        <f>IFERROR(__xludf.DUMMYFUNCTION("""COMPUTED_VALUE"""),"Closed")</f>
        <v>Closed</v>
      </c>
      <c r="J253" s="275" t="str">
        <f>IFERROR(__xludf.DUMMYFUNCTION("""COMPUTED_VALUE"""),"Closed")</f>
        <v>Closed</v>
      </c>
      <c r="K253" s="276" t="str">
        <f>IFERROR(__xludf.DUMMYFUNCTION("""COMPUTED_VALUE"""),"Closed")</f>
        <v>Closed</v>
      </c>
      <c r="L253" s="274" t="str">
        <f>IFERROR(__xludf.DUMMYFUNCTION("""COMPUTED_VALUE"""),"Closed")</f>
        <v>Closed</v>
      </c>
      <c r="M253" s="275" t="str">
        <f>IFERROR(__xludf.DUMMYFUNCTION("""COMPUTED_VALUE"""),"Closed")</f>
        <v>Closed</v>
      </c>
      <c r="N253" s="276" t="str">
        <f>IFERROR(__xludf.DUMMYFUNCTION("""COMPUTED_VALUE"""),"Closed")</f>
        <v>Closed</v>
      </c>
      <c r="O253" s="274" t="str">
        <f>IFERROR(__xludf.DUMMYFUNCTION("""COMPUTED_VALUE"""),"Closed")</f>
        <v>Closed</v>
      </c>
      <c r="P253" s="275" t="str">
        <f>IFERROR(__xludf.DUMMYFUNCTION("""COMPUTED_VALUE"""),"Closed")</f>
        <v>Closed</v>
      </c>
      <c r="Q253" s="276" t="str">
        <f>IFERROR(__xludf.DUMMYFUNCTION("""COMPUTED_VALUE"""),"Closed")</f>
        <v>Closed</v>
      </c>
      <c r="R253" s="274" t="str">
        <f>IFERROR(__xludf.DUMMYFUNCTION("""COMPUTED_VALUE"""),"Closed")</f>
        <v>Closed</v>
      </c>
      <c r="S253" s="275" t="str">
        <f>IFERROR(__xludf.DUMMYFUNCTION("""COMPUTED_VALUE"""),"Closed")</f>
        <v>Closed</v>
      </c>
      <c r="T253" s="276" t="str">
        <f>IFERROR(__xludf.DUMMYFUNCTION("""COMPUTED_VALUE"""),"Closed")</f>
        <v>Closed</v>
      </c>
      <c r="U253" s="274" t="str">
        <f>IFERROR(__xludf.DUMMYFUNCTION("""COMPUTED_VALUE"""),"Closed")</f>
        <v>Closed</v>
      </c>
      <c r="V253" s="275" t="str">
        <f>IFERROR(__xludf.DUMMYFUNCTION("""COMPUTED_VALUE"""),"Closed")</f>
        <v>Closed</v>
      </c>
      <c r="W253" s="276" t="str">
        <f>IFERROR(__xludf.DUMMYFUNCTION("""COMPUTED_VALUE"""),"Closed")</f>
        <v>Closed</v>
      </c>
      <c r="X253" s="274" t="str">
        <f>IFERROR(__xludf.DUMMYFUNCTION("""COMPUTED_VALUE"""),"Closed")</f>
        <v>Closed</v>
      </c>
      <c r="Y253" s="275" t="str">
        <f>IFERROR(__xludf.DUMMYFUNCTION("""COMPUTED_VALUE"""),"Closed")</f>
        <v>Closed</v>
      </c>
      <c r="Z253" s="276" t="str">
        <f>IFERROR(__xludf.DUMMYFUNCTION("""COMPUTED_VALUE"""),"Closed")</f>
        <v>Closed</v>
      </c>
      <c r="AA253" s="274" t="str">
        <f>IFERROR(__xludf.DUMMYFUNCTION("""COMPUTED_VALUE"""),"Closed")</f>
        <v>Closed</v>
      </c>
      <c r="AB253" s="275" t="str">
        <f>IFERROR(__xludf.DUMMYFUNCTION("""COMPUTED_VALUE"""),"Closed")</f>
        <v>Closed</v>
      </c>
      <c r="AC253" s="276" t="str">
        <f>IFERROR(__xludf.DUMMYFUNCTION("""COMPUTED_VALUE"""),"Closed")</f>
        <v>Closed</v>
      </c>
      <c r="AD253" s="274" t="str">
        <f>IFERROR(__xludf.DUMMYFUNCTION("""COMPUTED_VALUE"""),"Closed")</f>
        <v>Closed</v>
      </c>
      <c r="AE253" s="275" t="str">
        <f>IFERROR(__xludf.DUMMYFUNCTION("""COMPUTED_VALUE"""),"Closed")</f>
        <v>Closed</v>
      </c>
      <c r="AF253" s="276" t="str">
        <f>IFERROR(__xludf.DUMMYFUNCTION("""COMPUTED_VALUE"""),"Closed")</f>
        <v>Closed</v>
      </c>
      <c r="AG253" s="274" t="str">
        <f>IFERROR(__xludf.DUMMYFUNCTION("""COMPUTED_VALUE"""),"Closed")</f>
        <v>Closed</v>
      </c>
      <c r="AH253" s="275" t="str">
        <f>IFERROR(__xludf.DUMMYFUNCTION("""COMPUTED_VALUE"""),"Closed")</f>
        <v>Closed</v>
      </c>
      <c r="AI253" s="276" t="str">
        <f>IFERROR(__xludf.DUMMYFUNCTION("""COMPUTED_VALUE"""),"Closed")</f>
        <v>Closed</v>
      </c>
      <c r="AJ253" s="274" t="str">
        <f>IFERROR(__xludf.DUMMYFUNCTION("""COMPUTED_VALUE"""),"Closed")</f>
        <v>Closed</v>
      </c>
      <c r="AK253" s="275" t="str">
        <f>IFERROR(__xludf.DUMMYFUNCTION("""COMPUTED_VALUE"""),"Closed")</f>
        <v>Closed</v>
      </c>
      <c r="AL253" s="276" t="str">
        <f>IFERROR(__xludf.DUMMYFUNCTION("""COMPUTED_VALUE"""),"Closed")</f>
        <v>Closed</v>
      </c>
      <c r="AM253" s="274" t="str">
        <f>IFERROR(__xludf.DUMMYFUNCTION("""COMPUTED_VALUE"""),"Closed")</f>
        <v>Closed</v>
      </c>
      <c r="AN253" s="275" t="str">
        <f>IFERROR(__xludf.DUMMYFUNCTION("""COMPUTED_VALUE"""),"Closed")</f>
        <v>Closed</v>
      </c>
      <c r="AO253" s="276" t="str">
        <f>IFERROR(__xludf.DUMMYFUNCTION("""COMPUTED_VALUE"""),"Closed")</f>
        <v>Closed</v>
      </c>
      <c r="AP253" s="274" t="str">
        <f>IFERROR(__xludf.DUMMYFUNCTION("""COMPUTED_VALUE"""),"Closed")</f>
        <v>Closed</v>
      </c>
      <c r="AQ253" s="275" t="str">
        <f>IFERROR(__xludf.DUMMYFUNCTION("""COMPUTED_VALUE"""),"Closed")</f>
        <v>Closed</v>
      </c>
      <c r="AR253" s="276" t="str">
        <f>IFERROR(__xludf.DUMMYFUNCTION("""COMPUTED_VALUE"""),"Closed")</f>
        <v>Closed</v>
      </c>
      <c r="AS253" s="274" t="str">
        <f>IFERROR(__xludf.DUMMYFUNCTION("""COMPUTED_VALUE"""),"Closed")</f>
        <v>Closed</v>
      </c>
      <c r="AT253" s="275" t="str">
        <f>IFERROR(__xludf.DUMMYFUNCTION("""COMPUTED_VALUE"""),"Closed")</f>
        <v>Closed</v>
      </c>
      <c r="AU253" s="276" t="str">
        <f>IFERROR(__xludf.DUMMYFUNCTION("""COMPUTED_VALUE"""),"Closed")</f>
        <v>Closed</v>
      </c>
      <c r="AV253" s="274" t="str">
        <f>IFERROR(__xludf.DUMMYFUNCTION("""COMPUTED_VALUE"""),"Closed")</f>
        <v>Closed</v>
      </c>
      <c r="AW253" s="275" t="str">
        <f>IFERROR(__xludf.DUMMYFUNCTION("""COMPUTED_VALUE"""),"Closed")</f>
        <v>Closed</v>
      </c>
      <c r="AX253" s="276" t="str">
        <f>IFERROR(__xludf.DUMMYFUNCTION("""COMPUTED_VALUE"""),"Closed")</f>
        <v>Closed</v>
      </c>
      <c r="AY253" s="274" t="str">
        <f>IFERROR(__xludf.DUMMYFUNCTION("""COMPUTED_VALUE"""),"Closed")</f>
        <v>Closed</v>
      </c>
      <c r="AZ253" s="275" t="str">
        <f>IFERROR(__xludf.DUMMYFUNCTION("""COMPUTED_VALUE"""),"Closed")</f>
        <v>Closed</v>
      </c>
      <c r="BA253" s="276" t="str">
        <f>IFERROR(__xludf.DUMMYFUNCTION("""COMPUTED_VALUE"""),"Closed")</f>
        <v>Closed</v>
      </c>
      <c r="BB253" s="274" t="str">
        <f>IFERROR(__xludf.DUMMYFUNCTION("""COMPUTED_VALUE"""),"Closed")</f>
        <v>Closed</v>
      </c>
      <c r="BC253" s="275" t="str">
        <f>IFERROR(__xludf.DUMMYFUNCTION("""COMPUTED_VALUE"""),"Closed")</f>
        <v>Closed</v>
      </c>
      <c r="BD253" s="276" t="str">
        <f>IFERROR(__xludf.DUMMYFUNCTION("""COMPUTED_VALUE"""),"Closed")</f>
        <v>Closed</v>
      </c>
      <c r="BE253" s="274" t="str">
        <f>IFERROR(__xludf.DUMMYFUNCTION("""COMPUTED_VALUE"""),"Closed")</f>
        <v>Closed</v>
      </c>
      <c r="BF253" s="275" t="str">
        <f>IFERROR(__xludf.DUMMYFUNCTION("""COMPUTED_VALUE"""),"Closed")</f>
        <v>Closed</v>
      </c>
      <c r="BG253" s="276" t="str">
        <f>IFERROR(__xludf.DUMMYFUNCTION("""COMPUTED_VALUE"""),"Closed")</f>
        <v>Closed</v>
      </c>
      <c r="BH253" s="274" t="str">
        <f>IFERROR(__xludf.DUMMYFUNCTION("""COMPUTED_VALUE"""),"Closed")</f>
        <v>Closed</v>
      </c>
      <c r="BI253" s="275" t="str">
        <f>IFERROR(__xludf.DUMMYFUNCTION("""COMPUTED_VALUE"""),"Closed")</f>
        <v>Closed</v>
      </c>
      <c r="BJ253" s="276" t="str">
        <f>IFERROR(__xludf.DUMMYFUNCTION("""COMPUTED_VALUE"""),"Closed")</f>
        <v>Closed</v>
      </c>
      <c r="BK253" s="274" t="str">
        <f>IFERROR(__xludf.DUMMYFUNCTION("""COMPUTED_VALUE"""),"Closed")</f>
        <v>Closed</v>
      </c>
      <c r="BL253" s="275" t="str">
        <f>IFERROR(__xludf.DUMMYFUNCTION("""COMPUTED_VALUE"""),"Closed")</f>
        <v>Closed</v>
      </c>
      <c r="BM253" s="276" t="str">
        <f>IFERROR(__xludf.DUMMYFUNCTION("""COMPUTED_VALUE"""),"Closed")</f>
        <v>Closed</v>
      </c>
      <c r="BN253" s="274" t="str">
        <f>IFERROR(__xludf.DUMMYFUNCTION("""COMPUTED_VALUE"""),"Closed")</f>
        <v>Closed</v>
      </c>
      <c r="BO253" s="275" t="str">
        <f>IFERROR(__xludf.DUMMYFUNCTION("""COMPUTED_VALUE"""),"Closed")</f>
        <v>Closed</v>
      </c>
      <c r="BP253" s="276" t="str">
        <f>IFERROR(__xludf.DUMMYFUNCTION("""COMPUTED_VALUE"""),"Closed")</f>
        <v>Closed</v>
      </c>
      <c r="BQ253" s="274" t="str">
        <f>IFERROR(__xludf.DUMMYFUNCTION("""COMPUTED_VALUE"""),"Closed")</f>
        <v>Closed</v>
      </c>
      <c r="BR253" s="275" t="str">
        <f>IFERROR(__xludf.DUMMYFUNCTION("""COMPUTED_VALUE"""),"Closed")</f>
        <v>Closed</v>
      </c>
      <c r="BS253" s="276" t="str">
        <f>IFERROR(__xludf.DUMMYFUNCTION("""COMPUTED_VALUE"""),"Closed")</f>
        <v>Closed</v>
      </c>
      <c r="BT253" s="274" t="str">
        <f>IFERROR(__xludf.DUMMYFUNCTION("""COMPUTED_VALUE"""),"Closed")</f>
        <v>Closed</v>
      </c>
      <c r="BU253" s="275" t="str">
        <f>IFERROR(__xludf.DUMMYFUNCTION("""COMPUTED_VALUE"""),"Closed")</f>
        <v>Closed</v>
      </c>
      <c r="BV253" s="276" t="str">
        <f>IFERROR(__xludf.DUMMYFUNCTION("""COMPUTED_VALUE"""),"Closed")</f>
        <v>Closed</v>
      </c>
      <c r="BW253" s="274" t="str">
        <f>IFERROR(__xludf.DUMMYFUNCTION("""COMPUTED_VALUE"""),"Closed")</f>
        <v>Closed</v>
      </c>
      <c r="BX253" s="275" t="str">
        <f>IFERROR(__xludf.DUMMYFUNCTION("""COMPUTED_VALUE"""),"Closed")</f>
        <v>Closed</v>
      </c>
      <c r="BY253" s="276" t="str">
        <f>IFERROR(__xludf.DUMMYFUNCTION("""COMPUTED_VALUE"""),"Closed")</f>
        <v>Closed</v>
      </c>
      <c r="BZ253" s="274" t="str">
        <f>IFERROR(__xludf.DUMMYFUNCTION("""COMPUTED_VALUE"""),"Closed")</f>
        <v>Closed</v>
      </c>
      <c r="CA253" s="275" t="str">
        <f>IFERROR(__xludf.DUMMYFUNCTION("""COMPUTED_VALUE"""),"Closed")</f>
        <v>Closed</v>
      </c>
      <c r="CB253" s="276" t="str">
        <f>IFERROR(__xludf.DUMMYFUNCTION("""COMPUTED_VALUE"""),"Closed")</f>
        <v>Closed</v>
      </c>
      <c r="CC253" s="274" t="str">
        <f>IFERROR(__xludf.DUMMYFUNCTION("""COMPUTED_VALUE"""),"Closed")</f>
        <v>Closed</v>
      </c>
      <c r="CD253" s="275" t="str">
        <f>IFERROR(__xludf.DUMMYFUNCTION("""COMPUTED_VALUE"""),"Closed")</f>
        <v>Closed</v>
      </c>
      <c r="CE253" s="276" t="str">
        <f>IFERROR(__xludf.DUMMYFUNCTION("""COMPUTED_VALUE"""),"Closed")</f>
        <v>Closed</v>
      </c>
      <c r="CF253" s="274" t="str">
        <f>IFERROR(__xludf.DUMMYFUNCTION("""COMPUTED_VALUE"""),"Closed")</f>
        <v>Closed</v>
      </c>
      <c r="CG253" s="275" t="str">
        <f>IFERROR(__xludf.DUMMYFUNCTION("""COMPUTED_VALUE"""),"Closed")</f>
        <v>Closed</v>
      </c>
      <c r="CH253" s="275" t="str">
        <f>IFERROR(__xludf.DUMMYFUNCTION("""COMPUTED_VALUE"""),"Closed")</f>
        <v>Closed</v>
      </c>
      <c r="CI253" s="274" t="str">
        <f>IFERROR(__xludf.DUMMYFUNCTION("""COMPUTED_VALUE"""),"Closed")</f>
        <v>Closed</v>
      </c>
      <c r="CJ253" s="275" t="str">
        <f>IFERROR(__xludf.DUMMYFUNCTION("""COMPUTED_VALUE"""),"Closed")</f>
        <v>Closed</v>
      </c>
      <c r="CK253" s="275" t="str">
        <f>IFERROR(__xludf.DUMMYFUNCTION("""COMPUTED_VALUE"""),"Closed")</f>
        <v>Closed</v>
      </c>
      <c r="CL253" s="274" t="str">
        <f>IFERROR(__xludf.DUMMYFUNCTION("""COMPUTED_VALUE"""),"Closed")</f>
        <v>Closed</v>
      </c>
      <c r="CM253" s="275" t="str">
        <f>IFERROR(__xludf.DUMMYFUNCTION("""COMPUTED_VALUE"""),"Closed")</f>
        <v>Closed</v>
      </c>
      <c r="CN253" s="275" t="str">
        <f>IFERROR(__xludf.DUMMYFUNCTION("""COMPUTED_VALUE"""),"Closed")</f>
        <v>Closed</v>
      </c>
      <c r="CO253" s="274" t="str">
        <f>IFERROR(__xludf.DUMMYFUNCTION("""COMPUTED_VALUE"""),"Closed")</f>
        <v>Closed</v>
      </c>
      <c r="CP253" s="275" t="str">
        <f>IFERROR(__xludf.DUMMYFUNCTION("""COMPUTED_VALUE"""),"Closed")</f>
        <v>Closed</v>
      </c>
      <c r="CQ253" s="275" t="str">
        <f>IFERROR(__xludf.DUMMYFUNCTION("""COMPUTED_VALUE"""),"Closed")</f>
        <v>Closed</v>
      </c>
      <c r="CR253" s="274" t="str">
        <f>IFERROR(__xludf.DUMMYFUNCTION("""COMPUTED_VALUE"""),"Closed")</f>
        <v>Closed</v>
      </c>
      <c r="CS253" s="275" t="str">
        <f>IFERROR(__xludf.DUMMYFUNCTION("""COMPUTED_VALUE"""),"Closed")</f>
        <v>Closed</v>
      </c>
      <c r="CT253" s="275" t="str">
        <f>IFERROR(__xludf.DUMMYFUNCTION("""COMPUTED_VALUE"""),"Closed")</f>
        <v>Closed</v>
      </c>
      <c r="CU253" s="274" t="str">
        <f>IFERROR(__xludf.DUMMYFUNCTION("""COMPUTED_VALUE"""),"Closed")</f>
        <v>Closed</v>
      </c>
      <c r="CV253" s="275" t="str">
        <f>IFERROR(__xludf.DUMMYFUNCTION("""COMPUTED_VALUE"""),"Closed")</f>
        <v>Closed</v>
      </c>
      <c r="CW253" s="276" t="str">
        <f>IFERROR(__xludf.DUMMYFUNCTION("""COMPUTED_VALUE"""),"Closed")</f>
        <v>Closed</v>
      </c>
      <c r="CX253" s="275" t="str">
        <f>IFERROR(__xludf.DUMMYFUNCTION("""COMPUTED_VALUE"""),"Closed")</f>
        <v>Closed</v>
      </c>
      <c r="CY253" s="275" t="str">
        <f>IFERROR(__xludf.DUMMYFUNCTION("""COMPUTED_VALUE"""),"Closed")</f>
        <v>Closed</v>
      </c>
      <c r="CZ253" s="276" t="str">
        <f>IFERROR(__xludf.DUMMYFUNCTION("""COMPUTED_VALUE"""),"Closed")</f>
        <v>Closed</v>
      </c>
      <c r="DA253" s="274" t="str">
        <f>IFERROR(__xludf.DUMMYFUNCTION("""COMPUTED_VALUE"""),"Closed")</f>
        <v>Closed</v>
      </c>
      <c r="DB253" s="275" t="str">
        <f>IFERROR(__xludf.DUMMYFUNCTION("""COMPUTED_VALUE"""),"Closed")</f>
        <v>Closed</v>
      </c>
      <c r="DC253" s="276" t="str">
        <f>IFERROR(__xludf.DUMMYFUNCTION("""COMPUTED_VALUE"""),"Closed")</f>
        <v>Closed</v>
      </c>
      <c r="DD253" s="274" t="str">
        <f>IFERROR(__xludf.DUMMYFUNCTION("""COMPUTED_VALUE"""),"Closed")</f>
        <v>Closed</v>
      </c>
      <c r="DE253" s="275" t="str">
        <f>IFERROR(__xludf.DUMMYFUNCTION("""COMPUTED_VALUE"""),"Closed")</f>
        <v>Closed</v>
      </c>
      <c r="DF253" s="276" t="str">
        <f>IFERROR(__xludf.DUMMYFUNCTION("""COMPUTED_VALUE"""),"Closed")</f>
        <v>Closed</v>
      </c>
      <c r="DG253" s="274" t="str">
        <f>IFERROR(__xludf.DUMMYFUNCTION("""COMPUTED_VALUE"""),"Closed")</f>
        <v>Closed</v>
      </c>
      <c r="DH253" s="275" t="str">
        <f>IFERROR(__xludf.DUMMYFUNCTION("""COMPUTED_VALUE"""),"Closed")</f>
        <v>Closed</v>
      </c>
      <c r="DI253" s="276" t="str">
        <f>IFERROR(__xludf.DUMMYFUNCTION("""COMPUTED_VALUE"""),"Closed")</f>
        <v>Closed</v>
      </c>
      <c r="DJ253" s="274" t="str">
        <f>IFERROR(__xludf.DUMMYFUNCTION("""COMPUTED_VALUE"""),"Closed")</f>
        <v>Closed</v>
      </c>
      <c r="DK253" s="275" t="str">
        <f>IFERROR(__xludf.DUMMYFUNCTION("""COMPUTED_VALUE"""),"Closed")</f>
        <v>Closed</v>
      </c>
      <c r="DL253" s="276" t="str">
        <f>IFERROR(__xludf.DUMMYFUNCTION("""COMPUTED_VALUE"""),"Closed")</f>
        <v>Closed</v>
      </c>
      <c r="DM253" s="274" t="str">
        <f>IFERROR(__xludf.DUMMYFUNCTION("""COMPUTED_VALUE"""),"Closed")</f>
        <v>Closed</v>
      </c>
      <c r="DN253" s="275" t="str">
        <f>IFERROR(__xludf.DUMMYFUNCTION("""COMPUTED_VALUE"""),"Closed")</f>
        <v>Closed</v>
      </c>
      <c r="DO253" s="276" t="str">
        <f>IFERROR(__xludf.DUMMYFUNCTION("""COMPUTED_VALUE"""),"Closed")</f>
        <v>Closed</v>
      </c>
      <c r="DP253" s="274" t="str">
        <f>IFERROR(__xludf.DUMMYFUNCTION("""COMPUTED_VALUE"""),"Closed")</f>
        <v>Closed</v>
      </c>
      <c r="DQ253" s="275" t="str">
        <f>IFERROR(__xludf.DUMMYFUNCTION("""COMPUTED_VALUE"""),"Closed")</f>
        <v>Closed</v>
      </c>
      <c r="DR253" s="276"/>
      <c r="DS253" s="274"/>
    </row>
    <row r="254" hidden="1">
      <c r="B254" s="180" t="str">
        <f>IFERROR(__xludf.DUMMYFUNCTION("""COMPUTED_VALUE"""),"HEA7")</f>
        <v>HEA7</v>
      </c>
      <c r="C254" s="272" t="str">
        <f>IFERROR(__xludf.DUMMYFUNCTION("""COMPUTED_VALUE"""),"Suzaku Main Street")</f>
        <v>Suzaku Main Street</v>
      </c>
      <c r="D254" s="273">
        <f>IFERROR(__xludf.DUMMYFUNCTION("""COMPUTED_VALUE"""),21.0)</f>
        <v>21</v>
      </c>
      <c r="E254" t="b">
        <f>IFERROR(__xludf.DUMMYFUNCTION("""COMPUTED_VALUE"""),FALSE)</f>
        <v>0</v>
      </c>
      <c r="F254" t="str">
        <f>IFERROR(__xludf.DUMMYFUNCTION("""COMPUTED_VALUE"""),"Free Quests- Part 2!A951:J960")</f>
        <v>Free Quests- Part 2!A951:J960</v>
      </c>
      <c r="G254">
        <f>IFERROR(__xludf.DUMMYFUNCTION("""COMPUTED_VALUE"""),254.0)</f>
        <v>254</v>
      </c>
      <c r="H254" t="str">
        <f>IFERROR(__xludf.DUMMYFUNCTION("""COMPUTED_VALUE"""),"Closed")</f>
        <v>Closed</v>
      </c>
      <c r="I254" s="274" t="str">
        <f>IFERROR(__xludf.DUMMYFUNCTION("""COMPUTED_VALUE"""),"Closed")</f>
        <v>Closed</v>
      </c>
      <c r="J254" s="275" t="str">
        <f>IFERROR(__xludf.DUMMYFUNCTION("""COMPUTED_VALUE"""),"Closed")</f>
        <v>Closed</v>
      </c>
      <c r="K254" s="276" t="str">
        <f>IFERROR(__xludf.DUMMYFUNCTION("""COMPUTED_VALUE"""),"Closed")</f>
        <v>Closed</v>
      </c>
      <c r="L254" s="274" t="str">
        <f>IFERROR(__xludf.DUMMYFUNCTION("""COMPUTED_VALUE"""),"Closed")</f>
        <v>Closed</v>
      </c>
      <c r="M254" s="275" t="str">
        <f>IFERROR(__xludf.DUMMYFUNCTION("""COMPUTED_VALUE"""),"Closed")</f>
        <v>Closed</v>
      </c>
      <c r="N254" s="276" t="str">
        <f>IFERROR(__xludf.DUMMYFUNCTION("""COMPUTED_VALUE"""),"Closed")</f>
        <v>Closed</v>
      </c>
      <c r="O254" s="274" t="str">
        <f>IFERROR(__xludf.DUMMYFUNCTION("""COMPUTED_VALUE"""),"Closed")</f>
        <v>Closed</v>
      </c>
      <c r="P254" s="275" t="str">
        <f>IFERROR(__xludf.DUMMYFUNCTION("""COMPUTED_VALUE"""),"Closed")</f>
        <v>Closed</v>
      </c>
      <c r="Q254" s="276" t="str">
        <f>IFERROR(__xludf.DUMMYFUNCTION("""COMPUTED_VALUE"""),"Closed")</f>
        <v>Closed</v>
      </c>
      <c r="R254" s="274" t="str">
        <f>IFERROR(__xludf.DUMMYFUNCTION("""COMPUTED_VALUE"""),"Closed")</f>
        <v>Closed</v>
      </c>
      <c r="S254" s="275" t="str">
        <f>IFERROR(__xludf.DUMMYFUNCTION("""COMPUTED_VALUE"""),"Closed")</f>
        <v>Closed</v>
      </c>
      <c r="T254" s="276" t="str">
        <f>IFERROR(__xludf.DUMMYFUNCTION("""COMPUTED_VALUE"""),"Closed")</f>
        <v>Closed</v>
      </c>
      <c r="U254" s="274" t="str">
        <f>IFERROR(__xludf.DUMMYFUNCTION("""COMPUTED_VALUE"""),"Closed")</f>
        <v>Closed</v>
      </c>
      <c r="V254" s="275" t="str">
        <f>IFERROR(__xludf.DUMMYFUNCTION("""COMPUTED_VALUE"""),"Closed")</f>
        <v>Closed</v>
      </c>
      <c r="W254" s="276" t="str">
        <f>IFERROR(__xludf.DUMMYFUNCTION("""COMPUTED_VALUE"""),"Closed")</f>
        <v>Closed</v>
      </c>
      <c r="X254" s="274" t="str">
        <f>IFERROR(__xludf.DUMMYFUNCTION("""COMPUTED_VALUE"""),"Closed")</f>
        <v>Closed</v>
      </c>
      <c r="Y254" s="275" t="str">
        <f>IFERROR(__xludf.DUMMYFUNCTION("""COMPUTED_VALUE"""),"Closed")</f>
        <v>Closed</v>
      </c>
      <c r="Z254" s="276" t="str">
        <f>IFERROR(__xludf.DUMMYFUNCTION("""COMPUTED_VALUE"""),"Closed")</f>
        <v>Closed</v>
      </c>
      <c r="AA254" s="274" t="str">
        <f>IFERROR(__xludf.DUMMYFUNCTION("""COMPUTED_VALUE"""),"Closed")</f>
        <v>Closed</v>
      </c>
      <c r="AB254" s="275" t="str">
        <f>IFERROR(__xludf.DUMMYFUNCTION("""COMPUTED_VALUE"""),"Closed")</f>
        <v>Closed</v>
      </c>
      <c r="AC254" s="276" t="str">
        <f>IFERROR(__xludf.DUMMYFUNCTION("""COMPUTED_VALUE"""),"Closed")</f>
        <v>Closed</v>
      </c>
      <c r="AD254" s="274" t="str">
        <f>IFERROR(__xludf.DUMMYFUNCTION("""COMPUTED_VALUE"""),"Closed")</f>
        <v>Closed</v>
      </c>
      <c r="AE254" s="275" t="str">
        <f>IFERROR(__xludf.DUMMYFUNCTION("""COMPUTED_VALUE"""),"Closed")</f>
        <v>Closed</v>
      </c>
      <c r="AF254" s="276" t="str">
        <f>IFERROR(__xludf.DUMMYFUNCTION("""COMPUTED_VALUE"""),"Closed")</f>
        <v>Closed</v>
      </c>
      <c r="AG254" s="274" t="str">
        <f>IFERROR(__xludf.DUMMYFUNCTION("""COMPUTED_VALUE"""),"Closed")</f>
        <v>Closed</v>
      </c>
      <c r="AH254" s="275" t="str">
        <f>IFERROR(__xludf.DUMMYFUNCTION("""COMPUTED_VALUE"""),"Closed")</f>
        <v>Closed</v>
      </c>
      <c r="AI254" s="276" t="str">
        <f>IFERROR(__xludf.DUMMYFUNCTION("""COMPUTED_VALUE"""),"Closed")</f>
        <v>Closed</v>
      </c>
      <c r="AJ254" s="274" t="str">
        <f>IFERROR(__xludf.DUMMYFUNCTION("""COMPUTED_VALUE"""),"Closed")</f>
        <v>Closed</v>
      </c>
      <c r="AK254" s="275" t="str">
        <f>IFERROR(__xludf.DUMMYFUNCTION("""COMPUTED_VALUE"""),"Closed")</f>
        <v>Closed</v>
      </c>
      <c r="AL254" s="276" t="str">
        <f>IFERROR(__xludf.DUMMYFUNCTION("""COMPUTED_VALUE"""),"Closed")</f>
        <v>Closed</v>
      </c>
      <c r="AM254" s="274" t="str">
        <f>IFERROR(__xludf.DUMMYFUNCTION("""COMPUTED_VALUE"""),"Closed")</f>
        <v>Closed</v>
      </c>
      <c r="AN254" s="275" t="str">
        <f>IFERROR(__xludf.DUMMYFUNCTION("""COMPUTED_VALUE"""),"Closed")</f>
        <v>Closed</v>
      </c>
      <c r="AO254" s="276" t="str">
        <f>IFERROR(__xludf.DUMMYFUNCTION("""COMPUTED_VALUE"""),"Closed")</f>
        <v>Closed</v>
      </c>
      <c r="AP254" s="274" t="str">
        <f>IFERROR(__xludf.DUMMYFUNCTION("""COMPUTED_VALUE"""),"Closed")</f>
        <v>Closed</v>
      </c>
      <c r="AQ254" s="275" t="str">
        <f>IFERROR(__xludf.DUMMYFUNCTION("""COMPUTED_VALUE"""),"Closed")</f>
        <v>Closed</v>
      </c>
      <c r="AR254" s="276" t="str">
        <f>IFERROR(__xludf.DUMMYFUNCTION("""COMPUTED_VALUE"""),"Closed")</f>
        <v>Closed</v>
      </c>
      <c r="AS254" s="274" t="str">
        <f>IFERROR(__xludf.DUMMYFUNCTION("""COMPUTED_VALUE"""),"Closed")</f>
        <v>Closed</v>
      </c>
      <c r="AT254" s="275" t="str">
        <f>IFERROR(__xludf.DUMMYFUNCTION("""COMPUTED_VALUE"""),"Closed")</f>
        <v>Closed</v>
      </c>
      <c r="AU254" s="276" t="str">
        <f>IFERROR(__xludf.DUMMYFUNCTION("""COMPUTED_VALUE"""),"Closed")</f>
        <v>Closed</v>
      </c>
      <c r="AV254" s="274" t="str">
        <f>IFERROR(__xludf.DUMMYFUNCTION("""COMPUTED_VALUE"""),"Closed")</f>
        <v>Closed</v>
      </c>
      <c r="AW254" s="275" t="str">
        <f>IFERROR(__xludf.DUMMYFUNCTION("""COMPUTED_VALUE"""),"Closed")</f>
        <v>Closed</v>
      </c>
      <c r="AX254" s="276" t="str">
        <f>IFERROR(__xludf.DUMMYFUNCTION("""COMPUTED_VALUE"""),"Closed")</f>
        <v>Closed</v>
      </c>
      <c r="AY254" s="274" t="str">
        <f>IFERROR(__xludf.DUMMYFUNCTION("""COMPUTED_VALUE"""),"Closed")</f>
        <v>Closed</v>
      </c>
      <c r="AZ254" s="275" t="str">
        <f>IFERROR(__xludf.DUMMYFUNCTION("""COMPUTED_VALUE"""),"Closed")</f>
        <v>Closed</v>
      </c>
      <c r="BA254" s="276" t="str">
        <f>IFERROR(__xludf.DUMMYFUNCTION("""COMPUTED_VALUE"""),"Closed")</f>
        <v>Closed</v>
      </c>
      <c r="BB254" s="274" t="str">
        <f>IFERROR(__xludf.DUMMYFUNCTION("""COMPUTED_VALUE"""),"Closed")</f>
        <v>Closed</v>
      </c>
      <c r="BC254" s="275" t="str">
        <f>IFERROR(__xludf.DUMMYFUNCTION("""COMPUTED_VALUE"""),"Closed")</f>
        <v>Closed</v>
      </c>
      <c r="BD254" s="276" t="str">
        <f>IFERROR(__xludf.DUMMYFUNCTION("""COMPUTED_VALUE"""),"Closed")</f>
        <v>Closed</v>
      </c>
      <c r="BE254" s="274" t="str">
        <f>IFERROR(__xludf.DUMMYFUNCTION("""COMPUTED_VALUE"""),"Closed")</f>
        <v>Closed</v>
      </c>
      <c r="BF254" s="275" t="str">
        <f>IFERROR(__xludf.DUMMYFUNCTION("""COMPUTED_VALUE"""),"Closed")</f>
        <v>Closed</v>
      </c>
      <c r="BG254" s="276" t="str">
        <f>IFERROR(__xludf.DUMMYFUNCTION("""COMPUTED_VALUE"""),"Closed")</f>
        <v>Closed</v>
      </c>
      <c r="BH254" s="274" t="str">
        <f>IFERROR(__xludf.DUMMYFUNCTION("""COMPUTED_VALUE"""),"Closed")</f>
        <v>Closed</v>
      </c>
      <c r="BI254" s="275" t="str">
        <f>IFERROR(__xludf.DUMMYFUNCTION("""COMPUTED_VALUE"""),"Closed")</f>
        <v>Closed</v>
      </c>
      <c r="BJ254" s="276" t="str">
        <f>IFERROR(__xludf.DUMMYFUNCTION("""COMPUTED_VALUE"""),"Closed")</f>
        <v>Closed</v>
      </c>
      <c r="BK254" s="274" t="str">
        <f>IFERROR(__xludf.DUMMYFUNCTION("""COMPUTED_VALUE"""),"Closed")</f>
        <v>Closed</v>
      </c>
      <c r="BL254" s="275" t="str">
        <f>IFERROR(__xludf.DUMMYFUNCTION("""COMPUTED_VALUE"""),"Closed")</f>
        <v>Closed</v>
      </c>
      <c r="BM254" s="276" t="str">
        <f>IFERROR(__xludf.DUMMYFUNCTION("""COMPUTED_VALUE"""),"Closed")</f>
        <v>Closed</v>
      </c>
      <c r="BN254" s="274" t="str">
        <f>IFERROR(__xludf.DUMMYFUNCTION("""COMPUTED_VALUE"""),"Closed")</f>
        <v>Closed</v>
      </c>
      <c r="BO254" s="275" t="str">
        <f>IFERROR(__xludf.DUMMYFUNCTION("""COMPUTED_VALUE"""),"Closed")</f>
        <v>Closed</v>
      </c>
      <c r="BP254" s="276" t="str">
        <f>IFERROR(__xludf.DUMMYFUNCTION("""COMPUTED_VALUE"""),"Closed")</f>
        <v>Closed</v>
      </c>
      <c r="BQ254" s="274" t="str">
        <f>IFERROR(__xludf.DUMMYFUNCTION("""COMPUTED_VALUE"""),"Closed")</f>
        <v>Closed</v>
      </c>
      <c r="BR254" s="275" t="str">
        <f>IFERROR(__xludf.DUMMYFUNCTION("""COMPUTED_VALUE"""),"Closed")</f>
        <v>Closed</v>
      </c>
      <c r="BS254" s="276" t="str">
        <f>IFERROR(__xludf.DUMMYFUNCTION("""COMPUTED_VALUE"""),"Closed")</f>
        <v>Closed</v>
      </c>
      <c r="BT254" s="274" t="str">
        <f>IFERROR(__xludf.DUMMYFUNCTION("""COMPUTED_VALUE"""),"Closed")</f>
        <v>Closed</v>
      </c>
      <c r="BU254" s="275" t="str">
        <f>IFERROR(__xludf.DUMMYFUNCTION("""COMPUTED_VALUE"""),"Closed")</f>
        <v>Closed</v>
      </c>
      <c r="BV254" s="276" t="str">
        <f>IFERROR(__xludf.DUMMYFUNCTION("""COMPUTED_VALUE"""),"Closed")</f>
        <v>Closed</v>
      </c>
      <c r="BW254" s="274" t="str">
        <f>IFERROR(__xludf.DUMMYFUNCTION("""COMPUTED_VALUE"""),"Closed")</f>
        <v>Closed</v>
      </c>
      <c r="BX254" s="275" t="str">
        <f>IFERROR(__xludf.DUMMYFUNCTION("""COMPUTED_VALUE"""),"Closed")</f>
        <v>Closed</v>
      </c>
      <c r="BY254" s="276" t="str">
        <f>IFERROR(__xludf.DUMMYFUNCTION("""COMPUTED_VALUE"""),"Closed")</f>
        <v>Closed</v>
      </c>
      <c r="BZ254" s="274" t="str">
        <f>IFERROR(__xludf.DUMMYFUNCTION("""COMPUTED_VALUE"""),"Closed")</f>
        <v>Closed</v>
      </c>
      <c r="CA254" s="275" t="str">
        <f>IFERROR(__xludf.DUMMYFUNCTION("""COMPUTED_VALUE"""),"Closed")</f>
        <v>Closed</v>
      </c>
      <c r="CB254" s="276" t="str">
        <f>IFERROR(__xludf.DUMMYFUNCTION("""COMPUTED_VALUE"""),"Closed")</f>
        <v>Closed</v>
      </c>
      <c r="CC254" s="274" t="str">
        <f>IFERROR(__xludf.DUMMYFUNCTION("""COMPUTED_VALUE"""),"Closed")</f>
        <v>Closed</v>
      </c>
      <c r="CD254" s="275" t="str">
        <f>IFERROR(__xludf.DUMMYFUNCTION("""COMPUTED_VALUE"""),"Closed")</f>
        <v>Closed</v>
      </c>
      <c r="CE254" s="276" t="str">
        <f>IFERROR(__xludf.DUMMYFUNCTION("""COMPUTED_VALUE"""),"Closed")</f>
        <v>Closed</v>
      </c>
      <c r="CF254" s="274" t="str">
        <f>IFERROR(__xludf.DUMMYFUNCTION("""COMPUTED_VALUE"""),"Closed")</f>
        <v>Closed</v>
      </c>
      <c r="CG254" s="275" t="str">
        <f>IFERROR(__xludf.DUMMYFUNCTION("""COMPUTED_VALUE"""),"Closed")</f>
        <v>Closed</v>
      </c>
      <c r="CH254" s="275" t="str">
        <f>IFERROR(__xludf.DUMMYFUNCTION("""COMPUTED_VALUE"""),"Closed")</f>
        <v>Closed</v>
      </c>
      <c r="CI254" s="274" t="str">
        <f>IFERROR(__xludf.DUMMYFUNCTION("""COMPUTED_VALUE"""),"Closed")</f>
        <v>Closed</v>
      </c>
      <c r="CJ254" s="275" t="str">
        <f>IFERROR(__xludf.DUMMYFUNCTION("""COMPUTED_VALUE"""),"Closed")</f>
        <v>Closed</v>
      </c>
      <c r="CK254" s="275" t="str">
        <f>IFERROR(__xludf.DUMMYFUNCTION("""COMPUTED_VALUE"""),"Closed")</f>
        <v>Closed</v>
      </c>
      <c r="CL254" s="274" t="str">
        <f>IFERROR(__xludf.DUMMYFUNCTION("""COMPUTED_VALUE"""),"Closed")</f>
        <v>Closed</v>
      </c>
      <c r="CM254" s="275" t="str">
        <f>IFERROR(__xludf.DUMMYFUNCTION("""COMPUTED_VALUE"""),"Closed")</f>
        <v>Closed</v>
      </c>
      <c r="CN254" s="275" t="str">
        <f>IFERROR(__xludf.DUMMYFUNCTION("""COMPUTED_VALUE"""),"Closed")</f>
        <v>Closed</v>
      </c>
      <c r="CO254" s="274" t="str">
        <f>IFERROR(__xludf.DUMMYFUNCTION("""COMPUTED_VALUE"""),"Closed")</f>
        <v>Closed</v>
      </c>
      <c r="CP254" s="275" t="str">
        <f>IFERROR(__xludf.DUMMYFUNCTION("""COMPUTED_VALUE"""),"Closed")</f>
        <v>Closed</v>
      </c>
      <c r="CQ254" s="275" t="str">
        <f>IFERROR(__xludf.DUMMYFUNCTION("""COMPUTED_VALUE"""),"Closed")</f>
        <v>Closed</v>
      </c>
      <c r="CR254" s="274" t="str">
        <f>IFERROR(__xludf.DUMMYFUNCTION("""COMPUTED_VALUE"""),"Closed")</f>
        <v>Closed</v>
      </c>
      <c r="CS254" s="275" t="str">
        <f>IFERROR(__xludf.DUMMYFUNCTION("""COMPUTED_VALUE"""),"Closed")</f>
        <v>Closed</v>
      </c>
      <c r="CT254" s="275" t="str">
        <f>IFERROR(__xludf.DUMMYFUNCTION("""COMPUTED_VALUE"""),"Closed")</f>
        <v>Closed</v>
      </c>
      <c r="CU254" s="274" t="str">
        <f>IFERROR(__xludf.DUMMYFUNCTION("""COMPUTED_VALUE"""),"Closed")</f>
        <v>Closed</v>
      </c>
      <c r="CV254" s="275" t="str">
        <f>IFERROR(__xludf.DUMMYFUNCTION("""COMPUTED_VALUE"""),"Closed")</f>
        <v>Closed</v>
      </c>
      <c r="CW254" s="276" t="str">
        <f>IFERROR(__xludf.DUMMYFUNCTION("""COMPUTED_VALUE"""),"Closed")</f>
        <v>Closed</v>
      </c>
      <c r="CX254" s="275" t="str">
        <f>IFERROR(__xludf.DUMMYFUNCTION("""COMPUTED_VALUE"""),"Closed")</f>
        <v>Closed</v>
      </c>
      <c r="CY254" s="275" t="str">
        <f>IFERROR(__xludf.DUMMYFUNCTION("""COMPUTED_VALUE"""),"Closed")</f>
        <v>Closed</v>
      </c>
      <c r="CZ254" s="276" t="str">
        <f>IFERROR(__xludf.DUMMYFUNCTION("""COMPUTED_VALUE"""),"Closed")</f>
        <v>Closed</v>
      </c>
      <c r="DA254" s="274" t="str">
        <f>IFERROR(__xludf.DUMMYFUNCTION("""COMPUTED_VALUE"""),"Closed")</f>
        <v>Closed</v>
      </c>
      <c r="DB254" s="275" t="str">
        <f>IFERROR(__xludf.DUMMYFUNCTION("""COMPUTED_VALUE"""),"Closed")</f>
        <v>Closed</v>
      </c>
      <c r="DC254" s="276" t="str">
        <f>IFERROR(__xludf.DUMMYFUNCTION("""COMPUTED_VALUE"""),"Closed")</f>
        <v>Closed</v>
      </c>
      <c r="DD254" s="274" t="str">
        <f>IFERROR(__xludf.DUMMYFUNCTION("""COMPUTED_VALUE"""),"Closed")</f>
        <v>Closed</v>
      </c>
      <c r="DE254" s="275" t="str">
        <f>IFERROR(__xludf.DUMMYFUNCTION("""COMPUTED_VALUE"""),"Closed")</f>
        <v>Closed</v>
      </c>
      <c r="DF254" s="276" t="str">
        <f>IFERROR(__xludf.DUMMYFUNCTION("""COMPUTED_VALUE"""),"Closed")</f>
        <v>Closed</v>
      </c>
      <c r="DG254" s="274" t="str">
        <f>IFERROR(__xludf.DUMMYFUNCTION("""COMPUTED_VALUE"""),"Closed")</f>
        <v>Closed</v>
      </c>
      <c r="DH254" s="275" t="str">
        <f>IFERROR(__xludf.DUMMYFUNCTION("""COMPUTED_VALUE"""),"Closed")</f>
        <v>Closed</v>
      </c>
      <c r="DI254" s="276" t="str">
        <f>IFERROR(__xludf.DUMMYFUNCTION("""COMPUTED_VALUE"""),"Closed")</f>
        <v>Closed</v>
      </c>
      <c r="DJ254" s="274" t="str">
        <f>IFERROR(__xludf.DUMMYFUNCTION("""COMPUTED_VALUE"""),"Closed")</f>
        <v>Closed</v>
      </c>
      <c r="DK254" s="275" t="str">
        <f>IFERROR(__xludf.DUMMYFUNCTION("""COMPUTED_VALUE"""),"Closed")</f>
        <v>Closed</v>
      </c>
      <c r="DL254" s="276" t="str">
        <f>IFERROR(__xludf.DUMMYFUNCTION("""COMPUTED_VALUE"""),"Closed")</f>
        <v>Closed</v>
      </c>
      <c r="DM254" s="274" t="str">
        <f>IFERROR(__xludf.DUMMYFUNCTION("""COMPUTED_VALUE"""),"Closed")</f>
        <v>Closed</v>
      </c>
      <c r="DN254" s="275" t="str">
        <f>IFERROR(__xludf.DUMMYFUNCTION("""COMPUTED_VALUE"""),"Closed")</f>
        <v>Closed</v>
      </c>
      <c r="DO254" s="276" t="str">
        <f>IFERROR(__xludf.DUMMYFUNCTION("""COMPUTED_VALUE"""),"Closed")</f>
        <v>Closed</v>
      </c>
      <c r="DP254" s="274" t="str">
        <f>IFERROR(__xludf.DUMMYFUNCTION("""COMPUTED_VALUE"""),"Closed")</f>
        <v>Closed</v>
      </c>
      <c r="DQ254" s="275" t="str">
        <f>IFERROR(__xludf.DUMMYFUNCTION("""COMPUTED_VALUE"""),"Closed")</f>
        <v>Closed</v>
      </c>
      <c r="DR254" s="276"/>
      <c r="DS254" s="274"/>
    </row>
    <row r="255" hidden="1">
      <c r="B255" s="180" t="str">
        <f>IFERROR(__xludf.DUMMYFUNCTION("""COMPUTED_VALUE"""),"HEA8")</f>
        <v>HEA8</v>
      </c>
      <c r="C255" s="272" t="str">
        <f>IFERROR(__xludf.DUMMYFUNCTION("""COMPUTED_VALUE"""),"Inari Shrine")</f>
        <v>Inari Shrine</v>
      </c>
      <c r="D255" s="273">
        <f>IFERROR(__xludf.DUMMYFUNCTION("""COMPUTED_VALUE"""),21.0)</f>
        <v>21</v>
      </c>
      <c r="E255" t="b">
        <f>IFERROR(__xludf.DUMMYFUNCTION("""COMPUTED_VALUE"""),FALSE)</f>
        <v>0</v>
      </c>
      <c r="F255" t="str">
        <f>IFERROR(__xludf.DUMMYFUNCTION("""COMPUTED_VALUE"""),"Free Quests- Part 2!A964:J973")</f>
        <v>Free Quests- Part 2!A964:J973</v>
      </c>
      <c r="G255">
        <f>IFERROR(__xludf.DUMMYFUNCTION("""COMPUTED_VALUE"""),255.0)</f>
        <v>255</v>
      </c>
      <c r="H255" t="str">
        <f>IFERROR(__xludf.DUMMYFUNCTION("""COMPUTED_VALUE"""),"Closed")</f>
        <v>Closed</v>
      </c>
      <c r="I255" s="274" t="str">
        <f>IFERROR(__xludf.DUMMYFUNCTION("""COMPUTED_VALUE"""),"Closed")</f>
        <v>Closed</v>
      </c>
      <c r="J255" s="275" t="str">
        <f>IFERROR(__xludf.DUMMYFUNCTION("""COMPUTED_VALUE"""),"Closed")</f>
        <v>Closed</v>
      </c>
      <c r="K255" s="276" t="str">
        <f>IFERROR(__xludf.DUMMYFUNCTION("""COMPUTED_VALUE"""),"Closed")</f>
        <v>Closed</v>
      </c>
      <c r="L255" s="274" t="str">
        <f>IFERROR(__xludf.DUMMYFUNCTION("""COMPUTED_VALUE"""),"Closed")</f>
        <v>Closed</v>
      </c>
      <c r="M255" s="275" t="str">
        <f>IFERROR(__xludf.DUMMYFUNCTION("""COMPUTED_VALUE"""),"Closed")</f>
        <v>Closed</v>
      </c>
      <c r="N255" s="276" t="str">
        <f>IFERROR(__xludf.DUMMYFUNCTION("""COMPUTED_VALUE"""),"Closed")</f>
        <v>Closed</v>
      </c>
      <c r="O255" s="274" t="str">
        <f>IFERROR(__xludf.DUMMYFUNCTION("""COMPUTED_VALUE"""),"Closed")</f>
        <v>Closed</v>
      </c>
      <c r="P255" s="275" t="str">
        <f>IFERROR(__xludf.DUMMYFUNCTION("""COMPUTED_VALUE"""),"Closed")</f>
        <v>Closed</v>
      </c>
      <c r="Q255" s="276" t="str">
        <f>IFERROR(__xludf.DUMMYFUNCTION("""COMPUTED_VALUE"""),"Closed")</f>
        <v>Closed</v>
      </c>
      <c r="R255" s="274" t="str">
        <f>IFERROR(__xludf.DUMMYFUNCTION("""COMPUTED_VALUE"""),"Closed")</f>
        <v>Closed</v>
      </c>
      <c r="S255" s="275" t="str">
        <f>IFERROR(__xludf.DUMMYFUNCTION("""COMPUTED_VALUE"""),"Closed")</f>
        <v>Closed</v>
      </c>
      <c r="T255" s="276" t="str">
        <f>IFERROR(__xludf.DUMMYFUNCTION("""COMPUTED_VALUE"""),"Closed")</f>
        <v>Closed</v>
      </c>
      <c r="U255" s="274" t="str">
        <f>IFERROR(__xludf.DUMMYFUNCTION("""COMPUTED_VALUE"""),"Closed")</f>
        <v>Closed</v>
      </c>
      <c r="V255" s="275" t="str">
        <f>IFERROR(__xludf.DUMMYFUNCTION("""COMPUTED_VALUE"""),"Closed")</f>
        <v>Closed</v>
      </c>
      <c r="W255" s="276" t="str">
        <f>IFERROR(__xludf.DUMMYFUNCTION("""COMPUTED_VALUE"""),"Closed")</f>
        <v>Closed</v>
      </c>
      <c r="X255" s="274" t="str">
        <f>IFERROR(__xludf.DUMMYFUNCTION("""COMPUTED_VALUE"""),"Closed")</f>
        <v>Closed</v>
      </c>
      <c r="Y255" s="275" t="str">
        <f>IFERROR(__xludf.DUMMYFUNCTION("""COMPUTED_VALUE"""),"Closed")</f>
        <v>Closed</v>
      </c>
      <c r="Z255" s="276" t="str">
        <f>IFERROR(__xludf.DUMMYFUNCTION("""COMPUTED_VALUE"""),"Closed")</f>
        <v>Closed</v>
      </c>
      <c r="AA255" s="274" t="str">
        <f>IFERROR(__xludf.DUMMYFUNCTION("""COMPUTED_VALUE"""),"Closed")</f>
        <v>Closed</v>
      </c>
      <c r="AB255" s="275" t="str">
        <f>IFERROR(__xludf.DUMMYFUNCTION("""COMPUTED_VALUE"""),"Closed")</f>
        <v>Closed</v>
      </c>
      <c r="AC255" s="276" t="str">
        <f>IFERROR(__xludf.DUMMYFUNCTION("""COMPUTED_VALUE"""),"Closed")</f>
        <v>Closed</v>
      </c>
      <c r="AD255" s="274" t="str">
        <f>IFERROR(__xludf.DUMMYFUNCTION("""COMPUTED_VALUE"""),"Closed")</f>
        <v>Closed</v>
      </c>
      <c r="AE255" s="275" t="str">
        <f>IFERROR(__xludf.DUMMYFUNCTION("""COMPUTED_VALUE"""),"Closed")</f>
        <v>Closed</v>
      </c>
      <c r="AF255" s="276" t="str">
        <f>IFERROR(__xludf.DUMMYFUNCTION("""COMPUTED_VALUE"""),"Closed")</f>
        <v>Closed</v>
      </c>
      <c r="AG255" s="274" t="str">
        <f>IFERROR(__xludf.DUMMYFUNCTION("""COMPUTED_VALUE"""),"Closed")</f>
        <v>Closed</v>
      </c>
      <c r="AH255" s="275" t="str">
        <f>IFERROR(__xludf.DUMMYFUNCTION("""COMPUTED_VALUE"""),"Closed")</f>
        <v>Closed</v>
      </c>
      <c r="AI255" s="276" t="str">
        <f>IFERROR(__xludf.DUMMYFUNCTION("""COMPUTED_VALUE"""),"Closed")</f>
        <v>Closed</v>
      </c>
      <c r="AJ255" s="274" t="str">
        <f>IFERROR(__xludf.DUMMYFUNCTION("""COMPUTED_VALUE"""),"Closed")</f>
        <v>Closed</v>
      </c>
      <c r="AK255" s="275" t="str">
        <f>IFERROR(__xludf.DUMMYFUNCTION("""COMPUTED_VALUE"""),"Closed")</f>
        <v>Closed</v>
      </c>
      <c r="AL255" s="276" t="str">
        <f>IFERROR(__xludf.DUMMYFUNCTION("""COMPUTED_VALUE"""),"Closed")</f>
        <v>Closed</v>
      </c>
      <c r="AM255" s="274" t="str">
        <f>IFERROR(__xludf.DUMMYFUNCTION("""COMPUTED_VALUE"""),"Closed")</f>
        <v>Closed</v>
      </c>
      <c r="AN255" s="275" t="str">
        <f>IFERROR(__xludf.DUMMYFUNCTION("""COMPUTED_VALUE"""),"Closed")</f>
        <v>Closed</v>
      </c>
      <c r="AO255" s="276" t="str">
        <f>IFERROR(__xludf.DUMMYFUNCTION("""COMPUTED_VALUE"""),"Closed")</f>
        <v>Closed</v>
      </c>
      <c r="AP255" s="274" t="str">
        <f>IFERROR(__xludf.DUMMYFUNCTION("""COMPUTED_VALUE"""),"Closed")</f>
        <v>Closed</v>
      </c>
      <c r="AQ255" s="275" t="str">
        <f>IFERROR(__xludf.DUMMYFUNCTION("""COMPUTED_VALUE"""),"Closed")</f>
        <v>Closed</v>
      </c>
      <c r="AR255" s="276" t="str">
        <f>IFERROR(__xludf.DUMMYFUNCTION("""COMPUTED_VALUE"""),"Closed")</f>
        <v>Closed</v>
      </c>
      <c r="AS255" s="274" t="str">
        <f>IFERROR(__xludf.DUMMYFUNCTION("""COMPUTED_VALUE"""),"Closed")</f>
        <v>Closed</v>
      </c>
      <c r="AT255" s="275" t="str">
        <f>IFERROR(__xludf.DUMMYFUNCTION("""COMPUTED_VALUE"""),"Closed")</f>
        <v>Closed</v>
      </c>
      <c r="AU255" s="276" t="str">
        <f>IFERROR(__xludf.DUMMYFUNCTION("""COMPUTED_VALUE"""),"Closed")</f>
        <v>Closed</v>
      </c>
      <c r="AV255" s="274" t="str">
        <f>IFERROR(__xludf.DUMMYFUNCTION("""COMPUTED_VALUE"""),"Closed")</f>
        <v>Closed</v>
      </c>
      <c r="AW255" s="275" t="str">
        <f>IFERROR(__xludf.DUMMYFUNCTION("""COMPUTED_VALUE"""),"Closed")</f>
        <v>Closed</v>
      </c>
      <c r="AX255" s="276" t="str">
        <f>IFERROR(__xludf.DUMMYFUNCTION("""COMPUTED_VALUE"""),"Closed")</f>
        <v>Closed</v>
      </c>
      <c r="AY255" s="274" t="str">
        <f>IFERROR(__xludf.DUMMYFUNCTION("""COMPUTED_VALUE"""),"Closed")</f>
        <v>Closed</v>
      </c>
      <c r="AZ255" s="275" t="str">
        <f>IFERROR(__xludf.DUMMYFUNCTION("""COMPUTED_VALUE"""),"Closed")</f>
        <v>Closed</v>
      </c>
      <c r="BA255" s="276" t="str">
        <f>IFERROR(__xludf.DUMMYFUNCTION("""COMPUTED_VALUE"""),"Closed")</f>
        <v>Closed</v>
      </c>
      <c r="BB255" s="274" t="str">
        <f>IFERROR(__xludf.DUMMYFUNCTION("""COMPUTED_VALUE"""),"Closed")</f>
        <v>Closed</v>
      </c>
      <c r="BC255" s="275" t="str">
        <f>IFERROR(__xludf.DUMMYFUNCTION("""COMPUTED_VALUE"""),"Closed")</f>
        <v>Closed</v>
      </c>
      <c r="BD255" s="276" t="str">
        <f>IFERROR(__xludf.DUMMYFUNCTION("""COMPUTED_VALUE"""),"Closed")</f>
        <v>Closed</v>
      </c>
      <c r="BE255" s="274" t="str">
        <f>IFERROR(__xludf.DUMMYFUNCTION("""COMPUTED_VALUE"""),"Closed")</f>
        <v>Closed</v>
      </c>
      <c r="BF255" s="275" t="str">
        <f>IFERROR(__xludf.DUMMYFUNCTION("""COMPUTED_VALUE"""),"Closed")</f>
        <v>Closed</v>
      </c>
      <c r="BG255" s="276" t="str">
        <f>IFERROR(__xludf.DUMMYFUNCTION("""COMPUTED_VALUE"""),"Closed")</f>
        <v>Closed</v>
      </c>
      <c r="BH255" s="274" t="str">
        <f>IFERROR(__xludf.DUMMYFUNCTION("""COMPUTED_VALUE"""),"Closed")</f>
        <v>Closed</v>
      </c>
      <c r="BI255" s="275" t="str">
        <f>IFERROR(__xludf.DUMMYFUNCTION("""COMPUTED_VALUE"""),"Closed")</f>
        <v>Closed</v>
      </c>
      <c r="BJ255" s="276" t="str">
        <f>IFERROR(__xludf.DUMMYFUNCTION("""COMPUTED_VALUE"""),"Closed")</f>
        <v>Closed</v>
      </c>
      <c r="BK255" s="274" t="str">
        <f>IFERROR(__xludf.DUMMYFUNCTION("""COMPUTED_VALUE"""),"Closed")</f>
        <v>Closed</v>
      </c>
      <c r="BL255" s="275" t="str">
        <f>IFERROR(__xludf.DUMMYFUNCTION("""COMPUTED_VALUE"""),"Closed")</f>
        <v>Closed</v>
      </c>
      <c r="BM255" s="276" t="str">
        <f>IFERROR(__xludf.DUMMYFUNCTION("""COMPUTED_VALUE"""),"Closed")</f>
        <v>Closed</v>
      </c>
      <c r="BN255" s="274" t="str">
        <f>IFERROR(__xludf.DUMMYFUNCTION("""COMPUTED_VALUE"""),"Closed")</f>
        <v>Closed</v>
      </c>
      <c r="BO255" s="275" t="str">
        <f>IFERROR(__xludf.DUMMYFUNCTION("""COMPUTED_VALUE"""),"Closed")</f>
        <v>Closed</v>
      </c>
      <c r="BP255" s="276" t="str">
        <f>IFERROR(__xludf.DUMMYFUNCTION("""COMPUTED_VALUE"""),"Closed")</f>
        <v>Closed</v>
      </c>
      <c r="BQ255" s="274" t="str">
        <f>IFERROR(__xludf.DUMMYFUNCTION("""COMPUTED_VALUE"""),"Closed")</f>
        <v>Closed</v>
      </c>
      <c r="BR255" s="275" t="str">
        <f>IFERROR(__xludf.DUMMYFUNCTION("""COMPUTED_VALUE"""),"Closed")</f>
        <v>Closed</v>
      </c>
      <c r="BS255" s="276" t="str">
        <f>IFERROR(__xludf.DUMMYFUNCTION("""COMPUTED_VALUE"""),"Closed")</f>
        <v>Closed</v>
      </c>
      <c r="BT255" s="274" t="str">
        <f>IFERROR(__xludf.DUMMYFUNCTION("""COMPUTED_VALUE"""),"Closed")</f>
        <v>Closed</v>
      </c>
      <c r="BU255" s="275" t="str">
        <f>IFERROR(__xludf.DUMMYFUNCTION("""COMPUTED_VALUE"""),"Closed")</f>
        <v>Closed</v>
      </c>
      <c r="BV255" s="276" t="str">
        <f>IFERROR(__xludf.DUMMYFUNCTION("""COMPUTED_VALUE"""),"Closed")</f>
        <v>Closed</v>
      </c>
      <c r="BW255" s="274" t="str">
        <f>IFERROR(__xludf.DUMMYFUNCTION("""COMPUTED_VALUE"""),"Closed")</f>
        <v>Closed</v>
      </c>
      <c r="BX255" s="275" t="str">
        <f>IFERROR(__xludf.DUMMYFUNCTION("""COMPUTED_VALUE"""),"Closed")</f>
        <v>Closed</v>
      </c>
      <c r="BY255" s="276" t="str">
        <f>IFERROR(__xludf.DUMMYFUNCTION("""COMPUTED_VALUE"""),"Closed")</f>
        <v>Closed</v>
      </c>
      <c r="BZ255" s="274" t="str">
        <f>IFERROR(__xludf.DUMMYFUNCTION("""COMPUTED_VALUE"""),"Closed")</f>
        <v>Closed</v>
      </c>
      <c r="CA255" s="275" t="str">
        <f>IFERROR(__xludf.DUMMYFUNCTION("""COMPUTED_VALUE"""),"Closed")</f>
        <v>Closed</v>
      </c>
      <c r="CB255" s="276" t="str">
        <f>IFERROR(__xludf.DUMMYFUNCTION("""COMPUTED_VALUE"""),"Closed")</f>
        <v>Closed</v>
      </c>
      <c r="CC255" s="274" t="str">
        <f>IFERROR(__xludf.DUMMYFUNCTION("""COMPUTED_VALUE"""),"Closed")</f>
        <v>Closed</v>
      </c>
      <c r="CD255" s="275" t="str">
        <f>IFERROR(__xludf.DUMMYFUNCTION("""COMPUTED_VALUE"""),"Closed")</f>
        <v>Closed</v>
      </c>
      <c r="CE255" s="276" t="str">
        <f>IFERROR(__xludf.DUMMYFUNCTION("""COMPUTED_VALUE"""),"Closed")</f>
        <v>Closed</v>
      </c>
      <c r="CF255" s="274" t="str">
        <f>IFERROR(__xludf.DUMMYFUNCTION("""COMPUTED_VALUE"""),"Closed")</f>
        <v>Closed</v>
      </c>
      <c r="CG255" s="275" t="str">
        <f>IFERROR(__xludf.DUMMYFUNCTION("""COMPUTED_VALUE"""),"Closed")</f>
        <v>Closed</v>
      </c>
      <c r="CH255" s="275" t="str">
        <f>IFERROR(__xludf.DUMMYFUNCTION("""COMPUTED_VALUE"""),"Closed")</f>
        <v>Closed</v>
      </c>
      <c r="CI255" s="274" t="str">
        <f>IFERROR(__xludf.DUMMYFUNCTION("""COMPUTED_VALUE"""),"Closed")</f>
        <v>Closed</v>
      </c>
      <c r="CJ255" s="275" t="str">
        <f>IFERROR(__xludf.DUMMYFUNCTION("""COMPUTED_VALUE"""),"Closed")</f>
        <v>Closed</v>
      </c>
      <c r="CK255" s="275" t="str">
        <f>IFERROR(__xludf.DUMMYFUNCTION("""COMPUTED_VALUE"""),"Closed")</f>
        <v>Closed</v>
      </c>
      <c r="CL255" s="274" t="str">
        <f>IFERROR(__xludf.DUMMYFUNCTION("""COMPUTED_VALUE"""),"Closed")</f>
        <v>Closed</v>
      </c>
      <c r="CM255" s="275" t="str">
        <f>IFERROR(__xludf.DUMMYFUNCTION("""COMPUTED_VALUE"""),"Closed")</f>
        <v>Closed</v>
      </c>
      <c r="CN255" s="275" t="str">
        <f>IFERROR(__xludf.DUMMYFUNCTION("""COMPUTED_VALUE"""),"Closed")</f>
        <v>Closed</v>
      </c>
      <c r="CO255" s="274" t="str">
        <f>IFERROR(__xludf.DUMMYFUNCTION("""COMPUTED_VALUE"""),"Closed")</f>
        <v>Closed</v>
      </c>
      <c r="CP255" s="275" t="str">
        <f>IFERROR(__xludf.DUMMYFUNCTION("""COMPUTED_VALUE"""),"Closed")</f>
        <v>Closed</v>
      </c>
      <c r="CQ255" s="275" t="str">
        <f>IFERROR(__xludf.DUMMYFUNCTION("""COMPUTED_VALUE"""),"Closed")</f>
        <v>Closed</v>
      </c>
      <c r="CR255" s="274" t="str">
        <f>IFERROR(__xludf.DUMMYFUNCTION("""COMPUTED_VALUE"""),"Closed")</f>
        <v>Closed</v>
      </c>
      <c r="CS255" s="275" t="str">
        <f>IFERROR(__xludf.DUMMYFUNCTION("""COMPUTED_VALUE"""),"Closed")</f>
        <v>Closed</v>
      </c>
      <c r="CT255" s="275" t="str">
        <f>IFERROR(__xludf.DUMMYFUNCTION("""COMPUTED_VALUE"""),"Closed")</f>
        <v>Closed</v>
      </c>
      <c r="CU255" s="274" t="str">
        <f>IFERROR(__xludf.DUMMYFUNCTION("""COMPUTED_VALUE"""),"Closed")</f>
        <v>Closed</v>
      </c>
      <c r="CV255" s="275" t="str">
        <f>IFERROR(__xludf.DUMMYFUNCTION("""COMPUTED_VALUE"""),"Closed")</f>
        <v>Closed</v>
      </c>
      <c r="CW255" s="276" t="str">
        <f>IFERROR(__xludf.DUMMYFUNCTION("""COMPUTED_VALUE"""),"Closed")</f>
        <v>Closed</v>
      </c>
      <c r="CX255" s="275" t="str">
        <f>IFERROR(__xludf.DUMMYFUNCTION("""COMPUTED_VALUE"""),"Closed")</f>
        <v>Closed</v>
      </c>
      <c r="CY255" s="275" t="str">
        <f>IFERROR(__xludf.DUMMYFUNCTION("""COMPUTED_VALUE"""),"Closed")</f>
        <v>Closed</v>
      </c>
      <c r="CZ255" s="276" t="str">
        <f>IFERROR(__xludf.DUMMYFUNCTION("""COMPUTED_VALUE"""),"Closed")</f>
        <v>Closed</v>
      </c>
      <c r="DA255" s="274" t="str">
        <f>IFERROR(__xludf.DUMMYFUNCTION("""COMPUTED_VALUE"""),"Closed")</f>
        <v>Closed</v>
      </c>
      <c r="DB255" s="275" t="str">
        <f>IFERROR(__xludf.DUMMYFUNCTION("""COMPUTED_VALUE"""),"Closed")</f>
        <v>Closed</v>
      </c>
      <c r="DC255" s="276" t="str">
        <f>IFERROR(__xludf.DUMMYFUNCTION("""COMPUTED_VALUE"""),"Closed")</f>
        <v>Closed</v>
      </c>
      <c r="DD255" s="274" t="str">
        <f>IFERROR(__xludf.DUMMYFUNCTION("""COMPUTED_VALUE"""),"Closed")</f>
        <v>Closed</v>
      </c>
      <c r="DE255" s="275" t="str">
        <f>IFERROR(__xludf.DUMMYFUNCTION("""COMPUTED_VALUE"""),"Closed")</f>
        <v>Closed</v>
      </c>
      <c r="DF255" s="276" t="str">
        <f>IFERROR(__xludf.DUMMYFUNCTION("""COMPUTED_VALUE"""),"Closed")</f>
        <v>Closed</v>
      </c>
      <c r="DG255" s="274" t="str">
        <f>IFERROR(__xludf.DUMMYFUNCTION("""COMPUTED_VALUE"""),"Closed")</f>
        <v>Closed</v>
      </c>
      <c r="DH255" s="275" t="str">
        <f>IFERROR(__xludf.DUMMYFUNCTION("""COMPUTED_VALUE"""),"Closed")</f>
        <v>Closed</v>
      </c>
      <c r="DI255" s="276" t="str">
        <f>IFERROR(__xludf.DUMMYFUNCTION("""COMPUTED_VALUE"""),"Closed")</f>
        <v>Closed</v>
      </c>
      <c r="DJ255" s="274" t="str">
        <f>IFERROR(__xludf.DUMMYFUNCTION("""COMPUTED_VALUE"""),"Closed")</f>
        <v>Closed</v>
      </c>
      <c r="DK255" s="275" t="str">
        <f>IFERROR(__xludf.DUMMYFUNCTION("""COMPUTED_VALUE"""),"Closed")</f>
        <v>Closed</v>
      </c>
      <c r="DL255" s="276" t="str">
        <f>IFERROR(__xludf.DUMMYFUNCTION("""COMPUTED_VALUE"""),"Closed")</f>
        <v>Closed</v>
      </c>
      <c r="DM255" s="274" t="str">
        <f>IFERROR(__xludf.DUMMYFUNCTION("""COMPUTED_VALUE"""),"Closed")</f>
        <v>Closed</v>
      </c>
      <c r="DN255" s="275" t="str">
        <f>IFERROR(__xludf.DUMMYFUNCTION("""COMPUTED_VALUE"""),"Closed")</f>
        <v>Closed</v>
      </c>
      <c r="DO255" s="276" t="str">
        <f>IFERROR(__xludf.DUMMYFUNCTION("""COMPUTED_VALUE"""),"Closed")</f>
        <v>Closed</v>
      </c>
      <c r="DP255" s="274" t="str">
        <f>IFERROR(__xludf.DUMMYFUNCTION("""COMPUTED_VALUE"""),"Closed")</f>
        <v>Closed</v>
      </c>
      <c r="DQ255" s="275" t="str">
        <f>IFERROR(__xludf.DUMMYFUNCTION("""COMPUTED_VALUE"""),"Closed")</f>
        <v>Closed</v>
      </c>
      <c r="DR255" s="276"/>
      <c r="DS255" s="274"/>
    </row>
    <row r="256" hidden="1">
      <c r="B256" s="180" t="str">
        <f>IFERROR(__xludf.DUMMYFUNCTION("""COMPUTED_VALUE"""),"HEA9")</f>
        <v>HEA9</v>
      </c>
      <c r="C256" s="272" t="str">
        <f>IFERROR(__xludf.DUMMYFUNCTION("""COMPUTED_VALUE"""),"Imperial Palace Main Street")</f>
        <v>Imperial Palace Main Street</v>
      </c>
      <c r="D256" s="273">
        <f>IFERROR(__xludf.DUMMYFUNCTION("""COMPUTED_VALUE"""),21.0)</f>
        <v>21</v>
      </c>
      <c r="E256" t="b">
        <f>IFERROR(__xludf.DUMMYFUNCTION("""COMPUTED_VALUE"""),FALSE)</f>
        <v>0</v>
      </c>
      <c r="F256" t="str">
        <f>IFERROR(__xludf.DUMMYFUNCTION("""COMPUTED_VALUE"""),"Free Quests- Part 2!A977:J987")</f>
        <v>Free Quests- Part 2!A977:J987</v>
      </c>
      <c r="G256">
        <f>IFERROR(__xludf.DUMMYFUNCTION("""COMPUTED_VALUE"""),256.0)</f>
        <v>256</v>
      </c>
      <c r="H256" t="str">
        <f>IFERROR(__xludf.DUMMYFUNCTION("""COMPUTED_VALUE"""),"Closed")</f>
        <v>Closed</v>
      </c>
      <c r="I256" s="274" t="str">
        <f>IFERROR(__xludf.DUMMYFUNCTION("""COMPUTED_VALUE"""),"Closed")</f>
        <v>Closed</v>
      </c>
      <c r="J256" s="275" t="str">
        <f>IFERROR(__xludf.DUMMYFUNCTION("""COMPUTED_VALUE"""),"Closed")</f>
        <v>Closed</v>
      </c>
      <c r="K256" s="276" t="str">
        <f>IFERROR(__xludf.DUMMYFUNCTION("""COMPUTED_VALUE"""),"Closed")</f>
        <v>Closed</v>
      </c>
      <c r="L256" s="274" t="str">
        <f>IFERROR(__xludf.DUMMYFUNCTION("""COMPUTED_VALUE"""),"Closed")</f>
        <v>Closed</v>
      </c>
      <c r="M256" s="275" t="str">
        <f>IFERROR(__xludf.DUMMYFUNCTION("""COMPUTED_VALUE"""),"Closed")</f>
        <v>Closed</v>
      </c>
      <c r="N256" s="276" t="str">
        <f>IFERROR(__xludf.DUMMYFUNCTION("""COMPUTED_VALUE"""),"Closed")</f>
        <v>Closed</v>
      </c>
      <c r="O256" s="274" t="str">
        <f>IFERROR(__xludf.DUMMYFUNCTION("""COMPUTED_VALUE"""),"Closed")</f>
        <v>Closed</v>
      </c>
      <c r="P256" s="275" t="str">
        <f>IFERROR(__xludf.DUMMYFUNCTION("""COMPUTED_VALUE"""),"Closed")</f>
        <v>Closed</v>
      </c>
      <c r="Q256" s="276" t="str">
        <f>IFERROR(__xludf.DUMMYFUNCTION("""COMPUTED_VALUE"""),"Closed")</f>
        <v>Closed</v>
      </c>
      <c r="R256" s="274" t="str">
        <f>IFERROR(__xludf.DUMMYFUNCTION("""COMPUTED_VALUE"""),"Closed")</f>
        <v>Closed</v>
      </c>
      <c r="S256" s="275" t="str">
        <f>IFERROR(__xludf.DUMMYFUNCTION("""COMPUTED_VALUE"""),"Closed")</f>
        <v>Closed</v>
      </c>
      <c r="T256" s="276" t="str">
        <f>IFERROR(__xludf.DUMMYFUNCTION("""COMPUTED_VALUE"""),"Closed")</f>
        <v>Closed</v>
      </c>
      <c r="U256" s="274" t="str">
        <f>IFERROR(__xludf.DUMMYFUNCTION("""COMPUTED_VALUE"""),"Closed")</f>
        <v>Closed</v>
      </c>
      <c r="V256" s="275" t="str">
        <f>IFERROR(__xludf.DUMMYFUNCTION("""COMPUTED_VALUE"""),"Closed")</f>
        <v>Closed</v>
      </c>
      <c r="W256" s="276" t="str">
        <f>IFERROR(__xludf.DUMMYFUNCTION("""COMPUTED_VALUE"""),"Closed")</f>
        <v>Closed</v>
      </c>
      <c r="X256" s="274" t="str">
        <f>IFERROR(__xludf.DUMMYFUNCTION("""COMPUTED_VALUE"""),"Closed")</f>
        <v>Closed</v>
      </c>
      <c r="Y256" s="275" t="str">
        <f>IFERROR(__xludf.DUMMYFUNCTION("""COMPUTED_VALUE"""),"Closed")</f>
        <v>Closed</v>
      </c>
      <c r="Z256" s="276" t="str">
        <f>IFERROR(__xludf.DUMMYFUNCTION("""COMPUTED_VALUE"""),"Closed")</f>
        <v>Closed</v>
      </c>
      <c r="AA256" s="274" t="str">
        <f>IFERROR(__xludf.DUMMYFUNCTION("""COMPUTED_VALUE"""),"Closed")</f>
        <v>Closed</v>
      </c>
      <c r="AB256" s="275" t="str">
        <f>IFERROR(__xludf.DUMMYFUNCTION("""COMPUTED_VALUE"""),"Closed")</f>
        <v>Closed</v>
      </c>
      <c r="AC256" s="276" t="str">
        <f>IFERROR(__xludf.DUMMYFUNCTION("""COMPUTED_VALUE"""),"Closed")</f>
        <v>Closed</v>
      </c>
      <c r="AD256" s="274" t="str">
        <f>IFERROR(__xludf.DUMMYFUNCTION("""COMPUTED_VALUE"""),"Closed")</f>
        <v>Closed</v>
      </c>
      <c r="AE256" s="275" t="str">
        <f>IFERROR(__xludf.DUMMYFUNCTION("""COMPUTED_VALUE"""),"Closed")</f>
        <v>Closed</v>
      </c>
      <c r="AF256" s="276" t="str">
        <f>IFERROR(__xludf.DUMMYFUNCTION("""COMPUTED_VALUE"""),"Closed")</f>
        <v>Closed</v>
      </c>
      <c r="AG256" s="274" t="str">
        <f>IFERROR(__xludf.DUMMYFUNCTION("""COMPUTED_VALUE"""),"Closed")</f>
        <v>Closed</v>
      </c>
      <c r="AH256" s="275" t="str">
        <f>IFERROR(__xludf.DUMMYFUNCTION("""COMPUTED_VALUE"""),"Closed")</f>
        <v>Closed</v>
      </c>
      <c r="AI256" s="276" t="str">
        <f>IFERROR(__xludf.DUMMYFUNCTION("""COMPUTED_VALUE"""),"Closed")</f>
        <v>Closed</v>
      </c>
      <c r="AJ256" s="274" t="str">
        <f>IFERROR(__xludf.DUMMYFUNCTION("""COMPUTED_VALUE"""),"Closed")</f>
        <v>Closed</v>
      </c>
      <c r="AK256" s="275" t="str">
        <f>IFERROR(__xludf.DUMMYFUNCTION("""COMPUTED_VALUE"""),"Closed")</f>
        <v>Closed</v>
      </c>
      <c r="AL256" s="276" t="str">
        <f>IFERROR(__xludf.DUMMYFUNCTION("""COMPUTED_VALUE"""),"Closed")</f>
        <v>Closed</v>
      </c>
      <c r="AM256" s="274" t="str">
        <f>IFERROR(__xludf.DUMMYFUNCTION("""COMPUTED_VALUE"""),"Closed")</f>
        <v>Closed</v>
      </c>
      <c r="AN256" s="275" t="str">
        <f>IFERROR(__xludf.DUMMYFUNCTION("""COMPUTED_VALUE"""),"Closed")</f>
        <v>Closed</v>
      </c>
      <c r="AO256" s="276" t="str">
        <f>IFERROR(__xludf.DUMMYFUNCTION("""COMPUTED_VALUE"""),"Closed")</f>
        <v>Closed</v>
      </c>
      <c r="AP256" s="274" t="str">
        <f>IFERROR(__xludf.DUMMYFUNCTION("""COMPUTED_VALUE"""),"Closed")</f>
        <v>Closed</v>
      </c>
      <c r="AQ256" s="275" t="str">
        <f>IFERROR(__xludf.DUMMYFUNCTION("""COMPUTED_VALUE"""),"Closed")</f>
        <v>Closed</v>
      </c>
      <c r="AR256" s="276" t="str">
        <f>IFERROR(__xludf.DUMMYFUNCTION("""COMPUTED_VALUE"""),"Closed")</f>
        <v>Closed</v>
      </c>
      <c r="AS256" s="274" t="str">
        <f>IFERROR(__xludf.DUMMYFUNCTION("""COMPUTED_VALUE"""),"Closed")</f>
        <v>Closed</v>
      </c>
      <c r="AT256" s="275" t="str">
        <f>IFERROR(__xludf.DUMMYFUNCTION("""COMPUTED_VALUE"""),"Closed")</f>
        <v>Closed</v>
      </c>
      <c r="AU256" s="276" t="str">
        <f>IFERROR(__xludf.DUMMYFUNCTION("""COMPUTED_VALUE"""),"Closed")</f>
        <v>Closed</v>
      </c>
      <c r="AV256" s="274" t="str">
        <f>IFERROR(__xludf.DUMMYFUNCTION("""COMPUTED_VALUE"""),"Closed")</f>
        <v>Closed</v>
      </c>
      <c r="AW256" s="275" t="str">
        <f>IFERROR(__xludf.DUMMYFUNCTION("""COMPUTED_VALUE"""),"Closed")</f>
        <v>Closed</v>
      </c>
      <c r="AX256" s="276" t="str">
        <f>IFERROR(__xludf.DUMMYFUNCTION("""COMPUTED_VALUE"""),"Closed")</f>
        <v>Closed</v>
      </c>
      <c r="AY256" s="274" t="str">
        <f>IFERROR(__xludf.DUMMYFUNCTION("""COMPUTED_VALUE"""),"Closed")</f>
        <v>Closed</v>
      </c>
      <c r="AZ256" s="275" t="str">
        <f>IFERROR(__xludf.DUMMYFUNCTION("""COMPUTED_VALUE"""),"Closed")</f>
        <v>Closed</v>
      </c>
      <c r="BA256" s="276" t="str">
        <f>IFERROR(__xludf.DUMMYFUNCTION("""COMPUTED_VALUE"""),"Closed")</f>
        <v>Closed</v>
      </c>
      <c r="BB256" s="274" t="str">
        <f>IFERROR(__xludf.DUMMYFUNCTION("""COMPUTED_VALUE"""),"Closed")</f>
        <v>Closed</v>
      </c>
      <c r="BC256" s="275" t="str">
        <f>IFERROR(__xludf.DUMMYFUNCTION("""COMPUTED_VALUE"""),"Closed")</f>
        <v>Closed</v>
      </c>
      <c r="BD256" s="276" t="str">
        <f>IFERROR(__xludf.DUMMYFUNCTION("""COMPUTED_VALUE"""),"Closed")</f>
        <v>Closed</v>
      </c>
      <c r="BE256" s="274" t="str">
        <f>IFERROR(__xludf.DUMMYFUNCTION("""COMPUTED_VALUE"""),"Closed")</f>
        <v>Closed</v>
      </c>
      <c r="BF256" s="275" t="str">
        <f>IFERROR(__xludf.DUMMYFUNCTION("""COMPUTED_VALUE"""),"Closed")</f>
        <v>Closed</v>
      </c>
      <c r="BG256" s="276" t="str">
        <f>IFERROR(__xludf.DUMMYFUNCTION("""COMPUTED_VALUE"""),"Closed")</f>
        <v>Closed</v>
      </c>
      <c r="BH256" s="274" t="str">
        <f>IFERROR(__xludf.DUMMYFUNCTION("""COMPUTED_VALUE"""),"Closed")</f>
        <v>Closed</v>
      </c>
      <c r="BI256" s="275" t="str">
        <f>IFERROR(__xludf.DUMMYFUNCTION("""COMPUTED_VALUE"""),"Closed")</f>
        <v>Closed</v>
      </c>
      <c r="BJ256" s="276" t="str">
        <f>IFERROR(__xludf.DUMMYFUNCTION("""COMPUTED_VALUE"""),"Closed")</f>
        <v>Closed</v>
      </c>
      <c r="BK256" s="274" t="str">
        <f>IFERROR(__xludf.DUMMYFUNCTION("""COMPUTED_VALUE"""),"Closed")</f>
        <v>Closed</v>
      </c>
      <c r="BL256" s="275" t="str">
        <f>IFERROR(__xludf.DUMMYFUNCTION("""COMPUTED_VALUE"""),"Closed")</f>
        <v>Closed</v>
      </c>
      <c r="BM256" s="276" t="str">
        <f>IFERROR(__xludf.DUMMYFUNCTION("""COMPUTED_VALUE"""),"Closed")</f>
        <v>Closed</v>
      </c>
      <c r="BN256" s="274" t="str">
        <f>IFERROR(__xludf.DUMMYFUNCTION("""COMPUTED_VALUE"""),"Closed")</f>
        <v>Closed</v>
      </c>
      <c r="BO256" s="275" t="str">
        <f>IFERROR(__xludf.DUMMYFUNCTION("""COMPUTED_VALUE"""),"Closed")</f>
        <v>Closed</v>
      </c>
      <c r="BP256" s="276" t="str">
        <f>IFERROR(__xludf.DUMMYFUNCTION("""COMPUTED_VALUE"""),"Closed")</f>
        <v>Closed</v>
      </c>
      <c r="BQ256" s="274" t="str">
        <f>IFERROR(__xludf.DUMMYFUNCTION("""COMPUTED_VALUE"""),"Closed")</f>
        <v>Closed</v>
      </c>
      <c r="BR256" s="275" t="str">
        <f>IFERROR(__xludf.DUMMYFUNCTION("""COMPUTED_VALUE"""),"Closed")</f>
        <v>Closed</v>
      </c>
      <c r="BS256" s="276" t="str">
        <f>IFERROR(__xludf.DUMMYFUNCTION("""COMPUTED_VALUE"""),"Closed")</f>
        <v>Closed</v>
      </c>
      <c r="BT256" s="274" t="str">
        <f>IFERROR(__xludf.DUMMYFUNCTION("""COMPUTED_VALUE"""),"Closed")</f>
        <v>Closed</v>
      </c>
      <c r="BU256" s="275" t="str">
        <f>IFERROR(__xludf.DUMMYFUNCTION("""COMPUTED_VALUE"""),"Closed")</f>
        <v>Closed</v>
      </c>
      <c r="BV256" s="276" t="str">
        <f>IFERROR(__xludf.DUMMYFUNCTION("""COMPUTED_VALUE"""),"Closed")</f>
        <v>Closed</v>
      </c>
      <c r="BW256" s="274" t="str">
        <f>IFERROR(__xludf.DUMMYFUNCTION("""COMPUTED_VALUE"""),"Closed")</f>
        <v>Closed</v>
      </c>
      <c r="BX256" s="275" t="str">
        <f>IFERROR(__xludf.DUMMYFUNCTION("""COMPUTED_VALUE"""),"Closed")</f>
        <v>Closed</v>
      </c>
      <c r="BY256" s="276" t="str">
        <f>IFERROR(__xludf.DUMMYFUNCTION("""COMPUTED_VALUE"""),"Closed")</f>
        <v>Closed</v>
      </c>
      <c r="BZ256" s="274" t="str">
        <f>IFERROR(__xludf.DUMMYFUNCTION("""COMPUTED_VALUE"""),"Closed")</f>
        <v>Closed</v>
      </c>
      <c r="CA256" s="275" t="str">
        <f>IFERROR(__xludf.DUMMYFUNCTION("""COMPUTED_VALUE"""),"Closed")</f>
        <v>Closed</v>
      </c>
      <c r="CB256" s="276" t="str">
        <f>IFERROR(__xludf.DUMMYFUNCTION("""COMPUTED_VALUE"""),"Closed")</f>
        <v>Closed</v>
      </c>
      <c r="CC256" s="274" t="str">
        <f>IFERROR(__xludf.DUMMYFUNCTION("""COMPUTED_VALUE"""),"Closed")</f>
        <v>Closed</v>
      </c>
      <c r="CD256" s="275" t="str">
        <f>IFERROR(__xludf.DUMMYFUNCTION("""COMPUTED_VALUE"""),"Closed")</f>
        <v>Closed</v>
      </c>
      <c r="CE256" s="276" t="str">
        <f>IFERROR(__xludf.DUMMYFUNCTION("""COMPUTED_VALUE"""),"Closed")</f>
        <v>Closed</v>
      </c>
      <c r="CF256" s="274" t="str">
        <f>IFERROR(__xludf.DUMMYFUNCTION("""COMPUTED_VALUE"""),"Closed")</f>
        <v>Closed</v>
      </c>
      <c r="CG256" s="275" t="str">
        <f>IFERROR(__xludf.DUMMYFUNCTION("""COMPUTED_VALUE"""),"Closed")</f>
        <v>Closed</v>
      </c>
      <c r="CH256" s="275" t="str">
        <f>IFERROR(__xludf.DUMMYFUNCTION("""COMPUTED_VALUE"""),"Closed")</f>
        <v>Closed</v>
      </c>
      <c r="CI256" s="274" t="str">
        <f>IFERROR(__xludf.DUMMYFUNCTION("""COMPUTED_VALUE"""),"Closed")</f>
        <v>Closed</v>
      </c>
      <c r="CJ256" s="275" t="str">
        <f>IFERROR(__xludf.DUMMYFUNCTION("""COMPUTED_VALUE"""),"Closed")</f>
        <v>Closed</v>
      </c>
      <c r="CK256" s="275" t="str">
        <f>IFERROR(__xludf.DUMMYFUNCTION("""COMPUTED_VALUE"""),"Closed")</f>
        <v>Closed</v>
      </c>
      <c r="CL256" s="274" t="str">
        <f>IFERROR(__xludf.DUMMYFUNCTION("""COMPUTED_VALUE"""),"Closed")</f>
        <v>Closed</v>
      </c>
      <c r="CM256" s="275" t="str">
        <f>IFERROR(__xludf.DUMMYFUNCTION("""COMPUTED_VALUE"""),"Closed")</f>
        <v>Closed</v>
      </c>
      <c r="CN256" s="275" t="str">
        <f>IFERROR(__xludf.DUMMYFUNCTION("""COMPUTED_VALUE"""),"Closed")</f>
        <v>Closed</v>
      </c>
      <c r="CO256" s="274" t="str">
        <f>IFERROR(__xludf.DUMMYFUNCTION("""COMPUTED_VALUE"""),"Closed")</f>
        <v>Closed</v>
      </c>
      <c r="CP256" s="275" t="str">
        <f>IFERROR(__xludf.DUMMYFUNCTION("""COMPUTED_VALUE"""),"Closed")</f>
        <v>Closed</v>
      </c>
      <c r="CQ256" s="275" t="str">
        <f>IFERROR(__xludf.DUMMYFUNCTION("""COMPUTED_VALUE"""),"Closed")</f>
        <v>Closed</v>
      </c>
      <c r="CR256" s="274" t="str">
        <f>IFERROR(__xludf.DUMMYFUNCTION("""COMPUTED_VALUE"""),"Closed")</f>
        <v>Closed</v>
      </c>
      <c r="CS256" s="275" t="str">
        <f>IFERROR(__xludf.DUMMYFUNCTION("""COMPUTED_VALUE"""),"Closed")</f>
        <v>Closed</v>
      </c>
      <c r="CT256" s="275" t="str">
        <f>IFERROR(__xludf.DUMMYFUNCTION("""COMPUTED_VALUE"""),"Closed")</f>
        <v>Closed</v>
      </c>
      <c r="CU256" s="274" t="str">
        <f>IFERROR(__xludf.DUMMYFUNCTION("""COMPUTED_VALUE"""),"Closed")</f>
        <v>Closed</v>
      </c>
      <c r="CV256" s="275" t="str">
        <f>IFERROR(__xludf.DUMMYFUNCTION("""COMPUTED_VALUE"""),"Closed")</f>
        <v>Closed</v>
      </c>
      <c r="CW256" s="276" t="str">
        <f>IFERROR(__xludf.DUMMYFUNCTION("""COMPUTED_VALUE"""),"Closed")</f>
        <v>Closed</v>
      </c>
      <c r="CX256" s="275" t="str">
        <f>IFERROR(__xludf.DUMMYFUNCTION("""COMPUTED_VALUE"""),"Closed")</f>
        <v>Closed</v>
      </c>
      <c r="CY256" s="275" t="str">
        <f>IFERROR(__xludf.DUMMYFUNCTION("""COMPUTED_VALUE"""),"Closed")</f>
        <v>Closed</v>
      </c>
      <c r="CZ256" s="276" t="str">
        <f>IFERROR(__xludf.DUMMYFUNCTION("""COMPUTED_VALUE"""),"Closed")</f>
        <v>Closed</v>
      </c>
      <c r="DA256" s="274" t="str">
        <f>IFERROR(__xludf.DUMMYFUNCTION("""COMPUTED_VALUE"""),"Closed")</f>
        <v>Closed</v>
      </c>
      <c r="DB256" s="275" t="str">
        <f>IFERROR(__xludf.DUMMYFUNCTION("""COMPUTED_VALUE"""),"Closed")</f>
        <v>Closed</v>
      </c>
      <c r="DC256" s="276" t="str">
        <f>IFERROR(__xludf.DUMMYFUNCTION("""COMPUTED_VALUE"""),"Closed")</f>
        <v>Closed</v>
      </c>
      <c r="DD256" s="274" t="str">
        <f>IFERROR(__xludf.DUMMYFUNCTION("""COMPUTED_VALUE"""),"Closed")</f>
        <v>Closed</v>
      </c>
      <c r="DE256" s="275" t="str">
        <f>IFERROR(__xludf.DUMMYFUNCTION("""COMPUTED_VALUE"""),"Closed")</f>
        <v>Closed</v>
      </c>
      <c r="DF256" s="276" t="str">
        <f>IFERROR(__xludf.DUMMYFUNCTION("""COMPUTED_VALUE"""),"Closed")</f>
        <v>Closed</v>
      </c>
      <c r="DG256" s="274" t="str">
        <f>IFERROR(__xludf.DUMMYFUNCTION("""COMPUTED_VALUE"""),"Closed")</f>
        <v>Closed</v>
      </c>
      <c r="DH256" s="275" t="str">
        <f>IFERROR(__xludf.DUMMYFUNCTION("""COMPUTED_VALUE"""),"Closed")</f>
        <v>Closed</v>
      </c>
      <c r="DI256" s="276" t="str">
        <f>IFERROR(__xludf.DUMMYFUNCTION("""COMPUTED_VALUE"""),"Closed")</f>
        <v>Closed</v>
      </c>
      <c r="DJ256" s="274" t="str">
        <f>IFERROR(__xludf.DUMMYFUNCTION("""COMPUTED_VALUE"""),"Closed")</f>
        <v>Closed</v>
      </c>
      <c r="DK256" s="275" t="str">
        <f>IFERROR(__xludf.DUMMYFUNCTION("""COMPUTED_VALUE"""),"Closed")</f>
        <v>Closed</v>
      </c>
      <c r="DL256" s="276" t="str">
        <f>IFERROR(__xludf.DUMMYFUNCTION("""COMPUTED_VALUE"""),"Closed")</f>
        <v>Closed</v>
      </c>
      <c r="DM256" s="274" t="str">
        <f>IFERROR(__xludf.DUMMYFUNCTION("""COMPUTED_VALUE"""),"Closed")</f>
        <v>Closed</v>
      </c>
      <c r="DN256" s="275" t="str">
        <f>IFERROR(__xludf.DUMMYFUNCTION("""COMPUTED_VALUE"""),"Closed")</f>
        <v>Closed</v>
      </c>
      <c r="DO256" s="276" t="str">
        <f>IFERROR(__xludf.DUMMYFUNCTION("""COMPUTED_VALUE"""),"Closed")</f>
        <v>Closed</v>
      </c>
      <c r="DP256" s="274" t="str">
        <f>IFERROR(__xludf.DUMMYFUNCTION("""COMPUTED_VALUE"""),"Closed")</f>
        <v>Closed</v>
      </c>
      <c r="DQ256" s="275" t="str">
        <f>IFERROR(__xludf.DUMMYFUNCTION("""COMPUTED_VALUE"""),"Closed")</f>
        <v>Closed</v>
      </c>
      <c r="DR256" s="276"/>
      <c r="DS256" s="274"/>
    </row>
    <row r="257" hidden="1">
      <c r="B257" s="180" t="str">
        <f>IFERROR(__xludf.DUMMYFUNCTION("""COMPUTED_VALUE"""),"HEA10")</f>
        <v>HEA10</v>
      </c>
      <c r="C257" s="272" t="str">
        <f>IFERROR(__xludf.DUMMYFUNCTION("""COMPUTED_VALUE"""),"Raikou's Residence")</f>
        <v>Raikou's Residence</v>
      </c>
      <c r="D257" s="273">
        <f>IFERROR(__xludf.DUMMYFUNCTION("""COMPUTED_VALUE"""),21.0)</f>
        <v>21</v>
      </c>
      <c r="E257" t="b">
        <f>IFERROR(__xludf.DUMMYFUNCTION("""COMPUTED_VALUE"""),FALSE)</f>
        <v>0</v>
      </c>
      <c r="F257" t="str">
        <f>IFERROR(__xludf.DUMMYFUNCTION("""COMPUTED_VALUE"""),"Free Quests- Part 2!A991:J999")</f>
        <v>Free Quests- Part 2!A991:J999</v>
      </c>
      <c r="G257">
        <f>IFERROR(__xludf.DUMMYFUNCTION("""COMPUTED_VALUE"""),257.0)</f>
        <v>257</v>
      </c>
      <c r="H257" t="str">
        <f>IFERROR(__xludf.DUMMYFUNCTION("""COMPUTED_VALUE"""),"Closed")</f>
        <v>Closed</v>
      </c>
      <c r="I257" s="274" t="str">
        <f>IFERROR(__xludf.DUMMYFUNCTION("""COMPUTED_VALUE"""),"Closed")</f>
        <v>Closed</v>
      </c>
      <c r="J257" s="275" t="str">
        <f>IFERROR(__xludf.DUMMYFUNCTION("""COMPUTED_VALUE"""),"Closed")</f>
        <v>Closed</v>
      </c>
      <c r="K257" s="276" t="str">
        <f>IFERROR(__xludf.DUMMYFUNCTION("""COMPUTED_VALUE"""),"Closed")</f>
        <v>Closed</v>
      </c>
      <c r="L257" s="274" t="str">
        <f>IFERROR(__xludf.DUMMYFUNCTION("""COMPUTED_VALUE"""),"Closed")</f>
        <v>Closed</v>
      </c>
      <c r="M257" s="275" t="str">
        <f>IFERROR(__xludf.DUMMYFUNCTION("""COMPUTED_VALUE"""),"Closed")</f>
        <v>Closed</v>
      </c>
      <c r="N257" s="276" t="str">
        <f>IFERROR(__xludf.DUMMYFUNCTION("""COMPUTED_VALUE"""),"Closed")</f>
        <v>Closed</v>
      </c>
      <c r="O257" s="274" t="str">
        <f>IFERROR(__xludf.DUMMYFUNCTION("""COMPUTED_VALUE"""),"Closed")</f>
        <v>Closed</v>
      </c>
      <c r="P257" s="275" t="str">
        <f>IFERROR(__xludf.DUMMYFUNCTION("""COMPUTED_VALUE"""),"Closed")</f>
        <v>Closed</v>
      </c>
      <c r="Q257" s="276" t="str">
        <f>IFERROR(__xludf.DUMMYFUNCTION("""COMPUTED_VALUE"""),"Closed")</f>
        <v>Closed</v>
      </c>
      <c r="R257" s="274" t="str">
        <f>IFERROR(__xludf.DUMMYFUNCTION("""COMPUTED_VALUE"""),"Closed")</f>
        <v>Closed</v>
      </c>
      <c r="S257" s="275" t="str">
        <f>IFERROR(__xludf.DUMMYFUNCTION("""COMPUTED_VALUE"""),"Closed")</f>
        <v>Closed</v>
      </c>
      <c r="T257" s="276" t="str">
        <f>IFERROR(__xludf.DUMMYFUNCTION("""COMPUTED_VALUE"""),"Closed")</f>
        <v>Closed</v>
      </c>
      <c r="U257" s="274" t="str">
        <f>IFERROR(__xludf.DUMMYFUNCTION("""COMPUTED_VALUE"""),"Closed")</f>
        <v>Closed</v>
      </c>
      <c r="V257" s="275" t="str">
        <f>IFERROR(__xludf.DUMMYFUNCTION("""COMPUTED_VALUE"""),"Closed")</f>
        <v>Closed</v>
      </c>
      <c r="W257" s="276" t="str">
        <f>IFERROR(__xludf.DUMMYFUNCTION("""COMPUTED_VALUE"""),"Closed")</f>
        <v>Closed</v>
      </c>
      <c r="X257" s="274" t="str">
        <f>IFERROR(__xludf.DUMMYFUNCTION("""COMPUTED_VALUE"""),"Closed")</f>
        <v>Closed</v>
      </c>
      <c r="Y257" s="275" t="str">
        <f>IFERROR(__xludf.DUMMYFUNCTION("""COMPUTED_VALUE"""),"Closed")</f>
        <v>Closed</v>
      </c>
      <c r="Z257" s="276" t="str">
        <f>IFERROR(__xludf.DUMMYFUNCTION("""COMPUTED_VALUE"""),"Closed")</f>
        <v>Closed</v>
      </c>
      <c r="AA257" s="274" t="str">
        <f>IFERROR(__xludf.DUMMYFUNCTION("""COMPUTED_VALUE"""),"Closed")</f>
        <v>Closed</v>
      </c>
      <c r="AB257" s="275" t="str">
        <f>IFERROR(__xludf.DUMMYFUNCTION("""COMPUTED_VALUE"""),"Closed")</f>
        <v>Closed</v>
      </c>
      <c r="AC257" s="276" t="str">
        <f>IFERROR(__xludf.DUMMYFUNCTION("""COMPUTED_VALUE"""),"Closed")</f>
        <v>Closed</v>
      </c>
      <c r="AD257" s="274" t="str">
        <f>IFERROR(__xludf.DUMMYFUNCTION("""COMPUTED_VALUE"""),"Closed")</f>
        <v>Closed</v>
      </c>
      <c r="AE257" s="275" t="str">
        <f>IFERROR(__xludf.DUMMYFUNCTION("""COMPUTED_VALUE"""),"Closed")</f>
        <v>Closed</v>
      </c>
      <c r="AF257" s="276" t="str">
        <f>IFERROR(__xludf.DUMMYFUNCTION("""COMPUTED_VALUE"""),"Closed")</f>
        <v>Closed</v>
      </c>
      <c r="AG257" s="274" t="str">
        <f>IFERROR(__xludf.DUMMYFUNCTION("""COMPUTED_VALUE"""),"Closed")</f>
        <v>Closed</v>
      </c>
      <c r="AH257" s="275" t="str">
        <f>IFERROR(__xludf.DUMMYFUNCTION("""COMPUTED_VALUE"""),"Closed")</f>
        <v>Closed</v>
      </c>
      <c r="AI257" s="276" t="str">
        <f>IFERROR(__xludf.DUMMYFUNCTION("""COMPUTED_VALUE"""),"Closed")</f>
        <v>Closed</v>
      </c>
      <c r="AJ257" s="274" t="str">
        <f>IFERROR(__xludf.DUMMYFUNCTION("""COMPUTED_VALUE"""),"Closed")</f>
        <v>Closed</v>
      </c>
      <c r="AK257" s="275" t="str">
        <f>IFERROR(__xludf.DUMMYFUNCTION("""COMPUTED_VALUE"""),"Closed")</f>
        <v>Closed</v>
      </c>
      <c r="AL257" s="276" t="str">
        <f>IFERROR(__xludf.DUMMYFUNCTION("""COMPUTED_VALUE"""),"Closed")</f>
        <v>Closed</v>
      </c>
      <c r="AM257" s="274" t="str">
        <f>IFERROR(__xludf.DUMMYFUNCTION("""COMPUTED_VALUE"""),"Closed")</f>
        <v>Closed</v>
      </c>
      <c r="AN257" s="275" t="str">
        <f>IFERROR(__xludf.DUMMYFUNCTION("""COMPUTED_VALUE"""),"Closed")</f>
        <v>Closed</v>
      </c>
      <c r="AO257" s="276" t="str">
        <f>IFERROR(__xludf.DUMMYFUNCTION("""COMPUTED_VALUE"""),"Closed")</f>
        <v>Closed</v>
      </c>
      <c r="AP257" s="274" t="str">
        <f>IFERROR(__xludf.DUMMYFUNCTION("""COMPUTED_VALUE"""),"Closed")</f>
        <v>Closed</v>
      </c>
      <c r="AQ257" s="275" t="str">
        <f>IFERROR(__xludf.DUMMYFUNCTION("""COMPUTED_VALUE"""),"Closed")</f>
        <v>Closed</v>
      </c>
      <c r="AR257" s="276" t="str">
        <f>IFERROR(__xludf.DUMMYFUNCTION("""COMPUTED_VALUE"""),"Closed")</f>
        <v>Closed</v>
      </c>
      <c r="AS257" s="274" t="str">
        <f>IFERROR(__xludf.DUMMYFUNCTION("""COMPUTED_VALUE"""),"Closed")</f>
        <v>Closed</v>
      </c>
      <c r="AT257" s="275" t="str">
        <f>IFERROR(__xludf.DUMMYFUNCTION("""COMPUTED_VALUE"""),"Closed")</f>
        <v>Closed</v>
      </c>
      <c r="AU257" s="276" t="str">
        <f>IFERROR(__xludf.DUMMYFUNCTION("""COMPUTED_VALUE"""),"Closed")</f>
        <v>Closed</v>
      </c>
      <c r="AV257" s="274" t="str">
        <f>IFERROR(__xludf.DUMMYFUNCTION("""COMPUTED_VALUE"""),"Closed")</f>
        <v>Closed</v>
      </c>
      <c r="AW257" s="275" t="str">
        <f>IFERROR(__xludf.DUMMYFUNCTION("""COMPUTED_VALUE"""),"Closed")</f>
        <v>Closed</v>
      </c>
      <c r="AX257" s="276" t="str">
        <f>IFERROR(__xludf.DUMMYFUNCTION("""COMPUTED_VALUE"""),"Closed")</f>
        <v>Closed</v>
      </c>
      <c r="AY257" s="274" t="str">
        <f>IFERROR(__xludf.DUMMYFUNCTION("""COMPUTED_VALUE"""),"Closed")</f>
        <v>Closed</v>
      </c>
      <c r="AZ257" s="275" t="str">
        <f>IFERROR(__xludf.DUMMYFUNCTION("""COMPUTED_VALUE"""),"Closed")</f>
        <v>Closed</v>
      </c>
      <c r="BA257" s="276" t="str">
        <f>IFERROR(__xludf.DUMMYFUNCTION("""COMPUTED_VALUE"""),"Closed")</f>
        <v>Closed</v>
      </c>
      <c r="BB257" s="274" t="str">
        <f>IFERROR(__xludf.DUMMYFUNCTION("""COMPUTED_VALUE"""),"Closed")</f>
        <v>Closed</v>
      </c>
      <c r="BC257" s="275" t="str">
        <f>IFERROR(__xludf.DUMMYFUNCTION("""COMPUTED_VALUE"""),"Closed")</f>
        <v>Closed</v>
      </c>
      <c r="BD257" s="276" t="str">
        <f>IFERROR(__xludf.DUMMYFUNCTION("""COMPUTED_VALUE"""),"Closed")</f>
        <v>Closed</v>
      </c>
      <c r="BE257" s="274" t="str">
        <f>IFERROR(__xludf.DUMMYFUNCTION("""COMPUTED_VALUE"""),"Closed")</f>
        <v>Closed</v>
      </c>
      <c r="BF257" s="275" t="str">
        <f>IFERROR(__xludf.DUMMYFUNCTION("""COMPUTED_VALUE"""),"Closed")</f>
        <v>Closed</v>
      </c>
      <c r="BG257" s="276" t="str">
        <f>IFERROR(__xludf.DUMMYFUNCTION("""COMPUTED_VALUE"""),"Closed")</f>
        <v>Closed</v>
      </c>
      <c r="BH257" s="274" t="str">
        <f>IFERROR(__xludf.DUMMYFUNCTION("""COMPUTED_VALUE"""),"Closed")</f>
        <v>Closed</v>
      </c>
      <c r="BI257" s="275" t="str">
        <f>IFERROR(__xludf.DUMMYFUNCTION("""COMPUTED_VALUE"""),"Closed")</f>
        <v>Closed</v>
      </c>
      <c r="BJ257" s="276" t="str">
        <f>IFERROR(__xludf.DUMMYFUNCTION("""COMPUTED_VALUE"""),"Closed")</f>
        <v>Closed</v>
      </c>
      <c r="BK257" s="274" t="str">
        <f>IFERROR(__xludf.DUMMYFUNCTION("""COMPUTED_VALUE"""),"Closed")</f>
        <v>Closed</v>
      </c>
      <c r="BL257" s="275" t="str">
        <f>IFERROR(__xludf.DUMMYFUNCTION("""COMPUTED_VALUE"""),"Closed")</f>
        <v>Closed</v>
      </c>
      <c r="BM257" s="276" t="str">
        <f>IFERROR(__xludf.DUMMYFUNCTION("""COMPUTED_VALUE"""),"Closed")</f>
        <v>Closed</v>
      </c>
      <c r="BN257" s="274" t="str">
        <f>IFERROR(__xludf.DUMMYFUNCTION("""COMPUTED_VALUE"""),"Closed")</f>
        <v>Closed</v>
      </c>
      <c r="BO257" s="275" t="str">
        <f>IFERROR(__xludf.DUMMYFUNCTION("""COMPUTED_VALUE"""),"Closed")</f>
        <v>Closed</v>
      </c>
      <c r="BP257" s="276" t="str">
        <f>IFERROR(__xludf.DUMMYFUNCTION("""COMPUTED_VALUE"""),"Closed")</f>
        <v>Closed</v>
      </c>
      <c r="BQ257" s="274" t="str">
        <f>IFERROR(__xludf.DUMMYFUNCTION("""COMPUTED_VALUE"""),"Closed")</f>
        <v>Closed</v>
      </c>
      <c r="BR257" s="275" t="str">
        <f>IFERROR(__xludf.DUMMYFUNCTION("""COMPUTED_VALUE"""),"Closed")</f>
        <v>Closed</v>
      </c>
      <c r="BS257" s="276" t="str">
        <f>IFERROR(__xludf.DUMMYFUNCTION("""COMPUTED_VALUE"""),"Closed")</f>
        <v>Closed</v>
      </c>
      <c r="BT257" s="274" t="str">
        <f>IFERROR(__xludf.DUMMYFUNCTION("""COMPUTED_VALUE"""),"Closed")</f>
        <v>Closed</v>
      </c>
      <c r="BU257" s="275" t="str">
        <f>IFERROR(__xludf.DUMMYFUNCTION("""COMPUTED_VALUE"""),"Closed")</f>
        <v>Closed</v>
      </c>
      <c r="BV257" s="276" t="str">
        <f>IFERROR(__xludf.DUMMYFUNCTION("""COMPUTED_VALUE"""),"Closed")</f>
        <v>Closed</v>
      </c>
      <c r="BW257" s="274" t="str">
        <f>IFERROR(__xludf.DUMMYFUNCTION("""COMPUTED_VALUE"""),"Closed")</f>
        <v>Closed</v>
      </c>
      <c r="BX257" s="275" t="str">
        <f>IFERROR(__xludf.DUMMYFUNCTION("""COMPUTED_VALUE"""),"Closed")</f>
        <v>Closed</v>
      </c>
      <c r="BY257" s="276" t="str">
        <f>IFERROR(__xludf.DUMMYFUNCTION("""COMPUTED_VALUE"""),"Closed")</f>
        <v>Closed</v>
      </c>
      <c r="BZ257" s="274" t="str">
        <f>IFERROR(__xludf.DUMMYFUNCTION("""COMPUTED_VALUE"""),"Closed")</f>
        <v>Closed</v>
      </c>
      <c r="CA257" s="275" t="str">
        <f>IFERROR(__xludf.DUMMYFUNCTION("""COMPUTED_VALUE"""),"Closed")</f>
        <v>Closed</v>
      </c>
      <c r="CB257" s="276" t="str">
        <f>IFERROR(__xludf.DUMMYFUNCTION("""COMPUTED_VALUE"""),"Closed")</f>
        <v>Closed</v>
      </c>
      <c r="CC257" s="274" t="str">
        <f>IFERROR(__xludf.DUMMYFUNCTION("""COMPUTED_VALUE"""),"Closed")</f>
        <v>Closed</v>
      </c>
      <c r="CD257" s="275" t="str">
        <f>IFERROR(__xludf.DUMMYFUNCTION("""COMPUTED_VALUE"""),"Closed")</f>
        <v>Closed</v>
      </c>
      <c r="CE257" s="276" t="str">
        <f>IFERROR(__xludf.DUMMYFUNCTION("""COMPUTED_VALUE"""),"Closed")</f>
        <v>Closed</v>
      </c>
      <c r="CF257" s="274" t="str">
        <f>IFERROR(__xludf.DUMMYFUNCTION("""COMPUTED_VALUE"""),"Closed")</f>
        <v>Closed</v>
      </c>
      <c r="CG257" s="275" t="str">
        <f>IFERROR(__xludf.DUMMYFUNCTION("""COMPUTED_VALUE"""),"Closed")</f>
        <v>Closed</v>
      </c>
      <c r="CH257" s="275" t="str">
        <f>IFERROR(__xludf.DUMMYFUNCTION("""COMPUTED_VALUE"""),"Closed")</f>
        <v>Closed</v>
      </c>
      <c r="CI257" s="274" t="str">
        <f>IFERROR(__xludf.DUMMYFUNCTION("""COMPUTED_VALUE"""),"Closed")</f>
        <v>Closed</v>
      </c>
      <c r="CJ257" s="275" t="str">
        <f>IFERROR(__xludf.DUMMYFUNCTION("""COMPUTED_VALUE"""),"Closed")</f>
        <v>Closed</v>
      </c>
      <c r="CK257" s="275" t="str">
        <f>IFERROR(__xludf.DUMMYFUNCTION("""COMPUTED_VALUE"""),"Closed")</f>
        <v>Closed</v>
      </c>
      <c r="CL257" s="274" t="str">
        <f>IFERROR(__xludf.DUMMYFUNCTION("""COMPUTED_VALUE"""),"Closed")</f>
        <v>Closed</v>
      </c>
      <c r="CM257" s="275" t="str">
        <f>IFERROR(__xludf.DUMMYFUNCTION("""COMPUTED_VALUE"""),"Closed")</f>
        <v>Closed</v>
      </c>
      <c r="CN257" s="275" t="str">
        <f>IFERROR(__xludf.DUMMYFUNCTION("""COMPUTED_VALUE"""),"Closed")</f>
        <v>Closed</v>
      </c>
      <c r="CO257" s="274" t="str">
        <f>IFERROR(__xludf.DUMMYFUNCTION("""COMPUTED_VALUE"""),"Closed")</f>
        <v>Closed</v>
      </c>
      <c r="CP257" s="275" t="str">
        <f>IFERROR(__xludf.DUMMYFUNCTION("""COMPUTED_VALUE"""),"Closed")</f>
        <v>Closed</v>
      </c>
      <c r="CQ257" s="275" t="str">
        <f>IFERROR(__xludf.DUMMYFUNCTION("""COMPUTED_VALUE"""),"Closed")</f>
        <v>Closed</v>
      </c>
      <c r="CR257" s="274" t="str">
        <f>IFERROR(__xludf.DUMMYFUNCTION("""COMPUTED_VALUE"""),"Closed")</f>
        <v>Closed</v>
      </c>
      <c r="CS257" s="275" t="str">
        <f>IFERROR(__xludf.DUMMYFUNCTION("""COMPUTED_VALUE"""),"Closed")</f>
        <v>Closed</v>
      </c>
      <c r="CT257" s="275" t="str">
        <f>IFERROR(__xludf.DUMMYFUNCTION("""COMPUTED_VALUE"""),"Closed")</f>
        <v>Closed</v>
      </c>
      <c r="CU257" s="274" t="str">
        <f>IFERROR(__xludf.DUMMYFUNCTION("""COMPUTED_VALUE"""),"Closed")</f>
        <v>Closed</v>
      </c>
      <c r="CV257" s="275" t="str">
        <f>IFERROR(__xludf.DUMMYFUNCTION("""COMPUTED_VALUE"""),"Closed")</f>
        <v>Closed</v>
      </c>
      <c r="CW257" s="276" t="str">
        <f>IFERROR(__xludf.DUMMYFUNCTION("""COMPUTED_VALUE"""),"Closed")</f>
        <v>Closed</v>
      </c>
      <c r="CX257" s="275" t="str">
        <f>IFERROR(__xludf.DUMMYFUNCTION("""COMPUTED_VALUE"""),"Closed")</f>
        <v>Closed</v>
      </c>
      <c r="CY257" s="275" t="str">
        <f>IFERROR(__xludf.DUMMYFUNCTION("""COMPUTED_VALUE"""),"Closed")</f>
        <v>Closed</v>
      </c>
      <c r="CZ257" s="276" t="str">
        <f>IFERROR(__xludf.DUMMYFUNCTION("""COMPUTED_VALUE"""),"Closed")</f>
        <v>Closed</v>
      </c>
      <c r="DA257" s="274" t="str">
        <f>IFERROR(__xludf.DUMMYFUNCTION("""COMPUTED_VALUE"""),"Closed")</f>
        <v>Closed</v>
      </c>
      <c r="DB257" s="275" t="str">
        <f>IFERROR(__xludf.DUMMYFUNCTION("""COMPUTED_VALUE"""),"Closed")</f>
        <v>Closed</v>
      </c>
      <c r="DC257" s="276" t="str">
        <f>IFERROR(__xludf.DUMMYFUNCTION("""COMPUTED_VALUE"""),"Closed")</f>
        <v>Closed</v>
      </c>
      <c r="DD257" s="274" t="str">
        <f>IFERROR(__xludf.DUMMYFUNCTION("""COMPUTED_VALUE"""),"Closed")</f>
        <v>Closed</v>
      </c>
      <c r="DE257" s="275" t="str">
        <f>IFERROR(__xludf.DUMMYFUNCTION("""COMPUTED_VALUE"""),"Closed")</f>
        <v>Closed</v>
      </c>
      <c r="DF257" s="276" t="str">
        <f>IFERROR(__xludf.DUMMYFUNCTION("""COMPUTED_VALUE"""),"Closed")</f>
        <v>Closed</v>
      </c>
      <c r="DG257" s="274" t="str">
        <f>IFERROR(__xludf.DUMMYFUNCTION("""COMPUTED_VALUE"""),"Closed")</f>
        <v>Closed</v>
      </c>
      <c r="DH257" s="275" t="str">
        <f>IFERROR(__xludf.DUMMYFUNCTION("""COMPUTED_VALUE"""),"Closed")</f>
        <v>Closed</v>
      </c>
      <c r="DI257" s="276" t="str">
        <f>IFERROR(__xludf.DUMMYFUNCTION("""COMPUTED_VALUE"""),"Closed")</f>
        <v>Closed</v>
      </c>
      <c r="DJ257" s="274" t="str">
        <f>IFERROR(__xludf.DUMMYFUNCTION("""COMPUTED_VALUE"""),"Closed")</f>
        <v>Closed</v>
      </c>
      <c r="DK257" s="275" t="str">
        <f>IFERROR(__xludf.DUMMYFUNCTION("""COMPUTED_VALUE"""),"Closed")</f>
        <v>Closed</v>
      </c>
      <c r="DL257" s="276" t="str">
        <f>IFERROR(__xludf.DUMMYFUNCTION("""COMPUTED_VALUE"""),"Closed")</f>
        <v>Closed</v>
      </c>
      <c r="DM257" s="274" t="str">
        <f>IFERROR(__xludf.DUMMYFUNCTION("""COMPUTED_VALUE"""),"Closed")</f>
        <v>Closed</v>
      </c>
      <c r="DN257" s="275" t="str">
        <f>IFERROR(__xludf.DUMMYFUNCTION("""COMPUTED_VALUE"""),"Closed")</f>
        <v>Closed</v>
      </c>
      <c r="DO257" s="276" t="str">
        <f>IFERROR(__xludf.DUMMYFUNCTION("""COMPUTED_VALUE"""),"Closed")</f>
        <v>Closed</v>
      </c>
      <c r="DP257" s="274" t="str">
        <f>IFERROR(__xludf.DUMMYFUNCTION("""COMPUTED_VALUE"""),"Closed")</f>
        <v>Closed</v>
      </c>
      <c r="DQ257" s="275" t="str">
        <f>IFERROR(__xludf.DUMMYFUNCTION("""COMPUTED_VALUE"""),"Closed")</f>
        <v>Closed</v>
      </c>
      <c r="DR257" s="276"/>
      <c r="DS257" s="274"/>
    </row>
    <row r="258" hidden="1">
      <c r="B258" s="180" t="str">
        <f>IFERROR(__xludf.DUMMYFUNCTION("""COMPUTED_VALUE"""),"HEA11")</f>
        <v>HEA11</v>
      </c>
      <c r="C258" s="272" t="str">
        <f>IFERROR(__xludf.DUMMYFUNCTION("""COMPUTED_VALUE"""),"Gojō Bridge")</f>
        <v>Gojō Bridge</v>
      </c>
      <c r="D258" s="273">
        <f>IFERROR(__xludf.DUMMYFUNCTION("""COMPUTED_VALUE"""),21.0)</f>
        <v>21</v>
      </c>
      <c r="E258" t="b">
        <f>IFERROR(__xludf.DUMMYFUNCTION("""COMPUTED_VALUE"""),FALSE)</f>
        <v>0</v>
      </c>
      <c r="F258" t="str">
        <f>IFERROR(__xludf.DUMMYFUNCTION("""COMPUTED_VALUE"""),"Free Quests- Part 2!A1003:J1009")</f>
        <v>Free Quests- Part 2!A1003:J1009</v>
      </c>
      <c r="G258">
        <f>IFERROR(__xludf.DUMMYFUNCTION("""COMPUTED_VALUE"""),258.0)</f>
        <v>258</v>
      </c>
      <c r="H258" t="str">
        <f>IFERROR(__xludf.DUMMYFUNCTION("""COMPUTED_VALUE"""),"Closed")</f>
        <v>Closed</v>
      </c>
      <c r="I258" s="274" t="str">
        <f>IFERROR(__xludf.DUMMYFUNCTION("""COMPUTED_VALUE"""),"Closed")</f>
        <v>Closed</v>
      </c>
      <c r="J258" s="275" t="str">
        <f>IFERROR(__xludf.DUMMYFUNCTION("""COMPUTED_VALUE"""),"Closed")</f>
        <v>Closed</v>
      </c>
      <c r="K258" s="276" t="str">
        <f>IFERROR(__xludf.DUMMYFUNCTION("""COMPUTED_VALUE"""),"Closed")</f>
        <v>Closed</v>
      </c>
      <c r="L258" s="274" t="str">
        <f>IFERROR(__xludf.DUMMYFUNCTION("""COMPUTED_VALUE"""),"Closed")</f>
        <v>Closed</v>
      </c>
      <c r="M258" s="275" t="str">
        <f>IFERROR(__xludf.DUMMYFUNCTION("""COMPUTED_VALUE"""),"Closed")</f>
        <v>Closed</v>
      </c>
      <c r="N258" s="276" t="str">
        <f>IFERROR(__xludf.DUMMYFUNCTION("""COMPUTED_VALUE"""),"Closed")</f>
        <v>Closed</v>
      </c>
      <c r="O258" s="274" t="str">
        <f>IFERROR(__xludf.DUMMYFUNCTION("""COMPUTED_VALUE"""),"Closed")</f>
        <v>Closed</v>
      </c>
      <c r="P258" s="275" t="str">
        <f>IFERROR(__xludf.DUMMYFUNCTION("""COMPUTED_VALUE"""),"Closed")</f>
        <v>Closed</v>
      </c>
      <c r="Q258" s="276" t="str">
        <f>IFERROR(__xludf.DUMMYFUNCTION("""COMPUTED_VALUE"""),"Closed")</f>
        <v>Closed</v>
      </c>
      <c r="R258" s="274" t="str">
        <f>IFERROR(__xludf.DUMMYFUNCTION("""COMPUTED_VALUE"""),"Closed")</f>
        <v>Closed</v>
      </c>
      <c r="S258" s="275" t="str">
        <f>IFERROR(__xludf.DUMMYFUNCTION("""COMPUTED_VALUE"""),"Closed")</f>
        <v>Closed</v>
      </c>
      <c r="T258" s="276" t="str">
        <f>IFERROR(__xludf.DUMMYFUNCTION("""COMPUTED_VALUE"""),"Closed")</f>
        <v>Closed</v>
      </c>
      <c r="U258" s="274" t="str">
        <f>IFERROR(__xludf.DUMMYFUNCTION("""COMPUTED_VALUE"""),"Closed")</f>
        <v>Closed</v>
      </c>
      <c r="V258" s="275" t="str">
        <f>IFERROR(__xludf.DUMMYFUNCTION("""COMPUTED_VALUE"""),"Closed")</f>
        <v>Closed</v>
      </c>
      <c r="W258" s="276" t="str">
        <f>IFERROR(__xludf.DUMMYFUNCTION("""COMPUTED_VALUE"""),"Closed")</f>
        <v>Closed</v>
      </c>
      <c r="X258" s="274" t="str">
        <f>IFERROR(__xludf.DUMMYFUNCTION("""COMPUTED_VALUE"""),"Closed")</f>
        <v>Closed</v>
      </c>
      <c r="Y258" s="275" t="str">
        <f>IFERROR(__xludf.DUMMYFUNCTION("""COMPUTED_VALUE"""),"Closed")</f>
        <v>Closed</v>
      </c>
      <c r="Z258" s="276" t="str">
        <f>IFERROR(__xludf.DUMMYFUNCTION("""COMPUTED_VALUE"""),"Closed")</f>
        <v>Closed</v>
      </c>
      <c r="AA258" s="274" t="str">
        <f>IFERROR(__xludf.DUMMYFUNCTION("""COMPUTED_VALUE"""),"Closed")</f>
        <v>Closed</v>
      </c>
      <c r="AB258" s="275" t="str">
        <f>IFERROR(__xludf.DUMMYFUNCTION("""COMPUTED_VALUE"""),"Closed")</f>
        <v>Closed</v>
      </c>
      <c r="AC258" s="276" t="str">
        <f>IFERROR(__xludf.DUMMYFUNCTION("""COMPUTED_VALUE"""),"Closed")</f>
        <v>Closed</v>
      </c>
      <c r="AD258" s="274" t="str">
        <f>IFERROR(__xludf.DUMMYFUNCTION("""COMPUTED_VALUE"""),"Closed")</f>
        <v>Closed</v>
      </c>
      <c r="AE258" s="275" t="str">
        <f>IFERROR(__xludf.DUMMYFUNCTION("""COMPUTED_VALUE"""),"Closed")</f>
        <v>Closed</v>
      </c>
      <c r="AF258" s="276" t="str">
        <f>IFERROR(__xludf.DUMMYFUNCTION("""COMPUTED_VALUE"""),"Closed")</f>
        <v>Closed</v>
      </c>
      <c r="AG258" s="274" t="str">
        <f>IFERROR(__xludf.DUMMYFUNCTION("""COMPUTED_VALUE"""),"Closed")</f>
        <v>Closed</v>
      </c>
      <c r="AH258" s="275" t="str">
        <f>IFERROR(__xludf.DUMMYFUNCTION("""COMPUTED_VALUE"""),"Closed")</f>
        <v>Closed</v>
      </c>
      <c r="AI258" s="276" t="str">
        <f>IFERROR(__xludf.DUMMYFUNCTION("""COMPUTED_VALUE"""),"Closed")</f>
        <v>Closed</v>
      </c>
      <c r="AJ258" s="274" t="str">
        <f>IFERROR(__xludf.DUMMYFUNCTION("""COMPUTED_VALUE"""),"Closed")</f>
        <v>Closed</v>
      </c>
      <c r="AK258" s="275" t="str">
        <f>IFERROR(__xludf.DUMMYFUNCTION("""COMPUTED_VALUE"""),"Closed")</f>
        <v>Closed</v>
      </c>
      <c r="AL258" s="276" t="str">
        <f>IFERROR(__xludf.DUMMYFUNCTION("""COMPUTED_VALUE"""),"Closed")</f>
        <v>Closed</v>
      </c>
      <c r="AM258" s="274" t="str">
        <f>IFERROR(__xludf.DUMMYFUNCTION("""COMPUTED_VALUE"""),"Closed")</f>
        <v>Closed</v>
      </c>
      <c r="AN258" s="275" t="str">
        <f>IFERROR(__xludf.DUMMYFUNCTION("""COMPUTED_VALUE"""),"Closed")</f>
        <v>Closed</v>
      </c>
      <c r="AO258" s="276" t="str">
        <f>IFERROR(__xludf.DUMMYFUNCTION("""COMPUTED_VALUE"""),"Closed")</f>
        <v>Closed</v>
      </c>
      <c r="AP258" s="274" t="str">
        <f>IFERROR(__xludf.DUMMYFUNCTION("""COMPUTED_VALUE"""),"Closed")</f>
        <v>Closed</v>
      </c>
      <c r="AQ258" s="275" t="str">
        <f>IFERROR(__xludf.DUMMYFUNCTION("""COMPUTED_VALUE"""),"Closed")</f>
        <v>Closed</v>
      </c>
      <c r="AR258" s="276" t="str">
        <f>IFERROR(__xludf.DUMMYFUNCTION("""COMPUTED_VALUE"""),"Closed")</f>
        <v>Closed</v>
      </c>
      <c r="AS258" s="274" t="str">
        <f>IFERROR(__xludf.DUMMYFUNCTION("""COMPUTED_VALUE"""),"Closed")</f>
        <v>Closed</v>
      </c>
      <c r="AT258" s="275" t="str">
        <f>IFERROR(__xludf.DUMMYFUNCTION("""COMPUTED_VALUE"""),"Closed")</f>
        <v>Closed</v>
      </c>
      <c r="AU258" s="276" t="str">
        <f>IFERROR(__xludf.DUMMYFUNCTION("""COMPUTED_VALUE"""),"Closed")</f>
        <v>Closed</v>
      </c>
      <c r="AV258" s="274" t="str">
        <f>IFERROR(__xludf.DUMMYFUNCTION("""COMPUTED_VALUE"""),"Closed")</f>
        <v>Closed</v>
      </c>
      <c r="AW258" s="275" t="str">
        <f>IFERROR(__xludf.DUMMYFUNCTION("""COMPUTED_VALUE"""),"Closed")</f>
        <v>Closed</v>
      </c>
      <c r="AX258" s="276" t="str">
        <f>IFERROR(__xludf.DUMMYFUNCTION("""COMPUTED_VALUE"""),"Closed")</f>
        <v>Closed</v>
      </c>
      <c r="AY258" s="274" t="str">
        <f>IFERROR(__xludf.DUMMYFUNCTION("""COMPUTED_VALUE"""),"Closed")</f>
        <v>Closed</v>
      </c>
      <c r="AZ258" s="275" t="str">
        <f>IFERROR(__xludf.DUMMYFUNCTION("""COMPUTED_VALUE"""),"Closed")</f>
        <v>Closed</v>
      </c>
      <c r="BA258" s="276" t="str">
        <f>IFERROR(__xludf.DUMMYFUNCTION("""COMPUTED_VALUE"""),"Closed")</f>
        <v>Closed</v>
      </c>
      <c r="BB258" s="274" t="str">
        <f>IFERROR(__xludf.DUMMYFUNCTION("""COMPUTED_VALUE"""),"Closed")</f>
        <v>Closed</v>
      </c>
      <c r="BC258" s="275" t="str">
        <f>IFERROR(__xludf.DUMMYFUNCTION("""COMPUTED_VALUE"""),"Closed")</f>
        <v>Closed</v>
      </c>
      <c r="BD258" s="276" t="str">
        <f>IFERROR(__xludf.DUMMYFUNCTION("""COMPUTED_VALUE"""),"Closed")</f>
        <v>Closed</v>
      </c>
      <c r="BE258" s="274" t="str">
        <f>IFERROR(__xludf.DUMMYFUNCTION("""COMPUTED_VALUE"""),"Closed")</f>
        <v>Closed</v>
      </c>
      <c r="BF258" s="275" t="str">
        <f>IFERROR(__xludf.DUMMYFUNCTION("""COMPUTED_VALUE"""),"Closed")</f>
        <v>Closed</v>
      </c>
      <c r="BG258" s="276" t="str">
        <f>IFERROR(__xludf.DUMMYFUNCTION("""COMPUTED_VALUE"""),"Closed")</f>
        <v>Closed</v>
      </c>
      <c r="BH258" s="274" t="str">
        <f>IFERROR(__xludf.DUMMYFUNCTION("""COMPUTED_VALUE"""),"Closed")</f>
        <v>Closed</v>
      </c>
      <c r="BI258" s="275" t="str">
        <f>IFERROR(__xludf.DUMMYFUNCTION("""COMPUTED_VALUE"""),"Closed")</f>
        <v>Closed</v>
      </c>
      <c r="BJ258" s="276" t="str">
        <f>IFERROR(__xludf.DUMMYFUNCTION("""COMPUTED_VALUE"""),"Closed")</f>
        <v>Closed</v>
      </c>
      <c r="BK258" s="274" t="str">
        <f>IFERROR(__xludf.DUMMYFUNCTION("""COMPUTED_VALUE"""),"Closed")</f>
        <v>Closed</v>
      </c>
      <c r="BL258" s="275" t="str">
        <f>IFERROR(__xludf.DUMMYFUNCTION("""COMPUTED_VALUE"""),"Closed")</f>
        <v>Closed</v>
      </c>
      <c r="BM258" s="276" t="str">
        <f>IFERROR(__xludf.DUMMYFUNCTION("""COMPUTED_VALUE"""),"Closed")</f>
        <v>Closed</v>
      </c>
      <c r="BN258" s="274" t="str">
        <f>IFERROR(__xludf.DUMMYFUNCTION("""COMPUTED_VALUE"""),"Closed")</f>
        <v>Closed</v>
      </c>
      <c r="BO258" s="275" t="str">
        <f>IFERROR(__xludf.DUMMYFUNCTION("""COMPUTED_VALUE"""),"Closed")</f>
        <v>Closed</v>
      </c>
      <c r="BP258" s="276" t="str">
        <f>IFERROR(__xludf.DUMMYFUNCTION("""COMPUTED_VALUE"""),"Closed")</f>
        <v>Closed</v>
      </c>
      <c r="BQ258" s="274" t="str">
        <f>IFERROR(__xludf.DUMMYFUNCTION("""COMPUTED_VALUE"""),"Closed")</f>
        <v>Closed</v>
      </c>
      <c r="BR258" s="275" t="str">
        <f>IFERROR(__xludf.DUMMYFUNCTION("""COMPUTED_VALUE"""),"Closed")</f>
        <v>Closed</v>
      </c>
      <c r="BS258" s="276" t="str">
        <f>IFERROR(__xludf.DUMMYFUNCTION("""COMPUTED_VALUE"""),"Closed")</f>
        <v>Closed</v>
      </c>
      <c r="BT258" s="274" t="str">
        <f>IFERROR(__xludf.DUMMYFUNCTION("""COMPUTED_VALUE"""),"Closed")</f>
        <v>Closed</v>
      </c>
      <c r="BU258" s="275" t="str">
        <f>IFERROR(__xludf.DUMMYFUNCTION("""COMPUTED_VALUE"""),"Closed")</f>
        <v>Closed</v>
      </c>
      <c r="BV258" s="276" t="str">
        <f>IFERROR(__xludf.DUMMYFUNCTION("""COMPUTED_VALUE"""),"Closed")</f>
        <v>Closed</v>
      </c>
      <c r="BW258" s="274" t="str">
        <f>IFERROR(__xludf.DUMMYFUNCTION("""COMPUTED_VALUE"""),"Closed")</f>
        <v>Closed</v>
      </c>
      <c r="BX258" s="275" t="str">
        <f>IFERROR(__xludf.DUMMYFUNCTION("""COMPUTED_VALUE"""),"Closed")</f>
        <v>Closed</v>
      </c>
      <c r="BY258" s="276" t="str">
        <f>IFERROR(__xludf.DUMMYFUNCTION("""COMPUTED_VALUE"""),"Closed")</f>
        <v>Closed</v>
      </c>
      <c r="BZ258" s="274" t="str">
        <f>IFERROR(__xludf.DUMMYFUNCTION("""COMPUTED_VALUE"""),"Closed")</f>
        <v>Closed</v>
      </c>
      <c r="CA258" s="275" t="str">
        <f>IFERROR(__xludf.DUMMYFUNCTION("""COMPUTED_VALUE"""),"Closed")</f>
        <v>Closed</v>
      </c>
      <c r="CB258" s="276" t="str">
        <f>IFERROR(__xludf.DUMMYFUNCTION("""COMPUTED_VALUE"""),"Closed")</f>
        <v>Closed</v>
      </c>
      <c r="CC258" s="274" t="str">
        <f>IFERROR(__xludf.DUMMYFUNCTION("""COMPUTED_VALUE"""),"Closed")</f>
        <v>Closed</v>
      </c>
      <c r="CD258" s="275" t="str">
        <f>IFERROR(__xludf.DUMMYFUNCTION("""COMPUTED_VALUE"""),"Closed")</f>
        <v>Closed</v>
      </c>
      <c r="CE258" s="276" t="str">
        <f>IFERROR(__xludf.DUMMYFUNCTION("""COMPUTED_VALUE"""),"Closed")</f>
        <v>Closed</v>
      </c>
      <c r="CF258" s="274" t="str">
        <f>IFERROR(__xludf.DUMMYFUNCTION("""COMPUTED_VALUE"""),"Closed")</f>
        <v>Closed</v>
      </c>
      <c r="CG258" s="275" t="str">
        <f>IFERROR(__xludf.DUMMYFUNCTION("""COMPUTED_VALUE"""),"Closed")</f>
        <v>Closed</v>
      </c>
      <c r="CH258" s="275" t="str">
        <f>IFERROR(__xludf.DUMMYFUNCTION("""COMPUTED_VALUE"""),"Closed")</f>
        <v>Closed</v>
      </c>
      <c r="CI258" s="274" t="str">
        <f>IFERROR(__xludf.DUMMYFUNCTION("""COMPUTED_VALUE"""),"Closed")</f>
        <v>Closed</v>
      </c>
      <c r="CJ258" s="275" t="str">
        <f>IFERROR(__xludf.DUMMYFUNCTION("""COMPUTED_VALUE"""),"Closed")</f>
        <v>Closed</v>
      </c>
      <c r="CK258" s="275" t="str">
        <f>IFERROR(__xludf.DUMMYFUNCTION("""COMPUTED_VALUE"""),"Closed")</f>
        <v>Closed</v>
      </c>
      <c r="CL258" s="274" t="str">
        <f>IFERROR(__xludf.DUMMYFUNCTION("""COMPUTED_VALUE"""),"Closed")</f>
        <v>Closed</v>
      </c>
      <c r="CM258" s="275" t="str">
        <f>IFERROR(__xludf.DUMMYFUNCTION("""COMPUTED_VALUE"""),"Closed")</f>
        <v>Closed</v>
      </c>
      <c r="CN258" s="275" t="str">
        <f>IFERROR(__xludf.DUMMYFUNCTION("""COMPUTED_VALUE"""),"Closed")</f>
        <v>Closed</v>
      </c>
      <c r="CO258" s="274" t="str">
        <f>IFERROR(__xludf.DUMMYFUNCTION("""COMPUTED_VALUE"""),"Closed")</f>
        <v>Closed</v>
      </c>
      <c r="CP258" s="275" t="str">
        <f>IFERROR(__xludf.DUMMYFUNCTION("""COMPUTED_VALUE"""),"Closed")</f>
        <v>Closed</v>
      </c>
      <c r="CQ258" s="275" t="str">
        <f>IFERROR(__xludf.DUMMYFUNCTION("""COMPUTED_VALUE"""),"Closed")</f>
        <v>Closed</v>
      </c>
      <c r="CR258" s="274" t="str">
        <f>IFERROR(__xludf.DUMMYFUNCTION("""COMPUTED_VALUE"""),"Closed")</f>
        <v>Closed</v>
      </c>
      <c r="CS258" s="275" t="str">
        <f>IFERROR(__xludf.DUMMYFUNCTION("""COMPUTED_VALUE"""),"Closed")</f>
        <v>Closed</v>
      </c>
      <c r="CT258" s="275" t="str">
        <f>IFERROR(__xludf.DUMMYFUNCTION("""COMPUTED_VALUE"""),"Closed")</f>
        <v>Closed</v>
      </c>
      <c r="CU258" s="274" t="str">
        <f>IFERROR(__xludf.DUMMYFUNCTION("""COMPUTED_VALUE"""),"Closed")</f>
        <v>Closed</v>
      </c>
      <c r="CV258" s="275" t="str">
        <f>IFERROR(__xludf.DUMMYFUNCTION("""COMPUTED_VALUE"""),"Closed")</f>
        <v>Closed</v>
      </c>
      <c r="CW258" s="276" t="str">
        <f>IFERROR(__xludf.DUMMYFUNCTION("""COMPUTED_VALUE"""),"Closed")</f>
        <v>Closed</v>
      </c>
      <c r="CX258" s="275" t="str">
        <f>IFERROR(__xludf.DUMMYFUNCTION("""COMPUTED_VALUE"""),"Closed")</f>
        <v>Closed</v>
      </c>
      <c r="CY258" s="275" t="str">
        <f>IFERROR(__xludf.DUMMYFUNCTION("""COMPUTED_VALUE"""),"Closed")</f>
        <v>Closed</v>
      </c>
      <c r="CZ258" s="276" t="str">
        <f>IFERROR(__xludf.DUMMYFUNCTION("""COMPUTED_VALUE"""),"Closed")</f>
        <v>Closed</v>
      </c>
      <c r="DA258" s="274" t="str">
        <f>IFERROR(__xludf.DUMMYFUNCTION("""COMPUTED_VALUE"""),"Closed")</f>
        <v>Closed</v>
      </c>
      <c r="DB258" s="275" t="str">
        <f>IFERROR(__xludf.DUMMYFUNCTION("""COMPUTED_VALUE"""),"Closed")</f>
        <v>Closed</v>
      </c>
      <c r="DC258" s="276" t="str">
        <f>IFERROR(__xludf.DUMMYFUNCTION("""COMPUTED_VALUE"""),"Closed")</f>
        <v>Closed</v>
      </c>
      <c r="DD258" s="274" t="str">
        <f>IFERROR(__xludf.DUMMYFUNCTION("""COMPUTED_VALUE"""),"Closed")</f>
        <v>Closed</v>
      </c>
      <c r="DE258" s="275" t="str">
        <f>IFERROR(__xludf.DUMMYFUNCTION("""COMPUTED_VALUE"""),"Closed")</f>
        <v>Closed</v>
      </c>
      <c r="DF258" s="276" t="str">
        <f>IFERROR(__xludf.DUMMYFUNCTION("""COMPUTED_VALUE"""),"Closed")</f>
        <v>Closed</v>
      </c>
      <c r="DG258" s="274" t="str">
        <f>IFERROR(__xludf.DUMMYFUNCTION("""COMPUTED_VALUE"""),"Closed")</f>
        <v>Closed</v>
      </c>
      <c r="DH258" s="275" t="str">
        <f>IFERROR(__xludf.DUMMYFUNCTION("""COMPUTED_VALUE"""),"Closed")</f>
        <v>Closed</v>
      </c>
      <c r="DI258" s="276" t="str">
        <f>IFERROR(__xludf.DUMMYFUNCTION("""COMPUTED_VALUE"""),"Closed")</f>
        <v>Closed</v>
      </c>
      <c r="DJ258" s="274" t="str">
        <f>IFERROR(__xludf.DUMMYFUNCTION("""COMPUTED_VALUE"""),"Closed")</f>
        <v>Closed</v>
      </c>
      <c r="DK258" s="275" t="str">
        <f>IFERROR(__xludf.DUMMYFUNCTION("""COMPUTED_VALUE"""),"Closed")</f>
        <v>Closed</v>
      </c>
      <c r="DL258" s="276" t="str">
        <f>IFERROR(__xludf.DUMMYFUNCTION("""COMPUTED_VALUE"""),"Closed")</f>
        <v>Closed</v>
      </c>
      <c r="DM258" s="274" t="str">
        <f>IFERROR(__xludf.DUMMYFUNCTION("""COMPUTED_VALUE"""),"Closed")</f>
        <v>Closed</v>
      </c>
      <c r="DN258" s="275" t="str">
        <f>IFERROR(__xludf.DUMMYFUNCTION("""COMPUTED_VALUE"""),"Closed")</f>
        <v>Closed</v>
      </c>
      <c r="DO258" s="276" t="str">
        <f>IFERROR(__xludf.DUMMYFUNCTION("""COMPUTED_VALUE"""),"Closed")</f>
        <v>Closed</v>
      </c>
      <c r="DP258" s="274" t="str">
        <f>IFERROR(__xludf.DUMMYFUNCTION("""COMPUTED_VALUE"""),"Closed")</f>
        <v>Closed</v>
      </c>
      <c r="DQ258" s="275" t="str">
        <f>IFERROR(__xludf.DUMMYFUNCTION("""COMPUTED_VALUE"""),"Closed")</f>
        <v>Closed</v>
      </c>
      <c r="DR258" s="276"/>
      <c r="DS258" s="274"/>
    </row>
    <row r="259" hidden="1">
      <c r="B259" s="180" t="str">
        <f>IFERROR(__xludf.DUMMYFUNCTION("""COMPUTED_VALUE"""),"HEA12")</f>
        <v>HEA12</v>
      </c>
      <c r="C259" s="272" t="str">
        <f>IFERROR(__xludf.DUMMYFUNCTION("""COMPUTED_VALUE"""),"Mount Ōe")</f>
        <v>Mount Ōe</v>
      </c>
      <c r="D259" s="273">
        <f>IFERROR(__xludf.DUMMYFUNCTION("""COMPUTED_VALUE"""),21.0)</f>
        <v>21</v>
      </c>
      <c r="E259" t="b">
        <f>IFERROR(__xludf.DUMMYFUNCTION("""COMPUTED_VALUE"""),FALSE)</f>
        <v>0</v>
      </c>
      <c r="F259" t="str">
        <f>IFERROR(__xludf.DUMMYFUNCTION("""COMPUTED_VALUE"""),"Free Quests- Part 2!A1013:J1021")</f>
        <v>Free Quests- Part 2!A1013:J1021</v>
      </c>
      <c r="G259">
        <f>IFERROR(__xludf.DUMMYFUNCTION("""COMPUTED_VALUE"""),259.0)</f>
        <v>259</v>
      </c>
      <c r="H259" t="str">
        <f>IFERROR(__xludf.DUMMYFUNCTION("""COMPUTED_VALUE"""),"Closed")</f>
        <v>Closed</v>
      </c>
      <c r="I259" s="274" t="str">
        <f>IFERROR(__xludf.DUMMYFUNCTION("""COMPUTED_VALUE"""),"Closed")</f>
        <v>Closed</v>
      </c>
      <c r="J259" s="275" t="str">
        <f>IFERROR(__xludf.DUMMYFUNCTION("""COMPUTED_VALUE"""),"Closed")</f>
        <v>Closed</v>
      </c>
      <c r="K259" s="276" t="str">
        <f>IFERROR(__xludf.DUMMYFUNCTION("""COMPUTED_VALUE"""),"Closed")</f>
        <v>Closed</v>
      </c>
      <c r="L259" s="274" t="str">
        <f>IFERROR(__xludf.DUMMYFUNCTION("""COMPUTED_VALUE"""),"Closed")</f>
        <v>Closed</v>
      </c>
      <c r="M259" s="275" t="str">
        <f>IFERROR(__xludf.DUMMYFUNCTION("""COMPUTED_VALUE"""),"Closed")</f>
        <v>Closed</v>
      </c>
      <c r="N259" s="276" t="str">
        <f>IFERROR(__xludf.DUMMYFUNCTION("""COMPUTED_VALUE"""),"Closed")</f>
        <v>Closed</v>
      </c>
      <c r="O259" s="274" t="str">
        <f>IFERROR(__xludf.DUMMYFUNCTION("""COMPUTED_VALUE"""),"Closed")</f>
        <v>Closed</v>
      </c>
      <c r="P259" s="275" t="str">
        <f>IFERROR(__xludf.DUMMYFUNCTION("""COMPUTED_VALUE"""),"Closed")</f>
        <v>Closed</v>
      </c>
      <c r="Q259" s="276" t="str">
        <f>IFERROR(__xludf.DUMMYFUNCTION("""COMPUTED_VALUE"""),"Closed")</f>
        <v>Closed</v>
      </c>
      <c r="R259" s="274" t="str">
        <f>IFERROR(__xludf.DUMMYFUNCTION("""COMPUTED_VALUE"""),"Closed")</f>
        <v>Closed</v>
      </c>
      <c r="S259" s="275" t="str">
        <f>IFERROR(__xludf.DUMMYFUNCTION("""COMPUTED_VALUE"""),"Closed")</f>
        <v>Closed</v>
      </c>
      <c r="T259" s="276" t="str">
        <f>IFERROR(__xludf.DUMMYFUNCTION("""COMPUTED_VALUE"""),"Closed")</f>
        <v>Closed</v>
      </c>
      <c r="U259" s="274" t="str">
        <f>IFERROR(__xludf.DUMMYFUNCTION("""COMPUTED_VALUE"""),"Closed")</f>
        <v>Closed</v>
      </c>
      <c r="V259" s="275" t="str">
        <f>IFERROR(__xludf.DUMMYFUNCTION("""COMPUTED_VALUE"""),"Closed")</f>
        <v>Closed</v>
      </c>
      <c r="W259" s="276" t="str">
        <f>IFERROR(__xludf.DUMMYFUNCTION("""COMPUTED_VALUE"""),"Closed")</f>
        <v>Closed</v>
      </c>
      <c r="X259" s="274" t="str">
        <f>IFERROR(__xludf.DUMMYFUNCTION("""COMPUTED_VALUE"""),"Closed")</f>
        <v>Closed</v>
      </c>
      <c r="Y259" s="275" t="str">
        <f>IFERROR(__xludf.DUMMYFUNCTION("""COMPUTED_VALUE"""),"Closed")</f>
        <v>Closed</v>
      </c>
      <c r="Z259" s="276" t="str">
        <f>IFERROR(__xludf.DUMMYFUNCTION("""COMPUTED_VALUE"""),"Closed")</f>
        <v>Closed</v>
      </c>
      <c r="AA259" s="274" t="str">
        <f>IFERROR(__xludf.DUMMYFUNCTION("""COMPUTED_VALUE"""),"Closed")</f>
        <v>Closed</v>
      </c>
      <c r="AB259" s="275" t="str">
        <f>IFERROR(__xludf.DUMMYFUNCTION("""COMPUTED_VALUE"""),"Closed")</f>
        <v>Closed</v>
      </c>
      <c r="AC259" s="276" t="str">
        <f>IFERROR(__xludf.DUMMYFUNCTION("""COMPUTED_VALUE"""),"Closed")</f>
        <v>Closed</v>
      </c>
      <c r="AD259" s="274" t="str">
        <f>IFERROR(__xludf.DUMMYFUNCTION("""COMPUTED_VALUE"""),"Closed")</f>
        <v>Closed</v>
      </c>
      <c r="AE259" s="275" t="str">
        <f>IFERROR(__xludf.DUMMYFUNCTION("""COMPUTED_VALUE"""),"Closed")</f>
        <v>Closed</v>
      </c>
      <c r="AF259" s="276" t="str">
        <f>IFERROR(__xludf.DUMMYFUNCTION("""COMPUTED_VALUE"""),"Closed")</f>
        <v>Closed</v>
      </c>
      <c r="AG259" s="274" t="str">
        <f>IFERROR(__xludf.DUMMYFUNCTION("""COMPUTED_VALUE"""),"Closed")</f>
        <v>Closed</v>
      </c>
      <c r="AH259" s="275" t="str">
        <f>IFERROR(__xludf.DUMMYFUNCTION("""COMPUTED_VALUE"""),"Closed")</f>
        <v>Closed</v>
      </c>
      <c r="AI259" s="276" t="str">
        <f>IFERROR(__xludf.DUMMYFUNCTION("""COMPUTED_VALUE"""),"Closed")</f>
        <v>Closed</v>
      </c>
      <c r="AJ259" s="274" t="str">
        <f>IFERROR(__xludf.DUMMYFUNCTION("""COMPUTED_VALUE"""),"Closed")</f>
        <v>Closed</v>
      </c>
      <c r="AK259" s="275" t="str">
        <f>IFERROR(__xludf.DUMMYFUNCTION("""COMPUTED_VALUE"""),"Closed")</f>
        <v>Closed</v>
      </c>
      <c r="AL259" s="276" t="str">
        <f>IFERROR(__xludf.DUMMYFUNCTION("""COMPUTED_VALUE"""),"Closed")</f>
        <v>Closed</v>
      </c>
      <c r="AM259" s="274" t="str">
        <f>IFERROR(__xludf.DUMMYFUNCTION("""COMPUTED_VALUE"""),"Closed")</f>
        <v>Closed</v>
      </c>
      <c r="AN259" s="275" t="str">
        <f>IFERROR(__xludf.DUMMYFUNCTION("""COMPUTED_VALUE"""),"Closed")</f>
        <v>Closed</v>
      </c>
      <c r="AO259" s="276" t="str">
        <f>IFERROR(__xludf.DUMMYFUNCTION("""COMPUTED_VALUE"""),"Closed")</f>
        <v>Closed</v>
      </c>
      <c r="AP259" s="274" t="str">
        <f>IFERROR(__xludf.DUMMYFUNCTION("""COMPUTED_VALUE"""),"Closed")</f>
        <v>Closed</v>
      </c>
      <c r="AQ259" s="275" t="str">
        <f>IFERROR(__xludf.DUMMYFUNCTION("""COMPUTED_VALUE"""),"Closed")</f>
        <v>Closed</v>
      </c>
      <c r="AR259" s="276" t="str">
        <f>IFERROR(__xludf.DUMMYFUNCTION("""COMPUTED_VALUE"""),"Closed")</f>
        <v>Closed</v>
      </c>
      <c r="AS259" s="274" t="str">
        <f>IFERROR(__xludf.DUMMYFUNCTION("""COMPUTED_VALUE"""),"Closed")</f>
        <v>Closed</v>
      </c>
      <c r="AT259" s="275" t="str">
        <f>IFERROR(__xludf.DUMMYFUNCTION("""COMPUTED_VALUE"""),"Closed")</f>
        <v>Closed</v>
      </c>
      <c r="AU259" s="276" t="str">
        <f>IFERROR(__xludf.DUMMYFUNCTION("""COMPUTED_VALUE"""),"Closed")</f>
        <v>Closed</v>
      </c>
      <c r="AV259" s="274" t="str">
        <f>IFERROR(__xludf.DUMMYFUNCTION("""COMPUTED_VALUE"""),"Closed")</f>
        <v>Closed</v>
      </c>
      <c r="AW259" s="275" t="str">
        <f>IFERROR(__xludf.DUMMYFUNCTION("""COMPUTED_VALUE"""),"Closed")</f>
        <v>Closed</v>
      </c>
      <c r="AX259" s="276" t="str">
        <f>IFERROR(__xludf.DUMMYFUNCTION("""COMPUTED_VALUE"""),"Closed")</f>
        <v>Closed</v>
      </c>
      <c r="AY259" s="274" t="str">
        <f>IFERROR(__xludf.DUMMYFUNCTION("""COMPUTED_VALUE"""),"Closed")</f>
        <v>Closed</v>
      </c>
      <c r="AZ259" s="275" t="str">
        <f>IFERROR(__xludf.DUMMYFUNCTION("""COMPUTED_VALUE"""),"Closed")</f>
        <v>Closed</v>
      </c>
      <c r="BA259" s="276" t="str">
        <f>IFERROR(__xludf.DUMMYFUNCTION("""COMPUTED_VALUE"""),"Closed")</f>
        <v>Closed</v>
      </c>
      <c r="BB259" s="274" t="str">
        <f>IFERROR(__xludf.DUMMYFUNCTION("""COMPUTED_VALUE"""),"Closed")</f>
        <v>Closed</v>
      </c>
      <c r="BC259" s="275" t="str">
        <f>IFERROR(__xludf.DUMMYFUNCTION("""COMPUTED_VALUE"""),"Closed")</f>
        <v>Closed</v>
      </c>
      <c r="BD259" s="276" t="str">
        <f>IFERROR(__xludf.DUMMYFUNCTION("""COMPUTED_VALUE"""),"Closed")</f>
        <v>Closed</v>
      </c>
      <c r="BE259" s="274" t="str">
        <f>IFERROR(__xludf.DUMMYFUNCTION("""COMPUTED_VALUE"""),"Closed")</f>
        <v>Closed</v>
      </c>
      <c r="BF259" s="275" t="str">
        <f>IFERROR(__xludf.DUMMYFUNCTION("""COMPUTED_VALUE"""),"Closed")</f>
        <v>Closed</v>
      </c>
      <c r="BG259" s="276" t="str">
        <f>IFERROR(__xludf.DUMMYFUNCTION("""COMPUTED_VALUE"""),"Closed")</f>
        <v>Closed</v>
      </c>
      <c r="BH259" s="274" t="str">
        <f>IFERROR(__xludf.DUMMYFUNCTION("""COMPUTED_VALUE"""),"Closed")</f>
        <v>Closed</v>
      </c>
      <c r="BI259" s="275" t="str">
        <f>IFERROR(__xludf.DUMMYFUNCTION("""COMPUTED_VALUE"""),"Closed")</f>
        <v>Closed</v>
      </c>
      <c r="BJ259" s="276" t="str">
        <f>IFERROR(__xludf.DUMMYFUNCTION("""COMPUTED_VALUE"""),"Closed")</f>
        <v>Closed</v>
      </c>
      <c r="BK259" s="274" t="str">
        <f>IFERROR(__xludf.DUMMYFUNCTION("""COMPUTED_VALUE"""),"Closed")</f>
        <v>Closed</v>
      </c>
      <c r="BL259" s="275" t="str">
        <f>IFERROR(__xludf.DUMMYFUNCTION("""COMPUTED_VALUE"""),"Closed")</f>
        <v>Closed</v>
      </c>
      <c r="BM259" s="276" t="str">
        <f>IFERROR(__xludf.DUMMYFUNCTION("""COMPUTED_VALUE"""),"Closed")</f>
        <v>Closed</v>
      </c>
      <c r="BN259" s="274" t="str">
        <f>IFERROR(__xludf.DUMMYFUNCTION("""COMPUTED_VALUE"""),"Closed")</f>
        <v>Closed</v>
      </c>
      <c r="BO259" s="275" t="str">
        <f>IFERROR(__xludf.DUMMYFUNCTION("""COMPUTED_VALUE"""),"Closed")</f>
        <v>Closed</v>
      </c>
      <c r="BP259" s="276" t="str">
        <f>IFERROR(__xludf.DUMMYFUNCTION("""COMPUTED_VALUE"""),"Closed")</f>
        <v>Closed</v>
      </c>
      <c r="BQ259" s="274" t="str">
        <f>IFERROR(__xludf.DUMMYFUNCTION("""COMPUTED_VALUE"""),"Closed")</f>
        <v>Closed</v>
      </c>
      <c r="BR259" s="275" t="str">
        <f>IFERROR(__xludf.DUMMYFUNCTION("""COMPUTED_VALUE"""),"Closed")</f>
        <v>Closed</v>
      </c>
      <c r="BS259" s="276" t="str">
        <f>IFERROR(__xludf.DUMMYFUNCTION("""COMPUTED_VALUE"""),"Closed")</f>
        <v>Closed</v>
      </c>
      <c r="BT259" s="274" t="str">
        <f>IFERROR(__xludf.DUMMYFUNCTION("""COMPUTED_VALUE"""),"Closed")</f>
        <v>Closed</v>
      </c>
      <c r="BU259" s="275" t="str">
        <f>IFERROR(__xludf.DUMMYFUNCTION("""COMPUTED_VALUE"""),"Closed")</f>
        <v>Closed</v>
      </c>
      <c r="BV259" s="276" t="str">
        <f>IFERROR(__xludf.DUMMYFUNCTION("""COMPUTED_VALUE"""),"Closed")</f>
        <v>Closed</v>
      </c>
      <c r="BW259" s="274" t="str">
        <f>IFERROR(__xludf.DUMMYFUNCTION("""COMPUTED_VALUE"""),"Closed")</f>
        <v>Closed</v>
      </c>
      <c r="BX259" s="275" t="str">
        <f>IFERROR(__xludf.DUMMYFUNCTION("""COMPUTED_VALUE"""),"Closed")</f>
        <v>Closed</v>
      </c>
      <c r="BY259" s="276" t="str">
        <f>IFERROR(__xludf.DUMMYFUNCTION("""COMPUTED_VALUE"""),"Closed")</f>
        <v>Closed</v>
      </c>
      <c r="BZ259" s="274" t="str">
        <f>IFERROR(__xludf.DUMMYFUNCTION("""COMPUTED_VALUE"""),"Closed")</f>
        <v>Closed</v>
      </c>
      <c r="CA259" s="275" t="str">
        <f>IFERROR(__xludf.DUMMYFUNCTION("""COMPUTED_VALUE"""),"Closed")</f>
        <v>Closed</v>
      </c>
      <c r="CB259" s="276" t="str">
        <f>IFERROR(__xludf.DUMMYFUNCTION("""COMPUTED_VALUE"""),"Closed")</f>
        <v>Closed</v>
      </c>
      <c r="CC259" s="274" t="str">
        <f>IFERROR(__xludf.DUMMYFUNCTION("""COMPUTED_VALUE"""),"Closed")</f>
        <v>Closed</v>
      </c>
      <c r="CD259" s="275" t="str">
        <f>IFERROR(__xludf.DUMMYFUNCTION("""COMPUTED_VALUE"""),"Closed")</f>
        <v>Closed</v>
      </c>
      <c r="CE259" s="276" t="str">
        <f>IFERROR(__xludf.DUMMYFUNCTION("""COMPUTED_VALUE"""),"Closed")</f>
        <v>Closed</v>
      </c>
      <c r="CF259" s="274" t="str">
        <f>IFERROR(__xludf.DUMMYFUNCTION("""COMPUTED_VALUE"""),"Closed")</f>
        <v>Closed</v>
      </c>
      <c r="CG259" s="275" t="str">
        <f>IFERROR(__xludf.DUMMYFUNCTION("""COMPUTED_VALUE"""),"Closed")</f>
        <v>Closed</v>
      </c>
      <c r="CH259" s="275" t="str">
        <f>IFERROR(__xludf.DUMMYFUNCTION("""COMPUTED_VALUE"""),"Closed")</f>
        <v>Closed</v>
      </c>
      <c r="CI259" s="274" t="str">
        <f>IFERROR(__xludf.DUMMYFUNCTION("""COMPUTED_VALUE"""),"Closed")</f>
        <v>Closed</v>
      </c>
      <c r="CJ259" s="275" t="str">
        <f>IFERROR(__xludf.DUMMYFUNCTION("""COMPUTED_VALUE"""),"Closed")</f>
        <v>Closed</v>
      </c>
      <c r="CK259" s="275" t="str">
        <f>IFERROR(__xludf.DUMMYFUNCTION("""COMPUTED_VALUE"""),"Closed")</f>
        <v>Closed</v>
      </c>
      <c r="CL259" s="274" t="str">
        <f>IFERROR(__xludf.DUMMYFUNCTION("""COMPUTED_VALUE"""),"Closed")</f>
        <v>Closed</v>
      </c>
      <c r="CM259" s="275" t="str">
        <f>IFERROR(__xludf.DUMMYFUNCTION("""COMPUTED_VALUE"""),"Closed")</f>
        <v>Closed</v>
      </c>
      <c r="CN259" s="275" t="str">
        <f>IFERROR(__xludf.DUMMYFUNCTION("""COMPUTED_VALUE"""),"Closed")</f>
        <v>Closed</v>
      </c>
      <c r="CO259" s="274" t="str">
        <f>IFERROR(__xludf.DUMMYFUNCTION("""COMPUTED_VALUE"""),"Closed")</f>
        <v>Closed</v>
      </c>
      <c r="CP259" s="275" t="str">
        <f>IFERROR(__xludf.DUMMYFUNCTION("""COMPUTED_VALUE"""),"Closed")</f>
        <v>Closed</v>
      </c>
      <c r="CQ259" s="275" t="str">
        <f>IFERROR(__xludf.DUMMYFUNCTION("""COMPUTED_VALUE"""),"Closed")</f>
        <v>Closed</v>
      </c>
      <c r="CR259" s="274" t="str">
        <f>IFERROR(__xludf.DUMMYFUNCTION("""COMPUTED_VALUE"""),"Closed")</f>
        <v>Closed</v>
      </c>
      <c r="CS259" s="275" t="str">
        <f>IFERROR(__xludf.DUMMYFUNCTION("""COMPUTED_VALUE"""),"Closed")</f>
        <v>Closed</v>
      </c>
      <c r="CT259" s="275" t="str">
        <f>IFERROR(__xludf.DUMMYFUNCTION("""COMPUTED_VALUE"""),"Closed")</f>
        <v>Closed</v>
      </c>
      <c r="CU259" s="274" t="str">
        <f>IFERROR(__xludf.DUMMYFUNCTION("""COMPUTED_VALUE"""),"Closed")</f>
        <v>Closed</v>
      </c>
      <c r="CV259" s="275" t="str">
        <f>IFERROR(__xludf.DUMMYFUNCTION("""COMPUTED_VALUE"""),"Closed")</f>
        <v>Closed</v>
      </c>
      <c r="CW259" s="276" t="str">
        <f>IFERROR(__xludf.DUMMYFUNCTION("""COMPUTED_VALUE"""),"Closed")</f>
        <v>Closed</v>
      </c>
      <c r="CX259" s="275" t="str">
        <f>IFERROR(__xludf.DUMMYFUNCTION("""COMPUTED_VALUE"""),"Closed")</f>
        <v>Closed</v>
      </c>
      <c r="CY259" s="275" t="str">
        <f>IFERROR(__xludf.DUMMYFUNCTION("""COMPUTED_VALUE"""),"Closed")</f>
        <v>Closed</v>
      </c>
      <c r="CZ259" s="276" t="str">
        <f>IFERROR(__xludf.DUMMYFUNCTION("""COMPUTED_VALUE"""),"Closed")</f>
        <v>Closed</v>
      </c>
      <c r="DA259" s="274" t="str">
        <f>IFERROR(__xludf.DUMMYFUNCTION("""COMPUTED_VALUE"""),"Closed")</f>
        <v>Closed</v>
      </c>
      <c r="DB259" s="275" t="str">
        <f>IFERROR(__xludf.DUMMYFUNCTION("""COMPUTED_VALUE"""),"Closed")</f>
        <v>Closed</v>
      </c>
      <c r="DC259" s="276" t="str">
        <f>IFERROR(__xludf.DUMMYFUNCTION("""COMPUTED_VALUE"""),"Closed")</f>
        <v>Closed</v>
      </c>
      <c r="DD259" s="274" t="str">
        <f>IFERROR(__xludf.DUMMYFUNCTION("""COMPUTED_VALUE"""),"Closed")</f>
        <v>Closed</v>
      </c>
      <c r="DE259" s="275" t="str">
        <f>IFERROR(__xludf.DUMMYFUNCTION("""COMPUTED_VALUE"""),"Closed")</f>
        <v>Closed</v>
      </c>
      <c r="DF259" s="276" t="str">
        <f>IFERROR(__xludf.DUMMYFUNCTION("""COMPUTED_VALUE"""),"Closed")</f>
        <v>Closed</v>
      </c>
      <c r="DG259" s="274" t="str">
        <f>IFERROR(__xludf.DUMMYFUNCTION("""COMPUTED_VALUE"""),"Closed")</f>
        <v>Closed</v>
      </c>
      <c r="DH259" s="275" t="str">
        <f>IFERROR(__xludf.DUMMYFUNCTION("""COMPUTED_VALUE"""),"Closed")</f>
        <v>Closed</v>
      </c>
      <c r="DI259" s="276" t="str">
        <f>IFERROR(__xludf.DUMMYFUNCTION("""COMPUTED_VALUE"""),"Closed")</f>
        <v>Closed</v>
      </c>
      <c r="DJ259" s="274" t="str">
        <f>IFERROR(__xludf.DUMMYFUNCTION("""COMPUTED_VALUE"""),"Closed")</f>
        <v>Closed</v>
      </c>
      <c r="DK259" s="275" t="str">
        <f>IFERROR(__xludf.DUMMYFUNCTION("""COMPUTED_VALUE"""),"Closed")</f>
        <v>Closed</v>
      </c>
      <c r="DL259" s="276" t="str">
        <f>IFERROR(__xludf.DUMMYFUNCTION("""COMPUTED_VALUE"""),"Closed")</f>
        <v>Closed</v>
      </c>
      <c r="DM259" s="274" t="str">
        <f>IFERROR(__xludf.DUMMYFUNCTION("""COMPUTED_VALUE"""),"Closed")</f>
        <v>Closed</v>
      </c>
      <c r="DN259" s="275" t="str">
        <f>IFERROR(__xludf.DUMMYFUNCTION("""COMPUTED_VALUE"""),"Closed")</f>
        <v>Closed</v>
      </c>
      <c r="DO259" s="276" t="str">
        <f>IFERROR(__xludf.DUMMYFUNCTION("""COMPUTED_VALUE"""),"Closed")</f>
        <v>Closed</v>
      </c>
      <c r="DP259" s="274" t="str">
        <f>IFERROR(__xludf.DUMMYFUNCTION("""COMPUTED_VALUE"""),"Closed")</f>
        <v>Closed</v>
      </c>
      <c r="DQ259" s="275" t="str">
        <f>IFERROR(__xludf.DUMMYFUNCTION("""COMPUTED_VALUE"""),"Closed")</f>
        <v>Closed</v>
      </c>
      <c r="DR259" s="276"/>
      <c r="DS259" s="274"/>
    </row>
    <row r="260" hidden="1">
      <c r="B260" s="180" t="str">
        <f>IFERROR(__xludf.DUMMYFUNCTION("""COMPUTED_VALUE"""),"HEA13")</f>
        <v>HEA13</v>
      </c>
      <c r="C260" s="272" t="str">
        <f>IFERROR(__xludf.DUMMYFUNCTION("""COMPUTED_VALUE"""),"Jō Three, Bō Three")</f>
        <v>Jō Three, Bō Three</v>
      </c>
      <c r="D260" s="273">
        <f>IFERROR(__xludf.DUMMYFUNCTION("""COMPUTED_VALUE"""),21.0)</f>
        <v>21</v>
      </c>
      <c r="E260" t="b">
        <f>IFERROR(__xludf.DUMMYFUNCTION("""COMPUTED_VALUE"""),FALSE)</f>
        <v>0</v>
      </c>
      <c r="F260" t="str">
        <f>IFERROR(__xludf.DUMMYFUNCTION("""COMPUTED_VALUE"""),"Free Quests- Part 2!A1025:J1034")</f>
        <v>Free Quests- Part 2!A1025:J1034</v>
      </c>
      <c r="G260">
        <f>IFERROR(__xludf.DUMMYFUNCTION("""COMPUTED_VALUE"""),260.0)</f>
        <v>260</v>
      </c>
      <c r="H260" t="str">
        <f>IFERROR(__xludf.DUMMYFUNCTION("""COMPUTED_VALUE"""),"Closed")</f>
        <v>Closed</v>
      </c>
      <c r="I260" s="274" t="str">
        <f>IFERROR(__xludf.DUMMYFUNCTION("""COMPUTED_VALUE"""),"Closed")</f>
        <v>Closed</v>
      </c>
      <c r="J260" s="275" t="str">
        <f>IFERROR(__xludf.DUMMYFUNCTION("""COMPUTED_VALUE"""),"Closed")</f>
        <v>Closed</v>
      </c>
      <c r="K260" s="276" t="str">
        <f>IFERROR(__xludf.DUMMYFUNCTION("""COMPUTED_VALUE"""),"Closed")</f>
        <v>Closed</v>
      </c>
      <c r="L260" s="274" t="str">
        <f>IFERROR(__xludf.DUMMYFUNCTION("""COMPUTED_VALUE"""),"Closed")</f>
        <v>Closed</v>
      </c>
      <c r="M260" s="275" t="str">
        <f>IFERROR(__xludf.DUMMYFUNCTION("""COMPUTED_VALUE"""),"Closed")</f>
        <v>Closed</v>
      </c>
      <c r="N260" s="276" t="str">
        <f>IFERROR(__xludf.DUMMYFUNCTION("""COMPUTED_VALUE"""),"Closed")</f>
        <v>Closed</v>
      </c>
      <c r="O260" s="274" t="str">
        <f>IFERROR(__xludf.DUMMYFUNCTION("""COMPUTED_VALUE"""),"Closed")</f>
        <v>Closed</v>
      </c>
      <c r="P260" s="275" t="str">
        <f>IFERROR(__xludf.DUMMYFUNCTION("""COMPUTED_VALUE"""),"Closed")</f>
        <v>Closed</v>
      </c>
      <c r="Q260" s="276" t="str">
        <f>IFERROR(__xludf.DUMMYFUNCTION("""COMPUTED_VALUE"""),"Closed")</f>
        <v>Closed</v>
      </c>
      <c r="R260" s="274" t="str">
        <f>IFERROR(__xludf.DUMMYFUNCTION("""COMPUTED_VALUE"""),"Closed")</f>
        <v>Closed</v>
      </c>
      <c r="S260" s="275" t="str">
        <f>IFERROR(__xludf.DUMMYFUNCTION("""COMPUTED_VALUE"""),"Closed")</f>
        <v>Closed</v>
      </c>
      <c r="T260" s="276" t="str">
        <f>IFERROR(__xludf.DUMMYFUNCTION("""COMPUTED_VALUE"""),"Closed")</f>
        <v>Closed</v>
      </c>
      <c r="U260" s="274" t="str">
        <f>IFERROR(__xludf.DUMMYFUNCTION("""COMPUTED_VALUE"""),"Closed")</f>
        <v>Closed</v>
      </c>
      <c r="V260" s="275" t="str">
        <f>IFERROR(__xludf.DUMMYFUNCTION("""COMPUTED_VALUE"""),"Closed")</f>
        <v>Closed</v>
      </c>
      <c r="W260" s="276" t="str">
        <f>IFERROR(__xludf.DUMMYFUNCTION("""COMPUTED_VALUE"""),"Closed")</f>
        <v>Closed</v>
      </c>
      <c r="X260" s="274" t="str">
        <f>IFERROR(__xludf.DUMMYFUNCTION("""COMPUTED_VALUE"""),"Closed")</f>
        <v>Closed</v>
      </c>
      <c r="Y260" s="275" t="str">
        <f>IFERROR(__xludf.DUMMYFUNCTION("""COMPUTED_VALUE"""),"Closed")</f>
        <v>Closed</v>
      </c>
      <c r="Z260" s="276" t="str">
        <f>IFERROR(__xludf.DUMMYFUNCTION("""COMPUTED_VALUE"""),"Closed")</f>
        <v>Closed</v>
      </c>
      <c r="AA260" s="274" t="str">
        <f>IFERROR(__xludf.DUMMYFUNCTION("""COMPUTED_VALUE"""),"Closed")</f>
        <v>Closed</v>
      </c>
      <c r="AB260" s="275" t="str">
        <f>IFERROR(__xludf.DUMMYFUNCTION("""COMPUTED_VALUE"""),"Closed")</f>
        <v>Closed</v>
      </c>
      <c r="AC260" s="276" t="str">
        <f>IFERROR(__xludf.DUMMYFUNCTION("""COMPUTED_VALUE"""),"Closed")</f>
        <v>Closed</v>
      </c>
      <c r="AD260" s="274" t="str">
        <f>IFERROR(__xludf.DUMMYFUNCTION("""COMPUTED_VALUE"""),"Closed")</f>
        <v>Closed</v>
      </c>
      <c r="AE260" s="275" t="str">
        <f>IFERROR(__xludf.DUMMYFUNCTION("""COMPUTED_VALUE"""),"Closed")</f>
        <v>Closed</v>
      </c>
      <c r="AF260" s="276" t="str">
        <f>IFERROR(__xludf.DUMMYFUNCTION("""COMPUTED_VALUE"""),"Closed")</f>
        <v>Closed</v>
      </c>
      <c r="AG260" s="274" t="str">
        <f>IFERROR(__xludf.DUMMYFUNCTION("""COMPUTED_VALUE"""),"Closed")</f>
        <v>Closed</v>
      </c>
      <c r="AH260" s="275" t="str">
        <f>IFERROR(__xludf.DUMMYFUNCTION("""COMPUTED_VALUE"""),"Closed")</f>
        <v>Closed</v>
      </c>
      <c r="AI260" s="276" t="str">
        <f>IFERROR(__xludf.DUMMYFUNCTION("""COMPUTED_VALUE"""),"Closed")</f>
        <v>Closed</v>
      </c>
      <c r="AJ260" s="274" t="str">
        <f>IFERROR(__xludf.DUMMYFUNCTION("""COMPUTED_VALUE"""),"Closed")</f>
        <v>Closed</v>
      </c>
      <c r="AK260" s="275" t="str">
        <f>IFERROR(__xludf.DUMMYFUNCTION("""COMPUTED_VALUE"""),"Closed")</f>
        <v>Closed</v>
      </c>
      <c r="AL260" s="276" t="str">
        <f>IFERROR(__xludf.DUMMYFUNCTION("""COMPUTED_VALUE"""),"Closed")</f>
        <v>Closed</v>
      </c>
      <c r="AM260" s="274" t="str">
        <f>IFERROR(__xludf.DUMMYFUNCTION("""COMPUTED_VALUE"""),"Closed")</f>
        <v>Closed</v>
      </c>
      <c r="AN260" s="275" t="str">
        <f>IFERROR(__xludf.DUMMYFUNCTION("""COMPUTED_VALUE"""),"Closed")</f>
        <v>Closed</v>
      </c>
      <c r="AO260" s="276" t="str">
        <f>IFERROR(__xludf.DUMMYFUNCTION("""COMPUTED_VALUE"""),"Closed")</f>
        <v>Closed</v>
      </c>
      <c r="AP260" s="274" t="str">
        <f>IFERROR(__xludf.DUMMYFUNCTION("""COMPUTED_VALUE"""),"Closed")</f>
        <v>Closed</v>
      </c>
      <c r="AQ260" s="275" t="str">
        <f>IFERROR(__xludf.DUMMYFUNCTION("""COMPUTED_VALUE"""),"Closed")</f>
        <v>Closed</v>
      </c>
      <c r="AR260" s="276" t="str">
        <f>IFERROR(__xludf.DUMMYFUNCTION("""COMPUTED_VALUE"""),"Closed")</f>
        <v>Closed</v>
      </c>
      <c r="AS260" s="274" t="str">
        <f>IFERROR(__xludf.DUMMYFUNCTION("""COMPUTED_VALUE"""),"Closed")</f>
        <v>Closed</v>
      </c>
      <c r="AT260" s="275" t="str">
        <f>IFERROR(__xludf.DUMMYFUNCTION("""COMPUTED_VALUE"""),"Closed")</f>
        <v>Closed</v>
      </c>
      <c r="AU260" s="276" t="str">
        <f>IFERROR(__xludf.DUMMYFUNCTION("""COMPUTED_VALUE"""),"Closed")</f>
        <v>Closed</v>
      </c>
      <c r="AV260" s="274" t="str">
        <f>IFERROR(__xludf.DUMMYFUNCTION("""COMPUTED_VALUE"""),"Closed")</f>
        <v>Closed</v>
      </c>
      <c r="AW260" s="275" t="str">
        <f>IFERROR(__xludf.DUMMYFUNCTION("""COMPUTED_VALUE"""),"Closed")</f>
        <v>Closed</v>
      </c>
      <c r="AX260" s="276" t="str">
        <f>IFERROR(__xludf.DUMMYFUNCTION("""COMPUTED_VALUE"""),"Closed")</f>
        <v>Closed</v>
      </c>
      <c r="AY260" s="274" t="str">
        <f>IFERROR(__xludf.DUMMYFUNCTION("""COMPUTED_VALUE"""),"Closed")</f>
        <v>Closed</v>
      </c>
      <c r="AZ260" s="275" t="str">
        <f>IFERROR(__xludf.DUMMYFUNCTION("""COMPUTED_VALUE"""),"Closed")</f>
        <v>Closed</v>
      </c>
      <c r="BA260" s="276" t="str">
        <f>IFERROR(__xludf.DUMMYFUNCTION("""COMPUTED_VALUE"""),"Closed")</f>
        <v>Closed</v>
      </c>
      <c r="BB260" s="274" t="str">
        <f>IFERROR(__xludf.DUMMYFUNCTION("""COMPUTED_VALUE"""),"Closed")</f>
        <v>Closed</v>
      </c>
      <c r="BC260" s="275" t="str">
        <f>IFERROR(__xludf.DUMMYFUNCTION("""COMPUTED_VALUE"""),"Closed")</f>
        <v>Closed</v>
      </c>
      <c r="BD260" s="276" t="str">
        <f>IFERROR(__xludf.DUMMYFUNCTION("""COMPUTED_VALUE"""),"Closed")</f>
        <v>Closed</v>
      </c>
      <c r="BE260" s="274" t="str">
        <f>IFERROR(__xludf.DUMMYFUNCTION("""COMPUTED_VALUE"""),"Closed")</f>
        <v>Closed</v>
      </c>
      <c r="BF260" s="275" t="str">
        <f>IFERROR(__xludf.DUMMYFUNCTION("""COMPUTED_VALUE"""),"Closed")</f>
        <v>Closed</v>
      </c>
      <c r="BG260" s="276" t="str">
        <f>IFERROR(__xludf.DUMMYFUNCTION("""COMPUTED_VALUE"""),"Closed")</f>
        <v>Closed</v>
      </c>
      <c r="BH260" s="274" t="str">
        <f>IFERROR(__xludf.DUMMYFUNCTION("""COMPUTED_VALUE"""),"Closed")</f>
        <v>Closed</v>
      </c>
      <c r="BI260" s="275" t="str">
        <f>IFERROR(__xludf.DUMMYFUNCTION("""COMPUTED_VALUE"""),"Closed")</f>
        <v>Closed</v>
      </c>
      <c r="BJ260" s="276" t="str">
        <f>IFERROR(__xludf.DUMMYFUNCTION("""COMPUTED_VALUE"""),"Closed")</f>
        <v>Closed</v>
      </c>
      <c r="BK260" s="274" t="str">
        <f>IFERROR(__xludf.DUMMYFUNCTION("""COMPUTED_VALUE"""),"Closed")</f>
        <v>Closed</v>
      </c>
      <c r="BL260" s="275" t="str">
        <f>IFERROR(__xludf.DUMMYFUNCTION("""COMPUTED_VALUE"""),"Closed")</f>
        <v>Closed</v>
      </c>
      <c r="BM260" s="276" t="str">
        <f>IFERROR(__xludf.DUMMYFUNCTION("""COMPUTED_VALUE"""),"Closed")</f>
        <v>Closed</v>
      </c>
      <c r="BN260" s="274" t="str">
        <f>IFERROR(__xludf.DUMMYFUNCTION("""COMPUTED_VALUE"""),"Closed")</f>
        <v>Closed</v>
      </c>
      <c r="BO260" s="275" t="str">
        <f>IFERROR(__xludf.DUMMYFUNCTION("""COMPUTED_VALUE"""),"Closed")</f>
        <v>Closed</v>
      </c>
      <c r="BP260" s="276" t="str">
        <f>IFERROR(__xludf.DUMMYFUNCTION("""COMPUTED_VALUE"""),"Closed")</f>
        <v>Closed</v>
      </c>
      <c r="BQ260" s="274" t="str">
        <f>IFERROR(__xludf.DUMMYFUNCTION("""COMPUTED_VALUE"""),"Closed")</f>
        <v>Closed</v>
      </c>
      <c r="BR260" s="275" t="str">
        <f>IFERROR(__xludf.DUMMYFUNCTION("""COMPUTED_VALUE"""),"Closed")</f>
        <v>Closed</v>
      </c>
      <c r="BS260" s="276" t="str">
        <f>IFERROR(__xludf.DUMMYFUNCTION("""COMPUTED_VALUE"""),"Closed")</f>
        <v>Closed</v>
      </c>
      <c r="BT260" s="274" t="str">
        <f>IFERROR(__xludf.DUMMYFUNCTION("""COMPUTED_VALUE"""),"Closed")</f>
        <v>Closed</v>
      </c>
      <c r="BU260" s="275" t="str">
        <f>IFERROR(__xludf.DUMMYFUNCTION("""COMPUTED_VALUE"""),"Closed")</f>
        <v>Closed</v>
      </c>
      <c r="BV260" s="276" t="str">
        <f>IFERROR(__xludf.DUMMYFUNCTION("""COMPUTED_VALUE"""),"Closed")</f>
        <v>Closed</v>
      </c>
      <c r="BW260" s="274" t="str">
        <f>IFERROR(__xludf.DUMMYFUNCTION("""COMPUTED_VALUE"""),"Closed")</f>
        <v>Closed</v>
      </c>
      <c r="BX260" s="275" t="str">
        <f>IFERROR(__xludf.DUMMYFUNCTION("""COMPUTED_VALUE"""),"Closed")</f>
        <v>Closed</v>
      </c>
      <c r="BY260" s="276" t="str">
        <f>IFERROR(__xludf.DUMMYFUNCTION("""COMPUTED_VALUE"""),"Closed")</f>
        <v>Closed</v>
      </c>
      <c r="BZ260" s="274" t="str">
        <f>IFERROR(__xludf.DUMMYFUNCTION("""COMPUTED_VALUE"""),"Closed")</f>
        <v>Closed</v>
      </c>
      <c r="CA260" s="275" t="str">
        <f>IFERROR(__xludf.DUMMYFUNCTION("""COMPUTED_VALUE"""),"Closed")</f>
        <v>Closed</v>
      </c>
      <c r="CB260" s="276" t="str">
        <f>IFERROR(__xludf.DUMMYFUNCTION("""COMPUTED_VALUE"""),"Closed")</f>
        <v>Closed</v>
      </c>
      <c r="CC260" s="274" t="str">
        <f>IFERROR(__xludf.DUMMYFUNCTION("""COMPUTED_VALUE"""),"Closed")</f>
        <v>Closed</v>
      </c>
      <c r="CD260" s="275" t="str">
        <f>IFERROR(__xludf.DUMMYFUNCTION("""COMPUTED_VALUE"""),"Closed")</f>
        <v>Closed</v>
      </c>
      <c r="CE260" s="276" t="str">
        <f>IFERROR(__xludf.DUMMYFUNCTION("""COMPUTED_VALUE"""),"Closed")</f>
        <v>Closed</v>
      </c>
      <c r="CF260" s="274" t="str">
        <f>IFERROR(__xludf.DUMMYFUNCTION("""COMPUTED_VALUE"""),"Closed")</f>
        <v>Closed</v>
      </c>
      <c r="CG260" s="275" t="str">
        <f>IFERROR(__xludf.DUMMYFUNCTION("""COMPUTED_VALUE"""),"Closed")</f>
        <v>Closed</v>
      </c>
      <c r="CH260" s="275" t="str">
        <f>IFERROR(__xludf.DUMMYFUNCTION("""COMPUTED_VALUE"""),"Closed")</f>
        <v>Closed</v>
      </c>
      <c r="CI260" s="274" t="str">
        <f>IFERROR(__xludf.DUMMYFUNCTION("""COMPUTED_VALUE"""),"Closed")</f>
        <v>Closed</v>
      </c>
      <c r="CJ260" s="275" t="str">
        <f>IFERROR(__xludf.DUMMYFUNCTION("""COMPUTED_VALUE"""),"Closed")</f>
        <v>Closed</v>
      </c>
      <c r="CK260" s="275" t="str">
        <f>IFERROR(__xludf.DUMMYFUNCTION("""COMPUTED_VALUE"""),"Closed")</f>
        <v>Closed</v>
      </c>
      <c r="CL260" s="274" t="str">
        <f>IFERROR(__xludf.DUMMYFUNCTION("""COMPUTED_VALUE"""),"Closed")</f>
        <v>Closed</v>
      </c>
      <c r="CM260" s="275" t="str">
        <f>IFERROR(__xludf.DUMMYFUNCTION("""COMPUTED_VALUE"""),"Closed")</f>
        <v>Closed</v>
      </c>
      <c r="CN260" s="275" t="str">
        <f>IFERROR(__xludf.DUMMYFUNCTION("""COMPUTED_VALUE"""),"Closed")</f>
        <v>Closed</v>
      </c>
      <c r="CO260" s="274" t="str">
        <f>IFERROR(__xludf.DUMMYFUNCTION("""COMPUTED_VALUE"""),"Closed")</f>
        <v>Closed</v>
      </c>
      <c r="CP260" s="275" t="str">
        <f>IFERROR(__xludf.DUMMYFUNCTION("""COMPUTED_VALUE"""),"Closed")</f>
        <v>Closed</v>
      </c>
      <c r="CQ260" s="275" t="str">
        <f>IFERROR(__xludf.DUMMYFUNCTION("""COMPUTED_VALUE"""),"Closed")</f>
        <v>Closed</v>
      </c>
      <c r="CR260" s="274" t="str">
        <f>IFERROR(__xludf.DUMMYFUNCTION("""COMPUTED_VALUE"""),"Closed")</f>
        <v>Closed</v>
      </c>
      <c r="CS260" s="275" t="str">
        <f>IFERROR(__xludf.DUMMYFUNCTION("""COMPUTED_VALUE"""),"Closed")</f>
        <v>Closed</v>
      </c>
      <c r="CT260" s="275" t="str">
        <f>IFERROR(__xludf.DUMMYFUNCTION("""COMPUTED_VALUE"""),"Closed")</f>
        <v>Closed</v>
      </c>
      <c r="CU260" s="274" t="str">
        <f>IFERROR(__xludf.DUMMYFUNCTION("""COMPUTED_VALUE"""),"Closed")</f>
        <v>Closed</v>
      </c>
      <c r="CV260" s="275" t="str">
        <f>IFERROR(__xludf.DUMMYFUNCTION("""COMPUTED_VALUE"""),"Closed")</f>
        <v>Closed</v>
      </c>
      <c r="CW260" s="276" t="str">
        <f>IFERROR(__xludf.DUMMYFUNCTION("""COMPUTED_VALUE"""),"Closed")</f>
        <v>Closed</v>
      </c>
      <c r="CX260" s="275" t="str">
        <f>IFERROR(__xludf.DUMMYFUNCTION("""COMPUTED_VALUE"""),"Closed")</f>
        <v>Closed</v>
      </c>
      <c r="CY260" s="275" t="str">
        <f>IFERROR(__xludf.DUMMYFUNCTION("""COMPUTED_VALUE"""),"Closed")</f>
        <v>Closed</v>
      </c>
      <c r="CZ260" s="276" t="str">
        <f>IFERROR(__xludf.DUMMYFUNCTION("""COMPUTED_VALUE"""),"Closed")</f>
        <v>Closed</v>
      </c>
      <c r="DA260" s="274" t="str">
        <f>IFERROR(__xludf.DUMMYFUNCTION("""COMPUTED_VALUE"""),"Closed")</f>
        <v>Closed</v>
      </c>
      <c r="DB260" s="275" t="str">
        <f>IFERROR(__xludf.DUMMYFUNCTION("""COMPUTED_VALUE"""),"Closed")</f>
        <v>Closed</v>
      </c>
      <c r="DC260" s="276" t="str">
        <f>IFERROR(__xludf.DUMMYFUNCTION("""COMPUTED_VALUE"""),"Closed")</f>
        <v>Closed</v>
      </c>
      <c r="DD260" s="274" t="str">
        <f>IFERROR(__xludf.DUMMYFUNCTION("""COMPUTED_VALUE"""),"Closed")</f>
        <v>Closed</v>
      </c>
      <c r="DE260" s="275" t="str">
        <f>IFERROR(__xludf.DUMMYFUNCTION("""COMPUTED_VALUE"""),"Closed")</f>
        <v>Closed</v>
      </c>
      <c r="DF260" s="276" t="str">
        <f>IFERROR(__xludf.DUMMYFUNCTION("""COMPUTED_VALUE"""),"Closed")</f>
        <v>Closed</v>
      </c>
      <c r="DG260" s="274" t="str">
        <f>IFERROR(__xludf.DUMMYFUNCTION("""COMPUTED_VALUE"""),"Closed")</f>
        <v>Closed</v>
      </c>
      <c r="DH260" s="275" t="str">
        <f>IFERROR(__xludf.DUMMYFUNCTION("""COMPUTED_VALUE"""),"Closed")</f>
        <v>Closed</v>
      </c>
      <c r="DI260" s="276" t="str">
        <f>IFERROR(__xludf.DUMMYFUNCTION("""COMPUTED_VALUE"""),"Closed")</f>
        <v>Closed</v>
      </c>
      <c r="DJ260" s="274" t="str">
        <f>IFERROR(__xludf.DUMMYFUNCTION("""COMPUTED_VALUE"""),"Closed")</f>
        <v>Closed</v>
      </c>
      <c r="DK260" s="275" t="str">
        <f>IFERROR(__xludf.DUMMYFUNCTION("""COMPUTED_VALUE"""),"Closed")</f>
        <v>Closed</v>
      </c>
      <c r="DL260" s="276" t="str">
        <f>IFERROR(__xludf.DUMMYFUNCTION("""COMPUTED_VALUE"""),"Closed")</f>
        <v>Closed</v>
      </c>
      <c r="DM260" s="274" t="str">
        <f>IFERROR(__xludf.DUMMYFUNCTION("""COMPUTED_VALUE"""),"Closed")</f>
        <v>Closed</v>
      </c>
      <c r="DN260" s="275" t="str">
        <f>IFERROR(__xludf.DUMMYFUNCTION("""COMPUTED_VALUE"""),"Closed")</f>
        <v>Closed</v>
      </c>
      <c r="DO260" s="276" t="str">
        <f>IFERROR(__xludf.DUMMYFUNCTION("""COMPUTED_VALUE"""),"Closed")</f>
        <v>Closed</v>
      </c>
      <c r="DP260" s="274" t="str">
        <f>IFERROR(__xludf.DUMMYFUNCTION("""COMPUTED_VALUE"""),"Closed")</f>
        <v>Closed</v>
      </c>
      <c r="DQ260" s="275" t="str">
        <f>IFERROR(__xludf.DUMMYFUNCTION("""COMPUTED_VALUE"""),"Closed")</f>
        <v>Closed</v>
      </c>
      <c r="DR260" s="276"/>
      <c r="DS260" s="274"/>
    </row>
    <row r="261" hidden="1">
      <c r="B261" s="180"/>
      <c r="C261" s="277"/>
      <c r="D261" s="273"/>
      <c r="I261" s="274"/>
      <c r="J261" s="275"/>
      <c r="K261" s="276"/>
      <c r="L261" s="274"/>
      <c r="M261" s="275"/>
      <c r="N261" s="276"/>
      <c r="O261" s="274"/>
      <c r="P261" s="275"/>
      <c r="Q261" s="276"/>
      <c r="R261" s="274"/>
      <c r="S261" s="275"/>
      <c r="T261" s="276"/>
      <c r="U261" s="274"/>
      <c r="V261" s="275"/>
      <c r="W261" s="276"/>
      <c r="X261" s="274"/>
      <c r="Y261" s="275"/>
      <c r="Z261" s="276"/>
      <c r="AA261" s="274"/>
      <c r="AB261" s="275"/>
      <c r="AC261" s="276"/>
      <c r="AD261" s="274"/>
      <c r="AE261" s="275"/>
      <c r="AF261" s="276"/>
      <c r="AG261" s="274"/>
      <c r="AH261" s="275"/>
      <c r="AI261" s="276"/>
      <c r="AJ261" s="274"/>
      <c r="AK261" s="275"/>
      <c r="AL261" s="276"/>
      <c r="AM261" s="274"/>
      <c r="AN261" s="275"/>
      <c r="AO261" s="276"/>
      <c r="AP261" s="274"/>
      <c r="AQ261" s="275"/>
      <c r="AR261" s="276"/>
      <c r="AS261" s="274"/>
      <c r="AT261" s="275"/>
      <c r="AU261" s="276"/>
      <c r="AV261" s="274"/>
      <c r="AW261" s="275"/>
      <c r="AX261" s="276"/>
      <c r="AY261" s="274"/>
      <c r="AZ261" s="275"/>
      <c r="BA261" s="276"/>
      <c r="BB261" s="274"/>
      <c r="BC261" s="275"/>
      <c r="BD261" s="276"/>
      <c r="BE261" s="274"/>
      <c r="BF261" s="275"/>
      <c r="BG261" s="276"/>
      <c r="BH261" s="274"/>
      <c r="BI261" s="275"/>
      <c r="BJ261" s="276"/>
      <c r="BK261" s="274"/>
      <c r="BL261" s="275"/>
      <c r="BM261" s="276"/>
      <c r="BN261" s="274"/>
      <c r="BO261" s="275"/>
      <c r="BP261" s="276"/>
      <c r="BQ261" s="274"/>
      <c r="BR261" s="275"/>
      <c r="BS261" s="276"/>
      <c r="BT261" s="274"/>
      <c r="BU261" s="275"/>
      <c r="BV261" s="276"/>
      <c r="BW261" s="274"/>
      <c r="BX261" s="275"/>
      <c r="BY261" s="276"/>
      <c r="BZ261" s="274"/>
      <c r="CA261" s="275"/>
      <c r="CB261" s="276"/>
      <c r="CC261" s="274"/>
      <c r="CD261" s="275"/>
      <c r="CE261" s="276"/>
      <c r="CF261" s="274"/>
      <c r="CG261" s="275"/>
      <c r="CH261" s="275"/>
      <c r="CI261" s="274"/>
      <c r="CJ261" s="275"/>
      <c r="CK261" s="275"/>
      <c r="CL261" s="274"/>
      <c r="CM261" s="275"/>
      <c r="CN261" s="275"/>
      <c r="CO261" s="274"/>
      <c r="CP261" s="275"/>
      <c r="CQ261" s="275"/>
      <c r="CR261" s="274"/>
      <c r="CS261" s="275"/>
      <c r="CT261" s="275"/>
      <c r="CU261" s="274"/>
      <c r="CV261" s="275"/>
      <c r="CW261" s="276"/>
      <c r="CX261" s="275"/>
      <c r="CY261" s="275"/>
      <c r="CZ261" s="276"/>
      <c r="DA261" s="274"/>
      <c r="DB261" s="275"/>
      <c r="DC261" s="276"/>
      <c r="DD261" s="274"/>
      <c r="DE261" s="275"/>
      <c r="DF261" s="276"/>
      <c r="DG261" s="274"/>
      <c r="DH261" s="275"/>
      <c r="DI261" s="276"/>
      <c r="DJ261" s="274"/>
      <c r="DK261" s="275"/>
      <c r="DL261" s="276"/>
      <c r="DM261" s="274"/>
      <c r="DN261" s="275"/>
      <c r="DO261" s="276"/>
      <c r="DP261" s="274"/>
      <c r="DQ261" s="275"/>
      <c r="DR261" s="276"/>
      <c r="DS261" s="274"/>
    </row>
    <row r="262" hidden="1">
      <c r="B262" s="180"/>
      <c r="C262" s="277"/>
      <c r="D262" s="273"/>
      <c r="I262" s="274"/>
      <c r="J262" s="275"/>
      <c r="K262" s="276"/>
      <c r="L262" s="274"/>
      <c r="M262" s="275"/>
      <c r="N262" s="276"/>
      <c r="O262" s="274"/>
      <c r="P262" s="275"/>
      <c r="Q262" s="276"/>
      <c r="R262" s="274"/>
      <c r="S262" s="275"/>
      <c r="T262" s="276"/>
      <c r="U262" s="274"/>
      <c r="V262" s="275"/>
      <c r="W262" s="276"/>
      <c r="X262" s="274"/>
      <c r="Y262" s="275"/>
      <c r="Z262" s="276"/>
      <c r="AA262" s="274"/>
      <c r="AB262" s="275"/>
      <c r="AC262" s="276"/>
      <c r="AD262" s="274"/>
      <c r="AE262" s="275"/>
      <c r="AF262" s="276"/>
      <c r="AG262" s="274"/>
      <c r="AH262" s="275"/>
      <c r="AI262" s="276"/>
      <c r="AJ262" s="274"/>
      <c r="AK262" s="275"/>
      <c r="AL262" s="276"/>
      <c r="AM262" s="274"/>
      <c r="AN262" s="275"/>
      <c r="AO262" s="276"/>
      <c r="AP262" s="274"/>
      <c r="AQ262" s="275"/>
      <c r="AR262" s="276"/>
      <c r="AS262" s="274"/>
      <c r="AT262" s="275"/>
      <c r="AU262" s="276"/>
      <c r="AV262" s="274"/>
      <c r="AW262" s="275"/>
      <c r="AX262" s="276"/>
      <c r="AY262" s="274"/>
      <c r="AZ262" s="275"/>
      <c r="BA262" s="276"/>
      <c r="BB262" s="274"/>
      <c r="BC262" s="275"/>
      <c r="BD262" s="276"/>
      <c r="BE262" s="274"/>
      <c r="BF262" s="275"/>
      <c r="BG262" s="276"/>
      <c r="BH262" s="274"/>
      <c r="BI262" s="275"/>
      <c r="BJ262" s="276"/>
      <c r="BK262" s="274"/>
      <c r="BL262" s="275"/>
      <c r="BM262" s="276"/>
      <c r="BN262" s="274"/>
      <c r="BO262" s="275"/>
      <c r="BP262" s="276"/>
      <c r="BQ262" s="274"/>
      <c r="BR262" s="275"/>
      <c r="BS262" s="276"/>
      <c r="BT262" s="274"/>
      <c r="BU262" s="275"/>
      <c r="BV262" s="276"/>
      <c r="BW262" s="274"/>
      <c r="BX262" s="275"/>
      <c r="BY262" s="276"/>
      <c r="BZ262" s="274"/>
      <c r="CA262" s="275"/>
      <c r="CB262" s="276"/>
      <c r="CC262" s="274"/>
      <c r="CD262" s="275"/>
      <c r="CE262" s="276"/>
      <c r="CF262" s="274"/>
      <c r="CG262" s="275"/>
      <c r="CH262" s="275"/>
      <c r="CI262" s="274"/>
      <c r="CJ262" s="275"/>
      <c r="CK262" s="275"/>
      <c r="CL262" s="274"/>
      <c r="CM262" s="275"/>
      <c r="CN262" s="275"/>
      <c r="CO262" s="274"/>
      <c r="CP262" s="275"/>
      <c r="CQ262" s="275"/>
      <c r="CR262" s="274"/>
      <c r="CS262" s="275"/>
      <c r="CT262" s="275"/>
      <c r="CU262" s="274"/>
      <c r="CV262" s="275"/>
      <c r="CW262" s="276"/>
      <c r="CX262" s="275"/>
      <c r="CY262" s="275"/>
      <c r="CZ262" s="276"/>
      <c r="DA262" s="274"/>
      <c r="DB262" s="275"/>
      <c r="DC262" s="276"/>
      <c r="DD262" s="274"/>
      <c r="DE262" s="275"/>
      <c r="DF262" s="276"/>
      <c r="DG262" s="274"/>
      <c r="DH262" s="275"/>
      <c r="DI262" s="276"/>
      <c r="DJ262" s="274"/>
      <c r="DK262" s="275"/>
      <c r="DL262" s="276"/>
      <c r="DM262" s="274"/>
      <c r="DN262" s="275"/>
      <c r="DO262" s="276"/>
      <c r="DP262" s="274"/>
      <c r="DQ262" s="275"/>
      <c r="DR262" s="276"/>
      <c r="DS262" s="274"/>
    </row>
    <row r="263" hidden="1">
      <c r="B263" s="180"/>
      <c r="C263" s="277"/>
      <c r="D263" s="273"/>
      <c r="I263" s="274"/>
      <c r="J263" s="275"/>
      <c r="K263" s="276"/>
      <c r="L263" s="274"/>
      <c r="M263" s="275"/>
      <c r="N263" s="276"/>
      <c r="O263" s="274"/>
      <c r="P263" s="275"/>
      <c r="Q263" s="276"/>
      <c r="R263" s="274"/>
      <c r="S263" s="275"/>
      <c r="T263" s="276"/>
      <c r="U263" s="274"/>
      <c r="V263" s="275"/>
      <c r="W263" s="276"/>
      <c r="X263" s="274"/>
      <c r="Y263" s="275"/>
      <c r="Z263" s="276"/>
      <c r="AA263" s="274"/>
      <c r="AB263" s="275"/>
      <c r="AC263" s="276"/>
      <c r="AD263" s="274"/>
      <c r="AE263" s="275"/>
      <c r="AF263" s="276"/>
      <c r="AG263" s="274"/>
      <c r="AH263" s="275"/>
      <c r="AI263" s="276"/>
      <c r="AJ263" s="274"/>
      <c r="AK263" s="275"/>
      <c r="AL263" s="276"/>
      <c r="AM263" s="274"/>
      <c r="AN263" s="275"/>
      <c r="AO263" s="276"/>
      <c r="AP263" s="274"/>
      <c r="AQ263" s="275"/>
      <c r="AR263" s="276"/>
      <c r="AS263" s="274"/>
      <c r="AT263" s="275"/>
      <c r="AU263" s="276"/>
      <c r="AV263" s="274"/>
      <c r="AW263" s="275"/>
      <c r="AX263" s="276"/>
      <c r="AY263" s="274"/>
      <c r="AZ263" s="275"/>
      <c r="BA263" s="276"/>
      <c r="BB263" s="274"/>
      <c r="BC263" s="275"/>
      <c r="BD263" s="276"/>
      <c r="BE263" s="274"/>
      <c r="BF263" s="275"/>
      <c r="BG263" s="276"/>
      <c r="BH263" s="274"/>
      <c r="BI263" s="275"/>
      <c r="BJ263" s="276"/>
      <c r="BK263" s="274"/>
      <c r="BL263" s="275"/>
      <c r="BM263" s="276"/>
      <c r="BN263" s="274"/>
      <c r="BO263" s="275"/>
      <c r="BP263" s="276"/>
      <c r="BQ263" s="274"/>
      <c r="BR263" s="275"/>
      <c r="BS263" s="276"/>
      <c r="BT263" s="274"/>
      <c r="BU263" s="275"/>
      <c r="BV263" s="276"/>
      <c r="BW263" s="274"/>
      <c r="BX263" s="275"/>
      <c r="BY263" s="276"/>
      <c r="BZ263" s="274"/>
      <c r="CA263" s="275"/>
      <c r="CB263" s="276"/>
      <c r="CC263" s="274"/>
      <c r="CD263" s="275"/>
      <c r="CE263" s="276"/>
      <c r="CF263" s="274"/>
      <c r="CG263" s="275"/>
      <c r="CH263" s="275"/>
      <c r="CI263" s="274"/>
      <c r="CJ263" s="275"/>
      <c r="CK263" s="275"/>
      <c r="CL263" s="274"/>
      <c r="CM263" s="275"/>
      <c r="CN263" s="275"/>
      <c r="CO263" s="274"/>
      <c r="CP263" s="275"/>
      <c r="CQ263" s="275"/>
      <c r="CR263" s="274"/>
      <c r="CS263" s="275"/>
      <c r="CT263" s="275"/>
      <c r="CU263" s="274"/>
      <c r="CV263" s="275"/>
      <c r="CW263" s="276"/>
      <c r="CX263" s="275"/>
      <c r="CY263" s="275"/>
      <c r="CZ263" s="276"/>
      <c r="DA263" s="274"/>
      <c r="DB263" s="275"/>
      <c r="DC263" s="276"/>
      <c r="DD263" s="274"/>
      <c r="DE263" s="275"/>
      <c r="DF263" s="276"/>
      <c r="DG263" s="274"/>
      <c r="DH263" s="275"/>
      <c r="DI263" s="276"/>
      <c r="DJ263" s="274"/>
      <c r="DK263" s="275"/>
      <c r="DL263" s="276"/>
      <c r="DM263" s="274"/>
      <c r="DN263" s="275"/>
      <c r="DO263" s="276"/>
      <c r="DP263" s="274"/>
      <c r="DQ263" s="275"/>
      <c r="DR263" s="276"/>
      <c r="DS263" s="274"/>
    </row>
    <row r="264" hidden="1">
      <c r="B264" s="180"/>
      <c r="C264" s="277"/>
      <c r="D264" s="273"/>
      <c r="I264" s="274"/>
      <c r="J264" s="275"/>
      <c r="K264" s="276"/>
      <c r="L264" s="274"/>
      <c r="M264" s="275"/>
      <c r="N264" s="276"/>
      <c r="O264" s="274"/>
      <c r="P264" s="275"/>
      <c r="Q264" s="276"/>
      <c r="R264" s="274"/>
      <c r="S264" s="275"/>
      <c r="T264" s="276"/>
      <c r="U264" s="274"/>
      <c r="V264" s="275"/>
      <c r="W264" s="276"/>
      <c r="X264" s="274"/>
      <c r="Y264" s="275"/>
      <c r="Z264" s="276"/>
      <c r="AA264" s="274"/>
      <c r="AB264" s="275"/>
      <c r="AC264" s="276"/>
      <c r="AD264" s="274"/>
      <c r="AE264" s="275"/>
      <c r="AF264" s="276"/>
      <c r="AG264" s="274"/>
      <c r="AH264" s="275"/>
      <c r="AI264" s="276"/>
      <c r="AJ264" s="274"/>
      <c r="AK264" s="275"/>
      <c r="AL264" s="276"/>
      <c r="AM264" s="274"/>
      <c r="AN264" s="275"/>
      <c r="AO264" s="276"/>
      <c r="AP264" s="274"/>
      <c r="AQ264" s="275"/>
      <c r="AR264" s="276"/>
      <c r="AS264" s="274"/>
      <c r="AT264" s="275"/>
      <c r="AU264" s="276"/>
      <c r="AV264" s="274"/>
      <c r="AW264" s="275"/>
      <c r="AX264" s="276"/>
      <c r="AY264" s="274"/>
      <c r="AZ264" s="275"/>
      <c r="BA264" s="276"/>
      <c r="BB264" s="274"/>
      <c r="BC264" s="275"/>
      <c r="BD264" s="276"/>
      <c r="BE264" s="274"/>
      <c r="BF264" s="275"/>
      <c r="BG264" s="276"/>
      <c r="BH264" s="274"/>
      <c r="BI264" s="275"/>
      <c r="BJ264" s="276"/>
      <c r="BK264" s="274"/>
      <c r="BL264" s="275"/>
      <c r="BM264" s="276"/>
      <c r="BN264" s="274"/>
      <c r="BO264" s="275"/>
      <c r="BP264" s="276"/>
      <c r="BQ264" s="274"/>
      <c r="BR264" s="275"/>
      <c r="BS264" s="276"/>
      <c r="BT264" s="274"/>
      <c r="BU264" s="275"/>
      <c r="BV264" s="276"/>
      <c r="BW264" s="274"/>
      <c r="BX264" s="275"/>
      <c r="BY264" s="276"/>
      <c r="BZ264" s="274"/>
      <c r="CA264" s="275"/>
      <c r="CB264" s="276"/>
      <c r="CC264" s="274"/>
      <c r="CD264" s="275"/>
      <c r="CE264" s="276"/>
      <c r="CF264" s="274"/>
      <c r="CG264" s="275"/>
      <c r="CH264" s="275"/>
      <c r="CI264" s="274"/>
      <c r="CJ264" s="275"/>
      <c r="CK264" s="275"/>
      <c r="CL264" s="274"/>
      <c r="CM264" s="275"/>
      <c r="CN264" s="275"/>
      <c r="CO264" s="274"/>
      <c r="CP264" s="275"/>
      <c r="CQ264" s="275"/>
      <c r="CR264" s="274"/>
      <c r="CS264" s="275"/>
      <c r="CT264" s="275"/>
      <c r="CU264" s="274"/>
      <c r="CV264" s="275"/>
      <c r="CW264" s="276"/>
      <c r="CX264" s="275"/>
      <c r="CY264" s="275"/>
      <c r="CZ264" s="276"/>
      <c r="DA264" s="274"/>
      <c r="DB264" s="275"/>
      <c r="DC264" s="276"/>
      <c r="DD264" s="274"/>
      <c r="DE264" s="275"/>
      <c r="DF264" s="276"/>
      <c r="DG264" s="274"/>
      <c r="DH264" s="275"/>
      <c r="DI264" s="276"/>
      <c r="DJ264" s="274"/>
      <c r="DK264" s="275"/>
      <c r="DL264" s="276"/>
      <c r="DM264" s="274"/>
      <c r="DN264" s="275"/>
      <c r="DO264" s="276"/>
      <c r="DP264" s="274"/>
      <c r="DQ264" s="275"/>
      <c r="DR264" s="276"/>
      <c r="DS264" s="274"/>
    </row>
    <row r="265" hidden="1">
      <c r="B265" s="180"/>
      <c r="C265" s="277"/>
      <c r="D265" s="273"/>
      <c r="I265" s="274"/>
      <c r="J265" s="275"/>
      <c r="K265" s="276"/>
      <c r="L265" s="274"/>
      <c r="M265" s="275"/>
      <c r="N265" s="276"/>
      <c r="O265" s="274"/>
      <c r="P265" s="275"/>
      <c r="Q265" s="276"/>
      <c r="R265" s="274"/>
      <c r="S265" s="275"/>
      <c r="T265" s="276"/>
      <c r="U265" s="274"/>
      <c r="V265" s="275"/>
      <c r="W265" s="276"/>
      <c r="X265" s="274"/>
      <c r="Y265" s="275"/>
      <c r="Z265" s="276"/>
      <c r="AA265" s="274"/>
      <c r="AB265" s="275"/>
      <c r="AC265" s="276"/>
      <c r="AD265" s="274"/>
      <c r="AE265" s="275"/>
      <c r="AF265" s="276"/>
      <c r="AG265" s="274"/>
      <c r="AH265" s="275"/>
      <c r="AI265" s="276"/>
      <c r="AJ265" s="274"/>
      <c r="AK265" s="275"/>
      <c r="AL265" s="276"/>
      <c r="AM265" s="274"/>
      <c r="AN265" s="275"/>
      <c r="AO265" s="276"/>
      <c r="AP265" s="274"/>
      <c r="AQ265" s="275"/>
      <c r="AR265" s="276"/>
      <c r="AS265" s="274"/>
      <c r="AT265" s="275"/>
      <c r="AU265" s="276"/>
      <c r="AV265" s="274"/>
      <c r="AW265" s="275"/>
      <c r="AX265" s="276"/>
      <c r="AY265" s="274"/>
      <c r="AZ265" s="275"/>
      <c r="BA265" s="276"/>
      <c r="BB265" s="274"/>
      <c r="BC265" s="275"/>
      <c r="BD265" s="276"/>
      <c r="BE265" s="274"/>
      <c r="BF265" s="275"/>
      <c r="BG265" s="276"/>
      <c r="BH265" s="274"/>
      <c r="BI265" s="275"/>
      <c r="BJ265" s="276"/>
      <c r="BK265" s="274"/>
      <c r="BL265" s="275"/>
      <c r="BM265" s="276"/>
      <c r="BN265" s="274"/>
      <c r="BO265" s="275"/>
      <c r="BP265" s="276"/>
      <c r="BQ265" s="274"/>
      <c r="BR265" s="275"/>
      <c r="BS265" s="276"/>
      <c r="BT265" s="274"/>
      <c r="BU265" s="275"/>
      <c r="BV265" s="276"/>
      <c r="BW265" s="274"/>
      <c r="BX265" s="275"/>
      <c r="BY265" s="276"/>
      <c r="BZ265" s="274"/>
      <c r="CA265" s="275"/>
      <c r="CB265" s="276"/>
      <c r="CC265" s="274"/>
      <c r="CD265" s="275"/>
      <c r="CE265" s="276"/>
      <c r="CF265" s="274"/>
      <c r="CG265" s="275"/>
      <c r="CH265" s="275"/>
      <c r="CI265" s="274"/>
      <c r="CJ265" s="275"/>
      <c r="CK265" s="275"/>
      <c r="CL265" s="274"/>
      <c r="CM265" s="275"/>
      <c r="CN265" s="275"/>
      <c r="CO265" s="274"/>
      <c r="CP265" s="275"/>
      <c r="CQ265" s="275"/>
      <c r="CR265" s="274"/>
      <c r="CS265" s="275"/>
      <c r="CT265" s="275"/>
      <c r="CU265" s="274"/>
      <c r="CV265" s="275"/>
      <c r="CW265" s="276"/>
      <c r="CX265" s="275"/>
      <c r="CY265" s="275"/>
      <c r="CZ265" s="276"/>
      <c r="DA265" s="274"/>
      <c r="DB265" s="275"/>
      <c r="DC265" s="276"/>
      <c r="DD265" s="274"/>
      <c r="DE265" s="275"/>
      <c r="DF265" s="276"/>
      <c r="DG265" s="274"/>
      <c r="DH265" s="275"/>
      <c r="DI265" s="276"/>
      <c r="DJ265" s="274"/>
      <c r="DK265" s="275"/>
      <c r="DL265" s="276"/>
      <c r="DM265" s="274"/>
      <c r="DN265" s="275"/>
      <c r="DO265" s="276"/>
      <c r="DP265" s="274"/>
      <c r="DQ265" s="275"/>
      <c r="DR265" s="276"/>
      <c r="DS265" s="274"/>
    </row>
    <row r="266" hidden="1">
      <c r="B266" s="180"/>
      <c r="C266" s="277"/>
      <c r="D266" s="273"/>
      <c r="I266" s="274"/>
      <c r="J266" s="275"/>
      <c r="K266" s="276"/>
      <c r="L266" s="274"/>
      <c r="M266" s="275"/>
      <c r="N266" s="276"/>
      <c r="O266" s="274"/>
      <c r="P266" s="275"/>
      <c r="Q266" s="276"/>
      <c r="R266" s="274"/>
      <c r="S266" s="275"/>
      <c r="T266" s="276"/>
      <c r="U266" s="274"/>
      <c r="V266" s="275"/>
      <c r="W266" s="276"/>
      <c r="X266" s="274"/>
      <c r="Y266" s="275"/>
      <c r="Z266" s="276"/>
      <c r="AA266" s="274"/>
      <c r="AB266" s="275"/>
      <c r="AC266" s="276"/>
      <c r="AD266" s="274"/>
      <c r="AE266" s="275"/>
      <c r="AF266" s="276"/>
      <c r="AG266" s="274"/>
      <c r="AH266" s="275"/>
      <c r="AI266" s="276"/>
      <c r="AJ266" s="274"/>
      <c r="AK266" s="275"/>
      <c r="AL266" s="276"/>
      <c r="AM266" s="274"/>
      <c r="AN266" s="275"/>
      <c r="AO266" s="276"/>
      <c r="AP266" s="274"/>
      <c r="AQ266" s="275"/>
      <c r="AR266" s="276"/>
      <c r="AS266" s="274"/>
      <c r="AT266" s="275"/>
      <c r="AU266" s="276"/>
      <c r="AV266" s="274"/>
      <c r="AW266" s="275"/>
      <c r="AX266" s="276"/>
      <c r="AY266" s="274"/>
      <c r="AZ266" s="275"/>
      <c r="BA266" s="276"/>
      <c r="BB266" s="274"/>
      <c r="BC266" s="275"/>
      <c r="BD266" s="276"/>
      <c r="BE266" s="274"/>
      <c r="BF266" s="275"/>
      <c r="BG266" s="276"/>
      <c r="BH266" s="274"/>
      <c r="BI266" s="275"/>
      <c r="BJ266" s="276"/>
      <c r="BK266" s="274"/>
      <c r="BL266" s="275"/>
      <c r="BM266" s="276"/>
      <c r="BN266" s="274"/>
      <c r="BO266" s="275"/>
      <c r="BP266" s="276"/>
      <c r="BQ266" s="274"/>
      <c r="BR266" s="275"/>
      <c r="BS266" s="276"/>
      <c r="BT266" s="274"/>
      <c r="BU266" s="275"/>
      <c r="BV266" s="276"/>
      <c r="BW266" s="274"/>
      <c r="BX266" s="275"/>
      <c r="BY266" s="276"/>
      <c r="BZ266" s="274"/>
      <c r="CA266" s="275"/>
      <c r="CB266" s="276"/>
      <c r="CC266" s="274"/>
      <c r="CD266" s="275"/>
      <c r="CE266" s="276"/>
      <c r="CF266" s="274"/>
      <c r="CG266" s="275"/>
      <c r="CH266" s="275"/>
      <c r="CI266" s="274"/>
      <c r="CJ266" s="275"/>
      <c r="CK266" s="275"/>
      <c r="CL266" s="274"/>
      <c r="CM266" s="275"/>
      <c r="CN266" s="275"/>
      <c r="CO266" s="274"/>
      <c r="CP266" s="275"/>
      <c r="CQ266" s="275"/>
      <c r="CR266" s="274"/>
      <c r="CS266" s="275"/>
      <c r="CT266" s="275"/>
      <c r="CU266" s="274"/>
      <c r="CV266" s="275"/>
      <c r="CW266" s="276"/>
      <c r="CX266" s="275"/>
      <c r="CY266" s="275"/>
      <c r="CZ266" s="276"/>
      <c r="DA266" s="274"/>
      <c r="DB266" s="275"/>
      <c r="DC266" s="276"/>
      <c r="DD266" s="274"/>
      <c r="DE266" s="275"/>
      <c r="DF266" s="276"/>
      <c r="DG266" s="274"/>
      <c r="DH266" s="275"/>
      <c r="DI266" s="276"/>
      <c r="DJ266" s="274"/>
      <c r="DK266" s="275"/>
      <c r="DL266" s="276"/>
      <c r="DM266" s="274"/>
      <c r="DN266" s="275"/>
      <c r="DO266" s="276"/>
      <c r="DP266" s="274"/>
      <c r="DQ266" s="275"/>
      <c r="DR266" s="276"/>
      <c r="DS266" s="274"/>
    </row>
    <row r="267" hidden="1">
      <c r="B267" s="180"/>
      <c r="C267" s="277"/>
      <c r="D267" s="273"/>
      <c r="I267" s="274"/>
      <c r="J267" s="275"/>
      <c r="K267" s="276"/>
      <c r="L267" s="274"/>
      <c r="M267" s="275"/>
      <c r="N267" s="276"/>
      <c r="O267" s="274"/>
      <c r="P267" s="275"/>
      <c r="Q267" s="276"/>
      <c r="R267" s="274"/>
      <c r="S267" s="275"/>
      <c r="T267" s="276"/>
      <c r="U267" s="274"/>
      <c r="V267" s="275"/>
      <c r="W267" s="276"/>
      <c r="X267" s="274"/>
      <c r="Y267" s="275"/>
      <c r="Z267" s="276"/>
      <c r="AA267" s="274"/>
      <c r="AB267" s="275"/>
      <c r="AC267" s="276"/>
      <c r="AD267" s="274"/>
      <c r="AE267" s="275"/>
      <c r="AF267" s="276"/>
      <c r="AG267" s="274"/>
      <c r="AH267" s="275"/>
      <c r="AI267" s="276"/>
      <c r="AJ267" s="274"/>
      <c r="AK267" s="275"/>
      <c r="AL267" s="276"/>
      <c r="AM267" s="274"/>
      <c r="AN267" s="275"/>
      <c r="AO267" s="276"/>
      <c r="AP267" s="274"/>
      <c r="AQ267" s="275"/>
      <c r="AR267" s="276"/>
      <c r="AS267" s="274"/>
      <c r="AT267" s="275"/>
      <c r="AU267" s="276"/>
      <c r="AV267" s="274"/>
      <c r="AW267" s="275"/>
      <c r="AX267" s="276"/>
      <c r="AY267" s="274"/>
      <c r="AZ267" s="275"/>
      <c r="BA267" s="276"/>
      <c r="BB267" s="274"/>
      <c r="BC267" s="275"/>
      <c r="BD267" s="276"/>
      <c r="BE267" s="274"/>
      <c r="BF267" s="275"/>
      <c r="BG267" s="276"/>
      <c r="BH267" s="274"/>
      <c r="BI267" s="275"/>
      <c r="BJ267" s="276"/>
      <c r="BK267" s="274"/>
      <c r="BL267" s="275"/>
      <c r="BM267" s="276"/>
      <c r="BN267" s="274"/>
      <c r="BO267" s="275"/>
      <c r="BP267" s="276"/>
      <c r="BQ267" s="274"/>
      <c r="BR267" s="275"/>
      <c r="BS267" s="276"/>
      <c r="BT267" s="274"/>
      <c r="BU267" s="275"/>
      <c r="BV267" s="276"/>
      <c r="BW267" s="274"/>
      <c r="BX267" s="275"/>
      <c r="BY267" s="276"/>
      <c r="BZ267" s="274"/>
      <c r="CA267" s="275"/>
      <c r="CB267" s="276"/>
      <c r="CC267" s="274"/>
      <c r="CD267" s="275"/>
      <c r="CE267" s="276"/>
      <c r="CF267" s="274"/>
      <c r="CG267" s="275"/>
      <c r="CH267" s="275"/>
      <c r="CI267" s="274"/>
      <c r="CJ267" s="275"/>
      <c r="CK267" s="275"/>
      <c r="CL267" s="274"/>
      <c r="CM267" s="275"/>
      <c r="CN267" s="275"/>
      <c r="CO267" s="274"/>
      <c r="CP267" s="275"/>
      <c r="CQ267" s="275"/>
      <c r="CR267" s="274"/>
      <c r="CS267" s="275"/>
      <c r="CT267" s="275"/>
      <c r="CU267" s="274"/>
      <c r="CV267" s="275"/>
      <c r="CW267" s="276"/>
      <c r="CX267" s="275"/>
      <c r="CY267" s="275"/>
      <c r="CZ267" s="276"/>
      <c r="DA267" s="274"/>
      <c r="DB267" s="275"/>
      <c r="DC267" s="276"/>
      <c r="DD267" s="274"/>
      <c r="DE267" s="275"/>
      <c r="DF267" s="276"/>
      <c r="DG267" s="274"/>
      <c r="DH267" s="275"/>
      <c r="DI267" s="276"/>
      <c r="DJ267" s="274"/>
      <c r="DK267" s="275"/>
      <c r="DL267" s="276"/>
      <c r="DM267" s="274"/>
      <c r="DN267" s="275"/>
      <c r="DO267" s="276"/>
      <c r="DP267" s="274"/>
      <c r="DQ267" s="275"/>
      <c r="DR267" s="276"/>
      <c r="DS267" s="274"/>
    </row>
    <row r="268" hidden="1">
      <c r="B268" s="180"/>
      <c r="C268" s="277"/>
      <c r="D268" s="273"/>
      <c r="I268" s="274"/>
      <c r="J268" s="275"/>
      <c r="K268" s="276"/>
      <c r="L268" s="274"/>
      <c r="M268" s="275"/>
      <c r="N268" s="276"/>
      <c r="O268" s="274"/>
      <c r="P268" s="275"/>
      <c r="Q268" s="276"/>
      <c r="R268" s="274"/>
      <c r="S268" s="275"/>
      <c r="T268" s="276"/>
      <c r="U268" s="274"/>
      <c r="V268" s="275"/>
      <c r="W268" s="276"/>
      <c r="X268" s="274"/>
      <c r="Y268" s="275"/>
      <c r="Z268" s="276"/>
      <c r="AA268" s="274"/>
      <c r="AB268" s="275"/>
      <c r="AC268" s="276"/>
      <c r="AD268" s="274"/>
      <c r="AE268" s="275"/>
      <c r="AF268" s="276"/>
      <c r="AG268" s="274"/>
      <c r="AH268" s="275"/>
      <c r="AI268" s="276"/>
      <c r="AJ268" s="274"/>
      <c r="AK268" s="275"/>
      <c r="AL268" s="276"/>
      <c r="AM268" s="274"/>
      <c r="AN268" s="275"/>
      <c r="AO268" s="276"/>
      <c r="AP268" s="274"/>
      <c r="AQ268" s="275"/>
      <c r="AR268" s="276"/>
      <c r="AS268" s="274"/>
      <c r="AT268" s="275"/>
      <c r="AU268" s="276"/>
      <c r="AV268" s="274"/>
      <c r="AW268" s="275"/>
      <c r="AX268" s="276"/>
      <c r="AY268" s="274"/>
      <c r="AZ268" s="275"/>
      <c r="BA268" s="276"/>
      <c r="BB268" s="274"/>
      <c r="BC268" s="275"/>
      <c r="BD268" s="276"/>
      <c r="BE268" s="274"/>
      <c r="BF268" s="275"/>
      <c r="BG268" s="276"/>
      <c r="BH268" s="274"/>
      <c r="BI268" s="275"/>
      <c r="BJ268" s="276"/>
      <c r="BK268" s="274"/>
      <c r="BL268" s="275"/>
      <c r="BM268" s="276"/>
      <c r="BN268" s="274"/>
      <c r="BO268" s="275"/>
      <c r="BP268" s="276"/>
      <c r="BQ268" s="274"/>
      <c r="BR268" s="275"/>
      <c r="BS268" s="276"/>
      <c r="BT268" s="274"/>
      <c r="BU268" s="275"/>
      <c r="BV268" s="276"/>
      <c r="BW268" s="274"/>
      <c r="BX268" s="275"/>
      <c r="BY268" s="276"/>
      <c r="BZ268" s="274"/>
      <c r="CA268" s="275"/>
      <c r="CB268" s="276"/>
      <c r="CC268" s="274"/>
      <c r="CD268" s="275"/>
      <c r="CE268" s="276"/>
      <c r="CF268" s="274"/>
      <c r="CG268" s="275"/>
      <c r="CH268" s="275"/>
      <c r="CI268" s="274"/>
      <c r="CJ268" s="275"/>
      <c r="CK268" s="275"/>
      <c r="CL268" s="274"/>
      <c r="CM268" s="275"/>
      <c r="CN268" s="275"/>
      <c r="CO268" s="274"/>
      <c r="CP268" s="275"/>
      <c r="CQ268" s="275"/>
      <c r="CR268" s="274"/>
      <c r="CS268" s="275"/>
      <c r="CT268" s="275"/>
      <c r="CU268" s="274"/>
      <c r="CV268" s="275"/>
      <c r="CW268" s="276"/>
      <c r="CX268" s="275"/>
      <c r="CY268" s="275"/>
      <c r="CZ268" s="276"/>
      <c r="DA268" s="274"/>
      <c r="DB268" s="275"/>
      <c r="DC268" s="276"/>
      <c r="DD268" s="274"/>
      <c r="DE268" s="275"/>
      <c r="DF268" s="276"/>
      <c r="DG268" s="274"/>
      <c r="DH268" s="275"/>
      <c r="DI268" s="276"/>
      <c r="DJ268" s="274"/>
      <c r="DK268" s="275"/>
      <c r="DL268" s="276"/>
      <c r="DM268" s="274"/>
      <c r="DN268" s="275"/>
      <c r="DO268" s="276"/>
      <c r="DP268" s="274"/>
      <c r="DQ268" s="275"/>
      <c r="DR268" s="276"/>
      <c r="DS268" s="274"/>
    </row>
    <row r="269" hidden="1">
      <c r="B269" s="180"/>
      <c r="C269" s="277"/>
      <c r="D269" s="273"/>
      <c r="I269" s="274"/>
      <c r="J269" s="275"/>
      <c r="K269" s="276"/>
      <c r="L269" s="274"/>
      <c r="M269" s="275"/>
      <c r="N269" s="276"/>
      <c r="O269" s="274"/>
      <c r="P269" s="275"/>
      <c r="Q269" s="276"/>
      <c r="R269" s="274"/>
      <c r="S269" s="275"/>
      <c r="T269" s="276"/>
      <c r="U269" s="274"/>
      <c r="V269" s="275"/>
      <c r="W269" s="276"/>
      <c r="X269" s="274"/>
      <c r="Y269" s="275"/>
      <c r="Z269" s="276"/>
      <c r="AA269" s="274"/>
      <c r="AB269" s="275"/>
      <c r="AC269" s="276"/>
      <c r="AD269" s="274"/>
      <c r="AE269" s="275"/>
      <c r="AF269" s="276"/>
      <c r="AG269" s="274"/>
      <c r="AH269" s="275"/>
      <c r="AI269" s="276"/>
      <c r="AJ269" s="274"/>
      <c r="AK269" s="275"/>
      <c r="AL269" s="276"/>
      <c r="AM269" s="274"/>
      <c r="AN269" s="275"/>
      <c r="AO269" s="276"/>
      <c r="AP269" s="274"/>
      <c r="AQ269" s="275"/>
      <c r="AR269" s="276"/>
      <c r="AS269" s="274"/>
      <c r="AT269" s="275"/>
      <c r="AU269" s="276"/>
      <c r="AV269" s="274"/>
      <c r="AW269" s="275"/>
      <c r="AX269" s="276"/>
      <c r="AY269" s="274"/>
      <c r="AZ269" s="275"/>
      <c r="BA269" s="276"/>
      <c r="BB269" s="274"/>
      <c r="BC269" s="275"/>
      <c r="BD269" s="276"/>
      <c r="BE269" s="274"/>
      <c r="BF269" s="275"/>
      <c r="BG269" s="276"/>
      <c r="BH269" s="274"/>
      <c r="BI269" s="275"/>
      <c r="BJ269" s="276"/>
      <c r="BK269" s="274"/>
      <c r="BL269" s="275"/>
      <c r="BM269" s="276"/>
      <c r="BN269" s="274"/>
      <c r="BO269" s="275"/>
      <c r="BP269" s="276"/>
      <c r="BQ269" s="274"/>
      <c r="BR269" s="275"/>
      <c r="BS269" s="276"/>
      <c r="BT269" s="274"/>
      <c r="BU269" s="275"/>
      <c r="BV269" s="276"/>
      <c r="BW269" s="274"/>
      <c r="BX269" s="275"/>
      <c r="BY269" s="276"/>
      <c r="BZ269" s="274"/>
      <c r="CA269" s="275"/>
      <c r="CB269" s="276"/>
      <c r="CC269" s="274"/>
      <c r="CD269" s="275"/>
      <c r="CE269" s="276"/>
      <c r="CF269" s="274"/>
      <c r="CG269" s="275"/>
      <c r="CH269" s="275"/>
      <c r="CI269" s="274"/>
      <c r="CJ269" s="275"/>
      <c r="CK269" s="275"/>
      <c r="CL269" s="274"/>
      <c r="CM269" s="275"/>
      <c r="CN269" s="275"/>
      <c r="CO269" s="274"/>
      <c r="CP269" s="275"/>
      <c r="CQ269" s="275"/>
      <c r="CR269" s="274"/>
      <c r="CS269" s="275"/>
      <c r="CT269" s="275"/>
      <c r="CU269" s="274"/>
      <c r="CV269" s="275"/>
      <c r="CW269" s="276"/>
      <c r="CX269" s="275"/>
      <c r="CY269" s="275"/>
      <c r="CZ269" s="276"/>
      <c r="DA269" s="274"/>
      <c r="DB269" s="275"/>
      <c r="DC269" s="276"/>
      <c r="DD269" s="274"/>
      <c r="DE269" s="275"/>
      <c r="DF269" s="276"/>
      <c r="DG269" s="274"/>
      <c r="DH269" s="275"/>
      <c r="DI269" s="276"/>
      <c r="DJ269" s="274"/>
      <c r="DK269" s="275"/>
      <c r="DL269" s="276"/>
      <c r="DM269" s="274"/>
      <c r="DN269" s="275"/>
      <c r="DO269" s="276"/>
      <c r="DP269" s="274"/>
      <c r="DQ269" s="275"/>
      <c r="DR269" s="276"/>
      <c r="DS269" s="274"/>
    </row>
    <row r="270" hidden="1">
      <c r="B270" s="180"/>
      <c r="C270" s="277"/>
      <c r="D270" s="273"/>
      <c r="I270" s="274"/>
      <c r="J270" s="275"/>
      <c r="K270" s="276"/>
      <c r="L270" s="274"/>
      <c r="M270" s="275"/>
      <c r="N270" s="276"/>
      <c r="O270" s="274"/>
      <c r="P270" s="275"/>
      <c r="Q270" s="276"/>
      <c r="R270" s="274"/>
      <c r="S270" s="275"/>
      <c r="T270" s="276"/>
      <c r="U270" s="274"/>
      <c r="V270" s="275"/>
      <c r="W270" s="276"/>
      <c r="X270" s="274"/>
      <c r="Y270" s="275"/>
      <c r="Z270" s="276"/>
      <c r="AA270" s="274"/>
      <c r="AB270" s="275"/>
      <c r="AC270" s="276"/>
      <c r="AD270" s="274"/>
      <c r="AE270" s="275"/>
      <c r="AF270" s="276"/>
      <c r="AG270" s="274"/>
      <c r="AH270" s="275"/>
      <c r="AI270" s="276"/>
      <c r="AJ270" s="274"/>
      <c r="AK270" s="275"/>
      <c r="AL270" s="276"/>
      <c r="AM270" s="274"/>
      <c r="AN270" s="275"/>
      <c r="AO270" s="276"/>
      <c r="AP270" s="274"/>
      <c r="AQ270" s="275"/>
      <c r="AR270" s="276"/>
      <c r="AS270" s="274"/>
      <c r="AT270" s="275"/>
      <c r="AU270" s="276"/>
      <c r="AV270" s="274"/>
      <c r="AW270" s="275"/>
      <c r="AX270" s="276"/>
      <c r="AY270" s="274"/>
      <c r="AZ270" s="275"/>
      <c r="BA270" s="276"/>
      <c r="BB270" s="274"/>
      <c r="BC270" s="275"/>
      <c r="BD270" s="276"/>
      <c r="BE270" s="274"/>
      <c r="BF270" s="275"/>
      <c r="BG270" s="276"/>
      <c r="BH270" s="274"/>
      <c r="BI270" s="275"/>
      <c r="BJ270" s="276"/>
      <c r="BK270" s="274"/>
      <c r="BL270" s="275"/>
      <c r="BM270" s="276"/>
      <c r="BN270" s="274"/>
      <c r="BO270" s="275"/>
      <c r="BP270" s="276"/>
      <c r="BQ270" s="274"/>
      <c r="BR270" s="275"/>
      <c r="BS270" s="276"/>
      <c r="BT270" s="274"/>
      <c r="BU270" s="275"/>
      <c r="BV270" s="276"/>
      <c r="BW270" s="274"/>
      <c r="BX270" s="275"/>
      <c r="BY270" s="276"/>
      <c r="BZ270" s="274"/>
      <c r="CA270" s="275"/>
      <c r="CB270" s="276"/>
      <c r="CC270" s="274"/>
      <c r="CD270" s="275"/>
      <c r="CE270" s="276"/>
      <c r="CF270" s="274"/>
      <c r="CG270" s="275"/>
      <c r="CH270" s="275"/>
      <c r="CI270" s="274"/>
      <c r="CJ270" s="275"/>
      <c r="CK270" s="275"/>
      <c r="CL270" s="274"/>
      <c r="CM270" s="275"/>
      <c r="CN270" s="275"/>
      <c r="CO270" s="274"/>
      <c r="CP270" s="275"/>
      <c r="CQ270" s="275"/>
      <c r="CR270" s="274"/>
      <c r="CS270" s="275"/>
      <c r="CT270" s="275"/>
      <c r="CU270" s="274"/>
      <c r="CV270" s="275"/>
      <c r="CW270" s="276"/>
      <c r="CX270" s="275"/>
      <c r="CY270" s="275"/>
      <c r="CZ270" s="276"/>
      <c r="DA270" s="274"/>
      <c r="DB270" s="275"/>
      <c r="DC270" s="276"/>
      <c r="DD270" s="274"/>
      <c r="DE270" s="275"/>
      <c r="DF270" s="276"/>
      <c r="DG270" s="274"/>
      <c r="DH270" s="275"/>
      <c r="DI270" s="276"/>
      <c r="DJ270" s="274"/>
      <c r="DK270" s="275"/>
      <c r="DL270" s="276"/>
      <c r="DM270" s="274"/>
      <c r="DN270" s="275"/>
      <c r="DO270" s="276"/>
      <c r="DP270" s="274"/>
      <c r="DQ270" s="275"/>
      <c r="DR270" s="276"/>
      <c r="DS270" s="274"/>
    </row>
    <row r="271" hidden="1">
      <c r="B271" s="180"/>
      <c r="C271" s="277"/>
      <c r="D271" s="273"/>
      <c r="I271" s="274"/>
      <c r="J271" s="275"/>
      <c r="K271" s="276"/>
      <c r="L271" s="274"/>
      <c r="M271" s="275"/>
      <c r="N271" s="276"/>
      <c r="O271" s="274"/>
      <c r="P271" s="275"/>
      <c r="Q271" s="276"/>
      <c r="R271" s="274"/>
      <c r="S271" s="275"/>
      <c r="T271" s="276"/>
      <c r="U271" s="274"/>
      <c r="V271" s="275"/>
      <c r="W271" s="276"/>
      <c r="X271" s="274"/>
      <c r="Y271" s="275"/>
      <c r="Z271" s="276"/>
      <c r="AA271" s="274"/>
      <c r="AB271" s="275"/>
      <c r="AC271" s="276"/>
      <c r="AD271" s="274"/>
      <c r="AE271" s="275"/>
      <c r="AF271" s="276"/>
      <c r="AG271" s="274"/>
      <c r="AH271" s="275"/>
      <c r="AI271" s="276"/>
      <c r="AJ271" s="274"/>
      <c r="AK271" s="275"/>
      <c r="AL271" s="276"/>
      <c r="AM271" s="274"/>
      <c r="AN271" s="275"/>
      <c r="AO271" s="276"/>
      <c r="AP271" s="274"/>
      <c r="AQ271" s="275"/>
      <c r="AR271" s="276"/>
      <c r="AS271" s="274"/>
      <c r="AT271" s="275"/>
      <c r="AU271" s="276"/>
      <c r="AV271" s="274"/>
      <c r="AW271" s="275"/>
      <c r="AX271" s="276"/>
      <c r="AY271" s="274"/>
      <c r="AZ271" s="275"/>
      <c r="BA271" s="276"/>
      <c r="BB271" s="274"/>
      <c r="BC271" s="275"/>
      <c r="BD271" s="276"/>
      <c r="BE271" s="274"/>
      <c r="BF271" s="275"/>
      <c r="BG271" s="276"/>
      <c r="BH271" s="274"/>
      <c r="BI271" s="275"/>
      <c r="BJ271" s="276"/>
      <c r="BK271" s="274"/>
      <c r="BL271" s="275"/>
      <c r="BM271" s="276"/>
      <c r="BN271" s="274"/>
      <c r="BO271" s="275"/>
      <c r="BP271" s="276"/>
      <c r="BQ271" s="274"/>
      <c r="BR271" s="275"/>
      <c r="BS271" s="276"/>
      <c r="BT271" s="274"/>
      <c r="BU271" s="275"/>
      <c r="BV271" s="276"/>
      <c r="BW271" s="274"/>
      <c r="BX271" s="275"/>
      <c r="BY271" s="276"/>
      <c r="BZ271" s="274"/>
      <c r="CA271" s="275"/>
      <c r="CB271" s="276"/>
      <c r="CC271" s="274"/>
      <c r="CD271" s="275"/>
      <c r="CE271" s="276"/>
      <c r="CF271" s="274"/>
      <c r="CG271" s="275"/>
      <c r="CH271" s="275"/>
      <c r="CI271" s="274"/>
      <c r="CJ271" s="275"/>
      <c r="CK271" s="275"/>
      <c r="CL271" s="274"/>
      <c r="CM271" s="275"/>
      <c r="CN271" s="275"/>
      <c r="CO271" s="274"/>
      <c r="CP271" s="275"/>
      <c r="CQ271" s="275"/>
      <c r="CR271" s="274"/>
      <c r="CS271" s="275"/>
      <c r="CT271" s="275"/>
      <c r="CU271" s="274"/>
      <c r="CV271" s="275"/>
      <c r="CW271" s="276"/>
      <c r="CX271" s="275"/>
      <c r="CY271" s="275"/>
      <c r="CZ271" s="276"/>
      <c r="DA271" s="274"/>
      <c r="DB271" s="275"/>
      <c r="DC271" s="276"/>
      <c r="DD271" s="274"/>
      <c r="DE271" s="275"/>
      <c r="DF271" s="276"/>
      <c r="DG271" s="274"/>
      <c r="DH271" s="275"/>
      <c r="DI271" s="276"/>
      <c r="DJ271" s="274"/>
      <c r="DK271" s="275"/>
      <c r="DL271" s="276"/>
      <c r="DM271" s="274"/>
      <c r="DN271" s="275"/>
      <c r="DO271" s="276"/>
      <c r="DP271" s="274"/>
      <c r="DQ271" s="275"/>
      <c r="DR271" s="276"/>
      <c r="DS271" s="274"/>
    </row>
    <row r="272" hidden="1">
      <c r="B272" s="180"/>
      <c r="C272" s="277"/>
      <c r="D272" s="273"/>
      <c r="I272" s="274"/>
      <c r="J272" s="275"/>
      <c r="K272" s="276"/>
      <c r="L272" s="274"/>
      <c r="M272" s="275"/>
      <c r="N272" s="276"/>
      <c r="O272" s="274"/>
      <c r="P272" s="275"/>
      <c r="Q272" s="276"/>
      <c r="R272" s="274"/>
      <c r="S272" s="275"/>
      <c r="T272" s="276"/>
      <c r="U272" s="274"/>
      <c r="V272" s="275"/>
      <c r="W272" s="276"/>
      <c r="X272" s="274"/>
      <c r="Y272" s="275"/>
      <c r="Z272" s="276"/>
      <c r="AA272" s="274"/>
      <c r="AB272" s="275"/>
      <c r="AC272" s="276"/>
      <c r="AD272" s="274"/>
      <c r="AE272" s="275"/>
      <c r="AF272" s="276"/>
      <c r="AG272" s="274"/>
      <c r="AH272" s="275"/>
      <c r="AI272" s="276"/>
      <c r="AJ272" s="274"/>
      <c r="AK272" s="275"/>
      <c r="AL272" s="276"/>
      <c r="AM272" s="274"/>
      <c r="AN272" s="275"/>
      <c r="AO272" s="276"/>
      <c r="AP272" s="274"/>
      <c r="AQ272" s="275"/>
      <c r="AR272" s="276"/>
      <c r="AS272" s="274"/>
      <c r="AT272" s="275"/>
      <c r="AU272" s="276"/>
      <c r="AV272" s="274"/>
      <c r="AW272" s="275"/>
      <c r="AX272" s="276"/>
      <c r="AY272" s="274"/>
      <c r="AZ272" s="275"/>
      <c r="BA272" s="276"/>
      <c r="BB272" s="274"/>
      <c r="BC272" s="275"/>
      <c r="BD272" s="276"/>
      <c r="BE272" s="274"/>
      <c r="BF272" s="275"/>
      <c r="BG272" s="276"/>
      <c r="BH272" s="274"/>
      <c r="BI272" s="275"/>
      <c r="BJ272" s="276"/>
      <c r="BK272" s="274"/>
      <c r="BL272" s="275"/>
      <c r="BM272" s="276"/>
      <c r="BN272" s="274"/>
      <c r="BO272" s="275"/>
      <c r="BP272" s="276"/>
      <c r="BQ272" s="274"/>
      <c r="BR272" s="275"/>
      <c r="BS272" s="276"/>
      <c r="BT272" s="274"/>
      <c r="BU272" s="275"/>
      <c r="BV272" s="276"/>
      <c r="BW272" s="274"/>
      <c r="BX272" s="275"/>
      <c r="BY272" s="276"/>
      <c r="BZ272" s="274"/>
      <c r="CA272" s="275"/>
      <c r="CB272" s="276"/>
      <c r="CC272" s="274"/>
      <c r="CD272" s="275"/>
      <c r="CE272" s="276"/>
      <c r="CF272" s="274"/>
      <c r="CG272" s="275"/>
      <c r="CH272" s="275"/>
      <c r="CI272" s="274"/>
      <c r="CJ272" s="275"/>
      <c r="CK272" s="275"/>
      <c r="CL272" s="274"/>
      <c r="CM272" s="275"/>
      <c r="CN272" s="275"/>
      <c r="CO272" s="274"/>
      <c r="CP272" s="275"/>
      <c r="CQ272" s="275"/>
      <c r="CR272" s="274"/>
      <c r="CS272" s="275"/>
      <c r="CT272" s="275"/>
      <c r="CU272" s="274"/>
      <c r="CV272" s="275"/>
      <c r="CW272" s="276"/>
      <c r="CX272" s="275"/>
      <c r="CY272" s="275"/>
      <c r="CZ272" s="276"/>
      <c r="DA272" s="274"/>
      <c r="DB272" s="275"/>
      <c r="DC272" s="276"/>
      <c r="DD272" s="274"/>
      <c r="DE272" s="275"/>
      <c r="DF272" s="276"/>
      <c r="DG272" s="274"/>
      <c r="DH272" s="275"/>
      <c r="DI272" s="276"/>
      <c r="DJ272" s="274"/>
      <c r="DK272" s="275"/>
      <c r="DL272" s="276"/>
      <c r="DM272" s="274"/>
      <c r="DN272" s="275"/>
      <c r="DO272" s="276"/>
      <c r="DP272" s="274"/>
      <c r="DQ272" s="275"/>
      <c r="DR272" s="276"/>
      <c r="DS272" s="274"/>
    </row>
    <row r="273" hidden="1">
      <c r="B273" s="180"/>
      <c r="C273" s="277"/>
      <c r="D273" s="273"/>
      <c r="I273" s="274"/>
      <c r="J273" s="275"/>
      <c r="K273" s="276"/>
      <c r="L273" s="274"/>
      <c r="M273" s="275"/>
      <c r="N273" s="276"/>
      <c r="O273" s="274"/>
      <c r="P273" s="275"/>
      <c r="Q273" s="276"/>
      <c r="R273" s="274"/>
      <c r="S273" s="275"/>
      <c r="T273" s="276"/>
      <c r="U273" s="274"/>
      <c r="V273" s="275"/>
      <c r="W273" s="276"/>
      <c r="X273" s="274"/>
      <c r="Y273" s="275"/>
      <c r="Z273" s="276"/>
      <c r="AA273" s="274"/>
      <c r="AB273" s="275"/>
      <c r="AC273" s="276"/>
      <c r="AD273" s="274"/>
      <c r="AE273" s="275"/>
      <c r="AF273" s="276"/>
      <c r="AG273" s="274"/>
      <c r="AH273" s="275"/>
      <c r="AI273" s="276"/>
      <c r="AJ273" s="274"/>
      <c r="AK273" s="275"/>
      <c r="AL273" s="276"/>
      <c r="AM273" s="274"/>
      <c r="AN273" s="275"/>
      <c r="AO273" s="276"/>
      <c r="AP273" s="274"/>
      <c r="AQ273" s="275"/>
      <c r="AR273" s="276"/>
      <c r="AS273" s="274"/>
      <c r="AT273" s="275"/>
      <c r="AU273" s="276"/>
      <c r="AV273" s="274"/>
      <c r="AW273" s="275"/>
      <c r="AX273" s="276"/>
      <c r="AY273" s="274"/>
      <c r="AZ273" s="275"/>
      <c r="BA273" s="276"/>
      <c r="BB273" s="274"/>
      <c r="BC273" s="275"/>
      <c r="BD273" s="276"/>
      <c r="BE273" s="274"/>
      <c r="BF273" s="275"/>
      <c r="BG273" s="276"/>
      <c r="BH273" s="274"/>
      <c r="BI273" s="275"/>
      <c r="BJ273" s="276"/>
      <c r="BK273" s="274"/>
      <c r="BL273" s="275"/>
      <c r="BM273" s="276"/>
      <c r="BN273" s="274"/>
      <c r="BO273" s="275"/>
      <c r="BP273" s="276"/>
      <c r="BQ273" s="274"/>
      <c r="BR273" s="275"/>
      <c r="BS273" s="276"/>
      <c r="BT273" s="274"/>
      <c r="BU273" s="275"/>
      <c r="BV273" s="276"/>
      <c r="BW273" s="274"/>
      <c r="BX273" s="275"/>
      <c r="BY273" s="276"/>
      <c r="BZ273" s="274"/>
      <c r="CA273" s="275"/>
      <c r="CB273" s="276"/>
      <c r="CC273" s="274"/>
      <c r="CD273" s="275"/>
      <c r="CE273" s="276"/>
      <c r="CF273" s="274"/>
      <c r="CG273" s="275"/>
      <c r="CH273" s="275"/>
      <c r="CI273" s="274"/>
      <c r="CJ273" s="275"/>
      <c r="CK273" s="275"/>
      <c r="CL273" s="274"/>
      <c r="CM273" s="275"/>
      <c r="CN273" s="275"/>
      <c r="CO273" s="274"/>
      <c r="CP273" s="275"/>
      <c r="CQ273" s="275"/>
      <c r="CR273" s="274"/>
      <c r="CS273" s="275"/>
      <c r="CT273" s="275"/>
      <c r="CU273" s="274"/>
      <c r="CV273" s="275"/>
      <c r="CW273" s="276"/>
      <c r="CX273" s="275"/>
      <c r="CY273" s="275"/>
      <c r="CZ273" s="276"/>
      <c r="DA273" s="274"/>
      <c r="DB273" s="275"/>
      <c r="DC273" s="276"/>
      <c r="DD273" s="274"/>
      <c r="DE273" s="275"/>
      <c r="DF273" s="276"/>
      <c r="DG273" s="274"/>
      <c r="DH273" s="275"/>
      <c r="DI273" s="276"/>
      <c r="DJ273" s="274"/>
      <c r="DK273" s="275"/>
      <c r="DL273" s="276"/>
      <c r="DM273" s="274"/>
      <c r="DN273" s="275"/>
      <c r="DO273" s="276"/>
      <c r="DP273" s="274"/>
      <c r="DQ273" s="275"/>
      <c r="DR273" s="276"/>
      <c r="DS273" s="274"/>
    </row>
    <row r="274" hidden="1">
      <c r="B274" s="180"/>
      <c r="C274" s="277"/>
      <c r="D274" s="273"/>
      <c r="I274" s="274"/>
      <c r="J274" s="275"/>
      <c r="K274" s="276"/>
      <c r="L274" s="274"/>
      <c r="M274" s="275"/>
      <c r="N274" s="276"/>
      <c r="O274" s="274"/>
      <c r="P274" s="275"/>
      <c r="Q274" s="276"/>
      <c r="R274" s="274"/>
      <c r="S274" s="275"/>
      <c r="T274" s="276"/>
      <c r="U274" s="274"/>
      <c r="V274" s="275"/>
      <c r="W274" s="276"/>
      <c r="X274" s="274"/>
      <c r="Y274" s="275"/>
      <c r="Z274" s="276"/>
      <c r="AA274" s="274"/>
      <c r="AB274" s="275"/>
      <c r="AC274" s="276"/>
      <c r="AD274" s="274"/>
      <c r="AE274" s="275"/>
      <c r="AF274" s="276"/>
      <c r="AG274" s="274"/>
      <c r="AH274" s="275"/>
      <c r="AI274" s="276"/>
      <c r="AJ274" s="274"/>
      <c r="AK274" s="275"/>
      <c r="AL274" s="276"/>
      <c r="AM274" s="274"/>
      <c r="AN274" s="275"/>
      <c r="AO274" s="276"/>
      <c r="AP274" s="274"/>
      <c r="AQ274" s="275"/>
      <c r="AR274" s="276"/>
      <c r="AS274" s="274"/>
      <c r="AT274" s="275"/>
      <c r="AU274" s="276"/>
      <c r="AV274" s="274"/>
      <c r="AW274" s="275"/>
      <c r="AX274" s="276"/>
      <c r="AY274" s="274"/>
      <c r="AZ274" s="275"/>
      <c r="BA274" s="276"/>
      <c r="BB274" s="274"/>
      <c r="BC274" s="275"/>
      <c r="BD274" s="276"/>
      <c r="BE274" s="274"/>
      <c r="BF274" s="275"/>
      <c r="BG274" s="276"/>
      <c r="BH274" s="274"/>
      <c r="BI274" s="275"/>
      <c r="BJ274" s="276"/>
      <c r="BK274" s="274"/>
      <c r="BL274" s="275"/>
      <c r="BM274" s="276"/>
      <c r="BN274" s="274"/>
      <c r="BO274" s="275"/>
      <c r="BP274" s="276"/>
      <c r="BQ274" s="274"/>
      <c r="BR274" s="275"/>
      <c r="BS274" s="276"/>
      <c r="BT274" s="274"/>
      <c r="BU274" s="275"/>
      <c r="BV274" s="276"/>
      <c r="BW274" s="274"/>
      <c r="BX274" s="275"/>
      <c r="BY274" s="276"/>
      <c r="BZ274" s="274"/>
      <c r="CA274" s="275"/>
      <c r="CB274" s="276"/>
      <c r="CC274" s="274"/>
      <c r="CD274" s="275"/>
      <c r="CE274" s="276"/>
      <c r="CF274" s="274"/>
      <c r="CG274" s="275"/>
      <c r="CH274" s="275"/>
      <c r="CI274" s="274"/>
      <c r="CJ274" s="275"/>
      <c r="CK274" s="275"/>
      <c r="CL274" s="274"/>
      <c r="CM274" s="275"/>
      <c r="CN274" s="275"/>
      <c r="CO274" s="274"/>
      <c r="CP274" s="275"/>
      <c r="CQ274" s="275"/>
      <c r="CR274" s="274"/>
      <c r="CS274" s="275"/>
      <c r="CT274" s="275"/>
      <c r="CU274" s="274"/>
      <c r="CV274" s="275"/>
      <c r="CW274" s="276"/>
      <c r="CX274" s="275"/>
      <c r="CY274" s="275"/>
      <c r="CZ274" s="276"/>
      <c r="DA274" s="274"/>
      <c r="DB274" s="275"/>
      <c r="DC274" s="276"/>
      <c r="DD274" s="274"/>
      <c r="DE274" s="275"/>
      <c r="DF274" s="276"/>
      <c r="DG274" s="274"/>
      <c r="DH274" s="275"/>
      <c r="DI274" s="276"/>
      <c r="DJ274" s="274"/>
      <c r="DK274" s="275"/>
      <c r="DL274" s="276"/>
      <c r="DM274" s="274"/>
      <c r="DN274" s="275"/>
      <c r="DO274" s="276"/>
      <c r="DP274" s="274"/>
      <c r="DQ274" s="275"/>
      <c r="DR274" s="276"/>
      <c r="DS274" s="274"/>
    </row>
    <row r="275" hidden="1">
      <c r="B275" s="180"/>
      <c r="C275" s="277"/>
      <c r="D275" s="273"/>
      <c r="I275" s="274"/>
      <c r="J275" s="275"/>
      <c r="K275" s="276"/>
      <c r="L275" s="274"/>
      <c r="M275" s="275"/>
      <c r="N275" s="276"/>
      <c r="O275" s="274"/>
      <c r="P275" s="275"/>
      <c r="Q275" s="276"/>
      <c r="R275" s="274"/>
      <c r="S275" s="275"/>
      <c r="T275" s="276"/>
      <c r="U275" s="274"/>
      <c r="V275" s="275"/>
      <c r="W275" s="276"/>
      <c r="X275" s="274"/>
      <c r="Y275" s="275"/>
      <c r="Z275" s="276"/>
      <c r="AA275" s="274"/>
      <c r="AB275" s="275"/>
      <c r="AC275" s="276"/>
      <c r="AD275" s="274"/>
      <c r="AE275" s="275"/>
      <c r="AF275" s="276"/>
      <c r="AG275" s="274"/>
      <c r="AH275" s="275"/>
      <c r="AI275" s="276"/>
      <c r="AJ275" s="274"/>
      <c r="AK275" s="275"/>
      <c r="AL275" s="276"/>
      <c r="AM275" s="274"/>
      <c r="AN275" s="275"/>
      <c r="AO275" s="276"/>
      <c r="AP275" s="274"/>
      <c r="AQ275" s="275"/>
      <c r="AR275" s="276"/>
      <c r="AS275" s="274"/>
      <c r="AT275" s="275"/>
      <c r="AU275" s="276"/>
      <c r="AV275" s="274"/>
      <c r="AW275" s="275"/>
      <c r="AX275" s="276"/>
      <c r="AY275" s="274"/>
      <c r="AZ275" s="275"/>
      <c r="BA275" s="276"/>
      <c r="BB275" s="274"/>
      <c r="BC275" s="275"/>
      <c r="BD275" s="276"/>
      <c r="BE275" s="274"/>
      <c r="BF275" s="275"/>
      <c r="BG275" s="276"/>
      <c r="BH275" s="274"/>
      <c r="BI275" s="275"/>
      <c r="BJ275" s="276"/>
      <c r="BK275" s="274"/>
      <c r="BL275" s="275"/>
      <c r="BM275" s="276"/>
      <c r="BN275" s="274"/>
      <c r="BO275" s="275"/>
      <c r="BP275" s="276"/>
      <c r="BQ275" s="274"/>
      <c r="BR275" s="275"/>
      <c r="BS275" s="276"/>
      <c r="BT275" s="274"/>
      <c r="BU275" s="275"/>
      <c r="BV275" s="276"/>
      <c r="BW275" s="274"/>
      <c r="BX275" s="275"/>
      <c r="BY275" s="276"/>
      <c r="BZ275" s="274"/>
      <c r="CA275" s="275"/>
      <c r="CB275" s="276"/>
      <c r="CC275" s="274"/>
      <c r="CD275" s="275"/>
      <c r="CE275" s="276"/>
      <c r="CF275" s="274"/>
      <c r="CG275" s="275"/>
      <c r="CH275" s="275"/>
      <c r="CI275" s="274"/>
      <c r="CJ275" s="275"/>
      <c r="CK275" s="275"/>
      <c r="CL275" s="274"/>
      <c r="CM275" s="275"/>
      <c r="CN275" s="275"/>
      <c r="CO275" s="274"/>
      <c r="CP275" s="275"/>
      <c r="CQ275" s="275"/>
      <c r="CR275" s="274"/>
      <c r="CS275" s="275"/>
      <c r="CT275" s="275"/>
      <c r="CU275" s="274"/>
      <c r="CV275" s="275"/>
      <c r="CW275" s="276"/>
      <c r="CX275" s="275"/>
      <c r="CY275" s="275"/>
      <c r="CZ275" s="276"/>
      <c r="DA275" s="274"/>
      <c r="DB275" s="275"/>
      <c r="DC275" s="276"/>
      <c r="DD275" s="274"/>
      <c r="DE275" s="275"/>
      <c r="DF275" s="276"/>
      <c r="DG275" s="274"/>
      <c r="DH275" s="275"/>
      <c r="DI275" s="276"/>
      <c r="DJ275" s="274"/>
      <c r="DK275" s="275"/>
      <c r="DL275" s="276"/>
      <c r="DM275" s="274"/>
      <c r="DN275" s="275"/>
      <c r="DO275" s="276"/>
      <c r="DP275" s="274"/>
      <c r="DQ275" s="275"/>
      <c r="DR275" s="276"/>
      <c r="DS275" s="274"/>
    </row>
    <row r="276" hidden="1">
      <c r="B276" s="180"/>
      <c r="C276" s="277"/>
      <c r="D276" s="273"/>
      <c r="I276" s="274"/>
      <c r="J276" s="275"/>
      <c r="K276" s="276"/>
      <c r="L276" s="274"/>
      <c r="M276" s="275"/>
      <c r="N276" s="276"/>
      <c r="O276" s="274"/>
      <c r="P276" s="275"/>
      <c r="Q276" s="276"/>
      <c r="R276" s="274"/>
      <c r="S276" s="275"/>
      <c r="T276" s="276"/>
      <c r="U276" s="274"/>
      <c r="V276" s="275"/>
      <c r="W276" s="276"/>
      <c r="X276" s="274"/>
      <c r="Y276" s="275"/>
      <c r="Z276" s="276"/>
      <c r="AA276" s="274"/>
      <c r="AB276" s="275"/>
      <c r="AC276" s="276"/>
      <c r="AD276" s="274"/>
      <c r="AE276" s="275"/>
      <c r="AF276" s="276"/>
      <c r="AG276" s="274"/>
      <c r="AH276" s="275"/>
      <c r="AI276" s="276"/>
      <c r="AJ276" s="274"/>
      <c r="AK276" s="275"/>
      <c r="AL276" s="276"/>
      <c r="AM276" s="274"/>
      <c r="AN276" s="275"/>
      <c r="AO276" s="276"/>
      <c r="AP276" s="274"/>
      <c r="AQ276" s="275"/>
      <c r="AR276" s="276"/>
      <c r="AS276" s="274"/>
      <c r="AT276" s="275"/>
      <c r="AU276" s="276"/>
      <c r="AV276" s="274"/>
      <c r="AW276" s="275"/>
      <c r="AX276" s="276"/>
      <c r="AY276" s="274"/>
      <c r="AZ276" s="275"/>
      <c r="BA276" s="276"/>
      <c r="BB276" s="274"/>
      <c r="BC276" s="275"/>
      <c r="BD276" s="276"/>
      <c r="BE276" s="274"/>
      <c r="BF276" s="275"/>
      <c r="BG276" s="276"/>
      <c r="BH276" s="274"/>
      <c r="BI276" s="275"/>
      <c r="BJ276" s="276"/>
      <c r="BK276" s="274"/>
      <c r="BL276" s="275"/>
      <c r="BM276" s="276"/>
      <c r="BN276" s="274"/>
      <c r="BO276" s="275"/>
      <c r="BP276" s="276"/>
      <c r="BQ276" s="274"/>
      <c r="BR276" s="275"/>
      <c r="BS276" s="276"/>
      <c r="BT276" s="274"/>
      <c r="BU276" s="275"/>
      <c r="BV276" s="276"/>
      <c r="BW276" s="274"/>
      <c r="BX276" s="275"/>
      <c r="BY276" s="276"/>
      <c r="BZ276" s="274"/>
      <c r="CA276" s="275"/>
      <c r="CB276" s="276"/>
      <c r="CC276" s="274"/>
      <c r="CD276" s="275"/>
      <c r="CE276" s="276"/>
      <c r="CF276" s="274"/>
      <c r="CG276" s="275"/>
      <c r="CH276" s="275"/>
      <c r="CI276" s="274"/>
      <c r="CJ276" s="275"/>
      <c r="CK276" s="275"/>
      <c r="CL276" s="274"/>
      <c r="CM276" s="275"/>
      <c r="CN276" s="275"/>
      <c r="CO276" s="274"/>
      <c r="CP276" s="275"/>
      <c r="CQ276" s="275"/>
      <c r="CR276" s="274"/>
      <c r="CS276" s="275"/>
      <c r="CT276" s="275"/>
      <c r="CU276" s="274"/>
      <c r="CV276" s="275"/>
      <c r="CW276" s="276"/>
      <c r="CX276" s="275"/>
      <c r="CY276" s="275"/>
      <c r="CZ276" s="276"/>
      <c r="DA276" s="274"/>
      <c r="DB276" s="275"/>
      <c r="DC276" s="276"/>
      <c r="DD276" s="274"/>
      <c r="DE276" s="275"/>
      <c r="DF276" s="276"/>
      <c r="DG276" s="274"/>
      <c r="DH276" s="275"/>
      <c r="DI276" s="276"/>
      <c r="DJ276" s="274"/>
      <c r="DK276" s="275"/>
      <c r="DL276" s="276"/>
      <c r="DM276" s="274"/>
      <c r="DN276" s="275"/>
      <c r="DO276" s="276"/>
      <c r="DP276" s="274"/>
      <c r="DQ276" s="275"/>
      <c r="DR276" s="276"/>
      <c r="DS276" s="274"/>
    </row>
    <row r="277" hidden="1">
      <c r="B277" s="180"/>
      <c r="C277" s="277"/>
      <c r="D277" s="273"/>
      <c r="I277" s="274"/>
      <c r="J277" s="275"/>
      <c r="K277" s="276"/>
      <c r="L277" s="274"/>
      <c r="M277" s="275"/>
      <c r="N277" s="276"/>
      <c r="O277" s="274"/>
      <c r="P277" s="275"/>
      <c r="Q277" s="276"/>
      <c r="R277" s="274"/>
      <c r="S277" s="275"/>
      <c r="T277" s="276"/>
      <c r="U277" s="274"/>
      <c r="V277" s="275"/>
      <c r="W277" s="276"/>
      <c r="X277" s="274"/>
      <c r="Y277" s="275"/>
      <c r="Z277" s="276"/>
      <c r="AA277" s="274"/>
      <c r="AB277" s="275"/>
      <c r="AC277" s="276"/>
      <c r="AD277" s="274"/>
      <c r="AE277" s="275"/>
      <c r="AF277" s="276"/>
      <c r="AG277" s="274"/>
      <c r="AH277" s="275"/>
      <c r="AI277" s="276"/>
      <c r="AJ277" s="274"/>
      <c r="AK277" s="275"/>
      <c r="AL277" s="276"/>
      <c r="AM277" s="274"/>
      <c r="AN277" s="275"/>
      <c r="AO277" s="276"/>
      <c r="AP277" s="274"/>
      <c r="AQ277" s="275"/>
      <c r="AR277" s="276"/>
      <c r="AS277" s="274"/>
      <c r="AT277" s="275"/>
      <c r="AU277" s="276"/>
      <c r="AV277" s="274"/>
      <c r="AW277" s="275"/>
      <c r="AX277" s="276"/>
      <c r="AY277" s="274"/>
      <c r="AZ277" s="275"/>
      <c r="BA277" s="276"/>
      <c r="BB277" s="274"/>
      <c r="BC277" s="275"/>
      <c r="BD277" s="276"/>
      <c r="BE277" s="274"/>
      <c r="BF277" s="275"/>
      <c r="BG277" s="276"/>
      <c r="BH277" s="274"/>
      <c r="BI277" s="275"/>
      <c r="BJ277" s="276"/>
      <c r="BK277" s="274"/>
      <c r="BL277" s="275"/>
      <c r="BM277" s="276"/>
      <c r="BN277" s="274"/>
      <c r="BO277" s="275"/>
      <c r="BP277" s="276"/>
      <c r="BQ277" s="274"/>
      <c r="BR277" s="275"/>
      <c r="BS277" s="276"/>
      <c r="BT277" s="274"/>
      <c r="BU277" s="275"/>
      <c r="BV277" s="276"/>
      <c r="BW277" s="274"/>
      <c r="BX277" s="275"/>
      <c r="BY277" s="276"/>
      <c r="BZ277" s="274"/>
      <c r="CA277" s="275"/>
      <c r="CB277" s="276"/>
      <c r="CC277" s="274"/>
      <c r="CD277" s="275"/>
      <c r="CE277" s="276"/>
      <c r="CF277" s="274"/>
      <c r="CG277" s="275"/>
      <c r="CH277" s="275"/>
      <c r="CI277" s="274"/>
      <c r="CJ277" s="275"/>
      <c r="CK277" s="275"/>
      <c r="CL277" s="274"/>
      <c r="CM277" s="275"/>
      <c r="CN277" s="275"/>
      <c r="CO277" s="274"/>
      <c r="CP277" s="275"/>
      <c r="CQ277" s="275"/>
      <c r="CR277" s="274"/>
      <c r="CS277" s="275"/>
      <c r="CT277" s="275"/>
      <c r="CU277" s="274"/>
      <c r="CV277" s="275"/>
      <c r="CW277" s="276"/>
      <c r="CX277" s="275"/>
      <c r="CY277" s="275"/>
      <c r="CZ277" s="276"/>
      <c r="DA277" s="274"/>
      <c r="DB277" s="275"/>
      <c r="DC277" s="276"/>
      <c r="DD277" s="274"/>
      <c r="DE277" s="275"/>
      <c r="DF277" s="276"/>
      <c r="DG277" s="274"/>
      <c r="DH277" s="275"/>
      <c r="DI277" s="276"/>
      <c r="DJ277" s="274"/>
      <c r="DK277" s="275"/>
      <c r="DL277" s="276"/>
      <c r="DM277" s="274"/>
      <c r="DN277" s="275"/>
      <c r="DO277" s="276"/>
      <c r="DP277" s="274"/>
      <c r="DQ277" s="275"/>
      <c r="DR277" s="276"/>
      <c r="DS277" s="274"/>
    </row>
    <row r="278" hidden="1">
      <c r="B278" s="180"/>
      <c r="C278" s="277"/>
      <c r="D278" s="273"/>
      <c r="I278" s="274"/>
      <c r="J278" s="275"/>
      <c r="K278" s="276"/>
      <c r="L278" s="274"/>
      <c r="M278" s="275"/>
      <c r="N278" s="276"/>
      <c r="O278" s="274"/>
      <c r="P278" s="275"/>
      <c r="Q278" s="276"/>
      <c r="R278" s="274"/>
      <c r="S278" s="275"/>
      <c r="T278" s="276"/>
      <c r="U278" s="274"/>
      <c r="V278" s="275"/>
      <c r="W278" s="276"/>
      <c r="X278" s="274"/>
      <c r="Y278" s="275"/>
      <c r="Z278" s="276"/>
      <c r="AA278" s="274"/>
      <c r="AB278" s="275"/>
      <c r="AC278" s="276"/>
      <c r="AD278" s="274"/>
      <c r="AE278" s="275"/>
      <c r="AF278" s="276"/>
      <c r="AG278" s="274"/>
      <c r="AH278" s="275"/>
      <c r="AI278" s="276"/>
      <c r="AJ278" s="274"/>
      <c r="AK278" s="275"/>
      <c r="AL278" s="276"/>
      <c r="AM278" s="274"/>
      <c r="AN278" s="275"/>
      <c r="AO278" s="276"/>
      <c r="AP278" s="274"/>
      <c r="AQ278" s="275"/>
      <c r="AR278" s="276"/>
      <c r="AS278" s="274"/>
      <c r="AT278" s="275"/>
      <c r="AU278" s="276"/>
      <c r="AV278" s="274"/>
      <c r="AW278" s="275"/>
      <c r="AX278" s="276"/>
      <c r="AY278" s="274"/>
      <c r="AZ278" s="275"/>
      <c r="BA278" s="276"/>
      <c r="BB278" s="274"/>
      <c r="BC278" s="275"/>
      <c r="BD278" s="276"/>
      <c r="BE278" s="274"/>
      <c r="BF278" s="275"/>
      <c r="BG278" s="276"/>
      <c r="BH278" s="274"/>
      <c r="BI278" s="275"/>
      <c r="BJ278" s="276"/>
      <c r="BK278" s="274"/>
      <c r="BL278" s="275"/>
      <c r="BM278" s="276"/>
      <c r="BN278" s="274"/>
      <c r="BO278" s="275"/>
      <c r="BP278" s="276"/>
      <c r="BQ278" s="274"/>
      <c r="BR278" s="275"/>
      <c r="BS278" s="276"/>
      <c r="BT278" s="274"/>
      <c r="BU278" s="275"/>
      <c r="BV278" s="276"/>
      <c r="BW278" s="274"/>
      <c r="BX278" s="275"/>
      <c r="BY278" s="276"/>
      <c r="BZ278" s="274"/>
      <c r="CA278" s="275"/>
      <c r="CB278" s="276"/>
      <c r="CC278" s="274"/>
      <c r="CD278" s="275"/>
      <c r="CE278" s="276"/>
      <c r="CF278" s="274"/>
      <c r="CG278" s="275"/>
      <c r="CH278" s="275"/>
      <c r="CI278" s="274"/>
      <c r="CJ278" s="275"/>
      <c r="CK278" s="275"/>
      <c r="CL278" s="274"/>
      <c r="CM278" s="275"/>
      <c r="CN278" s="275"/>
      <c r="CO278" s="274"/>
      <c r="CP278" s="275"/>
      <c r="CQ278" s="275"/>
      <c r="CR278" s="274"/>
      <c r="CS278" s="275"/>
      <c r="CT278" s="275"/>
      <c r="CU278" s="274"/>
      <c r="CV278" s="275"/>
      <c r="CW278" s="276"/>
      <c r="CX278" s="275"/>
      <c r="CY278" s="275"/>
      <c r="CZ278" s="276"/>
      <c r="DA278" s="274"/>
      <c r="DB278" s="275"/>
      <c r="DC278" s="276"/>
      <c r="DD278" s="274"/>
      <c r="DE278" s="275"/>
      <c r="DF278" s="276"/>
      <c r="DG278" s="274"/>
      <c r="DH278" s="275"/>
      <c r="DI278" s="276"/>
      <c r="DJ278" s="274"/>
      <c r="DK278" s="275"/>
      <c r="DL278" s="276"/>
      <c r="DM278" s="274"/>
      <c r="DN278" s="275"/>
      <c r="DO278" s="276"/>
      <c r="DP278" s="274"/>
      <c r="DQ278" s="275"/>
      <c r="DR278" s="276"/>
      <c r="DS278" s="274"/>
    </row>
    <row r="279" hidden="1">
      <c r="B279" s="180"/>
      <c r="C279" s="277"/>
      <c r="D279" s="273"/>
      <c r="I279" s="274"/>
      <c r="J279" s="275"/>
      <c r="K279" s="276"/>
      <c r="L279" s="274"/>
      <c r="M279" s="275"/>
      <c r="N279" s="276"/>
      <c r="O279" s="274"/>
      <c r="P279" s="275"/>
      <c r="Q279" s="276"/>
      <c r="R279" s="274"/>
      <c r="S279" s="275"/>
      <c r="T279" s="276"/>
      <c r="U279" s="274"/>
      <c r="V279" s="275"/>
      <c r="W279" s="276"/>
      <c r="X279" s="274"/>
      <c r="Y279" s="275"/>
      <c r="Z279" s="276"/>
      <c r="AA279" s="274"/>
      <c r="AB279" s="275"/>
      <c r="AC279" s="276"/>
      <c r="AD279" s="274"/>
      <c r="AE279" s="275"/>
      <c r="AF279" s="276"/>
      <c r="AG279" s="274"/>
      <c r="AH279" s="275"/>
      <c r="AI279" s="276"/>
      <c r="AJ279" s="274"/>
      <c r="AK279" s="275"/>
      <c r="AL279" s="276"/>
      <c r="AM279" s="274"/>
      <c r="AN279" s="275"/>
      <c r="AO279" s="276"/>
      <c r="AP279" s="274"/>
      <c r="AQ279" s="275"/>
      <c r="AR279" s="276"/>
      <c r="AS279" s="274"/>
      <c r="AT279" s="275"/>
      <c r="AU279" s="276"/>
      <c r="AV279" s="274"/>
      <c r="AW279" s="275"/>
      <c r="AX279" s="276"/>
      <c r="AY279" s="274"/>
      <c r="AZ279" s="275"/>
      <c r="BA279" s="276"/>
      <c r="BB279" s="274"/>
      <c r="BC279" s="275"/>
      <c r="BD279" s="276"/>
      <c r="BE279" s="274"/>
      <c r="BF279" s="275"/>
      <c r="BG279" s="276"/>
      <c r="BH279" s="274"/>
      <c r="BI279" s="275"/>
      <c r="BJ279" s="276"/>
      <c r="BK279" s="274"/>
      <c r="BL279" s="275"/>
      <c r="BM279" s="276"/>
      <c r="BN279" s="274"/>
      <c r="BO279" s="275"/>
      <c r="BP279" s="276"/>
      <c r="BQ279" s="274"/>
      <c r="BR279" s="275"/>
      <c r="BS279" s="276"/>
      <c r="BT279" s="274"/>
      <c r="BU279" s="275"/>
      <c r="BV279" s="276"/>
      <c r="BW279" s="274"/>
      <c r="BX279" s="275"/>
      <c r="BY279" s="276"/>
      <c r="BZ279" s="274"/>
      <c r="CA279" s="275"/>
      <c r="CB279" s="276"/>
      <c r="CC279" s="274"/>
      <c r="CD279" s="275"/>
      <c r="CE279" s="276"/>
      <c r="CF279" s="274"/>
      <c r="CG279" s="275"/>
      <c r="CH279" s="275"/>
      <c r="CI279" s="274"/>
      <c r="CJ279" s="275"/>
      <c r="CK279" s="275"/>
      <c r="CL279" s="274"/>
      <c r="CM279" s="275"/>
      <c r="CN279" s="275"/>
      <c r="CO279" s="274"/>
      <c r="CP279" s="275"/>
      <c r="CQ279" s="275"/>
      <c r="CR279" s="274"/>
      <c r="CS279" s="275"/>
      <c r="CT279" s="275"/>
      <c r="CU279" s="274"/>
      <c r="CV279" s="275"/>
      <c r="CW279" s="276"/>
      <c r="CX279" s="275"/>
      <c r="CY279" s="275"/>
      <c r="CZ279" s="276"/>
      <c r="DA279" s="274"/>
      <c r="DB279" s="275"/>
      <c r="DC279" s="276"/>
      <c r="DD279" s="274"/>
      <c r="DE279" s="275"/>
      <c r="DF279" s="276"/>
      <c r="DG279" s="274"/>
      <c r="DH279" s="275"/>
      <c r="DI279" s="276"/>
      <c r="DJ279" s="274"/>
      <c r="DK279" s="275"/>
      <c r="DL279" s="276"/>
      <c r="DM279" s="274"/>
      <c r="DN279" s="275"/>
      <c r="DO279" s="276"/>
      <c r="DP279" s="274"/>
      <c r="DQ279" s="275"/>
      <c r="DR279" s="276"/>
      <c r="DS279" s="274"/>
    </row>
    <row r="280" hidden="1">
      <c r="B280" s="180"/>
      <c r="C280" s="277"/>
      <c r="D280" s="273"/>
      <c r="I280" s="274"/>
      <c r="J280" s="275"/>
      <c r="K280" s="276"/>
      <c r="L280" s="274"/>
      <c r="M280" s="275"/>
      <c r="N280" s="276"/>
      <c r="O280" s="274"/>
      <c r="P280" s="275"/>
      <c r="Q280" s="276"/>
      <c r="R280" s="274"/>
      <c r="S280" s="275"/>
      <c r="T280" s="276"/>
      <c r="U280" s="274"/>
      <c r="V280" s="275"/>
      <c r="W280" s="276"/>
      <c r="X280" s="274"/>
      <c r="Y280" s="275"/>
      <c r="Z280" s="276"/>
      <c r="AA280" s="274"/>
      <c r="AB280" s="275"/>
      <c r="AC280" s="276"/>
      <c r="AD280" s="274"/>
      <c r="AE280" s="275"/>
      <c r="AF280" s="276"/>
      <c r="AG280" s="274"/>
      <c r="AH280" s="275"/>
      <c r="AI280" s="276"/>
      <c r="AJ280" s="274"/>
      <c r="AK280" s="275"/>
      <c r="AL280" s="276"/>
      <c r="AM280" s="274"/>
      <c r="AN280" s="275"/>
      <c r="AO280" s="276"/>
      <c r="AP280" s="274"/>
      <c r="AQ280" s="275"/>
      <c r="AR280" s="276"/>
      <c r="AS280" s="274"/>
      <c r="AT280" s="275"/>
      <c r="AU280" s="276"/>
      <c r="AV280" s="274"/>
      <c r="AW280" s="275"/>
      <c r="AX280" s="276"/>
      <c r="AY280" s="274"/>
      <c r="AZ280" s="275"/>
      <c r="BA280" s="276"/>
      <c r="BB280" s="274"/>
      <c r="BC280" s="275"/>
      <c r="BD280" s="276"/>
      <c r="BE280" s="274"/>
      <c r="BF280" s="275"/>
      <c r="BG280" s="276"/>
      <c r="BH280" s="274"/>
      <c r="BI280" s="275"/>
      <c r="BJ280" s="276"/>
      <c r="BK280" s="274"/>
      <c r="BL280" s="275"/>
      <c r="BM280" s="276"/>
      <c r="BN280" s="274"/>
      <c r="BO280" s="275"/>
      <c r="BP280" s="276"/>
      <c r="BQ280" s="274"/>
      <c r="BR280" s="275"/>
      <c r="BS280" s="276"/>
      <c r="BT280" s="274"/>
      <c r="BU280" s="275"/>
      <c r="BV280" s="276"/>
      <c r="BW280" s="274"/>
      <c r="BX280" s="275"/>
      <c r="BY280" s="276"/>
      <c r="BZ280" s="274"/>
      <c r="CA280" s="275"/>
      <c r="CB280" s="276"/>
      <c r="CC280" s="274"/>
      <c r="CD280" s="275"/>
      <c r="CE280" s="276"/>
      <c r="CF280" s="274"/>
      <c r="CG280" s="275"/>
      <c r="CH280" s="275"/>
      <c r="CI280" s="274"/>
      <c r="CJ280" s="275"/>
      <c r="CK280" s="275"/>
      <c r="CL280" s="274"/>
      <c r="CM280" s="275"/>
      <c r="CN280" s="275"/>
      <c r="CO280" s="274"/>
      <c r="CP280" s="275"/>
      <c r="CQ280" s="275"/>
      <c r="CR280" s="274"/>
      <c r="CS280" s="275"/>
      <c r="CT280" s="275"/>
      <c r="CU280" s="274"/>
      <c r="CV280" s="275"/>
      <c r="CW280" s="276"/>
      <c r="CX280" s="275"/>
      <c r="CY280" s="275"/>
      <c r="CZ280" s="276"/>
      <c r="DA280" s="274"/>
      <c r="DB280" s="275"/>
      <c r="DC280" s="276"/>
      <c r="DD280" s="274"/>
      <c r="DE280" s="275"/>
      <c r="DF280" s="276"/>
      <c r="DG280" s="274"/>
      <c r="DH280" s="275"/>
      <c r="DI280" s="276"/>
      <c r="DJ280" s="274"/>
      <c r="DK280" s="275"/>
      <c r="DL280" s="276"/>
      <c r="DM280" s="274"/>
      <c r="DN280" s="275"/>
      <c r="DO280" s="276"/>
      <c r="DP280" s="274"/>
      <c r="DQ280" s="275"/>
      <c r="DR280" s="276"/>
      <c r="DS280" s="274"/>
    </row>
    <row r="281" hidden="1">
      <c r="B281" s="180"/>
      <c r="C281" s="277"/>
      <c r="D281" s="273"/>
      <c r="I281" s="274"/>
      <c r="J281" s="275"/>
      <c r="K281" s="276"/>
      <c r="L281" s="274"/>
      <c r="M281" s="275"/>
      <c r="N281" s="276"/>
      <c r="O281" s="274"/>
      <c r="P281" s="275"/>
      <c r="Q281" s="276"/>
      <c r="R281" s="274"/>
      <c r="S281" s="275"/>
      <c r="T281" s="276"/>
      <c r="U281" s="274"/>
      <c r="V281" s="275"/>
      <c r="W281" s="276"/>
      <c r="X281" s="274"/>
      <c r="Y281" s="275"/>
      <c r="Z281" s="276"/>
      <c r="AA281" s="274"/>
      <c r="AB281" s="275"/>
      <c r="AC281" s="276"/>
      <c r="AD281" s="274"/>
      <c r="AE281" s="275"/>
      <c r="AF281" s="276"/>
      <c r="AG281" s="274"/>
      <c r="AH281" s="275"/>
      <c r="AI281" s="276"/>
      <c r="AJ281" s="274"/>
      <c r="AK281" s="275"/>
      <c r="AL281" s="276"/>
      <c r="AM281" s="274"/>
      <c r="AN281" s="275"/>
      <c r="AO281" s="276"/>
      <c r="AP281" s="274"/>
      <c r="AQ281" s="275"/>
      <c r="AR281" s="276"/>
      <c r="AS281" s="274"/>
      <c r="AT281" s="275"/>
      <c r="AU281" s="276"/>
      <c r="AV281" s="274"/>
      <c r="AW281" s="275"/>
      <c r="AX281" s="276"/>
      <c r="AY281" s="274"/>
      <c r="AZ281" s="275"/>
      <c r="BA281" s="276"/>
      <c r="BB281" s="274"/>
      <c r="BC281" s="275"/>
      <c r="BD281" s="276"/>
      <c r="BE281" s="274"/>
      <c r="BF281" s="275"/>
      <c r="BG281" s="276"/>
      <c r="BH281" s="274"/>
      <c r="BI281" s="275"/>
      <c r="BJ281" s="276"/>
      <c r="BK281" s="274"/>
      <c r="BL281" s="275"/>
      <c r="BM281" s="276"/>
      <c r="BN281" s="274"/>
      <c r="BO281" s="275"/>
      <c r="BP281" s="276"/>
      <c r="BQ281" s="274"/>
      <c r="BR281" s="275"/>
      <c r="BS281" s="276"/>
      <c r="BT281" s="274"/>
      <c r="BU281" s="275"/>
      <c r="BV281" s="276"/>
      <c r="BW281" s="274"/>
      <c r="BX281" s="275"/>
      <c r="BY281" s="276"/>
      <c r="BZ281" s="274"/>
      <c r="CA281" s="275"/>
      <c r="CB281" s="276"/>
      <c r="CC281" s="274"/>
      <c r="CD281" s="275"/>
      <c r="CE281" s="276"/>
      <c r="CF281" s="274"/>
      <c r="CG281" s="275"/>
      <c r="CH281" s="275"/>
      <c r="CI281" s="274"/>
      <c r="CJ281" s="275"/>
      <c r="CK281" s="275"/>
      <c r="CL281" s="274"/>
      <c r="CM281" s="275"/>
      <c r="CN281" s="275"/>
      <c r="CO281" s="274"/>
      <c r="CP281" s="275"/>
      <c r="CQ281" s="275"/>
      <c r="CR281" s="274"/>
      <c r="CS281" s="275"/>
      <c r="CT281" s="275"/>
      <c r="CU281" s="274"/>
      <c r="CV281" s="275"/>
      <c r="CW281" s="276"/>
      <c r="CX281" s="275"/>
      <c r="CY281" s="275"/>
      <c r="CZ281" s="276"/>
      <c r="DA281" s="274"/>
      <c r="DB281" s="275"/>
      <c r="DC281" s="276"/>
      <c r="DD281" s="274"/>
      <c r="DE281" s="275"/>
      <c r="DF281" s="276"/>
      <c r="DG281" s="274"/>
      <c r="DH281" s="275"/>
      <c r="DI281" s="276"/>
      <c r="DJ281" s="274"/>
      <c r="DK281" s="275"/>
      <c r="DL281" s="276"/>
      <c r="DM281" s="274"/>
      <c r="DN281" s="275"/>
      <c r="DO281" s="276"/>
      <c r="DP281" s="274"/>
      <c r="DQ281" s="275"/>
      <c r="DR281" s="276"/>
      <c r="DS281" s="274"/>
    </row>
    <row r="282" hidden="1">
      <c r="B282" s="180"/>
      <c r="C282" s="277"/>
      <c r="D282" s="273"/>
      <c r="I282" s="274"/>
      <c r="J282" s="275"/>
      <c r="K282" s="276"/>
      <c r="L282" s="274"/>
      <c r="M282" s="275"/>
      <c r="N282" s="276"/>
      <c r="O282" s="274"/>
      <c r="P282" s="275"/>
      <c r="Q282" s="276"/>
      <c r="R282" s="274"/>
      <c r="S282" s="275"/>
      <c r="T282" s="276"/>
      <c r="U282" s="274"/>
      <c r="V282" s="275"/>
      <c r="W282" s="276"/>
      <c r="X282" s="274"/>
      <c r="Y282" s="275"/>
      <c r="Z282" s="276"/>
      <c r="AA282" s="274"/>
      <c r="AB282" s="275"/>
      <c r="AC282" s="276"/>
      <c r="AD282" s="274"/>
      <c r="AE282" s="275"/>
      <c r="AF282" s="276"/>
      <c r="AG282" s="274"/>
      <c r="AH282" s="275"/>
      <c r="AI282" s="276"/>
      <c r="AJ282" s="274"/>
      <c r="AK282" s="275"/>
      <c r="AL282" s="276"/>
      <c r="AM282" s="274"/>
      <c r="AN282" s="275"/>
      <c r="AO282" s="276"/>
      <c r="AP282" s="274"/>
      <c r="AQ282" s="275"/>
      <c r="AR282" s="276"/>
      <c r="AS282" s="274"/>
      <c r="AT282" s="275"/>
      <c r="AU282" s="276"/>
      <c r="AV282" s="274"/>
      <c r="AW282" s="275"/>
      <c r="AX282" s="276"/>
      <c r="AY282" s="274"/>
      <c r="AZ282" s="275"/>
      <c r="BA282" s="276"/>
      <c r="BB282" s="274"/>
      <c r="BC282" s="275"/>
      <c r="BD282" s="276"/>
      <c r="BE282" s="274"/>
      <c r="BF282" s="275"/>
      <c r="BG282" s="276"/>
      <c r="BH282" s="274"/>
      <c r="BI282" s="275"/>
      <c r="BJ282" s="276"/>
      <c r="BK282" s="274"/>
      <c r="BL282" s="275"/>
      <c r="BM282" s="276"/>
      <c r="BN282" s="274"/>
      <c r="BO282" s="275"/>
      <c r="BP282" s="276"/>
      <c r="BQ282" s="274"/>
      <c r="BR282" s="275"/>
      <c r="BS282" s="276"/>
      <c r="BT282" s="274"/>
      <c r="BU282" s="275"/>
      <c r="BV282" s="276"/>
      <c r="BW282" s="274"/>
      <c r="BX282" s="275"/>
      <c r="BY282" s="276"/>
      <c r="BZ282" s="274"/>
      <c r="CA282" s="275"/>
      <c r="CB282" s="276"/>
      <c r="CC282" s="274"/>
      <c r="CD282" s="275"/>
      <c r="CE282" s="276"/>
      <c r="CF282" s="274"/>
      <c r="CG282" s="275"/>
      <c r="CH282" s="275"/>
      <c r="CI282" s="274"/>
      <c r="CJ282" s="275"/>
      <c r="CK282" s="275"/>
      <c r="CL282" s="274"/>
      <c r="CM282" s="275"/>
      <c r="CN282" s="275"/>
      <c r="CO282" s="274"/>
      <c r="CP282" s="275"/>
      <c r="CQ282" s="275"/>
      <c r="CR282" s="274"/>
      <c r="CS282" s="275"/>
      <c r="CT282" s="275"/>
      <c r="CU282" s="274"/>
      <c r="CV282" s="275"/>
      <c r="CW282" s="276"/>
      <c r="CX282" s="275"/>
      <c r="CY282" s="275"/>
      <c r="CZ282" s="276"/>
      <c r="DA282" s="274"/>
      <c r="DB282" s="275"/>
      <c r="DC282" s="276"/>
      <c r="DD282" s="274"/>
      <c r="DE282" s="275"/>
      <c r="DF282" s="276"/>
      <c r="DG282" s="274"/>
      <c r="DH282" s="275"/>
      <c r="DI282" s="276"/>
      <c r="DJ282" s="274"/>
      <c r="DK282" s="275"/>
      <c r="DL282" s="276"/>
      <c r="DM282" s="274"/>
      <c r="DN282" s="275"/>
      <c r="DO282" s="276"/>
      <c r="DP282" s="274"/>
      <c r="DQ282" s="275"/>
      <c r="DR282" s="276"/>
      <c r="DS282" s="274"/>
    </row>
    <row r="283" hidden="1">
      <c r="B283" s="180"/>
      <c r="C283" s="277"/>
      <c r="D283" s="273"/>
      <c r="I283" s="274"/>
      <c r="J283" s="275"/>
      <c r="K283" s="276"/>
      <c r="L283" s="274"/>
      <c r="M283" s="275"/>
      <c r="N283" s="276"/>
      <c r="O283" s="274"/>
      <c r="P283" s="275"/>
      <c r="Q283" s="276"/>
      <c r="R283" s="274"/>
      <c r="S283" s="275"/>
      <c r="T283" s="276"/>
      <c r="U283" s="274"/>
      <c r="V283" s="275"/>
      <c r="W283" s="276"/>
      <c r="X283" s="274"/>
      <c r="Y283" s="275"/>
      <c r="Z283" s="276"/>
      <c r="AA283" s="274"/>
      <c r="AB283" s="275"/>
      <c r="AC283" s="276"/>
      <c r="AD283" s="274"/>
      <c r="AE283" s="275"/>
      <c r="AF283" s="276"/>
      <c r="AG283" s="274"/>
      <c r="AH283" s="275"/>
      <c r="AI283" s="276"/>
      <c r="AJ283" s="274"/>
      <c r="AK283" s="275"/>
      <c r="AL283" s="276"/>
      <c r="AM283" s="274"/>
      <c r="AN283" s="275"/>
      <c r="AO283" s="276"/>
      <c r="AP283" s="274"/>
      <c r="AQ283" s="275"/>
      <c r="AR283" s="276"/>
      <c r="AS283" s="274"/>
      <c r="AT283" s="275"/>
      <c r="AU283" s="276"/>
      <c r="AV283" s="274"/>
      <c r="AW283" s="275"/>
      <c r="AX283" s="276"/>
      <c r="AY283" s="274"/>
      <c r="AZ283" s="275"/>
      <c r="BA283" s="276"/>
      <c r="BB283" s="274"/>
      <c r="BC283" s="275"/>
      <c r="BD283" s="276"/>
      <c r="BE283" s="274"/>
      <c r="BF283" s="275"/>
      <c r="BG283" s="276"/>
      <c r="BH283" s="274"/>
      <c r="BI283" s="275"/>
      <c r="BJ283" s="276"/>
      <c r="BK283" s="274"/>
      <c r="BL283" s="275"/>
      <c r="BM283" s="276"/>
      <c r="BN283" s="274"/>
      <c r="BO283" s="275"/>
      <c r="BP283" s="276"/>
      <c r="BQ283" s="274"/>
      <c r="BR283" s="275"/>
      <c r="BS283" s="276"/>
      <c r="BT283" s="274"/>
      <c r="BU283" s="275"/>
      <c r="BV283" s="276"/>
      <c r="BW283" s="274"/>
      <c r="BX283" s="275"/>
      <c r="BY283" s="276"/>
      <c r="BZ283" s="274"/>
      <c r="CA283" s="275"/>
      <c r="CB283" s="276"/>
      <c r="CC283" s="274"/>
      <c r="CD283" s="275"/>
      <c r="CE283" s="276"/>
      <c r="CF283" s="274"/>
      <c r="CG283" s="275"/>
      <c r="CH283" s="275"/>
      <c r="CI283" s="274"/>
      <c r="CJ283" s="275"/>
      <c r="CK283" s="275"/>
      <c r="CL283" s="274"/>
      <c r="CM283" s="275"/>
      <c r="CN283" s="275"/>
      <c r="CO283" s="274"/>
      <c r="CP283" s="275"/>
      <c r="CQ283" s="275"/>
      <c r="CR283" s="274"/>
      <c r="CS283" s="275"/>
      <c r="CT283" s="275"/>
      <c r="CU283" s="274"/>
      <c r="CV283" s="275"/>
      <c r="CW283" s="276"/>
      <c r="CX283" s="275"/>
      <c r="CY283" s="275"/>
      <c r="CZ283" s="276"/>
      <c r="DA283" s="274"/>
      <c r="DB283" s="275"/>
      <c r="DC283" s="276"/>
      <c r="DD283" s="274"/>
      <c r="DE283" s="275"/>
      <c r="DF283" s="276"/>
      <c r="DG283" s="274"/>
      <c r="DH283" s="275"/>
      <c r="DI283" s="276"/>
      <c r="DJ283" s="274"/>
      <c r="DK283" s="275"/>
      <c r="DL283" s="276"/>
      <c r="DM283" s="274"/>
      <c r="DN283" s="275"/>
      <c r="DO283" s="276"/>
      <c r="DP283" s="274"/>
      <c r="DQ283" s="275"/>
      <c r="DR283" s="276"/>
      <c r="DS283" s="274"/>
    </row>
    <row r="284" hidden="1">
      <c r="B284" s="180"/>
      <c r="C284" s="277"/>
      <c r="D284" s="273"/>
      <c r="I284" s="274"/>
      <c r="J284" s="275"/>
      <c r="K284" s="276"/>
      <c r="L284" s="274"/>
      <c r="M284" s="275"/>
      <c r="N284" s="276"/>
      <c r="O284" s="274"/>
      <c r="P284" s="275"/>
      <c r="Q284" s="276"/>
      <c r="R284" s="274"/>
      <c r="S284" s="275"/>
      <c r="T284" s="276"/>
      <c r="U284" s="274"/>
      <c r="V284" s="275"/>
      <c r="W284" s="276"/>
      <c r="X284" s="274"/>
      <c r="Y284" s="275"/>
      <c r="Z284" s="276"/>
      <c r="AA284" s="274"/>
      <c r="AB284" s="275"/>
      <c r="AC284" s="276"/>
      <c r="AD284" s="274"/>
      <c r="AE284" s="275"/>
      <c r="AF284" s="276"/>
      <c r="AG284" s="274"/>
      <c r="AH284" s="275"/>
      <c r="AI284" s="276"/>
      <c r="AJ284" s="274"/>
      <c r="AK284" s="275"/>
      <c r="AL284" s="276"/>
      <c r="AM284" s="274"/>
      <c r="AN284" s="275"/>
      <c r="AO284" s="276"/>
      <c r="AP284" s="274"/>
      <c r="AQ284" s="275"/>
      <c r="AR284" s="276"/>
      <c r="AS284" s="274"/>
      <c r="AT284" s="275"/>
      <c r="AU284" s="276"/>
      <c r="AV284" s="274"/>
      <c r="AW284" s="275"/>
      <c r="AX284" s="276"/>
      <c r="AY284" s="274"/>
      <c r="AZ284" s="275"/>
      <c r="BA284" s="276"/>
      <c r="BB284" s="274"/>
      <c r="BC284" s="275"/>
      <c r="BD284" s="276"/>
      <c r="BE284" s="274"/>
      <c r="BF284" s="275"/>
      <c r="BG284" s="276"/>
      <c r="BH284" s="274"/>
      <c r="BI284" s="275"/>
      <c r="BJ284" s="276"/>
      <c r="BK284" s="274"/>
      <c r="BL284" s="275"/>
      <c r="BM284" s="276"/>
      <c r="BN284" s="274"/>
      <c r="BO284" s="275"/>
      <c r="BP284" s="276"/>
      <c r="BQ284" s="274"/>
      <c r="BR284" s="275"/>
      <c r="BS284" s="276"/>
      <c r="BT284" s="274"/>
      <c r="BU284" s="275"/>
      <c r="BV284" s="276"/>
      <c r="BW284" s="274"/>
      <c r="BX284" s="275"/>
      <c r="BY284" s="276"/>
      <c r="BZ284" s="274"/>
      <c r="CA284" s="275"/>
      <c r="CB284" s="276"/>
      <c r="CC284" s="274"/>
      <c r="CD284" s="275"/>
      <c r="CE284" s="276"/>
      <c r="CF284" s="274"/>
      <c r="CG284" s="275"/>
      <c r="CH284" s="275"/>
      <c r="CI284" s="274"/>
      <c r="CJ284" s="275"/>
      <c r="CK284" s="275"/>
      <c r="CL284" s="274"/>
      <c r="CM284" s="275"/>
      <c r="CN284" s="275"/>
      <c r="CO284" s="274"/>
      <c r="CP284" s="275"/>
      <c r="CQ284" s="275"/>
      <c r="CR284" s="274"/>
      <c r="CS284" s="275"/>
      <c r="CT284" s="275"/>
      <c r="CU284" s="274"/>
      <c r="CV284" s="275"/>
      <c r="CW284" s="276"/>
      <c r="CX284" s="275"/>
      <c r="CY284" s="275"/>
      <c r="CZ284" s="276"/>
      <c r="DA284" s="274"/>
      <c r="DB284" s="275"/>
      <c r="DC284" s="276"/>
      <c r="DD284" s="274"/>
      <c r="DE284" s="275"/>
      <c r="DF284" s="276"/>
      <c r="DG284" s="274"/>
      <c r="DH284" s="275"/>
      <c r="DI284" s="276"/>
      <c r="DJ284" s="274"/>
      <c r="DK284" s="275"/>
      <c r="DL284" s="276"/>
      <c r="DM284" s="274"/>
      <c r="DN284" s="275"/>
      <c r="DO284" s="276"/>
      <c r="DP284" s="274"/>
      <c r="DQ284" s="275"/>
      <c r="DR284" s="276"/>
      <c r="DS284" s="274"/>
    </row>
    <row r="285" hidden="1">
      <c r="B285" s="180"/>
      <c r="C285" s="277"/>
      <c r="D285" s="273"/>
      <c r="I285" s="274"/>
      <c r="J285" s="275"/>
      <c r="K285" s="276"/>
      <c r="L285" s="274"/>
      <c r="M285" s="275"/>
      <c r="N285" s="276"/>
      <c r="O285" s="274"/>
      <c r="P285" s="275"/>
      <c r="Q285" s="276"/>
      <c r="R285" s="274"/>
      <c r="S285" s="275"/>
      <c r="T285" s="276"/>
      <c r="U285" s="274"/>
      <c r="V285" s="275"/>
      <c r="W285" s="276"/>
      <c r="X285" s="274"/>
      <c r="Y285" s="275"/>
      <c r="Z285" s="276"/>
      <c r="AA285" s="274"/>
      <c r="AB285" s="275"/>
      <c r="AC285" s="276"/>
      <c r="AD285" s="274"/>
      <c r="AE285" s="275"/>
      <c r="AF285" s="276"/>
      <c r="AG285" s="274"/>
      <c r="AH285" s="275"/>
      <c r="AI285" s="276"/>
      <c r="AJ285" s="274"/>
      <c r="AK285" s="275"/>
      <c r="AL285" s="276"/>
      <c r="AM285" s="274"/>
      <c r="AN285" s="275"/>
      <c r="AO285" s="276"/>
      <c r="AP285" s="274"/>
      <c r="AQ285" s="275"/>
      <c r="AR285" s="276"/>
      <c r="AS285" s="274"/>
      <c r="AT285" s="275"/>
      <c r="AU285" s="276"/>
      <c r="AV285" s="274"/>
      <c r="AW285" s="275"/>
      <c r="AX285" s="276"/>
      <c r="AY285" s="274"/>
      <c r="AZ285" s="275"/>
      <c r="BA285" s="276"/>
      <c r="BB285" s="274"/>
      <c r="BC285" s="275"/>
      <c r="BD285" s="276"/>
      <c r="BE285" s="274"/>
      <c r="BF285" s="275"/>
      <c r="BG285" s="276"/>
      <c r="BH285" s="274"/>
      <c r="BI285" s="275"/>
      <c r="BJ285" s="276"/>
      <c r="BK285" s="274"/>
      <c r="BL285" s="275"/>
      <c r="BM285" s="276"/>
      <c r="BN285" s="274"/>
      <c r="BO285" s="275"/>
      <c r="BP285" s="276"/>
      <c r="BQ285" s="274"/>
      <c r="BR285" s="275"/>
      <c r="BS285" s="276"/>
      <c r="BT285" s="274"/>
      <c r="BU285" s="275"/>
      <c r="BV285" s="276"/>
      <c r="BW285" s="274"/>
      <c r="BX285" s="275"/>
      <c r="BY285" s="276"/>
      <c r="BZ285" s="274"/>
      <c r="CA285" s="275"/>
      <c r="CB285" s="276"/>
      <c r="CC285" s="274"/>
      <c r="CD285" s="275"/>
      <c r="CE285" s="276"/>
      <c r="CF285" s="274"/>
      <c r="CG285" s="275"/>
      <c r="CH285" s="275"/>
      <c r="CI285" s="274"/>
      <c r="CJ285" s="275"/>
      <c r="CK285" s="275"/>
      <c r="CL285" s="274"/>
      <c r="CM285" s="275"/>
      <c r="CN285" s="275"/>
      <c r="CO285" s="274"/>
      <c r="CP285" s="275"/>
      <c r="CQ285" s="275"/>
      <c r="CR285" s="274"/>
      <c r="CS285" s="275"/>
      <c r="CT285" s="275"/>
      <c r="CU285" s="274"/>
      <c r="CV285" s="275"/>
      <c r="CW285" s="276"/>
      <c r="CX285" s="275"/>
      <c r="CY285" s="275"/>
      <c r="CZ285" s="276"/>
      <c r="DA285" s="274"/>
      <c r="DB285" s="275"/>
      <c r="DC285" s="276"/>
      <c r="DD285" s="274"/>
      <c r="DE285" s="275"/>
      <c r="DF285" s="276"/>
      <c r="DG285" s="274"/>
      <c r="DH285" s="275"/>
      <c r="DI285" s="276"/>
      <c r="DJ285" s="274"/>
      <c r="DK285" s="275"/>
      <c r="DL285" s="276"/>
      <c r="DM285" s="274"/>
      <c r="DN285" s="275"/>
      <c r="DO285" s="276"/>
      <c r="DP285" s="274"/>
      <c r="DQ285" s="275"/>
      <c r="DR285" s="276"/>
      <c r="DS285" s="274"/>
    </row>
    <row r="286" hidden="1">
      <c r="B286" s="180"/>
      <c r="C286" s="277"/>
      <c r="D286" s="273"/>
      <c r="I286" s="274"/>
      <c r="J286" s="275"/>
      <c r="K286" s="276"/>
      <c r="L286" s="274"/>
      <c r="M286" s="275"/>
      <c r="N286" s="276"/>
      <c r="O286" s="274"/>
      <c r="P286" s="275"/>
      <c r="Q286" s="276"/>
      <c r="R286" s="274"/>
      <c r="S286" s="275"/>
      <c r="T286" s="276"/>
      <c r="U286" s="274"/>
      <c r="V286" s="275"/>
      <c r="W286" s="276"/>
      <c r="X286" s="274"/>
      <c r="Y286" s="275"/>
      <c r="Z286" s="276"/>
      <c r="AA286" s="274"/>
      <c r="AB286" s="275"/>
      <c r="AC286" s="276"/>
      <c r="AD286" s="274"/>
      <c r="AE286" s="275"/>
      <c r="AF286" s="276"/>
      <c r="AG286" s="274"/>
      <c r="AH286" s="275"/>
      <c r="AI286" s="276"/>
      <c r="AJ286" s="274"/>
      <c r="AK286" s="275"/>
      <c r="AL286" s="276"/>
      <c r="AM286" s="274"/>
      <c r="AN286" s="275"/>
      <c r="AO286" s="276"/>
      <c r="AP286" s="274"/>
      <c r="AQ286" s="275"/>
      <c r="AR286" s="276"/>
      <c r="AS286" s="274"/>
      <c r="AT286" s="275"/>
      <c r="AU286" s="276"/>
      <c r="AV286" s="274"/>
      <c r="AW286" s="275"/>
      <c r="AX286" s="276"/>
      <c r="AY286" s="274"/>
      <c r="AZ286" s="275"/>
      <c r="BA286" s="276"/>
      <c r="BB286" s="274"/>
      <c r="BC286" s="275"/>
      <c r="BD286" s="276"/>
      <c r="BE286" s="274"/>
      <c r="BF286" s="275"/>
      <c r="BG286" s="276"/>
      <c r="BH286" s="274"/>
      <c r="BI286" s="275"/>
      <c r="BJ286" s="276"/>
      <c r="BK286" s="274"/>
      <c r="BL286" s="275"/>
      <c r="BM286" s="276"/>
      <c r="BN286" s="274"/>
      <c r="BO286" s="275"/>
      <c r="BP286" s="276"/>
      <c r="BQ286" s="274"/>
      <c r="BR286" s="275"/>
      <c r="BS286" s="276"/>
      <c r="BT286" s="274"/>
      <c r="BU286" s="275"/>
      <c r="BV286" s="276"/>
      <c r="BW286" s="274"/>
      <c r="BX286" s="275"/>
      <c r="BY286" s="276"/>
      <c r="BZ286" s="274"/>
      <c r="CA286" s="275"/>
      <c r="CB286" s="276"/>
      <c r="CC286" s="274"/>
      <c r="CD286" s="275"/>
      <c r="CE286" s="276"/>
      <c r="CF286" s="274"/>
      <c r="CG286" s="275"/>
      <c r="CH286" s="275"/>
      <c r="CI286" s="274"/>
      <c r="CJ286" s="275"/>
      <c r="CK286" s="275"/>
      <c r="CL286" s="274"/>
      <c r="CM286" s="275"/>
      <c r="CN286" s="275"/>
      <c r="CO286" s="274"/>
      <c r="CP286" s="275"/>
      <c r="CQ286" s="275"/>
      <c r="CR286" s="274"/>
      <c r="CS286" s="275"/>
      <c r="CT286" s="275"/>
      <c r="CU286" s="274"/>
      <c r="CV286" s="275"/>
      <c r="CW286" s="276"/>
      <c r="CX286" s="275"/>
      <c r="CY286" s="275"/>
      <c r="CZ286" s="276"/>
      <c r="DA286" s="274"/>
      <c r="DB286" s="275"/>
      <c r="DC286" s="276"/>
      <c r="DD286" s="274"/>
      <c r="DE286" s="275"/>
      <c r="DF286" s="276"/>
      <c r="DG286" s="274"/>
      <c r="DH286" s="275"/>
      <c r="DI286" s="276"/>
      <c r="DJ286" s="274"/>
      <c r="DK286" s="275"/>
      <c r="DL286" s="276"/>
      <c r="DM286" s="274"/>
      <c r="DN286" s="275"/>
      <c r="DO286" s="276"/>
      <c r="DP286" s="274"/>
      <c r="DQ286" s="275"/>
      <c r="DR286" s="276"/>
      <c r="DS286" s="274"/>
    </row>
    <row r="287" hidden="1">
      <c r="B287" s="180"/>
      <c r="C287" s="277"/>
      <c r="D287" s="273"/>
      <c r="I287" s="274"/>
      <c r="J287" s="275"/>
      <c r="K287" s="276"/>
      <c r="L287" s="274"/>
      <c r="M287" s="275"/>
      <c r="N287" s="276"/>
      <c r="O287" s="274"/>
      <c r="P287" s="275"/>
      <c r="Q287" s="276"/>
      <c r="R287" s="274"/>
      <c r="S287" s="275"/>
      <c r="T287" s="276"/>
      <c r="U287" s="274"/>
      <c r="V287" s="275"/>
      <c r="W287" s="276"/>
      <c r="X287" s="274"/>
      <c r="Y287" s="275"/>
      <c r="Z287" s="276"/>
      <c r="AA287" s="274"/>
      <c r="AB287" s="275"/>
      <c r="AC287" s="276"/>
      <c r="AD287" s="274"/>
      <c r="AE287" s="275"/>
      <c r="AF287" s="276"/>
      <c r="AG287" s="274"/>
      <c r="AH287" s="275"/>
      <c r="AI287" s="276"/>
      <c r="AJ287" s="274"/>
      <c r="AK287" s="275"/>
      <c r="AL287" s="276"/>
      <c r="AM287" s="274"/>
      <c r="AN287" s="275"/>
      <c r="AO287" s="276"/>
      <c r="AP287" s="274"/>
      <c r="AQ287" s="275"/>
      <c r="AR287" s="276"/>
      <c r="AS287" s="274"/>
      <c r="AT287" s="275"/>
      <c r="AU287" s="276"/>
      <c r="AV287" s="274"/>
      <c r="AW287" s="275"/>
      <c r="AX287" s="276"/>
      <c r="AY287" s="274"/>
      <c r="AZ287" s="275"/>
      <c r="BA287" s="276"/>
      <c r="BB287" s="274"/>
      <c r="BC287" s="275"/>
      <c r="BD287" s="276"/>
      <c r="BE287" s="274"/>
      <c r="BF287" s="275"/>
      <c r="BG287" s="276"/>
      <c r="BH287" s="274"/>
      <c r="BI287" s="275"/>
      <c r="BJ287" s="276"/>
      <c r="BK287" s="274"/>
      <c r="BL287" s="275"/>
      <c r="BM287" s="276"/>
      <c r="BN287" s="274"/>
      <c r="BO287" s="275"/>
      <c r="BP287" s="276"/>
      <c r="BQ287" s="274"/>
      <c r="BR287" s="275"/>
      <c r="BS287" s="276"/>
      <c r="BT287" s="274"/>
      <c r="BU287" s="275"/>
      <c r="BV287" s="276"/>
      <c r="BW287" s="274"/>
      <c r="BX287" s="275"/>
      <c r="BY287" s="276"/>
      <c r="BZ287" s="274"/>
      <c r="CA287" s="275"/>
      <c r="CB287" s="276"/>
      <c r="CC287" s="274"/>
      <c r="CD287" s="275"/>
      <c r="CE287" s="276"/>
      <c r="CF287" s="274"/>
      <c r="CG287" s="275"/>
      <c r="CH287" s="275"/>
      <c r="CI287" s="274"/>
      <c r="CJ287" s="275"/>
      <c r="CK287" s="275"/>
      <c r="CL287" s="274"/>
      <c r="CM287" s="275"/>
      <c r="CN287" s="275"/>
      <c r="CO287" s="274"/>
      <c r="CP287" s="275"/>
      <c r="CQ287" s="275"/>
      <c r="CR287" s="274"/>
      <c r="CS287" s="275"/>
      <c r="CT287" s="275"/>
      <c r="CU287" s="274"/>
      <c r="CV287" s="275"/>
      <c r="CW287" s="276"/>
      <c r="CX287" s="275"/>
      <c r="CY287" s="275"/>
      <c r="CZ287" s="276"/>
      <c r="DA287" s="274"/>
      <c r="DB287" s="275"/>
      <c r="DC287" s="276"/>
      <c r="DD287" s="274"/>
      <c r="DE287" s="275"/>
      <c r="DF287" s="276"/>
      <c r="DG287" s="274"/>
      <c r="DH287" s="275"/>
      <c r="DI287" s="276"/>
      <c r="DJ287" s="274"/>
      <c r="DK287" s="275"/>
      <c r="DL287" s="276"/>
      <c r="DM287" s="274"/>
      <c r="DN287" s="275"/>
      <c r="DO287" s="276"/>
      <c r="DP287" s="274"/>
      <c r="DQ287" s="275"/>
      <c r="DR287" s="276"/>
      <c r="DS287" s="274"/>
    </row>
    <row r="288" hidden="1">
      <c r="B288" s="180"/>
      <c r="C288" s="277"/>
      <c r="D288" s="273"/>
      <c r="I288" s="274"/>
      <c r="J288" s="275"/>
      <c r="K288" s="276"/>
      <c r="L288" s="274"/>
      <c r="M288" s="275"/>
      <c r="N288" s="276"/>
      <c r="O288" s="274"/>
      <c r="P288" s="275"/>
      <c r="Q288" s="276"/>
      <c r="R288" s="274"/>
      <c r="S288" s="275"/>
      <c r="T288" s="276"/>
      <c r="U288" s="274"/>
      <c r="V288" s="275"/>
      <c r="W288" s="276"/>
      <c r="X288" s="274"/>
      <c r="Y288" s="275"/>
      <c r="Z288" s="276"/>
      <c r="AA288" s="274"/>
      <c r="AB288" s="275"/>
      <c r="AC288" s="276"/>
      <c r="AD288" s="274"/>
      <c r="AE288" s="275"/>
      <c r="AF288" s="276"/>
      <c r="AG288" s="274"/>
      <c r="AH288" s="275"/>
      <c r="AI288" s="276"/>
      <c r="AJ288" s="274"/>
      <c r="AK288" s="275"/>
      <c r="AL288" s="276"/>
      <c r="AM288" s="274"/>
      <c r="AN288" s="275"/>
      <c r="AO288" s="276"/>
      <c r="AP288" s="274"/>
      <c r="AQ288" s="275"/>
      <c r="AR288" s="276"/>
      <c r="AS288" s="274"/>
      <c r="AT288" s="275"/>
      <c r="AU288" s="276"/>
      <c r="AV288" s="274"/>
      <c r="AW288" s="275"/>
      <c r="AX288" s="276"/>
      <c r="AY288" s="274"/>
      <c r="AZ288" s="275"/>
      <c r="BA288" s="276"/>
      <c r="BB288" s="274"/>
      <c r="BC288" s="275"/>
      <c r="BD288" s="276"/>
      <c r="BE288" s="274"/>
      <c r="BF288" s="275"/>
      <c r="BG288" s="276"/>
      <c r="BH288" s="274"/>
      <c r="BI288" s="275"/>
      <c r="BJ288" s="276"/>
      <c r="BK288" s="274"/>
      <c r="BL288" s="275"/>
      <c r="BM288" s="276"/>
      <c r="BN288" s="274"/>
      <c r="BO288" s="275"/>
      <c r="BP288" s="276"/>
      <c r="BQ288" s="274"/>
      <c r="BR288" s="275"/>
      <c r="BS288" s="276"/>
      <c r="BT288" s="274"/>
      <c r="BU288" s="275"/>
      <c r="BV288" s="276"/>
      <c r="BW288" s="274"/>
      <c r="BX288" s="275"/>
      <c r="BY288" s="276"/>
      <c r="BZ288" s="274"/>
      <c r="CA288" s="275"/>
      <c r="CB288" s="276"/>
      <c r="CC288" s="274"/>
      <c r="CD288" s="275"/>
      <c r="CE288" s="276"/>
      <c r="CF288" s="274"/>
      <c r="CG288" s="275"/>
      <c r="CH288" s="275"/>
      <c r="CI288" s="274"/>
      <c r="CJ288" s="275"/>
      <c r="CK288" s="275"/>
      <c r="CL288" s="274"/>
      <c r="CM288" s="275"/>
      <c r="CN288" s="275"/>
      <c r="CO288" s="274"/>
      <c r="CP288" s="275"/>
      <c r="CQ288" s="275"/>
      <c r="CR288" s="274"/>
      <c r="CS288" s="275"/>
      <c r="CT288" s="275"/>
      <c r="CU288" s="274"/>
      <c r="CV288" s="275"/>
      <c r="CW288" s="276"/>
      <c r="CX288" s="275"/>
      <c r="CY288" s="275"/>
      <c r="CZ288" s="276"/>
      <c r="DA288" s="274"/>
      <c r="DB288" s="275"/>
      <c r="DC288" s="276"/>
      <c r="DD288" s="274"/>
      <c r="DE288" s="275"/>
      <c r="DF288" s="276"/>
      <c r="DG288" s="274"/>
      <c r="DH288" s="275"/>
      <c r="DI288" s="276"/>
      <c r="DJ288" s="274"/>
      <c r="DK288" s="275"/>
      <c r="DL288" s="276"/>
      <c r="DM288" s="274"/>
      <c r="DN288" s="275"/>
      <c r="DO288" s="276"/>
      <c r="DP288" s="274"/>
      <c r="DQ288" s="275"/>
      <c r="DR288" s="276"/>
      <c r="DS288" s="274"/>
    </row>
    <row r="289" hidden="1">
      <c r="B289" s="180"/>
      <c r="C289" s="277"/>
      <c r="D289" s="273"/>
      <c r="I289" s="274"/>
      <c r="J289" s="275"/>
      <c r="K289" s="276"/>
      <c r="L289" s="274"/>
      <c r="M289" s="275"/>
      <c r="N289" s="276"/>
      <c r="O289" s="274"/>
      <c r="P289" s="275"/>
      <c r="Q289" s="276"/>
      <c r="R289" s="274"/>
      <c r="S289" s="275"/>
      <c r="T289" s="276"/>
      <c r="U289" s="274"/>
      <c r="V289" s="275"/>
      <c r="W289" s="276"/>
      <c r="X289" s="274"/>
      <c r="Y289" s="275"/>
      <c r="Z289" s="276"/>
      <c r="AA289" s="274"/>
      <c r="AB289" s="275"/>
      <c r="AC289" s="276"/>
      <c r="AD289" s="274"/>
      <c r="AE289" s="275"/>
      <c r="AF289" s="276"/>
      <c r="AG289" s="274"/>
      <c r="AH289" s="275"/>
      <c r="AI289" s="276"/>
      <c r="AJ289" s="274"/>
      <c r="AK289" s="275"/>
      <c r="AL289" s="276"/>
      <c r="AM289" s="274"/>
      <c r="AN289" s="275"/>
      <c r="AO289" s="276"/>
      <c r="AP289" s="274"/>
      <c r="AQ289" s="275"/>
      <c r="AR289" s="276"/>
      <c r="AS289" s="274"/>
      <c r="AT289" s="275"/>
      <c r="AU289" s="276"/>
      <c r="AV289" s="274"/>
      <c r="AW289" s="275"/>
      <c r="AX289" s="276"/>
      <c r="AY289" s="274"/>
      <c r="AZ289" s="275"/>
      <c r="BA289" s="276"/>
      <c r="BB289" s="274"/>
      <c r="BC289" s="275"/>
      <c r="BD289" s="276"/>
      <c r="BE289" s="274"/>
      <c r="BF289" s="275"/>
      <c r="BG289" s="276"/>
      <c r="BH289" s="274"/>
      <c r="BI289" s="275"/>
      <c r="BJ289" s="276"/>
      <c r="BK289" s="274"/>
      <c r="BL289" s="275"/>
      <c r="BM289" s="276"/>
      <c r="BN289" s="274"/>
      <c r="BO289" s="275"/>
      <c r="BP289" s="276"/>
      <c r="BQ289" s="274"/>
      <c r="BR289" s="275"/>
      <c r="BS289" s="276"/>
      <c r="BT289" s="274"/>
      <c r="BU289" s="275"/>
      <c r="BV289" s="276"/>
      <c r="BW289" s="274"/>
      <c r="BX289" s="275"/>
      <c r="BY289" s="276"/>
      <c r="BZ289" s="274"/>
      <c r="CA289" s="275"/>
      <c r="CB289" s="276"/>
      <c r="CC289" s="274"/>
      <c r="CD289" s="275"/>
      <c r="CE289" s="276"/>
      <c r="CF289" s="274"/>
      <c r="CG289" s="275"/>
      <c r="CH289" s="275"/>
      <c r="CI289" s="274"/>
      <c r="CJ289" s="275"/>
      <c r="CK289" s="275"/>
      <c r="CL289" s="274"/>
      <c r="CM289" s="275"/>
      <c r="CN289" s="275"/>
      <c r="CO289" s="274"/>
      <c r="CP289" s="275"/>
      <c r="CQ289" s="275"/>
      <c r="CR289" s="274"/>
      <c r="CS289" s="275"/>
      <c r="CT289" s="275"/>
      <c r="CU289" s="274"/>
      <c r="CV289" s="275"/>
      <c r="CW289" s="276"/>
      <c r="CX289" s="275"/>
      <c r="CY289" s="275"/>
      <c r="CZ289" s="276"/>
      <c r="DA289" s="274"/>
      <c r="DB289" s="275"/>
      <c r="DC289" s="276"/>
      <c r="DD289" s="274"/>
      <c r="DE289" s="275"/>
      <c r="DF289" s="276"/>
      <c r="DG289" s="274"/>
      <c r="DH289" s="275"/>
      <c r="DI289" s="276"/>
      <c r="DJ289" s="274"/>
      <c r="DK289" s="275"/>
      <c r="DL289" s="276"/>
      <c r="DM289" s="274"/>
      <c r="DN289" s="275"/>
      <c r="DO289" s="276"/>
      <c r="DP289" s="274"/>
      <c r="DQ289" s="275"/>
      <c r="DR289" s="276"/>
      <c r="DS289" s="274"/>
    </row>
    <row r="290" hidden="1">
      <c r="B290" s="180"/>
      <c r="C290" s="277"/>
      <c r="D290" s="273"/>
      <c r="I290" s="274"/>
      <c r="J290" s="275"/>
      <c r="K290" s="276"/>
      <c r="L290" s="274"/>
      <c r="M290" s="275"/>
      <c r="N290" s="276"/>
      <c r="O290" s="274"/>
      <c r="P290" s="275"/>
      <c r="Q290" s="276"/>
      <c r="R290" s="274"/>
      <c r="S290" s="275"/>
      <c r="T290" s="276"/>
      <c r="U290" s="274"/>
      <c r="V290" s="275"/>
      <c r="W290" s="276"/>
      <c r="X290" s="274"/>
      <c r="Y290" s="275"/>
      <c r="Z290" s="276"/>
      <c r="AA290" s="274"/>
      <c r="AB290" s="275"/>
      <c r="AC290" s="276"/>
      <c r="AD290" s="274"/>
      <c r="AE290" s="275"/>
      <c r="AF290" s="276"/>
      <c r="AG290" s="274"/>
      <c r="AH290" s="275"/>
      <c r="AI290" s="276"/>
      <c r="AJ290" s="274"/>
      <c r="AK290" s="275"/>
      <c r="AL290" s="276"/>
      <c r="AM290" s="274"/>
      <c r="AN290" s="275"/>
      <c r="AO290" s="276"/>
      <c r="AP290" s="274"/>
      <c r="AQ290" s="275"/>
      <c r="AR290" s="276"/>
      <c r="AS290" s="274"/>
      <c r="AT290" s="275"/>
      <c r="AU290" s="276"/>
      <c r="AV290" s="274"/>
      <c r="AW290" s="275"/>
      <c r="AX290" s="276"/>
      <c r="AY290" s="274"/>
      <c r="AZ290" s="275"/>
      <c r="BA290" s="276"/>
      <c r="BB290" s="274"/>
      <c r="BC290" s="275"/>
      <c r="BD290" s="276"/>
      <c r="BE290" s="274"/>
      <c r="BF290" s="275"/>
      <c r="BG290" s="276"/>
      <c r="BH290" s="274"/>
      <c r="BI290" s="275"/>
      <c r="BJ290" s="276"/>
      <c r="BK290" s="274"/>
      <c r="BL290" s="275"/>
      <c r="BM290" s="276"/>
      <c r="BN290" s="274"/>
      <c r="BO290" s="275"/>
      <c r="BP290" s="276"/>
      <c r="BQ290" s="274"/>
      <c r="BR290" s="275"/>
      <c r="BS290" s="276"/>
      <c r="BT290" s="274"/>
      <c r="BU290" s="275"/>
      <c r="BV290" s="276"/>
      <c r="BW290" s="274"/>
      <c r="BX290" s="275"/>
      <c r="BY290" s="276"/>
      <c r="BZ290" s="274"/>
      <c r="CA290" s="275"/>
      <c r="CB290" s="276"/>
      <c r="CC290" s="274"/>
      <c r="CD290" s="275"/>
      <c r="CE290" s="276"/>
      <c r="CF290" s="274"/>
      <c r="CG290" s="275"/>
      <c r="CH290" s="275"/>
      <c r="CI290" s="274"/>
      <c r="CJ290" s="275"/>
      <c r="CK290" s="275"/>
      <c r="CL290" s="274"/>
      <c r="CM290" s="275"/>
      <c r="CN290" s="275"/>
      <c r="CO290" s="274"/>
      <c r="CP290" s="275"/>
      <c r="CQ290" s="275"/>
      <c r="CR290" s="274"/>
      <c r="CS290" s="275"/>
      <c r="CT290" s="275"/>
      <c r="CU290" s="274"/>
      <c r="CV290" s="275"/>
      <c r="CW290" s="276"/>
      <c r="CX290" s="275"/>
      <c r="CY290" s="275"/>
      <c r="CZ290" s="276"/>
      <c r="DA290" s="274"/>
      <c r="DB290" s="275"/>
      <c r="DC290" s="276"/>
      <c r="DD290" s="274"/>
      <c r="DE290" s="275"/>
      <c r="DF290" s="276"/>
      <c r="DG290" s="274"/>
      <c r="DH290" s="275"/>
      <c r="DI290" s="276"/>
      <c r="DJ290" s="274"/>
      <c r="DK290" s="275"/>
      <c r="DL290" s="276"/>
      <c r="DM290" s="274"/>
      <c r="DN290" s="275"/>
      <c r="DO290" s="276"/>
      <c r="DP290" s="274"/>
      <c r="DQ290" s="275"/>
      <c r="DR290" s="276"/>
      <c r="DS290" s="274"/>
    </row>
    <row r="291" hidden="1">
      <c r="B291" s="180"/>
      <c r="C291" s="277"/>
      <c r="D291" s="273"/>
      <c r="I291" s="274"/>
      <c r="J291" s="275"/>
      <c r="K291" s="276"/>
      <c r="L291" s="274"/>
      <c r="M291" s="275"/>
      <c r="N291" s="276"/>
      <c r="O291" s="274"/>
      <c r="P291" s="275"/>
      <c r="Q291" s="276"/>
      <c r="R291" s="274"/>
      <c r="S291" s="275"/>
      <c r="T291" s="276"/>
      <c r="U291" s="274"/>
      <c r="V291" s="275"/>
      <c r="W291" s="276"/>
      <c r="X291" s="274"/>
      <c r="Y291" s="275"/>
      <c r="Z291" s="276"/>
      <c r="AA291" s="274"/>
      <c r="AB291" s="275"/>
      <c r="AC291" s="276"/>
      <c r="AD291" s="274"/>
      <c r="AE291" s="275"/>
      <c r="AF291" s="276"/>
      <c r="AG291" s="274"/>
      <c r="AH291" s="275"/>
      <c r="AI291" s="276"/>
      <c r="AJ291" s="274"/>
      <c r="AK291" s="275"/>
      <c r="AL291" s="276"/>
      <c r="AM291" s="274"/>
      <c r="AN291" s="275"/>
      <c r="AO291" s="276"/>
      <c r="AP291" s="274"/>
      <c r="AQ291" s="275"/>
      <c r="AR291" s="276"/>
      <c r="AS291" s="274"/>
      <c r="AT291" s="275"/>
      <c r="AU291" s="276"/>
      <c r="AV291" s="274"/>
      <c r="AW291" s="275"/>
      <c r="AX291" s="276"/>
      <c r="AY291" s="274"/>
      <c r="AZ291" s="275"/>
      <c r="BA291" s="276"/>
      <c r="BB291" s="274"/>
      <c r="BC291" s="275"/>
      <c r="BD291" s="276"/>
      <c r="BE291" s="274"/>
      <c r="BF291" s="275"/>
      <c r="BG291" s="276"/>
      <c r="BH291" s="274"/>
      <c r="BI291" s="275"/>
      <c r="BJ291" s="276"/>
      <c r="BK291" s="274"/>
      <c r="BL291" s="275"/>
      <c r="BM291" s="276"/>
      <c r="BN291" s="274"/>
      <c r="BO291" s="275"/>
      <c r="BP291" s="276"/>
      <c r="BQ291" s="274"/>
      <c r="BR291" s="275"/>
      <c r="BS291" s="276"/>
      <c r="BT291" s="274"/>
      <c r="BU291" s="275"/>
      <c r="BV291" s="276"/>
      <c r="BW291" s="274"/>
      <c r="BX291" s="275"/>
      <c r="BY291" s="276"/>
      <c r="BZ291" s="274"/>
      <c r="CA291" s="275"/>
      <c r="CB291" s="276"/>
      <c r="CC291" s="274"/>
      <c r="CD291" s="275"/>
      <c r="CE291" s="276"/>
      <c r="CF291" s="274"/>
      <c r="CG291" s="275"/>
      <c r="CH291" s="275"/>
      <c r="CI291" s="274"/>
      <c r="CJ291" s="275"/>
      <c r="CK291" s="275"/>
      <c r="CL291" s="274"/>
      <c r="CM291" s="275"/>
      <c r="CN291" s="275"/>
      <c r="CO291" s="274"/>
      <c r="CP291" s="275"/>
      <c r="CQ291" s="275"/>
      <c r="CR291" s="274"/>
      <c r="CS291" s="275"/>
      <c r="CT291" s="275"/>
      <c r="CU291" s="274"/>
      <c r="CV291" s="275"/>
      <c r="CW291" s="276"/>
      <c r="CX291" s="275"/>
      <c r="CY291" s="275"/>
      <c r="CZ291" s="276"/>
      <c r="DA291" s="274"/>
      <c r="DB291" s="275"/>
      <c r="DC291" s="276"/>
      <c r="DD291" s="274"/>
      <c r="DE291" s="275"/>
      <c r="DF291" s="276"/>
      <c r="DG291" s="274"/>
      <c r="DH291" s="275"/>
      <c r="DI291" s="276"/>
      <c r="DJ291" s="274"/>
      <c r="DK291" s="275"/>
      <c r="DL291" s="276"/>
      <c r="DM291" s="274"/>
      <c r="DN291" s="275"/>
      <c r="DO291" s="276"/>
      <c r="DP291" s="274"/>
      <c r="DQ291" s="275"/>
      <c r="DR291" s="276"/>
      <c r="DS291" s="274"/>
    </row>
    <row r="292" hidden="1">
      <c r="B292" s="180"/>
      <c r="C292" s="277"/>
      <c r="D292" s="273"/>
      <c r="I292" s="274"/>
      <c r="J292" s="275"/>
      <c r="K292" s="276"/>
      <c r="L292" s="274"/>
      <c r="M292" s="275"/>
      <c r="N292" s="276"/>
      <c r="O292" s="274"/>
      <c r="P292" s="275"/>
      <c r="Q292" s="276"/>
      <c r="R292" s="274"/>
      <c r="S292" s="275"/>
      <c r="T292" s="276"/>
      <c r="U292" s="274"/>
      <c r="V292" s="275"/>
      <c r="W292" s="276"/>
      <c r="X292" s="274"/>
      <c r="Y292" s="275"/>
      <c r="Z292" s="276"/>
      <c r="AA292" s="274"/>
      <c r="AB292" s="275"/>
      <c r="AC292" s="276"/>
      <c r="AD292" s="274"/>
      <c r="AE292" s="275"/>
      <c r="AF292" s="276"/>
      <c r="AG292" s="274"/>
      <c r="AH292" s="275"/>
      <c r="AI292" s="276"/>
      <c r="AJ292" s="274"/>
      <c r="AK292" s="275"/>
      <c r="AL292" s="276"/>
      <c r="AM292" s="274"/>
      <c r="AN292" s="275"/>
      <c r="AO292" s="276"/>
      <c r="AP292" s="274"/>
      <c r="AQ292" s="275"/>
      <c r="AR292" s="276"/>
      <c r="AS292" s="274"/>
      <c r="AT292" s="275"/>
      <c r="AU292" s="276"/>
      <c r="AV292" s="274"/>
      <c r="AW292" s="275"/>
      <c r="AX292" s="276"/>
      <c r="AY292" s="274"/>
      <c r="AZ292" s="275"/>
      <c r="BA292" s="276"/>
      <c r="BB292" s="274"/>
      <c r="BC292" s="275"/>
      <c r="BD292" s="276"/>
      <c r="BE292" s="274"/>
      <c r="BF292" s="275"/>
      <c r="BG292" s="276"/>
      <c r="BH292" s="274"/>
      <c r="BI292" s="275"/>
      <c r="BJ292" s="276"/>
      <c r="BK292" s="274"/>
      <c r="BL292" s="275"/>
      <c r="BM292" s="276"/>
      <c r="BN292" s="274"/>
      <c r="BO292" s="275"/>
      <c r="BP292" s="276"/>
      <c r="BQ292" s="274"/>
      <c r="BR292" s="275"/>
      <c r="BS292" s="276"/>
      <c r="BT292" s="274"/>
      <c r="BU292" s="275"/>
      <c r="BV292" s="276"/>
      <c r="BW292" s="274"/>
      <c r="BX292" s="275"/>
      <c r="BY292" s="276"/>
      <c r="BZ292" s="274"/>
      <c r="CA292" s="275"/>
      <c r="CB292" s="276"/>
      <c r="CC292" s="274"/>
      <c r="CD292" s="275"/>
      <c r="CE292" s="276"/>
      <c r="CF292" s="274"/>
      <c r="CG292" s="275"/>
      <c r="CH292" s="275"/>
      <c r="CI292" s="274"/>
      <c r="CJ292" s="275"/>
      <c r="CK292" s="275"/>
      <c r="CL292" s="274"/>
      <c r="CM292" s="275"/>
      <c r="CN292" s="275"/>
      <c r="CO292" s="274"/>
      <c r="CP292" s="275"/>
      <c r="CQ292" s="275"/>
      <c r="CR292" s="274"/>
      <c r="CS292" s="275"/>
      <c r="CT292" s="275"/>
      <c r="CU292" s="274"/>
      <c r="CV292" s="275"/>
      <c r="CW292" s="276"/>
      <c r="CX292" s="275"/>
      <c r="CY292" s="275"/>
      <c r="CZ292" s="276"/>
      <c r="DA292" s="274"/>
      <c r="DB292" s="275"/>
      <c r="DC292" s="276"/>
      <c r="DD292" s="274"/>
      <c r="DE292" s="275"/>
      <c r="DF292" s="276"/>
      <c r="DG292" s="274"/>
      <c r="DH292" s="275"/>
      <c r="DI292" s="276"/>
      <c r="DJ292" s="274"/>
      <c r="DK292" s="275"/>
      <c r="DL292" s="276"/>
      <c r="DM292" s="274"/>
      <c r="DN292" s="275"/>
      <c r="DO292" s="276"/>
      <c r="DP292" s="274"/>
      <c r="DQ292" s="275"/>
      <c r="DR292" s="276"/>
      <c r="DS292" s="274"/>
    </row>
    <row r="293" hidden="1">
      <c r="B293" s="180"/>
      <c r="C293" s="277"/>
      <c r="D293" s="273"/>
      <c r="I293" s="274"/>
      <c r="J293" s="275"/>
      <c r="K293" s="276"/>
      <c r="L293" s="274"/>
      <c r="M293" s="275"/>
      <c r="N293" s="276"/>
      <c r="O293" s="274"/>
      <c r="P293" s="275"/>
      <c r="Q293" s="276"/>
      <c r="R293" s="274"/>
      <c r="S293" s="275"/>
      <c r="T293" s="276"/>
      <c r="U293" s="274"/>
      <c r="V293" s="275"/>
      <c r="W293" s="276"/>
      <c r="X293" s="274"/>
      <c r="Y293" s="275"/>
      <c r="Z293" s="276"/>
      <c r="AA293" s="274"/>
      <c r="AB293" s="275"/>
      <c r="AC293" s="276"/>
      <c r="AD293" s="274"/>
      <c r="AE293" s="275"/>
      <c r="AF293" s="276"/>
      <c r="AG293" s="274"/>
      <c r="AH293" s="275"/>
      <c r="AI293" s="276"/>
      <c r="AJ293" s="274"/>
      <c r="AK293" s="275"/>
      <c r="AL293" s="276"/>
      <c r="AM293" s="274"/>
      <c r="AN293" s="275"/>
      <c r="AO293" s="276"/>
      <c r="AP293" s="274"/>
      <c r="AQ293" s="275"/>
      <c r="AR293" s="276"/>
      <c r="AS293" s="274"/>
      <c r="AT293" s="275"/>
      <c r="AU293" s="276"/>
      <c r="AV293" s="274"/>
      <c r="AW293" s="275"/>
      <c r="AX293" s="276"/>
      <c r="AY293" s="274"/>
      <c r="AZ293" s="275"/>
      <c r="BA293" s="276"/>
      <c r="BB293" s="274"/>
      <c r="BC293" s="275"/>
      <c r="BD293" s="276"/>
      <c r="BE293" s="274"/>
      <c r="BF293" s="275"/>
      <c r="BG293" s="276"/>
      <c r="BH293" s="274"/>
      <c r="BI293" s="275"/>
      <c r="BJ293" s="276"/>
      <c r="BK293" s="274"/>
      <c r="BL293" s="275"/>
      <c r="BM293" s="276"/>
      <c r="BN293" s="274"/>
      <c r="BO293" s="275"/>
      <c r="BP293" s="276"/>
      <c r="BQ293" s="274"/>
      <c r="BR293" s="275"/>
      <c r="BS293" s="276"/>
      <c r="BT293" s="274"/>
      <c r="BU293" s="275"/>
      <c r="BV293" s="276"/>
      <c r="BW293" s="274"/>
      <c r="BX293" s="275"/>
      <c r="BY293" s="276"/>
      <c r="BZ293" s="274"/>
      <c r="CA293" s="275"/>
      <c r="CB293" s="276"/>
      <c r="CC293" s="274"/>
      <c r="CD293" s="275"/>
      <c r="CE293" s="276"/>
      <c r="CF293" s="274"/>
      <c r="CG293" s="275"/>
      <c r="CH293" s="275"/>
      <c r="CI293" s="274"/>
      <c r="CJ293" s="275"/>
      <c r="CK293" s="275"/>
      <c r="CL293" s="274"/>
      <c r="CM293" s="275"/>
      <c r="CN293" s="275"/>
      <c r="CO293" s="274"/>
      <c r="CP293" s="275"/>
      <c r="CQ293" s="275"/>
      <c r="CR293" s="274"/>
      <c r="CS293" s="275"/>
      <c r="CT293" s="275"/>
      <c r="CU293" s="274"/>
      <c r="CV293" s="275"/>
      <c r="CW293" s="276"/>
      <c r="CX293" s="275"/>
      <c r="CY293" s="275"/>
      <c r="CZ293" s="276"/>
      <c r="DA293" s="274"/>
      <c r="DB293" s="275"/>
      <c r="DC293" s="276"/>
      <c r="DD293" s="274"/>
      <c r="DE293" s="275"/>
      <c r="DF293" s="276"/>
      <c r="DG293" s="274"/>
      <c r="DH293" s="275"/>
      <c r="DI293" s="276"/>
      <c r="DJ293" s="274"/>
      <c r="DK293" s="275"/>
      <c r="DL293" s="276"/>
      <c r="DM293" s="274"/>
      <c r="DN293" s="275"/>
      <c r="DO293" s="276"/>
      <c r="DP293" s="274"/>
      <c r="DQ293" s="275"/>
      <c r="DR293" s="276"/>
      <c r="DS293" s="274"/>
    </row>
  </sheetData>
  <mergeCells count="20">
    <mergeCell ref="A4:A19"/>
    <mergeCell ref="A20:A47"/>
    <mergeCell ref="A48:A55"/>
    <mergeCell ref="A56:A65"/>
    <mergeCell ref="A66:A76"/>
    <mergeCell ref="A77:A88"/>
    <mergeCell ref="A89:A97"/>
    <mergeCell ref="A182:A195"/>
    <mergeCell ref="A196:A206"/>
    <mergeCell ref="A207:A217"/>
    <mergeCell ref="A218:A227"/>
    <mergeCell ref="A228:A236"/>
    <mergeCell ref="A237:A247"/>
    <mergeCell ref="A98:A111"/>
    <mergeCell ref="A112:A125"/>
    <mergeCell ref="A126:A139"/>
    <mergeCell ref="A140:A149"/>
    <mergeCell ref="A150:A161"/>
    <mergeCell ref="A162:A169"/>
    <mergeCell ref="A171:A181"/>
  </mergeCells>
  <conditionalFormatting sqref="I4:DS293">
    <cfRule type="expression" dxfId="0" priority="1">
      <formula>I4=SMALL(I$4:I293,1)</formula>
    </cfRule>
  </conditionalFormatting>
  <conditionalFormatting sqref="I4:DS293">
    <cfRule type="expression" dxfId="1" priority="2">
      <formula>AND(I4=SMALL(I$4:I293,2),I4&lt;2*SMALL(I$4:I293,1))</formula>
    </cfRule>
  </conditionalFormatting>
  <conditionalFormatting sqref="I4:DS293">
    <cfRule type="expression" dxfId="2" priority="3">
      <formula>AND(I4=SMALL(I$4:I293,3),I4&lt;2*SMALL(I$4:I293,1))</formula>
    </cfRule>
  </conditionalFormatting>
  <hyperlinks>
    <hyperlink r:id="rId1" location="Ember_Gathering_.28Lances.2FKilling.29" ref="C4"/>
    <hyperlink r:id="rId2" location="Ember_Gathering_.28Lances.2FKilling.29" ref="C5"/>
    <hyperlink r:id="rId3" location="Ember_Gathering_.28Lances.2FKilling.29" ref="C6"/>
    <hyperlink r:id="rId4" location="Ember_Gathering_.28Lances.2FKilling.29" ref="C7"/>
    <hyperlink r:id="rId5" location="Ember_Gathering_.28Swords.2FCavalry.29" ref="C8"/>
    <hyperlink r:id="rId6" location="Ember_Gathering_.28Swords.2FCavalry.29" ref="C9"/>
    <hyperlink r:id="rId7" location="Ember_Gathering_.28Swords.2FCavalry.29" ref="C10"/>
    <hyperlink r:id="rId8" location="Ember_Gathering_.28Swords.2FCavalry.29" ref="C11"/>
    <hyperlink r:id="rId9" location="Ember_Gathering_.28Bows.2FSpells.29" ref="C12"/>
    <hyperlink r:id="rId10" location="Ember_Gathering_.28Bows.2FSpells.29" ref="C13"/>
    <hyperlink r:id="rId11" location="Ember_Gathering_.28Bows.2FSpells.29" ref="C14"/>
    <hyperlink r:id="rId12" location="Ember_Gathering_.28Bows.2FSpells.29" ref="C15"/>
    <hyperlink r:id="rId13" location="Ember_Gathering_.28ALL_Class.29" ref="C16"/>
    <hyperlink r:id="rId14" location="Ember_Gathering_.28ALL_Class.29" ref="C17"/>
    <hyperlink r:id="rId15" location="Ember_Gathering_.28ALL_Class.29" ref="C18"/>
    <hyperlink r:id="rId16" location="Ember_Gathering_.28ALL_Class.29" ref="C19"/>
    <hyperlink r:id="rId17" location="Archery_Training_Field" ref="C20"/>
    <hyperlink r:id="rId18" location="Archery_Training_Field" ref="C21"/>
    <hyperlink r:id="rId19" location="Archery_Training_Field" ref="C22"/>
    <hyperlink r:id="rId20" location="Archery_Training_Field" ref="C23"/>
    <hyperlink r:id="rId21" location="Spear_Training_Field" ref="C24"/>
    <hyperlink r:id="rId22" location="Spear_Training_Field" ref="C25"/>
    <hyperlink r:id="rId23" location="Spear_Training_Field" ref="C26"/>
    <hyperlink r:id="rId24" location="Spear_Training_Field" ref="C27"/>
    <hyperlink r:id="rId25" location="Mad_Training_Field" ref="C28"/>
    <hyperlink r:id="rId26" location="Mad_Training_Field" ref="C29"/>
    <hyperlink r:id="rId27" location="Mad_Training_Field" ref="C30"/>
    <hyperlink r:id="rId28" location="Mad_Training_Field" ref="C31"/>
    <hyperlink r:id="rId29" location="Cavalry_Training_Field" ref="C32"/>
    <hyperlink r:id="rId30" location="Cavalry_Training_Field" ref="C33"/>
    <hyperlink r:id="rId31" location="Cavalry_Training_Field" ref="C34"/>
    <hyperlink r:id="rId32" location="Cavalry_Training_Field" ref="C35"/>
    <hyperlink r:id="rId33" location="Magic_Training_Field" ref="C36"/>
    <hyperlink r:id="rId34" location="Magic_Training_Field" ref="C37"/>
    <hyperlink r:id="rId35" location="Magic_Training_Field" ref="C38"/>
    <hyperlink r:id="rId36" location="Magic_Training_Field" ref="C39"/>
    <hyperlink r:id="rId37" location="Killing_Training_Field" ref="C40"/>
    <hyperlink r:id="rId38" location="Killing_Training_Field" ref="C41"/>
    <hyperlink r:id="rId39" location="Killing_Training_Field" ref="C42"/>
    <hyperlink r:id="rId40" location="Killing_Training_Field" ref="C43"/>
    <hyperlink r:id="rId41" location="Sword_Training_Field" ref="C44"/>
    <hyperlink r:id="rId42" location="Sword_Training_Field" ref="C45"/>
    <hyperlink r:id="rId43" location="Sword_Training_Field" ref="C46"/>
    <hyperlink r:id="rId44" location="Sword_Training_Field" ref="C47"/>
    <hyperlink r:id="rId45" location="Unknown_Coordinates_X-A" ref="C48"/>
    <hyperlink r:id="rId46" location="Unknown_Coordinates_X-B" ref="C49"/>
    <hyperlink r:id="rId47" location="Unknown_Coordinates_X-C" ref="C50"/>
    <hyperlink r:id="rId48" location="Unknown_Coordinates_X-D" ref="C51"/>
    <hyperlink r:id="rId49" location="Unknown_Coordinates_X-E" ref="C52"/>
    <hyperlink r:id="rId50" location="Unknown_Coordinates_X-F" ref="C53"/>
    <hyperlink r:id="rId51" location="Unknown_Coordinates_X-G" ref="C54"/>
    <hyperlink r:id="rId52" location="Mobile_Coordinates.2C_Point_0" ref="C55"/>
    <hyperlink r:id="rId53" location="Domr.C3.A9my" ref="C56"/>
    <hyperlink r:id="rId54" location="Vaucouleurs" ref="C57"/>
    <hyperlink r:id="rId55" location="La_Charit.C3.A9" ref="C58"/>
    <hyperlink r:id="rId56" location="Jura" ref="C59"/>
    <hyperlink r:id="rId57" location="Lyon" ref="C60"/>
    <hyperlink r:id="rId58" location="Marseille" ref="C61"/>
    <hyperlink r:id="rId59" location="Thiers" ref="C62"/>
    <hyperlink r:id="rId60" location="Bordeaux" ref="C63"/>
    <hyperlink r:id="rId61" location="Orleans" ref="C64"/>
    <hyperlink r:id="rId62" location="Paris" ref="C65"/>
    <hyperlink r:id="rId63" location="Appia_Road" ref="C66"/>
    <hyperlink r:id="rId64" location="Rome" ref="C67"/>
    <hyperlink r:id="rId65" location="Mt._Etna" ref="C68"/>
    <hyperlink r:id="rId66" location="Florence" ref="C69"/>
    <hyperlink r:id="rId67" location="Mediolanum" ref="C70"/>
    <hyperlink r:id="rId68" location="Germania" ref="C71"/>
    <hyperlink r:id="rId69" location="Massilia" ref="C72"/>
    <hyperlink r:id="rId70" location="Gaul" ref="C73"/>
    <hyperlink r:id="rId71" location="Britannia" ref="C74"/>
    <hyperlink r:id="rId72" location="Shaped_Isle" ref="C75"/>
    <hyperlink r:id="rId73" location="Alliance_Capital" ref="C76"/>
    <hyperlink r:id="rId74" location="Pirate_Ship" ref="C77"/>
    <hyperlink r:id="rId75" location="Pirate_Island" ref="C78"/>
    <hyperlink r:id="rId76" location="King.27s_Abode_Island" ref="C79"/>
    <hyperlink r:id="rId77" location="Mapped_Island" ref="C80"/>
    <hyperlink r:id="rId78" location="Sunken_Rock_Seas" ref="C81"/>
    <hyperlink r:id="rId79" location="Two-Current_Sea" ref="C82"/>
    <hyperlink r:id="rId80" location="Island_of_Wyverns" ref="C83"/>
    <hyperlink r:id="rId81" location="Caldera_Island" ref="C84"/>
    <hyperlink r:id="rId82" location="Stormy_Seas" ref="C85"/>
    <hyperlink r:id="rId83" location="Archipelago" ref="C86"/>
    <hyperlink r:id="rId84" location="Archipelago" ref="C87"/>
    <hyperlink r:id="rId85" location="Bountiful_Sea" ref="C88"/>
    <hyperlink r:id="rId86" location="Old_Street" ref="C89"/>
    <hyperlink r:id="rId87" location="Whitechapel" ref="C90"/>
    <hyperlink r:id="rId88" location="City_Of_London" ref="C91"/>
    <hyperlink r:id="rId89" location="SOHO" ref="C92"/>
    <hyperlink r:id="rId90" location="Westminster_.2F_City_of_Westminster" ref="C93"/>
    <hyperlink r:id="rId91" location="Regent_Park" ref="C94"/>
    <hyperlink r:id="rId92" location="Clerkenwell" ref="C95"/>
    <hyperlink r:id="rId93" location="Southwark_.2F_Borough_of_Southwark" ref="C96"/>
    <hyperlink r:id="rId94" location="Hyde_Park" ref="C97"/>
    <hyperlink r:id="rId95" location="Black_Hills" ref="C98"/>
    <hyperlink r:id="rId96" location="Riverton" ref="C99"/>
    <hyperlink r:id="rId97" location="Denver" ref="C100"/>
    <hyperlink r:id="rId98" location="Deming" ref="C101"/>
    <hyperlink r:id="rId99" location="Dallas" ref="C102"/>
    <hyperlink r:id="rId100" location="Alcatraz" ref="C103"/>
    <hyperlink r:id="rId101" location="Des_Moines" ref="C104"/>
    <hyperlink r:id="rId102" location="Montgomery" ref="C105"/>
    <hyperlink r:id="rId103" location="Lubbock" ref="C106"/>
    <hyperlink r:id="rId104" location="Alexandria" ref="C107"/>
    <hyperlink r:id="rId105" location="Kearney" ref="C108"/>
    <hyperlink r:id="rId106" location="Charlotte" ref="C109"/>
    <hyperlink r:id="rId107" location="Washington" ref="C110"/>
    <hyperlink r:id="rId108" location="Chicago" ref="C111"/>
    <hyperlink r:id="rId109" location="Desert_Sandstorm" ref="C112"/>
    <hyperlink r:id="rId110" location="Dunes_of_Daybreak" ref="C113"/>
    <hyperlink r:id="rId111" location="Wilderness_of_Death" ref="C114"/>
    <hyperlink r:id="rId112" location="Eastern_Village" ref="C115"/>
    <hyperlink r:id="rId113" location="Round_Table_Fortress" ref="C116"/>
    <hyperlink r:id="rId114" location="Evening_Bell_Mausoleum" ref="C117"/>
    <hyperlink r:id="rId115" location="Remnants_of_Western_Village" ref="C118"/>
    <hyperlink r:id="rId116" location="Atlas_Academy" ref="C119"/>
    <hyperlink r:id="rId117" location="Holy_City_Main_Entrance" ref="C120"/>
    <hyperlink r:id="rId118" location="Holy_City_Districts" ref="C121"/>
    <hyperlink r:id="rId119" location="Concealed_Village" ref="C122"/>
    <hyperlink r:id="rId120" location="Sovereign_Castle" ref="C123"/>
    <hyperlink r:id="rId121" location="Vast_Land_of_Nothingness" ref="C124"/>
    <hyperlink r:id="rId122" location="Great_Temple" ref="C125"/>
    <hyperlink r:id="rId123" location="Abolished_Metropolis_Babylon" ref="C126"/>
    <hyperlink r:id="rId124" location="Northern_Hill" ref="C127"/>
    <hyperlink r:id="rId125" location="Black_Cedar_Forest" ref="C128"/>
    <hyperlink r:id="rId126" location="Plateau" ref="C129"/>
    <hyperlink r:id="rId127" location="Marshland.2FBog" ref="C130"/>
    <hyperlink r:id="rId128" location="Ur" ref="C131"/>
    <hyperlink r:id="rId129" location="Eridu" ref="C132"/>
    <hyperlink r:id="rId130" location="Observatory" ref="C133"/>
    <hyperlink r:id="rId131" location="Phragmites_Prairie_.2F_Field_of_Reeds" ref="C134"/>
    <hyperlink r:id="rId132" location="Cuthah" ref="C135"/>
    <hyperlink r:id="rId133" location="Northern_Wall" ref="C136"/>
    <hyperlink r:id="rId134" location="Nippur" ref="C137"/>
    <hyperlink r:id="rId135" location="Mount_Ahv.C4.81z" ref="C138"/>
    <hyperlink r:id="rId136" location="Blood_Fort_Andromeda" ref="C139"/>
    <hyperlink r:id="rId137" location="Yoyogi_2-chome" ref="C140"/>
    <hyperlink r:id="rId138" location="Japan_National_Route_20" ref="C141"/>
    <hyperlink r:id="rId139" location="Shinjuku_Station" ref="C142"/>
    <hyperlink r:id="rId140" location="Shinjuku_4-chome" ref="C143"/>
    <hyperlink r:id="rId141" location="Kabukich.C5.8D" ref="C144"/>
    <hyperlink r:id="rId142" location="Barrel_Tower" ref="C145"/>
    <hyperlink r:id="rId143" location="Party_Hall" ref="C146"/>
    <hyperlink r:id="rId144" location="Tower.27s_Top_Floor" ref="C147"/>
    <hyperlink r:id="rId145" location="Shinjuku_Imperial_Garden" ref="C148"/>
    <hyperlink r:id="rId146" location="Shinjuku_2-chome" ref="C149"/>
    <hyperlink r:id="rId147" location="Underground_Plains" ref="C150"/>
    <hyperlink r:id="rId148" location="Camping_Ground" ref="C151"/>
    <hyperlink r:id="rId149" location="Riverside_Town" ref="C152"/>
    <hyperlink r:id="rId150" location="Peach_Blossom_Shangri-La" ref="C153"/>
    <hyperlink r:id="rId151" location="Ys" ref="C154"/>
    <hyperlink r:id="rId152" location="Northern_Cliffs" ref="C155"/>
    <hyperlink r:id="rId153" location="Nightless_City" ref="C156"/>
    <hyperlink r:id="rId154" location="Foothills_Jungle" ref="C157"/>
    <hyperlink r:id="rId155" location="Dragon_Palace" ref="C158"/>
    <hyperlink r:id="rId156" location="Great_Underground_River" ref="C159"/>
    <hyperlink r:id="rId157" location="El_Dorado" ref="C160"/>
    <hyperlink r:id="rId158" location="Chasm_in_the_Earth" ref="C161"/>
    <hyperlink r:id="rId159" location="Rice_Field" ref="C162"/>
    <hyperlink r:id="rId160" location="Village" ref="C163"/>
    <hyperlink r:id="rId161" location="Monastery" ref="C164"/>
    <hyperlink r:id="rId162" location="Castle_Town" ref="C165"/>
    <hyperlink r:id="rId163" location="Battlefield" ref="C166"/>
    <hyperlink r:id="rId164" location="Toke_Castle" ref="C167"/>
    <hyperlink r:id="rId165" location="Rear_Mountain" ref="C168"/>
    <hyperlink r:id="rId166" location="Arakawa_Prairie" ref="C169"/>
    <hyperlink r:id="rId167" location="Rear_Mountain" ref="C170"/>
    <hyperlink r:id="rId168" location="Quiet_Forest" ref="C171"/>
    <hyperlink r:id="rId169" location="Carter_House" ref="C172"/>
    <hyperlink r:id="rId170" location="Town_Hall" ref="C173"/>
    <hyperlink r:id="rId171" location="Quay" ref="C174"/>
    <hyperlink r:id="rId172" location="Whateley_House" ref="C175"/>
    <hyperlink r:id="rId173" location="Suburb_Mansion" ref="C176"/>
    <hyperlink r:id="rId174" location="Gallow_Hill" ref="C177"/>
    <hyperlink r:id="rId175" location="Meadows" ref="C178"/>
    <hyperlink r:id="rId176" location="Vacant_House" ref="C179"/>
    <hyperlink r:id="rId177" location="Refuge" ref="C180"/>
    <hyperlink r:id="rId178" location="Jail" ref="C181"/>
    <hyperlink r:id="rId179" location="Anchor_Point" ref="C182"/>
    <hyperlink r:id="rId180" location="Yaga_Smolensk" ref="C183"/>
    <hyperlink r:id="rId181" location="Icicles_Grotto" ref="C184"/>
    <hyperlink r:id="rId182" location="Rebellion_Army.27s_Stronghold" ref="C185"/>
    <hyperlink r:id="rId183" location="Yaga_Sychyovka" ref="C186"/>
    <hyperlink r:id="rId184" location="Devastated_Village" ref="C187"/>
    <hyperlink r:id="rId185" location="Yaga_Vyazma" ref="C188"/>
    <hyperlink r:id="rId186" location="Yaga_Demensk" ref="C189"/>
    <hyperlink r:id="rId187" location="Yaga_Tula" ref="C190"/>
    <hyperlink r:id="rId188" location="Trampled_Village" ref="C191"/>
    <hyperlink r:id="rId189" location="Yaga_Moscow" ref="C192"/>
    <hyperlink r:id="rId190" location="Great_Valley_Stronghold" ref="C193"/>
    <hyperlink r:id="rId191" location="Foundation_of_a_Giant_Tree" ref="C194"/>
    <hyperlink r:id="rId192" location="Yaga_Ryazan" ref="C195"/>
    <hyperlink r:id="rId193" location="Landing_Point" ref="C196"/>
    <hyperlink r:id="rId194" location="Knoll_of_Thin_Ice" ref="C197"/>
    <hyperlink r:id="rId195" location="Giants.27_Flower_Patio" ref="C198"/>
    <hyperlink r:id="rId196" location="23rd_Settlement" ref="C199"/>
    <hyperlink r:id="rId197" location="Heroes.27_Cellar" ref="C200"/>
    <hyperlink r:id="rId198" location="Castle_of_Ice_and_Snow" ref="C201"/>
    <hyperlink r:id="rId199" location="Pathway_Towards_The_Peak" ref="C202"/>
    <hyperlink r:id="rId200" location="Ablazed_Mansion" ref="C203"/>
    <hyperlink r:id="rId201" location="67th_Settlement" ref="C204"/>
    <hyperlink r:id="rId202" location="Northern_Boundary" ref="C205"/>
    <hyperlink r:id="rId203" location="Forgotten_Temple" ref="C206"/>
    <hyperlink r:id="rId204" location="Seeding_Point" ref="C207"/>
    <hyperlink r:id="rId205" location="Neighbouring_Village" ref="C208"/>
    <hyperlink r:id="rId206" location="Icy_Cold_Grotto" ref="C209"/>
    <hyperlink r:id="rId207" location="Akuta.27s_Encampment" ref="C210"/>
    <hyperlink r:id="rId208" location="Jing_Yangyuan" ref="C211"/>
    <hyperlink r:id="rId209" location="Shanyang_Knoll" ref="C212"/>
    <hyperlink r:id="rId210" location="Detention_Centre" ref="C213"/>
    <hyperlink r:id="rId211" location="Shiquan_Gorge" ref="C214"/>
    <hyperlink r:id="rId212" location="Dapingyu" ref="C215"/>
    <hyperlink r:id="rId213" location="Xianyang" ref="C216"/>
    <hyperlink r:id="rId214" location="Eight_Gates_Cave" ref="C217"/>
    <hyperlink r:id="rId215" location="Initiate_Point" ref="C218"/>
    <hyperlink r:id="rId216" location="Bich" ref="C219"/>
    <hyperlink r:id="rId217" location="Secluded_Grotto" ref="C220"/>
    <hyperlink r:id="rId218" location="Northern_Sacred_Mountain" ref="C221"/>
    <hyperlink r:id="rId219" location="Western_Fault" ref="C222"/>
    <hyperlink r:id="rId220" location="Dewar" ref="C223"/>
    <hyperlink r:id="rId221" location="Remains_of_the_Divine_Floating_Rock" ref="C224"/>
    <hyperlink r:id="rId222" location="Southern_Street" ref="C225"/>
    <hyperlink r:id="rId223" location="Infinitude_Territory" ref="C226"/>
    <hyperlink r:id="rId224" location="Eastern_Puspavatika" ref="C227"/>
    <hyperlink r:id="rId225" location="Sailing_Point" ref="C228"/>
    <hyperlink r:id="rId226" location="Hestia_Island" ref="C229"/>
    <hyperlink r:id="rId227" location="Hecate_Island" ref="C230"/>
    <hyperlink r:id="rId228" location="Deimos_Island" ref="C231"/>
    <hyperlink r:id="rId229" location="Astraea_Island" ref="C232"/>
    <hyperlink r:id="rId230" location="Tethys_Island" ref="C233"/>
    <hyperlink r:id="rId231" location="Eris_Island" ref="C234"/>
    <hyperlink r:id="rId232" location="Nemesis_Island" ref="C235"/>
    <hyperlink r:id="rId233" location="Thanatos_Island" ref="C236"/>
    <hyperlink r:id="rId234" location="Gliding_Point" ref="C237"/>
    <hyperlink r:id="rId235" location="Interstellar_City:_West" ref="C238"/>
    <hyperlink r:id="rId236" location="Interstellar_City:_South" ref="C239"/>
    <hyperlink r:id="rId237" location="Interstellar_City:_East" ref="C240"/>
    <hyperlink r:id="rId238" location="Grand_Workshop" ref="C241"/>
    <hyperlink r:id="rId239" location="God_Slayers_League_Base" ref="C242"/>
    <hyperlink r:id="rId240" location="Altar_District" ref="C243"/>
    <hyperlink r:id="rId241" location="Aerial_Garden" ref="C244"/>
    <hyperlink r:id="rId242" location="Machine_God.27s_Cloister" ref="C245"/>
    <hyperlink r:id="rId243" location="Grand_Altar" ref="C246"/>
    <hyperlink r:id="rId244" location="Underground_Organization_Region:_Outer_Circumference" ref="C247"/>
    <hyperlink r:id="rId245" location="J.C5.8D_Seven.2C_B.C5.8D_Four" ref="C248"/>
    <hyperlink r:id="rId246" location="J.C5.8D_Seven.2C_B.C5.8D_Two" ref="C249"/>
    <hyperlink r:id="rId247" location="J.C5.8D_Six.2C_Main_Street" ref="C250"/>
    <hyperlink r:id="rId248" location="Aristocrat.27s_Residence" ref="C251"/>
    <hyperlink r:id="rId249" location="Suzakumon" ref="C252"/>
    <hyperlink r:id="rId250" location="Heian_Imperial_Palace" ref="C253"/>
    <hyperlink r:id="rId251" location="Suzaku_Main_Street" ref="C254"/>
    <hyperlink r:id="rId252" location="Inari_Shrine" ref="C255"/>
    <hyperlink r:id="rId253" location="Imperial_Palace_Main_Street" ref="C256"/>
    <hyperlink r:id="rId254" location="Raik.C5.8D.27s_Residence" ref="C257"/>
    <hyperlink r:id="rId255" location="Goj.C5.8D_Bridge" ref="C258"/>
    <hyperlink r:id="rId256" location="Mount_.C5.8Ce" ref="C259"/>
    <hyperlink r:id="rId257" location="J.C5.8D_Three.2C_B.C5.8D_Three" ref="C260"/>
  </hyperlinks>
  <drawing r:id="rId258"/>
  <tableParts count="21">
    <tablePart r:id="rId280"/>
    <tablePart r:id="rId281"/>
    <tablePart r:id="rId282"/>
    <tablePart r:id="rId283"/>
    <tablePart r:id="rId284"/>
    <tablePart r:id="rId285"/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  <tablePart r:id="rId299"/>
    <tablePart r:id="rId30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0.0" ySplit="3.0" topLeftCell="K4" activePane="bottomRight" state="frozen"/>
      <selection activeCell="K1" sqref="K1" pane="topRight"/>
      <selection activeCell="A4" sqref="A4" pane="bottomLeft"/>
      <selection activeCell="K4" sqref="K4" pane="bottomRight"/>
    </sheetView>
  </sheetViews>
  <sheetFormatPr customHeight="1" defaultColWidth="14.43" defaultRowHeight="15.75"/>
  <cols>
    <col customWidth="1" min="1" max="1" width="3.43"/>
    <col customWidth="1" hidden="1" min="2" max="2" width="7.71"/>
    <col customWidth="1" min="3" max="3" width="32.29"/>
    <col customWidth="1" min="4" max="4" width="6.86"/>
    <col customWidth="1" hidden="1" min="5" max="9" width="6.86"/>
    <col customWidth="1" min="10" max="10" width="6.86"/>
    <col customWidth="1" min="11" max="24" width="7.29"/>
    <col customWidth="1" hidden="1" min="25" max="28" width="7.29"/>
    <col customWidth="1" min="29" max="44" width="7.29"/>
    <col customWidth="1" hidden="1" min="45" max="48" width="7.29"/>
    <col customWidth="1" min="49" max="124" width="7.29"/>
    <col customWidth="1" hidden="1" min="125" max="125" width="7.29"/>
  </cols>
  <sheetData>
    <row r="1" hidden="1">
      <c r="A1">
        <f>IFERROR(__xludf.DUMMYFUNCTION("IMPORTRANGE('Setup Sheet'!C3,'Setup Sheet'!C12&amp;""!""&amp;'Setup Sheet'!F12)"),0.0)</f>
        <v>0</v>
      </c>
      <c r="B1" t="str">
        <f>IFERROR(__xludf.DUMMYFUNCTION("""COMPUTED_VALUE"""),"Material")</f>
        <v>Material</v>
      </c>
      <c r="J1" t="str">
        <f>IFERROR(__xludf.DUMMYFUNCTION("""COMPUTED_VALUE"""),"RUNS")</f>
        <v>RUNS</v>
      </c>
      <c r="K1" s="258" t="str">
        <f>IFERROR(__xludf.DUMMYFUNCTION("""COMPUTED_VALUE"""),"A101")</f>
        <v>A101</v>
      </c>
      <c r="L1" t="str">
        <f>IFERROR(__xludf.DUMMYFUNCTION("""COMPUTED_VALUE"""),"A102")</f>
        <v>A102</v>
      </c>
      <c r="M1" t="str">
        <f>IFERROR(__xludf.DUMMYFUNCTION("""COMPUTED_VALUE"""),"A103")</f>
        <v>A103</v>
      </c>
      <c r="N1" t="str">
        <f>IFERROR(__xludf.DUMMYFUNCTION("""COMPUTED_VALUE"""),"A104")</f>
        <v>A104</v>
      </c>
      <c r="O1" t="str">
        <f>IFERROR(__xludf.DUMMYFUNCTION("""COMPUTED_VALUE"""),"A105")</f>
        <v>A105</v>
      </c>
      <c r="P1" t="str">
        <f>IFERROR(__xludf.DUMMYFUNCTION("""COMPUTED_VALUE"""),"A106")</f>
        <v>A106</v>
      </c>
      <c r="Q1" t="str">
        <f>IFERROR(__xludf.DUMMYFUNCTION("""COMPUTED_VALUE"""),"A107")</f>
        <v>A107</v>
      </c>
      <c r="R1" t="str">
        <f>IFERROR(__xludf.DUMMYFUNCTION("""COMPUTED_VALUE"""),"A108")</f>
        <v>A108</v>
      </c>
      <c r="S1" t="str">
        <f>IFERROR(__xludf.DUMMYFUNCTION("""COMPUTED_VALUE"""),"A109")</f>
        <v>A109</v>
      </c>
      <c r="T1" t="str">
        <f>IFERROR(__xludf.DUMMYFUNCTION("""COMPUTED_VALUE"""),"A110")</f>
        <v>A110</v>
      </c>
      <c r="U1" t="str">
        <f>IFERROR(__xludf.DUMMYFUNCTION("""COMPUTED_VALUE"""),"A111")</f>
        <v>A111</v>
      </c>
      <c r="V1" t="str">
        <f>IFERROR(__xludf.DUMMYFUNCTION("""COMPUTED_VALUE"""),"A112")</f>
        <v>A112</v>
      </c>
      <c r="W1" t="str">
        <f>IFERROR(__xludf.DUMMYFUNCTION("""COMPUTED_VALUE"""),"A113")</f>
        <v>A113</v>
      </c>
      <c r="X1" t="str">
        <f>IFERROR(__xludf.DUMMYFUNCTION("""COMPUTED_VALUE"""),"A114")</f>
        <v>A114</v>
      </c>
      <c r="Y1" t="str">
        <f>IFERROR(__xludf.DUMMYFUNCTION("""COMPUTED_VALUE"""),"A115")</f>
        <v>A115</v>
      </c>
      <c r="Z1" t="str">
        <f>IFERROR(__xludf.DUMMYFUNCTION("""COMPUTED_VALUE"""),"A116")</f>
        <v>A116</v>
      </c>
      <c r="AA1" t="str">
        <f>IFERROR(__xludf.DUMMYFUNCTION("""COMPUTED_VALUE"""),"A117")</f>
        <v>A117</v>
      </c>
      <c r="AB1" t="str">
        <f>IFERROR(__xludf.DUMMYFUNCTION("""COMPUTED_VALUE"""),"A118")</f>
        <v>A118</v>
      </c>
      <c r="AC1" t="str">
        <f>IFERROR(__xludf.DUMMYFUNCTION("""COMPUTED_VALUE"""),"A201")</f>
        <v>A201</v>
      </c>
      <c r="AD1" t="str">
        <f>IFERROR(__xludf.DUMMYFUNCTION("""COMPUTED_VALUE"""),"A202")</f>
        <v>A202</v>
      </c>
      <c r="AE1" t="str">
        <f>IFERROR(__xludf.DUMMYFUNCTION("""COMPUTED_VALUE"""),"A203")</f>
        <v>A203</v>
      </c>
      <c r="AF1" t="str">
        <f>IFERROR(__xludf.DUMMYFUNCTION("""COMPUTED_VALUE"""),"A204")</f>
        <v>A204</v>
      </c>
      <c r="AG1" t="str">
        <f>IFERROR(__xludf.DUMMYFUNCTION("""COMPUTED_VALUE"""),"A205")</f>
        <v>A205</v>
      </c>
      <c r="AH1" t="str">
        <f>IFERROR(__xludf.DUMMYFUNCTION("""COMPUTED_VALUE"""),"A206")</f>
        <v>A206</v>
      </c>
      <c r="AI1" t="str">
        <f>IFERROR(__xludf.DUMMYFUNCTION("""COMPUTED_VALUE"""),"A207")</f>
        <v>A207</v>
      </c>
      <c r="AJ1" t="str">
        <f>IFERROR(__xludf.DUMMYFUNCTION("""COMPUTED_VALUE"""),"A208")</f>
        <v>A208</v>
      </c>
      <c r="AK1" t="str">
        <f>IFERROR(__xludf.DUMMYFUNCTION("""COMPUTED_VALUE"""),"A209")</f>
        <v>A209</v>
      </c>
      <c r="AL1" s="278" t="str">
        <f>IFERROR(__xludf.DUMMYFUNCTION("""COMPUTED_VALUE"""),"A210")</f>
        <v>A210</v>
      </c>
      <c r="AM1" t="str">
        <f>IFERROR(__xludf.DUMMYFUNCTION("""COMPUTED_VALUE"""),"A211")</f>
        <v>A211</v>
      </c>
      <c r="AN1" t="str">
        <f>IFERROR(__xludf.DUMMYFUNCTION("""COMPUTED_VALUE"""),"A212")</f>
        <v>A212</v>
      </c>
      <c r="AO1" t="str">
        <f>IFERROR(__xludf.DUMMYFUNCTION("""COMPUTED_VALUE"""),"A213")</f>
        <v>A213</v>
      </c>
      <c r="AP1" t="str">
        <f>IFERROR(__xludf.DUMMYFUNCTION("""COMPUTED_VALUE"""),"A214")</f>
        <v>A214</v>
      </c>
      <c r="AQ1" t="str">
        <f>IFERROR(__xludf.DUMMYFUNCTION("""COMPUTED_VALUE"""),"A215")</f>
        <v>A215</v>
      </c>
      <c r="AR1" t="str">
        <f>IFERROR(__xludf.DUMMYFUNCTION("""COMPUTED_VALUE"""),"A216")</f>
        <v>A216</v>
      </c>
      <c r="AS1" t="str">
        <f>IFERROR(__xludf.DUMMYFUNCTION("""COMPUTED_VALUE"""),"A217")</f>
        <v>A217</v>
      </c>
      <c r="AT1" t="str">
        <f>IFERROR(__xludf.DUMMYFUNCTION("""COMPUTED_VALUE"""),"A218")</f>
        <v>A218</v>
      </c>
      <c r="AU1" t="str">
        <f>IFERROR(__xludf.DUMMYFUNCTION("""COMPUTED_VALUE"""),"A219")</f>
        <v>A219</v>
      </c>
      <c r="AV1" t="str">
        <f>IFERROR(__xludf.DUMMYFUNCTION("""COMPUTED_VALUE"""),"A220")</f>
        <v>A220</v>
      </c>
      <c r="AW1" t="str">
        <f>IFERROR(__xludf.DUMMYFUNCTION("""COMPUTED_VALUE"""),"A301")</f>
        <v>A301</v>
      </c>
      <c r="AX1" t="str">
        <f>IFERROR(__xludf.DUMMYFUNCTION("""COMPUTED_VALUE"""),"A302")</f>
        <v>A302</v>
      </c>
      <c r="AY1" t="str">
        <f>IFERROR(__xludf.DUMMYFUNCTION("""COMPUTED_VALUE"""),"A303")</f>
        <v>A303</v>
      </c>
      <c r="AZ1" t="str">
        <f>IFERROR(__xludf.DUMMYFUNCTION("""COMPUTED_VALUE"""),"A304")</f>
        <v>A304</v>
      </c>
      <c r="BA1" t="str">
        <f>IFERROR(__xludf.DUMMYFUNCTION("""COMPUTED_VALUE"""),"A305")</f>
        <v>A305</v>
      </c>
      <c r="BB1" t="str">
        <f>IFERROR(__xludf.DUMMYFUNCTION("""COMPUTED_VALUE"""),"A306")</f>
        <v>A306</v>
      </c>
      <c r="BC1" t="str">
        <f>IFERROR(__xludf.DUMMYFUNCTION("""COMPUTED_VALUE"""),"A307")</f>
        <v>A307</v>
      </c>
      <c r="BD1" t="str">
        <f>IFERROR(__xludf.DUMMYFUNCTION("""COMPUTED_VALUE"""),"A308")</f>
        <v>A308</v>
      </c>
      <c r="BE1" t="str">
        <f>IFERROR(__xludf.DUMMYFUNCTION("""COMPUTED_VALUE"""),"A309")</f>
        <v>A309</v>
      </c>
      <c r="BF1" t="str">
        <f>IFERROR(__xludf.DUMMYFUNCTION("""COMPUTED_VALUE"""),"B101")</f>
        <v>B101</v>
      </c>
      <c r="BG1" t="str">
        <f>IFERROR(__xludf.DUMMYFUNCTION("""COMPUTED_VALUE"""),"B102")</f>
        <v>B102</v>
      </c>
      <c r="BH1" t="str">
        <f>IFERROR(__xludf.DUMMYFUNCTION("""COMPUTED_VALUE"""),"B103")</f>
        <v>B103</v>
      </c>
      <c r="BI1" t="str">
        <f>IFERROR(__xludf.DUMMYFUNCTION("""COMPUTED_VALUE"""),"B104")</f>
        <v>B104</v>
      </c>
      <c r="BJ1" t="str">
        <f>IFERROR(__xludf.DUMMYFUNCTION("""COMPUTED_VALUE"""),"B105")</f>
        <v>B105</v>
      </c>
      <c r="BK1" t="str">
        <f>IFERROR(__xludf.DUMMYFUNCTION("""COMPUTED_VALUE"""),"B106")</f>
        <v>B106</v>
      </c>
      <c r="BL1" t="str">
        <f>IFERROR(__xludf.DUMMYFUNCTION("""COMPUTED_VALUE"""),"B107")</f>
        <v>B107</v>
      </c>
      <c r="BM1" t="str">
        <f>IFERROR(__xludf.DUMMYFUNCTION("""COMPUTED_VALUE"""),"B111")</f>
        <v>B111</v>
      </c>
      <c r="BN1" t="str">
        <f>IFERROR(__xludf.DUMMYFUNCTION("""COMPUTED_VALUE"""),"B112")</f>
        <v>B112</v>
      </c>
      <c r="BO1" t="str">
        <f>IFERROR(__xludf.DUMMYFUNCTION("""COMPUTED_VALUE"""),"B113")</f>
        <v>B113</v>
      </c>
      <c r="BP1" t="str">
        <f>IFERROR(__xludf.DUMMYFUNCTION("""COMPUTED_VALUE"""),"B114")</f>
        <v>B114</v>
      </c>
      <c r="BQ1" t="str">
        <f>IFERROR(__xludf.DUMMYFUNCTION("""COMPUTED_VALUE"""),"B115")</f>
        <v>B115</v>
      </c>
      <c r="BR1" t="str">
        <f>IFERROR(__xludf.DUMMYFUNCTION("""COMPUTED_VALUE"""),"B116")</f>
        <v>B116</v>
      </c>
      <c r="BS1" t="str">
        <f>IFERROR(__xludf.DUMMYFUNCTION("""COMPUTED_VALUE"""),"B117")</f>
        <v>B117</v>
      </c>
      <c r="BT1" t="str">
        <f>IFERROR(__xludf.DUMMYFUNCTION("""COMPUTED_VALUE"""),"B121")</f>
        <v>B121</v>
      </c>
      <c r="BU1" t="str">
        <f>IFERROR(__xludf.DUMMYFUNCTION("""COMPUTED_VALUE"""),"B122")</f>
        <v>B122</v>
      </c>
      <c r="BV1" t="str">
        <f>IFERROR(__xludf.DUMMYFUNCTION("""COMPUTED_VALUE"""),"B123")</f>
        <v>B123</v>
      </c>
      <c r="BW1" t="str">
        <f>IFERROR(__xludf.DUMMYFUNCTION("""COMPUTED_VALUE"""),"B124")</f>
        <v>B124</v>
      </c>
      <c r="BX1" t="str">
        <f>IFERROR(__xludf.DUMMYFUNCTION("""COMPUTED_VALUE"""),"B125")</f>
        <v>B125</v>
      </c>
      <c r="BY1" t="str">
        <f>IFERROR(__xludf.DUMMYFUNCTION("""COMPUTED_VALUE"""),"B126")</f>
        <v>B126</v>
      </c>
      <c r="BZ1" t="str">
        <f>IFERROR(__xludf.DUMMYFUNCTION("""COMPUTED_VALUE"""),"B127")</f>
        <v>B127</v>
      </c>
      <c r="CA1" t="str">
        <f>IFERROR(__xludf.DUMMYFUNCTION("""COMPUTED_VALUE"""),"B201")</f>
        <v>B201</v>
      </c>
      <c r="CB1" t="str">
        <f>IFERROR(__xludf.DUMMYFUNCTION("""COMPUTED_VALUE"""),"B202")</f>
        <v>B202</v>
      </c>
      <c r="CC1" t="str">
        <f>IFERROR(__xludf.DUMMYFUNCTION("""COMPUTED_VALUE"""),"B203")</f>
        <v>B203</v>
      </c>
      <c r="CD1" t="str">
        <f>IFERROR(__xludf.DUMMYFUNCTION("""COMPUTED_VALUE"""),"B204")</f>
        <v>B204</v>
      </c>
      <c r="CE1" t="str">
        <f>IFERROR(__xludf.DUMMYFUNCTION("""COMPUTED_VALUE"""),"B205")</f>
        <v>B205</v>
      </c>
      <c r="CF1" t="str">
        <f>IFERROR(__xludf.DUMMYFUNCTION("""COMPUTED_VALUE"""),"B206")</f>
        <v>B206</v>
      </c>
      <c r="CG1" t="str">
        <f>IFERROR(__xludf.DUMMYFUNCTION("""COMPUTED_VALUE"""),"B207")</f>
        <v>B207</v>
      </c>
      <c r="CH1" t="str">
        <f>IFERROR(__xludf.DUMMYFUNCTION("""COMPUTED_VALUE"""),"B211")</f>
        <v>B211</v>
      </c>
      <c r="CI1" t="str">
        <f>IFERROR(__xludf.DUMMYFUNCTION("""COMPUTED_VALUE"""),"B212")</f>
        <v>B212</v>
      </c>
      <c r="CJ1" t="str">
        <f>IFERROR(__xludf.DUMMYFUNCTION("""COMPUTED_VALUE"""),"B213")</f>
        <v>B213</v>
      </c>
      <c r="CK1" s="259" t="str">
        <f>IFERROR(__xludf.DUMMYFUNCTION("""COMPUTED_VALUE"""),"B214")</f>
        <v>B214</v>
      </c>
      <c r="CL1" t="str">
        <f>IFERROR(__xludf.DUMMYFUNCTION("""COMPUTED_VALUE"""),"B215")</f>
        <v>B215</v>
      </c>
      <c r="CM1" s="260" t="str">
        <f>IFERROR(__xludf.DUMMYFUNCTION("""COMPUTED_VALUE"""),"B216")</f>
        <v>B216</v>
      </c>
      <c r="CN1" t="str">
        <f>IFERROR(__xludf.DUMMYFUNCTION("""COMPUTED_VALUE"""),"B217")</f>
        <v>B217</v>
      </c>
      <c r="CO1" t="str">
        <f>IFERROR(__xludf.DUMMYFUNCTION("""COMPUTED_VALUE"""),"B321")</f>
        <v>B321</v>
      </c>
      <c r="CP1" t="str">
        <f>IFERROR(__xludf.DUMMYFUNCTION("""COMPUTED_VALUE"""),"B322")</f>
        <v>B322</v>
      </c>
      <c r="CQ1" s="259" t="str">
        <f>IFERROR(__xludf.DUMMYFUNCTION("""COMPUTED_VALUE"""),"B323")</f>
        <v>B323</v>
      </c>
      <c r="CR1" t="str">
        <f>IFERROR(__xludf.DUMMYFUNCTION("""COMPUTED_VALUE"""),"B324")</f>
        <v>B324</v>
      </c>
      <c r="CS1" t="str">
        <f>IFERROR(__xludf.DUMMYFUNCTION("""COMPUTED_VALUE"""),"B325")</f>
        <v>B325</v>
      </c>
      <c r="CT1" s="259" t="str">
        <f>IFERROR(__xludf.DUMMYFUNCTION("""COMPUTED_VALUE"""),"B326")</f>
        <v>B326</v>
      </c>
      <c r="CU1" t="str">
        <f>IFERROR(__xludf.DUMMYFUNCTION("""COMPUTED_VALUE"""),"B327")</f>
        <v>B327</v>
      </c>
      <c r="CV1" t="str">
        <f>IFERROR(__xludf.DUMMYFUNCTION("""COMPUTED_VALUE"""),"B328")</f>
        <v>B328</v>
      </c>
      <c r="CW1" s="259" t="str">
        <f>IFERROR(__xludf.DUMMYFUNCTION("""COMPUTED_VALUE"""),"B331")</f>
        <v>B331</v>
      </c>
      <c r="CX1" t="str">
        <f>IFERROR(__xludf.DUMMYFUNCTION("""COMPUTED_VALUE"""),"B332")</f>
        <v>B332</v>
      </c>
      <c r="CY1" s="260" t="str">
        <f>IFERROR(__xludf.DUMMYFUNCTION("""COMPUTED_VALUE"""),"B333")</f>
        <v>B333</v>
      </c>
      <c r="CZ1" t="str">
        <f>IFERROR(__xludf.DUMMYFUNCTION("""COMPUTED_VALUE"""),"B334")</f>
        <v>B334</v>
      </c>
      <c r="DA1" t="str">
        <f>IFERROR(__xludf.DUMMYFUNCTION("""COMPUTED_VALUE"""),"B335")</f>
        <v>B335</v>
      </c>
      <c r="DB1" t="str">
        <f>IFERROR(__xludf.DUMMYFUNCTION("""COMPUTED_VALUE"""),"B336")</f>
        <v>B336</v>
      </c>
      <c r="DC1" t="str">
        <f>IFERROR(__xludf.DUMMYFUNCTION("""COMPUTED_VALUE"""),"B337")</f>
        <v>B337</v>
      </c>
      <c r="DD1" t="str">
        <f>IFERROR(__xludf.DUMMYFUNCTION("""COMPUTED_VALUE"""),"B338")</f>
        <v>B338</v>
      </c>
      <c r="DE1" t="str">
        <f>IFERROR(__xludf.DUMMYFUNCTION("""COMPUTED_VALUE"""),"B341")</f>
        <v>B341</v>
      </c>
      <c r="DF1" t="str">
        <f>IFERROR(__xludf.DUMMYFUNCTION("""COMPUTED_VALUE"""),"B342")</f>
        <v>B342</v>
      </c>
      <c r="DG1" t="str">
        <f>IFERROR(__xludf.DUMMYFUNCTION("""COMPUTED_VALUE"""),"B343")</f>
        <v>B343</v>
      </c>
      <c r="DH1" t="str">
        <f>IFERROR(__xludf.DUMMYFUNCTION("""COMPUTED_VALUE"""),"B344")</f>
        <v>B344</v>
      </c>
      <c r="DI1" t="str">
        <f>IFERROR(__xludf.DUMMYFUNCTION("""COMPUTED_VALUE"""),"B345")</f>
        <v>B345</v>
      </c>
      <c r="DJ1" t="str">
        <f>IFERROR(__xludf.DUMMYFUNCTION("""COMPUTED_VALUE"""),"B346")</f>
        <v>B346</v>
      </c>
      <c r="DK1" t="str">
        <f>IFERROR(__xludf.DUMMYFUNCTION("""COMPUTED_VALUE"""),"B347")</f>
        <v>B347</v>
      </c>
      <c r="DL1" s="279" t="str">
        <f>IFERROR(__xludf.DUMMYFUNCTION("""COMPUTED_VALUE"""),"B348")</f>
        <v>B348</v>
      </c>
      <c r="DM1" s="279" t="str">
        <f>IFERROR(__xludf.DUMMYFUNCTION("""COMPUTED_VALUE"""),"B351")</f>
        <v>B351</v>
      </c>
      <c r="DN1" s="279" t="str">
        <f>IFERROR(__xludf.DUMMYFUNCTION("""COMPUTED_VALUE"""),"B352")</f>
        <v>B352</v>
      </c>
      <c r="DO1" t="str">
        <f>IFERROR(__xludf.DUMMYFUNCTION("""COMPUTED_VALUE"""),"B353")</f>
        <v>B353</v>
      </c>
      <c r="DP1" t="str">
        <f>IFERROR(__xludf.DUMMYFUNCTION("""COMPUTED_VALUE"""),"B354")</f>
        <v>B354</v>
      </c>
      <c r="DQ1" t="str">
        <f>IFERROR(__xludf.DUMMYFUNCTION("""COMPUTED_VALUE"""),"B355")</f>
        <v>B355</v>
      </c>
      <c r="DR1" t="str">
        <f>IFERROR(__xludf.DUMMYFUNCTION("""COMPUTED_VALUE"""),"B356")</f>
        <v>B356</v>
      </c>
      <c r="DS1" t="str">
        <f>IFERROR(__xludf.DUMMYFUNCTION("""COMPUTED_VALUE"""),"B357")</f>
        <v>B357</v>
      </c>
      <c r="DT1" t="str">
        <f>IFERROR(__xludf.DUMMYFUNCTION("""COMPUTED_VALUE"""),"B358")</f>
        <v>B358</v>
      </c>
    </row>
    <row r="2" hidden="1">
      <c r="K2" s="258">
        <f>IFERROR(__xludf.DUMMYFUNCTION("""COMPUTED_VALUE"""),8.0)</f>
        <v>8</v>
      </c>
      <c r="L2" s="258">
        <f>IFERROR(__xludf.DUMMYFUNCTION("""COMPUTED_VALUE"""),9.0)</f>
        <v>9</v>
      </c>
      <c r="M2">
        <f>IFERROR(__xludf.DUMMYFUNCTION("""COMPUTED_VALUE"""),10.0)</f>
        <v>10</v>
      </c>
      <c r="N2">
        <f>IFERROR(__xludf.DUMMYFUNCTION("""COMPUTED_VALUE"""),11.0)</f>
        <v>11</v>
      </c>
      <c r="O2">
        <f>IFERROR(__xludf.DUMMYFUNCTION("""COMPUTED_VALUE"""),12.0)</f>
        <v>12</v>
      </c>
      <c r="P2">
        <f>IFERROR(__xludf.DUMMYFUNCTION("""COMPUTED_VALUE"""),13.0)</f>
        <v>13</v>
      </c>
      <c r="Q2">
        <f>IFERROR(__xludf.DUMMYFUNCTION("""COMPUTED_VALUE"""),14.0)</f>
        <v>14</v>
      </c>
      <c r="R2">
        <f>IFERROR(__xludf.DUMMYFUNCTION("""COMPUTED_VALUE"""),15.0)</f>
        <v>15</v>
      </c>
      <c r="S2">
        <f>IFERROR(__xludf.DUMMYFUNCTION("""COMPUTED_VALUE"""),16.0)</f>
        <v>16</v>
      </c>
      <c r="T2">
        <f>IFERROR(__xludf.DUMMYFUNCTION("""COMPUTED_VALUE"""),17.0)</f>
        <v>17</v>
      </c>
      <c r="U2">
        <f>IFERROR(__xludf.DUMMYFUNCTION("""COMPUTED_VALUE"""),18.0)</f>
        <v>18</v>
      </c>
      <c r="V2">
        <f>IFERROR(__xludf.DUMMYFUNCTION("""COMPUTED_VALUE"""),19.0)</f>
        <v>19</v>
      </c>
      <c r="W2">
        <f>IFERROR(__xludf.DUMMYFUNCTION("""COMPUTED_VALUE"""),20.0)</f>
        <v>20</v>
      </c>
      <c r="X2">
        <f>IFERROR(__xludf.DUMMYFUNCTION("""COMPUTED_VALUE"""),21.0)</f>
        <v>21</v>
      </c>
      <c r="Y2">
        <f>IFERROR(__xludf.DUMMYFUNCTION("""COMPUTED_VALUE"""),22.0)</f>
        <v>22</v>
      </c>
      <c r="Z2">
        <f>IFERROR(__xludf.DUMMYFUNCTION("""COMPUTED_VALUE"""),23.0)</f>
        <v>23</v>
      </c>
      <c r="AA2">
        <f>IFERROR(__xludf.DUMMYFUNCTION("""COMPUTED_VALUE"""),24.0)</f>
        <v>24</v>
      </c>
      <c r="AB2">
        <f>IFERROR(__xludf.DUMMYFUNCTION("""COMPUTED_VALUE"""),25.0)</f>
        <v>25</v>
      </c>
      <c r="AC2">
        <f>IFERROR(__xludf.DUMMYFUNCTION("""COMPUTED_VALUE"""),26.0)</f>
        <v>26</v>
      </c>
      <c r="AD2">
        <f>IFERROR(__xludf.DUMMYFUNCTION("""COMPUTED_VALUE"""),27.0)</f>
        <v>27</v>
      </c>
      <c r="AE2">
        <f>IFERROR(__xludf.DUMMYFUNCTION("""COMPUTED_VALUE"""),28.0)</f>
        <v>28</v>
      </c>
      <c r="AF2">
        <f>IFERROR(__xludf.DUMMYFUNCTION("""COMPUTED_VALUE"""),29.0)</f>
        <v>29</v>
      </c>
      <c r="AG2">
        <f>IFERROR(__xludf.DUMMYFUNCTION("""COMPUTED_VALUE"""),30.0)</f>
        <v>30</v>
      </c>
      <c r="AH2">
        <f>IFERROR(__xludf.DUMMYFUNCTION("""COMPUTED_VALUE"""),31.0)</f>
        <v>31</v>
      </c>
      <c r="AI2">
        <f>IFERROR(__xludf.DUMMYFUNCTION("""COMPUTED_VALUE"""),32.0)</f>
        <v>32</v>
      </c>
      <c r="AJ2">
        <f>IFERROR(__xludf.DUMMYFUNCTION("""COMPUTED_VALUE"""),33.0)</f>
        <v>33</v>
      </c>
      <c r="AK2">
        <f>IFERROR(__xludf.DUMMYFUNCTION("""COMPUTED_VALUE"""),34.0)</f>
        <v>34</v>
      </c>
      <c r="AL2" s="278">
        <f>IFERROR(__xludf.DUMMYFUNCTION("""COMPUTED_VALUE"""),35.0)</f>
        <v>35</v>
      </c>
      <c r="AM2">
        <f>IFERROR(__xludf.DUMMYFUNCTION("""COMPUTED_VALUE"""),36.0)</f>
        <v>36</v>
      </c>
      <c r="AN2">
        <f>IFERROR(__xludf.DUMMYFUNCTION("""COMPUTED_VALUE"""),37.0)</f>
        <v>37</v>
      </c>
      <c r="AO2">
        <f>IFERROR(__xludf.DUMMYFUNCTION("""COMPUTED_VALUE"""),38.0)</f>
        <v>38</v>
      </c>
      <c r="AP2">
        <f>IFERROR(__xludf.DUMMYFUNCTION("""COMPUTED_VALUE"""),39.0)</f>
        <v>39</v>
      </c>
      <c r="AQ2">
        <f>IFERROR(__xludf.DUMMYFUNCTION("""COMPUTED_VALUE"""),40.0)</f>
        <v>40</v>
      </c>
      <c r="AR2">
        <f>IFERROR(__xludf.DUMMYFUNCTION("""COMPUTED_VALUE"""),41.0)</f>
        <v>41</v>
      </c>
      <c r="AS2">
        <f>IFERROR(__xludf.DUMMYFUNCTION("""COMPUTED_VALUE"""),42.0)</f>
        <v>42</v>
      </c>
      <c r="AT2">
        <f>IFERROR(__xludf.DUMMYFUNCTION("""COMPUTED_VALUE"""),43.0)</f>
        <v>43</v>
      </c>
      <c r="AU2">
        <f>IFERROR(__xludf.DUMMYFUNCTION("""COMPUTED_VALUE"""),44.0)</f>
        <v>44</v>
      </c>
      <c r="AV2">
        <f>IFERROR(__xludf.DUMMYFUNCTION("""COMPUTED_VALUE"""),45.0)</f>
        <v>45</v>
      </c>
      <c r="AW2">
        <f>IFERROR(__xludf.DUMMYFUNCTION("""COMPUTED_VALUE"""),46.0)</f>
        <v>46</v>
      </c>
      <c r="AX2">
        <f>IFERROR(__xludf.DUMMYFUNCTION("""COMPUTED_VALUE"""),47.0)</f>
        <v>47</v>
      </c>
      <c r="AY2">
        <f>IFERROR(__xludf.DUMMYFUNCTION("""COMPUTED_VALUE"""),48.0)</f>
        <v>48</v>
      </c>
      <c r="AZ2">
        <f>IFERROR(__xludf.DUMMYFUNCTION("""COMPUTED_VALUE"""),49.0)</f>
        <v>49</v>
      </c>
      <c r="BA2">
        <f>IFERROR(__xludf.DUMMYFUNCTION("""COMPUTED_VALUE"""),50.0)</f>
        <v>50</v>
      </c>
      <c r="BB2">
        <f>IFERROR(__xludf.DUMMYFUNCTION("""COMPUTED_VALUE"""),51.0)</f>
        <v>51</v>
      </c>
      <c r="BC2">
        <f>IFERROR(__xludf.DUMMYFUNCTION("""COMPUTED_VALUE"""),52.0)</f>
        <v>52</v>
      </c>
      <c r="BD2">
        <f>IFERROR(__xludf.DUMMYFUNCTION("""COMPUTED_VALUE"""),53.0)</f>
        <v>53</v>
      </c>
      <c r="BE2">
        <f>IFERROR(__xludf.DUMMYFUNCTION("""COMPUTED_VALUE"""),54.0)</f>
        <v>54</v>
      </c>
      <c r="BF2">
        <f>IFERROR(__xludf.DUMMYFUNCTION("""COMPUTED_VALUE"""),55.0)</f>
        <v>55</v>
      </c>
      <c r="BG2">
        <f>IFERROR(__xludf.DUMMYFUNCTION("""COMPUTED_VALUE"""),56.0)</f>
        <v>56</v>
      </c>
      <c r="BH2">
        <f>IFERROR(__xludf.DUMMYFUNCTION("""COMPUTED_VALUE"""),57.0)</f>
        <v>57</v>
      </c>
      <c r="BI2">
        <f>IFERROR(__xludf.DUMMYFUNCTION("""COMPUTED_VALUE"""),58.0)</f>
        <v>58</v>
      </c>
      <c r="BJ2">
        <f>IFERROR(__xludf.DUMMYFUNCTION("""COMPUTED_VALUE"""),59.0)</f>
        <v>59</v>
      </c>
      <c r="BK2">
        <f>IFERROR(__xludf.DUMMYFUNCTION("""COMPUTED_VALUE"""),60.0)</f>
        <v>60</v>
      </c>
      <c r="BL2">
        <f>IFERROR(__xludf.DUMMYFUNCTION("""COMPUTED_VALUE"""),61.0)</f>
        <v>61</v>
      </c>
      <c r="BM2">
        <f>IFERROR(__xludf.DUMMYFUNCTION("""COMPUTED_VALUE"""),62.0)</f>
        <v>62</v>
      </c>
      <c r="BN2">
        <f>IFERROR(__xludf.DUMMYFUNCTION("""COMPUTED_VALUE"""),63.0)</f>
        <v>63</v>
      </c>
      <c r="BO2">
        <f>IFERROR(__xludf.DUMMYFUNCTION("""COMPUTED_VALUE"""),64.0)</f>
        <v>64</v>
      </c>
      <c r="BP2">
        <f>IFERROR(__xludf.DUMMYFUNCTION("""COMPUTED_VALUE"""),65.0)</f>
        <v>65</v>
      </c>
      <c r="BQ2">
        <f>IFERROR(__xludf.DUMMYFUNCTION("""COMPUTED_VALUE"""),66.0)</f>
        <v>66</v>
      </c>
      <c r="BR2">
        <f>IFERROR(__xludf.DUMMYFUNCTION("""COMPUTED_VALUE"""),67.0)</f>
        <v>67</v>
      </c>
      <c r="BS2">
        <f>IFERROR(__xludf.DUMMYFUNCTION("""COMPUTED_VALUE"""),68.0)</f>
        <v>68</v>
      </c>
      <c r="BT2">
        <f>IFERROR(__xludf.DUMMYFUNCTION("""COMPUTED_VALUE"""),69.0)</f>
        <v>69</v>
      </c>
      <c r="BU2">
        <f>IFERROR(__xludf.DUMMYFUNCTION("""COMPUTED_VALUE"""),70.0)</f>
        <v>70</v>
      </c>
      <c r="BV2">
        <f>IFERROR(__xludf.DUMMYFUNCTION("""COMPUTED_VALUE"""),71.0)</f>
        <v>71</v>
      </c>
      <c r="BW2">
        <f>IFERROR(__xludf.DUMMYFUNCTION("""COMPUTED_VALUE"""),72.0)</f>
        <v>72</v>
      </c>
      <c r="BX2">
        <f>IFERROR(__xludf.DUMMYFUNCTION("""COMPUTED_VALUE"""),73.0)</f>
        <v>73</v>
      </c>
      <c r="BY2">
        <f>IFERROR(__xludf.DUMMYFUNCTION("""COMPUTED_VALUE"""),74.0)</f>
        <v>74</v>
      </c>
      <c r="BZ2">
        <f>IFERROR(__xludf.DUMMYFUNCTION("""COMPUTED_VALUE"""),75.0)</f>
        <v>75</v>
      </c>
      <c r="CA2">
        <f>IFERROR(__xludf.DUMMYFUNCTION("""COMPUTED_VALUE"""),76.0)</f>
        <v>76</v>
      </c>
      <c r="CB2">
        <f>IFERROR(__xludf.DUMMYFUNCTION("""COMPUTED_VALUE"""),77.0)</f>
        <v>77</v>
      </c>
      <c r="CC2">
        <f>IFERROR(__xludf.DUMMYFUNCTION("""COMPUTED_VALUE"""),78.0)</f>
        <v>78</v>
      </c>
      <c r="CD2">
        <f>IFERROR(__xludf.DUMMYFUNCTION("""COMPUTED_VALUE"""),79.0)</f>
        <v>79</v>
      </c>
      <c r="CE2">
        <f>IFERROR(__xludf.DUMMYFUNCTION("""COMPUTED_VALUE"""),80.0)</f>
        <v>80</v>
      </c>
      <c r="CF2">
        <f>IFERROR(__xludf.DUMMYFUNCTION("""COMPUTED_VALUE"""),81.0)</f>
        <v>81</v>
      </c>
      <c r="CG2">
        <f>IFERROR(__xludf.DUMMYFUNCTION("""COMPUTED_VALUE"""),82.0)</f>
        <v>82</v>
      </c>
      <c r="CH2">
        <f>IFERROR(__xludf.DUMMYFUNCTION("""COMPUTED_VALUE"""),83.0)</f>
        <v>83</v>
      </c>
      <c r="CI2">
        <f>IFERROR(__xludf.DUMMYFUNCTION("""COMPUTED_VALUE"""),84.0)</f>
        <v>84</v>
      </c>
      <c r="CJ2">
        <f>IFERROR(__xludf.DUMMYFUNCTION("""COMPUTED_VALUE"""),85.0)</f>
        <v>85</v>
      </c>
      <c r="CK2" s="259">
        <f>IFERROR(__xludf.DUMMYFUNCTION("""COMPUTED_VALUE"""),86.0)</f>
        <v>86</v>
      </c>
      <c r="CL2">
        <f>IFERROR(__xludf.DUMMYFUNCTION("""COMPUTED_VALUE"""),87.0)</f>
        <v>87</v>
      </c>
      <c r="CM2" s="260">
        <f>IFERROR(__xludf.DUMMYFUNCTION("""COMPUTED_VALUE"""),88.0)</f>
        <v>88</v>
      </c>
      <c r="CN2">
        <f>IFERROR(__xludf.DUMMYFUNCTION("""COMPUTED_VALUE"""),89.0)</f>
        <v>89</v>
      </c>
      <c r="CO2">
        <f>IFERROR(__xludf.DUMMYFUNCTION("""COMPUTED_VALUE"""),90.0)</f>
        <v>90</v>
      </c>
      <c r="CP2">
        <f>IFERROR(__xludf.DUMMYFUNCTION("""COMPUTED_VALUE"""),91.0)</f>
        <v>91</v>
      </c>
      <c r="CQ2" s="259">
        <f>IFERROR(__xludf.DUMMYFUNCTION("""COMPUTED_VALUE"""),92.0)</f>
        <v>92</v>
      </c>
      <c r="CR2">
        <f>IFERROR(__xludf.DUMMYFUNCTION("""COMPUTED_VALUE"""),93.0)</f>
        <v>93</v>
      </c>
      <c r="CS2">
        <f>IFERROR(__xludf.DUMMYFUNCTION("""COMPUTED_VALUE"""),94.0)</f>
        <v>94</v>
      </c>
      <c r="CT2" s="259">
        <f>IFERROR(__xludf.DUMMYFUNCTION("""COMPUTED_VALUE"""),95.0)</f>
        <v>95</v>
      </c>
      <c r="CU2">
        <f>IFERROR(__xludf.DUMMYFUNCTION("""COMPUTED_VALUE"""),96.0)</f>
        <v>96</v>
      </c>
      <c r="CV2">
        <f>IFERROR(__xludf.DUMMYFUNCTION("""COMPUTED_VALUE"""),97.0)</f>
        <v>97</v>
      </c>
      <c r="CW2" s="259">
        <f>IFERROR(__xludf.DUMMYFUNCTION("""COMPUTED_VALUE"""),98.0)</f>
        <v>98</v>
      </c>
      <c r="CX2">
        <f>IFERROR(__xludf.DUMMYFUNCTION("""COMPUTED_VALUE"""),99.0)</f>
        <v>99</v>
      </c>
      <c r="CY2" s="260">
        <f>IFERROR(__xludf.DUMMYFUNCTION("""COMPUTED_VALUE"""),100.0)</f>
        <v>100</v>
      </c>
      <c r="CZ2">
        <f>IFERROR(__xludf.DUMMYFUNCTION("""COMPUTED_VALUE"""),101.0)</f>
        <v>101</v>
      </c>
      <c r="DA2">
        <f>IFERROR(__xludf.DUMMYFUNCTION("""COMPUTED_VALUE"""),102.0)</f>
        <v>102</v>
      </c>
      <c r="DB2">
        <f>IFERROR(__xludf.DUMMYFUNCTION("""COMPUTED_VALUE"""),103.0)</f>
        <v>103</v>
      </c>
      <c r="DC2">
        <f>IFERROR(__xludf.DUMMYFUNCTION("""COMPUTED_VALUE"""),104.0)</f>
        <v>104</v>
      </c>
      <c r="DD2">
        <f>IFERROR(__xludf.DUMMYFUNCTION("""COMPUTED_VALUE"""),105.0)</f>
        <v>105</v>
      </c>
      <c r="DE2">
        <f>IFERROR(__xludf.DUMMYFUNCTION("""COMPUTED_VALUE"""),106.0)</f>
        <v>106</v>
      </c>
      <c r="DF2">
        <f>IFERROR(__xludf.DUMMYFUNCTION("""COMPUTED_VALUE"""),107.0)</f>
        <v>107</v>
      </c>
      <c r="DG2">
        <f>IFERROR(__xludf.DUMMYFUNCTION("""COMPUTED_VALUE"""),108.0)</f>
        <v>108</v>
      </c>
      <c r="DH2">
        <f>IFERROR(__xludf.DUMMYFUNCTION("""COMPUTED_VALUE"""),109.0)</f>
        <v>109</v>
      </c>
      <c r="DI2">
        <f>IFERROR(__xludf.DUMMYFUNCTION("""COMPUTED_VALUE"""),110.0)</f>
        <v>110</v>
      </c>
      <c r="DJ2">
        <f>IFERROR(__xludf.DUMMYFUNCTION("""COMPUTED_VALUE"""),111.0)</f>
        <v>111</v>
      </c>
      <c r="DK2">
        <f>IFERROR(__xludf.DUMMYFUNCTION("""COMPUTED_VALUE"""),112.0)</f>
        <v>112</v>
      </c>
      <c r="DL2" s="279">
        <f>IFERROR(__xludf.DUMMYFUNCTION("""COMPUTED_VALUE"""),113.0)</f>
        <v>113</v>
      </c>
      <c r="DM2" s="279">
        <f>IFERROR(__xludf.DUMMYFUNCTION("""COMPUTED_VALUE"""),114.0)</f>
        <v>114</v>
      </c>
      <c r="DN2" s="279">
        <f>IFERROR(__xludf.DUMMYFUNCTION("""COMPUTED_VALUE"""),115.0)</f>
        <v>115</v>
      </c>
      <c r="DO2">
        <f>IFERROR(__xludf.DUMMYFUNCTION("""COMPUTED_VALUE"""),116.0)</f>
        <v>116</v>
      </c>
      <c r="DP2">
        <f>IFERROR(__xludf.DUMMYFUNCTION("""COMPUTED_VALUE"""),117.0)</f>
        <v>117</v>
      </c>
      <c r="DQ2" t="str">
        <f>IFERROR(__xludf.DUMMYFUNCTION("""COMPUTED_VALUE"""),"#N/A")</f>
        <v>#N/A</v>
      </c>
      <c r="DR2" t="str">
        <f>IFERROR(__xludf.DUMMYFUNCTION("""COMPUTED_VALUE"""),"#N/A")</f>
        <v>#N/A</v>
      </c>
      <c r="DT2" t="str">
        <f>IFERROR(__xludf.DUMMYFUNCTION("""COMPUTED_VALUE"""),"#N/A")</f>
        <v>#N/A</v>
      </c>
    </row>
    <row r="3" ht="41.25" customHeight="1">
      <c r="A3" s="82"/>
      <c r="B3" s="83" t="str">
        <f>IFERROR(__xludf.DUMMYFUNCTION("""COMPUTED_VALUE"""),"String")</f>
        <v>String</v>
      </c>
      <c r="C3" s="83" t="str">
        <f>IFERROR(__xludf.DUMMYFUNCTION("""COMPUTED_VALUE"""),"Name")</f>
        <v>Name</v>
      </c>
      <c r="D3" s="83" t="str">
        <f>IFERROR(__xludf.DUMMYFUNCTION("""COMPUTED_VALUE"""),"AP")</f>
        <v>AP</v>
      </c>
      <c r="E3" s="83" t="str">
        <f>IFERROR(__xludf.DUMMYFUNCTION("""COMPUTED_VALUE"""),"Unlocked?")</f>
        <v>Unlocked?</v>
      </c>
      <c r="F3" s="83" t="str">
        <f>IFERROR(__xludf.DUMMYFUNCTION("""COMPUTED_VALUE"""),"Interval")</f>
        <v>Interval</v>
      </c>
      <c r="G3" s="83" t="str">
        <f>IFERROR(__xludf.DUMMYFUNCTION("""COMPUTED_VALUE"""),"JP Ref")</f>
        <v>JP Ref</v>
      </c>
      <c r="H3" s="83" t="str">
        <f>IFERROR(__xludf.DUMMYFUNCTION("""COMPUTED_VALUE"""),"NA Runs")</f>
        <v>NA Runs</v>
      </c>
      <c r="I3" s="83" t="str">
        <f>IFERROR(__xludf.DUMMYFUNCTION("""COMPUTED_VALUE"""),"JP Runs")</f>
        <v>JP Runs</v>
      </c>
      <c r="J3" s="83" t="str">
        <f>IFERROR(__xludf.DUMMYFUNCTION("""COMPUTED_VALUE"""),"Runs")</f>
        <v>Runs</v>
      </c>
      <c r="K3" s="229" t="str">
        <f>IFERROR(__xludf.DUMMYFUNCTION("""COMPUTED_VALUE"""),"")</f>
        <v/>
      </c>
      <c r="L3" s="229" t="str">
        <f>IFERROR(__xludf.DUMMYFUNCTION("""COMPUTED_VALUE"""),"")</f>
        <v/>
      </c>
      <c r="M3" s="229" t="str">
        <f>IFERROR(__xludf.DUMMYFUNCTION("""COMPUTED_VALUE"""),"")</f>
        <v/>
      </c>
      <c r="N3" s="229" t="str">
        <f>IFERROR(__xludf.DUMMYFUNCTION("""COMPUTED_VALUE"""),"")</f>
        <v/>
      </c>
      <c r="O3" s="229" t="str">
        <f>IFERROR(__xludf.DUMMYFUNCTION("""COMPUTED_VALUE"""),"")</f>
        <v/>
      </c>
      <c r="P3" s="229" t="str">
        <f>IFERROR(__xludf.DUMMYFUNCTION("""COMPUTED_VALUE"""),"")</f>
        <v/>
      </c>
      <c r="Q3" s="229" t="str">
        <f>IFERROR(__xludf.DUMMYFUNCTION("""COMPUTED_VALUE"""),"")</f>
        <v/>
      </c>
      <c r="R3" s="229" t="str">
        <f>IFERROR(__xludf.DUMMYFUNCTION("""COMPUTED_VALUE"""),"")</f>
        <v/>
      </c>
      <c r="S3" s="229" t="str">
        <f>IFERROR(__xludf.DUMMYFUNCTION("""COMPUTED_VALUE"""),"")</f>
        <v/>
      </c>
      <c r="T3" s="229" t="str">
        <f>IFERROR(__xludf.DUMMYFUNCTION("""COMPUTED_VALUE"""),"")</f>
        <v/>
      </c>
      <c r="U3" s="229" t="str">
        <f>IFERROR(__xludf.DUMMYFUNCTION("""COMPUTED_VALUE"""),"")</f>
        <v/>
      </c>
      <c r="V3" s="229" t="str">
        <f>IFERROR(__xludf.DUMMYFUNCTION("""COMPUTED_VALUE"""),"")</f>
        <v/>
      </c>
      <c r="W3" s="229" t="str">
        <f>IFERROR(__xludf.DUMMYFUNCTION("""COMPUTED_VALUE"""),"")</f>
        <v/>
      </c>
      <c r="X3" s="229" t="str">
        <f>IFERROR(__xludf.DUMMYFUNCTION("""COMPUTED_VALUE"""),"")</f>
        <v/>
      </c>
      <c r="Y3" s="229" t="str">
        <f>IFERROR(__xludf.DUMMYFUNCTION("""COMPUTED_VALUE"""),"")</f>
        <v/>
      </c>
      <c r="Z3" s="229" t="str">
        <f>IFERROR(__xludf.DUMMYFUNCTION("""COMPUTED_VALUE"""),"")</f>
        <v/>
      </c>
      <c r="AA3" s="229" t="str">
        <f>IFERROR(__xludf.DUMMYFUNCTION("""COMPUTED_VALUE"""),"")</f>
        <v/>
      </c>
      <c r="AB3" s="229" t="str">
        <f>IFERROR(__xludf.DUMMYFUNCTION("""COMPUTED_VALUE"""),"")</f>
        <v/>
      </c>
      <c r="AC3" s="229" t="str">
        <f>IFERROR(__xludf.DUMMYFUNCTION("""COMPUTED_VALUE"""),"")</f>
        <v/>
      </c>
      <c r="AD3" s="229" t="str">
        <f>IFERROR(__xludf.DUMMYFUNCTION("""COMPUTED_VALUE"""),"")</f>
        <v/>
      </c>
      <c r="AE3" s="229" t="str">
        <f>IFERROR(__xludf.DUMMYFUNCTION("""COMPUTED_VALUE"""),"")</f>
        <v/>
      </c>
      <c r="AF3" s="229" t="str">
        <f>IFERROR(__xludf.DUMMYFUNCTION("""COMPUTED_VALUE"""),"")</f>
        <v/>
      </c>
      <c r="AG3" s="229" t="str">
        <f>IFERROR(__xludf.DUMMYFUNCTION("""COMPUTED_VALUE"""),"")</f>
        <v/>
      </c>
      <c r="AH3" s="229" t="str">
        <f>IFERROR(__xludf.DUMMYFUNCTION("""COMPUTED_VALUE"""),"")</f>
        <v/>
      </c>
      <c r="AI3" s="229" t="str">
        <f>IFERROR(__xludf.DUMMYFUNCTION("""COMPUTED_VALUE"""),"")</f>
        <v/>
      </c>
      <c r="AJ3" s="229" t="str">
        <f>IFERROR(__xludf.DUMMYFUNCTION("""COMPUTED_VALUE"""),"")</f>
        <v/>
      </c>
      <c r="AK3" s="229" t="str">
        <f>IFERROR(__xludf.DUMMYFUNCTION("""COMPUTED_VALUE"""),"")</f>
        <v/>
      </c>
      <c r="AL3" s="232" t="str">
        <f>IFERROR(__xludf.DUMMYFUNCTION("""COMPUTED_VALUE"""),"")</f>
        <v/>
      </c>
      <c r="AM3" s="229" t="str">
        <f>IFERROR(__xludf.DUMMYFUNCTION("""COMPUTED_VALUE"""),"")</f>
        <v/>
      </c>
      <c r="AN3" s="229" t="str">
        <f>IFERROR(__xludf.DUMMYFUNCTION("""COMPUTED_VALUE"""),"")</f>
        <v/>
      </c>
      <c r="AO3" s="229" t="str">
        <f>IFERROR(__xludf.DUMMYFUNCTION("""COMPUTED_VALUE"""),"")</f>
        <v/>
      </c>
      <c r="AP3" s="229" t="str">
        <f>IFERROR(__xludf.DUMMYFUNCTION("""COMPUTED_VALUE"""),"")</f>
        <v/>
      </c>
      <c r="AQ3" s="229" t="str">
        <f>IFERROR(__xludf.DUMMYFUNCTION("""COMPUTED_VALUE"""),"")</f>
        <v/>
      </c>
      <c r="AR3" s="229" t="str">
        <f>IFERROR(__xludf.DUMMYFUNCTION("""COMPUTED_VALUE"""),"")</f>
        <v/>
      </c>
      <c r="AS3" s="229" t="str">
        <f>IFERROR(__xludf.DUMMYFUNCTION("""COMPUTED_VALUE"""),"")</f>
        <v/>
      </c>
      <c r="AT3" s="229" t="str">
        <f>IFERROR(__xludf.DUMMYFUNCTION("""COMPUTED_VALUE"""),"")</f>
        <v/>
      </c>
      <c r="AU3" s="229" t="str">
        <f>IFERROR(__xludf.DUMMYFUNCTION("""COMPUTED_VALUE"""),"")</f>
        <v/>
      </c>
      <c r="AV3" s="229" t="str">
        <f>IFERROR(__xludf.DUMMYFUNCTION("""COMPUTED_VALUE"""),"")</f>
        <v/>
      </c>
      <c r="AW3" s="229" t="str">
        <f>IFERROR(__xludf.DUMMYFUNCTION("""COMPUTED_VALUE"""),"")</f>
        <v/>
      </c>
      <c r="AX3" s="229" t="str">
        <f>IFERROR(__xludf.DUMMYFUNCTION("""COMPUTED_VALUE"""),"")</f>
        <v/>
      </c>
      <c r="AY3" s="229" t="str">
        <f>IFERROR(__xludf.DUMMYFUNCTION("""COMPUTED_VALUE"""),"")</f>
        <v/>
      </c>
      <c r="AZ3" s="229" t="str">
        <f>IFERROR(__xludf.DUMMYFUNCTION("""COMPUTED_VALUE"""),"")</f>
        <v/>
      </c>
      <c r="BA3" s="229" t="str">
        <f>IFERROR(__xludf.DUMMYFUNCTION("""COMPUTED_VALUE"""),"")</f>
        <v/>
      </c>
      <c r="BB3" s="229" t="str">
        <f>IFERROR(__xludf.DUMMYFUNCTION("""COMPUTED_VALUE"""),"")</f>
        <v/>
      </c>
      <c r="BC3" s="229" t="str">
        <f>IFERROR(__xludf.DUMMYFUNCTION("""COMPUTED_VALUE"""),"")</f>
        <v/>
      </c>
      <c r="BD3" s="229" t="str">
        <f>IFERROR(__xludf.DUMMYFUNCTION("""COMPUTED_VALUE"""),"")</f>
        <v/>
      </c>
      <c r="BE3" s="229" t="str">
        <f>IFERROR(__xludf.DUMMYFUNCTION("""COMPUTED_VALUE"""),"")</f>
        <v/>
      </c>
      <c r="BF3" s="229" t="str">
        <f>IFERROR(__xludf.DUMMYFUNCTION("""COMPUTED_VALUE"""),"")</f>
        <v/>
      </c>
      <c r="BG3" s="229" t="str">
        <f>IFERROR(__xludf.DUMMYFUNCTION("""COMPUTED_VALUE"""),"")</f>
        <v/>
      </c>
      <c r="BH3" s="229" t="str">
        <f>IFERROR(__xludf.DUMMYFUNCTION("""COMPUTED_VALUE"""),"")</f>
        <v/>
      </c>
      <c r="BI3" s="229" t="str">
        <f>IFERROR(__xludf.DUMMYFUNCTION("""COMPUTED_VALUE"""),"")</f>
        <v/>
      </c>
      <c r="BJ3" s="229" t="str">
        <f>IFERROR(__xludf.DUMMYFUNCTION("""COMPUTED_VALUE"""),"")</f>
        <v/>
      </c>
      <c r="BK3" s="229" t="str">
        <f>IFERROR(__xludf.DUMMYFUNCTION("""COMPUTED_VALUE"""),"")</f>
        <v/>
      </c>
      <c r="BL3" s="229" t="str">
        <f>IFERROR(__xludf.DUMMYFUNCTION("""COMPUTED_VALUE"""),"")</f>
        <v/>
      </c>
      <c r="BM3" s="229" t="str">
        <f>IFERROR(__xludf.DUMMYFUNCTION("""COMPUTED_VALUE"""),"")</f>
        <v/>
      </c>
      <c r="BN3" s="229" t="str">
        <f>IFERROR(__xludf.DUMMYFUNCTION("""COMPUTED_VALUE"""),"")</f>
        <v/>
      </c>
      <c r="BO3" s="229" t="str">
        <f>IFERROR(__xludf.DUMMYFUNCTION("""COMPUTED_VALUE"""),"")</f>
        <v/>
      </c>
      <c r="BP3" s="229" t="str">
        <f>IFERROR(__xludf.DUMMYFUNCTION("""COMPUTED_VALUE"""),"")</f>
        <v/>
      </c>
      <c r="BQ3" s="229" t="str">
        <f>IFERROR(__xludf.DUMMYFUNCTION("""COMPUTED_VALUE"""),"")</f>
        <v/>
      </c>
      <c r="BR3" s="229" t="str">
        <f>IFERROR(__xludf.DUMMYFUNCTION("""COMPUTED_VALUE"""),"")</f>
        <v/>
      </c>
      <c r="BS3" s="229" t="str">
        <f>IFERROR(__xludf.DUMMYFUNCTION("""COMPUTED_VALUE"""),"")</f>
        <v/>
      </c>
      <c r="BT3" s="229" t="str">
        <f>IFERROR(__xludf.DUMMYFUNCTION("""COMPUTED_VALUE"""),"")</f>
        <v/>
      </c>
      <c r="BU3" s="229" t="str">
        <f>IFERROR(__xludf.DUMMYFUNCTION("""COMPUTED_VALUE"""),"")</f>
        <v/>
      </c>
      <c r="BV3" s="229" t="str">
        <f>IFERROR(__xludf.DUMMYFUNCTION("""COMPUTED_VALUE"""),"")</f>
        <v/>
      </c>
      <c r="BW3" s="229" t="str">
        <f>IFERROR(__xludf.DUMMYFUNCTION("""COMPUTED_VALUE"""),"")</f>
        <v/>
      </c>
      <c r="BX3" s="229" t="str">
        <f>IFERROR(__xludf.DUMMYFUNCTION("""COMPUTED_VALUE"""),"")</f>
        <v/>
      </c>
      <c r="BY3" s="229" t="str">
        <f>IFERROR(__xludf.DUMMYFUNCTION("""COMPUTED_VALUE"""),"")</f>
        <v/>
      </c>
      <c r="BZ3" s="229" t="str">
        <f>IFERROR(__xludf.DUMMYFUNCTION("""COMPUTED_VALUE"""),"")</f>
        <v/>
      </c>
      <c r="CA3" s="229" t="str">
        <f>IFERROR(__xludf.DUMMYFUNCTION("""COMPUTED_VALUE"""),"")</f>
        <v/>
      </c>
      <c r="CB3" s="229" t="str">
        <f>IFERROR(__xludf.DUMMYFUNCTION("""COMPUTED_VALUE"""),"")</f>
        <v/>
      </c>
      <c r="CC3" s="229" t="str">
        <f>IFERROR(__xludf.DUMMYFUNCTION("""COMPUTED_VALUE"""),"")</f>
        <v/>
      </c>
      <c r="CD3" s="229" t="str">
        <f>IFERROR(__xludf.DUMMYFUNCTION("""COMPUTED_VALUE"""),"")</f>
        <v/>
      </c>
      <c r="CE3" s="229" t="str">
        <f>IFERROR(__xludf.DUMMYFUNCTION("""COMPUTED_VALUE"""),"")</f>
        <v/>
      </c>
      <c r="CF3" s="229" t="str">
        <f>IFERROR(__xludf.DUMMYFUNCTION("""COMPUTED_VALUE"""),"")</f>
        <v/>
      </c>
      <c r="CG3" s="229" t="str">
        <f>IFERROR(__xludf.DUMMYFUNCTION("""COMPUTED_VALUE"""),"")</f>
        <v/>
      </c>
      <c r="CH3" s="229" t="str">
        <f>IFERROR(__xludf.DUMMYFUNCTION("""COMPUTED_VALUE"""),"")</f>
        <v/>
      </c>
      <c r="CI3" s="229" t="str">
        <f>IFERROR(__xludf.DUMMYFUNCTION("""COMPUTED_VALUE"""),"")</f>
        <v/>
      </c>
      <c r="CJ3" s="229" t="str">
        <f>IFERROR(__xludf.DUMMYFUNCTION("""COMPUTED_VALUE"""),"")</f>
        <v/>
      </c>
      <c r="CK3" s="261" t="str">
        <f>IFERROR(__xludf.DUMMYFUNCTION("""COMPUTED_VALUE"""),"")</f>
        <v/>
      </c>
      <c r="CL3" s="229" t="str">
        <f>IFERROR(__xludf.DUMMYFUNCTION("""COMPUTED_VALUE"""),"")</f>
        <v/>
      </c>
      <c r="CM3" s="262" t="str">
        <f>IFERROR(__xludf.DUMMYFUNCTION("""COMPUTED_VALUE"""),"")</f>
        <v/>
      </c>
      <c r="CN3" s="229" t="str">
        <f>IFERROR(__xludf.DUMMYFUNCTION("""COMPUTED_VALUE"""),"")</f>
        <v/>
      </c>
      <c r="CO3" s="229" t="str">
        <f>IFERROR(__xludf.DUMMYFUNCTION("""COMPUTED_VALUE"""),"")</f>
        <v/>
      </c>
      <c r="CP3" s="229" t="str">
        <f>IFERROR(__xludf.DUMMYFUNCTION("""COMPUTED_VALUE"""),"")</f>
        <v/>
      </c>
      <c r="CQ3" s="261" t="str">
        <f>IFERROR(__xludf.DUMMYFUNCTION("""COMPUTED_VALUE"""),"")</f>
        <v/>
      </c>
      <c r="CR3" s="229" t="str">
        <f>IFERROR(__xludf.DUMMYFUNCTION("""COMPUTED_VALUE"""),"")</f>
        <v/>
      </c>
      <c r="CS3" s="229" t="str">
        <f>IFERROR(__xludf.DUMMYFUNCTION("""COMPUTED_VALUE"""),"")</f>
        <v/>
      </c>
      <c r="CT3" s="261" t="str">
        <f>IFERROR(__xludf.DUMMYFUNCTION("""COMPUTED_VALUE"""),"")</f>
        <v/>
      </c>
      <c r="CU3" s="229" t="str">
        <f>IFERROR(__xludf.DUMMYFUNCTION("""COMPUTED_VALUE"""),"")</f>
        <v/>
      </c>
      <c r="CV3" s="229" t="str">
        <f>IFERROR(__xludf.DUMMYFUNCTION("""COMPUTED_VALUE"""),"")</f>
        <v/>
      </c>
      <c r="CW3" s="261" t="str">
        <f>IFERROR(__xludf.DUMMYFUNCTION("""COMPUTED_VALUE"""),"")</f>
        <v/>
      </c>
      <c r="CX3" s="229" t="str">
        <f>IFERROR(__xludf.DUMMYFUNCTION("""COMPUTED_VALUE"""),"")</f>
        <v/>
      </c>
      <c r="CY3" s="262" t="str">
        <f>IFERROR(__xludf.DUMMYFUNCTION("""COMPUTED_VALUE"""),"")</f>
        <v/>
      </c>
      <c r="CZ3" s="229" t="str">
        <f>IFERROR(__xludf.DUMMYFUNCTION("""COMPUTED_VALUE"""),"")</f>
        <v/>
      </c>
      <c r="DA3" s="229" t="str">
        <f>IFERROR(__xludf.DUMMYFUNCTION("""COMPUTED_VALUE"""),"")</f>
        <v/>
      </c>
      <c r="DB3" s="229" t="str">
        <f>IFERROR(__xludf.DUMMYFUNCTION("""COMPUTED_VALUE"""),"")</f>
        <v/>
      </c>
      <c r="DC3" s="229" t="str">
        <f>IFERROR(__xludf.DUMMYFUNCTION("""COMPUTED_VALUE"""),"")</f>
        <v/>
      </c>
      <c r="DD3" s="229" t="str">
        <f>IFERROR(__xludf.DUMMYFUNCTION("""COMPUTED_VALUE"""),"")</f>
        <v/>
      </c>
      <c r="DE3" s="229" t="str">
        <f>IFERROR(__xludf.DUMMYFUNCTION("""COMPUTED_VALUE"""),"")</f>
        <v/>
      </c>
      <c r="DF3" s="229" t="str">
        <f>IFERROR(__xludf.DUMMYFUNCTION("""COMPUTED_VALUE"""),"")</f>
        <v/>
      </c>
      <c r="DG3" s="229" t="str">
        <f>IFERROR(__xludf.DUMMYFUNCTION("""COMPUTED_VALUE"""),"")</f>
        <v/>
      </c>
      <c r="DH3" s="229" t="str">
        <f>IFERROR(__xludf.DUMMYFUNCTION("""COMPUTED_VALUE"""),"")</f>
        <v/>
      </c>
      <c r="DI3" s="229" t="str">
        <f>IFERROR(__xludf.DUMMYFUNCTION("""COMPUTED_VALUE"""),"")</f>
        <v/>
      </c>
      <c r="DJ3" s="229" t="str">
        <f>IFERROR(__xludf.DUMMYFUNCTION("""COMPUTED_VALUE"""),"")</f>
        <v/>
      </c>
      <c r="DK3" s="229" t="str">
        <f>IFERROR(__xludf.DUMMYFUNCTION("""COMPUTED_VALUE"""),"")</f>
        <v/>
      </c>
      <c r="DL3" s="280" t="str">
        <f>IFERROR(__xludf.DUMMYFUNCTION("""COMPUTED_VALUE"""),"")</f>
        <v/>
      </c>
      <c r="DM3" s="281" t="str">
        <f>IFERROR(__xludf.DUMMYFUNCTION("""COMPUTED_VALUE"""),"")</f>
        <v/>
      </c>
      <c r="DN3" s="282" t="str">
        <f>IFERROR(__xludf.DUMMYFUNCTION("""COMPUTED_VALUE"""),"")</f>
        <v/>
      </c>
      <c r="DO3" s="229" t="str">
        <f>IFERROR(__xludf.DUMMYFUNCTION("""COMPUTED_VALUE"""),"")</f>
        <v/>
      </c>
      <c r="DP3" s="229" t="str">
        <f>IFERROR(__xludf.DUMMYFUNCTION("""COMPUTED_VALUE"""),"")</f>
        <v/>
      </c>
      <c r="DQ3" s="229" t="str">
        <f>IFERROR(__xludf.DUMMYFUNCTION("""COMPUTED_VALUE"""),"")</f>
        <v/>
      </c>
      <c r="DR3" s="229" t="str">
        <f>IFERROR(__xludf.DUMMYFUNCTION("""COMPUTED_VALUE"""),"")</f>
        <v/>
      </c>
      <c r="DS3" s="229" t="str">
        <f>IFERROR(__xludf.DUMMYFUNCTION("""COMPUTED_VALUE"""),"")</f>
        <v/>
      </c>
      <c r="DT3" s="229" t="str">
        <f>IFERROR(__xludf.DUMMYFUNCTION("""COMPUTED_VALUE"""),"")</f>
        <v/>
      </c>
      <c r="DU3" s="229"/>
    </row>
    <row r="4">
      <c r="A4" s="87" t="str">
        <f>IFERROR(__xludf.DUMMYFUNCTION("""COMPUTED_VALUE"""),"EMBER GATHERING")</f>
        <v>EMBER GATHERING</v>
      </c>
      <c r="B4" s="83" t="str">
        <f>IFERROR(__xludf.DUMMYFUNCTION("""COMPUTED_VALUE"""),"EMB1")</f>
        <v>EMB1</v>
      </c>
      <c r="C4" s="88" t="str">
        <f>IFERROR(__xludf.DUMMYFUNCTION("""COMPUTED_VALUE"""),"Monday/Thursday- Novice")</f>
        <v>Monday/Thursday- Novice</v>
      </c>
      <c r="D4" s="102">
        <f>IFERROR(__xludf.DUMMYFUNCTION("""COMPUTED_VALUE"""),10.0)</f>
        <v>10</v>
      </c>
      <c r="E4" s="82" t="b">
        <f>IFERROR(__xludf.DUMMYFUNCTION("""COMPUTED_VALUE"""),TRUE)</f>
        <v>1</v>
      </c>
      <c r="F4" s="82" t="str">
        <f>IFERROR(__xludf.DUMMYFUNCTION("""COMPUTED_VALUE"""),"Ember Gathering!A8:J18")</f>
        <v>Ember Gathering!A8:J18</v>
      </c>
      <c r="G4" s="82"/>
      <c r="H4" s="82">
        <f>IFERROR(__xludf.DUMMYFUNCTION("""COMPUTED_VALUE"""),24.0)</f>
        <v>24</v>
      </c>
      <c r="I4" s="82"/>
      <c r="J4" s="82">
        <f>IFERROR(__xludf.DUMMYFUNCTION("""COMPUTED_VALUE"""),24.0)</f>
        <v>24</v>
      </c>
      <c r="K4" s="234"/>
      <c r="L4" s="230"/>
      <c r="M4" s="235"/>
      <c r="N4" s="234"/>
      <c r="O4" s="230"/>
      <c r="P4" s="235"/>
      <c r="Q4" s="234"/>
      <c r="R4" s="230"/>
      <c r="S4" s="235"/>
      <c r="T4" s="234"/>
      <c r="U4" s="230"/>
      <c r="V4" s="235"/>
      <c r="W4" s="234"/>
      <c r="X4" s="230"/>
      <c r="Y4" s="235"/>
      <c r="Z4" s="234"/>
      <c r="AA4" s="230"/>
      <c r="AB4" s="235"/>
      <c r="AC4" s="234"/>
      <c r="AD4" s="230"/>
      <c r="AE4" s="235"/>
      <c r="AF4" s="234"/>
      <c r="AG4" s="230"/>
      <c r="AH4" s="235"/>
      <c r="AI4" s="234"/>
      <c r="AJ4" s="230"/>
      <c r="AK4" s="235"/>
      <c r="AL4" s="231"/>
      <c r="AM4" s="230"/>
      <c r="AN4" s="235"/>
      <c r="AO4" s="234"/>
      <c r="AP4" s="230"/>
      <c r="AQ4" s="235"/>
      <c r="AR4" s="234"/>
      <c r="AS4" s="230"/>
      <c r="AT4" s="235"/>
      <c r="AU4" s="234"/>
      <c r="AV4" s="230"/>
      <c r="AW4" s="235"/>
      <c r="AX4" s="234"/>
      <c r="AY4" s="230"/>
      <c r="AZ4" s="235"/>
      <c r="BA4" s="234"/>
      <c r="BB4" s="230"/>
      <c r="BC4" s="235"/>
      <c r="BD4" s="234"/>
      <c r="BE4" s="230"/>
      <c r="BF4" s="235"/>
      <c r="BG4" s="234"/>
      <c r="BH4" s="230"/>
      <c r="BI4" s="235"/>
      <c r="BJ4" s="234"/>
      <c r="BK4" s="230"/>
      <c r="BL4" s="235"/>
      <c r="BM4" s="234"/>
      <c r="BN4" s="230"/>
      <c r="BO4" s="235"/>
      <c r="BP4" s="234"/>
      <c r="BQ4" s="230"/>
      <c r="BR4" s="235"/>
      <c r="BS4" s="234"/>
      <c r="BT4" s="230"/>
      <c r="BU4" s="235"/>
      <c r="BV4" s="234"/>
      <c r="BW4" s="230"/>
      <c r="BX4" s="235"/>
      <c r="BY4" s="234"/>
      <c r="BZ4" s="230"/>
      <c r="CA4" s="235"/>
      <c r="CB4" s="234"/>
      <c r="CC4" s="230"/>
      <c r="CD4" s="235"/>
      <c r="CE4" s="234"/>
      <c r="CF4" s="230"/>
      <c r="CG4" s="235"/>
      <c r="CH4" s="234"/>
      <c r="CI4" s="230"/>
      <c r="CJ4" s="230"/>
      <c r="CK4" s="234"/>
      <c r="CL4" s="230"/>
      <c r="CM4" s="235"/>
      <c r="CN4" s="230"/>
      <c r="CO4" s="230"/>
      <c r="CP4" s="230"/>
      <c r="CQ4" s="234"/>
      <c r="CR4" s="230"/>
      <c r="CS4" s="230"/>
      <c r="CT4" s="234"/>
      <c r="CU4" s="230"/>
      <c r="CV4" s="230"/>
      <c r="CW4" s="234"/>
      <c r="CX4" s="230"/>
      <c r="CY4" s="235">
        <f>IFERROR(__xludf.DUMMYFUNCTION("""COMPUTED_VALUE"""),37.5)</f>
        <v>37.5</v>
      </c>
      <c r="CZ4" s="230"/>
      <c r="DA4" s="230"/>
      <c r="DB4" s="235">
        <f>IFERROR(__xludf.DUMMYFUNCTION("""COMPUTED_VALUE"""),25.0)</f>
        <v>25</v>
      </c>
      <c r="DC4" s="234">
        <f>IFERROR(__xludf.DUMMYFUNCTION("""COMPUTED_VALUE"""),33.33333333333333)</f>
        <v>33.33333333</v>
      </c>
      <c r="DD4" s="230"/>
      <c r="DE4" s="235"/>
      <c r="DF4" s="234"/>
      <c r="DG4" s="230">
        <f>IFERROR(__xludf.DUMMYFUNCTION("""COMPUTED_VALUE"""),129.16666666666669)</f>
        <v>129.1666667</v>
      </c>
      <c r="DH4" s="235"/>
      <c r="DI4" s="234"/>
      <c r="DJ4" s="230">
        <f>IFERROR(__xludf.DUMMYFUNCTION("""COMPUTED_VALUE"""),137.5)</f>
        <v>137.5</v>
      </c>
      <c r="DK4" s="235">
        <f>IFERROR(__xludf.DUMMYFUNCTION("""COMPUTED_VALUE"""),37.5)</f>
        <v>37.5</v>
      </c>
      <c r="DL4" s="283"/>
      <c r="DM4" s="284"/>
      <c r="DN4" s="285"/>
      <c r="DO4" s="96">
        <f>IFERROR(__xludf.DUMMYFUNCTION("""COMPUTED_VALUE"""),254.16666666666666)</f>
        <v>254.1666667</v>
      </c>
      <c r="DP4" s="96"/>
      <c r="DQ4" s="96"/>
      <c r="DR4" s="96">
        <f>IFERROR(__xludf.DUMMYFUNCTION("""COMPUTED_VALUE"""),200.0)</f>
        <v>200</v>
      </c>
      <c r="DS4" s="96">
        <f>IFERROR(__xludf.DUMMYFUNCTION("""COMPUTED_VALUE"""),45.83333333333333)</f>
        <v>45.83333333</v>
      </c>
      <c r="DT4" s="96"/>
      <c r="DU4" s="96"/>
    </row>
    <row r="5">
      <c r="B5" s="83" t="str">
        <f>IFERROR(__xludf.DUMMYFUNCTION("""COMPUTED_VALUE"""),"EMB2")</f>
        <v>EMB2</v>
      </c>
      <c r="C5" s="88" t="str">
        <f>IFERROR(__xludf.DUMMYFUNCTION("""COMPUTED_VALUE"""),"Monday/Thursday- Intermediate")</f>
        <v>Monday/Thursday- Intermediate</v>
      </c>
      <c r="D5" s="102">
        <f>IFERROR(__xludf.DUMMYFUNCTION("""COMPUTED_VALUE"""),20.0)</f>
        <v>20</v>
      </c>
      <c r="E5" s="82" t="b">
        <f>IFERROR(__xludf.DUMMYFUNCTION("""COMPUTED_VALUE"""),TRUE)</f>
        <v>1</v>
      </c>
      <c r="F5" s="82" t="str">
        <f>IFERROR(__xludf.DUMMYFUNCTION("""COMPUTED_VALUE"""),"Ember Gathering!A23:J36")</f>
        <v>Ember Gathering!A23:J36</v>
      </c>
      <c r="G5" s="82"/>
      <c r="H5" s="82">
        <f>IFERROR(__xludf.DUMMYFUNCTION("""COMPUTED_VALUE"""),15.0)</f>
        <v>15</v>
      </c>
      <c r="I5" s="82"/>
      <c r="J5" s="82">
        <f>IFERROR(__xludf.DUMMYFUNCTION("""COMPUTED_VALUE"""),15.0)</f>
        <v>15</v>
      </c>
      <c r="K5" s="234"/>
      <c r="L5" s="230"/>
      <c r="M5" s="235"/>
      <c r="N5" s="234"/>
      <c r="O5" s="230"/>
      <c r="P5" s="235"/>
      <c r="Q5" s="234"/>
      <c r="R5" s="230"/>
      <c r="S5" s="235"/>
      <c r="T5" s="234"/>
      <c r="U5" s="230"/>
      <c r="V5" s="235"/>
      <c r="W5" s="234"/>
      <c r="X5" s="230"/>
      <c r="Y5" s="235"/>
      <c r="Z5" s="234"/>
      <c r="AA5" s="230"/>
      <c r="AB5" s="235"/>
      <c r="AC5" s="234"/>
      <c r="AD5" s="230"/>
      <c r="AE5" s="235"/>
      <c r="AF5" s="234"/>
      <c r="AG5" s="230"/>
      <c r="AH5" s="235"/>
      <c r="AI5" s="234"/>
      <c r="AJ5" s="230"/>
      <c r="AK5" s="235"/>
      <c r="AL5" s="231"/>
      <c r="AM5" s="230"/>
      <c r="AN5" s="235"/>
      <c r="AO5" s="234"/>
      <c r="AP5" s="230"/>
      <c r="AQ5" s="235"/>
      <c r="AR5" s="234"/>
      <c r="AS5" s="230"/>
      <c r="AT5" s="235"/>
      <c r="AU5" s="234"/>
      <c r="AV5" s="230"/>
      <c r="AW5" s="235"/>
      <c r="AX5" s="234"/>
      <c r="AY5" s="230"/>
      <c r="AZ5" s="235"/>
      <c r="BA5" s="234"/>
      <c r="BB5" s="230"/>
      <c r="BC5" s="235"/>
      <c r="BD5" s="234"/>
      <c r="BE5" s="230"/>
      <c r="BF5" s="235"/>
      <c r="BG5" s="234"/>
      <c r="BH5" s="230"/>
      <c r="BI5" s="235"/>
      <c r="BJ5" s="234"/>
      <c r="BK5" s="230"/>
      <c r="BL5" s="235"/>
      <c r="BM5" s="234"/>
      <c r="BN5" s="230"/>
      <c r="BO5" s="235"/>
      <c r="BP5" s="234"/>
      <c r="BQ5" s="230"/>
      <c r="BR5" s="235"/>
      <c r="BS5" s="234"/>
      <c r="BT5" s="230"/>
      <c r="BU5" s="235"/>
      <c r="BV5" s="234"/>
      <c r="BW5" s="230"/>
      <c r="BX5" s="235"/>
      <c r="BY5" s="234"/>
      <c r="BZ5" s="230"/>
      <c r="CA5" s="235"/>
      <c r="CB5" s="234"/>
      <c r="CC5" s="230"/>
      <c r="CD5" s="235"/>
      <c r="CE5" s="234"/>
      <c r="CF5" s="230"/>
      <c r="CG5" s="235"/>
      <c r="CH5" s="234"/>
      <c r="CI5" s="230"/>
      <c r="CJ5" s="230"/>
      <c r="CK5" s="234"/>
      <c r="CL5" s="230"/>
      <c r="CM5" s="235"/>
      <c r="CN5" s="230"/>
      <c r="CO5" s="230"/>
      <c r="CP5" s="230"/>
      <c r="CQ5" s="234">
        <f>IFERROR(__xludf.DUMMYFUNCTION("""COMPUTED_VALUE"""),13.333333333333334)</f>
        <v>13.33333333</v>
      </c>
      <c r="CR5" s="230"/>
      <c r="CS5" s="230"/>
      <c r="CT5" s="234">
        <f>IFERROR(__xludf.DUMMYFUNCTION("""COMPUTED_VALUE"""),40.0)</f>
        <v>40</v>
      </c>
      <c r="CU5" s="230">
        <f>IFERROR(__xludf.DUMMYFUNCTION("""COMPUTED_VALUE"""),0.0)</f>
        <v>0</v>
      </c>
      <c r="CV5" s="230"/>
      <c r="CW5" s="234"/>
      <c r="CX5" s="230"/>
      <c r="CY5" s="235">
        <f>IFERROR(__xludf.DUMMYFUNCTION("""COMPUTED_VALUE"""),113.33333333333333)</f>
        <v>113.3333333</v>
      </c>
      <c r="CZ5" s="230"/>
      <c r="DA5" s="230"/>
      <c r="DB5" s="235">
        <f>IFERROR(__xludf.DUMMYFUNCTION("""COMPUTED_VALUE"""),146.66666666666666)</f>
        <v>146.6666667</v>
      </c>
      <c r="DC5" s="234">
        <f>IFERROR(__xludf.DUMMYFUNCTION("""COMPUTED_VALUE"""),6.666666666666667)</f>
        <v>6.666666667</v>
      </c>
      <c r="DD5" s="230"/>
      <c r="DE5" s="235"/>
      <c r="DF5" s="234"/>
      <c r="DG5" s="230">
        <f>IFERROR(__xludf.DUMMYFUNCTION("""COMPUTED_VALUE"""),180.0)</f>
        <v>180</v>
      </c>
      <c r="DH5" s="235"/>
      <c r="DI5" s="234"/>
      <c r="DJ5" s="230">
        <f>IFERROR(__xludf.DUMMYFUNCTION("""COMPUTED_VALUE"""),240.0)</f>
        <v>240</v>
      </c>
      <c r="DK5" s="235">
        <f>IFERROR(__xludf.DUMMYFUNCTION("""COMPUTED_VALUE"""),86.66666666666667)</f>
        <v>86.66666667</v>
      </c>
      <c r="DL5" s="280"/>
      <c r="DM5" s="286"/>
      <c r="DN5" s="282"/>
      <c r="DO5" s="96">
        <f>IFERROR(__xludf.DUMMYFUNCTION("""COMPUTED_VALUE"""),33.33333333333333)</f>
        <v>33.33333333</v>
      </c>
      <c r="DP5" s="96"/>
      <c r="DQ5" s="96"/>
      <c r="DR5" s="96">
        <f>IFERROR(__xludf.DUMMYFUNCTION("""COMPUTED_VALUE"""),40.0)</f>
        <v>40</v>
      </c>
      <c r="DS5" s="96">
        <f>IFERROR(__xludf.DUMMYFUNCTION("""COMPUTED_VALUE"""),0.0)</f>
        <v>0</v>
      </c>
      <c r="DT5" s="96"/>
      <c r="DU5" s="96"/>
    </row>
    <row r="6">
      <c r="B6" s="83" t="str">
        <f>IFERROR(__xludf.DUMMYFUNCTION("""COMPUTED_VALUE"""),"EMB3")</f>
        <v>EMB3</v>
      </c>
      <c r="C6" s="88" t="str">
        <f>IFERROR(__xludf.DUMMYFUNCTION("""COMPUTED_VALUE"""),"Monday/Thursday- Advanced")</f>
        <v>Monday/Thursday- Advanced</v>
      </c>
      <c r="D6" s="102">
        <f>IFERROR(__xludf.DUMMYFUNCTION("""COMPUTED_VALUE"""),30.0)</f>
        <v>30</v>
      </c>
      <c r="E6" s="82" t="b">
        <f>IFERROR(__xludf.DUMMYFUNCTION("""COMPUTED_VALUE"""),TRUE)</f>
        <v>1</v>
      </c>
      <c r="F6" s="82" t="str">
        <f>IFERROR(__xludf.DUMMYFUNCTION("""COMPUTED_VALUE"""),"Ember Gathering!A41:J51")</f>
        <v>Ember Gathering!A41:J51</v>
      </c>
      <c r="G6" s="82"/>
      <c r="H6" s="82">
        <f>IFERROR(__xludf.DUMMYFUNCTION("""COMPUTED_VALUE"""),50.0)</f>
        <v>50</v>
      </c>
      <c r="I6" s="82"/>
      <c r="J6" s="82">
        <f>IFERROR(__xludf.DUMMYFUNCTION("""COMPUTED_VALUE"""),50.0)</f>
        <v>50</v>
      </c>
      <c r="K6" s="234"/>
      <c r="L6" s="230"/>
      <c r="M6" s="235"/>
      <c r="N6" s="234"/>
      <c r="O6" s="230"/>
      <c r="P6" s="235"/>
      <c r="Q6" s="234"/>
      <c r="R6" s="230"/>
      <c r="S6" s="235"/>
      <c r="T6" s="234"/>
      <c r="U6" s="230"/>
      <c r="V6" s="235"/>
      <c r="W6" s="234"/>
      <c r="X6" s="230"/>
      <c r="Y6" s="235"/>
      <c r="Z6" s="234"/>
      <c r="AA6" s="230"/>
      <c r="AB6" s="235"/>
      <c r="AC6" s="234"/>
      <c r="AD6" s="230"/>
      <c r="AE6" s="235"/>
      <c r="AF6" s="234"/>
      <c r="AG6" s="230"/>
      <c r="AH6" s="235"/>
      <c r="AI6" s="234"/>
      <c r="AJ6" s="230"/>
      <c r="AK6" s="235"/>
      <c r="AL6" s="231"/>
      <c r="AM6" s="230"/>
      <c r="AN6" s="235"/>
      <c r="AO6" s="234"/>
      <c r="AP6" s="230"/>
      <c r="AQ6" s="235"/>
      <c r="AR6" s="234"/>
      <c r="AS6" s="230"/>
      <c r="AT6" s="235"/>
      <c r="AU6" s="234"/>
      <c r="AV6" s="230"/>
      <c r="AW6" s="235"/>
      <c r="AX6" s="234"/>
      <c r="AY6" s="230"/>
      <c r="AZ6" s="235"/>
      <c r="BA6" s="234"/>
      <c r="BB6" s="230"/>
      <c r="BC6" s="235"/>
      <c r="BD6" s="234"/>
      <c r="BE6" s="230"/>
      <c r="BF6" s="235"/>
      <c r="BG6" s="234"/>
      <c r="BH6" s="230"/>
      <c r="BI6" s="235"/>
      <c r="BJ6" s="234"/>
      <c r="BK6" s="230"/>
      <c r="BL6" s="235"/>
      <c r="BM6" s="234"/>
      <c r="BN6" s="230"/>
      <c r="BO6" s="235"/>
      <c r="BP6" s="234"/>
      <c r="BQ6" s="230"/>
      <c r="BR6" s="235"/>
      <c r="BS6" s="234"/>
      <c r="BT6" s="230"/>
      <c r="BU6" s="235"/>
      <c r="BV6" s="234"/>
      <c r="BW6" s="230"/>
      <c r="BX6" s="235"/>
      <c r="BY6" s="234"/>
      <c r="BZ6" s="230"/>
      <c r="CA6" s="235"/>
      <c r="CB6" s="234"/>
      <c r="CC6" s="230"/>
      <c r="CD6" s="235"/>
      <c r="CE6" s="234"/>
      <c r="CF6" s="230"/>
      <c r="CG6" s="235"/>
      <c r="CH6" s="234"/>
      <c r="CI6" s="230"/>
      <c r="CJ6" s="230"/>
      <c r="CK6" s="234"/>
      <c r="CL6" s="230"/>
      <c r="CM6" s="235"/>
      <c r="CN6" s="230"/>
      <c r="CO6" s="230"/>
      <c r="CP6" s="230"/>
      <c r="CQ6" s="234">
        <f>IFERROR(__xludf.DUMMYFUNCTION("""COMPUTED_VALUE"""),86.0)</f>
        <v>86</v>
      </c>
      <c r="CR6" s="230"/>
      <c r="CS6" s="230"/>
      <c r="CT6" s="234">
        <f>IFERROR(__xludf.DUMMYFUNCTION("""COMPUTED_VALUE"""),122.0)</f>
        <v>122</v>
      </c>
      <c r="CU6" s="230">
        <f>IFERROR(__xludf.DUMMYFUNCTION("""COMPUTED_VALUE"""),28.000000000000004)</f>
        <v>28</v>
      </c>
      <c r="CV6" s="230"/>
      <c r="CW6" s="234"/>
      <c r="CX6" s="230"/>
      <c r="CY6" s="235">
        <f>IFERROR(__xludf.DUMMYFUNCTION("""COMPUTED_VALUE"""),258.0)</f>
        <v>258</v>
      </c>
      <c r="CZ6" s="230"/>
      <c r="DA6" s="230"/>
      <c r="DB6" s="235">
        <f>IFERROR(__xludf.DUMMYFUNCTION("""COMPUTED_VALUE"""),266.0)</f>
        <v>266</v>
      </c>
      <c r="DC6" s="234">
        <f>IFERROR(__xludf.DUMMYFUNCTION("""COMPUTED_VALUE"""),72.0)</f>
        <v>72</v>
      </c>
      <c r="DD6" s="230"/>
      <c r="DE6" s="235"/>
      <c r="DF6" s="234"/>
      <c r="DG6" s="230">
        <f>IFERROR(__xludf.DUMMYFUNCTION("""COMPUTED_VALUE"""),40.0)</f>
        <v>40</v>
      </c>
      <c r="DH6" s="235"/>
      <c r="DI6" s="234"/>
      <c r="DJ6" s="230">
        <f>IFERROR(__xludf.DUMMYFUNCTION("""COMPUTED_VALUE"""),28.000000000000004)</f>
        <v>28</v>
      </c>
      <c r="DK6" s="235">
        <f>IFERROR(__xludf.DUMMYFUNCTION("""COMPUTED_VALUE"""),0.0)</f>
        <v>0</v>
      </c>
      <c r="DL6" s="283"/>
      <c r="DM6" s="287"/>
      <c r="DN6" s="285"/>
      <c r="DO6" s="96"/>
      <c r="DP6" s="96"/>
      <c r="DQ6" s="96"/>
      <c r="DR6" s="96"/>
      <c r="DS6" s="96"/>
      <c r="DT6" s="96"/>
      <c r="DU6" s="96"/>
    </row>
    <row r="7">
      <c r="B7" s="83" t="str">
        <f>IFERROR(__xludf.DUMMYFUNCTION("""COMPUTED_VALUE"""),"EMB4")</f>
        <v>EMB4</v>
      </c>
      <c r="C7" s="88" t="str">
        <f>IFERROR(__xludf.DUMMYFUNCTION("""COMPUTED_VALUE"""),"Monday/Thursday- Expert")</f>
        <v>Monday/Thursday- Expert</v>
      </c>
      <c r="D7" s="102">
        <f>IFERROR(__xludf.DUMMYFUNCTION("""COMPUTED_VALUE"""),40.0)</f>
        <v>40</v>
      </c>
      <c r="E7" s="82" t="b">
        <f>IFERROR(__xludf.DUMMYFUNCTION("""COMPUTED_VALUE"""),TRUE)</f>
        <v>1</v>
      </c>
      <c r="F7" s="82" t="str">
        <f>IFERROR(__xludf.DUMMYFUNCTION("""COMPUTED_VALUE"""),"Ember Gathering!A56:J63")</f>
        <v>Ember Gathering!A56:J63</v>
      </c>
      <c r="G7" s="82"/>
      <c r="H7" s="82">
        <f>IFERROR(__xludf.DUMMYFUNCTION("""COMPUTED_VALUE"""),745.0)</f>
        <v>745</v>
      </c>
      <c r="I7" s="82"/>
      <c r="J7" s="82">
        <f>IFERROR(__xludf.DUMMYFUNCTION("""COMPUTED_VALUE"""),745.0)</f>
        <v>745</v>
      </c>
      <c r="K7" s="234"/>
      <c r="L7" s="230"/>
      <c r="M7" s="235"/>
      <c r="N7" s="234"/>
      <c r="O7" s="230"/>
      <c r="P7" s="235"/>
      <c r="Q7" s="234"/>
      <c r="R7" s="230"/>
      <c r="S7" s="235"/>
      <c r="T7" s="234"/>
      <c r="U7" s="230"/>
      <c r="V7" s="235"/>
      <c r="W7" s="234"/>
      <c r="X7" s="230"/>
      <c r="Y7" s="235"/>
      <c r="Z7" s="234"/>
      <c r="AA7" s="230"/>
      <c r="AB7" s="235"/>
      <c r="AC7" s="234"/>
      <c r="AD7" s="230"/>
      <c r="AE7" s="235"/>
      <c r="AF7" s="234"/>
      <c r="AG7" s="230"/>
      <c r="AH7" s="235"/>
      <c r="AI7" s="234"/>
      <c r="AJ7" s="230"/>
      <c r="AK7" s="235"/>
      <c r="AL7" s="231"/>
      <c r="AM7" s="230"/>
      <c r="AN7" s="235"/>
      <c r="AO7" s="234"/>
      <c r="AP7" s="230"/>
      <c r="AQ7" s="235"/>
      <c r="AR7" s="234"/>
      <c r="AS7" s="230"/>
      <c r="AT7" s="235"/>
      <c r="AU7" s="234"/>
      <c r="AV7" s="230"/>
      <c r="AW7" s="235"/>
      <c r="AX7" s="234"/>
      <c r="AY7" s="230"/>
      <c r="AZ7" s="235"/>
      <c r="BA7" s="234"/>
      <c r="BB7" s="230"/>
      <c r="BC7" s="235"/>
      <c r="BD7" s="234"/>
      <c r="BE7" s="230"/>
      <c r="BF7" s="235"/>
      <c r="BG7" s="234"/>
      <c r="BH7" s="230"/>
      <c r="BI7" s="235"/>
      <c r="BJ7" s="234"/>
      <c r="BK7" s="230"/>
      <c r="BL7" s="235"/>
      <c r="BM7" s="234"/>
      <c r="BN7" s="230"/>
      <c r="BO7" s="235"/>
      <c r="BP7" s="234"/>
      <c r="BQ7" s="230"/>
      <c r="BR7" s="235"/>
      <c r="BS7" s="234"/>
      <c r="BT7" s="230"/>
      <c r="BU7" s="235"/>
      <c r="BV7" s="234"/>
      <c r="BW7" s="230"/>
      <c r="BX7" s="235"/>
      <c r="BY7" s="234"/>
      <c r="BZ7" s="230"/>
      <c r="CA7" s="235"/>
      <c r="CB7" s="234"/>
      <c r="CC7" s="230"/>
      <c r="CD7" s="235"/>
      <c r="CE7" s="234"/>
      <c r="CF7" s="230"/>
      <c r="CG7" s="235"/>
      <c r="CH7" s="234"/>
      <c r="CI7" s="230"/>
      <c r="CJ7" s="230"/>
      <c r="CK7" s="234"/>
      <c r="CL7" s="230"/>
      <c r="CM7" s="235"/>
      <c r="CN7" s="230"/>
      <c r="CO7" s="230"/>
      <c r="CP7" s="230"/>
      <c r="CQ7" s="234">
        <f>IFERROR(__xludf.DUMMYFUNCTION("""COMPUTED_VALUE"""),344.72972972972974)</f>
        <v>344.7297297</v>
      </c>
      <c r="CR7" s="230"/>
      <c r="CS7" s="230"/>
      <c r="CT7" s="234">
        <f>IFERROR(__xludf.DUMMYFUNCTION("""COMPUTED_VALUE"""),343.1081081081081)</f>
        <v>343.1081081</v>
      </c>
      <c r="CU7" s="230">
        <f>IFERROR(__xludf.DUMMYFUNCTION("""COMPUTED_VALUE"""),114.72972972972973)</f>
        <v>114.7297297</v>
      </c>
      <c r="CV7" s="230"/>
      <c r="CW7" s="234"/>
      <c r="CX7" s="230"/>
      <c r="CY7" s="235">
        <f>IFERROR(__xludf.DUMMYFUNCTION("""COMPUTED_VALUE"""),48.24324324324324)</f>
        <v>48.24324324</v>
      </c>
      <c r="CZ7" s="230"/>
      <c r="DA7" s="230"/>
      <c r="DB7" s="235">
        <f>IFERROR(__xludf.DUMMYFUNCTION("""COMPUTED_VALUE"""),45.94594594594595)</f>
        <v>45.94594595</v>
      </c>
      <c r="DC7" s="234">
        <f>IFERROR(__xludf.DUMMYFUNCTION("""COMPUTED_VALUE"""),3.2432432432432434)</f>
        <v>3.243243243</v>
      </c>
      <c r="DD7" s="230"/>
      <c r="DE7" s="235"/>
      <c r="DF7" s="234"/>
      <c r="DG7" s="230"/>
      <c r="DH7" s="235"/>
      <c r="DI7" s="234"/>
      <c r="DJ7" s="230"/>
      <c r="DK7" s="235"/>
      <c r="DL7" s="280"/>
      <c r="DM7" s="286"/>
      <c r="DN7" s="288"/>
      <c r="DO7" s="96"/>
      <c r="DP7" s="96"/>
      <c r="DQ7" s="96"/>
      <c r="DR7" s="96"/>
      <c r="DS7" s="96"/>
      <c r="DT7" s="96"/>
      <c r="DU7" s="96"/>
    </row>
    <row r="8">
      <c r="B8" s="83" t="str">
        <f>IFERROR(__xludf.DUMMYFUNCTION("""COMPUTED_VALUE"""),"EMB5")</f>
        <v>EMB5</v>
      </c>
      <c r="C8" s="88" t="str">
        <f>IFERROR(__xludf.DUMMYFUNCTION("""COMPUTED_VALUE"""),"Tuesday/Friday- Novice")</f>
        <v>Tuesday/Friday- Novice</v>
      </c>
      <c r="D8" s="102">
        <f>IFERROR(__xludf.DUMMYFUNCTION("""COMPUTED_VALUE"""),10.0)</f>
        <v>10</v>
      </c>
      <c r="E8" s="82" t="b">
        <f>IFERROR(__xludf.DUMMYFUNCTION("""COMPUTED_VALUE"""),TRUE)</f>
        <v>1</v>
      </c>
      <c r="F8" s="82" t="str">
        <f>IFERROR(__xludf.DUMMYFUNCTION("""COMPUTED_VALUE"""),"Ember Gathering!A68:J78")</f>
        <v>Ember Gathering!A68:J78</v>
      </c>
      <c r="G8" s="82"/>
      <c r="H8" s="82">
        <f>IFERROR(__xludf.DUMMYFUNCTION("""COMPUTED_VALUE"""),35.0)</f>
        <v>35</v>
      </c>
      <c r="I8" s="82"/>
      <c r="J8" s="82">
        <f>IFERROR(__xludf.DUMMYFUNCTION("""COMPUTED_VALUE"""),35.0)</f>
        <v>35</v>
      </c>
      <c r="K8" s="234"/>
      <c r="L8" s="230"/>
      <c r="M8" s="235"/>
      <c r="N8" s="234"/>
      <c r="O8" s="230"/>
      <c r="P8" s="235"/>
      <c r="Q8" s="234"/>
      <c r="R8" s="230"/>
      <c r="S8" s="235"/>
      <c r="T8" s="234"/>
      <c r="U8" s="230"/>
      <c r="V8" s="235"/>
      <c r="W8" s="234"/>
      <c r="X8" s="230"/>
      <c r="Y8" s="235"/>
      <c r="Z8" s="234"/>
      <c r="AA8" s="230"/>
      <c r="AB8" s="235"/>
      <c r="AC8" s="234"/>
      <c r="AD8" s="230"/>
      <c r="AE8" s="235"/>
      <c r="AF8" s="234"/>
      <c r="AG8" s="230"/>
      <c r="AH8" s="235"/>
      <c r="AI8" s="234"/>
      <c r="AJ8" s="230"/>
      <c r="AK8" s="235"/>
      <c r="AL8" s="231"/>
      <c r="AM8" s="230"/>
      <c r="AN8" s="235"/>
      <c r="AO8" s="234"/>
      <c r="AP8" s="230"/>
      <c r="AQ8" s="235"/>
      <c r="AR8" s="234"/>
      <c r="AS8" s="230"/>
      <c r="AT8" s="235"/>
      <c r="AU8" s="234"/>
      <c r="AV8" s="230"/>
      <c r="AW8" s="235"/>
      <c r="AX8" s="234"/>
      <c r="AY8" s="230"/>
      <c r="AZ8" s="235"/>
      <c r="BA8" s="234"/>
      <c r="BB8" s="230"/>
      <c r="BC8" s="235"/>
      <c r="BD8" s="234"/>
      <c r="BE8" s="230"/>
      <c r="BF8" s="235"/>
      <c r="BG8" s="234"/>
      <c r="BH8" s="230"/>
      <c r="BI8" s="235"/>
      <c r="BJ8" s="234"/>
      <c r="BK8" s="230"/>
      <c r="BL8" s="235"/>
      <c r="BM8" s="234"/>
      <c r="BN8" s="230"/>
      <c r="BO8" s="235"/>
      <c r="BP8" s="234"/>
      <c r="BQ8" s="230"/>
      <c r="BR8" s="235"/>
      <c r="BS8" s="234"/>
      <c r="BT8" s="230"/>
      <c r="BU8" s="235"/>
      <c r="BV8" s="234"/>
      <c r="BW8" s="230"/>
      <c r="BX8" s="235"/>
      <c r="BY8" s="234"/>
      <c r="BZ8" s="230"/>
      <c r="CA8" s="235"/>
      <c r="CB8" s="234"/>
      <c r="CC8" s="230"/>
      <c r="CD8" s="235"/>
      <c r="CE8" s="234"/>
      <c r="CF8" s="230"/>
      <c r="CG8" s="235"/>
      <c r="CH8" s="234"/>
      <c r="CI8" s="230"/>
      <c r="CJ8" s="230"/>
      <c r="CK8" s="234"/>
      <c r="CL8" s="230"/>
      <c r="CM8" s="235"/>
      <c r="CN8" s="230"/>
      <c r="CO8" s="230"/>
      <c r="CP8" s="230"/>
      <c r="CQ8" s="234"/>
      <c r="CR8" s="230"/>
      <c r="CS8" s="230"/>
      <c r="CT8" s="234"/>
      <c r="CU8" s="230"/>
      <c r="CV8" s="230"/>
      <c r="CW8" s="234">
        <f>IFERROR(__xludf.DUMMYFUNCTION("""COMPUTED_VALUE"""),31.428571428571427)</f>
        <v>31.42857143</v>
      </c>
      <c r="CX8" s="230"/>
      <c r="CY8" s="235"/>
      <c r="CZ8" s="230">
        <f>IFERROR(__xludf.DUMMYFUNCTION("""COMPUTED_VALUE"""),37.142857142857146)</f>
        <v>37.14285714</v>
      </c>
      <c r="DA8" s="230"/>
      <c r="DB8" s="235"/>
      <c r="DC8" s="234">
        <f>IFERROR(__xludf.DUMMYFUNCTION("""COMPUTED_VALUE"""),2.857142857142857)</f>
        <v>2.857142857</v>
      </c>
      <c r="DD8" s="230"/>
      <c r="DE8" s="235">
        <f>IFERROR(__xludf.DUMMYFUNCTION("""COMPUTED_VALUE"""),162.85714285714286)</f>
        <v>162.8571429</v>
      </c>
      <c r="DF8" s="234"/>
      <c r="DG8" s="230"/>
      <c r="DH8" s="235">
        <f>IFERROR(__xludf.DUMMYFUNCTION("""COMPUTED_VALUE"""),157.14285714285714)</f>
        <v>157.1428571</v>
      </c>
      <c r="DI8" s="234"/>
      <c r="DJ8" s="230"/>
      <c r="DK8" s="235">
        <f>IFERROR(__xludf.DUMMYFUNCTION("""COMPUTED_VALUE"""),54.285714285714285)</f>
        <v>54.28571429</v>
      </c>
      <c r="DL8" s="283"/>
      <c r="DM8" s="287">
        <f>IFERROR(__xludf.DUMMYFUNCTION("""COMPUTED_VALUE"""),191.42857142857144)</f>
        <v>191.4285714</v>
      </c>
      <c r="DN8" s="285"/>
      <c r="DO8" s="96"/>
      <c r="DP8" s="96">
        <f>IFERROR(__xludf.DUMMYFUNCTION("""COMPUTED_VALUE"""),205.7142857142857)</f>
        <v>205.7142857</v>
      </c>
      <c r="DQ8" s="96"/>
      <c r="DR8" s="96"/>
      <c r="DS8" s="96">
        <f>IFERROR(__xludf.DUMMYFUNCTION("""COMPUTED_VALUE"""),57.14285714285714)</f>
        <v>57.14285714</v>
      </c>
      <c r="DT8" s="96"/>
      <c r="DU8" s="96"/>
    </row>
    <row r="9">
      <c r="B9" s="83" t="str">
        <f>IFERROR(__xludf.DUMMYFUNCTION("""COMPUTED_VALUE"""),"EMB6")</f>
        <v>EMB6</v>
      </c>
      <c r="C9" s="88" t="str">
        <f>IFERROR(__xludf.DUMMYFUNCTION("""COMPUTED_VALUE"""),"Tuesday/Friday- Intermediate")</f>
        <v>Tuesday/Friday- Intermediate</v>
      </c>
      <c r="D9" s="102">
        <f>IFERROR(__xludf.DUMMYFUNCTION("""COMPUTED_VALUE"""),20.0)</f>
        <v>20</v>
      </c>
      <c r="E9" s="82" t="b">
        <f>IFERROR(__xludf.DUMMYFUNCTION("""COMPUTED_VALUE"""),TRUE)</f>
        <v>1</v>
      </c>
      <c r="F9" s="82" t="str">
        <f>IFERROR(__xludf.DUMMYFUNCTION("""COMPUTED_VALUE"""),"Ember Gathering!A83:J96")</f>
        <v>Ember Gathering!A83:J96</v>
      </c>
      <c r="G9" s="82"/>
      <c r="H9" s="82">
        <f>IFERROR(__xludf.DUMMYFUNCTION("""COMPUTED_VALUE"""),13.0)</f>
        <v>13</v>
      </c>
      <c r="I9" s="82"/>
      <c r="J9" s="82">
        <f>IFERROR(__xludf.DUMMYFUNCTION("""COMPUTED_VALUE"""),13.0)</f>
        <v>13</v>
      </c>
      <c r="K9" s="234"/>
      <c r="L9" s="230"/>
      <c r="M9" s="235"/>
      <c r="N9" s="234"/>
      <c r="O9" s="230"/>
      <c r="P9" s="235"/>
      <c r="Q9" s="234"/>
      <c r="R9" s="230"/>
      <c r="S9" s="235"/>
      <c r="T9" s="234"/>
      <c r="U9" s="230"/>
      <c r="V9" s="235"/>
      <c r="W9" s="234"/>
      <c r="X9" s="230"/>
      <c r="Y9" s="235"/>
      <c r="Z9" s="234"/>
      <c r="AA9" s="230"/>
      <c r="AB9" s="235"/>
      <c r="AC9" s="234"/>
      <c r="AD9" s="230"/>
      <c r="AE9" s="235"/>
      <c r="AF9" s="234"/>
      <c r="AG9" s="230"/>
      <c r="AH9" s="235"/>
      <c r="AI9" s="234"/>
      <c r="AJ9" s="230"/>
      <c r="AK9" s="235"/>
      <c r="AL9" s="231"/>
      <c r="AM9" s="230"/>
      <c r="AN9" s="235"/>
      <c r="AO9" s="234"/>
      <c r="AP9" s="230"/>
      <c r="AQ9" s="235"/>
      <c r="AR9" s="234"/>
      <c r="AS9" s="230"/>
      <c r="AT9" s="235"/>
      <c r="AU9" s="234"/>
      <c r="AV9" s="230"/>
      <c r="AW9" s="235"/>
      <c r="AX9" s="234"/>
      <c r="AY9" s="230"/>
      <c r="AZ9" s="235"/>
      <c r="BA9" s="234"/>
      <c r="BB9" s="230"/>
      <c r="BC9" s="235"/>
      <c r="BD9" s="234"/>
      <c r="BE9" s="230"/>
      <c r="BF9" s="235"/>
      <c r="BG9" s="234"/>
      <c r="BH9" s="230"/>
      <c r="BI9" s="235"/>
      <c r="BJ9" s="234"/>
      <c r="BK9" s="230"/>
      <c r="BL9" s="235"/>
      <c r="BM9" s="234"/>
      <c r="BN9" s="230"/>
      <c r="BO9" s="235"/>
      <c r="BP9" s="234"/>
      <c r="BQ9" s="230"/>
      <c r="BR9" s="235"/>
      <c r="BS9" s="234"/>
      <c r="BT9" s="230"/>
      <c r="BU9" s="235"/>
      <c r="BV9" s="234"/>
      <c r="BW9" s="230"/>
      <c r="BX9" s="235"/>
      <c r="BY9" s="234"/>
      <c r="BZ9" s="230"/>
      <c r="CA9" s="235"/>
      <c r="CB9" s="234"/>
      <c r="CC9" s="230"/>
      <c r="CD9" s="235"/>
      <c r="CE9" s="234"/>
      <c r="CF9" s="230"/>
      <c r="CG9" s="235"/>
      <c r="CH9" s="234"/>
      <c r="CI9" s="230"/>
      <c r="CJ9" s="230"/>
      <c r="CK9" s="234"/>
      <c r="CL9" s="230"/>
      <c r="CM9" s="235"/>
      <c r="CN9" s="230"/>
      <c r="CO9" s="230">
        <f>IFERROR(__xludf.DUMMYFUNCTION("""COMPUTED_VALUE"""),15.384615384615385)</f>
        <v>15.38461538</v>
      </c>
      <c r="CP9" s="230"/>
      <c r="CQ9" s="234"/>
      <c r="CR9" s="230">
        <f>IFERROR(__xludf.DUMMYFUNCTION("""COMPUTED_VALUE"""),15.384615384615385)</f>
        <v>15.38461538</v>
      </c>
      <c r="CS9" s="230"/>
      <c r="CT9" s="234"/>
      <c r="CU9" s="230">
        <f>IFERROR(__xludf.DUMMYFUNCTION("""COMPUTED_VALUE"""),7.6923076923076925)</f>
        <v>7.692307692</v>
      </c>
      <c r="CV9" s="230"/>
      <c r="CW9" s="234">
        <f>IFERROR(__xludf.DUMMYFUNCTION("""COMPUTED_VALUE"""),130.76923076923077)</f>
        <v>130.7692308</v>
      </c>
      <c r="CX9" s="230"/>
      <c r="CY9" s="235"/>
      <c r="CZ9" s="230">
        <f>IFERROR(__xludf.DUMMYFUNCTION("""COMPUTED_VALUE"""),138.46153846153845)</f>
        <v>138.4615385</v>
      </c>
      <c r="DA9" s="230"/>
      <c r="DB9" s="235"/>
      <c r="DC9" s="234">
        <f>IFERROR(__xludf.DUMMYFUNCTION("""COMPUTED_VALUE"""),38.46153846153847)</f>
        <v>38.46153846</v>
      </c>
      <c r="DD9" s="230"/>
      <c r="DE9" s="235">
        <f>IFERROR(__xludf.DUMMYFUNCTION("""COMPUTED_VALUE"""),253.84615384615384)</f>
        <v>253.8461538</v>
      </c>
      <c r="DF9" s="234"/>
      <c r="DG9" s="230"/>
      <c r="DH9" s="235">
        <f>IFERROR(__xludf.DUMMYFUNCTION("""COMPUTED_VALUE"""),153.84615384615387)</f>
        <v>153.8461538</v>
      </c>
      <c r="DI9" s="234"/>
      <c r="DJ9" s="230"/>
      <c r="DK9" s="235">
        <f>IFERROR(__xludf.DUMMYFUNCTION("""COMPUTED_VALUE"""),69.23076923076923)</f>
        <v>69.23076923</v>
      </c>
      <c r="DL9" s="280"/>
      <c r="DM9" s="286">
        <f>IFERROR(__xludf.DUMMYFUNCTION("""COMPUTED_VALUE"""),38.46153846153847)</f>
        <v>38.46153846</v>
      </c>
      <c r="DN9" s="282"/>
      <c r="DO9" s="96"/>
      <c r="DP9" s="96">
        <f>IFERROR(__xludf.DUMMYFUNCTION("""COMPUTED_VALUE"""),38.46153846153847)</f>
        <v>38.46153846</v>
      </c>
      <c r="DQ9" s="96"/>
      <c r="DR9" s="96"/>
      <c r="DS9" s="96">
        <f>IFERROR(__xludf.DUMMYFUNCTION("""COMPUTED_VALUE"""),0.0)</f>
        <v>0</v>
      </c>
      <c r="DT9" s="96"/>
      <c r="DU9" s="96"/>
    </row>
    <row r="10">
      <c r="B10" s="83" t="str">
        <f>IFERROR(__xludf.DUMMYFUNCTION("""COMPUTED_VALUE"""),"EMB7")</f>
        <v>EMB7</v>
      </c>
      <c r="C10" s="88" t="str">
        <f>IFERROR(__xludf.DUMMYFUNCTION("""COMPUTED_VALUE"""),"Tuesday/Friday- Advanced")</f>
        <v>Tuesday/Friday- Advanced</v>
      </c>
      <c r="D10" s="102">
        <f>IFERROR(__xludf.DUMMYFUNCTION("""COMPUTED_VALUE"""),30.0)</f>
        <v>30</v>
      </c>
      <c r="E10" s="82" t="b">
        <f>IFERROR(__xludf.DUMMYFUNCTION("""COMPUTED_VALUE"""),TRUE)</f>
        <v>1</v>
      </c>
      <c r="F10" s="82" t="str">
        <f>IFERROR(__xludf.DUMMYFUNCTION("""COMPUTED_VALUE"""),"Ember Gathering!A101:J111")</f>
        <v>Ember Gathering!A101:J111</v>
      </c>
      <c r="G10" s="82"/>
      <c r="H10" s="82">
        <f>IFERROR(__xludf.DUMMYFUNCTION("""COMPUTED_VALUE"""),50.0)</f>
        <v>50</v>
      </c>
      <c r="I10" s="82"/>
      <c r="J10" s="82">
        <f>IFERROR(__xludf.DUMMYFUNCTION("""COMPUTED_VALUE"""),50.0)</f>
        <v>50</v>
      </c>
      <c r="K10" s="234"/>
      <c r="L10" s="230"/>
      <c r="M10" s="235"/>
      <c r="N10" s="234"/>
      <c r="O10" s="230"/>
      <c r="P10" s="235"/>
      <c r="Q10" s="234"/>
      <c r="R10" s="230"/>
      <c r="S10" s="235"/>
      <c r="T10" s="234"/>
      <c r="U10" s="230"/>
      <c r="V10" s="235"/>
      <c r="W10" s="234"/>
      <c r="X10" s="230"/>
      <c r="Y10" s="235"/>
      <c r="Z10" s="234"/>
      <c r="AA10" s="230"/>
      <c r="AB10" s="235"/>
      <c r="AC10" s="234"/>
      <c r="AD10" s="230"/>
      <c r="AE10" s="235"/>
      <c r="AF10" s="234"/>
      <c r="AG10" s="230"/>
      <c r="AH10" s="235"/>
      <c r="AI10" s="234"/>
      <c r="AJ10" s="230"/>
      <c r="AK10" s="235"/>
      <c r="AL10" s="231"/>
      <c r="AM10" s="230"/>
      <c r="AN10" s="235"/>
      <c r="AO10" s="234"/>
      <c r="AP10" s="230"/>
      <c r="AQ10" s="235"/>
      <c r="AR10" s="234"/>
      <c r="AS10" s="230"/>
      <c r="AT10" s="235"/>
      <c r="AU10" s="234"/>
      <c r="AV10" s="230"/>
      <c r="AW10" s="235"/>
      <c r="AX10" s="234"/>
      <c r="AY10" s="230"/>
      <c r="AZ10" s="235"/>
      <c r="BA10" s="234"/>
      <c r="BB10" s="230"/>
      <c r="BC10" s="235"/>
      <c r="BD10" s="234"/>
      <c r="BE10" s="230"/>
      <c r="BF10" s="235"/>
      <c r="BG10" s="234"/>
      <c r="BH10" s="230"/>
      <c r="BI10" s="235"/>
      <c r="BJ10" s="234"/>
      <c r="BK10" s="230"/>
      <c r="BL10" s="235"/>
      <c r="BM10" s="234"/>
      <c r="BN10" s="230"/>
      <c r="BO10" s="235"/>
      <c r="BP10" s="234"/>
      <c r="BQ10" s="230"/>
      <c r="BR10" s="235"/>
      <c r="BS10" s="234"/>
      <c r="BT10" s="230"/>
      <c r="BU10" s="235"/>
      <c r="BV10" s="234"/>
      <c r="BW10" s="230"/>
      <c r="BX10" s="235"/>
      <c r="BY10" s="234"/>
      <c r="BZ10" s="230"/>
      <c r="CA10" s="235"/>
      <c r="CB10" s="234"/>
      <c r="CC10" s="230"/>
      <c r="CD10" s="235"/>
      <c r="CE10" s="234"/>
      <c r="CF10" s="230"/>
      <c r="CG10" s="235"/>
      <c r="CH10" s="234"/>
      <c r="CI10" s="230"/>
      <c r="CJ10" s="230"/>
      <c r="CK10" s="234"/>
      <c r="CL10" s="230"/>
      <c r="CM10" s="235"/>
      <c r="CN10" s="230"/>
      <c r="CO10" s="230">
        <f>IFERROR(__xludf.DUMMYFUNCTION("""COMPUTED_VALUE"""),113.99999999999999)</f>
        <v>114</v>
      </c>
      <c r="CP10" s="230"/>
      <c r="CQ10" s="234"/>
      <c r="CR10" s="230">
        <f>IFERROR(__xludf.DUMMYFUNCTION("""COMPUTED_VALUE"""),92.0)</f>
        <v>92</v>
      </c>
      <c r="CS10" s="230"/>
      <c r="CT10" s="234"/>
      <c r="CU10" s="230">
        <f>IFERROR(__xludf.DUMMYFUNCTION("""COMPUTED_VALUE"""),32.0)</f>
        <v>32</v>
      </c>
      <c r="CV10" s="230"/>
      <c r="CW10" s="234">
        <f>IFERROR(__xludf.DUMMYFUNCTION("""COMPUTED_VALUE"""),240.0)</f>
        <v>240</v>
      </c>
      <c r="CX10" s="230"/>
      <c r="CY10" s="235"/>
      <c r="CZ10" s="230">
        <f>IFERROR(__xludf.DUMMYFUNCTION("""COMPUTED_VALUE"""),268.0)</f>
        <v>268</v>
      </c>
      <c r="DA10" s="230"/>
      <c r="DB10" s="235"/>
      <c r="DC10" s="234">
        <f>IFERROR(__xludf.DUMMYFUNCTION("""COMPUTED_VALUE"""),80.0)</f>
        <v>80</v>
      </c>
      <c r="DD10" s="230"/>
      <c r="DE10" s="235">
        <f>IFERROR(__xludf.DUMMYFUNCTION("""COMPUTED_VALUE"""),32.0)</f>
        <v>32</v>
      </c>
      <c r="DF10" s="234"/>
      <c r="DG10" s="230"/>
      <c r="DH10" s="235">
        <f>IFERROR(__xludf.DUMMYFUNCTION("""COMPUTED_VALUE"""),42.0)</f>
        <v>42</v>
      </c>
      <c r="DI10" s="234"/>
      <c r="DJ10" s="230"/>
      <c r="DK10" s="235">
        <f>IFERROR(__xludf.DUMMYFUNCTION("""COMPUTED_VALUE"""),0.0)</f>
        <v>0</v>
      </c>
      <c r="DL10" s="283"/>
      <c r="DM10" s="287"/>
      <c r="DN10" s="285"/>
      <c r="DO10" s="96"/>
      <c r="DP10" s="96"/>
      <c r="DQ10" s="96"/>
      <c r="DR10" s="96"/>
      <c r="DS10" s="96"/>
      <c r="DT10" s="96"/>
      <c r="DU10" s="96"/>
    </row>
    <row r="11">
      <c r="B11" s="83" t="str">
        <f>IFERROR(__xludf.DUMMYFUNCTION("""COMPUTED_VALUE"""),"EMB8")</f>
        <v>EMB8</v>
      </c>
      <c r="C11" s="88" t="str">
        <f>IFERROR(__xludf.DUMMYFUNCTION("""COMPUTED_VALUE"""),"Tuesday/Friday- Expert")</f>
        <v>Tuesday/Friday- Expert</v>
      </c>
      <c r="D11" s="102">
        <f>IFERROR(__xludf.DUMMYFUNCTION("""COMPUTED_VALUE"""),40.0)</f>
        <v>40</v>
      </c>
      <c r="E11" s="82" t="b">
        <f>IFERROR(__xludf.DUMMYFUNCTION("""COMPUTED_VALUE"""),TRUE)</f>
        <v>1</v>
      </c>
      <c r="F11" s="82" t="str">
        <f>IFERROR(__xludf.DUMMYFUNCTION("""COMPUTED_VALUE"""),"Ember Gathering!A116:J123")</f>
        <v>Ember Gathering!A116:J123</v>
      </c>
      <c r="G11" s="82"/>
      <c r="H11" s="82">
        <f>IFERROR(__xludf.DUMMYFUNCTION("""COMPUTED_VALUE"""),830.0)</f>
        <v>830</v>
      </c>
      <c r="I11" s="82"/>
      <c r="J11" s="82">
        <f>IFERROR(__xludf.DUMMYFUNCTION("""COMPUTED_VALUE"""),830.0)</f>
        <v>830</v>
      </c>
      <c r="K11" s="234"/>
      <c r="L11" s="230"/>
      <c r="M11" s="235"/>
      <c r="N11" s="234"/>
      <c r="O11" s="230"/>
      <c r="P11" s="235"/>
      <c r="Q11" s="234"/>
      <c r="R11" s="230"/>
      <c r="S11" s="235"/>
      <c r="T11" s="234"/>
      <c r="U11" s="230"/>
      <c r="V11" s="235"/>
      <c r="W11" s="234"/>
      <c r="X11" s="230"/>
      <c r="Y11" s="235"/>
      <c r="Z11" s="234"/>
      <c r="AA11" s="230"/>
      <c r="AB11" s="235"/>
      <c r="AC11" s="234"/>
      <c r="AD11" s="230"/>
      <c r="AE11" s="235"/>
      <c r="AF11" s="234"/>
      <c r="AG11" s="230"/>
      <c r="AH11" s="235"/>
      <c r="AI11" s="234"/>
      <c r="AJ11" s="230"/>
      <c r="AK11" s="235"/>
      <c r="AL11" s="231"/>
      <c r="AM11" s="230"/>
      <c r="AN11" s="235"/>
      <c r="AO11" s="234"/>
      <c r="AP11" s="230"/>
      <c r="AQ11" s="235"/>
      <c r="AR11" s="234"/>
      <c r="AS11" s="230"/>
      <c r="AT11" s="235"/>
      <c r="AU11" s="234"/>
      <c r="AV11" s="230"/>
      <c r="AW11" s="235"/>
      <c r="AX11" s="234"/>
      <c r="AY11" s="230"/>
      <c r="AZ11" s="235"/>
      <c r="BA11" s="234"/>
      <c r="BB11" s="230"/>
      <c r="BC11" s="235"/>
      <c r="BD11" s="234"/>
      <c r="BE11" s="230"/>
      <c r="BF11" s="235"/>
      <c r="BG11" s="234"/>
      <c r="BH11" s="230"/>
      <c r="BI11" s="235"/>
      <c r="BJ11" s="234"/>
      <c r="BK11" s="230"/>
      <c r="BL11" s="235"/>
      <c r="BM11" s="234"/>
      <c r="BN11" s="230"/>
      <c r="BO11" s="235"/>
      <c r="BP11" s="234"/>
      <c r="BQ11" s="230"/>
      <c r="BR11" s="235"/>
      <c r="BS11" s="234"/>
      <c r="BT11" s="230"/>
      <c r="BU11" s="235"/>
      <c r="BV11" s="234"/>
      <c r="BW11" s="230"/>
      <c r="BX11" s="235"/>
      <c r="BY11" s="234"/>
      <c r="BZ11" s="230"/>
      <c r="CA11" s="235"/>
      <c r="CB11" s="234"/>
      <c r="CC11" s="230"/>
      <c r="CD11" s="235"/>
      <c r="CE11" s="234"/>
      <c r="CF11" s="230"/>
      <c r="CG11" s="235"/>
      <c r="CH11" s="234"/>
      <c r="CI11" s="230"/>
      <c r="CJ11" s="230"/>
      <c r="CK11" s="234"/>
      <c r="CL11" s="230"/>
      <c r="CM11" s="235"/>
      <c r="CN11" s="230"/>
      <c r="CO11" s="230">
        <f>IFERROR(__xludf.DUMMYFUNCTION("""COMPUTED_VALUE"""),339.03614457831327)</f>
        <v>339.0361446</v>
      </c>
      <c r="CP11" s="230"/>
      <c r="CQ11" s="234"/>
      <c r="CR11" s="230">
        <f>IFERROR(__xludf.DUMMYFUNCTION("""COMPUTED_VALUE"""),346.7469879518072)</f>
        <v>346.746988</v>
      </c>
      <c r="CS11" s="230"/>
      <c r="CT11" s="234"/>
      <c r="CU11" s="230">
        <f>IFERROR(__xludf.DUMMYFUNCTION("""COMPUTED_VALUE"""),117.46987951807229)</f>
        <v>117.4698795</v>
      </c>
      <c r="CV11" s="230"/>
      <c r="CW11" s="234">
        <f>IFERROR(__xludf.DUMMYFUNCTION("""COMPUTED_VALUE"""),46.50602409638554)</f>
        <v>46.5060241</v>
      </c>
      <c r="CX11" s="230"/>
      <c r="CY11" s="235"/>
      <c r="CZ11" s="230">
        <f>IFERROR(__xludf.DUMMYFUNCTION("""COMPUTED_VALUE"""),46.626506024096386)</f>
        <v>46.62650602</v>
      </c>
      <c r="DA11" s="230"/>
      <c r="DB11" s="235"/>
      <c r="DC11" s="234">
        <f>IFERROR(__xludf.DUMMYFUNCTION("""COMPUTED_VALUE"""),3.614457831325301)</f>
        <v>3.614457831</v>
      </c>
      <c r="DD11" s="230"/>
      <c r="DE11" s="235"/>
      <c r="DF11" s="234"/>
      <c r="DG11" s="230"/>
      <c r="DH11" s="235"/>
      <c r="DI11" s="234"/>
      <c r="DJ11" s="230"/>
      <c r="DK11" s="235"/>
      <c r="DL11" s="289"/>
      <c r="DM11" s="286"/>
      <c r="DN11" s="290"/>
      <c r="DO11" s="96"/>
      <c r="DP11" s="96"/>
      <c r="DQ11" s="96"/>
      <c r="DR11" s="96"/>
      <c r="DS11" s="96"/>
      <c r="DT11" s="96"/>
      <c r="DU11" s="96"/>
    </row>
    <row r="12">
      <c r="B12" s="83" t="str">
        <f>IFERROR(__xludf.DUMMYFUNCTION("""COMPUTED_VALUE"""),"EMB9")</f>
        <v>EMB9</v>
      </c>
      <c r="C12" s="88" t="str">
        <f>IFERROR(__xludf.DUMMYFUNCTION("""COMPUTED_VALUE"""),"Wednesday/Saturday- Novice")</f>
        <v>Wednesday/Saturday- Novice</v>
      </c>
      <c r="D12" s="102">
        <f>IFERROR(__xludf.DUMMYFUNCTION("""COMPUTED_VALUE"""),10.0)</f>
        <v>10</v>
      </c>
      <c r="E12" s="82" t="b">
        <f>IFERROR(__xludf.DUMMYFUNCTION("""COMPUTED_VALUE"""),TRUE)</f>
        <v>1</v>
      </c>
      <c r="F12" s="82" t="str">
        <f>IFERROR(__xludf.DUMMYFUNCTION("""COMPUTED_VALUE"""),"Ember Gathering!A128:J138")</f>
        <v>Ember Gathering!A128:J138</v>
      </c>
      <c r="G12" s="82"/>
      <c r="H12" s="82">
        <f>IFERROR(__xludf.DUMMYFUNCTION("""COMPUTED_VALUE"""),20.0)</f>
        <v>20</v>
      </c>
      <c r="I12" s="82"/>
      <c r="J12" s="82">
        <f>IFERROR(__xludf.DUMMYFUNCTION("""COMPUTED_VALUE"""),20.0)</f>
        <v>20</v>
      </c>
      <c r="K12" s="234"/>
      <c r="L12" s="230"/>
      <c r="M12" s="235"/>
      <c r="N12" s="234"/>
      <c r="O12" s="230"/>
      <c r="P12" s="235"/>
      <c r="Q12" s="234"/>
      <c r="R12" s="230"/>
      <c r="S12" s="235"/>
      <c r="T12" s="234"/>
      <c r="U12" s="230"/>
      <c r="V12" s="235"/>
      <c r="W12" s="234"/>
      <c r="X12" s="230"/>
      <c r="Y12" s="235"/>
      <c r="Z12" s="234"/>
      <c r="AA12" s="230"/>
      <c r="AB12" s="235"/>
      <c r="AC12" s="234"/>
      <c r="AD12" s="230"/>
      <c r="AE12" s="235"/>
      <c r="AF12" s="234"/>
      <c r="AG12" s="230"/>
      <c r="AH12" s="235"/>
      <c r="AI12" s="234"/>
      <c r="AJ12" s="230"/>
      <c r="AK12" s="235"/>
      <c r="AL12" s="231"/>
      <c r="AM12" s="230"/>
      <c r="AN12" s="235"/>
      <c r="AO12" s="234"/>
      <c r="AP12" s="230"/>
      <c r="AQ12" s="235"/>
      <c r="AR12" s="234"/>
      <c r="AS12" s="230"/>
      <c r="AT12" s="235"/>
      <c r="AU12" s="234"/>
      <c r="AV12" s="230"/>
      <c r="AW12" s="235"/>
      <c r="AX12" s="234"/>
      <c r="AY12" s="230"/>
      <c r="AZ12" s="235"/>
      <c r="BA12" s="234"/>
      <c r="BB12" s="230"/>
      <c r="BC12" s="235"/>
      <c r="BD12" s="234"/>
      <c r="BE12" s="230"/>
      <c r="BF12" s="235"/>
      <c r="BG12" s="234"/>
      <c r="BH12" s="230"/>
      <c r="BI12" s="235"/>
      <c r="BJ12" s="234"/>
      <c r="BK12" s="230"/>
      <c r="BL12" s="235"/>
      <c r="BM12" s="234"/>
      <c r="BN12" s="230"/>
      <c r="BO12" s="235"/>
      <c r="BP12" s="234"/>
      <c r="BQ12" s="230"/>
      <c r="BR12" s="235"/>
      <c r="BS12" s="234"/>
      <c r="BT12" s="230"/>
      <c r="BU12" s="235"/>
      <c r="BV12" s="234"/>
      <c r="BW12" s="230"/>
      <c r="BX12" s="235"/>
      <c r="BY12" s="234"/>
      <c r="BZ12" s="230"/>
      <c r="CA12" s="235"/>
      <c r="CB12" s="234"/>
      <c r="CC12" s="230"/>
      <c r="CD12" s="235"/>
      <c r="CE12" s="234"/>
      <c r="CF12" s="230"/>
      <c r="CG12" s="235"/>
      <c r="CH12" s="234"/>
      <c r="CI12" s="230"/>
      <c r="CJ12" s="230"/>
      <c r="CK12" s="234"/>
      <c r="CL12" s="230"/>
      <c r="CM12" s="235"/>
      <c r="CN12" s="230"/>
      <c r="CO12" s="230"/>
      <c r="CP12" s="230"/>
      <c r="CQ12" s="234"/>
      <c r="CR12" s="230"/>
      <c r="CS12" s="230"/>
      <c r="CT12" s="234"/>
      <c r="CU12" s="230"/>
      <c r="CV12" s="230"/>
      <c r="CW12" s="234"/>
      <c r="CX12" s="230">
        <f>IFERROR(__xludf.DUMMYFUNCTION("""COMPUTED_VALUE"""),20.0)</f>
        <v>20</v>
      </c>
      <c r="CY12" s="235"/>
      <c r="CZ12" s="230"/>
      <c r="DA12" s="230">
        <f>IFERROR(__xludf.DUMMYFUNCTION("""COMPUTED_VALUE"""),15.0)</f>
        <v>15</v>
      </c>
      <c r="DB12" s="235"/>
      <c r="DC12" s="234">
        <f>IFERROR(__xludf.DUMMYFUNCTION("""COMPUTED_VALUE"""),5.0)</f>
        <v>5</v>
      </c>
      <c r="DD12" s="230"/>
      <c r="DE12" s="235"/>
      <c r="DF12" s="234">
        <f>IFERROR(__xludf.DUMMYFUNCTION("""COMPUTED_VALUE"""),160.0)</f>
        <v>160</v>
      </c>
      <c r="DG12" s="230"/>
      <c r="DH12" s="235"/>
      <c r="DI12" s="234">
        <f>IFERROR(__xludf.DUMMYFUNCTION("""COMPUTED_VALUE"""),155.0)</f>
        <v>155</v>
      </c>
      <c r="DJ12" s="230"/>
      <c r="DK12" s="235">
        <f>IFERROR(__xludf.DUMMYFUNCTION("""COMPUTED_VALUE"""),40.0)</f>
        <v>40</v>
      </c>
      <c r="DL12" s="291"/>
      <c r="DM12" s="287"/>
      <c r="DN12" s="285">
        <f>IFERROR(__xludf.DUMMYFUNCTION("""COMPUTED_VALUE"""),229.99999999999997)</f>
        <v>230</v>
      </c>
      <c r="DO12" s="96"/>
      <c r="DP12" s="96"/>
      <c r="DQ12" s="96">
        <f>IFERROR(__xludf.DUMMYFUNCTION("""COMPUTED_VALUE"""),200.0)</f>
        <v>200</v>
      </c>
      <c r="DR12" s="96"/>
      <c r="DS12" s="96">
        <f>IFERROR(__xludf.DUMMYFUNCTION("""COMPUTED_VALUE"""),75.0)</f>
        <v>75</v>
      </c>
      <c r="DT12" s="96"/>
      <c r="DU12" s="96"/>
    </row>
    <row r="13">
      <c r="B13" s="83" t="str">
        <f>IFERROR(__xludf.DUMMYFUNCTION("""COMPUTED_VALUE"""),"EMB10")</f>
        <v>EMB10</v>
      </c>
      <c r="C13" s="88" t="str">
        <f>IFERROR(__xludf.DUMMYFUNCTION("""COMPUTED_VALUE"""),"Wednesday/Saturday- Intermediate")</f>
        <v>Wednesday/Saturday- Intermediate</v>
      </c>
      <c r="D13" s="102">
        <f>IFERROR(__xludf.DUMMYFUNCTION("""COMPUTED_VALUE"""),20.0)</f>
        <v>20</v>
      </c>
      <c r="E13" s="82" t="b">
        <f>IFERROR(__xludf.DUMMYFUNCTION("""COMPUTED_VALUE"""),TRUE)</f>
        <v>1</v>
      </c>
      <c r="F13" s="82" t="str">
        <f>IFERROR(__xludf.DUMMYFUNCTION("""COMPUTED_VALUE"""),"Ember Gathering!A143:J156")</f>
        <v>Ember Gathering!A143:J156</v>
      </c>
      <c r="G13" s="82"/>
      <c r="H13" s="82">
        <f>IFERROR(__xludf.DUMMYFUNCTION("""COMPUTED_VALUE"""),12.0)</f>
        <v>12</v>
      </c>
      <c r="I13" s="82"/>
      <c r="J13" s="82">
        <f>IFERROR(__xludf.DUMMYFUNCTION("""COMPUTED_VALUE"""),12.0)</f>
        <v>12</v>
      </c>
      <c r="K13" s="234"/>
      <c r="L13" s="230"/>
      <c r="M13" s="235"/>
      <c r="N13" s="234"/>
      <c r="O13" s="230"/>
      <c r="P13" s="235"/>
      <c r="Q13" s="234"/>
      <c r="R13" s="230"/>
      <c r="S13" s="235"/>
      <c r="T13" s="234"/>
      <c r="U13" s="230"/>
      <c r="V13" s="235"/>
      <c r="W13" s="234"/>
      <c r="X13" s="230"/>
      <c r="Y13" s="235"/>
      <c r="Z13" s="234"/>
      <c r="AA13" s="230"/>
      <c r="AB13" s="235"/>
      <c r="AC13" s="234"/>
      <c r="AD13" s="230"/>
      <c r="AE13" s="235"/>
      <c r="AF13" s="234"/>
      <c r="AG13" s="230"/>
      <c r="AH13" s="235"/>
      <c r="AI13" s="234"/>
      <c r="AJ13" s="230"/>
      <c r="AK13" s="235"/>
      <c r="AL13" s="231"/>
      <c r="AM13" s="230"/>
      <c r="AN13" s="235"/>
      <c r="AO13" s="234"/>
      <c r="AP13" s="230"/>
      <c r="AQ13" s="235"/>
      <c r="AR13" s="234"/>
      <c r="AS13" s="230"/>
      <c r="AT13" s="235"/>
      <c r="AU13" s="234"/>
      <c r="AV13" s="230"/>
      <c r="AW13" s="235"/>
      <c r="AX13" s="234"/>
      <c r="AY13" s="230"/>
      <c r="AZ13" s="235"/>
      <c r="BA13" s="234"/>
      <c r="BB13" s="230"/>
      <c r="BC13" s="235"/>
      <c r="BD13" s="234"/>
      <c r="BE13" s="230"/>
      <c r="BF13" s="235"/>
      <c r="BG13" s="234"/>
      <c r="BH13" s="230"/>
      <c r="BI13" s="235"/>
      <c r="BJ13" s="234"/>
      <c r="BK13" s="230"/>
      <c r="BL13" s="235"/>
      <c r="BM13" s="234"/>
      <c r="BN13" s="230"/>
      <c r="BO13" s="235"/>
      <c r="BP13" s="234"/>
      <c r="BQ13" s="230"/>
      <c r="BR13" s="235"/>
      <c r="BS13" s="234"/>
      <c r="BT13" s="230"/>
      <c r="BU13" s="235"/>
      <c r="BV13" s="234"/>
      <c r="BW13" s="230"/>
      <c r="BX13" s="235"/>
      <c r="BY13" s="234"/>
      <c r="BZ13" s="230"/>
      <c r="CA13" s="235"/>
      <c r="CB13" s="234"/>
      <c r="CC13" s="230"/>
      <c r="CD13" s="235"/>
      <c r="CE13" s="234"/>
      <c r="CF13" s="230"/>
      <c r="CG13" s="235"/>
      <c r="CH13" s="234"/>
      <c r="CI13" s="230"/>
      <c r="CJ13" s="230"/>
      <c r="CK13" s="234"/>
      <c r="CL13" s="230"/>
      <c r="CM13" s="235"/>
      <c r="CN13" s="230"/>
      <c r="CO13" s="230"/>
      <c r="CP13" s="230">
        <f>IFERROR(__xludf.DUMMYFUNCTION("""COMPUTED_VALUE"""),33.33333333333333)</f>
        <v>33.33333333</v>
      </c>
      <c r="CQ13" s="234"/>
      <c r="CR13" s="230"/>
      <c r="CS13" s="230">
        <f>IFERROR(__xludf.DUMMYFUNCTION("""COMPUTED_VALUE"""),0.0)</f>
        <v>0</v>
      </c>
      <c r="CT13" s="234"/>
      <c r="CU13" s="230">
        <f>IFERROR(__xludf.DUMMYFUNCTION("""COMPUTED_VALUE"""),0.0)</f>
        <v>0</v>
      </c>
      <c r="CV13" s="230"/>
      <c r="CW13" s="234"/>
      <c r="CX13" s="230">
        <f>IFERROR(__xludf.DUMMYFUNCTION("""COMPUTED_VALUE"""),133.33333333333331)</f>
        <v>133.3333333</v>
      </c>
      <c r="CY13" s="235"/>
      <c r="CZ13" s="230"/>
      <c r="DA13" s="230">
        <f>IFERROR(__xludf.DUMMYFUNCTION("""COMPUTED_VALUE"""),133.33333333333331)</f>
        <v>133.3333333</v>
      </c>
      <c r="DB13" s="235"/>
      <c r="DC13" s="234">
        <f>IFERROR(__xludf.DUMMYFUNCTION("""COMPUTED_VALUE"""),33.33333333333333)</f>
        <v>33.33333333</v>
      </c>
      <c r="DD13" s="230"/>
      <c r="DE13" s="235"/>
      <c r="DF13" s="234">
        <f>IFERROR(__xludf.DUMMYFUNCTION("""COMPUTED_VALUE"""),175.0)</f>
        <v>175</v>
      </c>
      <c r="DG13" s="230"/>
      <c r="DH13" s="235"/>
      <c r="DI13" s="234">
        <f>IFERROR(__xludf.DUMMYFUNCTION("""COMPUTED_VALUE"""),208.33333333333334)</f>
        <v>208.3333333</v>
      </c>
      <c r="DJ13" s="230"/>
      <c r="DK13" s="235">
        <f>IFERROR(__xludf.DUMMYFUNCTION("""COMPUTED_VALUE"""),100.0)</f>
        <v>100</v>
      </c>
      <c r="DL13" s="280"/>
      <c r="DM13" s="286"/>
      <c r="DN13" s="282">
        <f>IFERROR(__xludf.DUMMYFUNCTION("""COMPUTED_VALUE"""),41.66666666666667)</f>
        <v>41.66666667</v>
      </c>
      <c r="DO13" s="96"/>
      <c r="DP13" s="96"/>
      <c r="DQ13" s="96">
        <f>IFERROR(__xludf.DUMMYFUNCTION("""COMPUTED_VALUE"""),41.66666666666667)</f>
        <v>41.66666667</v>
      </c>
      <c r="DR13" s="96"/>
      <c r="DS13" s="96">
        <f>IFERROR(__xludf.DUMMYFUNCTION("""COMPUTED_VALUE"""),0.0)</f>
        <v>0</v>
      </c>
      <c r="DT13" s="96"/>
      <c r="DU13" s="96"/>
    </row>
    <row r="14">
      <c r="B14" s="83" t="str">
        <f>IFERROR(__xludf.DUMMYFUNCTION("""COMPUTED_VALUE"""),"EMB11")</f>
        <v>EMB11</v>
      </c>
      <c r="C14" s="88" t="str">
        <f>IFERROR(__xludf.DUMMYFUNCTION("""COMPUTED_VALUE"""),"Wednesday/Saturday- Advanced")</f>
        <v>Wednesday/Saturday- Advanced</v>
      </c>
      <c r="D14" s="102">
        <f>IFERROR(__xludf.DUMMYFUNCTION("""COMPUTED_VALUE"""),30.0)</f>
        <v>30</v>
      </c>
      <c r="E14" s="82" t="b">
        <f>IFERROR(__xludf.DUMMYFUNCTION("""COMPUTED_VALUE"""),TRUE)</f>
        <v>1</v>
      </c>
      <c r="F14" s="82" t="str">
        <f>IFERROR(__xludf.DUMMYFUNCTION("""COMPUTED_VALUE"""),"Ember Gathering!A161:J171")</f>
        <v>Ember Gathering!A161:J171</v>
      </c>
      <c r="G14" s="82"/>
      <c r="H14" s="82">
        <f>IFERROR(__xludf.DUMMYFUNCTION("""COMPUTED_VALUE"""),47.0)</f>
        <v>47</v>
      </c>
      <c r="I14" s="82"/>
      <c r="J14" s="82">
        <f>IFERROR(__xludf.DUMMYFUNCTION("""COMPUTED_VALUE"""),47.0)</f>
        <v>47</v>
      </c>
      <c r="K14" s="234"/>
      <c r="L14" s="230"/>
      <c r="M14" s="235"/>
      <c r="N14" s="234"/>
      <c r="O14" s="230"/>
      <c r="P14" s="235"/>
      <c r="Q14" s="234"/>
      <c r="R14" s="230"/>
      <c r="S14" s="235"/>
      <c r="T14" s="234"/>
      <c r="U14" s="230"/>
      <c r="V14" s="235"/>
      <c r="W14" s="234"/>
      <c r="X14" s="230"/>
      <c r="Y14" s="235"/>
      <c r="Z14" s="234"/>
      <c r="AA14" s="230"/>
      <c r="AB14" s="235"/>
      <c r="AC14" s="234"/>
      <c r="AD14" s="230"/>
      <c r="AE14" s="235"/>
      <c r="AF14" s="234"/>
      <c r="AG14" s="230"/>
      <c r="AH14" s="235"/>
      <c r="AI14" s="234"/>
      <c r="AJ14" s="230"/>
      <c r="AK14" s="235"/>
      <c r="AL14" s="231"/>
      <c r="AM14" s="230"/>
      <c r="AN14" s="235"/>
      <c r="AO14" s="234"/>
      <c r="AP14" s="230"/>
      <c r="AQ14" s="235"/>
      <c r="AR14" s="234"/>
      <c r="AS14" s="230"/>
      <c r="AT14" s="235"/>
      <c r="AU14" s="234"/>
      <c r="AV14" s="230"/>
      <c r="AW14" s="235"/>
      <c r="AX14" s="234"/>
      <c r="AY14" s="230"/>
      <c r="AZ14" s="235"/>
      <c r="BA14" s="234"/>
      <c r="BB14" s="230"/>
      <c r="BC14" s="235"/>
      <c r="BD14" s="234"/>
      <c r="BE14" s="230"/>
      <c r="BF14" s="235"/>
      <c r="BG14" s="234"/>
      <c r="BH14" s="230"/>
      <c r="BI14" s="235"/>
      <c r="BJ14" s="234"/>
      <c r="BK14" s="230"/>
      <c r="BL14" s="235"/>
      <c r="BM14" s="234"/>
      <c r="BN14" s="230"/>
      <c r="BO14" s="235"/>
      <c r="BP14" s="234"/>
      <c r="BQ14" s="230"/>
      <c r="BR14" s="235"/>
      <c r="BS14" s="234"/>
      <c r="BT14" s="230"/>
      <c r="BU14" s="235"/>
      <c r="BV14" s="234"/>
      <c r="BW14" s="230"/>
      <c r="BX14" s="235"/>
      <c r="BY14" s="234"/>
      <c r="BZ14" s="230"/>
      <c r="CA14" s="235"/>
      <c r="CB14" s="234"/>
      <c r="CC14" s="230"/>
      <c r="CD14" s="235"/>
      <c r="CE14" s="234"/>
      <c r="CF14" s="230"/>
      <c r="CG14" s="235"/>
      <c r="CH14" s="234"/>
      <c r="CI14" s="230"/>
      <c r="CJ14" s="230"/>
      <c r="CK14" s="234"/>
      <c r="CL14" s="230"/>
      <c r="CM14" s="235"/>
      <c r="CN14" s="230"/>
      <c r="CO14" s="230"/>
      <c r="CP14" s="230">
        <f>IFERROR(__xludf.DUMMYFUNCTION("""COMPUTED_VALUE"""),106.38297872340425)</f>
        <v>106.3829787</v>
      </c>
      <c r="CQ14" s="234"/>
      <c r="CR14" s="230"/>
      <c r="CS14" s="230">
        <f>IFERROR(__xludf.DUMMYFUNCTION("""COMPUTED_VALUE"""),100.0)</f>
        <v>100</v>
      </c>
      <c r="CT14" s="234"/>
      <c r="CU14" s="230">
        <f>IFERROR(__xludf.DUMMYFUNCTION("""COMPUTED_VALUE"""),31.914893617021278)</f>
        <v>31.91489362</v>
      </c>
      <c r="CV14" s="230"/>
      <c r="CW14" s="234"/>
      <c r="CX14" s="230">
        <f>IFERROR(__xludf.DUMMYFUNCTION("""COMPUTED_VALUE"""),255.31914893617022)</f>
        <v>255.3191489</v>
      </c>
      <c r="CY14" s="235"/>
      <c r="CZ14" s="230"/>
      <c r="DA14" s="230">
        <f>IFERROR(__xludf.DUMMYFUNCTION("""COMPUTED_VALUE"""),263.82978723404256)</f>
        <v>263.8297872</v>
      </c>
      <c r="DB14" s="235"/>
      <c r="DC14" s="234">
        <f>IFERROR(__xludf.DUMMYFUNCTION("""COMPUTED_VALUE"""),74.46808510638297)</f>
        <v>74.46808511</v>
      </c>
      <c r="DD14" s="230"/>
      <c r="DE14" s="235"/>
      <c r="DF14" s="234">
        <f>IFERROR(__xludf.DUMMYFUNCTION("""COMPUTED_VALUE"""),36.17021276595745)</f>
        <v>36.17021277</v>
      </c>
      <c r="DG14" s="230"/>
      <c r="DH14" s="235"/>
      <c r="DI14" s="234">
        <f>IFERROR(__xludf.DUMMYFUNCTION("""COMPUTED_VALUE"""),31.914893617021278)</f>
        <v>31.91489362</v>
      </c>
      <c r="DJ14" s="230"/>
      <c r="DK14" s="235">
        <f>IFERROR(__xludf.DUMMYFUNCTION("""COMPUTED_VALUE"""),0.0)</f>
        <v>0</v>
      </c>
      <c r="DL14" s="283"/>
      <c r="DM14" s="287"/>
      <c r="DN14" s="285"/>
      <c r="DO14" s="96"/>
      <c r="DP14" s="96"/>
      <c r="DQ14" s="96"/>
      <c r="DR14" s="96"/>
      <c r="DS14" s="96"/>
      <c r="DT14" s="96"/>
      <c r="DU14" s="96"/>
    </row>
    <row r="15">
      <c r="B15" s="83" t="str">
        <f>IFERROR(__xludf.DUMMYFUNCTION("""COMPUTED_VALUE"""),"EMB12")</f>
        <v>EMB12</v>
      </c>
      <c r="C15" s="88" t="str">
        <f>IFERROR(__xludf.DUMMYFUNCTION("""COMPUTED_VALUE"""),"Wednesday/Saturday- Expert")</f>
        <v>Wednesday/Saturday- Expert</v>
      </c>
      <c r="D15" s="102">
        <f>IFERROR(__xludf.DUMMYFUNCTION("""COMPUTED_VALUE"""),40.0)</f>
        <v>40</v>
      </c>
      <c r="E15" s="82" t="b">
        <f>IFERROR(__xludf.DUMMYFUNCTION("""COMPUTED_VALUE"""),TRUE)</f>
        <v>1</v>
      </c>
      <c r="F15" s="82" t="str">
        <f>IFERROR(__xludf.DUMMYFUNCTION("""COMPUTED_VALUE"""),"Ember Gathering!A176:J183")</f>
        <v>Ember Gathering!A176:J183</v>
      </c>
      <c r="G15" s="82"/>
      <c r="H15" s="82">
        <f>IFERROR(__xludf.DUMMYFUNCTION("""COMPUTED_VALUE"""),853.0)</f>
        <v>853</v>
      </c>
      <c r="I15" s="82"/>
      <c r="J15" s="82">
        <f>IFERROR(__xludf.DUMMYFUNCTION("""COMPUTED_VALUE"""),853.0)</f>
        <v>853</v>
      </c>
      <c r="K15" s="234"/>
      <c r="L15" s="230"/>
      <c r="M15" s="235"/>
      <c r="N15" s="234"/>
      <c r="O15" s="230"/>
      <c r="P15" s="235"/>
      <c r="Q15" s="234"/>
      <c r="R15" s="230"/>
      <c r="S15" s="235"/>
      <c r="T15" s="234"/>
      <c r="U15" s="230"/>
      <c r="V15" s="235"/>
      <c r="W15" s="234"/>
      <c r="X15" s="230"/>
      <c r="Y15" s="235"/>
      <c r="Z15" s="234"/>
      <c r="AA15" s="230"/>
      <c r="AB15" s="235"/>
      <c r="AC15" s="234"/>
      <c r="AD15" s="230"/>
      <c r="AE15" s="235"/>
      <c r="AF15" s="234"/>
      <c r="AG15" s="230"/>
      <c r="AH15" s="235"/>
      <c r="AI15" s="234"/>
      <c r="AJ15" s="230"/>
      <c r="AK15" s="235"/>
      <c r="AL15" s="231"/>
      <c r="AM15" s="230"/>
      <c r="AN15" s="235"/>
      <c r="AO15" s="234"/>
      <c r="AP15" s="230"/>
      <c r="AQ15" s="235"/>
      <c r="AR15" s="234"/>
      <c r="AS15" s="230"/>
      <c r="AT15" s="235"/>
      <c r="AU15" s="234"/>
      <c r="AV15" s="230"/>
      <c r="AW15" s="235"/>
      <c r="AX15" s="234"/>
      <c r="AY15" s="230"/>
      <c r="AZ15" s="235"/>
      <c r="BA15" s="234"/>
      <c r="BB15" s="230"/>
      <c r="BC15" s="235"/>
      <c r="BD15" s="234"/>
      <c r="BE15" s="230"/>
      <c r="BF15" s="235"/>
      <c r="BG15" s="234"/>
      <c r="BH15" s="230"/>
      <c r="BI15" s="235"/>
      <c r="BJ15" s="234"/>
      <c r="BK15" s="230"/>
      <c r="BL15" s="235"/>
      <c r="BM15" s="234"/>
      <c r="BN15" s="230"/>
      <c r="BO15" s="235"/>
      <c r="BP15" s="234"/>
      <c r="BQ15" s="230"/>
      <c r="BR15" s="235"/>
      <c r="BS15" s="234"/>
      <c r="BT15" s="230"/>
      <c r="BU15" s="235"/>
      <c r="BV15" s="234"/>
      <c r="BW15" s="230"/>
      <c r="BX15" s="235"/>
      <c r="BY15" s="234"/>
      <c r="BZ15" s="230"/>
      <c r="CA15" s="235"/>
      <c r="CB15" s="234"/>
      <c r="CC15" s="230"/>
      <c r="CD15" s="235"/>
      <c r="CE15" s="234"/>
      <c r="CF15" s="230"/>
      <c r="CG15" s="235"/>
      <c r="CH15" s="234"/>
      <c r="CI15" s="230"/>
      <c r="CJ15" s="230"/>
      <c r="CK15" s="234"/>
      <c r="CL15" s="230"/>
      <c r="CM15" s="235"/>
      <c r="CN15" s="230"/>
      <c r="CO15" s="230"/>
      <c r="CP15" s="230">
        <f>IFERROR(__xludf.DUMMYFUNCTION("""COMPUTED_VALUE"""),344.548651817116)</f>
        <v>344.5486518</v>
      </c>
      <c r="CQ15" s="234"/>
      <c r="CR15" s="230"/>
      <c r="CS15" s="230">
        <f>IFERROR(__xludf.DUMMYFUNCTION("""COMPUTED_VALUE"""),349.00351699882765)</f>
        <v>349.003517</v>
      </c>
      <c r="CT15" s="234"/>
      <c r="CU15" s="230">
        <f>IFERROR(__xludf.DUMMYFUNCTION("""COMPUTED_VALUE"""),111.72332942555686)</f>
        <v>111.7233294</v>
      </c>
      <c r="CV15" s="230"/>
      <c r="CW15" s="234"/>
      <c r="CX15" s="230">
        <f>IFERROR(__xludf.DUMMYFUNCTION("""COMPUTED_VALUE"""),43.259085580304806)</f>
        <v>43.25908558</v>
      </c>
      <c r="CY15" s="235"/>
      <c r="CZ15" s="230"/>
      <c r="DA15" s="230">
        <f>IFERROR(__xludf.DUMMYFUNCTION("""COMPUTED_VALUE"""),48.18288393903868)</f>
        <v>48.18288394</v>
      </c>
      <c r="DB15" s="235"/>
      <c r="DC15" s="234">
        <f>IFERROR(__xludf.DUMMYFUNCTION("""COMPUTED_VALUE"""),3.2825322391559206)</f>
        <v>3.282532239</v>
      </c>
      <c r="DD15" s="230"/>
      <c r="DE15" s="235"/>
      <c r="DF15" s="234"/>
      <c r="DG15" s="230"/>
      <c r="DH15" s="235"/>
      <c r="DI15" s="234"/>
      <c r="DJ15" s="230"/>
      <c r="DK15" s="235"/>
      <c r="DL15" s="280"/>
      <c r="DM15" s="281"/>
      <c r="DN15" s="282"/>
      <c r="DO15" s="96"/>
      <c r="DP15" s="96"/>
      <c r="DQ15" s="96"/>
      <c r="DR15" s="96"/>
      <c r="DS15" s="96"/>
      <c r="DT15" s="96"/>
      <c r="DU15" s="96"/>
    </row>
    <row r="16">
      <c r="B16" s="83" t="str">
        <f>IFERROR(__xludf.DUMMYFUNCTION("""COMPUTED_VALUE"""),"EMB13")</f>
        <v>EMB13</v>
      </c>
      <c r="C16" s="88" t="str">
        <f>IFERROR(__xludf.DUMMYFUNCTION("""COMPUTED_VALUE"""),"Sunday- Novice")</f>
        <v>Sunday- Novice</v>
      </c>
      <c r="D16" s="102">
        <f>IFERROR(__xludf.DUMMYFUNCTION("""COMPUTED_VALUE"""),10.0)</f>
        <v>10</v>
      </c>
      <c r="E16" s="82" t="b">
        <f>IFERROR(__xludf.DUMMYFUNCTION("""COMPUTED_VALUE"""),TRUE)</f>
        <v>1</v>
      </c>
      <c r="F16" s="82" t="str">
        <f>IFERROR(__xludf.DUMMYFUNCTION("""COMPUTED_VALUE"""),"Ember Gathering!A188:J210")</f>
        <v>Ember Gathering!A188:J210</v>
      </c>
      <c r="G16" s="82"/>
      <c r="H16" s="82">
        <f>IFERROR(__xludf.DUMMYFUNCTION("""COMPUTED_VALUE"""),13.0)</f>
        <v>13</v>
      </c>
      <c r="I16" s="82"/>
      <c r="J16" s="82">
        <f>IFERROR(__xludf.DUMMYFUNCTION("""COMPUTED_VALUE"""),13.0)</f>
        <v>13</v>
      </c>
      <c r="K16" s="234"/>
      <c r="L16" s="230"/>
      <c r="M16" s="235"/>
      <c r="N16" s="234"/>
      <c r="O16" s="230"/>
      <c r="P16" s="235"/>
      <c r="Q16" s="234"/>
      <c r="R16" s="230"/>
      <c r="S16" s="235"/>
      <c r="T16" s="234"/>
      <c r="U16" s="230"/>
      <c r="V16" s="235"/>
      <c r="W16" s="234"/>
      <c r="X16" s="230"/>
      <c r="Y16" s="235"/>
      <c r="Z16" s="234"/>
      <c r="AA16" s="230"/>
      <c r="AB16" s="235"/>
      <c r="AC16" s="234"/>
      <c r="AD16" s="230"/>
      <c r="AE16" s="235"/>
      <c r="AF16" s="234"/>
      <c r="AG16" s="230"/>
      <c r="AH16" s="235"/>
      <c r="AI16" s="234"/>
      <c r="AJ16" s="230"/>
      <c r="AK16" s="235"/>
      <c r="AL16" s="231"/>
      <c r="AM16" s="230"/>
      <c r="AN16" s="235"/>
      <c r="AO16" s="234"/>
      <c r="AP16" s="230"/>
      <c r="AQ16" s="235"/>
      <c r="AR16" s="234"/>
      <c r="AS16" s="230"/>
      <c r="AT16" s="235"/>
      <c r="AU16" s="234"/>
      <c r="AV16" s="230"/>
      <c r="AW16" s="235"/>
      <c r="AX16" s="234"/>
      <c r="AY16" s="230"/>
      <c r="AZ16" s="235"/>
      <c r="BA16" s="234"/>
      <c r="BB16" s="230"/>
      <c r="BC16" s="235"/>
      <c r="BD16" s="234"/>
      <c r="BE16" s="230"/>
      <c r="BF16" s="235"/>
      <c r="BG16" s="234"/>
      <c r="BH16" s="230"/>
      <c r="BI16" s="235"/>
      <c r="BJ16" s="234"/>
      <c r="BK16" s="230"/>
      <c r="BL16" s="235"/>
      <c r="BM16" s="234"/>
      <c r="BN16" s="230"/>
      <c r="BO16" s="235"/>
      <c r="BP16" s="234"/>
      <c r="BQ16" s="230"/>
      <c r="BR16" s="235"/>
      <c r="BS16" s="234"/>
      <c r="BT16" s="230"/>
      <c r="BU16" s="235"/>
      <c r="BV16" s="234"/>
      <c r="BW16" s="230"/>
      <c r="BX16" s="235"/>
      <c r="BY16" s="234"/>
      <c r="BZ16" s="230"/>
      <c r="CA16" s="235"/>
      <c r="CB16" s="234"/>
      <c r="CC16" s="230"/>
      <c r="CD16" s="235"/>
      <c r="CE16" s="234"/>
      <c r="CF16" s="230"/>
      <c r="CG16" s="235"/>
      <c r="CH16" s="234"/>
      <c r="CI16" s="230"/>
      <c r="CJ16" s="230"/>
      <c r="CK16" s="234"/>
      <c r="CL16" s="230"/>
      <c r="CM16" s="235"/>
      <c r="CN16" s="230"/>
      <c r="CO16" s="230"/>
      <c r="CP16" s="230"/>
      <c r="CQ16" s="234"/>
      <c r="CR16" s="230"/>
      <c r="CS16" s="230"/>
      <c r="CT16" s="234"/>
      <c r="CU16" s="230"/>
      <c r="CV16" s="230"/>
      <c r="CW16" s="234">
        <f>IFERROR(__xludf.DUMMYFUNCTION("""COMPUTED_VALUE"""),7.6923076923076925)</f>
        <v>7.692307692</v>
      </c>
      <c r="CX16" s="230">
        <f>IFERROR(__xludf.DUMMYFUNCTION("""COMPUTED_VALUE"""),15.384615384615385)</f>
        <v>15.38461538</v>
      </c>
      <c r="CY16" s="235">
        <f>IFERROR(__xludf.DUMMYFUNCTION("""COMPUTED_VALUE"""),7.6923076923076925)</f>
        <v>7.692307692</v>
      </c>
      <c r="CZ16" s="230">
        <f>IFERROR(__xludf.DUMMYFUNCTION("""COMPUTED_VALUE"""),7.6923076923076925)</f>
        <v>7.692307692</v>
      </c>
      <c r="DA16" s="230">
        <f>IFERROR(__xludf.DUMMYFUNCTION("""COMPUTED_VALUE"""),7.6923076923076925)</f>
        <v>7.692307692</v>
      </c>
      <c r="DB16" s="235">
        <f>IFERROR(__xludf.DUMMYFUNCTION("""COMPUTED_VALUE"""),7.6923076923076925)</f>
        <v>7.692307692</v>
      </c>
      <c r="DC16" s="234">
        <f>IFERROR(__xludf.DUMMYFUNCTION("""COMPUTED_VALUE"""),7.6923076923076925)</f>
        <v>7.692307692</v>
      </c>
      <c r="DD16" s="230"/>
      <c r="DE16" s="235">
        <f>IFERROR(__xludf.DUMMYFUNCTION("""COMPUTED_VALUE"""),30.76923076923077)</f>
        <v>30.76923077</v>
      </c>
      <c r="DF16" s="234">
        <f>IFERROR(__xludf.DUMMYFUNCTION("""COMPUTED_VALUE"""),100.0)</f>
        <v>100</v>
      </c>
      <c r="DG16" s="230">
        <f>IFERROR(__xludf.DUMMYFUNCTION("""COMPUTED_VALUE"""),38.46153846153847)</f>
        <v>38.46153846</v>
      </c>
      <c r="DH16" s="235">
        <f>IFERROR(__xludf.DUMMYFUNCTION("""COMPUTED_VALUE"""),46.15384615384615)</f>
        <v>46.15384615</v>
      </c>
      <c r="DI16" s="234">
        <f>IFERROR(__xludf.DUMMYFUNCTION("""COMPUTED_VALUE"""),69.23076923076923)</f>
        <v>69.23076923</v>
      </c>
      <c r="DJ16" s="230">
        <f>IFERROR(__xludf.DUMMYFUNCTION("""COMPUTED_VALUE"""),30.76923076923077)</f>
        <v>30.76923077</v>
      </c>
      <c r="DK16" s="235">
        <f>IFERROR(__xludf.DUMMYFUNCTION("""COMPUTED_VALUE"""),46.15384615384615)</f>
        <v>46.15384615</v>
      </c>
      <c r="DL16" s="283"/>
      <c r="DM16" s="287">
        <f>IFERROR(__xludf.DUMMYFUNCTION("""COMPUTED_VALUE"""),46.15384615384615)</f>
        <v>46.15384615</v>
      </c>
      <c r="DN16" s="285">
        <f>IFERROR(__xludf.DUMMYFUNCTION("""COMPUTED_VALUE"""),23.076923076923077)</f>
        <v>23.07692308</v>
      </c>
      <c r="DO16" s="96">
        <f>IFERROR(__xludf.DUMMYFUNCTION("""COMPUTED_VALUE"""),53.84615384615385)</f>
        <v>53.84615385</v>
      </c>
      <c r="DP16" s="96">
        <f>IFERROR(__xludf.DUMMYFUNCTION("""COMPUTED_VALUE"""),76.92307692307693)</f>
        <v>76.92307692</v>
      </c>
      <c r="DQ16" s="96">
        <f>IFERROR(__xludf.DUMMYFUNCTION("""COMPUTED_VALUE"""),69.23076923076923)</f>
        <v>69.23076923</v>
      </c>
      <c r="DR16" s="96">
        <f>IFERROR(__xludf.DUMMYFUNCTION("""COMPUTED_VALUE"""),84.61538461538461)</f>
        <v>84.61538462</v>
      </c>
      <c r="DS16" s="96">
        <f>IFERROR(__xludf.DUMMYFUNCTION("""COMPUTED_VALUE"""),123.07692307692308)</f>
        <v>123.0769231</v>
      </c>
      <c r="DT16" s="96"/>
      <c r="DU16" s="96"/>
    </row>
    <row r="17">
      <c r="B17" s="83" t="str">
        <f>IFERROR(__xludf.DUMMYFUNCTION("""COMPUTED_VALUE"""),"EMB14")</f>
        <v>EMB14</v>
      </c>
      <c r="C17" s="88" t="str">
        <f>IFERROR(__xludf.DUMMYFUNCTION("""COMPUTED_VALUE"""),"Sunday- Intermediate")</f>
        <v>Sunday- Intermediate</v>
      </c>
      <c r="D17" s="102">
        <f>IFERROR(__xludf.DUMMYFUNCTION("""COMPUTED_VALUE"""),20.0)</f>
        <v>20</v>
      </c>
      <c r="E17" s="82" t="b">
        <f>IFERROR(__xludf.DUMMYFUNCTION("""COMPUTED_VALUE"""),TRUE)</f>
        <v>1</v>
      </c>
      <c r="F17" s="82" t="str">
        <f>IFERROR(__xludf.DUMMYFUNCTION("""COMPUTED_VALUE"""),"Ember Gathering!A215:J244")</f>
        <v>Ember Gathering!A215:J244</v>
      </c>
      <c r="G17" s="82"/>
      <c r="H17" s="82">
        <f>IFERROR(__xludf.DUMMYFUNCTION("""COMPUTED_VALUE"""),5.0)</f>
        <v>5</v>
      </c>
      <c r="I17" s="82"/>
      <c r="J17" s="82">
        <f>IFERROR(__xludf.DUMMYFUNCTION("""COMPUTED_VALUE"""),5.0)</f>
        <v>5</v>
      </c>
      <c r="K17" s="234"/>
      <c r="L17" s="230"/>
      <c r="M17" s="235"/>
      <c r="N17" s="234"/>
      <c r="O17" s="230"/>
      <c r="P17" s="235"/>
      <c r="Q17" s="234"/>
      <c r="R17" s="230"/>
      <c r="S17" s="235"/>
      <c r="T17" s="234"/>
      <c r="U17" s="230"/>
      <c r="V17" s="235"/>
      <c r="W17" s="234"/>
      <c r="X17" s="230"/>
      <c r="Y17" s="235"/>
      <c r="Z17" s="234"/>
      <c r="AA17" s="230"/>
      <c r="AB17" s="235"/>
      <c r="AC17" s="234"/>
      <c r="AD17" s="230"/>
      <c r="AE17" s="235"/>
      <c r="AF17" s="234"/>
      <c r="AG17" s="230"/>
      <c r="AH17" s="235"/>
      <c r="AI17" s="234"/>
      <c r="AJ17" s="230"/>
      <c r="AK17" s="235"/>
      <c r="AL17" s="231"/>
      <c r="AM17" s="230"/>
      <c r="AN17" s="235"/>
      <c r="AO17" s="234"/>
      <c r="AP17" s="230"/>
      <c r="AQ17" s="235"/>
      <c r="AR17" s="234"/>
      <c r="AS17" s="230"/>
      <c r="AT17" s="235"/>
      <c r="AU17" s="234"/>
      <c r="AV17" s="230"/>
      <c r="AW17" s="235"/>
      <c r="AX17" s="234"/>
      <c r="AY17" s="230"/>
      <c r="AZ17" s="235"/>
      <c r="BA17" s="234"/>
      <c r="BB17" s="230"/>
      <c r="BC17" s="235"/>
      <c r="BD17" s="234"/>
      <c r="BE17" s="230"/>
      <c r="BF17" s="235"/>
      <c r="BG17" s="234"/>
      <c r="BH17" s="230"/>
      <c r="BI17" s="235"/>
      <c r="BJ17" s="234"/>
      <c r="BK17" s="230"/>
      <c r="BL17" s="235"/>
      <c r="BM17" s="234"/>
      <c r="BN17" s="230"/>
      <c r="BO17" s="235"/>
      <c r="BP17" s="234"/>
      <c r="BQ17" s="230"/>
      <c r="BR17" s="235"/>
      <c r="BS17" s="234"/>
      <c r="BT17" s="230"/>
      <c r="BU17" s="235"/>
      <c r="BV17" s="234"/>
      <c r="BW17" s="230"/>
      <c r="BX17" s="235"/>
      <c r="BY17" s="234"/>
      <c r="BZ17" s="230"/>
      <c r="CA17" s="235"/>
      <c r="CB17" s="234"/>
      <c r="CC17" s="230"/>
      <c r="CD17" s="235"/>
      <c r="CE17" s="234"/>
      <c r="CF17" s="230"/>
      <c r="CG17" s="235"/>
      <c r="CH17" s="234"/>
      <c r="CI17" s="230"/>
      <c r="CJ17" s="230"/>
      <c r="CK17" s="234"/>
      <c r="CL17" s="230"/>
      <c r="CM17" s="235"/>
      <c r="CN17" s="230"/>
      <c r="CO17" s="230">
        <f>IFERROR(__xludf.DUMMYFUNCTION("""COMPUTED_VALUE"""),0.0)</f>
        <v>0</v>
      </c>
      <c r="CP17" s="230">
        <f>IFERROR(__xludf.DUMMYFUNCTION("""COMPUTED_VALUE"""),20.0)</f>
        <v>20</v>
      </c>
      <c r="CQ17" s="234">
        <f>IFERROR(__xludf.DUMMYFUNCTION("""COMPUTED_VALUE"""),20.0)</f>
        <v>20</v>
      </c>
      <c r="CR17" s="230">
        <f>IFERROR(__xludf.DUMMYFUNCTION("""COMPUTED_VALUE"""),20.0)</f>
        <v>20</v>
      </c>
      <c r="CS17" s="230">
        <f>IFERROR(__xludf.DUMMYFUNCTION("""COMPUTED_VALUE"""),0.0)</f>
        <v>0</v>
      </c>
      <c r="CT17" s="234">
        <f>IFERROR(__xludf.DUMMYFUNCTION("""COMPUTED_VALUE"""),0.0)</f>
        <v>0</v>
      </c>
      <c r="CU17" s="230">
        <f>IFERROR(__xludf.DUMMYFUNCTION("""COMPUTED_VALUE"""),20.0)</f>
        <v>20</v>
      </c>
      <c r="CV17" s="230"/>
      <c r="CW17" s="234">
        <f>IFERROR(__xludf.DUMMYFUNCTION("""COMPUTED_VALUE"""),0.0)</f>
        <v>0</v>
      </c>
      <c r="CX17" s="230">
        <f>IFERROR(__xludf.DUMMYFUNCTION("""COMPUTED_VALUE"""),40.0)</f>
        <v>40</v>
      </c>
      <c r="CY17" s="235">
        <f>IFERROR(__xludf.DUMMYFUNCTION("""COMPUTED_VALUE"""),60.0)</f>
        <v>60</v>
      </c>
      <c r="CZ17" s="230">
        <f>IFERROR(__xludf.DUMMYFUNCTION("""COMPUTED_VALUE"""),20.0)</f>
        <v>20</v>
      </c>
      <c r="DA17" s="230">
        <f>IFERROR(__xludf.DUMMYFUNCTION("""COMPUTED_VALUE"""),40.0)</f>
        <v>40</v>
      </c>
      <c r="DB17" s="235">
        <f>IFERROR(__xludf.DUMMYFUNCTION("""COMPUTED_VALUE"""),40.0)</f>
        <v>40</v>
      </c>
      <c r="DC17" s="234">
        <f>IFERROR(__xludf.DUMMYFUNCTION("""COMPUTED_VALUE"""),60.0)</f>
        <v>60</v>
      </c>
      <c r="DD17" s="230"/>
      <c r="DE17" s="235">
        <f>IFERROR(__xludf.DUMMYFUNCTION("""COMPUTED_VALUE"""),60.0)</f>
        <v>60</v>
      </c>
      <c r="DF17" s="234">
        <f>IFERROR(__xludf.DUMMYFUNCTION("""COMPUTED_VALUE"""),120.0)</f>
        <v>120</v>
      </c>
      <c r="DG17" s="230">
        <f>IFERROR(__xludf.DUMMYFUNCTION("""COMPUTED_VALUE"""),100.0)</f>
        <v>100</v>
      </c>
      <c r="DH17" s="235">
        <f>IFERROR(__xludf.DUMMYFUNCTION("""COMPUTED_VALUE"""),60.0)</f>
        <v>60</v>
      </c>
      <c r="DI17" s="234">
        <f>IFERROR(__xludf.DUMMYFUNCTION("""COMPUTED_VALUE"""),40.0)</f>
        <v>40</v>
      </c>
      <c r="DJ17" s="230">
        <f>IFERROR(__xludf.DUMMYFUNCTION("""COMPUTED_VALUE"""),60.0)</f>
        <v>60</v>
      </c>
      <c r="DK17" s="235">
        <f>IFERROR(__xludf.DUMMYFUNCTION("""COMPUTED_VALUE"""),80.0)</f>
        <v>80</v>
      </c>
      <c r="DL17" s="280"/>
      <c r="DM17" s="286">
        <f>IFERROR(__xludf.DUMMYFUNCTION("""COMPUTED_VALUE"""),0.0)</f>
        <v>0</v>
      </c>
      <c r="DN17" s="282">
        <f>IFERROR(__xludf.DUMMYFUNCTION("""COMPUTED_VALUE"""),0.0)</f>
        <v>0</v>
      </c>
      <c r="DO17" s="96">
        <f>IFERROR(__xludf.DUMMYFUNCTION("""COMPUTED_VALUE"""),0.0)</f>
        <v>0</v>
      </c>
      <c r="DP17" s="96">
        <f>IFERROR(__xludf.DUMMYFUNCTION("""COMPUTED_VALUE"""),40.0)</f>
        <v>40</v>
      </c>
      <c r="DQ17" s="96">
        <f>IFERROR(__xludf.DUMMYFUNCTION("""COMPUTED_VALUE"""),0.0)</f>
        <v>0</v>
      </c>
      <c r="DR17" s="96">
        <f>IFERROR(__xludf.DUMMYFUNCTION("""COMPUTED_VALUE"""),0.0)</f>
        <v>0</v>
      </c>
      <c r="DS17" s="96">
        <f>IFERROR(__xludf.DUMMYFUNCTION("""COMPUTED_VALUE"""),0.0)</f>
        <v>0</v>
      </c>
      <c r="DT17" s="96"/>
      <c r="DU17" s="96"/>
    </row>
    <row r="18">
      <c r="B18" s="83" t="str">
        <f>IFERROR(__xludf.DUMMYFUNCTION("""COMPUTED_VALUE"""),"EMB15")</f>
        <v>EMB15</v>
      </c>
      <c r="C18" s="88" t="str">
        <f>IFERROR(__xludf.DUMMYFUNCTION("""COMPUTED_VALUE"""),"Sunday- Advanced")</f>
        <v>Sunday- Advanced</v>
      </c>
      <c r="D18" s="102">
        <f>IFERROR(__xludf.DUMMYFUNCTION("""COMPUTED_VALUE"""),30.0)</f>
        <v>30</v>
      </c>
      <c r="E18" s="82" t="b">
        <f>IFERROR(__xludf.DUMMYFUNCTION("""COMPUTED_VALUE"""),TRUE)</f>
        <v>1</v>
      </c>
      <c r="F18" s="82" t="str">
        <f>IFERROR(__xludf.DUMMYFUNCTION("""COMPUTED_VALUE"""),"Ember Gathering!A249:J271")</f>
        <v>Ember Gathering!A249:J271</v>
      </c>
      <c r="G18" s="82"/>
      <c r="H18" s="82">
        <f>IFERROR(__xludf.DUMMYFUNCTION("""COMPUTED_VALUE"""),27.0)</f>
        <v>27</v>
      </c>
      <c r="I18" s="82"/>
      <c r="J18" s="82">
        <f>IFERROR(__xludf.DUMMYFUNCTION("""COMPUTED_VALUE"""),27.0)</f>
        <v>27</v>
      </c>
      <c r="K18" s="234"/>
      <c r="L18" s="230"/>
      <c r="M18" s="235"/>
      <c r="N18" s="234"/>
      <c r="O18" s="230"/>
      <c r="P18" s="235"/>
      <c r="Q18" s="234"/>
      <c r="R18" s="230"/>
      <c r="S18" s="235"/>
      <c r="T18" s="234"/>
      <c r="U18" s="230"/>
      <c r="V18" s="235"/>
      <c r="W18" s="234"/>
      <c r="X18" s="230"/>
      <c r="Y18" s="235"/>
      <c r="Z18" s="234"/>
      <c r="AA18" s="230"/>
      <c r="AB18" s="235"/>
      <c r="AC18" s="234"/>
      <c r="AD18" s="230"/>
      <c r="AE18" s="235"/>
      <c r="AF18" s="234"/>
      <c r="AG18" s="230"/>
      <c r="AH18" s="235"/>
      <c r="AI18" s="234"/>
      <c r="AJ18" s="230"/>
      <c r="AK18" s="235"/>
      <c r="AL18" s="231"/>
      <c r="AM18" s="230"/>
      <c r="AN18" s="235"/>
      <c r="AO18" s="234"/>
      <c r="AP18" s="230"/>
      <c r="AQ18" s="235"/>
      <c r="AR18" s="234"/>
      <c r="AS18" s="230"/>
      <c r="AT18" s="235"/>
      <c r="AU18" s="234"/>
      <c r="AV18" s="230"/>
      <c r="AW18" s="235"/>
      <c r="AX18" s="234"/>
      <c r="AY18" s="230"/>
      <c r="AZ18" s="235"/>
      <c r="BA18" s="234"/>
      <c r="BB18" s="230"/>
      <c r="BC18" s="235"/>
      <c r="BD18" s="234"/>
      <c r="BE18" s="230"/>
      <c r="BF18" s="235"/>
      <c r="BG18" s="234"/>
      <c r="BH18" s="230"/>
      <c r="BI18" s="235"/>
      <c r="BJ18" s="234"/>
      <c r="BK18" s="230"/>
      <c r="BL18" s="235"/>
      <c r="BM18" s="234"/>
      <c r="BN18" s="230"/>
      <c r="BO18" s="235"/>
      <c r="BP18" s="234"/>
      <c r="BQ18" s="230"/>
      <c r="BR18" s="235"/>
      <c r="BS18" s="234"/>
      <c r="BT18" s="230"/>
      <c r="BU18" s="235"/>
      <c r="BV18" s="234"/>
      <c r="BW18" s="230"/>
      <c r="BX18" s="235"/>
      <c r="BY18" s="234"/>
      <c r="BZ18" s="230"/>
      <c r="CA18" s="235"/>
      <c r="CB18" s="234"/>
      <c r="CC18" s="230"/>
      <c r="CD18" s="235"/>
      <c r="CE18" s="234"/>
      <c r="CF18" s="230"/>
      <c r="CG18" s="235"/>
      <c r="CH18" s="234"/>
      <c r="CI18" s="230"/>
      <c r="CJ18" s="230"/>
      <c r="CK18" s="234"/>
      <c r="CL18" s="230"/>
      <c r="CM18" s="235"/>
      <c r="CN18" s="230"/>
      <c r="CO18" s="230">
        <f>IFERROR(__xludf.DUMMYFUNCTION("""COMPUTED_VALUE"""),29.629629629629626)</f>
        <v>29.62962963</v>
      </c>
      <c r="CP18" s="230">
        <f>IFERROR(__xludf.DUMMYFUNCTION("""COMPUTED_VALUE"""),62.96296296296296)</f>
        <v>62.96296296</v>
      </c>
      <c r="CQ18" s="234">
        <f>IFERROR(__xludf.DUMMYFUNCTION("""COMPUTED_VALUE"""),7.4074074074074066)</f>
        <v>7.407407407</v>
      </c>
      <c r="CR18" s="230">
        <f>IFERROR(__xludf.DUMMYFUNCTION("""COMPUTED_VALUE"""),29.629629629629626)</f>
        <v>29.62962963</v>
      </c>
      <c r="CS18" s="230">
        <f>IFERROR(__xludf.DUMMYFUNCTION("""COMPUTED_VALUE"""),40.74074074074074)</f>
        <v>40.74074074</v>
      </c>
      <c r="CT18" s="234">
        <f>IFERROR(__xludf.DUMMYFUNCTION("""COMPUTED_VALUE"""),33.33333333333333)</f>
        <v>33.33333333</v>
      </c>
      <c r="CU18" s="230">
        <f>IFERROR(__xludf.DUMMYFUNCTION("""COMPUTED_VALUE"""),33.33333333333333)</f>
        <v>33.33333333</v>
      </c>
      <c r="CV18" s="230"/>
      <c r="CW18" s="234">
        <f>IFERROR(__xludf.DUMMYFUNCTION("""COMPUTED_VALUE"""),44.44444444444444)</f>
        <v>44.44444444</v>
      </c>
      <c r="CX18" s="230">
        <f>IFERROR(__xludf.DUMMYFUNCTION("""COMPUTED_VALUE"""),81.48148148148148)</f>
        <v>81.48148148</v>
      </c>
      <c r="CY18" s="235">
        <f>IFERROR(__xludf.DUMMYFUNCTION("""COMPUTED_VALUE"""),100.0)</f>
        <v>100</v>
      </c>
      <c r="CZ18" s="230">
        <f>IFERROR(__xludf.DUMMYFUNCTION("""COMPUTED_VALUE"""),96.29629629629629)</f>
        <v>96.2962963</v>
      </c>
      <c r="DA18" s="230">
        <f>IFERROR(__xludf.DUMMYFUNCTION("""COMPUTED_VALUE"""),77.77777777777779)</f>
        <v>77.77777778</v>
      </c>
      <c r="DB18" s="235">
        <f>IFERROR(__xludf.DUMMYFUNCTION("""COMPUTED_VALUE"""),77.77777777777779)</f>
        <v>77.77777778</v>
      </c>
      <c r="DC18" s="234">
        <f>IFERROR(__xludf.DUMMYFUNCTION("""COMPUTED_VALUE"""),122.22222222222223)</f>
        <v>122.2222222</v>
      </c>
      <c r="DD18" s="230"/>
      <c r="DE18" s="235">
        <f>IFERROR(__xludf.DUMMYFUNCTION("""COMPUTED_VALUE"""),11.11111111111111)</f>
        <v>11.11111111</v>
      </c>
      <c r="DF18" s="234">
        <f>IFERROR(__xludf.DUMMYFUNCTION("""COMPUTED_VALUE"""),14.814814814814813)</f>
        <v>14.81481481</v>
      </c>
      <c r="DG18" s="230">
        <f>IFERROR(__xludf.DUMMYFUNCTION("""COMPUTED_VALUE"""),7.4074074074074066)</f>
        <v>7.407407407</v>
      </c>
      <c r="DH18" s="235">
        <f>IFERROR(__xludf.DUMMYFUNCTION("""COMPUTED_VALUE"""),7.4074074074074066)</f>
        <v>7.407407407</v>
      </c>
      <c r="DI18" s="234">
        <f>IFERROR(__xludf.DUMMYFUNCTION("""COMPUTED_VALUE"""),3.7037037037037033)</f>
        <v>3.703703704</v>
      </c>
      <c r="DJ18" s="230">
        <f>IFERROR(__xludf.DUMMYFUNCTION("""COMPUTED_VALUE"""),11.11111111111111)</f>
        <v>11.11111111</v>
      </c>
      <c r="DK18" s="235">
        <f>IFERROR(__xludf.DUMMYFUNCTION("""COMPUTED_VALUE"""),7.4074074074074066)</f>
        <v>7.407407407</v>
      </c>
      <c r="DL18" s="283"/>
      <c r="DM18" s="287"/>
      <c r="DN18" s="285"/>
      <c r="DO18" s="96"/>
      <c r="DP18" s="96"/>
      <c r="DQ18" s="96"/>
      <c r="DR18" s="96"/>
      <c r="DS18" s="96"/>
      <c r="DT18" s="96"/>
      <c r="DU18" s="96"/>
    </row>
    <row r="19">
      <c r="B19" s="83" t="str">
        <f>IFERROR(__xludf.DUMMYFUNCTION("""COMPUTED_VALUE"""),"EMB16")</f>
        <v>EMB16</v>
      </c>
      <c r="C19" s="88" t="str">
        <f>IFERROR(__xludf.DUMMYFUNCTION("""COMPUTED_VALUE"""),"Sunday- Expert")</f>
        <v>Sunday- Expert</v>
      </c>
      <c r="D19" s="102">
        <f>IFERROR(__xludf.DUMMYFUNCTION("""COMPUTED_VALUE"""),40.0)</f>
        <v>40</v>
      </c>
      <c r="E19" s="82" t="b">
        <f>IFERROR(__xludf.DUMMYFUNCTION("""COMPUTED_VALUE"""),TRUE)</f>
        <v>1</v>
      </c>
      <c r="F19" s="82" t="str">
        <f>IFERROR(__xludf.DUMMYFUNCTION("""COMPUTED_VALUE"""),"Ember Gathering!A276:J291")</f>
        <v>Ember Gathering!A276:J291</v>
      </c>
      <c r="G19" s="82"/>
      <c r="H19" s="82">
        <f>IFERROR(__xludf.DUMMYFUNCTION("""COMPUTED_VALUE"""),380.0)</f>
        <v>380</v>
      </c>
      <c r="I19" s="82"/>
      <c r="J19" s="82">
        <f>IFERROR(__xludf.DUMMYFUNCTION("""COMPUTED_VALUE"""),380.0)</f>
        <v>380</v>
      </c>
      <c r="K19" s="234"/>
      <c r="L19" s="230"/>
      <c r="M19" s="235"/>
      <c r="N19" s="234"/>
      <c r="O19" s="230"/>
      <c r="P19" s="235"/>
      <c r="Q19" s="234"/>
      <c r="R19" s="230"/>
      <c r="S19" s="235"/>
      <c r="T19" s="234"/>
      <c r="U19" s="230"/>
      <c r="V19" s="235"/>
      <c r="W19" s="234"/>
      <c r="X19" s="230"/>
      <c r="Y19" s="235"/>
      <c r="Z19" s="234"/>
      <c r="AA19" s="230"/>
      <c r="AB19" s="235"/>
      <c r="AC19" s="234"/>
      <c r="AD19" s="230"/>
      <c r="AE19" s="235"/>
      <c r="AF19" s="234"/>
      <c r="AG19" s="230"/>
      <c r="AH19" s="235"/>
      <c r="AI19" s="234"/>
      <c r="AJ19" s="230"/>
      <c r="AK19" s="235"/>
      <c r="AL19" s="231"/>
      <c r="AM19" s="230"/>
      <c r="AN19" s="235"/>
      <c r="AO19" s="234"/>
      <c r="AP19" s="230"/>
      <c r="AQ19" s="235"/>
      <c r="AR19" s="234"/>
      <c r="AS19" s="230"/>
      <c r="AT19" s="235"/>
      <c r="AU19" s="234"/>
      <c r="AV19" s="230"/>
      <c r="AW19" s="235"/>
      <c r="AX19" s="234"/>
      <c r="AY19" s="230"/>
      <c r="AZ19" s="235"/>
      <c r="BA19" s="234"/>
      <c r="BB19" s="230"/>
      <c r="BC19" s="235"/>
      <c r="BD19" s="234"/>
      <c r="BE19" s="230"/>
      <c r="BF19" s="235"/>
      <c r="BG19" s="234"/>
      <c r="BH19" s="230"/>
      <c r="BI19" s="235"/>
      <c r="BJ19" s="234"/>
      <c r="BK19" s="230"/>
      <c r="BL19" s="235"/>
      <c r="BM19" s="234"/>
      <c r="BN19" s="230"/>
      <c r="BO19" s="235"/>
      <c r="BP19" s="234"/>
      <c r="BQ19" s="230"/>
      <c r="BR19" s="235"/>
      <c r="BS19" s="234"/>
      <c r="BT19" s="230"/>
      <c r="BU19" s="235"/>
      <c r="BV19" s="234"/>
      <c r="BW19" s="230"/>
      <c r="BX19" s="235"/>
      <c r="BY19" s="234"/>
      <c r="BZ19" s="230"/>
      <c r="CA19" s="235"/>
      <c r="CB19" s="234"/>
      <c r="CC19" s="230"/>
      <c r="CD19" s="235"/>
      <c r="CE19" s="234"/>
      <c r="CF19" s="230"/>
      <c r="CG19" s="235"/>
      <c r="CH19" s="234"/>
      <c r="CI19" s="230"/>
      <c r="CJ19" s="230"/>
      <c r="CK19" s="234"/>
      <c r="CL19" s="230"/>
      <c r="CM19" s="235"/>
      <c r="CN19" s="230"/>
      <c r="CO19" s="230">
        <f>IFERROR(__xludf.DUMMYFUNCTION("""COMPUTED_VALUE"""),118.42105263157893)</f>
        <v>118.4210526</v>
      </c>
      <c r="CP19" s="230">
        <f>IFERROR(__xludf.DUMMYFUNCTION("""COMPUTED_VALUE"""),117.36842105263159)</f>
        <v>117.3684211</v>
      </c>
      <c r="CQ19" s="234">
        <f>IFERROR(__xludf.DUMMYFUNCTION("""COMPUTED_VALUE"""),118.15789473684211)</f>
        <v>118.1578947</v>
      </c>
      <c r="CR19" s="230">
        <f>IFERROR(__xludf.DUMMYFUNCTION("""COMPUTED_VALUE"""),130.5263157894737)</f>
        <v>130.5263158</v>
      </c>
      <c r="CS19" s="230">
        <f>IFERROR(__xludf.DUMMYFUNCTION("""COMPUTED_VALUE"""),110.78947368421052)</f>
        <v>110.7894737</v>
      </c>
      <c r="CT19" s="234">
        <f>IFERROR(__xludf.DUMMYFUNCTION("""COMPUTED_VALUE"""),112.36842105263159)</f>
        <v>112.3684211</v>
      </c>
      <c r="CU19" s="230">
        <f>IFERROR(__xludf.DUMMYFUNCTION("""COMPUTED_VALUE"""),116.57894736842105)</f>
        <v>116.5789474</v>
      </c>
      <c r="CV19" s="230"/>
      <c r="CW19" s="234">
        <f>IFERROR(__xludf.DUMMYFUNCTION("""COMPUTED_VALUE"""),10.263157894736842)</f>
        <v>10.26315789</v>
      </c>
      <c r="CX19" s="230">
        <f>IFERROR(__xludf.DUMMYFUNCTION("""COMPUTED_VALUE"""),12.368421052631579)</f>
        <v>12.36842105</v>
      </c>
      <c r="CY19" s="235">
        <f>IFERROR(__xludf.DUMMYFUNCTION("""COMPUTED_VALUE"""),9.210526315789473)</f>
        <v>9.210526316</v>
      </c>
      <c r="CZ19" s="230">
        <f>IFERROR(__xludf.DUMMYFUNCTION("""COMPUTED_VALUE"""),11.31578947368421)</f>
        <v>11.31578947</v>
      </c>
      <c r="DA19" s="230">
        <f>IFERROR(__xludf.DUMMYFUNCTION("""COMPUTED_VALUE"""),10.263157894736842)</f>
        <v>10.26315789</v>
      </c>
      <c r="DB19" s="235">
        <f>IFERROR(__xludf.DUMMYFUNCTION("""COMPUTED_VALUE"""),10.526315789473683)</f>
        <v>10.52631579</v>
      </c>
      <c r="DC19" s="234">
        <f>IFERROR(__xludf.DUMMYFUNCTION("""COMPUTED_VALUE"""),11.842105263157894)</f>
        <v>11.84210526</v>
      </c>
      <c r="DD19" s="230"/>
      <c r="DE19" s="235"/>
      <c r="DF19" s="234"/>
      <c r="DG19" s="230"/>
      <c r="DH19" s="235"/>
      <c r="DI19" s="234"/>
      <c r="DJ19" s="230"/>
      <c r="DK19" s="235"/>
      <c r="DL19" s="280"/>
      <c r="DM19" s="286"/>
      <c r="DN19" s="282"/>
      <c r="DO19" s="96"/>
      <c r="DP19" s="96"/>
      <c r="DQ19" s="96"/>
      <c r="DR19" s="96"/>
      <c r="DS19" s="96"/>
      <c r="DT19" s="96"/>
      <c r="DU19" s="96"/>
    </row>
    <row r="20">
      <c r="A20" s="101" t="str">
        <f>IFERROR(__xludf.DUMMYFUNCTION("""COMPUTED_VALUE"""),"TRAINING FIELD")</f>
        <v>TRAINING FIELD</v>
      </c>
      <c r="B20" s="83" t="str">
        <f>IFERROR(__xludf.DUMMYFUNCTION("""COMPUTED_VALUE"""),"TRF1")</f>
        <v>TRF1</v>
      </c>
      <c r="C20" s="88" t="str">
        <f>IFERROR(__xludf.DUMMYFUNCTION("""COMPUTED_VALUE"""),"MON Archer Training Ground- Nov")</f>
        <v>MON Archer Training Ground- Nov</v>
      </c>
      <c r="D20" s="102">
        <f>IFERROR(__xludf.DUMMYFUNCTION("""COMPUTED_VALUE"""),10.0)</f>
        <v>10</v>
      </c>
      <c r="E20" s="82" t="b">
        <f>IFERROR(__xludf.DUMMYFUNCTION("""COMPUTED_VALUE"""),TRUE)</f>
        <v>1</v>
      </c>
      <c r="F20" s="82" t="str">
        <f>IFERROR(__xludf.DUMMYFUNCTION("""COMPUTED_VALUE"""),"Training Field!A7:J23")</f>
        <v>Training Field!A7:J23</v>
      </c>
      <c r="G20" s="82">
        <f>IFERROR(__xludf.DUMMYFUNCTION("""COMPUTED_VALUE"""),21.0)</f>
        <v>21</v>
      </c>
      <c r="H20" s="82">
        <f>IFERROR(__xludf.DUMMYFUNCTION("""COMPUTED_VALUE"""),472.0)</f>
        <v>472</v>
      </c>
      <c r="I20" s="82">
        <f>IFERROR(__xludf.DUMMYFUNCTION("""COMPUTED_VALUE"""),1610.0)</f>
        <v>1610</v>
      </c>
      <c r="J20" s="82">
        <f>IFERROR(__xludf.DUMMYFUNCTION("""COMPUTED_VALUE"""),2082.0)</f>
        <v>2082</v>
      </c>
      <c r="K20" s="234"/>
      <c r="L20" s="230"/>
      <c r="M20" s="235"/>
      <c r="N20" s="234"/>
      <c r="O20" s="230"/>
      <c r="P20" s="235"/>
      <c r="Q20" s="234"/>
      <c r="R20" s="230"/>
      <c r="S20" s="235"/>
      <c r="T20" s="234"/>
      <c r="U20" s="230"/>
      <c r="V20" s="235"/>
      <c r="W20" s="234"/>
      <c r="X20" s="230"/>
      <c r="Y20" s="235"/>
      <c r="Z20" s="234"/>
      <c r="AA20" s="230"/>
      <c r="AB20" s="235"/>
      <c r="AC20" s="234"/>
      <c r="AD20" s="230"/>
      <c r="AE20" s="235"/>
      <c r="AF20" s="234"/>
      <c r="AG20" s="230"/>
      <c r="AH20" s="235"/>
      <c r="AI20" s="234"/>
      <c r="AJ20" s="230"/>
      <c r="AK20" s="235">
        <f>IFERROR(__xludf.DUMMYFUNCTION("""COMPUTED_VALUE"""),5.096541786743516)</f>
        <v>5.096541787</v>
      </c>
      <c r="AL20" s="231"/>
      <c r="AM20" s="230"/>
      <c r="AN20" s="235"/>
      <c r="AO20" s="234"/>
      <c r="AP20" s="230"/>
      <c r="AQ20" s="235"/>
      <c r="AR20" s="234"/>
      <c r="AS20" s="230"/>
      <c r="AT20" s="235"/>
      <c r="AU20" s="234"/>
      <c r="AV20" s="230"/>
      <c r="AW20" s="235">
        <f>IFERROR(__xludf.DUMMYFUNCTION("""COMPUTED_VALUE"""),10.75312199807877)</f>
        <v>10.753122</v>
      </c>
      <c r="AX20" s="234">
        <f>IFERROR(__xludf.DUMMYFUNCTION("""COMPUTED_VALUE"""),23.498078770413063)</f>
        <v>23.49807877</v>
      </c>
      <c r="AY20" s="230">
        <f>IFERROR(__xludf.DUMMYFUNCTION("""COMPUTED_VALUE"""),3.7257444764649374)</f>
        <v>3.725744476</v>
      </c>
      <c r="AZ20" s="235">
        <f>IFERROR(__xludf.DUMMYFUNCTION("""COMPUTED_VALUE"""),5.01104707012488)</f>
        <v>5.01104707</v>
      </c>
      <c r="BA20" s="234"/>
      <c r="BB20" s="230"/>
      <c r="BC20" s="235"/>
      <c r="BD20" s="234"/>
      <c r="BE20" s="230"/>
      <c r="BF20" s="235"/>
      <c r="BG20" s="234"/>
      <c r="BH20" s="230"/>
      <c r="BI20" s="235"/>
      <c r="BJ20" s="234"/>
      <c r="BK20" s="230"/>
      <c r="BL20" s="235"/>
      <c r="BM20" s="234"/>
      <c r="BN20" s="230"/>
      <c r="BO20" s="235"/>
      <c r="BP20" s="234"/>
      <c r="BQ20" s="230"/>
      <c r="BR20" s="235"/>
      <c r="BS20" s="234"/>
      <c r="BT20" s="230"/>
      <c r="BU20" s="235">
        <f>IFERROR(__xludf.DUMMYFUNCTION("""COMPUTED_VALUE"""),134.45965417867436)</f>
        <v>134.4596542</v>
      </c>
      <c r="BV20" s="234"/>
      <c r="BW20" s="230"/>
      <c r="BX20" s="235"/>
      <c r="BY20" s="234"/>
      <c r="BZ20" s="230"/>
      <c r="CA20" s="235"/>
      <c r="CB20" s="234">
        <f>IFERROR(__xludf.DUMMYFUNCTION("""COMPUTED_VALUE"""),1.8535062439961576)</f>
        <v>1.853506244</v>
      </c>
      <c r="CC20" s="230"/>
      <c r="CD20" s="235"/>
      <c r="CE20" s="234"/>
      <c r="CF20" s="230"/>
      <c r="CG20" s="235"/>
      <c r="CH20" s="234"/>
      <c r="CI20" s="230">
        <f>IFERROR(__xludf.DUMMYFUNCTION("""COMPUTED_VALUE"""),22.16474543707973)</f>
        <v>22.16474544</v>
      </c>
      <c r="CJ20" s="230"/>
      <c r="CK20" s="234"/>
      <c r="CL20" s="230"/>
      <c r="CM20" s="235"/>
      <c r="CN20" s="230"/>
      <c r="CO20" s="230"/>
      <c r="CP20" s="230"/>
      <c r="CQ20" s="234"/>
      <c r="CR20" s="230"/>
      <c r="CS20" s="230"/>
      <c r="CT20" s="234"/>
      <c r="CU20" s="230"/>
      <c r="CV20" s="230"/>
      <c r="CW20" s="234"/>
      <c r="CX20" s="230">
        <f>IFERROR(__xludf.DUMMYFUNCTION("""COMPUTED_VALUE"""),83.97435897435898)</f>
        <v>83.97435897</v>
      </c>
      <c r="CY20" s="235"/>
      <c r="CZ20" s="230"/>
      <c r="DA20" s="230"/>
      <c r="DB20" s="235"/>
      <c r="DC20" s="234"/>
      <c r="DD20" s="230"/>
      <c r="DE20" s="235"/>
      <c r="DF20" s="234">
        <f>IFERROR(__xludf.DUMMYFUNCTION("""COMPUTED_VALUE"""),14.432989690721648)</f>
        <v>14.43298969</v>
      </c>
      <c r="DG20" s="230"/>
      <c r="DH20" s="235"/>
      <c r="DI20" s="234"/>
      <c r="DJ20" s="230"/>
      <c r="DK20" s="235"/>
      <c r="DL20" s="292"/>
      <c r="DM20" s="293"/>
      <c r="DN20" s="294">
        <f>IFERROR(__xludf.DUMMYFUNCTION("""COMPUTED_VALUE"""),16.83848797250859)</f>
        <v>16.83848797</v>
      </c>
      <c r="DO20" s="96"/>
      <c r="DP20" s="96"/>
      <c r="DQ20" s="96"/>
      <c r="DR20" s="96"/>
      <c r="DS20" s="96"/>
      <c r="DT20" s="96"/>
      <c r="DU20" s="96"/>
    </row>
    <row r="21">
      <c r="B21" s="83" t="str">
        <f>IFERROR(__xludf.DUMMYFUNCTION("""COMPUTED_VALUE"""),"TRF2")</f>
        <v>TRF2</v>
      </c>
      <c r="C21" s="88" t="str">
        <f>IFERROR(__xludf.DUMMYFUNCTION("""COMPUTED_VALUE"""),"MON Archer Training Ground- Int")</f>
        <v>MON Archer Training Ground- Int</v>
      </c>
      <c r="D21" s="102">
        <f>IFERROR(__xludf.DUMMYFUNCTION("""COMPUTED_VALUE"""),20.0)</f>
        <v>20</v>
      </c>
      <c r="E21" s="82" t="b">
        <f>IFERROR(__xludf.DUMMYFUNCTION("""COMPUTED_VALUE"""),TRUE)</f>
        <v>1</v>
      </c>
      <c r="F21" s="82" t="str">
        <f>IFERROR(__xludf.DUMMYFUNCTION("""COMPUTED_VALUE"""),"Training Field!A27:J46")</f>
        <v>Training Field!A27:J46</v>
      </c>
      <c r="G21" s="82">
        <f>IFERROR(__xludf.DUMMYFUNCTION("""COMPUTED_VALUE"""),22.0)</f>
        <v>22</v>
      </c>
      <c r="H21" s="82">
        <f>IFERROR(__xludf.DUMMYFUNCTION("""COMPUTED_VALUE"""),106.0)</f>
        <v>106</v>
      </c>
      <c r="I21" s="82">
        <f>IFERROR(__xludf.DUMMYFUNCTION("""COMPUTED_VALUE"""),1126.0)</f>
        <v>1126</v>
      </c>
      <c r="J21" s="82">
        <f>IFERROR(__xludf.DUMMYFUNCTION("""COMPUTED_VALUE"""),1232.0)</f>
        <v>1232</v>
      </c>
      <c r="K21" s="234"/>
      <c r="L21" s="230"/>
      <c r="M21" s="235"/>
      <c r="N21" s="234"/>
      <c r="O21" s="230"/>
      <c r="P21" s="235"/>
      <c r="Q21" s="234"/>
      <c r="R21" s="230"/>
      <c r="S21" s="235"/>
      <c r="T21" s="234"/>
      <c r="U21" s="230"/>
      <c r="V21" s="235"/>
      <c r="W21" s="234"/>
      <c r="X21" s="230"/>
      <c r="Y21" s="235"/>
      <c r="Z21" s="234"/>
      <c r="AA21" s="230"/>
      <c r="AB21" s="235"/>
      <c r="AC21" s="234">
        <f>IFERROR(__xludf.DUMMYFUNCTION("""COMPUTED_VALUE"""),14.774837662337662)</f>
        <v>14.77483766</v>
      </c>
      <c r="AD21" s="230"/>
      <c r="AE21" s="235"/>
      <c r="AF21" s="234"/>
      <c r="AG21" s="230">
        <f>IFERROR(__xludf.DUMMYFUNCTION("""COMPUTED_VALUE"""),0.6397727272727273)</f>
        <v>0.6397727273</v>
      </c>
      <c r="AH21" s="235"/>
      <c r="AI21" s="234"/>
      <c r="AJ21" s="230"/>
      <c r="AK21" s="235">
        <f>IFERROR(__xludf.DUMMYFUNCTION("""COMPUTED_VALUE"""),10.479220779220778)</f>
        <v>10.47922078</v>
      </c>
      <c r="AL21" s="231"/>
      <c r="AM21" s="230"/>
      <c r="AN21" s="235"/>
      <c r="AO21" s="234"/>
      <c r="AP21" s="230"/>
      <c r="AQ21" s="235"/>
      <c r="AR21" s="234"/>
      <c r="AS21" s="230"/>
      <c r="AT21" s="235"/>
      <c r="AU21" s="234"/>
      <c r="AV21" s="230"/>
      <c r="AW21" s="235">
        <f>IFERROR(__xludf.DUMMYFUNCTION("""COMPUTED_VALUE"""),7.961038961038961)</f>
        <v>7.961038961</v>
      </c>
      <c r="AX21" s="234">
        <f>IFERROR(__xludf.DUMMYFUNCTION("""COMPUTED_VALUE"""),30.310876623376622)</f>
        <v>30.31087662</v>
      </c>
      <c r="AY21" s="230">
        <f>IFERROR(__xludf.DUMMYFUNCTION("""COMPUTED_VALUE"""),1.2693181818181818)</f>
        <v>1.269318182</v>
      </c>
      <c r="AZ21" s="235">
        <f>IFERROR(__xludf.DUMMYFUNCTION("""COMPUTED_VALUE"""),14.906493506493506)</f>
        <v>14.90649351</v>
      </c>
      <c r="BA21" s="234"/>
      <c r="BB21" s="230"/>
      <c r="BC21" s="235"/>
      <c r="BD21" s="234"/>
      <c r="BE21" s="230"/>
      <c r="BF21" s="235"/>
      <c r="BG21" s="234"/>
      <c r="BH21" s="230"/>
      <c r="BI21" s="235"/>
      <c r="BJ21" s="234"/>
      <c r="BK21" s="230"/>
      <c r="BL21" s="235"/>
      <c r="BM21" s="234"/>
      <c r="BN21" s="230">
        <f>IFERROR(__xludf.DUMMYFUNCTION("""COMPUTED_VALUE"""),37.459577922077926)</f>
        <v>37.45957792</v>
      </c>
      <c r="BO21" s="235"/>
      <c r="BP21" s="234"/>
      <c r="BQ21" s="230"/>
      <c r="BR21" s="235"/>
      <c r="BS21" s="234"/>
      <c r="BT21" s="230"/>
      <c r="BU21" s="235">
        <f>IFERROR(__xludf.DUMMYFUNCTION("""COMPUTED_VALUE"""),136.93035714285713)</f>
        <v>136.9303571</v>
      </c>
      <c r="BV21" s="234"/>
      <c r="BW21" s="230"/>
      <c r="BX21" s="235"/>
      <c r="BY21" s="234"/>
      <c r="BZ21" s="230"/>
      <c r="CA21" s="235"/>
      <c r="CB21" s="234">
        <f>IFERROR(__xludf.DUMMYFUNCTION("""COMPUTED_VALUE"""),6.3568181818181815)</f>
        <v>6.356818182</v>
      </c>
      <c r="CC21" s="230"/>
      <c r="CD21" s="235"/>
      <c r="CE21" s="234"/>
      <c r="CF21" s="230"/>
      <c r="CG21" s="235"/>
      <c r="CH21" s="234"/>
      <c r="CI21" s="230">
        <f>IFERROR(__xludf.DUMMYFUNCTION("""COMPUTED_VALUE"""),68.8659090909091)</f>
        <v>68.86590909</v>
      </c>
      <c r="CJ21" s="230"/>
      <c r="CK21" s="234"/>
      <c r="CL21" s="230"/>
      <c r="CM21" s="235"/>
      <c r="CN21" s="230"/>
      <c r="CO21" s="230"/>
      <c r="CP21" s="230"/>
      <c r="CQ21" s="234"/>
      <c r="CR21" s="230"/>
      <c r="CS21" s="230"/>
      <c r="CT21" s="234"/>
      <c r="CU21" s="230"/>
      <c r="CV21" s="230"/>
      <c r="CW21" s="234"/>
      <c r="CX21" s="230">
        <f>IFERROR(__xludf.DUMMYFUNCTION("""COMPUTED_VALUE"""),52.83018867924528)</f>
        <v>52.83018868</v>
      </c>
      <c r="CY21" s="235"/>
      <c r="CZ21" s="230"/>
      <c r="DA21" s="230"/>
      <c r="DB21" s="235"/>
      <c r="DC21" s="234"/>
      <c r="DD21" s="230"/>
      <c r="DE21" s="235"/>
      <c r="DF21" s="234">
        <f>IFERROR(__xludf.DUMMYFUNCTION("""COMPUTED_VALUE"""),10.666666666666668)</f>
        <v>10.66666667</v>
      </c>
      <c r="DG21" s="230"/>
      <c r="DH21" s="235"/>
      <c r="DI21" s="234"/>
      <c r="DJ21" s="230"/>
      <c r="DK21" s="235"/>
      <c r="DL21" s="280"/>
      <c r="DM21" s="286"/>
      <c r="DN21" s="282">
        <f>IFERROR(__xludf.DUMMYFUNCTION("""COMPUTED_VALUE"""),25.333333333333336)</f>
        <v>25.33333333</v>
      </c>
      <c r="DO21" s="96"/>
      <c r="DP21" s="96"/>
      <c r="DQ21" s="96"/>
      <c r="DR21" s="96"/>
      <c r="DS21" s="96"/>
      <c r="DT21" s="96"/>
      <c r="DU21" s="96"/>
    </row>
    <row r="22">
      <c r="B22" s="83" t="str">
        <f>IFERROR(__xludf.DUMMYFUNCTION("""COMPUTED_VALUE"""),"TRF3")</f>
        <v>TRF3</v>
      </c>
      <c r="C22" s="88" t="str">
        <f>IFERROR(__xludf.DUMMYFUNCTION("""COMPUTED_VALUE"""),"MON Archer Training Ground- Adv")</f>
        <v>MON Archer Training Ground- Adv</v>
      </c>
      <c r="D22" s="102">
        <f>IFERROR(__xludf.DUMMYFUNCTION("""COMPUTED_VALUE"""),30.0)</f>
        <v>30</v>
      </c>
      <c r="E22" s="82" t="b">
        <f>IFERROR(__xludf.DUMMYFUNCTION("""COMPUTED_VALUE"""),TRUE)</f>
        <v>1</v>
      </c>
      <c r="F22" s="82" t="str">
        <f>IFERROR(__xludf.DUMMYFUNCTION("""COMPUTED_VALUE"""),"Training Field!A50:J69")</f>
        <v>Training Field!A50:J69</v>
      </c>
      <c r="G22" s="82">
        <f>IFERROR(__xludf.DUMMYFUNCTION("""COMPUTED_VALUE"""),23.0)</f>
        <v>23</v>
      </c>
      <c r="H22" s="82">
        <f>IFERROR(__xludf.DUMMYFUNCTION("""COMPUTED_VALUE"""),194.0)</f>
        <v>194</v>
      </c>
      <c r="I22" s="82">
        <f>IFERROR(__xludf.DUMMYFUNCTION("""COMPUTED_VALUE"""),1260.0)</f>
        <v>1260</v>
      </c>
      <c r="J22" s="82">
        <f>IFERROR(__xludf.DUMMYFUNCTION("""COMPUTED_VALUE"""),1454.0)</f>
        <v>1454</v>
      </c>
      <c r="K22" s="234"/>
      <c r="L22" s="230"/>
      <c r="M22" s="235"/>
      <c r="N22" s="234"/>
      <c r="O22" s="230"/>
      <c r="P22" s="235">
        <f>IFERROR(__xludf.DUMMYFUNCTION("""COMPUTED_VALUE"""),5.9353507565337)</f>
        <v>5.935350757</v>
      </c>
      <c r="Q22" s="234"/>
      <c r="R22" s="230"/>
      <c r="S22" s="235"/>
      <c r="T22" s="234"/>
      <c r="U22" s="230"/>
      <c r="V22" s="235"/>
      <c r="W22" s="234"/>
      <c r="X22" s="230"/>
      <c r="Y22" s="235"/>
      <c r="Z22" s="234"/>
      <c r="AA22" s="230"/>
      <c r="AB22" s="235"/>
      <c r="AC22" s="234">
        <f>IFERROR(__xludf.DUMMYFUNCTION("""COMPUTED_VALUE"""),14.28748280605227)</f>
        <v>14.28748281</v>
      </c>
      <c r="AD22" s="230"/>
      <c r="AE22" s="235"/>
      <c r="AF22" s="234"/>
      <c r="AG22" s="230">
        <f>IFERROR(__xludf.DUMMYFUNCTION("""COMPUTED_VALUE"""),8.642365887207703)</f>
        <v>8.642365887</v>
      </c>
      <c r="AH22" s="235"/>
      <c r="AI22" s="234"/>
      <c r="AJ22" s="230"/>
      <c r="AK22" s="235">
        <f>IFERROR(__xludf.DUMMYFUNCTION("""COMPUTED_VALUE"""),12.987620357634112)</f>
        <v>12.98762036</v>
      </c>
      <c r="AL22" s="231"/>
      <c r="AM22" s="230"/>
      <c r="AN22" s="235"/>
      <c r="AO22" s="234"/>
      <c r="AP22" s="230"/>
      <c r="AQ22" s="235"/>
      <c r="AR22" s="234"/>
      <c r="AS22" s="230"/>
      <c r="AT22" s="235"/>
      <c r="AU22" s="234"/>
      <c r="AV22" s="230"/>
      <c r="AW22" s="235">
        <f>IFERROR(__xludf.DUMMYFUNCTION("""COMPUTED_VALUE"""),11.771664374140302)</f>
        <v>11.77166437</v>
      </c>
      <c r="AX22" s="234"/>
      <c r="AY22" s="230"/>
      <c r="AZ22" s="235">
        <f>IFERROR(__xludf.DUMMYFUNCTION("""COMPUTED_VALUE"""),19.69050894085282)</f>
        <v>19.69050894</v>
      </c>
      <c r="BA22" s="234"/>
      <c r="BB22" s="230"/>
      <c r="BC22" s="235"/>
      <c r="BD22" s="234"/>
      <c r="BE22" s="230"/>
      <c r="BF22" s="235"/>
      <c r="BG22" s="234">
        <f>IFERROR(__xludf.DUMMYFUNCTION("""COMPUTED_VALUE"""),15.818431911966988)</f>
        <v>15.81843191</v>
      </c>
      <c r="BH22" s="230"/>
      <c r="BI22" s="235"/>
      <c r="BJ22" s="234"/>
      <c r="BK22" s="230"/>
      <c r="BL22" s="235"/>
      <c r="BM22" s="234"/>
      <c r="BN22" s="230">
        <f>IFERROR(__xludf.DUMMYFUNCTION("""COMPUTED_VALUE"""),153.6162310866575)</f>
        <v>153.6162311</v>
      </c>
      <c r="BO22" s="235"/>
      <c r="BP22" s="234"/>
      <c r="BQ22" s="230"/>
      <c r="BR22" s="235"/>
      <c r="BS22" s="234"/>
      <c r="BT22" s="230"/>
      <c r="BU22" s="235">
        <f>IFERROR(__xludf.DUMMYFUNCTION("""COMPUTED_VALUE"""),19.64924346629986)</f>
        <v>19.64924347</v>
      </c>
      <c r="BV22" s="234"/>
      <c r="BW22" s="230"/>
      <c r="BX22" s="235"/>
      <c r="BY22" s="234"/>
      <c r="BZ22" s="230"/>
      <c r="CA22" s="235"/>
      <c r="CB22" s="234">
        <f>IFERROR(__xludf.DUMMYFUNCTION("""COMPUTED_VALUE"""),33.832187070151306)</f>
        <v>33.83218707</v>
      </c>
      <c r="CC22" s="230"/>
      <c r="CD22" s="235"/>
      <c r="CE22" s="234"/>
      <c r="CF22" s="230"/>
      <c r="CG22" s="235"/>
      <c r="CH22" s="234"/>
      <c r="CI22" s="230">
        <f>IFERROR(__xludf.DUMMYFUNCTION("""COMPUTED_VALUE"""),107.81843191196698)</f>
        <v>107.8184319</v>
      </c>
      <c r="CJ22" s="230"/>
      <c r="CK22" s="234"/>
      <c r="CL22" s="230"/>
      <c r="CM22" s="235"/>
      <c r="CN22" s="230"/>
      <c r="CO22" s="230"/>
      <c r="CP22" s="230"/>
      <c r="CQ22" s="234"/>
      <c r="CR22" s="230"/>
      <c r="CS22" s="230"/>
      <c r="CT22" s="234"/>
      <c r="CU22" s="230"/>
      <c r="CV22" s="230"/>
      <c r="CW22" s="234"/>
      <c r="CX22" s="230">
        <f>IFERROR(__xludf.DUMMYFUNCTION("""COMPUTED_VALUE"""),6.185567010309279)</f>
        <v>6.18556701</v>
      </c>
      <c r="CY22" s="235"/>
      <c r="CZ22" s="230"/>
      <c r="DA22" s="230"/>
      <c r="DB22" s="235"/>
      <c r="DC22" s="234"/>
      <c r="DD22" s="230"/>
      <c r="DE22" s="235"/>
      <c r="DF22" s="234">
        <f>IFERROR(__xludf.DUMMYFUNCTION("""COMPUTED_VALUE"""),29.496402877697843)</f>
        <v>29.49640288</v>
      </c>
      <c r="DG22" s="230"/>
      <c r="DH22" s="235"/>
      <c r="DI22" s="234"/>
      <c r="DJ22" s="230"/>
      <c r="DK22" s="235"/>
      <c r="DL22" s="292"/>
      <c r="DM22" s="293"/>
      <c r="DN22" s="294">
        <f>IFERROR(__xludf.DUMMYFUNCTION("""COMPUTED_VALUE"""),17.26618705035971)</f>
        <v>17.26618705</v>
      </c>
      <c r="DO22" s="96"/>
      <c r="DP22" s="96"/>
      <c r="DQ22" s="96"/>
      <c r="DR22" s="96"/>
      <c r="DS22" s="96"/>
      <c r="DT22" s="96"/>
      <c r="DU22" s="96"/>
    </row>
    <row r="23">
      <c r="B23" s="83" t="str">
        <f>IFERROR(__xludf.DUMMYFUNCTION("""COMPUTED_VALUE"""),"TRF4")</f>
        <v>TRF4</v>
      </c>
      <c r="C23" s="88" t="str">
        <f>IFERROR(__xludf.DUMMYFUNCTION("""COMPUTED_VALUE"""),"MON Archer Training Ground- Exp")</f>
        <v>MON Archer Training Ground- Exp</v>
      </c>
      <c r="D23" s="102">
        <f>IFERROR(__xludf.DUMMYFUNCTION("""COMPUTED_VALUE"""),40.0)</f>
        <v>40</v>
      </c>
      <c r="E23" s="82" t="b">
        <f>IFERROR(__xludf.DUMMYFUNCTION("""COMPUTED_VALUE"""),TRUE)</f>
        <v>1</v>
      </c>
      <c r="F23" s="82" t="str">
        <f>IFERROR(__xludf.DUMMYFUNCTION("""COMPUTED_VALUE"""),"Training Field!A73:J92")</f>
        <v>Training Field!A73:J92</v>
      </c>
      <c r="G23" s="82">
        <f>IFERROR(__xludf.DUMMYFUNCTION("""COMPUTED_VALUE"""),24.0)</f>
        <v>24</v>
      </c>
      <c r="H23" s="82">
        <f>IFERROR(__xludf.DUMMYFUNCTION("""COMPUTED_VALUE"""),809.0)</f>
        <v>809</v>
      </c>
      <c r="I23" s="82">
        <f>IFERROR(__xludf.DUMMYFUNCTION("""COMPUTED_VALUE"""),10115.0)</f>
        <v>10115</v>
      </c>
      <c r="J23" s="82">
        <f>IFERROR(__xludf.DUMMYFUNCTION("""COMPUTED_VALUE"""),10924.0)</f>
        <v>10924</v>
      </c>
      <c r="K23" s="234"/>
      <c r="L23" s="230"/>
      <c r="M23" s="235"/>
      <c r="N23" s="234"/>
      <c r="O23" s="230"/>
      <c r="P23" s="235">
        <f>IFERROR(__xludf.DUMMYFUNCTION("""COMPUTED_VALUE"""),12.601656902233614)</f>
        <v>12.6016569</v>
      </c>
      <c r="Q23" s="234"/>
      <c r="R23" s="230"/>
      <c r="S23" s="235"/>
      <c r="T23" s="234"/>
      <c r="U23" s="230"/>
      <c r="V23" s="235"/>
      <c r="W23" s="234"/>
      <c r="X23" s="230"/>
      <c r="Y23" s="235"/>
      <c r="Z23" s="234"/>
      <c r="AA23" s="230"/>
      <c r="AB23" s="235"/>
      <c r="AC23" s="234">
        <f>IFERROR(__xludf.DUMMYFUNCTION("""COMPUTED_VALUE"""),18.726977297693153)</f>
        <v>18.7269773</v>
      </c>
      <c r="AD23" s="230"/>
      <c r="AE23" s="235"/>
      <c r="AF23" s="234"/>
      <c r="AG23" s="230">
        <f>IFERROR(__xludf.DUMMYFUNCTION("""COMPUTED_VALUE"""),19.957112779201758)</f>
        <v>19.95711278</v>
      </c>
      <c r="AH23" s="235"/>
      <c r="AI23" s="234"/>
      <c r="AJ23" s="230"/>
      <c r="AK23" s="235">
        <f>IFERROR(__xludf.DUMMYFUNCTION("""COMPUTED_VALUE"""),19.12376418894178)</f>
        <v>19.12376419</v>
      </c>
      <c r="AL23" s="231"/>
      <c r="AM23" s="230"/>
      <c r="AN23" s="235"/>
      <c r="AO23" s="234"/>
      <c r="AP23" s="230"/>
      <c r="AQ23" s="235"/>
      <c r="AR23" s="234"/>
      <c r="AS23" s="230"/>
      <c r="AT23" s="235"/>
      <c r="AU23" s="234"/>
      <c r="AV23" s="230"/>
      <c r="AW23" s="235">
        <f>IFERROR(__xludf.DUMMYFUNCTION("""COMPUTED_VALUE"""),17.930245331380448)</f>
        <v>17.93024533</v>
      </c>
      <c r="AX23" s="234"/>
      <c r="AY23" s="230"/>
      <c r="AZ23" s="235">
        <f>IFERROR(__xludf.DUMMYFUNCTION("""COMPUTED_VALUE"""),24.07282131087514)</f>
        <v>24.07282131</v>
      </c>
      <c r="BA23" s="234"/>
      <c r="BB23" s="230"/>
      <c r="BC23" s="235"/>
      <c r="BD23" s="234"/>
      <c r="BE23" s="230"/>
      <c r="BF23" s="235"/>
      <c r="BG23" s="234">
        <f>IFERROR(__xludf.DUMMYFUNCTION("""COMPUTED_VALUE"""),29.51441779567924)</f>
        <v>29.5144178</v>
      </c>
      <c r="BH23" s="230"/>
      <c r="BI23" s="235"/>
      <c r="BJ23" s="234"/>
      <c r="BK23" s="230"/>
      <c r="BL23" s="235"/>
      <c r="BM23" s="234"/>
      <c r="BN23" s="230">
        <f>IFERROR(__xludf.DUMMYFUNCTION("""COMPUTED_VALUE"""),120.25402054291312)</f>
        <v>120.2540205</v>
      </c>
      <c r="BO23" s="235"/>
      <c r="BP23" s="234"/>
      <c r="BQ23" s="230"/>
      <c r="BR23" s="235"/>
      <c r="BS23" s="234"/>
      <c r="BT23" s="230"/>
      <c r="BU23" s="235">
        <f>IFERROR(__xludf.DUMMYFUNCTION("""COMPUTED_VALUE"""),18.992399358132122)</f>
        <v>18.99239936</v>
      </c>
      <c r="BV23" s="234"/>
      <c r="BW23" s="230"/>
      <c r="BX23" s="235"/>
      <c r="BY23" s="234"/>
      <c r="BZ23" s="230"/>
      <c r="CA23" s="235"/>
      <c r="CB23" s="234">
        <f>IFERROR(__xludf.DUMMYFUNCTION("""COMPUTED_VALUE"""),57.459896160781526)</f>
        <v>57.45989616</v>
      </c>
      <c r="CC23" s="230"/>
      <c r="CD23" s="235"/>
      <c r="CE23" s="234"/>
      <c r="CF23" s="230"/>
      <c r="CG23" s="235"/>
      <c r="CH23" s="234"/>
      <c r="CI23" s="230">
        <f>IFERROR(__xludf.DUMMYFUNCTION("""COMPUTED_VALUE"""),81.05725984400839)</f>
        <v>81.05725984</v>
      </c>
      <c r="CJ23" s="230"/>
      <c r="CK23" s="234"/>
      <c r="CL23" s="230"/>
      <c r="CM23" s="235"/>
      <c r="CN23" s="230"/>
      <c r="CO23" s="230"/>
      <c r="CP23" s="230"/>
      <c r="CQ23" s="234"/>
      <c r="CR23" s="230"/>
      <c r="CS23" s="230"/>
      <c r="CT23" s="234"/>
      <c r="CU23" s="230"/>
      <c r="CV23" s="230"/>
      <c r="CW23" s="234"/>
      <c r="CX23" s="230">
        <f>IFERROR(__xludf.DUMMYFUNCTION("""COMPUTED_VALUE"""),9.131736526946108)</f>
        <v>9.131736527</v>
      </c>
      <c r="CY23" s="235"/>
      <c r="CZ23" s="230"/>
      <c r="DA23" s="230"/>
      <c r="DB23" s="235"/>
      <c r="DC23" s="234"/>
      <c r="DD23" s="230"/>
      <c r="DE23" s="235"/>
      <c r="DF23" s="234">
        <f>IFERROR(__xludf.DUMMYFUNCTION("""COMPUTED_VALUE"""),14.37125748502994)</f>
        <v>14.37125749</v>
      </c>
      <c r="DG23" s="230"/>
      <c r="DH23" s="235"/>
      <c r="DI23" s="234"/>
      <c r="DJ23" s="230"/>
      <c r="DK23" s="235"/>
      <c r="DL23" s="280"/>
      <c r="DM23" s="286"/>
      <c r="DN23" s="282">
        <f>IFERROR(__xludf.DUMMYFUNCTION("""COMPUTED_VALUE"""),13.47305389221557)</f>
        <v>13.47305389</v>
      </c>
      <c r="DO23" s="96"/>
      <c r="DP23" s="96"/>
      <c r="DQ23" s="96"/>
      <c r="DR23" s="96"/>
      <c r="DS23" s="96"/>
      <c r="DT23" s="96"/>
      <c r="DU23" s="96"/>
    </row>
    <row r="24">
      <c r="B24" s="83" t="str">
        <f>IFERROR(__xludf.DUMMYFUNCTION("""COMPUTED_VALUE"""),"TRF5")</f>
        <v>TRF5</v>
      </c>
      <c r="C24" s="88" t="str">
        <f>IFERROR(__xludf.DUMMYFUNCTION("""COMPUTED_VALUE"""),"TUE Lancer Training Ground- Nov")</f>
        <v>TUE Lancer Training Ground- Nov</v>
      </c>
      <c r="D24" s="102">
        <f>IFERROR(__xludf.DUMMYFUNCTION("""COMPUTED_VALUE"""),10.0)</f>
        <v>10</v>
      </c>
      <c r="E24" s="82" t="b">
        <f>IFERROR(__xludf.DUMMYFUNCTION("""COMPUTED_VALUE"""),TRUE)</f>
        <v>1</v>
      </c>
      <c r="F24" s="82" t="str">
        <f>IFERROR(__xludf.DUMMYFUNCTION("""COMPUTED_VALUE"""),"Training Field!A96:J109")</f>
        <v>Training Field!A96:J109</v>
      </c>
      <c r="G24" s="82">
        <f>IFERROR(__xludf.DUMMYFUNCTION("""COMPUTED_VALUE"""),25.0)</f>
        <v>25</v>
      </c>
      <c r="H24" s="82">
        <f>IFERROR(__xludf.DUMMYFUNCTION("""COMPUTED_VALUE"""),541.0)</f>
        <v>541</v>
      </c>
      <c r="I24" s="82">
        <f>IFERROR(__xludf.DUMMYFUNCTION("""COMPUTED_VALUE"""),1961.0)</f>
        <v>1961</v>
      </c>
      <c r="J24" s="82">
        <f>IFERROR(__xludf.DUMMYFUNCTION("""COMPUTED_VALUE"""),2502.0)</f>
        <v>2502</v>
      </c>
      <c r="K24" s="234"/>
      <c r="L24" s="230"/>
      <c r="M24" s="235"/>
      <c r="N24" s="234"/>
      <c r="O24" s="230"/>
      <c r="P24" s="235"/>
      <c r="Q24" s="234"/>
      <c r="R24" s="230"/>
      <c r="S24" s="235"/>
      <c r="T24" s="234"/>
      <c r="U24" s="230"/>
      <c r="V24" s="235"/>
      <c r="W24" s="234"/>
      <c r="X24" s="230"/>
      <c r="Y24" s="235"/>
      <c r="Z24" s="234"/>
      <c r="AA24" s="230"/>
      <c r="AB24" s="235"/>
      <c r="AC24" s="234"/>
      <c r="AD24" s="230"/>
      <c r="AE24" s="235"/>
      <c r="AF24" s="234"/>
      <c r="AG24" s="230"/>
      <c r="AH24" s="235"/>
      <c r="AI24" s="234"/>
      <c r="AJ24" s="230">
        <f>IFERROR(__xludf.DUMMYFUNCTION("""COMPUTED_VALUE"""),4.879656274980016)</f>
        <v>4.879656275</v>
      </c>
      <c r="AK24" s="235"/>
      <c r="AL24" s="231"/>
      <c r="AM24" s="230"/>
      <c r="AN24" s="235"/>
      <c r="AO24" s="234"/>
      <c r="AP24" s="230"/>
      <c r="AQ24" s="235"/>
      <c r="AR24" s="234"/>
      <c r="AS24" s="230"/>
      <c r="AT24" s="235"/>
      <c r="AU24" s="234"/>
      <c r="AV24" s="230"/>
      <c r="AW24" s="235">
        <f>IFERROR(__xludf.DUMMYFUNCTION("""COMPUTED_VALUE"""),12.524340527577937)</f>
        <v>12.52434053</v>
      </c>
      <c r="AX24" s="234">
        <f>IFERROR(__xludf.DUMMYFUNCTION("""COMPUTED_VALUE"""),26.405475619504397)</f>
        <v>26.40547562</v>
      </c>
      <c r="AY24" s="230"/>
      <c r="AZ24" s="235">
        <f>IFERROR(__xludf.DUMMYFUNCTION("""COMPUTED_VALUE"""),5.471382893685052)</f>
        <v>5.471382894</v>
      </c>
      <c r="BA24" s="234"/>
      <c r="BB24" s="230"/>
      <c r="BC24" s="235"/>
      <c r="BD24" s="234"/>
      <c r="BE24" s="230"/>
      <c r="BF24" s="235"/>
      <c r="BG24" s="234"/>
      <c r="BH24" s="230"/>
      <c r="BI24" s="235"/>
      <c r="BJ24" s="234"/>
      <c r="BK24" s="230"/>
      <c r="BL24" s="235"/>
      <c r="BM24" s="234"/>
      <c r="BN24" s="230"/>
      <c r="BO24" s="235"/>
      <c r="BP24" s="234"/>
      <c r="BQ24" s="230"/>
      <c r="BR24" s="235"/>
      <c r="BS24" s="234"/>
      <c r="BT24" s="230"/>
      <c r="BU24" s="235"/>
      <c r="BV24" s="234">
        <f>IFERROR(__xludf.DUMMYFUNCTION("""COMPUTED_VALUE"""),117.07022382094326)</f>
        <v>117.0702238</v>
      </c>
      <c r="BW24" s="230"/>
      <c r="BX24" s="235"/>
      <c r="BY24" s="234"/>
      <c r="BZ24" s="230"/>
      <c r="CA24" s="235"/>
      <c r="CB24" s="234"/>
      <c r="CC24" s="230">
        <f>IFERROR(__xludf.DUMMYFUNCTION("""COMPUTED_VALUE"""),2.1208633093525178)</f>
        <v>2.120863309</v>
      </c>
      <c r="CD24" s="235"/>
      <c r="CE24" s="234"/>
      <c r="CF24" s="230"/>
      <c r="CG24" s="235"/>
      <c r="CH24" s="234"/>
      <c r="CI24" s="230"/>
      <c r="CJ24" s="230">
        <f>IFERROR(__xludf.DUMMYFUNCTION("""COMPUTED_VALUE"""),23.5345723421263)</f>
        <v>23.53457234</v>
      </c>
      <c r="CK24" s="234"/>
      <c r="CL24" s="230"/>
      <c r="CM24" s="235"/>
      <c r="CN24" s="230"/>
      <c r="CO24" s="230"/>
      <c r="CP24" s="230"/>
      <c r="CQ24" s="234"/>
      <c r="CR24" s="230"/>
      <c r="CS24" s="230"/>
      <c r="CT24" s="234"/>
      <c r="CU24" s="230"/>
      <c r="CV24" s="230"/>
      <c r="CW24" s="234"/>
      <c r="CX24" s="230"/>
      <c r="CY24" s="235">
        <f>IFERROR(__xludf.DUMMYFUNCTION("""COMPUTED_VALUE"""),81.88539741219964)</f>
        <v>81.88539741</v>
      </c>
      <c r="CZ24" s="230"/>
      <c r="DA24" s="230"/>
      <c r="DB24" s="235"/>
      <c r="DC24" s="234"/>
      <c r="DD24" s="230"/>
      <c r="DE24" s="235"/>
      <c r="DF24" s="234"/>
      <c r="DG24" s="230">
        <f>IFERROR(__xludf.DUMMYFUNCTION("""COMPUTED_VALUE"""),14.699331848552339)</f>
        <v>14.69933185</v>
      </c>
      <c r="DH24" s="235"/>
      <c r="DI24" s="234"/>
      <c r="DJ24" s="230"/>
      <c r="DK24" s="235"/>
      <c r="DL24" s="292"/>
      <c r="DM24" s="293"/>
      <c r="DN24" s="294"/>
      <c r="DO24" s="96">
        <f>IFERROR(__xludf.DUMMYFUNCTION("""COMPUTED_VALUE"""),20.71269487750557)</f>
        <v>20.71269488</v>
      </c>
      <c r="DP24" s="96"/>
      <c r="DQ24" s="96"/>
      <c r="DR24" s="96"/>
      <c r="DS24" s="96"/>
      <c r="DT24" s="96"/>
      <c r="DU24" s="96"/>
    </row>
    <row r="25">
      <c r="B25" s="83" t="str">
        <f>IFERROR(__xludf.DUMMYFUNCTION("""COMPUTED_VALUE"""),"TRF6")</f>
        <v>TRF6</v>
      </c>
      <c r="C25" s="88" t="str">
        <f>IFERROR(__xludf.DUMMYFUNCTION("""COMPUTED_VALUE"""),"TUE Lancer Training Ground- Int")</f>
        <v>TUE Lancer Training Ground- Int</v>
      </c>
      <c r="D25" s="102">
        <f>IFERROR(__xludf.DUMMYFUNCTION("""COMPUTED_VALUE"""),20.0)</f>
        <v>20</v>
      </c>
      <c r="E25" s="82" t="b">
        <f>IFERROR(__xludf.DUMMYFUNCTION("""COMPUTED_VALUE"""),TRUE)</f>
        <v>1</v>
      </c>
      <c r="F25" s="82" t="str">
        <f>IFERROR(__xludf.DUMMYFUNCTION("""COMPUTED_VALUE"""),"Training Field!A113:J130")</f>
        <v>Training Field!A113:J130</v>
      </c>
      <c r="G25" s="82">
        <f>IFERROR(__xludf.DUMMYFUNCTION("""COMPUTED_VALUE"""),26.0)</f>
        <v>26</v>
      </c>
      <c r="H25" s="82">
        <f>IFERROR(__xludf.DUMMYFUNCTION("""COMPUTED_VALUE"""),100.0)</f>
        <v>100</v>
      </c>
      <c r="I25" s="82">
        <f>IFERROR(__xludf.DUMMYFUNCTION("""COMPUTED_VALUE"""),1051.0)</f>
        <v>1051</v>
      </c>
      <c r="J25" s="82">
        <f>IFERROR(__xludf.DUMMYFUNCTION("""COMPUTED_VALUE"""),1151.0)</f>
        <v>1151</v>
      </c>
      <c r="K25" s="234"/>
      <c r="L25" s="230"/>
      <c r="M25" s="235"/>
      <c r="N25" s="234"/>
      <c r="O25" s="230"/>
      <c r="P25" s="235"/>
      <c r="Q25" s="234"/>
      <c r="R25" s="230"/>
      <c r="S25" s="235"/>
      <c r="T25" s="234"/>
      <c r="U25" s="230"/>
      <c r="V25" s="235"/>
      <c r="W25" s="234"/>
      <c r="X25" s="230"/>
      <c r="Y25" s="235"/>
      <c r="Z25" s="234"/>
      <c r="AA25" s="230"/>
      <c r="AB25" s="235"/>
      <c r="AC25" s="234">
        <f>IFERROR(__xludf.DUMMYFUNCTION("""COMPUTED_VALUE"""),12.351954821894006)</f>
        <v>12.35195482</v>
      </c>
      <c r="AD25" s="230"/>
      <c r="AE25" s="235"/>
      <c r="AF25" s="234"/>
      <c r="AG25" s="230"/>
      <c r="AH25" s="235"/>
      <c r="AI25" s="234"/>
      <c r="AJ25" s="230">
        <f>IFERROR(__xludf.DUMMYFUNCTION("""COMPUTED_VALUE"""),10.265073848827107)</f>
        <v>10.26507385</v>
      </c>
      <c r="AK25" s="235"/>
      <c r="AL25" s="231"/>
      <c r="AM25" s="230"/>
      <c r="AN25" s="235"/>
      <c r="AO25" s="234"/>
      <c r="AP25" s="230"/>
      <c r="AQ25" s="235"/>
      <c r="AR25" s="234"/>
      <c r="AS25" s="230"/>
      <c r="AT25" s="235"/>
      <c r="AU25" s="234"/>
      <c r="AV25" s="230"/>
      <c r="AW25" s="235">
        <f>IFERROR(__xludf.DUMMYFUNCTION("""COMPUTED_VALUE"""),7.8218071242397915)</f>
        <v>7.821807124</v>
      </c>
      <c r="AX25" s="234">
        <f>IFERROR(__xludf.DUMMYFUNCTION("""COMPUTED_VALUE"""),18.72163336229366)</f>
        <v>18.72163336</v>
      </c>
      <c r="AY25" s="230"/>
      <c r="AZ25" s="235">
        <f>IFERROR(__xludf.DUMMYFUNCTION("""COMPUTED_VALUE"""),15.09131190269331)</f>
        <v>15.0913119</v>
      </c>
      <c r="BA25" s="234"/>
      <c r="BB25" s="230"/>
      <c r="BC25" s="235"/>
      <c r="BD25" s="234"/>
      <c r="BE25" s="230"/>
      <c r="BF25" s="235"/>
      <c r="BG25" s="234"/>
      <c r="BH25" s="230"/>
      <c r="BI25" s="235"/>
      <c r="BJ25" s="234"/>
      <c r="BK25" s="230"/>
      <c r="BL25" s="235"/>
      <c r="BM25" s="234"/>
      <c r="BN25" s="230"/>
      <c r="BO25" s="235">
        <f>IFERROR(__xludf.DUMMYFUNCTION("""COMPUTED_VALUE"""),60.33423110338837)</f>
        <v>60.3342311</v>
      </c>
      <c r="BP25" s="234"/>
      <c r="BQ25" s="230"/>
      <c r="BR25" s="235"/>
      <c r="BS25" s="234"/>
      <c r="BT25" s="230"/>
      <c r="BU25" s="235"/>
      <c r="BV25" s="234">
        <f>IFERROR(__xludf.DUMMYFUNCTION("""COMPUTED_VALUE"""),115.83509991311904)</f>
        <v>115.8350999</v>
      </c>
      <c r="BW25" s="230"/>
      <c r="BX25" s="235"/>
      <c r="BY25" s="234"/>
      <c r="BZ25" s="230"/>
      <c r="CA25" s="235"/>
      <c r="CB25" s="234"/>
      <c r="CC25" s="230">
        <f>IFERROR(__xludf.DUMMYFUNCTION("""COMPUTED_VALUE"""),8.013292788879236)</f>
        <v>8.013292789</v>
      </c>
      <c r="CD25" s="235"/>
      <c r="CE25" s="234"/>
      <c r="CF25" s="230"/>
      <c r="CG25" s="235"/>
      <c r="CH25" s="234"/>
      <c r="CI25" s="230"/>
      <c r="CJ25" s="230">
        <f>IFERROR(__xludf.DUMMYFUNCTION("""COMPUTED_VALUE"""),70.73935708079931)</f>
        <v>70.73935708</v>
      </c>
      <c r="CK25" s="234"/>
      <c r="CL25" s="230"/>
      <c r="CM25" s="235"/>
      <c r="CN25" s="230"/>
      <c r="CO25" s="230"/>
      <c r="CP25" s="230"/>
      <c r="CQ25" s="234"/>
      <c r="CR25" s="230"/>
      <c r="CS25" s="230"/>
      <c r="CT25" s="234"/>
      <c r="CU25" s="230"/>
      <c r="CV25" s="230"/>
      <c r="CW25" s="234"/>
      <c r="CX25" s="230"/>
      <c r="CY25" s="235">
        <f>IFERROR(__xludf.DUMMYFUNCTION("""COMPUTED_VALUE"""),57.99999999999999)</f>
        <v>58</v>
      </c>
      <c r="CZ25" s="230"/>
      <c r="DA25" s="230"/>
      <c r="DB25" s="235"/>
      <c r="DC25" s="234"/>
      <c r="DD25" s="230"/>
      <c r="DE25" s="235"/>
      <c r="DF25" s="234"/>
      <c r="DG25" s="230">
        <f>IFERROR(__xludf.DUMMYFUNCTION("""COMPUTED_VALUE"""),22.413793103448278)</f>
        <v>22.4137931</v>
      </c>
      <c r="DH25" s="235"/>
      <c r="DI25" s="234"/>
      <c r="DJ25" s="230"/>
      <c r="DK25" s="235"/>
      <c r="DL25" s="280"/>
      <c r="DM25" s="286"/>
      <c r="DN25" s="282"/>
      <c r="DO25" s="96">
        <f>IFERROR(__xludf.DUMMYFUNCTION("""COMPUTED_VALUE"""),17.24137931034483)</f>
        <v>17.24137931</v>
      </c>
      <c r="DP25" s="96"/>
      <c r="DQ25" s="96"/>
      <c r="DR25" s="96"/>
      <c r="DS25" s="96"/>
      <c r="DT25" s="96"/>
      <c r="DU25" s="96"/>
    </row>
    <row r="26">
      <c r="B26" s="83" t="str">
        <f>IFERROR(__xludf.DUMMYFUNCTION("""COMPUTED_VALUE"""),"TRF7")</f>
        <v>TRF7</v>
      </c>
      <c r="C26" s="88" t="str">
        <f>IFERROR(__xludf.DUMMYFUNCTION("""COMPUTED_VALUE"""),"TUE Lancer Training Ground- Adv")</f>
        <v>TUE Lancer Training Ground- Adv</v>
      </c>
      <c r="D26" s="102">
        <f>IFERROR(__xludf.DUMMYFUNCTION("""COMPUTED_VALUE"""),30.0)</f>
        <v>30</v>
      </c>
      <c r="E26" s="82" t="b">
        <f>IFERROR(__xludf.DUMMYFUNCTION("""COMPUTED_VALUE"""),TRUE)</f>
        <v>1</v>
      </c>
      <c r="F26" s="82" t="str">
        <f>IFERROR(__xludf.DUMMYFUNCTION("""COMPUTED_VALUE"""),"Training Field!A134:J153")</f>
        <v>Training Field!A134:J153</v>
      </c>
      <c r="G26" s="82">
        <f>IFERROR(__xludf.DUMMYFUNCTION("""COMPUTED_VALUE"""),27.0)</f>
        <v>27</v>
      </c>
      <c r="H26" s="82">
        <f>IFERROR(__xludf.DUMMYFUNCTION("""COMPUTED_VALUE"""),159.0)</f>
        <v>159</v>
      </c>
      <c r="I26" s="82">
        <f>IFERROR(__xludf.DUMMYFUNCTION("""COMPUTED_VALUE"""),1073.0)</f>
        <v>1073</v>
      </c>
      <c r="J26" s="82">
        <f>IFERROR(__xludf.DUMMYFUNCTION("""COMPUTED_VALUE"""),1232.0)</f>
        <v>1232</v>
      </c>
      <c r="K26" s="234"/>
      <c r="L26" s="230"/>
      <c r="M26" s="235"/>
      <c r="N26" s="234"/>
      <c r="O26" s="230">
        <f>IFERROR(__xludf.DUMMYFUNCTION("""COMPUTED_VALUE"""),6.1937500000000005)</f>
        <v>6.19375</v>
      </c>
      <c r="P26" s="235"/>
      <c r="Q26" s="234"/>
      <c r="R26" s="230"/>
      <c r="S26" s="235"/>
      <c r="T26" s="234"/>
      <c r="U26" s="230"/>
      <c r="V26" s="235"/>
      <c r="W26" s="234"/>
      <c r="X26" s="230"/>
      <c r="Y26" s="235"/>
      <c r="Z26" s="234"/>
      <c r="AA26" s="230"/>
      <c r="AB26" s="235"/>
      <c r="AC26" s="234">
        <f>IFERROR(__xludf.DUMMYFUNCTION("""COMPUTED_VALUE"""),19.151217532467534)</f>
        <v>19.15121753</v>
      </c>
      <c r="AD26" s="230"/>
      <c r="AE26" s="235"/>
      <c r="AF26" s="234"/>
      <c r="AG26" s="230">
        <f>IFERROR(__xludf.DUMMYFUNCTION("""COMPUTED_VALUE"""),8.301785714285714)</f>
        <v>8.301785714</v>
      </c>
      <c r="AH26" s="235"/>
      <c r="AI26" s="234"/>
      <c r="AJ26" s="230">
        <f>IFERROR(__xludf.DUMMYFUNCTION("""COMPUTED_VALUE"""),17.625)</f>
        <v>17.625</v>
      </c>
      <c r="AK26" s="235"/>
      <c r="AL26" s="231"/>
      <c r="AM26" s="230"/>
      <c r="AN26" s="235"/>
      <c r="AO26" s="234"/>
      <c r="AP26" s="230"/>
      <c r="AQ26" s="235"/>
      <c r="AR26" s="234"/>
      <c r="AS26" s="230"/>
      <c r="AT26" s="235"/>
      <c r="AU26" s="234"/>
      <c r="AV26" s="230"/>
      <c r="AW26" s="235">
        <f>IFERROR(__xludf.DUMMYFUNCTION("""COMPUTED_VALUE"""),15.552516233766234)</f>
        <v>15.55251623</v>
      </c>
      <c r="AX26" s="234"/>
      <c r="AY26" s="230"/>
      <c r="AZ26" s="235">
        <f>IFERROR(__xludf.DUMMYFUNCTION("""COMPUTED_VALUE"""),20.556574675324672)</f>
        <v>20.55657468</v>
      </c>
      <c r="BA26" s="234"/>
      <c r="BB26" s="230"/>
      <c r="BC26" s="235"/>
      <c r="BD26" s="234"/>
      <c r="BE26" s="230"/>
      <c r="BF26" s="235"/>
      <c r="BG26" s="234"/>
      <c r="BH26" s="230">
        <f>IFERROR(__xludf.DUMMYFUNCTION("""COMPUTED_VALUE"""),16.730357142857144)</f>
        <v>16.73035714</v>
      </c>
      <c r="BI26" s="235"/>
      <c r="BJ26" s="234"/>
      <c r="BK26" s="230"/>
      <c r="BL26" s="235"/>
      <c r="BM26" s="234"/>
      <c r="BN26" s="230"/>
      <c r="BO26" s="235">
        <f>IFERROR(__xludf.DUMMYFUNCTION("""COMPUTED_VALUE"""),149.89423701298702)</f>
        <v>149.894237</v>
      </c>
      <c r="BP26" s="234"/>
      <c r="BQ26" s="230"/>
      <c r="BR26" s="235"/>
      <c r="BS26" s="234"/>
      <c r="BT26" s="230"/>
      <c r="BU26" s="235"/>
      <c r="BV26" s="234">
        <f>IFERROR(__xludf.DUMMYFUNCTION("""COMPUTED_VALUE"""),17.345941558441556)</f>
        <v>17.34594156</v>
      </c>
      <c r="BW26" s="230"/>
      <c r="BX26" s="235"/>
      <c r="BY26" s="234"/>
      <c r="BZ26" s="230"/>
      <c r="CA26" s="235"/>
      <c r="CB26" s="234"/>
      <c r="CC26" s="230">
        <f>IFERROR(__xludf.DUMMYFUNCTION("""COMPUTED_VALUE"""),33.94358766233766)</f>
        <v>33.94358766</v>
      </c>
      <c r="CD26" s="235"/>
      <c r="CE26" s="234"/>
      <c r="CF26" s="230"/>
      <c r="CG26" s="235"/>
      <c r="CH26" s="234"/>
      <c r="CI26" s="230"/>
      <c r="CJ26" s="230">
        <f>IFERROR(__xludf.DUMMYFUNCTION("""COMPUTED_VALUE"""),99.86550324675324)</f>
        <v>99.86550325</v>
      </c>
      <c r="CK26" s="234"/>
      <c r="CL26" s="230"/>
      <c r="CM26" s="235"/>
      <c r="CN26" s="230"/>
      <c r="CO26" s="230"/>
      <c r="CP26" s="230"/>
      <c r="CQ26" s="234"/>
      <c r="CR26" s="230"/>
      <c r="CS26" s="230"/>
      <c r="CT26" s="234"/>
      <c r="CU26" s="230"/>
      <c r="CV26" s="230"/>
      <c r="CW26" s="234"/>
      <c r="CX26" s="230"/>
      <c r="CY26" s="235">
        <f>IFERROR(__xludf.DUMMYFUNCTION("""COMPUTED_VALUE"""),10.69182389937107)</f>
        <v>10.6918239</v>
      </c>
      <c r="CZ26" s="230"/>
      <c r="DA26" s="230"/>
      <c r="DB26" s="235"/>
      <c r="DC26" s="234"/>
      <c r="DD26" s="230"/>
      <c r="DE26" s="235"/>
      <c r="DF26" s="234"/>
      <c r="DG26" s="230">
        <f>IFERROR(__xludf.DUMMYFUNCTION("""COMPUTED_VALUE"""),21.27659574468085)</f>
        <v>21.27659574</v>
      </c>
      <c r="DH26" s="235"/>
      <c r="DI26" s="234"/>
      <c r="DJ26" s="230"/>
      <c r="DK26" s="235"/>
      <c r="DL26" s="292"/>
      <c r="DM26" s="293"/>
      <c r="DN26" s="294"/>
      <c r="DO26" s="96">
        <f>IFERROR(__xludf.DUMMYFUNCTION("""COMPUTED_VALUE"""),15.957446808510639)</f>
        <v>15.95744681</v>
      </c>
      <c r="DP26" s="96"/>
      <c r="DQ26" s="96"/>
      <c r="DR26" s="96"/>
      <c r="DS26" s="96"/>
      <c r="DT26" s="96"/>
      <c r="DU26" s="96"/>
    </row>
    <row r="27">
      <c r="B27" s="83" t="str">
        <f>IFERROR(__xludf.DUMMYFUNCTION("""COMPUTED_VALUE"""),"TRF8")</f>
        <v>TRF8</v>
      </c>
      <c r="C27" s="88" t="str">
        <f>IFERROR(__xludf.DUMMYFUNCTION("""COMPUTED_VALUE"""),"TUE Lancer Training Ground- Exp")</f>
        <v>TUE Lancer Training Ground- Exp</v>
      </c>
      <c r="D27" s="102">
        <f>IFERROR(__xludf.DUMMYFUNCTION("""COMPUTED_VALUE"""),40.0)</f>
        <v>40</v>
      </c>
      <c r="E27" s="82" t="b">
        <f>IFERROR(__xludf.DUMMYFUNCTION("""COMPUTED_VALUE"""),TRUE)</f>
        <v>1</v>
      </c>
      <c r="F27" s="82" t="str">
        <f>IFERROR(__xludf.DUMMYFUNCTION("""COMPUTED_VALUE"""),"Training Field!A157:J176")</f>
        <v>Training Field!A157:J176</v>
      </c>
      <c r="G27" s="82">
        <f>IFERROR(__xludf.DUMMYFUNCTION("""COMPUTED_VALUE"""),28.0)</f>
        <v>28</v>
      </c>
      <c r="H27" s="82">
        <f>IFERROR(__xludf.DUMMYFUNCTION("""COMPUTED_VALUE"""),937.0)</f>
        <v>937</v>
      </c>
      <c r="I27" s="82">
        <f>IFERROR(__xludf.DUMMYFUNCTION("""COMPUTED_VALUE"""),6290.0)</f>
        <v>6290</v>
      </c>
      <c r="J27" s="82">
        <f>IFERROR(__xludf.DUMMYFUNCTION("""COMPUTED_VALUE"""),7227.0)</f>
        <v>7227</v>
      </c>
      <c r="K27" s="234"/>
      <c r="L27" s="230"/>
      <c r="M27" s="235"/>
      <c r="N27" s="234"/>
      <c r="O27" s="230">
        <f>IFERROR(__xludf.DUMMYFUNCTION("""COMPUTED_VALUE"""),12.759374567593746)</f>
        <v>12.75937457</v>
      </c>
      <c r="P27" s="235"/>
      <c r="Q27" s="234"/>
      <c r="R27" s="230"/>
      <c r="S27" s="235"/>
      <c r="T27" s="234"/>
      <c r="U27" s="230"/>
      <c r="V27" s="235"/>
      <c r="W27" s="234"/>
      <c r="X27" s="230"/>
      <c r="Y27" s="235"/>
      <c r="Z27" s="234"/>
      <c r="AA27" s="230"/>
      <c r="AB27" s="235"/>
      <c r="AC27" s="234">
        <f>IFERROR(__xludf.DUMMYFUNCTION("""COMPUTED_VALUE"""),25.591946865919468)</f>
        <v>25.59194687</v>
      </c>
      <c r="AD27" s="230"/>
      <c r="AE27" s="235"/>
      <c r="AF27" s="234"/>
      <c r="AG27" s="230">
        <f>IFERROR(__xludf.DUMMYFUNCTION("""COMPUTED_VALUE"""),11.261934412619343)</f>
        <v>11.26193441</v>
      </c>
      <c r="AH27" s="235"/>
      <c r="AI27" s="234"/>
      <c r="AJ27" s="230">
        <f>IFERROR(__xludf.DUMMYFUNCTION("""COMPUTED_VALUE"""),21.214750242147502)</f>
        <v>21.21475024</v>
      </c>
      <c r="AK27" s="235"/>
      <c r="AL27" s="231"/>
      <c r="AM27" s="230"/>
      <c r="AN27" s="235"/>
      <c r="AO27" s="234"/>
      <c r="AP27" s="230"/>
      <c r="AQ27" s="235"/>
      <c r="AR27" s="234"/>
      <c r="AS27" s="230"/>
      <c r="AT27" s="235"/>
      <c r="AU27" s="234"/>
      <c r="AV27" s="230"/>
      <c r="AW27" s="235">
        <f>IFERROR(__xludf.DUMMYFUNCTION("""COMPUTED_VALUE"""),19.140168811401686)</f>
        <v>19.14016881</v>
      </c>
      <c r="AX27" s="234"/>
      <c r="AY27" s="230"/>
      <c r="AZ27" s="235">
        <f>IFERROR(__xludf.DUMMYFUNCTION("""COMPUTED_VALUE"""),23.50712605507126)</f>
        <v>23.50712606</v>
      </c>
      <c r="BA27" s="234"/>
      <c r="BB27" s="230"/>
      <c r="BC27" s="235"/>
      <c r="BD27" s="234"/>
      <c r="BE27" s="230"/>
      <c r="BF27" s="235"/>
      <c r="BG27" s="234"/>
      <c r="BH27" s="230">
        <f>IFERROR(__xludf.DUMMYFUNCTION("""COMPUTED_VALUE"""),27.233568562335687)</f>
        <v>27.23356856</v>
      </c>
      <c r="BI27" s="235"/>
      <c r="BJ27" s="234"/>
      <c r="BK27" s="230"/>
      <c r="BL27" s="235"/>
      <c r="BM27" s="234"/>
      <c r="BN27" s="230"/>
      <c r="BO27" s="235">
        <f>IFERROR(__xludf.DUMMYFUNCTION("""COMPUTED_VALUE"""),118.98173515981735)</f>
        <v>118.9817352</v>
      </c>
      <c r="BP27" s="234"/>
      <c r="BQ27" s="230"/>
      <c r="BR27" s="235"/>
      <c r="BS27" s="234"/>
      <c r="BT27" s="230"/>
      <c r="BU27" s="235"/>
      <c r="BV27" s="234">
        <f>IFERROR(__xludf.DUMMYFUNCTION("""COMPUTED_VALUE"""),18.61975923619759)</f>
        <v>18.61975924</v>
      </c>
      <c r="BW27" s="230"/>
      <c r="BX27" s="235"/>
      <c r="BY27" s="234"/>
      <c r="BZ27" s="230"/>
      <c r="CA27" s="235"/>
      <c r="CB27" s="234"/>
      <c r="CC27" s="230">
        <f>IFERROR(__xludf.DUMMYFUNCTION("""COMPUTED_VALUE"""),54.95364604953646)</f>
        <v>54.95364605</v>
      </c>
      <c r="CD27" s="235"/>
      <c r="CE27" s="234"/>
      <c r="CF27" s="230"/>
      <c r="CG27" s="235"/>
      <c r="CH27" s="234"/>
      <c r="CI27" s="230"/>
      <c r="CJ27" s="230">
        <f>IFERROR(__xludf.DUMMYFUNCTION("""COMPUTED_VALUE"""),77.63013698630137)</f>
        <v>77.63013699</v>
      </c>
      <c r="CK27" s="234"/>
      <c r="CL27" s="230"/>
      <c r="CM27" s="235"/>
      <c r="CN27" s="230"/>
      <c r="CO27" s="230"/>
      <c r="CP27" s="230"/>
      <c r="CQ27" s="234"/>
      <c r="CR27" s="230"/>
      <c r="CS27" s="230"/>
      <c r="CT27" s="234"/>
      <c r="CU27" s="230"/>
      <c r="CV27" s="230"/>
      <c r="CW27" s="234"/>
      <c r="CX27" s="230"/>
      <c r="CY27" s="235">
        <f>IFERROR(__xludf.DUMMYFUNCTION("""COMPUTED_VALUE"""),9.253731343283581)</f>
        <v>9.253731343</v>
      </c>
      <c r="CZ27" s="230"/>
      <c r="DA27" s="230"/>
      <c r="DB27" s="235"/>
      <c r="DC27" s="234"/>
      <c r="DD27" s="230"/>
      <c r="DE27" s="235"/>
      <c r="DF27" s="234"/>
      <c r="DG27" s="230">
        <f>IFERROR(__xludf.DUMMYFUNCTION("""COMPUTED_VALUE"""),27.301980198019805)</f>
        <v>27.3019802</v>
      </c>
      <c r="DH27" s="235"/>
      <c r="DI27" s="234"/>
      <c r="DJ27" s="230"/>
      <c r="DK27" s="235"/>
      <c r="DL27" s="280"/>
      <c r="DM27" s="286"/>
      <c r="DN27" s="295"/>
      <c r="DO27" s="96">
        <f>IFERROR(__xludf.DUMMYFUNCTION("""COMPUTED_VALUE"""),13.366336633663368)</f>
        <v>13.36633663</v>
      </c>
      <c r="DP27" s="96"/>
      <c r="DQ27" s="96"/>
      <c r="DR27" s="96"/>
      <c r="DS27" s="96"/>
      <c r="DT27" s="96"/>
      <c r="DU27" s="96"/>
    </row>
    <row r="28">
      <c r="B28" s="83" t="str">
        <f>IFERROR(__xludf.DUMMYFUNCTION("""COMPUTED_VALUE"""),"TRF9")</f>
        <v>TRF9</v>
      </c>
      <c r="C28" s="88" t="str">
        <f>IFERROR(__xludf.DUMMYFUNCTION("""COMPUTED_VALUE"""),"WED Berserker Training Ground- Nov")</f>
        <v>WED Berserker Training Ground- Nov</v>
      </c>
      <c r="D28" s="102">
        <f>IFERROR(__xludf.DUMMYFUNCTION("""COMPUTED_VALUE"""),10.0)</f>
        <v>10</v>
      </c>
      <c r="E28" s="82" t="b">
        <f>IFERROR(__xludf.DUMMYFUNCTION("""COMPUTED_VALUE"""),TRUE)</f>
        <v>1</v>
      </c>
      <c r="F28" s="82" t="str">
        <f>IFERROR(__xludf.DUMMYFUNCTION("""COMPUTED_VALUE"""),"Training Field!A180:J194")</f>
        <v>Training Field!A180:J194</v>
      </c>
      <c r="G28" s="82">
        <f>IFERROR(__xludf.DUMMYFUNCTION("""COMPUTED_VALUE"""),29.0)</f>
        <v>29</v>
      </c>
      <c r="H28" s="82">
        <f>IFERROR(__xludf.DUMMYFUNCTION("""COMPUTED_VALUE"""),331.0)</f>
        <v>331</v>
      </c>
      <c r="I28" s="82">
        <f>IFERROR(__xludf.DUMMYFUNCTION("""COMPUTED_VALUE"""),1000.0)</f>
        <v>1000</v>
      </c>
      <c r="J28" s="82">
        <f>IFERROR(__xludf.DUMMYFUNCTION("""COMPUTED_VALUE"""),1331.0)</f>
        <v>1331</v>
      </c>
      <c r="K28" s="234"/>
      <c r="L28" s="230"/>
      <c r="M28" s="235"/>
      <c r="N28" s="234"/>
      <c r="O28" s="230"/>
      <c r="P28" s="235"/>
      <c r="Q28" s="234"/>
      <c r="R28" s="230"/>
      <c r="S28" s="235"/>
      <c r="T28" s="234"/>
      <c r="U28" s="230"/>
      <c r="V28" s="235"/>
      <c r="W28" s="234"/>
      <c r="X28" s="230"/>
      <c r="Y28" s="235"/>
      <c r="Z28" s="234"/>
      <c r="AA28" s="230"/>
      <c r="AB28" s="235"/>
      <c r="AC28" s="234"/>
      <c r="AD28" s="230"/>
      <c r="AE28" s="235">
        <f>IFERROR(__xludf.DUMMYFUNCTION("""COMPUTED_VALUE"""),5.184072126220887)</f>
        <v>5.184072126</v>
      </c>
      <c r="AF28" s="234"/>
      <c r="AG28" s="230"/>
      <c r="AH28" s="235"/>
      <c r="AI28" s="234"/>
      <c r="AJ28" s="230"/>
      <c r="AK28" s="235"/>
      <c r="AL28" s="231"/>
      <c r="AM28" s="230"/>
      <c r="AN28" s="235"/>
      <c r="AO28" s="234"/>
      <c r="AP28" s="230"/>
      <c r="AQ28" s="235"/>
      <c r="AR28" s="234"/>
      <c r="AS28" s="230"/>
      <c r="AT28" s="235"/>
      <c r="AU28" s="234"/>
      <c r="AV28" s="230"/>
      <c r="AW28" s="235">
        <f>IFERROR(__xludf.DUMMYFUNCTION("""COMPUTED_VALUE"""),11.570247933884298)</f>
        <v>11.57024793</v>
      </c>
      <c r="AX28" s="234"/>
      <c r="AY28" s="230"/>
      <c r="AZ28" s="235">
        <f>IFERROR(__xludf.DUMMYFUNCTION("""COMPUTED_VALUE"""),3.681442524417731)</f>
        <v>3.681442524</v>
      </c>
      <c r="BA28" s="234"/>
      <c r="BB28" s="230"/>
      <c r="BC28" s="235"/>
      <c r="BD28" s="234"/>
      <c r="BE28" s="230"/>
      <c r="BF28" s="235"/>
      <c r="BG28" s="234"/>
      <c r="BH28" s="230"/>
      <c r="BI28" s="235"/>
      <c r="BJ28" s="234"/>
      <c r="BK28" s="230"/>
      <c r="BL28" s="235"/>
      <c r="BM28" s="234"/>
      <c r="BN28" s="230"/>
      <c r="BO28" s="235"/>
      <c r="BP28" s="234"/>
      <c r="BQ28" s="230"/>
      <c r="BR28" s="235"/>
      <c r="BS28" s="234"/>
      <c r="BT28" s="230"/>
      <c r="BU28" s="235"/>
      <c r="BV28" s="234"/>
      <c r="BW28" s="230"/>
      <c r="BX28" s="235"/>
      <c r="BY28" s="234"/>
      <c r="BZ28" s="230">
        <f>IFERROR(__xludf.DUMMYFUNCTION("""COMPUTED_VALUE"""),133.88429752066116)</f>
        <v>133.8842975</v>
      </c>
      <c r="CA28" s="235"/>
      <c r="CB28" s="234"/>
      <c r="CC28" s="230"/>
      <c r="CD28" s="235"/>
      <c r="CE28" s="234"/>
      <c r="CF28" s="230"/>
      <c r="CG28" s="235">
        <f>IFERROR(__xludf.DUMMYFUNCTION("""COMPUTED_VALUE"""),1.8782870022539444)</f>
        <v>1.878287002</v>
      </c>
      <c r="CH28" s="234"/>
      <c r="CI28" s="230"/>
      <c r="CJ28" s="230"/>
      <c r="CK28" s="234"/>
      <c r="CL28" s="230"/>
      <c r="CM28" s="235"/>
      <c r="CN28" s="230">
        <f>IFERROR(__xludf.DUMMYFUNCTION("""COMPUTED_VALUE"""),18.93313298271976)</f>
        <v>18.93313298</v>
      </c>
      <c r="CO28" s="230"/>
      <c r="CP28" s="230"/>
      <c r="CQ28" s="234"/>
      <c r="CR28" s="230"/>
      <c r="CS28" s="230"/>
      <c r="CT28" s="234"/>
      <c r="CU28" s="230"/>
      <c r="CV28" s="230"/>
      <c r="CW28" s="234"/>
      <c r="CX28" s="230"/>
      <c r="CY28" s="235"/>
      <c r="CZ28" s="230"/>
      <c r="DA28" s="230"/>
      <c r="DB28" s="235"/>
      <c r="DC28" s="234">
        <f>IFERROR(__xludf.DUMMYFUNCTION("""COMPUTED_VALUE"""),84.21052631578947)</f>
        <v>84.21052632</v>
      </c>
      <c r="DD28" s="230"/>
      <c r="DE28" s="235"/>
      <c r="DF28" s="234"/>
      <c r="DG28" s="230"/>
      <c r="DH28" s="235"/>
      <c r="DI28" s="234"/>
      <c r="DJ28" s="230"/>
      <c r="DK28" s="235">
        <f>IFERROR(__xludf.DUMMYFUNCTION("""COMPUTED_VALUE"""),13.636363636363635)</f>
        <v>13.63636364</v>
      </c>
      <c r="DL28" s="292"/>
      <c r="DM28" s="293"/>
      <c r="DN28" s="294"/>
      <c r="DO28" s="96"/>
      <c r="DP28" s="96"/>
      <c r="DQ28" s="96"/>
      <c r="DR28" s="96"/>
      <c r="DS28" s="96">
        <f>IFERROR(__xludf.DUMMYFUNCTION("""COMPUTED_VALUE"""),28.57142857142857)</f>
        <v>28.57142857</v>
      </c>
      <c r="DT28" s="96"/>
      <c r="DU28" s="96"/>
    </row>
    <row r="29">
      <c r="B29" s="83" t="str">
        <f>IFERROR(__xludf.DUMMYFUNCTION("""COMPUTED_VALUE"""),"TRF10")</f>
        <v>TRF10</v>
      </c>
      <c r="C29" s="88" t="str">
        <f>IFERROR(__xludf.DUMMYFUNCTION("""COMPUTED_VALUE"""),"WED Berserker Training Ground- Int")</f>
        <v>WED Berserker Training Ground- Int</v>
      </c>
      <c r="D29" s="102">
        <f>IFERROR(__xludf.DUMMYFUNCTION("""COMPUTED_VALUE"""),20.0)</f>
        <v>20</v>
      </c>
      <c r="E29" s="82" t="b">
        <f>IFERROR(__xludf.DUMMYFUNCTION("""COMPUTED_VALUE"""),TRUE)</f>
        <v>1</v>
      </c>
      <c r="F29" s="82" t="str">
        <f>IFERROR(__xludf.DUMMYFUNCTION("""COMPUTED_VALUE"""),"Training Field!A198:J213")</f>
        <v>Training Field!A198:J213</v>
      </c>
      <c r="G29" s="82">
        <f>IFERROR(__xludf.DUMMYFUNCTION("""COMPUTED_VALUE"""),30.0)</f>
        <v>30</v>
      </c>
      <c r="H29" s="82">
        <f>IFERROR(__xludf.DUMMYFUNCTION("""COMPUTED_VALUE"""),155.0)</f>
        <v>155</v>
      </c>
      <c r="I29" s="82">
        <f>IFERROR(__xludf.DUMMYFUNCTION("""COMPUTED_VALUE"""),1018.0)</f>
        <v>1018</v>
      </c>
      <c r="J29" s="82">
        <f>IFERROR(__xludf.DUMMYFUNCTION("""COMPUTED_VALUE"""),1173.0)</f>
        <v>1173</v>
      </c>
      <c r="K29" s="234">
        <f>IFERROR(__xludf.DUMMYFUNCTION("""COMPUTED_VALUE"""),2.9491901108269394)</f>
        <v>2.949190111</v>
      </c>
      <c r="L29" s="230"/>
      <c r="M29" s="235"/>
      <c r="N29" s="234"/>
      <c r="O29" s="230"/>
      <c r="P29" s="235"/>
      <c r="Q29" s="234"/>
      <c r="R29" s="230"/>
      <c r="S29" s="235"/>
      <c r="T29" s="234"/>
      <c r="U29" s="230"/>
      <c r="V29" s="235"/>
      <c r="W29" s="234"/>
      <c r="X29" s="230"/>
      <c r="Y29" s="235"/>
      <c r="Z29" s="234"/>
      <c r="AA29" s="230"/>
      <c r="AB29" s="235"/>
      <c r="AC29" s="234"/>
      <c r="AD29" s="230"/>
      <c r="AE29" s="235">
        <f>IFERROR(__xludf.DUMMYFUNCTION("""COMPUTED_VALUE"""),11.857459505541346)</f>
        <v>11.85745951</v>
      </c>
      <c r="AF29" s="234"/>
      <c r="AG29" s="230"/>
      <c r="AH29" s="235"/>
      <c r="AI29" s="234"/>
      <c r="AJ29" s="230"/>
      <c r="AK29" s="235"/>
      <c r="AL29" s="231"/>
      <c r="AM29" s="230"/>
      <c r="AN29" s="235"/>
      <c r="AO29" s="234"/>
      <c r="AP29" s="230"/>
      <c r="AQ29" s="235"/>
      <c r="AR29" s="234"/>
      <c r="AS29" s="230"/>
      <c r="AT29" s="235"/>
      <c r="AU29" s="234"/>
      <c r="AV29" s="230"/>
      <c r="AW29" s="235">
        <f>IFERROR(__xludf.DUMMYFUNCTION("""COMPUTED_VALUE"""),6.5711849957374255)</f>
        <v>6.571184996</v>
      </c>
      <c r="AX29" s="234"/>
      <c r="AY29" s="230"/>
      <c r="AZ29" s="235">
        <f>IFERROR(__xludf.DUMMYFUNCTION("""COMPUTED_VALUE"""),18.62063086104007)</f>
        <v>18.62063086</v>
      </c>
      <c r="BA29" s="234"/>
      <c r="BB29" s="230"/>
      <c r="BC29" s="235"/>
      <c r="BD29" s="234"/>
      <c r="BE29" s="230"/>
      <c r="BF29" s="235"/>
      <c r="BG29" s="234"/>
      <c r="BH29" s="230"/>
      <c r="BI29" s="235"/>
      <c r="BJ29" s="234"/>
      <c r="BK29" s="230"/>
      <c r="BL29" s="235"/>
      <c r="BM29" s="234"/>
      <c r="BN29" s="230"/>
      <c r="BO29" s="235"/>
      <c r="BP29" s="234"/>
      <c r="BQ29" s="230"/>
      <c r="BR29" s="235"/>
      <c r="BS29" s="234">
        <f>IFERROR(__xludf.DUMMYFUNCTION("""COMPUTED_VALUE"""),63.03137254901961)</f>
        <v>63.03137255</v>
      </c>
      <c r="BT29" s="230"/>
      <c r="BU29" s="235"/>
      <c r="BV29" s="234"/>
      <c r="BW29" s="230"/>
      <c r="BX29" s="235"/>
      <c r="BY29" s="234"/>
      <c r="BZ29" s="230">
        <f>IFERROR(__xludf.DUMMYFUNCTION("""COMPUTED_VALUE"""),126.33384484228475)</f>
        <v>126.3338448</v>
      </c>
      <c r="CA29" s="235"/>
      <c r="CB29" s="234"/>
      <c r="CC29" s="230"/>
      <c r="CD29" s="235"/>
      <c r="CE29" s="234"/>
      <c r="CF29" s="230"/>
      <c r="CG29" s="235">
        <f>IFERROR(__xludf.DUMMYFUNCTION("""COMPUTED_VALUE"""),8.988917306052857)</f>
        <v>8.988917306</v>
      </c>
      <c r="CH29" s="234"/>
      <c r="CI29" s="230"/>
      <c r="CJ29" s="230"/>
      <c r="CK29" s="234"/>
      <c r="CL29" s="230"/>
      <c r="CM29" s="235"/>
      <c r="CN29" s="230">
        <f>IFERROR(__xludf.DUMMYFUNCTION("""COMPUTED_VALUE"""),67.73162830349533)</f>
        <v>67.7316283</v>
      </c>
      <c r="CO29" s="230"/>
      <c r="CP29" s="230"/>
      <c r="CQ29" s="234"/>
      <c r="CR29" s="230"/>
      <c r="CS29" s="230"/>
      <c r="CT29" s="234"/>
      <c r="CU29" s="230"/>
      <c r="CV29" s="230"/>
      <c r="CW29" s="234"/>
      <c r="CX29" s="230"/>
      <c r="CY29" s="235"/>
      <c r="CZ29" s="230"/>
      <c r="DA29" s="230"/>
      <c r="DB29" s="235"/>
      <c r="DC29" s="234">
        <f>IFERROR(__xludf.DUMMYFUNCTION("""COMPUTED_VALUE"""),54.285714285714285)</f>
        <v>54.28571429</v>
      </c>
      <c r="DD29" s="230"/>
      <c r="DE29" s="235"/>
      <c r="DF29" s="234"/>
      <c r="DG29" s="230"/>
      <c r="DH29" s="235"/>
      <c r="DI29" s="234"/>
      <c r="DJ29" s="230"/>
      <c r="DK29" s="235">
        <f>IFERROR(__xludf.DUMMYFUNCTION("""COMPUTED_VALUE"""),21.21212121212121)</f>
        <v>21.21212121</v>
      </c>
      <c r="DL29" s="280"/>
      <c r="DM29" s="286"/>
      <c r="DN29" s="282"/>
      <c r="DO29" s="96"/>
      <c r="DP29" s="96"/>
      <c r="DQ29" s="96"/>
      <c r="DR29" s="96"/>
      <c r="DS29" s="96">
        <f>IFERROR(__xludf.DUMMYFUNCTION("""COMPUTED_VALUE"""),18.181818181818183)</f>
        <v>18.18181818</v>
      </c>
      <c r="DT29" s="96"/>
      <c r="DU29" s="96"/>
    </row>
    <row r="30">
      <c r="B30" s="83" t="str">
        <f>IFERROR(__xludf.DUMMYFUNCTION("""COMPUTED_VALUE"""),"TRF11")</f>
        <v>TRF11</v>
      </c>
      <c r="C30" s="88" t="str">
        <f>IFERROR(__xludf.DUMMYFUNCTION("""COMPUTED_VALUE"""),"WED Berserker Training Ground- Adv")</f>
        <v>WED Berserker Training Ground- Adv</v>
      </c>
      <c r="D30" s="102">
        <f>IFERROR(__xludf.DUMMYFUNCTION("""COMPUTED_VALUE"""),30.0)</f>
        <v>30</v>
      </c>
      <c r="E30" s="82" t="b">
        <f>IFERROR(__xludf.DUMMYFUNCTION("""COMPUTED_VALUE"""),TRUE)</f>
        <v>1</v>
      </c>
      <c r="F30" s="82" t="str">
        <f>IFERROR(__xludf.DUMMYFUNCTION("""COMPUTED_VALUE"""),"Training Field!A217:J234")</f>
        <v>Training Field!A217:J234</v>
      </c>
      <c r="G30" s="82">
        <f>IFERROR(__xludf.DUMMYFUNCTION("""COMPUTED_VALUE"""),31.0)</f>
        <v>31</v>
      </c>
      <c r="H30" s="82">
        <f>IFERROR(__xludf.DUMMYFUNCTION("""COMPUTED_VALUE"""),103.0)</f>
        <v>103</v>
      </c>
      <c r="I30" s="82">
        <f>IFERROR(__xludf.DUMMYFUNCTION("""COMPUTED_VALUE"""),1000.0)</f>
        <v>1000</v>
      </c>
      <c r="J30" s="82">
        <f>IFERROR(__xludf.DUMMYFUNCTION("""COMPUTED_VALUE"""),1103.0)</f>
        <v>1103</v>
      </c>
      <c r="K30" s="234">
        <f>IFERROR(__xludf.DUMMYFUNCTION("""COMPUTED_VALUE"""),7.70625566636446)</f>
        <v>7.706255666</v>
      </c>
      <c r="L30" s="230"/>
      <c r="M30" s="235"/>
      <c r="N30" s="234"/>
      <c r="O30" s="230"/>
      <c r="P30" s="235"/>
      <c r="Q30" s="234"/>
      <c r="R30" s="230"/>
      <c r="S30" s="235"/>
      <c r="T30" s="234"/>
      <c r="U30" s="230"/>
      <c r="V30" s="235"/>
      <c r="W30" s="234"/>
      <c r="X30" s="230"/>
      <c r="Y30" s="235"/>
      <c r="Z30" s="234"/>
      <c r="AA30" s="230"/>
      <c r="AB30" s="235"/>
      <c r="AC30" s="234"/>
      <c r="AD30" s="230"/>
      <c r="AE30" s="235">
        <f>IFERROR(__xludf.DUMMYFUNCTION("""COMPUTED_VALUE"""),13.14596554850408)</f>
        <v>13.14596555</v>
      </c>
      <c r="AF30" s="234"/>
      <c r="AG30" s="230"/>
      <c r="AH30" s="235"/>
      <c r="AI30" s="234"/>
      <c r="AJ30" s="230"/>
      <c r="AK30" s="235"/>
      <c r="AL30" s="231"/>
      <c r="AM30" s="230"/>
      <c r="AN30" s="235"/>
      <c r="AO30" s="234"/>
      <c r="AP30" s="230"/>
      <c r="AQ30" s="235"/>
      <c r="AR30" s="234"/>
      <c r="AS30" s="230"/>
      <c r="AT30" s="235"/>
      <c r="AU30" s="234"/>
      <c r="AV30" s="230"/>
      <c r="AW30" s="235">
        <f>IFERROR(__xludf.DUMMYFUNCTION("""COMPUTED_VALUE"""),14.052583862194016)</f>
        <v>14.05258386</v>
      </c>
      <c r="AX30" s="234"/>
      <c r="AY30" s="230"/>
      <c r="AZ30" s="235">
        <f>IFERROR(__xludf.DUMMYFUNCTION("""COMPUTED_VALUE"""),20.12692656391659)</f>
        <v>20.12692656</v>
      </c>
      <c r="BA30" s="234"/>
      <c r="BB30" s="230"/>
      <c r="BC30" s="235"/>
      <c r="BD30" s="234"/>
      <c r="BE30" s="230"/>
      <c r="BF30" s="235"/>
      <c r="BG30" s="234"/>
      <c r="BH30" s="230"/>
      <c r="BI30" s="235"/>
      <c r="BJ30" s="234"/>
      <c r="BK30" s="230"/>
      <c r="BL30" s="235">
        <f>IFERROR(__xludf.DUMMYFUNCTION("""COMPUTED_VALUE"""),12.511332728921124)</f>
        <v>12.51133273</v>
      </c>
      <c r="BM30" s="234"/>
      <c r="BN30" s="230"/>
      <c r="BO30" s="235"/>
      <c r="BP30" s="234"/>
      <c r="BQ30" s="230"/>
      <c r="BR30" s="235"/>
      <c r="BS30" s="234">
        <f>IFERROR(__xludf.DUMMYFUNCTION("""COMPUTED_VALUE"""),136.17407071622847)</f>
        <v>136.1740707</v>
      </c>
      <c r="BT30" s="230"/>
      <c r="BU30" s="235"/>
      <c r="BV30" s="234"/>
      <c r="BW30" s="230"/>
      <c r="BX30" s="235"/>
      <c r="BY30" s="234"/>
      <c r="BZ30" s="230">
        <f>IFERROR(__xludf.DUMMYFUNCTION("""COMPUTED_VALUE"""),16.86310063463282)</f>
        <v>16.86310063</v>
      </c>
      <c r="CA30" s="235"/>
      <c r="CB30" s="234"/>
      <c r="CC30" s="230"/>
      <c r="CD30" s="235"/>
      <c r="CE30" s="234"/>
      <c r="CF30" s="230"/>
      <c r="CG30" s="235">
        <f>IFERROR(__xludf.DUMMYFUNCTION("""COMPUTED_VALUE"""),38.893925657298276)</f>
        <v>38.89392566</v>
      </c>
      <c r="CH30" s="234"/>
      <c r="CI30" s="230"/>
      <c r="CJ30" s="230"/>
      <c r="CK30" s="234"/>
      <c r="CL30" s="230"/>
      <c r="CM30" s="235"/>
      <c r="CN30" s="230">
        <f>IFERROR(__xludf.DUMMYFUNCTION("""COMPUTED_VALUE"""),102.9011786038078)</f>
        <v>102.9011786</v>
      </c>
      <c r="CO30" s="230"/>
      <c r="CP30" s="230"/>
      <c r="CQ30" s="234"/>
      <c r="CR30" s="230"/>
      <c r="CS30" s="230"/>
      <c r="CT30" s="234"/>
      <c r="CU30" s="230"/>
      <c r="CV30" s="230"/>
      <c r="CW30" s="234"/>
      <c r="CX30" s="230"/>
      <c r="CY30" s="235"/>
      <c r="CZ30" s="230"/>
      <c r="DA30" s="230"/>
      <c r="DB30" s="235"/>
      <c r="DC30" s="234">
        <f>IFERROR(__xludf.DUMMYFUNCTION("""COMPUTED_VALUE"""),16.666666666666664)</f>
        <v>16.66666667</v>
      </c>
      <c r="DD30" s="230"/>
      <c r="DE30" s="235"/>
      <c r="DF30" s="234"/>
      <c r="DG30" s="230"/>
      <c r="DH30" s="235"/>
      <c r="DI30" s="234"/>
      <c r="DJ30" s="230"/>
      <c r="DK30" s="235">
        <f>IFERROR(__xludf.DUMMYFUNCTION("""COMPUTED_VALUE"""),22.388059701492537)</f>
        <v>22.3880597</v>
      </c>
      <c r="DL30" s="292"/>
      <c r="DM30" s="293"/>
      <c r="DN30" s="294"/>
      <c r="DO30" s="96"/>
      <c r="DP30" s="96"/>
      <c r="DQ30" s="96"/>
      <c r="DR30" s="96"/>
      <c r="DS30" s="96">
        <f>IFERROR(__xludf.DUMMYFUNCTION("""COMPUTED_VALUE"""),19.402985074626866)</f>
        <v>19.40298507</v>
      </c>
      <c r="DT30" s="96"/>
      <c r="DU30" s="96"/>
    </row>
    <row r="31">
      <c r="B31" s="83" t="str">
        <f>IFERROR(__xludf.DUMMYFUNCTION("""COMPUTED_VALUE"""),"TRF12")</f>
        <v>TRF12</v>
      </c>
      <c r="C31" s="88" t="str">
        <f>IFERROR(__xludf.DUMMYFUNCTION("""COMPUTED_VALUE"""),"WED Berserker Training Ground- Exp")</f>
        <v>WED Berserker Training Ground- Exp</v>
      </c>
      <c r="D31" s="102">
        <f>IFERROR(__xludf.DUMMYFUNCTION("""COMPUTED_VALUE"""),40.0)</f>
        <v>40</v>
      </c>
      <c r="E31" s="82" t="b">
        <f>IFERROR(__xludf.DUMMYFUNCTION("""COMPUTED_VALUE"""),TRUE)</f>
        <v>1</v>
      </c>
      <c r="F31" s="82" t="str">
        <f>IFERROR(__xludf.DUMMYFUNCTION("""COMPUTED_VALUE"""),"Training Field!A238:J255")</f>
        <v>Training Field!A238:J255</v>
      </c>
      <c r="G31" s="82">
        <f>IFERROR(__xludf.DUMMYFUNCTION("""COMPUTED_VALUE"""),32.0)</f>
        <v>32</v>
      </c>
      <c r="H31" s="82">
        <f>IFERROR(__xludf.DUMMYFUNCTION("""COMPUTED_VALUE"""),592.0)</f>
        <v>592</v>
      </c>
      <c r="I31" s="82">
        <f>IFERROR(__xludf.DUMMYFUNCTION("""COMPUTED_VALUE"""),3145.0)</f>
        <v>3145</v>
      </c>
      <c r="J31" s="82">
        <f>IFERROR(__xludf.DUMMYFUNCTION("""COMPUTED_VALUE"""),3737.0)</f>
        <v>3737</v>
      </c>
      <c r="K31" s="234">
        <f>IFERROR(__xludf.DUMMYFUNCTION("""COMPUTED_VALUE"""),8.13192400321113)</f>
        <v>8.131924003</v>
      </c>
      <c r="L31" s="230"/>
      <c r="M31" s="235"/>
      <c r="N31" s="234"/>
      <c r="O31" s="230"/>
      <c r="P31" s="235"/>
      <c r="Q31" s="234"/>
      <c r="R31" s="230"/>
      <c r="S31" s="235"/>
      <c r="T31" s="234"/>
      <c r="U31" s="230"/>
      <c r="V31" s="235"/>
      <c r="W31" s="234"/>
      <c r="X31" s="230"/>
      <c r="Y31" s="235"/>
      <c r="Z31" s="234"/>
      <c r="AA31" s="230"/>
      <c r="AB31" s="235"/>
      <c r="AC31" s="234"/>
      <c r="AD31" s="230"/>
      <c r="AE31" s="235">
        <f>IFERROR(__xludf.DUMMYFUNCTION("""COMPUTED_VALUE"""),15.835295691731336)</f>
        <v>15.83529569</v>
      </c>
      <c r="AF31" s="234"/>
      <c r="AG31" s="230"/>
      <c r="AH31" s="235"/>
      <c r="AI31" s="234"/>
      <c r="AJ31" s="230"/>
      <c r="AK31" s="235"/>
      <c r="AL31" s="231"/>
      <c r="AM31" s="230"/>
      <c r="AN31" s="235"/>
      <c r="AO31" s="234"/>
      <c r="AP31" s="230"/>
      <c r="AQ31" s="235"/>
      <c r="AR31" s="234"/>
      <c r="AS31" s="230"/>
      <c r="AT31" s="235"/>
      <c r="AU31" s="234"/>
      <c r="AV31" s="230"/>
      <c r="AW31" s="235">
        <f>IFERROR(__xludf.DUMMYFUNCTION("""COMPUTED_VALUE"""),22.965480331816966)</f>
        <v>22.96548033</v>
      </c>
      <c r="AX31" s="234"/>
      <c r="AY31" s="230"/>
      <c r="AZ31" s="235">
        <f>IFERROR(__xludf.DUMMYFUNCTION("""COMPUTED_VALUE"""),23.400990099009903)</f>
        <v>23.4009901</v>
      </c>
      <c r="BA31" s="234"/>
      <c r="BB31" s="230"/>
      <c r="BC31" s="235"/>
      <c r="BD31" s="234"/>
      <c r="BE31" s="230"/>
      <c r="BF31" s="235"/>
      <c r="BG31" s="234"/>
      <c r="BH31" s="230"/>
      <c r="BI31" s="235"/>
      <c r="BJ31" s="234"/>
      <c r="BK31" s="230"/>
      <c r="BL31" s="235">
        <f>IFERROR(__xludf.DUMMYFUNCTION("""COMPUTED_VALUE"""),24.47952903398448)</f>
        <v>24.47952903</v>
      </c>
      <c r="BM31" s="234"/>
      <c r="BN31" s="230"/>
      <c r="BO31" s="235"/>
      <c r="BP31" s="234"/>
      <c r="BQ31" s="230"/>
      <c r="BR31" s="235"/>
      <c r="BS31" s="234">
        <f>IFERROR(__xludf.DUMMYFUNCTION("""COMPUTED_VALUE"""),112.29368477388279)</f>
        <v>112.2936848</v>
      </c>
      <c r="BT31" s="230"/>
      <c r="BU31" s="235"/>
      <c r="BV31" s="234"/>
      <c r="BW31" s="230"/>
      <c r="BX31" s="235"/>
      <c r="BY31" s="234"/>
      <c r="BZ31" s="230">
        <f>IFERROR(__xludf.DUMMYFUNCTION("""COMPUTED_VALUE"""),16.860315761305863)</f>
        <v>16.86031576</v>
      </c>
      <c r="CA31" s="235"/>
      <c r="CB31" s="234"/>
      <c r="CC31" s="230"/>
      <c r="CD31" s="235"/>
      <c r="CE31" s="234"/>
      <c r="CF31" s="230"/>
      <c r="CG31" s="235">
        <f>IFERROR(__xludf.DUMMYFUNCTION("""COMPUTED_VALUE"""),55.236419587904734)</f>
        <v>55.23641959</v>
      </c>
      <c r="CH31" s="234"/>
      <c r="CI31" s="230"/>
      <c r="CJ31" s="230"/>
      <c r="CK31" s="234"/>
      <c r="CL31" s="230"/>
      <c r="CM31" s="235"/>
      <c r="CN31" s="230">
        <f>IFERROR(__xludf.DUMMYFUNCTION("""COMPUTED_VALUE"""),85.96552303787254)</f>
        <v>85.96552304</v>
      </c>
      <c r="CO31" s="230"/>
      <c r="CP31" s="230"/>
      <c r="CQ31" s="234"/>
      <c r="CR31" s="230"/>
      <c r="CS31" s="230"/>
      <c r="CT31" s="234"/>
      <c r="CU31" s="230"/>
      <c r="CV31" s="230"/>
      <c r="CW31" s="234"/>
      <c r="CX31" s="230"/>
      <c r="CY31" s="235"/>
      <c r="CZ31" s="230"/>
      <c r="DA31" s="230"/>
      <c r="DB31" s="235"/>
      <c r="DC31" s="234">
        <f>IFERROR(__xludf.DUMMYFUNCTION("""COMPUTED_VALUE"""),10.714285714285714)</f>
        <v>10.71428571</v>
      </c>
      <c r="DD31" s="230"/>
      <c r="DE31" s="235"/>
      <c r="DF31" s="234"/>
      <c r="DG31" s="230"/>
      <c r="DH31" s="235"/>
      <c r="DI31" s="234"/>
      <c r="DJ31" s="230"/>
      <c r="DK31" s="235">
        <f>IFERROR(__xludf.DUMMYFUNCTION("""COMPUTED_VALUE"""),19.248826291079812)</f>
        <v>19.24882629</v>
      </c>
      <c r="DL31" s="280"/>
      <c r="DM31" s="286"/>
      <c r="DN31" s="282"/>
      <c r="DO31" s="96"/>
      <c r="DP31" s="96"/>
      <c r="DQ31" s="96"/>
      <c r="DR31" s="96"/>
      <c r="DS31" s="96">
        <f>IFERROR(__xludf.DUMMYFUNCTION("""COMPUTED_VALUE"""),16.431924882629108)</f>
        <v>16.43192488</v>
      </c>
      <c r="DT31" s="96"/>
      <c r="DU31" s="96"/>
    </row>
    <row r="32">
      <c r="B32" s="83" t="str">
        <f>IFERROR(__xludf.DUMMYFUNCTION("""COMPUTED_VALUE"""),"TRF13")</f>
        <v>TRF13</v>
      </c>
      <c r="C32" s="88" t="str">
        <f>IFERROR(__xludf.DUMMYFUNCTION("""COMPUTED_VALUE"""),"THU Rider Training Ground- Nov")</f>
        <v>THU Rider Training Ground- Nov</v>
      </c>
      <c r="D32" s="102">
        <f>IFERROR(__xludf.DUMMYFUNCTION("""COMPUTED_VALUE"""),10.0)</f>
        <v>10</v>
      </c>
      <c r="E32" s="82" t="b">
        <f>IFERROR(__xludf.DUMMYFUNCTION("""COMPUTED_VALUE"""),TRUE)</f>
        <v>1</v>
      </c>
      <c r="F32" s="82" t="str">
        <f>IFERROR(__xludf.DUMMYFUNCTION("""COMPUTED_VALUE"""),"Training Field!A259:J272")</f>
        <v>Training Field!A259:J272</v>
      </c>
      <c r="G32" s="82">
        <f>IFERROR(__xludf.DUMMYFUNCTION("""COMPUTED_VALUE"""),33.0)</f>
        <v>33</v>
      </c>
      <c r="H32" s="82">
        <f>IFERROR(__xludf.DUMMYFUNCTION("""COMPUTED_VALUE"""),340.0)</f>
        <v>340</v>
      </c>
      <c r="I32" s="82">
        <f>IFERROR(__xludf.DUMMYFUNCTION("""COMPUTED_VALUE"""),1000.0)</f>
        <v>1000</v>
      </c>
      <c r="J32" s="82">
        <f>IFERROR(__xludf.DUMMYFUNCTION("""COMPUTED_VALUE"""),1340.0)</f>
        <v>1340</v>
      </c>
      <c r="K32" s="234"/>
      <c r="L32" s="230"/>
      <c r="M32" s="235"/>
      <c r="N32" s="234"/>
      <c r="O32" s="230"/>
      <c r="P32" s="235"/>
      <c r="Q32" s="234"/>
      <c r="R32" s="230"/>
      <c r="S32" s="235"/>
      <c r="T32" s="234"/>
      <c r="U32" s="230"/>
      <c r="V32" s="235"/>
      <c r="W32" s="234"/>
      <c r="X32" s="230"/>
      <c r="Y32" s="235"/>
      <c r="Z32" s="234"/>
      <c r="AA32" s="230"/>
      <c r="AB32" s="235"/>
      <c r="AC32" s="234"/>
      <c r="AD32" s="230"/>
      <c r="AE32" s="235"/>
      <c r="AF32" s="234"/>
      <c r="AG32" s="230"/>
      <c r="AH32" s="235"/>
      <c r="AI32" s="234"/>
      <c r="AJ32" s="230"/>
      <c r="AK32" s="235">
        <f>IFERROR(__xludf.DUMMYFUNCTION("""COMPUTED_VALUE"""),5.298507462686567)</f>
        <v>5.298507463</v>
      </c>
      <c r="AL32" s="231"/>
      <c r="AM32" s="230"/>
      <c r="AN32" s="235"/>
      <c r="AO32" s="234"/>
      <c r="AP32" s="230"/>
      <c r="AQ32" s="235"/>
      <c r="AR32" s="234"/>
      <c r="AS32" s="230"/>
      <c r="AT32" s="235"/>
      <c r="AU32" s="234"/>
      <c r="AV32" s="230"/>
      <c r="AW32" s="235"/>
      <c r="AX32" s="234"/>
      <c r="AY32" s="230">
        <f>IFERROR(__xludf.DUMMYFUNCTION("""COMPUTED_VALUE"""),16.044776119402986)</f>
        <v>16.04477612</v>
      </c>
      <c r="AZ32" s="235">
        <f>IFERROR(__xludf.DUMMYFUNCTION("""COMPUTED_VALUE"""),4.253731343283582)</f>
        <v>4.253731343</v>
      </c>
      <c r="BA32" s="234"/>
      <c r="BB32" s="230"/>
      <c r="BC32" s="235"/>
      <c r="BD32" s="234"/>
      <c r="BE32" s="230"/>
      <c r="BF32" s="235"/>
      <c r="BG32" s="234"/>
      <c r="BH32" s="230"/>
      <c r="BI32" s="235"/>
      <c r="BJ32" s="234"/>
      <c r="BK32" s="230"/>
      <c r="BL32" s="235"/>
      <c r="BM32" s="234"/>
      <c r="BN32" s="230"/>
      <c r="BO32" s="235"/>
      <c r="BP32" s="234"/>
      <c r="BQ32" s="230"/>
      <c r="BR32" s="235"/>
      <c r="BS32" s="234"/>
      <c r="BT32" s="230"/>
      <c r="BU32" s="235"/>
      <c r="BV32" s="234"/>
      <c r="BW32" s="230">
        <f>IFERROR(__xludf.DUMMYFUNCTION("""COMPUTED_VALUE"""),117.46268656716418)</f>
        <v>117.4626866</v>
      </c>
      <c r="BX32" s="235"/>
      <c r="BY32" s="234"/>
      <c r="BZ32" s="230"/>
      <c r="CA32" s="235"/>
      <c r="CB32" s="234"/>
      <c r="CC32" s="230"/>
      <c r="CD32" s="235">
        <f>IFERROR(__xludf.DUMMYFUNCTION("""COMPUTED_VALUE"""),1.7164179104477613)</f>
        <v>1.71641791</v>
      </c>
      <c r="CE32" s="234"/>
      <c r="CF32" s="230"/>
      <c r="CG32" s="235"/>
      <c r="CH32" s="234"/>
      <c r="CI32" s="230"/>
      <c r="CJ32" s="230"/>
      <c r="CK32" s="234">
        <f>IFERROR(__xludf.DUMMYFUNCTION("""COMPUTED_VALUE"""),22.98507462686567)</f>
        <v>22.98507463</v>
      </c>
      <c r="CL32" s="230"/>
      <c r="CM32" s="235"/>
      <c r="CN32" s="230"/>
      <c r="CO32" s="230"/>
      <c r="CP32" s="230"/>
      <c r="CQ32" s="234"/>
      <c r="CR32" s="230"/>
      <c r="CS32" s="230"/>
      <c r="CT32" s="234"/>
      <c r="CU32" s="230"/>
      <c r="CV32" s="230"/>
      <c r="CW32" s="234"/>
      <c r="CX32" s="230"/>
      <c r="CY32" s="235"/>
      <c r="CZ32" s="230">
        <f>IFERROR(__xludf.DUMMYFUNCTION("""COMPUTED_VALUE"""),82.5503355704698)</f>
        <v>82.55033557</v>
      </c>
      <c r="DA32" s="230"/>
      <c r="DB32" s="235"/>
      <c r="DC32" s="234"/>
      <c r="DD32" s="230"/>
      <c r="DE32" s="235"/>
      <c r="DF32" s="234"/>
      <c r="DG32" s="230"/>
      <c r="DH32" s="235">
        <f>IFERROR(__xludf.DUMMYFUNCTION("""COMPUTED_VALUE"""),18.51851851851852)</f>
        <v>18.51851852</v>
      </c>
      <c r="DI32" s="234"/>
      <c r="DJ32" s="230"/>
      <c r="DK32" s="235"/>
      <c r="DL32" s="292"/>
      <c r="DM32" s="293"/>
      <c r="DN32" s="294"/>
      <c r="DO32" s="96"/>
      <c r="DP32" s="96">
        <f>IFERROR(__xludf.DUMMYFUNCTION("""COMPUTED_VALUE"""),6.172839506172839)</f>
        <v>6.172839506</v>
      </c>
      <c r="DQ32" s="96"/>
      <c r="DR32" s="96"/>
      <c r="DS32" s="96"/>
      <c r="DT32" s="96"/>
      <c r="DU32" s="96"/>
    </row>
    <row r="33">
      <c r="B33" s="83" t="str">
        <f>IFERROR(__xludf.DUMMYFUNCTION("""COMPUTED_VALUE"""),"TRF14")</f>
        <v>TRF14</v>
      </c>
      <c r="C33" s="88" t="str">
        <f>IFERROR(__xludf.DUMMYFUNCTION("""COMPUTED_VALUE"""),"THU Rider Training Ground- Int")</f>
        <v>THU Rider Training Ground- Int</v>
      </c>
      <c r="D33" s="102">
        <f>IFERROR(__xludf.DUMMYFUNCTION("""COMPUTED_VALUE"""),20.0)</f>
        <v>20</v>
      </c>
      <c r="E33" s="82" t="b">
        <f>IFERROR(__xludf.DUMMYFUNCTION("""COMPUTED_VALUE"""),TRUE)</f>
        <v>1</v>
      </c>
      <c r="F33" s="82" t="str">
        <f>IFERROR(__xludf.DUMMYFUNCTION("""COMPUTED_VALUE"""),"Training Field!A276:J290")</f>
        <v>Training Field!A276:J290</v>
      </c>
      <c r="G33" s="82">
        <f>IFERROR(__xludf.DUMMYFUNCTION("""COMPUTED_VALUE"""),34.0)</f>
        <v>34</v>
      </c>
      <c r="H33" s="82">
        <f>IFERROR(__xludf.DUMMYFUNCTION("""COMPUTED_VALUE"""),164.0)</f>
        <v>164</v>
      </c>
      <c r="I33" s="82">
        <f>IFERROR(__xludf.DUMMYFUNCTION("""COMPUTED_VALUE"""),1106.0)</f>
        <v>1106</v>
      </c>
      <c r="J33" s="82">
        <f>IFERROR(__xludf.DUMMYFUNCTION("""COMPUTED_VALUE"""),1270.0)</f>
        <v>1270</v>
      </c>
      <c r="K33" s="234"/>
      <c r="L33" s="230"/>
      <c r="M33" s="235"/>
      <c r="N33" s="234"/>
      <c r="O33" s="230"/>
      <c r="P33" s="235"/>
      <c r="Q33" s="234"/>
      <c r="R33" s="230"/>
      <c r="S33" s="235"/>
      <c r="T33" s="234"/>
      <c r="U33" s="230"/>
      <c r="V33" s="235"/>
      <c r="W33" s="234"/>
      <c r="X33" s="230"/>
      <c r="Y33" s="235"/>
      <c r="Z33" s="234"/>
      <c r="AA33" s="230"/>
      <c r="AB33" s="235"/>
      <c r="AC33" s="234"/>
      <c r="AD33" s="230"/>
      <c r="AE33" s="235"/>
      <c r="AF33" s="234"/>
      <c r="AG33" s="230"/>
      <c r="AH33" s="235"/>
      <c r="AI33" s="234"/>
      <c r="AJ33" s="230"/>
      <c r="AK33" s="235">
        <f>IFERROR(__xludf.DUMMYFUNCTION("""COMPUTED_VALUE"""),10.88472440944882)</f>
        <v>10.88472441</v>
      </c>
      <c r="AL33" s="231"/>
      <c r="AM33" s="230"/>
      <c r="AN33" s="235"/>
      <c r="AO33" s="234"/>
      <c r="AP33" s="230"/>
      <c r="AQ33" s="235"/>
      <c r="AR33" s="234"/>
      <c r="AS33" s="230"/>
      <c r="AT33" s="235"/>
      <c r="AU33" s="234"/>
      <c r="AV33" s="230"/>
      <c r="AW33" s="235"/>
      <c r="AX33" s="234"/>
      <c r="AY33" s="230">
        <f>IFERROR(__xludf.DUMMYFUNCTION("""COMPUTED_VALUE"""),26.309921259842525)</f>
        <v>26.30992126</v>
      </c>
      <c r="AZ33" s="235">
        <f>IFERROR(__xludf.DUMMYFUNCTION("""COMPUTED_VALUE"""),15.056535433070865)</f>
        <v>15.05653543</v>
      </c>
      <c r="BA33" s="234"/>
      <c r="BB33" s="230"/>
      <c r="BC33" s="235"/>
      <c r="BD33" s="234"/>
      <c r="BE33" s="230"/>
      <c r="BF33" s="235"/>
      <c r="BG33" s="234"/>
      <c r="BH33" s="230"/>
      <c r="BI33" s="235"/>
      <c r="BJ33" s="234"/>
      <c r="BK33" s="230"/>
      <c r="BL33" s="235"/>
      <c r="BM33" s="234"/>
      <c r="BN33" s="230"/>
      <c r="BO33" s="235"/>
      <c r="BP33" s="234">
        <f>IFERROR(__xludf.DUMMYFUNCTION("""COMPUTED_VALUE"""),92.85527559055117)</f>
        <v>92.85527559</v>
      </c>
      <c r="BQ33" s="230"/>
      <c r="BR33" s="235"/>
      <c r="BS33" s="234"/>
      <c r="BT33" s="230"/>
      <c r="BU33" s="235"/>
      <c r="BV33" s="234"/>
      <c r="BW33" s="230">
        <f>IFERROR(__xludf.DUMMYFUNCTION("""COMPUTED_VALUE"""),91.00976377952756)</f>
        <v>91.00976378</v>
      </c>
      <c r="BX33" s="235"/>
      <c r="BY33" s="234"/>
      <c r="BZ33" s="230"/>
      <c r="CA33" s="235"/>
      <c r="CB33" s="234"/>
      <c r="CC33" s="230"/>
      <c r="CD33" s="235">
        <f>IFERROR(__xludf.DUMMYFUNCTION("""COMPUTED_VALUE"""),7.128031496062991)</f>
        <v>7.128031496</v>
      </c>
      <c r="CE33" s="234"/>
      <c r="CF33" s="230"/>
      <c r="CG33" s="235"/>
      <c r="CH33" s="234"/>
      <c r="CI33" s="230"/>
      <c r="CJ33" s="230"/>
      <c r="CK33" s="234">
        <f>IFERROR(__xludf.DUMMYFUNCTION("""COMPUTED_VALUE"""),70.3103937007874)</f>
        <v>70.3103937</v>
      </c>
      <c r="CL33" s="230"/>
      <c r="CM33" s="235"/>
      <c r="CN33" s="230"/>
      <c r="CO33" s="230"/>
      <c r="CP33" s="230"/>
      <c r="CQ33" s="234"/>
      <c r="CR33" s="230"/>
      <c r="CS33" s="230"/>
      <c r="CT33" s="234"/>
      <c r="CU33" s="230"/>
      <c r="CV33" s="230"/>
      <c r="CW33" s="234"/>
      <c r="CX33" s="230"/>
      <c r="CY33" s="235"/>
      <c r="CZ33" s="230">
        <f>IFERROR(__xludf.DUMMYFUNCTION("""COMPUTED_VALUE"""),57.05521472392638)</f>
        <v>57.05521472</v>
      </c>
      <c r="DA33" s="230"/>
      <c r="DB33" s="235"/>
      <c r="DC33" s="234"/>
      <c r="DD33" s="230"/>
      <c r="DE33" s="235"/>
      <c r="DF33" s="234"/>
      <c r="DG33" s="230"/>
      <c r="DH33" s="235">
        <f>IFERROR(__xludf.DUMMYFUNCTION("""COMPUTED_VALUE"""),20.481927710843372)</f>
        <v>20.48192771</v>
      </c>
      <c r="DI33" s="234"/>
      <c r="DJ33" s="230"/>
      <c r="DK33" s="235"/>
      <c r="DL33" s="280"/>
      <c r="DM33" s="286"/>
      <c r="DN33" s="282"/>
      <c r="DO33" s="96"/>
      <c r="DP33" s="96">
        <f>IFERROR(__xludf.DUMMYFUNCTION("""COMPUTED_VALUE"""),15.66265060240964)</f>
        <v>15.6626506</v>
      </c>
      <c r="DQ33" s="96"/>
      <c r="DR33" s="96"/>
      <c r="DS33" s="96"/>
      <c r="DT33" s="96"/>
      <c r="DU33" s="96"/>
    </row>
    <row r="34">
      <c r="B34" s="83" t="str">
        <f>IFERROR(__xludf.DUMMYFUNCTION("""COMPUTED_VALUE"""),"TRF15")</f>
        <v>TRF15</v>
      </c>
      <c r="C34" s="88" t="str">
        <f>IFERROR(__xludf.DUMMYFUNCTION("""COMPUTED_VALUE"""),"THU Rider Training Ground- Adv")</f>
        <v>THU Rider Training Ground- Adv</v>
      </c>
      <c r="D34" s="102">
        <f>IFERROR(__xludf.DUMMYFUNCTION("""COMPUTED_VALUE"""),30.0)</f>
        <v>30</v>
      </c>
      <c r="E34" s="82" t="b">
        <f>IFERROR(__xludf.DUMMYFUNCTION("""COMPUTED_VALUE"""),TRUE)</f>
        <v>1</v>
      </c>
      <c r="F34" s="82" t="str">
        <f>IFERROR(__xludf.DUMMYFUNCTION("""COMPUTED_VALUE"""),"Training Field!A294:J310")</f>
        <v>Training Field!A294:J310</v>
      </c>
      <c r="G34" s="82">
        <f>IFERROR(__xludf.DUMMYFUNCTION("""COMPUTED_VALUE"""),35.0)</f>
        <v>35</v>
      </c>
      <c r="H34" s="82">
        <f>IFERROR(__xludf.DUMMYFUNCTION("""COMPUTED_VALUE"""),97.0)</f>
        <v>97</v>
      </c>
      <c r="I34" s="82">
        <f>IFERROR(__xludf.DUMMYFUNCTION("""COMPUTED_VALUE"""),2151.0)</f>
        <v>2151</v>
      </c>
      <c r="J34" s="82">
        <f>IFERROR(__xludf.DUMMYFUNCTION("""COMPUTED_VALUE"""),2248.0)</f>
        <v>2248</v>
      </c>
      <c r="K34" s="234"/>
      <c r="L34" s="230"/>
      <c r="M34" s="235">
        <f>IFERROR(__xludf.DUMMYFUNCTION("""COMPUTED_VALUE"""),2.9528024911032027)</f>
        <v>2.952802491</v>
      </c>
      <c r="N34" s="234"/>
      <c r="O34" s="230"/>
      <c r="P34" s="235"/>
      <c r="Q34" s="234"/>
      <c r="R34" s="230"/>
      <c r="S34" s="235"/>
      <c r="T34" s="234"/>
      <c r="U34" s="230"/>
      <c r="V34" s="235"/>
      <c r="W34" s="234"/>
      <c r="X34" s="230"/>
      <c r="Y34" s="235"/>
      <c r="Z34" s="234"/>
      <c r="AA34" s="230"/>
      <c r="AB34" s="235"/>
      <c r="AC34" s="234"/>
      <c r="AD34" s="230"/>
      <c r="AE34" s="235"/>
      <c r="AF34" s="234"/>
      <c r="AG34" s="230"/>
      <c r="AH34" s="235"/>
      <c r="AI34" s="234"/>
      <c r="AJ34" s="230"/>
      <c r="AK34" s="235">
        <f>IFERROR(__xludf.DUMMYFUNCTION("""COMPUTED_VALUE"""),14.670862989323842)</f>
        <v>14.67086299</v>
      </c>
      <c r="AL34" s="231"/>
      <c r="AM34" s="230"/>
      <c r="AN34" s="235"/>
      <c r="AO34" s="234"/>
      <c r="AP34" s="230"/>
      <c r="AQ34" s="235"/>
      <c r="AR34" s="234"/>
      <c r="AS34" s="230"/>
      <c r="AT34" s="235"/>
      <c r="AU34" s="234"/>
      <c r="AV34" s="230"/>
      <c r="AW34" s="235"/>
      <c r="AX34" s="234"/>
      <c r="AY34" s="230">
        <f>IFERROR(__xludf.DUMMYFUNCTION("""COMPUTED_VALUE"""),45.462944839857656)</f>
        <v>45.46294484</v>
      </c>
      <c r="AZ34" s="235">
        <f>IFERROR(__xludf.DUMMYFUNCTION("""COMPUTED_VALUE"""),12.877179715302491)</f>
        <v>12.87717972</v>
      </c>
      <c r="BA34" s="234"/>
      <c r="BB34" s="230"/>
      <c r="BC34" s="235"/>
      <c r="BD34" s="234"/>
      <c r="BE34" s="230"/>
      <c r="BF34" s="235"/>
      <c r="BG34" s="234"/>
      <c r="BH34" s="230"/>
      <c r="BI34" s="235">
        <f>IFERROR(__xludf.DUMMYFUNCTION("""COMPUTED_VALUE"""),23.54270462633452)</f>
        <v>23.54270463</v>
      </c>
      <c r="BJ34" s="234"/>
      <c r="BK34" s="230"/>
      <c r="BL34" s="235"/>
      <c r="BM34" s="234"/>
      <c r="BN34" s="230"/>
      <c r="BO34" s="235"/>
      <c r="BP34" s="234">
        <f>IFERROR(__xludf.DUMMYFUNCTION("""COMPUTED_VALUE"""),121.09684163701068)</f>
        <v>121.0968416</v>
      </c>
      <c r="BQ34" s="230"/>
      <c r="BR34" s="235"/>
      <c r="BS34" s="234"/>
      <c r="BT34" s="230"/>
      <c r="BU34" s="235"/>
      <c r="BV34" s="234"/>
      <c r="BW34" s="230">
        <f>IFERROR(__xludf.DUMMYFUNCTION("""COMPUTED_VALUE"""),23.642571174377224)</f>
        <v>23.64257117</v>
      </c>
      <c r="BX34" s="235"/>
      <c r="BY34" s="234"/>
      <c r="BZ34" s="230"/>
      <c r="CA34" s="235"/>
      <c r="CB34" s="234"/>
      <c r="CC34" s="230"/>
      <c r="CD34" s="235">
        <f>IFERROR(__xludf.DUMMYFUNCTION("""COMPUTED_VALUE"""),39.701690391459074)</f>
        <v>39.70169039</v>
      </c>
      <c r="CE34" s="234"/>
      <c r="CF34" s="230"/>
      <c r="CG34" s="235"/>
      <c r="CH34" s="234"/>
      <c r="CI34" s="230"/>
      <c r="CJ34" s="230"/>
      <c r="CK34" s="234">
        <f>IFERROR(__xludf.DUMMYFUNCTION("""COMPUTED_VALUE"""),103.24657473309608)</f>
        <v>103.2465747</v>
      </c>
      <c r="CL34" s="230"/>
      <c r="CM34" s="235"/>
      <c r="CN34" s="230"/>
      <c r="CO34" s="230"/>
      <c r="CP34" s="230"/>
      <c r="CQ34" s="234"/>
      <c r="CR34" s="230"/>
      <c r="CS34" s="230"/>
      <c r="CT34" s="234"/>
      <c r="CU34" s="230"/>
      <c r="CV34" s="230"/>
      <c r="CW34" s="234"/>
      <c r="CX34" s="230"/>
      <c r="CY34" s="235"/>
      <c r="CZ34" s="230">
        <f>IFERROR(__xludf.DUMMYFUNCTION("""COMPUTED_VALUE"""),9.375)</f>
        <v>9.375</v>
      </c>
      <c r="DA34" s="230"/>
      <c r="DB34" s="235"/>
      <c r="DC34" s="234"/>
      <c r="DD34" s="230"/>
      <c r="DE34" s="235"/>
      <c r="DF34" s="234"/>
      <c r="DG34" s="230"/>
      <c r="DH34" s="235">
        <f>IFERROR(__xludf.DUMMYFUNCTION("""COMPUTED_VALUE"""),11.666666666666666)</f>
        <v>11.66666667</v>
      </c>
      <c r="DI34" s="234"/>
      <c r="DJ34" s="230"/>
      <c r="DK34" s="235"/>
      <c r="DL34" s="292"/>
      <c r="DM34" s="293"/>
      <c r="DN34" s="294"/>
      <c r="DO34" s="96"/>
      <c r="DP34" s="96">
        <f>IFERROR(__xludf.DUMMYFUNCTION("""COMPUTED_VALUE"""),13.333333333333334)</f>
        <v>13.33333333</v>
      </c>
      <c r="DQ34" s="96"/>
      <c r="DR34" s="96"/>
      <c r="DS34" s="96"/>
      <c r="DT34" s="96"/>
      <c r="DU34" s="96"/>
    </row>
    <row r="35">
      <c r="B35" s="83" t="str">
        <f>IFERROR(__xludf.DUMMYFUNCTION("""COMPUTED_VALUE"""),"TRF16")</f>
        <v>TRF16</v>
      </c>
      <c r="C35" s="88" t="str">
        <f>IFERROR(__xludf.DUMMYFUNCTION("""COMPUTED_VALUE"""),"THU Rider Training Ground- Exp")</f>
        <v>THU Rider Training Ground- Exp</v>
      </c>
      <c r="D35" s="102">
        <f>IFERROR(__xludf.DUMMYFUNCTION("""COMPUTED_VALUE"""),40.0)</f>
        <v>40</v>
      </c>
      <c r="E35" s="82" t="b">
        <f>IFERROR(__xludf.DUMMYFUNCTION("""COMPUTED_VALUE"""),TRUE)</f>
        <v>1</v>
      </c>
      <c r="F35" s="82" t="str">
        <f>IFERROR(__xludf.DUMMYFUNCTION("""COMPUTED_VALUE"""),"Training Field!A314:J330")</f>
        <v>Training Field!A314:J330</v>
      </c>
      <c r="G35" s="82">
        <f>IFERROR(__xludf.DUMMYFUNCTION("""COMPUTED_VALUE"""),36.0)</f>
        <v>36</v>
      </c>
      <c r="H35" s="82">
        <f>IFERROR(__xludf.DUMMYFUNCTION("""COMPUTED_VALUE"""),673.0)</f>
        <v>673</v>
      </c>
      <c r="I35" s="82">
        <f>IFERROR(__xludf.DUMMYFUNCTION("""COMPUTED_VALUE"""),4052.0)</f>
        <v>4052</v>
      </c>
      <c r="J35" s="82">
        <f>IFERROR(__xludf.DUMMYFUNCTION("""COMPUTED_VALUE"""),4725.0)</f>
        <v>4725</v>
      </c>
      <c r="K35" s="234"/>
      <c r="L35" s="230"/>
      <c r="M35" s="235">
        <f>IFERROR(__xludf.DUMMYFUNCTION("""COMPUTED_VALUE"""),7.340698412698413)</f>
        <v>7.340698413</v>
      </c>
      <c r="N35" s="234"/>
      <c r="O35" s="230"/>
      <c r="P35" s="235"/>
      <c r="Q35" s="234"/>
      <c r="R35" s="230"/>
      <c r="S35" s="235"/>
      <c r="T35" s="234"/>
      <c r="U35" s="230"/>
      <c r="V35" s="235"/>
      <c r="W35" s="234"/>
      <c r="X35" s="230"/>
      <c r="Y35" s="235"/>
      <c r="Z35" s="234"/>
      <c r="AA35" s="230"/>
      <c r="AB35" s="235"/>
      <c r="AC35" s="234"/>
      <c r="AD35" s="230"/>
      <c r="AE35" s="235"/>
      <c r="AF35" s="234"/>
      <c r="AG35" s="230"/>
      <c r="AH35" s="235"/>
      <c r="AI35" s="234"/>
      <c r="AJ35" s="230"/>
      <c r="AK35" s="235">
        <f>IFERROR(__xludf.DUMMYFUNCTION("""COMPUTED_VALUE"""),19.324613756613754)</f>
        <v>19.32461376</v>
      </c>
      <c r="AL35" s="231"/>
      <c r="AM35" s="230"/>
      <c r="AN35" s="235"/>
      <c r="AO35" s="234"/>
      <c r="AP35" s="230"/>
      <c r="AQ35" s="235"/>
      <c r="AR35" s="234"/>
      <c r="AS35" s="230"/>
      <c r="AT35" s="235"/>
      <c r="AU35" s="234"/>
      <c r="AV35" s="230"/>
      <c r="AW35" s="235"/>
      <c r="AX35" s="234"/>
      <c r="AY35" s="230">
        <f>IFERROR(__xludf.DUMMYFUNCTION("""COMPUTED_VALUE"""),46.60918518518519)</f>
        <v>46.60918519</v>
      </c>
      <c r="AZ35" s="235">
        <f>IFERROR(__xludf.DUMMYFUNCTION("""COMPUTED_VALUE"""),16.47898412698413)</f>
        <v>16.47898413</v>
      </c>
      <c r="BA35" s="234"/>
      <c r="BB35" s="230"/>
      <c r="BC35" s="235"/>
      <c r="BD35" s="234"/>
      <c r="BE35" s="230"/>
      <c r="BF35" s="235"/>
      <c r="BG35" s="234"/>
      <c r="BH35" s="230"/>
      <c r="BI35" s="235">
        <f>IFERROR(__xludf.DUMMYFUNCTION("""COMPUTED_VALUE"""),39.05904761904762)</f>
        <v>39.05904762</v>
      </c>
      <c r="BJ35" s="234"/>
      <c r="BK35" s="230"/>
      <c r="BL35" s="235"/>
      <c r="BM35" s="234"/>
      <c r="BN35" s="230"/>
      <c r="BO35" s="235"/>
      <c r="BP35" s="234">
        <f>IFERROR(__xludf.DUMMYFUNCTION("""COMPUTED_VALUE"""),95.86031746031746)</f>
        <v>95.86031746</v>
      </c>
      <c r="BQ35" s="230"/>
      <c r="BR35" s="235"/>
      <c r="BS35" s="234"/>
      <c r="BT35" s="230"/>
      <c r="BU35" s="235"/>
      <c r="BV35" s="234"/>
      <c r="BW35" s="230">
        <f>IFERROR(__xludf.DUMMYFUNCTION("""COMPUTED_VALUE"""),21.936338624338628)</f>
        <v>21.93633862</v>
      </c>
      <c r="BX35" s="235"/>
      <c r="BY35" s="234"/>
      <c r="BZ35" s="230"/>
      <c r="CA35" s="235"/>
      <c r="CB35" s="234"/>
      <c r="CC35" s="230"/>
      <c r="CD35" s="235">
        <f>IFERROR(__xludf.DUMMYFUNCTION("""COMPUTED_VALUE"""),57.7844656084656)</f>
        <v>57.78446561</v>
      </c>
      <c r="CE35" s="234"/>
      <c r="CF35" s="230"/>
      <c r="CG35" s="235"/>
      <c r="CH35" s="234"/>
      <c r="CI35" s="230"/>
      <c r="CJ35" s="230"/>
      <c r="CK35" s="234">
        <f>IFERROR(__xludf.DUMMYFUNCTION("""COMPUTED_VALUE"""),78.14391534391534)</f>
        <v>78.14391534</v>
      </c>
      <c r="CL35" s="230"/>
      <c r="CM35" s="235"/>
      <c r="CN35" s="230"/>
      <c r="CO35" s="230"/>
      <c r="CP35" s="230"/>
      <c r="CQ35" s="234"/>
      <c r="CR35" s="230"/>
      <c r="CS35" s="230"/>
      <c r="CT35" s="234"/>
      <c r="CU35" s="230"/>
      <c r="CV35" s="230"/>
      <c r="CW35" s="234"/>
      <c r="CX35" s="230"/>
      <c r="CY35" s="235"/>
      <c r="CZ35" s="230">
        <f>IFERROR(__xludf.DUMMYFUNCTION("""COMPUTED_VALUE"""),14.12639405204461)</f>
        <v>14.12639405</v>
      </c>
      <c r="DA35" s="230"/>
      <c r="DB35" s="235"/>
      <c r="DC35" s="234"/>
      <c r="DD35" s="230"/>
      <c r="DE35" s="235"/>
      <c r="DF35" s="234"/>
      <c r="DG35" s="230"/>
      <c r="DH35" s="235">
        <f>IFERROR(__xludf.DUMMYFUNCTION("""COMPUTED_VALUE"""),4.716981132075472)</f>
        <v>4.716981132</v>
      </c>
      <c r="DI35" s="234"/>
      <c r="DJ35" s="230"/>
      <c r="DK35" s="235"/>
      <c r="DL35" s="280"/>
      <c r="DM35" s="286"/>
      <c r="DN35" s="282"/>
      <c r="DO35" s="96"/>
      <c r="DP35" s="96">
        <f>IFERROR(__xludf.DUMMYFUNCTION("""COMPUTED_VALUE"""),8.962264150943396)</f>
        <v>8.962264151</v>
      </c>
      <c r="DQ35" s="96"/>
      <c r="DR35" s="96"/>
      <c r="DS35" s="96"/>
      <c r="DT35" s="96"/>
      <c r="DU35" s="96"/>
    </row>
    <row r="36">
      <c r="B36" s="83" t="str">
        <f>IFERROR(__xludf.DUMMYFUNCTION("""COMPUTED_VALUE"""),"TRF17")</f>
        <v>TRF17</v>
      </c>
      <c r="C36" s="88" t="str">
        <f>IFERROR(__xludf.DUMMYFUNCTION("""COMPUTED_VALUE"""),"FRI Caster Training Ground- Nov")</f>
        <v>FRI Caster Training Ground- Nov</v>
      </c>
      <c r="D36" s="102">
        <f>IFERROR(__xludf.DUMMYFUNCTION("""COMPUTED_VALUE"""),10.0)</f>
        <v>10</v>
      </c>
      <c r="E36" s="82" t="b">
        <f>IFERROR(__xludf.DUMMYFUNCTION("""COMPUTED_VALUE"""),TRUE)</f>
        <v>1</v>
      </c>
      <c r="F36" s="82" t="str">
        <f>IFERROR(__xludf.DUMMYFUNCTION("""COMPUTED_VALUE"""),"Training Field!A334:J346")</f>
        <v>Training Field!A334:J346</v>
      </c>
      <c r="G36" s="82">
        <f>IFERROR(__xludf.DUMMYFUNCTION("""COMPUTED_VALUE"""),37.0)</f>
        <v>37</v>
      </c>
      <c r="H36" s="82">
        <f>IFERROR(__xludf.DUMMYFUNCTION("""COMPUTED_VALUE"""),610.0)</f>
        <v>610</v>
      </c>
      <c r="I36" s="82">
        <f>IFERROR(__xludf.DUMMYFUNCTION("""COMPUTED_VALUE"""),2983.0)</f>
        <v>2983</v>
      </c>
      <c r="J36" s="82">
        <f>IFERROR(__xludf.DUMMYFUNCTION("""COMPUTED_VALUE"""),3593.0)</f>
        <v>3593</v>
      </c>
      <c r="K36" s="234"/>
      <c r="L36" s="230"/>
      <c r="M36" s="235"/>
      <c r="N36" s="234"/>
      <c r="O36" s="230"/>
      <c r="P36" s="235"/>
      <c r="Q36" s="234"/>
      <c r="R36" s="230"/>
      <c r="S36" s="235"/>
      <c r="T36" s="234"/>
      <c r="U36" s="230"/>
      <c r="V36" s="235"/>
      <c r="W36" s="234"/>
      <c r="X36" s="230"/>
      <c r="Y36" s="235"/>
      <c r="Z36" s="234"/>
      <c r="AA36" s="230"/>
      <c r="AB36" s="235"/>
      <c r="AC36" s="234"/>
      <c r="AD36" s="230"/>
      <c r="AE36" s="235"/>
      <c r="AF36" s="234">
        <f>IFERROR(__xludf.DUMMYFUNCTION("""COMPUTED_VALUE"""),7.644224881714445)</f>
        <v>7.644224882</v>
      </c>
      <c r="AG36" s="230"/>
      <c r="AH36" s="235"/>
      <c r="AI36" s="234">
        <f>IFERROR(__xludf.DUMMYFUNCTION("""COMPUTED_VALUE"""),4.5417200111327585)</f>
        <v>4.541720011</v>
      </c>
      <c r="AJ36" s="230"/>
      <c r="AK36" s="235"/>
      <c r="AL36" s="231"/>
      <c r="AM36" s="230"/>
      <c r="AN36" s="235"/>
      <c r="AO36" s="234"/>
      <c r="AP36" s="230"/>
      <c r="AQ36" s="235"/>
      <c r="AR36" s="234"/>
      <c r="AS36" s="230"/>
      <c r="AT36" s="235"/>
      <c r="AU36" s="234"/>
      <c r="AV36" s="230"/>
      <c r="AW36" s="235"/>
      <c r="AX36" s="234"/>
      <c r="AY36" s="230"/>
      <c r="AZ36" s="235">
        <f>IFERROR(__xludf.DUMMYFUNCTION("""COMPUTED_VALUE"""),13.379404397439467)</f>
        <v>13.3794044</v>
      </c>
      <c r="BA36" s="234"/>
      <c r="BB36" s="230"/>
      <c r="BC36" s="235"/>
      <c r="BD36" s="234"/>
      <c r="BE36" s="230"/>
      <c r="BF36" s="235"/>
      <c r="BG36" s="234"/>
      <c r="BH36" s="230"/>
      <c r="BI36" s="235"/>
      <c r="BJ36" s="234"/>
      <c r="BK36" s="230"/>
      <c r="BL36" s="235"/>
      <c r="BM36" s="234"/>
      <c r="BN36" s="230"/>
      <c r="BO36" s="235"/>
      <c r="BP36" s="234"/>
      <c r="BQ36" s="230">
        <f>IFERROR(__xludf.DUMMYFUNCTION("""COMPUTED_VALUE"""),11.273643195101588)</f>
        <v>11.2736432</v>
      </c>
      <c r="BR36" s="235"/>
      <c r="BS36" s="234"/>
      <c r="BT36" s="230"/>
      <c r="BU36" s="235"/>
      <c r="BV36" s="234"/>
      <c r="BW36" s="230"/>
      <c r="BX36" s="235">
        <f>IFERROR(__xludf.DUMMYFUNCTION("""COMPUTED_VALUE"""),123.87848594489284)</f>
        <v>123.8784859</v>
      </c>
      <c r="BY36" s="234"/>
      <c r="BZ36" s="230"/>
      <c r="CA36" s="235"/>
      <c r="CB36" s="234"/>
      <c r="CC36" s="230"/>
      <c r="CD36" s="235"/>
      <c r="CE36" s="234">
        <f>IFERROR(__xludf.DUMMYFUNCTION("""COMPUTED_VALUE"""),2.040976624057586)</f>
        <v>2.040976624</v>
      </c>
      <c r="CF36" s="230"/>
      <c r="CG36" s="235"/>
      <c r="CH36" s="234"/>
      <c r="CI36" s="230"/>
      <c r="CJ36" s="230"/>
      <c r="CK36" s="234"/>
      <c r="CL36" s="230">
        <f>IFERROR(__xludf.DUMMYFUNCTION("""COMPUTED_VALUE"""),32.40004739971256)</f>
        <v>32.4000474</v>
      </c>
      <c r="CM36" s="235"/>
      <c r="CN36" s="230"/>
      <c r="CO36" s="230"/>
      <c r="CP36" s="230"/>
      <c r="CQ36" s="234"/>
      <c r="CR36" s="230"/>
      <c r="CS36" s="230"/>
      <c r="CT36" s="234"/>
      <c r="CU36" s="230"/>
      <c r="CV36" s="230"/>
      <c r="CW36" s="234"/>
      <c r="CX36" s="230"/>
      <c r="CY36" s="235"/>
      <c r="CZ36" s="230"/>
      <c r="DA36" s="230">
        <f>IFERROR(__xludf.DUMMYFUNCTION("""COMPUTED_VALUE"""),79.52755905511812)</f>
        <v>79.52755906</v>
      </c>
      <c r="DB36" s="235"/>
      <c r="DC36" s="234"/>
      <c r="DD36" s="230"/>
      <c r="DE36" s="235"/>
      <c r="DF36" s="234"/>
      <c r="DG36" s="230"/>
      <c r="DH36" s="235"/>
      <c r="DI36" s="234">
        <f>IFERROR(__xludf.DUMMYFUNCTION("""COMPUTED_VALUE"""),46.84385382059801)</f>
        <v>46.84385382</v>
      </c>
      <c r="DJ36" s="230"/>
      <c r="DK36" s="235"/>
      <c r="DL36" s="292"/>
      <c r="DM36" s="293"/>
      <c r="DN36" s="294"/>
      <c r="DO36" s="96"/>
      <c r="DP36" s="96"/>
      <c r="DQ36" s="96"/>
      <c r="DR36" s="96"/>
      <c r="DS36" s="96"/>
      <c r="DT36" s="96"/>
      <c r="DU36" s="96"/>
    </row>
    <row r="37">
      <c r="B37" s="83" t="str">
        <f>IFERROR(__xludf.DUMMYFUNCTION("""COMPUTED_VALUE"""),"TRF18")</f>
        <v>TRF18</v>
      </c>
      <c r="C37" s="88" t="str">
        <f>IFERROR(__xludf.DUMMYFUNCTION("""COMPUTED_VALUE"""),"FRI Caster Training Ground- Int")</f>
        <v>FRI Caster Training Ground- Int</v>
      </c>
      <c r="D37" s="102">
        <f>IFERROR(__xludf.DUMMYFUNCTION("""COMPUTED_VALUE"""),20.0)</f>
        <v>20</v>
      </c>
      <c r="E37" s="82" t="b">
        <f>IFERROR(__xludf.DUMMYFUNCTION("""COMPUTED_VALUE"""),TRUE)</f>
        <v>1</v>
      </c>
      <c r="F37" s="82" t="str">
        <f>IFERROR(__xludf.DUMMYFUNCTION("""COMPUTED_VALUE"""),"Training Field!A350:J363")</f>
        <v>Training Field!A350:J363</v>
      </c>
      <c r="G37" s="82">
        <f>IFERROR(__xludf.DUMMYFUNCTION("""COMPUTED_VALUE"""),38.0)</f>
        <v>38</v>
      </c>
      <c r="H37" s="82">
        <f>IFERROR(__xludf.DUMMYFUNCTION("""COMPUTED_VALUE"""),155.0)</f>
        <v>155</v>
      </c>
      <c r="I37" s="82">
        <f>IFERROR(__xludf.DUMMYFUNCTION("""COMPUTED_VALUE"""),1056.0)</f>
        <v>1056</v>
      </c>
      <c r="J37" s="82">
        <f>IFERROR(__xludf.DUMMYFUNCTION("""COMPUTED_VALUE"""),1211.0)</f>
        <v>1211</v>
      </c>
      <c r="K37" s="234"/>
      <c r="L37" s="230"/>
      <c r="M37" s="235"/>
      <c r="N37" s="234"/>
      <c r="O37" s="230"/>
      <c r="P37" s="235"/>
      <c r="Q37" s="234"/>
      <c r="R37" s="230"/>
      <c r="S37" s="235"/>
      <c r="T37" s="234"/>
      <c r="U37" s="230"/>
      <c r="V37" s="235"/>
      <c r="W37" s="234"/>
      <c r="X37" s="230"/>
      <c r="Y37" s="235"/>
      <c r="Z37" s="234"/>
      <c r="AA37" s="230"/>
      <c r="AB37" s="235"/>
      <c r="AC37" s="234"/>
      <c r="AD37" s="230"/>
      <c r="AE37" s="235"/>
      <c r="AF37" s="234">
        <f>IFERROR(__xludf.DUMMYFUNCTION("""COMPUTED_VALUE"""),14.226919900908342)</f>
        <v>14.2269199</v>
      </c>
      <c r="AG37" s="230"/>
      <c r="AH37" s="235"/>
      <c r="AI37" s="234">
        <f>IFERROR(__xludf.DUMMYFUNCTION("""COMPUTED_VALUE"""),9.692485549132948)</f>
        <v>9.692485549</v>
      </c>
      <c r="AJ37" s="230"/>
      <c r="AK37" s="235"/>
      <c r="AL37" s="231"/>
      <c r="AM37" s="230"/>
      <c r="AN37" s="235"/>
      <c r="AO37" s="234"/>
      <c r="AP37" s="230"/>
      <c r="AQ37" s="235"/>
      <c r="AR37" s="234"/>
      <c r="AS37" s="230"/>
      <c r="AT37" s="235"/>
      <c r="AU37" s="234"/>
      <c r="AV37" s="230"/>
      <c r="AW37" s="235"/>
      <c r="AX37" s="234"/>
      <c r="AY37" s="230"/>
      <c r="AZ37" s="235">
        <f>IFERROR(__xludf.DUMMYFUNCTION("""COMPUTED_VALUE"""),20.459124690338562)</f>
        <v>20.45912469</v>
      </c>
      <c r="BA37" s="234"/>
      <c r="BB37" s="230"/>
      <c r="BC37" s="235"/>
      <c r="BD37" s="234"/>
      <c r="BE37" s="230"/>
      <c r="BF37" s="235"/>
      <c r="BG37" s="234"/>
      <c r="BH37" s="230"/>
      <c r="BI37" s="235"/>
      <c r="BJ37" s="234"/>
      <c r="BK37" s="230"/>
      <c r="BL37" s="235"/>
      <c r="BM37" s="234"/>
      <c r="BN37" s="230"/>
      <c r="BO37" s="235"/>
      <c r="BP37" s="234"/>
      <c r="BQ37" s="230">
        <f>IFERROR(__xludf.DUMMYFUNCTION("""COMPUTED_VALUE"""),77.28356729975228)</f>
        <v>77.2835673</v>
      </c>
      <c r="BR37" s="235"/>
      <c r="BS37" s="234"/>
      <c r="BT37" s="230"/>
      <c r="BU37" s="235"/>
      <c r="BV37" s="234"/>
      <c r="BW37" s="230"/>
      <c r="BX37" s="235">
        <f>IFERROR(__xludf.DUMMYFUNCTION("""COMPUTED_VALUE"""),97.13162675474815)</f>
        <v>97.13162675</v>
      </c>
      <c r="BY37" s="234"/>
      <c r="BZ37" s="230"/>
      <c r="CA37" s="235"/>
      <c r="CB37" s="234"/>
      <c r="CC37" s="230"/>
      <c r="CD37" s="235"/>
      <c r="CE37" s="234">
        <f>IFERROR(__xludf.DUMMYFUNCTION("""COMPUTED_VALUE"""),7.003137902559868)</f>
        <v>7.003137903</v>
      </c>
      <c r="CF37" s="230"/>
      <c r="CG37" s="235"/>
      <c r="CH37" s="234"/>
      <c r="CI37" s="230"/>
      <c r="CJ37" s="230"/>
      <c r="CK37" s="234"/>
      <c r="CL37" s="230">
        <f>IFERROR(__xludf.DUMMYFUNCTION("""COMPUTED_VALUE"""),83.61156069364161)</f>
        <v>83.61156069</v>
      </c>
      <c r="CM37" s="235"/>
      <c r="CN37" s="230"/>
      <c r="CO37" s="230"/>
      <c r="CP37" s="230"/>
      <c r="CQ37" s="234"/>
      <c r="CR37" s="230"/>
      <c r="CS37" s="230"/>
      <c r="CT37" s="234"/>
      <c r="CU37" s="230"/>
      <c r="CV37" s="230"/>
      <c r="CW37" s="234"/>
      <c r="CX37" s="230"/>
      <c r="CY37" s="235"/>
      <c r="CZ37" s="230"/>
      <c r="DA37" s="230">
        <f>IFERROR(__xludf.DUMMYFUNCTION("""COMPUTED_VALUE"""),64.51612903225806)</f>
        <v>64.51612903</v>
      </c>
      <c r="DB37" s="235"/>
      <c r="DC37" s="234"/>
      <c r="DD37" s="230"/>
      <c r="DE37" s="235"/>
      <c r="DF37" s="234"/>
      <c r="DG37" s="230"/>
      <c r="DH37" s="235"/>
      <c r="DI37" s="234">
        <f>IFERROR(__xludf.DUMMYFUNCTION("""COMPUTED_VALUE"""),54.32098765432099)</f>
        <v>54.32098765</v>
      </c>
      <c r="DJ37" s="230"/>
      <c r="DK37" s="235"/>
      <c r="DL37" s="280"/>
      <c r="DM37" s="286"/>
      <c r="DN37" s="282"/>
      <c r="DO37" s="96"/>
      <c r="DP37" s="96"/>
      <c r="DQ37" s="96">
        <f>IFERROR(__xludf.DUMMYFUNCTION("""COMPUTED_VALUE"""),0.0)</f>
        <v>0</v>
      </c>
      <c r="DR37" s="96"/>
      <c r="DS37" s="96"/>
      <c r="DT37" s="96"/>
      <c r="DU37" s="96"/>
    </row>
    <row r="38">
      <c r="B38" s="83" t="str">
        <f>IFERROR(__xludf.DUMMYFUNCTION("""COMPUTED_VALUE"""),"TRF19")</f>
        <v>TRF19</v>
      </c>
      <c r="C38" s="88" t="str">
        <f>IFERROR(__xludf.DUMMYFUNCTION("""COMPUTED_VALUE"""),"FRI Caster Training Ground- Adv")</f>
        <v>FRI Caster Training Ground- Adv</v>
      </c>
      <c r="D38" s="102">
        <f>IFERROR(__xludf.DUMMYFUNCTION("""COMPUTED_VALUE"""),30.0)</f>
        <v>30</v>
      </c>
      <c r="E38" s="82" t="b">
        <f>IFERROR(__xludf.DUMMYFUNCTION("""COMPUTED_VALUE"""),TRUE)</f>
        <v>1</v>
      </c>
      <c r="F38" s="82" t="str">
        <f>IFERROR(__xludf.DUMMYFUNCTION("""COMPUTED_VALUE"""),"Training Field!A367:J381")</f>
        <v>Training Field!A367:J381</v>
      </c>
      <c r="G38" s="82">
        <f>IFERROR(__xludf.DUMMYFUNCTION("""COMPUTED_VALUE"""),39.0)</f>
        <v>39</v>
      </c>
      <c r="H38" s="82">
        <f>IFERROR(__xludf.DUMMYFUNCTION("""COMPUTED_VALUE"""),742.0)</f>
        <v>742</v>
      </c>
      <c r="I38" s="82">
        <f>IFERROR(__xludf.DUMMYFUNCTION("""COMPUTED_VALUE"""),1394.0)</f>
        <v>1394</v>
      </c>
      <c r="J38" s="82">
        <f>IFERROR(__xludf.DUMMYFUNCTION("""COMPUTED_VALUE"""),2136.0)</f>
        <v>2136</v>
      </c>
      <c r="K38" s="234"/>
      <c r="L38" s="230">
        <f>IFERROR(__xludf.DUMMYFUNCTION("""COMPUTED_VALUE"""),4.165355805243446)</f>
        <v>4.165355805</v>
      </c>
      <c r="M38" s="235"/>
      <c r="N38" s="234"/>
      <c r="O38" s="230"/>
      <c r="P38" s="235"/>
      <c r="Q38" s="234"/>
      <c r="R38" s="230"/>
      <c r="S38" s="235"/>
      <c r="T38" s="234"/>
      <c r="U38" s="230"/>
      <c r="V38" s="235"/>
      <c r="W38" s="234"/>
      <c r="X38" s="230"/>
      <c r="Y38" s="235"/>
      <c r="Z38" s="234"/>
      <c r="AA38" s="230"/>
      <c r="AB38" s="235"/>
      <c r="AC38" s="234"/>
      <c r="AD38" s="230"/>
      <c r="AE38" s="235"/>
      <c r="AF38" s="234">
        <f>IFERROR(__xludf.DUMMYFUNCTION("""COMPUTED_VALUE"""),22.83005617977528)</f>
        <v>22.83005618</v>
      </c>
      <c r="AG38" s="230"/>
      <c r="AH38" s="235"/>
      <c r="AI38" s="234">
        <f>IFERROR(__xludf.DUMMYFUNCTION("""COMPUTED_VALUE"""),16.126591760299625)</f>
        <v>16.12659176</v>
      </c>
      <c r="AJ38" s="230"/>
      <c r="AK38" s="235"/>
      <c r="AL38" s="231"/>
      <c r="AM38" s="230"/>
      <c r="AN38" s="235"/>
      <c r="AO38" s="234"/>
      <c r="AP38" s="230"/>
      <c r="AQ38" s="235"/>
      <c r="AR38" s="234"/>
      <c r="AS38" s="230"/>
      <c r="AT38" s="235"/>
      <c r="AU38" s="234"/>
      <c r="AV38" s="230"/>
      <c r="AW38" s="235"/>
      <c r="AX38" s="234"/>
      <c r="AY38" s="230"/>
      <c r="AZ38" s="235">
        <f>IFERROR(__xludf.DUMMYFUNCTION("""COMPUTED_VALUE"""),20.689232209737828)</f>
        <v>20.68923221</v>
      </c>
      <c r="BA38" s="234"/>
      <c r="BB38" s="230"/>
      <c r="BC38" s="235"/>
      <c r="BD38" s="234"/>
      <c r="BE38" s="230"/>
      <c r="BF38" s="235"/>
      <c r="BG38" s="234"/>
      <c r="BH38" s="230"/>
      <c r="BI38" s="235"/>
      <c r="BJ38" s="234">
        <f>IFERROR(__xludf.DUMMYFUNCTION("""COMPUTED_VALUE"""),24.167883895131087)</f>
        <v>24.1678839</v>
      </c>
      <c r="BK38" s="230"/>
      <c r="BL38" s="235"/>
      <c r="BM38" s="234"/>
      <c r="BN38" s="230"/>
      <c r="BO38" s="235"/>
      <c r="BP38" s="234"/>
      <c r="BQ38" s="230">
        <f>IFERROR(__xludf.DUMMYFUNCTION("""COMPUTED_VALUE"""),166.92406367041198)</f>
        <v>166.9240637</v>
      </c>
      <c r="BR38" s="235"/>
      <c r="BS38" s="234"/>
      <c r="BT38" s="230"/>
      <c r="BU38" s="235"/>
      <c r="BV38" s="234"/>
      <c r="BW38" s="230"/>
      <c r="BX38" s="235">
        <f>IFERROR(__xludf.DUMMYFUNCTION("""COMPUTED_VALUE"""),4.669007490636704)</f>
        <v>4.669007491</v>
      </c>
      <c r="BY38" s="234"/>
      <c r="BZ38" s="230"/>
      <c r="CA38" s="235"/>
      <c r="CB38" s="234"/>
      <c r="CC38" s="230"/>
      <c r="CD38" s="235"/>
      <c r="CE38" s="234">
        <f>IFERROR(__xludf.DUMMYFUNCTION("""COMPUTED_VALUE"""),32.84906367041199)</f>
        <v>32.84906367</v>
      </c>
      <c r="CF38" s="230"/>
      <c r="CG38" s="235"/>
      <c r="CH38" s="234"/>
      <c r="CI38" s="230"/>
      <c r="CJ38" s="230"/>
      <c r="CK38" s="234"/>
      <c r="CL38" s="230">
        <f>IFERROR(__xludf.DUMMYFUNCTION("""COMPUTED_VALUE"""),93.08934679195343)</f>
        <v>93.08934679</v>
      </c>
      <c r="CM38" s="235"/>
      <c r="CN38" s="230"/>
      <c r="CO38" s="230"/>
      <c r="CP38" s="230"/>
      <c r="CQ38" s="234"/>
      <c r="CR38" s="230"/>
      <c r="CS38" s="230"/>
      <c r="CT38" s="234"/>
      <c r="CU38" s="230"/>
      <c r="CV38" s="230"/>
      <c r="CW38" s="234"/>
      <c r="CX38" s="230"/>
      <c r="CY38" s="235"/>
      <c r="CZ38" s="230"/>
      <c r="DA38" s="230">
        <f>IFERROR(__xludf.DUMMYFUNCTION("""COMPUTED_VALUE"""),13.233287858117325)</f>
        <v>13.23328786</v>
      </c>
      <c r="DB38" s="235"/>
      <c r="DC38" s="234"/>
      <c r="DD38" s="230"/>
      <c r="DE38" s="235"/>
      <c r="DF38" s="234"/>
      <c r="DG38" s="230"/>
      <c r="DH38" s="235"/>
      <c r="DI38" s="234">
        <f>IFERROR(__xludf.DUMMYFUNCTION("""COMPUTED_VALUE"""),30.307692307692307)</f>
        <v>30.30769231</v>
      </c>
      <c r="DJ38" s="230"/>
      <c r="DK38" s="235"/>
      <c r="DL38" s="292"/>
      <c r="DM38" s="293"/>
      <c r="DN38" s="294"/>
      <c r="DO38" s="96"/>
      <c r="DP38" s="96"/>
      <c r="DQ38" s="96"/>
      <c r="DR38" s="96"/>
      <c r="DS38" s="96"/>
      <c r="DT38" s="96"/>
      <c r="DU38" s="96"/>
    </row>
    <row r="39">
      <c r="B39" s="83" t="str">
        <f>IFERROR(__xludf.DUMMYFUNCTION("""COMPUTED_VALUE"""),"TRF20")</f>
        <v>TRF20</v>
      </c>
      <c r="C39" s="88" t="str">
        <f>IFERROR(__xludf.DUMMYFUNCTION("""COMPUTED_VALUE"""),"FRI Caster Training Ground- Exp")</f>
        <v>FRI Caster Training Ground- Exp</v>
      </c>
      <c r="D39" s="102">
        <f>IFERROR(__xludf.DUMMYFUNCTION("""COMPUTED_VALUE"""),40.0)</f>
        <v>40</v>
      </c>
      <c r="E39" s="82" t="b">
        <f>IFERROR(__xludf.DUMMYFUNCTION("""COMPUTED_VALUE"""),TRUE)</f>
        <v>1</v>
      </c>
      <c r="F39" s="82" t="str">
        <f>IFERROR(__xludf.DUMMYFUNCTION("""COMPUTED_VALUE"""),"Training Field!A385:J399")</f>
        <v>Training Field!A385:J399</v>
      </c>
      <c r="G39" s="82">
        <f>IFERROR(__xludf.DUMMYFUNCTION("""COMPUTED_VALUE"""),40.0)</f>
        <v>40</v>
      </c>
      <c r="H39" s="82">
        <f>IFERROR(__xludf.DUMMYFUNCTION("""COMPUTED_VALUE"""),1252.0)</f>
        <v>1252</v>
      </c>
      <c r="I39" s="82">
        <f>IFERROR(__xludf.DUMMYFUNCTION("""COMPUTED_VALUE"""),12077.0)</f>
        <v>12077</v>
      </c>
      <c r="J39" s="82">
        <f>IFERROR(__xludf.DUMMYFUNCTION("""COMPUTED_VALUE"""),13329.0)</f>
        <v>13329</v>
      </c>
      <c r="K39" s="234"/>
      <c r="L39" s="230">
        <f>IFERROR(__xludf.DUMMYFUNCTION("""COMPUTED_VALUE"""),6.256353464756142)</f>
        <v>6.256353465</v>
      </c>
      <c r="M39" s="235"/>
      <c r="N39" s="234"/>
      <c r="O39" s="230"/>
      <c r="P39" s="235"/>
      <c r="Q39" s="234"/>
      <c r="R39" s="230"/>
      <c r="S39" s="235"/>
      <c r="T39" s="234"/>
      <c r="U39" s="230"/>
      <c r="V39" s="235"/>
      <c r="W39" s="234"/>
      <c r="X39" s="230"/>
      <c r="Y39" s="235"/>
      <c r="Z39" s="234"/>
      <c r="AA39" s="230"/>
      <c r="AB39" s="235"/>
      <c r="AC39" s="234"/>
      <c r="AD39" s="230"/>
      <c r="AE39" s="235"/>
      <c r="AF39" s="234">
        <f>IFERROR(__xludf.DUMMYFUNCTION("""COMPUTED_VALUE"""),24.835679994629388)</f>
        <v>24.83567999</v>
      </c>
      <c r="AG39" s="230"/>
      <c r="AH39" s="235"/>
      <c r="AI39" s="234">
        <f>IFERROR(__xludf.DUMMYFUNCTION("""COMPUTED_VALUE"""),20.57968217368487)</f>
        <v>20.57968217</v>
      </c>
      <c r="AJ39" s="230"/>
      <c r="AK39" s="235"/>
      <c r="AL39" s="231"/>
      <c r="AM39" s="230"/>
      <c r="AN39" s="235"/>
      <c r="AO39" s="234"/>
      <c r="AP39" s="230"/>
      <c r="AQ39" s="235"/>
      <c r="AR39" s="234"/>
      <c r="AS39" s="230"/>
      <c r="AT39" s="235"/>
      <c r="AU39" s="234"/>
      <c r="AV39" s="230"/>
      <c r="AW39" s="235"/>
      <c r="AX39" s="234"/>
      <c r="AY39" s="230"/>
      <c r="AZ39" s="235">
        <f>IFERROR(__xludf.DUMMYFUNCTION("""COMPUTED_VALUE"""),24.45173843369599)</f>
        <v>24.45173843</v>
      </c>
      <c r="BA39" s="234"/>
      <c r="BB39" s="230"/>
      <c r="BC39" s="235"/>
      <c r="BD39" s="234"/>
      <c r="BE39" s="230"/>
      <c r="BF39" s="235"/>
      <c r="BG39" s="234"/>
      <c r="BH39" s="230"/>
      <c r="BI39" s="235"/>
      <c r="BJ39" s="234">
        <f>IFERROR(__xludf.DUMMYFUNCTION("""COMPUTED_VALUE"""),76.5743641683547)</f>
        <v>76.57436417</v>
      </c>
      <c r="BK39" s="230"/>
      <c r="BL39" s="235"/>
      <c r="BM39" s="234"/>
      <c r="BN39" s="230"/>
      <c r="BO39" s="235"/>
      <c r="BP39" s="234"/>
      <c r="BQ39" s="230">
        <f>IFERROR(__xludf.DUMMYFUNCTION("""COMPUTED_VALUE"""),90.68134143596667)</f>
        <v>90.68134144</v>
      </c>
      <c r="BR39" s="235"/>
      <c r="BS39" s="234"/>
      <c r="BT39" s="230"/>
      <c r="BU39" s="235"/>
      <c r="BV39" s="234"/>
      <c r="BW39" s="230"/>
      <c r="BX39" s="235">
        <f>IFERROR(__xludf.DUMMYFUNCTION("""COMPUTED_VALUE"""),10.775872158451497)</f>
        <v>10.77587216</v>
      </c>
      <c r="BY39" s="234"/>
      <c r="BZ39" s="230"/>
      <c r="CA39" s="235"/>
      <c r="CB39" s="234"/>
      <c r="CC39" s="230"/>
      <c r="CD39" s="235"/>
      <c r="CE39" s="234">
        <f>IFERROR(__xludf.DUMMYFUNCTION("""COMPUTED_VALUE"""),56.869413656999505)</f>
        <v>56.86941366</v>
      </c>
      <c r="CF39" s="230"/>
      <c r="CG39" s="235"/>
      <c r="CH39" s="234"/>
      <c r="CI39" s="230"/>
      <c r="CJ39" s="230"/>
      <c r="CK39" s="234"/>
      <c r="CL39" s="230">
        <f>IFERROR(__xludf.DUMMYFUNCTION("""COMPUTED_VALUE"""),81.14318057308512)</f>
        <v>81.14318057</v>
      </c>
      <c r="CM39" s="235"/>
      <c r="CN39" s="230"/>
      <c r="CO39" s="230"/>
      <c r="CP39" s="230"/>
      <c r="CQ39" s="234"/>
      <c r="CR39" s="230"/>
      <c r="CS39" s="230"/>
      <c r="CT39" s="234"/>
      <c r="CU39" s="230"/>
      <c r="CV39" s="230"/>
      <c r="CW39" s="234"/>
      <c r="CX39" s="230"/>
      <c r="CY39" s="235"/>
      <c r="CZ39" s="230"/>
      <c r="DA39" s="230">
        <f>IFERROR(__xludf.DUMMYFUNCTION("""COMPUTED_VALUE"""),11.853832442067738)</f>
        <v>11.85383244</v>
      </c>
      <c r="DB39" s="235"/>
      <c r="DC39" s="234"/>
      <c r="DD39" s="230"/>
      <c r="DE39" s="235"/>
      <c r="DF39" s="234"/>
      <c r="DG39" s="230"/>
      <c r="DH39" s="235"/>
      <c r="DI39" s="234">
        <f>IFERROR(__xludf.DUMMYFUNCTION("""COMPUTED_VALUE"""),31.143552311435524)</f>
        <v>31.14355231</v>
      </c>
      <c r="DJ39" s="230"/>
      <c r="DK39" s="235"/>
      <c r="DL39" s="280"/>
      <c r="DM39" s="286"/>
      <c r="DN39" s="282"/>
      <c r="DO39" s="96"/>
      <c r="DP39" s="96"/>
      <c r="DQ39" s="96"/>
      <c r="DR39" s="96"/>
      <c r="DS39" s="96"/>
      <c r="DT39" s="96"/>
      <c r="DU39" s="96"/>
    </row>
    <row r="40">
      <c r="B40" s="83" t="str">
        <f>IFERROR(__xludf.DUMMYFUNCTION("""COMPUTED_VALUE"""),"TRF21")</f>
        <v>TRF21</v>
      </c>
      <c r="C40" s="88" t="str">
        <f>IFERROR(__xludf.DUMMYFUNCTION("""COMPUTED_VALUE"""),"SAT Assassin Training Ground- Nov")</f>
        <v>SAT Assassin Training Ground- Nov</v>
      </c>
      <c r="D40" s="102">
        <f>IFERROR(__xludf.DUMMYFUNCTION("""COMPUTED_VALUE"""),10.0)</f>
        <v>10</v>
      </c>
      <c r="E40" s="82" t="b">
        <f>IFERROR(__xludf.DUMMYFUNCTION("""COMPUTED_VALUE"""),TRUE)</f>
        <v>1</v>
      </c>
      <c r="F40" s="82" t="str">
        <f>IFERROR(__xludf.DUMMYFUNCTION("""COMPUTED_VALUE"""),"Training Field!A403:J416")</f>
        <v>Training Field!A403:J416</v>
      </c>
      <c r="G40" s="82">
        <f>IFERROR(__xludf.DUMMYFUNCTION("""COMPUTED_VALUE"""),41.0)</f>
        <v>41</v>
      </c>
      <c r="H40" s="82">
        <f>IFERROR(__xludf.DUMMYFUNCTION("""COMPUTED_VALUE"""),412.0)</f>
        <v>412</v>
      </c>
      <c r="I40" s="82">
        <f>IFERROR(__xludf.DUMMYFUNCTION("""COMPUTED_VALUE"""),1128.0)</f>
        <v>1128</v>
      </c>
      <c r="J40" s="82">
        <f>IFERROR(__xludf.DUMMYFUNCTION("""COMPUTED_VALUE"""),1540.0)</f>
        <v>1540</v>
      </c>
      <c r="K40" s="234"/>
      <c r="L40" s="230"/>
      <c r="M40" s="235"/>
      <c r="N40" s="234"/>
      <c r="O40" s="230"/>
      <c r="P40" s="235"/>
      <c r="Q40" s="234"/>
      <c r="R40" s="230"/>
      <c r="S40" s="235"/>
      <c r="T40" s="234"/>
      <c r="U40" s="230"/>
      <c r="V40" s="235"/>
      <c r="W40" s="234"/>
      <c r="X40" s="230"/>
      <c r="Y40" s="235"/>
      <c r="Z40" s="234"/>
      <c r="AA40" s="230"/>
      <c r="AB40" s="235"/>
      <c r="AC40" s="234"/>
      <c r="AD40" s="230">
        <f>IFERROR(__xludf.DUMMYFUNCTION("""COMPUTED_VALUE"""),3.0815584415584416)</f>
        <v>3.081558442</v>
      </c>
      <c r="AE40" s="235"/>
      <c r="AF40" s="234"/>
      <c r="AG40" s="230"/>
      <c r="AH40" s="235">
        <f>IFERROR(__xludf.DUMMYFUNCTION("""COMPUTED_VALUE"""),8.63012987012987)</f>
        <v>8.63012987</v>
      </c>
      <c r="AI40" s="234"/>
      <c r="AJ40" s="230"/>
      <c r="AK40" s="235"/>
      <c r="AL40" s="231"/>
      <c r="AM40" s="230"/>
      <c r="AN40" s="235"/>
      <c r="AO40" s="234"/>
      <c r="AP40" s="230"/>
      <c r="AQ40" s="235"/>
      <c r="AR40" s="234"/>
      <c r="AS40" s="230"/>
      <c r="AT40" s="235"/>
      <c r="AU40" s="234"/>
      <c r="AV40" s="230"/>
      <c r="AW40" s="235"/>
      <c r="AX40" s="234"/>
      <c r="AY40" s="230">
        <f>IFERROR(__xludf.DUMMYFUNCTION("""COMPUTED_VALUE"""),13.215064935064936)</f>
        <v>13.21506494</v>
      </c>
      <c r="AZ40" s="235">
        <f>IFERROR(__xludf.DUMMYFUNCTION("""COMPUTED_VALUE"""),11.856623376623377)</f>
        <v>11.85662338</v>
      </c>
      <c r="BA40" s="234"/>
      <c r="BB40" s="230"/>
      <c r="BC40" s="235"/>
      <c r="BD40" s="234"/>
      <c r="BE40" s="230"/>
      <c r="BF40" s="235"/>
      <c r="BG40" s="234"/>
      <c r="BH40" s="230"/>
      <c r="BI40" s="235"/>
      <c r="BJ40" s="234"/>
      <c r="BK40" s="230"/>
      <c r="BL40" s="235"/>
      <c r="BM40" s="234"/>
      <c r="BN40" s="230"/>
      <c r="BO40" s="235"/>
      <c r="BP40" s="234"/>
      <c r="BQ40" s="230"/>
      <c r="BR40" s="235"/>
      <c r="BS40" s="234"/>
      <c r="BT40" s="230"/>
      <c r="BU40" s="235"/>
      <c r="BV40" s="234"/>
      <c r="BW40" s="230"/>
      <c r="BX40" s="235"/>
      <c r="BY40" s="234">
        <f>IFERROR(__xludf.DUMMYFUNCTION("""COMPUTED_VALUE"""),131.98389610389611)</f>
        <v>131.9838961</v>
      </c>
      <c r="BZ40" s="230"/>
      <c r="CA40" s="235"/>
      <c r="CB40" s="234"/>
      <c r="CC40" s="230"/>
      <c r="CD40" s="235"/>
      <c r="CE40" s="234"/>
      <c r="CF40" s="230">
        <f>IFERROR(__xludf.DUMMYFUNCTION("""COMPUTED_VALUE"""),2.74025974025974)</f>
        <v>2.74025974</v>
      </c>
      <c r="CG40" s="235"/>
      <c r="CH40" s="234"/>
      <c r="CI40" s="230"/>
      <c r="CJ40" s="230"/>
      <c r="CK40" s="234"/>
      <c r="CL40" s="230"/>
      <c r="CM40" s="235">
        <f>IFERROR(__xludf.DUMMYFUNCTION("""COMPUTED_VALUE"""),28.334545454545452)</f>
        <v>28.33454545</v>
      </c>
      <c r="CN40" s="230"/>
      <c r="CO40" s="230"/>
      <c r="CP40" s="230"/>
      <c r="CQ40" s="234"/>
      <c r="CR40" s="230"/>
      <c r="CS40" s="230"/>
      <c r="CT40" s="234"/>
      <c r="CU40" s="230"/>
      <c r="CV40" s="230"/>
      <c r="CW40" s="234"/>
      <c r="CX40" s="230"/>
      <c r="CY40" s="235"/>
      <c r="CZ40" s="230"/>
      <c r="DA40" s="230"/>
      <c r="DB40" s="235">
        <f>IFERROR(__xludf.DUMMYFUNCTION("""COMPUTED_VALUE"""),82.20338983050848)</f>
        <v>82.20338983</v>
      </c>
      <c r="DC40" s="234"/>
      <c r="DD40" s="230"/>
      <c r="DE40" s="235"/>
      <c r="DF40" s="234"/>
      <c r="DG40" s="230"/>
      <c r="DH40" s="235"/>
      <c r="DI40" s="234"/>
      <c r="DJ40" s="230">
        <f>IFERROR(__xludf.DUMMYFUNCTION("""COMPUTED_VALUE"""),28.095238095238095)</f>
        <v>28.0952381</v>
      </c>
      <c r="DK40" s="235"/>
      <c r="DL40" s="292"/>
      <c r="DM40" s="293"/>
      <c r="DN40" s="294"/>
      <c r="DO40" s="96"/>
      <c r="DP40" s="96"/>
      <c r="DQ40" s="96"/>
      <c r="DR40" s="96">
        <f>IFERROR(__xludf.DUMMYFUNCTION("""COMPUTED_VALUE"""),19.523809523809526)</f>
        <v>19.52380952</v>
      </c>
      <c r="DS40" s="96"/>
      <c r="DT40" s="96"/>
      <c r="DU40" s="96"/>
    </row>
    <row r="41">
      <c r="B41" s="83" t="str">
        <f>IFERROR(__xludf.DUMMYFUNCTION("""COMPUTED_VALUE"""),"TRF22")</f>
        <v>TRF22</v>
      </c>
      <c r="C41" s="88" t="str">
        <f>IFERROR(__xludf.DUMMYFUNCTION("""COMPUTED_VALUE"""),"SAT Assassin Training Ground- Int")</f>
        <v>SAT Assassin Training Ground- Int</v>
      </c>
      <c r="D41" s="102">
        <f>IFERROR(__xludf.DUMMYFUNCTION("""COMPUTED_VALUE"""),20.0)</f>
        <v>20</v>
      </c>
      <c r="E41" s="82" t="b">
        <f>IFERROR(__xludf.DUMMYFUNCTION("""COMPUTED_VALUE"""),TRUE)</f>
        <v>1</v>
      </c>
      <c r="F41" s="82" t="str">
        <f>IFERROR(__xludf.DUMMYFUNCTION("""COMPUTED_VALUE"""),"Training Field!A420:J436")</f>
        <v>Training Field!A420:J436</v>
      </c>
      <c r="G41" s="82">
        <f>IFERROR(__xludf.DUMMYFUNCTION("""COMPUTED_VALUE"""),42.0)</f>
        <v>42</v>
      </c>
      <c r="H41" s="82">
        <f>IFERROR(__xludf.DUMMYFUNCTION("""COMPUTED_VALUE"""),134.0)</f>
        <v>134</v>
      </c>
      <c r="I41" s="82">
        <f>IFERROR(__xludf.DUMMYFUNCTION("""COMPUTED_VALUE"""),1000.0)</f>
        <v>1000</v>
      </c>
      <c r="J41" s="82">
        <f>IFERROR(__xludf.DUMMYFUNCTION("""COMPUTED_VALUE"""),1134.0)</f>
        <v>1134</v>
      </c>
      <c r="K41" s="234"/>
      <c r="L41" s="230"/>
      <c r="M41" s="235"/>
      <c r="N41" s="234"/>
      <c r="O41" s="230"/>
      <c r="P41" s="235"/>
      <c r="Q41" s="234"/>
      <c r="R41" s="230"/>
      <c r="S41" s="235"/>
      <c r="T41" s="234"/>
      <c r="U41" s="230"/>
      <c r="V41" s="235"/>
      <c r="W41" s="234"/>
      <c r="X41" s="230"/>
      <c r="Y41" s="235"/>
      <c r="Z41" s="234"/>
      <c r="AA41" s="230"/>
      <c r="AB41" s="235"/>
      <c r="AC41" s="234">
        <f>IFERROR(__xludf.DUMMYFUNCTION("""COMPUTED_VALUE"""),8.55379188712522)</f>
        <v>8.553791887</v>
      </c>
      <c r="AD41" s="230">
        <f>IFERROR(__xludf.DUMMYFUNCTION("""COMPUTED_VALUE"""),2.557319223985891)</f>
        <v>2.557319224</v>
      </c>
      <c r="AE41" s="235"/>
      <c r="AF41" s="234"/>
      <c r="AG41" s="230"/>
      <c r="AH41" s="235">
        <f>IFERROR(__xludf.DUMMYFUNCTION("""COMPUTED_VALUE"""),9.523809523809524)</f>
        <v>9.523809524</v>
      </c>
      <c r="AI41" s="234"/>
      <c r="AJ41" s="230"/>
      <c r="AK41" s="235"/>
      <c r="AL41" s="231"/>
      <c r="AM41" s="230"/>
      <c r="AN41" s="235"/>
      <c r="AO41" s="234"/>
      <c r="AP41" s="230"/>
      <c r="AQ41" s="235"/>
      <c r="AR41" s="234"/>
      <c r="AS41" s="230"/>
      <c r="AT41" s="235"/>
      <c r="AU41" s="234"/>
      <c r="AV41" s="230"/>
      <c r="AW41" s="235"/>
      <c r="AX41" s="234"/>
      <c r="AY41" s="230">
        <f>IFERROR(__xludf.DUMMYFUNCTION("""COMPUTED_VALUE"""),17.63668430335097)</f>
        <v>17.6366843</v>
      </c>
      <c r="AZ41" s="235">
        <f>IFERROR(__xludf.DUMMYFUNCTION("""COMPUTED_VALUE"""),16.31393298059965)</f>
        <v>16.31393298</v>
      </c>
      <c r="BA41" s="234"/>
      <c r="BB41" s="230"/>
      <c r="BC41" s="235"/>
      <c r="BD41" s="234"/>
      <c r="BE41" s="230"/>
      <c r="BF41" s="235"/>
      <c r="BG41" s="234"/>
      <c r="BH41" s="230"/>
      <c r="BI41" s="235"/>
      <c r="BJ41" s="234"/>
      <c r="BK41" s="230"/>
      <c r="BL41" s="235"/>
      <c r="BM41" s="234"/>
      <c r="BN41" s="230"/>
      <c r="BO41" s="235"/>
      <c r="BP41" s="234"/>
      <c r="BQ41" s="230"/>
      <c r="BR41" s="235">
        <f>IFERROR(__xludf.DUMMYFUNCTION("""COMPUTED_VALUE"""),108.28924162257496)</f>
        <v>108.2892416</v>
      </c>
      <c r="BS41" s="234"/>
      <c r="BT41" s="230"/>
      <c r="BU41" s="235"/>
      <c r="BV41" s="234"/>
      <c r="BW41" s="230"/>
      <c r="BX41" s="235"/>
      <c r="BY41" s="234">
        <f>IFERROR(__xludf.DUMMYFUNCTION("""COMPUTED_VALUE"""),84.5679012345679)</f>
        <v>84.56790123</v>
      </c>
      <c r="BZ41" s="230"/>
      <c r="CA41" s="235"/>
      <c r="CB41" s="234"/>
      <c r="CC41" s="230"/>
      <c r="CD41" s="235"/>
      <c r="CE41" s="234"/>
      <c r="CF41" s="230">
        <f>IFERROR(__xludf.DUMMYFUNCTION("""COMPUTED_VALUE"""),7.231040564373898)</f>
        <v>7.231040564</v>
      </c>
      <c r="CG41" s="235"/>
      <c r="CH41" s="234"/>
      <c r="CI41" s="230"/>
      <c r="CJ41" s="230"/>
      <c r="CK41" s="234"/>
      <c r="CL41" s="230"/>
      <c r="CM41" s="235">
        <f>IFERROR(__xludf.DUMMYFUNCTION("""COMPUTED_VALUE"""),68.43033509700176)</f>
        <v>68.4303351</v>
      </c>
      <c r="CN41" s="230"/>
      <c r="CO41" s="230"/>
      <c r="CP41" s="230"/>
      <c r="CQ41" s="234"/>
      <c r="CR41" s="230"/>
      <c r="CS41" s="230"/>
      <c r="CT41" s="234"/>
      <c r="CU41" s="230"/>
      <c r="CV41" s="230"/>
      <c r="CW41" s="234"/>
      <c r="CX41" s="230"/>
      <c r="CY41" s="235"/>
      <c r="CZ41" s="230"/>
      <c r="DA41" s="230"/>
      <c r="DB41" s="235">
        <f>IFERROR(__xludf.DUMMYFUNCTION("""COMPUTED_VALUE"""),56.71641791044776)</f>
        <v>56.71641791</v>
      </c>
      <c r="DC41" s="234"/>
      <c r="DD41" s="230"/>
      <c r="DE41" s="235"/>
      <c r="DF41" s="234"/>
      <c r="DG41" s="230"/>
      <c r="DH41" s="235"/>
      <c r="DI41" s="234"/>
      <c r="DJ41" s="230">
        <f>IFERROR(__xludf.DUMMYFUNCTION("""COMPUTED_VALUE"""),15.789473684210526)</f>
        <v>15.78947368</v>
      </c>
      <c r="DK41" s="235"/>
      <c r="DL41" s="280"/>
      <c r="DM41" s="286"/>
      <c r="DN41" s="282"/>
      <c r="DO41" s="96"/>
      <c r="DP41" s="96"/>
      <c r="DQ41" s="96"/>
      <c r="DR41" s="96">
        <f>IFERROR(__xludf.DUMMYFUNCTION("""COMPUTED_VALUE"""),14.035087719298245)</f>
        <v>14.03508772</v>
      </c>
      <c r="DS41" s="96"/>
      <c r="DT41" s="96"/>
      <c r="DU41" s="96"/>
    </row>
    <row r="42">
      <c r="B42" s="83" t="str">
        <f>IFERROR(__xludf.DUMMYFUNCTION("""COMPUTED_VALUE"""),"TRF23")</f>
        <v>TRF23</v>
      </c>
      <c r="C42" s="88" t="str">
        <f>IFERROR(__xludf.DUMMYFUNCTION("""COMPUTED_VALUE"""),"SAT Assassin Training Ground- Adv")</f>
        <v>SAT Assassin Training Ground- Adv</v>
      </c>
      <c r="D42" s="102">
        <f>IFERROR(__xludf.DUMMYFUNCTION("""COMPUTED_VALUE"""),30.0)</f>
        <v>30</v>
      </c>
      <c r="E42" s="82" t="b">
        <f>IFERROR(__xludf.DUMMYFUNCTION("""COMPUTED_VALUE"""),TRUE)</f>
        <v>1</v>
      </c>
      <c r="F42" s="82" t="str">
        <f>IFERROR(__xludf.DUMMYFUNCTION("""COMPUTED_VALUE"""),"Training Field!A440:J459")</f>
        <v>Training Field!A440:J459</v>
      </c>
      <c r="G42" s="82">
        <f>IFERROR(__xludf.DUMMYFUNCTION("""COMPUTED_VALUE"""),43.0)</f>
        <v>43</v>
      </c>
      <c r="H42" s="82">
        <f>IFERROR(__xludf.DUMMYFUNCTION("""COMPUTED_VALUE"""),236.0)</f>
        <v>236</v>
      </c>
      <c r="I42" s="82">
        <f>IFERROR(__xludf.DUMMYFUNCTION("""COMPUTED_VALUE"""),1209.0)</f>
        <v>1209</v>
      </c>
      <c r="J42" s="82">
        <f>IFERROR(__xludf.DUMMYFUNCTION("""COMPUTED_VALUE"""),1445.0)</f>
        <v>1445</v>
      </c>
      <c r="K42" s="234"/>
      <c r="L42" s="230"/>
      <c r="M42" s="235"/>
      <c r="N42" s="234"/>
      <c r="O42" s="230"/>
      <c r="P42" s="235"/>
      <c r="Q42" s="234">
        <f>IFERROR(__xludf.DUMMYFUNCTION("""COMPUTED_VALUE"""),5.766851211072664)</f>
        <v>5.766851211</v>
      </c>
      <c r="R42" s="230"/>
      <c r="S42" s="235"/>
      <c r="T42" s="234"/>
      <c r="U42" s="230"/>
      <c r="V42" s="235"/>
      <c r="W42" s="234"/>
      <c r="X42" s="230"/>
      <c r="Y42" s="235"/>
      <c r="Z42" s="234"/>
      <c r="AA42" s="230"/>
      <c r="AB42" s="235"/>
      <c r="AC42" s="234">
        <f>IFERROR(__xludf.DUMMYFUNCTION("""COMPUTED_VALUE"""),16.097162629757783)</f>
        <v>16.09716263</v>
      </c>
      <c r="AD42" s="230">
        <f>IFERROR(__xludf.DUMMYFUNCTION("""COMPUTED_VALUE"""),16.930726643598618)</f>
        <v>16.93072664</v>
      </c>
      <c r="AE42" s="235"/>
      <c r="AF42" s="234"/>
      <c r="AG42" s="230"/>
      <c r="AH42" s="235">
        <f>IFERROR(__xludf.DUMMYFUNCTION("""COMPUTED_VALUE"""),16.20975778546713)</f>
        <v>16.20975779</v>
      </c>
      <c r="AI42" s="234"/>
      <c r="AJ42" s="230"/>
      <c r="AK42" s="235"/>
      <c r="AL42" s="231"/>
      <c r="AM42" s="230"/>
      <c r="AN42" s="235"/>
      <c r="AO42" s="234"/>
      <c r="AP42" s="230"/>
      <c r="AQ42" s="235"/>
      <c r="AR42" s="234"/>
      <c r="AS42" s="230"/>
      <c r="AT42" s="235"/>
      <c r="AU42" s="234"/>
      <c r="AV42" s="230"/>
      <c r="AW42" s="235"/>
      <c r="AX42" s="234"/>
      <c r="AY42" s="230">
        <f>IFERROR(__xludf.DUMMYFUNCTION("""COMPUTED_VALUE"""),10.35923875432526)</f>
        <v>10.35923875</v>
      </c>
      <c r="AZ42" s="235">
        <f>IFERROR(__xludf.DUMMYFUNCTION("""COMPUTED_VALUE"""),13.397093425605537)</f>
        <v>13.39709343</v>
      </c>
      <c r="BA42" s="234"/>
      <c r="BB42" s="230"/>
      <c r="BC42" s="235"/>
      <c r="BD42" s="234"/>
      <c r="BE42" s="230"/>
      <c r="BF42" s="235"/>
      <c r="BG42" s="234"/>
      <c r="BH42" s="230"/>
      <c r="BI42" s="235"/>
      <c r="BJ42" s="234"/>
      <c r="BK42" s="230">
        <f>IFERROR(__xludf.DUMMYFUNCTION("""COMPUTED_VALUE"""),14.946505190311418)</f>
        <v>14.94650519</v>
      </c>
      <c r="BL42" s="235"/>
      <c r="BM42" s="234"/>
      <c r="BN42" s="230"/>
      <c r="BO42" s="235"/>
      <c r="BP42" s="234"/>
      <c r="BQ42" s="230"/>
      <c r="BR42" s="235">
        <f>IFERROR(__xludf.DUMMYFUNCTION("""COMPUTED_VALUE"""),146.40851211072663)</f>
        <v>146.4085121</v>
      </c>
      <c r="BS42" s="234"/>
      <c r="BT42" s="230"/>
      <c r="BU42" s="235"/>
      <c r="BV42" s="234"/>
      <c r="BW42" s="230"/>
      <c r="BX42" s="235"/>
      <c r="BY42" s="234">
        <f>IFERROR(__xludf.DUMMYFUNCTION("""COMPUTED_VALUE"""),15.987681660899655)</f>
        <v>15.98768166</v>
      </c>
      <c r="BZ42" s="230"/>
      <c r="CA42" s="235"/>
      <c r="CB42" s="234"/>
      <c r="CC42" s="230"/>
      <c r="CD42" s="235"/>
      <c r="CE42" s="234"/>
      <c r="CF42" s="230">
        <f>IFERROR(__xludf.DUMMYFUNCTION("""COMPUTED_VALUE"""),36.85391003460208)</f>
        <v>36.85391003</v>
      </c>
      <c r="CG42" s="235"/>
      <c r="CH42" s="234"/>
      <c r="CI42" s="230"/>
      <c r="CJ42" s="230"/>
      <c r="CK42" s="234"/>
      <c r="CL42" s="230"/>
      <c r="CM42" s="235">
        <f>IFERROR(__xludf.DUMMYFUNCTION("""COMPUTED_VALUE"""),103.04608996539793)</f>
        <v>103.04609</v>
      </c>
      <c r="CN42" s="230"/>
      <c r="CO42" s="230"/>
      <c r="CP42" s="230"/>
      <c r="CQ42" s="234"/>
      <c r="CR42" s="230"/>
      <c r="CS42" s="230"/>
      <c r="CT42" s="234"/>
      <c r="CU42" s="230"/>
      <c r="CV42" s="230"/>
      <c r="CW42" s="234"/>
      <c r="CX42" s="230"/>
      <c r="CY42" s="235"/>
      <c r="CZ42" s="230"/>
      <c r="DA42" s="230"/>
      <c r="DB42" s="235">
        <f>IFERROR(__xludf.DUMMYFUNCTION("""COMPUTED_VALUE"""),13.135593220338984)</f>
        <v>13.13559322</v>
      </c>
      <c r="DC42" s="234"/>
      <c r="DD42" s="230"/>
      <c r="DE42" s="235"/>
      <c r="DF42" s="234"/>
      <c r="DG42" s="230"/>
      <c r="DH42" s="235"/>
      <c r="DI42" s="234"/>
      <c r="DJ42" s="230">
        <f>IFERROR(__xludf.DUMMYFUNCTION("""COMPUTED_VALUE"""),17.419354838709676)</f>
        <v>17.41935484</v>
      </c>
      <c r="DK42" s="235"/>
      <c r="DL42" s="292"/>
      <c r="DM42" s="293"/>
      <c r="DN42" s="294"/>
      <c r="DO42" s="96"/>
      <c r="DP42" s="96"/>
      <c r="DQ42" s="96"/>
      <c r="DR42" s="96">
        <f>IFERROR(__xludf.DUMMYFUNCTION("""COMPUTED_VALUE"""),4.516129032258064)</f>
        <v>4.516129032</v>
      </c>
      <c r="DS42" s="96"/>
      <c r="DT42" s="96"/>
      <c r="DU42" s="96"/>
    </row>
    <row r="43">
      <c r="B43" s="83" t="str">
        <f>IFERROR(__xludf.DUMMYFUNCTION("""COMPUTED_VALUE"""),"TRF24")</f>
        <v>TRF24</v>
      </c>
      <c r="C43" s="88" t="str">
        <f>IFERROR(__xludf.DUMMYFUNCTION("""COMPUTED_VALUE"""),"SAT Assassin Training Ground- Exp")</f>
        <v>SAT Assassin Training Ground- Exp</v>
      </c>
      <c r="D43" s="102">
        <f>IFERROR(__xludf.DUMMYFUNCTION("""COMPUTED_VALUE"""),40.0)</f>
        <v>40</v>
      </c>
      <c r="E43" s="82" t="b">
        <f>IFERROR(__xludf.DUMMYFUNCTION("""COMPUTED_VALUE"""),TRUE)</f>
        <v>1</v>
      </c>
      <c r="F43" s="82" t="str">
        <f>IFERROR(__xludf.DUMMYFUNCTION("""COMPUTED_VALUE"""),"Training Field!A463:J482")</f>
        <v>Training Field!A463:J482</v>
      </c>
      <c r="G43" s="82">
        <f>IFERROR(__xludf.DUMMYFUNCTION("""COMPUTED_VALUE"""),44.0)</f>
        <v>44</v>
      </c>
      <c r="H43" s="82">
        <f>IFERROR(__xludf.DUMMYFUNCTION("""COMPUTED_VALUE"""),589.0)</f>
        <v>589</v>
      </c>
      <c r="I43" s="82">
        <f>IFERROR(__xludf.DUMMYFUNCTION("""COMPUTED_VALUE"""),6919.0)</f>
        <v>6919</v>
      </c>
      <c r="J43" s="82">
        <f>IFERROR(__xludf.DUMMYFUNCTION("""COMPUTED_VALUE"""),7508.0)</f>
        <v>7508</v>
      </c>
      <c r="K43" s="234"/>
      <c r="L43" s="230"/>
      <c r="M43" s="235"/>
      <c r="N43" s="234"/>
      <c r="O43" s="230"/>
      <c r="P43" s="235"/>
      <c r="Q43" s="234">
        <f>IFERROR(__xludf.DUMMYFUNCTION("""COMPUTED_VALUE"""),12.019212160090461)</f>
        <v>12.01921216</v>
      </c>
      <c r="R43" s="230"/>
      <c r="S43" s="235"/>
      <c r="T43" s="234"/>
      <c r="U43" s="230"/>
      <c r="V43" s="235"/>
      <c r="W43" s="234"/>
      <c r="X43" s="230"/>
      <c r="Y43" s="235"/>
      <c r="Z43" s="234"/>
      <c r="AA43" s="230"/>
      <c r="AB43" s="235"/>
      <c r="AC43" s="234">
        <f>IFERROR(__xludf.DUMMYFUNCTION("""COMPUTED_VALUE"""),31.548308470964308)</f>
        <v>31.54830847</v>
      </c>
      <c r="AD43" s="230">
        <f>IFERROR(__xludf.DUMMYFUNCTION("""COMPUTED_VALUE"""),18.597565046263576)</f>
        <v>18.59756505</v>
      </c>
      <c r="AE43" s="235"/>
      <c r="AF43" s="234"/>
      <c r="AG43" s="230"/>
      <c r="AH43" s="235">
        <f>IFERROR(__xludf.DUMMYFUNCTION("""COMPUTED_VALUE"""),0.8961042008705453)</f>
        <v>0.8961042009</v>
      </c>
      <c r="AI43" s="234"/>
      <c r="AJ43" s="230"/>
      <c r="AK43" s="235"/>
      <c r="AL43" s="231"/>
      <c r="AM43" s="230"/>
      <c r="AN43" s="235"/>
      <c r="AO43" s="234"/>
      <c r="AP43" s="230"/>
      <c r="AQ43" s="235"/>
      <c r="AR43" s="234"/>
      <c r="AS43" s="230"/>
      <c r="AT43" s="235"/>
      <c r="AU43" s="234"/>
      <c r="AV43" s="230"/>
      <c r="AW43" s="235"/>
      <c r="AX43" s="234"/>
      <c r="AY43" s="230">
        <f>IFERROR(__xludf.DUMMYFUNCTION("""COMPUTED_VALUE"""),14.2321704014584)</f>
        <v>14.2321704</v>
      </c>
      <c r="AZ43" s="235">
        <f>IFERROR(__xludf.DUMMYFUNCTION("""COMPUTED_VALUE"""),19.00249828754091)</f>
        <v>19.00249829</v>
      </c>
      <c r="BA43" s="234"/>
      <c r="BB43" s="230"/>
      <c r="BC43" s="235"/>
      <c r="BD43" s="234"/>
      <c r="BE43" s="230"/>
      <c r="BF43" s="235"/>
      <c r="BG43" s="234"/>
      <c r="BH43" s="230"/>
      <c r="BI43" s="235"/>
      <c r="BJ43" s="234"/>
      <c r="BK43" s="230">
        <f>IFERROR(__xludf.DUMMYFUNCTION("""COMPUTED_VALUE"""),25.40632658497603)</f>
        <v>25.40632658</v>
      </c>
      <c r="BL43" s="235"/>
      <c r="BM43" s="234"/>
      <c r="BN43" s="230"/>
      <c r="BO43" s="235"/>
      <c r="BP43" s="234"/>
      <c r="BQ43" s="230"/>
      <c r="BR43" s="235">
        <f>IFERROR(__xludf.DUMMYFUNCTION("""COMPUTED_VALUE"""),118.01197389451251)</f>
        <v>118.0119739</v>
      </c>
      <c r="BS43" s="234"/>
      <c r="BT43" s="230"/>
      <c r="BU43" s="235"/>
      <c r="BV43" s="234"/>
      <c r="BW43" s="230"/>
      <c r="BX43" s="235"/>
      <c r="BY43" s="234">
        <f>IFERROR(__xludf.DUMMYFUNCTION("""COMPUTED_VALUE"""),15.592762006240964)</f>
        <v>15.59276201</v>
      </c>
      <c r="BZ43" s="230"/>
      <c r="CA43" s="235"/>
      <c r="CB43" s="234"/>
      <c r="CC43" s="230"/>
      <c r="CD43" s="235"/>
      <c r="CE43" s="234"/>
      <c r="CF43" s="230">
        <f>IFERROR(__xludf.DUMMYFUNCTION("""COMPUTED_VALUE"""),57.32235495813013)</f>
        <v>57.32235496</v>
      </c>
      <c r="CG43" s="235"/>
      <c r="CH43" s="234"/>
      <c r="CI43" s="230"/>
      <c r="CJ43" s="230"/>
      <c r="CK43" s="234"/>
      <c r="CL43" s="230"/>
      <c r="CM43" s="235">
        <f>IFERROR(__xludf.DUMMYFUNCTION("""COMPUTED_VALUE"""),79.76481814165004)</f>
        <v>79.76481814</v>
      </c>
      <c r="CN43" s="230"/>
      <c r="CO43" s="230"/>
      <c r="CP43" s="230"/>
      <c r="CQ43" s="234"/>
      <c r="CR43" s="230"/>
      <c r="CS43" s="230"/>
      <c r="CT43" s="234"/>
      <c r="CU43" s="230"/>
      <c r="CV43" s="230"/>
      <c r="CW43" s="234"/>
      <c r="CX43" s="230"/>
      <c r="CY43" s="235"/>
      <c r="CZ43" s="230"/>
      <c r="DA43" s="230"/>
      <c r="DB43" s="235">
        <f>IFERROR(__xludf.DUMMYFUNCTION("""COMPUTED_VALUE"""),10.74523396880416)</f>
        <v>10.74523397</v>
      </c>
      <c r="DC43" s="234"/>
      <c r="DD43" s="230"/>
      <c r="DE43" s="235"/>
      <c r="DF43" s="234"/>
      <c r="DG43" s="230"/>
      <c r="DH43" s="235"/>
      <c r="DI43" s="234"/>
      <c r="DJ43" s="230">
        <f>IFERROR(__xludf.DUMMYFUNCTION("""COMPUTED_VALUE"""),26.394052044609666)</f>
        <v>26.39405204</v>
      </c>
      <c r="DK43" s="235"/>
      <c r="DL43" s="280"/>
      <c r="DM43" s="286"/>
      <c r="DN43" s="282"/>
      <c r="DO43" s="96"/>
      <c r="DP43" s="96"/>
      <c r="DQ43" s="96"/>
      <c r="DR43" s="96">
        <f>IFERROR(__xludf.DUMMYFUNCTION("""COMPUTED_VALUE"""),7.806691449814126)</f>
        <v>7.80669145</v>
      </c>
      <c r="DS43" s="96"/>
      <c r="DT43" s="96"/>
      <c r="DU43" s="96"/>
    </row>
    <row r="44">
      <c r="B44" s="83" t="str">
        <f>IFERROR(__xludf.DUMMYFUNCTION("""COMPUTED_VALUE"""),"TRF25")</f>
        <v>TRF25</v>
      </c>
      <c r="C44" s="88" t="str">
        <f>IFERROR(__xludf.DUMMYFUNCTION("""COMPUTED_VALUE"""),"SUN Saber Training Ground- Nov")</f>
        <v>SUN Saber Training Ground- Nov</v>
      </c>
      <c r="D44" s="102">
        <f>IFERROR(__xludf.DUMMYFUNCTION("""COMPUTED_VALUE"""),10.0)</f>
        <v>10</v>
      </c>
      <c r="E44" s="82" t="b">
        <f>IFERROR(__xludf.DUMMYFUNCTION("""COMPUTED_VALUE"""),TRUE)</f>
        <v>1</v>
      </c>
      <c r="F44" s="82" t="str">
        <f>IFERROR(__xludf.DUMMYFUNCTION("""COMPUTED_VALUE"""),"Training Field!A486:J502")</f>
        <v>Training Field!A486:J502</v>
      </c>
      <c r="G44" s="82">
        <f>IFERROR(__xludf.DUMMYFUNCTION("""COMPUTED_VALUE"""),45.0)</f>
        <v>45</v>
      </c>
      <c r="H44" s="82">
        <f>IFERROR(__xludf.DUMMYFUNCTION("""COMPUTED_VALUE"""),544.0)</f>
        <v>544</v>
      </c>
      <c r="I44" s="82">
        <f>IFERROR(__xludf.DUMMYFUNCTION("""COMPUTED_VALUE"""),29049.0)</f>
        <v>29049</v>
      </c>
      <c r="J44" s="82">
        <f>IFERROR(__xludf.DUMMYFUNCTION("""COMPUTED_VALUE"""),29593.0)</f>
        <v>29593</v>
      </c>
      <c r="K44" s="234"/>
      <c r="L44" s="230"/>
      <c r="M44" s="235"/>
      <c r="N44" s="234"/>
      <c r="O44" s="230"/>
      <c r="P44" s="235"/>
      <c r="Q44" s="234"/>
      <c r="R44" s="230"/>
      <c r="S44" s="235"/>
      <c r="T44" s="234"/>
      <c r="U44" s="230"/>
      <c r="V44" s="235"/>
      <c r="W44" s="234"/>
      <c r="X44" s="230"/>
      <c r="Y44" s="235"/>
      <c r="Z44" s="234"/>
      <c r="AA44" s="230"/>
      <c r="AB44" s="235"/>
      <c r="AC44" s="234"/>
      <c r="AD44" s="230"/>
      <c r="AE44" s="235"/>
      <c r="AF44" s="234"/>
      <c r="AG44" s="230"/>
      <c r="AH44" s="235">
        <f>IFERROR(__xludf.DUMMYFUNCTION("""COMPUTED_VALUE"""),4.528790592369817)</f>
        <v>4.528790592</v>
      </c>
      <c r="AI44" s="234"/>
      <c r="AJ44" s="230"/>
      <c r="AK44" s="235"/>
      <c r="AL44" s="231"/>
      <c r="AM44" s="230">
        <f>IFERROR(__xludf.DUMMYFUNCTION("""COMPUTED_VALUE"""),4.721734869732708)</f>
        <v>4.72173487</v>
      </c>
      <c r="AN44" s="235"/>
      <c r="AO44" s="234"/>
      <c r="AP44" s="230"/>
      <c r="AQ44" s="235"/>
      <c r="AR44" s="234"/>
      <c r="AS44" s="230"/>
      <c r="AT44" s="235"/>
      <c r="AU44" s="234"/>
      <c r="AV44" s="230"/>
      <c r="AW44" s="235">
        <f>IFERROR(__xludf.DUMMYFUNCTION("""COMPUTED_VALUE"""),9.148984557158787)</f>
        <v>9.148984557</v>
      </c>
      <c r="AX44" s="234">
        <f>IFERROR(__xludf.DUMMYFUNCTION("""COMPUTED_VALUE"""),23.45999053830298)</f>
        <v>23.45999054</v>
      </c>
      <c r="AY44" s="230">
        <f>IFERROR(__xludf.DUMMYFUNCTION("""COMPUTED_VALUE"""),3.6115432703679926)</f>
        <v>3.61154327</v>
      </c>
      <c r="AZ44" s="235">
        <f>IFERROR(__xludf.DUMMYFUNCTION("""COMPUTED_VALUE"""),5.016220052039333)</f>
        <v>5.016220052</v>
      </c>
      <c r="BA44" s="234"/>
      <c r="BB44" s="230"/>
      <c r="BC44" s="235"/>
      <c r="BD44" s="234"/>
      <c r="BE44" s="230"/>
      <c r="BF44" s="235"/>
      <c r="BG44" s="234"/>
      <c r="BH44" s="230"/>
      <c r="BI44" s="235"/>
      <c r="BJ44" s="234"/>
      <c r="BK44" s="230"/>
      <c r="BL44" s="235"/>
      <c r="BM44" s="234"/>
      <c r="BN44" s="230"/>
      <c r="BO44" s="235"/>
      <c r="BP44" s="234"/>
      <c r="BQ44" s="230"/>
      <c r="BR44" s="235"/>
      <c r="BS44" s="234"/>
      <c r="BT44" s="230">
        <f>IFERROR(__xludf.DUMMYFUNCTION("""COMPUTED_VALUE"""),125.19277869766499)</f>
        <v>125.1927787</v>
      </c>
      <c r="BU44" s="235"/>
      <c r="BV44" s="234"/>
      <c r="BW44" s="230"/>
      <c r="BX44" s="235"/>
      <c r="BY44" s="234"/>
      <c r="BZ44" s="230"/>
      <c r="CA44" s="235">
        <f>IFERROR(__xludf.DUMMYFUNCTION("""COMPUTED_VALUE"""),2.115463116277498)</f>
        <v>2.115463116</v>
      </c>
      <c r="CB44" s="234"/>
      <c r="CC44" s="230"/>
      <c r="CD44" s="235"/>
      <c r="CE44" s="234"/>
      <c r="CF44" s="230"/>
      <c r="CG44" s="235"/>
      <c r="CH44" s="234">
        <f>IFERROR(__xludf.DUMMYFUNCTION("""COMPUTED_VALUE"""),21.913057141891663)</f>
        <v>21.91305714</v>
      </c>
      <c r="CI44" s="230"/>
      <c r="CJ44" s="230"/>
      <c r="CK44" s="234"/>
      <c r="CL44" s="230"/>
      <c r="CM44" s="235"/>
      <c r="CN44" s="230"/>
      <c r="CO44" s="230"/>
      <c r="CP44" s="230"/>
      <c r="CQ44" s="234"/>
      <c r="CR44" s="230"/>
      <c r="CS44" s="230"/>
      <c r="CT44" s="234"/>
      <c r="CU44" s="230"/>
      <c r="CV44" s="230"/>
      <c r="CW44" s="234">
        <f>IFERROR(__xludf.DUMMYFUNCTION("""COMPUTED_VALUE"""),82.22222222222221)</f>
        <v>82.22222222</v>
      </c>
      <c r="CX44" s="230"/>
      <c r="CY44" s="235"/>
      <c r="CZ44" s="230"/>
      <c r="DA44" s="230"/>
      <c r="DB44" s="235"/>
      <c r="DC44" s="234"/>
      <c r="DD44" s="230"/>
      <c r="DE44" s="235">
        <f>IFERROR(__xludf.DUMMYFUNCTION("""COMPUTED_VALUE"""),14.882506527415144)</f>
        <v>14.88250653</v>
      </c>
      <c r="DF44" s="234"/>
      <c r="DG44" s="230"/>
      <c r="DH44" s="235"/>
      <c r="DI44" s="234"/>
      <c r="DJ44" s="230"/>
      <c r="DK44" s="235"/>
      <c r="DL44" s="292"/>
      <c r="DM44" s="293">
        <f>IFERROR(__xludf.DUMMYFUNCTION("""COMPUTED_VALUE"""),22.715404699738905)</f>
        <v>22.7154047</v>
      </c>
      <c r="DN44" s="294"/>
      <c r="DO44" s="96"/>
      <c r="DP44" s="96"/>
      <c r="DQ44" s="96"/>
      <c r="DR44" s="96"/>
      <c r="DS44" s="96"/>
      <c r="DT44" s="96"/>
      <c r="DU44" s="96"/>
    </row>
    <row r="45">
      <c r="B45" s="83" t="str">
        <f>IFERROR(__xludf.DUMMYFUNCTION("""COMPUTED_VALUE"""),"TRF26")</f>
        <v>TRF26</v>
      </c>
      <c r="C45" s="88" t="str">
        <f>IFERROR(__xludf.DUMMYFUNCTION("""COMPUTED_VALUE"""),"SUN Saber Training Ground- Int")</f>
        <v>SUN Saber Training Ground- Int</v>
      </c>
      <c r="D45" s="102">
        <f>IFERROR(__xludf.DUMMYFUNCTION("""COMPUTED_VALUE"""),20.0)</f>
        <v>20</v>
      </c>
      <c r="E45" s="82" t="b">
        <f>IFERROR(__xludf.DUMMYFUNCTION("""COMPUTED_VALUE"""),TRUE)</f>
        <v>1</v>
      </c>
      <c r="F45" s="82" t="str">
        <f>IFERROR(__xludf.DUMMYFUNCTION("""COMPUTED_VALUE"""),"Training Field!A506:J523")</f>
        <v>Training Field!A506:J523</v>
      </c>
      <c r="G45" s="82">
        <f>IFERROR(__xludf.DUMMYFUNCTION("""COMPUTED_VALUE"""),46.0)</f>
        <v>46</v>
      </c>
      <c r="H45" s="82">
        <f>IFERROR(__xludf.DUMMYFUNCTION("""COMPUTED_VALUE"""),97.0)</f>
        <v>97</v>
      </c>
      <c r="I45" s="82">
        <f>IFERROR(__xludf.DUMMYFUNCTION("""COMPUTED_VALUE"""),1062.0)</f>
        <v>1062</v>
      </c>
      <c r="J45" s="82">
        <f>IFERROR(__xludf.DUMMYFUNCTION("""COMPUTED_VALUE"""),1159.0)</f>
        <v>1159</v>
      </c>
      <c r="K45" s="234"/>
      <c r="L45" s="230"/>
      <c r="M45" s="235"/>
      <c r="N45" s="234"/>
      <c r="O45" s="230"/>
      <c r="P45" s="235"/>
      <c r="Q45" s="234"/>
      <c r="R45" s="230"/>
      <c r="S45" s="235"/>
      <c r="T45" s="234"/>
      <c r="U45" s="230"/>
      <c r="V45" s="235"/>
      <c r="W45" s="234"/>
      <c r="X45" s="230"/>
      <c r="Y45" s="235"/>
      <c r="Z45" s="234"/>
      <c r="AA45" s="230"/>
      <c r="AB45" s="235"/>
      <c r="AC45" s="234">
        <f>IFERROR(__xludf.DUMMYFUNCTION("""COMPUTED_VALUE"""),12.861087144089733)</f>
        <v>12.86108714</v>
      </c>
      <c r="AD45" s="230"/>
      <c r="AE45" s="235"/>
      <c r="AF45" s="234"/>
      <c r="AG45" s="230"/>
      <c r="AH45" s="235">
        <f>IFERROR(__xludf.DUMMYFUNCTION("""COMPUTED_VALUE"""),9.179810181190682)</f>
        <v>9.179810181</v>
      </c>
      <c r="AI45" s="234"/>
      <c r="AJ45" s="230"/>
      <c r="AK45" s="235"/>
      <c r="AL45" s="231"/>
      <c r="AM45" s="230">
        <f>IFERROR(__xludf.DUMMYFUNCTION("""COMPUTED_VALUE"""),10.786367558239862)</f>
        <v>10.78636756</v>
      </c>
      <c r="AN45" s="235"/>
      <c r="AO45" s="234"/>
      <c r="AP45" s="230"/>
      <c r="AQ45" s="235"/>
      <c r="AR45" s="234"/>
      <c r="AS45" s="230"/>
      <c r="AT45" s="235"/>
      <c r="AU45" s="234"/>
      <c r="AV45" s="230"/>
      <c r="AW45" s="235">
        <f>IFERROR(__xludf.DUMMYFUNCTION("""COMPUTED_VALUE"""),10.76427955133736)</f>
        <v>10.76427955</v>
      </c>
      <c r="AX45" s="234"/>
      <c r="AY45" s="230"/>
      <c r="AZ45" s="235">
        <f>IFERROR(__xludf.DUMMYFUNCTION("""COMPUTED_VALUE"""),15.949784296807593)</f>
        <v>15.9497843</v>
      </c>
      <c r="BA45" s="234"/>
      <c r="BB45" s="230"/>
      <c r="BC45" s="235"/>
      <c r="BD45" s="234"/>
      <c r="BE45" s="230"/>
      <c r="BF45" s="235"/>
      <c r="BG45" s="234"/>
      <c r="BH45" s="230"/>
      <c r="BI45" s="235"/>
      <c r="BJ45" s="234"/>
      <c r="BK45" s="230"/>
      <c r="BL45" s="235"/>
      <c r="BM45" s="234">
        <f>IFERROR(__xludf.DUMMYFUNCTION("""COMPUTED_VALUE"""),78.33632441760139)</f>
        <v>78.33632442</v>
      </c>
      <c r="BN45" s="230"/>
      <c r="BO45" s="235"/>
      <c r="BP45" s="234"/>
      <c r="BQ45" s="230"/>
      <c r="BR45" s="235"/>
      <c r="BS45" s="234"/>
      <c r="BT45" s="230">
        <f>IFERROR(__xludf.DUMMYFUNCTION("""COMPUTED_VALUE"""),112.53270060396895)</f>
        <v>112.5327006</v>
      </c>
      <c r="BU45" s="235"/>
      <c r="BV45" s="234"/>
      <c r="BW45" s="230"/>
      <c r="BX45" s="235"/>
      <c r="BY45" s="234"/>
      <c r="BZ45" s="230"/>
      <c r="CA45" s="235">
        <f>IFERROR(__xludf.DUMMYFUNCTION("""COMPUTED_VALUE"""),7.837446074201899)</f>
        <v>7.837446074</v>
      </c>
      <c r="CB45" s="234"/>
      <c r="CC45" s="230"/>
      <c r="CD45" s="235"/>
      <c r="CE45" s="234"/>
      <c r="CF45" s="230"/>
      <c r="CG45" s="235"/>
      <c r="CH45" s="234">
        <f>IFERROR(__xludf.DUMMYFUNCTION("""COMPUTED_VALUE"""),69.4427955133736)</f>
        <v>69.44279551</v>
      </c>
      <c r="CI45" s="230"/>
      <c r="CJ45" s="230"/>
      <c r="CK45" s="234"/>
      <c r="CL45" s="230"/>
      <c r="CM45" s="235"/>
      <c r="CN45" s="230"/>
      <c r="CO45" s="230"/>
      <c r="CP45" s="230"/>
      <c r="CQ45" s="234"/>
      <c r="CR45" s="230"/>
      <c r="CS45" s="230"/>
      <c r="CT45" s="234"/>
      <c r="CU45" s="230"/>
      <c r="CV45" s="230"/>
      <c r="CW45" s="234">
        <f>IFERROR(__xludf.DUMMYFUNCTION("""COMPUTED_VALUE"""),62.88659793814433)</f>
        <v>62.88659794</v>
      </c>
      <c r="CX45" s="230"/>
      <c r="CY45" s="235"/>
      <c r="CZ45" s="230"/>
      <c r="DA45" s="230"/>
      <c r="DB45" s="235"/>
      <c r="DC45" s="234"/>
      <c r="DD45" s="230"/>
      <c r="DE45" s="235">
        <f>IFERROR(__xludf.DUMMYFUNCTION("""COMPUTED_VALUE"""),20.689655172413794)</f>
        <v>20.68965517</v>
      </c>
      <c r="DF45" s="234"/>
      <c r="DG45" s="230"/>
      <c r="DH45" s="235"/>
      <c r="DI45" s="234"/>
      <c r="DJ45" s="230"/>
      <c r="DK45" s="235"/>
      <c r="DL45" s="280"/>
      <c r="DM45" s="286">
        <f>IFERROR(__xludf.DUMMYFUNCTION("""COMPUTED_VALUE"""),18.96551724137931)</f>
        <v>18.96551724</v>
      </c>
      <c r="DN45" s="282"/>
      <c r="DO45" s="96"/>
      <c r="DP45" s="96"/>
      <c r="DQ45" s="96"/>
      <c r="DR45" s="96"/>
      <c r="DS45" s="96"/>
      <c r="DT45" s="96"/>
      <c r="DU45" s="96"/>
    </row>
    <row r="46">
      <c r="B46" s="83" t="str">
        <f>IFERROR(__xludf.DUMMYFUNCTION("""COMPUTED_VALUE"""),"TRF27")</f>
        <v>TRF27</v>
      </c>
      <c r="C46" s="88" t="str">
        <f>IFERROR(__xludf.DUMMYFUNCTION("""COMPUTED_VALUE"""),"SUN Saber Training Ground- Adv")</f>
        <v>SUN Saber Training Ground- Adv</v>
      </c>
      <c r="D46" s="102">
        <f>IFERROR(__xludf.DUMMYFUNCTION("""COMPUTED_VALUE"""),30.0)</f>
        <v>30</v>
      </c>
      <c r="E46" s="82" t="b">
        <f>IFERROR(__xludf.DUMMYFUNCTION("""COMPUTED_VALUE"""),TRUE)</f>
        <v>1</v>
      </c>
      <c r="F46" s="82" t="str">
        <f>IFERROR(__xludf.DUMMYFUNCTION("""COMPUTED_VALUE"""),"Training Field!A527:J547")</f>
        <v>Training Field!A527:J547</v>
      </c>
      <c r="G46" s="82">
        <f>IFERROR(__xludf.DUMMYFUNCTION("""COMPUTED_VALUE"""),47.0)</f>
        <v>47</v>
      </c>
      <c r="H46" s="82">
        <f>IFERROR(__xludf.DUMMYFUNCTION("""COMPUTED_VALUE"""),495.0)</f>
        <v>495</v>
      </c>
      <c r="I46" s="82">
        <f>IFERROR(__xludf.DUMMYFUNCTION("""COMPUTED_VALUE"""),3856.0)</f>
        <v>3856</v>
      </c>
      <c r="J46" s="82">
        <f>IFERROR(__xludf.DUMMYFUNCTION("""COMPUTED_VALUE"""),4351.0)</f>
        <v>4351</v>
      </c>
      <c r="K46" s="234"/>
      <c r="L46" s="230"/>
      <c r="M46" s="235"/>
      <c r="N46" s="234">
        <f>IFERROR(__xludf.DUMMYFUNCTION("""COMPUTED_VALUE"""),3.8470236727189153)</f>
        <v>3.847023673</v>
      </c>
      <c r="O46" s="230"/>
      <c r="P46" s="235"/>
      <c r="Q46" s="234"/>
      <c r="R46" s="230"/>
      <c r="S46" s="235"/>
      <c r="T46" s="234"/>
      <c r="U46" s="230"/>
      <c r="V46" s="235"/>
      <c r="W46" s="234"/>
      <c r="X46" s="230"/>
      <c r="Y46" s="235"/>
      <c r="Z46" s="234"/>
      <c r="AA46" s="230"/>
      <c r="AB46" s="235"/>
      <c r="AC46" s="234">
        <f>IFERROR(__xludf.DUMMYFUNCTION("""COMPUTED_VALUE"""),24.096529533440588)</f>
        <v>24.09652953</v>
      </c>
      <c r="AD46" s="230"/>
      <c r="AE46" s="235"/>
      <c r="AF46" s="234"/>
      <c r="AG46" s="230">
        <f>IFERROR(__xludf.DUMMYFUNCTION("""COMPUTED_VALUE"""),17.561204320845782)</f>
        <v>17.56120432</v>
      </c>
      <c r="AH46" s="235">
        <f>IFERROR(__xludf.DUMMYFUNCTION("""COMPUTED_VALUE"""),14.741622615490693)</f>
        <v>14.74162262</v>
      </c>
      <c r="AI46" s="234"/>
      <c r="AJ46" s="230"/>
      <c r="AK46" s="235"/>
      <c r="AL46" s="231"/>
      <c r="AM46" s="230">
        <f>IFERROR(__xludf.DUMMYFUNCTION("""COMPUTED_VALUE"""),15.480027579866698)</f>
        <v>15.48002758</v>
      </c>
      <c r="AN46" s="235"/>
      <c r="AO46" s="234"/>
      <c r="AP46" s="230"/>
      <c r="AQ46" s="235"/>
      <c r="AR46" s="234"/>
      <c r="AS46" s="230"/>
      <c r="AT46" s="235"/>
      <c r="AU46" s="234"/>
      <c r="AV46" s="230"/>
      <c r="AW46" s="235">
        <f>IFERROR(__xludf.DUMMYFUNCTION("""COMPUTED_VALUE"""),13.743599172604)</f>
        <v>13.74359917</v>
      </c>
      <c r="AX46" s="234"/>
      <c r="AY46" s="230"/>
      <c r="AZ46" s="235">
        <f>IFERROR(__xludf.DUMMYFUNCTION("""COMPUTED_VALUE"""),20.02298322224776)</f>
        <v>20.02298322</v>
      </c>
      <c r="BA46" s="234"/>
      <c r="BB46" s="230"/>
      <c r="BC46" s="235"/>
      <c r="BD46" s="234"/>
      <c r="BE46" s="230"/>
      <c r="BF46" s="235">
        <f>IFERROR(__xludf.DUMMYFUNCTION("""COMPUTED_VALUE"""),4.959779361066421)</f>
        <v>4.959779361</v>
      </c>
      <c r="BG46" s="234"/>
      <c r="BH46" s="230"/>
      <c r="BI46" s="235"/>
      <c r="BJ46" s="234"/>
      <c r="BK46" s="230"/>
      <c r="BL46" s="235"/>
      <c r="BM46" s="234">
        <f>IFERROR(__xludf.DUMMYFUNCTION("""COMPUTED_VALUE"""),133.8701683380888)</f>
        <v>133.8701683</v>
      </c>
      <c r="BN46" s="230"/>
      <c r="BO46" s="235"/>
      <c r="BP46" s="234"/>
      <c r="BQ46" s="230"/>
      <c r="BR46" s="235"/>
      <c r="BS46" s="234"/>
      <c r="BT46" s="230">
        <f>IFERROR(__xludf.DUMMYFUNCTION("""COMPUTED_VALUE"""),25.451690253844756)</f>
        <v>25.45169025</v>
      </c>
      <c r="BU46" s="235"/>
      <c r="BV46" s="234"/>
      <c r="BW46" s="230"/>
      <c r="BX46" s="235"/>
      <c r="BY46" s="234"/>
      <c r="BZ46" s="230"/>
      <c r="CA46" s="235">
        <f>IFERROR(__xludf.DUMMYFUNCTION("""COMPUTED_VALUE"""),34.35521647958053)</f>
        <v>34.35521648</v>
      </c>
      <c r="CB46" s="234"/>
      <c r="CC46" s="230"/>
      <c r="CD46" s="235"/>
      <c r="CE46" s="234"/>
      <c r="CF46" s="230"/>
      <c r="CG46" s="235"/>
      <c r="CH46" s="234">
        <f>IFERROR(__xludf.DUMMYFUNCTION("""COMPUTED_VALUE"""),99.89047181271957)</f>
        <v>99.89047181</v>
      </c>
      <c r="CI46" s="230"/>
      <c r="CJ46" s="230"/>
      <c r="CK46" s="234"/>
      <c r="CL46" s="230"/>
      <c r="CM46" s="235"/>
      <c r="CN46" s="230"/>
      <c r="CO46" s="230"/>
      <c r="CP46" s="230"/>
      <c r="CQ46" s="234"/>
      <c r="CR46" s="230"/>
      <c r="CS46" s="230"/>
      <c r="CT46" s="234"/>
      <c r="CU46" s="230"/>
      <c r="CV46" s="230"/>
      <c r="CW46" s="234">
        <f>IFERROR(__xludf.DUMMYFUNCTION("""COMPUTED_VALUE"""),8.722741433021806)</f>
        <v>8.722741433</v>
      </c>
      <c r="CX46" s="230"/>
      <c r="CY46" s="235"/>
      <c r="CZ46" s="230"/>
      <c r="DA46" s="230"/>
      <c r="DB46" s="235"/>
      <c r="DC46" s="234"/>
      <c r="DD46" s="230"/>
      <c r="DE46" s="235">
        <f>IFERROR(__xludf.DUMMYFUNCTION("""COMPUTED_VALUE"""),13.545816733067728)</f>
        <v>13.54581673</v>
      </c>
      <c r="DF46" s="234"/>
      <c r="DG46" s="230"/>
      <c r="DH46" s="235"/>
      <c r="DI46" s="234"/>
      <c r="DJ46" s="230"/>
      <c r="DK46" s="235"/>
      <c r="DL46" s="292"/>
      <c r="DM46" s="293">
        <f>IFERROR(__xludf.DUMMYFUNCTION("""COMPUTED_VALUE"""),19.52191235059761)</f>
        <v>19.52191235</v>
      </c>
      <c r="DN46" s="294"/>
      <c r="DO46" s="96"/>
      <c r="DP46" s="96"/>
      <c r="DQ46" s="96"/>
      <c r="DR46" s="96"/>
      <c r="DS46" s="96"/>
      <c r="DT46" s="96"/>
      <c r="DU46" s="96"/>
    </row>
    <row r="47">
      <c r="B47" s="83" t="str">
        <f>IFERROR(__xludf.DUMMYFUNCTION("""COMPUTED_VALUE"""),"TRF28")</f>
        <v>TRF28</v>
      </c>
      <c r="C47" s="88" t="str">
        <f>IFERROR(__xludf.DUMMYFUNCTION("""COMPUTED_VALUE"""),"SUN Saber Training Ground- Exp")</f>
        <v>SUN Saber Training Ground- Exp</v>
      </c>
      <c r="D47" s="102">
        <f>IFERROR(__xludf.DUMMYFUNCTION("""COMPUTED_VALUE"""),40.0)</f>
        <v>40</v>
      </c>
      <c r="E47" s="82" t="b">
        <f>IFERROR(__xludf.DUMMYFUNCTION("""COMPUTED_VALUE"""),TRUE)</f>
        <v>1</v>
      </c>
      <c r="F47" s="82" t="str">
        <f>IFERROR(__xludf.DUMMYFUNCTION("""COMPUTED_VALUE"""),"Training Field!A551:J570")</f>
        <v>Training Field!A551:J570</v>
      </c>
      <c r="G47" s="82">
        <f>IFERROR(__xludf.DUMMYFUNCTION("""COMPUTED_VALUE"""),48.0)</f>
        <v>48</v>
      </c>
      <c r="H47" s="82">
        <f>IFERROR(__xludf.DUMMYFUNCTION("""COMPUTED_VALUE"""),975.0)</f>
        <v>975</v>
      </c>
      <c r="I47" s="82">
        <f>IFERROR(__xludf.DUMMYFUNCTION("""COMPUTED_VALUE"""),27682.0)</f>
        <v>27682</v>
      </c>
      <c r="J47" s="82">
        <f>IFERROR(__xludf.DUMMYFUNCTION("""COMPUTED_VALUE"""),28657.0)</f>
        <v>28657</v>
      </c>
      <c r="K47" s="234"/>
      <c r="L47" s="230"/>
      <c r="M47" s="235"/>
      <c r="N47" s="234">
        <f>IFERROR(__xludf.DUMMYFUNCTION("""COMPUTED_VALUE"""),8.00348954880134)</f>
        <v>8.003489549</v>
      </c>
      <c r="O47" s="230"/>
      <c r="P47" s="235"/>
      <c r="Q47" s="234"/>
      <c r="R47" s="230"/>
      <c r="S47" s="235"/>
      <c r="T47" s="234"/>
      <c r="U47" s="230"/>
      <c r="V47" s="235"/>
      <c r="W47" s="234"/>
      <c r="X47" s="230"/>
      <c r="Y47" s="235"/>
      <c r="Z47" s="234"/>
      <c r="AA47" s="230"/>
      <c r="AB47" s="235"/>
      <c r="AC47" s="234">
        <f>IFERROR(__xludf.DUMMYFUNCTION("""COMPUTED_VALUE"""),26.723292738248944)</f>
        <v>26.72329274</v>
      </c>
      <c r="AD47" s="230"/>
      <c r="AE47" s="235"/>
      <c r="AF47" s="234"/>
      <c r="AG47" s="230">
        <f>IFERROR(__xludf.DUMMYFUNCTION("""COMPUTED_VALUE"""),10.60575775552221)</f>
        <v>10.60575776</v>
      </c>
      <c r="AH47" s="235">
        <f>IFERROR(__xludf.DUMMYFUNCTION("""COMPUTED_VALUE"""),20.352648841513055)</f>
        <v>20.35264884</v>
      </c>
      <c r="AI47" s="234"/>
      <c r="AJ47" s="230"/>
      <c r="AK47" s="235"/>
      <c r="AL47" s="231"/>
      <c r="AM47" s="230">
        <f>IFERROR(__xludf.DUMMYFUNCTION("""COMPUTED_VALUE"""),20.510904840004187)</f>
        <v>20.51090484</v>
      </c>
      <c r="AN47" s="235"/>
      <c r="AO47" s="234"/>
      <c r="AP47" s="230"/>
      <c r="AQ47" s="235"/>
      <c r="AR47" s="234"/>
      <c r="AS47" s="230"/>
      <c r="AT47" s="235"/>
      <c r="AU47" s="234"/>
      <c r="AV47" s="230"/>
      <c r="AW47" s="235">
        <f>IFERROR(__xludf.DUMMYFUNCTION("""COMPUTED_VALUE"""),18.818780751648813)</f>
        <v>18.81878075</v>
      </c>
      <c r="AX47" s="234"/>
      <c r="AY47" s="230"/>
      <c r="AZ47" s="235">
        <f>IFERROR(__xludf.DUMMYFUNCTION("""COMPUTED_VALUE"""),22.455010775784377)</f>
        <v>22.45501078</v>
      </c>
      <c r="BA47" s="234"/>
      <c r="BB47" s="230"/>
      <c r="BC47" s="235"/>
      <c r="BD47" s="234"/>
      <c r="BE47" s="230"/>
      <c r="BF47" s="235">
        <f>IFERROR(__xludf.DUMMYFUNCTION("""COMPUTED_VALUE"""),27.640415954217122)</f>
        <v>27.64041595</v>
      </c>
      <c r="BG47" s="234"/>
      <c r="BH47" s="230"/>
      <c r="BI47" s="235"/>
      <c r="BJ47" s="234"/>
      <c r="BK47" s="230"/>
      <c r="BL47" s="235"/>
      <c r="BM47" s="234">
        <f>IFERROR(__xludf.DUMMYFUNCTION("""COMPUTED_VALUE"""),116.57032257015632)</f>
        <v>116.5703226</v>
      </c>
      <c r="BN47" s="230"/>
      <c r="BO47" s="235"/>
      <c r="BP47" s="234"/>
      <c r="BQ47" s="230"/>
      <c r="BR47" s="235"/>
      <c r="BS47" s="234"/>
      <c r="BT47" s="230">
        <f>IFERROR(__xludf.DUMMYFUNCTION("""COMPUTED_VALUE"""),23.553917084439135)</f>
        <v>23.55391708</v>
      </c>
      <c r="BU47" s="235"/>
      <c r="BV47" s="234"/>
      <c r="BW47" s="230"/>
      <c r="BX47" s="235"/>
      <c r="BY47" s="234"/>
      <c r="BZ47" s="230"/>
      <c r="CA47" s="235">
        <f>IFERROR(__xludf.DUMMYFUNCTION("""COMPUTED_VALUE"""),53.83079244675724)</f>
        <v>53.83079245</v>
      </c>
      <c r="CB47" s="234"/>
      <c r="CC47" s="230"/>
      <c r="CD47" s="235"/>
      <c r="CE47" s="234"/>
      <c r="CF47" s="230"/>
      <c r="CG47" s="235"/>
      <c r="CH47" s="234">
        <f>IFERROR(__xludf.DUMMYFUNCTION("""COMPUTED_VALUE"""),73.19073200737559)</f>
        <v>73.19073201</v>
      </c>
      <c r="CI47" s="230"/>
      <c r="CJ47" s="230"/>
      <c r="CK47" s="234"/>
      <c r="CL47" s="230"/>
      <c r="CM47" s="235"/>
      <c r="CN47" s="230"/>
      <c r="CO47" s="230"/>
      <c r="CP47" s="230"/>
      <c r="CQ47" s="234"/>
      <c r="CR47" s="230"/>
      <c r="CS47" s="230"/>
      <c r="CT47" s="234"/>
      <c r="CU47" s="230"/>
      <c r="CV47" s="230"/>
      <c r="CW47" s="234">
        <f>IFERROR(__xludf.DUMMYFUNCTION("""COMPUTED_VALUE"""),9.523809523809524)</f>
        <v>9.523809524</v>
      </c>
      <c r="CX47" s="230"/>
      <c r="CY47" s="235"/>
      <c r="CZ47" s="230"/>
      <c r="DA47" s="230"/>
      <c r="DB47" s="235"/>
      <c r="DC47" s="234"/>
      <c r="DD47" s="230"/>
      <c r="DE47" s="235">
        <f>IFERROR(__xludf.DUMMYFUNCTION("""COMPUTED_VALUE"""),16.872427983539097)</f>
        <v>16.87242798</v>
      </c>
      <c r="DF47" s="234"/>
      <c r="DG47" s="230"/>
      <c r="DH47" s="235"/>
      <c r="DI47" s="234"/>
      <c r="DJ47" s="230"/>
      <c r="DK47" s="235"/>
      <c r="DL47" s="280"/>
      <c r="DM47" s="286">
        <f>IFERROR(__xludf.DUMMYFUNCTION("""COMPUTED_VALUE"""),14.799999999999999)</f>
        <v>14.8</v>
      </c>
      <c r="DN47" s="282"/>
      <c r="DO47" s="96"/>
      <c r="DP47" s="96"/>
      <c r="DQ47" s="96"/>
      <c r="DR47" s="96"/>
      <c r="DS47" s="96"/>
      <c r="DT47" s="96"/>
      <c r="DU47" s="96"/>
    </row>
    <row r="48">
      <c r="A48" s="110" t="str">
        <f>IFERROR(__xludf.DUMMYFUNCTION("""COMPUTED_VALUE"""),"FUYUKI")</f>
        <v>FUYUKI</v>
      </c>
      <c r="B48" s="83" t="str">
        <f>IFERROR(__xludf.DUMMYFUNCTION("""COMPUTED_VALUE"""),"FUY1")</f>
        <v>FUY1</v>
      </c>
      <c r="C48" s="88" t="str">
        <f>IFERROR(__xludf.DUMMYFUNCTION("""COMPUTED_VALUE"""),"Unknown Coordinates X-A")</f>
        <v>Unknown Coordinates X-A</v>
      </c>
      <c r="D48" s="102">
        <f>IFERROR(__xludf.DUMMYFUNCTION("""COMPUTED_VALUE"""),3.0)</f>
        <v>3</v>
      </c>
      <c r="E48" s="82" t="b">
        <f>IFERROR(__xludf.DUMMYFUNCTION("""COMPUTED_VALUE"""),TRUE)</f>
        <v>1</v>
      </c>
      <c r="F48" s="82" t="str">
        <f>IFERROR(__xludf.DUMMYFUNCTION("""COMPUTED_VALUE"""),"Free Quests- Part 1!A7:J12")</f>
        <v>Free Quests- Part 1!A7:J12</v>
      </c>
      <c r="G48" s="82">
        <f>IFERROR(__xludf.DUMMYFUNCTION("""COMPUTED_VALUE"""),49.0)</f>
        <v>49</v>
      </c>
      <c r="H48" s="82">
        <f>IFERROR(__xludf.DUMMYFUNCTION("""COMPUTED_VALUE"""),271.0)</f>
        <v>271</v>
      </c>
      <c r="I48" s="82">
        <f>IFERROR(__xludf.DUMMYFUNCTION("""COMPUTED_VALUE"""),636087.0)</f>
        <v>636087</v>
      </c>
      <c r="J48" s="82">
        <f>IFERROR(__xludf.DUMMYFUNCTION("""COMPUTED_VALUE"""),636358.0)</f>
        <v>636358</v>
      </c>
      <c r="K48" s="234"/>
      <c r="L48" s="230"/>
      <c r="M48" s="235"/>
      <c r="N48" s="234"/>
      <c r="O48" s="230"/>
      <c r="P48" s="235"/>
      <c r="Q48" s="234"/>
      <c r="R48" s="230"/>
      <c r="S48" s="235"/>
      <c r="T48" s="234"/>
      <c r="U48" s="230"/>
      <c r="V48" s="235"/>
      <c r="W48" s="234"/>
      <c r="X48" s="230"/>
      <c r="Y48" s="235"/>
      <c r="Z48" s="234"/>
      <c r="AA48" s="230"/>
      <c r="AB48" s="235"/>
      <c r="AC48" s="234"/>
      <c r="AD48" s="230"/>
      <c r="AE48" s="235"/>
      <c r="AF48" s="234"/>
      <c r="AG48" s="230"/>
      <c r="AH48" s="235"/>
      <c r="AI48" s="234"/>
      <c r="AJ48" s="230"/>
      <c r="AK48" s="235"/>
      <c r="AL48" s="231"/>
      <c r="AM48" s="230"/>
      <c r="AN48" s="235"/>
      <c r="AO48" s="234"/>
      <c r="AP48" s="230"/>
      <c r="AQ48" s="235"/>
      <c r="AR48" s="234"/>
      <c r="AS48" s="230"/>
      <c r="AT48" s="235"/>
      <c r="AU48" s="234"/>
      <c r="AV48" s="230"/>
      <c r="AW48" s="235"/>
      <c r="AX48" s="234">
        <f>IFERROR(__xludf.DUMMYFUNCTION("""COMPUTED_VALUE"""),7.400318607054753)</f>
        <v>7.400318607</v>
      </c>
      <c r="AY48" s="230"/>
      <c r="AZ48" s="235"/>
      <c r="BA48" s="234"/>
      <c r="BB48" s="230"/>
      <c r="BC48" s="235"/>
      <c r="BD48" s="234"/>
      <c r="BE48" s="230"/>
      <c r="BF48" s="235"/>
      <c r="BG48" s="234"/>
      <c r="BH48" s="230"/>
      <c r="BI48" s="235"/>
      <c r="BJ48" s="234"/>
      <c r="BK48" s="230"/>
      <c r="BL48" s="235"/>
      <c r="BM48" s="234"/>
      <c r="BN48" s="230"/>
      <c r="BO48" s="235"/>
      <c r="BP48" s="234"/>
      <c r="BQ48" s="230"/>
      <c r="BR48" s="235"/>
      <c r="BS48" s="234"/>
      <c r="BT48" s="230">
        <f>IFERROR(__xludf.DUMMYFUNCTION("""COMPUTED_VALUE"""),14.897817222664681)</f>
        <v>14.89781722</v>
      </c>
      <c r="BU48" s="235"/>
      <c r="BV48" s="234"/>
      <c r="BW48" s="230"/>
      <c r="BX48" s="235"/>
      <c r="BY48" s="234"/>
      <c r="BZ48" s="230"/>
      <c r="CA48" s="235"/>
      <c r="CB48" s="234"/>
      <c r="CC48" s="230"/>
      <c r="CD48" s="235"/>
      <c r="CE48" s="234"/>
      <c r="CF48" s="230"/>
      <c r="CG48" s="235"/>
      <c r="CH48" s="234"/>
      <c r="CI48" s="230"/>
      <c r="CJ48" s="230"/>
      <c r="CK48" s="234"/>
      <c r="CL48" s="230"/>
      <c r="CM48" s="235"/>
      <c r="CN48" s="230"/>
      <c r="CO48" s="230"/>
      <c r="CP48" s="230"/>
      <c r="CQ48" s="234"/>
      <c r="CR48" s="230"/>
      <c r="CS48" s="230"/>
      <c r="CT48" s="234"/>
      <c r="CU48" s="230"/>
      <c r="CV48" s="230"/>
      <c r="CW48" s="234"/>
      <c r="CX48" s="230"/>
      <c r="CY48" s="235"/>
      <c r="CZ48" s="230"/>
      <c r="DA48" s="230"/>
      <c r="DB48" s="235"/>
      <c r="DC48" s="234"/>
      <c r="DD48" s="230"/>
      <c r="DE48" s="235"/>
      <c r="DF48" s="234"/>
      <c r="DG48" s="230"/>
      <c r="DH48" s="235"/>
      <c r="DI48" s="234"/>
      <c r="DJ48" s="230"/>
      <c r="DK48" s="235"/>
      <c r="DL48" s="296"/>
      <c r="DM48" s="297">
        <f>IFERROR(__xludf.DUMMYFUNCTION("""COMPUTED_VALUE"""),14.583333333333334)</f>
        <v>14.58333333</v>
      </c>
      <c r="DN48" s="298"/>
      <c r="DO48" s="96"/>
      <c r="DP48" s="96"/>
      <c r="DQ48" s="96"/>
      <c r="DR48" s="96"/>
      <c r="DS48" s="96"/>
      <c r="DT48" s="96"/>
      <c r="DU48" s="96"/>
    </row>
    <row r="49">
      <c r="B49" s="83" t="str">
        <f>IFERROR(__xludf.DUMMYFUNCTION("""COMPUTED_VALUE"""),"FUY2")</f>
        <v>FUY2</v>
      </c>
      <c r="C49" s="88" t="str">
        <f>IFERROR(__xludf.DUMMYFUNCTION("""COMPUTED_VALUE"""),"Unknown Coordinates X-B")</f>
        <v>Unknown Coordinates X-B</v>
      </c>
      <c r="D49" s="102">
        <f>IFERROR(__xludf.DUMMYFUNCTION("""COMPUTED_VALUE"""),4.0)</f>
        <v>4</v>
      </c>
      <c r="E49" s="82" t="b">
        <f>IFERROR(__xludf.DUMMYFUNCTION("""COMPUTED_VALUE"""),TRUE)</f>
        <v>1</v>
      </c>
      <c r="F49" s="82" t="str">
        <f>IFERROR(__xludf.DUMMYFUNCTION("""COMPUTED_VALUE"""),"Free Quests- Part 1!A16:J23")</f>
        <v>Free Quests- Part 1!A16:J23</v>
      </c>
      <c r="G49" s="82">
        <f>IFERROR(__xludf.DUMMYFUNCTION("""COMPUTED_VALUE"""),50.0)</f>
        <v>50</v>
      </c>
      <c r="H49" s="82">
        <f>IFERROR(__xludf.DUMMYFUNCTION("""COMPUTED_VALUE"""),253.0)</f>
        <v>253</v>
      </c>
      <c r="I49" s="82">
        <f>IFERROR(__xludf.DUMMYFUNCTION("""COMPUTED_VALUE"""),2479.0)</f>
        <v>2479</v>
      </c>
      <c r="J49" s="82">
        <f>IFERROR(__xludf.DUMMYFUNCTION("""COMPUTED_VALUE"""),2732.0)</f>
        <v>2732</v>
      </c>
      <c r="K49" s="234"/>
      <c r="L49" s="230"/>
      <c r="M49" s="235"/>
      <c r="N49" s="234"/>
      <c r="O49" s="230"/>
      <c r="P49" s="235"/>
      <c r="Q49" s="234"/>
      <c r="R49" s="230"/>
      <c r="S49" s="235"/>
      <c r="T49" s="234"/>
      <c r="U49" s="230"/>
      <c r="V49" s="235"/>
      <c r="W49" s="234"/>
      <c r="X49" s="230"/>
      <c r="Y49" s="235"/>
      <c r="Z49" s="234"/>
      <c r="AA49" s="230"/>
      <c r="AB49" s="235"/>
      <c r="AC49" s="234"/>
      <c r="AD49" s="230"/>
      <c r="AE49" s="235"/>
      <c r="AF49" s="234"/>
      <c r="AG49" s="230"/>
      <c r="AH49" s="235"/>
      <c r="AI49" s="234"/>
      <c r="AJ49" s="230"/>
      <c r="AK49" s="235"/>
      <c r="AL49" s="231"/>
      <c r="AM49" s="230"/>
      <c r="AN49" s="235"/>
      <c r="AO49" s="234"/>
      <c r="AP49" s="230"/>
      <c r="AQ49" s="235"/>
      <c r="AR49" s="234"/>
      <c r="AS49" s="230"/>
      <c r="AT49" s="235"/>
      <c r="AU49" s="234"/>
      <c r="AV49" s="230"/>
      <c r="AW49" s="235"/>
      <c r="AX49" s="234">
        <f>IFERROR(__xludf.DUMMYFUNCTION("""COMPUTED_VALUE"""),13.986163982430455)</f>
        <v>13.98616398</v>
      </c>
      <c r="AY49" s="230"/>
      <c r="AZ49" s="235"/>
      <c r="BA49" s="234"/>
      <c r="BB49" s="230"/>
      <c r="BC49" s="235"/>
      <c r="BD49" s="234"/>
      <c r="BE49" s="230"/>
      <c r="BF49" s="235"/>
      <c r="BG49" s="234"/>
      <c r="BH49" s="230"/>
      <c r="BI49" s="235"/>
      <c r="BJ49" s="234"/>
      <c r="BK49" s="230"/>
      <c r="BL49" s="235"/>
      <c r="BM49" s="234"/>
      <c r="BN49" s="230"/>
      <c r="BO49" s="235"/>
      <c r="BP49" s="234"/>
      <c r="BQ49" s="230"/>
      <c r="BR49" s="235"/>
      <c r="BS49" s="234"/>
      <c r="BT49" s="230">
        <f>IFERROR(__xludf.DUMMYFUNCTION("""COMPUTED_VALUE"""),14.551207906295755)</f>
        <v>14.55120791</v>
      </c>
      <c r="BU49" s="235"/>
      <c r="BV49" s="234">
        <f>IFERROR(__xludf.DUMMYFUNCTION("""COMPUTED_VALUE"""),10.132357247437776)</f>
        <v>10.13235725</v>
      </c>
      <c r="BW49" s="230"/>
      <c r="BX49" s="235"/>
      <c r="BY49" s="234"/>
      <c r="BZ49" s="230"/>
      <c r="CA49" s="235"/>
      <c r="CB49" s="234"/>
      <c r="CC49" s="230"/>
      <c r="CD49" s="235"/>
      <c r="CE49" s="234"/>
      <c r="CF49" s="230"/>
      <c r="CG49" s="235"/>
      <c r="CH49" s="234"/>
      <c r="CI49" s="230"/>
      <c r="CJ49" s="230"/>
      <c r="CK49" s="234"/>
      <c r="CL49" s="230"/>
      <c r="CM49" s="235"/>
      <c r="CN49" s="230"/>
      <c r="CO49" s="230"/>
      <c r="CP49" s="230"/>
      <c r="CQ49" s="234"/>
      <c r="CR49" s="230"/>
      <c r="CS49" s="230"/>
      <c r="CT49" s="234"/>
      <c r="CU49" s="230"/>
      <c r="CV49" s="230"/>
      <c r="CW49" s="234"/>
      <c r="CX49" s="230"/>
      <c r="CY49" s="235"/>
      <c r="CZ49" s="230"/>
      <c r="DA49" s="230"/>
      <c r="DB49" s="235"/>
      <c r="DC49" s="234"/>
      <c r="DD49" s="230"/>
      <c r="DE49" s="235"/>
      <c r="DF49" s="234"/>
      <c r="DG49" s="230"/>
      <c r="DH49" s="235"/>
      <c r="DI49" s="234"/>
      <c r="DJ49" s="230"/>
      <c r="DK49" s="235"/>
      <c r="DL49" s="280"/>
      <c r="DM49" s="286">
        <f>IFERROR(__xludf.DUMMYFUNCTION("""COMPUTED_VALUE"""),16.740088105726873)</f>
        <v>16.74008811</v>
      </c>
      <c r="DN49" s="282"/>
      <c r="DO49" s="96">
        <f>IFERROR(__xludf.DUMMYFUNCTION("""COMPUTED_VALUE"""),11.45374449339207)</f>
        <v>11.45374449</v>
      </c>
      <c r="DP49" s="96"/>
      <c r="DQ49" s="96"/>
      <c r="DR49" s="96"/>
      <c r="DS49" s="96"/>
      <c r="DT49" s="96"/>
      <c r="DU49" s="96"/>
    </row>
    <row r="50">
      <c r="B50" s="83" t="str">
        <f>IFERROR(__xludf.DUMMYFUNCTION("""COMPUTED_VALUE"""),"FUY3")</f>
        <v>FUY3</v>
      </c>
      <c r="C50" s="88" t="str">
        <f>IFERROR(__xludf.DUMMYFUNCTION("""COMPUTED_VALUE"""),"Unknown Coordinates X-C")</f>
        <v>Unknown Coordinates X-C</v>
      </c>
      <c r="D50" s="102">
        <f>IFERROR(__xludf.DUMMYFUNCTION("""COMPUTED_VALUE"""),4.0)</f>
        <v>4</v>
      </c>
      <c r="E50" s="82" t="b">
        <f>IFERROR(__xludf.DUMMYFUNCTION("""COMPUTED_VALUE"""),TRUE)</f>
        <v>1</v>
      </c>
      <c r="F50" s="82" t="str">
        <f>IFERROR(__xludf.DUMMYFUNCTION("""COMPUTED_VALUE"""),"Free Quests- Part 1!A27:J34")</f>
        <v>Free Quests- Part 1!A27:J34</v>
      </c>
      <c r="G50" s="82">
        <f>IFERROR(__xludf.DUMMYFUNCTION("""COMPUTED_VALUE"""),51.0)</f>
        <v>51</v>
      </c>
      <c r="H50" s="82">
        <f>IFERROR(__xludf.DUMMYFUNCTION("""COMPUTED_VALUE"""),3967.0)</f>
        <v>3967</v>
      </c>
      <c r="I50" s="82">
        <f>IFERROR(__xludf.DUMMYFUNCTION("""COMPUTED_VALUE"""),58841.0)</f>
        <v>58841</v>
      </c>
      <c r="J50" s="82">
        <f>IFERROR(__xludf.DUMMYFUNCTION("""COMPUTED_VALUE"""),62808.0)</f>
        <v>62808</v>
      </c>
      <c r="K50" s="234"/>
      <c r="L50" s="230"/>
      <c r="M50" s="235"/>
      <c r="N50" s="234"/>
      <c r="O50" s="230"/>
      <c r="P50" s="235"/>
      <c r="Q50" s="234"/>
      <c r="R50" s="230"/>
      <c r="S50" s="235"/>
      <c r="T50" s="234"/>
      <c r="U50" s="230"/>
      <c r="V50" s="235"/>
      <c r="W50" s="234"/>
      <c r="X50" s="230"/>
      <c r="Y50" s="235"/>
      <c r="Z50" s="234"/>
      <c r="AA50" s="230"/>
      <c r="AB50" s="235"/>
      <c r="AC50" s="234"/>
      <c r="AD50" s="230"/>
      <c r="AE50" s="235"/>
      <c r="AF50" s="234"/>
      <c r="AG50" s="230"/>
      <c r="AH50" s="235"/>
      <c r="AI50" s="234"/>
      <c r="AJ50" s="230"/>
      <c r="AK50" s="235"/>
      <c r="AL50" s="231"/>
      <c r="AM50" s="230"/>
      <c r="AN50" s="235"/>
      <c r="AO50" s="234"/>
      <c r="AP50" s="230"/>
      <c r="AQ50" s="235"/>
      <c r="AR50" s="234"/>
      <c r="AS50" s="230"/>
      <c r="AT50" s="235"/>
      <c r="AU50" s="234"/>
      <c r="AV50" s="230"/>
      <c r="AW50" s="235"/>
      <c r="AX50" s="234">
        <f>IFERROR(__xludf.DUMMYFUNCTION("""COMPUTED_VALUE"""),17.91412699793244)</f>
        <v>17.914127</v>
      </c>
      <c r="AY50" s="230"/>
      <c r="AZ50" s="235"/>
      <c r="BA50" s="234"/>
      <c r="BB50" s="230"/>
      <c r="BC50" s="235"/>
      <c r="BD50" s="234"/>
      <c r="BE50" s="230"/>
      <c r="BF50" s="235"/>
      <c r="BG50" s="234"/>
      <c r="BH50" s="230"/>
      <c r="BI50" s="235"/>
      <c r="BJ50" s="234"/>
      <c r="BK50" s="230"/>
      <c r="BL50" s="235"/>
      <c r="BM50" s="234"/>
      <c r="BN50" s="230"/>
      <c r="BO50" s="235"/>
      <c r="BP50" s="234"/>
      <c r="BQ50" s="230"/>
      <c r="BR50" s="235"/>
      <c r="BS50" s="234"/>
      <c r="BT50" s="230">
        <f>IFERROR(__xludf.DUMMYFUNCTION("""COMPUTED_VALUE"""),19.570173824707833)</f>
        <v>19.57017382</v>
      </c>
      <c r="BU50" s="235"/>
      <c r="BV50" s="234">
        <f>IFERROR(__xludf.DUMMYFUNCTION("""COMPUTED_VALUE"""),14.982039217190122)</f>
        <v>14.98203922</v>
      </c>
      <c r="BW50" s="230"/>
      <c r="BX50" s="235"/>
      <c r="BY50" s="234"/>
      <c r="BZ50" s="230"/>
      <c r="CA50" s="235"/>
      <c r="CB50" s="234"/>
      <c r="CC50" s="230"/>
      <c r="CD50" s="235"/>
      <c r="CE50" s="234"/>
      <c r="CF50" s="230"/>
      <c r="CG50" s="235"/>
      <c r="CH50" s="234"/>
      <c r="CI50" s="230"/>
      <c r="CJ50" s="230"/>
      <c r="CK50" s="234"/>
      <c r="CL50" s="230"/>
      <c r="CM50" s="235"/>
      <c r="CN50" s="230"/>
      <c r="CO50" s="230"/>
      <c r="CP50" s="230"/>
      <c r="CQ50" s="234"/>
      <c r="CR50" s="230"/>
      <c r="CS50" s="230"/>
      <c r="CT50" s="234"/>
      <c r="CU50" s="230"/>
      <c r="CV50" s="230"/>
      <c r="CW50" s="234"/>
      <c r="CX50" s="230"/>
      <c r="CY50" s="235"/>
      <c r="CZ50" s="230"/>
      <c r="DA50" s="230"/>
      <c r="DB50" s="235"/>
      <c r="DC50" s="234"/>
      <c r="DD50" s="230"/>
      <c r="DE50" s="235"/>
      <c r="DF50" s="234"/>
      <c r="DG50" s="230"/>
      <c r="DH50" s="235"/>
      <c r="DI50" s="234"/>
      <c r="DJ50" s="230"/>
      <c r="DK50" s="235"/>
      <c r="DL50" s="296"/>
      <c r="DM50" s="297">
        <f>IFERROR(__xludf.DUMMYFUNCTION("""COMPUTED_VALUE"""),21.67716274444813)</f>
        <v>21.67716274</v>
      </c>
      <c r="DN50" s="298"/>
      <c r="DO50" s="96">
        <f>IFERROR(__xludf.DUMMYFUNCTION("""COMPUTED_VALUE"""),15.50925925925926)</f>
        <v>15.50925926</v>
      </c>
      <c r="DP50" s="96"/>
      <c r="DQ50" s="96"/>
      <c r="DR50" s="96"/>
      <c r="DS50" s="96"/>
      <c r="DT50" s="96"/>
      <c r="DU50" s="96"/>
    </row>
    <row r="51">
      <c r="B51" s="83" t="str">
        <f>IFERROR(__xludf.DUMMYFUNCTION("""COMPUTED_VALUE"""),"FUY4")</f>
        <v>FUY4</v>
      </c>
      <c r="C51" s="88" t="str">
        <f>IFERROR(__xludf.DUMMYFUNCTION("""COMPUTED_VALUE"""),"Unknown Coordinates X-D")</f>
        <v>Unknown Coordinates X-D</v>
      </c>
      <c r="D51" s="102">
        <f>IFERROR(__xludf.DUMMYFUNCTION("""COMPUTED_VALUE"""),5.0)</f>
        <v>5</v>
      </c>
      <c r="E51" s="82" t="b">
        <f>IFERROR(__xludf.DUMMYFUNCTION("""COMPUTED_VALUE"""),TRUE)</f>
        <v>1</v>
      </c>
      <c r="F51" s="82" t="str">
        <f>IFERROR(__xludf.DUMMYFUNCTION("""COMPUTED_VALUE"""),"Free Quests- Part 1!A38:J45")</f>
        <v>Free Quests- Part 1!A38:J45</v>
      </c>
      <c r="G51" s="82">
        <f>IFERROR(__xludf.DUMMYFUNCTION("""COMPUTED_VALUE"""),52.0)</f>
        <v>52</v>
      </c>
      <c r="H51" s="82">
        <f>IFERROR(__xludf.DUMMYFUNCTION("""COMPUTED_VALUE"""),484.0)</f>
        <v>484</v>
      </c>
      <c r="I51" s="82">
        <f>IFERROR(__xludf.DUMMYFUNCTION("""COMPUTED_VALUE"""),2305.0)</f>
        <v>2305</v>
      </c>
      <c r="J51" s="82">
        <f>IFERROR(__xludf.DUMMYFUNCTION("""COMPUTED_VALUE"""),2789.0)</f>
        <v>2789</v>
      </c>
      <c r="K51" s="234"/>
      <c r="L51" s="230"/>
      <c r="M51" s="235"/>
      <c r="N51" s="234"/>
      <c r="O51" s="230"/>
      <c r="P51" s="235"/>
      <c r="Q51" s="234"/>
      <c r="R51" s="230"/>
      <c r="S51" s="235"/>
      <c r="T51" s="234"/>
      <c r="U51" s="230"/>
      <c r="V51" s="235"/>
      <c r="W51" s="234"/>
      <c r="X51" s="230"/>
      <c r="Y51" s="235"/>
      <c r="Z51" s="234"/>
      <c r="AA51" s="230"/>
      <c r="AB51" s="235"/>
      <c r="AC51" s="234"/>
      <c r="AD51" s="230"/>
      <c r="AE51" s="235"/>
      <c r="AF51" s="234"/>
      <c r="AG51" s="230"/>
      <c r="AH51" s="235"/>
      <c r="AI51" s="234"/>
      <c r="AJ51" s="230"/>
      <c r="AK51" s="235"/>
      <c r="AL51" s="231"/>
      <c r="AM51" s="230"/>
      <c r="AN51" s="235"/>
      <c r="AO51" s="234"/>
      <c r="AP51" s="230"/>
      <c r="AQ51" s="235"/>
      <c r="AR51" s="234"/>
      <c r="AS51" s="230"/>
      <c r="AT51" s="235"/>
      <c r="AU51" s="234"/>
      <c r="AV51" s="230"/>
      <c r="AW51" s="235"/>
      <c r="AX51" s="234">
        <f>IFERROR(__xludf.DUMMYFUNCTION("""COMPUTED_VALUE"""),20.287916816063106)</f>
        <v>20.28791682</v>
      </c>
      <c r="AY51" s="230"/>
      <c r="AZ51" s="235"/>
      <c r="BA51" s="234"/>
      <c r="BB51" s="230"/>
      <c r="BC51" s="235"/>
      <c r="BD51" s="234"/>
      <c r="BE51" s="230"/>
      <c r="BF51" s="235"/>
      <c r="BG51" s="234"/>
      <c r="BH51" s="230"/>
      <c r="BI51" s="235"/>
      <c r="BJ51" s="234"/>
      <c r="BK51" s="230"/>
      <c r="BL51" s="235"/>
      <c r="BM51" s="234"/>
      <c r="BN51" s="230"/>
      <c r="BO51" s="235"/>
      <c r="BP51" s="234"/>
      <c r="BQ51" s="230"/>
      <c r="BR51" s="235"/>
      <c r="BS51" s="234"/>
      <c r="BT51" s="230">
        <f>IFERROR(__xludf.DUMMYFUNCTION("""COMPUTED_VALUE"""),22.124955181068483)</f>
        <v>22.12495518</v>
      </c>
      <c r="BU51" s="235">
        <f>IFERROR(__xludf.DUMMYFUNCTION("""COMPUTED_VALUE"""),19.18250268913589)</f>
        <v>19.18250269</v>
      </c>
      <c r="BV51" s="234"/>
      <c r="BW51" s="230"/>
      <c r="BX51" s="235"/>
      <c r="BY51" s="234"/>
      <c r="BZ51" s="230"/>
      <c r="CA51" s="235"/>
      <c r="CB51" s="234"/>
      <c r="CC51" s="230"/>
      <c r="CD51" s="235"/>
      <c r="CE51" s="234"/>
      <c r="CF51" s="230"/>
      <c r="CG51" s="235"/>
      <c r="CH51" s="234"/>
      <c r="CI51" s="230"/>
      <c r="CJ51" s="230"/>
      <c r="CK51" s="234"/>
      <c r="CL51" s="230"/>
      <c r="CM51" s="235"/>
      <c r="CN51" s="230"/>
      <c r="CO51" s="230"/>
      <c r="CP51" s="230"/>
      <c r="CQ51" s="234"/>
      <c r="CR51" s="230"/>
      <c r="CS51" s="230"/>
      <c r="CT51" s="234"/>
      <c r="CU51" s="230"/>
      <c r="CV51" s="230"/>
      <c r="CW51" s="234"/>
      <c r="CX51" s="230"/>
      <c r="CY51" s="235"/>
      <c r="CZ51" s="230"/>
      <c r="DA51" s="230"/>
      <c r="DB51" s="235"/>
      <c r="DC51" s="234"/>
      <c r="DD51" s="230"/>
      <c r="DE51" s="235"/>
      <c r="DF51" s="234"/>
      <c r="DG51" s="230"/>
      <c r="DH51" s="235"/>
      <c r="DI51" s="234"/>
      <c r="DJ51" s="230"/>
      <c r="DK51" s="235"/>
      <c r="DL51" s="280"/>
      <c r="DM51" s="286">
        <f>IFERROR(__xludf.DUMMYFUNCTION("""COMPUTED_VALUE"""),17.8343949044586)</f>
        <v>17.8343949</v>
      </c>
      <c r="DN51" s="282">
        <f>IFERROR(__xludf.DUMMYFUNCTION("""COMPUTED_VALUE"""),17.8343949044586)</f>
        <v>17.8343949</v>
      </c>
      <c r="DO51" s="96"/>
      <c r="DP51" s="96"/>
      <c r="DQ51" s="96"/>
      <c r="DR51" s="96"/>
      <c r="DS51" s="96"/>
      <c r="DT51" s="96"/>
      <c r="DU51" s="96"/>
    </row>
    <row r="52">
      <c r="B52" s="83" t="str">
        <f>IFERROR(__xludf.DUMMYFUNCTION("""COMPUTED_VALUE"""),"FUY5")</f>
        <v>FUY5</v>
      </c>
      <c r="C52" s="88" t="str">
        <f>IFERROR(__xludf.DUMMYFUNCTION("""COMPUTED_VALUE"""),"Unknown Coordinates X-E")</f>
        <v>Unknown Coordinates X-E</v>
      </c>
      <c r="D52" s="102">
        <f>IFERROR(__xludf.DUMMYFUNCTION("""COMPUTED_VALUE"""),5.0)</f>
        <v>5</v>
      </c>
      <c r="E52" s="82" t="b">
        <f>IFERROR(__xludf.DUMMYFUNCTION("""COMPUTED_VALUE"""),TRUE)</f>
        <v>1</v>
      </c>
      <c r="F52" s="82" t="str">
        <f>IFERROR(__xludf.DUMMYFUNCTION("""COMPUTED_VALUE"""),"Free Quests- Part 1!A49:J59")</f>
        <v>Free Quests- Part 1!A49:J59</v>
      </c>
      <c r="G52" s="82">
        <f>IFERROR(__xludf.DUMMYFUNCTION("""COMPUTED_VALUE"""),53.0)</f>
        <v>53</v>
      </c>
      <c r="H52" s="82">
        <f>IFERROR(__xludf.DUMMYFUNCTION("""COMPUTED_VALUE"""),220.0)</f>
        <v>220</v>
      </c>
      <c r="I52" s="82">
        <f>IFERROR(__xludf.DUMMYFUNCTION("""COMPUTED_VALUE"""),3365.0)</f>
        <v>3365</v>
      </c>
      <c r="J52" s="82">
        <f>IFERROR(__xludf.DUMMYFUNCTION("""COMPUTED_VALUE"""),3585.0)</f>
        <v>3585</v>
      </c>
      <c r="K52" s="234"/>
      <c r="L52" s="230"/>
      <c r="M52" s="235"/>
      <c r="N52" s="234"/>
      <c r="O52" s="230"/>
      <c r="P52" s="235"/>
      <c r="Q52" s="234"/>
      <c r="R52" s="230"/>
      <c r="S52" s="235"/>
      <c r="T52" s="234"/>
      <c r="U52" s="230"/>
      <c r="V52" s="235"/>
      <c r="W52" s="234"/>
      <c r="X52" s="230"/>
      <c r="Y52" s="235"/>
      <c r="Z52" s="234"/>
      <c r="AA52" s="230"/>
      <c r="AB52" s="235"/>
      <c r="AC52" s="234"/>
      <c r="AD52" s="230"/>
      <c r="AE52" s="235"/>
      <c r="AF52" s="234"/>
      <c r="AG52" s="230"/>
      <c r="AH52" s="235"/>
      <c r="AI52" s="234"/>
      <c r="AJ52" s="230"/>
      <c r="AK52" s="235"/>
      <c r="AL52" s="231"/>
      <c r="AM52" s="230"/>
      <c r="AN52" s="235"/>
      <c r="AO52" s="234"/>
      <c r="AP52" s="230"/>
      <c r="AQ52" s="235"/>
      <c r="AR52" s="234"/>
      <c r="AS52" s="230"/>
      <c r="AT52" s="235"/>
      <c r="AU52" s="234"/>
      <c r="AV52" s="230"/>
      <c r="AW52" s="235"/>
      <c r="AX52" s="234">
        <f>IFERROR(__xludf.DUMMYFUNCTION("""COMPUTED_VALUE"""),16.529707112970712)</f>
        <v>16.52970711</v>
      </c>
      <c r="AY52" s="230"/>
      <c r="AZ52" s="235">
        <f>IFERROR(__xludf.DUMMYFUNCTION("""COMPUTED_VALUE"""),4.363319386331939)</f>
        <v>4.363319386</v>
      </c>
      <c r="BA52" s="234"/>
      <c r="BB52" s="230"/>
      <c r="BC52" s="235"/>
      <c r="BD52" s="234"/>
      <c r="BE52" s="230"/>
      <c r="BF52" s="235"/>
      <c r="BG52" s="234"/>
      <c r="BH52" s="230"/>
      <c r="BI52" s="235"/>
      <c r="BJ52" s="234"/>
      <c r="BK52" s="230"/>
      <c r="BL52" s="235"/>
      <c r="BM52" s="234"/>
      <c r="BN52" s="230"/>
      <c r="BO52" s="235"/>
      <c r="BP52" s="234"/>
      <c r="BQ52" s="230"/>
      <c r="BR52" s="235"/>
      <c r="BS52" s="234"/>
      <c r="BT52" s="230">
        <f>IFERROR(__xludf.DUMMYFUNCTION("""COMPUTED_VALUE"""),18.59205020920502)</f>
        <v>18.59205021</v>
      </c>
      <c r="BU52" s="235">
        <f>IFERROR(__xludf.DUMMYFUNCTION("""COMPUTED_VALUE"""),10.535285913528591)</f>
        <v>10.53528591</v>
      </c>
      <c r="BV52" s="234"/>
      <c r="BW52" s="230"/>
      <c r="BX52" s="235"/>
      <c r="BY52" s="234"/>
      <c r="BZ52" s="230"/>
      <c r="CA52" s="235"/>
      <c r="CB52" s="234"/>
      <c r="CC52" s="230"/>
      <c r="CD52" s="235"/>
      <c r="CE52" s="234"/>
      <c r="CF52" s="230"/>
      <c r="CG52" s="235"/>
      <c r="CH52" s="234"/>
      <c r="CI52" s="230"/>
      <c r="CJ52" s="230"/>
      <c r="CK52" s="234">
        <f>IFERROR(__xludf.DUMMYFUNCTION("""COMPUTED_VALUE"""),5.309483960948396)</f>
        <v>5.309483961</v>
      </c>
      <c r="CL52" s="230"/>
      <c r="CM52" s="235"/>
      <c r="CN52" s="230"/>
      <c r="CO52" s="230"/>
      <c r="CP52" s="230"/>
      <c r="CQ52" s="234"/>
      <c r="CR52" s="230"/>
      <c r="CS52" s="230"/>
      <c r="CT52" s="234"/>
      <c r="CU52" s="230"/>
      <c r="CV52" s="230"/>
      <c r="CW52" s="234"/>
      <c r="CX52" s="230"/>
      <c r="CY52" s="235"/>
      <c r="CZ52" s="230"/>
      <c r="DA52" s="230"/>
      <c r="DB52" s="235"/>
      <c r="DC52" s="234"/>
      <c r="DD52" s="230"/>
      <c r="DE52" s="235"/>
      <c r="DF52" s="234"/>
      <c r="DG52" s="230"/>
      <c r="DH52" s="235">
        <f>IFERROR(__xludf.DUMMYFUNCTION("""COMPUTED_VALUE"""),20.28985507246377)</f>
        <v>20.28985507</v>
      </c>
      <c r="DI52" s="234"/>
      <c r="DJ52" s="230"/>
      <c r="DK52" s="235"/>
      <c r="DL52" s="296"/>
      <c r="DM52" s="297">
        <f>IFERROR(__xludf.DUMMYFUNCTION("""COMPUTED_VALUE"""),15.217391304347828)</f>
        <v>15.2173913</v>
      </c>
      <c r="DN52" s="298">
        <f>IFERROR(__xludf.DUMMYFUNCTION("""COMPUTED_VALUE"""),7.246376811594203)</f>
        <v>7.246376812</v>
      </c>
      <c r="DO52" s="96"/>
      <c r="DP52" s="96"/>
      <c r="DQ52" s="96"/>
      <c r="DR52" s="96"/>
      <c r="DS52" s="96"/>
      <c r="DT52" s="96"/>
      <c r="DU52" s="96"/>
    </row>
    <row r="53">
      <c r="B53" s="83" t="str">
        <f>IFERROR(__xludf.DUMMYFUNCTION("""COMPUTED_VALUE"""),"FUY6")</f>
        <v>FUY6</v>
      </c>
      <c r="C53" s="88" t="str">
        <f>IFERROR(__xludf.DUMMYFUNCTION("""COMPUTED_VALUE"""),"Unknown Coordinates X-F")</f>
        <v>Unknown Coordinates X-F</v>
      </c>
      <c r="D53" s="102">
        <f>IFERROR(__xludf.DUMMYFUNCTION("""COMPUTED_VALUE"""),6.0)</f>
        <v>6</v>
      </c>
      <c r="E53" s="82" t="b">
        <f>IFERROR(__xludf.DUMMYFUNCTION("""COMPUTED_VALUE"""),TRUE)</f>
        <v>1</v>
      </c>
      <c r="F53" s="82" t="str">
        <f>IFERROR(__xludf.DUMMYFUNCTION("""COMPUTED_VALUE"""),"Free Quests- Part 1!A63:J75")</f>
        <v>Free Quests- Part 1!A63:J75</v>
      </c>
      <c r="G53" s="82">
        <f>IFERROR(__xludf.DUMMYFUNCTION("""COMPUTED_VALUE"""),54.0)</f>
        <v>54</v>
      </c>
      <c r="H53" s="82">
        <f>IFERROR(__xludf.DUMMYFUNCTION("""COMPUTED_VALUE"""),489.0)</f>
        <v>489</v>
      </c>
      <c r="I53" s="82">
        <f>IFERROR(__xludf.DUMMYFUNCTION("""COMPUTED_VALUE"""),7300.0)</f>
        <v>7300</v>
      </c>
      <c r="J53" s="82">
        <f>IFERROR(__xludf.DUMMYFUNCTION("""COMPUTED_VALUE"""),7789.0)</f>
        <v>7789</v>
      </c>
      <c r="K53" s="234"/>
      <c r="L53" s="230"/>
      <c r="M53" s="235"/>
      <c r="N53" s="234"/>
      <c r="O53" s="230"/>
      <c r="P53" s="235"/>
      <c r="Q53" s="234"/>
      <c r="R53" s="230"/>
      <c r="S53" s="235"/>
      <c r="T53" s="234"/>
      <c r="U53" s="230"/>
      <c r="V53" s="235"/>
      <c r="W53" s="234"/>
      <c r="X53" s="230"/>
      <c r="Y53" s="235"/>
      <c r="Z53" s="234"/>
      <c r="AA53" s="230"/>
      <c r="AB53" s="235"/>
      <c r="AC53" s="234"/>
      <c r="AD53" s="230"/>
      <c r="AE53" s="235"/>
      <c r="AF53" s="234"/>
      <c r="AG53" s="230"/>
      <c r="AH53" s="235"/>
      <c r="AI53" s="234"/>
      <c r="AJ53" s="230"/>
      <c r="AK53" s="235"/>
      <c r="AL53" s="231"/>
      <c r="AM53" s="230"/>
      <c r="AN53" s="235"/>
      <c r="AO53" s="234"/>
      <c r="AP53" s="230"/>
      <c r="AQ53" s="235"/>
      <c r="AR53" s="234"/>
      <c r="AS53" s="230"/>
      <c r="AT53" s="235"/>
      <c r="AU53" s="234"/>
      <c r="AV53" s="230"/>
      <c r="AW53" s="235"/>
      <c r="AX53" s="234">
        <f>IFERROR(__xludf.DUMMYFUNCTION("""COMPUTED_VALUE"""),17.101039928103734)</f>
        <v>17.10103993</v>
      </c>
      <c r="AY53" s="230"/>
      <c r="AZ53" s="235">
        <f>IFERROR(__xludf.DUMMYFUNCTION("""COMPUTED_VALUE"""),7.968930543073565)</f>
        <v>7.968930543</v>
      </c>
      <c r="BA53" s="234"/>
      <c r="BB53" s="230"/>
      <c r="BC53" s="235"/>
      <c r="BD53" s="234"/>
      <c r="BE53" s="230"/>
      <c r="BF53" s="235"/>
      <c r="BG53" s="234"/>
      <c r="BH53" s="230"/>
      <c r="BI53" s="235"/>
      <c r="BJ53" s="234"/>
      <c r="BK53" s="230"/>
      <c r="BL53" s="235"/>
      <c r="BM53" s="234"/>
      <c r="BN53" s="230"/>
      <c r="BO53" s="235"/>
      <c r="BP53" s="234"/>
      <c r="BQ53" s="230"/>
      <c r="BR53" s="235"/>
      <c r="BS53" s="234"/>
      <c r="BT53" s="230">
        <f>IFERROR(__xludf.DUMMYFUNCTION("""COMPUTED_VALUE"""),15.363017380007879)</f>
        <v>15.36301738</v>
      </c>
      <c r="BU53" s="235">
        <f>IFERROR(__xludf.DUMMYFUNCTION("""COMPUTED_VALUE"""),15.122984173682573)</f>
        <v>15.12298417</v>
      </c>
      <c r="BV53" s="234"/>
      <c r="BW53" s="230"/>
      <c r="BX53" s="235"/>
      <c r="BY53" s="234"/>
      <c r="BZ53" s="230"/>
      <c r="CA53" s="235"/>
      <c r="CB53" s="234"/>
      <c r="CC53" s="230"/>
      <c r="CD53" s="235"/>
      <c r="CE53" s="234"/>
      <c r="CF53" s="230"/>
      <c r="CG53" s="235"/>
      <c r="CH53" s="234"/>
      <c r="CI53" s="230"/>
      <c r="CJ53" s="230">
        <f>IFERROR(__xludf.DUMMYFUNCTION("""COMPUTED_VALUE"""),4.817260468743712)</f>
        <v>4.817260469</v>
      </c>
      <c r="CK53" s="234"/>
      <c r="CL53" s="230"/>
      <c r="CM53" s="235">
        <f>IFERROR(__xludf.DUMMYFUNCTION("""COMPUTED_VALUE"""),4.59229721210356)</f>
        <v>4.592297212</v>
      </c>
      <c r="CN53" s="230"/>
      <c r="CO53" s="230"/>
      <c r="CP53" s="230"/>
      <c r="CQ53" s="234"/>
      <c r="CR53" s="230"/>
      <c r="CS53" s="230"/>
      <c r="CT53" s="234"/>
      <c r="CU53" s="230"/>
      <c r="CV53" s="230"/>
      <c r="CW53" s="234"/>
      <c r="CX53" s="230"/>
      <c r="CY53" s="235"/>
      <c r="CZ53" s="230"/>
      <c r="DA53" s="230"/>
      <c r="DB53" s="235"/>
      <c r="DC53" s="234"/>
      <c r="DD53" s="230"/>
      <c r="DE53" s="235"/>
      <c r="DF53" s="234"/>
      <c r="DG53" s="230">
        <f>IFERROR(__xludf.DUMMYFUNCTION("""COMPUTED_VALUE"""),22.641509433962266)</f>
        <v>22.64150943</v>
      </c>
      <c r="DH53" s="235"/>
      <c r="DI53" s="234"/>
      <c r="DJ53" s="230">
        <f>IFERROR(__xludf.DUMMYFUNCTION("""COMPUTED_VALUE"""),21.22641509433962)</f>
        <v>21.22641509</v>
      </c>
      <c r="DK53" s="235"/>
      <c r="DL53" s="280"/>
      <c r="DM53" s="286">
        <f>IFERROR(__xludf.DUMMYFUNCTION("""COMPUTED_VALUE"""),18.867924528301888)</f>
        <v>18.86792453</v>
      </c>
      <c r="DN53" s="282">
        <f>IFERROR(__xludf.DUMMYFUNCTION("""COMPUTED_VALUE"""),17.452830188679243)</f>
        <v>17.45283019</v>
      </c>
      <c r="DO53" s="96"/>
      <c r="DP53" s="96"/>
      <c r="DQ53" s="96"/>
      <c r="DR53" s="96"/>
      <c r="DS53" s="96"/>
      <c r="DT53" s="96"/>
      <c r="DU53" s="96"/>
    </row>
    <row r="54">
      <c r="B54" s="83" t="str">
        <f>IFERROR(__xludf.DUMMYFUNCTION("""COMPUTED_VALUE"""),"FUY7")</f>
        <v>FUY7</v>
      </c>
      <c r="C54" s="88" t="str">
        <f>IFERROR(__xludf.DUMMYFUNCTION("""COMPUTED_VALUE"""),"Unknown Coordinates X-G")</f>
        <v>Unknown Coordinates X-G</v>
      </c>
      <c r="D54" s="102">
        <f>IFERROR(__xludf.DUMMYFUNCTION("""COMPUTED_VALUE"""),15.0)</f>
        <v>15</v>
      </c>
      <c r="E54" s="82" t="b">
        <f>IFERROR(__xludf.DUMMYFUNCTION("""COMPUTED_VALUE"""),TRUE)</f>
        <v>1</v>
      </c>
      <c r="F54" s="82" t="str">
        <f>IFERROR(__xludf.DUMMYFUNCTION("""COMPUTED_VALUE"""),"Free Quests- Part 1!A79:J88")</f>
        <v>Free Quests- Part 1!A79:J88</v>
      </c>
      <c r="G54" s="82">
        <f>IFERROR(__xludf.DUMMYFUNCTION("""COMPUTED_VALUE"""),55.0)</f>
        <v>55</v>
      </c>
      <c r="H54" s="82">
        <f>IFERROR(__xludf.DUMMYFUNCTION("""COMPUTED_VALUE"""),4819.0)</f>
        <v>4819</v>
      </c>
      <c r="I54" s="82">
        <f>IFERROR(__xludf.DUMMYFUNCTION("""COMPUTED_VALUE"""),135227.0)</f>
        <v>135227</v>
      </c>
      <c r="J54" s="82">
        <f>IFERROR(__xludf.DUMMYFUNCTION("""COMPUTED_VALUE"""),140046.0)</f>
        <v>140046</v>
      </c>
      <c r="K54" s="234"/>
      <c r="L54" s="230"/>
      <c r="M54" s="235"/>
      <c r="N54" s="234"/>
      <c r="O54" s="230"/>
      <c r="P54" s="235"/>
      <c r="Q54" s="234"/>
      <c r="R54" s="230"/>
      <c r="S54" s="235"/>
      <c r="T54" s="234"/>
      <c r="U54" s="230"/>
      <c r="V54" s="235"/>
      <c r="W54" s="234"/>
      <c r="X54" s="230"/>
      <c r="Y54" s="235"/>
      <c r="Z54" s="234"/>
      <c r="AA54" s="230"/>
      <c r="AB54" s="235"/>
      <c r="AC54" s="234"/>
      <c r="AD54" s="230"/>
      <c r="AE54" s="235"/>
      <c r="AF54" s="234"/>
      <c r="AG54" s="230"/>
      <c r="AH54" s="235"/>
      <c r="AI54" s="234"/>
      <c r="AJ54" s="230"/>
      <c r="AK54" s="235"/>
      <c r="AL54" s="231"/>
      <c r="AM54" s="230"/>
      <c r="AN54" s="235"/>
      <c r="AO54" s="234"/>
      <c r="AP54" s="230"/>
      <c r="AQ54" s="235"/>
      <c r="AR54" s="234"/>
      <c r="AS54" s="230"/>
      <c r="AT54" s="235"/>
      <c r="AU54" s="234"/>
      <c r="AV54" s="230"/>
      <c r="AW54" s="235"/>
      <c r="AX54" s="234">
        <f>IFERROR(__xludf.DUMMYFUNCTION("""COMPUTED_VALUE"""),63.92403424589063)</f>
        <v>63.92403425</v>
      </c>
      <c r="AY54" s="230"/>
      <c r="AZ54" s="235"/>
      <c r="BA54" s="234"/>
      <c r="BB54" s="230"/>
      <c r="BC54" s="235"/>
      <c r="BD54" s="234"/>
      <c r="BE54" s="230"/>
      <c r="BF54" s="235"/>
      <c r="BG54" s="234"/>
      <c r="BH54" s="230"/>
      <c r="BI54" s="235"/>
      <c r="BJ54" s="234"/>
      <c r="BK54" s="230"/>
      <c r="BL54" s="235"/>
      <c r="BM54" s="234"/>
      <c r="BN54" s="230"/>
      <c r="BO54" s="235"/>
      <c r="BP54" s="234"/>
      <c r="BQ54" s="230"/>
      <c r="BR54" s="235"/>
      <c r="BS54" s="234"/>
      <c r="BT54" s="230">
        <f>IFERROR(__xludf.DUMMYFUNCTION("""COMPUTED_VALUE"""),9.217505732166504)</f>
        <v>9.217505732</v>
      </c>
      <c r="BU54" s="235">
        <f>IFERROR(__xludf.DUMMYFUNCTION("""COMPUTED_VALUE"""),4.510709083397025)</f>
        <v>4.510709083</v>
      </c>
      <c r="BV54" s="234">
        <f>IFERROR(__xludf.DUMMYFUNCTION("""COMPUTED_VALUE"""),18.060653872688867)</f>
        <v>18.06065387</v>
      </c>
      <c r="BW54" s="230"/>
      <c r="BX54" s="235"/>
      <c r="BY54" s="234"/>
      <c r="BZ54" s="230"/>
      <c r="CA54" s="235"/>
      <c r="CB54" s="234"/>
      <c r="CC54" s="230"/>
      <c r="CD54" s="235"/>
      <c r="CE54" s="234"/>
      <c r="CF54" s="230"/>
      <c r="CG54" s="235"/>
      <c r="CH54" s="234"/>
      <c r="CI54" s="230"/>
      <c r="CJ54" s="230"/>
      <c r="CK54" s="234"/>
      <c r="CL54" s="230"/>
      <c r="CM54" s="235"/>
      <c r="CN54" s="230"/>
      <c r="CO54" s="230"/>
      <c r="CP54" s="230"/>
      <c r="CQ54" s="234"/>
      <c r="CR54" s="230"/>
      <c r="CS54" s="230"/>
      <c r="CT54" s="234"/>
      <c r="CU54" s="230"/>
      <c r="CV54" s="230"/>
      <c r="CW54" s="234"/>
      <c r="CX54" s="230"/>
      <c r="CY54" s="235"/>
      <c r="CZ54" s="230"/>
      <c r="DA54" s="230"/>
      <c r="DB54" s="235"/>
      <c r="DC54" s="234"/>
      <c r="DD54" s="230"/>
      <c r="DE54" s="235"/>
      <c r="DF54" s="234"/>
      <c r="DG54" s="230"/>
      <c r="DH54" s="235"/>
      <c r="DI54" s="234"/>
      <c r="DJ54" s="230"/>
      <c r="DK54" s="235"/>
      <c r="DL54" s="296"/>
      <c r="DM54" s="297">
        <f>IFERROR(__xludf.DUMMYFUNCTION("""COMPUTED_VALUE"""),11.186113789778208)</f>
        <v>11.18611379</v>
      </c>
      <c r="DN54" s="298">
        <f>IFERROR(__xludf.DUMMYFUNCTION("""COMPUTED_VALUE"""),5.8341369334619095)</f>
        <v>5.834136933</v>
      </c>
      <c r="DO54" s="96">
        <f>IFERROR(__xludf.DUMMYFUNCTION("""COMPUTED_VALUE"""),20.877531340405014)</f>
        <v>20.87753134</v>
      </c>
      <c r="DP54" s="96"/>
      <c r="DQ54" s="96"/>
      <c r="DR54" s="96"/>
      <c r="DS54" s="96"/>
      <c r="DT54" s="96"/>
      <c r="DU54" s="96"/>
    </row>
    <row r="55">
      <c r="B55" s="83" t="str">
        <f>IFERROR(__xludf.DUMMYFUNCTION("""COMPUTED_VALUE"""),"FUY8")</f>
        <v>FUY8</v>
      </c>
      <c r="C55" s="88" t="str">
        <f>IFERROR(__xludf.DUMMYFUNCTION("""COMPUTED_VALUE"""),"Mobile Coordinate No.0")</f>
        <v>Mobile Coordinate No.0</v>
      </c>
      <c r="D55" s="102">
        <f>IFERROR(__xludf.DUMMYFUNCTION("""COMPUTED_VALUE"""),7.0)</f>
        <v>7</v>
      </c>
      <c r="E55" s="82" t="b">
        <f>IFERROR(__xludf.DUMMYFUNCTION("""COMPUTED_VALUE"""),TRUE)</f>
        <v>1</v>
      </c>
      <c r="F55" s="82" t="str">
        <f>IFERROR(__xludf.DUMMYFUNCTION("""COMPUTED_VALUE"""),"Free Quests- Part 1!A92:J104")</f>
        <v>Free Quests- Part 1!A92:J104</v>
      </c>
      <c r="G55" s="82">
        <f>IFERROR(__xludf.DUMMYFUNCTION("""COMPUTED_VALUE"""),56.0)</f>
        <v>56</v>
      </c>
      <c r="H55" s="82">
        <f>IFERROR(__xludf.DUMMYFUNCTION("""COMPUTED_VALUE"""),277.0)</f>
        <v>277</v>
      </c>
      <c r="I55" s="82">
        <f>IFERROR(__xludf.DUMMYFUNCTION("""COMPUTED_VALUE"""),1113.0)</f>
        <v>1113</v>
      </c>
      <c r="J55" s="82">
        <f>IFERROR(__xludf.DUMMYFUNCTION("""COMPUTED_VALUE"""),1390.0)</f>
        <v>1390</v>
      </c>
      <c r="K55" s="234"/>
      <c r="L55" s="230"/>
      <c r="M55" s="235"/>
      <c r="N55" s="234"/>
      <c r="O55" s="230"/>
      <c r="P55" s="235"/>
      <c r="Q55" s="234"/>
      <c r="R55" s="230"/>
      <c r="S55" s="235"/>
      <c r="T55" s="234"/>
      <c r="U55" s="230"/>
      <c r="V55" s="235"/>
      <c r="W55" s="234"/>
      <c r="X55" s="230"/>
      <c r="Y55" s="235"/>
      <c r="Z55" s="234"/>
      <c r="AA55" s="230"/>
      <c r="AB55" s="235"/>
      <c r="AC55" s="234"/>
      <c r="AD55" s="230"/>
      <c r="AE55" s="235"/>
      <c r="AF55" s="234"/>
      <c r="AG55" s="230"/>
      <c r="AH55" s="235"/>
      <c r="AI55" s="234"/>
      <c r="AJ55" s="230"/>
      <c r="AK55" s="235"/>
      <c r="AL55" s="231"/>
      <c r="AM55" s="230"/>
      <c r="AN55" s="235"/>
      <c r="AO55" s="234"/>
      <c r="AP55" s="230"/>
      <c r="AQ55" s="235"/>
      <c r="AR55" s="234"/>
      <c r="AS55" s="230"/>
      <c r="AT55" s="235"/>
      <c r="AU55" s="234"/>
      <c r="AV55" s="230"/>
      <c r="AW55" s="235"/>
      <c r="AX55" s="234"/>
      <c r="AY55" s="230">
        <f>IFERROR(__xludf.DUMMYFUNCTION("""COMPUTED_VALUE"""),10.55769784172662)</f>
        <v>10.55769784</v>
      </c>
      <c r="AZ55" s="235">
        <f>IFERROR(__xludf.DUMMYFUNCTION("""COMPUTED_VALUE"""),9.165179856115106)</f>
        <v>9.165179856</v>
      </c>
      <c r="BA55" s="234"/>
      <c r="BB55" s="230"/>
      <c r="BC55" s="235"/>
      <c r="BD55" s="234"/>
      <c r="BE55" s="230"/>
      <c r="BF55" s="235"/>
      <c r="BG55" s="234"/>
      <c r="BH55" s="230"/>
      <c r="BI55" s="235"/>
      <c r="BJ55" s="234"/>
      <c r="BK55" s="230"/>
      <c r="BL55" s="235"/>
      <c r="BM55" s="234"/>
      <c r="BN55" s="230"/>
      <c r="BO55" s="235"/>
      <c r="BP55" s="234"/>
      <c r="BQ55" s="230"/>
      <c r="BR55" s="235"/>
      <c r="BS55" s="234"/>
      <c r="BT55" s="230">
        <f>IFERROR(__xludf.DUMMYFUNCTION("""COMPUTED_VALUE"""),5.146546762589929)</f>
        <v>5.146546763</v>
      </c>
      <c r="BU55" s="235">
        <f>IFERROR(__xludf.DUMMYFUNCTION("""COMPUTED_VALUE"""),5.891582733812949)</f>
        <v>5.891582734</v>
      </c>
      <c r="BV55" s="234"/>
      <c r="BW55" s="230"/>
      <c r="BX55" s="235"/>
      <c r="BY55" s="234">
        <f>IFERROR(__xludf.DUMMYFUNCTION("""COMPUTED_VALUE"""),18.681942446043166)</f>
        <v>18.68194245</v>
      </c>
      <c r="BZ55" s="230"/>
      <c r="CA55" s="235"/>
      <c r="CB55" s="234"/>
      <c r="CC55" s="230"/>
      <c r="CD55" s="235"/>
      <c r="CE55" s="234"/>
      <c r="CF55" s="230"/>
      <c r="CG55" s="235"/>
      <c r="CH55" s="234">
        <f>IFERROR(__xludf.DUMMYFUNCTION("""COMPUTED_VALUE"""),9.364748201438848)</f>
        <v>9.364748201</v>
      </c>
      <c r="CI55" s="230"/>
      <c r="CJ55" s="230"/>
      <c r="CK55" s="234"/>
      <c r="CL55" s="230"/>
      <c r="CM55" s="235"/>
      <c r="CN55" s="230"/>
      <c r="CO55" s="230"/>
      <c r="CP55" s="230"/>
      <c r="CQ55" s="234"/>
      <c r="CR55" s="230"/>
      <c r="CS55" s="230"/>
      <c r="CT55" s="234"/>
      <c r="CU55" s="230"/>
      <c r="CV55" s="230"/>
      <c r="CW55" s="234"/>
      <c r="CX55" s="230"/>
      <c r="CY55" s="235"/>
      <c r="CZ55" s="230"/>
      <c r="DA55" s="230"/>
      <c r="DB55" s="235"/>
      <c r="DC55" s="234"/>
      <c r="DD55" s="230"/>
      <c r="DE55" s="235">
        <f>IFERROR(__xludf.DUMMYFUNCTION("""COMPUTED_VALUE"""),22.564102564102566)</f>
        <v>22.56410256</v>
      </c>
      <c r="DF55" s="234"/>
      <c r="DG55" s="230"/>
      <c r="DH55" s="235"/>
      <c r="DI55" s="234"/>
      <c r="DJ55" s="230"/>
      <c r="DK55" s="235"/>
      <c r="DL55" s="280"/>
      <c r="DM55" s="286">
        <f>IFERROR(__xludf.DUMMYFUNCTION("""COMPUTED_VALUE"""),6.666666666666667)</f>
        <v>6.666666667</v>
      </c>
      <c r="DN55" s="282">
        <f>IFERROR(__xludf.DUMMYFUNCTION("""COMPUTED_VALUE"""),2.564102564102564)</f>
        <v>2.564102564</v>
      </c>
      <c r="DO55" s="96"/>
      <c r="DP55" s="96"/>
      <c r="DQ55" s="96"/>
      <c r="DR55" s="96">
        <f>IFERROR(__xludf.DUMMYFUNCTION("""COMPUTED_VALUE"""),19.48717948717949)</f>
        <v>19.48717949</v>
      </c>
      <c r="DS55" s="96"/>
      <c r="DT55" s="96"/>
      <c r="DU55" s="96"/>
    </row>
    <row r="56">
      <c r="A56" s="115" t="str">
        <f>IFERROR(__xludf.DUMMYFUNCTION("""COMPUTED_VALUE"""),"ORLEANS")</f>
        <v>ORLEANS</v>
      </c>
      <c r="B56" s="83" t="str">
        <f>IFERROR(__xludf.DUMMYFUNCTION("""COMPUTED_VALUE"""),"ORL1")</f>
        <v>ORL1</v>
      </c>
      <c r="C56" s="88" t="str">
        <f>IFERROR(__xludf.DUMMYFUNCTION("""COMPUTED_VALUE"""),"Domremy")</f>
        <v>Domremy</v>
      </c>
      <c r="D56" s="102">
        <f>IFERROR(__xludf.DUMMYFUNCTION("""COMPUTED_VALUE"""),7.0)</f>
        <v>7</v>
      </c>
      <c r="E56" s="82" t="b">
        <f>IFERROR(__xludf.DUMMYFUNCTION("""COMPUTED_VALUE"""),TRUE)</f>
        <v>1</v>
      </c>
      <c r="F56" s="82" t="str">
        <f>IFERROR(__xludf.DUMMYFUNCTION("""COMPUTED_VALUE"""),"Free Quests- Part 1!A110:J117")</f>
        <v>Free Quests- Part 1!A110:J117</v>
      </c>
      <c r="G56" s="82">
        <f>IFERROR(__xludf.DUMMYFUNCTION("""COMPUTED_VALUE"""),57.0)</f>
        <v>57</v>
      </c>
      <c r="H56" s="82">
        <f>IFERROR(__xludf.DUMMYFUNCTION("""COMPUTED_VALUE"""),202.0)</f>
        <v>202</v>
      </c>
      <c r="I56" s="82">
        <f>IFERROR(__xludf.DUMMYFUNCTION("""COMPUTED_VALUE"""),1532.0)</f>
        <v>1532</v>
      </c>
      <c r="J56" s="82">
        <f>IFERROR(__xludf.DUMMYFUNCTION("""COMPUTED_VALUE"""),1734.0)</f>
        <v>1734</v>
      </c>
      <c r="K56" s="234"/>
      <c r="L56" s="230"/>
      <c r="M56" s="235"/>
      <c r="N56" s="234"/>
      <c r="O56" s="230"/>
      <c r="P56" s="235"/>
      <c r="Q56" s="234"/>
      <c r="R56" s="230"/>
      <c r="S56" s="235"/>
      <c r="T56" s="234"/>
      <c r="U56" s="230"/>
      <c r="V56" s="235"/>
      <c r="W56" s="234"/>
      <c r="X56" s="230"/>
      <c r="Y56" s="235"/>
      <c r="Z56" s="234"/>
      <c r="AA56" s="230"/>
      <c r="AB56" s="235"/>
      <c r="AC56" s="234"/>
      <c r="AD56" s="230"/>
      <c r="AE56" s="235"/>
      <c r="AF56" s="234"/>
      <c r="AG56" s="230"/>
      <c r="AH56" s="235"/>
      <c r="AI56" s="234"/>
      <c r="AJ56" s="230"/>
      <c r="AK56" s="235"/>
      <c r="AL56" s="231"/>
      <c r="AM56" s="230"/>
      <c r="AN56" s="235"/>
      <c r="AO56" s="234"/>
      <c r="AP56" s="230"/>
      <c r="AQ56" s="235"/>
      <c r="AR56" s="234"/>
      <c r="AS56" s="230"/>
      <c r="AT56" s="235"/>
      <c r="AU56" s="234"/>
      <c r="AV56" s="230"/>
      <c r="AW56" s="235">
        <f>IFERROR(__xludf.DUMMYFUNCTION("""COMPUTED_VALUE"""),20.85305651672434)</f>
        <v>20.85305652</v>
      </c>
      <c r="AX56" s="234"/>
      <c r="AY56" s="230"/>
      <c r="AZ56" s="235"/>
      <c r="BA56" s="234"/>
      <c r="BB56" s="230"/>
      <c r="BC56" s="235"/>
      <c r="BD56" s="234"/>
      <c r="BE56" s="230"/>
      <c r="BF56" s="235"/>
      <c r="BG56" s="234"/>
      <c r="BH56" s="230"/>
      <c r="BI56" s="235"/>
      <c r="BJ56" s="234"/>
      <c r="BK56" s="230"/>
      <c r="BL56" s="235"/>
      <c r="BM56" s="234"/>
      <c r="BN56" s="230"/>
      <c r="BO56" s="235"/>
      <c r="BP56" s="234"/>
      <c r="BQ56" s="230"/>
      <c r="BR56" s="235"/>
      <c r="BS56" s="234"/>
      <c r="BT56" s="230">
        <f>IFERROR(__xludf.DUMMYFUNCTION("""COMPUTED_VALUE"""),26.50011534025375)</f>
        <v>26.50011534</v>
      </c>
      <c r="BU56" s="235"/>
      <c r="BV56" s="234">
        <f>IFERROR(__xludf.DUMMYFUNCTION("""COMPUTED_VALUE"""),10.615664118754845)</f>
        <v>10.61566412</v>
      </c>
      <c r="BW56" s="230"/>
      <c r="BX56" s="235"/>
      <c r="BY56" s="234"/>
      <c r="BZ56" s="230"/>
      <c r="CA56" s="235"/>
      <c r="CB56" s="234"/>
      <c r="CC56" s="230"/>
      <c r="CD56" s="235"/>
      <c r="CE56" s="234"/>
      <c r="CF56" s="230"/>
      <c r="CG56" s="235"/>
      <c r="CH56" s="234"/>
      <c r="CI56" s="230"/>
      <c r="CJ56" s="230"/>
      <c r="CK56" s="234"/>
      <c r="CL56" s="230"/>
      <c r="CM56" s="235"/>
      <c r="CN56" s="230"/>
      <c r="CO56" s="230"/>
      <c r="CP56" s="230"/>
      <c r="CQ56" s="234"/>
      <c r="CR56" s="230"/>
      <c r="CS56" s="230"/>
      <c r="CT56" s="234"/>
      <c r="CU56" s="230"/>
      <c r="CV56" s="230"/>
      <c r="CW56" s="234"/>
      <c r="CX56" s="230"/>
      <c r="CY56" s="235"/>
      <c r="CZ56" s="230"/>
      <c r="DA56" s="230"/>
      <c r="DB56" s="235"/>
      <c r="DC56" s="234"/>
      <c r="DD56" s="230"/>
      <c r="DE56" s="235"/>
      <c r="DF56" s="234"/>
      <c r="DG56" s="230"/>
      <c r="DH56" s="235"/>
      <c r="DI56" s="234"/>
      <c r="DJ56" s="230"/>
      <c r="DK56" s="235"/>
      <c r="DL56" s="299"/>
      <c r="DM56" s="300">
        <f>IFERROR(__xludf.DUMMYFUNCTION("""COMPUTED_VALUE"""),18.64406779661017)</f>
        <v>18.6440678</v>
      </c>
      <c r="DN56" s="301"/>
      <c r="DO56" s="96">
        <f>IFERROR(__xludf.DUMMYFUNCTION("""COMPUTED_VALUE"""),10.734463276836157)</f>
        <v>10.73446328</v>
      </c>
      <c r="DP56" s="96"/>
      <c r="DQ56" s="96"/>
      <c r="DR56" s="96"/>
      <c r="DS56" s="96"/>
      <c r="DT56" s="96"/>
      <c r="DU56" s="96"/>
    </row>
    <row r="57">
      <c r="B57" s="83" t="str">
        <f>IFERROR(__xludf.DUMMYFUNCTION("""COMPUTED_VALUE"""),"ORL2")</f>
        <v>ORL2</v>
      </c>
      <c r="C57" s="88" t="str">
        <f>IFERROR(__xludf.DUMMYFUNCTION("""COMPUTED_VALUE"""),"Vaucouleurs")</f>
        <v>Vaucouleurs</v>
      </c>
      <c r="D57" s="102">
        <f>IFERROR(__xludf.DUMMYFUNCTION("""COMPUTED_VALUE"""),7.0)</f>
        <v>7</v>
      </c>
      <c r="E57" s="82" t="b">
        <f>IFERROR(__xludf.DUMMYFUNCTION("""COMPUTED_VALUE"""),TRUE)</f>
        <v>1</v>
      </c>
      <c r="F57" s="82" t="str">
        <f>IFERROR(__xludf.DUMMYFUNCTION("""COMPUTED_VALUE"""),"Free Quests- Part 1!A121:J130")</f>
        <v>Free Quests- Part 1!A121:J130</v>
      </c>
      <c r="G57" s="82">
        <f>IFERROR(__xludf.DUMMYFUNCTION("""COMPUTED_VALUE"""),58.0)</f>
        <v>58</v>
      </c>
      <c r="H57" s="82">
        <f>IFERROR(__xludf.DUMMYFUNCTION("""COMPUTED_VALUE"""),201.0)</f>
        <v>201</v>
      </c>
      <c r="I57" s="82">
        <f>IFERROR(__xludf.DUMMYFUNCTION("""COMPUTED_VALUE"""),1014.0)</f>
        <v>1014</v>
      </c>
      <c r="J57" s="82">
        <f>IFERROR(__xludf.DUMMYFUNCTION("""COMPUTED_VALUE"""),1215.0)</f>
        <v>1215</v>
      </c>
      <c r="K57" s="234"/>
      <c r="L57" s="230"/>
      <c r="M57" s="235"/>
      <c r="N57" s="234"/>
      <c r="O57" s="230"/>
      <c r="P57" s="235"/>
      <c r="Q57" s="234"/>
      <c r="R57" s="230"/>
      <c r="S57" s="235"/>
      <c r="T57" s="234"/>
      <c r="U57" s="230"/>
      <c r="V57" s="235"/>
      <c r="W57" s="234"/>
      <c r="X57" s="230"/>
      <c r="Y57" s="235"/>
      <c r="Z57" s="234"/>
      <c r="AA57" s="230"/>
      <c r="AB57" s="235"/>
      <c r="AC57" s="234"/>
      <c r="AD57" s="230"/>
      <c r="AE57" s="235"/>
      <c r="AF57" s="234"/>
      <c r="AG57" s="230"/>
      <c r="AH57" s="235"/>
      <c r="AI57" s="234"/>
      <c r="AJ57" s="230"/>
      <c r="AK57" s="235"/>
      <c r="AL57" s="231"/>
      <c r="AM57" s="230"/>
      <c r="AN57" s="235"/>
      <c r="AO57" s="234"/>
      <c r="AP57" s="230"/>
      <c r="AQ57" s="235"/>
      <c r="AR57" s="234"/>
      <c r="AS57" s="230"/>
      <c r="AT57" s="235"/>
      <c r="AU57" s="234"/>
      <c r="AV57" s="230"/>
      <c r="AW57" s="235"/>
      <c r="AX57" s="234">
        <f>IFERROR(__xludf.DUMMYFUNCTION("""COMPUTED_VALUE"""),5.33201646090535)</f>
        <v>5.332016461</v>
      </c>
      <c r="AY57" s="230">
        <f>IFERROR(__xludf.DUMMYFUNCTION("""COMPUTED_VALUE"""),8.414156378600824)</f>
        <v>8.414156379</v>
      </c>
      <c r="AZ57" s="235"/>
      <c r="BA57" s="234"/>
      <c r="BB57" s="230"/>
      <c r="BC57" s="235"/>
      <c r="BD57" s="234"/>
      <c r="BE57" s="230"/>
      <c r="BF57" s="235"/>
      <c r="BG57" s="234"/>
      <c r="BH57" s="230"/>
      <c r="BI57" s="235"/>
      <c r="BJ57" s="234"/>
      <c r="BK57" s="230"/>
      <c r="BL57" s="235"/>
      <c r="BM57" s="234"/>
      <c r="BN57" s="230"/>
      <c r="BO57" s="235"/>
      <c r="BP57" s="234"/>
      <c r="BQ57" s="230"/>
      <c r="BR57" s="235"/>
      <c r="BS57" s="234"/>
      <c r="BT57" s="230">
        <f>IFERROR(__xludf.DUMMYFUNCTION("""COMPUTED_VALUE"""),9.57909465020576)</f>
        <v>9.57909465</v>
      </c>
      <c r="BU57" s="235"/>
      <c r="BV57" s="234"/>
      <c r="BW57" s="230">
        <f>IFERROR(__xludf.DUMMYFUNCTION("""COMPUTED_VALUE"""),18.06633744855967)</f>
        <v>18.06633745</v>
      </c>
      <c r="BX57" s="235"/>
      <c r="BY57" s="234"/>
      <c r="BZ57" s="230"/>
      <c r="CA57" s="235"/>
      <c r="CB57" s="234"/>
      <c r="CC57" s="230"/>
      <c r="CD57" s="235"/>
      <c r="CE57" s="234"/>
      <c r="CF57" s="230"/>
      <c r="CG57" s="235"/>
      <c r="CH57" s="234"/>
      <c r="CI57" s="230"/>
      <c r="CJ57" s="230"/>
      <c r="CK57" s="234"/>
      <c r="CL57" s="230"/>
      <c r="CM57" s="235"/>
      <c r="CN57" s="230"/>
      <c r="CO57" s="230"/>
      <c r="CP57" s="230"/>
      <c r="CQ57" s="234"/>
      <c r="CR57" s="230"/>
      <c r="CS57" s="230"/>
      <c r="CT57" s="234"/>
      <c r="CU57" s="230"/>
      <c r="CV57" s="230"/>
      <c r="CW57" s="234"/>
      <c r="CX57" s="230"/>
      <c r="CY57" s="235"/>
      <c r="CZ57" s="230"/>
      <c r="DA57" s="230"/>
      <c r="DB57" s="235"/>
      <c r="DC57" s="234"/>
      <c r="DD57" s="230"/>
      <c r="DE57" s="235"/>
      <c r="DF57" s="234"/>
      <c r="DG57" s="230"/>
      <c r="DH57" s="235"/>
      <c r="DI57" s="234"/>
      <c r="DJ57" s="230"/>
      <c r="DK57" s="235"/>
      <c r="DL57" s="280"/>
      <c r="DM57" s="286">
        <f>IFERROR(__xludf.DUMMYFUNCTION("""COMPUTED_VALUE"""),8.609271523178808)</f>
        <v>8.609271523</v>
      </c>
      <c r="DN57" s="282"/>
      <c r="DO57" s="96"/>
      <c r="DP57" s="96">
        <f>IFERROR(__xludf.DUMMYFUNCTION("""COMPUTED_VALUE"""),13.90728476821192)</f>
        <v>13.90728477</v>
      </c>
      <c r="DQ57" s="96"/>
      <c r="DR57" s="96"/>
      <c r="DS57" s="96"/>
      <c r="DT57" s="96"/>
      <c r="DU57" s="96"/>
    </row>
    <row r="58">
      <c r="B58" s="83" t="str">
        <f>IFERROR(__xludf.DUMMYFUNCTION("""COMPUTED_VALUE"""),"ORL3")</f>
        <v>ORL3</v>
      </c>
      <c r="C58" s="88" t="str">
        <f>IFERROR(__xludf.DUMMYFUNCTION("""COMPUTED_VALUE"""),"La Charite")</f>
        <v>La Charite</v>
      </c>
      <c r="D58" s="102">
        <f>IFERROR(__xludf.DUMMYFUNCTION("""COMPUTED_VALUE"""),7.0)</f>
        <v>7</v>
      </c>
      <c r="E58" s="82" t="b">
        <f>IFERROR(__xludf.DUMMYFUNCTION("""COMPUTED_VALUE"""),TRUE)</f>
        <v>1</v>
      </c>
      <c r="F58" s="82" t="str">
        <f>IFERROR(__xludf.DUMMYFUNCTION("""COMPUTED_VALUE"""),"Free Quests- Part 1!A134:J145")</f>
        <v>Free Quests- Part 1!A134:J145</v>
      </c>
      <c r="G58" s="82">
        <f>IFERROR(__xludf.DUMMYFUNCTION("""COMPUTED_VALUE"""),59.0)</f>
        <v>59</v>
      </c>
      <c r="H58" s="82">
        <f>IFERROR(__xludf.DUMMYFUNCTION("""COMPUTED_VALUE"""),235.0)</f>
        <v>235</v>
      </c>
      <c r="I58" s="82">
        <f>IFERROR(__xludf.DUMMYFUNCTION("""COMPUTED_VALUE"""),1020.0)</f>
        <v>1020</v>
      </c>
      <c r="J58" s="82">
        <f>IFERROR(__xludf.DUMMYFUNCTION("""COMPUTED_VALUE"""),1255.0)</f>
        <v>1255</v>
      </c>
      <c r="K58" s="234"/>
      <c r="L58" s="230"/>
      <c r="M58" s="235"/>
      <c r="N58" s="234"/>
      <c r="O58" s="230"/>
      <c r="P58" s="235"/>
      <c r="Q58" s="234"/>
      <c r="R58" s="230"/>
      <c r="S58" s="235"/>
      <c r="T58" s="234"/>
      <c r="U58" s="230"/>
      <c r="V58" s="235"/>
      <c r="W58" s="234"/>
      <c r="X58" s="230"/>
      <c r="Y58" s="235"/>
      <c r="Z58" s="234"/>
      <c r="AA58" s="230"/>
      <c r="AB58" s="235"/>
      <c r="AC58" s="234"/>
      <c r="AD58" s="230"/>
      <c r="AE58" s="235"/>
      <c r="AF58" s="234"/>
      <c r="AG58" s="230"/>
      <c r="AH58" s="235"/>
      <c r="AI58" s="234"/>
      <c r="AJ58" s="230"/>
      <c r="AK58" s="235"/>
      <c r="AL58" s="231"/>
      <c r="AM58" s="230"/>
      <c r="AN58" s="235"/>
      <c r="AO58" s="234"/>
      <c r="AP58" s="230"/>
      <c r="AQ58" s="235"/>
      <c r="AR58" s="234"/>
      <c r="AS58" s="230"/>
      <c r="AT58" s="235"/>
      <c r="AU58" s="234"/>
      <c r="AV58" s="230"/>
      <c r="AW58" s="235">
        <f>IFERROR(__xludf.DUMMYFUNCTION("""COMPUTED_VALUE"""),5.909163346613546)</f>
        <v>5.909163347</v>
      </c>
      <c r="AX58" s="234"/>
      <c r="AY58" s="230">
        <f>IFERROR(__xludf.DUMMYFUNCTION("""COMPUTED_VALUE"""),11.738645418326692)</f>
        <v>11.73864542</v>
      </c>
      <c r="AZ58" s="235"/>
      <c r="BA58" s="234"/>
      <c r="BB58" s="230"/>
      <c r="BC58" s="235"/>
      <c r="BD58" s="234"/>
      <c r="BE58" s="230"/>
      <c r="BF58" s="235"/>
      <c r="BG58" s="234"/>
      <c r="BH58" s="230"/>
      <c r="BI58" s="235"/>
      <c r="BJ58" s="234"/>
      <c r="BK58" s="230"/>
      <c r="BL58" s="235"/>
      <c r="BM58" s="234"/>
      <c r="BN58" s="230"/>
      <c r="BO58" s="235"/>
      <c r="BP58" s="234"/>
      <c r="BQ58" s="230"/>
      <c r="BR58" s="235"/>
      <c r="BS58" s="234"/>
      <c r="BT58" s="230"/>
      <c r="BU58" s="235"/>
      <c r="BV58" s="234">
        <f>IFERROR(__xludf.DUMMYFUNCTION("""COMPUTED_VALUE"""),10.450996015936255)</f>
        <v>10.45099602</v>
      </c>
      <c r="BW58" s="230">
        <f>IFERROR(__xludf.DUMMYFUNCTION("""COMPUTED_VALUE"""),32.482868525896414)</f>
        <v>32.48286853</v>
      </c>
      <c r="BX58" s="235"/>
      <c r="BY58" s="234"/>
      <c r="BZ58" s="230"/>
      <c r="CA58" s="235"/>
      <c r="CB58" s="234"/>
      <c r="CC58" s="230"/>
      <c r="CD58" s="235"/>
      <c r="CE58" s="234"/>
      <c r="CF58" s="230"/>
      <c r="CG58" s="235"/>
      <c r="CH58" s="234"/>
      <c r="CI58" s="230"/>
      <c r="CJ58" s="230"/>
      <c r="CK58" s="234"/>
      <c r="CL58" s="230"/>
      <c r="CM58" s="235"/>
      <c r="CN58" s="230"/>
      <c r="CO58" s="230"/>
      <c r="CP58" s="230"/>
      <c r="CQ58" s="234"/>
      <c r="CR58" s="230"/>
      <c r="CS58" s="230"/>
      <c r="CT58" s="234"/>
      <c r="CU58" s="230"/>
      <c r="CV58" s="230"/>
      <c r="CW58" s="234"/>
      <c r="CX58" s="230"/>
      <c r="CY58" s="235"/>
      <c r="CZ58" s="230"/>
      <c r="DA58" s="230"/>
      <c r="DB58" s="235"/>
      <c r="DC58" s="234"/>
      <c r="DD58" s="230"/>
      <c r="DE58" s="235"/>
      <c r="DF58" s="234"/>
      <c r="DG58" s="230"/>
      <c r="DH58" s="235">
        <f>IFERROR(__xludf.DUMMYFUNCTION("""COMPUTED_VALUE"""),4.504504504504505)</f>
        <v>4.504504505</v>
      </c>
      <c r="DI58" s="234"/>
      <c r="DJ58" s="230"/>
      <c r="DK58" s="235"/>
      <c r="DL58" s="299"/>
      <c r="DM58" s="300"/>
      <c r="DN58" s="301"/>
      <c r="DO58" s="96">
        <f>IFERROR(__xludf.DUMMYFUNCTION("""COMPUTED_VALUE"""),6.306306306306306)</f>
        <v>6.306306306</v>
      </c>
      <c r="DP58" s="96">
        <f>IFERROR(__xludf.DUMMYFUNCTION("""COMPUTED_VALUE"""),24.324324324324326)</f>
        <v>24.32432432</v>
      </c>
      <c r="DQ58" s="96"/>
      <c r="DR58" s="96"/>
      <c r="DS58" s="96"/>
      <c r="DT58" s="96"/>
      <c r="DU58" s="96"/>
    </row>
    <row r="59">
      <c r="B59" s="83" t="str">
        <f>IFERROR(__xludf.DUMMYFUNCTION("""COMPUTED_VALUE"""),"ORL4")</f>
        <v>ORL4</v>
      </c>
      <c r="C59" s="88" t="str">
        <f>IFERROR(__xludf.DUMMYFUNCTION("""COMPUTED_VALUE"""),"Jura")</f>
        <v>Jura</v>
      </c>
      <c r="D59" s="102">
        <f>IFERROR(__xludf.DUMMYFUNCTION("""COMPUTED_VALUE"""),7.0)</f>
        <v>7</v>
      </c>
      <c r="E59" s="82" t="b">
        <f>IFERROR(__xludf.DUMMYFUNCTION("""COMPUTED_VALUE"""),TRUE)</f>
        <v>1</v>
      </c>
      <c r="F59" s="82" t="str">
        <f>IFERROR(__xludf.DUMMYFUNCTION("""COMPUTED_VALUE"""),"Free Quests- Part 1!A149:J164")</f>
        <v>Free Quests- Part 1!A149:J164</v>
      </c>
      <c r="G59" s="82">
        <f>IFERROR(__xludf.DUMMYFUNCTION("""COMPUTED_VALUE"""),60.0)</f>
        <v>60</v>
      </c>
      <c r="H59" s="82">
        <f>IFERROR(__xludf.DUMMYFUNCTION("""COMPUTED_VALUE"""),297.0)</f>
        <v>297</v>
      </c>
      <c r="I59" s="82">
        <f>IFERROR(__xludf.DUMMYFUNCTION("""COMPUTED_VALUE"""),2132.0)</f>
        <v>2132</v>
      </c>
      <c r="J59" s="82">
        <f>IFERROR(__xludf.DUMMYFUNCTION("""COMPUTED_VALUE"""),2429.0)</f>
        <v>2429</v>
      </c>
      <c r="K59" s="234"/>
      <c r="L59" s="230"/>
      <c r="M59" s="235"/>
      <c r="N59" s="234"/>
      <c r="O59" s="230"/>
      <c r="P59" s="235"/>
      <c r="Q59" s="234"/>
      <c r="R59" s="230"/>
      <c r="S59" s="235"/>
      <c r="T59" s="234"/>
      <c r="U59" s="230"/>
      <c r="V59" s="235"/>
      <c r="W59" s="234"/>
      <c r="X59" s="230"/>
      <c r="Y59" s="235"/>
      <c r="Z59" s="234"/>
      <c r="AA59" s="230"/>
      <c r="AB59" s="235"/>
      <c r="AC59" s="234">
        <f>IFERROR(__xludf.DUMMYFUNCTION("""COMPUTED_VALUE"""),5.217455743104158)</f>
        <v>5.217455743</v>
      </c>
      <c r="AD59" s="230"/>
      <c r="AE59" s="235"/>
      <c r="AF59" s="234"/>
      <c r="AG59" s="230"/>
      <c r="AH59" s="235"/>
      <c r="AI59" s="234"/>
      <c r="AJ59" s="230"/>
      <c r="AK59" s="235"/>
      <c r="AL59" s="231"/>
      <c r="AM59" s="230"/>
      <c r="AN59" s="235"/>
      <c r="AO59" s="234"/>
      <c r="AP59" s="230"/>
      <c r="AQ59" s="235"/>
      <c r="AR59" s="234"/>
      <c r="AS59" s="230"/>
      <c r="AT59" s="235"/>
      <c r="AU59" s="234"/>
      <c r="AV59" s="230"/>
      <c r="AW59" s="235"/>
      <c r="AX59" s="234"/>
      <c r="AY59" s="230">
        <f>IFERROR(__xludf.DUMMYFUNCTION("""COMPUTED_VALUE"""),5.335529024289831)</f>
        <v>5.335529024</v>
      </c>
      <c r="AZ59" s="235">
        <f>IFERROR(__xludf.DUMMYFUNCTION("""COMPUTED_VALUE"""),7.864635652531905)</f>
        <v>7.864635653</v>
      </c>
      <c r="BA59" s="234"/>
      <c r="BB59" s="230"/>
      <c r="BC59" s="235"/>
      <c r="BD59" s="234"/>
      <c r="BE59" s="230"/>
      <c r="BF59" s="235"/>
      <c r="BG59" s="234"/>
      <c r="BH59" s="230"/>
      <c r="BI59" s="235"/>
      <c r="BJ59" s="234"/>
      <c r="BK59" s="230"/>
      <c r="BL59" s="235"/>
      <c r="BM59" s="234"/>
      <c r="BN59" s="230"/>
      <c r="BO59" s="235"/>
      <c r="BP59" s="234"/>
      <c r="BQ59" s="230"/>
      <c r="BR59" s="235"/>
      <c r="BS59" s="234"/>
      <c r="BT59" s="230">
        <f>IFERROR(__xludf.DUMMYFUNCTION("""COMPUTED_VALUE"""),15.766179708499545)</f>
        <v>15.76617971</v>
      </c>
      <c r="BU59" s="235"/>
      <c r="BV59" s="234">
        <f>IFERROR(__xludf.DUMMYFUNCTION("""COMPUTED_VALUE"""),14.676857145667325)</f>
        <v>14.67685715</v>
      </c>
      <c r="BW59" s="230">
        <f>IFERROR(__xludf.DUMMYFUNCTION("""COMPUTED_VALUE"""),16.494223243880473)</f>
        <v>16.49422324</v>
      </c>
      <c r="BX59" s="235"/>
      <c r="BY59" s="234">
        <f>IFERROR(__xludf.DUMMYFUNCTION("""COMPUTED_VALUE"""),7.55570530717426)</f>
        <v>7.555705307</v>
      </c>
      <c r="BZ59" s="230"/>
      <c r="CA59" s="235"/>
      <c r="CB59" s="234"/>
      <c r="CC59" s="230"/>
      <c r="CD59" s="235"/>
      <c r="CE59" s="234"/>
      <c r="CF59" s="230"/>
      <c r="CG59" s="235"/>
      <c r="CH59" s="234"/>
      <c r="CI59" s="230"/>
      <c r="CJ59" s="230"/>
      <c r="CK59" s="234">
        <f>IFERROR(__xludf.DUMMYFUNCTION("""COMPUTED_VALUE"""),10.083873895773062)</f>
        <v>10.0838739</v>
      </c>
      <c r="CL59" s="230"/>
      <c r="CM59" s="235"/>
      <c r="CN59" s="230"/>
      <c r="CO59" s="230"/>
      <c r="CP59" s="230"/>
      <c r="CQ59" s="234"/>
      <c r="CR59" s="230"/>
      <c r="CS59" s="230"/>
      <c r="CT59" s="234"/>
      <c r="CU59" s="230"/>
      <c r="CV59" s="230"/>
      <c r="CW59" s="234"/>
      <c r="CX59" s="230"/>
      <c r="CY59" s="235"/>
      <c r="CZ59" s="230"/>
      <c r="DA59" s="230"/>
      <c r="DB59" s="235"/>
      <c r="DC59" s="234"/>
      <c r="DD59" s="230"/>
      <c r="DE59" s="235"/>
      <c r="DF59" s="234"/>
      <c r="DG59" s="230"/>
      <c r="DH59" s="235">
        <f>IFERROR(__xludf.DUMMYFUNCTION("""COMPUTED_VALUE"""),33.59375)</f>
        <v>33.59375</v>
      </c>
      <c r="DI59" s="234"/>
      <c r="DJ59" s="230"/>
      <c r="DK59" s="235"/>
      <c r="DL59" s="280"/>
      <c r="DM59" s="286">
        <f>IFERROR(__xludf.DUMMYFUNCTION("""COMPUTED_VALUE"""),12.5)</f>
        <v>12.5</v>
      </c>
      <c r="DN59" s="282"/>
      <c r="DO59" s="96">
        <f>IFERROR(__xludf.DUMMYFUNCTION("""COMPUTED_VALUE"""),8.59375)</f>
        <v>8.59375</v>
      </c>
      <c r="DP59" s="96"/>
      <c r="DQ59" s="96"/>
      <c r="DR59" s="96">
        <f>IFERROR(__xludf.DUMMYFUNCTION("""COMPUTED_VALUE"""),2.34375)</f>
        <v>2.34375</v>
      </c>
      <c r="DS59" s="96"/>
      <c r="DT59" s="96"/>
      <c r="DU59" s="96"/>
    </row>
    <row r="60">
      <c r="B60" s="83" t="str">
        <f>IFERROR(__xludf.DUMMYFUNCTION("""COMPUTED_VALUE"""),"ORL5")</f>
        <v>ORL5</v>
      </c>
      <c r="C60" s="88" t="str">
        <f>IFERROR(__xludf.DUMMYFUNCTION("""COMPUTED_VALUE"""),"Lyon")</f>
        <v>Lyon</v>
      </c>
      <c r="D60" s="102">
        <f>IFERROR(__xludf.DUMMYFUNCTION("""COMPUTED_VALUE"""),7.0)</f>
        <v>7</v>
      </c>
      <c r="E60" s="82" t="b">
        <f>IFERROR(__xludf.DUMMYFUNCTION("""COMPUTED_VALUE"""),TRUE)</f>
        <v>1</v>
      </c>
      <c r="F60" s="82" t="str">
        <f>IFERROR(__xludf.DUMMYFUNCTION("""COMPUTED_VALUE"""),"Free Quests- Part 1!A168:J178")</f>
        <v>Free Quests- Part 1!A168:J178</v>
      </c>
      <c r="G60" s="82">
        <f>IFERROR(__xludf.DUMMYFUNCTION("""COMPUTED_VALUE"""),61.0)</f>
        <v>61</v>
      </c>
      <c r="H60" s="82">
        <f>IFERROR(__xludf.DUMMYFUNCTION("""COMPUTED_VALUE"""),140.0)</f>
        <v>140</v>
      </c>
      <c r="I60" s="82">
        <f>IFERROR(__xludf.DUMMYFUNCTION("""COMPUTED_VALUE"""),1113.0)</f>
        <v>1113</v>
      </c>
      <c r="J60" s="82">
        <f>IFERROR(__xludf.DUMMYFUNCTION("""COMPUTED_VALUE"""),1253.0)</f>
        <v>1253</v>
      </c>
      <c r="K60" s="234"/>
      <c r="L60" s="230"/>
      <c r="M60" s="235"/>
      <c r="N60" s="234"/>
      <c r="O60" s="230"/>
      <c r="P60" s="235"/>
      <c r="Q60" s="234"/>
      <c r="R60" s="230"/>
      <c r="S60" s="235"/>
      <c r="T60" s="234"/>
      <c r="U60" s="230"/>
      <c r="V60" s="235"/>
      <c r="W60" s="234"/>
      <c r="X60" s="230"/>
      <c r="Y60" s="235"/>
      <c r="Z60" s="234"/>
      <c r="AA60" s="230"/>
      <c r="AB60" s="235"/>
      <c r="AC60" s="234"/>
      <c r="AD60" s="230"/>
      <c r="AE60" s="235"/>
      <c r="AF60" s="234"/>
      <c r="AG60" s="230"/>
      <c r="AH60" s="235"/>
      <c r="AI60" s="234"/>
      <c r="AJ60" s="230"/>
      <c r="AK60" s="235"/>
      <c r="AL60" s="231"/>
      <c r="AM60" s="230"/>
      <c r="AN60" s="235"/>
      <c r="AO60" s="234"/>
      <c r="AP60" s="230"/>
      <c r="AQ60" s="235"/>
      <c r="AR60" s="234"/>
      <c r="AS60" s="230"/>
      <c r="AT60" s="235"/>
      <c r="AU60" s="234"/>
      <c r="AV60" s="230"/>
      <c r="AW60" s="235">
        <f>IFERROR(__xludf.DUMMYFUNCTION("""COMPUTED_VALUE"""),19.15546687948923)</f>
        <v>19.15546688</v>
      </c>
      <c r="AX60" s="234"/>
      <c r="AY60" s="230"/>
      <c r="AZ60" s="235">
        <f>IFERROR(__xludf.DUMMYFUNCTION("""COMPUTED_VALUE"""),6.6079010375099765)</f>
        <v>6.607901038</v>
      </c>
      <c r="BA60" s="234"/>
      <c r="BB60" s="230"/>
      <c r="BC60" s="235"/>
      <c r="BD60" s="234"/>
      <c r="BE60" s="230"/>
      <c r="BF60" s="235"/>
      <c r="BG60" s="234"/>
      <c r="BH60" s="230"/>
      <c r="BI60" s="235"/>
      <c r="BJ60" s="234"/>
      <c r="BK60" s="230"/>
      <c r="BL60" s="235"/>
      <c r="BM60" s="234"/>
      <c r="BN60" s="230"/>
      <c r="BO60" s="235"/>
      <c r="BP60" s="234"/>
      <c r="BQ60" s="230"/>
      <c r="BR60" s="235"/>
      <c r="BS60" s="234"/>
      <c r="BT60" s="230">
        <f>IFERROR(__xludf.DUMMYFUNCTION("""COMPUTED_VALUE"""),25.80845969672785)</f>
        <v>25.8084597</v>
      </c>
      <c r="BU60" s="235"/>
      <c r="BV60" s="234">
        <f>IFERROR(__xludf.DUMMYFUNCTION("""COMPUTED_VALUE"""),10.141580207501997)</f>
        <v>10.14158021</v>
      </c>
      <c r="BW60" s="230"/>
      <c r="BX60" s="235"/>
      <c r="BY60" s="234"/>
      <c r="BZ60" s="230"/>
      <c r="CA60" s="235"/>
      <c r="CB60" s="234"/>
      <c r="CC60" s="230"/>
      <c r="CD60" s="235"/>
      <c r="CE60" s="234"/>
      <c r="CF60" s="230"/>
      <c r="CG60" s="235"/>
      <c r="CH60" s="234"/>
      <c r="CI60" s="230"/>
      <c r="CJ60" s="230"/>
      <c r="CK60" s="234"/>
      <c r="CL60" s="230"/>
      <c r="CM60" s="235">
        <f>IFERROR(__xludf.DUMMYFUNCTION("""COMPUTED_VALUE"""),10.737669592976856)</f>
        <v>10.73766959</v>
      </c>
      <c r="CN60" s="230"/>
      <c r="CO60" s="230"/>
      <c r="CP60" s="230"/>
      <c r="CQ60" s="234"/>
      <c r="CR60" s="230"/>
      <c r="CS60" s="230"/>
      <c r="CT60" s="234"/>
      <c r="CU60" s="230"/>
      <c r="CV60" s="230"/>
      <c r="CW60" s="234"/>
      <c r="CX60" s="230"/>
      <c r="CY60" s="235"/>
      <c r="CZ60" s="230"/>
      <c r="DA60" s="230"/>
      <c r="DB60" s="235"/>
      <c r="DC60" s="234"/>
      <c r="DD60" s="230"/>
      <c r="DE60" s="235"/>
      <c r="DF60" s="234"/>
      <c r="DG60" s="230"/>
      <c r="DH60" s="235"/>
      <c r="DI60" s="234"/>
      <c r="DJ60" s="230">
        <f>IFERROR(__xludf.DUMMYFUNCTION("""COMPUTED_VALUE"""),18.64406779661017)</f>
        <v>18.6440678</v>
      </c>
      <c r="DK60" s="235"/>
      <c r="DL60" s="299"/>
      <c r="DM60" s="300">
        <f>IFERROR(__xludf.DUMMYFUNCTION("""COMPUTED_VALUE"""),22.033898305084744)</f>
        <v>22.03389831</v>
      </c>
      <c r="DN60" s="301"/>
      <c r="DO60" s="96">
        <f>IFERROR(__xludf.DUMMYFUNCTION("""COMPUTED_VALUE"""),11.016949152542372)</f>
        <v>11.01694915</v>
      </c>
      <c r="DP60" s="96"/>
      <c r="DQ60" s="96"/>
      <c r="DR60" s="96"/>
      <c r="DS60" s="96"/>
      <c r="DT60" s="96"/>
      <c r="DU60" s="96"/>
    </row>
    <row r="61">
      <c r="B61" s="83" t="str">
        <f>IFERROR(__xludf.DUMMYFUNCTION("""COMPUTED_VALUE"""),"ORL6")</f>
        <v>ORL6</v>
      </c>
      <c r="C61" s="88" t="str">
        <f>IFERROR(__xludf.DUMMYFUNCTION("""COMPUTED_VALUE"""),"Marseille")</f>
        <v>Marseille</v>
      </c>
      <c r="D61" s="102">
        <f>IFERROR(__xludf.DUMMYFUNCTION("""COMPUTED_VALUE"""),7.0)</f>
        <v>7</v>
      </c>
      <c r="E61" s="82" t="b">
        <f>IFERROR(__xludf.DUMMYFUNCTION("""COMPUTED_VALUE"""),TRUE)</f>
        <v>1</v>
      </c>
      <c r="F61" s="82" t="str">
        <f>IFERROR(__xludf.DUMMYFUNCTION("""COMPUTED_VALUE"""),"Free Quests- Part 1!A182:J189")</f>
        <v>Free Quests- Part 1!A182:J189</v>
      </c>
      <c r="G61" s="82">
        <f>IFERROR(__xludf.DUMMYFUNCTION("""COMPUTED_VALUE"""),62.0)</f>
        <v>62</v>
      </c>
      <c r="H61" s="82">
        <f>IFERROR(__xludf.DUMMYFUNCTION("""COMPUTED_VALUE"""),105.0)</f>
        <v>105</v>
      </c>
      <c r="I61" s="82">
        <f>IFERROR(__xludf.DUMMYFUNCTION("""COMPUTED_VALUE"""),1680.0)</f>
        <v>1680</v>
      </c>
      <c r="J61" s="82">
        <f>IFERROR(__xludf.DUMMYFUNCTION("""COMPUTED_VALUE"""),1785.0)</f>
        <v>1785</v>
      </c>
      <c r="K61" s="234"/>
      <c r="L61" s="230"/>
      <c r="M61" s="235"/>
      <c r="N61" s="234"/>
      <c r="O61" s="230"/>
      <c r="P61" s="235"/>
      <c r="Q61" s="234"/>
      <c r="R61" s="230"/>
      <c r="S61" s="235"/>
      <c r="T61" s="234"/>
      <c r="U61" s="230"/>
      <c r="V61" s="235"/>
      <c r="W61" s="234"/>
      <c r="X61" s="230"/>
      <c r="Y61" s="235"/>
      <c r="Z61" s="234"/>
      <c r="AA61" s="230"/>
      <c r="AB61" s="235"/>
      <c r="AC61" s="234"/>
      <c r="AD61" s="230"/>
      <c r="AE61" s="235"/>
      <c r="AF61" s="234"/>
      <c r="AG61" s="230"/>
      <c r="AH61" s="235"/>
      <c r="AI61" s="234"/>
      <c r="AJ61" s="230"/>
      <c r="AK61" s="235"/>
      <c r="AL61" s="231"/>
      <c r="AM61" s="230"/>
      <c r="AN61" s="235"/>
      <c r="AO61" s="234"/>
      <c r="AP61" s="230"/>
      <c r="AQ61" s="235"/>
      <c r="AR61" s="234"/>
      <c r="AS61" s="230"/>
      <c r="AT61" s="235"/>
      <c r="AU61" s="234"/>
      <c r="AV61" s="230"/>
      <c r="AW61" s="235">
        <f>IFERROR(__xludf.DUMMYFUNCTION("""COMPUTED_VALUE"""),29.615686274509805)</f>
        <v>29.61568627</v>
      </c>
      <c r="AX61" s="234"/>
      <c r="AY61" s="230"/>
      <c r="AZ61" s="235"/>
      <c r="BA61" s="234"/>
      <c r="BB61" s="230"/>
      <c r="BC61" s="235"/>
      <c r="BD61" s="234"/>
      <c r="BE61" s="230"/>
      <c r="BF61" s="235"/>
      <c r="BG61" s="234"/>
      <c r="BH61" s="230"/>
      <c r="BI61" s="235"/>
      <c r="BJ61" s="234"/>
      <c r="BK61" s="230"/>
      <c r="BL61" s="235"/>
      <c r="BM61" s="234"/>
      <c r="BN61" s="230"/>
      <c r="BO61" s="235"/>
      <c r="BP61" s="234"/>
      <c r="BQ61" s="230"/>
      <c r="BR61" s="235"/>
      <c r="BS61" s="234"/>
      <c r="BT61" s="230">
        <f>IFERROR(__xludf.DUMMYFUNCTION("""COMPUTED_VALUE"""),21.149579831932773)</f>
        <v>21.14957983</v>
      </c>
      <c r="BU61" s="235"/>
      <c r="BV61" s="234">
        <f>IFERROR(__xludf.DUMMYFUNCTION("""COMPUTED_VALUE"""),25.196638655462184)</f>
        <v>25.19663866</v>
      </c>
      <c r="BW61" s="230"/>
      <c r="BX61" s="235"/>
      <c r="BY61" s="234"/>
      <c r="BZ61" s="230"/>
      <c r="CA61" s="235"/>
      <c r="CB61" s="234"/>
      <c r="CC61" s="230"/>
      <c r="CD61" s="235"/>
      <c r="CE61" s="234"/>
      <c r="CF61" s="230"/>
      <c r="CG61" s="235"/>
      <c r="CH61" s="234"/>
      <c r="CI61" s="230"/>
      <c r="CJ61" s="230"/>
      <c r="CK61" s="234"/>
      <c r="CL61" s="230"/>
      <c r="CM61" s="235"/>
      <c r="CN61" s="230"/>
      <c r="CO61" s="230"/>
      <c r="CP61" s="230"/>
      <c r="CQ61" s="234"/>
      <c r="CR61" s="230"/>
      <c r="CS61" s="230"/>
      <c r="CT61" s="234"/>
      <c r="CU61" s="230"/>
      <c r="CV61" s="230"/>
      <c r="CW61" s="234"/>
      <c r="CX61" s="230"/>
      <c r="CY61" s="235"/>
      <c r="CZ61" s="230"/>
      <c r="DA61" s="230"/>
      <c r="DB61" s="235"/>
      <c r="DC61" s="234"/>
      <c r="DD61" s="230"/>
      <c r="DE61" s="235"/>
      <c r="DF61" s="234"/>
      <c r="DG61" s="230"/>
      <c r="DH61" s="235"/>
      <c r="DI61" s="234"/>
      <c r="DJ61" s="230"/>
      <c r="DK61" s="235"/>
      <c r="DL61" s="280"/>
      <c r="DM61" s="286">
        <f>IFERROR(__xludf.DUMMYFUNCTION("""COMPUTED_VALUE"""),36.58536585365854)</f>
        <v>36.58536585</v>
      </c>
      <c r="DN61" s="282"/>
      <c r="DO61" s="96">
        <f>IFERROR(__xludf.DUMMYFUNCTION("""COMPUTED_VALUE"""),34.146341463414636)</f>
        <v>34.14634146</v>
      </c>
      <c r="DP61" s="96"/>
      <c r="DQ61" s="96"/>
      <c r="DR61" s="96"/>
      <c r="DS61" s="96"/>
      <c r="DT61" s="96"/>
      <c r="DU61" s="96"/>
    </row>
    <row r="62">
      <c r="B62" s="83" t="str">
        <f>IFERROR(__xludf.DUMMYFUNCTION("""COMPUTED_VALUE"""),"ORL7")</f>
        <v>ORL7</v>
      </c>
      <c r="C62" s="88" t="str">
        <f>IFERROR(__xludf.DUMMYFUNCTION("""COMPUTED_VALUE"""),"Thiers")</f>
        <v>Thiers</v>
      </c>
      <c r="D62" s="102">
        <f>IFERROR(__xludf.DUMMYFUNCTION("""COMPUTED_VALUE"""),7.0)</f>
        <v>7</v>
      </c>
      <c r="E62" s="82" t="b">
        <f>IFERROR(__xludf.DUMMYFUNCTION("""COMPUTED_VALUE"""),TRUE)</f>
        <v>1</v>
      </c>
      <c r="F62" s="82" t="str">
        <f>IFERROR(__xludf.DUMMYFUNCTION("""COMPUTED_VALUE"""),"Free Quests- Part 1!A193:J203")</f>
        <v>Free Quests- Part 1!A193:J203</v>
      </c>
      <c r="G62" s="82">
        <f>IFERROR(__xludf.DUMMYFUNCTION("""COMPUTED_VALUE"""),63.0)</f>
        <v>63</v>
      </c>
      <c r="H62" s="82">
        <f>IFERROR(__xludf.DUMMYFUNCTION("""COMPUTED_VALUE"""),1232.0)</f>
        <v>1232</v>
      </c>
      <c r="I62" s="82">
        <f>IFERROR(__xludf.DUMMYFUNCTION("""COMPUTED_VALUE"""),1515.0)</f>
        <v>1515</v>
      </c>
      <c r="J62" s="82">
        <f>IFERROR(__xludf.DUMMYFUNCTION("""COMPUTED_VALUE"""),2747.0)</f>
        <v>2747</v>
      </c>
      <c r="K62" s="234"/>
      <c r="L62" s="230"/>
      <c r="M62" s="235"/>
      <c r="N62" s="234"/>
      <c r="O62" s="230"/>
      <c r="P62" s="235"/>
      <c r="Q62" s="234"/>
      <c r="R62" s="230"/>
      <c r="S62" s="235"/>
      <c r="T62" s="234"/>
      <c r="U62" s="230"/>
      <c r="V62" s="235"/>
      <c r="W62" s="234"/>
      <c r="X62" s="230"/>
      <c r="Y62" s="235"/>
      <c r="Z62" s="234"/>
      <c r="AA62" s="230"/>
      <c r="AB62" s="235"/>
      <c r="AC62" s="234"/>
      <c r="AD62" s="230"/>
      <c r="AE62" s="235"/>
      <c r="AF62" s="234"/>
      <c r="AG62" s="230"/>
      <c r="AH62" s="235"/>
      <c r="AI62" s="234"/>
      <c r="AJ62" s="230"/>
      <c r="AK62" s="235"/>
      <c r="AL62" s="231"/>
      <c r="AM62" s="230"/>
      <c r="AN62" s="235"/>
      <c r="AO62" s="234"/>
      <c r="AP62" s="230"/>
      <c r="AQ62" s="235"/>
      <c r="AR62" s="234"/>
      <c r="AS62" s="230"/>
      <c r="AT62" s="235"/>
      <c r="AU62" s="234"/>
      <c r="AV62" s="230"/>
      <c r="AW62" s="235"/>
      <c r="AX62" s="234"/>
      <c r="AY62" s="230">
        <f>IFERROR(__xludf.DUMMYFUNCTION("""COMPUTED_VALUE"""),13.964870768110666)</f>
        <v>13.96487077</v>
      </c>
      <c r="AZ62" s="235">
        <f>IFERROR(__xludf.DUMMYFUNCTION("""COMPUTED_VALUE"""),8.89515835456862)</f>
        <v>8.895158355</v>
      </c>
      <c r="BA62" s="234"/>
      <c r="BB62" s="230"/>
      <c r="BC62" s="235"/>
      <c r="BD62" s="234"/>
      <c r="BE62" s="230"/>
      <c r="BF62" s="235"/>
      <c r="BG62" s="234"/>
      <c r="BH62" s="230"/>
      <c r="BI62" s="235"/>
      <c r="BJ62" s="234"/>
      <c r="BK62" s="230"/>
      <c r="BL62" s="235"/>
      <c r="BM62" s="234"/>
      <c r="BN62" s="230"/>
      <c r="BO62" s="235"/>
      <c r="BP62" s="234"/>
      <c r="BQ62" s="230"/>
      <c r="BR62" s="235"/>
      <c r="BS62" s="234"/>
      <c r="BT62" s="230"/>
      <c r="BU62" s="235"/>
      <c r="BV62" s="234"/>
      <c r="BW62" s="230">
        <f>IFERROR(__xludf.DUMMYFUNCTION("""COMPUTED_VALUE"""),33.82562795777211)</f>
        <v>33.82562796</v>
      </c>
      <c r="BX62" s="235"/>
      <c r="BY62" s="234"/>
      <c r="BZ62" s="230"/>
      <c r="CA62" s="235"/>
      <c r="CB62" s="234"/>
      <c r="CC62" s="230"/>
      <c r="CD62" s="235"/>
      <c r="CE62" s="234"/>
      <c r="CF62" s="230"/>
      <c r="CG62" s="235"/>
      <c r="CH62" s="234"/>
      <c r="CI62" s="230"/>
      <c r="CJ62" s="230"/>
      <c r="CK62" s="234"/>
      <c r="CL62" s="230"/>
      <c r="CM62" s="235"/>
      <c r="CN62" s="230">
        <f>IFERROR(__xludf.DUMMYFUNCTION("""COMPUTED_VALUE"""),9.476519839825263)</f>
        <v>9.47651984</v>
      </c>
      <c r="CO62" s="230"/>
      <c r="CP62" s="230"/>
      <c r="CQ62" s="234"/>
      <c r="CR62" s="230"/>
      <c r="CS62" s="230"/>
      <c r="CT62" s="234"/>
      <c r="CU62" s="230"/>
      <c r="CV62" s="230"/>
      <c r="CW62" s="234"/>
      <c r="CX62" s="230"/>
      <c r="CY62" s="235"/>
      <c r="CZ62" s="230"/>
      <c r="DA62" s="230"/>
      <c r="DB62" s="235"/>
      <c r="DC62" s="234"/>
      <c r="DD62" s="230"/>
      <c r="DE62" s="235"/>
      <c r="DF62" s="234"/>
      <c r="DG62" s="230"/>
      <c r="DH62" s="235">
        <f>IFERROR(__xludf.DUMMYFUNCTION("""COMPUTED_VALUE"""),12.121212121212121)</f>
        <v>12.12121212</v>
      </c>
      <c r="DI62" s="234"/>
      <c r="DJ62" s="230"/>
      <c r="DK62" s="235">
        <f>IFERROR(__xludf.DUMMYFUNCTION("""COMPUTED_VALUE"""),24.242424242424242)</f>
        <v>24.24242424</v>
      </c>
      <c r="DL62" s="299"/>
      <c r="DM62" s="300"/>
      <c r="DN62" s="301"/>
      <c r="DO62" s="96"/>
      <c r="DP62" s="96">
        <f>IFERROR(__xludf.DUMMYFUNCTION("""COMPUTED_VALUE"""),24.242424242424242)</f>
        <v>24.24242424</v>
      </c>
      <c r="DQ62" s="96"/>
      <c r="DR62" s="96"/>
      <c r="DS62" s="96"/>
      <c r="DT62" s="96"/>
      <c r="DU62" s="96"/>
    </row>
    <row r="63">
      <c r="B63" s="83" t="str">
        <f>IFERROR(__xludf.DUMMYFUNCTION("""COMPUTED_VALUE"""),"ORL8")</f>
        <v>ORL8</v>
      </c>
      <c r="C63" s="88" t="str">
        <f>IFERROR(__xludf.DUMMYFUNCTION("""COMPUTED_VALUE"""),"Bordeaux")</f>
        <v>Bordeaux</v>
      </c>
      <c r="D63" s="102">
        <f>IFERROR(__xludf.DUMMYFUNCTION("""COMPUTED_VALUE"""),7.0)</f>
        <v>7</v>
      </c>
      <c r="E63" s="82" t="b">
        <f>IFERROR(__xludf.DUMMYFUNCTION("""COMPUTED_VALUE"""),TRUE)</f>
        <v>1</v>
      </c>
      <c r="F63" s="82" t="str">
        <f>IFERROR(__xludf.DUMMYFUNCTION("""COMPUTED_VALUE"""),"Free Quests- Part 1!A207:J216")</f>
        <v>Free Quests- Part 1!A207:J216</v>
      </c>
      <c r="G63" s="82">
        <f>IFERROR(__xludf.DUMMYFUNCTION("""COMPUTED_VALUE"""),64.0)</f>
        <v>64</v>
      </c>
      <c r="H63" s="82">
        <f>IFERROR(__xludf.DUMMYFUNCTION("""COMPUTED_VALUE"""),493.0)</f>
        <v>493</v>
      </c>
      <c r="I63" s="82">
        <f>IFERROR(__xludf.DUMMYFUNCTION("""COMPUTED_VALUE"""),1259.0)</f>
        <v>1259</v>
      </c>
      <c r="J63" s="82">
        <f>IFERROR(__xludf.DUMMYFUNCTION("""COMPUTED_VALUE"""),1752.0)</f>
        <v>1752</v>
      </c>
      <c r="K63" s="234"/>
      <c r="L63" s="230"/>
      <c r="M63" s="235"/>
      <c r="N63" s="234"/>
      <c r="O63" s="230"/>
      <c r="P63" s="235"/>
      <c r="Q63" s="234"/>
      <c r="R63" s="230"/>
      <c r="S63" s="235"/>
      <c r="T63" s="234"/>
      <c r="U63" s="230"/>
      <c r="V63" s="235"/>
      <c r="W63" s="234"/>
      <c r="X63" s="230"/>
      <c r="Y63" s="235"/>
      <c r="Z63" s="234"/>
      <c r="AA63" s="230"/>
      <c r="AB63" s="235"/>
      <c r="AC63" s="234">
        <f>IFERROR(__xludf.DUMMYFUNCTION("""COMPUTED_VALUE"""),8.759189497716894)</f>
        <v>8.759189498</v>
      </c>
      <c r="AD63" s="230"/>
      <c r="AE63" s="235"/>
      <c r="AF63" s="234"/>
      <c r="AG63" s="230"/>
      <c r="AH63" s="235"/>
      <c r="AI63" s="234"/>
      <c r="AJ63" s="230"/>
      <c r="AK63" s="235"/>
      <c r="AL63" s="231"/>
      <c r="AM63" s="230"/>
      <c r="AN63" s="235"/>
      <c r="AO63" s="234"/>
      <c r="AP63" s="230"/>
      <c r="AQ63" s="235"/>
      <c r="AR63" s="234"/>
      <c r="AS63" s="230"/>
      <c r="AT63" s="235"/>
      <c r="AU63" s="234"/>
      <c r="AV63" s="230"/>
      <c r="AW63" s="235"/>
      <c r="AX63" s="234"/>
      <c r="AY63" s="230"/>
      <c r="AZ63" s="235"/>
      <c r="BA63" s="234"/>
      <c r="BB63" s="230"/>
      <c r="BC63" s="235"/>
      <c r="BD63" s="234"/>
      <c r="BE63" s="230"/>
      <c r="BF63" s="235"/>
      <c r="BG63" s="234"/>
      <c r="BH63" s="230"/>
      <c r="BI63" s="235"/>
      <c r="BJ63" s="234"/>
      <c r="BK63" s="230"/>
      <c r="BL63" s="235"/>
      <c r="BM63" s="234"/>
      <c r="BN63" s="230"/>
      <c r="BO63" s="235"/>
      <c r="BP63" s="234"/>
      <c r="BQ63" s="230"/>
      <c r="BR63" s="235"/>
      <c r="BS63" s="234"/>
      <c r="BT63" s="230">
        <f>IFERROR(__xludf.DUMMYFUNCTION("""COMPUTED_VALUE"""),8.133390410958905)</f>
        <v>8.133390411</v>
      </c>
      <c r="BU63" s="235"/>
      <c r="BV63" s="234">
        <f>IFERROR(__xludf.DUMMYFUNCTION("""COMPUTED_VALUE"""),32.30730593607306)</f>
        <v>32.30730594</v>
      </c>
      <c r="BW63" s="230"/>
      <c r="BX63" s="235"/>
      <c r="BY63" s="234">
        <f>IFERROR(__xludf.DUMMYFUNCTION("""COMPUTED_VALUE"""),23.37933789954338)</f>
        <v>23.3793379</v>
      </c>
      <c r="BZ63" s="230"/>
      <c r="CA63" s="235"/>
      <c r="CB63" s="234"/>
      <c r="CC63" s="230"/>
      <c r="CD63" s="235"/>
      <c r="CE63" s="234"/>
      <c r="CF63" s="230"/>
      <c r="CG63" s="235"/>
      <c r="CH63" s="234"/>
      <c r="CI63" s="230"/>
      <c r="CJ63" s="230"/>
      <c r="CK63" s="234"/>
      <c r="CL63" s="230"/>
      <c r="CM63" s="235"/>
      <c r="CN63" s="230"/>
      <c r="CO63" s="230"/>
      <c r="CP63" s="230"/>
      <c r="CQ63" s="234"/>
      <c r="CR63" s="230"/>
      <c r="CS63" s="230"/>
      <c r="CT63" s="234"/>
      <c r="CU63" s="230"/>
      <c r="CV63" s="230"/>
      <c r="CW63" s="234"/>
      <c r="CX63" s="230"/>
      <c r="CY63" s="235"/>
      <c r="CZ63" s="230"/>
      <c r="DA63" s="230"/>
      <c r="DB63" s="235"/>
      <c r="DC63" s="234"/>
      <c r="DD63" s="230"/>
      <c r="DE63" s="235"/>
      <c r="DF63" s="234"/>
      <c r="DG63" s="230"/>
      <c r="DH63" s="235"/>
      <c r="DI63" s="234"/>
      <c r="DJ63" s="230"/>
      <c r="DK63" s="235"/>
      <c r="DL63" s="280"/>
      <c r="DM63" s="286">
        <f>IFERROR(__xludf.DUMMYFUNCTION("""COMPUTED_VALUE"""),6.25)</f>
        <v>6.25</v>
      </c>
      <c r="DN63" s="282"/>
      <c r="DO63" s="96">
        <f>IFERROR(__xludf.DUMMYFUNCTION("""COMPUTED_VALUE"""),17.1875)</f>
        <v>17.1875</v>
      </c>
      <c r="DP63" s="96"/>
      <c r="DQ63" s="96"/>
      <c r="DR63" s="96">
        <f>IFERROR(__xludf.DUMMYFUNCTION("""COMPUTED_VALUE"""),7.8125)</f>
        <v>7.8125</v>
      </c>
      <c r="DS63" s="96"/>
      <c r="DT63" s="96"/>
      <c r="DU63" s="96"/>
    </row>
    <row r="64">
      <c r="B64" s="83" t="str">
        <f>IFERROR(__xludf.DUMMYFUNCTION("""COMPUTED_VALUE"""),"ORL9")</f>
        <v>ORL9</v>
      </c>
      <c r="C64" s="88" t="str">
        <f>IFERROR(__xludf.DUMMYFUNCTION("""COMPUTED_VALUE"""),"Orleans")</f>
        <v>Orleans</v>
      </c>
      <c r="D64" s="102">
        <f>IFERROR(__xludf.DUMMYFUNCTION("""COMPUTED_VALUE"""),8.0)</f>
        <v>8</v>
      </c>
      <c r="E64" s="82" t="b">
        <f>IFERROR(__xludf.DUMMYFUNCTION("""COMPUTED_VALUE"""),TRUE)</f>
        <v>1</v>
      </c>
      <c r="F64" s="82" t="str">
        <f>IFERROR(__xludf.DUMMYFUNCTION("""COMPUTED_VALUE"""),"Free Quests- Part 1!A220:J235")</f>
        <v>Free Quests- Part 1!A220:J235</v>
      </c>
      <c r="G64" s="82">
        <f>IFERROR(__xludf.DUMMYFUNCTION("""COMPUTED_VALUE"""),65.0)</f>
        <v>65</v>
      </c>
      <c r="H64" s="82">
        <f>IFERROR(__xludf.DUMMYFUNCTION("""COMPUTED_VALUE"""),293.0)</f>
        <v>293</v>
      </c>
      <c r="I64" s="82">
        <f>IFERROR(__xludf.DUMMYFUNCTION("""COMPUTED_VALUE"""),1211.0)</f>
        <v>1211</v>
      </c>
      <c r="J64" s="82">
        <f>IFERROR(__xludf.DUMMYFUNCTION("""COMPUTED_VALUE"""),1504.0)</f>
        <v>1504</v>
      </c>
      <c r="K64" s="234"/>
      <c r="L64" s="230"/>
      <c r="M64" s="235"/>
      <c r="N64" s="234"/>
      <c r="O64" s="230"/>
      <c r="P64" s="235"/>
      <c r="Q64" s="234"/>
      <c r="R64" s="230"/>
      <c r="S64" s="235"/>
      <c r="T64" s="234"/>
      <c r="U64" s="230"/>
      <c r="V64" s="235"/>
      <c r="W64" s="234"/>
      <c r="X64" s="230"/>
      <c r="Y64" s="235"/>
      <c r="Z64" s="234"/>
      <c r="AA64" s="230"/>
      <c r="AB64" s="235"/>
      <c r="AC64" s="234"/>
      <c r="AD64" s="230"/>
      <c r="AE64" s="235"/>
      <c r="AF64" s="234"/>
      <c r="AG64" s="230"/>
      <c r="AH64" s="235"/>
      <c r="AI64" s="234"/>
      <c r="AJ64" s="230"/>
      <c r="AK64" s="235"/>
      <c r="AL64" s="231"/>
      <c r="AM64" s="230"/>
      <c r="AN64" s="235"/>
      <c r="AO64" s="234"/>
      <c r="AP64" s="230"/>
      <c r="AQ64" s="235"/>
      <c r="AR64" s="234"/>
      <c r="AS64" s="230"/>
      <c r="AT64" s="235"/>
      <c r="AU64" s="234"/>
      <c r="AV64" s="230"/>
      <c r="AW64" s="235"/>
      <c r="AX64" s="234">
        <f>IFERROR(__xludf.DUMMYFUNCTION("""COMPUTED_VALUE"""),12.728058510638299)</f>
        <v>12.72805851</v>
      </c>
      <c r="AY64" s="230">
        <f>IFERROR(__xludf.DUMMYFUNCTION("""COMPUTED_VALUE"""),10.449135638297872)</f>
        <v>10.44913564</v>
      </c>
      <c r="AZ64" s="235">
        <f>IFERROR(__xludf.DUMMYFUNCTION("""COMPUTED_VALUE"""),8.614893617021277)</f>
        <v>8.614893617</v>
      </c>
      <c r="BA64" s="234"/>
      <c r="BB64" s="230"/>
      <c r="BC64" s="235"/>
      <c r="BD64" s="234"/>
      <c r="BE64" s="230"/>
      <c r="BF64" s="235"/>
      <c r="BG64" s="234"/>
      <c r="BH64" s="230"/>
      <c r="BI64" s="235"/>
      <c r="BJ64" s="234"/>
      <c r="BK64" s="230"/>
      <c r="BL64" s="235"/>
      <c r="BM64" s="234"/>
      <c r="BN64" s="230"/>
      <c r="BO64" s="235"/>
      <c r="BP64" s="234">
        <f>IFERROR(__xludf.DUMMYFUNCTION("""COMPUTED_VALUE"""),5.670835762168465)</f>
        <v>5.670835762</v>
      </c>
      <c r="BQ64" s="230"/>
      <c r="BR64" s="235"/>
      <c r="BS64" s="234"/>
      <c r="BT64" s="230"/>
      <c r="BU64" s="235"/>
      <c r="BV64" s="234">
        <f>IFERROR(__xludf.DUMMYFUNCTION("""COMPUTED_VALUE"""),9.758902287962695)</f>
        <v>9.758902288</v>
      </c>
      <c r="BW64" s="230">
        <f>IFERROR(__xludf.DUMMYFUNCTION("""COMPUTED_VALUE"""),15.694315614981052)</f>
        <v>15.69431561</v>
      </c>
      <c r="BX64" s="235"/>
      <c r="BY64" s="234"/>
      <c r="BZ64" s="230"/>
      <c r="CA64" s="235"/>
      <c r="CB64" s="234"/>
      <c r="CC64" s="230"/>
      <c r="CD64" s="235"/>
      <c r="CE64" s="234"/>
      <c r="CF64" s="230"/>
      <c r="CG64" s="235"/>
      <c r="CH64" s="234"/>
      <c r="CI64" s="230"/>
      <c r="CJ64" s="230"/>
      <c r="CK64" s="234"/>
      <c r="CL64" s="230">
        <f>IFERROR(__xludf.DUMMYFUNCTION("""COMPUTED_VALUE"""),9.464430923928884)</f>
        <v>9.464430924</v>
      </c>
      <c r="CM64" s="235"/>
      <c r="CN64" s="230"/>
      <c r="CO64" s="230"/>
      <c r="CP64" s="230"/>
      <c r="CQ64" s="234"/>
      <c r="CR64" s="230"/>
      <c r="CS64" s="230"/>
      <c r="CT64" s="234"/>
      <c r="CU64" s="230"/>
      <c r="CV64" s="230"/>
      <c r="CW64" s="234"/>
      <c r="CX64" s="230"/>
      <c r="CY64" s="235"/>
      <c r="CZ64" s="230">
        <f>IFERROR(__xludf.DUMMYFUNCTION("""COMPUTED_VALUE"""),5.607476635514018)</f>
        <v>5.607476636</v>
      </c>
      <c r="DA64" s="230"/>
      <c r="DB64" s="235"/>
      <c r="DC64" s="234"/>
      <c r="DD64" s="230"/>
      <c r="DE64" s="235"/>
      <c r="DF64" s="234"/>
      <c r="DG64" s="230"/>
      <c r="DH64" s="235">
        <f>IFERROR(__xludf.DUMMYFUNCTION("""COMPUTED_VALUE"""),10.2803738317757)</f>
        <v>10.28037383</v>
      </c>
      <c r="DI64" s="234">
        <f>IFERROR(__xludf.DUMMYFUNCTION("""COMPUTED_VALUE"""),14.953271028037381)</f>
        <v>14.95327103</v>
      </c>
      <c r="DJ64" s="230"/>
      <c r="DK64" s="235"/>
      <c r="DL64" s="299"/>
      <c r="DM64" s="300"/>
      <c r="DN64" s="301"/>
      <c r="DO64" s="96">
        <f>IFERROR(__xludf.DUMMYFUNCTION("""COMPUTED_VALUE"""),10.2803738317757)</f>
        <v>10.28037383</v>
      </c>
      <c r="DP64" s="96"/>
      <c r="DQ64" s="96"/>
      <c r="DR64" s="96"/>
      <c r="DS64" s="96"/>
      <c r="DT64" s="96"/>
      <c r="DU64" s="96"/>
    </row>
    <row r="65">
      <c r="B65" s="83" t="str">
        <f>IFERROR(__xludf.DUMMYFUNCTION("""COMPUTED_VALUE"""),"ORL10")</f>
        <v>ORL10</v>
      </c>
      <c r="C65" s="88" t="str">
        <f>IFERROR(__xludf.DUMMYFUNCTION("""COMPUTED_VALUE"""),"Paris")</f>
        <v>Paris</v>
      </c>
      <c r="D65" s="102">
        <f>IFERROR(__xludf.DUMMYFUNCTION("""COMPUTED_VALUE"""),13.0)</f>
        <v>13</v>
      </c>
      <c r="E65" s="82" t="b">
        <f>IFERROR(__xludf.DUMMYFUNCTION("""COMPUTED_VALUE"""),TRUE)</f>
        <v>1</v>
      </c>
      <c r="F65" s="82" t="str">
        <f>IFERROR(__xludf.DUMMYFUNCTION("""COMPUTED_VALUE"""),"Free Quests- Part 1!A239:J255")</f>
        <v>Free Quests- Part 1!A239:J255</v>
      </c>
      <c r="G65" s="82">
        <f>IFERROR(__xludf.DUMMYFUNCTION("""COMPUTED_VALUE"""),66.0)</f>
        <v>66</v>
      </c>
      <c r="H65" s="82">
        <f>IFERROR(__xludf.DUMMYFUNCTION("""COMPUTED_VALUE"""),250.0)</f>
        <v>250</v>
      </c>
      <c r="I65" s="82">
        <f>IFERROR(__xludf.DUMMYFUNCTION("""COMPUTED_VALUE"""),1143.0)</f>
        <v>1143</v>
      </c>
      <c r="J65" s="82">
        <f>IFERROR(__xludf.DUMMYFUNCTION("""COMPUTED_VALUE"""),1393.0)</f>
        <v>1393</v>
      </c>
      <c r="K65" s="234"/>
      <c r="L65" s="230"/>
      <c r="M65" s="235"/>
      <c r="N65" s="234"/>
      <c r="O65" s="230"/>
      <c r="P65" s="235"/>
      <c r="Q65" s="234"/>
      <c r="R65" s="230"/>
      <c r="S65" s="235"/>
      <c r="T65" s="234"/>
      <c r="U65" s="230"/>
      <c r="V65" s="235"/>
      <c r="W65" s="234"/>
      <c r="X65" s="230"/>
      <c r="Y65" s="235"/>
      <c r="Z65" s="234"/>
      <c r="AA65" s="230"/>
      <c r="AB65" s="235"/>
      <c r="AC65" s="234"/>
      <c r="AD65" s="230"/>
      <c r="AE65" s="235"/>
      <c r="AF65" s="234"/>
      <c r="AG65" s="230"/>
      <c r="AH65" s="235"/>
      <c r="AI65" s="234"/>
      <c r="AJ65" s="230"/>
      <c r="AK65" s="235"/>
      <c r="AL65" s="231"/>
      <c r="AM65" s="230"/>
      <c r="AN65" s="235"/>
      <c r="AO65" s="234"/>
      <c r="AP65" s="230"/>
      <c r="AQ65" s="235"/>
      <c r="AR65" s="234"/>
      <c r="AS65" s="230"/>
      <c r="AT65" s="235"/>
      <c r="AU65" s="234"/>
      <c r="AV65" s="230"/>
      <c r="AW65" s="235"/>
      <c r="AX65" s="234">
        <f>IFERROR(__xludf.DUMMYFUNCTION("""COMPUTED_VALUE"""),15.907681263460159)</f>
        <v>15.90768126</v>
      </c>
      <c r="AY65" s="230">
        <f>IFERROR(__xludf.DUMMYFUNCTION("""COMPUTED_VALUE"""),9.979468772433597)</f>
        <v>9.979468772</v>
      </c>
      <c r="AZ65" s="235">
        <f>IFERROR(__xludf.DUMMYFUNCTION("""COMPUTED_VALUE"""),7.589806173725771)</f>
        <v>7.589806174</v>
      </c>
      <c r="BA65" s="234"/>
      <c r="BB65" s="230"/>
      <c r="BC65" s="235"/>
      <c r="BD65" s="234"/>
      <c r="BE65" s="230"/>
      <c r="BF65" s="235"/>
      <c r="BG65" s="234"/>
      <c r="BH65" s="230"/>
      <c r="BI65" s="235"/>
      <c r="BJ65" s="234"/>
      <c r="BK65" s="230"/>
      <c r="BL65" s="235"/>
      <c r="BM65" s="234"/>
      <c r="BN65" s="230"/>
      <c r="BO65" s="235"/>
      <c r="BP65" s="234">
        <f>IFERROR(__xludf.DUMMYFUNCTION("""COMPUTED_VALUE"""),4.984637473079684)</f>
        <v>4.984637473</v>
      </c>
      <c r="BQ65" s="230"/>
      <c r="BR65" s="235"/>
      <c r="BS65" s="234"/>
      <c r="BT65" s="230"/>
      <c r="BU65" s="235">
        <f>IFERROR(__xludf.DUMMYFUNCTION("""COMPUTED_VALUE"""),14.10251256281407)</f>
        <v>14.10251256</v>
      </c>
      <c r="BV65" s="234"/>
      <c r="BW65" s="230">
        <f>IFERROR(__xludf.DUMMYFUNCTION("""COMPUTED_VALUE"""),9.374443646805455)</f>
        <v>9.374443647</v>
      </c>
      <c r="BX65" s="235"/>
      <c r="BY65" s="234"/>
      <c r="BZ65" s="230"/>
      <c r="CA65" s="235"/>
      <c r="CB65" s="234"/>
      <c r="CC65" s="230"/>
      <c r="CD65" s="235"/>
      <c r="CE65" s="234"/>
      <c r="CF65" s="230"/>
      <c r="CG65" s="235"/>
      <c r="CH65" s="234">
        <f>IFERROR(__xludf.DUMMYFUNCTION("""COMPUTED_VALUE"""),1.7846374730796841)</f>
        <v>1.784637473</v>
      </c>
      <c r="CI65" s="230">
        <f>IFERROR(__xludf.DUMMYFUNCTION("""COMPUTED_VALUE"""),1.948743718592965)</f>
        <v>1.948743719</v>
      </c>
      <c r="CJ65" s="230">
        <f>IFERROR(__xludf.DUMMYFUNCTION("""COMPUTED_VALUE"""),1.261521895190237)</f>
        <v>1.261521895</v>
      </c>
      <c r="CK65" s="234"/>
      <c r="CL65" s="230"/>
      <c r="CM65" s="235"/>
      <c r="CN65" s="230"/>
      <c r="CO65" s="230"/>
      <c r="CP65" s="230"/>
      <c r="CQ65" s="234"/>
      <c r="CR65" s="230"/>
      <c r="CS65" s="230"/>
      <c r="CT65" s="234"/>
      <c r="CU65" s="230"/>
      <c r="CV65" s="230"/>
      <c r="CW65" s="234"/>
      <c r="CX65" s="230"/>
      <c r="CY65" s="235"/>
      <c r="CZ65" s="230">
        <f>IFERROR(__xludf.DUMMYFUNCTION("""COMPUTED_VALUE"""),4.225352112676056)</f>
        <v>4.225352113</v>
      </c>
      <c r="DA65" s="230"/>
      <c r="DB65" s="235"/>
      <c r="DC65" s="234"/>
      <c r="DD65" s="230"/>
      <c r="DE65" s="235"/>
      <c r="DF65" s="234"/>
      <c r="DG65" s="230"/>
      <c r="DH65" s="235"/>
      <c r="DI65" s="234"/>
      <c r="DJ65" s="230"/>
      <c r="DK65" s="235"/>
      <c r="DL65" s="280"/>
      <c r="DM65" s="286"/>
      <c r="DN65" s="282">
        <f>IFERROR(__xludf.DUMMYFUNCTION("""COMPUTED_VALUE"""),15.492957746478872)</f>
        <v>15.49295775</v>
      </c>
      <c r="DO65" s="96"/>
      <c r="DP65" s="96">
        <f>IFERROR(__xludf.DUMMYFUNCTION("""COMPUTED_VALUE"""),11.267605633802818)</f>
        <v>11.26760563</v>
      </c>
      <c r="DQ65" s="96"/>
      <c r="DR65" s="96"/>
      <c r="DS65" s="96"/>
      <c r="DT65" s="96"/>
      <c r="DU65" s="96"/>
    </row>
    <row r="66">
      <c r="A66" s="119" t="str">
        <f>IFERROR(__xludf.DUMMYFUNCTION("""COMPUTED_VALUE"""),"SEPTEM")</f>
        <v>SEPTEM</v>
      </c>
      <c r="B66" s="120" t="str">
        <f>IFERROR(__xludf.DUMMYFUNCTION("""COMPUTED_VALUE"""),"SEP1")</f>
        <v>SEP1</v>
      </c>
      <c r="C66" s="88" t="str">
        <f>IFERROR(__xludf.DUMMYFUNCTION("""COMPUTED_VALUE"""),"Appia Road")</f>
        <v>Appia Road</v>
      </c>
      <c r="D66" s="102">
        <f>IFERROR(__xludf.DUMMYFUNCTION("""COMPUTED_VALUE"""),9.0)</f>
        <v>9</v>
      </c>
      <c r="E66" s="82" t="b">
        <f>IFERROR(__xludf.DUMMYFUNCTION("""COMPUTED_VALUE"""),TRUE)</f>
        <v>1</v>
      </c>
      <c r="F66" s="82" t="str">
        <f>IFERROR(__xludf.DUMMYFUNCTION("""COMPUTED_VALUE"""),"Free Quests- Part 1!A261:J273")</f>
        <v>Free Quests- Part 1!A261:J273</v>
      </c>
      <c r="G66" s="82">
        <f>IFERROR(__xludf.DUMMYFUNCTION("""COMPUTED_VALUE"""),67.0)</f>
        <v>67</v>
      </c>
      <c r="H66" s="82">
        <f>IFERROR(__xludf.DUMMYFUNCTION("""COMPUTED_VALUE"""),87.0)</f>
        <v>87</v>
      </c>
      <c r="I66" s="82">
        <f>IFERROR(__xludf.DUMMYFUNCTION("""COMPUTED_VALUE"""),1110.0)</f>
        <v>1110</v>
      </c>
      <c r="J66" s="82">
        <f>IFERROR(__xludf.DUMMYFUNCTION("""COMPUTED_VALUE"""),1197.0)</f>
        <v>1197</v>
      </c>
      <c r="K66" s="234"/>
      <c r="L66" s="230"/>
      <c r="M66" s="235"/>
      <c r="N66" s="234"/>
      <c r="O66" s="230"/>
      <c r="P66" s="235"/>
      <c r="Q66" s="234"/>
      <c r="R66" s="230"/>
      <c r="S66" s="235"/>
      <c r="T66" s="234"/>
      <c r="U66" s="230"/>
      <c r="V66" s="235"/>
      <c r="W66" s="234"/>
      <c r="X66" s="230"/>
      <c r="Y66" s="235"/>
      <c r="Z66" s="234"/>
      <c r="AA66" s="230"/>
      <c r="AB66" s="235"/>
      <c r="AC66" s="234"/>
      <c r="AD66" s="230"/>
      <c r="AE66" s="235"/>
      <c r="AF66" s="234"/>
      <c r="AG66" s="230"/>
      <c r="AH66" s="235"/>
      <c r="AI66" s="234"/>
      <c r="AJ66" s="230"/>
      <c r="AK66" s="235"/>
      <c r="AL66" s="231"/>
      <c r="AM66" s="230"/>
      <c r="AN66" s="235"/>
      <c r="AO66" s="234"/>
      <c r="AP66" s="230"/>
      <c r="AQ66" s="235"/>
      <c r="AR66" s="234"/>
      <c r="AS66" s="230"/>
      <c r="AT66" s="235"/>
      <c r="AU66" s="234"/>
      <c r="AV66" s="230"/>
      <c r="AW66" s="235">
        <f>IFERROR(__xludf.DUMMYFUNCTION("""COMPUTED_VALUE"""),34.68421052631579)</f>
        <v>34.68421053</v>
      </c>
      <c r="AX66" s="234"/>
      <c r="AY66" s="230"/>
      <c r="AZ66" s="235">
        <f>IFERROR(__xludf.DUMMYFUNCTION("""COMPUTED_VALUE"""),7.743525480367586)</f>
        <v>7.74352548</v>
      </c>
      <c r="BA66" s="234"/>
      <c r="BB66" s="230"/>
      <c r="BC66" s="235"/>
      <c r="BD66" s="234"/>
      <c r="BE66" s="230"/>
      <c r="BF66" s="235"/>
      <c r="BG66" s="234"/>
      <c r="BH66" s="230"/>
      <c r="BI66" s="235"/>
      <c r="BJ66" s="234"/>
      <c r="BK66" s="230"/>
      <c r="BL66" s="235"/>
      <c r="BM66" s="234"/>
      <c r="BN66" s="230"/>
      <c r="BO66" s="235"/>
      <c r="BP66" s="234"/>
      <c r="BQ66" s="230"/>
      <c r="BR66" s="235"/>
      <c r="BS66" s="234"/>
      <c r="BT66" s="230">
        <f>IFERROR(__xludf.DUMMYFUNCTION("""COMPUTED_VALUE"""),13.817878028404344)</f>
        <v>13.81787803</v>
      </c>
      <c r="BU66" s="235">
        <f>IFERROR(__xludf.DUMMYFUNCTION("""COMPUTED_VALUE"""),14.152046783625732)</f>
        <v>14.15204678</v>
      </c>
      <c r="BV66" s="234">
        <f>IFERROR(__xludf.DUMMYFUNCTION("""COMPUTED_VALUE"""),9.14452798663325)</f>
        <v>9.144527987</v>
      </c>
      <c r="BW66" s="230"/>
      <c r="BX66" s="235"/>
      <c r="BY66" s="234"/>
      <c r="BZ66" s="230"/>
      <c r="CA66" s="235"/>
      <c r="CB66" s="234"/>
      <c r="CC66" s="230"/>
      <c r="CD66" s="235"/>
      <c r="CE66" s="234"/>
      <c r="CF66" s="230"/>
      <c r="CG66" s="235"/>
      <c r="CH66" s="234"/>
      <c r="CI66" s="230"/>
      <c r="CJ66" s="230"/>
      <c r="CK66" s="234"/>
      <c r="CL66" s="230"/>
      <c r="CM66" s="235"/>
      <c r="CN66" s="230">
        <f>IFERROR(__xludf.DUMMYFUNCTION("""COMPUTED_VALUE"""),9.663324979114453)</f>
        <v>9.663324979</v>
      </c>
      <c r="CO66" s="230"/>
      <c r="CP66" s="230"/>
      <c r="CQ66" s="234"/>
      <c r="CR66" s="230"/>
      <c r="CS66" s="230"/>
      <c r="CT66" s="234"/>
      <c r="CU66" s="230"/>
      <c r="CV66" s="230"/>
      <c r="CW66" s="234"/>
      <c r="CX66" s="230"/>
      <c r="CY66" s="235"/>
      <c r="CZ66" s="230"/>
      <c r="DA66" s="230"/>
      <c r="DB66" s="235"/>
      <c r="DC66" s="234"/>
      <c r="DD66" s="230"/>
      <c r="DE66" s="235"/>
      <c r="DF66" s="234"/>
      <c r="DG66" s="230"/>
      <c r="DH66" s="235"/>
      <c r="DI66" s="234"/>
      <c r="DJ66" s="230"/>
      <c r="DK66" s="235">
        <f>IFERROR(__xludf.DUMMYFUNCTION("""COMPUTED_VALUE"""),27.692307692307693)</f>
        <v>27.69230769</v>
      </c>
      <c r="DL66" s="302"/>
      <c r="DM66" s="303">
        <f>IFERROR(__xludf.DUMMYFUNCTION("""COMPUTED_VALUE"""),10.76923076923077)</f>
        <v>10.76923077</v>
      </c>
      <c r="DN66" s="304">
        <f>IFERROR(__xludf.DUMMYFUNCTION("""COMPUTED_VALUE"""),16.923076923076923)</f>
        <v>16.92307692</v>
      </c>
      <c r="DO66" s="96">
        <f>IFERROR(__xludf.DUMMYFUNCTION("""COMPUTED_VALUE"""),6.153846153846154)</f>
        <v>6.153846154</v>
      </c>
      <c r="DP66" s="96"/>
      <c r="DQ66" s="96"/>
      <c r="DR66" s="96"/>
      <c r="DS66" s="96"/>
      <c r="DT66" s="96"/>
      <c r="DU66" s="96"/>
    </row>
    <row r="67">
      <c r="B67" s="120" t="str">
        <f>IFERROR(__xludf.DUMMYFUNCTION("""COMPUTED_VALUE"""),"SEP2")</f>
        <v>SEP2</v>
      </c>
      <c r="C67" s="88" t="str">
        <f>IFERROR(__xludf.DUMMYFUNCTION("""COMPUTED_VALUE"""),"Rome")</f>
        <v>Rome</v>
      </c>
      <c r="D67" s="102">
        <f>IFERROR(__xludf.DUMMYFUNCTION("""COMPUTED_VALUE"""),9.0)</f>
        <v>9</v>
      </c>
      <c r="E67" s="82" t="b">
        <f>IFERROR(__xludf.DUMMYFUNCTION("""COMPUTED_VALUE"""),TRUE)</f>
        <v>1</v>
      </c>
      <c r="F67" s="82" t="str">
        <f>IFERROR(__xludf.DUMMYFUNCTION("""COMPUTED_VALUE"""),"Free Quests- Part 1!A277:J284")</f>
        <v>Free Quests- Part 1!A277:J284</v>
      </c>
      <c r="G67" s="82">
        <f>IFERROR(__xludf.DUMMYFUNCTION("""COMPUTED_VALUE"""),68.0)</f>
        <v>68</v>
      </c>
      <c r="H67" s="82">
        <f>IFERROR(__xludf.DUMMYFUNCTION("""COMPUTED_VALUE"""),44.0)</f>
        <v>44</v>
      </c>
      <c r="I67" s="82">
        <f>IFERROR(__xludf.DUMMYFUNCTION("""COMPUTED_VALUE"""),1797.0)</f>
        <v>1797</v>
      </c>
      <c r="J67" s="82">
        <f>IFERROR(__xludf.DUMMYFUNCTION("""COMPUTED_VALUE"""),1841.0)</f>
        <v>1841</v>
      </c>
      <c r="K67" s="234"/>
      <c r="L67" s="230"/>
      <c r="M67" s="235"/>
      <c r="N67" s="234"/>
      <c r="O67" s="230"/>
      <c r="P67" s="235"/>
      <c r="Q67" s="234"/>
      <c r="R67" s="230"/>
      <c r="S67" s="235"/>
      <c r="T67" s="234"/>
      <c r="U67" s="230"/>
      <c r="V67" s="235"/>
      <c r="W67" s="234"/>
      <c r="X67" s="230"/>
      <c r="Y67" s="235"/>
      <c r="Z67" s="234"/>
      <c r="AA67" s="230"/>
      <c r="AB67" s="235"/>
      <c r="AC67" s="234"/>
      <c r="AD67" s="230"/>
      <c r="AE67" s="235"/>
      <c r="AF67" s="234"/>
      <c r="AG67" s="230"/>
      <c r="AH67" s="235"/>
      <c r="AI67" s="234"/>
      <c r="AJ67" s="230"/>
      <c r="AK67" s="235"/>
      <c r="AL67" s="231"/>
      <c r="AM67" s="230"/>
      <c r="AN67" s="235"/>
      <c r="AO67" s="234"/>
      <c r="AP67" s="230"/>
      <c r="AQ67" s="235"/>
      <c r="AR67" s="234"/>
      <c r="AS67" s="230"/>
      <c r="AT67" s="235"/>
      <c r="AU67" s="234"/>
      <c r="AV67" s="230"/>
      <c r="AW67" s="235">
        <f>IFERROR(__xludf.DUMMYFUNCTION("""COMPUTED_VALUE"""),22.85258011950027)</f>
        <v>22.85258012</v>
      </c>
      <c r="AX67" s="234"/>
      <c r="AY67" s="230"/>
      <c r="AZ67" s="235"/>
      <c r="BA67" s="234"/>
      <c r="BB67" s="230"/>
      <c r="BC67" s="235"/>
      <c r="BD67" s="234"/>
      <c r="BE67" s="230"/>
      <c r="BF67" s="235"/>
      <c r="BG67" s="234"/>
      <c r="BH67" s="230"/>
      <c r="BI67" s="235"/>
      <c r="BJ67" s="234"/>
      <c r="BK67" s="230"/>
      <c r="BL67" s="235"/>
      <c r="BM67" s="234"/>
      <c r="BN67" s="230"/>
      <c r="BO67" s="235"/>
      <c r="BP67" s="234"/>
      <c r="BQ67" s="230"/>
      <c r="BR67" s="235"/>
      <c r="BS67" s="234"/>
      <c r="BT67" s="230">
        <f>IFERROR(__xludf.DUMMYFUNCTION("""COMPUTED_VALUE"""),24.55524171645845)</f>
        <v>24.55524172</v>
      </c>
      <c r="BU67" s="235"/>
      <c r="BV67" s="234">
        <f>IFERROR(__xludf.DUMMYFUNCTION("""COMPUTED_VALUE"""),10.552906029331883)</f>
        <v>10.55290603</v>
      </c>
      <c r="BW67" s="230"/>
      <c r="BX67" s="235"/>
      <c r="BY67" s="234"/>
      <c r="BZ67" s="230"/>
      <c r="CA67" s="235"/>
      <c r="CB67" s="234"/>
      <c r="CC67" s="230"/>
      <c r="CD67" s="235"/>
      <c r="CE67" s="234"/>
      <c r="CF67" s="230"/>
      <c r="CG67" s="235"/>
      <c r="CH67" s="234"/>
      <c r="CI67" s="230"/>
      <c r="CJ67" s="230"/>
      <c r="CK67" s="234"/>
      <c r="CL67" s="230"/>
      <c r="CM67" s="235"/>
      <c r="CN67" s="230"/>
      <c r="CO67" s="230"/>
      <c r="CP67" s="230"/>
      <c r="CQ67" s="234"/>
      <c r="CR67" s="230"/>
      <c r="CS67" s="230"/>
      <c r="CT67" s="234"/>
      <c r="CU67" s="230"/>
      <c r="CV67" s="230"/>
      <c r="CW67" s="234"/>
      <c r="CX67" s="230"/>
      <c r="CY67" s="235"/>
      <c r="CZ67" s="230"/>
      <c r="DA67" s="230"/>
      <c r="DB67" s="235"/>
      <c r="DC67" s="234"/>
      <c r="DD67" s="230"/>
      <c r="DE67" s="235"/>
      <c r="DF67" s="234"/>
      <c r="DG67" s="230"/>
      <c r="DH67" s="235"/>
      <c r="DI67" s="234"/>
      <c r="DJ67" s="230"/>
      <c r="DK67" s="235"/>
      <c r="DL67" s="280"/>
      <c r="DM67" s="286">
        <f>IFERROR(__xludf.DUMMYFUNCTION("""COMPUTED_VALUE"""),12.5)</f>
        <v>12.5</v>
      </c>
      <c r="DN67" s="282"/>
      <c r="DO67" s="96">
        <f>IFERROR(__xludf.DUMMYFUNCTION("""COMPUTED_VALUE"""),12.5)</f>
        <v>12.5</v>
      </c>
      <c r="DP67" s="96"/>
      <c r="DQ67" s="96"/>
      <c r="DR67" s="96"/>
      <c r="DS67" s="96"/>
      <c r="DT67" s="96"/>
      <c r="DU67" s="96"/>
    </row>
    <row r="68">
      <c r="B68" s="120" t="str">
        <f>IFERROR(__xludf.DUMMYFUNCTION("""COMPUTED_VALUE"""),"SEP3")</f>
        <v>SEP3</v>
      </c>
      <c r="C68" s="88" t="str">
        <f>IFERROR(__xludf.DUMMYFUNCTION("""COMPUTED_VALUE"""),"Mt. Etna")</f>
        <v>Mt. Etna</v>
      </c>
      <c r="D68" s="102">
        <f>IFERROR(__xludf.DUMMYFUNCTION("""COMPUTED_VALUE"""),9.0)</f>
        <v>9</v>
      </c>
      <c r="E68" s="82" t="b">
        <f>IFERROR(__xludf.DUMMYFUNCTION("""COMPUTED_VALUE"""),TRUE)</f>
        <v>1</v>
      </c>
      <c r="F68" s="82" t="str">
        <f>IFERROR(__xludf.DUMMYFUNCTION("""COMPUTED_VALUE"""),"Free Quests- Part 1!A288:J293")</f>
        <v>Free Quests- Part 1!A288:J293</v>
      </c>
      <c r="G68" s="82">
        <f>IFERROR(__xludf.DUMMYFUNCTION("""COMPUTED_VALUE"""),69.0)</f>
        <v>69</v>
      </c>
      <c r="H68" s="82">
        <f>IFERROR(__xludf.DUMMYFUNCTION("""COMPUTED_VALUE"""),397.0)</f>
        <v>397</v>
      </c>
      <c r="I68" s="82">
        <f>IFERROR(__xludf.DUMMYFUNCTION("""COMPUTED_VALUE"""),1102.0)</f>
        <v>1102</v>
      </c>
      <c r="J68" s="82">
        <f>IFERROR(__xludf.DUMMYFUNCTION("""COMPUTED_VALUE"""),1499.0)</f>
        <v>1499</v>
      </c>
      <c r="K68" s="234"/>
      <c r="L68" s="230"/>
      <c r="M68" s="235"/>
      <c r="N68" s="234"/>
      <c r="O68" s="230"/>
      <c r="P68" s="235"/>
      <c r="Q68" s="234"/>
      <c r="R68" s="230"/>
      <c r="S68" s="235"/>
      <c r="T68" s="234"/>
      <c r="U68" s="230"/>
      <c r="V68" s="235"/>
      <c r="W68" s="234"/>
      <c r="X68" s="230"/>
      <c r="Y68" s="235"/>
      <c r="Z68" s="234"/>
      <c r="AA68" s="230"/>
      <c r="AB68" s="235"/>
      <c r="AC68" s="234"/>
      <c r="AD68" s="230">
        <f>IFERROR(__xludf.DUMMYFUNCTION("""COMPUTED_VALUE"""),8.496597731821215)</f>
        <v>8.496597732</v>
      </c>
      <c r="AE68" s="235"/>
      <c r="AF68" s="234"/>
      <c r="AG68" s="230"/>
      <c r="AH68" s="235"/>
      <c r="AI68" s="234"/>
      <c r="AJ68" s="230"/>
      <c r="AK68" s="235"/>
      <c r="AL68" s="231"/>
      <c r="AM68" s="230"/>
      <c r="AN68" s="235"/>
      <c r="AO68" s="234"/>
      <c r="AP68" s="230"/>
      <c r="AQ68" s="235"/>
      <c r="AR68" s="234"/>
      <c r="AS68" s="230"/>
      <c r="AT68" s="235"/>
      <c r="AU68" s="234"/>
      <c r="AV68" s="230"/>
      <c r="AW68" s="235"/>
      <c r="AX68" s="234"/>
      <c r="AY68" s="230"/>
      <c r="AZ68" s="235"/>
      <c r="BA68" s="234"/>
      <c r="BB68" s="230"/>
      <c r="BC68" s="235"/>
      <c r="BD68" s="234"/>
      <c r="BE68" s="230"/>
      <c r="BF68" s="235"/>
      <c r="BG68" s="234"/>
      <c r="BH68" s="230"/>
      <c r="BI68" s="235"/>
      <c r="BJ68" s="234"/>
      <c r="BK68" s="230"/>
      <c r="BL68" s="235"/>
      <c r="BM68" s="234"/>
      <c r="BN68" s="230"/>
      <c r="BO68" s="235"/>
      <c r="BP68" s="234"/>
      <c r="BQ68" s="230"/>
      <c r="BR68" s="235"/>
      <c r="BS68" s="234"/>
      <c r="BT68" s="230"/>
      <c r="BU68" s="235"/>
      <c r="BV68" s="234"/>
      <c r="BW68" s="230"/>
      <c r="BX68" s="235"/>
      <c r="BY68" s="234">
        <f>IFERROR(__xludf.DUMMYFUNCTION("""COMPUTED_VALUE"""),34.05113981711713)</f>
        <v>34.05113982</v>
      </c>
      <c r="BZ68" s="230"/>
      <c r="CA68" s="235"/>
      <c r="CB68" s="234"/>
      <c r="CC68" s="230"/>
      <c r="CD68" s="235"/>
      <c r="CE68" s="234"/>
      <c r="CF68" s="230"/>
      <c r="CG68" s="235"/>
      <c r="CH68" s="234"/>
      <c r="CI68" s="230"/>
      <c r="CJ68" s="230"/>
      <c r="CK68" s="234"/>
      <c r="CL68" s="230"/>
      <c r="CM68" s="235"/>
      <c r="CN68" s="230"/>
      <c r="CO68" s="230"/>
      <c r="CP68" s="230"/>
      <c r="CQ68" s="234"/>
      <c r="CR68" s="230"/>
      <c r="CS68" s="230"/>
      <c r="CT68" s="234"/>
      <c r="CU68" s="230"/>
      <c r="CV68" s="230"/>
      <c r="CW68" s="234"/>
      <c r="CX68" s="230"/>
      <c r="CY68" s="235"/>
      <c r="CZ68" s="230"/>
      <c r="DA68" s="230"/>
      <c r="DB68" s="235"/>
      <c r="DC68" s="234"/>
      <c r="DD68" s="230"/>
      <c r="DE68" s="235"/>
      <c r="DF68" s="234"/>
      <c r="DG68" s="230"/>
      <c r="DH68" s="235"/>
      <c r="DI68" s="234"/>
      <c r="DJ68" s="230"/>
      <c r="DK68" s="235"/>
      <c r="DL68" s="302"/>
      <c r="DM68" s="303"/>
      <c r="DN68" s="304"/>
      <c r="DO68" s="96"/>
      <c r="DP68" s="96"/>
      <c r="DQ68" s="96"/>
      <c r="DR68" s="96">
        <f>IFERROR(__xludf.DUMMYFUNCTION("""COMPUTED_VALUE"""),10.0)</f>
        <v>10</v>
      </c>
      <c r="DS68" s="96"/>
      <c r="DT68" s="96"/>
      <c r="DU68" s="96"/>
    </row>
    <row r="69">
      <c r="B69" s="120" t="str">
        <f>IFERROR(__xludf.DUMMYFUNCTION("""COMPUTED_VALUE"""),"SEP4")</f>
        <v>SEP4</v>
      </c>
      <c r="C69" s="88" t="str">
        <f>IFERROR(__xludf.DUMMYFUNCTION("""COMPUTED_VALUE"""),"Florence")</f>
        <v>Florence</v>
      </c>
      <c r="D69" s="102">
        <f>IFERROR(__xludf.DUMMYFUNCTION("""COMPUTED_VALUE"""),9.0)</f>
        <v>9</v>
      </c>
      <c r="E69" s="82" t="b">
        <f>IFERROR(__xludf.DUMMYFUNCTION("""COMPUTED_VALUE"""),TRUE)</f>
        <v>1</v>
      </c>
      <c r="F69" s="82" t="str">
        <f>IFERROR(__xludf.DUMMYFUNCTION("""COMPUTED_VALUE"""),"Free Quests- Part 1!A297:J306")</f>
        <v>Free Quests- Part 1!A297:J306</v>
      </c>
      <c r="G69" s="82">
        <f>IFERROR(__xludf.DUMMYFUNCTION("""COMPUTED_VALUE"""),70.0)</f>
        <v>70</v>
      </c>
      <c r="H69" s="82">
        <f>IFERROR(__xludf.DUMMYFUNCTION("""COMPUTED_VALUE"""),66.0)</f>
        <v>66</v>
      </c>
      <c r="I69" s="82">
        <f>IFERROR(__xludf.DUMMYFUNCTION("""COMPUTED_VALUE"""),1121.0)</f>
        <v>1121</v>
      </c>
      <c r="J69" s="82">
        <f>IFERROR(__xludf.DUMMYFUNCTION("""COMPUTED_VALUE"""),1187.0)</f>
        <v>1187</v>
      </c>
      <c r="K69" s="234"/>
      <c r="L69" s="230"/>
      <c r="M69" s="235"/>
      <c r="N69" s="234"/>
      <c r="O69" s="230"/>
      <c r="P69" s="235"/>
      <c r="Q69" s="234"/>
      <c r="R69" s="230"/>
      <c r="S69" s="235"/>
      <c r="T69" s="234"/>
      <c r="U69" s="230"/>
      <c r="V69" s="235"/>
      <c r="W69" s="234"/>
      <c r="X69" s="230"/>
      <c r="Y69" s="235"/>
      <c r="Z69" s="234"/>
      <c r="AA69" s="230"/>
      <c r="AB69" s="235"/>
      <c r="AC69" s="234"/>
      <c r="AD69" s="230"/>
      <c r="AE69" s="235"/>
      <c r="AF69" s="234"/>
      <c r="AG69" s="230"/>
      <c r="AH69" s="235"/>
      <c r="AI69" s="234"/>
      <c r="AJ69" s="230"/>
      <c r="AK69" s="235"/>
      <c r="AL69" s="231"/>
      <c r="AM69" s="230"/>
      <c r="AN69" s="235"/>
      <c r="AO69" s="234"/>
      <c r="AP69" s="230"/>
      <c r="AQ69" s="235"/>
      <c r="AR69" s="234"/>
      <c r="AS69" s="230"/>
      <c r="AT69" s="235"/>
      <c r="AU69" s="234"/>
      <c r="AV69" s="230"/>
      <c r="AW69" s="235">
        <f>IFERROR(__xludf.DUMMYFUNCTION("""COMPUTED_VALUE"""),30.772367312552657)</f>
        <v>30.77236731</v>
      </c>
      <c r="AX69" s="234"/>
      <c r="AY69" s="230"/>
      <c r="AZ69" s="235"/>
      <c r="BA69" s="234"/>
      <c r="BB69" s="230"/>
      <c r="BC69" s="235"/>
      <c r="BD69" s="234"/>
      <c r="BE69" s="230"/>
      <c r="BF69" s="235"/>
      <c r="BG69" s="234"/>
      <c r="BH69" s="230"/>
      <c r="BI69" s="235"/>
      <c r="BJ69" s="234"/>
      <c r="BK69" s="230"/>
      <c r="BL69" s="235"/>
      <c r="BM69" s="234"/>
      <c r="BN69" s="230"/>
      <c r="BO69" s="235"/>
      <c r="BP69" s="234"/>
      <c r="BQ69" s="230"/>
      <c r="BR69" s="235"/>
      <c r="BS69" s="234"/>
      <c r="BT69" s="230">
        <f>IFERROR(__xludf.DUMMYFUNCTION("""COMPUTED_VALUE"""),5.058972198820556)</f>
        <v>5.058972199</v>
      </c>
      <c r="BU69" s="235">
        <f>IFERROR(__xludf.DUMMYFUNCTION("""COMPUTED_VALUE"""),25.662426284751472)</f>
        <v>25.66242628</v>
      </c>
      <c r="BV69" s="234">
        <f>IFERROR(__xludf.DUMMYFUNCTION("""COMPUTED_VALUE"""),10.064279696714406)</f>
        <v>10.0642797</v>
      </c>
      <c r="BW69" s="230"/>
      <c r="BX69" s="235"/>
      <c r="BY69" s="234"/>
      <c r="BZ69" s="230"/>
      <c r="CA69" s="235"/>
      <c r="CB69" s="234"/>
      <c r="CC69" s="230"/>
      <c r="CD69" s="235"/>
      <c r="CE69" s="234"/>
      <c r="CF69" s="230"/>
      <c r="CG69" s="235"/>
      <c r="CH69" s="234"/>
      <c r="CI69" s="230"/>
      <c r="CJ69" s="230"/>
      <c r="CK69" s="234"/>
      <c r="CL69" s="230"/>
      <c r="CM69" s="235"/>
      <c r="CN69" s="230"/>
      <c r="CO69" s="230"/>
      <c r="CP69" s="230"/>
      <c r="CQ69" s="234"/>
      <c r="CR69" s="230"/>
      <c r="CS69" s="230"/>
      <c r="CT69" s="234"/>
      <c r="CU69" s="230"/>
      <c r="CV69" s="230"/>
      <c r="CW69" s="234"/>
      <c r="CX69" s="230"/>
      <c r="CY69" s="235"/>
      <c r="CZ69" s="230"/>
      <c r="DA69" s="230"/>
      <c r="DB69" s="235"/>
      <c r="DC69" s="234"/>
      <c r="DD69" s="230"/>
      <c r="DE69" s="235"/>
      <c r="DF69" s="234"/>
      <c r="DG69" s="230"/>
      <c r="DH69" s="235"/>
      <c r="DI69" s="234"/>
      <c r="DJ69" s="230"/>
      <c r="DK69" s="235"/>
      <c r="DL69" s="280"/>
      <c r="DM69" s="286">
        <f>IFERROR(__xludf.DUMMYFUNCTION("""COMPUTED_VALUE"""),5.714285714285714)</f>
        <v>5.714285714</v>
      </c>
      <c r="DN69" s="282">
        <f>IFERROR(__xludf.DUMMYFUNCTION("""COMPUTED_VALUE"""),34.285714285714285)</f>
        <v>34.28571429</v>
      </c>
      <c r="DO69" s="96">
        <f>IFERROR(__xludf.DUMMYFUNCTION("""COMPUTED_VALUE"""),11.428571428571429)</f>
        <v>11.42857143</v>
      </c>
      <c r="DP69" s="96"/>
      <c r="DQ69" s="96"/>
      <c r="DR69" s="96"/>
      <c r="DS69" s="96"/>
      <c r="DT69" s="96"/>
      <c r="DU69" s="96"/>
    </row>
    <row r="70">
      <c r="B70" s="120" t="str">
        <f>IFERROR(__xludf.DUMMYFUNCTION("""COMPUTED_VALUE"""),"SEP5")</f>
        <v>SEP5</v>
      </c>
      <c r="C70" s="88" t="str">
        <f>IFERROR(__xludf.DUMMYFUNCTION("""COMPUTED_VALUE"""),"Mediolanum")</f>
        <v>Mediolanum</v>
      </c>
      <c r="D70" s="102">
        <f>IFERROR(__xludf.DUMMYFUNCTION("""COMPUTED_VALUE"""),9.0)</f>
        <v>9</v>
      </c>
      <c r="E70" s="82" t="b">
        <f>IFERROR(__xludf.DUMMYFUNCTION("""COMPUTED_VALUE"""),TRUE)</f>
        <v>1</v>
      </c>
      <c r="F70" s="82" t="str">
        <f>IFERROR(__xludf.DUMMYFUNCTION("""COMPUTED_VALUE"""),"Free Quests- Part 1!A310:J317")</f>
        <v>Free Quests- Part 1!A310:J317</v>
      </c>
      <c r="G70" s="82">
        <f>IFERROR(__xludf.DUMMYFUNCTION("""COMPUTED_VALUE"""),71.0)</f>
        <v>71</v>
      </c>
      <c r="H70" s="82">
        <f>IFERROR(__xludf.DUMMYFUNCTION("""COMPUTED_VALUE"""),37.0)</f>
        <v>37</v>
      </c>
      <c r="I70" s="82">
        <f>IFERROR(__xludf.DUMMYFUNCTION("""COMPUTED_VALUE"""),1101.0)</f>
        <v>1101</v>
      </c>
      <c r="J70" s="82">
        <f>IFERROR(__xludf.DUMMYFUNCTION("""COMPUTED_VALUE"""),1138.0)</f>
        <v>1138</v>
      </c>
      <c r="K70" s="234"/>
      <c r="L70" s="230"/>
      <c r="M70" s="235"/>
      <c r="N70" s="234"/>
      <c r="O70" s="230"/>
      <c r="P70" s="235"/>
      <c r="Q70" s="234"/>
      <c r="R70" s="230"/>
      <c r="S70" s="235"/>
      <c r="T70" s="234"/>
      <c r="U70" s="230"/>
      <c r="V70" s="235"/>
      <c r="W70" s="234"/>
      <c r="X70" s="230"/>
      <c r="Y70" s="235"/>
      <c r="Z70" s="234"/>
      <c r="AA70" s="230"/>
      <c r="AB70" s="235"/>
      <c r="AC70" s="234"/>
      <c r="AD70" s="230"/>
      <c r="AE70" s="235"/>
      <c r="AF70" s="234"/>
      <c r="AG70" s="230"/>
      <c r="AH70" s="235"/>
      <c r="AI70" s="234"/>
      <c r="AJ70" s="230"/>
      <c r="AK70" s="235"/>
      <c r="AL70" s="231"/>
      <c r="AM70" s="230"/>
      <c r="AN70" s="235"/>
      <c r="AO70" s="234"/>
      <c r="AP70" s="230"/>
      <c r="AQ70" s="235"/>
      <c r="AR70" s="234"/>
      <c r="AS70" s="230"/>
      <c r="AT70" s="235"/>
      <c r="AU70" s="234"/>
      <c r="AV70" s="230"/>
      <c r="AW70" s="235">
        <f>IFERROR(__xludf.DUMMYFUNCTION("""COMPUTED_VALUE"""),35.19969502739584)</f>
        <v>35.19969503</v>
      </c>
      <c r="AX70" s="234"/>
      <c r="AY70" s="230"/>
      <c r="AZ70" s="235"/>
      <c r="BA70" s="234"/>
      <c r="BB70" s="230"/>
      <c r="BC70" s="235"/>
      <c r="BD70" s="234"/>
      <c r="BE70" s="230"/>
      <c r="BF70" s="235"/>
      <c r="BG70" s="234"/>
      <c r="BH70" s="230"/>
      <c r="BI70" s="235"/>
      <c r="BJ70" s="234"/>
      <c r="BK70" s="230"/>
      <c r="BL70" s="235"/>
      <c r="BM70" s="234"/>
      <c r="BN70" s="230"/>
      <c r="BO70" s="235"/>
      <c r="BP70" s="234"/>
      <c r="BQ70" s="230"/>
      <c r="BR70" s="235"/>
      <c r="BS70" s="234"/>
      <c r="BT70" s="230">
        <f>IFERROR(__xludf.DUMMYFUNCTION("""COMPUTED_VALUE"""),16.0535511216789)</f>
        <v>16.05355112</v>
      </c>
      <c r="BU70" s="235"/>
      <c r="BV70" s="234">
        <f>IFERROR(__xludf.DUMMYFUNCTION("""COMPUTED_VALUE"""),19.973725834797893)</f>
        <v>19.97372583</v>
      </c>
      <c r="BW70" s="230"/>
      <c r="BX70" s="235"/>
      <c r="BY70" s="234"/>
      <c r="BZ70" s="230"/>
      <c r="CA70" s="235"/>
      <c r="CB70" s="234"/>
      <c r="CC70" s="230"/>
      <c r="CD70" s="235"/>
      <c r="CE70" s="234"/>
      <c r="CF70" s="230"/>
      <c r="CG70" s="235"/>
      <c r="CH70" s="234"/>
      <c r="CI70" s="230"/>
      <c r="CJ70" s="230"/>
      <c r="CK70" s="234"/>
      <c r="CL70" s="230"/>
      <c r="CM70" s="235"/>
      <c r="CN70" s="230"/>
      <c r="CO70" s="230"/>
      <c r="CP70" s="230"/>
      <c r="CQ70" s="234"/>
      <c r="CR70" s="230"/>
      <c r="CS70" s="230"/>
      <c r="CT70" s="234"/>
      <c r="CU70" s="230"/>
      <c r="CV70" s="230"/>
      <c r="CW70" s="234"/>
      <c r="CX70" s="230"/>
      <c r="CY70" s="235"/>
      <c r="CZ70" s="230"/>
      <c r="DA70" s="230"/>
      <c r="DB70" s="235"/>
      <c r="DC70" s="234"/>
      <c r="DD70" s="230"/>
      <c r="DE70" s="235"/>
      <c r="DF70" s="234"/>
      <c r="DG70" s="230"/>
      <c r="DH70" s="235"/>
      <c r="DI70" s="234"/>
      <c r="DJ70" s="230"/>
      <c r="DK70" s="235"/>
      <c r="DL70" s="302"/>
      <c r="DM70" s="303">
        <f>IFERROR(__xludf.DUMMYFUNCTION("""COMPUTED_VALUE"""),14.285714285714285)</f>
        <v>14.28571429</v>
      </c>
      <c r="DN70" s="304"/>
      <c r="DO70" s="96">
        <f>IFERROR(__xludf.DUMMYFUNCTION("""COMPUTED_VALUE"""),50.0)</f>
        <v>50</v>
      </c>
      <c r="DP70" s="96"/>
      <c r="DQ70" s="96"/>
      <c r="DR70" s="96"/>
      <c r="DS70" s="96"/>
      <c r="DT70" s="96"/>
      <c r="DU70" s="96"/>
    </row>
    <row r="71">
      <c r="B71" s="120" t="str">
        <f>IFERROR(__xludf.DUMMYFUNCTION("""COMPUTED_VALUE"""),"SEP6")</f>
        <v>SEP6</v>
      </c>
      <c r="C71" s="88" t="str">
        <f>IFERROR(__xludf.DUMMYFUNCTION("""COMPUTED_VALUE"""),"Germania")</f>
        <v>Germania</v>
      </c>
      <c r="D71" s="102">
        <f>IFERROR(__xludf.DUMMYFUNCTION("""COMPUTED_VALUE"""),15.0)</f>
        <v>15</v>
      </c>
      <c r="E71" s="82" t="b">
        <f>IFERROR(__xludf.DUMMYFUNCTION("""COMPUTED_VALUE"""),TRUE)</f>
        <v>1</v>
      </c>
      <c r="F71" s="82" t="str">
        <f>IFERROR(__xludf.DUMMYFUNCTION("""COMPUTED_VALUE"""),"Free Quests- Part 1!A321:J334")</f>
        <v>Free Quests- Part 1!A321:J334</v>
      </c>
      <c r="G71" s="82">
        <f>IFERROR(__xludf.DUMMYFUNCTION("""COMPUTED_VALUE"""),72.0)</f>
        <v>72</v>
      </c>
      <c r="H71" s="82">
        <f>IFERROR(__xludf.DUMMYFUNCTION("""COMPUTED_VALUE"""),2310.0)</f>
        <v>2310</v>
      </c>
      <c r="I71" s="82">
        <f>IFERROR(__xludf.DUMMYFUNCTION("""COMPUTED_VALUE"""),1991.0)</f>
        <v>1991</v>
      </c>
      <c r="J71" s="82">
        <f>IFERROR(__xludf.DUMMYFUNCTION("""COMPUTED_VALUE"""),4301.0)</f>
        <v>4301</v>
      </c>
      <c r="K71" s="234">
        <f>IFERROR(__xludf.DUMMYFUNCTION("""COMPUTED_VALUE"""),3.4347826086956523)</f>
        <v>3.434782609</v>
      </c>
      <c r="L71" s="230"/>
      <c r="M71" s="235"/>
      <c r="N71" s="234"/>
      <c r="O71" s="230"/>
      <c r="P71" s="235"/>
      <c r="Q71" s="234"/>
      <c r="R71" s="230"/>
      <c r="S71" s="235"/>
      <c r="T71" s="234"/>
      <c r="U71" s="230"/>
      <c r="V71" s="235"/>
      <c r="W71" s="234"/>
      <c r="X71" s="230"/>
      <c r="Y71" s="235"/>
      <c r="Z71" s="234"/>
      <c r="AA71" s="230"/>
      <c r="AB71" s="235"/>
      <c r="AC71" s="234"/>
      <c r="AD71" s="230"/>
      <c r="AE71" s="235"/>
      <c r="AF71" s="234"/>
      <c r="AG71" s="230"/>
      <c r="AH71" s="235"/>
      <c r="AI71" s="234"/>
      <c r="AJ71" s="230"/>
      <c r="AK71" s="235"/>
      <c r="AL71" s="231"/>
      <c r="AM71" s="230"/>
      <c r="AN71" s="235"/>
      <c r="AO71" s="234"/>
      <c r="AP71" s="230"/>
      <c r="AQ71" s="235"/>
      <c r="AR71" s="234"/>
      <c r="AS71" s="230"/>
      <c r="AT71" s="235"/>
      <c r="AU71" s="234"/>
      <c r="AV71" s="230"/>
      <c r="AW71" s="235"/>
      <c r="AX71" s="234">
        <f>IFERROR(__xludf.DUMMYFUNCTION("""COMPUTED_VALUE"""),47.60834689607068)</f>
        <v>47.6083469</v>
      </c>
      <c r="AY71" s="230"/>
      <c r="AZ71" s="235"/>
      <c r="BA71" s="234"/>
      <c r="BB71" s="230"/>
      <c r="BC71" s="235"/>
      <c r="BD71" s="234"/>
      <c r="BE71" s="230"/>
      <c r="BF71" s="235"/>
      <c r="BG71" s="234"/>
      <c r="BH71" s="230"/>
      <c r="BI71" s="235"/>
      <c r="BJ71" s="234"/>
      <c r="BK71" s="230"/>
      <c r="BL71" s="235"/>
      <c r="BM71" s="234"/>
      <c r="BN71" s="230"/>
      <c r="BO71" s="235"/>
      <c r="BP71" s="234"/>
      <c r="BQ71" s="230"/>
      <c r="BR71" s="235"/>
      <c r="BS71" s="234">
        <f>IFERROR(__xludf.DUMMYFUNCTION("""COMPUTED_VALUE"""),7.982027435480122)</f>
        <v>7.982027435</v>
      </c>
      <c r="BT71" s="230">
        <f>IFERROR(__xludf.DUMMYFUNCTION("""COMPUTED_VALUE"""),15.824761683329456)</f>
        <v>15.82476168</v>
      </c>
      <c r="BU71" s="235">
        <f>IFERROR(__xludf.DUMMYFUNCTION("""COMPUTED_VALUE"""),5.011834457102999)</f>
        <v>5.011834457</v>
      </c>
      <c r="BV71" s="234">
        <f>IFERROR(__xludf.DUMMYFUNCTION("""COMPUTED_VALUE"""),10.255754475703325)</f>
        <v>10.25575448</v>
      </c>
      <c r="BW71" s="230"/>
      <c r="BX71" s="235"/>
      <c r="BY71" s="234"/>
      <c r="BZ71" s="230"/>
      <c r="CA71" s="235"/>
      <c r="CB71" s="234"/>
      <c r="CC71" s="230"/>
      <c r="CD71" s="235"/>
      <c r="CE71" s="234"/>
      <c r="CF71" s="230"/>
      <c r="CG71" s="235"/>
      <c r="CH71" s="234"/>
      <c r="CI71" s="230"/>
      <c r="CJ71" s="230"/>
      <c r="CK71" s="234"/>
      <c r="CL71" s="230"/>
      <c r="CM71" s="235"/>
      <c r="CN71" s="230"/>
      <c r="CO71" s="230"/>
      <c r="CP71" s="230"/>
      <c r="CQ71" s="234"/>
      <c r="CR71" s="230"/>
      <c r="CS71" s="230"/>
      <c r="CT71" s="234"/>
      <c r="CU71" s="230"/>
      <c r="CV71" s="230"/>
      <c r="CW71" s="234"/>
      <c r="CX71" s="230"/>
      <c r="CY71" s="235"/>
      <c r="CZ71" s="230"/>
      <c r="DA71" s="230"/>
      <c r="DB71" s="235"/>
      <c r="DC71" s="234">
        <f>IFERROR(__xludf.DUMMYFUNCTION("""COMPUTED_VALUE"""),2.0202020202020203)</f>
        <v>2.02020202</v>
      </c>
      <c r="DD71" s="230"/>
      <c r="DE71" s="235"/>
      <c r="DF71" s="234"/>
      <c r="DG71" s="230"/>
      <c r="DH71" s="235"/>
      <c r="DI71" s="234"/>
      <c r="DJ71" s="230"/>
      <c r="DK71" s="235"/>
      <c r="DL71" s="280"/>
      <c r="DM71" s="286">
        <f>IFERROR(__xludf.DUMMYFUNCTION("""COMPUTED_VALUE"""),12.121212121212121)</f>
        <v>12.12121212</v>
      </c>
      <c r="DN71" s="282">
        <f>IFERROR(__xludf.DUMMYFUNCTION("""COMPUTED_VALUE"""),6.0606060606060606)</f>
        <v>6.060606061</v>
      </c>
      <c r="DO71" s="96">
        <f>IFERROR(__xludf.DUMMYFUNCTION("""COMPUTED_VALUE"""),10.1010101010101)</f>
        <v>10.1010101</v>
      </c>
      <c r="DP71" s="96"/>
      <c r="DQ71" s="96"/>
      <c r="DR71" s="96"/>
      <c r="DS71" s="96"/>
      <c r="DT71" s="96"/>
      <c r="DU71" s="96"/>
    </row>
    <row r="72">
      <c r="B72" s="120" t="str">
        <f>IFERROR(__xludf.DUMMYFUNCTION("""COMPUTED_VALUE"""),"SEP7")</f>
        <v>SEP7</v>
      </c>
      <c r="C72" s="88" t="str">
        <f>IFERROR(__xludf.DUMMYFUNCTION("""COMPUTED_VALUE"""),"Massilia")</f>
        <v>Massilia</v>
      </c>
      <c r="D72" s="102">
        <f>IFERROR(__xludf.DUMMYFUNCTION("""COMPUTED_VALUE"""),9.0)</f>
        <v>9</v>
      </c>
      <c r="E72" s="82" t="b">
        <f>IFERROR(__xludf.DUMMYFUNCTION("""COMPUTED_VALUE"""),TRUE)</f>
        <v>1</v>
      </c>
      <c r="F72" s="82" t="str">
        <f>IFERROR(__xludf.DUMMYFUNCTION("""COMPUTED_VALUE"""),"Free Quests- Part 1!A338:J350")</f>
        <v>Free Quests- Part 1!A338:J350</v>
      </c>
      <c r="G72" s="82">
        <f>IFERROR(__xludf.DUMMYFUNCTION("""COMPUTED_VALUE"""),73.0)</f>
        <v>73</v>
      </c>
      <c r="H72" s="82">
        <f>IFERROR(__xludf.DUMMYFUNCTION("""COMPUTED_VALUE"""),254.0)</f>
        <v>254</v>
      </c>
      <c r="I72" s="82">
        <f>IFERROR(__xludf.DUMMYFUNCTION("""COMPUTED_VALUE"""),1103.0)</f>
        <v>1103</v>
      </c>
      <c r="J72" s="82">
        <f>IFERROR(__xludf.DUMMYFUNCTION("""COMPUTED_VALUE"""),1357.0)</f>
        <v>1357</v>
      </c>
      <c r="K72" s="234"/>
      <c r="L72" s="230"/>
      <c r="M72" s="235"/>
      <c r="N72" s="234"/>
      <c r="O72" s="230"/>
      <c r="P72" s="235"/>
      <c r="Q72" s="234"/>
      <c r="R72" s="230"/>
      <c r="S72" s="235"/>
      <c r="T72" s="234"/>
      <c r="U72" s="230"/>
      <c r="V72" s="235"/>
      <c r="W72" s="234"/>
      <c r="X72" s="230"/>
      <c r="Y72" s="235"/>
      <c r="Z72" s="234"/>
      <c r="AA72" s="230"/>
      <c r="AB72" s="235"/>
      <c r="AC72" s="234"/>
      <c r="AD72" s="230"/>
      <c r="AE72" s="235"/>
      <c r="AF72" s="234"/>
      <c r="AG72" s="230"/>
      <c r="AH72" s="235"/>
      <c r="AI72" s="234"/>
      <c r="AJ72" s="230"/>
      <c r="AK72" s="235"/>
      <c r="AL72" s="231"/>
      <c r="AM72" s="230"/>
      <c r="AN72" s="235"/>
      <c r="AO72" s="234"/>
      <c r="AP72" s="230"/>
      <c r="AQ72" s="235"/>
      <c r="AR72" s="234"/>
      <c r="AS72" s="230"/>
      <c r="AT72" s="235"/>
      <c r="AU72" s="234"/>
      <c r="AV72" s="230"/>
      <c r="AW72" s="235">
        <f>IFERROR(__xludf.DUMMYFUNCTION("""COMPUTED_VALUE"""),13.59786293294031)</f>
        <v>13.59786293</v>
      </c>
      <c r="AX72" s="234"/>
      <c r="AY72" s="230"/>
      <c r="AZ72" s="235">
        <f>IFERROR(__xludf.DUMMYFUNCTION("""COMPUTED_VALUE"""),16.565143699336772)</f>
        <v>16.5651437</v>
      </c>
      <c r="BA72" s="234"/>
      <c r="BB72" s="230"/>
      <c r="BC72" s="235"/>
      <c r="BD72" s="234"/>
      <c r="BE72" s="230"/>
      <c r="BF72" s="235"/>
      <c r="BG72" s="234"/>
      <c r="BH72" s="230"/>
      <c r="BI72" s="235"/>
      <c r="BJ72" s="234"/>
      <c r="BK72" s="230"/>
      <c r="BL72" s="235"/>
      <c r="BM72" s="234"/>
      <c r="BN72" s="230"/>
      <c r="BO72" s="235"/>
      <c r="BP72" s="234"/>
      <c r="BQ72" s="230"/>
      <c r="BR72" s="235"/>
      <c r="BS72" s="234"/>
      <c r="BT72" s="230">
        <f>IFERROR(__xludf.DUMMYFUNCTION("""COMPUTED_VALUE"""),10.369344141488579)</f>
        <v>10.36934414</v>
      </c>
      <c r="BU72" s="235"/>
      <c r="BV72" s="234">
        <f>IFERROR(__xludf.DUMMYFUNCTION("""COMPUTED_VALUE"""),8.883492999263082)</f>
        <v>8.883492999</v>
      </c>
      <c r="BW72" s="230"/>
      <c r="BX72" s="235"/>
      <c r="BY72" s="234"/>
      <c r="BZ72" s="230"/>
      <c r="CA72" s="235"/>
      <c r="CB72" s="234"/>
      <c r="CC72" s="230"/>
      <c r="CD72" s="235"/>
      <c r="CE72" s="234"/>
      <c r="CF72" s="230"/>
      <c r="CG72" s="235"/>
      <c r="CH72" s="234"/>
      <c r="CI72" s="230"/>
      <c r="CJ72" s="230"/>
      <c r="CK72" s="234">
        <f>IFERROR(__xludf.DUMMYFUNCTION("""COMPUTED_VALUE"""),10.57523949889462)</f>
        <v>10.5752395</v>
      </c>
      <c r="CL72" s="230"/>
      <c r="CM72" s="235"/>
      <c r="CN72" s="230">
        <f>IFERROR(__xludf.DUMMYFUNCTION("""COMPUTED_VALUE"""),10.05939572586588)</f>
        <v>10.05939573</v>
      </c>
      <c r="CO72" s="230"/>
      <c r="CP72" s="230"/>
      <c r="CQ72" s="234"/>
      <c r="CR72" s="230"/>
      <c r="CS72" s="230"/>
      <c r="CT72" s="234"/>
      <c r="CU72" s="230"/>
      <c r="CV72" s="230"/>
      <c r="CW72" s="234"/>
      <c r="CX72" s="230"/>
      <c r="CY72" s="235"/>
      <c r="CZ72" s="230"/>
      <c r="DA72" s="230"/>
      <c r="DB72" s="235"/>
      <c r="DC72" s="234"/>
      <c r="DD72" s="230"/>
      <c r="DE72" s="235"/>
      <c r="DF72" s="234"/>
      <c r="DG72" s="230"/>
      <c r="DH72" s="235">
        <f>IFERROR(__xludf.DUMMYFUNCTION("""COMPUTED_VALUE"""),13.043478260869565)</f>
        <v>13.04347826</v>
      </c>
      <c r="DI72" s="234"/>
      <c r="DJ72" s="230"/>
      <c r="DK72" s="235">
        <f>IFERROR(__xludf.DUMMYFUNCTION("""COMPUTED_VALUE"""),21.73913043478261)</f>
        <v>21.73913043</v>
      </c>
      <c r="DL72" s="302"/>
      <c r="DM72" s="303">
        <f>IFERROR(__xludf.DUMMYFUNCTION("""COMPUTED_VALUE"""),4.3478260869565215)</f>
        <v>4.347826087</v>
      </c>
      <c r="DN72" s="304"/>
      <c r="DO72" s="96">
        <f>IFERROR(__xludf.DUMMYFUNCTION("""COMPUTED_VALUE"""),4.3478260869565215)</f>
        <v>4.347826087</v>
      </c>
      <c r="DP72" s="96"/>
      <c r="DQ72" s="96"/>
      <c r="DR72" s="96"/>
      <c r="DS72" s="96"/>
      <c r="DT72" s="96"/>
      <c r="DU72" s="96"/>
    </row>
    <row r="73">
      <c r="B73" s="120" t="str">
        <f>IFERROR(__xludf.DUMMYFUNCTION("""COMPUTED_VALUE"""),"SEP8")</f>
        <v>SEP8</v>
      </c>
      <c r="C73" s="88" t="str">
        <f>IFERROR(__xludf.DUMMYFUNCTION("""COMPUTED_VALUE"""),"Gaul")</f>
        <v>Gaul</v>
      </c>
      <c r="D73" s="102">
        <f>IFERROR(__xludf.DUMMYFUNCTION("""COMPUTED_VALUE"""),9.0)</f>
        <v>9</v>
      </c>
      <c r="E73" s="82" t="b">
        <f>IFERROR(__xludf.DUMMYFUNCTION("""COMPUTED_VALUE"""),TRUE)</f>
        <v>1</v>
      </c>
      <c r="F73" s="82" t="str">
        <f>IFERROR(__xludf.DUMMYFUNCTION("""COMPUTED_VALUE"""),"Free Quests- Part 1!A354:J368")</f>
        <v>Free Quests- Part 1!A354:J368</v>
      </c>
      <c r="G73" s="82">
        <f>IFERROR(__xludf.DUMMYFUNCTION("""COMPUTED_VALUE"""),74.0)</f>
        <v>74</v>
      </c>
      <c r="H73" s="82">
        <f>IFERROR(__xludf.DUMMYFUNCTION("""COMPUTED_VALUE"""),1756.0)</f>
        <v>1756</v>
      </c>
      <c r="I73" s="82">
        <f>IFERROR(__xludf.DUMMYFUNCTION("""COMPUTED_VALUE"""),1160.0)</f>
        <v>1160</v>
      </c>
      <c r="J73" s="82">
        <f>IFERROR(__xludf.DUMMYFUNCTION("""COMPUTED_VALUE"""),2916.0)</f>
        <v>2916</v>
      </c>
      <c r="K73" s="234"/>
      <c r="L73" s="230"/>
      <c r="M73" s="235"/>
      <c r="N73" s="234"/>
      <c r="O73" s="230"/>
      <c r="P73" s="235"/>
      <c r="Q73" s="234"/>
      <c r="R73" s="230"/>
      <c r="S73" s="235"/>
      <c r="T73" s="234"/>
      <c r="U73" s="230"/>
      <c r="V73" s="235"/>
      <c r="W73" s="234"/>
      <c r="X73" s="230"/>
      <c r="Y73" s="235"/>
      <c r="Z73" s="234"/>
      <c r="AA73" s="230"/>
      <c r="AB73" s="235"/>
      <c r="AC73" s="234"/>
      <c r="AD73" s="230"/>
      <c r="AE73" s="235">
        <f>IFERROR(__xludf.DUMMYFUNCTION("""COMPUTED_VALUE"""),5.262002743484225)</f>
        <v>5.262002743</v>
      </c>
      <c r="AF73" s="234"/>
      <c r="AG73" s="230"/>
      <c r="AH73" s="235"/>
      <c r="AI73" s="234"/>
      <c r="AJ73" s="230"/>
      <c r="AK73" s="235"/>
      <c r="AL73" s="231"/>
      <c r="AM73" s="230"/>
      <c r="AN73" s="235"/>
      <c r="AO73" s="234"/>
      <c r="AP73" s="230"/>
      <c r="AQ73" s="235"/>
      <c r="AR73" s="234"/>
      <c r="AS73" s="230"/>
      <c r="AT73" s="235"/>
      <c r="AU73" s="234"/>
      <c r="AV73" s="230"/>
      <c r="AW73" s="235">
        <f>IFERROR(__xludf.DUMMYFUNCTION("""COMPUTED_VALUE"""),15.220850480109739)</f>
        <v>15.22085048</v>
      </c>
      <c r="AX73" s="234"/>
      <c r="AY73" s="230"/>
      <c r="AZ73" s="235">
        <f>IFERROR(__xludf.DUMMYFUNCTION("""COMPUTED_VALUE"""),7.703703703703703)</f>
        <v>7.703703704</v>
      </c>
      <c r="BA73" s="234"/>
      <c r="BB73" s="230"/>
      <c r="BC73" s="235"/>
      <c r="BD73" s="234"/>
      <c r="BE73" s="230"/>
      <c r="BF73" s="235"/>
      <c r="BG73" s="234"/>
      <c r="BH73" s="230"/>
      <c r="BI73" s="235"/>
      <c r="BJ73" s="234"/>
      <c r="BK73" s="230"/>
      <c r="BL73" s="235"/>
      <c r="BM73" s="234"/>
      <c r="BN73" s="230"/>
      <c r="BO73" s="235"/>
      <c r="BP73" s="234"/>
      <c r="BQ73" s="230"/>
      <c r="BR73" s="235"/>
      <c r="BS73" s="234"/>
      <c r="BT73" s="230"/>
      <c r="BU73" s="235">
        <f>IFERROR(__xludf.DUMMYFUNCTION("""COMPUTED_VALUE"""),9.175582990397805)</f>
        <v>9.17558299</v>
      </c>
      <c r="BV73" s="234">
        <f>IFERROR(__xludf.DUMMYFUNCTION("""COMPUTED_VALUE"""),14.386831275720164)</f>
        <v>14.38683128</v>
      </c>
      <c r="BW73" s="230"/>
      <c r="BX73" s="235"/>
      <c r="BY73" s="234"/>
      <c r="BZ73" s="230">
        <f>IFERROR(__xludf.DUMMYFUNCTION("""COMPUTED_VALUE"""),15.851851851851851)</f>
        <v>15.85185185</v>
      </c>
      <c r="CA73" s="235"/>
      <c r="CB73" s="234"/>
      <c r="CC73" s="230"/>
      <c r="CD73" s="235"/>
      <c r="CE73" s="234"/>
      <c r="CF73" s="230"/>
      <c r="CG73" s="235"/>
      <c r="CH73" s="234">
        <f>IFERROR(__xludf.DUMMYFUNCTION("""COMPUTED_VALUE"""),10.112482853223593)</f>
        <v>10.11248285</v>
      </c>
      <c r="CI73" s="230"/>
      <c r="CJ73" s="230"/>
      <c r="CK73" s="234"/>
      <c r="CL73" s="230"/>
      <c r="CM73" s="235"/>
      <c r="CN73" s="230"/>
      <c r="CO73" s="230"/>
      <c r="CP73" s="230"/>
      <c r="CQ73" s="234"/>
      <c r="CR73" s="230"/>
      <c r="CS73" s="230"/>
      <c r="CT73" s="234"/>
      <c r="CU73" s="230"/>
      <c r="CV73" s="230"/>
      <c r="CW73" s="234"/>
      <c r="CX73" s="230"/>
      <c r="CY73" s="235"/>
      <c r="CZ73" s="230"/>
      <c r="DA73" s="230"/>
      <c r="DB73" s="235"/>
      <c r="DC73" s="234"/>
      <c r="DD73" s="230"/>
      <c r="DE73" s="235">
        <f>IFERROR(__xludf.DUMMYFUNCTION("""COMPUTED_VALUE"""),14.705882352941178)</f>
        <v>14.70588235</v>
      </c>
      <c r="DF73" s="234"/>
      <c r="DG73" s="230"/>
      <c r="DH73" s="235"/>
      <c r="DI73" s="234"/>
      <c r="DJ73" s="230"/>
      <c r="DK73" s="235"/>
      <c r="DL73" s="280"/>
      <c r="DM73" s="286"/>
      <c r="DN73" s="282">
        <f>IFERROR(__xludf.DUMMYFUNCTION("""COMPUTED_VALUE"""),14.705882352941178)</f>
        <v>14.70588235</v>
      </c>
      <c r="DO73" s="96">
        <f>IFERROR(__xludf.DUMMYFUNCTION("""COMPUTED_VALUE"""),20.588235294117645)</f>
        <v>20.58823529</v>
      </c>
      <c r="DP73" s="96"/>
      <c r="DQ73" s="96"/>
      <c r="DR73" s="96"/>
      <c r="DS73" s="96">
        <f>IFERROR(__xludf.DUMMYFUNCTION("""COMPUTED_VALUE"""),11.76470588235294)</f>
        <v>11.76470588</v>
      </c>
      <c r="DT73" s="96"/>
      <c r="DU73" s="96"/>
    </row>
    <row r="74">
      <c r="B74" s="120" t="str">
        <f>IFERROR(__xludf.DUMMYFUNCTION("""COMPUTED_VALUE"""),"SEP9")</f>
        <v>SEP9</v>
      </c>
      <c r="C74" s="88" t="str">
        <f>IFERROR(__xludf.DUMMYFUNCTION("""COMPUTED_VALUE"""),"Britannia")</f>
        <v>Britannia</v>
      </c>
      <c r="D74" s="102">
        <f>IFERROR(__xludf.DUMMYFUNCTION("""COMPUTED_VALUE"""),10.0)</f>
        <v>10</v>
      </c>
      <c r="E74" s="82" t="b">
        <f>IFERROR(__xludf.DUMMYFUNCTION("""COMPUTED_VALUE"""),TRUE)</f>
        <v>1</v>
      </c>
      <c r="F74" s="82" t="str">
        <f>IFERROR(__xludf.DUMMYFUNCTION("""COMPUTED_VALUE"""),"Free Quests- Part 1!A372:J381")</f>
        <v>Free Quests- Part 1!A372:J381</v>
      </c>
      <c r="G74" s="82">
        <f>IFERROR(__xludf.DUMMYFUNCTION("""COMPUTED_VALUE"""),75.0)</f>
        <v>75</v>
      </c>
      <c r="H74" s="82">
        <f>IFERROR(__xludf.DUMMYFUNCTION("""COMPUTED_VALUE"""),117.0)</f>
        <v>117</v>
      </c>
      <c r="I74" s="82">
        <f>IFERROR(__xludf.DUMMYFUNCTION("""COMPUTED_VALUE"""),1135.0)</f>
        <v>1135</v>
      </c>
      <c r="J74" s="82">
        <f>IFERROR(__xludf.DUMMYFUNCTION("""COMPUTED_VALUE"""),1252.0)</f>
        <v>1252</v>
      </c>
      <c r="K74" s="234"/>
      <c r="L74" s="230"/>
      <c r="M74" s="235"/>
      <c r="N74" s="234"/>
      <c r="O74" s="230"/>
      <c r="P74" s="235"/>
      <c r="Q74" s="234"/>
      <c r="R74" s="230"/>
      <c r="S74" s="235"/>
      <c r="T74" s="234"/>
      <c r="U74" s="230"/>
      <c r="V74" s="235"/>
      <c r="W74" s="234"/>
      <c r="X74" s="230"/>
      <c r="Y74" s="235"/>
      <c r="Z74" s="234"/>
      <c r="AA74" s="230"/>
      <c r="AB74" s="235"/>
      <c r="AC74" s="234">
        <f>IFERROR(__xludf.DUMMYFUNCTION("""COMPUTED_VALUE"""),11.485223642172524)</f>
        <v>11.48522364</v>
      </c>
      <c r="AD74" s="230"/>
      <c r="AE74" s="235"/>
      <c r="AF74" s="234"/>
      <c r="AG74" s="230"/>
      <c r="AH74" s="235"/>
      <c r="AI74" s="234"/>
      <c r="AJ74" s="230"/>
      <c r="AK74" s="235"/>
      <c r="AL74" s="231"/>
      <c r="AM74" s="230"/>
      <c r="AN74" s="235"/>
      <c r="AO74" s="234"/>
      <c r="AP74" s="230"/>
      <c r="AQ74" s="235"/>
      <c r="AR74" s="234"/>
      <c r="AS74" s="230"/>
      <c r="AT74" s="235"/>
      <c r="AU74" s="234"/>
      <c r="AV74" s="230"/>
      <c r="AW74" s="235"/>
      <c r="AX74" s="234"/>
      <c r="AY74" s="230"/>
      <c r="AZ74" s="235"/>
      <c r="BA74" s="234"/>
      <c r="BB74" s="230"/>
      <c r="BC74" s="235"/>
      <c r="BD74" s="234"/>
      <c r="BE74" s="230"/>
      <c r="BF74" s="235"/>
      <c r="BG74" s="234"/>
      <c r="BH74" s="230"/>
      <c r="BI74" s="235"/>
      <c r="BJ74" s="234"/>
      <c r="BK74" s="230"/>
      <c r="BL74" s="235"/>
      <c r="BM74" s="234"/>
      <c r="BN74" s="230"/>
      <c r="BO74" s="235"/>
      <c r="BP74" s="234"/>
      <c r="BQ74" s="230"/>
      <c r="BR74" s="235"/>
      <c r="BS74" s="234"/>
      <c r="BT74" s="230">
        <f>IFERROR(__xludf.DUMMYFUNCTION("""COMPUTED_VALUE"""),25.24121405750799)</f>
        <v>25.24121406</v>
      </c>
      <c r="BU74" s="235"/>
      <c r="BV74" s="234">
        <f>IFERROR(__xludf.DUMMYFUNCTION("""COMPUTED_VALUE"""),25.33626198083067)</f>
        <v>25.33626198</v>
      </c>
      <c r="BW74" s="230"/>
      <c r="BX74" s="235"/>
      <c r="BY74" s="234">
        <f>IFERROR(__xludf.DUMMYFUNCTION("""COMPUTED_VALUE"""),16.374201277955272)</f>
        <v>16.37420128</v>
      </c>
      <c r="BZ74" s="230"/>
      <c r="CA74" s="235"/>
      <c r="CB74" s="234"/>
      <c r="CC74" s="230"/>
      <c r="CD74" s="235"/>
      <c r="CE74" s="234"/>
      <c r="CF74" s="230"/>
      <c r="CG74" s="235"/>
      <c r="CH74" s="234"/>
      <c r="CI74" s="230"/>
      <c r="CJ74" s="230"/>
      <c r="CK74" s="234"/>
      <c r="CL74" s="230"/>
      <c r="CM74" s="235"/>
      <c r="CN74" s="230"/>
      <c r="CO74" s="230"/>
      <c r="CP74" s="230"/>
      <c r="CQ74" s="234"/>
      <c r="CR74" s="230"/>
      <c r="CS74" s="230"/>
      <c r="CT74" s="234"/>
      <c r="CU74" s="230"/>
      <c r="CV74" s="230"/>
      <c r="CW74" s="234"/>
      <c r="CX74" s="230"/>
      <c r="CY74" s="235"/>
      <c r="CZ74" s="230"/>
      <c r="DA74" s="230"/>
      <c r="DB74" s="235"/>
      <c r="DC74" s="234"/>
      <c r="DD74" s="230"/>
      <c r="DE74" s="235"/>
      <c r="DF74" s="234"/>
      <c r="DG74" s="230"/>
      <c r="DH74" s="235"/>
      <c r="DI74" s="234"/>
      <c r="DJ74" s="230"/>
      <c r="DK74" s="235"/>
      <c r="DL74" s="302"/>
      <c r="DM74" s="303">
        <f>IFERROR(__xludf.DUMMYFUNCTION("""COMPUTED_VALUE"""),11.76470588235294)</f>
        <v>11.76470588</v>
      </c>
      <c r="DN74" s="304"/>
      <c r="DO74" s="96">
        <f>IFERROR(__xludf.DUMMYFUNCTION("""COMPUTED_VALUE"""),23.52941176470588)</f>
        <v>23.52941176</v>
      </c>
      <c r="DP74" s="96"/>
      <c r="DQ74" s="96"/>
      <c r="DR74" s="96">
        <f>IFERROR(__xludf.DUMMYFUNCTION("""COMPUTED_VALUE"""),11.76470588235294)</f>
        <v>11.76470588</v>
      </c>
      <c r="DS74" s="96"/>
      <c r="DT74" s="96"/>
      <c r="DU74" s="96"/>
    </row>
    <row r="75">
      <c r="B75" s="120" t="str">
        <f>IFERROR(__xludf.DUMMYFUNCTION("""COMPUTED_VALUE"""),"SEP10")</f>
        <v>SEP10</v>
      </c>
      <c r="C75" s="88" t="str">
        <f>IFERROR(__xludf.DUMMYFUNCTION("""COMPUTED_VALUE"""),"Shaped Isle")</f>
        <v>Shaped Isle</v>
      </c>
      <c r="D75" s="102">
        <f>IFERROR(__xludf.DUMMYFUNCTION("""COMPUTED_VALUE"""),9.0)</f>
        <v>9</v>
      </c>
      <c r="E75" s="82" t="b">
        <f>IFERROR(__xludf.DUMMYFUNCTION("""COMPUTED_VALUE"""),TRUE)</f>
        <v>1</v>
      </c>
      <c r="F75" s="82" t="str">
        <f>IFERROR(__xludf.DUMMYFUNCTION("""COMPUTED_VALUE"""),"Free Quests- Part 1!A385:J395")</f>
        <v>Free Quests- Part 1!A385:J395</v>
      </c>
      <c r="G75" s="82">
        <f>IFERROR(__xludf.DUMMYFUNCTION("""COMPUTED_VALUE"""),76.0)</f>
        <v>76</v>
      </c>
      <c r="H75" s="82">
        <f>IFERROR(__xludf.DUMMYFUNCTION("""COMPUTED_VALUE"""),164.0)</f>
        <v>164</v>
      </c>
      <c r="I75" s="82">
        <f>IFERROR(__xludf.DUMMYFUNCTION("""COMPUTED_VALUE"""),1006.0)</f>
        <v>1006</v>
      </c>
      <c r="J75" s="82">
        <f>IFERROR(__xludf.DUMMYFUNCTION("""COMPUTED_VALUE"""),1170.0)</f>
        <v>1170</v>
      </c>
      <c r="K75" s="234"/>
      <c r="L75" s="230"/>
      <c r="M75" s="235"/>
      <c r="N75" s="234"/>
      <c r="O75" s="230"/>
      <c r="P75" s="235"/>
      <c r="Q75" s="234"/>
      <c r="R75" s="230"/>
      <c r="S75" s="235"/>
      <c r="T75" s="234"/>
      <c r="U75" s="230"/>
      <c r="V75" s="235"/>
      <c r="W75" s="234"/>
      <c r="X75" s="230"/>
      <c r="Y75" s="235"/>
      <c r="Z75" s="234"/>
      <c r="AA75" s="230"/>
      <c r="AB75" s="235"/>
      <c r="AC75" s="234"/>
      <c r="AD75" s="230"/>
      <c r="AE75" s="235"/>
      <c r="AF75" s="234"/>
      <c r="AG75" s="230"/>
      <c r="AH75" s="235"/>
      <c r="AI75" s="234"/>
      <c r="AJ75" s="230"/>
      <c r="AK75" s="235"/>
      <c r="AL75" s="231"/>
      <c r="AM75" s="230"/>
      <c r="AN75" s="235"/>
      <c r="AO75" s="234"/>
      <c r="AP75" s="230"/>
      <c r="AQ75" s="235"/>
      <c r="AR75" s="234"/>
      <c r="AS75" s="230"/>
      <c r="AT75" s="235"/>
      <c r="AU75" s="234"/>
      <c r="AV75" s="230"/>
      <c r="AW75" s="235"/>
      <c r="AX75" s="234">
        <f>IFERROR(__xludf.DUMMYFUNCTION("""COMPUTED_VALUE"""),18.64393162393162)</f>
        <v>18.64393162</v>
      </c>
      <c r="AY75" s="230"/>
      <c r="AZ75" s="235">
        <f>IFERROR(__xludf.DUMMYFUNCTION("""COMPUTED_VALUE"""),8.333675213675214)</f>
        <v>8.333675214</v>
      </c>
      <c r="BA75" s="234"/>
      <c r="BB75" s="230"/>
      <c r="BC75" s="235"/>
      <c r="BD75" s="234"/>
      <c r="BE75" s="230"/>
      <c r="BF75" s="235"/>
      <c r="BG75" s="234"/>
      <c r="BH75" s="230"/>
      <c r="BI75" s="235"/>
      <c r="BJ75" s="234"/>
      <c r="BK75" s="230"/>
      <c r="BL75" s="235"/>
      <c r="BM75" s="234"/>
      <c r="BN75" s="230"/>
      <c r="BO75" s="235"/>
      <c r="BP75" s="234"/>
      <c r="BQ75" s="230"/>
      <c r="BR75" s="235"/>
      <c r="BS75" s="234"/>
      <c r="BT75" s="230"/>
      <c r="BU75" s="235">
        <f>IFERROR(__xludf.DUMMYFUNCTION("""COMPUTED_VALUE"""),24.566495726495727)</f>
        <v>24.56649573</v>
      </c>
      <c r="BV75" s="234">
        <f>IFERROR(__xludf.DUMMYFUNCTION("""COMPUTED_VALUE"""),5.156410256410257)</f>
        <v>5.156410256</v>
      </c>
      <c r="BW75" s="230"/>
      <c r="BX75" s="235"/>
      <c r="BY75" s="234"/>
      <c r="BZ75" s="230"/>
      <c r="CA75" s="235"/>
      <c r="CB75" s="234"/>
      <c r="CC75" s="230"/>
      <c r="CD75" s="235"/>
      <c r="CE75" s="234"/>
      <c r="CF75" s="230"/>
      <c r="CG75" s="235"/>
      <c r="CH75" s="234"/>
      <c r="CI75" s="230"/>
      <c r="CJ75" s="230"/>
      <c r="CK75" s="234"/>
      <c r="CL75" s="230"/>
      <c r="CM75" s="235"/>
      <c r="CN75" s="230">
        <f>IFERROR(__xludf.DUMMYFUNCTION("""COMPUTED_VALUE"""),9.707350427350427)</f>
        <v>9.707350427</v>
      </c>
      <c r="CO75" s="230"/>
      <c r="CP75" s="230"/>
      <c r="CQ75" s="234"/>
      <c r="CR75" s="230"/>
      <c r="CS75" s="230"/>
      <c r="CT75" s="234"/>
      <c r="CU75" s="230"/>
      <c r="CV75" s="230"/>
      <c r="CW75" s="234"/>
      <c r="CX75" s="230"/>
      <c r="CY75" s="235"/>
      <c r="CZ75" s="230"/>
      <c r="DA75" s="230"/>
      <c r="DB75" s="235"/>
      <c r="DC75" s="234"/>
      <c r="DD75" s="230"/>
      <c r="DE75" s="235"/>
      <c r="DF75" s="234"/>
      <c r="DG75" s="230"/>
      <c r="DH75" s="235"/>
      <c r="DI75" s="234"/>
      <c r="DJ75" s="230"/>
      <c r="DK75" s="235">
        <f>IFERROR(__xludf.DUMMYFUNCTION("""COMPUTED_VALUE"""),13.28125)</f>
        <v>13.28125</v>
      </c>
      <c r="DL75" s="280"/>
      <c r="DM75" s="286"/>
      <c r="DN75" s="282">
        <f>IFERROR(__xludf.DUMMYFUNCTION("""COMPUTED_VALUE"""),25.78125)</f>
        <v>25.78125</v>
      </c>
      <c r="DO75" s="96">
        <f>IFERROR(__xludf.DUMMYFUNCTION("""COMPUTED_VALUE"""),10.9375)</f>
        <v>10.9375</v>
      </c>
      <c r="DP75" s="96"/>
      <c r="DQ75" s="96"/>
      <c r="DR75" s="96"/>
      <c r="DS75" s="96"/>
      <c r="DT75" s="96"/>
      <c r="DU75" s="96"/>
    </row>
    <row r="76">
      <c r="B76" s="120" t="str">
        <f>IFERROR(__xludf.DUMMYFUNCTION("""COMPUTED_VALUE"""),"SEP11")</f>
        <v>SEP11</v>
      </c>
      <c r="C76" s="88" t="str">
        <f>IFERROR(__xludf.DUMMYFUNCTION("""COMPUTED_VALUE"""),"Alliance Capital")</f>
        <v>Alliance Capital</v>
      </c>
      <c r="D76" s="102">
        <f>IFERROR(__xludf.DUMMYFUNCTION("""COMPUTED_VALUE"""),10.0)</f>
        <v>10</v>
      </c>
      <c r="E76" s="82" t="b">
        <f>IFERROR(__xludf.DUMMYFUNCTION("""COMPUTED_VALUE"""),TRUE)</f>
        <v>1</v>
      </c>
      <c r="F76" s="82" t="str">
        <f>IFERROR(__xludf.DUMMYFUNCTION("""COMPUTED_VALUE"""),"Free Quests- Part 1!A399:J414")</f>
        <v>Free Quests- Part 1!A399:J414</v>
      </c>
      <c r="G76" s="82">
        <f>IFERROR(__xludf.DUMMYFUNCTION("""COMPUTED_VALUE"""),77.0)</f>
        <v>77</v>
      </c>
      <c r="H76" s="82">
        <f>IFERROR(__xludf.DUMMYFUNCTION("""COMPUTED_VALUE"""),205.0)</f>
        <v>205</v>
      </c>
      <c r="I76" s="82">
        <f>IFERROR(__xludf.DUMMYFUNCTION("""COMPUTED_VALUE"""),1175.0)</f>
        <v>1175</v>
      </c>
      <c r="J76" s="82">
        <f>IFERROR(__xludf.DUMMYFUNCTION("""COMPUTED_VALUE"""),1380.0)</f>
        <v>1380</v>
      </c>
      <c r="K76" s="234"/>
      <c r="L76" s="230"/>
      <c r="M76" s="235"/>
      <c r="N76" s="234"/>
      <c r="O76" s="230"/>
      <c r="P76" s="235"/>
      <c r="Q76" s="234"/>
      <c r="R76" s="230"/>
      <c r="S76" s="235"/>
      <c r="T76" s="234"/>
      <c r="U76" s="230"/>
      <c r="V76" s="235"/>
      <c r="W76" s="234"/>
      <c r="X76" s="230"/>
      <c r="Y76" s="235"/>
      <c r="Z76" s="234"/>
      <c r="AA76" s="230"/>
      <c r="AB76" s="235"/>
      <c r="AC76" s="234"/>
      <c r="AD76" s="230"/>
      <c r="AE76" s="235">
        <f>IFERROR(__xludf.DUMMYFUNCTION("""COMPUTED_VALUE"""),2.4184782608695654)</f>
        <v>2.418478261</v>
      </c>
      <c r="AF76" s="234"/>
      <c r="AG76" s="230"/>
      <c r="AH76" s="235"/>
      <c r="AI76" s="234"/>
      <c r="AJ76" s="230"/>
      <c r="AK76" s="235"/>
      <c r="AL76" s="231"/>
      <c r="AM76" s="230"/>
      <c r="AN76" s="235"/>
      <c r="AO76" s="234"/>
      <c r="AP76" s="230"/>
      <c r="AQ76" s="235"/>
      <c r="AR76" s="234"/>
      <c r="AS76" s="230"/>
      <c r="AT76" s="235"/>
      <c r="AU76" s="234"/>
      <c r="AV76" s="230"/>
      <c r="AW76" s="235">
        <f>IFERROR(__xludf.DUMMYFUNCTION("""COMPUTED_VALUE"""),17.45874587458746)</f>
        <v>17.45874587</v>
      </c>
      <c r="AX76" s="234"/>
      <c r="AY76" s="230"/>
      <c r="AZ76" s="235">
        <f>IFERROR(__xludf.DUMMYFUNCTION("""COMPUTED_VALUE"""),8.038563638972594)</f>
        <v>8.038563639</v>
      </c>
      <c r="BA76" s="234"/>
      <c r="BB76" s="230"/>
      <c r="BC76" s="235"/>
      <c r="BD76" s="234"/>
      <c r="BE76" s="230"/>
      <c r="BF76" s="235"/>
      <c r="BG76" s="234"/>
      <c r="BH76" s="230"/>
      <c r="BI76" s="235"/>
      <c r="BJ76" s="234"/>
      <c r="BK76" s="230"/>
      <c r="BL76" s="235"/>
      <c r="BM76" s="234"/>
      <c r="BN76" s="230"/>
      <c r="BO76" s="235"/>
      <c r="BP76" s="234"/>
      <c r="BQ76" s="230"/>
      <c r="BR76" s="235"/>
      <c r="BS76" s="234"/>
      <c r="BT76" s="230">
        <f>IFERROR(__xludf.DUMMYFUNCTION("""COMPUTED_VALUE"""),4.861081216817334)</f>
        <v>4.861081217</v>
      </c>
      <c r="BU76" s="235">
        <f>IFERROR(__xludf.DUMMYFUNCTION("""COMPUTED_VALUE"""),10.445831539675707)</f>
        <v>10.44583154</v>
      </c>
      <c r="BV76" s="234"/>
      <c r="BW76" s="230"/>
      <c r="BX76" s="235"/>
      <c r="BY76" s="234"/>
      <c r="BZ76" s="230">
        <f>IFERROR(__xludf.DUMMYFUNCTION("""COMPUTED_VALUE"""),12.079710144927537)</f>
        <v>12.07971014</v>
      </c>
      <c r="CA76" s="235"/>
      <c r="CB76" s="234"/>
      <c r="CC76" s="230"/>
      <c r="CD76" s="235"/>
      <c r="CE76" s="234"/>
      <c r="CF76" s="230"/>
      <c r="CG76" s="235"/>
      <c r="CH76" s="234"/>
      <c r="CI76" s="230"/>
      <c r="CJ76" s="230"/>
      <c r="CK76" s="234"/>
      <c r="CL76" s="230"/>
      <c r="CM76" s="235"/>
      <c r="CN76" s="230">
        <f>IFERROR(__xludf.DUMMYFUNCTION("""COMPUTED_VALUE"""),10.774806284976323)</f>
        <v>10.77480628</v>
      </c>
      <c r="CO76" s="230"/>
      <c r="CP76" s="230"/>
      <c r="CQ76" s="234"/>
      <c r="CR76" s="230"/>
      <c r="CS76" s="230"/>
      <c r="CT76" s="234"/>
      <c r="CU76" s="230"/>
      <c r="CV76" s="230"/>
      <c r="CW76" s="234"/>
      <c r="CX76" s="230"/>
      <c r="CY76" s="235"/>
      <c r="CZ76" s="230"/>
      <c r="DA76" s="230"/>
      <c r="DB76" s="235"/>
      <c r="DC76" s="234"/>
      <c r="DD76" s="230"/>
      <c r="DE76" s="235"/>
      <c r="DF76" s="234"/>
      <c r="DG76" s="230"/>
      <c r="DH76" s="235"/>
      <c r="DI76" s="234"/>
      <c r="DJ76" s="230"/>
      <c r="DK76" s="235">
        <f>IFERROR(__xludf.DUMMYFUNCTION("""COMPUTED_VALUE"""),20.0)</f>
        <v>20</v>
      </c>
      <c r="DL76" s="305"/>
      <c r="DM76" s="306">
        <f>IFERROR(__xludf.DUMMYFUNCTION("""COMPUTED_VALUE"""),5.555555555555555)</f>
        <v>5.555555556</v>
      </c>
      <c r="DN76" s="307">
        <f>IFERROR(__xludf.DUMMYFUNCTION("""COMPUTED_VALUE"""),10.75268817204301)</f>
        <v>10.75268817</v>
      </c>
      <c r="DO76" s="96"/>
      <c r="DP76" s="96"/>
      <c r="DQ76" s="96"/>
      <c r="DR76" s="96"/>
      <c r="DS76" s="96">
        <f>IFERROR(__xludf.DUMMYFUNCTION("""COMPUTED_VALUE"""),11.827956989247312)</f>
        <v>11.82795699</v>
      </c>
      <c r="DT76" s="96"/>
      <c r="DU76" s="96"/>
    </row>
    <row r="77">
      <c r="A77" s="124" t="str">
        <f>IFERROR(__xludf.DUMMYFUNCTION("""COMPUTED_VALUE"""),"OKEANOS")</f>
        <v>OKEANOS</v>
      </c>
      <c r="B77" s="120" t="str">
        <f>IFERROR(__xludf.DUMMYFUNCTION("""COMPUTED_VALUE"""),"OKN1")</f>
        <v>OKN1</v>
      </c>
      <c r="C77" s="88" t="str">
        <f>IFERROR(__xludf.DUMMYFUNCTION("""COMPUTED_VALUE"""),"Pirate Ship")</f>
        <v>Pirate Ship</v>
      </c>
      <c r="D77" s="102">
        <f>IFERROR(__xludf.DUMMYFUNCTION("""COMPUTED_VALUE"""),12.0)</f>
        <v>12</v>
      </c>
      <c r="E77" s="82" t="b">
        <f>IFERROR(__xludf.DUMMYFUNCTION("""COMPUTED_VALUE"""),TRUE)</f>
        <v>1</v>
      </c>
      <c r="F77" s="82" t="str">
        <f>IFERROR(__xludf.DUMMYFUNCTION("""COMPUTED_VALUE"""),"Free Quests- Part 1!A420:J427")</f>
        <v>Free Quests- Part 1!A420:J427</v>
      </c>
      <c r="G77" s="82">
        <f>IFERROR(__xludf.DUMMYFUNCTION("""COMPUTED_VALUE"""),78.0)</f>
        <v>78</v>
      </c>
      <c r="H77" s="82">
        <f>IFERROR(__xludf.DUMMYFUNCTION("""COMPUTED_VALUE"""),1533.0)</f>
        <v>1533</v>
      </c>
      <c r="I77" s="82">
        <f>IFERROR(__xludf.DUMMYFUNCTION("""COMPUTED_VALUE"""),6605.0)</f>
        <v>6605</v>
      </c>
      <c r="J77" s="82">
        <f>IFERROR(__xludf.DUMMYFUNCTION("""COMPUTED_VALUE"""),8138.0)</f>
        <v>8138</v>
      </c>
      <c r="K77" s="234"/>
      <c r="L77" s="230"/>
      <c r="M77" s="235"/>
      <c r="N77" s="234"/>
      <c r="O77" s="230"/>
      <c r="P77" s="235"/>
      <c r="Q77" s="234"/>
      <c r="R77" s="230"/>
      <c r="S77" s="235"/>
      <c r="T77" s="234"/>
      <c r="U77" s="230"/>
      <c r="V77" s="235"/>
      <c r="W77" s="234"/>
      <c r="X77" s="230"/>
      <c r="Y77" s="235"/>
      <c r="Z77" s="234"/>
      <c r="AA77" s="230"/>
      <c r="AB77" s="235"/>
      <c r="AC77" s="234"/>
      <c r="AD77" s="230"/>
      <c r="AE77" s="235"/>
      <c r="AF77" s="234"/>
      <c r="AG77" s="230"/>
      <c r="AH77" s="235"/>
      <c r="AI77" s="234"/>
      <c r="AJ77" s="230"/>
      <c r="AK77" s="235"/>
      <c r="AL77" s="231"/>
      <c r="AM77" s="230"/>
      <c r="AN77" s="235"/>
      <c r="AO77" s="234"/>
      <c r="AP77" s="230"/>
      <c r="AQ77" s="235"/>
      <c r="AR77" s="234"/>
      <c r="AS77" s="230"/>
      <c r="AT77" s="235"/>
      <c r="AU77" s="234"/>
      <c r="AV77" s="230"/>
      <c r="AW77" s="235">
        <f>IFERROR(__xludf.DUMMYFUNCTION("""COMPUTED_VALUE"""),58.32065618087982)</f>
        <v>58.32065618</v>
      </c>
      <c r="AX77" s="234"/>
      <c r="AY77" s="230"/>
      <c r="AZ77" s="235"/>
      <c r="BA77" s="234"/>
      <c r="BB77" s="230"/>
      <c r="BC77" s="235"/>
      <c r="BD77" s="234"/>
      <c r="BE77" s="230"/>
      <c r="BF77" s="235"/>
      <c r="BG77" s="234"/>
      <c r="BH77" s="230"/>
      <c r="BI77" s="235"/>
      <c r="BJ77" s="234"/>
      <c r="BK77" s="230"/>
      <c r="BL77" s="235"/>
      <c r="BM77" s="234"/>
      <c r="BN77" s="230"/>
      <c r="BO77" s="235"/>
      <c r="BP77" s="234"/>
      <c r="BQ77" s="230"/>
      <c r="BR77" s="235"/>
      <c r="BS77" s="234"/>
      <c r="BT77" s="230">
        <f>IFERROR(__xludf.DUMMYFUNCTION("""COMPUTED_VALUE"""),20.20410420250676)</f>
        <v>20.2041042</v>
      </c>
      <c r="BU77" s="235">
        <f>IFERROR(__xludf.DUMMYFUNCTION("""COMPUTED_VALUE"""),25.201277955271564)</f>
        <v>25.20127796</v>
      </c>
      <c r="BV77" s="234"/>
      <c r="BW77" s="230"/>
      <c r="BX77" s="235"/>
      <c r="BY77" s="234"/>
      <c r="BZ77" s="230"/>
      <c r="CA77" s="235"/>
      <c r="CB77" s="234"/>
      <c r="CC77" s="230"/>
      <c r="CD77" s="235"/>
      <c r="CE77" s="234"/>
      <c r="CF77" s="230"/>
      <c r="CG77" s="235"/>
      <c r="CH77" s="234"/>
      <c r="CI77" s="230"/>
      <c r="CJ77" s="230"/>
      <c r="CK77" s="234"/>
      <c r="CL77" s="230"/>
      <c r="CM77" s="235"/>
      <c r="CN77" s="230"/>
      <c r="CO77" s="230"/>
      <c r="CP77" s="230"/>
      <c r="CQ77" s="234"/>
      <c r="CR77" s="230"/>
      <c r="CS77" s="230"/>
      <c r="CT77" s="234"/>
      <c r="CU77" s="230"/>
      <c r="CV77" s="230"/>
      <c r="CW77" s="234"/>
      <c r="CX77" s="230"/>
      <c r="CY77" s="235"/>
      <c r="CZ77" s="230"/>
      <c r="DA77" s="230"/>
      <c r="DB77" s="235"/>
      <c r="DC77" s="234"/>
      <c r="DD77" s="230"/>
      <c r="DE77" s="235"/>
      <c r="DF77" s="234"/>
      <c r="DG77" s="230"/>
      <c r="DH77" s="235"/>
      <c r="DI77" s="234"/>
      <c r="DJ77" s="230"/>
      <c r="DK77" s="235"/>
      <c r="DL77" s="280"/>
      <c r="DM77" s="286">
        <f>IFERROR(__xludf.DUMMYFUNCTION("""COMPUTED_VALUE"""),20.087336244541483)</f>
        <v>20.08733624</v>
      </c>
      <c r="DN77" s="282">
        <f>IFERROR(__xludf.DUMMYFUNCTION("""COMPUTED_VALUE"""),21.83406113537118)</f>
        <v>21.83406114</v>
      </c>
      <c r="DO77" s="96"/>
      <c r="DP77" s="96"/>
      <c r="DQ77" s="96"/>
      <c r="DR77" s="96"/>
      <c r="DS77" s="96"/>
      <c r="DT77" s="96"/>
      <c r="DU77" s="96"/>
    </row>
    <row r="78">
      <c r="B78" s="120" t="str">
        <f>IFERROR(__xludf.DUMMYFUNCTION("""COMPUTED_VALUE"""),"OKN2")</f>
        <v>OKN2</v>
      </c>
      <c r="C78" s="88" t="str">
        <f>IFERROR(__xludf.DUMMYFUNCTION("""COMPUTED_VALUE"""),"Pirate Island")</f>
        <v>Pirate Island</v>
      </c>
      <c r="D78" s="102">
        <f>IFERROR(__xludf.DUMMYFUNCTION("""COMPUTED_VALUE"""),13.0)</f>
        <v>13</v>
      </c>
      <c r="E78" s="82" t="b">
        <f>IFERROR(__xludf.DUMMYFUNCTION("""COMPUTED_VALUE"""),TRUE)</f>
        <v>1</v>
      </c>
      <c r="F78" s="82" t="str">
        <f>IFERROR(__xludf.DUMMYFUNCTION("""COMPUTED_VALUE"""),"Free Quests- Part 1!A431:J442")</f>
        <v>Free Quests- Part 1!A431:J442</v>
      </c>
      <c r="G78" s="82">
        <f>IFERROR(__xludf.DUMMYFUNCTION("""COMPUTED_VALUE"""),79.0)</f>
        <v>79</v>
      </c>
      <c r="H78" s="82">
        <f>IFERROR(__xludf.DUMMYFUNCTION("""COMPUTED_VALUE"""),141.0)</f>
        <v>141</v>
      </c>
      <c r="I78" s="82">
        <f>IFERROR(__xludf.DUMMYFUNCTION("""COMPUTED_VALUE"""),1260.0)</f>
        <v>1260</v>
      </c>
      <c r="J78" s="82">
        <f>IFERROR(__xludf.DUMMYFUNCTION("""COMPUTED_VALUE"""),1401.0)</f>
        <v>1401</v>
      </c>
      <c r="K78" s="234"/>
      <c r="L78" s="230"/>
      <c r="M78" s="235"/>
      <c r="N78" s="234"/>
      <c r="O78" s="230"/>
      <c r="P78" s="235"/>
      <c r="Q78" s="234"/>
      <c r="R78" s="230"/>
      <c r="S78" s="235"/>
      <c r="T78" s="234"/>
      <c r="U78" s="230"/>
      <c r="V78" s="235"/>
      <c r="W78" s="234"/>
      <c r="X78" s="230"/>
      <c r="Y78" s="235"/>
      <c r="Z78" s="234"/>
      <c r="AA78" s="230"/>
      <c r="AB78" s="235"/>
      <c r="AC78" s="234"/>
      <c r="AD78" s="230"/>
      <c r="AE78" s="235"/>
      <c r="AF78" s="234"/>
      <c r="AG78" s="230"/>
      <c r="AH78" s="235"/>
      <c r="AI78" s="234"/>
      <c r="AJ78" s="230"/>
      <c r="AK78" s="235"/>
      <c r="AL78" s="231"/>
      <c r="AM78" s="230"/>
      <c r="AN78" s="235"/>
      <c r="AO78" s="234"/>
      <c r="AP78" s="230"/>
      <c r="AQ78" s="235"/>
      <c r="AR78" s="234"/>
      <c r="AS78" s="230"/>
      <c r="AT78" s="235"/>
      <c r="AU78" s="234"/>
      <c r="AV78" s="230"/>
      <c r="AW78" s="235">
        <f>IFERROR(__xludf.DUMMYFUNCTION("""COMPUTED_VALUE"""),54.7180585296217)</f>
        <v>54.71805853</v>
      </c>
      <c r="AX78" s="234"/>
      <c r="AY78" s="230"/>
      <c r="AZ78" s="235">
        <f>IFERROR(__xludf.DUMMYFUNCTION("""COMPUTED_VALUE"""),11.413276231263383)</f>
        <v>11.41327623</v>
      </c>
      <c r="BA78" s="234"/>
      <c r="BB78" s="230"/>
      <c r="BC78" s="235"/>
      <c r="BD78" s="234"/>
      <c r="BE78" s="230"/>
      <c r="BF78" s="235"/>
      <c r="BG78" s="234"/>
      <c r="BH78" s="230"/>
      <c r="BI78" s="235"/>
      <c r="BJ78" s="234"/>
      <c r="BK78" s="230"/>
      <c r="BL78" s="235"/>
      <c r="BM78" s="234"/>
      <c r="BN78" s="230"/>
      <c r="BO78" s="235"/>
      <c r="BP78" s="234"/>
      <c r="BQ78" s="230"/>
      <c r="BR78" s="235"/>
      <c r="BS78" s="234"/>
      <c r="BT78" s="230"/>
      <c r="BU78" s="235">
        <f>IFERROR(__xludf.DUMMYFUNCTION("""COMPUTED_VALUE"""),24.64097073518915)</f>
        <v>24.64097074</v>
      </c>
      <c r="BV78" s="234"/>
      <c r="BW78" s="230"/>
      <c r="BX78" s="235"/>
      <c r="BY78" s="234"/>
      <c r="BZ78" s="230">
        <f>IFERROR(__xludf.DUMMYFUNCTION("""COMPUTED_VALUE"""),15.962883654532476)</f>
        <v>15.96288365</v>
      </c>
      <c r="CA78" s="235"/>
      <c r="CB78" s="234"/>
      <c r="CC78" s="230"/>
      <c r="CD78" s="235">
        <f>IFERROR(__xludf.DUMMYFUNCTION("""COMPUTED_VALUE"""),2.0314061384725197)</f>
        <v>2.031406138</v>
      </c>
      <c r="CE78" s="234"/>
      <c r="CF78" s="230"/>
      <c r="CG78" s="235"/>
      <c r="CH78" s="234"/>
      <c r="CI78" s="230"/>
      <c r="CJ78" s="230"/>
      <c r="CK78" s="234">
        <f>IFERROR(__xludf.DUMMYFUNCTION("""COMPUTED_VALUE"""),9.974304068522484)</f>
        <v>9.974304069</v>
      </c>
      <c r="CL78" s="230"/>
      <c r="CM78" s="235"/>
      <c r="CN78" s="230"/>
      <c r="CO78" s="230"/>
      <c r="CP78" s="230"/>
      <c r="CQ78" s="234"/>
      <c r="CR78" s="230"/>
      <c r="CS78" s="230"/>
      <c r="CT78" s="234"/>
      <c r="CU78" s="230"/>
      <c r="CV78" s="230"/>
      <c r="CW78" s="234"/>
      <c r="CX78" s="230"/>
      <c r="CY78" s="235"/>
      <c r="CZ78" s="230"/>
      <c r="DA78" s="230"/>
      <c r="DB78" s="235"/>
      <c r="DC78" s="234"/>
      <c r="DD78" s="230"/>
      <c r="DE78" s="235"/>
      <c r="DF78" s="234"/>
      <c r="DG78" s="230"/>
      <c r="DH78" s="235">
        <f>IFERROR(__xludf.DUMMYFUNCTION("""COMPUTED_VALUE"""),22.641509433962266)</f>
        <v>22.64150943</v>
      </c>
      <c r="DI78" s="234"/>
      <c r="DJ78" s="230"/>
      <c r="DK78" s="235"/>
      <c r="DL78" s="305"/>
      <c r="DM78" s="306"/>
      <c r="DN78" s="307">
        <f>IFERROR(__xludf.DUMMYFUNCTION("""COMPUTED_VALUE"""),26.41509433962264)</f>
        <v>26.41509434</v>
      </c>
      <c r="DO78" s="96"/>
      <c r="DP78" s="96"/>
      <c r="DQ78" s="96"/>
      <c r="DR78" s="96"/>
      <c r="DS78" s="96">
        <f>IFERROR(__xludf.DUMMYFUNCTION("""COMPUTED_VALUE"""),20.754716981132077)</f>
        <v>20.75471698</v>
      </c>
      <c r="DT78" s="96"/>
      <c r="DU78" s="96"/>
    </row>
    <row r="79">
      <c r="B79" s="120" t="str">
        <f>IFERROR(__xludf.DUMMYFUNCTION("""COMPUTED_VALUE"""),"OKN3")</f>
        <v>OKN3</v>
      </c>
      <c r="C79" s="88" t="str">
        <f>IFERROR(__xludf.DUMMYFUNCTION("""COMPUTED_VALUE"""),"King's Abode Island")</f>
        <v>King's Abode Island</v>
      </c>
      <c r="D79" s="102">
        <f>IFERROR(__xludf.DUMMYFUNCTION("""COMPUTED_VALUE"""),13.0)</f>
        <v>13</v>
      </c>
      <c r="E79" s="82" t="b">
        <f>IFERROR(__xludf.DUMMYFUNCTION("""COMPUTED_VALUE"""),TRUE)</f>
        <v>1</v>
      </c>
      <c r="F79" s="82" t="str">
        <f>IFERROR(__xludf.DUMMYFUNCTION("""COMPUTED_VALUE"""),"Free Quests- Part 1!A446:J457")</f>
        <v>Free Quests- Part 1!A446:J457</v>
      </c>
      <c r="G79" s="82">
        <f>IFERROR(__xludf.DUMMYFUNCTION("""COMPUTED_VALUE"""),80.0)</f>
        <v>80</v>
      </c>
      <c r="H79" s="82">
        <f>IFERROR(__xludf.DUMMYFUNCTION("""COMPUTED_VALUE"""),92.0)</f>
        <v>92</v>
      </c>
      <c r="I79" s="82">
        <f>IFERROR(__xludf.DUMMYFUNCTION("""COMPUTED_VALUE"""),1159.0)</f>
        <v>1159</v>
      </c>
      <c r="J79" s="82">
        <f>IFERROR(__xludf.DUMMYFUNCTION("""COMPUTED_VALUE"""),1251.0)</f>
        <v>1251</v>
      </c>
      <c r="K79" s="234"/>
      <c r="L79" s="230"/>
      <c r="M79" s="235"/>
      <c r="N79" s="234"/>
      <c r="O79" s="230"/>
      <c r="P79" s="235"/>
      <c r="Q79" s="234"/>
      <c r="R79" s="230"/>
      <c r="S79" s="235"/>
      <c r="T79" s="234"/>
      <c r="U79" s="230"/>
      <c r="V79" s="235"/>
      <c r="W79" s="234"/>
      <c r="X79" s="230"/>
      <c r="Y79" s="235"/>
      <c r="Z79" s="234"/>
      <c r="AA79" s="230"/>
      <c r="AB79" s="235"/>
      <c r="AC79" s="234"/>
      <c r="AD79" s="230"/>
      <c r="AE79" s="235"/>
      <c r="AF79" s="234"/>
      <c r="AG79" s="230"/>
      <c r="AH79" s="235"/>
      <c r="AI79" s="234"/>
      <c r="AJ79" s="230"/>
      <c r="AK79" s="235"/>
      <c r="AL79" s="231"/>
      <c r="AM79" s="230"/>
      <c r="AN79" s="235"/>
      <c r="AO79" s="234"/>
      <c r="AP79" s="230"/>
      <c r="AQ79" s="235"/>
      <c r="AR79" s="234"/>
      <c r="AS79" s="230"/>
      <c r="AT79" s="235"/>
      <c r="AU79" s="234"/>
      <c r="AV79" s="230"/>
      <c r="AW79" s="235">
        <f>IFERROR(__xludf.DUMMYFUNCTION("""COMPUTED_VALUE"""),27.70679456434852)</f>
        <v>27.70679456</v>
      </c>
      <c r="AX79" s="234"/>
      <c r="AY79" s="230"/>
      <c r="AZ79" s="235">
        <f>IFERROR(__xludf.DUMMYFUNCTION("""COMPUTED_VALUE"""),12.338289368505196)</f>
        <v>12.33828937</v>
      </c>
      <c r="BA79" s="234"/>
      <c r="BB79" s="230"/>
      <c r="BC79" s="235"/>
      <c r="BD79" s="234"/>
      <c r="BE79" s="230"/>
      <c r="BF79" s="235"/>
      <c r="BG79" s="234"/>
      <c r="BH79" s="230"/>
      <c r="BI79" s="235"/>
      <c r="BJ79" s="234"/>
      <c r="BK79" s="230"/>
      <c r="BL79" s="235"/>
      <c r="BM79" s="234"/>
      <c r="BN79" s="230"/>
      <c r="BO79" s="235"/>
      <c r="BP79" s="234"/>
      <c r="BQ79" s="230"/>
      <c r="BR79" s="235"/>
      <c r="BS79" s="234"/>
      <c r="BT79" s="230"/>
      <c r="BU79" s="235">
        <f>IFERROR(__xludf.DUMMYFUNCTION("""COMPUTED_VALUE"""),14.4982414068745)</f>
        <v>14.49824141</v>
      </c>
      <c r="BV79" s="234"/>
      <c r="BW79" s="230"/>
      <c r="BX79" s="235"/>
      <c r="BY79" s="234"/>
      <c r="BZ79" s="230">
        <f>IFERROR(__xludf.DUMMYFUNCTION("""COMPUTED_VALUE"""),11.112150279776179)</f>
        <v>11.11215028</v>
      </c>
      <c r="CA79" s="235"/>
      <c r="CB79" s="234"/>
      <c r="CC79" s="230"/>
      <c r="CD79" s="235"/>
      <c r="CE79" s="234"/>
      <c r="CF79" s="230"/>
      <c r="CG79" s="235">
        <f>IFERROR(__xludf.DUMMYFUNCTION("""COMPUTED_VALUE"""),1.9328537170263789)</f>
        <v>1.932853717</v>
      </c>
      <c r="CH79" s="234"/>
      <c r="CI79" s="230"/>
      <c r="CJ79" s="230"/>
      <c r="CK79" s="234"/>
      <c r="CL79" s="230"/>
      <c r="CM79" s="235"/>
      <c r="CN79" s="230">
        <f>IFERROR(__xludf.DUMMYFUNCTION("""COMPUTED_VALUE"""),11.655315747402078)</f>
        <v>11.65531575</v>
      </c>
      <c r="CO79" s="230"/>
      <c r="CP79" s="230"/>
      <c r="CQ79" s="234"/>
      <c r="CR79" s="230"/>
      <c r="CS79" s="230"/>
      <c r="CT79" s="234"/>
      <c r="CU79" s="230"/>
      <c r="CV79" s="230"/>
      <c r="CW79" s="234"/>
      <c r="CX79" s="230"/>
      <c r="CY79" s="235"/>
      <c r="CZ79" s="230"/>
      <c r="DA79" s="230"/>
      <c r="DB79" s="235"/>
      <c r="DC79" s="234"/>
      <c r="DD79" s="230"/>
      <c r="DE79" s="235"/>
      <c r="DF79" s="234"/>
      <c r="DG79" s="230"/>
      <c r="DH79" s="235"/>
      <c r="DI79" s="234"/>
      <c r="DJ79" s="230"/>
      <c r="DK79" s="235">
        <f>IFERROR(__xludf.DUMMYFUNCTION("""COMPUTED_VALUE"""),21.428571428571427)</f>
        <v>21.42857143</v>
      </c>
      <c r="DL79" s="280"/>
      <c r="DM79" s="286"/>
      <c r="DN79" s="282">
        <f>IFERROR(__xludf.DUMMYFUNCTION("""COMPUTED_VALUE"""),7.142857142857142)</f>
        <v>7.142857143</v>
      </c>
      <c r="DO79" s="96"/>
      <c r="DP79" s="96"/>
      <c r="DQ79" s="96"/>
      <c r="DR79" s="96"/>
      <c r="DS79" s="96">
        <f>IFERROR(__xludf.DUMMYFUNCTION("""COMPUTED_VALUE"""),7.142857142857142)</f>
        <v>7.142857143</v>
      </c>
      <c r="DT79" s="96"/>
      <c r="DU79" s="96"/>
    </row>
    <row r="80">
      <c r="B80" s="120" t="str">
        <f>IFERROR(__xludf.DUMMYFUNCTION("""COMPUTED_VALUE"""),"OKN4")</f>
        <v>OKN4</v>
      </c>
      <c r="C80" s="88" t="str">
        <f>IFERROR(__xludf.DUMMYFUNCTION("""COMPUTED_VALUE"""),"Mapped Island")</f>
        <v>Mapped Island</v>
      </c>
      <c r="D80" s="102">
        <f>IFERROR(__xludf.DUMMYFUNCTION("""COMPUTED_VALUE"""),13.0)</f>
        <v>13</v>
      </c>
      <c r="E80" s="82" t="b">
        <f>IFERROR(__xludf.DUMMYFUNCTION("""COMPUTED_VALUE"""),TRUE)</f>
        <v>1</v>
      </c>
      <c r="F80" s="82" t="str">
        <f>IFERROR(__xludf.DUMMYFUNCTION("""COMPUTED_VALUE"""),"Free Quests- Part 1!A461:J472")</f>
        <v>Free Quests- Part 1!A461:J472</v>
      </c>
      <c r="G80" s="82">
        <f>IFERROR(__xludf.DUMMYFUNCTION("""COMPUTED_VALUE"""),81.0)</f>
        <v>81</v>
      </c>
      <c r="H80" s="82">
        <f>IFERROR(__xludf.DUMMYFUNCTION("""COMPUTED_VALUE"""),96.0)</f>
        <v>96</v>
      </c>
      <c r="I80" s="82">
        <f>IFERROR(__xludf.DUMMYFUNCTION("""COMPUTED_VALUE"""),1836.0)</f>
        <v>1836</v>
      </c>
      <c r="J80" s="82">
        <f>IFERROR(__xludf.DUMMYFUNCTION("""COMPUTED_VALUE"""),1932.0)</f>
        <v>1932</v>
      </c>
      <c r="K80" s="234"/>
      <c r="L80" s="230"/>
      <c r="M80" s="235"/>
      <c r="N80" s="234"/>
      <c r="O80" s="230"/>
      <c r="P80" s="235"/>
      <c r="Q80" s="234"/>
      <c r="R80" s="230"/>
      <c r="S80" s="235"/>
      <c r="T80" s="234"/>
      <c r="U80" s="230"/>
      <c r="V80" s="235"/>
      <c r="W80" s="234"/>
      <c r="X80" s="230"/>
      <c r="Y80" s="235"/>
      <c r="Z80" s="234"/>
      <c r="AA80" s="230"/>
      <c r="AB80" s="235"/>
      <c r="AC80" s="234"/>
      <c r="AD80" s="230"/>
      <c r="AE80" s="235"/>
      <c r="AF80" s="234"/>
      <c r="AG80" s="230"/>
      <c r="AH80" s="235"/>
      <c r="AI80" s="234"/>
      <c r="AJ80" s="230"/>
      <c r="AK80" s="235"/>
      <c r="AL80" s="231"/>
      <c r="AM80" s="230"/>
      <c r="AN80" s="235"/>
      <c r="AO80" s="234"/>
      <c r="AP80" s="230"/>
      <c r="AQ80" s="235"/>
      <c r="AR80" s="234"/>
      <c r="AS80" s="230"/>
      <c r="AT80" s="235"/>
      <c r="AU80" s="234"/>
      <c r="AV80" s="230"/>
      <c r="AW80" s="235"/>
      <c r="AX80" s="234"/>
      <c r="AY80" s="230">
        <f>IFERROR(__xludf.DUMMYFUNCTION("""COMPUTED_VALUE"""),36.72277432712215)</f>
        <v>36.72277433</v>
      </c>
      <c r="AZ80" s="235">
        <f>IFERROR(__xludf.DUMMYFUNCTION("""COMPUTED_VALUE"""),13.009937888198756)</f>
        <v>13.00993789</v>
      </c>
      <c r="BA80" s="234"/>
      <c r="BB80" s="230"/>
      <c r="BC80" s="235"/>
      <c r="BD80" s="234"/>
      <c r="BE80" s="230"/>
      <c r="BF80" s="235"/>
      <c r="BG80" s="234"/>
      <c r="BH80" s="230"/>
      <c r="BI80" s="235"/>
      <c r="BJ80" s="234"/>
      <c r="BK80" s="230"/>
      <c r="BL80" s="235"/>
      <c r="BM80" s="234"/>
      <c r="BN80" s="230"/>
      <c r="BO80" s="235"/>
      <c r="BP80" s="234"/>
      <c r="BQ80" s="230"/>
      <c r="BR80" s="235"/>
      <c r="BS80" s="234"/>
      <c r="BT80" s="230">
        <f>IFERROR(__xludf.DUMMYFUNCTION("""COMPUTED_VALUE"""),26.865010351966873)</f>
        <v>26.86501035</v>
      </c>
      <c r="BU80" s="235">
        <f>IFERROR(__xludf.DUMMYFUNCTION("""COMPUTED_VALUE"""),16.37846790890269)</f>
        <v>16.37846791</v>
      </c>
      <c r="BV80" s="234"/>
      <c r="BW80" s="230"/>
      <c r="BX80" s="235"/>
      <c r="BY80" s="234"/>
      <c r="BZ80" s="230"/>
      <c r="CA80" s="235"/>
      <c r="CB80" s="234"/>
      <c r="CC80" s="230"/>
      <c r="CD80" s="235"/>
      <c r="CE80" s="234"/>
      <c r="CF80" s="230"/>
      <c r="CG80" s="235">
        <f>IFERROR(__xludf.DUMMYFUNCTION("""COMPUTED_VALUE"""),1.624016563146998)</f>
        <v>1.624016563</v>
      </c>
      <c r="CH80" s="234"/>
      <c r="CI80" s="230"/>
      <c r="CJ80" s="230"/>
      <c r="CK80" s="234"/>
      <c r="CL80" s="230"/>
      <c r="CM80" s="235"/>
      <c r="CN80" s="230">
        <f>IFERROR(__xludf.DUMMYFUNCTION("""COMPUTED_VALUE"""),9.390269151138716)</f>
        <v>9.390269151</v>
      </c>
      <c r="CO80" s="230"/>
      <c r="CP80" s="230"/>
      <c r="CQ80" s="234"/>
      <c r="CR80" s="230"/>
      <c r="CS80" s="230"/>
      <c r="CT80" s="234"/>
      <c r="CU80" s="230"/>
      <c r="CV80" s="230"/>
      <c r="CW80" s="234"/>
      <c r="CX80" s="230"/>
      <c r="CY80" s="235"/>
      <c r="CZ80" s="230"/>
      <c r="DA80" s="230"/>
      <c r="DB80" s="235"/>
      <c r="DC80" s="234"/>
      <c r="DD80" s="230"/>
      <c r="DE80" s="235"/>
      <c r="DF80" s="234"/>
      <c r="DG80" s="230"/>
      <c r="DH80" s="235"/>
      <c r="DI80" s="234"/>
      <c r="DJ80" s="230"/>
      <c r="DK80" s="235">
        <f>IFERROR(__xludf.DUMMYFUNCTION("""COMPUTED_VALUE"""),25.0)</f>
        <v>25</v>
      </c>
      <c r="DL80" s="305"/>
      <c r="DM80" s="306">
        <f>IFERROR(__xludf.DUMMYFUNCTION("""COMPUTED_VALUE"""),25.0)</f>
        <v>25</v>
      </c>
      <c r="DN80" s="307">
        <f>IFERROR(__xludf.DUMMYFUNCTION("""COMPUTED_VALUE"""),0.0)</f>
        <v>0</v>
      </c>
      <c r="DO80" s="96"/>
      <c r="DP80" s="96"/>
      <c r="DQ80" s="96"/>
      <c r="DR80" s="96"/>
      <c r="DS80" s="96"/>
      <c r="DT80" s="96"/>
      <c r="DU80" s="96"/>
    </row>
    <row r="81">
      <c r="B81" s="120" t="str">
        <f>IFERROR(__xludf.DUMMYFUNCTION("""COMPUTED_VALUE"""),"OKN5")</f>
        <v>OKN5</v>
      </c>
      <c r="C81" s="88" t="str">
        <f>IFERROR(__xludf.DUMMYFUNCTION("""COMPUTED_VALUE"""),"Sunken Rock Seas")</f>
        <v>Sunken Rock Seas</v>
      </c>
      <c r="D81" s="102">
        <f>IFERROR(__xludf.DUMMYFUNCTION("""COMPUTED_VALUE"""),17.0)</f>
        <v>17</v>
      </c>
      <c r="E81" s="82" t="b">
        <f>IFERROR(__xludf.DUMMYFUNCTION("""COMPUTED_VALUE"""),TRUE)</f>
        <v>1</v>
      </c>
      <c r="F81" s="82" t="str">
        <f>IFERROR(__xludf.DUMMYFUNCTION("""COMPUTED_VALUE"""),"Free Quests- Part 1!A476:J488")</f>
        <v>Free Quests- Part 1!A476:J488</v>
      </c>
      <c r="G81" s="82">
        <f>IFERROR(__xludf.DUMMYFUNCTION("""COMPUTED_VALUE"""),82.0)</f>
        <v>82</v>
      </c>
      <c r="H81" s="82">
        <f>IFERROR(__xludf.DUMMYFUNCTION("""COMPUTED_VALUE"""),835.0)</f>
        <v>835</v>
      </c>
      <c r="I81" s="82">
        <f>IFERROR(__xludf.DUMMYFUNCTION("""COMPUTED_VALUE"""),1278.0)</f>
        <v>1278</v>
      </c>
      <c r="J81" s="82">
        <f>IFERROR(__xludf.DUMMYFUNCTION("""COMPUTED_VALUE"""),2113.0)</f>
        <v>2113</v>
      </c>
      <c r="K81" s="234"/>
      <c r="L81" s="230"/>
      <c r="M81" s="235"/>
      <c r="N81" s="234"/>
      <c r="O81" s="230"/>
      <c r="P81" s="235"/>
      <c r="Q81" s="234"/>
      <c r="R81" s="230"/>
      <c r="S81" s="235"/>
      <c r="T81" s="234"/>
      <c r="U81" s="230"/>
      <c r="V81" s="235"/>
      <c r="W81" s="234"/>
      <c r="X81" s="230"/>
      <c r="Y81" s="235"/>
      <c r="Z81" s="234"/>
      <c r="AA81" s="230"/>
      <c r="AB81" s="235"/>
      <c r="AC81" s="234"/>
      <c r="AD81" s="230"/>
      <c r="AE81" s="235"/>
      <c r="AF81" s="234">
        <f>IFERROR(__xludf.DUMMYFUNCTION("""COMPUTED_VALUE"""),16.18977756743966)</f>
        <v>16.18977757</v>
      </c>
      <c r="AG81" s="230"/>
      <c r="AH81" s="235"/>
      <c r="AI81" s="234"/>
      <c r="AJ81" s="230"/>
      <c r="AK81" s="235"/>
      <c r="AL81" s="231"/>
      <c r="AM81" s="230"/>
      <c r="AN81" s="235"/>
      <c r="AO81" s="234"/>
      <c r="AP81" s="230"/>
      <c r="AQ81" s="235"/>
      <c r="AR81" s="234"/>
      <c r="AS81" s="230"/>
      <c r="AT81" s="235"/>
      <c r="AU81" s="234"/>
      <c r="AV81" s="230"/>
      <c r="AW81" s="235"/>
      <c r="AX81" s="234">
        <f>IFERROR(__xludf.DUMMYFUNCTION("""COMPUTED_VALUE"""),35.06455276857548)</f>
        <v>35.06455277</v>
      </c>
      <c r="AY81" s="230"/>
      <c r="AZ81" s="235"/>
      <c r="BA81" s="234"/>
      <c r="BB81" s="230"/>
      <c r="BC81" s="235"/>
      <c r="BD81" s="234"/>
      <c r="BE81" s="230"/>
      <c r="BF81" s="235"/>
      <c r="BG81" s="234"/>
      <c r="BH81" s="230"/>
      <c r="BI81" s="235"/>
      <c r="BJ81" s="234"/>
      <c r="BK81" s="230"/>
      <c r="BL81" s="235"/>
      <c r="BM81" s="234"/>
      <c r="BN81" s="230"/>
      <c r="BO81" s="235"/>
      <c r="BP81" s="234"/>
      <c r="BQ81" s="230">
        <f>IFERROR(__xludf.DUMMYFUNCTION("""COMPUTED_VALUE"""),21.814481779460483)</f>
        <v>21.81448178</v>
      </c>
      <c r="BR81" s="235"/>
      <c r="BS81" s="234"/>
      <c r="BT81" s="230"/>
      <c r="BU81" s="235">
        <f>IFERROR(__xludf.DUMMYFUNCTION("""COMPUTED_VALUE"""),24.69645054424988)</f>
        <v>24.69645054</v>
      </c>
      <c r="BV81" s="234"/>
      <c r="BW81" s="230"/>
      <c r="BX81" s="235">
        <f>IFERROR(__xludf.DUMMYFUNCTION("""COMPUTED_VALUE"""),16.126739233317558)</f>
        <v>16.12673923</v>
      </c>
      <c r="BY81" s="234"/>
      <c r="BZ81" s="230"/>
      <c r="CA81" s="235"/>
      <c r="CB81" s="234"/>
      <c r="CC81" s="230"/>
      <c r="CD81" s="235"/>
      <c r="CE81" s="234"/>
      <c r="CF81" s="230"/>
      <c r="CG81" s="235"/>
      <c r="CH81" s="234"/>
      <c r="CI81" s="230"/>
      <c r="CJ81" s="230"/>
      <c r="CK81" s="234"/>
      <c r="CL81" s="230"/>
      <c r="CM81" s="235"/>
      <c r="CN81" s="230"/>
      <c r="CO81" s="230"/>
      <c r="CP81" s="230"/>
      <c r="CQ81" s="234"/>
      <c r="CR81" s="230"/>
      <c r="CS81" s="230"/>
      <c r="CT81" s="234"/>
      <c r="CU81" s="230"/>
      <c r="CV81" s="230"/>
      <c r="CW81" s="234"/>
      <c r="CX81" s="230"/>
      <c r="CY81" s="235"/>
      <c r="CZ81" s="230"/>
      <c r="DA81" s="230">
        <f>IFERROR(__xludf.DUMMYFUNCTION("""COMPUTED_VALUE"""),4.3478260869565215)</f>
        <v>4.347826087</v>
      </c>
      <c r="DB81" s="235"/>
      <c r="DC81" s="234"/>
      <c r="DD81" s="230"/>
      <c r="DE81" s="235"/>
      <c r="DF81" s="234"/>
      <c r="DG81" s="230"/>
      <c r="DH81" s="235"/>
      <c r="DI81" s="234">
        <f>IFERROR(__xludf.DUMMYFUNCTION("""COMPUTED_VALUE"""),19.565217391304348)</f>
        <v>19.56521739</v>
      </c>
      <c r="DJ81" s="230"/>
      <c r="DK81" s="235"/>
      <c r="DL81" s="280"/>
      <c r="DM81" s="286"/>
      <c r="DN81" s="282">
        <f>IFERROR(__xludf.DUMMYFUNCTION("""COMPUTED_VALUE"""),22.82608695652174)</f>
        <v>22.82608696</v>
      </c>
      <c r="DO81" s="96"/>
      <c r="DP81" s="96"/>
      <c r="DQ81" s="96"/>
      <c r="DR81" s="96"/>
      <c r="DS81" s="96"/>
      <c r="DT81" s="96"/>
      <c r="DU81" s="96"/>
    </row>
    <row r="82">
      <c r="B82" s="120" t="str">
        <f>IFERROR(__xludf.DUMMYFUNCTION("""COMPUTED_VALUE"""),"OKN6")</f>
        <v>OKN6</v>
      </c>
      <c r="C82" s="88" t="str">
        <f>IFERROR(__xludf.DUMMYFUNCTION("""COMPUTED_VALUE"""),"Two-Current Sea")</f>
        <v>Two-Current Sea</v>
      </c>
      <c r="D82" s="102">
        <f>IFERROR(__xludf.DUMMYFUNCTION("""COMPUTED_VALUE"""),14.0)</f>
        <v>14</v>
      </c>
      <c r="E82" s="82" t="b">
        <f>IFERROR(__xludf.DUMMYFUNCTION("""COMPUTED_VALUE"""),TRUE)</f>
        <v>1</v>
      </c>
      <c r="F82" s="82" t="str">
        <f>IFERROR(__xludf.DUMMYFUNCTION("""COMPUTED_VALUE"""),"Free Quests- Part 1!A492:J505")</f>
        <v>Free Quests- Part 1!A492:J505</v>
      </c>
      <c r="G82" s="82">
        <f>IFERROR(__xludf.DUMMYFUNCTION("""COMPUTED_VALUE"""),83.0)</f>
        <v>83</v>
      </c>
      <c r="H82" s="82">
        <f>IFERROR(__xludf.DUMMYFUNCTION("""COMPUTED_VALUE"""),585.0)</f>
        <v>585</v>
      </c>
      <c r="I82" s="82">
        <f>IFERROR(__xludf.DUMMYFUNCTION("""COMPUTED_VALUE"""),1250.0)</f>
        <v>1250</v>
      </c>
      <c r="J82" s="82">
        <f>IFERROR(__xludf.DUMMYFUNCTION("""COMPUTED_VALUE"""),1835.0)</f>
        <v>1835</v>
      </c>
      <c r="K82" s="234"/>
      <c r="L82" s="230"/>
      <c r="M82" s="235"/>
      <c r="N82" s="234"/>
      <c r="O82" s="230"/>
      <c r="P82" s="235"/>
      <c r="Q82" s="234"/>
      <c r="R82" s="230"/>
      <c r="S82" s="235"/>
      <c r="T82" s="234"/>
      <c r="U82" s="230"/>
      <c r="V82" s="235"/>
      <c r="W82" s="234"/>
      <c r="X82" s="230"/>
      <c r="Y82" s="235"/>
      <c r="Z82" s="234"/>
      <c r="AA82" s="230"/>
      <c r="AB82" s="235"/>
      <c r="AC82" s="234"/>
      <c r="AD82" s="230"/>
      <c r="AE82" s="235">
        <f>IFERROR(__xludf.DUMMYFUNCTION("""COMPUTED_VALUE"""),12.520435967302452)</f>
        <v>12.52043597</v>
      </c>
      <c r="AF82" s="234"/>
      <c r="AG82" s="230"/>
      <c r="AH82" s="235"/>
      <c r="AI82" s="234"/>
      <c r="AJ82" s="230"/>
      <c r="AK82" s="235"/>
      <c r="AL82" s="231"/>
      <c r="AM82" s="230"/>
      <c r="AN82" s="235"/>
      <c r="AO82" s="234"/>
      <c r="AP82" s="230"/>
      <c r="AQ82" s="235"/>
      <c r="AR82" s="234"/>
      <c r="AS82" s="230"/>
      <c r="AT82" s="235"/>
      <c r="AU82" s="234"/>
      <c r="AV82" s="230"/>
      <c r="AW82" s="235">
        <f>IFERROR(__xludf.DUMMYFUNCTION("""COMPUTED_VALUE"""),25.844686648501362)</f>
        <v>25.84468665</v>
      </c>
      <c r="AX82" s="234"/>
      <c r="AY82" s="230"/>
      <c r="AZ82" s="235"/>
      <c r="BA82" s="234"/>
      <c r="BB82" s="230"/>
      <c r="BC82" s="235"/>
      <c r="BD82" s="234"/>
      <c r="BE82" s="230"/>
      <c r="BF82" s="235"/>
      <c r="BG82" s="234"/>
      <c r="BH82" s="230"/>
      <c r="BI82" s="235"/>
      <c r="BJ82" s="234"/>
      <c r="BK82" s="230"/>
      <c r="BL82" s="235"/>
      <c r="BM82" s="234"/>
      <c r="BN82" s="230"/>
      <c r="BO82" s="235"/>
      <c r="BP82" s="234"/>
      <c r="BQ82" s="230"/>
      <c r="BR82" s="235"/>
      <c r="BS82" s="234">
        <f>IFERROR(__xludf.DUMMYFUNCTION("""COMPUTED_VALUE"""),4.9727520435967305)</f>
        <v>4.972752044</v>
      </c>
      <c r="BT82" s="230"/>
      <c r="BU82" s="235">
        <f>IFERROR(__xludf.DUMMYFUNCTION("""COMPUTED_VALUE"""),18.96457765667575)</f>
        <v>18.96457766</v>
      </c>
      <c r="BV82" s="234"/>
      <c r="BW82" s="230"/>
      <c r="BX82" s="235"/>
      <c r="BY82" s="234"/>
      <c r="BZ82" s="230">
        <f>IFERROR(__xludf.DUMMYFUNCTION("""COMPUTED_VALUE"""),19.277929155313352)</f>
        <v>19.27792916</v>
      </c>
      <c r="CA82" s="235"/>
      <c r="CB82" s="234"/>
      <c r="CC82" s="230"/>
      <c r="CD82" s="235"/>
      <c r="CE82" s="234"/>
      <c r="CF82" s="230"/>
      <c r="CG82" s="235"/>
      <c r="CH82" s="234"/>
      <c r="CI82" s="230"/>
      <c r="CJ82" s="230"/>
      <c r="CK82" s="234"/>
      <c r="CL82" s="230"/>
      <c r="CM82" s="235"/>
      <c r="CN82" s="230"/>
      <c r="CO82" s="230"/>
      <c r="CP82" s="230"/>
      <c r="CQ82" s="234"/>
      <c r="CR82" s="230"/>
      <c r="CS82" s="230"/>
      <c r="CT82" s="234"/>
      <c r="CU82" s="230"/>
      <c r="CV82" s="230"/>
      <c r="CW82" s="234"/>
      <c r="CX82" s="230"/>
      <c r="CY82" s="235"/>
      <c r="CZ82" s="230"/>
      <c r="DA82" s="230"/>
      <c r="DB82" s="235"/>
      <c r="DC82" s="234"/>
      <c r="DD82" s="230"/>
      <c r="DE82" s="235"/>
      <c r="DF82" s="234"/>
      <c r="DG82" s="230"/>
      <c r="DH82" s="235"/>
      <c r="DI82" s="234"/>
      <c r="DJ82" s="230"/>
      <c r="DK82" s="235">
        <f>IFERROR(__xludf.DUMMYFUNCTION("""COMPUTED_VALUE"""),5.88235294117647)</f>
        <v>5.882352941</v>
      </c>
      <c r="DL82" s="305"/>
      <c r="DM82" s="306"/>
      <c r="DN82" s="307">
        <f>IFERROR(__xludf.DUMMYFUNCTION("""COMPUTED_VALUE"""),26.47058823529412)</f>
        <v>26.47058824</v>
      </c>
      <c r="DO82" s="96"/>
      <c r="DP82" s="96"/>
      <c r="DQ82" s="96"/>
      <c r="DR82" s="96"/>
      <c r="DS82" s="96">
        <f>IFERROR(__xludf.DUMMYFUNCTION("""COMPUTED_VALUE"""),14.705882352941178)</f>
        <v>14.70588235</v>
      </c>
      <c r="DT82" s="96"/>
      <c r="DU82" s="96"/>
    </row>
    <row r="83">
      <c r="B83" s="120" t="str">
        <f>IFERROR(__xludf.DUMMYFUNCTION("""COMPUTED_VALUE"""),"OKN7")</f>
        <v>OKN7</v>
      </c>
      <c r="C83" s="88" t="str">
        <f>IFERROR(__xludf.DUMMYFUNCTION("""COMPUTED_VALUE"""),"Island of Wyverns")</f>
        <v>Island of Wyverns</v>
      </c>
      <c r="D83" s="102">
        <f>IFERROR(__xludf.DUMMYFUNCTION("""COMPUTED_VALUE"""),14.0)</f>
        <v>14</v>
      </c>
      <c r="E83" s="82" t="b">
        <f>IFERROR(__xludf.DUMMYFUNCTION("""COMPUTED_VALUE"""),TRUE)</f>
        <v>1</v>
      </c>
      <c r="F83" s="82" t="str">
        <f>IFERROR(__xludf.DUMMYFUNCTION("""COMPUTED_VALUE"""),"Free Quests- Part 1!A509:J519")</f>
        <v>Free Quests- Part 1!A509:J519</v>
      </c>
      <c r="G83" s="82">
        <f>IFERROR(__xludf.DUMMYFUNCTION("""COMPUTED_VALUE"""),84.0)</f>
        <v>84</v>
      </c>
      <c r="H83" s="82">
        <f>IFERROR(__xludf.DUMMYFUNCTION("""COMPUTED_VALUE"""),1013.0)</f>
        <v>1013</v>
      </c>
      <c r="I83" s="82">
        <f>IFERROR(__xludf.DUMMYFUNCTION("""COMPUTED_VALUE"""),1447.0)</f>
        <v>1447</v>
      </c>
      <c r="J83" s="82">
        <f>IFERROR(__xludf.DUMMYFUNCTION("""COMPUTED_VALUE"""),2460.0)</f>
        <v>2460</v>
      </c>
      <c r="K83" s="234"/>
      <c r="L83" s="230"/>
      <c r="M83" s="235"/>
      <c r="N83" s="234"/>
      <c r="O83" s="230"/>
      <c r="P83" s="235"/>
      <c r="Q83" s="234"/>
      <c r="R83" s="230"/>
      <c r="S83" s="235"/>
      <c r="T83" s="234"/>
      <c r="U83" s="230"/>
      <c r="V83" s="235"/>
      <c r="W83" s="234"/>
      <c r="X83" s="230"/>
      <c r="Y83" s="235"/>
      <c r="Z83" s="234"/>
      <c r="AA83" s="230"/>
      <c r="AB83" s="235"/>
      <c r="AC83" s="234"/>
      <c r="AD83" s="230"/>
      <c r="AE83" s="235"/>
      <c r="AF83" s="234"/>
      <c r="AG83" s="230"/>
      <c r="AH83" s="235"/>
      <c r="AI83" s="234"/>
      <c r="AJ83" s="230"/>
      <c r="AK83" s="235"/>
      <c r="AL83" s="231"/>
      <c r="AM83" s="230"/>
      <c r="AN83" s="235"/>
      <c r="AO83" s="234"/>
      <c r="AP83" s="230"/>
      <c r="AQ83" s="235"/>
      <c r="AR83" s="234"/>
      <c r="AS83" s="230"/>
      <c r="AT83" s="235"/>
      <c r="AU83" s="234"/>
      <c r="AV83" s="230"/>
      <c r="AW83" s="235"/>
      <c r="AX83" s="234"/>
      <c r="AY83" s="230">
        <f>IFERROR(__xludf.DUMMYFUNCTION("""COMPUTED_VALUE"""),50.823780487804875)</f>
        <v>50.82378049</v>
      </c>
      <c r="AZ83" s="235"/>
      <c r="BA83" s="234"/>
      <c r="BB83" s="230"/>
      <c r="BC83" s="235"/>
      <c r="BD83" s="234"/>
      <c r="BE83" s="230"/>
      <c r="BF83" s="235"/>
      <c r="BG83" s="234"/>
      <c r="BH83" s="230"/>
      <c r="BI83" s="235"/>
      <c r="BJ83" s="234"/>
      <c r="BK83" s="230"/>
      <c r="BL83" s="235"/>
      <c r="BM83" s="234"/>
      <c r="BN83" s="230"/>
      <c r="BO83" s="235"/>
      <c r="BP83" s="234">
        <f>IFERROR(__xludf.DUMMYFUNCTION("""COMPUTED_VALUE"""),4.8516260162601625)</f>
        <v>4.851626016</v>
      </c>
      <c r="BQ83" s="230"/>
      <c r="BR83" s="235"/>
      <c r="BS83" s="234"/>
      <c r="BT83" s="230"/>
      <c r="BU83" s="235"/>
      <c r="BV83" s="234"/>
      <c r="BW83" s="230">
        <f>IFERROR(__xludf.DUMMYFUNCTION("""COMPUTED_VALUE"""),43.10134146341463)</f>
        <v>43.10134146</v>
      </c>
      <c r="BX83" s="235"/>
      <c r="BY83" s="234"/>
      <c r="BZ83" s="230"/>
      <c r="CA83" s="235"/>
      <c r="CB83" s="234"/>
      <c r="CC83" s="230"/>
      <c r="CD83" s="235"/>
      <c r="CE83" s="234"/>
      <c r="CF83" s="230"/>
      <c r="CG83" s="235"/>
      <c r="CH83" s="234"/>
      <c r="CI83" s="230"/>
      <c r="CJ83" s="230"/>
      <c r="CK83" s="234"/>
      <c r="CL83" s="230"/>
      <c r="CM83" s="235"/>
      <c r="CN83" s="230"/>
      <c r="CO83" s="230"/>
      <c r="CP83" s="230"/>
      <c r="CQ83" s="234"/>
      <c r="CR83" s="230"/>
      <c r="CS83" s="230"/>
      <c r="CT83" s="234"/>
      <c r="CU83" s="230"/>
      <c r="CV83" s="230"/>
      <c r="CW83" s="234"/>
      <c r="CX83" s="230"/>
      <c r="CY83" s="235"/>
      <c r="CZ83" s="230">
        <f>IFERROR(__xludf.DUMMYFUNCTION("""COMPUTED_VALUE"""),5.027932960893855)</f>
        <v>5.027932961</v>
      </c>
      <c r="DA83" s="230"/>
      <c r="DB83" s="235"/>
      <c r="DC83" s="234"/>
      <c r="DD83" s="230"/>
      <c r="DE83" s="235"/>
      <c r="DF83" s="234"/>
      <c r="DG83" s="230"/>
      <c r="DH83" s="235">
        <f>IFERROR(__xludf.DUMMYFUNCTION("""COMPUTED_VALUE"""),16.666666666666664)</f>
        <v>16.66666667</v>
      </c>
      <c r="DI83" s="234"/>
      <c r="DJ83" s="230"/>
      <c r="DK83" s="235"/>
      <c r="DL83" s="280"/>
      <c r="DM83" s="286"/>
      <c r="DN83" s="282"/>
      <c r="DO83" s="96"/>
      <c r="DP83" s="96">
        <f>IFERROR(__xludf.DUMMYFUNCTION("""COMPUTED_VALUE"""),17.5)</f>
        <v>17.5</v>
      </c>
      <c r="DQ83" s="96"/>
      <c r="DR83" s="96"/>
      <c r="DS83" s="96"/>
      <c r="DT83" s="96"/>
      <c r="DU83" s="96"/>
    </row>
    <row r="84">
      <c r="B84" s="120" t="str">
        <f>IFERROR(__xludf.DUMMYFUNCTION("""COMPUTED_VALUE"""),"OKN8")</f>
        <v>OKN8</v>
      </c>
      <c r="C84" s="88" t="str">
        <f>IFERROR(__xludf.DUMMYFUNCTION("""COMPUTED_VALUE"""),"Caldera Island")</f>
        <v>Caldera Island</v>
      </c>
      <c r="D84" s="102">
        <f>IFERROR(__xludf.DUMMYFUNCTION("""COMPUTED_VALUE"""),17.0)</f>
        <v>17</v>
      </c>
      <c r="E84" s="82" t="b">
        <f>IFERROR(__xludf.DUMMYFUNCTION("""COMPUTED_VALUE"""),TRUE)</f>
        <v>1</v>
      </c>
      <c r="F84" s="82" t="str">
        <f>IFERROR(__xludf.DUMMYFUNCTION("""COMPUTED_VALUE"""),"Free Quests- Part 1!A523:J532")</f>
        <v>Free Quests- Part 1!A523:J532</v>
      </c>
      <c r="G84" s="82">
        <f>IFERROR(__xludf.DUMMYFUNCTION("""COMPUTED_VALUE"""),85.0)</f>
        <v>85</v>
      </c>
      <c r="H84" s="82">
        <f>IFERROR(__xludf.DUMMYFUNCTION("""COMPUTED_VALUE"""),711.0)</f>
        <v>711</v>
      </c>
      <c r="I84" s="82">
        <f>IFERROR(__xludf.DUMMYFUNCTION("""COMPUTED_VALUE"""),1583.0)</f>
        <v>1583</v>
      </c>
      <c r="J84" s="82">
        <f>IFERROR(__xludf.DUMMYFUNCTION("""COMPUTED_VALUE"""),2294.0)</f>
        <v>2294</v>
      </c>
      <c r="K84" s="234"/>
      <c r="L84" s="230"/>
      <c r="M84" s="235"/>
      <c r="N84" s="234"/>
      <c r="O84" s="230"/>
      <c r="P84" s="235"/>
      <c r="Q84" s="234"/>
      <c r="R84" s="230"/>
      <c r="S84" s="235"/>
      <c r="T84" s="234"/>
      <c r="U84" s="230"/>
      <c r="V84" s="235"/>
      <c r="W84" s="234"/>
      <c r="X84" s="230"/>
      <c r="Y84" s="235"/>
      <c r="Z84" s="234"/>
      <c r="AA84" s="230"/>
      <c r="AB84" s="235"/>
      <c r="AC84" s="234">
        <f>IFERROR(__xludf.DUMMYFUNCTION("""COMPUTED_VALUE"""),15.58548387096774)</f>
        <v>15.58548387</v>
      </c>
      <c r="AD84" s="230"/>
      <c r="AE84" s="235"/>
      <c r="AF84" s="234"/>
      <c r="AG84" s="230"/>
      <c r="AH84" s="235"/>
      <c r="AI84" s="234"/>
      <c r="AJ84" s="230"/>
      <c r="AK84" s="235">
        <f>IFERROR(__xludf.DUMMYFUNCTION("""COMPUTED_VALUE"""),12.33831734960767)</f>
        <v>12.33831735</v>
      </c>
      <c r="AL84" s="231"/>
      <c r="AM84" s="230"/>
      <c r="AN84" s="235"/>
      <c r="AO84" s="234"/>
      <c r="AP84" s="230"/>
      <c r="AQ84" s="235"/>
      <c r="AR84" s="234"/>
      <c r="AS84" s="230"/>
      <c r="AT84" s="235"/>
      <c r="AU84" s="234"/>
      <c r="AV84" s="230"/>
      <c r="AW84" s="235"/>
      <c r="AX84" s="234"/>
      <c r="AY84" s="230"/>
      <c r="AZ84" s="235"/>
      <c r="BA84" s="234"/>
      <c r="BB84" s="230"/>
      <c r="BC84" s="235"/>
      <c r="BD84" s="234"/>
      <c r="BE84" s="230"/>
      <c r="BF84" s="235"/>
      <c r="BG84" s="234"/>
      <c r="BH84" s="230"/>
      <c r="BI84" s="235"/>
      <c r="BJ84" s="234"/>
      <c r="BK84" s="230"/>
      <c r="BL84" s="235"/>
      <c r="BM84" s="234"/>
      <c r="BN84" s="230"/>
      <c r="BO84" s="235"/>
      <c r="BP84" s="234"/>
      <c r="BQ84" s="230"/>
      <c r="BR84" s="235"/>
      <c r="BS84" s="234"/>
      <c r="BT84" s="230">
        <f>IFERROR(__xludf.DUMMYFUNCTION("""COMPUTED_VALUE"""),39.75383609415868)</f>
        <v>39.75383609</v>
      </c>
      <c r="BU84" s="235"/>
      <c r="BV84" s="234"/>
      <c r="BW84" s="230">
        <f>IFERROR(__xludf.DUMMYFUNCTION("""COMPUTED_VALUE"""),32.71081081081081)</f>
        <v>32.71081081</v>
      </c>
      <c r="BX84" s="235"/>
      <c r="BY84" s="234"/>
      <c r="BZ84" s="230"/>
      <c r="CA84" s="235"/>
      <c r="CB84" s="234"/>
      <c r="CC84" s="230"/>
      <c r="CD84" s="235"/>
      <c r="CE84" s="234"/>
      <c r="CF84" s="230"/>
      <c r="CG84" s="235"/>
      <c r="CH84" s="234"/>
      <c r="CI84" s="230"/>
      <c r="CJ84" s="230"/>
      <c r="CK84" s="234"/>
      <c r="CL84" s="230"/>
      <c r="CM84" s="235"/>
      <c r="CN84" s="230"/>
      <c r="CO84" s="230"/>
      <c r="CP84" s="230"/>
      <c r="CQ84" s="234"/>
      <c r="CR84" s="230"/>
      <c r="CS84" s="230"/>
      <c r="CT84" s="234"/>
      <c r="CU84" s="230"/>
      <c r="CV84" s="230"/>
      <c r="CW84" s="234"/>
      <c r="CX84" s="230"/>
      <c r="CY84" s="235"/>
      <c r="CZ84" s="230"/>
      <c r="DA84" s="230"/>
      <c r="DB84" s="235"/>
      <c r="DC84" s="234"/>
      <c r="DD84" s="230"/>
      <c r="DE84" s="235"/>
      <c r="DF84" s="234"/>
      <c r="DG84" s="230"/>
      <c r="DH84" s="235"/>
      <c r="DI84" s="234"/>
      <c r="DJ84" s="230"/>
      <c r="DK84" s="235"/>
      <c r="DL84" s="305"/>
      <c r="DM84" s="306">
        <f>IFERROR(__xludf.DUMMYFUNCTION("""COMPUTED_VALUE"""),38.095238095238095)</f>
        <v>38.0952381</v>
      </c>
      <c r="DN84" s="307"/>
      <c r="DO84" s="96"/>
      <c r="DP84" s="96">
        <f>IFERROR(__xludf.DUMMYFUNCTION("""COMPUTED_VALUE"""),23.809523809523807)</f>
        <v>23.80952381</v>
      </c>
      <c r="DQ84" s="96"/>
      <c r="DR84" s="96"/>
      <c r="DS84" s="96"/>
      <c r="DT84" s="96"/>
      <c r="DU84" s="96"/>
    </row>
    <row r="85">
      <c r="B85" s="120" t="str">
        <f>IFERROR(__xludf.DUMMYFUNCTION("""COMPUTED_VALUE"""),"OKN9")</f>
        <v>OKN9</v>
      </c>
      <c r="C85" s="88" t="str">
        <f>IFERROR(__xludf.DUMMYFUNCTION("""COMPUTED_VALUE"""),"Stormy Seas")</f>
        <v>Stormy Seas</v>
      </c>
      <c r="D85" s="102">
        <f>IFERROR(__xludf.DUMMYFUNCTION("""COMPUTED_VALUE"""),15.0)</f>
        <v>15</v>
      </c>
      <c r="E85" s="82" t="b">
        <f>IFERROR(__xludf.DUMMYFUNCTION("""COMPUTED_VALUE"""),TRUE)</f>
        <v>1</v>
      </c>
      <c r="F85" s="82" t="str">
        <f>IFERROR(__xludf.DUMMYFUNCTION("""COMPUTED_VALUE"""),"Free Quests- Part 1!A536:J543")</f>
        <v>Free Quests- Part 1!A536:J543</v>
      </c>
      <c r="G85" s="82">
        <f>IFERROR(__xludf.DUMMYFUNCTION("""COMPUTED_VALUE"""),86.0)</f>
        <v>86</v>
      </c>
      <c r="H85" s="82">
        <f>IFERROR(__xludf.DUMMYFUNCTION("""COMPUTED_VALUE"""),910.0)</f>
        <v>910</v>
      </c>
      <c r="I85" s="82">
        <f>IFERROR(__xludf.DUMMYFUNCTION("""COMPUTED_VALUE"""),1905.0)</f>
        <v>1905</v>
      </c>
      <c r="J85" s="82">
        <f>IFERROR(__xludf.DUMMYFUNCTION("""COMPUTED_VALUE"""),2815.0)</f>
        <v>2815</v>
      </c>
      <c r="K85" s="234"/>
      <c r="L85" s="230"/>
      <c r="M85" s="235"/>
      <c r="N85" s="234"/>
      <c r="O85" s="230"/>
      <c r="P85" s="235"/>
      <c r="Q85" s="234"/>
      <c r="R85" s="230"/>
      <c r="S85" s="235"/>
      <c r="T85" s="234"/>
      <c r="U85" s="230"/>
      <c r="V85" s="235"/>
      <c r="W85" s="234"/>
      <c r="X85" s="230"/>
      <c r="Y85" s="235"/>
      <c r="Z85" s="234"/>
      <c r="AA85" s="230"/>
      <c r="AB85" s="235"/>
      <c r="AC85" s="234"/>
      <c r="AD85" s="230">
        <f>IFERROR(__xludf.DUMMYFUNCTION("""COMPUTED_VALUE"""),20.52113676731794)</f>
        <v>20.52113677</v>
      </c>
      <c r="AE85" s="235"/>
      <c r="AF85" s="234"/>
      <c r="AG85" s="230"/>
      <c r="AH85" s="235"/>
      <c r="AI85" s="234"/>
      <c r="AJ85" s="230"/>
      <c r="AK85" s="235"/>
      <c r="AL85" s="231"/>
      <c r="AM85" s="230"/>
      <c r="AN85" s="235"/>
      <c r="AO85" s="234"/>
      <c r="AP85" s="230"/>
      <c r="AQ85" s="235"/>
      <c r="AR85" s="234"/>
      <c r="AS85" s="230"/>
      <c r="AT85" s="235"/>
      <c r="AU85" s="234"/>
      <c r="AV85" s="230"/>
      <c r="AW85" s="235"/>
      <c r="AX85" s="234"/>
      <c r="AY85" s="230"/>
      <c r="AZ85" s="235"/>
      <c r="BA85" s="234"/>
      <c r="BB85" s="230"/>
      <c r="BC85" s="235"/>
      <c r="BD85" s="234"/>
      <c r="BE85" s="230"/>
      <c r="BF85" s="235"/>
      <c r="BG85" s="234"/>
      <c r="BH85" s="230"/>
      <c r="BI85" s="235"/>
      <c r="BJ85" s="234"/>
      <c r="BK85" s="230"/>
      <c r="BL85" s="235"/>
      <c r="BM85" s="234"/>
      <c r="BN85" s="230"/>
      <c r="BO85" s="235"/>
      <c r="BP85" s="234"/>
      <c r="BQ85" s="230"/>
      <c r="BR85" s="235"/>
      <c r="BS85" s="234"/>
      <c r="BT85" s="230"/>
      <c r="BU85" s="235"/>
      <c r="BV85" s="234"/>
      <c r="BW85" s="230"/>
      <c r="BX85" s="235"/>
      <c r="BY85" s="234">
        <f>IFERROR(__xludf.DUMMYFUNCTION("""COMPUTED_VALUE"""),49.751332149200714)</f>
        <v>49.75133215</v>
      </c>
      <c r="BZ85" s="230"/>
      <c r="CA85" s="235"/>
      <c r="CB85" s="234"/>
      <c r="CC85" s="230"/>
      <c r="CD85" s="235"/>
      <c r="CE85" s="234"/>
      <c r="CF85" s="230"/>
      <c r="CG85" s="235"/>
      <c r="CH85" s="234"/>
      <c r="CI85" s="230"/>
      <c r="CJ85" s="230"/>
      <c r="CK85" s="234"/>
      <c r="CL85" s="230"/>
      <c r="CM85" s="235"/>
      <c r="CN85" s="230"/>
      <c r="CO85" s="230"/>
      <c r="CP85" s="230"/>
      <c r="CQ85" s="234"/>
      <c r="CR85" s="230"/>
      <c r="CS85" s="230"/>
      <c r="CT85" s="234"/>
      <c r="CU85" s="230"/>
      <c r="CV85" s="230"/>
      <c r="CW85" s="234"/>
      <c r="CX85" s="230"/>
      <c r="CY85" s="235"/>
      <c r="CZ85" s="230"/>
      <c r="DA85" s="230"/>
      <c r="DB85" s="235"/>
      <c r="DC85" s="234"/>
      <c r="DD85" s="230"/>
      <c r="DE85" s="235"/>
      <c r="DF85" s="234"/>
      <c r="DG85" s="230"/>
      <c r="DH85" s="235"/>
      <c r="DI85" s="234"/>
      <c r="DJ85" s="230">
        <f>IFERROR(__xludf.DUMMYFUNCTION("""COMPUTED_VALUE"""),22.22222222222222)</f>
        <v>22.22222222</v>
      </c>
      <c r="DK85" s="235"/>
      <c r="DL85" s="280"/>
      <c r="DM85" s="286"/>
      <c r="DN85" s="282"/>
      <c r="DO85" s="96"/>
      <c r="DP85" s="96"/>
      <c r="DQ85" s="96"/>
      <c r="DR85" s="96">
        <f>IFERROR(__xludf.DUMMYFUNCTION("""COMPUTED_VALUE"""),22.22222222222222)</f>
        <v>22.22222222</v>
      </c>
      <c r="DS85" s="96"/>
      <c r="DT85" s="96"/>
      <c r="DU85" s="96"/>
    </row>
    <row r="86">
      <c r="B86" s="120" t="str">
        <f>IFERROR(__xludf.DUMMYFUNCTION("""COMPUTED_VALUE"""),"OKN10")</f>
        <v>OKN10</v>
      </c>
      <c r="C86" s="88" t="str">
        <f>IFERROR(__xludf.DUMMYFUNCTION("""COMPUTED_VALUE"""),"Archipelago (Quiet Bay)")</f>
        <v>Archipelago (Quiet Bay)</v>
      </c>
      <c r="D86" s="102">
        <f>IFERROR(__xludf.DUMMYFUNCTION("""COMPUTED_VALUE"""),15.0)</f>
        <v>15</v>
      </c>
      <c r="E86" s="82" t="b">
        <f>IFERROR(__xludf.DUMMYFUNCTION("""COMPUTED_VALUE"""),TRUE)</f>
        <v>1</v>
      </c>
      <c r="F86" s="82" t="str">
        <f>IFERROR(__xludf.DUMMYFUNCTION("""COMPUTED_VALUE"""),"Free Quests- Part 1!A547:J560")</f>
        <v>Free Quests- Part 1!A547:J560</v>
      </c>
      <c r="G86" s="82">
        <f>IFERROR(__xludf.DUMMYFUNCTION("""COMPUTED_VALUE"""),87.0)</f>
        <v>87</v>
      </c>
      <c r="H86" s="82">
        <f>IFERROR(__xludf.DUMMYFUNCTION("""COMPUTED_VALUE"""),100.0)</f>
        <v>100</v>
      </c>
      <c r="I86" s="82">
        <f>IFERROR(__xludf.DUMMYFUNCTION("""COMPUTED_VALUE"""),1130.0)</f>
        <v>1130</v>
      </c>
      <c r="J86" s="82">
        <f>IFERROR(__xludf.DUMMYFUNCTION("""COMPUTED_VALUE"""),1230.0)</f>
        <v>1230</v>
      </c>
      <c r="K86" s="234"/>
      <c r="L86" s="230"/>
      <c r="M86" s="235"/>
      <c r="N86" s="234"/>
      <c r="O86" s="230"/>
      <c r="P86" s="235"/>
      <c r="Q86" s="234"/>
      <c r="R86" s="230"/>
      <c r="S86" s="235"/>
      <c r="T86" s="234"/>
      <c r="U86" s="230"/>
      <c r="V86" s="235"/>
      <c r="W86" s="234"/>
      <c r="X86" s="230"/>
      <c r="Y86" s="235"/>
      <c r="Z86" s="234"/>
      <c r="AA86" s="230"/>
      <c r="AB86" s="235"/>
      <c r="AC86" s="234"/>
      <c r="AD86" s="230"/>
      <c r="AE86" s="235"/>
      <c r="AF86" s="234"/>
      <c r="AG86" s="230"/>
      <c r="AH86" s="235"/>
      <c r="AI86" s="234"/>
      <c r="AJ86" s="230"/>
      <c r="AK86" s="235"/>
      <c r="AL86" s="231"/>
      <c r="AM86" s="230"/>
      <c r="AN86" s="235"/>
      <c r="AO86" s="234"/>
      <c r="AP86" s="230"/>
      <c r="AQ86" s="235"/>
      <c r="AR86" s="234"/>
      <c r="AS86" s="230"/>
      <c r="AT86" s="235"/>
      <c r="AU86" s="234"/>
      <c r="AV86" s="230"/>
      <c r="AW86" s="235">
        <f>IFERROR(__xludf.DUMMYFUNCTION("""COMPUTED_VALUE"""),17.900813008130083)</f>
        <v>17.90081301</v>
      </c>
      <c r="AX86" s="234"/>
      <c r="AY86" s="230">
        <f>IFERROR(__xludf.DUMMYFUNCTION("""COMPUTED_VALUE"""),13.078048780487805)</f>
        <v>13.07804878</v>
      </c>
      <c r="AZ86" s="235">
        <f>IFERROR(__xludf.DUMMYFUNCTION("""COMPUTED_VALUE"""),25.0)</f>
        <v>25</v>
      </c>
      <c r="BA86" s="234"/>
      <c r="BB86" s="230"/>
      <c r="BC86" s="235"/>
      <c r="BD86" s="234"/>
      <c r="BE86" s="230"/>
      <c r="BF86" s="235"/>
      <c r="BG86" s="234"/>
      <c r="BH86" s="230"/>
      <c r="BI86" s="235"/>
      <c r="BJ86" s="234"/>
      <c r="BK86" s="230"/>
      <c r="BL86" s="235"/>
      <c r="BM86" s="234"/>
      <c r="BN86" s="230"/>
      <c r="BO86" s="235"/>
      <c r="BP86" s="234"/>
      <c r="BQ86" s="230"/>
      <c r="BR86" s="235"/>
      <c r="BS86" s="234"/>
      <c r="BT86" s="230">
        <f>IFERROR(__xludf.DUMMYFUNCTION("""COMPUTED_VALUE"""),31.275609756097563)</f>
        <v>31.27560976</v>
      </c>
      <c r="BU86" s="235"/>
      <c r="BV86" s="234"/>
      <c r="BW86" s="230"/>
      <c r="BX86" s="235"/>
      <c r="BY86" s="234"/>
      <c r="BZ86" s="230"/>
      <c r="CA86" s="235"/>
      <c r="CB86" s="234"/>
      <c r="CC86" s="230"/>
      <c r="CD86" s="235"/>
      <c r="CE86" s="234">
        <f>IFERROR(__xludf.DUMMYFUNCTION("""COMPUTED_VALUE"""),3.0)</f>
        <v>3</v>
      </c>
      <c r="CF86" s="230"/>
      <c r="CG86" s="235">
        <f>IFERROR(__xludf.DUMMYFUNCTION("""COMPUTED_VALUE"""),2.265040650406504)</f>
        <v>2.26504065</v>
      </c>
      <c r="CH86" s="234"/>
      <c r="CI86" s="230"/>
      <c r="CJ86" s="230"/>
      <c r="CK86" s="234"/>
      <c r="CL86" s="230">
        <f>IFERROR(__xludf.DUMMYFUNCTION("""COMPUTED_VALUE"""),9.855284552845529)</f>
        <v>9.855284553</v>
      </c>
      <c r="CM86" s="235"/>
      <c r="CN86" s="230">
        <f>IFERROR(__xludf.DUMMYFUNCTION("""COMPUTED_VALUE"""),9.908130081300813)</f>
        <v>9.908130081</v>
      </c>
      <c r="CO86" s="230"/>
      <c r="CP86" s="230"/>
      <c r="CQ86" s="234"/>
      <c r="CR86" s="230"/>
      <c r="CS86" s="230"/>
      <c r="CT86" s="234"/>
      <c r="CU86" s="230"/>
      <c r="CV86" s="230"/>
      <c r="CW86" s="234"/>
      <c r="CX86" s="230"/>
      <c r="CY86" s="235"/>
      <c r="CZ86" s="230"/>
      <c r="DA86" s="230"/>
      <c r="DB86" s="235"/>
      <c r="DC86" s="234"/>
      <c r="DD86" s="230"/>
      <c r="DE86" s="235"/>
      <c r="DF86" s="234"/>
      <c r="DG86" s="230"/>
      <c r="DH86" s="235"/>
      <c r="DI86" s="234">
        <f>IFERROR(__xludf.DUMMYFUNCTION("""COMPUTED_VALUE"""),10.0)</f>
        <v>10</v>
      </c>
      <c r="DJ86" s="230"/>
      <c r="DK86" s="235">
        <f>IFERROR(__xludf.DUMMYFUNCTION("""COMPUTED_VALUE"""),40.0)</f>
        <v>40</v>
      </c>
      <c r="DL86" s="305"/>
      <c r="DM86" s="306">
        <f>IFERROR(__xludf.DUMMYFUNCTION("""COMPUTED_VALUE"""),30.0)</f>
        <v>30</v>
      </c>
      <c r="DN86" s="307"/>
      <c r="DO86" s="96"/>
      <c r="DP86" s="96"/>
      <c r="DQ86" s="96"/>
      <c r="DR86" s="96"/>
      <c r="DS86" s="96"/>
      <c r="DT86" s="96"/>
      <c r="DU86" s="96"/>
    </row>
    <row r="87">
      <c r="B87" s="120" t="str">
        <f>IFERROR(__xludf.DUMMYFUNCTION("""COMPUTED_VALUE"""),"OKN11")</f>
        <v>OKN11</v>
      </c>
      <c r="C87" s="88" t="str">
        <f>IFERROR(__xludf.DUMMYFUNCTION("""COMPUTED_VALUE"""),"Archipelago (Hidden island)")</f>
        <v>Archipelago (Hidden island)</v>
      </c>
      <c r="D87" s="102">
        <f>IFERROR(__xludf.DUMMYFUNCTION("""COMPUTED_VALUE"""),16.0)</f>
        <v>16</v>
      </c>
      <c r="E87" s="82" t="b">
        <f>IFERROR(__xludf.DUMMYFUNCTION("""COMPUTED_VALUE"""),TRUE)</f>
        <v>1</v>
      </c>
      <c r="F87" s="82" t="str">
        <f>IFERROR(__xludf.DUMMYFUNCTION("""COMPUTED_VALUE"""),"Free Quests- Part 1!A564:J574")</f>
        <v>Free Quests- Part 1!A564:J574</v>
      </c>
      <c r="G87" s="82">
        <f>IFERROR(__xludf.DUMMYFUNCTION("""COMPUTED_VALUE"""),88.0)</f>
        <v>88</v>
      </c>
      <c r="H87" s="82">
        <f>IFERROR(__xludf.DUMMYFUNCTION("""COMPUTED_VALUE"""),236.0)</f>
        <v>236</v>
      </c>
      <c r="I87" s="82">
        <f>IFERROR(__xludf.DUMMYFUNCTION("""COMPUTED_VALUE"""),1110.0)</f>
        <v>1110</v>
      </c>
      <c r="J87" s="82">
        <f>IFERROR(__xludf.DUMMYFUNCTION("""COMPUTED_VALUE"""),1346.0)</f>
        <v>1346</v>
      </c>
      <c r="K87" s="234"/>
      <c r="L87" s="230"/>
      <c r="M87" s="235"/>
      <c r="N87" s="234"/>
      <c r="O87" s="230"/>
      <c r="P87" s="235"/>
      <c r="Q87" s="234"/>
      <c r="R87" s="230"/>
      <c r="S87" s="235"/>
      <c r="T87" s="234"/>
      <c r="U87" s="230"/>
      <c r="V87" s="235"/>
      <c r="W87" s="234"/>
      <c r="X87" s="230"/>
      <c r="Y87" s="235"/>
      <c r="Z87" s="234"/>
      <c r="AA87" s="230"/>
      <c r="AB87" s="235"/>
      <c r="AC87" s="234"/>
      <c r="AD87" s="230"/>
      <c r="AE87" s="235"/>
      <c r="AF87" s="234"/>
      <c r="AG87" s="230"/>
      <c r="AH87" s="235"/>
      <c r="AI87" s="234"/>
      <c r="AJ87" s="230"/>
      <c r="AK87" s="235"/>
      <c r="AL87" s="231"/>
      <c r="AM87" s="230">
        <f>IFERROR(__xludf.DUMMYFUNCTION("""COMPUTED_VALUE"""),25.791233283803862)</f>
        <v>25.79123328</v>
      </c>
      <c r="AN87" s="235"/>
      <c r="AO87" s="234"/>
      <c r="AP87" s="230"/>
      <c r="AQ87" s="235"/>
      <c r="AR87" s="234"/>
      <c r="AS87" s="230"/>
      <c r="AT87" s="235"/>
      <c r="AU87" s="234"/>
      <c r="AV87" s="230"/>
      <c r="AW87" s="235"/>
      <c r="AX87" s="234"/>
      <c r="AY87" s="230"/>
      <c r="AZ87" s="235"/>
      <c r="BA87" s="234"/>
      <c r="BB87" s="230"/>
      <c r="BC87" s="235"/>
      <c r="BD87" s="234"/>
      <c r="BE87" s="230"/>
      <c r="BF87" s="235"/>
      <c r="BG87" s="234"/>
      <c r="BH87" s="230"/>
      <c r="BI87" s="235"/>
      <c r="BJ87" s="234"/>
      <c r="BK87" s="230"/>
      <c r="BL87" s="235"/>
      <c r="BM87" s="234">
        <f>IFERROR(__xludf.DUMMYFUNCTION("""COMPUTED_VALUE"""),5.633729569093611)</f>
        <v>5.633729569</v>
      </c>
      <c r="BN87" s="230"/>
      <c r="BO87" s="235"/>
      <c r="BP87" s="234"/>
      <c r="BQ87" s="230"/>
      <c r="BR87" s="235"/>
      <c r="BS87" s="234"/>
      <c r="BT87" s="230">
        <f>IFERROR(__xludf.DUMMYFUNCTION("""COMPUTED_VALUE"""),47.43536404160476)</f>
        <v>47.43536404</v>
      </c>
      <c r="BU87" s="235"/>
      <c r="BV87" s="234"/>
      <c r="BW87" s="230"/>
      <c r="BX87" s="235"/>
      <c r="BY87" s="234"/>
      <c r="BZ87" s="230"/>
      <c r="CA87" s="235"/>
      <c r="CB87" s="234"/>
      <c r="CC87" s="230"/>
      <c r="CD87" s="235"/>
      <c r="CE87" s="234"/>
      <c r="CF87" s="230"/>
      <c r="CG87" s="235"/>
      <c r="CH87" s="234"/>
      <c r="CI87" s="230"/>
      <c r="CJ87" s="230"/>
      <c r="CK87" s="234"/>
      <c r="CL87" s="230"/>
      <c r="CM87" s="235"/>
      <c r="CN87" s="230"/>
      <c r="CO87" s="230">
        <f>IFERROR(__xludf.DUMMYFUNCTION("""COMPUTED_VALUE"""),6.282848652090852)</f>
        <v>6.282848652</v>
      </c>
      <c r="CP87" s="230"/>
      <c r="CQ87" s="234"/>
      <c r="CR87" s="230"/>
      <c r="CS87" s="230"/>
      <c r="CT87" s="234"/>
      <c r="CU87" s="230"/>
      <c r="CV87" s="230"/>
      <c r="CW87" s="234"/>
      <c r="CX87" s="230"/>
      <c r="CY87" s="235"/>
      <c r="CZ87" s="230"/>
      <c r="DA87" s="230"/>
      <c r="DB87" s="235"/>
      <c r="DC87" s="234"/>
      <c r="DD87" s="230"/>
      <c r="DE87" s="235">
        <f>IFERROR(__xludf.DUMMYFUNCTION("""COMPUTED_VALUE"""),16.0)</f>
        <v>16</v>
      </c>
      <c r="DF87" s="234"/>
      <c r="DG87" s="230"/>
      <c r="DH87" s="235"/>
      <c r="DI87" s="234"/>
      <c r="DJ87" s="230"/>
      <c r="DK87" s="235"/>
      <c r="DL87" s="280"/>
      <c r="DM87" s="286">
        <f>IFERROR(__xludf.DUMMYFUNCTION("""COMPUTED_VALUE"""),32.0)</f>
        <v>32</v>
      </c>
      <c r="DN87" s="282"/>
      <c r="DO87" s="96"/>
      <c r="DP87" s="96"/>
      <c r="DQ87" s="96"/>
      <c r="DR87" s="96"/>
      <c r="DS87" s="96"/>
      <c r="DT87" s="96"/>
      <c r="DU87" s="96"/>
    </row>
    <row r="88">
      <c r="B88" s="120" t="str">
        <f>IFERROR(__xludf.DUMMYFUNCTION("""COMPUTED_VALUE"""),"OKN12")</f>
        <v>OKN12</v>
      </c>
      <c r="C88" s="88" t="str">
        <f>IFERROR(__xludf.DUMMYFUNCTION("""COMPUTED_VALUE"""),"Bountiful Sea")</f>
        <v>Bountiful Sea</v>
      </c>
      <c r="D88" s="102">
        <f>IFERROR(__xludf.DUMMYFUNCTION("""COMPUTED_VALUE"""),18.0)</f>
        <v>18</v>
      </c>
      <c r="E88" s="82" t="b">
        <f>IFERROR(__xludf.DUMMYFUNCTION("""COMPUTED_VALUE"""),TRUE)</f>
        <v>1</v>
      </c>
      <c r="F88" s="82" t="str">
        <f>IFERROR(__xludf.DUMMYFUNCTION("""COMPUTED_VALUE"""),"Free Quests- Part 1!A578:J591")</f>
        <v>Free Quests- Part 1!A578:J591</v>
      </c>
      <c r="G88" s="82">
        <f>IFERROR(__xludf.DUMMYFUNCTION("""COMPUTED_VALUE"""),89.0)</f>
        <v>89</v>
      </c>
      <c r="H88" s="82">
        <f>IFERROR(__xludf.DUMMYFUNCTION("""COMPUTED_VALUE"""),1213.0)</f>
        <v>1213</v>
      </c>
      <c r="I88" s="82">
        <f>IFERROR(__xludf.DUMMYFUNCTION("""COMPUTED_VALUE"""),18199.0)</f>
        <v>18199</v>
      </c>
      <c r="J88" s="82">
        <f>IFERROR(__xludf.DUMMYFUNCTION("""COMPUTED_VALUE"""),19412.0)</f>
        <v>19412</v>
      </c>
      <c r="K88" s="234"/>
      <c r="L88" s="230"/>
      <c r="M88" s="235"/>
      <c r="N88" s="234"/>
      <c r="O88" s="230"/>
      <c r="P88" s="235"/>
      <c r="Q88" s="234"/>
      <c r="R88" s="230"/>
      <c r="S88" s="235"/>
      <c r="T88" s="234"/>
      <c r="U88" s="230"/>
      <c r="V88" s="235"/>
      <c r="W88" s="234"/>
      <c r="X88" s="230"/>
      <c r="Y88" s="235"/>
      <c r="Z88" s="234"/>
      <c r="AA88" s="230"/>
      <c r="AB88" s="235"/>
      <c r="AC88" s="234">
        <f>IFERROR(__xludf.DUMMYFUNCTION("""COMPUTED_VALUE"""),30.139604368431897)</f>
        <v>30.13960437</v>
      </c>
      <c r="AD88" s="230"/>
      <c r="AE88" s="235"/>
      <c r="AF88" s="234"/>
      <c r="AG88" s="230">
        <f>IFERROR(__xludf.DUMMYFUNCTION("""COMPUTED_VALUE"""),9.4410982897177)</f>
        <v>9.44109829</v>
      </c>
      <c r="AH88" s="235"/>
      <c r="AI88" s="234"/>
      <c r="AJ88" s="230"/>
      <c r="AK88" s="235"/>
      <c r="AL88" s="231"/>
      <c r="AM88" s="230"/>
      <c r="AN88" s="235"/>
      <c r="AO88" s="234"/>
      <c r="AP88" s="230"/>
      <c r="AQ88" s="235"/>
      <c r="AR88" s="234"/>
      <c r="AS88" s="230"/>
      <c r="AT88" s="235"/>
      <c r="AU88" s="234"/>
      <c r="AV88" s="230"/>
      <c r="AW88" s="235"/>
      <c r="AX88" s="234"/>
      <c r="AY88" s="230"/>
      <c r="AZ88" s="235"/>
      <c r="BA88" s="234"/>
      <c r="BB88" s="230"/>
      <c r="BC88" s="235"/>
      <c r="BD88" s="234"/>
      <c r="BE88" s="230"/>
      <c r="BF88" s="235"/>
      <c r="BG88" s="234"/>
      <c r="BH88" s="230"/>
      <c r="BI88" s="235"/>
      <c r="BJ88" s="234"/>
      <c r="BK88" s="230"/>
      <c r="BL88" s="235"/>
      <c r="BM88" s="234"/>
      <c r="BN88" s="230">
        <f>IFERROR(__xludf.DUMMYFUNCTION("""COMPUTED_VALUE"""),9.916031320832476)</f>
        <v>9.916031321</v>
      </c>
      <c r="BO88" s="235">
        <f>IFERROR(__xludf.DUMMYFUNCTION("""COMPUTED_VALUE"""),5.054342674634246)</f>
        <v>5.054342675</v>
      </c>
      <c r="BP88" s="234"/>
      <c r="BQ88" s="230"/>
      <c r="BR88" s="235"/>
      <c r="BS88" s="234"/>
      <c r="BT88" s="230">
        <f>IFERROR(__xludf.DUMMYFUNCTION("""COMPUTED_VALUE"""),16.00061302287245)</f>
        <v>16.00061302</v>
      </c>
      <c r="BU88" s="235"/>
      <c r="BV88" s="234">
        <f>IFERROR(__xludf.DUMMYFUNCTION("""COMPUTED_VALUE"""),23.203008448382445)</f>
        <v>23.20300845</v>
      </c>
      <c r="BW88" s="230"/>
      <c r="BX88" s="235"/>
      <c r="BY88" s="234"/>
      <c r="BZ88" s="230"/>
      <c r="CA88" s="235"/>
      <c r="CB88" s="234"/>
      <c r="CC88" s="230"/>
      <c r="CD88" s="235"/>
      <c r="CE88" s="234"/>
      <c r="CF88" s="230"/>
      <c r="CG88" s="235"/>
      <c r="CH88" s="234"/>
      <c r="CI88" s="230"/>
      <c r="CJ88" s="230"/>
      <c r="CK88" s="234"/>
      <c r="CL88" s="230"/>
      <c r="CM88" s="235"/>
      <c r="CN88" s="230"/>
      <c r="CO88" s="230"/>
      <c r="CP88" s="230"/>
      <c r="CQ88" s="234"/>
      <c r="CR88" s="230"/>
      <c r="CS88" s="230"/>
      <c r="CT88" s="234"/>
      <c r="CU88" s="230"/>
      <c r="CV88" s="230"/>
      <c r="CW88" s="234"/>
      <c r="CX88" s="230"/>
      <c r="CY88" s="235"/>
      <c r="CZ88" s="230"/>
      <c r="DA88" s="230"/>
      <c r="DB88" s="235"/>
      <c r="DC88" s="234"/>
      <c r="DD88" s="230"/>
      <c r="DE88" s="235"/>
      <c r="DF88" s="234">
        <f>IFERROR(__xludf.DUMMYFUNCTION("""COMPUTED_VALUE"""),8.641975308641975)</f>
        <v>8.641975309</v>
      </c>
      <c r="DG88" s="230">
        <f>IFERROR(__xludf.DUMMYFUNCTION("""COMPUTED_VALUE"""),6.172839506172839)</f>
        <v>6.172839506</v>
      </c>
      <c r="DH88" s="235"/>
      <c r="DI88" s="234"/>
      <c r="DJ88" s="230"/>
      <c r="DK88" s="235"/>
      <c r="DL88" s="308"/>
      <c r="DM88" s="309">
        <f>IFERROR(__xludf.DUMMYFUNCTION("""COMPUTED_VALUE"""),3.7037037037037033)</f>
        <v>3.703703704</v>
      </c>
      <c r="DN88" s="310"/>
      <c r="DO88" s="96">
        <f>IFERROR(__xludf.DUMMYFUNCTION("""COMPUTED_VALUE"""),16.049382716049383)</f>
        <v>16.04938272</v>
      </c>
      <c r="DP88" s="96"/>
      <c r="DQ88" s="96"/>
      <c r="DR88" s="96"/>
      <c r="DS88" s="96"/>
      <c r="DT88" s="96"/>
      <c r="DU88" s="96"/>
    </row>
    <row r="89">
      <c r="A89" s="130" t="str">
        <f>IFERROR(__xludf.DUMMYFUNCTION("""COMPUTED_VALUE"""),"LONDON")</f>
        <v>LONDON</v>
      </c>
      <c r="B89" s="120" t="str">
        <f>IFERROR(__xludf.DUMMYFUNCTION("""COMPUTED_VALUE"""),"LDN1")</f>
        <v>LDN1</v>
      </c>
      <c r="C89" s="88" t="str">
        <f>IFERROR(__xludf.DUMMYFUNCTION("""COMPUTED_VALUE"""),"Old Street")</f>
        <v>Old Street</v>
      </c>
      <c r="D89" s="102">
        <f>IFERROR(__xludf.DUMMYFUNCTION("""COMPUTED_VALUE"""),15.0)</f>
        <v>15</v>
      </c>
      <c r="E89" s="82" t="b">
        <f>IFERROR(__xludf.DUMMYFUNCTION("""COMPUTED_VALUE"""),TRUE)</f>
        <v>1</v>
      </c>
      <c r="F89" s="82" t="str">
        <f>IFERROR(__xludf.DUMMYFUNCTION("""COMPUTED_VALUE"""),"Free Quests- Part 1!A597:J602")</f>
        <v>Free Quests- Part 1!A597:J602</v>
      </c>
      <c r="G89" s="82">
        <f>IFERROR(__xludf.DUMMYFUNCTION("""COMPUTED_VALUE"""),90.0)</f>
        <v>90</v>
      </c>
      <c r="H89" s="82">
        <f>IFERROR(__xludf.DUMMYFUNCTION("""COMPUTED_VALUE"""),71.0)</f>
        <v>71</v>
      </c>
      <c r="I89" s="82">
        <f>IFERROR(__xludf.DUMMYFUNCTION("""COMPUTED_VALUE"""),1100.0)</f>
        <v>1100</v>
      </c>
      <c r="J89" s="82">
        <f>IFERROR(__xludf.DUMMYFUNCTION("""COMPUTED_VALUE"""),1171.0)</f>
        <v>1171</v>
      </c>
      <c r="K89" s="234"/>
      <c r="L89" s="230"/>
      <c r="M89" s="235"/>
      <c r="N89" s="234"/>
      <c r="O89" s="230"/>
      <c r="P89" s="235"/>
      <c r="Q89" s="234"/>
      <c r="R89" s="230"/>
      <c r="S89" s="235"/>
      <c r="T89" s="234"/>
      <c r="U89" s="230"/>
      <c r="V89" s="235"/>
      <c r="W89" s="234"/>
      <c r="X89" s="230"/>
      <c r="Y89" s="235"/>
      <c r="Z89" s="234"/>
      <c r="AA89" s="230"/>
      <c r="AB89" s="235"/>
      <c r="AC89" s="234"/>
      <c r="AD89" s="230"/>
      <c r="AE89" s="235"/>
      <c r="AF89" s="234"/>
      <c r="AG89" s="230"/>
      <c r="AH89" s="235">
        <f>IFERROR(__xludf.DUMMYFUNCTION("""COMPUTED_VALUE"""),12.570452604611443)</f>
        <v>12.5704526</v>
      </c>
      <c r="AI89" s="234"/>
      <c r="AJ89" s="230"/>
      <c r="AK89" s="235"/>
      <c r="AL89" s="231"/>
      <c r="AM89" s="230"/>
      <c r="AN89" s="235"/>
      <c r="AO89" s="234"/>
      <c r="AP89" s="230"/>
      <c r="AQ89" s="235"/>
      <c r="AR89" s="234"/>
      <c r="AS89" s="230"/>
      <c r="AT89" s="235"/>
      <c r="AU89" s="234"/>
      <c r="AV89" s="230"/>
      <c r="AW89" s="235"/>
      <c r="AX89" s="234"/>
      <c r="AY89" s="230"/>
      <c r="AZ89" s="235"/>
      <c r="BA89" s="234"/>
      <c r="BB89" s="230"/>
      <c r="BC89" s="235"/>
      <c r="BD89" s="234"/>
      <c r="BE89" s="230"/>
      <c r="BF89" s="235"/>
      <c r="BG89" s="234"/>
      <c r="BH89" s="230"/>
      <c r="BI89" s="235"/>
      <c r="BJ89" s="234"/>
      <c r="BK89" s="230"/>
      <c r="BL89" s="235"/>
      <c r="BM89" s="234"/>
      <c r="BN89" s="230"/>
      <c r="BO89" s="235"/>
      <c r="BP89" s="234"/>
      <c r="BQ89" s="230"/>
      <c r="BR89" s="235"/>
      <c r="BS89" s="234"/>
      <c r="BT89" s="230"/>
      <c r="BU89" s="235"/>
      <c r="BV89" s="234"/>
      <c r="BW89" s="230"/>
      <c r="BX89" s="235"/>
      <c r="BY89" s="234">
        <f>IFERROR(__xludf.DUMMYFUNCTION("""COMPUTED_VALUE"""),56.66097352690009)</f>
        <v>56.66097353</v>
      </c>
      <c r="BZ89" s="230"/>
      <c r="CA89" s="235"/>
      <c r="CB89" s="234"/>
      <c r="CC89" s="230"/>
      <c r="CD89" s="235"/>
      <c r="CE89" s="234"/>
      <c r="CF89" s="230"/>
      <c r="CG89" s="235"/>
      <c r="CH89" s="234"/>
      <c r="CI89" s="230"/>
      <c r="CJ89" s="230"/>
      <c r="CK89" s="234"/>
      <c r="CL89" s="230"/>
      <c r="CM89" s="235"/>
      <c r="CN89" s="230"/>
      <c r="CO89" s="230"/>
      <c r="CP89" s="230"/>
      <c r="CQ89" s="234"/>
      <c r="CR89" s="230"/>
      <c r="CS89" s="230"/>
      <c r="CT89" s="234"/>
      <c r="CU89" s="230"/>
      <c r="CV89" s="230"/>
      <c r="CW89" s="234"/>
      <c r="CX89" s="230"/>
      <c r="CY89" s="235"/>
      <c r="CZ89" s="230"/>
      <c r="DA89" s="230"/>
      <c r="DB89" s="235"/>
      <c r="DC89" s="234"/>
      <c r="DD89" s="230"/>
      <c r="DE89" s="235"/>
      <c r="DF89" s="234"/>
      <c r="DG89" s="230"/>
      <c r="DH89" s="235"/>
      <c r="DI89" s="234"/>
      <c r="DJ89" s="230"/>
      <c r="DK89" s="235"/>
      <c r="DL89" s="280"/>
      <c r="DM89" s="286"/>
      <c r="DN89" s="282"/>
      <c r="DO89" s="96"/>
      <c r="DP89" s="96"/>
      <c r="DQ89" s="96"/>
      <c r="DR89" s="96">
        <f>IFERROR(__xludf.DUMMYFUNCTION("""COMPUTED_VALUE"""),23.076923076923077)</f>
        <v>23.07692308</v>
      </c>
      <c r="DS89" s="96"/>
      <c r="DT89" s="96"/>
      <c r="DU89" s="96"/>
    </row>
    <row r="90">
      <c r="B90" s="120" t="str">
        <f>IFERROR(__xludf.DUMMYFUNCTION("""COMPUTED_VALUE"""),"LDN2")</f>
        <v>LDN2</v>
      </c>
      <c r="C90" s="88" t="str">
        <f>IFERROR(__xludf.DUMMYFUNCTION("""COMPUTED_VALUE"""),"White Chapel")</f>
        <v>White Chapel</v>
      </c>
      <c r="D90" s="102">
        <f>IFERROR(__xludf.DUMMYFUNCTION("""COMPUTED_VALUE"""),15.0)</f>
        <v>15</v>
      </c>
      <c r="E90" s="82" t="b">
        <f>IFERROR(__xludf.DUMMYFUNCTION("""COMPUTED_VALUE"""),TRUE)</f>
        <v>1</v>
      </c>
      <c r="F90" s="82" t="str">
        <f>IFERROR(__xludf.DUMMYFUNCTION("""COMPUTED_VALUE"""),"Free Quests- Part 1!A606:J617")</f>
        <v>Free Quests- Part 1!A606:J617</v>
      </c>
      <c r="G90" s="82">
        <f>IFERROR(__xludf.DUMMYFUNCTION("""COMPUTED_VALUE"""),91.0)</f>
        <v>91</v>
      </c>
      <c r="H90" s="82">
        <f>IFERROR(__xludf.DUMMYFUNCTION("""COMPUTED_VALUE"""),58.0)</f>
        <v>58</v>
      </c>
      <c r="I90" s="82">
        <f>IFERROR(__xludf.DUMMYFUNCTION("""COMPUTED_VALUE"""),1129.0)</f>
        <v>1129</v>
      </c>
      <c r="J90" s="82">
        <f>IFERROR(__xludf.DUMMYFUNCTION("""COMPUTED_VALUE"""),1187.0)</f>
        <v>1187</v>
      </c>
      <c r="K90" s="234"/>
      <c r="L90" s="230"/>
      <c r="M90" s="235"/>
      <c r="N90" s="234"/>
      <c r="O90" s="230"/>
      <c r="P90" s="235"/>
      <c r="Q90" s="234"/>
      <c r="R90" s="230"/>
      <c r="S90" s="235"/>
      <c r="T90" s="234"/>
      <c r="U90" s="230"/>
      <c r="V90" s="235"/>
      <c r="W90" s="234"/>
      <c r="X90" s="230"/>
      <c r="Y90" s="235"/>
      <c r="Z90" s="234"/>
      <c r="AA90" s="230"/>
      <c r="AB90" s="235"/>
      <c r="AC90" s="234"/>
      <c r="AD90" s="230"/>
      <c r="AE90" s="235"/>
      <c r="AF90" s="234"/>
      <c r="AG90" s="230"/>
      <c r="AH90" s="235">
        <f>IFERROR(__xludf.DUMMYFUNCTION("""COMPUTED_VALUE"""),11.612047177759056)</f>
        <v>11.61204718</v>
      </c>
      <c r="AI90" s="234"/>
      <c r="AJ90" s="230"/>
      <c r="AK90" s="235"/>
      <c r="AL90" s="231"/>
      <c r="AM90" s="230"/>
      <c r="AN90" s="235"/>
      <c r="AO90" s="234"/>
      <c r="AP90" s="230"/>
      <c r="AQ90" s="235"/>
      <c r="AR90" s="234"/>
      <c r="AS90" s="230"/>
      <c r="AT90" s="235"/>
      <c r="AU90" s="234"/>
      <c r="AV90" s="230"/>
      <c r="AW90" s="235"/>
      <c r="AX90" s="234"/>
      <c r="AY90" s="230"/>
      <c r="AZ90" s="235">
        <f>IFERROR(__xludf.DUMMYFUNCTION("""COMPUTED_VALUE"""),10.693513058129739)</f>
        <v>10.69351306</v>
      </c>
      <c r="BA90" s="234"/>
      <c r="BB90" s="230"/>
      <c r="BC90" s="235"/>
      <c r="BD90" s="234"/>
      <c r="BE90" s="230"/>
      <c r="BF90" s="235"/>
      <c r="BG90" s="234"/>
      <c r="BH90" s="230"/>
      <c r="BI90" s="235"/>
      <c r="BJ90" s="234"/>
      <c r="BK90" s="230"/>
      <c r="BL90" s="235"/>
      <c r="BM90" s="234"/>
      <c r="BN90" s="230"/>
      <c r="BO90" s="235"/>
      <c r="BP90" s="234"/>
      <c r="BQ90" s="230"/>
      <c r="BR90" s="235">
        <f>IFERROR(__xludf.DUMMYFUNCTION("""COMPUTED_VALUE"""),4.448609941027801)</f>
        <v>4.448609941</v>
      </c>
      <c r="BS90" s="234"/>
      <c r="BT90" s="230"/>
      <c r="BU90" s="235"/>
      <c r="BV90" s="234"/>
      <c r="BW90" s="230"/>
      <c r="BX90" s="235"/>
      <c r="BY90" s="234">
        <f>IFERROR(__xludf.DUMMYFUNCTION("""COMPUTED_VALUE"""),41.58921651221567)</f>
        <v>41.58921651</v>
      </c>
      <c r="BZ90" s="230"/>
      <c r="CA90" s="235"/>
      <c r="CB90" s="234"/>
      <c r="CC90" s="230"/>
      <c r="CD90" s="235"/>
      <c r="CE90" s="234"/>
      <c r="CF90" s="230">
        <f>IFERROR(__xludf.DUMMYFUNCTION("""COMPUTED_VALUE"""),1.7074198882960465)</f>
        <v>1.707419888</v>
      </c>
      <c r="CG90" s="235"/>
      <c r="CH90" s="234"/>
      <c r="CI90" s="230"/>
      <c r="CJ90" s="230"/>
      <c r="CK90" s="234"/>
      <c r="CL90" s="230"/>
      <c r="CM90" s="235">
        <f>IFERROR(__xludf.DUMMYFUNCTION("""COMPUTED_VALUE"""),9.008040812505852)</f>
        <v>9.008040813</v>
      </c>
      <c r="CN90" s="230"/>
      <c r="CO90" s="230"/>
      <c r="CP90" s="230"/>
      <c r="CQ90" s="234"/>
      <c r="CR90" s="230"/>
      <c r="CS90" s="230"/>
      <c r="CT90" s="234"/>
      <c r="CU90" s="230"/>
      <c r="CV90" s="230"/>
      <c r="CW90" s="234"/>
      <c r="CX90" s="230"/>
      <c r="CY90" s="235"/>
      <c r="CZ90" s="230"/>
      <c r="DA90" s="230"/>
      <c r="DB90" s="235"/>
      <c r="DC90" s="234"/>
      <c r="DD90" s="230"/>
      <c r="DE90" s="235"/>
      <c r="DF90" s="234"/>
      <c r="DG90" s="230"/>
      <c r="DH90" s="235"/>
      <c r="DI90" s="234"/>
      <c r="DJ90" s="230">
        <f>IFERROR(__xludf.DUMMYFUNCTION("""COMPUTED_VALUE"""),33.33333333333333)</f>
        <v>33.33333333</v>
      </c>
      <c r="DK90" s="235"/>
      <c r="DL90" s="308"/>
      <c r="DM90" s="309"/>
      <c r="DN90" s="310"/>
      <c r="DO90" s="96"/>
      <c r="DP90" s="96"/>
      <c r="DQ90" s="96"/>
      <c r="DR90" s="96">
        <f>IFERROR(__xludf.DUMMYFUNCTION("""COMPUTED_VALUE"""),0.0)</f>
        <v>0</v>
      </c>
      <c r="DS90" s="96"/>
      <c r="DT90" s="96"/>
      <c r="DU90" s="96"/>
    </row>
    <row r="91">
      <c r="B91" s="120" t="str">
        <f>IFERROR(__xludf.DUMMYFUNCTION("""COMPUTED_VALUE"""),"LDN3")</f>
        <v>LDN3</v>
      </c>
      <c r="C91" s="88" t="str">
        <f>IFERROR(__xludf.DUMMYFUNCTION("""COMPUTED_VALUE"""),"City of London")</f>
        <v>City of London</v>
      </c>
      <c r="D91" s="102">
        <f>IFERROR(__xludf.DUMMYFUNCTION("""COMPUTED_VALUE"""),15.0)</f>
        <v>15</v>
      </c>
      <c r="E91" s="82" t="b">
        <f>IFERROR(__xludf.DUMMYFUNCTION("""COMPUTED_VALUE"""),TRUE)</f>
        <v>1</v>
      </c>
      <c r="F91" s="82" t="str">
        <f>IFERROR(__xludf.DUMMYFUNCTION("""COMPUTED_VALUE"""),"Free Quests- Part 1!A621:J626")</f>
        <v>Free Quests- Part 1!A621:J626</v>
      </c>
      <c r="G91" s="82">
        <f>IFERROR(__xludf.DUMMYFUNCTION("""COMPUTED_VALUE"""),92.0)</f>
        <v>92</v>
      </c>
      <c r="H91" s="82">
        <f>IFERROR(__xludf.DUMMYFUNCTION("""COMPUTED_VALUE"""),52.0)</f>
        <v>52</v>
      </c>
      <c r="I91" s="82">
        <f>IFERROR(__xludf.DUMMYFUNCTION("""COMPUTED_VALUE"""),1102.0)</f>
        <v>1102</v>
      </c>
      <c r="J91" s="82">
        <f>IFERROR(__xludf.DUMMYFUNCTION("""COMPUTED_VALUE"""),1154.0)</f>
        <v>1154</v>
      </c>
      <c r="K91" s="234"/>
      <c r="L91" s="230"/>
      <c r="M91" s="235"/>
      <c r="N91" s="234"/>
      <c r="O91" s="230"/>
      <c r="P91" s="235"/>
      <c r="Q91" s="234"/>
      <c r="R91" s="230"/>
      <c r="S91" s="235"/>
      <c r="T91" s="234"/>
      <c r="U91" s="230"/>
      <c r="V91" s="235"/>
      <c r="W91" s="234"/>
      <c r="X91" s="230"/>
      <c r="Y91" s="235"/>
      <c r="Z91" s="234"/>
      <c r="AA91" s="230"/>
      <c r="AB91" s="235"/>
      <c r="AC91" s="234"/>
      <c r="AD91" s="230"/>
      <c r="AE91" s="235"/>
      <c r="AF91" s="234"/>
      <c r="AG91" s="230"/>
      <c r="AH91" s="235"/>
      <c r="AI91" s="234"/>
      <c r="AJ91" s="230">
        <f>IFERROR(__xludf.DUMMYFUNCTION("""COMPUTED_VALUE"""),11.492894280762567)</f>
        <v>11.49289428</v>
      </c>
      <c r="AK91" s="235"/>
      <c r="AL91" s="231"/>
      <c r="AM91" s="230"/>
      <c r="AN91" s="235"/>
      <c r="AO91" s="234"/>
      <c r="AP91" s="230"/>
      <c r="AQ91" s="235"/>
      <c r="AR91" s="234"/>
      <c r="AS91" s="230"/>
      <c r="AT91" s="235"/>
      <c r="AU91" s="234"/>
      <c r="AV91" s="230"/>
      <c r="AW91" s="235"/>
      <c r="AX91" s="234"/>
      <c r="AY91" s="230"/>
      <c r="AZ91" s="235"/>
      <c r="BA91" s="234"/>
      <c r="BB91" s="230"/>
      <c r="BC91" s="235"/>
      <c r="BD91" s="234"/>
      <c r="BE91" s="230"/>
      <c r="BF91" s="235"/>
      <c r="BG91" s="234"/>
      <c r="BH91" s="230"/>
      <c r="BI91" s="235"/>
      <c r="BJ91" s="234"/>
      <c r="BK91" s="230"/>
      <c r="BL91" s="235"/>
      <c r="BM91" s="234"/>
      <c r="BN91" s="230"/>
      <c r="BO91" s="235"/>
      <c r="BP91" s="234"/>
      <c r="BQ91" s="230"/>
      <c r="BR91" s="235"/>
      <c r="BS91" s="234"/>
      <c r="BT91" s="230"/>
      <c r="BU91" s="235"/>
      <c r="BV91" s="234">
        <f>IFERROR(__xludf.DUMMYFUNCTION("""COMPUTED_VALUE"""),55.42720970537262)</f>
        <v>55.42720971</v>
      </c>
      <c r="BW91" s="230"/>
      <c r="BX91" s="235"/>
      <c r="BY91" s="234"/>
      <c r="BZ91" s="230"/>
      <c r="CA91" s="235"/>
      <c r="CB91" s="234"/>
      <c r="CC91" s="230"/>
      <c r="CD91" s="235"/>
      <c r="CE91" s="234"/>
      <c r="CF91" s="230"/>
      <c r="CG91" s="235"/>
      <c r="CH91" s="234"/>
      <c r="CI91" s="230"/>
      <c r="CJ91" s="230"/>
      <c r="CK91" s="234"/>
      <c r="CL91" s="230"/>
      <c r="CM91" s="235"/>
      <c r="CN91" s="230"/>
      <c r="CO91" s="230"/>
      <c r="CP91" s="230"/>
      <c r="CQ91" s="234"/>
      <c r="CR91" s="230"/>
      <c r="CS91" s="230"/>
      <c r="CT91" s="234"/>
      <c r="CU91" s="230"/>
      <c r="CV91" s="230"/>
      <c r="CW91" s="234"/>
      <c r="CX91" s="230"/>
      <c r="CY91" s="235"/>
      <c r="CZ91" s="230"/>
      <c r="DA91" s="230"/>
      <c r="DB91" s="235"/>
      <c r="DC91" s="234"/>
      <c r="DD91" s="230"/>
      <c r="DE91" s="235"/>
      <c r="DF91" s="234"/>
      <c r="DG91" s="230"/>
      <c r="DH91" s="235"/>
      <c r="DI91" s="234"/>
      <c r="DJ91" s="230"/>
      <c r="DK91" s="235"/>
      <c r="DL91" s="280"/>
      <c r="DM91" s="286"/>
      <c r="DN91" s="282"/>
      <c r="DO91" s="96">
        <f>IFERROR(__xludf.DUMMYFUNCTION("""COMPUTED_VALUE"""),0.0)</f>
        <v>0</v>
      </c>
      <c r="DP91" s="96"/>
      <c r="DQ91" s="96"/>
      <c r="DR91" s="96"/>
      <c r="DS91" s="96"/>
      <c r="DT91" s="96"/>
      <c r="DU91" s="96"/>
    </row>
    <row r="92">
      <c r="B92" s="120" t="str">
        <f>IFERROR(__xludf.DUMMYFUNCTION("""COMPUTED_VALUE"""),"LDN4")</f>
        <v>LDN4</v>
      </c>
      <c r="C92" s="88" t="str">
        <f>IFERROR(__xludf.DUMMYFUNCTION("""COMPUTED_VALUE"""),"Soho")</f>
        <v>Soho</v>
      </c>
      <c r="D92" s="102">
        <f>IFERROR(__xludf.DUMMYFUNCTION("""COMPUTED_VALUE"""),16.0)</f>
        <v>16</v>
      </c>
      <c r="E92" s="82" t="b">
        <f>IFERROR(__xludf.DUMMYFUNCTION("""COMPUTED_VALUE"""),TRUE)</f>
        <v>1</v>
      </c>
      <c r="F92" s="82" t="str">
        <f>IFERROR(__xludf.DUMMYFUNCTION("""COMPUTED_VALUE"""),"Free Quests- Part 1!A630:J648")</f>
        <v>Free Quests- Part 1!A630:J648</v>
      </c>
      <c r="G92" s="82">
        <f>IFERROR(__xludf.DUMMYFUNCTION("""COMPUTED_VALUE"""),93.0)</f>
        <v>93</v>
      </c>
      <c r="H92" s="82">
        <f>IFERROR(__xludf.DUMMYFUNCTION("""COMPUTED_VALUE"""),53.0)</f>
        <v>53</v>
      </c>
      <c r="I92" s="82">
        <f>IFERROR(__xludf.DUMMYFUNCTION("""COMPUTED_VALUE"""),1106.0)</f>
        <v>1106</v>
      </c>
      <c r="J92" s="82">
        <f>IFERROR(__xludf.DUMMYFUNCTION("""COMPUTED_VALUE"""),1159.0)</f>
        <v>1159</v>
      </c>
      <c r="K92" s="234"/>
      <c r="L92" s="230"/>
      <c r="M92" s="235"/>
      <c r="N92" s="234"/>
      <c r="O92" s="230"/>
      <c r="P92" s="235"/>
      <c r="Q92" s="234"/>
      <c r="R92" s="230"/>
      <c r="S92" s="235"/>
      <c r="T92" s="234"/>
      <c r="U92" s="230"/>
      <c r="V92" s="235"/>
      <c r="W92" s="234"/>
      <c r="X92" s="230"/>
      <c r="Y92" s="235"/>
      <c r="Z92" s="234"/>
      <c r="AA92" s="230"/>
      <c r="AB92" s="235"/>
      <c r="AC92" s="234"/>
      <c r="AD92" s="230"/>
      <c r="AE92" s="235"/>
      <c r="AF92" s="234"/>
      <c r="AG92" s="230"/>
      <c r="AH92" s="235">
        <f>IFERROR(__xludf.DUMMYFUNCTION("""COMPUTED_VALUE"""),5.793615185504746)</f>
        <v>5.793615186</v>
      </c>
      <c r="AI92" s="234"/>
      <c r="AJ92" s="230">
        <f>IFERROR(__xludf.DUMMYFUNCTION("""COMPUTED_VALUE"""),8.942709232096636)</f>
        <v>8.942709232</v>
      </c>
      <c r="AK92" s="235"/>
      <c r="AL92" s="231"/>
      <c r="AM92" s="230"/>
      <c r="AN92" s="235"/>
      <c r="AO92" s="234"/>
      <c r="AP92" s="230"/>
      <c r="AQ92" s="235"/>
      <c r="AR92" s="234"/>
      <c r="AS92" s="230"/>
      <c r="AT92" s="235"/>
      <c r="AU92" s="234"/>
      <c r="AV92" s="230"/>
      <c r="AW92" s="235"/>
      <c r="AX92" s="234"/>
      <c r="AY92" s="230"/>
      <c r="AZ92" s="235">
        <f>IFERROR(__xludf.DUMMYFUNCTION("""COMPUTED_VALUE"""),16.867126833477137)</f>
        <v>16.86712683</v>
      </c>
      <c r="BA92" s="234"/>
      <c r="BB92" s="230"/>
      <c r="BC92" s="235"/>
      <c r="BD92" s="234"/>
      <c r="BE92" s="230"/>
      <c r="BF92" s="235"/>
      <c r="BG92" s="234"/>
      <c r="BH92" s="230"/>
      <c r="BI92" s="235"/>
      <c r="BJ92" s="234"/>
      <c r="BK92" s="230"/>
      <c r="BL92" s="235"/>
      <c r="BM92" s="234"/>
      <c r="BN92" s="230"/>
      <c r="BO92" s="235">
        <f>IFERROR(__xludf.DUMMYFUNCTION("""COMPUTED_VALUE"""),4.753062985332183)</f>
        <v>4.753062985</v>
      </c>
      <c r="BP92" s="234"/>
      <c r="BQ92" s="230"/>
      <c r="BR92" s="235">
        <f>IFERROR(__xludf.DUMMYFUNCTION("""COMPUTED_VALUE"""),5.716479723899914)</f>
        <v>5.716479724</v>
      </c>
      <c r="BS92" s="234"/>
      <c r="BT92" s="230"/>
      <c r="BU92" s="235"/>
      <c r="BV92" s="234">
        <f>IFERROR(__xludf.DUMMYFUNCTION("""COMPUTED_VALUE"""),6.720448662640207)</f>
        <v>6.720448663</v>
      </c>
      <c r="BW92" s="230"/>
      <c r="BX92" s="235"/>
      <c r="BY92" s="234">
        <f>IFERROR(__xludf.DUMMYFUNCTION("""COMPUTED_VALUE"""),8.87471958584987)</f>
        <v>8.874719586</v>
      </c>
      <c r="BZ92" s="230"/>
      <c r="CA92" s="235"/>
      <c r="CB92" s="234"/>
      <c r="CC92" s="230"/>
      <c r="CD92" s="235"/>
      <c r="CE92" s="234">
        <f>IFERROR(__xludf.DUMMYFUNCTION("""COMPUTED_VALUE"""),4.916479723899913)</f>
        <v>4.916479724</v>
      </c>
      <c r="CF92" s="230"/>
      <c r="CG92" s="235"/>
      <c r="CH92" s="234"/>
      <c r="CI92" s="230"/>
      <c r="CJ92" s="230"/>
      <c r="CK92" s="234"/>
      <c r="CL92" s="230">
        <f>IFERROR(__xludf.DUMMYFUNCTION("""COMPUTED_VALUE"""),8.551855047454703)</f>
        <v>8.551855047</v>
      </c>
      <c r="CM92" s="235"/>
      <c r="CN92" s="230"/>
      <c r="CO92" s="230"/>
      <c r="CP92" s="230"/>
      <c r="CQ92" s="234"/>
      <c r="CR92" s="230"/>
      <c r="CS92" s="230"/>
      <c r="CT92" s="234"/>
      <c r="CU92" s="230"/>
      <c r="CV92" s="230"/>
      <c r="CW92" s="234"/>
      <c r="CX92" s="230"/>
      <c r="CY92" s="235">
        <f>IFERROR(__xludf.DUMMYFUNCTION("""COMPUTED_VALUE"""),0.0)</f>
        <v>0</v>
      </c>
      <c r="CZ92" s="230"/>
      <c r="DA92" s="230"/>
      <c r="DB92" s="235"/>
      <c r="DC92" s="234"/>
      <c r="DD92" s="230"/>
      <c r="DE92" s="235"/>
      <c r="DF92" s="234"/>
      <c r="DG92" s="230"/>
      <c r="DH92" s="235"/>
      <c r="DI92" s="234">
        <f>IFERROR(__xludf.DUMMYFUNCTION("""COMPUTED_VALUE"""),12.5)</f>
        <v>12.5</v>
      </c>
      <c r="DJ92" s="230"/>
      <c r="DK92" s="235"/>
      <c r="DL92" s="308"/>
      <c r="DM92" s="309"/>
      <c r="DN92" s="310"/>
      <c r="DO92" s="96">
        <f>IFERROR(__xludf.DUMMYFUNCTION("""COMPUTED_VALUE"""),12.5)</f>
        <v>12.5</v>
      </c>
      <c r="DP92" s="96"/>
      <c r="DQ92" s="96"/>
      <c r="DR92" s="96">
        <f>IFERROR(__xludf.DUMMYFUNCTION("""COMPUTED_VALUE"""),0.0)</f>
        <v>0</v>
      </c>
      <c r="DS92" s="96"/>
      <c r="DT92" s="96"/>
      <c r="DU92" s="96"/>
    </row>
    <row r="93">
      <c r="B93" s="120" t="str">
        <f>IFERROR(__xludf.DUMMYFUNCTION("""COMPUTED_VALUE"""),"LDN5")</f>
        <v>LDN5</v>
      </c>
      <c r="C93" s="88" t="str">
        <f>IFERROR(__xludf.DUMMYFUNCTION("""COMPUTED_VALUE"""),"Westminster")</f>
        <v>Westminster</v>
      </c>
      <c r="D93" s="102">
        <f>IFERROR(__xludf.DUMMYFUNCTION("""COMPUTED_VALUE"""),16.0)</f>
        <v>16</v>
      </c>
      <c r="E93" s="82" t="b">
        <f>IFERROR(__xludf.DUMMYFUNCTION("""COMPUTED_VALUE"""),TRUE)</f>
        <v>1</v>
      </c>
      <c r="F93" s="82" t="str">
        <f>IFERROR(__xludf.DUMMYFUNCTION("""COMPUTED_VALUE"""),"Free Quests- Part 1!A652:J664")</f>
        <v>Free Quests- Part 1!A652:J664</v>
      </c>
      <c r="G93" s="82">
        <f>IFERROR(__xludf.DUMMYFUNCTION("""COMPUTED_VALUE"""),94.0)</f>
        <v>94</v>
      </c>
      <c r="H93" s="82">
        <f>IFERROR(__xludf.DUMMYFUNCTION("""COMPUTED_VALUE"""),54.0)</f>
        <v>54</v>
      </c>
      <c r="I93" s="82">
        <f>IFERROR(__xludf.DUMMYFUNCTION("""COMPUTED_VALUE"""),1113.0)</f>
        <v>1113</v>
      </c>
      <c r="J93" s="82">
        <f>IFERROR(__xludf.DUMMYFUNCTION("""COMPUTED_VALUE"""),1167.0)</f>
        <v>1167</v>
      </c>
      <c r="K93" s="234"/>
      <c r="L93" s="230"/>
      <c r="M93" s="235"/>
      <c r="N93" s="234"/>
      <c r="O93" s="230"/>
      <c r="P93" s="235"/>
      <c r="Q93" s="234"/>
      <c r="R93" s="230"/>
      <c r="S93" s="235"/>
      <c r="T93" s="234"/>
      <c r="U93" s="230"/>
      <c r="V93" s="235"/>
      <c r="W93" s="234"/>
      <c r="X93" s="230"/>
      <c r="Y93" s="235"/>
      <c r="Z93" s="234"/>
      <c r="AA93" s="230"/>
      <c r="AB93" s="235"/>
      <c r="AC93" s="234"/>
      <c r="AD93" s="230"/>
      <c r="AE93" s="235"/>
      <c r="AF93" s="234"/>
      <c r="AG93" s="230"/>
      <c r="AH93" s="235"/>
      <c r="AI93" s="234"/>
      <c r="AJ93" s="230">
        <f>IFERROR(__xludf.DUMMYFUNCTION("""COMPUTED_VALUE"""),12.12056555269923)</f>
        <v>12.12056555</v>
      </c>
      <c r="AK93" s="235"/>
      <c r="AL93" s="231"/>
      <c r="AM93" s="230"/>
      <c r="AN93" s="235"/>
      <c r="AO93" s="234"/>
      <c r="AP93" s="230"/>
      <c r="AQ93" s="235"/>
      <c r="AR93" s="234"/>
      <c r="AS93" s="230"/>
      <c r="AT93" s="235"/>
      <c r="AU93" s="234"/>
      <c r="AV93" s="230"/>
      <c r="AW93" s="235"/>
      <c r="AX93" s="234"/>
      <c r="AY93" s="230"/>
      <c r="AZ93" s="235">
        <f>IFERROR(__xludf.DUMMYFUNCTION("""COMPUTED_VALUE"""),15.191859468723223)</f>
        <v>15.19185947</v>
      </c>
      <c r="BA93" s="234"/>
      <c r="BB93" s="230"/>
      <c r="BC93" s="235"/>
      <c r="BD93" s="234"/>
      <c r="BE93" s="230"/>
      <c r="BF93" s="235"/>
      <c r="BG93" s="234"/>
      <c r="BH93" s="230"/>
      <c r="BI93" s="235"/>
      <c r="BJ93" s="234"/>
      <c r="BK93" s="230"/>
      <c r="BL93" s="235"/>
      <c r="BM93" s="234"/>
      <c r="BN93" s="230"/>
      <c r="BO93" s="235">
        <f>IFERROR(__xludf.DUMMYFUNCTION("""COMPUTED_VALUE"""),3.414053127677806)</f>
        <v>3.414053128</v>
      </c>
      <c r="BP93" s="234"/>
      <c r="BQ93" s="230"/>
      <c r="BR93" s="235"/>
      <c r="BS93" s="234"/>
      <c r="BT93" s="230"/>
      <c r="BU93" s="235"/>
      <c r="BV93" s="234">
        <f>IFERROR(__xludf.DUMMYFUNCTION("""COMPUTED_VALUE"""),26.054670094258785)</f>
        <v>26.05467009</v>
      </c>
      <c r="BW93" s="230"/>
      <c r="BX93" s="235"/>
      <c r="BY93" s="234"/>
      <c r="BZ93" s="230"/>
      <c r="CA93" s="235"/>
      <c r="CB93" s="234"/>
      <c r="CC93" s="230"/>
      <c r="CD93" s="235"/>
      <c r="CE93" s="234">
        <f>IFERROR(__xludf.DUMMYFUNCTION("""COMPUTED_VALUE"""),4.644215938303342)</f>
        <v>4.644215938</v>
      </c>
      <c r="CF93" s="230"/>
      <c r="CG93" s="235"/>
      <c r="CH93" s="234"/>
      <c r="CI93" s="230"/>
      <c r="CJ93" s="230"/>
      <c r="CK93" s="234"/>
      <c r="CL93" s="230">
        <f>IFERROR(__xludf.DUMMYFUNCTION("""COMPUTED_VALUE"""),9.469494430162811)</f>
        <v>9.46949443</v>
      </c>
      <c r="CM93" s="235"/>
      <c r="CN93" s="230"/>
      <c r="CO93" s="230"/>
      <c r="CP93" s="230"/>
      <c r="CQ93" s="234"/>
      <c r="CR93" s="230"/>
      <c r="CS93" s="230"/>
      <c r="CT93" s="234"/>
      <c r="CU93" s="230"/>
      <c r="CV93" s="230"/>
      <c r="CW93" s="234"/>
      <c r="CX93" s="230"/>
      <c r="CY93" s="235">
        <f>IFERROR(__xludf.DUMMYFUNCTION("""COMPUTED_VALUE"""),14.285714285714285)</f>
        <v>14.28571429</v>
      </c>
      <c r="CZ93" s="230"/>
      <c r="DA93" s="230"/>
      <c r="DB93" s="235"/>
      <c r="DC93" s="234"/>
      <c r="DD93" s="230"/>
      <c r="DE93" s="235"/>
      <c r="DF93" s="234"/>
      <c r="DG93" s="230"/>
      <c r="DH93" s="235"/>
      <c r="DI93" s="234">
        <f>IFERROR(__xludf.DUMMYFUNCTION("""COMPUTED_VALUE"""),14.285714285714285)</f>
        <v>14.28571429</v>
      </c>
      <c r="DJ93" s="230"/>
      <c r="DK93" s="235"/>
      <c r="DL93" s="280"/>
      <c r="DM93" s="286"/>
      <c r="DN93" s="282"/>
      <c r="DO93" s="96">
        <f>IFERROR(__xludf.DUMMYFUNCTION("""COMPUTED_VALUE"""),14.285714285714285)</f>
        <v>14.28571429</v>
      </c>
      <c r="DP93" s="96"/>
      <c r="DQ93" s="96"/>
      <c r="DR93" s="96"/>
      <c r="DS93" s="96"/>
      <c r="DT93" s="96"/>
      <c r="DU93" s="96"/>
    </row>
    <row r="94">
      <c r="B94" s="120" t="str">
        <f>IFERROR(__xludf.DUMMYFUNCTION("""COMPUTED_VALUE"""),"LDN6")</f>
        <v>LDN6</v>
      </c>
      <c r="C94" s="88" t="str">
        <f>IFERROR(__xludf.DUMMYFUNCTION("""COMPUTED_VALUE"""),"Regent Park")</f>
        <v>Regent Park</v>
      </c>
      <c r="D94" s="102">
        <f>IFERROR(__xludf.DUMMYFUNCTION("""COMPUTED_VALUE"""),16.0)</f>
        <v>16</v>
      </c>
      <c r="E94" s="82" t="b">
        <f>IFERROR(__xludf.DUMMYFUNCTION("""COMPUTED_VALUE"""),TRUE)</f>
        <v>1</v>
      </c>
      <c r="F94" s="82" t="str">
        <f>IFERROR(__xludf.DUMMYFUNCTION("""COMPUTED_VALUE"""),"Free Quests- Part 1!A668:J678")</f>
        <v>Free Quests- Part 1!A668:J678</v>
      </c>
      <c r="G94" s="82">
        <f>IFERROR(__xludf.DUMMYFUNCTION("""COMPUTED_VALUE"""),95.0)</f>
        <v>95</v>
      </c>
      <c r="H94" s="82">
        <f>IFERROR(__xludf.DUMMYFUNCTION("""COMPUTED_VALUE"""),58.0)</f>
        <v>58</v>
      </c>
      <c r="I94" s="82">
        <f>IFERROR(__xludf.DUMMYFUNCTION("""COMPUTED_VALUE"""),1100.0)</f>
        <v>1100</v>
      </c>
      <c r="J94" s="82">
        <f>IFERROR(__xludf.DUMMYFUNCTION("""COMPUTED_VALUE"""),1158.0)</f>
        <v>1158</v>
      </c>
      <c r="K94" s="234"/>
      <c r="L94" s="230"/>
      <c r="M94" s="235"/>
      <c r="N94" s="234"/>
      <c r="O94" s="230"/>
      <c r="P94" s="235"/>
      <c r="Q94" s="234"/>
      <c r="R94" s="230"/>
      <c r="S94" s="235"/>
      <c r="T94" s="234"/>
      <c r="U94" s="230"/>
      <c r="V94" s="235"/>
      <c r="W94" s="234"/>
      <c r="X94" s="230"/>
      <c r="Y94" s="235"/>
      <c r="Z94" s="234"/>
      <c r="AA94" s="230"/>
      <c r="AB94" s="235"/>
      <c r="AC94" s="234"/>
      <c r="AD94" s="230"/>
      <c r="AE94" s="235"/>
      <c r="AF94" s="234"/>
      <c r="AG94" s="230"/>
      <c r="AH94" s="235">
        <f>IFERROR(__xludf.DUMMYFUNCTION("""COMPUTED_VALUE"""),9.844559585492227)</f>
        <v>9.844559585</v>
      </c>
      <c r="AI94" s="234">
        <f>IFERROR(__xludf.DUMMYFUNCTION("""COMPUTED_VALUE"""),4.455958549222798)</f>
        <v>4.455958549</v>
      </c>
      <c r="AJ94" s="230"/>
      <c r="AK94" s="235"/>
      <c r="AL94" s="231"/>
      <c r="AM94" s="230"/>
      <c r="AN94" s="235"/>
      <c r="AO94" s="234"/>
      <c r="AP94" s="230"/>
      <c r="AQ94" s="235"/>
      <c r="AR94" s="234"/>
      <c r="AS94" s="230"/>
      <c r="AT94" s="235"/>
      <c r="AU94" s="234"/>
      <c r="AV94" s="230"/>
      <c r="AW94" s="235"/>
      <c r="AX94" s="234"/>
      <c r="AY94" s="230"/>
      <c r="AZ94" s="235"/>
      <c r="BA94" s="234"/>
      <c r="BB94" s="230"/>
      <c r="BC94" s="235"/>
      <c r="BD94" s="234"/>
      <c r="BE94" s="230"/>
      <c r="BF94" s="235"/>
      <c r="BG94" s="234"/>
      <c r="BH94" s="230"/>
      <c r="BI94" s="235"/>
      <c r="BJ94" s="234"/>
      <c r="BK94" s="230"/>
      <c r="BL94" s="235"/>
      <c r="BM94" s="234">
        <f>IFERROR(__xludf.DUMMYFUNCTION("""COMPUTED_VALUE"""),5.690846286701209)</f>
        <v>5.690846287</v>
      </c>
      <c r="BN94" s="230"/>
      <c r="BO94" s="235"/>
      <c r="BP94" s="234"/>
      <c r="BQ94" s="230"/>
      <c r="BR94" s="235"/>
      <c r="BS94" s="234"/>
      <c r="BT94" s="230">
        <f>IFERROR(__xludf.DUMMYFUNCTION("""COMPUTED_VALUE"""),22.70293609671848)</f>
        <v>22.7029361</v>
      </c>
      <c r="BU94" s="235"/>
      <c r="BV94" s="234"/>
      <c r="BW94" s="230"/>
      <c r="BX94" s="235">
        <f>IFERROR(__xludf.DUMMYFUNCTION("""COMPUTED_VALUE"""),21.873920552677028)</f>
        <v>21.87392055</v>
      </c>
      <c r="BY94" s="234"/>
      <c r="BZ94" s="230"/>
      <c r="CA94" s="235"/>
      <c r="CB94" s="234"/>
      <c r="CC94" s="230"/>
      <c r="CD94" s="235"/>
      <c r="CE94" s="234"/>
      <c r="CF94" s="230"/>
      <c r="CG94" s="235"/>
      <c r="CH94" s="234"/>
      <c r="CI94" s="230"/>
      <c r="CJ94" s="230"/>
      <c r="CK94" s="234"/>
      <c r="CL94" s="230"/>
      <c r="CM94" s="235"/>
      <c r="CN94" s="230"/>
      <c r="CO94" s="230"/>
      <c r="CP94" s="230"/>
      <c r="CQ94" s="234"/>
      <c r="CR94" s="230"/>
      <c r="CS94" s="230"/>
      <c r="CT94" s="234"/>
      <c r="CU94" s="230"/>
      <c r="CV94" s="230"/>
      <c r="CW94" s="234"/>
      <c r="CX94" s="230"/>
      <c r="CY94" s="235"/>
      <c r="CZ94" s="230"/>
      <c r="DA94" s="230"/>
      <c r="DB94" s="235"/>
      <c r="DC94" s="234"/>
      <c r="DD94" s="230"/>
      <c r="DE94" s="235"/>
      <c r="DF94" s="234"/>
      <c r="DG94" s="230"/>
      <c r="DH94" s="235"/>
      <c r="DI94" s="234"/>
      <c r="DJ94" s="230"/>
      <c r="DK94" s="235"/>
      <c r="DL94" s="308"/>
      <c r="DM94" s="309">
        <f>IFERROR(__xludf.DUMMYFUNCTION("""COMPUTED_VALUE"""),28.57142857142857)</f>
        <v>28.57142857</v>
      </c>
      <c r="DN94" s="310"/>
      <c r="DO94" s="96"/>
      <c r="DP94" s="96"/>
      <c r="DQ94" s="96">
        <f>IFERROR(__xludf.DUMMYFUNCTION("""COMPUTED_VALUE"""),42.857142857142854)</f>
        <v>42.85714286</v>
      </c>
      <c r="DR94" s="96"/>
      <c r="DS94" s="96"/>
      <c r="DT94" s="96"/>
      <c r="DU94" s="96"/>
    </row>
    <row r="95">
      <c r="B95" s="120" t="str">
        <f>IFERROR(__xludf.DUMMYFUNCTION("""COMPUTED_VALUE"""),"LDN7")</f>
        <v>LDN7</v>
      </c>
      <c r="C95" s="88" t="str">
        <f>IFERROR(__xludf.DUMMYFUNCTION("""COMPUTED_VALUE"""),"Clerkenwell")</f>
        <v>Clerkenwell</v>
      </c>
      <c r="D95" s="102">
        <f>IFERROR(__xludf.DUMMYFUNCTION("""COMPUTED_VALUE"""),18.0)</f>
        <v>18</v>
      </c>
      <c r="E95" s="82" t="b">
        <f>IFERROR(__xludf.DUMMYFUNCTION("""COMPUTED_VALUE"""),TRUE)</f>
        <v>1</v>
      </c>
      <c r="F95" s="82" t="str">
        <f>IFERROR(__xludf.DUMMYFUNCTION("""COMPUTED_VALUE"""),"Free Quests- Part 1!A682:J696")</f>
        <v>Free Quests- Part 1!A682:J696</v>
      </c>
      <c r="G95" s="82">
        <f>IFERROR(__xludf.DUMMYFUNCTION("""COMPUTED_VALUE"""),96.0)</f>
        <v>96</v>
      </c>
      <c r="H95" s="82">
        <f>IFERROR(__xludf.DUMMYFUNCTION("""COMPUTED_VALUE"""),466.0)</f>
        <v>466</v>
      </c>
      <c r="I95" s="82">
        <f>IFERROR(__xludf.DUMMYFUNCTION("""COMPUTED_VALUE"""),4808.0)</f>
        <v>4808</v>
      </c>
      <c r="J95" s="82">
        <f>IFERROR(__xludf.DUMMYFUNCTION("""COMPUTED_VALUE"""),5274.0)</f>
        <v>5274</v>
      </c>
      <c r="K95" s="234"/>
      <c r="L95" s="230"/>
      <c r="M95" s="235"/>
      <c r="N95" s="234"/>
      <c r="O95" s="230"/>
      <c r="P95" s="235"/>
      <c r="Q95" s="234"/>
      <c r="R95" s="230"/>
      <c r="S95" s="235"/>
      <c r="T95" s="234"/>
      <c r="U95" s="230"/>
      <c r="V95" s="235"/>
      <c r="W95" s="234"/>
      <c r="X95" s="230"/>
      <c r="Y95" s="235"/>
      <c r="Z95" s="234"/>
      <c r="AA95" s="230"/>
      <c r="AB95" s="235"/>
      <c r="AC95" s="234"/>
      <c r="AD95" s="230"/>
      <c r="AE95" s="235"/>
      <c r="AF95" s="234"/>
      <c r="AG95" s="230"/>
      <c r="AH95" s="235">
        <f>IFERROR(__xludf.DUMMYFUNCTION("""COMPUTED_VALUE"""),24.880394387561626)</f>
        <v>24.88039439</v>
      </c>
      <c r="AI95" s="234"/>
      <c r="AJ95" s="230"/>
      <c r="AK95" s="235"/>
      <c r="AL95" s="231"/>
      <c r="AM95" s="230"/>
      <c r="AN95" s="235"/>
      <c r="AO95" s="234"/>
      <c r="AP95" s="230"/>
      <c r="AQ95" s="235"/>
      <c r="AR95" s="234"/>
      <c r="AS95" s="230"/>
      <c r="AT95" s="235"/>
      <c r="AU95" s="234"/>
      <c r="AV95" s="230"/>
      <c r="AW95" s="235"/>
      <c r="AX95" s="234">
        <f>IFERROR(__xludf.DUMMYFUNCTION("""COMPUTED_VALUE"""),34.86901782328403)</f>
        <v>34.86901782</v>
      </c>
      <c r="AY95" s="230"/>
      <c r="AZ95" s="235"/>
      <c r="BA95" s="234"/>
      <c r="BB95" s="230"/>
      <c r="BC95" s="235"/>
      <c r="BD95" s="234"/>
      <c r="BE95" s="230"/>
      <c r="BF95" s="235"/>
      <c r="BG95" s="234"/>
      <c r="BH95" s="230"/>
      <c r="BI95" s="235"/>
      <c r="BJ95" s="234"/>
      <c r="BK95" s="230">
        <f>IFERROR(__xludf.DUMMYFUNCTION("""COMPUTED_VALUE"""),2.962457337883959)</f>
        <v>2.962457338</v>
      </c>
      <c r="BL95" s="235"/>
      <c r="BM95" s="234"/>
      <c r="BN95" s="230"/>
      <c r="BO95" s="235"/>
      <c r="BP95" s="234"/>
      <c r="BQ95" s="230"/>
      <c r="BR95" s="235">
        <f>IFERROR(__xludf.DUMMYFUNCTION("""COMPUTED_VALUE"""),15.089419795221842)</f>
        <v>15.0894198</v>
      </c>
      <c r="BS95" s="234"/>
      <c r="BT95" s="230">
        <f>IFERROR(__xludf.DUMMYFUNCTION("""COMPUTED_VALUE"""),20.182176715965113)</f>
        <v>20.18217672</v>
      </c>
      <c r="BU95" s="235"/>
      <c r="BV95" s="234"/>
      <c r="BW95" s="230"/>
      <c r="BX95" s="235"/>
      <c r="BY95" s="234">
        <f>IFERROR(__xludf.DUMMYFUNCTION("""COMPUTED_VALUE"""),7.485627607129315)</f>
        <v>7.485627607</v>
      </c>
      <c r="BZ95" s="230"/>
      <c r="CA95" s="235"/>
      <c r="CB95" s="234"/>
      <c r="CC95" s="230"/>
      <c r="CD95" s="235"/>
      <c r="CE95" s="234"/>
      <c r="CF95" s="230"/>
      <c r="CG95" s="235"/>
      <c r="CH95" s="234"/>
      <c r="CI95" s="230"/>
      <c r="CJ95" s="230"/>
      <c r="CK95" s="234"/>
      <c r="CL95" s="230"/>
      <c r="CM95" s="235"/>
      <c r="CN95" s="230"/>
      <c r="CO95" s="230"/>
      <c r="CP95" s="230"/>
      <c r="CQ95" s="234"/>
      <c r="CR95" s="230"/>
      <c r="CS95" s="230"/>
      <c r="CT95" s="234"/>
      <c r="CU95" s="230"/>
      <c r="CV95" s="230"/>
      <c r="CW95" s="234"/>
      <c r="CX95" s="230"/>
      <c r="CY95" s="235"/>
      <c r="CZ95" s="230"/>
      <c r="DA95" s="230"/>
      <c r="DB95" s="235">
        <f>IFERROR(__xludf.DUMMYFUNCTION("""COMPUTED_VALUE"""),4.166666666666666)</f>
        <v>4.166666667</v>
      </c>
      <c r="DC95" s="234"/>
      <c r="DD95" s="230"/>
      <c r="DE95" s="235"/>
      <c r="DF95" s="234"/>
      <c r="DG95" s="230"/>
      <c r="DH95" s="235"/>
      <c r="DI95" s="234"/>
      <c r="DJ95" s="230"/>
      <c r="DK95" s="235"/>
      <c r="DL95" s="280"/>
      <c r="DM95" s="286">
        <f>IFERROR(__xludf.DUMMYFUNCTION("""COMPUTED_VALUE"""),8.333333333333332)</f>
        <v>8.333333333</v>
      </c>
      <c r="DN95" s="282"/>
      <c r="DO95" s="96"/>
      <c r="DP95" s="96"/>
      <c r="DQ95" s="96"/>
      <c r="DR95" s="96">
        <f>IFERROR(__xludf.DUMMYFUNCTION("""COMPUTED_VALUE"""),12.5)</f>
        <v>12.5</v>
      </c>
      <c r="DS95" s="96"/>
      <c r="DT95" s="96"/>
      <c r="DU95" s="96"/>
    </row>
    <row r="96">
      <c r="B96" s="120" t="str">
        <f>IFERROR(__xludf.DUMMYFUNCTION("""COMPUTED_VALUE"""),"LDN8")</f>
        <v>LDN8</v>
      </c>
      <c r="C96" s="88" t="str">
        <f>IFERROR(__xludf.DUMMYFUNCTION("""COMPUTED_VALUE"""),"Southwark")</f>
        <v>Southwark</v>
      </c>
      <c r="D96" s="102">
        <f>IFERROR(__xludf.DUMMYFUNCTION("""COMPUTED_VALUE"""),19.0)</f>
        <v>19</v>
      </c>
      <c r="E96" s="82" t="b">
        <f>IFERROR(__xludf.DUMMYFUNCTION("""COMPUTED_VALUE"""),TRUE)</f>
        <v>1</v>
      </c>
      <c r="F96" s="82" t="str">
        <f>IFERROR(__xludf.DUMMYFUNCTION("""COMPUTED_VALUE"""),"Free Quests- Part 1!A700:J712")</f>
        <v>Free Quests- Part 1!A700:J712</v>
      </c>
      <c r="G96" s="82">
        <f>IFERROR(__xludf.DUMMYFUNCTION("""COMPUTED_VALUE"""),97.0)</f>
        <v>97</v>
      </c>
      <c r="H96" s="82">
        <f>IFERROR(__xludf.DUMMYFUNCTION("""COMPUTED_VALUE"""),662.0)</f>
        <v>662</v>
      </c>
      <c r="I96" s="82">
        <f>IFERROR(__xludf.DUMMYFUNCTION("""COMPUTED_VALUE"""),9457.0)</f>
        <v>9457</v>
      </c>
      <c r="J96" s="82">
        <f>IFERROR(__xludf.DUMMYFUNCTION("""COMPUTED_VALUE"""),10119.0)</f>
        <v>10119</v>
      </c>
      <c r="K96" s="234"/>
      <c r="L96" s="230"/>
      <c r="M96" s="235"/>
      <c r="N96" s="234"/>
      <c r="O96" s="230"/>
      <c r="P96" s="235"/>
      <c r="Q96" s="234"/>
      <c r="R96" s="230"/>
      <c r="S96" s="235"/>
      <c r="T96" s="234"/>
      <c r="U96" s="230"/>
      <c r="V96" s="235"/>
      <c r="W96" s="234"/>
      <c r="X96" s="230"/>
      <c r="Y96" s="235"/>
      <c r="Z96" s="234"/>
      <c r="AA96" s="230"/>
      <c r="AB96" s="235"/>
      <c r="AC96" s="234"/>
      <c r="AD96" s="230"/>
      <c r="AE96" s="235"/>
      <c r="AF96" s="234"/>
      <c r="AG96" s="230"/>
      <c r="AH96" s="235"/>
      <c r="AI96" s="234"/>
      <c r="AJ96" s="230">
        <f>IFERROR(__xludf.DUMMYFUNCTION("""COMPUTED_VALUE"""),30.5709160984287)</f>
        <v>30.5709161</v>
      </c>
      <c r="AK96" s="235"/>
      <c r="AL96" s="231"/>
      <c r="AM96" s="230"/>
      <c r="AN96" s="235"/>
      <c r="AO96" s="234"/>
      <c r="AP96" s="230"/>
      <c r="AQ96" s="235"/>
      <c r="AR96" s="234"/>
      <c r="AS96" s="230"/>
      <c r="AT96" s="235"/>
      <c r="AU96" s="234"/>
      <c r="AV96" s="230"/>
      <c r="AW96" s="235"/>
      <c r="AX96" s="234">
        <f>IFERROR(__xludf.DUMMYFUNCTION("""COMPUTED_VALUE"""),27.745715979839908)</f>
        <v>27.74571598</v>
      </c>
      <c r="AY96" s="230"/>
      <c r="AZ96" s="235"/>
      <c r="BA96" s="234"/>
      <c r="BB96" s="230"/>
      <c r="BC96" s="235"/>
      <c r="BD96" s="234"/>
      <c r="BE96" s="230"/>
      <c r="BF96" s="235"/>
      <c r="BG96" s="234"/>
      <c r="BH96" s="230"/>
      <c r="BI96" s="235"/>
      <c r="BJ96" s="234"/>
      <c r="BK96" s="230"/>
      <c r="BL96" s="235"/>
      <c r="BM96" s="234"/>
      <c r="BN96" s="230"/>
      <c r="BO96" s="235">
        <f>IFERROR(__xludf.DUMMYFUNCTION("""COMPUTED_VALUE"""),9.84075501531772)</f>
        <v>9.840755015</v>
      </c>
      <c r="BP96" s="234"/>
      <c r="BQ96" s="230"/>
      <c r="BR96" s="235"/>
      <c r="BS96" s="234"/>
      <c r="BT96" s="230"/>
      <c r="BU96" s="235">
        <f>IFERROR(__xludf.DUMMYFUNCTION("""COMPUTED_VALUE"""),14.716661725466944)</f>
        <v>14.71666173</v>
      </c>
      <c r="BV96" s="234">
        <f>IFERROR(__xludf.DUMMYFUNCTION("""COMPUTED_VALUE"""),32.364680304377906)</f>
        <v>32.3646803</v>
      </c>
      <c r="BW96" s="230"/>
      <c r="BX96" s="235"/>
      <c r="BY96" s="234"/>
      <c r="BZ96" s="230"/>
      <c r="CA96" s="235"/>
      <c r="CB96" s="234"/>
      <c r="CC96" s="230"/>
      <c r="CD96" s="235"/>
      <c r="CE96" s="234"/>
      <c r="CF96" s="230"/>
      <c r="CG96" s="235"/>
      <c r="CH96" s="234"/>
      <c r="CI96" s="230"/>
      <c r="CJ96" s="230"/>
      <c r="CK96" s="234"/>
      <c r="CL96" s="230"/>
      <c r="CM96" s="235"/>
      <c r="CN96" s="230"/>
      <c r="CO96" s="230"/>
      <c r="CP96" s="230"/>
      <c r="CQ96" s="234"/>
      <c r="CR96" s="230"/>
      <c r="CS96" s="230"/>
      <c r="CT96" s="234"/>
      <c r="CU96" s="230"/>
      <c r="CV96" s="230"/>
      <c r="CW96" s="234"/>
      <c r="CX96" s="230"/>
      <c r="CY96" s="235">
        <f>IFERROR(__xludf.DUMMYFUNCTION("""COMPUTED_VALUE"""),10.65989847715736)</f>
        <v>10.65989848</v>
      </c>
      <c r="CZ96" s="230"/>
      <c r="DA96" s="230"/>
      <c r="DB96" s="235"/>
      <c r="DC96" s="234"/>
      <c r="DD96" s="230"/>
      <c r="DE96" s="235"/>
      <c r="DF96" s="234"/>
      <c r="DG96" s="230"/>
      <c r="DH96" s="235"/>
      <c r="DI96" s="234"/>
      <c r="DJ96" s="230"/>
      <c r="DK96" s="235"/>
      <c r="DL96" s="308"/>
      <c r="DM96" s="309"/>
      <c r="DN96" s="310">
        <f>IFERROR(__xludf.DUMMYFUNCTION("""COMPUTED_VALUE"""),17.258883248730964)</f>
        <v>17.25888325</v>
      </c>
      <c r="DO96" s="96">
        <f>IFERROR(__xludf.DUMMYFUNCTION("""COMPUTED_VALUE"""),15.228426395939088)</f>
        <v>15.2284264</v>
      </c>
      <c r="DP96" s="96"/>
      <c r="DQ96" s="96"/>
      <c r="DR96" s="96"/>
      <c r="DS96" s="96"/>
      <c r="DT96" s="96"/>
      <c r="DU96" s="96"/>
    </row>
    <row r="97">
      <c r="B97" s="120" t="str">
        <f>IFERROR(__xludf.DUMMYFUNCTION("""COMPUTED_VALUE"""),"LDN9")</f>
        <v>LDN9</v>
      </c>
      <c r="C97" s="88" t="str">
        <f>IFERROR(__xludf.DUMMYFUNCTION("""COMPUTED_VALUE"""),"Hyde Park")</f>
        <v>Hyde Park</v>
      </c>
      <c r="D97" s="102">
        <f>IFERROR(__xludf.DUMMYFUNCTION("""COMPUTED_VALUE"""),20.0)</f>
        <v>20</v>
      </c>
      <c r="E97" s="82" t="b">
        <f>IFERROR(__xludf.DUMMYFUNCTION("""COMPUTED_VALUE"""),TRUE)</f>
        <v>1</v>
      </c>
      <c r="F97" s="82" t="str">
        <f>IFERROR(__xludf.DUMMYFUNCTION("""COMPUTED_VALUE"""),"Free Quests- Part 1!A716:J731")</f>
        <v>Free Quests- Part 1!A716:J731</v>
      </c>
      <c r="G97" s="82">
        <f>IFERROR(__xludf.DUMMYFUNCTION("""COMPUTED_VALUE"""),98.0)</f>
        <v>98</v>
      </c>
      <c r="H97" s="82">
        <f>IFERROR(__xludf.DUMMYFUNCTION("""COMPUTED_VALUE"""),1890.0)</f>
        <v>1890</v>
      </c>
      <c r="I97" s="82">
        <f>IFERROR(__xludf.DUMMYFUNCTION("""COMPUTED_VALUE"""),16230.0)</f>
        <v>16230</v>
      </c>
      <c r="J97" s="82">
        <f>IFERROR(__xludf.DUMMYFUNCTION("""COMPUTED_VALUE"""),18120.0)</f>
        <v>18120</v>
      </c>
      <c r="K97" s="234"/>
      <c r="L97" s="230"/>
      <c r="M97" s="235"/>
      <c r="N97" s="234"/>
      <c r="O97" s="230"/>
      <c r="P97" s="235"/>
      <c r="Q97" s="234"/>
      <c r="R97" s="230"/>
      <c r="S97" s="235"/>
      <c r="T97" s="234"/>
      <c r="U97" s="230"/>
      <c r="V97" s="235"/>
      <c r="W97" s="234"/>
      <c r="X97" s="230"/>
      <c r="Y97" s="235"/>
      <c r="Z97" s="234"/>
      <c r="AA97" s="230"/>
      <c r="AB97" s="235"/>
      <c r="AC97" s="234"/>
      <c r="AD97" s="230"/>
      <c r="AE97" s="235"/>
      <c r="AF97" s="234"/>
      <c r="AG97" s="230"/>
      <c r="AH97" s="235"/>
      <c r="AI97" s="234">
        <f>IFERROR(__xludf.DUMMYFUNCTION("""COMPUTED_VALUE"""),26.900275938189846)</f>
        <v>26.90027594</v>
      </c>
      <c r="AJ97" s="230"/>
      <c r="AK97" s="235"/>
      <c r="AL97" s="231"/>
      <c r="AM97" s="230"/>
      <c r="AN97" s="235"/>
      <c r="AO97" s="234"/>
      <c r="AP97" s="230"/>
      <c r="AQ97" s="235"/>
      <c r="AR97" s="234"/>
      <c r="AS97" s="230"/>
      <c r="AT97" s="235"/>
      <c r="AU97" s="234"/>
      <c r="AV97" s="230"/>
      <c r="AW97" s="235"/>
      <c r="AX97" s="234">
        <f>IFERROR(__xludf.DUMMYFUNCTION("""COMPUTED_VALUE"""),36.75424944812362)</f>
        <v>36.75424945</v>
      </c>
      <c r="AY97" s="230"/>
      <c r="AZ97" s="235"/>
      <c r="BA97" s="234"/>
      <c r="BB97" s="230"/>
      <c r="BC97" s="235"/>
      <c r="BD97" s="234"/>
      <c r="BE97" s="230"/>
      <c r="BF97" s="235"/>
      <c r="BG97" s="234"/>
      <c r="BH97" s="230"/>
      <c r="BI97" s="235"/>
      <c r="BJ97" s="234">
        <f>IFERROR(__xludf.DUMMYFUNCTION("""COMPUTED_VALUE"""),3.107781456953642)</f>
        <v>3.107781457</v>
      </c>
      <c r="BK97" s="230"/>
      <c r="BL97" s="235"/>
      <c r="BM97" s="234"/>
      <c r="BN97" s="230"/>
      <c r="BO97" s="235"/>
      <c r="BP97" s="234"/>
      <c r="BQ97" s="230">
        <f>IFERROR(__xludf.DUMMYFUNCTION("""COMPUTED_VALUE"""),15.288024282560706)</f>
        <v>15.28802428</v>
      </c>
      <c r="BR97" s="235"/>
      <c r="BS97" s="234"/>
      <c r="BT97" s="230"/>
      <c r="BU97" s="235"/>
      <c r="BV97" s="234">
        <f>IFERROR(__xludf.DUMMYFUNCTION("""COMPUTED_VALUE"""),19.355187637969095)</f>
        <v>19.35518764</v>
      </c>
      <c r="BW97" s="230"/>
      <c r="BX97" s="235">
        <f>IFERROR(__xludf.DUMMYFUNCTION("""COMPUTED_VALUE"""),8.551600441501103)</f>
        <v>8.551600442</v>
      </c>
      <c r="BY97" s="234"/>
      <c r="BZ97" s="230"/>
      <c r="CA97" s="235"/>
      <c r="CB97" s="234"/>
      <c r="CC97" s="230"/>
      <c r="CD97" s="235"/>
      <c r="CE97" s="234"/>
      <c r="CF97" s="230"/>
      <c r="CG97" s="235"/>
      <c r="CH97" s="234"/>
      <c r="CI97" s="230"/>
      <c r="CJ97" s="230"/>
      <c r="CK97" s="234"/>
      <c r="CL97" s="230"/>
      <c r="CM97" s="235"/>
      <c r="CN97" s="230"/>
      <c r="CO97" s="230"/>
      <c r="CP97" s="230"/>
      <c r="CQ97" s="234"/>
      <c r="CR97" s="230"/>
      <c r="CS97" s="230"/>
      <c r="CT97" s="234"/>
      <c r="CU97" s="230"/>
      <c r="CV97" s="230"/>
      <c r="CW97" s="234"/>
      <c r="CX97" s="230"/>
      <c r="CY97" s="235"/>
      <c r="CZ97" s="230"/>
      <c r="DA97" s="230">
        <f>IFERROR(__xludf.DUMMYFUNCTION("""COMPUTED_VALUE"""),3.919491525423729)</f>
        <v>3.919491525</v>
      </c>
      <c r="DB97" s="235"/>
      <c r="DC97" s="234"/>
      <c r="DD97" s="230"/>
      <c r="DE97" s="235"/>
      <c r="DF97" s="234"/>
      <c r="DG97" s="230"/>
      <c r="DH97" s="235"/>
      <c r="DI97" s="234">
        <f>IFERROR(__xludf.DUMMYFUNCTION("""COMPUTED_VALUE"""),13.559322033898304)</f>
        <v>13.55932203</v>
      </c>
      <c r="DJ97" s="230"/>
      <c r="DK97" s="235"/>
      <c r="DL97" s="280"/>
      <c r="DM97" s="286"/>
      <c r="DN97" s="282"/>
      <c r="DO97" s="96">
        <f>IFERROR(__xludf.DUMMYFUNCTION("""COMPUTED_VALUE"""),24.152542372881356)</f>
        <v>24.15254237</v>
      </c>
      <c r="DP97" s="96"/>
      <c r="DQ97" s="96">
        <f>IFERROR(__xludf.DUMMYFUNCTION("""COMPUTED_VALUE"""),6.991525423728813)</f>
        <v>6.991525424</v>
      </c>
      <c r="DR97" s="96"/>
      <c r="DS97" s="96"/>
      <c r="DT97" s="96"/>
      <c r="DU97" s="96"/>
    </row>
    <row r="98">
      <c r="A98" s="135" t="str">
        <f>IFERROR(__xludf.DUMMYFUNCTION("""COMPUTED_VALUE"""),"E PLURIBUS UNUM")</f>
        <v>E PLURIBUS UNUM</v>
      </c>
      <c r="B98" s="120" t="str">
        <f>IFERROR(__xludf.DUMMYFUNCTION("""COMPUTED_VALUE"""),"EPU1")</f>
        <v>EPU1</v>
      </c>
      <c r="C98" s="88" t="str">
        <f>IFERROR(__xludf.DUMMYFUNCTION("""COMPUTED_VALUE"""),"Black Hills")</f>
        <v>Black Hills</v>
      </c>
      <c r="D98" s="102">
        <f>IFERROR(__xludf.DUMMYFUNCTION("""COMPUTED_VALUE"""),17.0)</f>
        <v>17</v>
      </c>
      <c r="E98" s="82" t="b">
        <f>IFERROR(__xludf.DUMMYFUNCTION("""COMPUTED_VALUE"""),TRUE)</f>
        <v>1</v>
      </c>
      <c r="F98" s="82" t="str">
        <f>IFERROR(__xludf.DUMMYFUNCTION("""COMPUTED_VALUE"""),"Free Quests- Part 1!A737:J742")</f>
        <v>Free Quests- Part 1!A737:J742</v>
      </c>
      <c r="G98" s="82">
        <f>IFERROR(__xludf.DUMMYFUNCTION("""COMPUTED_VALUE"""),99.0)</f>
        <v>99</v>
      </c>
      <c r="H98" s="82">
        <f>IFERROR(__xludf.DUMMYFUNCTION("""COMPUTED_VALUE"""),68.0)</f>
        <v>68</v>
      </c>
      <c r="I98" s="82">
        <f>IFERROR(__xludf.DUMMYFUNCTION("""COMPUTED_VALUE"""),1100.0)</f>
        <v>1100</v>
      </c>
      <c r="J98" s="82">
        <f>IFERROR(__xludf.DUMMYFUNCTION("""COMPUTED_VALUE"""),1168.0)</f>
        <v>1168</v>
      </c>
      <c r="K98" s="234"/>
      <c r="L98" s="230"/>
      <c r="M98" s="235"/>
      <c r="N98" s="234"/>
      <c r="O98" s="230"/>
      <c r="P98" s="235"/>
      <c r="Q98" s="234"/>
      <c r="R98" s="230"/>
      <c r="S98" s="235"/>
      <c r="T98" s="234"/>
      <c r="U98" s="230"/>
      <c r="V98" s="235"/>
      <c r="W98" s="234"/>
      <c r="X98" s="230"/>
      <c r="Y98" s="235"/>
      <c r="Z98" s="234"/>
      <c r="AA98" s="230"/>
      <c r="AB98" s="235"/>
      <c r="AC98" s="234"/>
      <c r="AD98" s="230"/>
      <c r="AE98" s="235"/>
      <c r="AF98" s="234"/>
      <c r="AG98" s="230"/>
      <c r="AH98" s="235">
        <f>IFERROR(__xludf.DUMMYFUNCTION("""COMPUTED_VALUE"""),16.90068493150685)</f>
        <v>16.90068493</v>
      </c>
      <c r="AI98" s="234"/>
      <c r="AJ98" s="230"/>
      <c r="AK98" s="235"/>
      <c r="AL98" s="231"/>
      <c r="AM98" s="230"/>
      <c r="AN98" s="235"/>
      <c r="AO98" s="234"/>
      <c r="AP98" s="230"/>
      <c r="AQ98" s="235"/>
      <c r="AR98" s="234"/>
      <c r="AS98" s="230"/>
      <c r="AT98" s="235"/>
      <c r="AU98" s="234"/>
      <c r="AV98" s="230"/>
      <c r="AW98" s="235"/>
      <c r="AX98" s="234"/>
      <c r="AY98" s="230"/>
      <c r="AZ98" s="235"/>
      <c r="BA98" s="234"/>
      <c r="BB98" s="230"/>
      <c r="BC98" s="235"/>
      <c r="BD98" s="234"/>
      <c r="BE98" s="230"/>
      <c r="BF98" s="235"/>
      <c r="BG98" s="234"/>
      <c r="BH98" s="230"/>
      <c r="BI98" s="235"/>
      <c r="BJ98" s="234"/>
      <c r="BK98" s="230"/>
      <c r="BL98" s="235"/>
      <c r="BM98" s="234"/>
      <c r="BN98" s="230"/>
      <c r="BO98" s="235"/>
      <c r="BP98" s="234"/>
      <c r="BQ98" s="230"/>
      <c r="BR98" s="235"/>
      <c r="BS98" s="234"/>
      <c r="BT98" s="230"/>
      <c r="BU98" s="235">
        <f>IFERROR(__xludf.DUMMYFUNCTION("""COMPUTED_VALUE"""),40.11986301369863)</f>
        <v>40.11986301</v>
      </c>
      <c r="BV98" s="234"/>
      <c r="BW98" s="230"/>
      <c r="BX98" s="235"/>
      <c r="BY98" s="234"/>
      <c r="BZ98" s="230"/>
      <c r="CA98" s="235"/>
      <c r="CB98" s="234"/>
      <c r="CC98" s="230"/>
      <c r="CD98" s="235"/>
      <c r="CE98" s="234"/>
      <c r="CF98" s="230"/>
      <c r="CG98" s="235"/>
      <c r="CH98" s="234"/>
      <c r="CI98" s="230"/>
      <c r="CJ98" s="230"/>
      <c r="CK98" s="234"/>
      <c r="CL98" s="230"/>
      <c r="CM98" s="235"/>
      <c r="CN98" s="230"/>
      <c r="CO98" s="230"/>
      <c r="CP98" s="230"/>
      <c r="CQ98" s="234"/>
      <c r="CR98" s="230"/>
      <c r="CS98" s="230"/>
      <c r="CT98" s="234"/>
      <c r="CU98" s="230"/>
      <c r="CV98" s="230"/>
      <c r="CW98" s="234"/>
      <c r="CX98" s="230"/>
      <c r="CY98" s="235"/>
      <c r="CZ98" s="230"/>
      <c r="DA98" s="230"/>
      <c r="DB98" s="235"/>
      <c r="DC98" s="234"/>
      <c r="DD98" s="230"/>
      <c r="DE98" s="235"/>
      <c r="DF98" s="234"/>
      <c r="DG98" s="230"/>
      <c r="DH98" s="235"/>
      <c r="DI98" s="234"/>
      <c r="DJ98" s="230"/>
      <c r="DK98" s="235"/>
      <c r="DL98" s="311"/>
      <c r="DM98" s="312"/>
      <c r="DN98" s="313">
        <f>IFERROR(__xludf.DUMMYFUNCTION("""COMPUTED_VALUE"""),52.94117647058824)</f>
        <v>52.94117647</v>
      </c>
      <c r="DO98" s="96"/>
      <c r="DP98" s="96"/>
      <c r="DQ98" s="96"/>
      <c r="DR98" s="96"/>
      <c r="DS98" s="96"/>
      <c r="DT98" s="96"/>
      <c r="DU98" s="96"/>
    </row>
    <row r="99">
      <c r="B99" s="120" t="str">
        <f>IFERROR(__xludf.DUMMYFUNCTION("""COMPUTED_VALUE"""),"EPU2")</f>
        <v>EPU2</v>
      </c>
      <c r="C99" s="88" t="str">
        <f>IFERROR(__xludf.DUMMYFUNCTION("""COMPUTED_VALUE"""),"Riverton")</f>
        <v>Riverton</v>
      </c>
      <c r="D99" s="102">
        <f>IFERROR(__xludf.DUMMYFUNCTION("""COMPUTED_VALUE"""),17.0)</f>
        <v>17</v>
      </c>
      <c r="E99" s="82" t="b">
        <f>IFERROR(__xludf.DUMMYFUNCTION("""COMPUTED_VALUE"""),TRUE)</f>
        <v>1</v>
      </c>
      <c r="F99" s="82" t="str">
        <f>IFERROR(__xludf.DUMMYFUNCTION("""COMPUTED_VALUE"""),"Free Quests- Part 1!A746:J759")</f>
        <v>Free Quests- Part 1!A746:J759</v>
      </c>
      <c r="G99" s="82">
        <f>IFERROR(__xludf.DUMMYFUNCTION("""COMPUTED_VALUE"""),100.0)</f>
        <v>100</v>
      </c>
      <c r="H99" s="82">
        <f>IFERROR(__xludf.DUMMYFUNCTION("""COMPUTED_VALUE"""),81.0)</f>
        <v>81</v>
      </c>
      <c r="I99" s="82">
        <f>IFERROR(__xludf.DUMMYFUNCTION("""COMPUTED_VALUE"""),1128.0)</f>
        <v>1128</v>
      </c>
      <c r="J99" s="82">
        <f>IFERROR(__xludf.DUMMYFUNCTION("""COMPUTED_VALUE"""),1209.0)</f>
        <v>1209</v>
      </c>
      <c r="K99" s="234"/>
      <c r="L99" s="230"/>
      <c r="M99" s="235"/>
      <c r="N99" s="234"/>
      <c r="O99" s="230"/>
      <c r="P99" s="235"/>
      <c r="Q99" s="234"/>
      <c r="R99" s="230"/>
      <c r="S99" s="235"/>
      <c r="T99" s="234"/>
      <c r="U99" s="230"/>
      <c r="V99" s="235"/>
      <c r="W99" s="234"/>
      <c r="X99" s="230"/>
      <c r="Y99" s="235"/>
      <c r="Z99" s="234"/>
      <c r="AA99" s="230"/>
      <c r="AB99" s="235"/>
      <c r="AC99" s="234"/>
      <c r="AD99" s="230"/>
      <c r="AE99" s="235"/>
      <c r="AF99" s="234"/>
      <c r="AG99" s="230"/>
      <c r="AH99" s="235"/>
      <c r="AI99" s="234"/>
      <c r="AJ99" s="230"/>
      <c r="AK99" s="235"/>
      <c r="AL99" s="231"/>
      <c r="AM99" s="230"/>
      <c r="AN99" s="235"/>
      <c r="AO99" s="234"/>
      <c r="AP99" s="230"/>
      <c r="AQ99" s="235"/>
      <c r="AR99" s="234"/>
      <c r="AS99" s="230"/>
      <c r="AT99" s="235"/>
      <c r="AU99" s="234"/>
      <c r="AV99" s="230"/>
      <c r="AW99" s="235">
        <f>IFERROR(__xludf.DUMMYFUNCTION("""COMPUTED_VALUE"""),43.07361455748553)</f>
        <v>43.07361456</v>
      </c>
      <c r="AX99" s="234"/>
      <c r="AY99" s="230"/>
      <c r="AZ99" s="235">
        <f>IFERROR(__xludf.DUMMYFUNCTION("""COMPUTED_VALUE"""),33.022332506203476)</f>
        <v>33.02233251</v>
      </c>
      <c r="BA99" s="234"/>
      <c r="BB99" s="230"/>
      <c r="BC99" s="235"/>
      <c r="BD99" s="234"/>
      <c r="BE99" s="230"/>
      <c r="BF99" s="235"/>
      <c r="BG99" s="234"/>
      <c r="BH99" s="230"/>
      <c r="BI99" s="235"/>
      <c r="BJ99" s="234"/>
      <c r="BK99" s="230"/>
      <c r="BL99" s="235"/>
      <c r="BM99" s="234"/>
      <c r="BN99" s="230"/>
      <c r="BO99" s="235"/>
      <c r="BP99" s="234"/>
      <c r="BQ99" s="230"/>
      <c r="BR99" s="235"/>
      <c r="BS99" s="234"/>
      <c r="BT99" s="230">
        <f>IFERROR(__xludf.DUMMYFUNCTION("""COMPUTED_VALUE"""),12.998511166253103)</f>
        <v>12.99851117</v>
      </c>
      <c r="BU99" s="235">
        <f>IFERROR(__xludf.DUMMYFUNCTION("""COMPUTED_VALUE"""),5.182464846980976)</f>
        <v>5.182464847</v>
      </c>
      <c r="BV99" s="234">
        <f>IFERROR(__xludf.DUMMYFUNCTION("""COMPUTED_VALUE"""),4.841025641025641)</f>
        <v>4.841025641</v>
      </c>
      <c r="BW99" s="230"/>
      <c r="BX99" s="235"/>
      <c r="BY99" s="234"/>
      <c r="BZ99" s="230"/>
      <c r="CA99" s="235"/>
      <c r="CB99" s="234"/>
      <c r="CC99" s="230">
        <f>IFERROR(__xludf.DUMMYFUNCTION("""COMPUTED_VALUE"""),7.773697270471463)</f>
        <v>7.77369727</v>
      </c>
      <c r="CD99" s="235"/>
      <c r="CE99" s="234"/>
      <c r="CF99" s="230"/>
      <c r="CG99" s="235"/>
      <c r="CH99" s="234"/>
      <c r="CI99" s="230"/>
      <c r="CJ99" s="230">
        <f>IFERROR(__xludf.DUMMYFUNCTION("""COMPUTED_VALUE"""),20.884698097601323)</f>
        <v>20.8846981</v>
      </c>
      <c r="CK99" s="234"/>
      <c r="CL99" s="230"/>
      <c r="CM99" s="235"/>
      <c r="CN99" s="230"/>
      <c r="CO99" s="230"/>
      <c r="CP99" s="230"/>
      <c r="CQ99" s="234"/>
      <c r="CR99" s="230"/>
      <c r="CS99" s="230"/>
      <c r="CT99" s="234"/>
      <c r="CU99" s="230"/>
      <c r="CV99" s="230"/>
      <c r="CW99" s="234"/>
      <c r="CX99" s="230"/>
      <c r="CY99" s="235"/>
      <c r="CZ99" s="230"/>
      <c r="DA99" s="230"/>
      <c r="DB99" s="235"/>
      <c r="DC99" s="234"/>
      <c r="DD99" s="230"/>
      <c r="DE99" s="235"/>
      <c r="DF99" s="234"/>
      <c r="DG99" s="230">
        <f>IFERROR(__xludf.DUMMYFUNCTION("""COMPUTED_VALUE"""),17.5)</f>
        <v>17.5</v>
      </c>
      <c r="DH99" s="235"/>
      <c r="DI99" s="234"/>
      <c r="DJ99" s="230"/>
      <c r="DK99" s="235"/>
      <c r="DL99" s="280"/>
      <c r="DM99" s="286">
        <f>IFERROR(__xludf.DUMMYFUNCTION("""COMPUTED_VALUE"""),15.0)</f>
        <v>15</v>
      </c>
      <c r="DN99" s="282">
        <f>IFERROR(__xludf.DUMMYFUNCTION("""COMPUTED_VALUE"""),2.5)</f>
        <v>2.5</v>
      </c>
      <c r="DO99" s="96">
        <f>IFERROR(__xludf.DUMMYFUNCTION("""COMPUTED_VALUE"""),12.5)</f>
        <v>12.5</v>
      </c>
      <c r="DP99" s="96"/>
      <c r="DQ99" s="96"/>
      <c r="DR99" s="96"/>
      <c r="DS99" s="96"/>
      <c r="DT99" s="96"/>
      <c r="DU99" s="96"/>
    </row>
    <row r="100">
      <c r="B100" s="120" t="str">
        <f>IFERROR(__xludf.DUMMYFUNCTION("""COMPUTED_VALUE"""),"EPU3")</f>
        <v>EPU3</v>
      </c>
      <c r="C100" s="88" t="str">
        <f>IFERROR(__xludf.DUMMYFUNCTION("""COMPUTED_VALUE"""),"Denver")</f>
        <v>Denver</v>
      </c>
      <c r="D100" s="102">
        <f>IFERROR(__xludf.DUMMYFUNCTION("""COMPUTED_VALUE"""),17.0)</f>
        <v>17</v>
      </c>
      <c r="E100" s="82" t="b">
        <f>IFERROR(__xludf.DUMMYFUNCTION("""COMPUTED_VALUE"""),TRUE)</f>
        <v>1</v>
      </c>
      <c r="F100" s="82" t="str">
        <f>IFERROR(__xludf.DUMMYFUNCTION("""COMPUTED_VALUE"""),"Free Quests- Part 1!A763:J774")</f>
        <v>Free Quests- Part 1!A763:J774</v>
      </c>
      <c r="G100" s="82">
        <f>IFERROR(__xludf.DUMMYFUNCTION("""COMPUTED_VALUE"""),101.0)</f>
        <v>101</v>
      </c>
      <c r="H100" s="82">
        <f>IFERROR(__xludf.DUMMYFUNCTION("""COMPUTED_VALUE"""),49.0)</f>
        <v>49</v>
      </c>
      <c r="I100" s="82">
        <f>IFERROR(__xludf.DUMMYFUNCTION("""COMPUTED_VALUE"""),1152.0)</f>
        <v>1152</v>
      </c>
      <c r="J100" s="82">
        <f>IFERROR(__xludf.DUMMYFUNCTION("""COMPUTED_VALUE"""),1201.0)</f>
        <v>1201</v>
      </c>
      <c r="K100" s="234"/>
      <c r="L100" s="230"/>
      <c r="M100" s="235"/>
      <c r="N100" s="234"/>
      <c r="O100" s="230"/>
      <c r="P100" s="235"/>
      <c r="Q100" s="234"/>
      <c r="R100" s="230"/>
      <c r="S100" s="235"/>
      <c r="T100" s="234"/>
      <c r="U100" s="230"/>
      <c r="V100" s="235"/>
      <c r="W100" s="234"/>
      <c r="X100" s="230"/>
      <c r="Y100" s="235"/>
      <c r="Z100" s="234"/>
      <c r="AA100" s="230"/>
      <c r="AB100" s="235"/>
      <c r="AC100" s="234"/>
      <c r="AD100" s="230"/>
      <c r="AE100" s="235"/>
      <c r="AF100" s="234"/>
      <c r="AG100" s="230"/>
      <c r="AH100" s="235">
        <f>IFERROR(__xludf.DUMMYFUNCTION("""COMPUTED_VALUE"""),16.364363030807663)</f>
        <v>16.36436303</v>
      </c>
      <c r="AI100" s="234"/>
      <c r="AJ100" s="230"/>
      <c r="AK100" s="235"/>
      <c r="AL100" s="231"/>
      <c r="AM100" s="230"/>
      <c r="AN100" s="235"/>
      <c r="AO100" s="234"/>
      <c r="AP100" s="230"/>
      <c r="AQ100" s="235"/>
      <c r="AR100" s="234"/>
      <c r="AS100" s="230"/>
      <c r="AT100" s="235"/>
      <c r="AU100" s="234"/>
      <c r="AV100" s="230"/>
      <c r="AW100" s="235"/>
      <c r="AX100" s="234"/>
      <c r="AY100" s="230"/>
      <c r="AZ100" s="235">
        <f>IFERROR(__xludf.DUMMYFUNCTION("""COMPUTED_VALUE"""),12.035303913405496)</f>
        <v>12.03530391</v>
      </c>
      <c r="BA100" s="234"/>
      <c r="BB100" s="230"/>
      <c r="BC100" s="235"/>
      <c r="BD100" s="234"/>
      <c r="BE100" s="230"/>
      <c r="BF100" s="235"/>
      <c r="BG100" s="234"/>
      <c r="BH100" s="230"/>
      <c r="BI100" s="235"/>
      <c r="BJ100" s="234"/>
      <c r="BK100" s="230"/>
      <c r="BL100" s="235"/>
      <c r="BM100" s="234"/>
      <c r="BN100" s="230">
        <f>IFERROR(__xludf.DUMMYFUNCTION("""COMPUTED_VALUE"""),9.452400777130169)</f>
        <v>9.452400777</v>
      </c>
      <c r="BO100" s="235"/>
      <c r="BP100" s="234"/>
      <c r="BQ100" s="230"/>
      <c r="BR100" s="235"/>
      <c r="BS100" s="234"/>
      <c r="BT100" s="230"/>
      <c r="BU100" s="235">
        <f>IFERROR(__xludf.DUMMYFUNCTION("""COMPUTED_VALUE"""),24.136719400499583)</f>
        <v>24.1367194</v>
      </c>
      <c r="BV100" s="234"/>
      <c r="BW100" s="230"/>
      <c r="BX100" s="235"/>
      <c r="BY100" s="234"/>
      <c r="BZ100" s="230"/>
      <c r="CA100" s="235"/>
      <c r="CB100" s="234"/>
      <c r="CC100" s="230">
        <f>IFERROR(__xludf.DUMMYFUNCTION("""COMPUTED_VALUE"""),2.014321398834305)</f>
        <v>2.014321399</v>
      </c>
      <c r="CD100" s="235"/>
      <c r="CE100" s="234"/>
      <c r="CF100" s="230"/>
      <c r="CG100" s="235"/>
      <c r="CH100" s="234"/>
      <c r="CI100" s="230"/>
      <c r="CJ100" s="230">
        <f>IFERROR(__xludf.DUMMYFUNCTION("""COMPUTED_VALUE"""),11.028434637801832)</f>
        <v>11.02843464</v>
      </c>
      <c r="CK100" s="234"/>
      <c r="CL100" s="230"/>
      <c r="CM100" s="235"/>
      <c r="CN100" s="230"/>
      <c r="CO100" s="230"/>
      <c r="CP100" s="230"/>
      <c r="CQ100" s="234"/>
      <c r="CR100" s="230"/>
      <c r="CS100" s="230"/>
      <c r="CT100" s="234"/>
      <c r="CU100" s="230"/>
      <c r="CV100" s="230"/>
      <c r="CW100" s="234"/>
      <c r="CX100" s="230"/>
      <c r="CY100" s="235"/>
      <c r="CZ100" s="230"/>
      <c r="DA100" s="230"/>
      <c r="DB100" s="235"/>
      <c r="DC100" s="234"/>
      <c r="DD100" s="230"/>
      <c r="DE100" s="235"/>
      <c r="DF100" s="234"/>
      <c r="DG100" s="230">
        <f>IFERROR(__xludf.DUMMYFUNCTION("""COMPUTED_VALUE"""),16.666666666666664)</f>
        <v>16.66666667</v>
      </c>
      <c r="DH100" s="235"/>
      <c r="DI100" s="234"/>
      <c r="DJ100" s="230"/>
      <c r="DK100" s="235"/>
      <c r="DL100" s="311"/>
      <c r="DM100" s="312"/>
      <c r="DN100" s="313">
        <f>IFERROR(__xludf.DUMMYFUNCTION("""COMPUTED_VALUE"""),33.33333333333333)</f>
        <v>33.33333333</v>
      </c>
      <c r="DO100" s="96"/>
      <c r="DP100" s="96"/>
      <c r="DQ100" s="96"/>
      <c r="DR100" s="96"/>
      <c r="DS100" s="96"/>
      <c r="DT100" s="96"/>
      <c r="DU100" s="96"/>
    </row>
    <row r="101">
      <c r="B101" s="120" t="str">
        <f>IFERROR(__xludf.DUMMYFUNCTION("""COMPUTED_VALUE"""),"EPU4")</f>
        <v>EPU4</v>
      </c>
      <c r="C101" s="88" t="str">
        <f>IFERROR(__xludf.DUMMYFUNCTION("""COMPUTED_VALUE"""),"Deming")</f>
        <v>Deming</v>
      </c>
      <c r="D101" s="102">
        <f>IFERROR(__xludf.DUMMYFUNCTION("""COMPUTED_VALUE"""),17.0)</f>
        <v>17</v>
      </c>
      <c r="E101" s="82" t="b">
        <f>IFERROR(__xludf.DUMMYFUNCTION("""COMPUTED_VALUE"""),TRUE)</f>
        <v>1</v>
      </c>
      <c r="F101" s="82" t="str">
        <f>IFERROR(__xludf.DUMMYFUNCTION("""COMPUTED_VALUE"""),"Free Quests- Part 1!A778:J788")</f>
        <v>Free Quests- Part 1!A778:J788</v>
      </c>
      <c r="G101" s="82">
        <f>IFERROR(__xludf.DUMMYFUNCTION("""COMPUTED_VALUE"""),102.0)</f>
        <v>102</v>
      </c>
      <c r="H101" s="82">
        <f>IFERROR(__xludf.DUMMYFUNCTION("""COMPUTED_VALUE"""),2296.0)</f>
        <v>2296</v>
      </c>
      <c r="I101" s="82">
        <f>IFERROR(__xludf.DUMMYFUNCTION("""COMPUTED_VALUE"""),6486.0)</f>
        <v>6486</v>
      </c>
      <c r="J101" s="82">
        <f>IFERROR(__xludf.DUMMYFUNCTION("""COMPUTED_VALUE"""),8782.0)</f>
        <v>8782</v>
      </c>
      <c r="K101" s="234"/>
      <c r="L101" s="230"/>
      <c r="M101" s="235"/>
      <c r="N101" s="234"/>
      <c r="O101" s="230"/>
      <c r="P101" s="235"/>
      <c r="Q101" s="234"/>
      <c r="R101" s="230"/>
      <c r="S101" s="235"/>
      <c r="T101" s="234"/>
      <c r="U101" s="230"/>
      <c r="V101" s="235"/>
      <c r="W101" s="234"/>
      <c r="X101" s="230"/>
      <c r="Y101" s="235"/>
      <c r="Z101" s="234"/>
      <c r="AA101" s="230"/>
      <c r="AB101" s="235"/>
      <c r="AC101" s="234"/>
      <c r="AD101" s="230"/>
      <c r="AE101" s="235"/>
      <c r="AF101" s="234"/>
      <c r="AG101" s="230"/>
      <c r="AH101" s="235"/>
      <c r="AI101" s="234"/>
      <c r="AJ101" s="230"/>
      <c r="AK101" s="235"/>
      <c r="AL101" s="231"/>
      <c r="AM101" s="230"/>
      <c r="AN101" s="235"/>
      <c r="AO101" s="234"/>
      <c r="AP101" s="230"/>
      <c r="AQ101" s="235"/>
      <c r="AR101" s="234"/>
      <c r="AS101" s="230"/>
      <c r="AT101" s="235"/>
      <c r="AU101" s="234"/>
      <c r="AV101" s="230"/>
      <c r="AW101" s="235"/>
      <c r="AX101" s="234"/>
      <c r="AY101" s="230">
        <f>IFERROR(__xludf.DUMMYFUNCTION("""COMPUTED_VALUE"""),61.89063987148714)</f>
        <v>61.89063987</v>
      </c>
      <c r="AZ101" s="235"/>
      <c r="BA101" s="234"/>
      <c r="BB101" s="230"/>
      <c r="BC101" s="235"/>
      <c r="BD101" s="234"/>
      <c r="BE101" s="230"/>
      <c r="BF101" s="235"/>
      <c r="BG101" s="234"/>
      <c r="BH101" s="230"/>
      <c r="BI101" s="235"/>
      <c r="BJ101" s="234"/>
      <c r="BK101" s="230"/>
      <c r="BL101" s="235"/>
      <c r="BM101" s="234"/>
      <c r="BN101" s="230"/>
      <c r="BO101" s="235"/>
      <c r="BP101" s="234">
        <f>IFERROR(__xludf.DUMMYFUNCTION("""COMPUTED_VALUE"""),7.274939402523015)</f>
        <v>7.274939403</v>
      </c>
      <c r="BQ101" s="230"/>
      <c r="BR101" s="235"/>
      <c r="BS101" s="234"/>
      <c r="BT101" s="230"/>
      <c r="BU101" s="235"/>
      <c r="BV101" s="234"/>
      <c r="BW101" s="230">
        <f>IFERROR(__xludf.DUMMYFUNCTION("""COMPUTED_VALUE"""),36.35973899431807)</f>
        <v>36.35973899</v>
      </c>
      <c r="BX101" s="235"/>
      <c r="BY101" s="234"/>
      <c r="BZ101" s="230"/>
      <c r="CA101" s="235"/>
      <c r="CB101" s="234"/>
      <c r="CC101" s="230"/>
      <c r="CD101" s="235"/>
      <c r="CE101" s="234"/>
      <c r="CF101" s="230"/>
      <c r="CG101" s="235"/>
      <c r="CH101" s="234"/>
      <c r="CI101" s="230"/>
      <c r="CJ101" s="230"/>
      <c r="CK101" s="234"/>
      <c r="CL101" s="230"/>
      <c r="CM101" s="235"/>
      <c r="CN101" s="230"/>
      <c r="CO101" s="230"/>
      <c r="CP101" s="230"/>
      <c r="CQ101" s="234"/>
      <c r="CR101" s="230"/>
      <c r="CS101" s="230"/>
      <c r="CT101" s="234"/>
      <c r="CU101" s="230"/>
      <c r="CV101" s="230"/>
      <c r="CW101" s="234"/>
      <c r="CX101" s="230"/>
      <c r="CY101" s="235"/>
      <c r="CZ101" s="230">
        <f>IFERROR(__xludf.DUMMYFUNCTION("""COMPUTED_VALUE"""),5.412972468502099)</f>
        <v>5.412972469</v>
      </c>
      <c r="DA101" s="230"/>
      <c r="DB101" s="235"/>
      <c r="DC101" s="234"/>
      <c r="DD101" s="230"/>
      <c r="DE101" s="235"/>
      <c r="DF101" s="234"/>
      <c r="DG101" s="230"/>
      <c r="DH101" s="235">
        <f>IFERROR(__xludf.DUMMYFUNCTION("""COMPUTED_VALUE"""),15.782057303898544)</f>
        <v>15.7820573</v>
      </c>
      <c r="DI101" s="234"/>
      <c r="DJ101" s="230"/>
      <c r="DK101" s="235"/>
      <c r="DL101" s="280"/>
      <c r="DM101" s="286"/>
      <c r="DN101" s="282"/>
      <c r="DO101" s="96"/>
      <c r="DP101" s="96">
        <f>IFERROR(__xludf.DUMMYFUNCTION("""COMPUTED_VALUE"""),13.38656646312823)</f>
        <v>13.38656646</v>
      </c>
      <c r="DQ101" s="96"/>
      <c r="DR101" s="96"/>
      <c r="DS101" s="96"/>
      <c r="DT101" s="96"/>
      <c r="DU101" s="96"/>
    </row>
    <row r="102">
      <c r="B102" s="120" t="str">
        <f>IFERROR(__xludf.DUMMYFUNCTION("""COMPUTED_VALUE"""),"EPU5")</f>
        <v>EPU5</v>
      </c>
      <c r="C102" s="88" t="str">
        <f>IFERROR(__xludf.DUMMYFUNCTION("""COMPUTED_VALUE"""),"Dallas")</f>
        <v>Dallas</v>
      </c>
      <c r="D102" s="102">
        <f>IFERROR(__xludf.DUMMYFUNCTION("""COMPUTED_VALUE"""),17.0)</f>
        <v>17</v>
      </c>
      <c r="E102" s="82" t="b">
        <f>IFERROR(__xludf.DUMMYFUNCTION("""COMPUTED_VALUE"""),TRUE)</f>
        <v>1</v>
      </c>
      <c r="F102" s="82" t="str">
        <f>IFERROR(__xludf.DUMMYFUNCTION("""COMPUTED_VALUE"""),"Free Quests- Part 1!A792:J799")</f>
        <v>Free Quests- Part 1!A792:J799</v>
      </c>
      <c r="G102" s="82">
        <f>IFERROR(__xludf.DUMMYFUNCTION("""COMPUTED_VALUE"""),103.0)</f>
        <v>103</v>
      </c>
      <c r="H102" s="82">
        <f>IFERROR(__xludf.DUMMYFUNCTION("""COMPUTED_VALUE"""),198.0)</f>
        <v>198</v>
      </c>
      <c r="I102" s="82">
        <f>IFERROR(__xludf.DUMMYFUNCTION("""COMPUTED_VALUE"""),7709.0)</f>
        <v>7709</v>
      </c>
      <c r="J102" s="82">
        <f>IFERROR(__xludf.DUMMYFUNCTION("""COMPUTED_VALUE"""),7907.0)</f>
        <v>7907</v>
      </c>
      <c r="K102" s="234"/>
      <c r="L102" s="230"/>
      <c r="M102" s="235"/>
      <c r="N102" s="234"/>
      <c r="O102" s="230"/>
      <c r="P102" s="235"/>
      <c r="Q102" s="234"/>
      <c r="R102" s="230"/>
      <c r="S102" s="235"/>
      <c r="T102" s="234"/>
      <c r="U102" s="230"/>
      <c r="V102" s="235"/>
      <c r="W102" s="234"/>
      <c r="X102" s="230"/>
      <c r="Y102" s="235"/>
      <c r="Z102" s="234"/>
      <c r="AA102" s="230"/>
      <c r="AB102" s="235"/>
      <c r="AC102" s="234"/>
      <c r="AD102" s="230"/>
      <c r="AE102" s="235"/>
      <c r="AF102" s="234"/>
      <c r="AG102" s="230"/>
      <c r="AH102" s="235"/>
      <c r="AI102" s="234"/>
      <c r="AJ102" s="230"/>
      <c r="AK102" s="235"/>
      <c r="AL102" s="231"/>
      <c r="AM102" s="230"/>
      <c r="AN102" s="235"/>
      <c r="AO102" s="234"/>
      <c r="AP102" s="230"/>
      <c r="AQ102" s="235"/>
      <c r="AR102" s="234"/>
      <c r="AS102" s="230"/>
      <c r="AT102" s="235"/>
      <c r="AU102" s="234"/>
      <c r="AV102" s="230"/>
      <c r="AW102" s="235">
        <f>IFERROR(__xludf.DUMMYFUNCTION("""COMPUTED_VALUE"""),66.41932464904517)</f>
        <v>66.41932465</v>
      </c>
      <c r="AX102" s="234"/>
      <c r="AY102" s="230"/>
      <c r="AZ102" s="235"/>
      <c r="BA102" s="234"/>
      <c r="BB102" s="230"/>
      <c r="BC102" s="235"/>
      <c r="BD102" s="234"/>
      <c r="BE102" s="230"/>
      <c r="BF102" s="235"/>
      <c r="BG102" s="234"/>
      <c r="BH102" s="230"/>
      <c r="BI102" s="235"/>
      <c r="BJ102" s="234"/>
      <c r="BK102" s="230"/>
      <c r="BL102" s="235"/>
      <c r="BM102" s="234"/>
      <c r="BN102" s="230"/>
      <c r="BO102" s="235"/>
      <c r="BP102" s="234"/>
      <c r="BQ102" s="230"/>
      <c r="BR102" s="235"/>
      <c r="BS102" s="234"/>
      <c r="BT102" s="230"/>
      <c r="BU102" s="235">
        <f>IFERROR(__xludf.DUMMYFUNCTION("""COMPUTED_VALUE"""),10.024499226585986)</f>
        <v>10.02449923</v>
      </c>
      <c r="BV102" s="234">
        <f>IFERROR(__xludf.DUMMYFUNCTION("""COMPUTED_VALUE"""),25.634315261063712)</f>
        <v>25.63431526</v>
      </c>
      <c r="BW102" s="230"/>
      <c r="BX102" s="235"/>
      <c r="BY102" s="234"/>
      <c r="BZ102" s="230"/>
      <c r="CA102" s="235"/>
      <c r="CB102" s="234"/>
      <c r="CC102" s="230"/>
      <c r="CD102" s="235"/>
      <c r="CE102" s="234"/>
      <c r="CF102" s="230"/>
      <c r="CG102" s="235"/>
      <c r="CH102" s="234"/>
      <c r="CI102" s="230"/>
      <c r="CJ102" s="230"/>
      <c r="CK102" s="234"/>
      <c r="CL102" s="230"/>
      <c r="CM102" s="235"/>
      <c r="CN102" s="230"/>
      <c r="CO102" s="230"/>
      <c r="CP102" s="230"/>
      <c r="CQ102" s="234"/>
      <c r="CR102" s="230"/>
      <c r="CS102" s="230"/>
      <c r="CT102" s="234"/>
      <c r="CU102" s="230"/>
      <c r="CV102" s="230"/>
      <c r="CW102" s="234"/>
      <c r="CX102" s="230"/>
      <c r="CY102" s="235"/>
      <c r="CZ102" s="230"/>
      <c r="DA102" s="230"/>
      <c r="DB102" s="235"/>
      <c r="DC102" s="234"/>
      <c r="DD102" s="230"/>
      <c r="DE102" s="235"/>
      <c r="DF102" s="234"/>
      <c r="DG102" s="230"/>
      <c r="DH102" s="235"/>
      <c r="DI102" s="234"/>
      <c r="DJ102" s="230"/>
      <c r="DK102" s="235"/>
      <c r="DL102" s="311"/>
      <c r="DM102" s="312"/>
      <c r="DN102" s="313">
        <f>IFERROR(__xludf.DUMMYFUNCTION("""COMPUTED_VALUE"""),11.200000000000001)</f>
        <v>11.2</v>
      </c>
      <c r="DO102" s="96">
        <f>IFERROR(__xludf.DUMMYFUNCTION("""COMPUTED_VALUE"""),28.000000000000004)</f>
        <v>28</v>
      </c>
      <c r="DP102" s="96"/>
      <c r="DQ102" s="96"/>
      <c r="DR102" s="96"/>
      <c r="DS102" s="96"/>
      <c r="DT102" s="96"/>
      <c r="DU102" s="96"/>
    </row>
    <row r="103">
      <c r="B103" s="120" t="str">
        <f>IFERROR(__xludf.DUMMYFUNCTION("""COMPUTED_VALUE"""),"EPU6")</f>
        <v>EPU6</v>
      </c>
      <c r="C103" s="88" t="str">
        <f>IFERROR(__xludf.DUMMYFUNCTION("""COMPUTED_VALUE"""),"Alcatraz")</f>
        <v>Alcatraz</v>
      </c>
      <c r="D103" s="102">
        <f>IFERROR(__xludf.DUMMYFUNCTION("""COMPUTED_VALUE"""),18.0)</f>
        <v>18</v>
      </c>
      <c r="E103" s="82" t="b">
        <f>IFERROR(__xludf.DUMMYFUNCTION("""COMPUTED_VALUE"""),TRUE)</f>
        <v>1</v>
      </c>
      <c r="F103" s="82" t="str">
        <f>IFERROR(__xludf.DUMMYFUNCTION("""COMPUTED_VALUE"""),"Free Quests- Part 1!A803:J814")</f>
        <v>Free Quests- Part 1!A803:J814</v>
      </c>
      <c r="G103" s="82">
        <f>IFERROR(__xludf.DUMMYFUNCTION("""COMPUTED_VALUE"""),104.0)</f>
        <v>104</v>
      </c>
      <c r="H103" s="82">
        <f>IFERROR(__xludf.DUMMYFUNCTION("""COMPUTED_VALUE"""),44.0)</f>
        <v>44</v>
      </c>
      <c r="I103" s="82">
        <f>IFERROR(__xludf.DUMMYFUNCTION("""COMPUTED_VALUE"""),1210.0)</f>
        <v>1210</v>
      </c>
      <c r="J103" s="82">
        <f>IFERROR(__xludf.DUMMYFUNCTION("""COMPUTED_VALUE"""),1254.0)</f>
        <v>1254</v>
      </c>
      <c r="K103" s="234"/>
      <c r="L103" s="230"/>
      <c r="M103" s="235"/>
      <c r="N103" s="234"/>
      <c r="O103" s="230"/>
      <c r="P103" s="235"/>
      <c r="Q103" s="234"/>
      <c r="R103" s="230"/>
      <c r="S103" s="235"/>
      <c r="T103" s="234"/>
      <c r="U103" s="230"/>
      <c r="V103" s="235"/>
      <c r="W103" s="234"/>
      <c r="X103" s="230"/>
      <c r="Y103" s="235"/>
      <c r="Z103" s="234"/>
      <c r="AA103" s="230"/>
      <c r="AB103" s="235"/>
      <c r="AC103" s="234"/>
      <c r="AD103" s="230"/>
      <c r="AE103" s="235"/>
      <c r="AF103" s="234"/>
      <c r="AG103" s="230"/>
      <c r="AH103" s="235"/>
      <c r="AI103" s="234"/>
      <c r="AJ103" s="230"/>
      <c r="AK103" s="235"/>
      <c r="AL103" s="231"/>
      <c r="AM103" s="230"/>
      <c r="AN103" s="235"/>
      <c r="AO103" s="234"/>
      <c r="AP103" s="230"/>
      <c r="AQ103" s="235"/>
      <c r="AR103" s="234"/>
      <c r="AS103" s="230"/>
      <c r="AT103" s="235"/>
      <c r="AU103" s="234"/>
      <c r="AV103" s="230"/>
      <c r="AW103" s="235">
        <f>IFERROR(__xludf.DUMMYFUNCTION("""COMPUTED_VALUE"""),51.06140350877193)</f>
        <v>51.06140351</v>
      </c>
      <c r="AX103" s="234"/>
      <c r="AY103" s="230"/>
      <c r="AZ103" s="235">
        <f>IFERROR(__xludf.DUMMYFUNCTION("""COMPUTED_VALUE"""),11.381977671451356)</f>
        <v>11.38197767</v>
      </c>
      <c r="BA103" s="234"/>
      <c r="BB103" s="230"/>
      <c r="BC103" s="235"/>
      <c r="BD103" s="234"/>
      <c r="BE103" s="230"/>
      <c r="BF103" s="235"/>
      <c r="BG103" s="234"/>
      <c r="BH103" s="230"/>
      <c r="BI103" s="235"/>
      <c r="BJ103" s="234"/>
      <c r="BK103" s="230"/>
      <c r="BL103" s="235"/>
      <c r="BM103" s="234"/>
      <c r="BN103" s="230"/>
      <c r="BO103" s="235"/>
      <c r="BP103" s="234"/>
      <c r="BQ103" s="230"/>
      <c r="BR103" s="235"/>
      <c r="BS103" s="234"/>
      <c r="BT103" s="230">
        <f>IFERROR(__xludf.DUMMYFUNCTION("""COMPUTED_VALUE"""),5.818979266347688)</f>
        <v>5.818979266</v>
      </c>
      <c r="BU103" s="235"/>
      <c r="BV103" s="234">
        <f>IFERROR(__xludf.DUMMYFUNCTION("""COMPUTED_VALUE"""),25.050239234449762)</f>
        <v>25.05023923</v>
      </c>
      <c r="BW103" s="230"/>
      <c r="BX103" s="235"/>
      <c r="BY103" s="234"/>
      <c r="BZ103" s="230"/>
      <c r="CA103" s="235"/>
      <c r="CB103" s="234"/>
      <c r="CC103" s="230"/>
      <c r="CD103" s="235"/>
      <c r="CE103" s="234"/>
      <c r="CF103" s="230"/>
      <c r="CG103" s="235">
        <f>IFERROR(__xludf.DUMMYFUNCTION("""COMPUTED_VALUE"""),2.106060606060606)</f>
        <v>2.106060606</v>
      </c>
      <c r="CH103" s="234"/>
      <c r="CI103" s="230"/>
      <c r="CJ103" s="230"/>
      <c r="CK103" s="234"/>
      <c r="CL103" s="230"/>
      <c r="CM103" s="235"/>
      <c r="CN103" s="230">
        <f>IFERROR(__xludf.DUMMYFUNCTION("""COMPUTED_VALUE"""),10.190590111642743)</f>
        <v>10.19059011</v>
      </c>
      <c r="CO103" s="230"/>
      <c r="CP103" s="230"/>
      <c r="CQ103" s="234"/>
      <c r="CR103" s="230"/>
      <c r="CS103" s="230"/>
      <c r="CT103" s="234"/>
      <c r="CU103" s="230"/>
      <c r="CV103" s="230"/>
      <c r="CW103" s="234"/>
      <c r="CX103" s="230"/>
      <c r="CY103" s="235"/>
      <c r="CZ103" s="230"/>
      <c r="DA103" s="230"/>
      <c r="DB103" s="235"/>
      <c r="DC103" s="234"/>
      <c r="DD103" s="230"/>
      <c r="DE103" s="235"/>
      <c r="DF103" s="234"/>
      <c r="DG103" s="230"/>
      <c r="DH103" s="235"/>
      <c r="DI103" s="234"/>
      <c r="DJ103" s="230"/>
      <c r="DK103" s="235">
        <f>IFERROR(__xludf.DUMMYFUNCTION("""COMPUTED_VALUE"""),22.22222222222222)</f>
        <v>22.22222222</v>
      </c>
      <c r="DL103" s="280"/>
      <c r="DM103" s="286">
        <f>IFERROR(__xludf.DUMMYFUNCTION("""COMPUTED_VALUE"""),0.0)</f>
        <v>0</v>
      </c>
      <c r="DN103" s="282"/>
      <c r="DO103" s="96">
        <f>IFERROR(__xludf.DUMMYFUNCTION("""COMPUTED_VALUE"""),22.22222222222222)</f>
        <v>22.22222222</v>
      </c>
      <c r="DP103" s="96"/>
      <c r="DQ103" s="96"/>
      <c r="DR103" s="96"/>
      <c r="DS103" s="96"/>
      <c r="DT103" s="96"/>
      <c r="DU103" s="96"/>
    </row>
    <row r="104">
      <c r="B104" s="120" t="str">
        <f>IFERROR(__xludf.DUMMYFUNCTION("""COMPUTED_VALUE"""),"EPU7")</f>
        <v>EPU7</v>
      </c>
      <c r="C104" s="88" t="str">
        <f>IFERROR(__xludf.DUMMYFUNCTION("""COMPUTED_VALUE"""),"Des Moines")</f>
        <v>Des Moines</v>
      </c>
      <c r="D104" s="102">
        <f>IFERROR(__xludf.DUMMYFUNCTION("""COMPUTED_VALUE"""),18.0)</f>
        <v>18</v>
      </c>
      <c r="E104" s="82" t="b">
        <f>IFERROR(__xludf.DUMMYFUNCTION("""COMPUTED_VALUE"""),TRUE)</f>
        <v>1</v>
      </c>
      <c r="F104" s="82" t="str">
        <f>IFERROR(__xludf.DUMMYFUNCTION("""COMPUTED_VALUE"""),"Free Quests- Part 1!A818:J830")</f>
        <v>Free Quests- Part 1!A818:J830</v>
      </c>
      <c r="G104" s="82">
        <f>IFERROR(__xludf.DUMMYFUNCTION("""COMPUTED_VALUE"""),105.0)</f>
        <v>105</v>
      </c>
      <c r="H104" s="82">
        <f>IFERROR(__xludf.DUMMYFUNCTION("""COMPUTED_VALUE"""),4322.0)</f>
        <v>4322</v>
      </c>
      <c r="I104" s="82">
        <f>IFERROR(__xludf.DUMMYFUNCTION("""COMPUTED_VALUE"""),23872.0)</f>
        <v>23872</v>
      </c>
      <c r="J104" s="82">
        <f>IFERROR(__xludf.DUMMYFUNCTION("""COMPUTED_VALUE"""),28194.0)</f>
        <v>28194</v>
      </c>
      <c r="K104" s="234">
        <f>IFERROR(__xludf.DUMMYFUNCTION("""COMPUTED_VALUE"""),20.1222671490388)</f>
        <v>20.12226715</v>
      </c>
      <c r="L104" s="230"/>
      <c r="M104" s="235"/>
      <c r="N104" s="234"/>
      <c r="O104" s="230"/>
      <c r="P104" s="235"/>
      <c r="Q104" s="234"/>
      <c r="R104" s="230"/>
      <c r="S104" s="235"/>
      <c r="T104" s="234"/>
      <c r="U104" s="230"/>
      <c r="V104" s="235"/>
      <c r="W104" s="234"/>
      <c r="X104" s="230"/>
      <c r="Y104" s="235"/>
      <c r="Z104" s="234"/>
      <c r="AA104" s="230"/>
      <c r="AB104" s="235"/>
      <c r="AC104" s="234">
        <f>IFERROR(__xludf.DUMMYFUNCTION("""COMPUTED_VALUE"""),9.1658650776761)</f>
        <v>9.165865078</v>
      </c>
      <c r="AD104" s="230"/>
      <c r="AE104" s="235"/>
      <c r="AF104" s="234"/>
      <c r="AG104" s="230"/>
      <c r="AH104" s="235"/>
      <c r="AI104" s="234"/>
      <c r="AJ104" s="230"/>
      <c r="AK104" s="235"/>
      <c r="AL104" s="231"/>
      <c r="AM104" s="230"/>
      <c r="AN104" s="235"/>
      <c r="AO104" s="234"/>
      <c r="AP104" s="230"/>
      <c r="AQ104" s="235"/>
      <c r="AR104" s="234"/>
      <c r="AS104" s="230"/>
      <c r="AT104" s="235"/>
      <c r="AU104" s="234"/>
      <c r="AV104" s="230"/>
      <c r="AW104" s="235"/>
      <c r="AX104" s="234"/>
      <c r="AY104" s="230"/>
      <c r="AZ104" s="235">
        <f>IFERROR(__xludf.DUMMYFUNCTION("""COMPUTED_VALUE"""),15.89929772291977)</f>
        <v>15.89929772</v>
      </c>
      <c r="BA104" s="234"/>
      <c r="BB104" s="230"/>
      <c r="BC104" s="235"/>
      <c r="BD104" s="234"/>
      <c r="BE104" s="230"/>
      <c r="BF104" s="235"/>
      <c r="BG104" s="234"/>
      <c r="BH104" s="230"/>
      <c r="BI104" s="235"/>
      <c r="BJ104" s="234"/>
      <c r="BK104" s="230"/>
      <c r="BL104" s="235"/>
      <c r="BM104" s="234"/>
      <c r="BN104" s="230"/>
      <c r="BO104" s="235"/>
      <c r="BP104" s="234"/>
      <c r="BQ104" s="230"/>
      <c r="BR104" s="235">
        <f>IFERROR(__xludf.DUMMYFUNCTION("""COMPUTED_VALUE"""),9.09355716551882)</f>
        <v>9.093557166</v>
      </c>
      <c r="BS104" s="234">
        <f>IFERROR(__xludf.DUMMYFUNCTION("""COMPUTED_VALUE"""),8.188594551415504)</f>
        <v>8.188594551</v>
      </c>
      <c r="BT104" s="230"/>
      <c r="BU104" s="235"/>
      <c r="BV104" s="234"/>
      <c r="BW104" s="230"/>
      <c r="BX104" s="235"/>
      <c r="BY104" s="234"/>
      <c r="BZ104" s="230"/>
      <c r="CA104" s="235"/>
      <c r="CB104" s="234"/>
      <c r="CC104" s="230">
        <f>IFERROR(__xludf.DUMMYFUNCTION("""COMPUTED_VALUE"""),4.91419453659709)</f>
        <v>4.914194537</v>
      </c>
      <c r="CD104" s="235"/>
      <c r="CE104" s="234"/>
      <c r="CF104" s="230"/>
      <c r="CG104" s="235"/>
      <c r="CH104" s="234"/>
      <c r="CI104" s="230"/>
      <c r="CJ104" s="230">
        <f>IFERROR(__xludf.DUMMYFUNCTION("""COMPUTED_VALUE"""),9.170550885418171)</f>
        <v>9.170550885</v>
      </c>
      <c r="CK104" s="234"/>
      <c r="CL104" s="230"/>
      <c r="CM104" s="235"/>
      <c r="CN104" s="230"/>
      <c r="CO104" s="230"/>
      <c r="CP104" s="230"/>
      <c r="CQ104" s="234"/>
      <c r="CR104" s="230"/>
      <c r="CS104" s="230"/>
      <c r="CT104" s="234"/>
      <c r="CU104" s="230"/>
      <c r="CV104" s="230"/>
      <c r="CW104" s="234"/>
      <c r="CX104" s="230"/>
      <c r="CY104" s="235"/>
      <c r="CZ104" s="230"/>
      <c r="DA104" s="230"/>
      <c r="DB104" s="235"/>
      <c r="DC104" s="234">
        <f>IFERROR(__xludf.DUMMYFUNCTION("""COMPUTED_VALUE"""),68.60254083484574)</f>
        <v>68.60254083</v>
      </c>
      <c r="DD104" s="230"/>
      <c r="DE104" s="235"/>
      <c r="DF104" s="234"/>
      <c r="DG104" s="230">
        <f>IFERROR(__xludf.DUMMYFUNCTION("""COMPUTED_VALUE"""),18.148820326678766)</f>
        <v>18.14882033</v>
      </c>
      <c r="DH104" s="235"/>
      <c r="DI104" s="234"/>
      <c r="DJ104" s="230">
        <f>IFERROR(__xludf.DUMMYFUNCTION("""COMPUTED_VALUE"""),15.063520871143377)</f>
        <v>15.06352087</v>
      </c>
      <c r="DK104" s="235"/>
      <c r="DL104" s="311"/>
      <c r="DM104" s="312"/>
      <c r="DN104" s="313"/>
      <c r="DO104" s="96"/>
      <c r="DP104" s="96"/>
      <c r="DQ104" s="96"/>
      <c r="DR104" s="96"/>
      <c r="DS104" s="96"/>
      <c r="DT104" s="96"/>
      <c r="DU104" s="96"/>
    </row>
    <row r="105">
      <c r="B105" s="120" t="str">
        <f>IFERROR(__xludf.DUMMYFUNCTION("""COMPUTED_VALUE"""),"EPU8")</f>
        <v>EPU8</v>
      </c>
      <c r="C105" s="88" t="str">
        <f>IFERROR(__xludf.DUMMYFUNCTION("""COMPUTED_VALUE"""),"Montgomery")</f>
        <v>Montgomery</v>
      </c>
      <c r="D105" s="102">
        <f>IFERROR(__xludf.DUMMYFUNCTION("""COMPUTED_VALUE"""),18.0)</f>
        <v>18</v>
      </c>
      <c r="E105" s="82" t="b">
        <f>IFERROR(__xludf.DUMMYFUNCTION("""COMPUTED_VALUE"""),TRUE)</f>
        <v>1</v>
      </c>
      <c r="F105" s="82" t="str">
        <f>IFERROR(__xludf.DUMMYFUNCTION("""COMPUTED_VALUE"""),"Free Quests- Part 1!A834:J843")</f>
        <v>Free Quests- Part 1!A834:J843</v>
      </c>
      <c r="G105" s="82">
        <f>IFERROR(__xludf.DUMMYFUNCTION("""COMPUTED_VALUE"""),106.0)</f>
        <v>106</v>
      </c>
      <c r="H105" s="82">
        <f>IFERROR(__xludf.DUMMYFUNCTION("""COMPUTED_VALUE"""),59.0)</f>
        <v>59</v>
      </c>
      <c r="I105" s="82">
        <f>IFERROR(__xludf.DUMMYFUNCTION("""COMPUTED_VALUE"""),4484.0)</f>
        <v>4484</v>
      </c>
      <c r="J105" s="82">
        <f>IFERROR(__xludf.DUMMYFUNCTION("""COMPUTED_VALUE"""),4543.0)</f>
        <v>4543</v>
      </c>
      <c r="K105" s="234"/>
      <c r="L105" s="230"/>
      <c r="M105" s="235"/>
      <c r="N105" s="234"/>
      <c r="O105" s="230"/>
      <c r="P105" s="235"/>
      <c r="Q105" s="234"/>
      <c r="R105" s="230"/>
      <c r="S105" s="235"/>
      <c r="T105" s="234"/>
      <c r="U105" s="230"/>
      <c r="V105" s="235"/>
      <c r="W105" s="234"/>
      <c r="X105" s="230"/>
      <c r="Y105" s="235"/>
      <c r="Z105" s="234"/>
      <c r="AA105" s="230"/>
      <c r="AB105" s="235"/>
      <c r="AC105" s="234"/>
      <c r="AD105" s="230"/>
      <c r="AE105" s="235"/>
      <c r="AF105" s="234"/>
      <c r="AG105" s="230"/>
      <c r="AH105" s="235"/>
      <c r="AI105" s="234"/>
      <c r="AJ105" s="230"/>
      <c r="AK105" s="235"/>
      <c r="AL105" s="231"/>
      <c r="AM105" s="230"/>
      <c r="AN105" s="235"/>
      <c r="AO105" s="234"/>
      <c r="AP105" s="230"/>
      <c r="AQ105" s="235"/>
      <c r="AR105" s="234"/>
      <c r="AS105" s="230"/>
      <c r="AT105" s="235"/>
      <c r="AU105" s="234"/>
      <c r="AV105" s="230"/>
      <c r="AW105" s="235">
        <f>IFERROR(__xludf.DUMMYFUNCTION("""COMPUTED_VALUE"""),62.524763372221)</f>
        <v>62.52476337</v>
      </c>
      <c r="AX105" s="234"/>
      <c r="AY105" s="230"/>
      <c r="AZ105" s="235">
        <f>IFERROR(__xludf.DUMMYFUNCTION("""COMPUTED_VALUE"""),15.420118864186662)</f>
        <v>15.42011886</v>
      </c>
      <c r="BA105" s="234"/>
      <c r="BB105" s="230"/>
      <c r="BC105" s="235"/>
      <c r="BD105" s="234"/>
      <c r="BE105" s="230"/>
      <c r="BF105" s="235"/>
      <c r="BG105" s="234"/>
      <c r="BH105" s="230"/>
      <c r="BI105" s="235"/>
      <c r="BJ105" s="234"/>
      <c r="BK105" s="230"/>
      <c r="BL105" s="235"/>
      <c r="BM105" s="234"/>
      <c r="BN105" s="230"/>
      <c r="BO105" s="235"/>
      <c r="BP105" s="234"/>
      <c r="BQ105" s="230"/>
      <c r="BR105" s="235"/>
      <c r="BS105" s="234"/>
      <c r="BT105" s="230"/>
      <c r="BU105" s="235">
        <f>IFERROR(__xludf.DUMMYFUNCTION("""COMPUTED_VALUE"""),30.471294223018358)</f>
        <v>30.47129422</v>
      </c>
      <c r="BV105" s="234"/>
      <c r="BW105" s="230"/>
      <c r="BX105" s="235"/>
      <c r="BY105" s="234"/>
      <c r="BZ105" s="230"/>
      <c r="CA105" s="235"/>
      <c r="CB105" s="234">
        <f>IFERROR(__xludf.DUMMYFUNCTION("""COMPUTED_VALUE"""),4.2126287505597855)</f>
        <v>4.212628751</v>
      </c>
      <c r="CC105" s="230"/>
      <c r="CD105" s="235"/>
      <c r="CE105" s="234"/>
      <c r="CF105" s="230"/>
      <c r="CG105" s="235"/>
      <c r="CH105" s="234"/>
      <c r="CI105" s="230">
        <f>IFERROR(__xludf.DUMMYFUNCTION("""COMPUTED_VALUE"""),10.147962382445142)</f>
        <v>10.14796238</v>
      </c>
      <c r="CJ105" s="230"/>
      <c r="CK105" s="234"/>
      <c r="CL105" s="230"/>
      <c r="CM105" s="235"/>
      <c r="CN105" s="230"/>
      <c r="CO105" s="230"/>
      <c r="CP105" s="230"/>
      <c r="CQ105" s="234"/>
      <c r="CR105" s="230"/>
      <c r="CS105" s="230"/>
      <c r="CT105" s="234"/>
      <c r="CU105" s="230"/>
      <c r="CV105" s="230"/>
      <c r="CW105" s="234"/>
      <c r="CX105" s="230"/>
      <c r="CY105" s="235"/>
      <c r="CZ105" s="230"/>
      <c r="DA105" s="230"/>
      <c r="DB105" s="235"/>
      <c r="DC105" s="234"/>
      <c r="DD105" s="230"/>
      <c r="DE105" s="235"/>
      <c r="DF105" s="234">
        <f>IFERROR(__xludf.DUMMYFUNCTION("""COMPUTED_VALUE"""),7.6923076923076925)</f>
        <v>7.692307692</v>
      </c>
      <c r="DG105" s="230"/>
      <c r="DH105" s="235"/>
      <c r="DI105" s="234"/>
      <c r="DJ105" s="230"/>
      <c r="DK105" s="235"/>
      <c r="DL105" s="280"/>
      <c r="DM105" s="286"/>
      <c r="DN105" s="282">
        <f>IFERROR(__xludf.DUMMYFUNCTION("""COMPUTED_VALUE"""),69.23076923076923)</f>
        <v>69.23076923</v>
      </c>
      <c r="DO105" s="96"/>
      <c r="DP105" s="96"/>
      <c r="DQ105" s="96"/>
      <c r="DR105" s="96"/>
      <c r="DS105" s="96"/>
      <c r="DT105" s="96"/>
      <c r="DU105" s="96"/>
    </row>
    <row r="106">
      <c r="B106" s="120" t="str">
        <f>IFERROR(__xludf.DUMMYFUNCTION("""COMPUTED_VALUE"""),"EPU9")</f>
        <v>EPU9</v>
      </c>
      <c r="C106" s="88" t="str">
        <f>IFERROR(__xludf.DUMMYFUNCTION("""COMPUTED_VALUE"""),"Lubbock")</f>
        <v>Lubbock</v>
      </c>
      <c r="D106" s="102">
        <f>IFERROR(__xludf.DUMMYFUNCTION("""COMPUTED_VALUE"""),18.0)</f>
        <v>18</v>
      </c>
      <c r="E106" s="82" t="b">
        <f>IFERROR(__xludf.DUMMYFUNCTION("""COMPUTED_VALUE"""),TRUE)</f>
        <v>1</v>
      </c>
      <c r="F106" s="82" t="str">
        <f>IFERROR(__xludf.DUMMYFUNCTION("""COMPUTED_VALUE"""),"Free Quests- Part 1!A847:J857")</f>
        <v>Free Quests- Part 1!A847:J857</v>
      </c>
      <c r="G106" s="82">
        <f>IFERROR(__xludf.DUMMYFUNCTION("""COMPUTED_VALUE"""),107.0)</f>
        <v>107</v>
      </c>
      <c r="H106" s="82">
        <f>IFERROR(__xludf.DUMMYFUNCTION("""COMPUTED_VALUE"""),65.0)</f>
        <v>65</v>
      </c>
      <c r="I106" s="82">
        <f>IFERROR(__xludf.DUMMYFUNCTION("""COMPUTED_VALUE"""),1005.0)</f>
        <v>1005</v>
      </c>
      <c r="J106" s="82">
        <f>IFERROR(__xludf.DUMMYFUNCTION("""COMPUTED_VALUE"""),1070.0)</f>
        <v>1070</v>
      </c>
      <c r="K106" s="234"/>
      <c r="L106" s="230"/>
      <c r="M106" s="235"/>
      <c r="N106" s="234"/>
      <c r="O106" s="230"/>
      <c r="P106" s="235"/>
      <c r="Q106" s="234">
        <f>IFERROR(__xludf.DUMMYFUNCTION("""COMPUTED_VALUE"""),12.11355140186916)</f>
        <v>12.1135514</v>
      </c>
      <c r="R106" s="230"/>
      <c r="S106" s="235"/>
      <c r="T106" s="234"/>
      <c r="U106" s="230"/>
      <c r="V106" s="235"/>
      <c r="W106" s="234"/>
      <c r="X106" s="230"/>
      <c r="Y106" s="235"/>
      <c r="Z106" s="234"/>
      <c r="AA106" s="230"/>
      <c r="AB106" s="235"/>
      <c r="AC106" s="234"/>
      <c r="AD106" s="230"/>
      <c r="AE106" s="235"/>
      <c r="AF106" s="234"/>
      <c r="AG106" s="230"/>
      <c r="AH106" s="235"/>
      <c r="AI106" s="234"/>
      <c r="AJ106" s="230"/>
      <c r="AK106" s="235"/>
      <c r="AL106" s="231"/>
      <c r="AM106" s="230"/>
      <c r="AN106" s="235"/>
      <c r="AO106" s="234"/>
      <c r="AP106" s="230"/>
      <c r="AQ106" s="235"/>
      <c r="AR106" s="234"/>
      <c r="AS106" s="230"/>
      <c r="AT106" s="235"/>
      <c r="AU106" s="234"/>
      <c r="AV106" s="230"/>
      <c r="AW106" s="235">
        <f>IFERROR(__xludf.DUMMYFUNCTION("""COMPUTED_VALUE"""),54.271495327102805)</f>
        <v>54.27149533</v>
      </c>
      <c r="AX106" s="234"/>
      <c r="AY106" s="230"/>
      <c r="AZ106" s="235"/>
      <c r="BA106" s="234"/>
      <c r="BB106" s="230"/>
      <c r="BC106" s="235"/>
      <c r="BD106" s="234"/>
      <c r="BE106" s="230"/>
      <c r="BF106" s="235"/>
      <c r="BG106" s="234"/>
      <c r="BH106" s="230"/>
      <c r="BI106" s="235"/>
      <c r="BJ106" s="234"/>
      <c r="BK106" s="230"/>
      <c r="BL106" s="235"/>
      <c r="BM106" s="234"/>
      <c r="BN106" s="230"/>
      <c r="BO106" s="235"/>
      <c r="BP106" s="234"/>
      <c r="BQ106" s="230"/>
      <c r="BR106" s="235">
        <f>IFERROR(__xludf.DUMMYFUNCTION("""COMPUTED_VALUE"""),8.45)</f>
        <v>8.45</v>
      </c>
      <c r="BS106" s="234"/>
      <c r="BT106" s="230">
        <f>IFERROR(__xludf.DUMMYFUNCTION("""COMPUTED_VALUE"""),21.968691588785045)</f>
        <v>21.96869159</v>
      </c>
      <c r="BU106" s="235">
        <f>IFERROR(__xludf.DUMMYFUNCTION("""COMPUTED_VALUE"""),11.455607476635514)</f>
        <v>11.45560748</v>
      </c>
      <c r="BV106" s="234"/>
      <c r="BW106" s="230"/>
      <c r="BX106" s="235"/>
      <c r="BY106" s="234"/>
      <c r="BZ106" s="230"/>
      <c r="CA106" s="235"/>
      <c r="CB106" s="234"/>
      <c r="CC106" s="230"/>
      <c r="CD106" s="235"/>
      <c r="CE106" s="234"/>
      <c r="CF106" s="230"/>
      <c r="CG106" s="235"/>
      <c r="CH106" s="234"/>
      <c r="CI106" s="230"/>
      <c r="CJ106" s="230"/>
      <c r="CK106" s="234"/>
      <c r="CL106" s="230"/>
      <c r="CM106" s="235"/>
      <c r="CN106" s="230"/>
      <c r="CO106" s="230"/>
      <c r="CP106" s="230"/>
      <c r="CQ106" s="234"/>
      <c r="CR106" s="230"/>
      <c r="CS106" s="230"/>
      <c r="CT106" s="234"/>
      <c r="CU106" s="230"/>
      <c r="CV106" s="230"/>
      <c r="CW106" s="234"/>
      <c r="CX106" s="230"/>
      <c r="CY106" s="235"/>
      <c r="CZ106" s="230"/>
      <c r="DA106" s="230"/>
      <c r="DB106" s="235">
        <f>IFERROR(__xludf.DUMMYFUNCTION("""COMPUTED_VALUE"""),77.77777777777779)</f>
        <v>77.77777778</v>
      </c>
      <c r="DC106" s="234"/>
      <c r="DD106" s="230"/>
      <c r="DE106" s="235"/>
      <c r="DF106" s="234"/>
      <c r="DG106" s="230"/>
      <c r="DH106" s="235"/>
      <c r="DI106" s="234"/>
      <c r="DJ106" s="230"/>
      <c r="DK106" s="235"/>
      <c r="DL106" s="311"/>
      <c r="DM106" s="312">
        <f>IFERROR(__xludf.DUMMYFUNCTION("""COMPUTED_VALUE"""),22.22222222222222)</f>
        <v>22.22222222</v>
      </c>
      <c r="DN106" s="313">
        <f>IFERROR(__xludf.DUMMYFUNCTION("""COMPUTED_VALUE"""),22.22222222222222)</f>
        <v>22.22222222</v>
      </c>
      <c r="DO106" s="96"/>
      <c r="DP106" s="96"/>
      <c r="DQ106" s="96"/>
      <c r="DR106" s="96"/>
      <c r="DS106" s="96"/>
      <c r="DT106" s="96"/>
      <c r="DU106" s="96"/>
    </row>
    <row r="107">
      <c r="B107" s="120" t="str">
        <f>IFERROR(__xludf.DUMMYFUNCTION("""COMPUTED_VALUE"""),"EPU10")</f>
        <v>EPU10</v>
      </c>
      <c r="C107" s="88" t="str">
        <f>IFERROR(__xludf.DUMMYFUNCTION("""COMPUTED_VALUE"""),"Alexandria")</f>
        <v>Alexandria</v>
      </c>
      <c r="D107" s="102">
        <f>IFERROR(__xludf.DUMMYFUNCTION("""COMPUTED_VALUE"""),18.0)</f>
        <v>18</v>
      </c>
      <c r="E107" s="82" t="b">
        <f>IFERROR(__xludf.DUMMYFUNCTION("""COMPUTED_VALUE"""),TRUE)</f>
        <v>1</v>
      </c>
      <c r="F107" s="82" t="str">
        <f>IFERROR(__xludf.DUMMYFUNCTION("""COMPUTED_VALUE"""),"Free Quests- Part 1!A861:J873")</f>
        <v>Free Quests- Part 1!A861:J873</v>
      </c>
      <c r="G107" s="82">
        <f>IFERROR(__xludf.DUMMYFUNCTION("""COMPUTED_VALUE"""),108.0)</f>
        <v>108</v>
      </c>
      <c r="H107" s="82">
        <f>IFERROR(__xludf.DUMMYFUNCTION("""COMPUTED_VALUE"""),378.0)</f>
        <v>378</v>
      </c>
      <c r="I107" s="82">
        <f>IFERROR(__xludf.DUMMYFUNCTION("""COMPUTED_VALUE"""),12696.0)</f>
        <v>12696</v>
      </c>
      <c r="J107" s="82">
        <f>IFERROR(__xludf.DUMMYFUNCTION("""COMPUTED_VALUE"""),13074.0)</f>
        <v>13074</v>
      </c>
      <c r="K107" s="234"/>
      <c r="L107" s="230"/>
      <c r="M107" s="235"/>
      <c r="N107" s="234"/>
      <c r="O107" s="230"/>
      <c r="P107" s="235">
        <f>IFERROR(__xludf.DUMMYFUNCTION("""COMPUTED_VALUE"""),12.063760134618327)</f>
        <v>12.06376013</v>
      </c>
      <c r="Q107" s="234"/>
      <c r="R107" s="230"/>
      <c r="S107" s="235"/>
      <c r="T107" s="234"/>
      <c r="U107" s="230"/>
      <c r="V107" s="235"/>
      <c r="W107" s="234"/>
      <c r="X107" s="230"/>
      <c r="Y107" s="235"/>
      <c r="Z107" s="234"/>
      <c r="AA107" s="230"/>
      <c r="AB107" s="235"/>
      <c r="AC107" s="234"/>
      <c r="AD107" s="230"/>
      <c r="AE107" s="235"/>
      <c r="AF107" s="234"/>
      <c r="AG107" s="230"/>
      <c r="AH107" s="235"/>
      <c r="AI107" s="234"/>
      <c r="AJ107" s="230"/>
      <c r="AK107" s="235"/>
      <c r="AL107" s="231"/>
      <c r="AM107" s="230"/>
      <c r="AN107" s="235"/>
      <c r="AO107" s="234"/>
      <c r="AP107" s="230"/>
      <c r="AQ107" s="235"/>
      <c r="AR107" s="234"/>
      <c r="AS107" s="230"/>
      <c r="AT107" s="235"/>
      <c r="AU107" s="234"/>
      <c r="AV107" s="230"/>
      <c r="AW107" s="235">
        <f>IFERROR(__xludf.DUMMYFUNCTION("""COMPUTED_VALUE"""),53.33994186935904)</f>
        <v>53.33994187</v>
      </c>
      <c r="AX107" s="234"/>
      <c r="AY107" s="230"/>
      <c r="AZ107" s="235"/>
      <c r="BA107" s="234"/>
      <c r="BB107" s="230"/>
      <c r="BC107" s="235"/>
      <c r="BD107" s="234"/>
      <c r="BE107" s="230"/>
      <c r="BF107" s="235"/>
      <c r="BG107" s="234"/>
      <c r="BH107" s="230"/>
      <c r="BI107" s="235"/>
      <c r="BJ107" s="234"/>
      <c r="BK107" s="230"/>
      <c r="BL107" s="235"/>
      <c r="BM107" s="234"/>
      <c r="BN107" s="230">
        <f>IFERROR(__xludf.DUMMYFUNCTION("""COMPUTED_VALUE"""),7.990515527000153)</f>
        <v>7.990515527</v>
      </c>
      <c r="BO107" s="235"/>
      <c r="BP107" s="234"/>
      <c r="BQ107" s="230"/>
      <c r="BR107" s="235"/>
      <c r="BS107" s="234"/>
      <c r="BT107" s="230">
        <f>IFERROR(__xludf.DUMMYFUNCTION("""COMPUTED_VALUE"""),14.846320942328287)</f>
        <v>14.84632094</v>
      </c>
      <c r="BU107" s="235">
        <f>IFERROR(__xludf.DUMMYFUNCTION("""COMPUTED_VALUE"""),4.821844882973841)</f>
        <v>4.821844883</v>
      </c>
      <c r="BV107" s="234">
        <f>IFERROR(__xludf.DUMMYFUNCTION("""COMPUTED_VALUE"""),10.029799602264033)</f>
        <v>10.0297996</v>
      </c>
      <c r="BW107" s="230"/>
      <c r="BX107" s="235"/>
      <c r="BY107" s="234"/>
      <c r="BZ107" s="230"/>
      <c r="CA107" s="235"/>
      <c r="CB107" s="234"/>
      <c r="CC107" s="230"/>
      <c r="CD107" s="235"/>
      <c r="CE107" s="234"/>
      <c r="CF107" s="230"/>
      <c r="CG107" s="235"/>
      <c r="CH107" s="234"/>
      <c r="CI107" s="230"/>
      <c r="CJ107" s="230"/>
      <c r="CK107" s="234"/>
      <c r="CL107" s="230"/>
      <c r="CM107" s="235"/>
      <c r="CN107" s="230"/>
      <c r="CO107" s="230"/>
      <c r="CP107" s="230"/>
      <c r="CQ107" s="234"/>
      <c r="CR107" s="230"/>
      <c r="CS107" s="230"/>
      <c r="CT107" s="234"/>
      <c r="CU107" s="230"/>
      <c r="CV107" s="230"/>
      <c r="CW107" s="234"/>
      <c r="CX107" s="230">
        <f>IFERROR(__xludf.DUMMYFUNCTION("""COMPUTED_VALUE"""),100.0)</f>
        <v>100</v>
      </c>
      <c r="CY107" s="235"/>
      <c r="CZ107" s="230"/>
      <c r="DA107" s="230"/>
      <c r="DB107" s="235"/>
      <c r="DC107" s="234"/>
      <c r="DD107" s="230"/>
      <c r="DE107" s="235"/>
      <c r="DF107" s="234"/>
      <c r="DG107" s="230"/>
      <c r="DH107" s="235"/>
      <c r="DI107" s="234"/>
      <c r="DJ107" s="230"/>
      <c r="DK107" s="235"/>
      <c r="DL107" s="280"/>
      <c r="DM107" s="286">
        <f>IFERROR(__xludf.DUMMYFUNCTION("""COMPUTED_VALUE"""),25.0)</f>
        <v>25</v>
      </c>
      <c r="DN107" s="282">
        <f>IFERROR(__xludf.DUMMYFUNCTION("""COMPUTED_VALUE"""),0.0)</f>
        <v>0</v>
      </c>
      <c r="DO107" s="96">
        <f>IFERROR(__xludf.DUMMYFUNCTION("""COMPUTED_VALUE"""),12.5)</f>
        <v>12.5</v>
      </c>
      <c r="DP107" s="96"/>
      <c r="DQ107" s="96"/>
      <c r="DR107" s="96"/>
      <c r="DS107" s="96"/>
      <c r="DT107" s="96"/>
      <c r="DU107" s="96"/>
    </row>
    <row r="108">
      <c r="B108" s="120" t="str">
        <f>IFERROR(__xludf.DUMMYFUNCTION("""COMPUTED_VALUE"""),"EPU11")</f>
        <v>EPU11</v>
      </c>
      <c r="C108" s="88" t="str">
        <f>IFERROR(__xludf.DUMMYFUNCTION("""COMPUTED_VALUE"""),"Kearney")</f>
        <v>Kearney</v>
      </c>
      <c r="D108" s="102">
        <f>IFERROR(__xludf.DUMMYFUNCTION("""COMPUTED_VALUE"""),18.0)</f>
        <v>18</v>
      </c>
      <c r="E108" s="82" t="b">
        <f>IFERROR(__xludf.DUMMYFUNCTION("""COMPUTED_VALUE"""),TRUE)</f>
        <v>1</v>
      </c>
      <c r="F108" s="82" t="str">
        <f>IFERROR(__xludf.DUMMYFUNCTION("""COMPUTED_VALUE"""),"Free Quests- Part 1!A877:J887")</f>
        <v>Free Quests- Part 1!A877:J887</v>
      </c>
      <c r="G108" s="82">
        <f>IFERROR(__xludf.DUMMYFUNCTION("""COMPUTED_VALUE"""),109.0)</f>
        <v>109</v>
      </c>
      <c r="H108" s="82">
        <f>IFERROR(__xludf.DUMMYFUNCTION("""COMPUTED_VALUE"""),406.0)</f>
        <v>406</v>
      </c>
      <c r="I108" s="82">
        <f>IFERROR(__xludf.DUMMYFUNCTION("""COMPUTED_VALUE"""),2205.0)</f>
        <v>2205</v>
      </c>
      <c r="J108" s="82">
        <f>IFERROR(__xludf.DUMMYFUNCTION("""COMPUTED_VALUE"""),2611.0)</f>
        <v>2611</v>
      </c>
      <c r="K108" s="234"/>
      <c r="L108" s="230"/>
      <c r="M108" s="235"/>
      <c r="N108" s="234"/>
      <c r="O108" s="230">
        <f>IFERROR(__xludf.DUMMYFUNCTION("""COMPUTED_VALUE"""),12.654921486020681)</f>
        <v>12.65492149</v>
      </c>
      <c r="P108" s="235"/>
      <c r="Q108" s="234"/>
      <c r="R108" s="230"/>
      <c r="S108" s="235"/>
      <c r="T108" s="234"/>
      <c r="U108" s="230"/>
      <c r="V108" s="235"/>
      <c r="W108" s="234"/>
      <c r="X108" s="230"/>
      <c r="Y108" s="235"/>
      <c r="Z108" s="234"/>
      <c r="AA108" s="230"/>
      <c r="AB108" s="235"/>
      <c r="AC108" s="234"/>
      <c r="AD108" s="230"/>
      <c r="AE108" s="235"/>
      <c r="AF108" s="234"/>
      <c r="AG108" s="230"/>
      <c r="AH108" s="235"/>
      <c r="AI108" s="234"/>
      <c r="AJ108" s="230"/>
      <c r="AK108" s="235"/>
      <c r="AL108" s="231"/>
      <c r="AM108" s="230"/>
      <c r="AN108" s="235"/>
      <c r="AO108" s="234"/>
      <c r="AP108" s="230"/>
      <c r="AQ108" s="235"/>
      <c r="AR108" s="234"/>
      <c r="AS108" s="230"/>
      <c r="AT108" s="235"/>
      <c r="AU108" s="234"/>
      <c r="AV108" s="230"/>
      <c r="AW108" s="235">
        <f>IFERROR(__xludf.DUMMYFUNCTION("""COMPUTED_VALUE"""),54.79797012638836)</f>
        <v>54.79797013</v>
      </c>
      <c r="AX108" s="234"/>
      <c r="AY108" s="230"/>
      <c r="AZ108" s="235"/>
      <c r="BA108" s="234"/>
      <c r="BB108" s="230"/>
      <c r="BC108" s="235"/>
      <c r="BD108" s="234"/>
      <c r="BE108" s="230"/>
      <c r="BF108" s="235"/>
      <c r="BG108" s="234"/>
      <c r="BH108" s="230"/>
      <c r="BI108" s="235"/>
      <c r="BJ108" s="234"/>
      <c r="BK108" s="230"/>
      <c r="BL108" s="235"/>
      <c r="BM108" s="234"/>
      <c r="BN108" s="230"/>
      <c r="BO108" s="235">
        <f>IFERROR(__xludf.DUMMYFUNCTION("""COMPUTED_VALUE"""),8.931582300321185)</f>
        <v>8.9315823</v>
      </c>
      <c r="BP108" s="234"/>
      <c r="BQ108" s="230"/>
      <c r="BR108" s="235"/>
      <c r="BS108" s="234"/>
      <c r="BT108" s="230">
        <f>IFERROR(__xludf.DUMMYFUNCTION("""COMPUTED_VALUE"""),13.495288402834921)</f>
        <v>13.4952884</v>
      </c>
      <c r="BU108" s="235"/>
      <c r="BV108" s="234">
        <f>IFERROR(__xludf.DUMMYFUNCTION("""COMPUTED_VALUE"""),15.699599182438352)</f>
        <v>15.69959918</v>
      </c>
      <c r="BW108" s="230"/>
      <c r="BX108" s="235"/>
      <c r="BY108" s="234"/>
      <c r="BZ108" s="230"/>
      <c r="CA108" s="235"/>
      <c r="CB108" s="234"/>
      <c r="CC108" s="230"/>
      <c r="CD108" s="235"/>
      <c r="CE108" s="234"/>
      <c r="CF108" s="230"/>
      <c r="CG108" s="235"/>
      <c r="CH108" s="234"/>
      <c r="CI108" s="230"/>
      <c r="CJ108" s="230"/>
      <c r="CK108" s="234"/>
      <c r="CL108" s="230"/>
      <c r="CM108" s="235"/>
      <c r="CN108" s="230"/>
      <c r="CO108" s="230"/>
      <c r="CP108" s="230"/>
      <c r="CQ108" s="234"/>
      <c r="CR108" s="230"/>
      <c r="CS108" s="230"/>
      <c r="CT108" s="234"/>
      <c r="CU108" s="230"/>
      <c r="CV108" s="230"/>
      <c r="CW108" s="234"/>
      <c r="CX108" s="230"/>
      <c r="CY108" s="235">
        <f>IFERROR(__xludf.DUMMYFUNCTION("""COMPUTED_VALUE"""),100.0)</f>
        <v>100</v>
      </c>
      <c r="CZ108" s="230"/>
      <c r="DA108" s="230"/>
      <c r="DB108" s="235"/>
      <c r="DC108" s="234"/>
      <c r="DD108" s="230"/>
      <c r="DE108" s="235"/>
      <c r="DF108" s="234"/>
      <c r="DG108" s="230"/>
      <c r="DH108" s="235"/>
      <c r="DI108" s="234"/>
      <c r="DJ108" s="230"/>
      <c r="DK108" s="235"/>
      <c r="DL108" s="311"/>
      <c r="DM108" s="312">
        <f>IFERROR(__xludf.DUMMYFUNCTION("""COMPUTED_VALUE"""),30.76923076923077)</f>
        <v>30.76923077</v>
      </c>
      <c r="DN108" s="313"/>
      <c r="DO108" s="96">
        <f>IFERROR(__xludf.DUMMYFUNCTION("""COMPUTED_VALUE"""),7.6923076923076925)</f>
        <v>7.692307692</v>
      </c>
      <c r="DP108" s="96"/>
      <c r="DQ108" s="96"/>
      <c r="DR108" s="96"/>
      <c r="DS108" s="96"/>
      <c r="DT108" s="96"/>
      <c r="DU108" s="96"/>
    </row>
    <row r="109">
      <c r="B109" s="120" t="str">
        <f>IFERROR(__xludf.DUMMYFUNCTION("""COMPUTED_VALUE"""),"EPU12")</f>
        <v>EPU12</v>
      </c>
      <c r="C109" s="88" t="str">
        <f>IFERROR(__xludf.DUMMYFUNCTION("""COMPUTED_VALUE"""),"Charlotte")</f>
        <v>Charlotte</v>
      </c>
      <c r="D109" s="102">
        <f>IFERROR(__xludf.DUMMYFUNCTION("""COMPUTED_VALUE"""),20.0)</f>
        <v>20</v>
      </c>
      <c r="E109" s="82" t="b">
        <f>IFERROR(__xludf.DUMMYFUNCTION("""COMPUTED_VALUE"""),TRUE)</f>
        <v>1</v>
      </c>
      <c r="F109" s="82" t="str">
        <f>IFERROR(__xludf.DUMMYFUNCTION("""COMPUTED_VALUE"""),"Free Quests- Part 1!A891:J907")</f>
        <v>Free Quests- Part 1!A891:J907</v>
      </c>
      <c r="G109" s="82">
        <f>IFERROR(__xludf.DUMMYFUNCTION("""COMPUTED_VALUE"""),110.0)</f>
        <v>110</v>
      </c>
      <c r="H109" s="82">
        <f>IFERROR(__xludf.DUMMYFUNCTION("""COMPUTED_VALUE"""),2888.0)</f>
        <v>2888</v>
      </c>
      <c r="I109" s="82">
        <f>IFERROR(__xludf.DUMMYFUNCTION("""COMPUTED_VALUE"""),358394.0)</f>
        <v>358394</v>
      </c>
      <c r="J109" s="82">
        <f>IFERROR(__xludf.DUMMYFUNCTION("""COMPUTED_VALUE"""),361282.0)</f>
        <v>361282</v>
      </c>
      <c r="K109" s="234"/>
      <c r="L109" s="230"/>
      <c r="M109" s="235"/>
      <c r="N109" s="234"/>
      <c r="O109" s="230"/>
      <c r="P109" s="235"/>
      <c r="Q109" s="234"/>
      <c r="R109" s="230"/>
      <c r="S109" s="235"/>
      <c r="T109" s="234"/>
      <c r="U109" s="230"/>
      <c r="V109" s="235"/>
      <c r="W109" s="234"/>
      <c r="X109" s="230"/>
      <c r="Y109" s="235"/>
      <c r="Z109" s="234"/>
      <c r="AA109" s="230"/>
      <c r="AB109" s="235"/>
      <c r="AC109" s="234"/>
      <c r="AD109" s="230"/>
      <c r="AE109" s="235"/>
      <c r="AF109" s="234"/>
      <c r="AG109" s="230"/>
      <c r="AH109" s="235"/>
      <c r="AI109" s="234"/>
      <c r="AJ109" s="230"/>
      <c r="AK109" s="235"/>
      <c r="AL109" s="231"/>
      <c r="AM109" s="230"/>
      <c r="AN109" s="235"/>
      <c r="AO109" s="234"/>
      <c r="AP109" s="230"/>
      <c r="AQ109" s="235"/>
      <c r="AR109" s="234"/>
      <c r="AS109" s="230"/>
      <c r="AT109" s="235"/>
      <c r="AU109" s="234"/>
      <c r="AV109" s="230"/>
      <c r="AW109" s="235">
        <f>IFERROR(__xludf.DUMMYFUNCTION("""COMPUTED_VALUE"""),48.11020587795684)</f>
        <v>48.11020588</v>
      </c>
      <c r="AX109" s="234"/>
      <c r="AY109" s="230"/>
      <c r="AZ109" s="235">
        <f>IFERROR(__xludf.DUMMYFUNCTION("""COMPUTED_VALUE"""),64.20080380423049)</f>
        <v>64.2008038</v>
      </c>
      <c r="BA109" s="234"/>
      <c r="BB109" s="230"/>
      <c r="BC109" s="235"/>
      <c r="BD109" s="234"/>
      <c r="BE109" s="230"/>
      <c r="BF109" s="235"/>
      <c r="BG109" s="234"/>
      <c r="BH109" s="230"/>
      <c r="BI109" s="235"/>
      <c r="BJ109" s="234"/>
      <c r="BK109" s="230"/>
      <c r="BL109" s="235"/>
      <c r="BM109" s="234"/>
      <c r="BN109" s="230"/>
      <c r="BO109" s="235"/>
      <c r="BP109" s="234"/>
      <c r="BQ109" s="230"/>
      <c r="BR109" s="235"/>
      <c r="BS109" s="234"/>
      <c r="BT109" s="230"/>
      <c r="BU109" s="235">
        <f>IFERROR(__xludf.DUMMYFUNCTION("""COMPUTED_VALUE"""),8.411842132758109)</f>
        <v>8.411842133</v>
      </c>
      <c r="BV109" s="234">
        <f>IFERROR(__xludf.DUMMYFUNCTION("""COMPUTED_VALUE"""),8.516899079758565)</f>
        <v>8.51689908</v>
      </c>
      <c r="BW109" s="230"/>
      <c r="BX109" s="235">
        <f>IFERROR(__xludf.DUMMYFUNCTION("""COMPUTED_VALUE"""),4.304946158200788)</f>
        <v>4.304946158</v>
      </c>
      <c r="BY109" s="234"/>
      <c r="BZ109" s="230"/>
      <c r="CA109" s="235"/>
      <c r="CB109" s="234"/>
      <c r="CC109" s="230">
        <f>IFERROR(__xludf.DUMMYFUNCTION("""COMPUTED_VALUE"""),3.501862401111163)</f>
        <v>3.501862401</v>
      </c>
      <c r="CD109" s="235"/>
      <c r="CE109" s="234"/>
      <c r="CF109" s="230"/>
      <c r="CG109" s="235">
        <f>IFERROR(__xludf.DUMMYFUNCTION("""COMPUTED_VALUE"""),10.312327212537575)</f>
        <v>10.31232721</v>
      </c>
      <c r="CH109" s="234"/>
      <c r="CI109" s="230"/>
      <c r="CJ109" s="230">
        <f>IFERROR(__xludf.DUMMYFUNCTION("""COMPUTED_VALUE"""),8.41886343760698)</f>
        <v>8.418863438</v>
      </c>
      <c r="CK109" s="234"/>
      <c r="CL109" s="230"/>
      <c r="CM109" s="235"/>
      <c r="CN109" s="230">
        <f>IFERROR(__xludf.DUMMYFUNCTION("""COMPUTED_VALUE"""),25.13281512140693)</f>
        <v>25.13281512</v>
      </c>
      <c r="CO109" s="230"/>
      <c r="CP109" s="230"/>
      <c r="CQ109" s="234"/>
      <c r="CR109" s="230"/>
      <c r="CS109" s="230"/>
      <c r="CT109" s="234"/>
      <c r="CU109" s="230"/>
      <c r="CV109" s="230"/>
      <c r="CW109" s="234"/>
      <c r="CX109" s="230"/>
      <c r="CY109" s="235"/>
      <c r="CZ109" s="230"/>
      <c r="DA109" s="230"/>
      <c r="DB109" s="235"/>
      <c r="DC109" s="234"/>
      <c r="DD109" s="230"/>
      <c r="DE109" s="235"/>
      <c r="DF109" s="234"/>
      <c r="DG109" s="230">
        <f>IFERROR(__xludf.DUMMYFUNCTION("""COMPUTED_VALUE"""),15.452930728241562)</f>
        <v>15.45293073</v>
      </c>
      <c r="DH109" s="235"/>
      <c r="DI109" s="234"/>
      <c r="DJ109" s="230"/>
      <c r="DK109" s="235">
        <f>IFERROR(__xludf.DUMMYFUNCTION("""COMPUTED_VALUE"""),62.34458259325044)</f>
        <v>62.34458259</v>
      </c>
      <c r="DL109" s="280"/>
      <c r="DM109" s="286"/>
      <c r="DN109" s="282">
        <f>IFERROR(__xludf.DUMMYFUNCTION("""COMPUTED_VALUE"""),10.8348134991119)</f>
        <v>10.8348135</v>
      </c>
      <c r="DO109" s="96">
        <f>IFERROR(__xludf.DUMMYFUNCTION("""COMPUTED_VALUE"""),9.946714031971581)</f>
        <v>9.946714032</v>
      </c>
      <c r="DP109" s="96"/>
      <c r="DQ109" s="96">
        <f>IFERROR(__xludf.DUMMYFUNCTION("""COMPUTED_VALUE"""),3.5523978685612785)</f>
        <v>3.552397869</v>
      </c>
      <c r="DR109" s="96"/>
      <c r="DS109" s="96"/>
      <c r="DT109" s="96"/>
      <c r="DU109" s="96"/>
    </row>
    <row r="110">
      <c r="B110" s="120" t="str">
        <f>IFERROR(__xludf.DUMMYFUNCTION("""COMPUTED_VALUE"""),"EPU13")</f>
        <v>EPU13</v>
      </c>
      <c r="C110" s="88" t="str">
        <f>IFERROR(__xludf.DUMMYFUNCTION("""COMPUTED_VALUE"""),"Washington")</f>
        <v>Washington</v>
      </c>
      <c r="D110" s="102">
        <f>IFERROR(__xludf.DUMMYFUNCTION("""COMPUTED_VALUE"""),20.0)</f>
        <v>20</v>
      </c>
      <c r="E110" s="82" t="b">
        <f>IFERROR(__xludf.DUMMYFUNCTION("""COMPUTED_VALUE"""),TRUE)</f>
        <v>1</v>
      </c>
      <c r="F110" s="82" t="str">
        <f>IFERROR(__xludf.DUMMYFUNCTION("""COMPUTED_VALUE"""),"Free Quests- Part 1!A911:J925")</f>
        <v>Free Quests- Part 1!A911:J925</v>
      </c>
      <c r="G110" s="82">
        <f>IFERROR(__xludf.DUMMYFUNCTION("""COMPUTED_VALUE"""),111.0)</f>
        <v>111</v>
      </c>
      <c r="H110" s="82">
        <f>IFERROR(__xludf.DUMMYFUNCTION("""COMPUTED_VALUE"""),109.0)</f>
        <v>109</v>
      </c>
      <c r="I110" s="82">
        <f>IFERROR(__xludf.DUMMYFUNCTION("""COMPUTED_VALUE"""),1551.0)</f>
        <v>1551</v>
      </c>
      <c r="J110" s="82">
        <f>IFERROR(__xludf.DUMMYFUNCTION("""COMPUTED_VALUE"""),1660.0)</f>
        <v>1660</v>
      </c>
      <c r="K110" s="234"/>
      <c r="L110" s="230"/>
      <c r="M110" s="235"/>
      <c r="N110" s="234">
        <f>IFERROR(__xludf.DUMMYFUNCTION("""COMPUTED_VALUE"""),8.11644578313253)</f>
        <v>8.116445783</v>
      </c>
      <c r="O110" s="230"/>
      <c r="P110" s="235"/>
      <c r="Q110" s="234"/>
      <c r="R110" s="230"/>
      <c r="S110" s="235"/>
      <c r="T110" s="234"/>
      <c r="U110" s="230"/>
      <c r="V110" s="235"/>
      <c r="W110" s="234"/>
      <c r="X110" s="230"/>
      <c r="Y110" s="235"/>
      <c r="Z110" s="234"/>
      <c r="AA110" s="230"/>
      <c r="AB110" s="235"/>
      <c r="AC110" s="234"/>
      <c r="AD110" s="230"/>
      <c r="AE110" s="235"/>
      <c r="AF110" s="234"/>
      <c r="AG110" s="230"/>
      <c r="AH110" s="235"/>
      <c r="AI110" s="234"/>
      <c r="AJ110" s="230"/>
      <c r="AK110" s="235"/>
      <c r="AL110" s="231"/>
      <c r="AM110" s="230"/>
      <c r="AN110" s="235"/>
      <c r="AO110" s="234"/>
      <c r="AP110" s="230"/>
      <c r="AQ110" s="235"/>
      <c r="AR110" s="234"/>
      <c r="AS110" s="230"/>
      <c r="AT110" s="235"/>
      <c r="AU110" s="234"/>
      <c r="AV110" s="230"/>
      <c r="AW110" s="235">
        <f>IFERROR(__xludf.DUMMYFUNCTION("""COMPUTED_VALUE"""),53.275722891566275)</f>
        <v>53.27572289</v>
      </c>
      <c r="AX110" s="234"/>
      <c r="AY110" s="230"/>
      <c r="AZ110" s="235"/>
      <c r="BA110" s="234"/>
      <c r="BB110" s="230"/>
      <c r="BC110" s="235"/>
      <c r="BD110" s="234"/>
      <c r="BE110" s="230"/>
      <c r="BF110" s="235">
        <f>IFERROR(__xludf.DUMMYFUNCTION("""COMPUTED_VALUE"""),3.1706024096385548)</f>
        <v>3.17060241</v>
      </c>
      <c r="BG110" s="234"/>
      <c r="BH110" s="230"/>
      <c r="BI110" s="235"/>
      <c r="BJ110" s="234"/>
      <c r="BK110" s="230"/>
      <c r="BL110" s="235"/>
      <c r="BM110" s="234"/>
      <c r="BN110" s="230"/>
      <c r="BO110" s="235"/>
      <c r="BP110" s="234"/>
      <c r="BQ110" s="230"/>
      <c r="BR110" s="235"/>
      <c r="BS110" s="234"/>
      <c r="BT110" s="230">
        <f>IFERROR(__xludf.DUMMYFUNCTION("""COMPUTED_VALUE"""),14.225301204819278)</f>
        <v>14.2253012</v>
      </c>
      <c r="BU110" s="235">
        <f>IFERROR(__xludf.DUMMYFUNCTION("""COMPUTED_VALUE"""),5.226144578313254)</f>
        <v>5.226144578</v>
      </c>
      <c r="BV110" s="234">
        <f>IFERROR(__xludf.DUMMYFUNCTION("""COMPUTED_VALUE"""),4.565963855421686)</f>
        <v>4.565963855</v>
      </c>
      <c r="BW110" s="230"/>
      <c r="BX110" s="235">
        <f>IFERROR(__xludf.DUMMYFUNCTION("""COMPUTED_VALUE"""),5.8137951807228925)</f>
        <v>5.813795181</v>
      </c>
      <c r="BY110" s="234"/>
      <c r="BZ110" s="230"/>
      <c r="CA110" s="235"/>
      <c r="CB110" s="234"/>
      <c r="CC110" s="230"/>
      <c r="CD110" s="235"/>
      <c r="CE110" s="234"/>
      <c r="CF110" s="230"/>
      <c r="CG110" s="235"/>
      <c r="CH110" s="234"/>
      <c r="CI110" s="230"/>
      <c r="CJ110" s="230"/>
      <c r="CK110" s="234"/>
      <c r="CL110" s="230"/>
      <c r="CM110" s="235"/>
      <c r="CN110" s="230"/>
      <c r="CO110" s="230">
        <f>IFERROR(__xludf.DUMMYFUNCTION("""COMPUTED_VALUE"""),87.89755593803787)</f>
        <v>87.89755594</v>
      </c>
      <c r="CP110" s="230"/>
      <c r="CQ110" s="234"/>
      <c r="CR110" s="230"/>
      <c r="CS110" s="230"/>
      <c r="CT110" s="234"/>
      <c r="CU110" s="230"/>
      <c r="CV110" s="230"/>
      <c r="CW110" s="234"/>
      <c r="CX110" s="230"/>
      <c r="CY110" s="235"/>
      <c r="CZ110" s="230"/>
      <c r="DA110" s="230"/>
      <c r="DB110" s="235"/>
      <c r="DC110" s="234"/>
      <c r="DD110" s="230"/>
      <c r="DE110" s="235"/>
      <c r="DF110" s="234"/>
      <c r="DG110" s="230"/>
      <c r="DH110" s="235"/>
      <c r="DI110" s="234"/>
      <c r="DJ110" s="230"/>
      <c r="DK110" s="235"/>
      <c r="DL110" s="311"/>
      <c r="DM110" s="312">
        <f>IFERROR(__xludf.DUMMYFUNCTION("""COMPUTED_VALUE"""),22.641509433962266)</f>
        <v>22.64150943</v>
      </c>
      <c r="DN110" s="313">
        <f>IFERROR(__xludf.DUMMYFUNCTION("""COMPUTED_VALUE"""),11.320754716981133)</f>
        <v>11.32075472</v>
      </c>
      <c r="DO110" s="96">
        <f>IFERROR(__xludf.DUMMYFUNCTION("""COMPUTED_VALUE"""),5.660377358490567)</f>
        <v>5.660377358</v>
      </c>
      <c r="DP110" s="96"/>
      <c r="DQ110" s="96">
        <f>IFERROR(__xludf.DUMMYFUNCTION("""COMPUTED_VALUE"""),3.7735849056603774)</f>
        <v>3.773584906</v>
      </c>
      <c r="DR110" s="96"/>
      <c r="DS110" s="96"/>
      <c r="DT110" s="96"/>
      <c r="DU110" s="96"/>
    </row>
    <row r="111">
      <c r="B111" s="120" t="str">
        <f>IFERROR(__xludf.DUMMYFUNCTION("""COMPUTED_VALUE"""),"EPU14")</f>
        <v>EPU14</v>
      </c>
      <c r="C111" s="88" t="str">
        <f>IFERROR(__xludf.DUMMYFUNCTION("""COMPUTED_VALUE"""),"Chicago")</f>
        <v>Chicago</v>
      </c>
      <c r="D111" s="102">
        <f>IFERROR(__xludf.DUMMYFUNCTION("""COMPUTED_VALUE"""),21.0)</f>
        <v>21</v>
      </c>
      <c r="E111" s="82" t="b">
        <f>IFERROR(__xludf.DUMMYFUNCTION("""COMPUTED_VALUE"""),TRUE)</f>
        <v>1</v>
      </c>
      <c r="F111" s="82" t="str">
        <f>IFERROR(__xludf.DUMMYFUNCTION("""COMPUTED_VALUE"""),"Free Quests- Part 1!A929:J939")</f>
        <v>Free Quests- Part 1!A929:J939</v>
      </c>
      <c r="G111" s="82">
        <f>IFERROR(__xludf.DUMMYFUNCTION("""COMPUTED_VALUE"""),112.0)</f>
        <v>112</v>
      </c>
      <c r="H111" s="82">
        <f>IFERROR(__xludf.DUMMYFUNCTION("""COMPUTED_VALUE"""),383.0)</f>
        <v>383</v>
      </c>
      <c r="I111" s="82">
        <f>IFERROR(__xludf.DUMMYFUNCTION("""COMPUTED_VALUE"""),3494.0)</f>
        <v>3494</v>
      </c>
      <c r="J111" s="82">
        <f>IFERROR(__xludf.DUMMYFUNCTION("""COMPUTED_VALUE"""),3877.0)</f>
        <v>3877</v>
      </c>
      <c r="K111" s="234"/>
      <c r="L111" s="230"/>
      <c r="M111" s="235"/>
      <c r="N111" s="234"/>
      <c r="O111" s="230"/>
      <c r="P111" s="235"/>
      <c r="Q111" s="234"/>
      <c r="R111" s="230"/>
      <c r="S111" s="235"/>
      <c r="T111" s="234"/>
      <c r="U111" s="230"/>
      <c r="V111" s="235"/>
      <c r="W111" s="234"/>
      <c r="X111" s="230"/>
      <c r="Y111" s="235"/>
      <c r="Z111" s="234"/>
      <c r="AA111" s="230"/>
      <c r="AB111" s="235"/>
      <c r="AC111" s="234"/>
      <c r="AD111" s="230"/>
      <c r="AE111" s="235"/>
      <c r="AF111" s="234"/>
      <c r="AG111" s="230"/>
      <c r="AH111" s="235">
        <f>IFERROR(__xludf.DUMMYFUNCTION("""COMPUTED_VALUE"""),40.58746453443384)</f>
        <v>40.58746453</v>
      </c>
      <c r="AI111" s="234"/>
      <c r="AJ111" s="230"/>
      <c r="AK111" s="235"/>
      <c r="AL111" s="231"/>
      <c r="AM111" s="230"/>
      <c r="AN111" s="235"/>
      <c r="AO111" s="234"/>
      <c r="AP111" s="230"/>
      <c r="AQ111" s="235"/>
      <c r="AR111" s="234"/>
      <c r="AS111" s="230"/>
      <c r="AT111" s="235"/>
      <c r="AU111" s="234"/>
      <c r="AV111" s="230"/>
      <c r="AW111" s="235"/>
      <c r="AX111" s="234"/>
      <c r="AY111" s="230"/>
      <c r="AZ111" s="235"/>
      <c r="BA111" s="234"/>
      <c r="BB111" s="230"/>
      <c r="BC111" s="235"/>
      <c r="BD111" s="234"/>
      <c r="BE111" s="230"/>
      <c r="BF111" s="235"/>
      <c r="BG111" s="234">
        <f>IFERROR(__xludf.DUMMYFUNCTION("""COMPUTED_VALUE"""),3.7083311839050808)</f>
        <v>3.708331184</v>
      </c>
      <c r="BH111" s="230"/>
      <c r="BI111" s="235"/>
      <c r="BJ111" s="234"/>
      <c r="BK111" s="230"/>
      <c r="BL111" s="235"/>
      <c r="BM111" s="234"/>
      <c r="BN111" s="230">
        <f>IFERROR(__xludf.DUMMYFUNCTION("""COMPUTED_VALUE"""),16.340521021408307)</f>
        <v>16.34052102</v>
      </c>
      <c r="BO111" s="235"/>
      <c r="BP111" s="234"/>
      <c r="BQ111" s="230"/>
      <c r="BR111" s="235"/>
      <c r="BS111" s="234"/>
      <c r="BT111" s="230"/>
      <c r="BU111" s="235">
        <f>IFERROR(__xludf.DUMMYFUNCTION("""COMPUTED_VALUE"""),22.713954088212535)</f>
        <v>22.71395409</v>
      </c>
      <c r="BV111" s="234"/>
      <c r="BW111" s="230"/>
      <c r="BX111" s="235"/>
      <c r="BY111" s="234"/>
      <c r="BZ111" s="230"/>
      <c r="CA111" s="235"/>
      <c r="CB111" s="234"/>
      <c r="CC111" s="230"/>
      <c r="CD111" s="235"/>
      <c r="CE111" s="234"/>
      <c r="CF111" s="230"/>
      <c r="CG111" s="235"/>
      <c r="CH111" s="234"/>
      <c r="CI111" s="230"/>
      <c r="CJ111" s="230"/>
      <c r="CK111" s="234"/>
      <c r="CL111" s="230"/>
      <c r="CM111" s="235"/>
      <c r="CN111" s="230"/>
      <c r="CO111" s="230"/>
      <c r="CP111" s="230"/>
      <c r="CQ111" s="234"/>
      <c r="CR111" s="230"/>
      <c r="CS111" s="230"/>
      <c r="CT111" s="234"/>
      <c r="CU111" s="230"/>
      <c r="CV111" s="230"/>
      <c r="CW111" s="234"/>
      <c r="CX111" s="230">
        <f>IFERROR(__xludf.DUMMYFUNCTION("""COMPUTED_VALUE"""),6.25)</f>
        <v>6.25</v>
      </c>
      <c r="CY111" s="235"/>
      <c r="CZ111" s="230"/>
      <c r="DA111" s="230"/>
      <c r="DB111" s="235"/>
      <c r="DC111" s="234"/>
      <c r="DD111" s="230"/>
      <c r="DE111" s="235"/>
      <c r="DF111" s="234"/>
      <c r="DG111" s="230"/>
      <c r="DH111" s="235"/>
      <c r="DI111" s="234"/>
      <c r="DJ111" s="230"/>
      <c r="DK111" s="235"/>
      <c r="DL111" s="280"/>
      <c r="DM111" s="286"/>
      <c r="DN111" s="282">
        <f>IFERROR(__xludf.DUMMYFUNCTION("""COMPUTED_VALUE"""),32.03125)</f>
        <v>32.03125</v>
      </c>
      <c r="DO111" s="96"/>
      <c r="DP111" s="96"/>
      <c r="DQ111" s="96"/>
      <c r="DR111" s="96"/>
      <c r="DS111" s="96"/>
      <c r="DT111" s="96"/>
      <c r="DU111" s="96"/>
    </row>
    <row r="112">
      <c r="A112" s="141" t="str">
        <f>IFERROR(__xludf.DUMMYFUNCTION("""COMPUTED_VALUE"""),"CAMELOT")</f>
        <v>CAMELOT</v>
      </c>
      <c r="B112" s="120" t="str">
        <f>IFERROR(__xludf.DUMMYFUNCTION("""COMPUTED_VALUE"""),"CML1")</f>
        <v>CML1</v>
      </c>
      <c r="C112" s="88" t="str">
        <f>IFERROR(__xludf.DUMMYFUNCTION("""COMPUTED_VALUE"""),"Sandstorm Desert")</f>
        <v>Sandstorm Desert</v>
      </c>
      <c r="D112" s="102">
        <f>IFERROR(__xludf.DUMMYFUNCTION("""COMPUTED_VALUE"""),19.0)</f>
        <v>19</v>
      </c>
      <c r="E112" s="82" t="b">
        <f>IFERROR(__xludf.DUMMYFUNCTION("""COMPUTED_VALUE"""),TRUE)</f>
        <v>1</v>
      </c>
      <c r="F112" s="82" t="str">
        <f>IFERROR(__xludf.DUMMYFUNCTION("""COMPUTED_VALUE"""),"Free Quests- Part 1!A945:J957")</f>
        <v>Free Quests- Part 1!A945:J957</v>
      </c>
      <c r="G112" s="82">
        <f>IFERROR(__xludf.DUMMYFUNCTION("""COMPUTED_VALUE"""),113.0)</f>
        <v>113</v>
      </c>
      <c r="H112" s="82">
        <f>IFERROR(__xludf.DUMMYFUNCTION("""COMPUTED_VALUE"""),187.0)</f>
        <v>187</v>
      </c>
      <c r="I112" s="82">
        <f>IFERROR(__xludf.DUMMYFUNCTION("""COMPUTED_VALUE"""),70842.0)</f>
        <v>70842</v>
      </c>
      <c r="J112" s="82">
        <f>IFERROR(__xludf.DUMMYFUNCTION("""COMPUTED_VALUE"""),71029.0)</f>
        <v>71029</v>
      </c>
      <c r="K112" s="234"/>
      <c r="L112" s="230"/>
      <c r="M112" s="235"/>
      <c r="N112" s="234"/>
      <c r="O112" s="230"/>
      <c r="P112" s="235"/>
      <c r="Q112" s="234"/>
      <c r="R112" s="230"/>
      <c r="S112" s="235">
        <f>IFERROR(__xludf.DUMMYFUNCTION("""COMPUTED_VALUE"""),8.098385166622084)</f>
        <v>8.098385167</v>
      </c>
      <c r="T112" s="234"/>
      <c r="U112" s="230"/>
      <c r="V112" s="235"/>
      <c r="W112" s="234"/>
      <c r="X112" s="230"/>
      <c r="Y112" s="235"/>
      <c r="Z112" s="234"/>
      <c r="AA112" s="230"/>
      <c r="AB112" s="235"/>
      <c r="AC112" s="234"/>
      <c r="AD112" s="230"/>
      <c r="AE112" s="235"/>
      <c r="AF112" s="234"/>
      <c r="AG112" s="230"/>
      <c r="AH112" s="235"/>
      <c r="AI112" s="234"/>
      <c r="AJ112" s="230"/>
      <c r="AK112" s="235"/>
      <c r="AL112" s="231"/>
      <c r="AM112" s="230"/>
      <c r="AN112" s="235"/>
      <c r="AO112" s="234"/>
      <c r="AP112" s="230"/>
      <c r="AQ112" s="235"/>
      <c r="AR112" s="234"/>
      <c r="AS112" s="230"/>
      <c r="AT112" s="235"/>
      <c r="AU112" s="234"/>
      <c r="AV112" s="230"/>
      <c r="AW112" s="235"/>
      <c r="AX112" s="234">
        <f>IFERROR(__xludf.DUMMYFUNCTION("""COMPUTED_VALUE"""),62.983372988497656)</f>
        <v>62.98337299</v>
      </c>
      <c r="AY112" s="230"/>
      <c r="AZ112" s="235"/>
      <c r="BA112" s="234"/>
      <c r="BB112" s="230"/>
      <c r="BC112" s="235"/>
      <c r="BD112" s="234"/>
      <c r="BE112" s="230"/>
      <c r="BF112" s="235"/>
      <c r="BG112" s="234"/>
      <c r="BH112" s="230"/>
      <c r="BI112" s="235"/>
      <c r="BJ112" s="234">
        <f>IFERROR(__xludf.DUMMYFUNCTION("""COMPUTED_VALUE"""),3.1016936744146757)</f>
        <v>3.101693674</v>
      </c>
      <c r="BK112" s="230"/>
      <c r="BL112" s="235"/>
      <c r="BM112" s="234"/>
      <c r="BN112" s="230"/>
      <c r="BO112" s="235"/>
      <c r="BP112" s="234"/>
      <c r="BQ112" s="230"/>
      <c r="BR112" s="235"/>
      <c r="BS112" s="234"/>
      <c r="BT112" s="230">
        <f>IFERROR(__xludf.DUMMYFUNCTION("""COMPUTED_VALUE"""),11.790051950611723)</f>
        <v>11.79005195</v>
      </c>
      <c r="BU112" s="235">
        <f>IFERROR(__xludf.DUMMYFUNCTION("""COMPUTED_VALUE"""),9.799541032536007)</f>
        <v>9.799541033</v>
      </c>
      <c r="BV112" s="234">
        <f>IFERROR(__xludf.DUMMYFUNCTION("""COMPUTED_VALUE"""),9.907725013726788)</f>
        <v>9.907725014</v>
      </c>
      <c r="BW112" s="230"/>
      <c r="BX112" s="235"/>
      <c r="BY112" s="234"/>
      <c r="BZ112" s="230"/>
      <c r="CA112" s="235"/>
      <c r="CB112" s="234"/>
      <c r="CC112" s="230"/>
      <c r="CD112" s="235"/>
      <c r="CE112" s="234"/>
      <c r="CF112" s="230"/>
      <c r="CG112" s="235"/>
      <c r="CH112" s="234"/>
      <c r="CI112" s="230"/>
      <c r="CJ112" s="230"/>
      <c r="CK112" s="234"/>
      <c r="CL112" s="230"/>
      <c r="CM112" s="235"/>
      <c r="CN112" s="230"/>
      <c r="CO112" s="230"/>
      <c r="CP112" s="230"/>
      <c r="CQ112" s="234"/>
      <c r="CR112" s="230"/>
      <c r="CS112" s="230">
        <f>IFERROR(__xludf.DUMMYFUNCTION("""COMPUTED_VALUE"""),85.32608695652173)</f>
        <v>85.32608696</v>
      </c>
      <c r="CT112" s="234"/>
      <c r="CU112" s="230"/>
      <c r="CV112" s="230"/>
      <c r="CW112" s="234"/>
      <c r="CX112" s="230"/>
      <c r="CY112" s="235"/>
      <c r="CZ112" s="230"/>
      <c r="DA112" s="230"/>
      <c r="DB112" s="235"/>
      <c r="DC112" s="234"/>
      <c r="DD112" s="230"/>
      <c r="DE112" s="235"/>
      <c r="DF112" s="234"/>
      <c r="DG112" s="230"/>
      <c r="DH112" s="235"/>
      <c r="DI112" s="234"/>
      <c r="DJ112" s="230"/>
      <c r="DK112" s="235"/>
      <c r="DL112" s="283"/>
      <c r="DM112" s="287">
        <f>IFERROR(__xludf.DUMMYFUNCTION("""COMPUTED_VALUE"""),9.836065573770492)</f>
        <v>9.836065574</v>
      </c>
      <c r="DN112" s="285">
        <f>IFERROR(__xludf.DUMMYFUNCTION("""COMPUTED_VALUE"""),4.918032786885246)</f>
        <v>4.918032787</v>
      </c>
      <c r="DO112" s="96">
        <f>IFERROR(__xludf.DUMMYFUNCTION("""COMPUTED_VALUE"""),8.19672131147541)</f>
        <v>8.196721311</v>
      </c>
      <c r="DP112" s="96"/>
      <c r="DQ112" s="96"/>
      <c r="DR112" s="96"/>
      <c r="DS112" s="96"/>
      <c r="DT112" s="96"/>
      <c r="DU112" s="96"/>
    </row>
    <row r="113">
      <c r="B113" s="120" t="str">
        <f>IFERROR(__xludf.DUMMYFUNCTION("""COMPUTED_VALUE"""),"CML2")</f>
        <v>CML2</v>
      </c>
      <c r="C113" s="88" t="str">
        <f>IFERROR(__xludf.DUMMYFUNCTION("""COMPUTED_VALUE"""),"Dune of Dawn")</f>
        <v>Dune of Dawn</v>
      </c>
      <c r="D113" s="102">
        <f>IFERROR(__xludf.DUMMYFUNCTION("""COMPUTED_VALUE"""),19.0)</f>
        <v>19</v>
      </c>
      <c r="E113" s="82" t="b">
        <f>IFERROR(__xludf.DUMMYFUNCTION("""COMPUTED_VALUE"""),TRUE)</f>
        <v>1</v>
      </c>
      <c r="F113" s="82" t="str">
        <f>IFERROR(__xludf.DUMMYFUNCTION("""COMPUTED_VALUE"""),"Free Quests- Part 1!A961:J971")</f>
        <v>Free Quests- Part 1!A961:J971</v>
      </c>
      <c r="G113" s="82">
        <f>IFERROR(__xludf.DUMMYFUNCTION("""COMPUTED_VALUE"""),114.0)</f>
        <v>114</v>
      </c>
      <c r="H113" s="82">
        <f>IFERROR(__xludf.DUMMYFUNCTION("""COMPUTED_VALUE"""),89.0)</f>
        <v>89</v>
      </c>
      <c r="I113" s="82">
        <f>IFERROR(__xludf.DUMMYFUNCTION("""COMPUTED_VALUE"""),1102.0)</f>
        <v>1102</v>
      </c>
      <c r="J113" s="82">
        <f>IFERROR(__xludf.DUMMYFUNCTION("""COMPUTED_VALUE"""),1191.0)</f>
        <v>1191</v>
      </c>
      <c r="K113" s="234"/>
      <c r="L113" s="230"/>
      <c r="M113" s="235"/>
      <c r="N113" s="234"/>
      <c r="O113" s="230"/>
      <c r="P113" s="235"/>
      <c r="Q113" s="234"/>
      <c r="R113" s="230">
        <f>IFERROR(__xludf.DUMMYFUNCTION("""COMPUTED_VALUE"""),11.176994122586063)</f>
        <v>11.17699412</v>
      </c>
      <c r="S113" s="235"/>
      <c r="T113" s="234"/>
      <c r="U113" s="230"/>
      <c r="V113" s="235"/>
      <c r="W113" s="234"/>
      <c r="X113" s="230"/>
      <c r="Y113" s="235"/>
      <c r="Z113" s="234"/>
      <c r="AA113" s="230"/>
      <c r="AB113" s="235"/>
      <c r="AC113" s="234"/>
      <c r="AD113" s="230"/>
      <c r="AE113" s="235"/>
      <c r="AF113" s="234">
        <f>IFERROR(__xludf.DUMMYFUNCTION("""COMPUTED_VALUE"""),14.129303106633081)</f>
        <v>14.12930311</v>
      </c>
      <c r="AG113" s="230"/>
      <c r="AH113" s="235"/>
      <c r="AI113" s="234"/>
      <c r="AJ113" s="230"/>
      <c r="AK113" s="235"/>
      <c r="AL113" s="231"/>
      <c r="AM113" s="230"/>
      <c r="AN113" s="235"/>
      <c r="AO113" s="234"/>
      <c r="AP113" s="230"/>
      <c r="AQ113" s="235"/>
      <c r="AR113" s="234"/>
      <c r="AS113" s="230"/>
      <c r="AT113" s="235"/>
      <c r="AU113" s="234"/>
      <c r="AV113" s="230"/>
      <c r="AW113" s="235"/>
      <c r="AX113" s="234"/>
      <c r="AY113" s="230"/>
      <c r="AZ113" s="235"/>
      <c r="BA113" s="234"/>
      <c r="BB113" s="230"/>
      <c r="BC113" s="235"/>
      <c r="BD113" s="234"/>
      <c r="BE113" s="230"/>
      <c r="BF113" s="235"/>
      <c r="BG113" s="234"/>
      <c r="BH113" s="230"/>
      <c r="BI113" s="235"/>
      <c r="BJ113" s="234"/>
      <c r="BK113" s="230"/>
      <c r="BL113" s="235"/>
      <c r="BM113" s="234"/>
      <c r="BN113" s="230"/>
      <c r="BO113" s="235"/>
      <c r="BP113" s="234"/>
      <c r="BQ113" s="230">
        <f>IFERROR(__xludf.DUMMYFUNCTION("""COMPUTED_VALUE"""),43.07499658289887)</f>
        <v>43.07499658</v>
      </c>
      <c r="BR113" s="235"/>
      <c r="BS113" s="234"/>
      <c r="BT113" s="230"/>
      <c r="BU113" s="235"/>
      <c r="BV113" s="234"/>
      <c r="BW113" s="230"/>
      <c r="BX113" s="235">
        <f>IFERROR(__xludf.DUMMYFUNCTION("""COMPUTED_VALUE"""),16.368422080331168)</f>
        <v>16.36842208</v>
      </c>
      <c r="BY113" s="234"/>
      <c r="BZ113" s="230"/>
      <c r="CA113" s="235"/>
      <c r="CB113" s="234"/>
      <c r="CC113" s="230"/>
      <c r="CD113" s="235"/>
      <c r="CE113" s="234"/>
      <c r="CF113" s="230"/>
      <c r="CG113" s="235"/>
      <c r="CH113" s="234"/>
      <c r="CI113" s="230"/>
      <c r="CJ113" s="230"/>
      <c r="CK113" s="234"/>
      <c r="CL113" s="230"/>
      <c r="CM113" s="235"/>
      <c r="CN113" s="230"/>
      <c r="CO113" s="230"/>
      <c r="CP113" s="230"/>
      <c r="CQ113" s="234"/>
      <c r="CR113" s="230"/>
      <c r="CS113" s="230">
        <f>IFERROR(__xludf.DUMMYFUNCTION("""COMPUTED_VALUE"""),74.69879518072288)</f>
        <v>74.69879518</v>
      </c>
      <c r="CT113" s="234"/>
      <c r="CU113" s="230"/>
      <c r="CV113" s="230"/>
      <c r="CW113" s="234"/>
      <c r="CX113" s="230"/>
      <c r="CY113" s="235"/>
      <c r="CZ113" s="230"/>
      <c r="DA113" s="230">
        <f>IFERROR(__xludf.DUMMYFUNCTION("""COMPUTED_VALUE"""),15.789473684210526)</f>
        <v>15.78947368</v>
      </c>
      <c r="DB113" s="235"/>
      <c r="DC113" s="234"/>
      <c r="DD113" s="230"/>
      <c r="DE113" s="235"/>
      <c r="DF113" s="234"/>
      <c r="DG113" s="230"/>
      <c r="DH113" s="235"/>
      <c r="DI113" s="234">
        <f>IFERROR(__xludf.DUMMYFUNCTION("""COMPUTED_VALUE"""),5.263157894736842)</f>
        <v>5.263157895</v>
      </c>
      <c r="DJ113" s="230"/>
      <c r="DK113" s="235"/>
      <c r="DL113" s="280"/>
      <c r="DM113" s="286"/>
      <c r="DN113" s="282"/>
      <c r="DO113" s="96"/>
      <c r="DP113" s="96"/>
      <c r="DQ113" s="96"/>
      <c r="DR113" s="96"/>
      <c r="DS113" s="96"/>
      <c r="DT113" s="96"/>
      <c r="DU113" s="96"/>
    </row>
    <row r="114">
      <c r="B114" s="120" t="str">
        <f>IFERROR(__xludf.DUMMYFUNCTION("""COMPUTED_VALUE"""),"CML3")</f>
        <v>CML3</v>
      </c>
      <c r="C114" s="88" t="str">
        <f>IFERROR(__xludf.DUMMYFUNCTION("""COMPUTED_VALUE"""),"Wastelands of Death")</f>
        <v>Wastelands of Death</v>
      </c>
      <c r="D114" s="102">
        <f>IFERROR(__xludf.DUMMYFUNCTION("""COMPUTED_VALUE"""),19.0)</f>
        <v>19</v>
      </c>
      <c r="E114" s="82" t="b">
        <f>IFERROR(__xludf.DUMMYFUNCTION("""COMPUTED_VALUE"""),TRUE)</f>
        <v>1</v>
      </c>
      <c r="F114" s="82" t="str">
        <f>IFERROR(__xludf.DUMMYFUNCTION("""COMPUTED_VALUE"""),"Free Quests- Part 1!A975:J983")</f>
        <v>Free Quests- Part 1!A975:J983</v>
      </c>
      <c r="G114" s="82">
        <f>IFERROR(__xludf.DUMMYFUNCTION("""COMPUTED_VALUE"""),115.0)</f>
        <v>115</v>
      </c>
      <c r="H114" s="82">
        <f>IFERROR(__xludf.DUMMYFUNCTION("""COMPUTED_VALUE"""),1574.0)</f>
        <v>1574</v>
      </c>
      <c r="I114" s="82">
        <f>IFERROR(__xludf.DUMMYFUNCTION("""COMPUTED_VALUE"""),16747.0)</f>
        <v>16747</v>
      </c>
      <c r="J114" s="82">
        <f>IFERROR(__xludf.DUMMYFUNCTION("""COMPUTED_VALUE"""),18321.0)</f>
        <v>18321</v>
      </c>
      <c r="K114" s="234"/>
      <c r="L114" s="230"/>
      <c r="M114" s="235"/>
      <c r="N114" s="234"/>
      <c r="O114" s="230"/>
      <c r="P114" s="235"/>
      <c r="Q114" s="234"/>
      <c r="R114" s="230"/>
      <c r="S114" s="235"/>
      <c r="T114" s="234"/>
      <c r="U114" s="230"/>
      <c r="V114" s="235"/>
      <c r="W114" s="234"/>
      <c r="X114" s="230"/>
      <c r="Y114" s="235"/>
      <c r="Z114" s="234"/>
      <c r="AA114" s="230"/>
      <c r="AB114" s="235"/>
      <c r="AC114" s="234"/>
      <c r="AD114" s="230"/>
      <c r="AE114" s="235"/>
      <c r="AF114" s="234"/>
      <c r="AG114" s="230"/>
      <c r="AH114" s="235"/>
      <c r="AI114" s="234"/>
      <c r="AJ114" s="230"/>
      <c r="AK114" s="235"/>
      <c r="AL114" s="231"/>
      <c r="AM114" s="230"/>
      <c r="AN114" s="235"/>
      <c r="AO114" s="234"/>
      <c r="AP114" s="230"/>
      <c r="AQ114" s="235"/>
      <c r="AR114" s="234"/>
      <c r="AS114" s="230"/>
      <c r="AT114" s="235"/>
      <c r="AU114" s="234"/>
      <c r="AV114" s="230"/>
      <c r="AW114" s="235"/>
      <c r="AX114" s="234"/>
      <c r="AY114" s="230"/>
      <c r="AZ114" s="235"/>
      <c r="BA114" s="234">
        <f>IFERROR(__xludf.DUMMYFUNCTION("""COMPUTED_VALUE"""),65.2669068282299)</f>
        <v>65.26690683</v>
      </c>
      <c r="BB114" s="230"/>
      <c r="BC114" s="235"/>
      <c r="BD114" s="234"/>
      <c r="BE114" s="230"/>
      <c r="BF114" s="235"/>
      <c r="BG114" s="234"/>
      <c r="BH114" s="230"/>
      <c r="BI114" s="235"/>
      <c r="BJ114" s="234"/>
      <c r="BK114" s="230"/>
      <c r="BL114" s="235"/>
      <c r="BM114" s="234"/>
      <c r="BN114" s="230"/>
      <c r="BO114" s="235"/>
      <c r="BP114" s="234"/>
      <c r="BQ114" s="230"/>
      <c r="BR114" s="235"/>
      <c r="BS114" s="234"/>
      <c r="BT114" s="230"/>
      <c r="BU114" s="235"/>
      <c r="BV114" s="234"/>
      <c r="BW114" s="230"/>
      <c r="BX114" s="235"/>
      <c r="BY114" s="234">
        <f>IFERROR(__xludf.DUMMYFUNCTION("""COMPUTED_VALUE"""),20.222335664245115)</f>
        <v>20.22233566</v>
      </c>
      <c r="BZ114" s="230">
        <f>IFERROR(__xludf.DUMMYFUNCTION("""COMPUTED_VALUE"""),15.34880063927602)</f>
        <v>15.34880064</v>
      </c>
      <c r="CA114" s="235"/>
      <c r="CB114" s="234"/>
      <c r="CC114" s="230"/>
      <c r="CD114" s="235"/>
      <c r="CE114" s="234"/>
      <c r="CF114" s="230"/>
      <c r="CG114" s="235"/>
      <c r="CH114" s="234"/>
      <c r="CI114" s="230"/>
      <c r="CJ114" s="230"/>
      <c r="CK114" s="234"/>
      <c r="CL114" s="230"/>
      <c r="CM114" s="235"/>
      <c r="CN114" s="230"/>
      <c r="CO114" s="230"/>
      <c r="CP114" s="230"/>
      <c r="CQ114" s="234"/>
      <c r="CR114" s="230"/>
      <c r="CS114" s="230"/>
      <c r="CT114" s="234"/>
      <c r="CU114" s="230"/>
      <c r="CV114" s="230"/>
      <c r="CW114" s="234"/>
      <c r="CX114" s="230"/>
      <c r="CY114" s="235"/>
      <c r="CZ114" s="230"/>
      <c r="DA114" s="230"/>
      <c r="DB114" s="235"/>
      <c r="DC114" s="234"/>
      <c r="DD114" s="230"/>
      <c r="DE114" s="235"/>
      <c r="DF114" s="234"/>
      <c r="DG114" s="230"/>
      <c r="DH114" s="235"/>
      <c r="DI114" s="234"/>
      <c r="DJ114" s="230">
        <f>IFERROR(__xludf.DUMMYFUNCTION("""COMPUTED_VALUE"""),17.59259259259259)</f>
        <v>17.59259259</v>
      </c>
      <c r="DK114" s="235">
        <f>IFERROR(__xludf.DUMMYFUNCTION("""COMPUTED_VALUE"""),14.814814814814813)</f>
        <v>14.81481481</v>
      </c>
      <c r="DL114" s="283"/>
      <c r="DM114" s="287"/>
      <c r="DN114" s="285"/>
      <c r="DO114" s="96"/>
      <c r="DP114" s="96"/>
      <c r="DQ114" s="96"/>
      <c r="DR114" s="96"/>
      <c r="DS114" s="96"/>
      <c r="DT114" s="96"/>
      <c r="DU114" s="96"/>
    </row>
    <row r="115">
      <c r="B115" s="120" t="str">
        <f>IFERROR(__xludf.DUMMYFUNCTION("""COMPUTED_VALUE"""),"CML4")</f>
        <v>CML4</v>
      </c>
      <c r="C115" s="88" t="str">
        <f>IFERROR(__xludf.DUMMYFUNCTION("""COMPUTED_VALUE"""),"East Village")</f>
        <v>East Village</v>
      </c>
      <c r="D115" s="102">
        <f>IFERROR(__xludf.DUMMYFUNCTION("""COMPUTED_VALUE"""),19.0)</f>
        <v>19</v>
      </c>
      <c r="E115" s="82" t="b">
        <f>IFERROR(__xludf.DUMMYFUNCTION("""COMPUTED_VALUE"""),TRUE)</f>
        <v>1</v>
      </c>
      <c r="F115" s="82" t="str">
        <f>IFERROR(__xludf.DUMMYFUNCTION("""COMPUTED_VALUE"""),"Free Quests- Part 1!A987:J997")</f>
        <v>Free Quests- Part 1!A987:J997</v>
      </c>
      <c r="G115" s="82">
        <f>IFERROR(__xludf.DUMMYFUNCTION("""COMPUTED_VALUE"""),116.0)</f>
        <v>116</v>
      </c>
      <c r="H115" s="82">
        <f>IFERROR(__xludf.DUMMYFUNCTION("""COMPUTED_VALUE"""),75.0)</f>
        <v>75</v>
      </c>
      <c r="I115" s="82">
        <f>IFERROR(__xludf.DUMMYFUNCTION("""COMPUTED_VALUE"""),1404.0)</f>
        <v>1404</v>
      </c>
      <c r="J115" s="82">
        <f>IFERROR(__xludf.DUMMYFUNCTION("""COMPUTED_VALUE"""),1479.0)</f>
        <v>1479</v>
      </c>
      <c r="K115" s="234"/>
      <c r="L115" s="230"/>
      <c r="M115" s="235"/>
      <c r="N115" s="234"/>
      <c r="O115" s="230">
        <f>IFERROR(__xludf.DUMMYFUNCTION("""COMPUTED_VALUE"""),16.204192021636242)</f>
        <v>16.20419202</v>
      </c>
      <c r="P115" s="235"/>
      <c r="Q115" s="234"/>
      <c r="R115" s="230"/>
      <c r="S115" s="235"/>
      <c r="T115" s="234"/>
      <c r="U115" s="230"/>
      <c r="V115" s="235"/>
      <c r="W115" s="234"/>
      <c r="X115" s="230"/>
      <c r="Y115" s="235"/>
      <c r="Z115" s="234"/>
      <c r="AA115" s="230"/>
      <c r="AB115" s="235"/>
      <c r="AC115" s="234"/>
      <c r="AD115" s="230"/>
      <c r="AE115" s="235"/>
      <c r="AF115" s="234"/>
      <c r="AG115" s="230"/>
      <c r="AH115" s="235"/>
      <c r="AI115" s="234"/>
      <c r="AJ115" s="230"/>
      <c r="AK115" s="235"/>
      <c r="AL115" s="231"/>
      <c r="AM115" s="230"/>
      <c r="AN115" s="235"/>
      <c r="AO115" s="234"/>
      <c r="AP115" s="230"/>
      <c r="AQ115" s="235"/>
      <c r="AR115" s="234"/>
      <c r="AS115" s="230"/>
      <c r="AT115" s="235"/>
      <c r="AU115" s="234"/>
      <c r="AV115" s="230"/>
      <c r="AW115" s="235"/>
      <c r="AX115" s="234"/>
      <c r="AY115" s="230">
        <f>IFERROR(__xludf.DUMMYFUNCTION("""COMPUTED_VALUE"""),41.62542258282623)</f>
        <v>41.62542258</v>
      </c>
      <c r="AZ115" s="235"/>
      <c r="BA115" s="234"/>
      <c r="BB115" s="230"/>
      <c r="BC115" s="235"/>
      <c r="BD115" s="234"/>
      <c r="BE115" s="230"/>
      <c r="BF115" s="235"/>
      <c r="BG115" s="234"/>
      <c r="BH115" s="230"/>
      <c r="BI115" s="235"/>
      <c r="BJ115" s="234"/>
      <c r="BK115" s="230"/>
      <c r="BL115" s="235"/>
      <c r="BM115" s="234"/>
      <c r="BN115" s="230"/>
      <c r="BO115" s="235">
        <f>IFERROR(__xludf.DUMMYFUNCTION("""COMPUTED_VALUE"""),8.37451894084754)</f>
        <v>8.374518941</v>
      </c>
      <c r="BP115" s="234"/>
      <c r="BQ115" s="230"/>
      <c r="BR115" s="235"/>
      <c r="BS115" s="234"/>
      <c r="BT115" s="230"/>
      <c r="BU115" s="235"/>
      <c r="BV115" s="234"/>
      <c r="BW115" s="230">
        <f>IFERROR(__xludf.DUMMYFUNCTION("""COMPUTED_VALUE"""),38.239482484512905)</f>
        <v>38.23948248</v>
      </c>
      <c r="BX115" s="235"/>
      <c r="BY115" s="234"/>
      <c r="BZ115" s="230"/>
      <c r="CA115" s="235"/>
      <c r="CB115" s="234"/>
      <c r="CC115" s="230"/>
      <c r="CD115" s="235"/>
      <c r="CE115" s="234"/>
      <c r="CF115" s="230"/>
      <c r="CG115" s="235"/>
      <c r="CH115" s="234"/>
      <c r="CI115" s="230"/>
      <c r="CJ115" s="230"/>
      <c r="CK115" s="234"/>
      <c r="CL115" s="230"/>
      <c r="CM115" s="235"/>
      <c r="CN115" s="230"/>
      <c r="CO115" s="230"/>
      <c r="CP115" s="230"/>
      <c r="CQ115" s="234"/>
      <c r="CR115" s="230"/>
      <c r="CS115" s="230"/>
      <c r="CT115" s="234"/>
      <c r="CU115" s="230"/>
      <c r="CV115" s="230"/>
      <c r="CW115" s="234"/>
      <c r="CX115" s="230"/>
      <c r="CY115" s="235">
        <f>IFERROR(__xludf.DUMMYFUNCTION("""COMPUTED_VALUE"""),62.96296296296296)</f>
        <v>62.96296296</v>
      </c>
      <c r="CZ115" s="230"/>
      <c r="DA115" s="230"/>
      <c r="DB115" s="235"/>
      <c r="DC115" s="234"/>
      <c r="DD115" s="230"/>
      <c r="DE115" s="235"/>
      <c r="DF115" s="234"/>
      <c r="DG115" s="230"/>
      <c r="DH115" s="235">
        <f>IFERROR(__xludf.DUMMYFUNCTION("""COMPUTED_VALUE"""),7.4074074074074066)</f>
        <v>7.407407407</v>
      </c>
      <c r="DI115" s="234"/>
      <c r="DJ115" s="230"/>
      <c r="DK115" s="235"/>
      <c r="DL115" s="280"/>
      <c r="DM115" s="286"/>
      <c r="DN115" s="282"/>
      <c r="DO115" s="96"/>
      <c r="DP115" s="96">
        <f>IFERROR(__xludf.DUMMYFUNCTION("""COMPUTED_VALUE"""),7.4074074074074066)</f>
        <v>7.407407407</v>
      </c>
      <c r="DQ115" s="96"/>
      <c r="DR115" s="96"/>
      <c r="DS115" s="96"/>
      <c r="DT115" s="96"/>
      <c r="DU115" s="96"/>
    </row>
    <row r="116">
      <c r="B116" s="120" t="str">
        <f>IFERROR(__xludf.DUMMYFUNCTION("""COMPUTED_VALUE"""),"CML5")</f>
        <v>CML5</v>
      </c>
      <c r="C116" s="88" t="str">
        <f>IFERROR(__xludf.DUMMYFUNCTION("""COMPUTED_VALUE"""),"Fortress of the Round Table")</f>
        <v>Fortress of the Round Table</v>
      </c>
      <c r="D116" s="102">
        <f>IFERROR(__xludf.DUMMYFUNCTION("""COMPUTED_VALUE"""),19.0)</f>
        <v>19</v>
      </c>
      <c r="E116" s="82" t="b">
        <f>IFERROR(__xludf.DUMMYFUNCTION("""COMPUTED_VALUE"""),TRUE)</f>
        <v>1</v>
      </c>
      <c r="F116" s="82" t="str">
        <f>IFERROR(__xludf.DUMMYFUNCTION("""COMPUTED_VALUE"""),"Free Quests- Part 1!A1001:J1014")</f>
        <v>Free Quests- Part 1!A1001:J1014</v>
      </c>
      <c r="G116" s="82">
        <f>IFERROR(__xludf.DUMMYFUNCTION("""COMPUTED_VALUE"""),117.0)</f>
        <v>117</v>
      </c>
      <c r="H116" s="82">
        <f>IFERROR(__xludf.DUMMYFUNCTION("""COMPUTED_VALUE"""),51.0)</f>
        <v>51</v>
      </c>
      <c r="I116" s="82">
        <f>IFERROR(__xludf.DUMMYFUNCTION("""COMPUTED_VALUE"""),3427.0)</f>
        <v>3427</v>
      </c>
      <c r="J116" s="82">
        <f>IFERROR(__xludf.DUMMYFUNCTION("""COMPUTED_VALUE"""),3478.0)</f>
        <v>3478</v>
      </c>
      <c r="K116" s="234"/>
      <c r="L116" s="230"/>
      <c r="M116" s="235"/>
      <c r="N116" s="234"/>
      <c r="O116" s="230"/>
      <c r="P116" s="235"/>
      <c r="Q116" s="234"/>
      <c r="R116" s="230"/>
      <c r="S116" s="235"/>
      <c r="T116" s="234"/>
      <c r="U116" s="230"/>
      <c r="V116" s="235"/>
      <c r="W116" s="234"/>
      <c r="X116" s="230"/>
      <c r="Y116" s="235"/>
      <c r="Z116" s="234"/>
      <c r="AA116" s="230"/>
      <c r="AB116" s="235"/>
      <c r="AC116" s="234"/>
      <c r="AD116" s="230"/>
      <c r="AE116" s="235"/>
      <c r="AF116" s="234"/>
      <c r="AG116" s="230"/>
      <c r="AH116" s="235"/>
      <c r="AI116" s="234"/>
      <c r="AJ116" s="230"/>
      <c r="AK116" s="235"/>
      <c r="AL116" s="231">
        <f>IFERROR(__xludf.DUMMYFUNCTION("""COMPUTED_VALUE"""),18.179614721104084)</f>
        <v>18.17961472</v>
      </c>
      <c r="AM116" s="230"/>
      <c r="AN116" s="235"/>
      <c r="AO116" s="234"/>
      <c r="AP116" s="230"/>
      <c r="AQ116" s="235"/>
      <c r="AR116" s="234"/>
      <c r="AS116" s="230"/>
      <c r="AT116" s="235"/>
      <c r="AU116" s="234"/>
      <c r="AV116" s="230"/>
      <c r="AW116" s="235">
        <f>IFERROR(__xludf.DUMMYFUNCTION("""COMPUTED_VALUE"""),44.028378378378385)</f>
        <v>44.02837838</v>
      </c>
      <c r="AX116" s="234"/>
      <c r="AY116" s="230"/>
      <c r="AZ116" s="235"/>
      <c r="BA116" s="234"/>
      <c r="BB116" s="230"/>
      <c r="BC116" s="235"/>
      <c r="BD116" s="234"/>
      <c r="BE116" s="230"/>
      <c r="BF116" s="235"/>
      <c r="BG116" s="234"/>
      <c r="BH116" s="230"/>
      <c r="BI116" s="235"/>
      <c r="BJ116" s="234"/>
      <c r="BK116" s="230"/>
      <c r="BL116" s="235"/>
      <c r="BM116" s="234">
        <f>IFERROR(__xludf.DUMMYFUNCTION("""COMPUTED_VALUE"""),10.477515813686027)</f>
        <v>10.47751581</v>
      </c>
      <c r="BN116" s="230"/>
      <c r="BO116" s="235">
        <f>IFERROR(__xludf.DUMMYFUNCTION("""COMPUTED_VALUE"""),9.504456584243819)</f>
        <v>9.504456584</v>
      </c>
      <c r="BP116" s="234"/>
      <c r="BQ116" s="230"/>
      <c r="BR116" s="235"/>
      <c r="BS116" s="234"/>
      <c r="BT116" s="230">
        <f>IFERROR(__xludf.DUMMYFUNCTION("""COMPUTED_VALUE"""),9.771305347901095)</f>
        <v>9.771305348</v>
      </c>
      <c r="BU116" s="235"/>
      <c r="BV116" s="234">
        <f>IFERROR(__xludf.DUMMYFUNCTION("""COMPUTED_VALUE"""),14.673433007475559)</f>
        <v>14.67343301</v>
      </c>
      <c r="BW116" s="230"/>
      <c r="BX116" s="235"/>
      <c r="BY116" s="234"/>
      <c r="BZ116" s="230"/>
      <c r="CA116" s="235"/>
      <c r="CB116" s="234"/>
      <c r="CC116" s="230"/>
      <c r="CD116" s="235"/>
      <c r="CE116" s="234"/>
      <c r="CF116" s="230"/>
      <c r="CG116" s="235"/>
      <c r="CH116" s="234"/>
      <c r="CI116" s="230"/>
      <c r="CJ116" s="230"/>
      <c r="CK116" s="234"/>
      <c r="CL116" s="230"/>
      <c r="CM116" s="235"/>
      <c r="CN116" s="230"/>
      <c r="CO116" s="230">
        <f>IFERROR(__xludf.DUMMYFUNCTION("""COMPUTED_VALUE"""),9.945011500862565)</f>
        <v>9.945011501</v>
      </c>
      <c r="CP116" s="230"/>
      <c r="CQ116" s="234">
        <f>IFERROR(__xludf.DUMMYFUNCTION("""COMPUTED_VALUE"""),9.771607245543414)</f>
        <v>9.771607246</v>
      </c>
      <c r="CR116" s="230"/>
      <c r="CS116" s="230"/>
      <c r="CT116" s="234"/>
      <c r="CU116" s="230"/>
      <c r="CV116" s="230"/>
      <c r="CW116" s="234"/>
      <c r="CX116" s="230"/>
      <c r="CY116" s="235"/>
      <c r="CZ116" s="230"/>
      <c r="DA116" s="230"/>
      <c r="DB116" s="235"/>
      <c r="DC116" s="234"/>
      <c r="DD116" s="230"/>
      <c r="DE116" s="235"/>
      <c r="DF116" s="234"/>
      <c r="DG116" s="230"/>
      <c r="DH116" s="235"/>
      <c r="DI116" s="234"/>
      <c r="DJ116" s="230"/>
      <c r="DK116" s="235"/>
      <c r="DL116" s="283"/>
      <c r="DM116" s="287">
        <f>IFERROR(__xludf.DUMMYFUNCTION("""COMPUTED_VALUE"""),7.6923076923076925)</f>
        <v>7.692307692</v>
      </c>
      <c r="DN116" s="285"/>
      <c r="DO116" s="96">
        <f>IFERROR(__xludf.DUMMYFUNCTION("""COMPUTED_VALUE"""),30.76923076923077)</f>
        <v>30.76923077</v>
      </c>
      <c r="DP116" s="96"/>
      <c r="DQ116" s="96"/>
      <c r="DR116" s="96"/>
      <c r="DS116" s="96"/>
      <c r="DT116" s="96"/>
      <c r="DU116" s="96"/>
    </row>
    <row r="117">
      <c r="B117" s="120" t="str">
        <f>IFERROR(__xludf.DUMMYFUNCTION("""COMPUTED_VALUE"""),"CML6")</f>
        <v>CML6</v>
      </c>
      <c r="C117" s="88" t="str">
        <f>IFERROR(__xludf.DUMMYFUNCTION("""COMPUTED_VALUE"""),"Mausoleum of the Evening Bell")</f>
        <v>Mausoleum of the Evening Bell</v>
      </c>
      <c r="D117" s="102">
        <f>IFERROR(__xludf.DUMMYFUNCTION("""COMPUTED_VALUE"""),19.0)</f>
        <v>19</v>
      </c>
      <c r="E117" s="82" t="b">
        <f>IFERROR(__xludf.DUMMYFUNCTION("""COMPUTED_VALUE"""),TRUE)</f>
        <v>1</v>
      </c>
      <c r="F117" s="82" t="str">
        <f>IFERROR(__xludf.DUMMYFUNCTION("""COMPUTED_VALUE"""),"Free Quests- Part 1!A1018:J1027")</f>
        <v>Free Quests- Part 1!A1018:J1027</v>
      </c>
      <c r="G117" s="82">
        <f>IFERROR(__xludf.DUMMYFUNCTION("""COMPUTED_VALUE"""),118.0)</f>
        <v>118</v>
      </c>
      <c r="H117" s="82">
        <f>IFERROR(__xludf.DUMMYFUNCTION("""COMPUTED_VALUE"""),517.0)</f>
        <v>517</v>
      </c>
      <c r="I117" s="82">
        <f>IFERROR(__xludf.DUMMYFUNCTION("""COMPUTED_VALUE"""),2303.0)</f>
        <v>2303</v>
      </c>
      <c r="J117" s="82">
        <f>IFERROR(__xludf.DUMMYFUNCTION("""COMPUTED_VALUE"""),2820.0)</f>
        <v>2820</v>
      </c>
      <c r="K117" s="234"/>
      <c r="L117" s="230"/>
      <c r="M117" s="235"/>
      <c r="N117" s="234"/>
      <c r="O117" s="230"/>
      <c r="P117" s="235"/>
      <c r="Q117" s="234"/>
      <c r="R117" s="230"/>
      <c r="S117" s="235"/>
      <c r="T117" s="234"/>
      <c r="U117" s="230"/>
      <c r="V117" s="235"/>
      <c r="W117" s="234"/>
      <c r="X117" s="230"/>
      <c r="Y117" s="235"/>
      <c r="Z117" s="234"/>
      <c r="AA117" s="230"/>
      <c r="AB117" s="235"/>
      <c r="AC117" s="234"/>
      <c r="AD117" s="230">
        <f>IFERROR(__xludf.DUMMYFUNCTION("""COMPUTED_VALUE"""),32.13698581560284)</f>
        <v>32.13698582</v>
      </c>
      <c r="AE117" s="235"/>
      <c r="AF117" s="234"/>
      <c r="AG117" s="230"/>
      <c r="AH117" s="235"/>
      <c r="AI117" s="234"/>
      <c r="AJ117" s="230"/>
      <c r="AK117" s="235"/>
      <c r="AL117" s="231"/>
      <c r="AM117" s="230"/>
      <c r="AN117" s="235"/>
      <c r="AO117" s="234"/>
      <c r="AP117" s="230"/>
      <c r="AQ117" s="235"/>
      <c r="AR117" s="234"/>
      <c r="AS117" s="230"/>
      <c r="AT117" s="235"/>
      <c r="AU117" s="234"/>
      <c r="AV117" s="230"/>
      <c r="AW117" s="235"/>
      <c r="AX117" s="234"/>
      <c r="AY117" s="230"/>
      <c r="AZ117" s="235"/>
      <c r="BA117" s="234"/>
      <c r="BB117" s="230"/>
      <c r="BC117" s="235"/>
      <c r="BD117" s="234"/>
      <c r="BE117" s="230"/>
      <c r="BF117" s="235"/>
      <c r="BG117" s="234"/>
      <c r="BH117" s="230"/>
      <c r="BI117" s="235"/>
      <c r="BJ117" s="234"/>
      <c r="BK117" s="230"/>
      <c r="BL117" s="235"/>
      <c r="BM117" s="234"/>
      <c r="BN117" s="230"/>
      <c r="BO117" s="235"/>
      <c r="BP117" s="234"/>
      <c r="BQ117" s="230"/>
      <c r="BR117" s="235">
        <f>IFERROR(__xludf.DUMMYFUNCTION("""COMPUTED_VALUE"""),2.324279279279279)</f>
        <v>2.324279279</v>
      </c>
      <c r="BS117" s="234"/>
      <c r="BT117" s="230"/>
      <c r="BU117" s="235"/>
      <c r="BV117" s="234"/>
      <c r="BW117" s="230"/>
      <c r="BX117" s="235"/>
      <c r="BY117" s="234">
        <f>IFERROR(__xludf.DUMMYFUNCTION("""COMPUTED_VALUE"""),47.56276485788113)</f>
        <v>47.56276486</v>
      </c>
      <c r="BZ117" s="230"/>
      <c r="CA117" s="235"/>
      <c r="CB117" s="234"/>
      <c r="CC117" s="230"/>
      <c r="CD117" s="235"/>
      <c r="CE117" s="234"/>
      <c r="CF117" s="230"/>
      <c r="CG117" s="235"/>
      <c r="CH117" s="234"/>
      <c r="CI117" s="230"/>
      <c r="CJ117" s="230"/>
      <c r="CK117" s="234"/>
      <c r="CL117" s="230"/>
      <c r="CM117" s="235"/>
      <c r="CN117" s="230"/>
      <c r="CO117" s="230"/>
      <c r="CP117" s="230"/>
      <c r="CQ117" s="234"/>
      <c r="CR117" s="230"/>
      <c r="CS117" s="230"/>
      <c r="CT117" s="234"/>
      <c r="CU117" s="230"/>
      <c r="CV117" s="230"/>
      <c r="CW117" s="234"/>
      <c r="CX117" s="230"/>
      <c r="CY117" s="235"/>
      <c r="CZ117" s="230"/>
      <c r="DA117" s="230"/>
      <c r="DB117" s="235">
        <f>IFERROR(__xludf.DUMMYFUNCTION("""COMPUTED_VALUE"""),5.714285714285714)</f>
        <v>5.714285714</v>
      </c>
      <c r="DC117" s="234"/>
      <c r="DD117" s="230"/>
      <c r="DE117" s="235"/>
      <c r="DF117" s="234"/>
      <c r="DG117" s="230"/>
      <c r="DH117" s="235"/>
      <c r="DI117" s="234"/>
      <c r="DJ117" s="230">
        <f>IFERROR(__xludf.DUMMYFUNCTION("""COMPUTED_VALUE"""),8.571428571428571)</f>
        <v>8.571428571</v>
      </c>
      <c r="DK117" s="235"/>
      <c r="DL117" s="280"/>
      <c r="DM117" s="286"/>
      <c r="DN117" s="282"/>
      <c r="DO117" s="96"/>
      <c r="DP117" s="96"/>
      <c r="DQ117" s="96"/>
      <c r="DR117" s="96">
        <f>IFERROR(__xludf.DUMMYFUNCTION("""COMPUTED_VALUE"""),14.285714285714285)</f>
        <v>14.28571429</v>
      </c>
      <c r="DS117" s="96"/>
      <c r="DT117" s="96"/>
      <c r="DU117" s="96"/>
    </row>
    <row r="118">
      <c r="B118" s="120" t="str">
        <f>IFERROR(__xludf.DUMMYFUNCTION("""COMPUTED_VALUE"""),"CML7")</f>
        <v>CML7</v>
      </c>
      <c r="C118" s="88" t="str">
        <f>IFERROR(__xludf.DUMMYFUNCTION("""COMPUTED_VALUE"""),"West Village Ruins")</f>
        <v>West Village Ruins</v>
      </c>
      <c r="D118" s="102">
        <f>IFERROR(__xludf.DUMMYFUNCTION("""COMPUTED_VALUE"""),20.0)</f>
        <v>20</v>
      </c>
      <c r="E118" s="82" t="b">
        <f>IFERROR(__xludf.DUMMYFUNCTION("""COMPUTED_VALUE"""),TRUE)</f>
        <v>1</v>
      </c>
      <c r="F118" s="82" t="str">
        <f>IFERROR(__xludf.DUMMYFUNCTION("""COMPUTED_VALUE"""),"Free Quests- Part 1!A1031:J1039")</f>
        <v>Free Quests- Part 1!A1031:J1039</v>
      </c>
      <c r="G118" s="82">
        <f>IFERROR(__xludf.DUMMYFUNCTION("""COMPUTED_VALUE"""),119.0)</f>
        <v>119</v>
      </c>
      <c r="H118" s="82">
        <f>IFERROR(__xludf.DUMMYFUNCTION("""COMPUTED_VALUE"""),53.0)</f>
        <v>53</v>
      </c>
      <c r="I118" s="82">
        <f>IFERROR(__xludf.DUMMYFUNCTION("""COMPUTED_VALUE"""),1370.0)</f>
        <v>1370</v>
      </c>
      <c r="J118" s="82">
        <f>IFERROR(__xludf.DUMMYFUNCTION("""COMPUTED_VALUE"""),1423.0)</f>
        <v>1423</v>
      </c>
      <c r="K118" s="234"/>
      <c r="L118" s="230"/>
      <c r="M118" s="235"/>
      <c r="N118" s="234"/>
      <c r="O118" s="230"/>
      <c r="P118" s="235"/>
      <c r="Q118" s="234"/>
      <c r="R118" s="230"/>
      <c r="S118" s="235"/>
      <c r="T118" s="234"/>
      <c r="U118" s="230"/>
      <c r="V118" s="235"/>
      <c r="W118" s="234"/>
      <c r="X118" s="230"/>
      <c r="Y118" s="235"/>
      <c r="Z118" s="234"/>
      <c r="AA118" s="230"/>
      <c r="AB118" s="235"/>
      <c r="AC118" s="234"/>
      <c r="AD118" s="230"/>
      <c r="AE118" s="235"/>
      <c r="AF118" s="234"/>
      <c r="AG118" s="230"/>
      <c r="AH118" s="235"/>
      <c r="AI118" s="234"/>
      <c r="AJ118" s="230"/>
      <c r="AK118" s="235"/>
      <c r="AL118" s="231"/>
      <c r="AM118" s="230"/>
      <c r="AN118" s="235"/>
      <c r="AO118" s="234"/>
      <c r="AP118" s="230"/>
      <c r="AQ118" s="235"/>
      <c r="AR118" s="234"/>
      <c r="AS118" s="230"/>
      <c r="AT118" s="235"/>
      <c r="AU118" s="234"/>
      <c r="AV118" s="230"/>
      <c r="AW118" s="235"/>
      <c r="AX118" s="234"/>
      <c r="AY118" s="230"/>
      <c r="AZ118" s="235">
        <f>IFERROR(__xludf.DUMMYFUNCTION("""COMPUTED_VALUE"""),47.38369641602249)</f>
        <v>47.38369642</v>
      </c>
      <c r="BA118" s="234"/>
      <c r="BB118" s="230"/>
      <c r="BC118" s="235"/>
      <c r="BD118" s="234"/>
      <c r="BE118" s="230"/>
      <c r="BF118" s="235"/>
      <c r="BG118" s="234"/>
      <c r="BH118" s="230"/>
      <c r="BI118" s="235"/>
      <c r="BJ118" s="234"/>
      <c r="BK118" s="230"/>
      <c r="BL118" s="235"/>
      <c r="BM118" s="234"/>
      <c r="BN118" s="230"/>
      <c r="BO118" s="235"/>
      <c r="BP118" s="234"/>
      <c r="BQ118" s="230"/>
      <c r="BR118" s="235"/>
      <c r="BS118" s="234"/>
      <c r="BT118" s="230"/>
      <c r="BU118" s="235"/>
      <c r="BV118" s="234"/>
      <c r="BW118" s="230"/>
      <c r="BX118" s="235"/>
      <c r="BY118" s="234">
        <f>IFERROR(__xludf.DUMMYFUNCTION("""COMPUTED_VALUE"""),45.736472241742796)</f>
        <v>45.73647224</v>
      </c>
      <c r="BZ118" s="230"/>
      <c r="CA118" s="235"/>
      <c r="CB118" s="234"/>
      <c r="CC118" s="230"/>
      <c r="CD118" s="235"/>
      <c r="CE118" s="234"/>
      <c r="CF118" s="230">
        <f>IFERROR(__xludf.DUMMYFUNCTION("""COMPUTED_VALUE"""),4.118060435699227)</f>
        <v>4.118060436</v>
      </c>
      <c r="CG118" s="235"/>
      <c r="CH118" s="234"/>
      <c r="CI118" s="230"/>
      <c r="CJ118" s="230"/>
      <c r="CK118" s="234"/>
      <c r="CL118" s="230"/>
      <c r="CM118" s="235">
        <f>IFERROR(__xludf.DUMMYFUNCTION("""COMPUTED_VALUE"""),9.453267744202389)</f>
        <v>9.453267744</v>
      </c>
      <c r="CN118" s="230"/>
      <c r="CO118" s="230"/>
      <c r="CP118" s="230"/>
      <c r="CQ118" s="234"/>
      <c r="CR118" s="230"/>
      <c r="CS118" s="230"/>
      <c r="CT118" s="234"/>
      <c r="CU118" s="230"/>
      <c r="CV118" s="230"/>
      <c r="CW118" s="234"/>
      <c r="CX118" s="230"/>
      <c r="CY118" s="235"/>
      <c r="CZ118" s="230"/>
      <c r="DA118" s="230"/>
      <c r="DB118" s="235">
        <f>IFERROR(__xludf.DUMMYFUNCTION("""COMPUTED_VALUE"""),22.22222222222222)</f>
        <v>22.22222222</v>
      </c>
      <c r="DC118" s="234"/>
      <c r="DD118" s="230"/>
      <c r="DE118" s="235"/>
      <c r="DF118" s="234"/>
      <c r="DG118" s="230"/>
      <c r="DH118" s="235"/>
      <c r="DI118" s="234"/>
      <c r="DJ118" s="230">
        <f>IFERROR(__xludf.DUMMYFUNCTION("""COMPUTED_VALUE"""),16.666666666666664)</f>
        <v>16.66666667</v>
      </c>
      <c r="DK118" s="235"/>
      <c r="DL118" s="283"/>
      <c r="DM118" s="287"/>
      <c r="DN118" s="285"/>
      <c r="DO118" s="96"/>
      <c r="DP118" s="96"/>
      <c r="DQ118" s="96"/>
      <c r="DR118" s="96"/>
      <c r="DS118" s="96"/>
      <c r="DT118" s="96"/>
      <c r="DU118" s="96"/>
    </row>
    <row r="119">
      <c r="B119" s="120" t="str">
        <f>IFERROR(__xludf.DUMMYFUNCTION("""COMPUTED_VALUE"""),"CML8")</f>
        <v>CML8</v>
      </c>
      <c r="C119" s="88" t="str">
        <f>IFERROR(__xludf.DUMMYFUNCTION("""COMPUTED_VALUE"""),"Atlas Institute")</f>
        <v>Atlas Institute</v>
      </c>
      <c r="D119" s="102">
        <f>IFERROR(__xludf.DUMMYFUNCTION("""COMPUTED_VALUE"""),20.0)</f>
        <v>20</v>
      </c>
      <c r="E119" s="82" t="b">
        <f>IFERROR(__xludf.DUMMYFUNCTION("""COMPUTED_VALUE"""),TRUE)</f>
        <v>1</v>
      </c>
      <c r="F119" s="82" t="str">
        <f>IFERROR(__xludf.DUMMYFUNCTION("""COMPUTED_VALUE"""),"Free Quests- Part 1!A1043:J1054")</f>
        <v>Free Quests- Part 1!A1043:J1054</v>
      </c>
      <c r="G119" s="82">
        <f>IFERROR(__xludf.DUMMYFUNCTION("""COMPUTED_VALUE"""),120.0)</f>
        <v>120</v>
      </c>
      <c r="H119" s="82">
        <f>IFERROR(__xludf.DUMMYFUNCTION("""COMPUTED_VALUE"""),55.0)</f>
        <v>55</v>
      </c>
      <c r="I119" s="82">
        <f>IFERROR(__xludf.DUMMYFUNCTION("""COMPUTED_VALUE"""),1106.0)</f>
        <v>1106</v>
      </c>
      <c r="J119" s="82">
        <f>IFERROR(__xludf.DUMMYFUNCTION("""COMPUTED_VALUE"""),1161.0)</f>
        <v>1161</v>
      </c>
      <c r="K119" s="234"/>
      <c r="L119" s="230"/>
      <c r="M119" s="235"/>
      <c r="N119" s="234"/>
      <c r="O119" s="230"/>
      <c r="P119" s="235"/>
      <c r="Q119" s="234"/>
      <c r="R119" s="230"/>
      <c r="S119" s="235"/>
      <c r="T119" s="234"/>
      <c r="U119" s="230"/>
      <c r="V119" s="235"/>
      <c r="W119" s="234"/>
      <c r="X119" s="230"/>
      <c r="Y119" s="235"/>
      <c r="Z119" s="234"/>
      <c r="AA119" s="230"/>
      <c r="AB119" s="235"/>
      <c r="AC119" s="234"/>
      <c r="AD119" s="230"/>
      <c r="AE119" s="235"/>
      <c r="AF119" s="234"/>
      <c r="AG119" s="230"/>
      <c r="AH119" s="235">
        <f>IFERROR(__xludf.DUMMYFUNCTION("""COMPUTED_VALUE"""),20.217915590008612)</f>
        <v>20.21791559</v>
      </c>
      <c r="AI119" s="234">
        <f>IFERROR(__xludf.DUMMYFUNCTION("""COMPUTED_VALUE"""),8.137812230835486)</f>
        <v>8.137812231</v>
      </c>
      <c r="AJ119" s="230"/>
      <c r="AK119" s="235"/>
      <c r="AL119" s="231"/>
      <c r="AM119" s="230"/>
      <c r="AN119" s="235"/>
      <c r="AO119" s="234"/>
      <c r="AP119" s="230"/>
      <c r="AQ119" s="235"/>
      <c r="AR119" s="234"/>
      <c r="AS119" s="230"/>
      <c r="AT119" s="235"/>
      <c r="AU119" s="234"/>
      <c r="AV119" s="230"/>
      <c r="AW119" s="235"/>
      <c r="AX119" s="234"/>
      <c r="AY119" s="230"/>
      <c r="AZ119" s="235"/>
      <c r="BA119" s="234"/>
      <c r="BB119" s="230"/>
      <c r="BC119" s="235"/>
      <c r="BD119" s="234"/>
      <c r="BE119" s="230"/>
      <c r="BF119" s="235"/>
      <c r="BG119" s="234"/>
      <c r="BH119" s="230"/>
      <c r="BI119" s="235"/>
      <c r="BJ119" s="234"/>
      <c r="BK119" s="230"/>
      <c r="BL119" s="235"/>
      <c r="BM119" s="234"/>
      <c r="BN119" s="230">
        <f>IFERROR(__xludf.DUMMYFUNCTION("""COMPUTED_VALUE"""),16.493540051679588)</f>
        <v>16.49354005</v>
      </c>
      <c r="BO119" s="235"/>
      <c r="BP119" s="234"/>
      <c r="BQ119" s="230">
        <f>IFERROR(__xludf.DUMMYFUNCTION("""COMPUTED_VALUE"""),15.645305770887166)</f>
        <v>15.64530577</v>
      </c>
      <c r="BR119" s="235"/>
      <c r="BS119" s="234"/>
      <c r="BT119" s="230"/>
      <c r="BU119" s="235">
        <f>IFERROR(__xludf.DUMMYFUNCTION("""COMPUTED_VALUE"""),14.778811369509041)</f>
        <v>14.77881137</v>
      </c>
      <c r="BV119" s="234"/>
      <c r="BW119" s="230"/>
      <c r="BX119" s="235"/>
      <c r="BY119" s="234"/>
      <c r="BZ119" s="230"/>
      <c r="CA119" s="235"/>
      <c r="CB119" s="234"/>
      <c r="CC119" s="230"/>
      <c r="CD119" s="235"/>
      <c r="CE119" s="234"/>
      <c r="CF119" s="230"/>
      <c r="CG119" s="235"/>
      <c r="CH119" s="234"/>
      <c r="CI119" s="230"/>
      <c r="CJ119" s="230"/>
      <c r="CK119" s="234"/>
      <c r="CL119" s="230"/>
      <c r="CM119" s="235"/>
      <c r="CN119" s="230"/>
      <c r="CO119" s="230"/>
      <c r="CP119" s="230">
        <f>IFERROR(__xludf.DUMMYFUNCTION("""COMPUTED_VALUE"""),14.078075929238722)</f>
        <v>14.07807593</v>
      </c>
      <c r="CQ119" s="234"/>
      <c r="CR119" s="230"/>
      <c r="CS119" s="230"/>
      <c r="CT119" s="234"/>
      <c r="CU119" s="230"/>
      <c r="CV119" s="230"/>
      <c r="CW119" s="234"/>
      <c r="CX119" s="230"/>
      <c r="CY119" s="235"/>
      <c r="CZ119" s="230"/>
      <c r="DA119" s="230"/>
      <c r="DB119" s="235"/>
      <c r="DC119" s="234"/>
      <c r="DD119" s="230"/>
      <c r="DE119" s="235"/>
      <c r="DF119" s="234">
        <f>IFERROR(__xludf.DUMMYFUNCTION("""COMPUTED_VALUE"""),7.142857142857142)</f>
        <v>7.142857143</v>
      </c>
      <c r="DG119" s="230"/>
      <c r="DH119" s="235"/>
      <c r="DI119" s="234">
        <f>IFERROR(__xludf.DUMMYFUNCTION("""COMPUTED_VALUE"""),14.285714285714285)</f>
        <v>14.28571429</v>
      </c>
      <c r="DJ119" s="230"/>
      <c r="DK119" s="235"/>
      <c r="DL119" s="280"/>
      <c r="DM119" s="286"/>
      <c r="DN119" s="282"/>
      <c r="DO119" s="96"/>
      <c r="DP119" s="96"/>
      <c r="DQ119" s="96"/>
      <c r="DR119" s="96"/>
      <c r="DS119" s="96"/>
      <c r="DT119" s="96"/>
      <c r="DU119" s="96"/>
    </row>
    <row r="120">
      <c r="B120" s="120" t="str">
        <f>IFERROR(__xludf.DUMMYFUNCTION("""COMPUTED_VALUE"""),"CML9")</f>
        <v>CML9</v>
      </c>
      <c r="C120" s="88" t="str">
        <f>IFERROR(__xludf.DUMMYFUNCTION("""COMPUTED_VALUE"""),"Main Gate")</f>
        <v>Main Gate</v>
      </c>
      <c r="D120" s="102">
        <f>IFERROR(__xludf.DUMMYFUNCTION("""COMPUTED_VALUE"""),20.0)</f>
        <v>20</v>
      </c>
      <c r="E120" s="82" t="b">
        <f>IFERROR(__xludf.DUMMYFUNCTION("""COMPUTED_VALUE"""),TRUE)</f>
        <v>1</v>
      </c>
      <c r="F120" s="82" t="str">
        <f>IFERROR(__xludf.DUMMYFUNCTION("""COMPUTED_VALUE"""),"Free Quests- Part 1!A1058:J1067")</f>
        <v>Free Quests- Part 1!A1058:J1067</v>
      </c>
      <c r="G120" s="82">
        <f>IFERROR(__xludf.DUMMYFUNCTION("""COMPUTED_VALUE"""),121.0)</f>
        <v>121</v>
      </c>
      <c r="H120" s="82">
        <f>IFERROR(__xludf.DUMMYFUNCTION("""COMPUTED_VALUE"""),1068.0)</f>
        <v>1068</v>
      </c>
      <c r="I120" s="82">
        <f>IFERROR(__xludf.DUMMYFUNCTION("""COMPUTED_VALUE"""),50897.0)</f>
        <v>50897</v>
      </c>
      <c r="J120" s="82">
        <f>IFERROR(__xludf.DUMMYFUNCTION("""COMPUTED_VALUE"""),51965.0)</f>
        <v>51965</v>
      </c>
      <c r="K120" s="234"/>
      <c r="L120" s="230"/>
      <c r="M120" s="235"/>
      <c r="N120" s="234"/>
      <c r="O120" s="230"/>
      <c r="P120" s="235"/>
      <c r="Q120" s="234"/>
      <c r="R120" s="230"/>
      <c r="S120" s="235"/>
      <c r="T120" s="234"/>
      <c r="U120" s="230"/>
      <c r="V120" s="235"/>
      <c r="W120" s="234"/>
      <c r="X120" s="230"/>
      <c r="Y120" s="235"/>
      <c r="Z120" s="234"/>
      <c r="AA120" s="230"/>
      <c r="AB120" s="235"/>
      <c r="AC120" s="234"/>
      <c r="AD120" s="230"/>
      <c r="AE120" s="235"/>
      <c r="AF120" s="234"/>
      <c r="AG120" s="230"/>
      <c r="AH120" s="235"/>
      <c r="AI120" s="234"/>
      <c r="AJ120" s="230"/>
      <c r="AK120" s="235"/>
      <c r="AL120" s="231">
        <f>IFERROR(__xludf.DUMMYFUNCTION("""COMPUTED_VALUE"""),30.104872510343505)</f>
        <v>30.10487251</v>
      </c>
      <c r="AM120" s="230"/>
      <c r="AN120" s="235"/>
      <c r="AO120" s="234"/>
      <c r="AP120" s="230"/>
      <c r="AQ120" s="235"/>
      <c r="AR120" s="234"/>
      <c r="AS120" s="230"/>
      <c r="AT120" s="235"/>
      <c r="AU120" s="234"/>
      <c r="AV120" s="230"/>
      <c r="AW120" s="235"/>
      <c r="AX120" s="234"/>
      <c r="AY120" s="230"/>
      <c r="AZ120" s="235"/>
      <c r="BA120" s="234"/>
      <c r="BB120" s="230"/>
      <c r="BC120" s="235"/>
      <c r="BD120" s="234"/>
      <c r="BE120" s="230"/>
      <c r="BF120" s="235"/>
      <c r="BG120" s="234"/>
      <c r="BH120" s="230"/>
      <c r="BI120" s="235"/>
      <c r="BJ120" s="234"/>
      <c r="BK120" s="230"/>
      <c r="BL120" s="235"/>
      <c r="BM120" s="234">
        <f>IFERROR(__xludf.DUMMYFUNCTION("""COMPUTED_VALUE"""),10.428727027807179)</f>
        <v>10.42872703</v>
      </c>
      <c r="BN120" s="230">
        <f>IFERROR(__xludf.DUMMYFUNCTION("""COMPUTED_VALUE"""),5.298837679207158)</f>
        <v>5.298837679</v>
      </c>
      <c r="BO120" s="235">
        <f>IFERROR(__xludf.DUMMYFUNCTION("""COMPUTED_VALUE"""),10.476638121812758)</f>
        <v>10.47663812</v>
      </c>
      <c r="BP120" s="234"/>
      <c r="BQ120" s="230"/>
      <c r="BR120" s="235"/>
      <c r="BS120" s="234"/>
      <c r="BT120" s="230"/>
      <c r="BU120" s="235"/>
      <c r="BV120" s="234"/>
      <c r="BW120" s="230"/>
      <c r="BX120" s="235"/>
      <c r="BY120" s="234"/>
      <c r="BZ120" s="230"/>
      <c r="CA120" s="235"/>
      <c r="CB120" s="234"/>
      <c r="CC120" s="230"/>
      <c r="CD120" s="235"/>
      <c r="CE120" s="234"/>
      <c r="CF120" s="230"/>
      <c r="CG120" s="235"/>
      <c r="CH120" s="234"/>
      <c r="CI120" s="230"/>
      <c r="CJ120" s="230"/>
      <c r="CK120" s="234"/>
      <c r="CL120" s="230"/>
      <c r="CM120" s="235"/>
      <c r="CN120" s="230"/>
      <c r="CO120" s="230">
        <f>IFERROR(__xludf.DUMMYFUNCTION("""COMPUTED_VALUE"""),8.997330588952376)</f>
        <v>8.997330589</v>
      </c>
      <c r="CP120" s="230">
        <f>IFERROR(__xludf.DUMMYFUNCTION("""COMPUTED_VALUE"""),4.433274317221272)</f>
        <v>4.433274317</v>
      </c>
      <c r="CQ120" s="234">
        <f>IFERROR(__xludf.DUMMYFUNCTION("""COMPUTED_VALUE"""),8.32473871262753)</f>
        <v>8.324738713</v>
      </c>
      <c r="CR120" s="230"/>
      <c r="CS120" s="230"/>
      <c r="CT120" s="234"/>
      <c r="CU120" s="230"/>
      <c r="CV120" s="230"/>
      <c r="CW120" s="234"/>
      <c r="CX120" s="230"/>
      <c r="CY120" s="235"/>
      <c r="CZ120" s="230"/>
      <c r="DA120" s="230"/>
      <c r="DB120" s="235"/>
      <c r="DC120" s="234"/>
      <c r="DD120" s="230"/>
      <c r="DE120" s="235"/>
      <c r="DF120" s="234"/>
      <c r="DG120" s="230"/>
      <c r="DH120" s="235"/>
      <c r="DI120" s="234"/>
      <c r="DJ120" s="230"/>
      <c r="DK120" s="235"/>
      <c r="DL120" s="283"/>
      <c r="DM120" s="287"/>
      <c r="DN120" s="285"/>
      <c r="DO120" s="96"/>
      <c r="DP120" s="96"/>
      <c r="DQ120" s="96"/>
      <c r="DR120" s="96"/>
      <c r="DS120" s="96"/>
      <c r="DT120" s="96"/>
      <c r="DU120" s="96"/>
    </row>
    <row r="121">
      <c r="B121" s="120" t="str">
        <f>IFERROR(__xludf.DUMMYFUNCTION("""COMPUTED_VALUE"""),"CML10")</f>
        <v>CML10</v>
      </c>
      <c r="C121" s="88" t="str">
        <f>IFERROR(__xludf.DUMMYFUNCTION("""COMPUTED_VALUE"""),"Holy City")</f>
        <v>Holy City</v>
      </c>
      <c r="D121" s="102">
        <f>IFERROR(__xludf.DUMMYFUNCTION("""COMPUTED_VALUE"""),20.0)</f>
        <v>20</v>
      </c>
      <c r="E121" s="82" t="b">
        <f>IFERROR(__xludf.DUMMYFUNCTION("""COMPUTED_VALUE"""),TRUE)</f>
        <v>1</v>
      </c>
      <c r="F121" s="82" t="str">
        <f>IFERROR(__xludf.DUMMYFUNCTION("""COMPUTED_VALUE"""),"Free Quests- Part 1!A1071:J1085")</f>
        <v>Free Quests- Part 1!A1071:J1085</v>
      </c>
      <c r="G121" s="82">
        <f>IFERROR(__xludf.DUMMYFUNCTION("""COMPUTED_VALUE"""),122.0)</f>
        <v>122</v>
      </c>
      <c r="H121" s="82">
        <f>IFERROR(__xludf.DUMMYFUNCTION("""COMPUTED_VALUE"""),3004.0)</f>
        <v>3004</v>
      </c>
      <c r="I121" s="82">
        <f>IFERROR(__xludf.DUMMYFUNCTION("""COMPUTED_VALUE"""),28629.0)</f>
        <v>28629</v>
      </c>
      <c r="J121" s="82">
        <f>IFERROR(__xludf.DUMMYFUNCTION("""COMPUTED_VALUE"""),31633.0)</f>
        <v>31633</v>
      </c>
      <c r="K121" s="234"/>
      <c r="L121" s="230"/>
      <c r="M121" s="235"/>
      <c r="N121" s="234">
        <f>IFERROR(__xludf.DUMMYFUNCTION("""COMPUTED_VALUE"""),11.973192552081686)</f>
        <v>11.97319255</v>
      </c>
      <c r="O121" s="230"/>
      <c r="P121" s="235"/>
      <c r="Q121" s="234"/>
      <c r="R121" s="230"/>
      <c r="S121" s="235"/>
      <c r="T121" s="234"/>
      <c r="U121" s="230"/>
      <c r="V121" s="235"/>
      <c r="W121" s="234"/>
      <c r="X121" s="230"/>
      <c r="Y121" s="235"/>
      <c r="Z121" s="234"/>
      <c r="AA121" s="230"/>
      <c r="AB121" s="235"/>
      <c r="AC121" s="234"/>
      <c r="AD121" s="230"/>
      <c r="AE121" s="235">
        <f>IFERROR(__xludf.DUMMYFUNCTION("""COMPUTED_VALUE"""),27.46292163247242)</f>
        <v>27.46292163</v>
      </c>
      <c r="AF121" s="234"/>
      <c r="AG121" s="230"/>
      <c r="AH121" s="235"/>
      <c r="AI121" s="234"/>
      <c r="AJ121" s="230"/>
      <c r="AK121" s="235"/>
      <c r="AL121" s="231"/>
      <c r="AM121" s="230"/>
      <c r="AN121" s="235"/>
      <c r="AO121" s="234"/>
      <c r="AP121" s="230"/>
      <c r="AQ121" s="235"/>
      <c r="AR121" s="234"/>
      <c r="AS121" s="230"/>
      <c r="AT121" s="235"/>
      <c r="AU121" s="234"/>
      <c r="AV121" s="230"/>
      <c r="AW121" s="235">
        <f>IFERROR(__xludf.DUMMYFUNCTION("""COMPUTED_VALUE"""),35.7575380140992)</f>
        <v>35.75753801</v>
      </c>
      <c r="AX121" s="234"/>
      <c r="AY121" s="230"/>
      <c r="AZ121" s="235"/>
      <c r="BA121" s="234"/>
      <c r="BB121" s="230"/>
      <c r="BC121" s="235"/>
      <c r="BD121" s="234"/>
      <c r="BE121" s="230"/>
      <c r="BF121" s="235">
        <f>IFERROR(__xludf.DUMMYFUNCTION("""COMPUTED_VALUE"""),3.2843711485377445)</f>
        <v>3.284371149</v>
      </c>
      <c r="BG121" s="234"/>
      <c r="BH121" s="230"/>
      <c r="BI121" s="235"/>
      <c r="BJ121" s="234"/>
      <c r="BK121" s="230"/>
      <c r="BL121" s="235">
        <f>IFERROR(__xludf.DUMMYFUNCTION("""COMPUTED_VALUE"""),9.061209210443819)</f>
        <v>9.06120921</v>
      </c>
      <c r="BM121" s="234"/>
      <c r="BN121" s="230"/>
      <c r="BO121" s="235"/>
      <c r="BP121" s="234"/>
      <c r="BQ121" s="230"/>
      <c r="BR121" s="235"/>
      <c r="BS121" s="234"/>
      <c r="BT121" s="230">
        <f>IFERROR(__xludf.DUMMYFUNCTION("""COMPUTED_VALUE"""),5.231721057838842)</f>
        <v>5.231721058</v>
      </c>
      <c r="BU121" s="235"/>
      <c r="BV121" s="234">
        <f>IFERROR(__xludf.DUMMYFUNCTION("""COMPUTED_VALUE"""),10.016495008393015)</f>
        <v>10.01649501</v>
      </c>
      <c r="BW121" s="230"/>
      <c r="BX121" s="235"/>
      <c r="BY121" s="234"/>
      <c r="BZ121" s="230"/>
      <c r="CA121" s="235"/>
      <c r="CB121" s="234"/>
      <c r="CC121" s="230"/>
      <c r="CD121" s="235"/>
      <c r="CE121" s="234"/>
      <c r="CF121" s="230"/>
      <c r="CG121" s="235"/>
      <c r="CH121" s="234"/>
      <c r="CI121" s="230"/>
      <c r="CJ121" s="230"/>
      <c r="CK121" s="234"/>
      <c r="CL121" s="230"/>
      <c r="CM121" s="235"/>
      <c r="CN121" s="230"/>
      <c r="CO121" s="230">
        <f>IFERROR(__xludf.DUMMYFUNCTION("""COMPUTED_VALUE"""),81.06258236894242)</f>
        <v>81.06258237</v>
      </c>
      <c r="CP121" s="230"/>
      <c r="CQ121" s="234"/>
      <c r="CR121" s="230"/>
      <c r="CS121" s="230"/>
      <c r="CT121" s="234"/>
      <c r="CU121" s="230"/>
      <c r="CV121" s="230"/>
      <c r="CW121" s="234"/>
      <c r="CX121" s="230"/>
      <c r="CY121" s="235"/>
      <c r="CZ121" s="230"/>
      <c r="DA121" s="230"/>
      <c r="DB121" s="235"/>
      <c r="DC121" s="234">
        <f>IFERROR(__xludf.DUMMYFUNCTION("""COMPUTED_VALUE"""),13.57214934409687)</f>
        <v>13.57214934</v>
      </c>
      <c r="DD121" s="230"/>
      <c r="DE121" s="235"/>
      <c r="DF121" s="234"/>
      <c r="DG121" s="230"/>
      <c r="DH121" s="235"/>
      <c r="DI121" s="234"/>
      <c r="DJ121" s="230"/>
      <c r="DK121" s="235"/>
      <c r="DL121" s="280"/>
      <c r="DM121" s="286">
        <f>IFERROR(__xludf.DUMMYFUNCTION("""COMPUTED_VALUE"""),4.843592330978809)</f>
        <v>4.843592331</v>
      </c>
      <c r="DN121" s="282"/>
      <c r="DO121" s="96">
        <f>IFERROR(__xludf.DUMMYFUNCTION("""COMPUTED_VALUE"""),9.939455095862765)</f>
        <v>9.939455096</v>
      </c>
      <c r="DP121" s="96"/>
      <c r="DQ121" s="96"/>
      <c r="DR121" s="96"/>
      <c r="DS121" s="96"/>
      <c r="DT121" s="96"/>
      <c r="DU121" s="96"/>
    </row>
    <row r="122">
      <c r="B122" s="120" t="str">
        <f>IFERROR(__xludf.DUMMYFUNCTION("""COMPUTED_VALUE"""),"CML11")</f>
        <v>CML11</v>
      </c>
      <c r="C122" s="88" t="str">
        <f>IFERROR(__xludf.DUMMYFUNCTION("""COMPUTED_VALUE"""),"Hidden Village")</f>
        <v>Hidden Village</v>
      </c>
      <c r="D122" s="102">
        <f>IFERROR(__xludf.DUMMYFUNCTION("""COMPUTED_VALUE"""),21.0)</f>
        <v>21</v>
      </c>
      <c r="E122" s="82" t="b">
        <f>IFERROR(__xludf.DUMMYFUNCTION("""COMPUTED_VALUE"""),TRUE)</f>
        <v>1</v>
      </c>
      <c r="F122" s="82" t="str">
        <f>IFERROR(__xludf.DUMMYFUNCTION("""COMPUTED_VALUE"""),"Free Quests- Part 1!A1089:J1100")</f>
        <v>Free Quests- Part 1!A1089:J1100</v>
      </c>
      <c r="G122" s="82">
        <f>IFERROR(__xludf.DUMMYFUNCTION("""COMPUTED_VALUE"""),123.0)</f>
        <v>123</v>
      </c>
      <c r="H122" s="82">
        <f>IFERROR(__xludf.DUMMYFUNCTION("""COMPUTED_VALUE"""),1476.0)</f>
        <v>1476</v>
      </c>
      <c r="I122" s="82">
        <f>IFERROR(__xludf.DUMMYFUNCTION("""COMPUTED_VALUE"""),123673.0)</f>
        <v>123673</v>
      </c>
      <c r="J122" s="82">
        <f>IFERROR(__xludf.DUMMYFUNCTION("""COMPUTED_VALUE"""),125149.0)</f>
        <v>125149</v>
      </c>
      <c r="K122" s="234"/>
      <c r="L122" s="230"/>
      <c r="M122" s="235"/>
      <c r="N122" s="234"/>
      <c r="O122" s="230"/>
      <c r="P122" s="235"/>
      <c r="Q122" s="234"/>
      <c r="R122" s="230">
        <f>IFERROR(__xludf.DUMMYFUNCTION("""COMPUTED_VALUE"""),16.116271804009624)</f>
        <v>16.1162718</v>
      </c>
      <c r="S122" s="235"/>
      <c r="T122" s="234"/>
      <c r="U122" s="230"/>
      <c r="V122" s="235"/>
      <c r="W122" s="234"/>
      <c r="X122" s="230"/>
      <c r="Y122" s="235"/>
      <c r="Z122" s="234"/>
      <c r="AA122" s="230"/>
      <c r="AB122" s="235"/>
      <c r="AC122" s="234"/>
      <c r="AD122" s="230"/>
      <c r="AE122" s="235"/>
      <c r="AF122" s="234"/>
      <c r="AG122" s="230"/>
      <c r="AH122" s="235"/>
      <c r="AI122" s="234"/>
      <c r="AJ122" s="230"/>
      <c r="AK122" s="235"/>
      <c r="AL122" s="231"/>
      <c r="AM122" s="230"/>
      <c r="AN122" s="235"/>
      <c r="AO122" s="234"/>
      <c r="AP122" s="230"/>
      <c r="AQ122" s="235"/>
      <c r="AR122" s="234"/>
      <c r="AS122" s="230"/>
      <c r="AT122" s="235"/>
      <c r="AU122" s="234"/>
      <c r="AV122" s="230"/>
      <c r="AW122" s="235"/>
      <c r="AX122" s="234"/>
      <c r="AY122" s="230"/>
      <c r="AZ122" s="235"/>
      <c r="BA122" s="234">
        <f>IFERROR(__xludf.DUMMYFUNCTION("""COMPUTED_VALUE"""),30.41037802282595)</f>
        <v>30.41037802</v>
      </c>
      <c r="BB122" s="230"/>
      <c r="BC122" s="235"/>
      <c r="BD122" s="234"/>
      <c r="BE122" s="230"/>
      <c r="BF122" s="235"/>
      <c r="BG122" s="234"/>
      <c r="BH122" s="230"/>
      <c r="BI122" s="235"/>
      <c r="BJ122" s="234"/>
      <c r="BK122" s="230"/>
      <c r="BL122" s="235"/>
      <c r="BM122" s="234"/>
      <c r="BN122" s="230"/>
      <c r="BO122" s="235"/>
      <c r="BP122" s="234"/>
      <c r="BQ122" s="230">
        <f>IFERROR(__xludf.DUMMYFUNCTION("""COMPUTED_VALUE"""),7.923072049656851)</f>
        <v>7.92307205</v>
      </c>
      <c r="BR122" s="235"/>
      <c r="BS122" s="234"/>
      <c r="BT122" s="230"/>
      <c r="BU122" s="235"/>
      <c r="BV122" s="234"/>
      <c r="BW122" s="230"/>
      <c r="BX122" s="235"/>
      <c r="BY122" s="234">
        <f>IFERROR(__xludf.DUMMYFUNCTION("""COMPUTED_VALUE"""),9.989425007854702)</f>
        <v>9.989425008</v>
      </c>
      <c r="BZ122" s="230">
        <f>IFERROR(__xludf.DUMMYFUNCTION("""COMPUTED_VALUE"""),4.892259267199905)</f>
        <v>4.892259267</v>
      </c>
      <c r="CA122" s="235"/>
      <c r="CB122" s="234"/>
      <c r="CC122" s="230"/>
      <c r="CD122" s="235"/>
      <c r="CE122" s="234"/>
      <c r="CF122" s="230"/>
      <c r="CG122" s="235"/>
      <c r="CH122" s="234"/>
      <c r="CI122" s="230"/>
      <c r="CJ122" s="230"/>
      <c r="CK122" s="234"/>
      <c r="CL122" s="230"/>
      <c r="CM122" s="235"/>
      <c r="CN122" s="230"/>
      <c r="CO122" s="230"/>
      <c r="CP122" s="230"/>
      <c r="CQ122" s="234"/>
      <c r="CR122" s="230"/>
      <c r="CS122" s="230">
        <f>IFERROR(__xludf.DUMMYFUNCTION("""COMPUTED_VALUE"""),70.60931899641577)</f>
        <v>70.609319</v>
      </c>
      <c r="CT122" s="234"/>
      <c r="CU122" s="230"/>
      <c r="CV122" s="230"/>
      <c r="CW122" s="234"/>
      <c r="CX122" s="230"/>
      <c r="CY122" s="235"/>
      <c r="CZ122" s="230"/>
      <c r="DA122" s="230"/>
      <c r="DB122" s="235"/>
      <c r="DC122" s="234"/>
      <c r="DD122" s="230"/>
      <c r="DE122" s="235"/>
      <c r="DF122" s="234"/>
      <c r="DG122" s="230"/>
      <c r="DH122" s="235"/>
      <c r="DI122" s="234"/>
      <c r="DJ122" s="230">
        <f>IFERROR(__xludf.DUMMYFUNCTION("""COMPUTED_VALUE"""),6.649616368286446)</f>
        <v>6.649616368</v>
      </c>
      <c r="DK122" s="235">
        <f>IFERROR(__xludf.DUMMYFUNCTION("""COMPUTED_VALUE"""),6.3938618925831205)</f>
        <v>6.393861893</v>
      </c>
      <c r="DL122" s="283"/>
      <c r="DM122" s="287"/>
      <c r="DN122" s="285"/>
      <c r="DO122" s="96"/>
      <c r="DP122" s="96"/>
      <c r="DQ122" s="96"/>
      <c r="DR122" s="96"/>
      <c r="DS122" s="96"/>
      <c r="DT122" s="96"/>
      <c r="DU122" s="96"/>
    </row>
    <row r="123">
      <c r="B123" s="120" t="str">
        <f>IFERROR(__xludf.DUMMYFUNCTION("""COMPUTED_VALUE"""),"CML12")</f>
        <v>CML12</v>
      </c>
      <c r="C123" s="88" t="str">
        <f>IFERROR(__xludf.DUMMYFUNCTION("""COMPUTED_VALUE"""),"Royal Castle")</f>
        <v>Royal Castle</v>
      </c>
      <c r="D123" s="102">
        <f>IFERROR(__xludf.DUMMYFUNCTION("""COMPUTED_VALUE"""),21.0)</f>
        <v>21</v>
      </c>
      <c r="E123" s="82" t="b">
        <f>IFERROR(__xludf.DUMMYFUNCTION("""COMPUTED_VALUE"""),TRUE)</f>
        <v>1</v>
      </c>
      <c r="F123" s="82" t="str">
        <f>IFERROR(__xludf.DUMMYFUNCTION("""COMPUTED_VALUE"""),"Free Quests- Part 1!A1104:J1113")</f>
        <v>Free Quests- Part 1!A1104:J1113</v>
      </c>
      <c r="G123" s="82">
        <f>IFERROR(__xludf.DUMMYFUNCTION("""COMPUTED_VALUE"""),124.0)</f>
        <v>124</v>
      </c>
      <c r="H123" s="82">
        <f>IFERROR(__xludf.DUMMYFUNCTION("""COMPUTED_VALUE"""),1574.0)</f>
        <v>1574</v>
      </c>
      <c r="I123" s="82">
        <f>IFERROR(__xludf.DUMMYFUNCTION("""COMPUTED_VALUE"""),100000.0)</f>
        <v>100000</v>
      </c>
      <c r="J123" s="82">
        <f>IFERROR(__xludf.DUMMYFUNCTION("""COMPUTED_VALUE"""),101574.0)</f>
        <v>101574</v>
      </c>
      <c r="K123" s="234"/>
      <c r="L123" s="230"/>
      <c r="M123" s="235"/>
      <c r="N123" s="234"/>
      <c r="O123" s="230"/>
      <c r="P123" s="235"/>
      <c r="Q123" s="234"/>
      <c r="R123" s="230"/>
      <c r="S123" s="235"/>
      <c r="T123" s="234"/>
      <c r="U123" s="230"/>
      <c r="V123" s="235"/>
      <c r="W123" s="234"/>
      <c r="X123" s="230"/>
      <c r="Y123" s="235"/>
      <c r="Z123" s="234"/>
      <c r="AA123" s="230"/>
      <c r="AB123" s="235"/>
      <c r="AC123" s="234"/>
      <c r="AD123" s="230"/>
      <c r="AE123" s="235"/>
      <c r="AF123" s="234"/>
      <c r="AG123" s="230"/>
      <c r="AH123" s="235"/>
      <c r="AI123" s="234"/>
      <c r="AJ123" s="230"/>
      <c r="AK123" s="235"/>
      <c r="AL123" s="231">
        <f>IFERROR(__xludf.DUMMYFUNCTION("""COMPUTED_VALUE"""),35.273790536948425)</f>
        <v>35.27379054</v>
      </c>
      <c r="AM123" s="230"/>
      <c r="AN123" s="235"/>
      <c r="AO123" s="234"/>
      <c r="AP123" s="230"/>
      <c r="AQ123" s="235"/>
      <c r="AR123" s="234"/>
      <c r="AS123" s="230"/>
      <c r="AT123" s="235"/>
      <c r="AU123" s="234"/>
      <c r="AV123" s="230"/>
      <c r="AW123" s="235"/>
      <c r="AX123" s="234"/>
      <c r="AY123" s="230"/>
      <c r="AZ123" s="235">
        <f>IFERROR(__xludf.DUMMYFUNCTION("""COMPUTED_VALUE"""),16.032646149605213)</f>
        <v>16.03264615</v>
      </c>
      <c r="BA123" s="234"/>
      <c r="BB123" s="230"/>
      <c r="BC123" s="235"/>
      <c r="BD123" s="234"/>
      <c r="BE123" s="230"/>
      <c r="BF123" s="235"/>
      <c r="BG123" s="234"/>
      <c r="BH123" s="230"/>
      <c r="BI123" s="235"/>
      <c r="BJ123" s="234"/>
      <c r="BK123" s="230"/>
      <c r="BL123" s="235"/>
      <c r="BM123" s="234">
        <f>IFERROR(__xludf.DUMMYFUNCTION("""COMPUTED_VALUE"""),24.405807544209104)</f>
        <v>24.40580754</v>
      </c>
      <c r="BN123" s="230"/>
      <c r="BO123" s="235"/>
      <c r="BP123" s="234"/>
      <c r="BQ123" s="230"/>
      <c r="BR123" s="235"/>
      <c r="BS123" s="234"/>
      <c r="BT123" s="230"/>
      <c r="BU123" s="235"/>
      <c r="BV123" s="234"/>
      <c r="BW123" s="230"/>
      <c r="BX123" s="235"/>
      <c r="BY123" s="234"/>
      <c r="BZ123" s="230"/>
      <c r="CA123" s="235">
        <f>IFERROR(__xludf.DUMMYFUNCTION("""COMPUTED_VALUE"""),4.116040548789086)</f>
        <v>4.116040549</v>
      </c>
      <c r="CB123" s="234"/>
      <c r="CC123" s="230"/>
      <c r="CD123" s="235"/>
      <c r="CE123" s="234"/>
      <c r="CF123" s="230"/>
      <c r="CG123" s="235"/>
      <c r="CH123" s="234">
        <f>IFERROR(__xludf.DUMMYFUNCTION("""COMPUTED_VALUE"""),10.00523516605388)</f>
        <v>10.00523517</v>
      </c>
      <c r="CI123" s="230"/>
      <c r="CJ123" s="230"/>
      <c r="CK123" s="234"/>
      <c r="CL123" s="230"/>
      <c r="CM123" s="235"/>
      <c r="CN123" s="230"/>
      <c r="CO123" s="230">
        <f>IFERROR(__xludf.DUMMYFUNCTION("""COMPUTED_VALUE"""),22.211756784901137)</f>
        <v>22.21175678</v>
      </c>
      <c r="CP123" s="230"/>
      <c r="CQ123" s="234"/>
      <c r="CR123" s="230"/>
      <c r="CS123" s="230"/>
      <c r="CT123" s="234"/>
      <c r="CU123" s="230"/>
      <c r="CV123" s="230"/>
      <c r="CW123" s="234"/>
      <c r="CX123" s="230"/>
      <c r="CY123" s="235"/>
      <c r="CZ123" s="230"/>
      <c r="DA123" s="230"/>
      <c r="DB123" s="235"/>
      <c r="DC123" s="234"/>
      <c r="DD123" s="230"/>
      <c r="DE123" s="235">
        <f>IFERROR(__xludf.DUMMYFUNCTION("""COMPUTED_VALUE"""),19.801980198019802)</f>
        <v>19.8019802</v>
      </c>
      <c r="DF123" s="234"/>
      <c r="DG123" s="230"/>
      <c r="DH123" s="235"/>
      <c r="DI123" s="234"/>
      <c r="DJ123" s="230"/>
      <c r="DK123" s="235"/>
      <c r="DL123" s="280"/>
      <c r="DM123" s="286"/>
      <c r="DN123" s="282"/>
      <c r="DO123" s="96"/>
      <c r="DP123" s="96"/>
      <c r="DQ123" s="96"/>
      <c r="DR123" s="96"/>
      <c r="DS123" s="96"/>
      <c r="DT123" s="96"/>
      <c r="DU123" s="96"/>
    </row>
    <row r="124">
      <c r="B124" s="120" t="str">
        <f>IFERROR(__xludf.DUMMYFUNCTION("""COMPUTED_VALUE"""),"CML13")</f>
        <v>CML13</v>
      </c>
      <c r="C124" s="88" t="str">
        <f>IFERROR(__xludf.DUMMYFUNCTION("""COMPUTED_VALUE"""),"Land of the Void")</f>
        <v>Land of the Void</v>
      </c>
      <c r="D124" s="102">
        <f>IFERROR(__xludf.DUMMYFUNCTION("""COMPUTED_VALUE"""),22.0)</f>
        <v>22</v>
      </c>
      <c r="E124" s="82" t="b">
        <f>IFERROR(__xludf.DUMMYFUNCTION("""COMPUTED_VALUE"""),TRUE)</f>
        <v>1</v>
      </c>
      <c r="F124" s="82" t="str">
        <f>IFERROR(__xludf.DUMMYFUNCTION("""COMPUTED_VALUE"""),"Free Quests- Part 1!A1117:J1133")</f>
        <v>Free Quests- Part 1!A1117:J1133</v>
      </c>
      <c r="G124" s="82">
        <f>IFERROR(__xludf.DUMMYFUNCTION("""COMPUTED_VALUE"""),125.0)</f>
        <v>125</v>
      </c>
      <c r="H124" s="82">
        <f>IFERROR(__xludf.DUMMYFUNCTION("""COMPUTED_VALUE"""),829.0)</f>
        <v>829</v>
      </c>
      <c r="I124" s="82">
        <f>IFERROR(__xludf.DUMMYFUNCTION("""COMPUTED_VALUE"""),4857.0)</f>
        <v>4857</v>
      </c>
      <c r="J124" s="82">
        <f>IFERROR(__xludf.DUMMYFUNCTION("""COMPUTED_VALUE"""),5686.0)</f>
        <v>5686</v>
      </c>
      <c r="K124" s="234"/>
      <c r="L124" s="230"/>
      <c r="M124" s="235"/>
      <c r="N124" s="234"/>
      <c r="O124" s="230"/>
      <c r="P124" s="235"/>
      <c r="Q124" s="234"/>
      <c r="R124" s="230"/>
      <c r="S124" s="235"/>
      <c r="T124" s="234"/>
      <c r="U124" s="230"/>
      <c r="V124" s="235"/>
      <c r="W124" s="234"/>
      <c r="X124" s="230"/>
      <c r="Y124" s="235"/>
      <c r="Z124" s="234"/>
      <c r="AA124" s="230"/>
      <c r="AB124" s="235"/>
      <c r="AC124" s="234"/>
      <c r="AD124" s="230"/>
      <c r="AE124" s="235"/>
      <c r="AF124" s="234"/>
      <c r="AG124" s="230"/>
      <c r="AH124" s="235"/>
      <c r="AI124" s="234"/>
      <c r="AJ124" s="230"/>
      <c r="AK124" s="235">
        <f>IFERROR(__xludf.DUMMYFUNCTION("""COMPUTED_VALUE"""),44.58457615195217)</f>
        <v>44.58457615</v>
      </c>
      <c r="AL124" s="231"/>
      <c r="AM124" s="230"/>
      <c r="AN124" s="235"/>
      <c r="AO124" s="234"/>
      <c r="AP124" s="230"/>
      <c r="AQ124" s="235"/>
      <c r="AR124" s="234"/>
      <c r="AS124" s="230"/>
      <c r="AT124" s="235"/>
      <c r="AU124" s="234"/>
      <c r="AV124" s="230"/>
      <c r="AW124" s="235"/>
      <c r="AX124" s="234"/>
      <c r="AY124" s="230"/>
      <c r="AZ124" s="235"/>
      <c r="BA124" s="234"/>
      <c r="BB124" s="230"/>
      <c r="BC124" s="235"/>
      <c r="BD124" s="234"/>
      <c r="BE124" s="230"/>
      <c r="BF124" s="235"/>
      <c r="BG124" s="234">
        <f>IFERROR(__xludf.DUMMYFUNCTION("""COMPUTED_VALUE"""),3.4168308125219835)</f>
        <v>3.416830813</v>
      </c>
      <c r="BH124" s="230"/>
      <c r="BI124" s="235">
        <f>IFERROR(__xludf.DUMMYFUNCTION("""COMPUTED_VALUE"""),6.27842068237777)</f>
        <v>6.278420682</v>
      </c>
      <c r="BJ124" s="234"/>
      <c r="BK124" s="230"/>
      <c r="BL124" s="235"/>
      <c r="BM124" s="234"/>
      <c r="BN124" s="230"/>
      <c r="BO124" s="235"/>
      <c r="BP124" s="234">
        <f>IFERROR(__xludf.DUMMYFUNCTION("""COMPUTED_VALUE"""),4.4795638410130145)</f>
        <v>4.479563841</v>
      </c>
      <c r="BQ124" s="230"/>
      <c r="BR124" s="235">
        <f>IFERROR(__xludf.DUMMYFUNCTION("""COMPUTED_VALUE"""),5.399085473091804)</f>
        <v>5.399085473</v>
      </c>
      <c r="BS124" s="234"/>
      <c r="BT124" s="230"/>
      <c r="BU124" s="235">
        <f>IFERROR(__xludf.DUMMYFUNCTION("""COMPUTED_VALUE"""),8.876222300386914)</f>
        <v>8.8762223</v>
      </c>
      <c r="BV124" s="234"/>
      <c r="BW124" s="230">
        <f>IFERROR(__xludf.DUMMYFUNCTION("""COMPUTED_VALUE"""),15.302866690116076)</f>
        <v>15.30286669</v>
      </c>
      <c r="BX124" s="235"/>
      <c r="BY124" s="234"/>
      <c r="BZ124" s="230"/>
      <c r="CA124" s="235"/>
      <c r="CB124" s="234"/>
      <c r="CC124" s="230"/>
      <c r="CD124" s="235"/>
      <c r="CE124" s="234"/>
      <c r="CF124" s="230"/>
      <c r="CG124" s="235"/>
      <c r="CH124" s="234"/>
      <c r="CI124" s="230"/>
      <c r="CJ124" s="230"/>
      <c r="CK124" s="234"/>
      <c r="CL124" s="230"/>
      <c r="CM124" s="235"/>
      <c r="CN124" s="230"/>
      <c r="CO124" s="230"/>
      <c r="CP124" s="230"/>
      <c r="CQ124" s="234"/>
      <c r="CR124" s="230"/>
      <c r="CS124" s="230"/>
      <c r="CT124" s="234"/>
      <c r="CU124" s="230"/>
      <c r="CV124" s="230"/>
      <c r="CW124" s="234"/>
      <c r="CX124" s="230">
        <f>IFERROR(__xludf.DUMMYFUNCTION("""COMPUTED_VALUE"""),4.670329670329671)</f>
        <v>4.67032967</v>
      </c>
      <c r="CY124" s="235"/>
      <c r="CZ124" s="230">
        <f>IFERROR(__xludf.DUMMYFUNCTION("""COMPUTED_VALUE"""),9.478021978021978)</f>
        <v>9.478021978</v>
      </c>
      <c r="DA124" s="230"/>
      <c r="DB124" s="235"/>
      <c r="DC124" s="234"/>
      <c r="DD124" s="230"/>
      <c r="DE124" s="235"/>
      <c r="DF124" s="234"/>
      <c r="DG124" s="230"/>
      <c r="DH124" s="235">
        <f>IFERROR(__xludf.DUMMYFUNCTION("""COMPUTED_VALUE"""),4.532967032967033)</f>
        <v>4.532967033</v>
      </c>
      <c r="DI124" s="234"/>
      <c r="DJ124" s="230">
        <f>IFERROR(__xludf.DUMMYFUNCTION("""COMPUTED_VALUE"""),5.21978021978022)</f>
        <v>5.21978022</v>
      </c>
      <c r="DK124" s="235"/>
      <c r="DL124" s="283"/>
      <c r="DM124" s="287"/>
      <c r="DN124" s="285">
        <f>IFERROR(__xludf.DUMMYFUNCTION("""COMPUTED_VALUE"""),5.906593406593406)</f>
        <v>5.906593407</v>
      </c>
      <c r="DO124" s="96"/>
      <c r="DP124" s="96">
        <f>IFERROR(__xludf.DUMMYFUNCTION("""COMPUTED_VALUE"""),9.89010989010989)</f>
        <v>9.89010989</v>
      </c>
      <c r="DQ124" s="96"/>
      <c r="DR124" s="96"/>
      <c r="DS124" s="96"/>
      <c r="DT124" s="96"/>
      <c r="DU124" s="96"/>
    </row>
    <row r="125">
      <c r="B125" s="120" t="str">
        <f>IFERROR(__xludf.DUMMYFUNCTION("""COMPUTED_VALUE"""),"CML14")</f>
        <v>CML14</v>
      </c>
      <c r="C125" s="88" t="str">
        <f>IFERROR(__xludf.DUMMYFUNCTION("""COMPUTED_VALUE"""),"Great Temple")</f>
        <v>Great Temple</v>
      </c>
      <c r="D125" s="102">
        <f>IFERROR(__xludf.DUMMYFUNCTION("""COMPUTED_VALUE"""),22.0)</f>
        <v>22</v>
      </c>
      <c r="E125" s="82" t="b">
        <f>IFERROR(__xludf.DUMMYFUNCTION("""COMPUTED_VALUE"""),TRUE)</f>
        <v>1</v>
      </c>
      <c r="F125" s="82" t="str">
        <f>IFERROR(__xludf.DUMMYFUNCTION("""COMPUTED_VALUE"""),"Free Quests- Part 1!A1137:J1148")</f>
        <v>Free Quests- Part 1!A1137:J1148</v>
      </c>
      <c r="G125" s="82">
        <f>IFERROR(__xludf.DUMMYFUNCTION("""COMPUTED_VALUE"""),126.0)</f>
        <v>126</v>
      </c>
      <c r="H125" s="82">
        <f>IFERROR(__xludf.DUMMYFUNCTION("""COMPUTED_VALUE"""),671.0)</f>
        <v>671</v>
      </c>
      <c r="I125" s="82">
        <f>IFERROR(__xludf.DUMMYFUNCTION("""COMPUTED_VALUE"""),42852.0)</f>
        <v>42852</v>
      </c>
      <c r="J125" s="82">
        <f>IFERROR(__xludf.DUMMYFUNCTION("""COMPUTED_VALUE"""),43523.0)</f>
        <v>43523</v>
      </c>
      <c r="K125" s="234"/>
      <c r="L125" s="230"/>
      <c r="M125" s="235"/>
      <c r="N125" s="234"/>
      <c r="O125" s="230"/>
      <c r="P125" s="235"/>
      <c r="Q125" s="234"/>
      <c r="R125" s="230"/>
      <c r="S125" s="235">
        <f>IFERROR(__xludf.DUMMYFUNCTION("""COMPUTED_VALUE"""),12.108751694506354)</f>
        <v>12.10875169</v>
      </c>
      <c r="T125" s="234"/>
      <c r="U125" s="230"/>
      <c r="V125" s="235"/>
      <c r="W125" s="234"/>
      <c r="X125" s="230"/>
      <c r="Y125" s="235"/>
      <c r="Z125" s="234"/>
      <c r="AA125" s="230"/>
      <c r="AB125" s="235"/>
      <c r="AC125" s="234"/>
      <c r="AD125" s="230"/>
      <c r="AE125" s="235"/>
      <c r="AF125" s="234"/>
      <c r="AG125" s="230"/>
      <c r="AH125" s="235"/>
      <c r="AI125" s="234"/>
      <c r="AJ125" s="230"/>
      <c r="AK125" s="235"/>
      <c r="AL125" s="231"/>
      <c r="AM125" s="230"/>
      <c r="AN125" s="235"/>
      <c r="AO125" s="234"/>
      <c r="AP125" s="230"/>
      <c r="AQ125" s="235"/>
      <c r="AR125" s="234"/>
      <c r="AS125" s="230"/>
      <c r="AT125" s="235"/>
      <c r="AU125" s="234"/>
      <c r="AV125" s="230"/>
      <c r="AW125" s="235"/>
      <c r="AX125" s="234"/>
      <c r="AY125" s="230"/>
      <c r="AZ125" s="235"/>
      <c r="BA125" s="234">
        <f>IFERROR(__xludf.DUMMYFUNCTION("""COMPUTED_VALUE"""),42.203542954300026)</f>
        <v>42.20354295</v>
      </c>
      <c r="BB125" s="230"/>
      <c r="BC125" s="235"/>
      <c r="BD125" s="234"/>
      <c r="BE125" s="230"/>
      <c r="BF125" s="235"/>
      <c r="BG125" s="234"/>
      <c r="BH125" s="230"/>
      <c r="BI125" s="235"/>
      <c r="BJ125" s="234">
        <f>IFERROR(__xludf.DUMMYFUNCTION("""COMPUTED_VALUE"""),6.091308044022701)</f>
        <v>6.091308044</v>
      </c>
      <c r="BK125" s="230"/>
      <c r="BL125" s="235"/>
      <c r="BM125" s="234"/>
      <c r="BN125" s="230"/>
      <c r="BO125" s="235"/>
      <c r="BP125" s="234"/>
      <c r="BQ125" s="230"/>
      <c r="BR125" s="235"/>
      <c r="BS125" s="234"/>
      <c r="BT125" s="230"/>
      <c r="BU125" s="235"/>
      <c r="BV125" s="234"/>
      <c r="BW125" s="230"/>
      <c r="BX125" s="235"/>
      <c r="BY125" s="234">
        <f>IFERROR(__xludf.DUMMYFUNCTION("""COMPUTED_VALUE"""),4.701063805344301)</f>
        <v>4.701063805</v>
      </c>
      <c r="BZ125" s="230">
        <f>IFERROR(__xludf.DUMMYFUNCTION("""COMPUTED_VALUE"""),14.987018358109506)</f>
        <v>14.98701836</v>
      </c>
      <c r="CA125" s="235"/>
      <c r="CB125" s="234"/>
      <c r="CC125" s="230"/>
      <c r="CD125" s="235"/>
      <c r="CE125" s="234"/>
      <c r="CF125" s="230"/>
      <c r="CG125" s="235"/>
      <c r="CH125" s="234"/>
      <c r="CI125" s="230"/>
      <c r="CJ125" s="230"/>
      <c r="CK125" s="234"/>
      <c r="CL125" s="230"/>
      <c r="CM125" s="235"/>
      <c r="CN125" s="230"/>
      <c r="CO125" s="230"/>
      <c r="CP125" s="230"/>
      <c r="CQ125" s="234"/>
      <c r="CR125" s="230"/>
      <c r="CS125" s="230">
        <f>IFERROR(__xludf.DUMMYFUNCTION("""COMPUTED_VALUE"""),138.13953488372093)</f>
        <v>138.1395349</v>
      </c>
      <c r="CT125" s="234"/>
      <c r="CU125" s="230"/>
      <c r="CV125" s="230"/>
      <c r="CW125" s="234"/>
      <c r="CX125" s="230"/>
      <c r="CY125" s="235"/>
      <c r="CZ125" s="230"/>
      <c r="DA125" s="230"/>
      <c r="DB125" s="235"/>
      <c r="DC125" s="234"/>
      <c r="DD125" s="230"/>
      <c r="DE125" s="235"/>
      <c r="DF125" s="234"/>
      <c r="DG125" s="230"/>
      <c r="DH125" s="235"/>
      <c r="DI125" s="234"/>
      <c r="DJ125" s="230">
        <f>IFERROR(__xludf.DUMMYFUNCTION("""COMPUTED_VALUE"""),11.904761904761903)</f>
        <v>11.9047619</v>
      </c>
      <c r="DK125" s="235">
        <f>IFERROR(__xludf.DUMMYFUNCTION("""COMPUTED_VALUE"""),20.238095238095237)</f>
        <v>20.23809524</v>
      </c>
      <c r="DL125" s="280"/>
      <c r="DM125" s="286"/>
      <c r="DN125" s="282"/>
      <c r="DO125" s="96"/>
      <c r="DP125" s="96"/>
      <c r="DQ125" s="96"/>
      <c r="DR125" s="96"/>
      <c r="DS125" s="96"/>
      <c r="DT125" s="96"/>
      <c r="DU125" s="96"/>
    </row>
    <row r="126">
      <c r="A126" s="145" t="str">
        <f>IFERROR(__xludf.DUMMYFUNCTION("""COMPUTED_VALUE"""),"BABYLONIA")</f>
        <v>BABYLONIA</v>
      </c>
      <c r="B126" s="120" t="str">
        <f>IFERROR(__xludf.DUMMYFUNCTION("""COMPUTED_VALUE"""),"BBL1")</f>
        <v>BBL1</v>
      </c>
      <c r="C126" s="88" t="str">
        <f>IFERROR(__xludf.DUMMYFUNCTION("""COMPUTED_VALUE"""),"Fallen Babylon")</f>
        <v>Fallen Babylon</v>
      </c>
      <c r="D126" s="102">
        <f>IFERROR(__xludf.DUMMYFUNCTION("""COMPUTED_VALUE"""),20.0)</f>
        <v>20</v>
      </c>
      <c r="E126" s="82" t="b">
        <f>IFERROR(__xludf.DUMMYFUNCTION("""COMPUTED_VALUE"""),TRUE)</f>
        <v>1</v>
      </c>
      <c r="F126" s="82" t="str">
        <f>IFERROR(__xludf.DUMMYFUNCTION("""COMPUTED_VALUE"""),"Free Quests- Part 1!A1154:J1159")</f>
        <v>Free Quests- Part 1!A1154:J1159</v>
      </c>
      <c r="G126" s="82">
        <f>IFERROR(__xludf.DUMMYFUNCTION("""COMPUTED_VALUE"""),127.0)</f>
        <v>127</v>
      </c>
      <c r="H126" s="82">
        <f>IFERROR(__xludf.DUMMYFUNCTION("""COMPUTED_VALUE"""),285.0)</f>
        <v>285</v>
      </c>
      <c r="I126" s="82">
        <f>IFERROR(__xludf.DUMMYFUNCTION("""COMPUTED_VALUE"""),13741.0)</f>
        <v>13741</v>
      </c>
      <c r="J126" s="82">
        <f>IFERROR(__xludf.DUMMYFUNCTION("""COMPUTED_VALUE"""),14026.0)</f>
        <v>14026</v>
      </c>
      <c r="K126" s="234"/>
      <c r="L126" s="230"/>
      <c r="M126" s="235"/>
      <c r="N126" s="234"/>
      <c r="O126" s="230"/>
      <c r="P126" s="235"/>
      <c r="Q126" s="234"/>
      <c r="R126" s="230"/>
      <c r="S126" s="235"/>
      <c r="T126" s="234"/>
      <c r="U126" s="230"/>
      <c r="V126" s="235"/>
      <c r="W126" s="234"/>
      <c r="X126" s="230"/>
      <c r="Y126" s="235"/>
      <c r="Z126" s="234"/>
      <c r="AA126" s="230"/>
      <c r="AB126" s="235"/>
      <c r="AC126" s="234">
        <f>IFERROR(__xludf.DUMMYFUNCTION("""COMPUTED_VALUE"""),49.51187794096678)</f>
        <v>49.51187794</v>
      </c>
      <c r="AD126" s="230"/>
      <c r="AE126" s="235"/>
      <c r="AF126" s="234"/>
      <c r="AG126" s="230"/>
      <c r="AH126" s="235"/>
      <c r="AI126" s="234"/>
      <c r="AJ126" s="230"/>
      <c r="AK126" s="235"/>
      <c r="AL126" s="231"/>
      <c r="AM126" s="230"/>
      <c r="AN126" s="235"/>
      <c r="AO126" s="234"/>
      <c r="AP126" s="230"/>
      <c r="AQ126" s="235"/>
      <c r="AR126" s="234"/>
      <c r="AS126" s="230"/>
      <c r="AT126" s="235"/>
      <c r="AU126" s="234"/>
      <c r="AV126" s="230"/>
      <c r="AW126" s="235"/>
      <c r="AX126" s="234"/>
      <c r="AY126" s="230"/>
      <c r="AZ126" s="235"/>
      <c r="BA126" s="234"/>
      <c r="BB126" s="230"/>
      <c r="BC126" s="235"/>
      <c r="BD126" s="234"/>
      <c r="BE126" s="230"/>
      <c r="BF126" s="235"/>
      <c r="BG126" s="234"/>
      <c r="BH126" s="230"/>
      <c r="BI126" s="235"/>
      <c r="BJ126" s="234"/>
      <c r="BK126" s="230"/>
      <c r="BL126" s="235"/>
      <c r="BM126" s="234"/>
      <c r="BN126" s="230"/>
      <c r="BO126" s="235"/>
      <c r="BP126" s="234"/>
      <c r="BQ126" s="230"/>
      <c r="BR126" s="235"/>
      <c r="BS126" s="234"/>
      <c r="BT126" s="230"/>
      <c r="BU126" s="235"/>
      <c r="BV126" s="234"/>
      <c r="BW126" s="230">
        <f>IFERROR(__xludf.DUMMYFUNCTION("""COMPUTED_VALUE"""),45.29544115407948)</f>
        <v>45.29544115</v>
      </c>
      <c r="BX126" s="235"/>
      <c r="BY126" s="234"/>
      <c r="BZ126" s="230"/>
      <c r="CA126" s="235"/>
      <c r="CB126" s="234"/>
      <c r="CC126" s="230"/>
      <c r="CD126" s="235"/>
      <c r="CE126" s="234"/>
      <c r="CF126" s="230"/>
      <c r="CG126" s="235"/>
      <c r="CH126" s="234"/>
      <c r="CI126" s="230"/>
      <c r="CJ126" s="230"/>
      <c r="CK126" s="234"/>
      <c r="CL126" s="230"/>
      <c r="CM126" s="235"/>
      <c r="CN126" s="230"/>
      <c r="CO126" s="230"/>
      <c r="CP126" s="230"/>
      <c r="CQ126" s="234"/>
      <c r="CR126" s="230"/>
      <c r="CS126" s="230"/>
      <c r="CT126" s="234"/>
      <c r="CU126" s="230"/>
      <c r="CV126" s="230"/>
      <c r="CW126" s="234"/>
      <c r="CX126" s="230"/>
      <c r="CY126" s="235"/>
      <c r="CZ126" s="230">
        <f>IFERROR(__xludf.DUMMYFUNCTION("""COMPUTED_VALUE"""),46.48648648648649)</f>
        <v>46.48648649</v>
      </c>
      <c r="DA126" s="230"/>
      <c r="DB126" s="235"/>
      <c r="DC126" s="234"/>
      <c r="DD126" s="230"/>
      <c r="DE126" s="235"/>
      <c r="DF126" s="234"/>
      <c r="DG126" s="230"/>
      <c r="DH126" s="235"/>
      <c r="DI126" s="234"/>
      <c r="DJ126" s="230"/>
      <c r="DK126" s="235"/>
      <c r="DL126" s="314"/>
      <c r="DM126" s="315"/>
      <c r="DN126" s="316"/>
      <c r="DO126" s="96"/>
      <c r="DP126" s="96"/>
      <c r="DQ126" s="96"/>
      <c r="DR126" s="96"/>
      <c r="DS126" s="96"/>
      <c r="DT126" s="96"/>
      <c r="DU126" s="96"/>
    </row>
    <row r="127">
      <c r="B127" s="120" t="str">
        <f>IFERROR(__xludf.DUMMYFUNCTION("""COMPUTED_VALUE"""),"BBL2")</f>
        <v>BBL2</v>
      </c>
      <c r="C127" s="88" t="str">
        <f>IFERROR(__xludf.DUMMYFUNCTION("""COMPUTED_VALUE"""),"Northern Hill")</f>
        <v>Northern Hill</v>
      </c>
      <c r="D127" s="102">
        <f>IFERROR(__xludf.DUMMYFUNCTION("""COMPUTED_VALUE"""),20.0)</f>
        <v>20</v>
      </c>
      <c r="E127" s="82" t="b">
        <f>IFERROR(__xludf.DUMMYFUNCTION("""COMPUTED_VALUE"""),TRUE)</f>
        <v>1</v>
      </c>
      <c r="F127" s="82" t="str">
        <f>IFERROR(__xludf.DUMMYFUNCTION("""COMPUTED_VALUE"""),"Free Quests- Part 1!A1163:J1172")</f>
        <v>Free Quests- Part 1!A1163:J1172</v>
      </c>
      <c r="G127" s="82">
        <f>IFERROR(__xludf.DUMMYFUNCTION("""COMPUTED_VALUE"""),128.0)</f>
        <v>128</v>
      </c>
      <c r="H127" s="82">
        <f>IFERROR(__xludf.DUMMYFUNCTION("""COMPUTED_VALUE"""),90.0)</f>
        <v>90</v>
      </c>
      <c r="I127" s="82">
        <f>IFERROR(__xludf.DUMMYFUNCTION("""COMPUTED_VALUE"""),14135.0)</f>
        <v>14135</v>
      </c>
      <c r="J127" s="82">
        <f>IFERROR(__xludf.DUMMYFUNCTION("""COMPUTED_VALUE"""),14225.0)</f>
        <v>14225</v>
      </c>
      <c r="K127" s="234"/>
      <c r="L127" s="230"/>
      <c r="M127" s="235"/>
      <c r="N127" s="234"/>
      <c r="O127" s="230"/>
      <c r="P127" s="235"/>
      <c r="Q127" s="234">
        <f>IFERROR(__xludf.DUMMYFUNCTION("""COMPUTED_VALUE"""),17.67940246045694)</f>
        <v>17.67940246</v>
      </c>
      <c r="R127" s="230"/>
      <c r="S127" s="235"/>
      <c r="T127" s="234"/>
      <c r="U127" s="230"/>
      <c r="V127" s="235"/>
      <c r="W127" s="234"/>
      <c r="X127" s="230"/>
      <c r="Y127" s="235"/>
      <c r="Z127" s="234"/>
      <c r="AA127" s="230"/>
      <c r="AB127" s="235"/>
      <c r="AC127" s="234">
        <f>IFERROR(__xludf.DUMMYFUNCTION("""COMPUTED_VALUE"""),24.92523725834798)</f>
        <v>24.92523726</v>
      </c>
      <c r="AD127" s="230"/>
      <c r="AE127" s="235"/>
      <c r="AF127" s="234"/>
      <c r="AG127" s="230"/>
      <c r="AH127" s="235"/>
      <c r="AI127" s="234"/>
      <c r="AJ127" s="230"/>
      <c r="AK127" s="235"/>
      <c r="AL127" s="231"/>
      <c r="AM127" s="230"/>
      <c r="AN127" s="235"/>
      <c r="AO127" s="234"/>
      <c r="AP127" s="230"/>
      <c r="AQ127" s="235"/>
      <c r="AR127" s="234"/>
      <c r="AS127" s="230"/>
      <c r="AT127" s="235"/>
      <c r="AU127" s="234"/>
      <c r="AV127" s="230"/>
      <c r="AW127" s="235"/>
      <c r="AX127" s="234"/>
      <c r="AY127" s="230"/>
      <c r="AZ127" s="235"/>
      <c r="BA127" s="234"/>
      <c r="BB127" s="230"/>
      <c r="BC127" s="235"/>
      <c r="BD127" s="234"/>
      <c r="BE127" s="230"/>
      <c r="BF127" s="235"/>
      <c r="BG127" s="234"/>
      <c r="BH127" s="230"/>
      <c r="BI127" s="235"/>
      <c r="BJ127" s="234"/>
      <c r="BK127" s="230"/>
      <c r="BL127" s="235"/>
      <c r="BM127" s="234"/>
      <c r="BN127" s="230"/>
      <c r="BO127" s="235"/>
      <c r="BP127" s="234"/>
      <c r="BQ127" s="230"/>
      <c r="BR127" s="235">
        <f>IFERROR(__xludf.DUMMYFUNCTION("""COMPUTED_VALUE"""),8.020473529353685)</f>
        <v>8.020473529</v>
      </c>
      <c r="BS127" s="234"/>
      <c r="BT127" s="230"/>
      <c r="BU127" s="235"/>
      <c r="BV127" s="234"/>
      <c r="BW127" s="230">
        <f>IFERROR(__xludf.DUMMYFUNCTION("""COMPUTED_VALUE"""),24.061263798108254)</f>
        <v>24.0612638</v>
      </c>
      <c r="BX127" s="235"/>
      <c r="BY127" s="234"/>
      <c r="BZ127" s="230"/>
      <c r="CA127" s="235"/>
      <c r="CB127" s="234"/>
      <c r="CC127" s="230"/>
      <c r="CD127" s="235"/>
      <c r="CE127" s="234"/>
      <c r="CF127" s="230"/>
      <c r="CG127" s="235"/>
      <c r="CH127" s="234"/>
      <c r="CI127" s="230"/>
      <c r="CJ127" s="230"/>
      <c r="CK127" s="234"/>
      <c r="CL127" s="230"/>
      <c r="CM127" s="235"/>
      <c r="CN127" s="230"/>
      <c r="CO127" s="230"/>
      <c r="CP127" s="230"/>
      <c r="CQ127" s="234"/>
      <c r="CR127" s="230"/>
      <c r="CS127" s="230"/>
      <c r="CT127" s="234">
        <f>IFERROR(__xludf.DUMMYFUNCTION("""COMPUTED_VALUE"""),1.1627906976744187)</f>
        <v>1.162790698</v>
      </c>
      <c r="CU127" s="230"/>
      <c r="CV127" s="230"/>
      <c r="CW127" s="234"/>
      <c r="CX127" s="230"/>
      <c r="CY127" s="235"/>
      <c r="CZ127" s="230">
        <f>IFERROR(__xludf.DUMMYFUNCTION("""COMPUTED_VALUE"""),27.500000000000004)</f>
        <v>27.5</v>
      </c>
      <c r="DA127" s="230"/>
      <c r="DB127" s="235"/>
      <c r="DC127" s="234"/>
      <c r="DD127" s="230"/>
      <c r="DE127" s="235"/>
      <c r="DF127" s="234"/>
      <c r="DG127" s="230"/>
      <c r="DH127" s="235"/>
      <c r="DI127" s="234"/>
      <c r="DJ127" s="230"/>
      <c r="DK127" s="235"/>
      <c r="DL127" s="280"/>
      <c r="DM127" s="286"/>
      <c r="DN127" s="282"/>
      <c r="DO127" s="96"/>
      <c r="DP127" s="96"/>
      <c r="DQ127" s="96"/>
      <c r="DR127" s="96"/>
      <c r="DS127" s="96"/>
      <c r="DT127" s="96"/>
      <c r="DU127" s="96"/>
    </row>
    <row r="128">
      <c r="B128" s="120" t="str">
        <f>IFERROR(__xludf.DUMMYFUNCTION("""COMPUTED_VALUE"""),"BBL3")</f>
        <v>BBL3</v>
      </c>
      <c r="C128" s="88" t="str">
        <f>IFERROR(__xludf.DUMMYFUNCTION("""COMPUTED_VALUE"""),"Black Cedar Forest")</f>
        <v>Black Cedar Forest</v>
      </c>
      <c r="D128" s="102">
        <f>IFERROR(__xludf.DUMMYFUNCTION("""COMPUTED_VALUE"""),20.0)</f>
        <v>20</v>
      </c>
      <c r="E128" s="82" t="b">
        <f>IFERROR(__xludf.DUMMYFUNCTION("""COMPUTED_VALUE"""),TRUE)</f>
        <v>1</v>
      </c>
      <c r="F128" s="82" t="str">
        <f>IFERROR(__xludf.DUMMYFUNCTION("""COMPUTED_VALUE"""),"Free Quests- Part 1!A1176:J1185")</f>
        <v>Free Quests- Part 1!A1176:J1185</v>
      </c>
      <c r="G128" s="82">
        <f>IFERROR(__xludf.DUMMYFUNCTION("""COMPUTED_VALUE"""),129.0)</f>
        <v>129</v>
      </c>
      <c r="H128" s="82">
        <f>IFERROR(__xludf.DUMMYFUNCTION("""COMPUTED_VALUE"""),63.0)</f>
        <v>63</v>
      </c>
      <c r="I128" s="82">
        <f>IFERROR(__xludf.DUMMYFUNCTION("""COMPUTED_VALUE"""),1916.0)</f>
        <v>1916</v>
      </c>
      <c r="J128" s="82">
        <f>IFERROR(__xludf.DUMMYFUNCTION("""COMPUTED_VALUE"""),1979.0)</f>
        <v>1979</v>
      </c>
      <c r="K128" s="234"/>
      <c r="L128" s="230"/>
      <c r="M128" s="235"/>
      <c r="N128" s="234"/>
      <c r="O128" s="230"/>
      <c r="P128" s="235"/>
      <c r="Q128" s="234"/>
      <c r="R128" s="230"/>
      <c r="S128" s="235"/>
      <c r="T128" s="234">
        <f>IFERROR(__xludf.DUMMYFUNCTION("""COMPUTED_VALUE"""),13.17978777160182)</f>
        <v>13.17978777</v>
      </c>
      <c r="U128" s="230"/>
      <c r="V128" s="235"/>
      <c r="W128" s="234"/>
      <c r="X128" s="230"/>
      <c r="Y128" s="235"/>
      <c r="Z128" s="234"/>
      <c r="AA128" s="230"/>
      <c r="AB128" s="235"/>
      <c r="AC128" s="234">
        <f>IFERROR(__xludf.DUMMYFUNCTION("""COMPUTED_VALUE"""),34.126124305204655)</f>
        <v>34.12612431</v>
      </c>
      <c r="AD128" s="230"/>
      <c r="AE128" s="235"/>
      <c r="AF128" s="234"/>
      <c r="AG128" s="230"/>
      <c r="AH128" s="235"/>
      <c r="AI128" s="234"/>
      <c r="AJ128" s="230"/>
      <c r="AK128" s="235"/>
      <c r="AL128" s="231"/>
      <c r="AM128" s="230"/>
      <c r="AN128" s="235"/>
      <c r="AO128" s="234"/>
      <c r="AP128" s="230"/>
      <c r="AQ128" s="235"/>
      <c r="AR128" s="234"/>
      <c r="AS128" s="230"/>
      <c r="AT128" s="235"/>
      <c r="AU128" s="234"/>
      <c r="AV128" s="230"/>
      <c r="AW128" s="235"/>
      <c r="AX128" s="234"/>
      <c r="AY128" s="230"/>
      <c r="AZ128" s="235"/>
      <c r="BA128" s="234"/>
      <c r="BB128" s="230"/>
      <c r="BC128" s="235"/>
      <c r="BD128" s="234"/>
      <c r="BE128" s="230"/>
      <c r="BF128" s="235"/>
      <c r="BG128" s="234"/>
      <c r="BH128" s="230"/>
      <c r="BI128" s="235"/>
      <c r="BJ128" s="234"/>
      <c r="BK128" s="230"/>
      <c r="BL128" s="235"/>
      <c r="BM128" s="234"/>
      <c r="BN128" s="230"/>
      <c r="BO128" s="235"/>
      <c r="BP128" s="234">
        <f>IFERROR(__xludf.DUMMYFUNCTION("""COMPUTED_VALUE"""),8.781000505305709)</f>
        <v>8.781000505</v>
      </c>
      <c r="BQ128" s="230"/>
      <c r="BR128" s="235"/>
      <c r="BS128" s="234"/>
      <c r="BT128" s="230"/>
      <c r="BU128" s="235"/>
      <c r="BV128" s="234"/>
      <c r="BW128" s="230">
        <f>IFERROR(__xludf.DUMMYFUNCTION("""COMPUTED_VALUE"""),34.03355229914098)</f>
        <v>34.0335523</v>
      </c>
      <c r="BX128" s="235"/>
      <c r="BY128" s="234"/>
      <c r="BZ128" s="230"/>
      <c r="CA128" s="235"/>
      <c r="CB128" s="234"/>
      <c r="CC128" s="230"/>
      <c r="CD128" s="235"/>
      <c r="CE128" s="234"/>
      <c r="CF128" s="230"/>
      <c r="CG128" s="235"/>
      <c r="CH128" s="234"/>
      <c r="CI128" s="230"/>
      <c r="CJ128" s="230"/>
      <c r="CK128" s="234"/>
      <c r="CL128" s="230"/>
      <c r="CM128" s="235"/>
      <c r="CN128" s="230"/>
      <c r="CO128" s="230"/>
      <c r="CP128" s="230"/>
      <c r="CQ128" s="234"/>
      <c r="CR128" s="230">
        <f>IFERROR(__xludf.DUMMYFUNCTION("""COMPUTED_VALUE"""),3.653865588681152)</f>
        <v>3.653865589</v>
      </c>
      <c r="CS128" s="230"/>
      <c r="CT128" s="234"/>
      <c r="CU128" s="230"/>
      <c r="CV128" s="230"/>
      <c r="CW128" s="234"/>
      <c r="CX128" s="230"/>
      <c r="CY128" s="235"/>
      <c r="CZ128" s="230">
        <f>IFERROR(__xludf.DUMMYFUNCTION("""COMPUTED_VALUE"""),35.18518518518518)</f>
        <v>35.18518519</v>
      </c>
      <c r="DA128" s="230"/>
      <c r="DB128" s="235"/>
      <c r="DC128" s="234"/>
      <c r="DD128" s="230"/>
      <c r="DE128" s="235"/>
      <c r="DF128" s="234"/>
      <c r="DG128" s="230"/>
      <c r="DH128" s="235"/>
      <c r="DI128" s="234"/>
      <c r="DJ128" s="230"/>
      <c r="DK128" s="235"/>
      <c r="DL128" s="314"/>
      <c r="DM128" s="315"/>
      <c r="DN128" s="316"/>
      <c r="DO128" s="96"/>
      <c r="DP128" s="96"/>
      <c r="DQ128" s="96"/>
      <c r="DR128" s="96"/>
      <c r="DS128" s="96"/>
      <c r="DT128" s="96"/>
      <c r="DU128" s="96"/>
    </row>
    <row r="129">
      <c r="B129" s="120" t="str">
        <f>IFERROR(__xludf.DUMMYFUNCTION("""COMPUTED_VALUE"""),"BBL4")</f>
        <v>BBL4</v>
      </c>
      <c r="C129" s="88" t="str">
        <f>IFERROR(__xludf.DUMMYFUNCTION("""COMPUTED_VALUE"""),"Plateau")</f>
        <v>Plateau</v>
      </c>
      <c r="D129" s="102">
        <f>IFERROR(__xludf.DUMMYFUNCTION("""COMPUTED_VALUE"""),20.0)</f>
        <v>20</v>
      </c>
      <c r="E129" s="82" t="b">
        <f>IFERROR(__xludf.DUMMYFUNCTION("""COMPUTED_VALUE"""),TRUE)</f>
        <v>1</v>
      </c>
      <c r="F129" s="82" t="str">
        <f>IFERROR(__xludf.DUMMYFUNCTION("""COMPUTED_VALUE"""),"Free Quests- Part 1!A1189:J1199")</f>
        <v>Free Quests- Part 1!A1189:J1199</v>
      </c>
      <c r="G129" s="82">
        <f>IFERROR(__xludf.DUMMYFUNCTION("""COMPUTED_VALUE"""),130.0)</f>
        <v>130</v>
      </c>
      <c r="H129" s="82">
        <f>IFERROR(__xludf.DUMMYFUNCTION("""COMPUTED_VALUE"""),184.0)</f>
        <v>184</v>
      </c>
      <c r="I129" s="82">
        <f>IFERROR(__xludf.DUMMYFUNCTION("""COMPUTED_VALUE"""),13305.0)</f>
        <v>13305</v>
      </c>
      <c r="J129" s="82">
        <f>IFERROR(__xludf.DUMMYFUNCTION("""COMPUTED_VALUE"""),13489.0)</f>
        <v>13489</v>
      </c>
      <c r="K129" s="234"/>
      <c r="L129" s="230"/>
      <c r="M129" s="235"/>
      <c r="N129" s="234"/>
      <c r="O129" s="230"/>
      <c r="P129" s="235"/>
      <c r="Q129" s="234"/>
      <c r="R129" s="230"/>
      <c r="S129" s="235"/>
      <c r="T129" s="234"/>
      <c r="U129" s="230"/>
      <c r="V129" s="235"/>
      <c r="W129" s="234"/>
      <c r="X129" s="230"/>
      <c r="Y129" s="235"/>
      <c r="Z129" s="234"/>
      <c r="AA129" s="230"/>
      <c r="AB129" s="235"/>
      <c r="AC129" s="234">
        <f>IFERROR(__xludf.DUMMYFUNCTION("""COMPUTED_VALUE"""),25.416784046259917)</f>
        <v>25.41678405</v>
      </c>
      <c r="AD129" s="230"/>
      <c r="AE129" s="235"/>
      <c r="AF129" s="234"/>
      <c r="AG129" s="230"/>
      <c r="AH129" s="235"/>
      <c r="AI129" s="234"/>
      <c r="AJ129" s="230"/>
      <c r="AK129" s="235"/>
      <c r="AL129" s="231"/>
      <c r="AM129" s="230"/>
      <c r="AN129" s="235"/>
      <c r="AO129" s="234"/>
      <c r="AP129" s="230"/>
      <c r="AQ129" s="235"/>
      <c r="AR129" s="234"/>
      <c r="AS129" s="230"/>
      <c r="AT129" s="235"/>
      <c r="AU129" s="234"/>
      <c r="AV129" s="230"/>
      <c r="AW129" s="235"/>
      <c r="AX129" s="234"/>
      <c r="AY129" s="230"/>
      <c r="AZ129" s="235"/>
      <c r="BA129" s="234"/>
      <c r="BB129" s="230">
        <f>IFERROR(__xludf.DUMMYFUNCTION("""COMPUTED_VALUE"""),49.43042479057009)</f>
        <v>49.43042479</v>
      </c>
      <c r="BC129" s="235"/>
      <c r="BD129" s="234"/>
      <c r="BE129" s="230"/>
      <c r="BF129" s="235"/>
      <c r="BG129" s="234"/>
      <c r="BH129" s="230"/>
      <c r="BI129" s="235"/>
      <c r="BJ129" s="234"/>
      <c r="BK129" s="230"/>
      <c r="BL129" s="235"/>
      <c r="BM129" s="234"/>
      <c r="BN129" s="230"/>
      <c r="BO129" s="235"/>
      <c r="BP129" s="234"/>
      <c r="BQ129" s="230"/>
      <c r="BR129" s="235"/>
      <c r="BS129" s="234"/>
      <c r="BT129" s="230"/>
      <c r="BU129" s="235"/>
      <c r="BV129" s="234">
        <f>IFERROR(__xludf.DUMMYFUNCTION("""COMPUTED_VALUE"""),20.57160704332474)</f>
        <v>20.57160704</v>
      </c>
      <c r="BW129" s="230">
        <f>IFERROR(__xludf.DUMMYFUNCTION("""COMPUTED_VALUE"""),25.354246120981976)</f>
        <v>25.35424612</v>
      </c>
      <c r="BX129" s="235"/>
      <c r="BY129" s="234"/>
      <c r="BZ129" s="230"/>
      <c r="CA129" s="235"/>
      <c r="CB129" s="234"/>
      <c r="CC129" s="230"/>
      <c r="CD129" s="235"/>
      <c r="CE129" s="234"/>
      <c r="CF129" s="230"/>
      <c r="CG129" s="235"/>
      <c r="CH129" s="234"/>
      <c r="CI129" s="230"/>
      <c r="CJ129" s="230"/>
      <c r="CK129" s="234"/>
      <c r="CL129" s="230"/>
      <c r="CM129" s="235"/>
      <c r="CN129" s="230"/>
      <c r="CO129" s="230"/>
      <c r="CP129" s="230"/>
      <c r="CQ129" s="234"/>
      <c r="CR129" s="230"/>
      <c r="CS129" s="230"/>
      <c r="CT129" s="234"/>
      <c r="CU129" s="230"/>
      <c r="CV129" s="230"/>
      <c r="CW129" s="234"/>
      <c r="CX129" s="230"/>
      <c r="CY129" s="235">
        <f>IFERROR(__xludf.DUMMYFUNCTION("""COMPUTED_VALUE"""),12.5)</f>
        <v>12.5</v>
      </c>
      <c r="CZ129" s="230">
        <f>IFERROR(__xludf.DUMMYFUNCTION("""COMPUTED_VALUE"""),31.25)</f>
        <v>31.25</v>
      </c>
      <c r="DA129" s="230"/>
      <c r="DB129" s="235"/>
      <c r="DC129" s="234"/>
      <c r="DD129" s="230"/>
      <c r="DE129" s="235"/>
      <c r="DF129" s="234"/>
      <c r="DG129" s="230">
        <f>IFERROR(__xludf.DUMMYFUNCTION("""COMPUTED_VALUE"""),8.333333333333332)</f>
        <v>8.333333333</v>
      </c>
      <c r="DH129" s="235"/>
      <c r="DI129" s="234"/>
      <c r="DJ129" s="230"/>
      <c r="DK129" s="235"/>
      <c r="DL129" s="280"/>
      <c r="DM129" s="286"/>
      <c r="DN129" s="282"/>
      <c r="DO129" s="96"/>
      <c r="DP129" s="96"/>
      <c r="DQ129" s="96"/>
      <c r="DR129" s="96"/>
      <c r="DS129" s="96"/>
      <c r="DT129" s="96"/>
      <c r="DU129" s="96"/>
    </row>
    <row r="130">
      <c r="B130" s="120" t="str">
        <f>IFERROR(__xludf.DUMMYFUNCTION("""COMPUTED_VALUE"""),"BBL5")</f>
        <v>BBL5</v>
      </c>
      <c r="C130" s="88" t="str">
        <f>IFERROR(__xludf.DUMMYFUNCTION("""COMPUTED_VALUE"""),"Bog")</f>
        <v>Bog</v>
      </c>
      <c r="D130" s="102">
        <f>IFERROR(__xludf.DUMMYFUNCTION("""COMPUTED_VALUE"""),21.0)</f>
        <v>21</v>
      </c>
      <c r="E130" s="82" t="b">
        <f>IFERROR(__xludf.DUMMYFUNCTION("""COMPUTED_VALUE"""),TRUE)</f>
        <v>1</v>
      </c>
      <c r="F130" s="82" t="str">
        <f>IFERROR(__xludf.DUMMYFUNCTION("""COMPUTED_VALUE"""),"Free Quests- Part 1!A1203:J1212")</f>
        <v>Free Quests- Part 1!A1203:J1212</v>
      </c>
      <c r="G130" s="82">
        <f>IFERROR(__xludf.DUMMYFUNCTION("""COMPUTED_VALUE"""),131.0)</f>
        <v>131</v>
      </c>
      <c r="H130" s="82">
        <f>IFERROR(__xludf.DUMMYFUNCTION("""COMPUTED_VALUE"""),52.0)</f>
        <v>52</v>
      </c>
      <c r="I130" s="82">
        <f>IFERROR(__xludf.DUMMYFUNCTION("""COMPUTED_VALUE"""),1889.0)</f>
        <v>1889</v>
      </c>
      <c r="J130" s="82">
        <f>IFERROR(__xludf.DUMMYFUNCTION("""COMPUTED_VALUE"""),1941.0)</f>
        <v>1941</v>
      </c>
      <c r="K130" s="234"/>
      <c r="L130" s="230"/>
      <c r="M130" s="235"/>
      <c r="N130" s="234"/>
      <c r="O130" s="230"/>
      <c r="P130" s="235"/>
      <c r="Q130" s="234"/>
      <c r="R130" s="230"/>
      <c r="S130" s="235"/>
      <c r="T130" s="234"/>
      <c r="U130" s="230"/>
      <c r="V130" s="235"/>
      <c r="W130" s="234"/>
      <c r="X130" s="230"/>
      <c r="Y130" s="235"/>
      <c r="Z130" s="234"/>
      <c r="AA130" s="230"/>
      <c r="AB130" s="235"/>
      <c r="AC130" s="234"/>
      <c r="AD130" s="230"/>
      <c r="AE130" s="235"/>
      <c r="AF130" s="234">
        <f>IFERROR(__xludf.DUMMYFUNCTION("""COMPUTED_VALUE"""),24.977073673364245)</f>
        <v>24.97707367</v>
      </c>
      <c r="AG130" s="230"/>
      <c r="AH130" s="235"/>
      <c r="AI130" s="234"/>
      <c r="AJ130" s="230"/>
      <c r="AK130" s="235"/>
      <c r="AL130" s="231"/>
      <c r="AM130" s="230"/>
      <c r="AN130" s="235"/>
      <c r="AO130" s="234"/>
      <c r="AP130" s="230"/>
      <c r="AQ130" s="235"/>
      <c r="AR130" s="234"/>
      <c r="AS130" s="230"/>
      <c r="AT130" s="235"/>
      <c r="AU130" s="234"/>
      <c r="AV130" s="230"/>
      <c r="AW130" s="235"/>
      <c r="AX130" s="234"/>
      <c r="AY130" s="230"/>
      <c r="AZ130" s="235"/>
      <c r="BA130" s="234"/>
      <c r="BB130" s="230">
        <f>IFERROR(__xludf.DUMMYFUNCTION("""COMPUTED_VALUE"""),39.0657393096342)</f>
        <v>39.06573931</v>
      </c>
      <c r="BC130" s="235"/>
      <c r="BD130" s="234"/>
      <c r="BE130" s="230"/>
      <c r="BF130" s="235"/>
      <c r="BG130" s="234"/>
      <c r="BH130" s="230"/>
      <c r="BI130" s="235"/>
      <c r="BJ130" s="234"/>
      <c r="BK130" s="230"/>
      <c r="BL130" s="235"/>
      <c r="BM130" s="234"/>
      <c r="BN130" s="230">
        <f>IFERROR(__xludf.DUMMYFUNCTION("""COMPUTED_VALUE"""),16.618959299330243)</f>
        <v>16.6189593</v>
      </c>
      <c r="BO130" s="235"/>
      <c r="BP130" s="234"/>
      <c r="BQ130" s="230"/>
      <c r="BR130" s="235"/>
      <c r="BS130" s="234"/>
      <c r="BT130" s="230"/>
      <c r="BU130" s="235"/>
      <c r="BV130" s="234">
        <f>IFERROR(__xludf.DUMMYFUNCTION("""COMPUTED_VALUE"""),25.63544564657393)</f>
        <v>25.63544565</v>
      </c>
      <c r="BW130" s="230"/>
      <c r="BX130" s="235"/>
      <c r="BY130" s="234"/>
      <c r="BZ130" s="230"/>
      <c r="CA130" s="235"/>
      <c r="CB130" s="234"/>
      <c r="CC130" s="230"/>
      <c r="CD130" s="235"/>
      <c r="CE130" s="234"/>
      <c r="CF130" s="230"/>
      <c r="CG130" s="235"/>
      <c r="CH130" s="234"/>
      <c r="CI130" s="230"/>
      <c r="CJ130" s="230"/>
      <c r="CK130" s="234"/>
      <c r="CL130" s="230"/>
      <c r="CM130" s="235"/>
      <c r="CN130" s="230"/>
      <c r="CO130" s="230"/>
      <c r="CP130" s="230"/>
      <c r="CQ130" s="234"/>
      <c r="CR130" s="230"/>
      <c r="CS130" s="230"/>
      <c r="CT130" s="234"/>
      <c r="CU130" s="230"/>
      <c r="CV130" s="230"/>
      <c r="CW130" s="234"/>
      <c r="CX130" s="230">
        <f>IFERROR(__xludf.DUMMYFUNCTION("""COMPUTED_VALUE"""),13.953488372093023)</f>
        <v>13.95348837</v>
      </c>
      <c r="CY130" s="235"/>
      <c r="CZ130" s="230"/>
      <c r="DA130" s="230"/>
      <c r="DB130" s="235"/>
      <c r="DC130" s="234"/>
      <c r="DD130" s="230"/>
      <c r="DE130" s="235"/>
      <c r="DF130" s="234"/>
      <c r="DG130" s="230">
        <f>IFERROR(__xludf.DUMMYFUNCTION("""COMPUTED_VALUE"""),32.55813953488372)</f>
        <v>32.55813953</v>
      </c>
      <c r="DH130" s="235"/>
      <c r="DI130" s="234"/>
      <c r="DJ130" s="230"/>
      <c r="DK130" s="235"/>
      <c r="DL130" s="314"/>
      <c r="DM130" s="315"/>
      <c r="DN130" s="316"/>
      <c r="DO130" s="96"/>
      <c r="DP130" s="96"/>
      <c r="DQ130" s="96"/>
      <c r="DR130" s="96"/>
      <c r="DS130" s="96"/>
      <c r="DT130" s="96"/>
      <c r="DU130" s="96"/>
    </row>
    <row r="131">
      <c r="B131" s="120" t="str">
        <f>IFERROR(__xludf.DUMMYFUNCTION("""COMPUTED_VALUE"""),"BBL6")</f>
        <v>BBL6</v>
      </c>
      <c r="C131" s="88" t="str">
        <f>IFERROR(__xludf.DUMMYFUNCTION("""COMPUTED_VALUE"""),"Ur")</f>
        <v>Ur</v>
      </c>
      <c r="D131" s="102">
        <f>IFERROR(__xludf.DUMMYFUNCTION("""COMPUTED_VALUE"""),21.0)</f>
        <v>21</v>
      </c>
      <c r="E131" s="82" t="b">
        <f>IFERROR(__xludf.DUMMYFUNCTION("""COMPUTED_VALUE"""),TRUE)</f>
        <v>1</v>
      </c>
      <c r="F131" s="82" t="str">
        <f>IFERROR(__xludf.DUMMYFUNCTION("""COMPUTED_VALUE"""),"Free Quests- Part 1!A1216:J1227")</f>
        <v>Free Quests- Part 1!A1216:J1227</v>
      </c>
      <c r="G131" s="82">
        <f>IFERROR(__xludf.DUMMYFUNCTION("""COMPUTED_VALUE"""),132.0)</f>
        <v>132</v>
      </c>
      <c r="H131" s="82">
        <f>IFERROR(__xludf.DUMMYFUNCTION("""COMPUTED_VALUE"""),245.0)</f>
        <v>245</v>
      </c>
      <c r="I131" s="82">
        <f>IFERROR(__xludf.DUMMYFUNCTION("""COMPUTED_VALUE"""),22584.0)</f>
        <v>22584</v>
      </c>
      <c r="J131" s="82">
        <f>IFERROR(__xludf.DUMMYFUNCTION("""COMPUTED_VALUE"""),22829.0)</f>
        <v>22829</v>
      </c>
      <c r="K131" s="234">
        <f>IFERROR(__xludf.DUMMYFUNCTION("""COMPUTED_VALUE"""),18.133531911165623)</f>
        <v>18.13353191</v>
      </c>
      <c r="L131" s="230"/>
      <c r="M131" s="235"/>
      <c r="N131" s="234"/>
      <c r="O131" s="230"/>
      <c r="P131" s="235"/>
      <c r="Q131" s="234"/>
      <c r="R131" s="230"/>
      <c r="S131" s="235"/>
      <c r="T131" s="234"/>
      <c r="U131" s="230"/>
      <c r="V131" s="235"/>
      <c r="W131" s="234"/>
      <c r="X131" s="230"/>
      <c r="Y131" s="235"/>
      <c r="Z131" s="234"/>
      <c r="AA131" s="230"/>
      <c r="AB131" s="235"/>
      <c r="AC131" s="234">
        <f>IFERROR(__xludf.DUMMYFUNCTION("""COMPUTED_VALUE"""),23.763598931184024)</f>
        <v>23.76359893</v>
      </c>
      <c r="AD131" s="230"/>
      <c r="AE131" s="235"/>
      <c r="AF131" s="234"/>
      <c r="AG131" s="230"/>
      <c r="AH131" s="235"/>
      <c r="AI131" s="234"/>
      <c r="AJ131" s="230"/>
      <c r="AK131" s="235"/>
      <c r="AL131" s="231"/>
      <c r="AM131" s="230"/>
      <c r="AN131" s="235"/>
      <c r="AO131" s="234"/>
      <c r="AP131" s="230"/>
      <c r="AQ131" s="235"/>
      <c r="AR131" s="234"/>
      <c r="AS131" s="230"/>
      <c r="AT131" s="235"/>
      <c r="AU131" s="234"/>
      <c r="AV131" s="230"/>
      <c r="AW131" s="235"/>
      <c r="AX131" s="234"/>
      <c r="AY131" s="230"/>
      <c r="AZ131" s="235"/>
      <c r="BA131" s="234"/>
      <c r="BB131" s="230"/>
      <c r="BC131" s="235"/>
      <c r="BD131" s="234"/>
      <c r="BE131" s="230"/>
      <c r="BF131" s="235"/>
      <c r="BG131" s="234"/>
      <c r="BH131" s="230"/>
      <c r="BI131" s="235"/>
      <c r="BJ131" s="234"/>
      <c r="BK131" s="230"/>
      <c r="BL131" s="235"/>
      <c r="BM131" s="234">
        <f>IFERROR(__xludf.DUMMYFUNCTION("""COMPUTED_VALUE"""),8.72052214288843)</f>
        <v>8.720522143</v>
      </c>
      <c r="BN131" s="230"/>
      <c r="BO131" s="235"/>
      <c r="BP131" s="234"/>
      <c r="BQ131" s="230"/>
      <c r="BR131" s="235">
        <f>IFERROR(__xludf.DUMMYFUNCTION("""COMPUTED_VALUE"""),9.089946997240352)</f>
        <v>9.089946997</v>
      </c>
      <c r="BS131" s="234">
        <f>IFERROR(__xludf.DUMMYFUNCTION("""COMPUTED_VALUE"""),23.00284725568356)</f>
        <v>23.00284726</v>
      </c>
      <c r="BT131" s="230"/>
      <c r="BU131" s="235"/>
      <c r="BV131" s="234"/>
      <c r="BW131" s="230"/>
      <c r="BX131" s="235"/>
      <c r="BY131" s="234"/>
      <c r="BZ131" s="230"/>
      <c r="CA131" s="235"/>
      <c r="CB131" s="234"/>
      <c r="CC131" s="230"/>
      <c r="CD131" s="235"/>
      <c r="CE131" s="234"/>
      <c r="CF131" s="230"/>
      <c r="CG131" s="235"/>
      <c r="CH131" s="234"/>
      <c r="CI131" s="230"/>
      <c r="CJ131" s="230"/>
      <c r="CK131" s="234"/>
      <c r="CL131" s="230"/>
      <c r="CM131" s="235"/>
      <c r="CN131" s="230"/>
      <c r="CO131" s="230"/>
      <c r="CP131" s="230"/>
      <c r="CQ131" s="234"/>
      <c r="CR131" s="230"/>
      <c r="CS131" s="230"/>
      <c r="CT131" s="234"/>
      <c r="CU131" s="230"/>
      <c r="CV131" s="230"/>
      <c r="CW131" s="234"/>
      <c r="CX131" s="230"/>
      <c r="CY131" s="235"/>
      <c r="CZ131" s="230"/>
      <c r="DA131" s="230"/>
      <c r="DB131" s="235"/>
      <c r="DC131" s="234">
        <f>IFERROR(__xludf.DUMMYFUNCTION("""COMPUTED_VALUE"""),14.356435643564355)</f>
        <v>14.35643564</v>
      </c>
      <c r="DD131" s="230"/>
      <c r="DE131" s="235">
        <f>IFERROR(__xludf.DUMMYFUNCTION("""COMPUTED_VALUE"""),16.33663366336634)</f>
        <v>16.33663366</v>
      </c>
      <c r="DF131" s="234"/>
      <c r="DG131" s="230"/>
      <c r="DH131" s="235"/>
      <c r="DI131" s="234"/>
      <c r="DJ131" s="230">
        <f>IFERROR(__xludf.DUMMYFUNCTION("""COMPUTED_VALUE"""),12.871287128712872)</f>
        <v>12.87128713</v>
      </c>
      <c r="DK131" s="235"/>
      <c r="DL131" s="280"/>
      <c r="DM131" s="286"/>
      <c r="DN131" s="282"/>
      <c r="DO131" s="96"/>
      <c r="DP131" s="96"/>
      <c r="DQ131" s="96"/>
      <c r="DR131" s="96"/>
      <c r="DS131" s="96"/>
      <c r="DT131" s="96"/>
      <c r="DU131" s="96"/>
    </row>
    <row r="132">
      <c r="B132" s="120" t="str">
        <f>IFERROR(__xludf.DUMMYFUNCTION("""COMPUTED_VALUE"""),"BBL7")</f>
        <v>BBL7</v>
      </c>
      <c r="C132" s="88" t="str">
        <f>IFERROR(__xludf.DUMMYFUNCTION("""COMPUTED_VALUE"""),"Eridu")</f>
        <v>Eridu</v>
      </c>
      <c r="D132" s="102">
        <f>IFERROR(__xludf.DUMMYFUNCTION("""COMPUTED_VALUE"""),21.0)</f>
        <v>21</v>
      </c>
      <c r="E132" s="82" t="b">
        <f>IFERROR(__xludf.DUMMYFUNCTION("""COMPUTED_VALUE"""),TRUE)</f>
        <v>1</v>
      </c>
      <c r="F132" s="82" t="str">
        <f>IFERROR(__xludf.DUMMYFUNCTION("""COMPUTED_VALUE"""),"Free Quests- Part 1!A1231:J1241")</f>
        <v>Free Quests- Part 1!A1231:J1241</v>
      </c>
      <c r="G132" s="82">
        <f>IFERROR(__xludf.DUMMYFUNCTION("""COMPUTED_VALUE"""),133.0)</f>
        <v>133</v>
      </c>
      <c r="H132" s="82">
        <f>IFERROR(__xludf.DUMMYFUNCTION("""COMPUTED_VALUE"""),438.0)</f>
        <v>438</v>
      </c>
      <c r="I132" s="82">
        <f>IFERROR(__xludf.DUMMYFUNCTION("""COMPUTED_VALUE"""),16194.0)</f>
        <v>16194</v>
      </c>
      <c r="J132" s="82">
        <f>IFERROR(__xludf.DUMMYFUNCTION("""COMPUTED_VALUE"""),16632.0)</f>
        <v>16632</v>
      </c>
      <c r="K132" s="234"/>
      <c r="L132" s="230"/>
      <c r="M132" s="235"/>
      <c r="N132" s="234"/>
      <c r="O132" s="230"/>
      <c r="P132" s="235"/>
      <c r="Q132" s="234"/>
      <c r="R132" s="230"/>
      <c r="S132" s="235"/>
      <c r="T132" s="234"/>
      <c r="U132" s="230"/>
      <c r="V132" s="235"/>
      <c r="W132" s="234"/>
      <c r="X132" s="230"/>
      <c r="Y132" s="235"/>
      <c r="Z132" s="234"/>
      <c r="AA132" s="230"/>
      <c r="AB132" s="235"/>
      <c r="AC132" s="234"/>
      <c r="AD132" s="230"/>
      <c r="AE132" s="235"/>
      <c r="AF132" s="234"/>
      <c r="AG132" s="230"/>
      <c r="AH132" s="235"/>
      <c r="AI132" s="234"/>
      <c r="AJ132" s="230"/>
      <c r="AK132" s="235"/>
      <c r="AL132" s="231"/>
      <c r="AM132" s="230"/>
      <c r="AN132" s="235"/>
      <c r="AO132" s="234"/>
      <c r="AP132" s="230"/>
      <c r="AQ132" s="235"/>
      <c r="AR132" s="234"/>
      <c r="AS132" s="230"/>
      <c r="AT132" s="235"/>
      <c r="AU132" s="234"/>
      <c r="AV132" s="230"/>
      <c r="AW132" s="235"/>
      <c r="AX132" s="234"/>
      <c r="AY132" s="230">
        <f>IFERROR(__xludf.DUMMYFUNCTION("""COMPUTED_VALUE"""),62.88379028379028)</f>
        <v>62.88379028</v>
      </c>
      <c r="AZ132" s="235"/>
      <c r="BA132" s="234"/>
      <c r="BB132" s="230"/>
      <c r="BC132" s="235"/>
      <c r="BD132" s="234"/>
      <c r="BE132" s="230"/>
      <c r="BF132" s="235"/>
      <c r="BG132" s="234"/>
      <c r="BH132" s="230"/>
      <c r="BI132" s="235"/>
      <c r="BJ132" s="234"/>
      <c r="BK132" s="230"/>
      <c r="BL132" s="235"/>
      <c r="BM132" s="234"/>
      <c r="BN132" s="230"/>
      <c r="BO132" s="235"/>
      <c r="BP132" s="234">
        <f>IFERROR(__xludf.DUMMYFUNCTION("""COMPUTED_VALUE"""),19.670791501642565)</f>
        <v>19.6707915</v>
      </c>
      <c r="BQ132" s="230"/>
      <c r="BR132" s="235"/>
      <c r="BS132" s="234"/>
      <c r="BT132" s="230"/>
      <c r="BU132" s="235"/>
      <c r="BV132" s="234"/>
      <c r="BW132" s="230">
        <f>IFERROR(__xludf.DUMMYFUNCTION("""COMPUTED_VALUE"""),38.27106031609578)</f>
        <v>38.27106032</v>
      </c>
      <c r="BX132" s="235"/>
      <c r="BY132" s="234"/>
      <c r="BZ132" s="230"/>
      <c r="CA132" s="235"/>
      <c r="CB132" s="234"/>
      <c r="CC132" s="230"/>
      <c r="CD132" s="235"/>
      <c r="CE132" s="234"/>
      <c r="CF132" s="230"/>
      <c r="CG132" s="235"/>
      <c r="CH132" s="234"/>
      <c r="CI132" s="230"/>
      <c r="CJ132" s="230"/>
      <c r="CK132" s="234"/>
      <c r="CL132" s="230"/>
      <c r="CM132" s="235"/>
      <c r="CN132" s="230"/>
      <c r="CO132" s="230"/>
      <c r="CP132" s="230"/>
      <c r="CQ132" s="234"/>
      <c r="CR132" s="230"/>
      <c r="CS132" s="230"/>
      <c r="CT132" s="234"/>
      <c r="CU132" s="230"/>
      <c r="CV132" s="230"/>
      <c r="CW132" s="234"/>
      <c r="CX132" s="230"/>
      <c r="CY132" s="235"/>
      <c r="CZ132" s="230">
        <f>IFERROR(__xludf.DUMMYFUNCTION("""COMPUTED_VALUE"""),16.265060240963855)</f>
        <v>16.26506024</v>
      </c>
      <c r="DA132" s="230"/>
      <c r="DB132" s="235"/>
      <c r="DC132" s="234"/>
      <c r="DD132" s="230"/>
      <c r="DE132" s="235"/>
      <c r="DF132" s="234"/>
      <c r="DG132" s="230"/>
      <c r="DH132" s="235">
        <f>IFERROR(__xludf.DUMMYFUNCTION("""COMPUTED_VALUE"""),11.44578313253012)</f>
        <v>11.44578313</v>
      </c>
      <c r="DI132" s="234"/>
      <c r="DJ132" s="230"/>
      <c r="DK132" s="235"/>
      <c r="DL132" s="314"/>
      <c r="DM132" s="315"/>
      <c r="DN132" s="316"/>
      <c r="DO132" s="96"/>
      <c r="DP132" s="96">
        <f>IFERROR(__xludf.DUMMYFUNCTION("""COMPUTED_VALUE"""),16.470588235294116)</f>
        <v>16.47058824</v>
      </c>
      <c r="DQ132" s="96"/>
      <c r="DR132" s="96"/>
      <c r="DS132" s="96"/>
      <c r="DT132" s="96"/>
      <c r="DU132" s="96"/>
    </row>
    <row r="133">
      <c r="B133" s="120" t="str">
        <f>IFERROR(__xludf.DUMMYFUNCTION("""COMPUTED_VALUE"""),"BBL8")</f>
        <v>BBL8</v>
      </c>
      <c r="C133" s="88" t="str">
        <f>IFERROR(__xludf.DUMMYFUNCTION("""COMPUTED_VALUE"""),"Observatory")</f>
        <v>Observatory</v>
      </c>
      <c r="D133" s="102">
        <f>IFERROR(__xludf.DUMMYFUNCTION("""COMPUTED_VALUE"""),21.0)</f>
        <v>21</v>
      </c>
      <c r="E133" s="82" t="b">
        <f>IFERROR(__xludf.DUMMYFUNCTION("""COMPUTED_VALUE"""),TRUE)</f>
        <v>1</v>
      </c>
      <c r="F133" s="82" t="str">
        <f>IFERROR(__xludf.DUMMYFUNCTION("""COMPUTED_VALUE"""),"Free Quests- Part 1!A1245:J1255")</f>
        <v>Free Quests- Part 1!A1245:J1255</v>
      </c>
      <c r="G133" s="82">
        <f>IFERROR(__xludf.DUMMYFUNCTION("""COMPUTED_VALUE"""),134.0)</f>
        <v>134</v>
      </c>
      <c r="H133" s="82">
        <f>IFERROR(__xludf.DUMMYFUNCTION("""COMPUTED_VALUE"""),6620.0)</f>
        <v>6620</v>
      </c>
      <c r="I133" s="82">
        <f>IFERROR(__xludf.DUMMYFUNCTION("""COMPUTED_VALUE"""),31146.0)</f>
        <v>31146</v>
      </c>
      <c r="J133" s="82">
        <f>IFERROR(__xludf.DUMMYFUNCTION("""COMPUTED_VALUE"""),37766.0)</f>
        <v>37766</v>
      </c>
      <c r="K133" s="234"/>
      <c r="L133" s="230"/>
      <c r="M133" s="235"/>
      <c r="N133" s="234"/>
      <c r="O133" s="230"/>
      <c r="P133" s="235"/>
      <c r="Q133" s="234"/>
      <c r="R133" s="230"/>
      <c r="S133" s="235"/>
      <c r="T133" s="234"/>
      <c r="U133" s="230"/>
      <c r="V133" s="235"/>
      <c r="W133" s="234"/>
      <c r="X133" s="230"/>
      <c r="Y133" s="235"/>
      <c r="Z133" s="234"/>
      <c r="AA133" s="230"/>
      <c r="AB133" s="235"/>
      <c r="AC133" s="234"/>
      <c r="AD133" s="230"/>
      <c r="AE133" s="235"/>
      <c r="AF133" s="234"/>
      <c r="AG133" s="230"/>
      <c r="AH133" s="235"/>
      <c r="AI133" s="234"/>
      <c r="AJ133" s="230"/>
      <c r="AK133" s="235"/>
      <c r="AL133" s="231"/>
      <c r="AM133" s="230">
        <f>IFERROR(__xludf.DUMMYFUNCTION("""COMPUTED_VALUE"""),40.011364719589054)</f>
        <v>40.01136472</v>
      </c>
      <c r="AN133" s="235"/>
      <c r="AO133" s="234"/>
      <c r="AP133" s="230"/>
      <c r="AQ133" s="235"/>
      <c r="AR133" s="234"/>
      <c r="AS133" s="230"/>
      <c r="AT133" s="235"/>
      <c r="AU133" s="234"/>
      <c r="AV133" s="230"/>
      <c r="AW133" s="235"/>
      <c r="AX133" s="234"/>
      <c r="AY133" s="230"/>
      <c r="AZ133" s="235"/>
      <c r="BA133" s="234"/>
      <c r="BB133" s="230"/>
      <c r="BC133" s="235"/>
      <c r="BD133" s="234"/>
      <c r="BE133" s="230"/>
      <c r="BF133" s="235"/>
      <c r="BG133" s="234"/>
      <c r="BH133" s="230"/>
      <c r="BI133" s="235"/>
      <c r="BJ133" s="234"/>
      <c r="BK133" s="230"/>
      <c r="BL133" s="235"/>
      <c r="BM133" s="234">
        <f>IFERROR(__xludf.DUMMYFUNCTION("""COMPUTED_VALUE"""),12.303064237832682)</f>
        <v>12.30306424</v>
      </c>
      <c r="BN133" s="230"/>
      <c r="BO133" s="235"/>
      <c r="BP133" s="234"/>
      <c r="BQ133" s="230"/>
      <c r="BR133" s="235"/>
      <c r="BS133" s="234"/>
      <c r="BT133" s="230">
        <f>IFERROR(__xludf.DUMMYFUNCTION("""COMPUTED_VALUE"""),36.94327237779061)</f>
        <v>36.94327238</v>
      </c>
      <c r="BU133" s="235"/>
      <c r="BV133" s="234"/>
      <c r="BW133" s="230"/>
      <c r="BX133" s="235"/>
      <c r="BY133" s="234"/>
      <c r="BZ133" s="230"/>
      <c r="CA133" s="235"/>
      <c r="CB133" s="234"/>
      <c r="CC133" s="230"/>
      <c r="CD133" s="235"/>
      <c r="CE133" s="234"/>
      <c r="CF133" s="230"/>
      <c r="CG133" s="235"/>
      <c r="CH133" s="234"/>
      <c r="CI133" s="230"/>
      <c r="CJ133" s="230"/>
      <c r="CK133" s="234"/>
      <c r="CL133" s="230"/>
      <c r="CM133" s="235"/>
      <c r="CN133" s="230"/>
      <c r="CO133" s="230">
        <f>IFERROR(__xludf.DUMMYFUNCTION("""COMPUTED_VALUE"""),9.72853347448116)</f>
        <v>9.728533474</v>
      </c>
      <c r="CP133" s="230"/>
      <c r="CQ133" s="234"/>
      <c r="CR133" s="230"/>
      <c r="CS133" s="230"/>
      <c r="CT133" s="234"/>
      <c r="CU133" s="230"/>
      <c r="CV133" s="230"/>
      <c r="CW133" s="234">
        <f>IFERROR(__xludf.DUMMYFUNCTION("""COMPUTED_VALUE"""),15.700141442715701)</f>
        <v>15.70014144</v>
      </c>
      <c r="CX133" s="230"/>
      <c r="CY133" s="235"/>
      <c r="CZ133" s="230"/>
      <c r="DA133" s="230"/>
      <c r="DB133" s="235"/>
      <c r="DC133" s="234"/>
      <c r="DD133" s="230"/>
      <c r="DE133" s="235">
        <f>IFERROR(__xludf.DUMMYFUNCTION("""COMPUTED_VALUE"""),14.992927864214991)</f>
        <v>14.99292786</v>
      </c>
      <c r="DF133" s="234"/>
      <c r="DG133" s="230"/>
      <c r="DH133" s="235"/>
      <c r="DI133" s="234"/>
      <c r="DJ133" s="230"/>
      <c r="DK133" s="235"/>
      <c r="DL133" s="280"/>
      <c r="DM133" s="286"/>
      <c r="DN133" s="282"/>
      <c r="DO133" s="96"/>
      <c r="DP133" s="96"/>
      <c r="DQ133" s="96"/>
      <c r="DR133" s="96"/>
      <c r="DS133" s="96"/>
      <c r="DT133" s="96"/>
      <c r="DU133" s="96"/>
    </row>
    <row r="134">
      <c r="B134" s="120" t="str">
        <f>IFERROR(__xludf.DUMMYFUNCTION("""COMPUTED_VALUE"""),"BBL9")</f>
        <v>BBL9</v>
      </c>
      <c r="C134" s="88" t="str">
        <f>IFERROR(__xludf.DUMMYFUNCTION("""COMPUTED_VALUE"""),"Field of Reeds")</f>
        <v>Field of Reeds</v>
      </c>
      <c r="D134" s="102">
        <f>IFERROR(__xludf.DUMMYFUNCTION("""COMPUTED_VALUE"""),21.0)</f>
        <v>21</v>
      </c>
      <c r="E134" s="82" t="b">
        <f>IFERROR(__xludf.DUMMYFUNCTION("""COMPUTED_VALUE"""),TRUE)</f>
        <v>1</v>
      </c>
      <c r="F134" s="82" t="str">
        <f>IFERROR(__xludf.DUMMYFUNCTION("""COMPUTED_VALUE"""),"Free Quests- Part 1!A1259:J1265")</f>
        <v>Free Quests- Part 1!A1259:J1265</v>
      </c>
      <c r="G134" s="82">
        <f>IFERROR(__xludf.DUMMYFUNCTION("""COMPUTED_VALUE"""),135.0)</f>
        <v>135</v>
      </c>
      <c r="H134" s="82">
        <f>IFERROR(__xludf.DUMMYFUNCTION("""COMPUTED_VALUE"""),1962.0)</f>
        <v>1962</v>
      </c>
      <c r="I134" s="82">
        <f>IFERROR(__xludf.DUMMYFUNCTION("""COMPUTED_VALUE"""),22327.0)</f>
        <v>22327</v>
      </c>
      <c r="J134" s="82">
        <f>IFERROR(__xludf.DUMMYFUNCTION("""COMPUTED_VALUE"""),24289.0)</f>
        <v>24289</v>
      </c>
      <c r="K134" s="234"/>
      <c r="L134" s="230"/>
      <c r="M134" s="235"/>
      <c r="N134" s="234"/>
      <c r="O134" s="230"/>
      <c r="P134" s="235"/>
      <c r="Q134" s="234"/>
      <c r="R134" s="230"/>
      <c r="S134" s="235"/>
      <c r="T134" s="234"/>
      <c r="U134" s="230"/>
      <c r="V134" s="235"/>
      <c r="W134" s="234"/>
      <c r="X134" s="230"/>
      <c r="Y134" s="235"/>
      <c r="Z134" s="234"/>
      <c r="AA134" s="230"/>
      <c r="AB134" s="235"/>
      <c r="AC134" s="234"/>
      <c r="AD134" s="230"/>
      <c r="AE134" s="235"/>
      <c r="AF134" s="234"/>
      <c r="AG134" s="230"/>
      <c r="AH134" s="235"/>
      <c r="AI134" s="234"/>
      <c r="AJ134" s="230"/>
      <c r="AK134" s="235"/>
      <c r="AL134" s="231"/>
      <c r="AM134" s="230"/>
      <c r="AN134" s="235"/>
      <c r="AO134" s="234"/>
      <c r="AP134" s="230"/>
      <c r="AQ134" s="235"/>
      <c r="AR134" s="234"/>
      <c r="AS134" s="230"/>
      <c r="AT134" s="235"/>
      <c r="AU134" s="234"/>
      <c r="AV134" s="230"/>
      <c r="AW134" s="235"/>
      <c r="AX134" s="234"/>
      <c r="AY134" s="230"/>
      <c r="AZ134" s="235"/>
      <c r="BA134" s="234"/>
      <c r="BB134" s="230">
        <f>IFERROR(__xludf.DUMMYFUNCTION("""COMPUTED_VALUE"""),62.40293136810902)</f>
        <v>62.40293137</v>
      </c>
      <c r="BC134" s="235"/>
      <c r="BD134" s="234"/>
      <c r="BE134" s="230"/>
      <c r="BF134" s="235"/>
      <c r="BG134" s="234"/>
      <c r="BH134" s="230"/>
      <c r="BI134" s="235"/>
      <c r="BJ134" s="234"/>
      <c r="BK134" s="230"/>
      <c r="BL134" s="235"/>
      <c r="BM134" s="234"/>
      <c r="BN134" s="230"/>
      <c r="BO134" s="235"/>
      <c r="BP134" s="234"/>
      <c r="BQ134" s="230"/>
      <c r="BR134" s="235"/>
      <c r="BS134" s="234"/>
      <c r="BT134" s="230"/>
      <c r="BU134" s="235"/>
      <c r="BV134" s="234">
        <f>IFERROR(__xludf.DUMMYFUNCTION("""COMPUTED_VALUE"""),44.78363044999794)</f>
        <v>44.78363045</v>
      </c>
      <c r="BW134" s="230"/>
      <c r="BX134" s="235"/>
      <c r="BY134" s="234"/>
      <c r="BZ134" s="230"/>
      <c r="CA134" s="235"/>
      <c r="CB134" s="234"/>
      <c r="CC134" s="230"/>
      <c r="CD134" s="235"/>
      <c r="CE134" s="234"/>
      <c r="CF134" s="230"/>
      <c r="CG134" s="235"/>
      <c r="CH134" s="234"/>
      <c r="CI134" s="230"/>
      <c r="CJ134" s="230"/>
      <c r="CK134" s="234"/>
      <c r="CL134" s="230"/>
      <c r="CM134" s="235"/>
      <c r="CN134" s="230"/>
      <c r="CO134" s="230"/>
      <c r="CP134" s="230"/>
      <c r="CQ134" s="234"/>
      <c r="CR134" s="230"/>
      <c r="CS134" s="230"/>
      <c r="CT134" s="234"/>
      <c r="CU134" s="230"/>
      <c r="CV134" s="230"/>
      <c r="CW134" s="234"/>
      <c r="CX134" s="230"/>
      <c r="CY134" s="235">
        <f>IFERROR(__xludf.DUMMYFUNCTION("""COMPUTED_VALUE"""),13.333333333333334)</f>
        <v>13.33333333</v>
      </c>
      <c r="CZ134" s="230"/>
      <c r="DA134" s="230"/>
      <c r="DB134" s="235"/>
      <c r="DC134" s="234"/>
      <c r="DD134" s="230"/>
      <c r="DE134" s="235"/>
      <c r="DF134" s="234"/>
      <c r="DG134" s="230">
        <f>IFERROR(__xludf.DUMMYFUNCTION("""COMPUTED_VALUE"""),30.385487528344672)</f>
        <v>30.38548753</v>
      </c>
      <c r="DH134" s="235"/>
      <c r="DI134" s="234"/>
      <c r="DJ134" s="230"/>
      <c r="DK134" s="235"/>
      <c r="DL134" s="314"/>
      <c r="DM134" s="315"/>
      <c r="DN134" s="316"/>
      <c r="DO134" s="96"/>
      <c r="DP134" s="96"/>
      <c r="DQ134" s="96"/>
      <c r="DR134" s="96"/>
      <c r="DS134" s="96"/>
      <c r="DT134" s="96"/>
      <c r="DU134" s="96"/>
    </row>
    <row r="135">
      <c r="B135" s="120" t="str">
        <f>IFERROR(__xludf.DUMMYFUNCTION("""COMPUTED_VALUE"""),"BBL10")</f>
        <v>BBL10</v>
      </c>
      <c r="C135" s="88" t="str">
        <f>IFERROR(__xludf.DUMMYFUNCTION("""COMPUTED_VALUE"""),"Kutha")</f>
        <v>Kutha</v>
      </c>
      <c r="D135" s="102">
        <f>IFERROR(__xludf.DUMMYFUNCTION("""COMPUTED_VALUE"""),21.0)</f>
        <v>21</v>
      </c>
      <c r="E135" s="82" t="b">
        <f>IFERROR(__xludf.DUMMYFUNCTION("""COMPUTED_VALUE"""),TRUE)</f>
        <v>1</v>
      </c>
      <c r="F135" s="82" t="str">
        <f>IFERROR(__xludf.DUMMYFUNCTION("""COMPUTED_VALUE"""),"Free Quests- Part 1!A1269:J1280")</f>
        <v>Free Quests- Part 1!A1269:J1280</v>
      </c>
      <c r="G135" s="82">
        <f>IFERROR(__xludf.DUMMYFUNCTION("""COMPUTED_VALUE"""),136.0)</f>
        <v>136</v>
      </c>
      <c r="H135" s="82">
        <f>IFERROR(__xludf.DUMMYFUNCTION("""COMPUTED_VALUE"""),569.0)</f>
        <v>569</v>
      </c>
      <c r="I135" s="82">
        <f>IFERROR(__xludf.DUMMYFUNCTION("""COMPUTED_VALUE"""),13611.0)</f>
        <v>13611</v>
      </c>
      <c r="J135" s="82">
        <f>IFERROR(__xludf.DUMMYFUNCTION("""COMPUTED_VALUE"""),14180.0)</f>
        <v>14180</v>
      </c>
      <c r="K135" s="234"/>
      <c r="L135" s="230"/>
      <c r="M135" s="235"/>
      <c r="N135" s="234"/>
      <c r="O135" s="230"/>
      <c r="P135" s="235"/>
      <c r="Q135" s="234"/>
      <c r="R135" s="230"/>
      <c r="S135" s="235"/>
      <c r="T135" s="234"/>
      <c r="U135" s="230"/>
      <c r="V135" s="235"/>
      <c r="W135" s="234"/>
      <c r="X135" s="230"/>
      <c r="Y135" s="235"/>
      <c r="Z135" s="234"/>
      <c r="AA135" s="230"/>
      <c r="AB135" s="235"/>
      <c r="AC135" s="234"/>
      <c r="AD135" s="230">
        <f>IFERROR(__xludf.DUMMYFUNCTION("""COMPUTED_VALUE"""),40.25121297602257)</f>
        <v>40.25121298</v>
      </c>
      <c r="AE135" s="235"/>
      <c r="AF135" s="234"/>
      <c r="AG135" s="230"/>
      <c r="AH135" s="235"/>
      <c r="AI135" s="234"/>
      <c r="AJ135" s="230"/>
      <c r="AK135" s="235"/>
      <c r="AL135" s="231"/>
      <c r="AM135" s="230"/>
      <c r="AN135" s="235"/>
      <c r="AO135" s="234"/>
      <c r="AP135" s="230"/>
      <c r="AQ135" s="235"/>
      <c r="AR135" s="234"/>
      <c r="AS135" s="230"/>
      <c r="AT135" s="235"/>
      <c r="AU135" s="234"/>
      <c r="AV135" s="230"/>
      <c r="AW135" s="235"/>
      <c r="AX135" s="234"/>
      <c r="AY135" s="230"/>
      <c r="AZ135" s="235"/>
      <c r="BA135" s="234"/>
      <c r="BB135" s="230"/>
      <c r="BC135" s="235"/>
      <c r="BD135" s="234"/>
      <c r="BE135" s="230"/>
      <c r="BF135" s="235"/>
      <c r="BG135" s="234"/>
      <c r="BH135" s="230"/>
      <c r="BI135" s="235"/>
      <c r="BJ135" s="234"/>
      <c r="BK135" s="230"/>
      <c r="BL135" s="235"/>
      <c r="BM135" s="234"/>
      <c r="BN135" s="230"/>
      <c r="BO135" s="235"/>
      <c r="BP135" s="234"/>
      <c r="BQ135" s="230"/>
      <c r="BR135" s="235">
        <f>IFERROR(__xludf.DUMMYFUNCTION("""COMPUTED_VALUE"""),12.084217207334273)</f>
        <v>12.08421721</v>
      </c>
      <c r="BS135" s="234"/>
      <c r="BT135" s="230"/>
      <c r="BU135" s="235"/>
      <c r="BV135" s="234"/>
      <c r="BW135" s="230"/>
      <c r="BX135" s="235"/>
      <c r="BY135" s="234">
        <f>IFERROR(__xludf.DUMMYFUNCTION("""COMPUTED_VALUE"""),32.90289139633286)</f>
        <v>32.9028914</v>
      </c>
      <c r="BZ135" s="230"/>
      <c r="CA135" s="235"/>
      <c r="CB135" s="234"/>
      <c r="CC135" s="230"/>
      <c r="CD135" s="235"/>
      <c r="CE135" s="234"/>
      <c r="CF135" s="230"/>
      <c r="CG135" s="235"/>
      <c r="CH135" s="234"/>
      <c r="CI135" s="230"/>
      <c r="CJ135" s="230"/>
      <c r="CK135" s="234"/>
      <c r="CL135" s="230"/>
      <c r="CM135" s="235"/>
      <c r="CN135" s="230"/>
      <c r="CO135" s="230"/>
      <c r="CP135" s="230"/>
      <c r="CQ135" s="234"/>
      <c r="CR135" s="230"/>
      <c r="CS135" s="230"/>
      <c r="CT135" s="234">
        <f>IFERROR(__xludf.DUMMYFUNCTION("""COMPUTED_VALUE"""),4.761904761904762)</f>
        <v>4.761904762</v>
      </c>
      <c r="CU135" s="230"/>
      <c r="CV135" s="230"/>
      <c r="CW135" s="234"/>
      <c r="CX135" s="230"/>
      <c r="CY135" s="235"/>
      <c r="CZ135" s="230"/>
      <c r="DA135" s="230"/>
      <c r="DB135" s="235">
        <f>IFERROR(__xludf.DUMMYFUNCTION("""COMPUTED_VALUE"""),1.0101010101010102)</f>
        <v>1.01010101</v>
      </c>
      <c r="DC135" s="234"/>
      <c r="DD135" s="230"/>
      <c r="DE135" s="235"/>
      <c r="DF135" s="234"/>
      <c r="DG135" s="230"/>
      <c r="DH135" s="235"/>
      <c r="DI135" s="234"/>
      <c r="DJ135" s="230">
        <f>IFERROR(__xludf.DUMMYFUNCTION("""COMPUTED_VALUE"""),12.121212121212121)</f>
        <v>12.12121212</v>
      </c>
      <c r="DK135" s="235"/>
      <c r="DL135" s="280"/>
      <c r="DM135" s="286"/>
      <c r="DN135" s="282"/>
      <c r="DO135" s="96"/>
      <c r="DP135" s="96"/>
      <c r="DQ135" s="96"/>
      <c r="DR135" s="96">
        <f>IFERROR(__xludf.DUMMYFUNCTION("""COMPUTED_VALUE"""),16.161616161616163)</f>
        <v>16.16161616</v>
      </c>
      <c r="DS135" s="96"/>
      <c r="DT135" s="96"/>
      <c r="DU135" s="96"/>
    </row>
    <row r="136">
      <c r="B136" s="120" t="str">
        <f>IFERROR(__xludf.DUMMYFUNCTION("""COMPUTED_VALUE"""),"BBL11")</f>
        <v>BBL11</v>
      </c>
      <c r="C136" s="88" t="str">
        <f>IFERROR(__xludf.DUMMYFUNCTION("""COMPUTED_VALUE"""),"Northern Wall")</f>
        <v>Northern Wall</v>
      </c>
      <c r="D136" s="102">
        <f>IFERROR(__xludf.DUMMYFUNCTION("""COMPUTED_VALUE"""),21.0)</f>
        <v>21</v>
      </c>
      <c r="E136" s="82" t="b">
        <f>IFERROR(__xludf.DUMMYFUNCTION("""COMPUTED_VALUE"""),TRUE)</f>
        <v>1</v>
      </c>
      <c r="F136" s="82" t="str">
        <f>IFERROR(__xludf.DUMMYFUNCTION("""COMPUTED_VALUE"""),"Free Quests- Part 1!A1284:J1294")</f>
        <v>Free Quests- Part 1!A1284:J1294</v>
      </c>
      <c r="G136" s="82">
        <f>IFERROR(__xludf.DUMMYFUNCTION("""COMPUTED_VALUE"""),137.0)</f>
        <v>137</v>
      </c>
      <c r="H136" s="82">
        <f>IFERROR(__xludf.DUMMYFUNCTION("""COMPUTED_VALUE"""),270.0)</f>
        <v>270</v>
      </c>
      <c r="I136" s="82">
        <f>IFERROR(__xludf.DUMMYFUNCTION("""COMPUTED_VALUE"""),5788.0)</f>
        <v>5788</v>
      </c>
      <c r="J136" s="82">
        <f>IFERROR(__xludf.DUMMYFUNCTION("""COMPUTED_VALUE"""),6058.0)</f>
        <v>6058</v>
      </c>
      <c r="K136" s="234"/>
      <c r="L136" s="230"/>
      <c r="M136" s="235"/>
      <c r="N136" s="234"/>
      <c r="O136" s="230"/>
      <c r="P136" s="235"/>
      <c r="Q136" s="234"/>
      <c r="R136" s="230"/>
      <c r="S136" s="235"/>
      <c r="T136" s="234">
        <f>IFERROR(__xludf.DUMMYFUNCTION("""COMPUTED_VALUE"""),12.68220534829977)</f>
        <v>12.68220535</v>
      </c>
      <c r="U136" s="230"/>
      <c r="V136" s="235"/>
      <c r="W136" s="234"/>
      <c r="X136" s="230"/>
      <c r="Y136" s="235"/>
      <c r="Z136" s="234"/>
      <c r="AA136" s="230"/>
      <c r="AB136" s="235"/>
      <c r="AC136" s="234"/>
      <c r="AD136" s="230"/>
      <c r="AE136" s="235"/>
      <c r="AF136" s="234"/>
      <c r="AG136" s="230"/>
      <c r="AH136" s="235"/>
      <c r="AI136" s="234"/>
      <c r="AJ136" s="230"/>
      <c r="AK136" s="235"/>
      <c r="AL136" s="231"/>
      <c r="AM136" s="230"/>
      <c r="AN136" s="235"/>
      <c r="AO136" s="234"/>
      <c r="AP136" s="230"/>
      <c r="AQ136" s="235"/>
      <c r="AR136" s="234"/>
      <c r="AS136" s="230"/>
      <c r="AT136" s="235"/>
      <c r="AU136" s="234"/>
      <c r="AV136" s="230"/>
      <c r="AW136" s="235"/>
      <c r="AX136" s="234"/>
      <c r="AY136" s="230"/>
      <c r="AZ136" s="235"/>
      <c r="BA136" s="234"/>
      <c r="BB136" s="230">
        <f>IFERROR(__xludf.DUMMYFUNCTION("""COMPUTED_VALUE"""),41.291581379993396)</f>
        <v>41.29158138</v>
      </c>
      <c r="BC136" s="235"/>
      <c r="BD136" s="234"/>
      <c r="BE136" s="230"/>
      <c r="BF136" s="235"/>
      <c r="BG136" s="234"/>
      <c r="BH136" s="230"/>
      <c r="BI136" s="235"/>
      <c r="BJ136" s="234"/>
      <c r="BK136" s="230"/>
      <c r="BL136" s="235"/>
      <c r="BM136" s="234"/>
      <c r="BN136" s="230"/>
      <c r="BO136" s="235"/>
      <c r="BP136" s="234">
        <f>IFERROR(__xludf.DUMMYFUNCTION("""COMPUTED_VALUE"""),7.723473093430174)</f>
        <v>7.723473093</v>
      </c>
      <c r="BQ136" s="230"/>
      <c r="BR136" s="235"/>
      <c r="BS136" s="234"/>
      <c r="BT136" s="230"/>
      <c r="BU136" s="235"/>
      <c r="BV136" s="234">
        <f>IFERROR(__xludf.DUMMYFUNCTION("""COMPUTED_VALUE"""),31.212545394519644)</f>
        <v>31.21254539</v>
      </c>
      <c r="BW136" s="230"/>
      <c r="BX136" s="235"/>
      <c r="BY136" s="234"/>
      <c r="BZ136" s="230"/>
      <c r="CA136" s="235"/>
      <c r="CB136" s="234"/>
      <c r="CC136" s="230"/>
      <c r="CD136" s="235"/>
      <c r="CE136" s="234"/>
      <c r="CF136" s="230"/>
      <c r="CG136" s="235"/>
      <c r="CH136" s="234"/>
      <c r="CI136" s="230"/>
      <c r="CJ136" s="230"/>
      <c r="CK136" s="234"/>
      <c r="CL136" s="230"/>
      <c r="CM136" s="235"/>
      <c r="CN136" s="230"/>
      <c r="CO136" s="230"/>
      <c r="CP136" s="230"/>
      <c r="CQ136" s="234"/>
      <c r="CR136" s="230">
        <f>IFERROR(__xludf.DUMMYFUNCTION("""COMPUTED_VALUE"""),5.184240628875822)</f>
        <v>5.184240629</v>
      </c>
      <c r="CS136" s="230"/>
      <c r="CT136" s="234"/>
      <c r="CU136" s="230"/>
      <c r="CV136" s="230"/>
      <c r="CW136" s="234"/>
      <c r="CX136" s="230"/>
      <c r="CY136" s="235">
        <f>IFERROR(__xludf.DUMMYFUNCTION("""COMPUTED_VALUE"""),15.41501976284585)</f>
        <v>15.41501976</v>
      </c>
      <c r="CZ136" s="230"/>
      <c r="DA136" s="230"/>
      <c r="DB136" s="235"/>
      <c r="DC136" s="234"/>
      <c r="DD136" s="230"/>
      <c r="DE136" s="235"/>
      <c r="DF136" s="234"/>
      <c r="DG136" s="230">
        <f>IFERROR(__xludf.DUMMYFUNCTION("""COMPUTED_VALUE"""),11.462450592885375)</f>
        <v>11.46245059</v>
      </c>
      <c r="DH136" s="235"/>
      <c r="DI136" s="234"/>
      <c r="DJ136" s="230"/>
      <c r="DK136" s="235"/>
      <c r="DL136" s="314"/>
      <c r="DM136" s="315"/>
      <c r="DN136" s="316"/>
      <c r="DO136" s="96"/>
      <c r="DP136" s="96"/>
      <c r="DQ136" s="96"/>
      <c r="DR136" s="96"/>
      <c r="DS136" s="96"/>
      <c r="DT136" s="96"/>
      <c r="DU136" s="96"/>
    </row>
    <row r="137">
      <c r="B137" s="120" t="str">
        <f>IFERROR(__xludf.DUMMYFUNCTION("""COMPUTED_VALUE"""),"BBL12")</f>
        <v>BBL12</v>
      </c>
      <c r="C137" s="88" t="str">
        <f>IFERROR(__xludf.DUMMYFUNCTION("""COMPUTED_VALUE"""),"Nippur")</f>
        <v>Nippur</v>
      </c>
      <c r="D137" s="102">
        <f>IFERROR(__xludf.DUMMYFUNCTION("""COMPUTED_VALUE"""),21.0)</f>
        <v>21</v>
      </c>
      <c r="E137" s="82" t="b">
        <f>IFERROR(__xludf.DUMMYFUNCTION("""COMPUTED_VALUE"""),TRUE)</f>
        <v>1</v>
      </c>
      <c r="F137" s="82" t="str">
        <f>IFERROR(__xludf.DUMMYFUNCTION("""COMPUTED_VALUE"""),"Free Quests- Part 1!A1298:J1307")</f>
        <v>Free Quests- Part 1!A1298:J1307</v>
      </c>
      <c r="G137" s="82">
        <f>IFERROR(__xludf.DUMMYFUNCTION("""COMPUTED_VALUE"""),138.0)</f>
        <v>138</v>
      </c>
      <c r="H137" s="82">
        <f>IFERROR(__xludf.DUMMYFUNCTION("""COMPUTED_VALUE"""),441.0)</f>
        <v>441</v>
      </c>
      <c r="I137" s="82">
        <f>IFERROR(__xludf.DUMMYFUNCTION("""COMPUTED_VALUE"""),69855.0)</f>
        <v>69855</v>
      </c>
      <c r="J137" s="82">
        <f>IFERROR(__xludf.DUMMYFUNCTION("""COMPUTED_VALUE"""),70296.0)</f>
        <v>70296</v>
      </c>
      <c r="K137" s="234"/>
      <c r="L137" s="230"/>
      <c r="M137" s="235">
        <f>IFERROR(__xludf.DUMMYFUNCTION("""COMPUTED_VALUE"""),12.089528564925459)</f>
        <v>12.08952856</v>
      </c>
      <c r="N137" s="234"/>
      <c r="O137" s="230"/>
      <c r="P137" s="235"/>
      <c r="Q137" s="234"/>
      <c r="R137" s="230"/>
      <c r="S137" s="235"/>
      <c r="T137" s="234"/>
      <c r="U137" s="230"/>
      <c r="V137" s="235"/>
      <c r="W137" s="234"/>
      <c r="X137" s="230"/>
      <c r="Y137" s="235"/>
      <c r="Z137" s="234"/>
      <c r="AA137" s="230"/>
      <c r="AB137" s="235"/>
      <c r="AC137" s="234"/>
      <c r="AD137" s="230"/>
      <c r="AE137" s="235"/>
      <c r="AF137" s="234"/>
      <c r="AG137" s="230"/>
      <c r="AH137" s="235"/>
      <c r="AI137" s="234"/>
      <c r="AJ137" s="230"/>
      <c r="AK137" s="235"/>
      <c r="AL137" s="231"/>
      <c r="AM137" s="230"/>
      <c r="AN137" s="235"/>
      <c r="AO137" s="234"/>
      <c r="AP137" s="230"/>
      <c r="AQ137" s="235"/>
      <c r="AR137" s="234"/>
      <c r="AS137" s="230"/>
      <c r="AT137" s="235"/>
      <c r="AU137" s="234"/>
      <c r="AV137" s="230"/>
      <c r="AW137" s="235"/>
      <c r="AX137" s="234"/>
      <c r="AY137" s="230"/>
      <c r="AZ137" s="235"/>
      <c r="BA137" s="234"/>
      <c r="BB137" s="230">
        <f>IFERROR(__xludf.DUMMYFUNCTION("""COMPUTED_VALUE"""),30.03229202230568)</f>
        <v>30.03229202</v>
      </c>
      <c r="BC137" s="235"/>
      <c r="BD137" s="234"/>
      <c r="BE137" s="230"/>
      <c r="BF137" s="235"/>
      <c r="BG137" s="234"/>
      <c r="BH137" s="230"/>
      <c r="BI137" s="235">
        <f>IFERROR(__xludf.DUMMYFUNCTION("""COMPUTED_VALUE"""),3.196995561625128)</f>
        <v>3.196995562</v>
      </c>
      <c r="BJ137" s="234"/>
      <c r="BK137" s="230"/>
      <c r="BL137" s="235"/>
      <c r="BM137" s="234"/>
      <c r="BN137" s="230"/>
      <c r="BO137" s="235"/>
      <c r="BP137" s="234">
        <f>IFERROR(__xludf.DUMMYFUNCTION("""COMPUTED_VALUE"""),0.0)</f>
        <v>0</v>
      </c>
      <c r="BQ137" s="230"/>
      <c r="BR137" s="235"/>
      <c r="BS137" s="234"/>
      <c r="BT137" s="230"/>
      <c r="BU137" s="235"/>
      <c r="BV137" s="234">
        <f>IFERROR(__xludf.DUMMYFUNCTION("""COMPUTED_VALUE"""),24.83219528849437)</f>
        <v>24.83219529</v>
      </c>
      <c r="BW137" s="230"/>
      <c r="BX137" s="235"/>
      <c r="BY137" s="234"/>
      <c r="BZ137" s="230"/>
      <c r="CA137" s="235"/>
      <c r="CB137" s="234"/>
      <c r="CC137" s="230"/>
      <c r="CD137" s="235"/>
      <c r="CE137" s="234"/>
      <c r="CF137" s="230"/>
      <c r="CG137" s="235"/>
      <c r="CH137" s="234"/>
      <c r="CI137" s="230"/>
      <c r="CJ137" s="230"/>
      <c r="CK137" s="234"/>
      <c r="CL137" s="230"/>
      <c r="CM137" s="235"/>
      <c r="CN137" s="230"/>
      <c r="CO137" s="230"/>
      <c r="CP137" s="230"/>
      <c r="CQ137" s="234"/>
      <c r="CR137" s="230"/>
      <c r="CS137" s="230"/>
      <c r="CT137" s="234"/>
      <c r="CU137" s="230"/>
      <c r="CV137" s="230"/>
      <c r="CW137" s="234"/>
      <c r="CX137" s="230"/>
      <c r="CY137" s="235">
        <f>IFERROR(__xludf.DUMMYFUNCTION("""COMPUTED_VALUE"""),14.893617021276595)</f>
        <v>14.89361702</v>
      </c>
      <c r="CZ137" s="230"/>
      <c r="DA137" s="230"/>
      <c r="DB137" s="235"/>
      <c r="DC137" s="234"/>
      <c r="DD137" s="230"/>
      <c r="DE137" s="235"/>
      <c r="DF137" s="234"/>
      <c r="DG137" s="230">
        <f>IFERROR(__xludf.DUMMYFUNCTION("""COMPUTED_VALUE"""),12.76595744680851)</f>
        <v>12.76595745</v>
      </c>
      <c r="DH137" s="235"/>
      <c r="DI137" s="234"/>
      <c r="DJ137" s="230"/>
      <c r="DK137" s="235"/>
      <c r="DL137" s="280"/>
      <c r="DM137" s="286"/>
      <c r="DN137" s="282"/>
      <c r="DO137" s="96"/>
      <c r="DP137" s="96"/>
      <c r="DQ137" s="96"/>
      <c r="DR137" s="96"/>
      <c r="DS137" s="96"/>
      <c r="DT137" s="96"/>
      <c r="DU137" s="96"/>
    </row>
    <row r="138">
      <c r="B138" s="120" t="str">
        <f>IFERROR(__xludf.DUMMYFUNCTION("""COMPUTED_VALUE"""),"BBL13")</f>
        <v>BBL13</v>
      </c>
      <c r="C138" s="88" t="str">
        <f>IFERROR(__xludf.DUMMYFUNCTION("""COMPUTED_VALUE"""),"Mt. Ebih")</f>
        <v>Mt. Ebih</v>
      </c>
      <c r="D138" s="102">
        <f>IFERROR(__xludf.DUMMYFUNCTION("""COMPUTED_VALUE"""),21.0)</f>
        <v>21</v>
      </c>
      <c r="E138" s="82" t="b">
        <f>IFERROR(__xludf.DUMMYFUNCTION("""COMPUTED_VALUE"""),TRUE)</f>
        <v>1</v>
      </c>
      <c r="F138" s="82" t="str">
        <f>IFERROR(__xludf.DUMMYFUNCTION("""COMPUTED_VALUE"""),"Free Quests- Part 1!A1311:J1319")</f>
        <v>Free Quests- Part 1!A1311:J1319</v>
      </c>
      <c r="G138" s="82">
        <f>IFERROR(__xludf.DUMMYFUNCTION("""COMPUTED_VALUE"""),139.0)</f>
        <v>139</v>
      </c>
      <c r="H138" s="82">
        <f>IFERROR(__xludf.DUMMYFUNCTION("""COMPUTED_VALUE"""),1827.0)</f>
        <v>1827</v>
      </c>
      <c r="I138" s="82">
        <f>IFERROR(__xludf.DUMMYFUNCTION("""COMPUTED_VALUE"""),29368.0)</f>
        <v>29368</v>
      </c>
      <c r="J138" s="82">
        <f>IFERROR(__xludf.DUMMYFUNCTION("""COMPUTED_VALUE"""),31195.0)</f>
        <v>31195</v>
      </c>
      <c r="K138" s="234"/>
      <c r="L138" s="230"/>
      <c r="M138" s="235"/>
      <c r="N138" s="234"/>
      <c r="O138" s="230"/>
      <c r="P138" s="235"/>
      <c r="Q138" s="234"/>
      <c r="R138" s="230"/>
      <c r="S138" s="235"/>
      <c r="T138" s="234"/>
      <c r="U138" s="230">
        <f>IFERROR(__xludf.DUMMYFUNCTION("""COMPUTED_VALUE"""),11.675127330123418)</f>
        <v>11.67512733</v>
      </c>
      <c r="V138" s="235"/>
      <c r="W138" s="234"/>
      <c r="X138" s="230"/>
      <c r="Y138" s="235"/>
      <c r="Z138" s="234"/>
      <c r="AA138" s="230"/>
      <c r="AB138" s="235"/>
      <c r="AC138" s="234">
        <f>IFERROR(__xludf.DUMMYFUNCTION("""COMPUTED_VALUE"""),25.44587273601539)</f>
        <v>25.44587274</v>
      </c>
      <c r="AD138" s="230"/>
      <c r="AE138" s="235"/>
      <c r="AF138" s="234"/>
      <c r="AG138" s="230"/>
      <c r="AH138" s="235"/>
      <c r="AI138" s="234"/>
      <c r="AJ138" s="230"/>
      <c r="AK138" s="235"/>
      <c r="AL138" s="231"/>
      <c r="AM138" s="230"/>
      <c r="AN138" s="235"/>
      <c r="AO138" s="234"/>
      <c r="AP138" s="230"/>
      <c r="AQ138" s="235"/>
      <c r="AR138" s="234"/>
      <c r="AS138" s="230"/>
      <c r="AT138" s="235"/>
      <c r="AU138" s="234"/>
      <c r="AV138" s="230"/>
      <c r="AW138" s="235"/>
      <c r="AX138" s="234"/>
      <c r="AY138" s="230"/>
      <c r="AZ138" s="235"/>
      <c r="BA138" s="234"/>
      <c r="BB138" s="230"/>
      <c r="BC138" s="235"/>
      <c r="BD138" s="234"/>
      <c r="BE138" s="230"/>
      <c r="BF138" s="235"/>
      <c r="BG138" s="234"/>
      <c r="BH138" s="230"/>
      <c r="BI138" s="235"/>
      <c r="BJ138" s="234"/>
      <c r="BK138" s="230"/>
      <c r="BL138" s="235">
        <f>IFERROR(__xludf.DUMMYFUNCTION("""COMPUTED_VALUE"""),3.1248442621555013)</f>
        <v>3.124844262</v>
      </c>
      <c r="BM138" s="234"/>
      <c r="BN138" s="230"/>
      <c r="BO138" s="235"/>
      <c r="BP138" s="234"/>
      <c r="BQ138" s="230"/>
      <c r="BR138" s="235"/>
      <c r="BS138" s="234">
        <f>IFERROR(__xludf.DUMMYFUNCTION("""COMPUTED_VALUE"""),24.245607759689914)</f>
        <v>24.24560776</v>
      </c>
      <c r="BT138" s="230"/>
      <c r="BU138" s="235"/>
      <c r="BV138" s="234"/>
      <c r="BW138" s="230"/>
      <c r="BX138" s="235"/>
      <c r="BY138" s="234"/>
      <c r="BZ138" s="230"/>
      <c r="CA138" s="235"/>
      <c r="CB138" s="234"/>
      <c r="CC138" s="230"/>
      <c r="CD138" s="235"/>
      <c r="CE138" s="234"/>
      <c r="CF138" s="230"/>
      <c r="CG138" s="235"/>
      <c r="CH138" s="234"/>
      <c r="CI138" s="230"/>
      <c r="CJ138" s="230"/>
      <c r="CK138" s="234"/>
      <c r="CL138" s="230"/>
      <c r="CM138" s="235"/>
      <c r="CN138" s="230"/>
      <c r="CO138" s="230"/>
      <c r="CP138" s="230"/>
      <c r="CQ138" s="234"/>
      <c r="CR138" s="230"/>
      <c r="CS138" s="230"/>
      <c r="CT138" s="234"/>
      <c r="CU138" s="230">
        <f>IFERROR(__xludf.DUMMYFUNCTION("""COMPUTED_VALUE"""),3.614457831325301)</f>
        <v>3.614457831</v>
      </c>
      <c r="CV138" s="230"/>
      <c r="CW138" s="234"/>
      <c r="CX138" s="230"/>
      <c r="CY138" s="235"/>
      <c r="CZ138" s="230"/>
      <c r="DA138" s="230"/>
      <c r="DB138" s="235"/>
      <c r="DC138" s="234">
        <f>IFERROR(__xludf.DUMMYFUNCTION("""COMPUTED_VALUE"""),14.400458978772232)</f>
        <v>14.40045898</v>
      </c>
      <c r="DD138" s="230"/>
      <c r="DE138" s="235"/>
      <c r="DF138" s="234"/>
      <c r="DG138" s="230"/>
      <c r="DH138" s="235"/>
      <c r="DI138" s="234"/>
      <c r="DJ138" s="230"/>
      <c r="DK138" s="235"/>
      <c r="DL138" s="314"/>
      <c r="DM138" s="315"/>
      <c r="DN138" s="316"/>
      <c r="DO138" s="96"/>
      <c r="DP138" s="96"/>
      <c r="DQ138" s="96"/>
      <c r="DR138" s="96"/>
      <c r="DS138" s="96"/>
      <c r="DT138" s="96"/>
      <c r="DU138" s="96"/>
    </row>
    <row r="139">
      <c r="B139" s="120" t="str">
        <f>IFERROR(__xludf.DUMMYFUNCTION("""COMPUTED_VALUE"""),"BBL14")</f>
        <v>BBL14</v>
      </c>
      <c r="C139" s="88" t="str">
        <f>IFERROR(__xludf.DUMMYFUNCTION("""COMPUTED_VALUE"""),"Blood Fort")</f>
        <v>Blood Fort</v>
      </c>
      <c r="D139" s="102">
        <f>IFERROR(__xludf.DUMMYFUNCTION("""COMPUTED_VALUE"""),21.0)</f>
        <v>21</v>
      </c>
      <c r="E139" s="82" t="b">
        <f>IFERROR(__xludf.DUMMYFUNCTION("""COMPUTED_VALUE"""),TRUE)</f>
        <v>1</v>
      </c>
      <c r="F139" s="82" t="str">
        <f>IFERROR(__xludf.DUMMYFUNCTION("""COMPUTED_VALUE"""),"Free Quests- Part 1!A1323:J1332")</f>
        <v>Free Quests- Part 1!A1323:J1332</v>
      </c>
      <c r="G139" s="82">
        <f>IFERROR(__xludf.DUMMYFUNCTION("""COMPUTED_VALUE"""),140.0)</f>
        <v>140</v>
      </c>
      <c r="H139" s="82">
        <f>IFERROR(__xludf.DUMMYFUNCTION("""COMPUTED_VALUE"""),598.0)</f>
        <v>598</v>
      </c>
      <c r="I139" s="82">
        <f>IFERROR(__xludf.DUMMYFUNCTION("""COMPUTED_VALUE"""),80896.0)</f>
        <v>80896</v>
      </c>
      <c r="J139" s="82">
        <f>IFERROR(__xludf.DUMMYFUNCTION("""COMPUTED_VALUE"""),81494.0)</f>
        <v>81494</v>
      </c>
      <c r="K139" s="234"/>
      <c r="L139" s="230"/>
      <c r="M139" s="235"/>
      <c r="N139" s="234"/>
      <c r="O139" s="230"/>
      <c r="P139" s="235"/>
      <c r="Q139" s="234"/>
      <c r="R139" s="230"/>
      <c r="S139" s="235"/>
      <c r="T139" s="234">
        <f>IFERROR(__xludf.DUMMYFUNCTION("""COMPUTED_VALUE"""),18.19529290499914)</f>
        <v>18.1952929</v>
      </c>
      <c r="U139" s="230"/>
      <c r="V139" s="235"/>
      <c r="W139" s="234"/>
      <c r="X139" s="230"/>
      <c r="Y139" s="235"/>
      <c r="Z139" s="234"/>
      <c r="AA139" s="230"/>
      <c r="AB139" s="235"/>
      <c r="AC139" s="234">
        <f>IFERROR(__xludf.DUMMYFUNCTION("""COMPUTED_VALUE"""),24.11458021449432)</f>
        <v>24.11458021</v>
      </c>
      <c r="AD139" s="230"/>
      <c r="AE139" s="235"/>
      <c r="AF139" s="234"/>
      <c r="AG139" s="230"/>
      <c r="AH139" s="235"/>
      <c r="AI139" s="234"/>
      <c r="AJ139" s="230"/>
      <c r="AK139" s="235"/>
      <c r="AL139" s="231"/>
      <c r="AM139" s="230"/>
      <c r="AN139" s="235"/>
      <c r="AO139" s="234"/>
      <c r="AP139" s="230"/>
      <c r="AQ139" s="235"/>
      <c r="AR139" s="234"/>
      <c r="AS139" s="230"/>
      <c r="AT139" s="235"/>
      <c r="AU139" s="234"/>
      <c r="AV139" s="230"/>
      <c r="AW139" s="235"/>
      <c r="AX139" s="234"/>
      <c r="AY139" s="230"/>
      <c r="AZ139" s="235"/>
      <c r="BA139" s="234"/>
      <c r="BB139" s="230"/>
      <c r="BC139" s="235"/>
      <c r="BD139" s="234"/>
      <c r="BE139" s="230"/>
      <c r="BF139" s="235"/>
      <c r="BG139" s="234"/>
      <c r="BH139" s="230"/>
      <c r="BI139" s="235"/>
      <c r="BJ139" s="234"/>
      <c r="BK139" s="230"/>
      <c r="BL139" s="235"/>
      <c r="BM139" s="234"/>
      <c r="BN139" s="230"/>
      <c r="BO139" s="235"/>
      <c r="BP139" s="234">
        <f>IFERROR(__xludf.DUMMYFUNCTION("""COMPUTED_VALUE"""),15.897629273320737)</f>
        <v>15.89762927</v>
      </c>
      <c r="BQ139" s="230"/>
      <c r="BR139" s="235"/>
      <c r="BS139" s="234"/>
      <c r="BT139" s="230"/>
      <c r="BU139" s="235"/>
      <c r="BV139" s="234"/>
      <c r="BW139" s="230">
        <f>IFERROR(__xludf.DUMMYFUNCTION("""COMPUTED_VALUE"""),15.0)</f>
        <v>15</v>
      </c>
      <c r="BX139" s="235"/>
      <c r="BY139" s="234"/>
      <c r="BZ139" s="230"/>
      <c r="CA139" s="235"/>
      <c r="CB139" s="234"/>
      <c r="CC139" s="230"/>
      <c r="CD139" s="235"/>
      <c r="CE139" s="234"/>
      <c r="CF139" s="230"/>
      <c r="CG139" s="235"/>
      <c r="CH139" s="234"/>
      <c r="CI139" s="230"/>
      <c r="CJ139" s="230"/>
      <c r="CK139" s="234"/>
      <c r="CL139" s="230"/>
      <c r="CM139" s="235"/>
      <c r="CN139" s="230"/>
      <c r="CO139" s="230"/>
      <c r="CP139" s="230"/>
      <c r="CQ139" s="234"/>
      <c r="CR139" s="230">
        <f>IFERROR(__xludf.DUMMYFUNCTION("""COMPUTED_VALUE"""),10.108895205565476)</f>
        <v>10.10889521</v>
      </c>
      <c r="CS139" s="230"/>
      <c r="CT139" s="234"/>
      <c r="CU139" s="230"/>
      <c r="CV139" s="230"/>
      <c r="CW139" s="234"/>
      <c r="CX139" s="230"/>
      <c r="CY139" s="235"/>
      <c r="CZ139" s="230">
        <f>IFERROR(__xludf.DUMMYFUNCTION("""COMPUTED_VALUE"""),18.223234624145785)</f>
        <v>18.22323462</v>
      </c>
      <c r="DA139" s="230"/>
      <c r="DB139" s="235"/>
      <c r="DC139" s="234"/>
      <c r="DD139" s="230"/>
      <c r="DE139" s="235"/>
      <c r="DF139" s="234"/>
      <c r="DG139" s="230"/>
      <c r="DH139" s="235"/>
      <c r="DI139" s="234"/>
      <c r="DJ139" s="230"/>
      <c r="DK139" s="235"/>
      <c r="DL139" s="317"/>
      <c r="DM139" s="318"/>
      <c r="DN139" s="282"/>
      <c r="DO139" s="96"/>
      <c r="DP139" s="96"/>
      <c r="DQ139" s="96"/>
      <c r="DR139" s="96"/>
      <c r="DS139" s="96"/>
      <c r="DT139" s="96"/>
      <c r="DU139" s="96"/>
    </row>
    <row r="140">
      <c r="A140" s="150" t="str">
        <f>IFERROR(__xludf.DUMMYFUNCTION("""COMPUTED_VALUE"""),"SHINJUKU")</f>
        <v>SHINJUKU</v>
      </c>
      <c r="B140" s="120" t="str">
        <f>IFERROR(__xludf.DUMMYFUNCTION("""COMPUTED_VALUE"""),"SJK1")</f>
        <v>SJK1</v>
      </c>
      <c r="C140" s="88" t="str">
        <f>IFERROR(__xludf.DUMMYFUNCTION("""COMPUTED_VALUE"""),"Yoyogi 2-Chome")</f>
        <v>Yoyogi 2-Chome</v>
      </c>
      <c r="D140" s="102">
        <f>IFERROR(__xludf.DUMMYFUNCTION("""COMPUTED_VALUE"""),20.0)</f>
        <v>20</v>
      </c>
      <c r="E140" s="82" t="b">
        <f>IFERROR(__xludf.DUMMYFUNCTION("""COMPUTED_VALUE"""),TRUE)</f>
        <v>1</v>
      </c>
      <c r="F140" s="82" t="str">
        <f>IFERROR(__xludf.DUMMYFUNCTION("""COMPUTED_VALUE"""),"Free Quests- EoR!A7:J13")</f>
        <v>Free Quests- EoR!A7:J13</v>
      </c>
      <c r="G140" s="82">
        <f>IFERROR(__xludf.DUMMYFUNCTION("""COMPUTED_VALUE"""),141.0)</f>
        <v>141</v>
      </c>
      <c r="H140" s="82">
        <f>IFERROR(__xludf.DUMMYFUNCTION("""COMPUTED_VALUE"""),47.0)</f>
        <v>47</v>
      </c>
      <c r="I140" s="82">
        <f>IFERROR(__xludf.DUMMYFUNCTION("""COMPUTED_VALUE"""),1109.0)</f>
        <v>1109</v>
      </c>
      <c r="J140" s="82">
        <f>IFERROR(__xludf.DUMMYFUNCTION("""COMPUTED_VALUE"""),1156.0)</f>
        <v>1156</v>
      </c>
      <c r="K140" s="234"/>
      <c r="L140" s="230"/>
      <c r="M140" s="235"/>
      <c r="N140" s="234"/>
      <c r="O140" s="230"/>
      <c r="P140" s="235"/>
      <c r="Q140" s="234"/>
      <c r="R140" s="230"/>
      <c r="S140" s="235"/>
      <c r="T140" s="234"/>
      <c r="U140" s="230"/>
      <c r="V140" s="235"/>
      <c r="W140" s="234"/>
      <c r="X140" s="230"/>
      <c r="Y140" s="235"/>
      <c r="Z140" s="234"/>
      <c r="AA140" s="230"/>
      <c r="AB140" s="235"/>
      <c r="AC140" s="234"/>
      <c r="AD140" s="230"/>
      <c r="AE140" s="235"/>
      <c r="AF140" s="234"/>
      <c r="AG140" s="230"/>
      <c r="AH140" s="235"/>
      <c r="AI140" s="234"/>
      <c r="AJ140" s="230"/>
      <c r="AK140" s="235"/>
      <c r="AL140" s="231"/>
      <c r="AM140" s="230"/>
      <c r="AN140" s="235"/>
      <c r="AO140" s="234"/>
      <c r="AP140" s="230"/>
      <c r="AQ140" s="235"/>
      <c r="AR140" s="234"/>
      <c r="AS140" s="230"/>
      <c r="AT140" s="235"/>
      <c r="AU140" s="234"/>
      <c r="AV140" s="230"/>
      <c r="AW140" s="235"/>
      <c r="AX140" s="234"/>
      <c r="AY140" s="230"/>
      <c r="AZ140" s="235"/>
      <c r="BA140" s="234"/>
      <c r="BB140" s="230"/>
      <c r="BC140" s="235">
        <f>IFERROR(__xludf.DUMMYFUNCTION("""COMPUTED_VALUE"""),40.50640138408305)</f>
        <v>40.50640138</v>
      </c>
      <c r="BD140" s="234"/>
      <c r="BE140" s="230"/>
      <c r="BF140" s="235"/>
      <c r="BG140" s="234"/>
      <c r="BH140" s="230"/>
      <c r="BI140" s="235"/>
      <c r="BJ140" s="234"/>
      <c r="BK140" s="230"/>
      <c r="BL140" s="235"/>
      <c r="BM140" s="234"/>
      <c r="BN140" s="230"/>
      <c r="BO140" s="235"/>
      <c r="BP140" s="234"/>
      <c r="BQ140" s="230"/>
      <c r="BR140" s="235"/>
      <c r="BS140" s="234"/>
      <c r="BT140" s="230"/>
      <c r="BU140" s="235"/>
      <c r="BV140" s="234"/>
      <c r="BW140" s="230"/>
      <c r="BX140" s="235">
        <f>IFERROR(__xludf.DUMMYFUNCTION("""COMPUTED_VALUE"""),29.665830449826995)</f>
        <v>29.66583045</v>
      </c>
      <c r="BY140" s="234"/>
      <c r="BZ140" s="230"/>
      <c r="CA140" s="235"/>
      <c r="CB140" s="234"/>
      <c r="CC140" s="230"/>
      <c r="CD140" s="235"/>
      <c r="CE140" s="234"/>
      <c r="CF140" s="230"/>
      <c r="CG140" s="235"/>
      <c r="CH140" s="234"/>
      <c r="CI140" s="230"/>
      <c r="CJ140" s="230"/>
      <c r="CK140" s="234"/>
      <c r="CL140" s="230"/>
      <c r="CM140" s="235"/>
      <c r="CN140" s="230"/>
      <c r="CO140" s="230"/>
      <c r="CP140" s="230"/>
      <c r="CQ140" s="234"/>
      <c r="CR140" s="230"/>
      <c r="CS140" s="230"/>
      <c r="CT140" s="234"/>
      <c r="CU140" s="230"/>
      <c r="CV140" s="230"/>
      <c r="CW140" s="234"/>
      <c r="CX140" s="230"/>
      <c r="CY140" s="235"/>
      <c r="CZ140" s="230"/>
      <c r="DA140" s="230">
        <f>IFERROR(__xludf.DUMMYFUNCTION("""COMPUTED_VALUE"""),19.51219512195122)</f>
        <v>19.51219512</v>
      </c>
      <c r="DB140" s="235"/>
      <c r="DC140" s="234"/>
      <c r="DD140" s="230"/>
      <c r="DE140" s="235"/>
      <c r="DF140" s="234"/>
      <c r="DG140" s="230"/>
      <c r="DH140" s="235"/>
      <c r="DI140" s="234">
        <f>IFERROR(__xludf.DUMMYFUNCTION("""COMPUTED_VALUE"""),24.390243902439025)</f>
        <v>24.3902439</v>
      </c>
      <c r="DJ140" s="230"/>
      <c r="DK140" s="235"/>
      <c r="DL140" s="319"/>
      <c r="DM140" s="320"/>
      <c r="DN140" s="321"/>
      <c r="DO140" s="96"/>
      <c r="DP140" s="96"/>
      <c r="DQ140" s="96"/>
      <c r="DR140" s="96"/>
      <c r="DS140" s="96"/>
      <c r="DT140" s="96"/>
      <c r="DU140" s="96"/>
    </row>
    <row r="141">
      <c r="B141" s="120" t="str">
        <f>IFERROR(__xludf.DUMMYFUNCTION("""COMPUTED_VALUE"""),"SJK2")</f>
        <v>SJK2</v>
      </c>
      <c r="C141" s="88" t="str">
        <f>IFERROR(__xludf.DUMMYFUNCTION("""COMPUTED_VALUE"""),"Route 20")</f>
        <v>Route 20</v>
      </c>
      <c r="D141" s="102">
        <f>IFERROR(__xludf.DUMMYFUNCTION("""COMPUTED_VALUE"""),20.0)</f>
        <v>20</v>
      </c>
      <c r="E141" s="82" t="b">
        <f>IFERROR(__xludf.DUMMYFUNCTION("""COMPUTED_VALUE"""),TRUE)</f>
        <v>1</v>
      </c>
      <c r="F141" s="82" t="str">
        <f>IFERROR(__xludf.DUMMYFUNCTION("""COMPUTED_VALUE"""),"Free Quests- EoR!A17:J26")</f>
        <v>Free Quests- EoR!A17:J26</v>
      </c>
      <c r="G141" s="82">
        <f>IFERROR(__xludf.DUMMYFUNCTION("""COMPUTED_VALUE"""),142.0)</f>
        <v>142</v>
      </c>
      <c r="H141" s="82">
        <f>IFERROR(__xludf.DUMMYFUNCTION("""COMPUTED_VALUE"""),76.0)</f>
        <v>76</v>
      </c>
      <c r="I141" s="82">
        <f>IFERROR(__xludf.DUMMYFUNCTION("""COMPUTED_VALUE"""),43124.0)</f>
        <v>43124</v>
      </c>
      <c r="J141" s="82">
        <f>IFERROR(__xludf.DUMMYFUNCTION("""COMPUTED_VALUE"""),43200.0)</f>
        <v>43200</v>
      </c>
      <c r="K141" s="234"/>
      <c r="L141" s="230"/>
      <c r="M141" s="235"/>
      <c r="N141" s="234"/>
      <c r="O141" s="230"/>
      <c r="P141" s="235"/>
      <c r="Q141" s="234"/>
      <c r="R141" s="230"/>
      <c r="S141" s="235"/>
      <c r="T141" s="234"/>
      <c r="U141" s="230"/>
      <c r="V141" s="235"/>
      <c r="W141" s="234"/>
      <c r="X141" s="230"/>
      <c r="Y141" s="235"/>
      <c r="Z141" s="234"/>
      <c r="AA141" s="230"/>
      <c r="AB141" s="235"/>
      <c r="AC141" s="234"/>
      <c r="AD141" s="230"/>
      <c r="AE141" s="235"/>
      <c r="AF141" s="234"/>
      <c r="AG141" s="230"/>
      <c r="AH141" s="235"/>
      <c r="AI141" s="234"/>
      <c r="AJ141" s="230"/>
      <c r="AK141" s="235"/>
      <c r="AL141" s="231"/>
      <c r="AM141" s="230"/>
      <c r="AN141" s="235"/>
      <c r="AO141" s="234"/>
      <c r="AP141" s="230"/>
      <c r="AQ141" s="235"/>
      <c r="AR141" s="234"/>
      <c r="AS141" s="230"/>
      <c r="AT141" s="235"/>
      <c r="AU141" s="234"/>
      <c r="AV141" s="230"/>
      <c r="AW141" s="235"/>
      <c r="AX141" s="234"/>
      <c r="AY141" s="230"/>
      <c r="AZ141" s="235">
        <f>IFERROR(__xludf.DUMMYFUNCTION("""COMPUTED_VALUE"""),30.304564814814814)</f>
        <v>30.30456481</v>
      </c>
      <c r="BA141" s="234"/>
      <c r="BB141" s="230"/>
      <c r="BC141" s="235">
        <f>IFERROR(__xludf.DUMMYFUNCTION("""COMPUTED_VALUE"""),39.90156481481481)</f>
        <v>39.90156481</v>
      </c>
      <c r="BD141" s="234"/>
      <c r="BE141" s="230"/>
      <c r="BF141" s="235"/>
      <c r="BG141" s="234"/>
      <c r="BH141" s="230"/>
      <c r="BI141" s="235"/>
      <c r="BJ141" s="234"/>
      <c r="BK141" s="230"/>
      <c r="BL141" s="235"/>
      <c r="BM141" s="234"/>
      <c r="BN141" s="230">
        <f>IFERROR(__xludf.DUMMYFUNCTION("""COMPUTED_VALUE"""),10.699694444444445)</f>
        <v>10.69969444</v>
      </c>
      <c r="BO141" s="235"/>
      <c r="BP141" s="234"/>
      <c r="BQ141" s="230"/>
      <c r="BR141" s="235"/>
      <c r="BS141" s="234"/>
      <c r="BT141" s="230"/>
      <c r="BU141" s="235">
        <f>IFERROR(__xludf.DUMMYFUNCTION("""COMPUTED_VALUE"""),15.790722222222223)</f>
        <v>15.79072222</v>
      </c>
      <c r="BV141" s="234"/>
      <c r="BW141" s="230"/>
      <c r="BX141" s="235"/>
      <c r="BY141" s="234"/>
      <c r="BZ141" s="230"/>
      <c r="CA141" s="235"/>
      <c r="CB141" s="234"/>
      <c r="CC141" s="230"/>
      <c r="CD141" s="235"/>
      <c r="CE141" s="234"/>
      <c r="CF141" s="230"/>
      <c r="CG141" s="235"/>
      <c r="CH141" s="234"/>
      <c r="CI141" s="230"/>
      <c r="CJ141" s="230"/>
      <c r="CK141" s="234"/>
      <c r="CL141" s="230"/>
      <c r="CM141" s="235"/>
      <c r="CN141" s="230"/>
      <c r="CO141" s="230"/>
      <c r="CP141" s="230"/>
      <c r="CQ141" s="234"/>
      <c r="CR141" s="230"/>
      <c r="CS141" s="230"/>
      <c r="CT141" s="234"/>
      <c r="CU141" s="230"/>
      <c r="CV141" s="230"/>
      <c r="CW141" s="234"/>
      <c r="CX141" s="230">
        <f>IFERROR(__xludf.DUMMYFUNCTION("""COMPUTED_VALUE"""),20.0)</f>
        <v>20</v>
      </c>
      <c r="CY141" s="235"/>
      <c r="CZ141" s="230"/>
      <c r="DA141" s="230"/>
      <c r="DB141" s="235"/>
      <c r="DC141" s="234"/>
      <c r="DD141" s="230"/>
      <c r="DE141" s="235"/>
      <c r="DF141" s="234">
        <f>IFERROR(__xludf.DUMMYFUNCTION("""COMPUTED_VALUE"""),20.0)</f>
        <v>20</v>
      </c>
      <c r="DG141" s="230"/>
      <c r="DH141" s="235"/>
      <c r="DI141" s="234"/>
      <c r="DJ141" s="230"/>
      <c r="DK141" s="235"/>
      <c r="DL141" s="317"/>
      <c r="DM141" s="318"/>
      <c r="DN141" s="282"/>
      <c r="DO141" s="96"/>
      <c r="DP141" s="96"/>
      <c r="DQ141" s="96"/>
      <c r="DR141" s="96"/>
      <c r="DS141" s="96"/>
      <c r="DT141" s="96"/>
      <c r="DU141" s="96"/>
    </row>
    <row r="142">
      <c r="B142" s="120" t="str">
        <f>IFERROR(__xludf.DUMMYFUNCTION("""COMPUTED_VALUE"""),"SJK3")</f>
        <v>SJK3</v>
      </c>
      <c r="C142" s="88" t="str">
        <f>IFERROR(__xludf.DUMMYFUNCTION("""COMPUTED_VALUE"""),"Shinjuku Station")</f>
        <v>Shinjuku Station</v>
      </c>
      <c r="D142" s="102">
        <f>IFERROR(__xludf.DUMMYFUNCTION("""COMPUTED_VALUE"""),21.0)</f>
        <v>21</v>
      </c>
      <c r="E142" s="82" t="b">
        <f>IFERROR(__xludf.DUMMYFUNCTION("""COMPUTED_VALUE"""),TRUE)</f>
        <v>1</v>
      </c>
      <c r="F142" s="82" t="str">
        <f>IFERROR(__xludf.DUMMYFUNCTION("""COMPUTED_VALUE"""),"Free Quests- EoR!A30:J38")</f>
        <v>Free Quests- EoR!A30:J38</v>
      </c>
      <c r="G142" s="82">
        <f>IFERROR(__xludf.DUMMYFUNCTION("""COMPUTED_VALUE"""),143.0)</f>
        <v>143</v>
      </c>
      <c r="H142" s="82">
        <f>IFERROR(__xludf.DUMMYFUNCTION("""COMPUTED_VALUE"""),713.0)</f>
        <v>713</v>
      </c>
      <c r="I142" s="82">
        <f>IFERROR(__xludf.DUMMYFUNCTION("""COMPUTED_VALUE"""),62899.0)</f>
        <v>62899</v>
      </c>
      <c r="J142" s="82">
        <f>IFERROR(__xludf.DUMMYFUNCTION("""COMPUTED_VALUE"""),63612.0)</f>
        <v>63612</v>
      </c>
      <c r="K142" s="234"/>
      <c r="L142" s="230"/>
      <c r="M142" s="235"/>
      <c r="N142" s="234"/>
      <c r="O142" s="230"/>
      <c r="P142" s="235"/>
      <c r="Q142" s="234"/>
      <c r="R142" s="230"/>
      <c r="S142" s="235"/>
      <c r="T142" s="234"/>
      <c r="U142" s="230"/>
      <c r="V142" s="235"/>
      <c r="W142" s="234"/>
      <c r="X142" s="230"/>
      <c r="Y142" s="235"/>
      <c r="Z142" s="234"/>
      <c r="AA142" s="230"/>
      <c r="AB142" s="235"/>
      <c r="AC142" s="234"/>
      <c r="AD142" s="230"/>
      <c r="AE142" s="235"/>
      <c r="AF142" s="234"/>
      <c r="AG142" s="230"/>
      <c r="AH142" s="235"/>
      <c r="AI142" s="234"/>
      <c r="AJ142" s="230"/>
      <c r="AK142" s="235"/>
      <c r="AL142" s="231"/>
      <c r="AM142" s="230"/>
      <c r="AN142" s="235"/>
      <c r="AO142" s="234"/>
      <c r="AP142" s="230"/>
      <c r="AQ142" s="235"/>
      <c r="AR142" s="234"/>
      <c r="AS142" s="230"/>
      <c r="AT142" s="235"/>
      <c r="AU142" s="234"/>
      <c r="AV142" s="230"/>
      <c r="AW142" s="235"/>
      <c r="AX142" s="234"/>
      <c r="AY142" s="230"/>
      <c r="AZ142" s="235"/>
      <c r="BA142" s="234"/>
      <c r="BB142" s="230"/>
      <c r="BC142" s="235">
        <f>IFERROR(__xludf.DUMMYFUNCTION("""COMPUTED_VALUE"""),65.51726875432308)</f>
        <v>65.51726875</v>
      </c>
      <c r="BD142" s="234"/>
      <c r="BE142" s="230"/>
      <c r="BF142" s="235"/>
      <c r="BG142" s="234"/>
      <c r="BH142" s="230"/>
      <c r="BI142" s="235"/>
      <c r="BJ142" s="234"/>
      <c r="BK142" s="230"/>
      <c r="BL142" s="235"/>
      <c r="BM142" s="234"/>
      <c r="BN142" s="230">
        <f>IFERROR(__xludf.DUMMYFUNCTION("""COMPUTED_VALUE"""),25.216229642205874)</f>
        <v>25.21622964</v>
      </c>
      <c r="BO142" s="235"/>
      <c r="BP142" s="234"/>
      <c r="BQ142" s="230"/>
      <c r="BR142" s="235"/>
      <c r="BS142" s="234"/>
      <c r="BT142" s="230"/>
      <c r="BU142" s="235">
        <f>IFERROR(__xludf.DUMMYFUNCTION("""COMPUTED_VALUE"""),20.38042507702949)</f>
        <v>20.38042508</v>
      </c>
      <c r="BV142" s="234"/>
      <c r="BW142" s="230"/>
      <c r="BX142" s="235"/>
      <c r="BY142" s="234"/>
      <c r="BZ142" s="230"/>
      <c r="CA142" s="235"/>
      <c r="CB142" s="234"/>
      <c r="CC142" s="230"/>
      <c r="CD142" s="235"/>
      <c r="CE142" s="234"/>
      <c r="CF142" s="230"/>
      <c r="CG142" s="235"/>
      <c r="CH142" s="234"/>
      <c r="CI142" s="230"/>
      <c r="CJ142" s="230"/>
      <c r="CK142" s="234"/>
      <c r="CL142" s="230"/>
      <c r="CM142" s="235"/>
      <c r="CN142" s="230"/>
      <c r="CO142" s="230"/>
      <c r="CP142" s="230"/>
      <c r="CQ142" s="234"/>
      <c r="CR142" s="230"/>
      <c r="CS142" s="230"/>
      <c r="CT142" s="234"/>
      <c r="CU142" s="230"/>
      <c r="CV142" s="230"/>
      <c r="CW142" s="234"/>
      <c r="CX142" s="230">
        <f>IFERROR(__xludf.DUMMYFUNCTION("""COMPUTED_VALUE"""),17.675544794188863)</f>
        <v>17.67554479</v>
      </c>
      <c r="CY142" s="235"/>
      <c r="CZ142" s="230"/>
      <c r="DA142" s="230"/>
      <c r="DB142" s="235"/>
      <c r="DC142" s="234"/>
      <c r="DD142" s="230"/>
      <c r="DE142" s="235"/>
      <c r="DF142" s="234">
        <f>IFERROR(__xludf.DUMMYFUNCTION("""COMPUTED_VALUE"""),21.307506053268767)</f>
        <v>21.30750605</v>
      </c>
      <c r="DG142" s="230"/>
      <c r="DH142" s="235"/>
      <c r="DI142" s="234"/>
      <c r="DJ142" s="230"/>
      <c r="DK142" s="235"/>
      <c r="DL142" s="319"/>
      <c r="DM142" s="320"/>
      <c r="DN142" s="321"/>
      <c r="DO142" s="96"/>
      <c r="DP142" s="96"/>
      <c r="DQ142" s="96"/>
      <c r="DR142" s="96"/>
      <c r="DS142" s="96"/>
      <c r="DT142" s="96"/>
      <c r="DU142" s="96"/>
    </row>
    <row r="143">
      <c r="B143" s="120" t="str">
        <f>IFERROR(__xludf.DUMMYFUNCTION("""COMPUTED_VALUE"""),"SJK4")</f>
        <v>SJK4</v>
      </c>
      <c r="C143" s="88" t="str">
        <f>IFERROR(__xludf.DUMMYFUNCTION("""COMPUTED_VALUE"""),"Shinjuku 4-Chome")</f>
        <v>Shinjuku 4-Chome</v>
      </c>
      <c r="D143" s="102">
        <f>IFERROR(__xludf.DUMMYFUNCTION("""COMPUTED_VALUE"""),21.0)</f>
        <v>21</v>
      </c>
      <c r="E143" s="82" t="b">
        <f>IFERROR(__xludf.DUMMYFUNCTION("""COMPUTED_VALUE"""),TRUE)</f>
        <v>1</v>
      </c>
      <c r="F143" s="82" t="str">
        <f>IFERROR(__xludf.DUMMYFUNCTION("""COMPUTED_VALUE"""),"Free Quests- EoR!A42:J52")</f>
        <v>Free Quests- EoR!A42:J52</v>
      </c>
      <c r="G143" s="82">
        <f>IFERROR(__xludf.DUMMYFUNCTION("""COMPUTED_VALUE"""),144.0)</f>
        <v>144</v>
      </c>
      <c r="H143" s="82">
        <f>IFERROR(__xludf.DUMMYFUNCTION("""COMPUTED_VALUE"""),704.0)</f>
        <v>704</v>
      </c>
      <c r="I143" s="82">
        <f>IFERROR(__xludf.DUMMYFUNCTION("""COMPUTED_VALUE"""),50000.0)</f>
        <v>50000</v>
      </c>
      <c r="J143" s="82">
        <f>IFERROR(__xludf.DUMMYFUNCTION("""COMPUTED_VALUE"""),50704.0)</f>
        <v>50704</v>
      </c>
      <c r="K143" s="234">
        <f>IFERROR(__xludf.DUMMYFUNCTION("""COMPUTED_VALUE"""),18.142552855790473)</f>
        <v>18.14255286</v>
      </c>
      <c r="L143" s="230"/>
      <c r="M143" s="235"/>
      <c r="N143" s="234"/>
      <c r="O143" s="230"/>
      <c r="P143" s="235"/>
      <c r="Q143" s="234"/>
      <c r="R143" s="230"/>
      <c r="S143" s="235"/>
      <c r="T143" s="234"/>
      <c r="U143" s="230"/>
      <c r="V143" s="235"/>
      <c r="W143" s="234"/>
      <c r="X143" s="230"/>
      <c r="Y143" s="235"/>
      <c r="Z143" s="234"/>
      <c r="AA143" s="230"/>
      <c r="AB143" s="235"/>
      <c r="AC143" s="234"/>
      <c r="AD143" s="230"/>
      <c r="AE143" s="235"/>
      <c r="AF143" s="234"/>
      <c r="AG143" s="230"/>
      <c r="AH143" s="235"/>
      <c r="AI143" s="234"/>
      <c r="AJ143" s="230"/>
      <c r="AK143" s="235"/>
      <c r="AL143" s="231"/>
      <c r="AM143" s="230"/>
      <c r="AN143" s="235"/>
      <c r="AO143" s="234"/>
      <c r="AP143" s="230"/>
      <c r="AQ143" s="235"/>
      <c r="AR143" s="234"/>
      <c r="AS143" s="230"/>
      <c r="AT143" s="235"/>
      <c r="AU143" s="234"/>
      <c r="AV143" s="230"/>
      <c r="AW143" s="235"/>
      <c r="AX143" s="234"/>
      <c r="AY143" s="230"/>
      <c r="AZ143" s="235"/>
      <c r="BA143" s="234"/>
      <c r="BB143" s="230"/>
      <c r="BC143" s="235">
        <f>IFERROR(__xludf.DUMMYFUNCTION("""COMPUTED_VALUE"""),40.602319343641526)</f>
        <v>40.60231934</v>
      </c>
      <c r="BD143" s="234"/>
      <c r="BE143" s="230"/>
      <c r="BF143" s="235"/>
      <c r="BG143" s="234"/>
      <c r="BH143" s="230"/>
      <c r="BI143" s="235"/>
      <c r="BJ143" s="234"/>
      <c r="BK143" s="230"/>
      <c r="BL143" s="235">
        <f>IFERROR(__xludf.DUMMYFUNCTION("""COMPUTED_VALUE"""),5.084411486273272)</f>
        <v>5.084411486</v>
      </c>
      <c r="BM143" s="234"/>
      <c r="BN143" s="230"/>
      <c r="BO143" s="235"/>
      <c r="BP143" s="234"/>
      <c r="BQ143" s="230"/>
      <c r="BR143" s="235"/>
      <c r="BS143" s="234"/>
      <c r="BT143" s="230"/>
      <c r="BU143" s="235"/>
      <c r="BV143" s="234"/>
      <c r="BW143" s="230"/>
      <c r="BX143" s="235">
        <f>IFERROR(__xludf.DUMMYFUNCTION("""COMPUTED_VALUE"""),24.705650855357423)</f>
        <v>24.70565086</v>
      </c>
      <c r="BY143" s="234"/>
      <c r="BZ143" s="230"/>
      <c r="CA143" s="235"/>
      <c r="CB143" s="234"/>
      <c r="CC143" s="230"/>
      <c r="CD143" s="235"/>
      <c r="CE143" s="234"/>
      <c r="CF143" s="230"/>
      <c r="CG143" s="235"/>
      <c r="CH143" s="234"/>
      <c r="CI143" s="230"/>
      <c r="CJ143" s="230"/>
      <c r="CK143" s="234"/>
      <c r="CL143" s="230"/>
      <c r="CM143" s="235"/>
      <c r="CN143" s="230"/>
      <c r="CO143" s="230"/>
      <c r="CP143" s="230"/>
      <c r="CQ143" s="234"/>
      <c r="CR143" s="230"/>
      <c r="CS143" s="230"/>
      <c r="CT143" s="234"/>
      <c r="CU143" s="230">
        <f>IFERROR(__xludf.DUMMYFUNCTION("""COMPUTED_VALUE"""),4.6082949308755765)</f>
        <v>4.608294931</v>
      </c>
      <c r="CV143" s="230"/>
      <c r="CW143" s="234"/>
      <c r="CX143" s="230"/>
      <c r="CY143" s="235"/>
      <c r="CZ143" s="230"/>
      <c r="DA143" s="230">
        <f>IFERROR(__xludf.DUMMYFUNCTION("""COMPUTED_VALUE"""),13.82488479262673)</f>
        <v>13.82488479</v>
      </c>
      <c r="DB143" s="235"/>
      <c r="DC143" s="234"/>
      <c r="DD143" s="230"/>
      <c r="DE143" s="235"/>
      <c r="DF143" s="234"/>
      <c r="DG143" s="230"/>
      <c r="DH143" s="235"/>
      <c r="DI143" s="234">
        <f>IFERROR(__xludf.DUMMYFUNCTION("""COMPUTED_VALUE"""),10.906298003072196)</f>
        <v>10.906298</v>
      </c>
      <c r="DJ143" s="230"/>
      <c r="DK143" s="235"/>
      <c r="DL143" s="317"/>
      <c r="DM143" s="318"/>
      <c r="DN143" s="282"/>
      <c r="DO143" s="96"/>
      <c r="DP143" s="96"/>
      <c r="DQ143" s="96"/>
      <c r="DR143" s="96"/>
      <c r="DS143" s="96"/>
      <c r="DT143" s="96"/>
      <c r="DU143" s="96"/>
    </row>
    <row r="144">
      <c r="B144" s="120" t="str">
        <f>IFERROR(__xludf.DUMMYFUNCTION("""COMPUTED_VALUE"""),"SJK5")</f>
        <v>SJK5</v>
      </c>
      <c r="C144" s="88" t="str">
        <f>IFERROR(__xludf.DUMMYFUNCTION("""COMPUTED_VALUE"""),"Kabukicho")</f>
        <v>Kabukicho</v>
      </c>
      <c r="D144" s="102">
        <f>IFERROR(__xludf.DUMMYFUNCTION("""COMPUTED_VALUE"""),21.0)</f>
        <v>21</v>
      </c>
      <c r="E144" s="82" t="b">
        <f>IFERROR(__xludf.DUMMYFUNCTION("""COMPUTED_VALUE"""),TRUE)</f>
        <v>1</v>
      </c>
      <c r="F144" s="82" t="str">
        <f>IFERROR(__xludf.DUMMYFUNCTION("""COMPUTED_VALUE"""),"Free Quests- EoR!A56:J63")</f>
        <v>Free Quests- EoR!A56:J63</v>
      </c>
      <c r="G144" s="82">
        <f>IFERROR(__xludf.DUMMYFUNCTION("""COMPUTED_VALUE"""),145.0)</f>
        <v>145</v>
      </c>
      <c r="H144" s="82">
        <f>IFERROR(__xludf.DUMMYFUNCTION("""COMPUTED_VALUE"""),72.0)</f>
        <v>72</v>
      </c>
      <c r="I144" s="82">
        <f>IFERROR(__xludf.DUMMYFUNCTION("""COMPUTED_VALUE"""),8459.0)</f>
        <v>8459</v>
      </c>
      <c r="J144" s="82">
        <f>IFERROR(__xludf.DUMMYFUNCTION("""COMPUTED_VALUE"""),8531.0)</f>
        <v>8531</v>
      </c>
      <c r="K144" s="234"/>
      <c r="L144" s="230"/>
      <c r="M144" s="235"/>
      <c r="N144" s="234"/>
      <c r="O144" s="230"/>
      <c r="P144" s="235"/>
      <c r="Q144" s="234"/>
      <c r="R144" s="230"/>
      <c r="S144" s="235"/>
      <c r="T144" s="234"/>
      <c r="U144" s="230"/>
      <c r="V144" s="235"/>
      <c r="W144" s="234"/>
      <c r="X144" s="230"/>
      <c r="Y144" s="235"/>
      <c r="Z144" s="234"/>
      <c r="AA144" s="230"/>
      <c r="AB144" s="235"/>
      <c r="AC144" s="234"/>
      <c r="AD144" s="230"/>
      <c r="AE144" s="235"/>
      <c r="AF144" s="234"/>
      <c r="AG144" s="230"/>
      <c r="AH144" s="235">
        <f>IFERROR(__xludf.DUMMYFUNCTION("""COMPUTED_VALUE"""),31.21800492322119)</f>
        <v>31.21800492</v>
      </c>
      <c r="AI144" s="234"/>
      <c r="AJ144" s="230"/>
      <c r="AK144" s="235"/>
      <c r="AL144" s="231"/>
      <c r="AM144" s="230"/>
      <c r="AN144" s="235"/>
      <c r="AO144" s="234"/>
      <c r="AP144" s="230"/>
      <c r="AQ144" s="235"/>
      <c r="AR144" s="234"/>
      <c r="AS144" s="230"/>
      <c r="AT144" s="235"/>
      <c r="AU144" s="234"/>
      <c r="AV144" s="230"/>
      <c r="AW144" s="235"/>
      <c r="AX144" s="234"/>
      <c r="AY144" s="230"/>
      <c r="AZ144" s="235">
        <f>IFERROR(__xludf.DUMMYFUNCTION("""COMPUTED_VALUE"""),30.354425038096352)</f>
        <v>30.35442504</v>
      </c>
      <c r="BA144" s="234"/>
      <c r="BB144" s="230"/>
      <c r="BC144" s="235"/>
      <c r="BD144" s="234"/>
      <c r="BE144" s="230"/>
      <c r="BF144" s="235"/>
      <c r="BG144" s="234"/>
      <c r="BH144" s="230"/>
      <c r="BI144" s="235"/>
      <c r="BJ144" s="234"/>
      <c r="BK144" s="230"/>
      <c r="BL144" s="235"/>
      <c r="BM144" s="234"/>
      <c r="BN144" s="230"/>
      <c r="BO144" s="235"/>
      <c r="BP144" s="234"/>
      <c r="BQ144" s="230"/>
      <c r="BR144" s="235">
        <f>IFERROR(__xludf.DUMMYFUNCTION("""COMPUTED_VALUE"""),36.21097175008792)</f>
        <v>36.21097175</v>
      </c>
      <c r="BS144" s="234"/>
      <c r="BT144" s="230"/>
      <c r="BU144" s="235"/>
      <c r="BV144" s="234"/>
      <c r="BW144" s="230"/>
      <c r="BX144" s="235"/>
      <c r="BY144" s="234"/>
      <c r="BZ144" s="230"/>
      <c r="CA144" s="235"/>
      <c r="CB144" s="234"/>
      <c r="CC144" s="230"/>
      <c r="CD144" s="235"/>
      <c r="CE144" s="234"/>
      <c r="CF144" s="230"/>
      <c r="CG144" s="235"/>
      <c r="CH144" s="234"/>
      <c r="CI144" s="230"/>
      <c r="CJ144" s="230"/>
      <c r="CK144" s="234"/>
      <c r="CL144" s="230"/>
      <c r="CM144" s="235"/>
      <c r="CN144" s="230"/>
      <c r="CO144" s="230"/>
      <c r="CP144" s="230"/>
      <c r="CQ144" s="234"/>
      <c r="CR144" s="230"/>
      <c r="CS144" s="230"/>
      <c r="CT144" s="234"/>
      <c r="CU144" s="230"/>
      <c r="CV144" s="230"/>
      <c r="CW144" s="234"/>
      <c r="CX144" s="230"/>
      <c r="CY144" s="235"/>
      <c r="CZ144" s="230"/>
      <c r="DA144" s="230"/>
      <c r="DB144" s="235">
        <f>IFERROR(__xludf.DUMMYFUNCTION("""COMPUTED_VALUE"""),31.343283582089555)</f>
        <v>31.34328358</v>
      </c>
      <c r="DC144" s="234">
        <f>IFERROR(__xludf.DUMMYFUNCTION("""COMPUTED_VALUE"""),17.91044776119403)</f>
        <v>17.91044776</v>
      </c>
      <c r="DD144" s="230"/>
      <c r="DE144" s="235"/>
      <c r="DF144" s="234"/>
      <c r="DG144" s="230"/>
      <c r="DH144" s="235"/>
      <c r="DI144" s="234"/>
      <c r="DJ144" s="230"/>
      <c r="DK144" s="235"/>
      <c r="DL144" s="319"/>
      <c r="DM144" s="320"/>
      <c r="DN144" s="321"/>
      <c r="DO144" s="96"/>
      <c r="DP144" s="96"/>
      <c r="DQ144" s="96"/>
      <c r="DR144" s="96"/>
      <c r="DS144" s="96"/>
      <c r="DT144" s="96"/>
      <c r="DU144" s="96"/>
    </row>
    <row r="145">
      <c r="B145" s="120" t="str">
        <f>IFERROR(__xludf.DUMMYFUNCTION("""COMPUTED_VALUE"""),"SJK6")</f>
        <v>SJK6</v>
      </c>
      <c r="C145" s="88" t="str">
        <f>IFERROR(__xludf.DUMMYFUNCTION("""COMPUTED_VALUE"""),"Barrel Tower")</f>
        <v>Barrel Tower</v>
      </c>
      <c r="D145" s="102">
        <f>IFERROR(__xludf.DUMMYFUNCTION("""COMPUTED_VALUE"""),21.0)</f>
        <v>21</v>
      </c>
      <c r="E145" s="82" t="b">
        <f>IFERROR(__xludf.DUMMYFUNCTION("""COMPUTED_VALUE"""),TRUE)</f>
        <v>1</v>
      </c>
      <c r="F145" s="82" t="str">
        <f>IFERROR(__xludf.DUMMYFUNCTION("""COMPUTED_VALUE"""),"Free Quests- EoR!A67:J72")</f>
        <v>Free Quests- EoR!A67:J72</v>
      </c>
      <c r="G145" s="82">
        <f>IFERROR(__xludf.DUMMYFUNCTION("""COMPUTED_VALUE"""),146.0)</f>
        <v>146</v>
      </c>
      <c r="H145" s="82">
        <f>IFERROR(__xludf.DUMMYFUNCTION("""COMPUTED_VALUE"""),1291.0)</f>
        <v>1291</v>
      </c>
      <c r="I145" s="82">
        <f>IFERROR(__xludf.DUMMYFUNCTION("""COMPUTED_VALUE"""),14216.0)</f>
        <v>14216</v>
      </c>
      <c r="J145" s="82">
        <f>IFERROR(__xludf.DUMMYFUNCTION("""COMPUTED_VALUE"""),15507.0)</f>
        <v>15507</v>
      </c>
      <c r="K145" s="234"/>
      <c r="L145" s="230"/>
      <c r="M145" s="235"/>
      <c r="N145" s="234"/>
      <c r="O145" s="230"/>
      <c r="P145" s="235"/>
      <c r="Q145" s="234"/>
      <c r="R145" s="230"/>
      <c r="S145" s="235"/>
      <c r="T145" s="234"/>
      <c r="U145" s="230"/>
      <c r="V145" s="235"/>
      <c r="W145" s="234"/>
      <c r="X145" s="230"/>
      <c r="Y145" s="235"/>
      <c r="Z145" s="234"/>
      <c r="AA145" s="230"/>
      <c r="AB145" s="235"/>
      <c r="AC145" s="234"/>
      <c r="AD145" s="230"/>
      <c r="AE145" s="235"/>
      <c r="AF145" s="234"/>
      <c r="AG145" s="230"/>
      <c r="AH145" s="235">
        <f>IFERROR(__xludf.DUMMYFUNCTION("""COMPUTED_VALUE"""),46.152008770232804)</f>
        <v>46.15200877</v>
      </c>
      <c r="AI145" s="234"/>
      <c r="AJ145" s="230"/>
      <c r="AK145" s="235"/>
      <c r="AL145" s="231"/>
      <c r="AM145" s="230"/>
      <c r="AN145" s="235"/>
      <c r="AO145" s="234"/>
      <c r="AP145" s="230"/>
      <c r="AQ145" s="235"/>
      <c r="AR145" s="234"/>
      <c r="AS145" s="230"/>
      <c r="AT145" s="235"/>
      <c r="AU145" s="234"/>
      <c r="AV145" s="230"/>
      <c r="AW145" s="235"/>
      <c r="AX145" s="234"/>
      <c r="AY145" s="230"/>
      <c r="AZ145" s="235"/>
      <c r="BA145" s="234"/>
      <c r="BB145" s="230"/>
      <c r="BC145" s="235"/>
      <c r="BD145" s="234"/>
      <c r="BE145" s="230"/>
      <c r="BF145" s="235"/>
      <c r="BG145" s="234"/>
      <c r="BH145" s="230"/>
      <c r="BI145" s="235"/>
      <c r="BJ145" s="234"/>
      <c r="BK145" s="230"/>
      <c r="BL145" s="235"/>
      <c r="BM145" s="234"/>
      <c r="BN145" s="230"/>
      <c r="BO145" s="235"/>
      <c r="BP145" s="234"/>
      <c r="BQ145" s="230"/>
      <c r="BR145" s="235">
        <f>IFERROR(__xludf.DUMMYFUNCTION("""COMPUTED_VALUE"""),46.10685554769024)</f>
        <v>46.10685555</v>
      </c>
      <c r="BS145" s="234"/>
      <c r="BT145" s="230"/>
      <c r="BU145" s="235"/>
      <c r="BV145" s="234"/>
      <c r="BW145" s="230"/>
      <c r="BX145" s="235"/>
      <c r="BY145" s="234"/>
      <c r="BZ145" s="230"/>
      <c r="CA145" s="235"/>
      <c r="CB145" s="234"/>
      <c r="CC145" s="230"/>
      <c r="CD145" s="235"/>
      <c r="CE145" s="234"/>
      <c r="CF145" s="230"/>
      <c r="CG145" s="235"/>
      <c r="CH145" s="234"/>
      <c r="CI145" s="230"/>
      <c r="CJ145" s="230"/>
      <c r="CK145" s="234"/>
      <c r="CL145" s="230"/>
      <c r="CM145" s="235"/>
      <c r="CN145" s="230"/>
      <c r="CO145" s="230"/>
      <c r="CP145" s="230"/>
      <c r="CQ145" s="234"/>
      <c r="CR145" s="230"/>
      <c r="CS145" s="230"/>
      <c r="CT145" s="234"/>
      <c r="CU145" s="230"/>
      <c r="CV145" s="230"/>
      <c r="CW145" s="234"/>
      <c r="CX145" s="230"/>
      <c r="CY145" s="235"/>
      <c r="CZ145" s="230"/>
      <c r="DA145" s="230"/>
      <c r="DB145" s="235">
        <f>IFERROR(__xludf.DUMMYFUNCTION("""COMPUTED_VALUE"""),48.419721871049305)</f>
        <v>48.41972187</v>
      </c>
      <c r="DC145" s="234"/>
      <c r="DD145" s="230"/>
      <c r="DE145" s="235"/>
      <c r="DF145" s="234"/>
      <c r="DG145" s="230"/>
      <c r="DH145" s="235"/>
      <c r="DI145" s="234"/>
      <c r="DJ145" s="230"/>
      <c r="DK145" s="235"/>
      <c r="DL145" s="317"/>
      <c r="DM145" s="318"/>
      <c r="DN145" s="282"/>
      <c r="DO145" s="96"/>
      <c r="DP145" s="96"/>
      <c r="DQ145" s="96"/>
      <c r="DR145" s="96"/>
      <c r="DS145" s="96"/>
      <c r="DT145" s="96"/>
      <c r="DU145" s="96"/>
    </row>
    <row r="146">
      <c r="B146" s="120" t="str">
        <f>IFERROR(__xludf.DUMMYFUNCTION("""COMPUTED_VALUE"""),"SJK7")</f>
        <v>SJK7</v>
      </c>
      <c r="C146" s="88" t="str">
        <f>IFERROR(__xludf.DUMMYFUNCTION("""COMPUTED_VALUE"""),"Party Hall")</f>
        <v>Party Hall</v>
      </c>
      <c r="D146" s="102">
        <f>IFERROR(__xludf.DUMMYFUNCTION("""COMPUTED_VALUE"""),21.0)</f>
        <v>21</v>
      </c>
      <c r="E146" s="82" t="b">
        <f>IFERROR(__xludf.DUMMYFUNCTION("""COMPUTED_VALUE"""),TRUE)</f>
        <v>1</v>
      </c>
      <c r="F146" s="82" t="str">
        <f>IFERROR(__xludf.DUMMYFUNCTION("""COMPUTED_VALUE"""),"Free Quests- EoR!A76:J87")</f>
        <v>Free Quests- EoR!A76:J87</v>
      </c>
      <c r="G146" s="82">
        <f>IFERROR(__xludf.DUMMYFUNCTION("""COMPUTED_VALUE"""),147.0)</f>
        <v>147</v>
      </c>
      <c r="H146" s="82">
        <f>IFERROR(__xludf.DUMMYFUNCTION("""COMPUTED_VALUE"""),54.0)</f>
        <v>54</v>
      </c>
      <c r="I146" s="82">
        <f>IFERROR(__xludf.DUMMYFUNCTION("""COMPUTED_VALUE"""),2804.0)</f>
        <v>2804</v>
      </c>
      <c r="J146" s="82">
        <f>IFERROR(__xludf.DUMMYFUNCTION("""COMPUTED_VALUE"""),2858.0)</f>
        <v>2858</v>
      </c>
      <c r="K146" s="234"/>
      <c r="L146" s="230"/>
      <c r="M146" s="235"/>
      <c r="N146" s="234"/>
      <c r="O146" s="230"/>
      <c r="P146" s="235"/>
      <c r="Q146" s="234"/>
      <c r="R146" s="230"/>
      <c r="S146" s="235"/>
      <c r="T146" s="234"/>
      <c r="U146" s="230"/>
      <c r="V146" s="235"/>
      <c r="W146" s="234"/>
      <c r="X146" s="230"/>
      <c r="Y146" s="235"/>
      <c r="Z146" s="234"/>
      <c r="AA146" s="230"/>
      <c r="AB146" s="235"/>
      <c r="AC146" s="234"/>
      <c r="AD146" s="230"/>
      <c r="AE146" s="235"/>
      <c r="AF146" s="234"/>
      <c r="AG146" s="230"/>
      <c r="AH146" s="235">
        <f>IFERROR(__xludf.DUMMYFUNCTION("""COMPUTED_VALUE"""),19.572708187543736)</f>
        <v>19.57270819</v>
      </c>
      <c r="AI146" s="234"/>
      <c r="AJ146" s="230"/>
      <c r="AK146" s="235"/>
      <c r="AL146" s="231"/>
      <c r="AM146" s="230"/>
      <c r="AN146" s="235"/>
      <c r="AO146" s="234"/>
      <c r="AP146" s="230"/>
      <c r="AQ146" s="235"/>
      <c r="AR146" s="234"/>
      <c r="AS146" s="230"/>
      <c r="AT146" s="235"/>
      <c r="AU146" s="234"/>
      <c r="AV146" s="230"/>
      <c r="AW146" s="235"/>
      <c r="AX146" s="234"/>
      <c r="AY146" s="230"/>
      <c r="AZ146" s="235">
        <f>IFERROR(__xludf.DUMMYFUNCTION("""COMPUTED_VALUE"""),28.430090972708186)</f>
        <v>28.43009097</v>
      </c>
      <c r="BA146" s="234"/>
      <c r="BB146" s="230"/>
      <c r="BC146" s="235">
        <f>IFERROR(__xludf.DUMMYFUNCTION("""COMPUTED_VALUE"""),28.808817354793558)</f>
        <v>28.80881735</v>
      </c>
      <c r="BD146" s="234"/>
      <c r="BE146" s="230"/>
      <c r="BF146" s="235"/>
      <c r="BG146" s="234"/>
      <c r="BH146" s="230"/>
      <c r="BI146" s="235"/>
      <c r="BJ146" s="234"/>
      <c r="BK146" s="230"/>
      <c r="BL146" s="235"/>
      <c r="BM146" s="234"/>
      <c r="BN146" s="230">
        <f>IFERROR(__xludf.DUMMYFUNCTION("""COMPUTED_VALUE"""),10.805878236529042)</f>
        <v>10.80587824</v>
      </c>
      <c r="BO146" s="235"/>
      <c r="BP146" s="234"/>
      <c r="BQ146" s="230"/>
      <c r="BR146" s="235">
        <f>IFERROR(__xludf.DUMMYFUNCTION("""COMPUTED_VALUE"""),14.877116864940517)</f>
        <v>14.87711686</v>
      </c>
      <c r="BS146" s="234"/>
      <c r="BT146" s="230"/>
      <c r="BU146" s="235">
        <f>IFERROR(__xludf.DUMMYFUNCTION("""COMPUTED_VALUE"""),14.765290412876139)</f>
        <v>14.76529041</v>
      </c>
      <c r="BV146" s="234"/>
      <c r="BW146" s="230"/>
      <c r="BX146" s="235"/>
      <c r="BY146" s="234"/>
      <c r="BZ146" s="230"/>
      <c r="CA146" s="235"/>
      <c r="CB146" s="234"/>
      <c r="CC146" s="230"/>
      <c r="CD146" s="235"/>
      <c r="CE146" s="234"/>
      <c r="CF146" s="230"/>
      <c r="CG146" s="235"/>
      <c r="CH146" s="234"/>
      <c r="CI146" s="230"/>
      <c r="CJ146" s="230"/>
      <c r="CK146" s="234"/>
      <c r="CL146" s="230"/>
      <c r="CM146" s="235"/>
      <c r="CN146" s="230"/>
      <c r="CO146" s="230"/>
      <c r="CP146" s="230"/>
      <c r="CQ146" s="234"/>
      <c r="CR146" s="230"/>
      <c r="CS146" s="230"/>
      <c r="CT146" s="234"/>
      <c r="CU146" s="230"/>
      <c r="CV146" s="230"/>
      <c r="CW146" s="234"/>
      <c r="CX146" s="230">
        <f>IFERROR(__xludf.DUMMYFUNCTION("""COMPUTED_VALUE"""),27.083333333333332)</f>
        <v>27.08333333</v>
      </c>
      <c r="CY146" s="235"/>
      <c r="CZ146" s="230"/>
      <c r="DA146" s="230"/>
      <c r="DB146" s="235">
        <f>IFERROR(__xludf.DUMMYFUNCTION("""COMPUTED_VALUE"""),47.91666666666667)</f>
        <v>47.91666667</v>
      </c>
      <c r="DC146" s="234"/>
      <c r="DD146" s="230"/>
      <c r="DE146" s="235"/>
      <c r="DF146" s="234"/>
      <c r="DG146" s="230"/>
      <c r="DH146" s="235"/>
      <c r="DI146" s="234"/>
      <c r="DJ146" s="230"/>
      <c r="DK146" s="235"/>
      <c r="DL146" s="319"/>
      <c r="DM146" s="320"/>
      <c r="DN146" s="321"/>
      <c r="DO146" s="96"/>
      <c r="DP146" s="96"/>
      <c r="DQ146" s="96"/>
      <c r="DR146" s="96"/>
      <c r="DS146" s="96"/>
      <c r="DT146" s="96"/>
      <c r="DU146" s="96"/>
    </row>
    <row r="147">
      <c r="B147" s="120" t="str">
        <f>IFERROR(__xludf.DUMMYFUNCTION("""COMPUTED_VALUE"""),"SJK8")</f>
        <v>SJK8</v>
      </c>
      <c r="C147" s="88" t="str">
        <f>IFERROR(__xludf.DUMMYFUNCTION("""COMPUTED_VALUE"""),"Tower - Top Floor")</f>
        <v>Tower - Top Floor</v>
      </c>
      <c r="D147" s="102">
        <f>IFERROR(__xludf.DUMMYFUNCTION("""COMPUTED_VALUE"""),21.0)</f>
        <v>21</v>
      </c>
      <c r="E147" s="82" t="b">
        <f>IFERROR(__xludf.DUMMYFUNCTION("""COMPUTED_VALUE"""),TRUE)</f>
        <v>1</v>
      </c>
      <c r="F147" s="82" t="str">
        <f>IFERROR(__xludf.DUMMYFUNCTION("""COMPUTED_VALUE"""),"Free Quests- EoR!A91:J99")</f>
        <v>Free Quests- EoR!A91:J99</v>
      </c>
      <c r="G147" s="82">
        <f>IFERROR(__xludf.DUMMYFUNCTION("""COMPUTED_VALUE"""),148.0)</f>
        <v>148</v>
      </c>
      <c r="H147" s="82">
        <f>IFERROR(__xludf.DUMMYFUNCTION("""COMPUTED_VALUE"""),127.0)</f>
        <v>127</v>
      </c>
      <c r="I147" s="82">
        <f>IFERROR(__xludf.DUMMYFUNCTION("""COMPUTED_VALUE"""),13982.0)</f>
        <v>13982</v>
      </c>
      <c r="J147" s="82">
        <f>IFERROR(__xludf.DUMMYFUNCTION("""COMPUTED_VALUE"""),14109.0)</f>
        <v>14109</v>
      </c>
      <c r="K147" s="234"/>
      <c r="L147" s="230"/>
      <c r="M147" s="235"/>
      <c r="N147" s="234">
        <f>IFERROR(__xludf.DUMMYFUNCTION("""COMPUTED_VALUE"""),11.665560989439365)</f>
        <v>11.66556099</v>
      </c>
      <c r="O147" s="230"/>
      <c r="P147" s="235"/>
      <c r="Q147" s="234"/>
      <c r="R147" s="230"/>
      <c r="S147" s="235"/>
      <c r="T147" s="234"/>
      <c r="U147" s="230"/>
      <c r="V147" s="235"/>
      <c r="W147" s="234"/>
      <c r="X147" s="230"/>
      <c r="Y147" s="235"/>
      <c r="Z147" s="234"/>
      <c r="AA147" s="230"/>
      <c r="AB147" s="235"/>
      <c r="AC147" s="234"/>
      <c r="AD147" s="230"/>
      <c r="AE147" s="235"/>
      <c r="AF147" s="234"/>
      <c r="AG147" s="230"/>
      <c r="AH147" s="235">
        <f>IFERROR(__xludf.DUMMYFUNCTION("""COMPUTED_VALUE"""),20.627202494861436)</f>
        <v>20.62720249</v>
      </c>
      <c r="AI147" s="234"/>
      <c r="AJ147" s="230"/>
      <c r="AK147" s="235"/>
      <c r="AL147" s="231"/>
      <c r="AM147" s="230"/>
      <c r="AN147" s="235"/>
      <c r="AO147" s="234"/>
      <c r="AP147" s="230"/>
      <c r="AQ147" s="235"/>
      <c r="AR147" s="234"/>
      <c r="AS147" s="230"/>
      <c r="AT147" s="235"/>
      <c r="AU147" s="234"/>
      <c r="AV147" s="230"/>
      <c r="AW147" s="235"/>
      <c r="AX147" s="234"/>
      <c r="AY147" s="230"/>
      <c r="AZ147" s="235"/>
      <c r="BA147" s="234"/>
      <c r="BB147" s="230"/>
      <c r="BC147" s="235"/>
      <c r="BD147" s="234"/>
      <c r="BE147" s="230"/>
      <c r="BF147" s="235">
        <f>IFERROR(__xludf.DUMMYFUNCTION("""COMPUTED_VALUE"""),4.190770047712425)</f>
        <v>4.190770048</v>
      </c>
      <c r="BG147" s="234"/>
      <c r="BH147" s="230"/>
      <c r="BI147" s="235"/>
      <c r="BJ147" s="234"/>
      <c r="BK147" s="230"/>
      <c r="BL147" s="235"/>
      <c r="BM147" s="234"/>
      <c r="BN147" s="230"/>
      <c r="BO147" s="235"/>
      <c r="BP147" s="234"/>
      <c r="BQ147" s="230"/>
      <c r="BR147" s="235">
        <f>IFERROR(__xludf.DUMMYFUNCTION("""COMPUTED_VALUE"""),26.51864564664905)</f>
        <v>26.51864565</v>
      </c>
      <c r="BS147" s="234"/>
      <c r="BT147" s="230"/>
      <c r="BU147" s="235"/>
      <c r="BV147" s="234"/>
      <c r="BW147" s="230"/>
      <c r="BX147" s="235"/>
      <c r="BY147" s="234"/>
      <c r="BZ147" s="230"/>
      <c r="CA147" s="235"/>
      <c r="CB147" s="234"/>
      <c r="CC147" s="230"/>
      <c r="CD147" s="235"/>
      <c r="CE147" s="234"/>
      <c r="CF147" s="230"/>
      <c r="CG147" s="235"/>
      <c r="CH147" s="234"/>
      <c r="CI147" s="230"/>
      <c r="CJ147" s="230"/>
      <c r="CK147" s="234"/>
      <c r="CL147" s="230"/>
      <c r="CM147" s="235"/>
      <c r="CN147" s="230"/>
      <c r="CO147" s="230">
        <f>IFERROR(__xludf.DUMMYFUNCTION("""COMPUTED_VALUE"""),4.815338880158948)</f>
        <v>4.81533888</v>
      </c>
      <c r="CP147" s="230"/>
      <c r="CQ147" s="234"/>
      <c r="CR147" s="230"/>
      <c r="CS147" s="230"/>
      <c r="CT147" s="234"/>
      <c r="CU147" s="230"/>
      <c r="CV147" s="230"/>
      <c r="CW147" s="234"/>
      <c r="CX147" s="230"/>
      <c r="CY147" s="235"/>
      <c r="CZ147" s="230"/>
      <c r="DA147" s="230"/>
      <c r="DB147" s="235">
        <f>IFERROR(__xludf.DUMMYFUNCTION("""COMPUTED_VALUE"""),25.833333333333336)</f>
        <v>25.83333333</v>
      </c>
      <c r="DC147" s="234"/>
      <c r="DD147" s="230"/>
      <c r="DE147" s="235"/>
      <c r="DF147" s="234"/>
      <c r="DG147" s="230"/>
      <c r="DH147" s="235"/>
      <c r="DI147" s="234"/>
      <c r="DJ147" s="230"/>
      <c r="DK147" s="235"/>
      <c r="DL147" s="317"/>
      <c r="DM147" s="318"/>
      <c r="DN147" s="282"/>
      <c r="DO147" s="96"/>
      <c r="DP147" s="96"/>
      <c r="DQ147" s="96"/>
      <c r="DR147" s="96"/>
      <c r="DS147" s="96"/>
      <c r="DT147" s="96"/>
      <c r="DU147" s="96"/>
    </row>
    <row r="148">
      <c r="B148" s="120" t="str">
        <f>IFERROR(__xludf.DUMMYFUNCTION("""COMPUTED_VALUE"""),"SJK9")</f>
        <v>SJK9</v>
      </c>
      <c r="C148" s="88" t="str">
        <f>IFERROR(__xludf.DUMMYFUNCTION("""COMPUTED_VALUE"""),"Shinjuku Gyoen")</f>
        <v>Shinjuku Gyoen</v>
      </c>
      <c r="D148" s="102">
        <f>IFERROR(__xludf.DUMMYFUNCTION("""COMPUTED_VALUE"""),21.0)</f>
        <v>21</v>
      </c>
      <c r="E148" s="82" t="b">
        <f>IFERROR(__xludf.DUMMYFUNCTION("""COMPUTED_VALUE"""),TRUE)</f>
        <v>1</v>
      </c>
      <c r="F148" s="82" t="str">
        <f>IFERROR(__xludf.DUMMYFUNCTION("""COMPUTED_VALUE"""),"Free Quests- EoR!A103:J112")</f>
        <v>Free Quests- EoR!A103:J112</v>
      </c>
      <c r="G148" s="82">
        <f>IFERROR(__xludf.DUMMYFUNCTION("""COMPUTED_VALUE"""),149.0)</f>
        <v>149</v>
      </c>
      <c r="H148" s="82">
        <f>IFERROR(__xludf.DUMMYFUNCTION("""COMPUTED_VALUE"""),2872.0)</f>
        <v>2872</v>
      </c>
      <c r="I148" s="82">
        <f>IFERROR(__xludf.DUMMYFUNCTION("""COMPUTED_VALUE"""),59275.0)</f>
        <v>59275</v>
      </c>
      <c r="J148" s="82">
        <f>IFERROR(__xludf.DUMMYFUNCTION("""COMPUTED_VALUE"""),62147.0)</f>
        <v>62147</v>
      </c>
      <c r="K148" s="234"/>
      <c r="L148" s="230">
        <f>IFERROR(__xludf.DUMMYFUNCTION("""COMPUTED_VALUE"""),11.98127021416963)</f>
        <v>11.98127021</v>
      </c>
      <c r="M148" s="235"/>
      <c r="N148" s="234"/>
      <c r="O148" s="230"/>
      <c r="P148" s="235"/>
      <c r="Q148" s="234"/>
      <c r="R148" s="230"/>
      <c r="S148" s="235"/>
      <c r="T148" s="234"/>
      <c r="U148" s="230"/>
      <c r="V148" s="235"/>
      <c r="W148" s="234"/>
      <c r="X148" s="230"/>
      <c r="Y148" s="235"/>
      <c r="Z148" s="234"/>
      <c r="AA148" s="230"/>
      <c r="AB148" s="235"/>
      <c r="AC148" s="234"/>
      <c r="AD148" s="230"/>
      <c r="AE148" s="235"/>
      <c r="AF148" s="234"/>
      <c r="AG148" s="230"/>
      <c r="AH148" s="235"/>
      <c r="AI148" s="234"/>
      <c r="AJ148" s="230"/>
      <c r="AK148" s="235"/>
      <c r="AL148" s="231"/>
      <c r="AM148" s="230"/>
      <c r="AN148" s="235"/>
      <c r="AO148" s="234"/>
      <c r="AP148" s="230"/>
      <c r="AQ148" s="235"/>
      <c r="AR148" s="234"/>
      <c r="AS148" s="230"/>
      <c r="AT148" s="235"/>
      <c r="AU148" s="234"/>
      <c r="AV148" s="230"/>
      <c r="AW148" s="235"/>
      <c r="AX148" s="234"/>
      <c r="AY148" s="230"/>
      <c r="AZ148" s="235"/>
      <c r="BA148" s="234"/>
      <c r="BB148" s="230"/>
      <c r="BC148" s="235">
        <f>IFERROR(__xludf.DUMMYFUNCTION("""COMPUTED_VALUE"""),30.250937293835584)</f>
        <v>30.25093729</v>
      </c>
      <c r="BD148" s="234"/>
      <c r="BE148" s="230"/>
      <c r="BF148" s="235"/>
      <c r="BG148" s="234"/>
      <c r="BH148" s="230"/>
      <c r="BI148" s="235"/>
      <c r="BJ148" s="234">
        <f>IFERROR(__xludf.DUMMYFUNCTION("""COMPUTED_VALUE"""),4.462576080497967)</f>
        <v>4.46257608</v>
      </c>
      <c r="BK148" s="230"/>
      <c r="BL148" s="235"/>
      <c r="BM148" s="234"/>
      <c r="BN148" s="230"/>
      <c r="BO148" s="235"/>
      <c r="BP148" s="234"/>
      <c r="BQ148" s="230"/>
      <c r="BR148" s="235"/>
      <c r="BS148" s="234"/>
      <c r="BT148" s="230"/>
      <c r="BU148" s="235"/>
      <c r="BV148" s="234"/>
      <c r="BW148" s="230"/>
      <c r="BX148" s="235">
        <f>IFERROR(__xludf.DUMMYFUNCTION("""COMPUTED_VALUE"""),38.80087683931974)</f>
        <v>38.80087684</v>
      </c>
      <c r="BY148" s="234"/>
      <c r="BZ148" s="230"/>
      <c r="CA148" s="235"/>
      <c r="CB148" s="234"/>
      <c r="CC148" s="230"/>
      <c r="CD148" s="235"/>
      <c r="CE148" s="234"/>
      <c r="CF148" s="230"/>
      <c r="CG148" s="235"/>
      <c r="CH148" s="234"/>
      <c r="CI148" s="230"/>
      <c r="CJ148" s="230"/>
      <c r="CK148" s="234"/>
      <c r="CL148" s="230"/>
      <c r="CM148" s="235"/>
      <c r="CN148" s="230"/>
      <c r="CO148" s="230"/>
      <c r="CP148" s="230"/>
      <c r="CQ148" s="234"/>
      <c r="CR148" s="230"/>
      <c r="CS148" s="230">
        <f>IFERROR(__xludf.DUMMYFUNCTION("""COMPUTED_VALUE"""),5.012531328320802)</f>
        <v>5.012531328</v>
      </c>
      <c r="CT148" s="234"/>
      <c r="CU148" s="230"/>
      <c r="CV148" s="230"/>
      <c r="CW148" s="234"/>
      <c r="CX148" s="230"/>
      <c r="CY148" s="235"/>
      <c r="CZ148" s="230"/>
      <c r="DA148" s="230">
        <f>IFERROR(__xludf.DUMMYFUNCTION("""COMPUTED_VALUE"""),9.774436090225564)</f>
        <v>9.77443609</v>
      </c>
      <c r="DB148" s="235"/>
      <c r="DC148" s="234"/>
      <c r="DD148" s="230"/>
      <c r="DE148" s="235"/>
      <c r="DF148" s="234"/>
      <c r="DG148" s="230"/>
      <c r="DH148" s="235"/>
      <c r="DI148" s="234">
        <f>IFERROR(__xludf.DUMMYFUNCTION("""COMPUTED_VALUE"""),13.884711779448622)</f>
        <v>13.88471178</v>
      </c>
      <c r="DJ148" s="230"/>
      <c r="DK148" s="235"/>
      <c r="DL148" s="319"/>
      <c r="DM148" s="320"/>
      <c r="DN148" s="321"/>
      <c r="DO148" s="96"/>
      <c r="DP148" s="96"/>
      <c r="DQ148" s="96"/>
      <c r="DR148" s="96"/>
      <c r="DS148" s="96"/>
      <c r="DT148" s="96"/>
      <c r="DU148" s="96"/>
    </row>
    <row r="149">
      <c r="B149" s="120" t="str">
        <f>IFERROR(__xludf.DUMMYFUNCTION("""COMPUTED_VALUE"""),"SJK10")</f>
        <v>SJK10</v>
      </c>
      <c r="C149" s="88" t="str">
        <f>IFERROR(__xludf.DUMMYFUNCTION("""COMPUTED_VALUE"""),"Shinjuku 2-chome")</f>
        <v>Shinjuku 2-chome</v>
      </c>
      <c r="D149" s="102">
        <f>IFERROR(__xludf.DUMMYFUNCTION("""COMPUTED_VALUE"""),21.0)</f>
        <v>21</v>
      </c>
      <c r="E149" s="82" t="b">
        <f>IFERROR(__xludf.DUMMYFUNCTION("""COMPUTED_VALUE"""),TRUE)</f>
        <v>1</v>
      </c>
      <c r="F149" s="82" t="str">
        <f>IFERROR(__xludf.DUMMYFUNCTION("""COMPUTED_VALUE"""),"Free Quests- EoR!A116:J130")</f>
        <v>Free Quests- EoR!A116:J130</v>
      </c>
      <c r="G149" s="82">
        <f>IFERROR(__xludf.DUMMYFUNCTION("""COMPUTED_VALUE"""),150.0)</f>
        <v>150</v>
      </c>
      <c r="H149" s="82">
        <f>IFERROR(__xludf.DUMMYFUNCTION("""COMPUTED_VALUE"""),2027.0)</f>
        <v>2027</v>
      </c>
      <c r="I149" s="82">
        <f>IFERROR(__xludf.DUMMYFUNCTION("""COMPUTED_VALUE"""),70270.0)</f>
        <v>70270</v>
      </c>
      <c r="J149" s="82">
        <f>IFERROR(__xludf.DUMMYFUNCTION("""COMPUTED_VALUE"""),72297.0)</f>
        <v>72297</v>
      </c>
      <c r="K149" s="234"/>
      <c r="L149" s="230"/>
      <c r="M149" s="235"/>
      <c r="N149" s="234"/>
      <c r="O149" s="230"/>
      <c r="P149" s="235">
        <f>IFERROR(__xludf.DUMMYFUNCTION("""COMPUTED_VALUE"""),18.133619639978832)</f>
        <v>18.13361964</v>
      </c>
      <c r="Q149" s="234"/>
      <c r="R149" s="230"/>
      <c r="S149" s="235"/>
      <c r="T149" s="234"/>
      <c r="U149" s="230"/>
      <c r="V149" s="235"/>
      <c r="W149" s="234"/>
      <c r="X149" s="230"/>
      <c r="Y149" s="235"/>
      <c r="Z149" s="234"/>
      <c r="AA149" s="230"/>
      <c r="AB149" s="235"/>
      <c r="AC149" s="234"/>
      <c r="AD149" s="230"/>
      <c r="AE149" s="235"/>
      <c r="AF149" s="234"/>
      <c r="AG149" s="230"/>
      <c r="AH149" s="235"/>
      <c r="AI149" s="234">
        <f>IFERROR(__xludf.DUMMYFUNCTION("""COMPUTED_VALUE"""),30.216385188873673)</f>
        <v>30.21638519</v>
      </c>
      <c r="AJ149" s="230"/>
      <c r="AK149" s="235"/>
      <c r="AL149" s="231"/>
      <c r="AM149" s="230"/>
      <c r="AN149" s="235"/>
      <c r="AO149" s="234"/>
      <c r="AP149" s="230"/>
      <c r="AQ149" s="235"/>
      <c r="AR149" s="234"/>
      <c r="AS149" s="230"/>
      <c r="AT149" s="235"/>
      <c r="AU149" s="234"/>
      <c r="AV149" s="230"/>
      <c r="AW149" s="235"/>
      <c r="AX149" s="234"/>
      <c r="AY149" s="230"/>
      <c r="AZ149" s="235"/>
      <c r="BA149" s="234"/>
      <c r="BB149" s="230"/>
      <c r="BC149" s="235"/>
      <c r="BD149" s="234"/>
      <c r="BE149" s="230"/>
      <c r="BF149" s="235"/>
      <c r="BG149" s="234"/>
      <c r="BH149" s="230"/>
      <c r="BI149" s="235"/>
      <c r="BJ149" s="234">
        <f>IFERROR(__xludf.DUMMYFUNCTION("""COMPUTED_VALUE"""),3.2997385935362757)</f>
        <v>3.299738594</v>
      </c>
      <c r="BK149" s="230"/>
      <c r="BL149" s="235"/>
      <c r="BM149" s="234"/>
      <c r="BN149" s="230">
        <f>IFERROR(__xludf.DUMMYFUNCTION("""COMPUTED_VALUE"""),8.20587395700839)</f>
        <v>8.205873957</v>
      </c>
      <c r="BO149" s="235"/>
      <c r="BP149" s="234"/>
      <c r="BQ149" s="230">
        <f>IFERROR(__xludf.DUMMYFUNCTION("""COMPUTED_VALUE"""),19.571576745552193)</f>
        <v>19.57157675</v>
      </c>
      <c r="BR149" s="235"/>
      <c r="BS149" s="234"/>
      <c r="BT149" s="230"/>
      <c r="BU149" s="235"/>
      <c r="BV149" s="234"/>
      <c r="BW149" s="230"/>
      <c r="BX149" s="235">
        <f>IFERROR(__xludf.DUMMYFUNCTION("""COMPUTED_VALUE"""),8.391480686479188)</f>
        <v>8.391480686</v>
      </c>
      <c r="BY149" s="234"/>
      <c r="BZ149" s="230"/>
      <c r="CA149" s="235"/>
      <c r="CB149" s="234"/>
      <c r="CC149" s="230"/>
      <c r="CD149" s="235"/>
      <c r="CE149" s="234"/>
      <c r="CF149" s="230"/>
      <c r="CG149" s="235"/>
      <c r="CH149" s="234"/>
      <c r="CI149" s="230"/>
      <c r="CJ149" s="230"/>
      <c r="CK149" s="234"/>
      <c r="CL149" s="230"/>
      <c r="CM149" s="235"/>
      <c r="CN149" s="230"/>
      <c r="CO149" s="230"/>
      <c r="CP149" s="230">
        <f>IFERROR(__xludf.DUMMYFUNCTION("""COMPUTED_VALUE"""),4.343160799899927)</f>
        <v>4.3431608</v>
      </c>
      <c r="CQ149" s="234"/>
      <c r="CR149" s="230"/>
      <c r="CS149" s="230"/>
      <c r="CT149" s="234"/>
      <c r="CU149" s="230"/>
      <c r="CV149" s="230"/>
      <c r="CW149" s="234"/>
      <c r="CX149" s="230"/>
      <c r="CY149" s="235"/>
      <c r="CZ149" s="230"/>
      <c r="DA149" s="230">
        <f>IFERROR(__xludf.DUMMYFUNCTION("""COMPUTED_VALUE"""),7.267709291628336)</f>
        <v>7.267709292</v>
      </c>
      <c r="DB149" s="235"/>
      <c r="DC149" s="234"/>
      <c r="DD149" s="230"/>
      <c r="DE149" s="235"/>
      <c r="DF149" s="234"/>
      <c r="DG149" s="230"/>
      <c r="DH149" s="235"/>
      <c r="DI149" s="234">
        <f>IFERROR(__xludf.DUMMYFUNCTION("""COMPUTED_VALUE"""),19.779208831646734)</f>
        <v>19.77920883</v>
      </c>
      <c r="DJ149" s="230"/>
      <c r="DK149" s="235"/>
      <c r="DL149" s="317"/>
      <c r="DM149" s="318"/>
      <c r="DN149" s="282"/>
      <c r="DO149" s="96"/>
      <c r="DP149" s="96"/>
      <c r="DQ149" s="96">
        <f>IFERROR(__xludf.DUMMYFUNCTION("""COMPUTED_VALUE"""),4.507819687212511)</f>
        <v>4.507819687</v>
      </c>
      <c r="DR149" s="96"/>
      <c r="DS149" s="96"/>
      <c r="DT149" s="96"/>
      <c r="DU149" s="96"/>
    </row>
    <row r="150">
      <c r="A150" s="152" t="str">
        <f>IFERROR(__xludf.DUMMYFUNCTION("""COMPUTED_VALUE"""),"AGARTHA")</f>
        <v>AGARTHA</v>
      </c>
      <c r="B150" s="120" t="str">
        <f>IFERROR(__xludf.DUMMYFUNCTION("""COMPUTED_VALUE"""),"AGT1")</f>
        <v>AGT1</v>
      </c>
      <c r="C150" s="88" t="str">
        <f>IFERROR(__xludf.DUMMYFUNCTION("""COMPUTED_VALUE"""),"Underground Plains")</f>
        <v>Underground Plains</v>
      </c>
      <c r="D150" s="102">
        <f>IFERROR(__xludf.DUMMYFUNCTION("""COMPUTED_VALUE"""),20.0)</f>
        <v>20</v>
      </c>
      <c r="E150" s="82" t="b">
        <f>IFERROR(__xludf.DUMMYFUNCTION("""COMPUTED_VALUE"""),TRUE)</f>
        <v>1</v>
      </c>
      <c r="F150" s="82" t="str">
        <f>IFERROR(__xludf.DUMMYFUNCTION("""COMPUTED_VALUE"""),"Free Quests- EoR!A136:J145")</f>
        <v>Free Quests- EoR!A136:J145</v>
      </c>
      <c r="G150" s="82">
        <f>IFERROR(__xludf.DUMMYFUNCTION("""COMPUTED_VALUE"""),151.0)</f>
        <v>151</v>
      </c>
      <c r="H150" s="82">
        <f>IFERROR(__xludf.DUMMYFUNCTION("""COMPUTED_VALUE"""),642.0)</f>
        <v>642</v>
      </c>
      <c r="I150" s="82">
        <f>IFERROR(__xludf.DUMMYFUNCTION("""COMPUTED_VALUE"""),26340.0)</f>
        <v>26340</v>
      </c>
      <c r="J150" s="82">
        <f>IFERROR(__xludf.DUMMYFUNCTION("""COMPUTED_VALUE"""),26982.0)</f>
        <v>26982</v>
      </c>
      <c r="K150" s="234">
        <f>IFERROR(__xludf.DUMMYFUNCTION("""COMPUTED_VALUE"""),20.479208263509005)</f>
        <v>20.47920826</v>
      </c>
      <c r="L150" s="230"/>
      <c r="M150" s="235"/>
      <c r="N150" s="234"/>
      <c r="O150" s="230"/>
      <c r="P150" s="235"/>
      <c r="Q150" s="234"/>
      <c r="R150" s="230"/>
      <c r="S150" s="235"/>
      <c r="T150" s="234"/>
      <c r="U150" s="230"/>
      <c r="V150" s="235"/>
      <c r="W150" s="234"/>
      <c r="X150" s="230"/>
      <c r="Y150" s="235"/>
      <c r="Z150" s="234"/>
      <c r="AA150" s="230"/>
      <c r="AB150" s="235"/>
      <c r="AC150" s="234"/>
      <c r="AD150" s="230"/>
      <c r="AE150" s="235"/>
      <c r="AF150" s="234"/>
      <c r="AG150" s="230"/>
      <c r="AH150" s="235"/>
      <c r="AI150" s="234"/>
      <c r="AJ150" s="230"/>
      <c r="AK150" s="235"/>
      <c r="AL150" s="231"/>
      <c r="AM150" s="230"/>
      <c r="AN150" s="235"/>
      <c r="AO150" s="234"/>
      <c r="AP150" s="230"/>
      <c r="AQ150" s="235"/>
      <c r="AR150" s="234"/>
      <c r="AS150" s="230"/>
      <c r="AT150" s="235"/>
      <c r="AU150" s="234"/>
      <c r="AV150" s="230"/>
      <c r="AW150" s="235"/>
      <c r="AX150" s="234"/>
      <c r="AY150" s="230">
        <f>IFERROR(__xludf.DUMMYFUNCTION("""COMPUTED_VALUE"""),39.85123415610407)</f>
        <v>39.85123416</v>
      </c>
      <c r="AZ150" s="235"/>
      <c r="BA150" s="234"/>
      <c r="BB150" s="230"/>
      <c r="BC150" s="235"/>
      <c r="BD150" s="234"/>
      <c r="BE150" s="230"/>
      <c r="BF150" s="235"/>
      <c r="BG150" s="234"/>
      <c r="BH150" s="230"/>
      <c r="BI150" s="235"/>
      <c r="BJ150" s="234"/>
      <c r="BK150" s="230"/>
      <c r="BL150" s="235">
        <f>IFERROR(__xludf.DUMMYFUNCTION("""COMPUTED_VALUE"""),5.104662367504262)</f>
        <v>5.104662368</v>
      </c>
      <c r="BM150" s="234"/>
      <c r="BN150" s="230"/>
      <c r="BO150" s="235"/>
      <c r="BP150" s="234"/>
      <c r="BQ150" s="230"/>
      <c r="BR150" s="235"/>
      <c r="BS150" s="234"/>
      <c r="BT150" s="230"/>
      <c r="BU150" s="235"/>
      <c r="BV150" s="234"/>
      <c r="BW150" s="230">
        <f>IFERROR(__xludf.DUMMYFUNCTION("""COMPUTED_VALUE"""),29.56634621618174)</f>
        <v>29.56634622</v>
      </c>
      <c r="BX150" s="235"/>
      <c r="BY150" s="234"/>
      <c r="BZ150" s="230"/>
      <c r="CA150" s="235"/>
      <c r="CB150" s="234"/>
      <c r="CC150" s="230"/>
      <c r="CD150" s="235"/>
      <c r="CE150" s="234"/>
      <c r="CF150" s="230"/>
      <c r="CG150" s="235"/>
      <c r="CH150" s="234"/>
      <c r="CI150" s="230"/>
      <c r="CJ150" s="230"/>
      <c r="CK150" s="234"/>
      <c r="CL150" s="230"/>
      <c r="CM150" s="235"/>
      <c r="CN150" s="230"/>
      <c r="CO150" s="230"/>
      <c r="CP150" s="230"/>
      <c r="CQ150" s="234"/>
      <c r="CR150" s="230"/>
      <c r="CS150" s="230"/>
      <c r="CT150" s="234"/>
      <c r="CU150" s="230">
        <f>IFERROR(__xludf.DUMMYFUNCTION("""COMPUTED_VALUE"""),5.072463768115942)</f>
        <v>5.072463768</v>
      </c>
      <c r="CV150" s="230"/>
      <c r="CW150" s="234"/>
      <c r="CX150" s="230"/>
      <c r="CY150" s="235"/>
      <c r="CZ150" s="230"/>
      <c r="DA150" s="230"/>
      <c r="DB150" s="235"/>
      <c r="DC150" s="234"/>
      <c r="DD150" s="230"/>
      <c r="DE150" s="235"/>
      <c r="DF150" s="234"/>
      <c r="DG150" s="230"/>
      <c r="DH150" s="235"/>
      <c r="DI150" s="234"/>
      <c r="DJ150" s="230"/>
      <c r="DK150" s="235"/>
      <c r="DL150" s="322"/>
      <c r="DM150" s="323"/>
      <c r="DN150" s="324"/>
      <c r="DO150" s="96"/>
      <c r="DP150" s="96">
        <f>IFERROR(__xludf.DUMMYFUNCTION("""COMPUTED_VALUE"""),29.205607476635514)</f>
        <v>29.20560748</v>
      </c>
      <c r="DQ150" s="96"/>
      <c r="DR150" s="96"/>
      <c r="DS150" s="96"/>
      <c r="DT150" s="96"/>
      <c r="DU150" s="96"/>
    </row>
    <row r="151">
      <c r="B151" s="120" t="str">
        <f>IFERROR(__xludf.DUMMYFUNCTION("""COMPUTED_VALUE"""),"AGT2")</f>
        <v>AGT2</v>
      </c>
      <c r="C151" s="88" t="str">
        <f>IFERROR(__xludf.DUMMYFUNCTION("""COMPUTED_VALUE"""),"Camping Ground")</f>
        <v>Camping Ground</v>
      </c>
      <c r="D151" s="102">
        <f>IFERROR(__xludf.DUMMYFUNCTION("""COMPUTED_VALUE"""),20.0)</f>
        <v>20</v>
      </c>
      <c r="E151" s="82" t="b">
        <f>IFERROR(__xludf.DUMMYFUNCTION("""COMPUTED_VALUE"""),TRUE)</f>
        <v>1</v>
      </c>
      <c r="F151" s="82" t="str">
        <f>IFERROR(__xludf.DUMMYFUNCTION("""COMPUTED_VALUE"""),"Free Quests- EoR!A149:J161")</f>
        <v>Free Quests- EoR!A149:J161</v>
      </c>
      <c r="G151" s="82">
        <f>IFERROR(__xludf.DUMMYFUNCTION("""COMPUTED_VALUE"""),152.0)</f>
        <v>152</v>
      </c>
      <c r="H151" s="82">
        <f>IFERROR(__xludf.DUMMYFUNCTION("""COMPUTED_VALUE"""),161.0)</f>
        <v>161</v>
      </c>
      <c r="I151" s="82">
        <f>IFERROR(__xludf.DUMMYFUNCTION("""COMPUTED_VALUE"""),2303.0)</f>
        <v>2303</v>
      </c>
      <c r="J151" s="82">
        <f>IFERROR(__xludf.DUMMYFUNCTION("""COMPUTED_VALUE"""),2464.0)</f>
        <v>2464</v>
      </c>
      <c r="K151" s="234"/>
      <c r="L151" s="230"/>
      <c r="M151" s="235"/>
      <c r="N151" s="234"/>
      <c r="O151" s="230">
        <f>IFERROR(__xludf.DUMMYFUNCTION("""COMPUTED_VALUE"""),21.430762987012987)</f>
        <v>21.43076299</v>
      </c>
      <c r="P151" s="235"/>
      <c r="Q151" s="234"/>
      <c r="R151" s="230"/>
      <c r="S151" s="235"/>
      <c r="T151" s="234"/>
      <c r="U151" s="230"/>
      <c r="V151" s="235"/>
      <c r="W151" s="234"/>
      <c r="X151" s="230"/>
      <c r="Y151" s="235"/>
      <c r="Z151" s="234"/>
      <c r="AA151" s="230"/>
      <c r="AB151" s="235"/>
      <c r="AC151" s="234">
        <f>IFERROR(__xludf.DUMMYFUNCTION("""COMPUTED_VALUE"""),16.984983766233768)</f>
        <v>16.98498377</v>
      </c>
      <c r="AD151" s="230"/>
      <c r="AE151" s="235"/>
      <c r="AF151" s="234"/>
      <c r="AG151" s="230">
        <f>IFERROR(__xludf.DUMMYFUNCTION("""COMPUTED_VALUE"""),14.859862012987016)</f>
        <v>14.85986201</v>
      </c>
      <c r="AH151" s="235"/>
      <c r="AI151" s="234"/>
      <c r="AJ151" s="230"/>
      <c r="AK151" s="235"/>
      <c r="AL151" s="231"/>
      <c r="AM151" s="230"/>
      <c r="AN151" s="235"/>
      <c r="AO151" s="234"/>
      <c r="AP151" s="230"/>
      <c r="AQ151" s="235"/>
      <c r="AR151" s="234"/>
      <c r="AS151" s="230"/>
      <c r="AT151" s="235"/>
      <c r="AU151" s="234"/>
      <c r="AV151" s="230"/>
      <c r="AW151" s="235"/>
      <c r="AX151" s="234"/>
      <c r="AY151" s="230"/>
      <c r="AZ151" s="235"/>
      <c r="BA151" s="234"/>
      <c r="BB151" s="230"/>
      <c r="BC151" s="235"/>
      <c r="BD151" s="234"/>
      <c r="BE151" s="230"/>
      <c r="BF151" s="235"/>
      <c r="BG151" s="234"/>
      <c r="BH151" s="230"/>
      <c r="BI151" s="235"/>
      <c r="BJ151" s="234"/>
      <c r="BK151" s="230"/>
      <c r="BL151" s="235"/>
      <c r="BM151" s="234"/>
      <c r="BN151" s="230"/>
      <c r="BO151" s="235">
        <f>IFERROR(__xludf.DUMMYFUNCTION("""COMPUTED_VALUE"""),17.801582792207792)</f>
        <v>17.80158279</v>
      </c>
      <c r="BP151" s="234"/>
      <c r="BQ151" s="230"/>
      <c r="BR151" s="235"/>
      <c r="BS151" s="234"/>
      <c r="BT151" s="230"/>
      <c r="BU151" s="235"/>
      <c r="BV151" s="234">
        <f>IFERROR(__xludf.DUMMYFUNCTION("""COMPUTED_VALUE"""),41.3291801948052)</f>
        <v>41.32918019</v>
      </c>
      <c r="BW151" s="230"/>
      <c r="BX151" s="235"/>
      <c r="BY151" s="234"/>
      <c r="BZ151" s="230"/>
      <c r="CA151" s="235"/>
      <c r="CB151" s="234"/>
      <c r="CC151" s="230"/>
      <c r="CD151" s="235"/>
      <c r="CE151" s="234"/>
      <c r="CF151" s="230"/>
      <c r="CG151" s="235"/>
      <c r="CH151" s="234"/>
      <c r="CI151" s="230"/>
      <c r="CJ151" s="230"/>
      <c r="CK151" s="234"/>
      <c r="CL151" s="230"/>
      <c r="CM151" s="235"/>
      <c r="CN151" s="230"/>
      <c r="CO151" s="230"/>
      <c r="CP151" s="230"/>
      <c r="CQ151" s="234">
        <f>IFERROR(__xludf.DUMMYFUNCTION("""COMPUTED_VALUE"""),5.615340909090909)</f>
        <v>5.615340909</v>
      </c>
      <c r="CR151" s="230"/>
      <c r="CS151" s="230"/>
      <c r="CT151" s="234"/>
      <c r="CU151" s="230"/>
      <c r="CV151" s="230"/>
      <c r="CW151" s="234"/>
      <c r="CX151" s="230"/>
      <c r="CY151" s="235"/>
      <c r="CZ151" s="230"/>
      <c r="DA151" s="230"/>
      <c r="DB151" s="235"/>
      <c r="DC151" s="234"/>
      <c r="DD151" s="230"/>
      <c r="DE151" s="235"/>
      <c r="DF151" s="234"/>
      <c r="DG151" s="230">
        <f>IFERROR(__xludf.DUMMYFUNCTION("""COMPUTED_VALUE"""),11.612903225806452)</f>
        <v>11.61290323</v>
      </c>
      <c r="DH151" s="235"/>
      <c r="DI151" s="234"/>
      <c r="DJ151" s="230"/>
      <c r="DK151" s="235"/>
      <c r="DL151" s="317"/>
      <c r="DM151" s="318"/>
      <c r="DN151" s="282"/>
      <c r="DO151" s="96">
        <f>IFERROR(__xludf.DUMMYFUNCTION("""COMPUTED_VALUE"""),20.64516129032258)</f>
        <v>20.64516129</v>
      </c>
      <c r="DP151" s="96"/>
      <c r="DQ151" s="96"/>
      <c r="DR151" s="96"/>
      <c r="DS151" s="96"/>
      <c r="DT151" s="96"/>
      <c r="DU151" s="96"/>
    </row>
    <row r="152">
      <c r="B152" s="120" t="str">
        <f>IFERROR(__xludf.DUMMYFUNCTION("""COMPUTED_VALUE"""),"AGT3")</f>
        <v>AGT3</v>
      </c>
      <c r="C152" s="88" t="str">
        <f>IFERROR(__xludf.DUMMYFUNCTION("""COMPUTED_VALUE"""),"Riverside Town")</f>
        <v>Riverside Town</v>
      </c>
      <c r="D152" s="102">
        <f>IFERROR(__xludf.DUMMYFUNCTION("""COMPUTED_VALUE"""),20.0)</f>
        <v>20</v>
      </c>
      <c r="E152" s="82" t="b">
        <f>IFERROR(__xludf.DUMMYFUNCTION("""COMPUTED_VALUE"""),TRUE)</f>
        <v>1</v>
      </c>
      <c r="F152" s="82" t="str">
        <f>IFERROR(__xludf.DUMMYFUNCTION("""COMPUTED_VALUE"""),"Free Quests- EoR!A165:J177")</f>
        <v>Free Quests- EoR!A165:J177</v>
      </c>
      <c r="G152" s="82">
        <f>IFERROR(__xludf.DUMMYFUNCTION("""COMPUTED_VALUE"""),153.0)</f>
        <v>153</v>
      </c>
      <c r="H152" s="82">
        <f>IFERROR(__xludf.DUMMYFUNCTION("""COMPUTED_VALUE"""),469.0)</f>
        <v>469</v>
      </c>
      <c r="I152" s="82">
        <f>IFERROR(__xludf.DUMMYFUNCTION("""COMPUTED_VALUE"""),20334.0)</f>
        <v>20334</v>
      </c>
      <c r="J152" s="82">
        <f>IFERROR(__xludf.DUMMYFUNCTION("""COMPUTED_VALUE"""),20803.0)</f>
        <v>20803</v>
      </c>
      <c r="K152" s="234"/>
      <c r="L152" s="230"/>
      <c r="M152" s="235"/>
      <c r="N152" s="234"/>
      <c r="O152" s="230"/>
      <c r="P152" s="235"/>
      <c r="Q152" s="234"/>
      <c r="R152" s="230"/>
      <c r="S152" s="235"/>
      <c r="T152" s="234"/>
      <c r="U152" s="230"/>
      <c r="V152" s="235"/>
      <c r="W152" s="234"/>
      <c r="X152" s="230"/>
      <c r="Y152" s="235"/>
      <c r="Z152" s="234"/>
      <c r="AA152" s="230"/>
      <c r="AB152" s="235"/>
      <c r="AC152" s="234">
        <f>IFERROR(__xludf.DUMMYFUNCTION("""COMPUTED_VALUE"""),39.526010671537755)</f>
        <v>39.52601067</v>
      </c>
      <c r="AD152" s="230"/>
      <c r="AE152" s="235"/>
      <c r="AF152" s="234"/>
      <c r="AG152" s="230">
        <f>IFERROR(__xludf.DUMMYFUNCTION("""COMPUTED_VALUE"""),20.504109886391387)</f>
        <v>20.50410989</v>
      </c>
      <c r="AH152" s="235"/>
      <c r="AI152" s="234"/>
      <c r="AJ152" s="230"/>
      <c r="AK152" s="235"/>
      <c r="AL152" s="231"/>
      <c r="AM152" s="230"/>
      <c r="AN152" s="235"/>
      <c r="AO152" s="234"/>
      <c r="AP152" s="230"/>
      <c r="AQ152" s="235"/>
      <c r="AR152" s="234"/>
      <c r="AS152" s="230"/>
      <c r="AT152" s="235"/>
      <c r="AU152" s="234"/>
      <c r="AV152" s="230"/>
      <c r="AW152" s="235"/>
      <c r="AX152" s="234"/>
      <c r="AY152" s="230"/>
      <c r="AZ152" s="235"/>
      <c r="BA152" s="234"/>
      <c r="BB152" s="230"/>
      <c r="BC152" s="235"/>
      <c r="BD152" s="234"/>
      <c r="BE152" s="230"/>
      <c r="BF152" s="235">
        <f>IFERROR(__xludf.DUMMYFUNCTION("""COMPUTED_VALUE"""),3.419487573907609)</f>
        <v>3.419487574</v>
      </c>
      <c r="BG152" s="234"/>
      <c r="BH152" s="230"/>
      <c r="BI152" s="235"/>
      <c r="BJ152" s="234"/>
      <c r="BK152" s="230"/>
      <c r="BL152" s="235"/>
      <c r="BM152" s="234">
        <f>IFERROR(__xludf.DUMMYFUNCTION("""COMPUTED_VALUE"""),14.862116040955634)</f>
        <v>14.86211604</v>
      </c>
      <c r="BN152" s="230"/>
      <c r="BO152" s="235"/>
      <c r="BP152" s="234"/>
      <c r="BQ152" s="230"/>
      <c r="BR152" s="235"/>
      <c r="BS152" s="234"/>
      <c r="BT152" s="230">
        <f>IFERROR(__xludf.DUMMYFUNCTION("""COMPUTED_VALUE"""),39.10939768302649)</f>
        <v>39.10939768</v>
      </c>
      <c r="BU152" s="235"/>
      <c r="BV152" s="234"/>
      <c r="BW152" s="230"/>
      <c r="BX152" s="235"/>
      <c r="BY152" s="234"/>
      <c r="BZ152" s="230"/>
      <c r="CA152" s="235"/>
      <c r="CB152" s="234"/>
      <c r="CC152" s="230"/>
      <c r="CD152" s="235"/>
      <c r="CE152" s="234"/>
      <c r="CF152" s="230"/>
      <c r="CG152" s="235"/>
      <c r="CH152" s="234"/>
      <c r="CI152" s="230"/>
      <c r="CJ152" s="230"/>
      <c r="CK152" s="234"/>
      <c r="CL152" s="230"/>
      <c r="CM152" s="235"/>
      <c r="CN152" s="230"/>
      <c r="CO152" s="230"/>
      <c r="CP152" s="230"/>
      <c r="CQ152" s="234"/>
      <c r="CR152" s="230"/>
      <c r="CS152" s="230"/>
      <c r="CT152" s="234"/>
      <c r="CU152" s="230"/>
      <c r="CV152" s="230"/>
      <c r="CW152" s="234">
        <f>IFERROR(__xludf.DUMMYFUNCTION("""COMPUTED_VALUE"""),5.288461538461538)</f>
        <v>5.288461538</v>
      </c>
      <c r="CX152" s="230"/>
      <c r="CY152" s="235"/>
      <c r="CZ152" s="230"/>
      <c r="DA152" s="230"/>
      <c r="DB152" s="235"/>
      <c r="DC152" s="234"/>
      <c r="DD152" s="230"/>
      <c r="DE152" s="235">
        <f>IFERROR(__xludf.DUMMYFUNCTION("""COMPUTED_VALUE"""),19.230769230769234)</f>
        <v>19.23076923</v>
      </c>
      <c r="DF152" s="234"/>
      <c r="DG152" s="230"/>
      <c r="DH152" s="235"/>
      <c r="DI152" s="234"/>
      <c r="DJ152" s="230"/>
      <c r="DK152" s="235"/>
      <c r="DL152" s="322"/>
      <c r="DM152" s="323">
        <f>IFERROR(__xludf.DUMMYFUNCTION("""COMPUTED_VALUE"""),25.0)</f>
        <v>25</v>
      </c>
      <c r="DN152" s="324"/>
      <c r="DO152" s="96"/>
      <c r="DP152" s="96"/>
      <c r="DQ152" s="96"/>
      <c r="DR152" s="96"/>
      <c r="DS152" s="96"/>
      <c r="DT152" s="96"/>
      <c r="DU152" s="96"/>
    </row>
    <row r="153">
      <c r="B153" s="120" t="str">
        <f>IFERROR(__xludf.DUMMYFUNCTION("""COMPUTED_VALUE"""),"AGT4")</f>
        <v>AGT4</v>
      </c>
      <c r="C153" s="88" t="str">
        <f>IFERROR(__xludf.DUMMYFUNCTION("""COMPUTED_VALUE"""),"Peach Blossom Shangri-La")</f>
        <v>Peach Blossom Shangri-La</v>
      </c>
      <c r="D153" s="102">
        <f>IFERROR(__xludf.DUMMYFUNCTION("""COMPUTED_VALUE"""),21.0)</f>
        <v>21</v>
      </c>
      <c r="E153" s="82" t="b">
        <f>IFERROR(__xludf.DUMMYFUNCTION("""COMPUTED_VALUE"""),TRUE)</f>
        <v>1</v>
      </c>
      <c r="F153" s="82" t="str">
        <f>IFERROR(__xludf.DUMMYFUNCTION("""COMPUTED_VALUE"""),"Free Quests- EoR!A181:J192")</f>
        <v>Free Quests- EoR!A181:J192</v>
      </c>
      <c r="G153" s="82">
        <f>IFERROR(__xludf.DUMMYFUNCTION("""COMPUTED_VALUE"""),154.0)</f>
        <v>154</v>
      </c>
      <c r="H153" s="82">
        <f>IFERROR(__xludf.DUMMYFUNCTION("""COMPUTED_VALUE"""),1203.0)</f>
        <v>1203</v>
      </c>
      <c r="I153" s="82">
        <f>IFERROR(__xludf.DUMMYFUNCTION("""COMPUTED_VALUE"""),19323.0)</f>
        <v>19323</v>
      </c>
      <c r="J153" s="82">
        <f>IFERROR(__xludf.DUMMYFUNCTION("""COMPUTED_VALUE"""),20526.0)</f>
        <v>20526</v>
      </c>
      <c r="K153" s="234"/>
      <c r="L153" s="230"/>
      <c r="M153" s="235"/>
      <c r="N153" s="234"/>
      <c r="O153" s="230"/>
      <c r="P153" s="235"/>
      <c r="Q153" s="234"/>
      <c r="R153" s="230"/>
      <c r="S153" s="235"/>
      <c r="T153" s="234"/>
      <c r="U153" s="230"/>
      <c r="V153" s="235"/>
      <c r="W153" s="234"/>
      <c r="X153" s="230"/>
      <c r="Y153" s="235"/>
      <c r="Z153" s="234"/>
      <c r="AA153" s="230"/>
      <c r="AB153" s="235"/>
      <c r="AC153" s="234"/>
      <c r="AD153" s="230"/>
      <c r="AE153" s="235">
        <f>IFERROR(__xludf.DUMMYFUNCTION("""COMPUTED_VALUE"""),40.292760401442074)</f>
        <v>40.2927604</v>
      </c>
      <c r="AF153" s="234"/>
      <c r="AG153" s="230"/>
      <c r="AH153" s="235"/>
      <c r="AI153" s="234"/>
      <c r="AJ153" s="230"/>
      <c r="AK153" s="235"/>
      <c r="AL153" s="231"/>
      <c r="AM153" s="230"/>
      <c r="AN153" s="235"/>
      <c r="AO153" s="234"/>
      <c r="AP153" s="230"/>
      <c r="AQ153" s="235"/>
      <c r="AR153" s="234"/>
      <c r="AS153" s="230"/>
      <c r="AT153" s="235"/>
      <c r="AU153" s="234"/>
      <c r="AV153" s="230"/>
      <c r="AW153" s="235"/>
      <c r="AX153" s="234"/>
      <c r="AY153" s="230"/>
      <c r="AZ153" s="235"/>
      <c r="BA153" s="234"/>
      <c r="BB153" s="230"/>
      <c r="BC153" s="235"/>
      <c r="BD153" s="234"/>
      <c r="BE153" s="230"/>
      <c r="BF153" s="235"/>
      <c r="BG153" s="234"/>
      <c r="BH153" s="230"/>
      <c r="BI153" s="235"/>
      <c r="BJ153" s="234"/>
      <c r="BK153" s="230"/>
      <c r="BL153" s="235">
        <f>IFERROR(__xludf.DUMMYFUNCTION("""COMPUTED_VALUE"""),3.7380590470622623)</f>
        <v>3.738059047</v>
      </c>
      <c r="BM153" s="234"/>
      <c r="BN153" s="230"/>
      <c r="BO153" s="235"/>
      <c r="BP153" s="234"/>
      <c r="BQ153" s="230"/>
      <c r="BR153" s="235"/>
      <c r="BS153" s="234">
        <f>IFERROR(__xludf.DUMMYFUNCTION("""COMPUTED_VALUE"""),9.308759621942901)</f>
        <v>9.308759622</v>
      </c>
      <c r="BT153" s="230"/>
      <c r="BU153" s="235"/>
      <c r="BV153" s="234"/>
      <c r="BW153" s="230"/>
      <c r="BX153" s="235"/>
      <c r="BY153" s="234"/>
      <c r="BZ153" s="230">
        <f>IFERROR(__xludf.DUMMYFUNCTION("""COMPUTED_VALUE"""),31.039315989476762)</f>
        <v>31.03931599</v>
      </c>
      <c r="CA153" s="235"/>
      <c r="CB153" s="234"/>
      <c r="CC153" s="230"/>
      <c r="CD153" s="235"/>
      <c r="CE153" s="234"/>
      <c r="CF153" s="230"/>
      <c r="CG153" s="235"/>
      <c r="CH153" s="234"/>
      <c r="CI153" s="230"/>
      <c r="CJ153" s="230"/>
      <c r="CK153" s="234"/>
      <c r="CL153" s="230"/>
      <c r="CM153" s="235"/>
      <c r="CN153" s="230"/>
      <c r="CO153" s="230"/>
      <c r="CP153" s="230"/>
      <c r="CQ153" s="234"/>
      <c r="CR153" s="230"/>
      <c r="CS153" s="230"/>
      <c r="CT153" s="234"/>
      <c r="CU153" s="230"/>
      <c r="CV153" s="230"/>
      <c r="CW153" s="234"/>
      <c r="CX153" s="230"/>
      <c r="CY153" s="235"/>
      <c r="CZ153" s="230"/>
      <c r="DA153" s="230"/>
      <c r="DB153" s="235"/>
      <c r="DC153" s="234">
        <f>IFERROR(__xludf.DUMMYFUNCTION("""COMPUTED_VALUE"""),5.7251908396946565)</f>
        <v>5.72519084</v>
      </c>
      <c r="DD153" s="230"/>
      <c r="DE153" s="235"/>
      <c r="DF153" s="234"/>
      <c r="DG153" s="230"/>
      <c r="DH153" s="235"/>
      <c r="DI153" s="234"/>
      <c r="DJ153" s="230"/>
      <c r="DK153" s="235">
        <f>IFERROR(__xludf.DUMMYFUNCTION("""COMPUTED_VALUE"""),13.358778625954198)</f>
        <v>13.35877863</v>
      </c>
      <c r="DL153" s="317"/>
      <c r="DM153" s="318"/>
      <c r="DN153" s="282"/>
      <c r="DO153" s="96"/>
      <c r="DP153" s="96"/>
      <c r="DQ153" s="96"/>
      <c r="DR153" s="96"/>
      <c r="DS153" s="96">
        <f>IFERROR(__xludf.DUMMYFUNCTION("""COMPUTED_VALUE"""),17.17557251908397)</f>
        <v>17.17557252</v>
      </c>
      <c r="DT153" s="96"/>
      <c r="DU153" s="96"/>
    </row>
    <row r="154">
      <c r="B154" s="120" t="str">
        <f>IFERROR(__xludf.DUMMYFUNCTION("""COMPUTED_VALUE"""),"AGT5")</f>
        <v>AGT5</v>
      </c>
      <c r="C154" s="88" t="str">
        <f>IFERROR(__xludf.DUMMYFUNCTION("""COMPUTED_VALUE"""),"Ys")</f>
        <v>Ys</v>
      </c>
      <c r="D154" s="102">
        <f>IFERROR(__xludf.DUMMYFUNCTION("""COMPUTED_VALUE"""),21.0)</f>
        <v>21</v>
      </c>
      <c r="E154" s="82" t="b">
        <f>IFERROR(__xludf.DUMMYFUNCTION("""COMPUTED_VALUE"""),TRUE)</f>
        <v>1</v>
      </c>
      <c r="F154" s="82" t="str">
        <f>IFERROR(__xludf.DUMMYFUNCTION("""COMPUTED_VALUE"""),"Free Quests- EoR!A196:J203")</f>
        <v>Free Quests- EoR!A196:J203</v>
      </c>
      <c r="G154" s="82">
        <f>IFERROR(__xludf.DUMMYFUNCTION("""COMPUTED_VALUE"""),155.0)</f>
        <v>155</v>
      </c>
      <c r="H154" s="82">
        <f>IFERROR(__xludf.DUMMYFUNCTION("""COMPUTED_VALUE"""),76.0)</f>
        <v>76</v>
      </c>
      <c r="I154" s="82">
        <f>IFERROR(__xludf.DUMMYFUNCTION("""COMPUTED_VALUE"""),5732.0)</f>
        <v>5732</v>
      </c>
      <c r="J154" s="82">
        <f>IFERROR(__xludf.DUMMYFUNCTION("""COMPUTED_VALUE"""),5808.0)</f>
        <v>5808</v>
      </c>
      <c r="K154" s="234"/>
      <c r="L154" s="230"/>
      <c r="M154" s="235"/>
      <c r="N154" s="234"/>
      <c r="O154" s="230"/>
      <c r="P154" s="235"/>
      <c r="Q154" s="234"/>
      <c r="R154" s="230"/>
      <c r="S154" s="235"/>
      <c r="T154" s="234"/>
      <c r="U154" s="230"/>
      <c r="V154" s="235"/>
      <c r="W154" s="234"/>
      <c r="X154" s="230"/>
      <c r="Y154" s="235"/>
      <c r="Z154" s="234"/>
      <c r="AA154" s="230"/>
      <c r="AB154" s="235"/>
      <c r="AC154" s="234"/>
      <c r="AD154" s="230"/>
      <c r="AE154" s="235"/>
      <c r="AF154" s="234"/>
      <c r="AG154" s="230"/>
      <c r="AH154" s="235"/>
      <c r="AI154" s="234"/>
      <c r="AJ154" s="230"/>
      <c r="AK154" s="235"/>
      <c r="AL154" s="231"/>
      <c r="AM154" s="230"/>
      <c r="AN154" s="235"/>
      <c r="AO154" s="234"/>
      <c r="AP154" s="230"/>
      <c r="AQ154" s="235"/>
      <c r="AR154" s="234"/>
      <c r="AS154" s="230"/>
      <c r="AT154" s="235"/>
      <c r="AU154" s="234"/>
      <c r="AV154" s="230"/>
      <c r="AW154" s="235">
        <f>IFERROR(__xludf.DUMMYFUNCTION("""COMPUTED_VALUE"""),37.23436639118457)</f>
        <v>37.23436639</v>
      </c>
      <c r="AX154" s="234"/>
      <c r="AY154" s="230"/>
      <c r="AZ154" s="235">
        <f>IFERROR(__xludf.DUMMYFUNCTION("""COMPUTED_VALUE"""),31.101652892561983)</f>
        <v>31.10165289</v>
      </c>
      <c r="BA154" s="234"/>
      <c r="BB154" s="230"/>
      <c r="BC154" s="235"/>
      <c r="BD154" s="234"/>
      <c r="BE154" s="230"/>
      <c r="BF154" s="235"/>
      <c r="BG154" s="234"/>
      <c r="BH154" s="230"/>
      <c r="BI154" s="235"/>
      <c r="BJ154" s="234"/>
      <c r="BK154" s="230"/>
      <c r="BL154" s="235"/>
      <c r="BM154" s="234"/>
      <c r="BN154" s="230"/>
      <c r="BO154" s="235"/>
      <c r="BP154" s="234"/>
      <c r="BQ154" s="230"/>
      <c r="BR154" s="235"/>
      <c r="BS154" s="234"/>
      <c r="BT154" s="230"/>
      <c r="BU154" s="235"/>
      <c r="BV154" s="234"/>
      <c r="BW154" s="230">
        <f>IFERROR(__xludf.DUMMYFUNCTION("""COMPUTED_VALUE"""),38.28553719008265)</f>
        <v>38.28553719</v>
      </c>
      <c r="BX154" s="235"/>
      <c r="BY154" s="234"/>
      <c r="BZ154" s="230"/>
      <c r="CA154" s="235"/>
      <c r="CB154" s="234"/>
      <c r="CC154" s="230"/>
      <c r="CD154" s="235"/>
      <c r="CE154" s="234"/>
      <c r="CF154" s="230"/>
      <c r="CG154" s="235"/>
      <c r="CH154" s="234"/>
      <c r="CI154" s="230"/>
      <c r="CJ154" s="230"/>
      <c r="CK154" s="234"/>
      <c r="CL154" s="230"/>
      <c r="CM154" s="235"/>
      <c r="CN154" s="230"/>
      <c r="CO154" s="230"/>
      <c r="CP154" s="230"/>
      <c r="CQ154" s="234"/>
      <c r="CR154" s="230"/>
      <c r="CS154" s="230"/>
      <c r="CT154" s="234"/>
      <c r="CU154" s="230"/>
      <c r="CV154" s="230"/>
      <c r="CW154" s="234"/>
      <c r="CX154" s="230"/>
      <c r="CY154" s="235"/>
      <c r="CZ154" s="230">
        <f>IFERROR(__xludf.DUMMYFUNCTION("""COMPUTED_VALUE"""),17.142857142857142)</f>
        <v>17.14285714</v>
      </c>
      <c r="DA154" s="230"/>
      <c r="DB154" s="235"/>
      <c r="DC154" s="234"/>
      <c r="DD154" s="230"/>
      <c r="DE154" s="235"/>
      <c r="DF154" s="234"/>
      <c r="DG154" s="230"/>
      <c r="DH154" s="235">
        <f>IFERROR(__xludf.DUMMYFUNCTION("""COMPUTED_VALUE"""),41.42857142857143)</f>
        <v>41.42857143</v>
      </c>
      <c r="DI154" s="234"/>
      <c r="DJ154" s="230"/>
      <c r="DK154" s="235"/>
      <c r="DL154" s="322"/>
      <c r="DM154" s="323"/>
      <c r="DN154" s="324"/>
      <c r="DO154" s="96"/>
      <c r="DP154" s="96"/>
      <c r="DQ154" s="96"/>
      <c r="DR154" s="96"/>
      <c r="DS154" s="96"/>
      <c r="DT154" s="96"/>
      <c r="DU154" s="96"/>
    </row>
    <row r="155">
      <c r="B155" s="120" t="str">
        <f>IFERROR(__xludf.DUMMYFUNCTION("""COMPUTED_VALUE"""),"AGT6")</f>
        <v>AGT6</v>
      </c>
      <c r="C155" s="88" t="str">
        <f>IFERROR(__xludf.DUMMYFUNCTION("""COMPUTED_VALUE"""),"Northern Cliffs")</f>
        <v>Northern Cliffs</v>
      </c>
      <c r="D155" s="102">
        <f>IFERROR(__xludf.DUMMYFUNCTION("""COMPUTED_VALUE"""),21.0)</f>
        <v>21</v>
      </c>
      <c r="E155" s="82" t="b">
        <f>IFERROR(__xludf.DUMMYFUNCTION("""COMPUTED_VALUE"""),TRUE)</f>
        <v>1</v>
      </c>
      <c r="F155" s="82" t="str">
        <f>IFERROR(__xludf.DUMMYFUNCTION("""COMPUTED_VALUE"""),"Free Quests- EoR!A207:J214")</f>
        <v>Free Quests- EoR!A207:J214</v>
      </c>
      <c r="G155" s="82">
        <f>IFERROR(__xludf.DUMMYFUNCTION("""COMPUTED_VALUE"""),156.0)</f>
        <v>156</v>
      </c>
      <c r="H155" s="82">
        <f>IFERROR(__xludf.DUMMYFUNCTION("""COMPUTED_VALUE"""),55.0)</f>
        <v>55</v>
      </c>
      <c r="I155" s="82">
        <f>IFERROR(__xludf.DUMMYFUNCTION("""COMPUTED_VALUE"""),2240.0)</f>
        <v>2240</v>
      </c>
      <c r="J155" s="82">
        <f>IFERROR(__xludf.DUMMYFUNCTION("""COMPUTED_VALUE"""),2295.0)</f>
        <v>2295</v>
      </c>
      <c r="K155" s="234"/>
      <c r="L155" s="230"/>
      <c r="M155" s="235"/>
      <c r="N155" s="234"/>
      <c r="O155" s="230"/>
      <c r="P155" s="235"/>
      <c r="Q155" s="234">
        <f>IFERROR(__xludf.DUMMYFUNCTION("""COMPUTED_VALUE"""),20.58562091503268)</f>
        <v>20.58562092</v>
      </c>
      <c r="R155" s="230"/>
      <c r="S155" s="235"/>
      <c r="T155" s="234"/>
      <c r="U155" s="230"/>
      <c r="V155" s="235"/>
      <c r="W155" s="234"/>
      <c r="X155" s="230"/>
      <c r="Y155" s="235"/>
      <c r="Z155" s="234"/>
      <c r="AA155" s="230"/>
      <c r="AB155" s="235"/>
      <c r="AC155" s="234"/>
      <c r="AD155" s="230"/>
      <c r="AE155" s="235"/>
      <c r="AF155" s="234"/>
      <c r="AG155" s="230"/>
      <c r="AH155" s="235"/>
      <c r="AI155" s="234"/>
      <c r="AJ155" s="230"/>
      <c r="AK155" s="235"/>
      <c r="AL155" s="231"/>
      <c r="AM155" s="230"/>
      <c r="AN155" s="235"/>
      <c r="AO155" s="234"/>
      <c r="AP155" s="230"/>
      <c r="AQ155" s="235"/>
      <c r="AR155" s="234"/>
      <c r="AS155" s="230"/>
      <c r="AT155" s="235"/>
      <c r="AU155" s="234"/>
      <c r="AV155" s="230"/>
      <c r="AW155" s="235"/>
      <c r="AX155" s="234"/>
      <c r="AY155" s="230"/>
      <c r="AZ155" s="235"/>
      <c r="BA155" s="234">
        <f>IFERROR(__xludf.DUMMYFUNCTION("""COMPUTED_VALUE"""),39.4562091503268)</f>
        <v>39.45620915</v>
      </c>
      <c r="BB155" s="230"/>
      <c r="BC155" s="235"/>
      <c r="BD155" s="234"/>
      <c r="BE155" s="230"/>
      <c r="BF155" s="235"/>
      <c r="BG155" s="234"/>
      <c r="BH155" s="230"/>
      <c r="BI155" s="235"/>
      <c r="BJ155" s="234"/>
      <c r="BK155" s="230"/>
      <c r="BL155" s="235"/>
      <c r="BM155" s="234"/>
      <c r="BN155" s="230"/>
      <c r="BO155" s="235"/>
      <c r="BP155" s="234"/>
      <c r="BQ155" s="230"/>
      <c r="BR155" s="235">
        <f>IFERROR(__xludf.DUMMYFUNCTION("""COMPUTED_VALUE"""),30.921132897603485)</f>
        <v>30.9211329</v>
      </c>
      <c r="BS155" s="234"/>
      <c r="BT155" s="230"/>
      <c r="BU155" s="235"/>
      <c r="BV155" s="234"/>
      <c r="BW155" s="230"/>
      <c r="BX155" s="235"/>
      <c r="BY155" s="234"/>
      <c r="BZ155" s="230"/>
      <c r="CA155" s="235"/>
      <c r="CB155" s="234"/>
      <c r="CC155" s="230"/>
      <c r="CD155" s="235"/>
      <c r="CE155" s="234"/>
      <c r="CF155" s="230"/>
      <c r="CG155" s="235"/>
      <c r="CH155" s="234"/>
      <c r="CI155" s="230"/>
      <c r="CJ155" s="230"/>
      <c r="CK155" s="234"/>
      <c r="CL155" s="230"/>
      <c r="CM155" s="235"/>
      <c r="CN155" s="230"/>
      <c r="CO155" s="230"/>
      <c r="CP155" s="230"/>
      <c r="CQ155" s="234"/>
      <c r="CR155" s="230"/>
      <c r="CS155" s="230"/>
      <c r="CT155" s="234"/>
      <c r="CU155" s="230"/>
      <c r="CV155" s="230"/>
      <c r="CW155" s="234"/>
      <c r="CX155" s="230"/>
      <c r="CY155" s="235"/>
      <c r="CZ155" s="230"/>
      <c r="DA155" s="230"/>
      <c r="DB155" s="235">
        <f>IFERROR(__xludf.DUMMYFUNCTION("""COMPUTED_VALUE"""),36.734693877551024)</f>
        <v>36.73469388</v>
      </c>
      <c r="DC155" s="234"/>
      <c r="DD155" s="230"/>
      <c r="DE155" s="235"/>
      <c r="DF155" s="234"/>
      <c r="DG155" s="230"/>
      <c r="DH155" s="235"/>
      <c r="DI155" s="234"/>
      <c r="DJ155" s="230"/>
      <c r="DK155" s="235"/>
      <c r="DL155" s="317"/>
      <c r="DM155" s="318"/>
      <c r="DN155" s="282"/>
      <c r="DO155" s="96"/>
      <c r="DP155" s="96"/>
      <c r="DQ155" s="96"/>
      <c r="DR155" s="96"/>
      <c r="DS155" s="96"/>
      <c r="DT155" s="96"/>
      <c r="DU155" s="96"/>
    </row>
    <row r="156">
      <c r="B156" s="120" t="str">
        <f>IFERROR(__xludf.DUMMYFUNCTION("""COMPUTED_VALUE"""),"AGT7")</f>
        <v>AGT7</v>
      </c>
      <c r="C156" s="88" t="str">
        <f>IFERROR(__xludf.DUMMYFUNCTION("""COMPUTED_VALUE"""),"Nightless City")</f>
        <v>Nightless City</v>
      </c>
      <c r="D156" s="102">
        <f>IFERROR(__xludf.DUMMYFUNCTION("""COMPUTED_VALUE"""),21.0)</f>
        <v>21</v>
      </c>
      <c r="E156" s="82" t="b">
        <f>IFERROR(__xludf.DUMMYFUNCTION("""COMPUTED_VALUE"""),TRUE)</f>
        <v>1</v>
      </c>
      <c r="F156" s="82" t="str">
        <f>IFERROR(__xludf.DUMMYFUNCTION("""COMPUTED_VALUE"""),"Free Quests- EoR!A218:J224")</f>
        <v>Free Quests- EoR!A218:J224</v>
      </c>
      <c r="G156" s="82">
        <f>IFERROR(__xludf.DUMMYFUNCTION("""COMPUTED_VALUE"""),157.0)</f>
        <v>157</v>
      </c>
      <c r="H156" s="82">
        <f>IFERROR(__xludf.DUMMYFUNCTION("""COMPUTED_VALUE"""),45.0)</f>
        <v>45</v>
      </c>
      <c r="I156" s="82">
        <f>IFERROR(__xludf.DUMMYFUNCTION("""COMPUTED_VALUE"""),9158.0)</f>
        <v>9158</v>
      </c>
      <c r="J156" s="82">
        <f>IFERROR(__xludf.DUMMYFUNCTION("""COMPUTED_VALUE"""),9203.0)</f>
        <v>9203</v>
      </c>
      <c r="K156" s="234"/>
      <c r="L156" s="230"/>
      <c r="M156" s="235"/>
      <c r="N156" s="234"/>
      <c r="O156" s="230"/>
      <c r="P156" s="235"/>
      <c r="Q156" s="234"/>
      <c r="R156" s="230"/>
      <c r="S156" s="235"/>
      <c r="T156" s="234"/>
      <c r="U156" s="230"/>
      <c r="V156" s="235"/>
      <c r="W156" s="234"/>
      <c r="X156" s="230"/>
      <c r="Y156" s="235"/>
      <c r="Z156" s="234"/>
      <c r="AA156" s="230"/>
      <c r="AB156" s="235"/>
      <c r="AC156" s="234"/>
      <c r="AD156" s="230"/>
      <c r="AE156" s="235"/>
      <c r="AF156" s="234"/>
      <c r="AG156" s="230"/>
      <c r="AH156" s="235"/>
      <c r="AI156" s="234"/>
      <c r="AJ156" s="230"/>
      <c r="AK156" s="235"/>
      <c r="AL156" s="231"/>
      <c r="AM156" s="230"/>
      <c r="AN156" s="235"/>
      <c r="AO156" s="234"/>
      <c r="AP156" s="230"/>
      <c r="AQ156" s="235"/>
      <c r="AR156" s="234"/>
      <c r="AS156" s="230"/>
      <c r="AT156" s="235"/>
      <c r="AU156" s="234"/>
      <c r="AV156" s="230"/>
      <c r="AW156" s="235"/>
      <c r="AX156" s="234"/>
      <c r="AY156" s="230"/>
      <c r="AZ156" s="235">
        <f>IFERROR(__xludf.DUMMYFUNCTION("""COMPUTED_VALUE"""),29.91678800391177)</f>
        <v>29.916788</v>
      </c>
      <c r="BA156" s="234">
        <f>IFERROR(__xludf.DUMMYFUNCTION("""COMPUTED_VALUE"""),39.11526676083886)</f>
        <v>39.11526676</v>
      </c>
      <c r="BB156" s="230"/>
      <c r="BC156" s="235"/>
      <c r="BD156" s="234"/>
      <c r="BE156" s="230"/>
      <c r="BF156" s="235"/>
      <c r="BG156" s="234"/>
      <c r="BH156" s="230"/>
      <c r="BI156" s="235"/>
      <c r="BJ156" s="234"/>
      <c r="BK156" s="230"/>
      <c r="BL156" s="235"/>
      <c r="BM156" s="234"/>
      <c r="BN156" s="230"/>
      <c r="BO156" s="235"/>
      <c r="BP156" s="234"/>
      <c r="BQ156" s="230"/>
      <c r="BR156" s="235">
        <f>IFERROR(__xludf.DUMMYFUNCTION("""COMPUTED_VALUE"""),35.2017385635119)</f>
        <v>35.20173856</v>
      </c>
      <c r="BS156" s="234"/>
      <c r="BT156" s="230"/>
      <c r="BU156" s="235"/>
      <c r="BV156" s="234"/>
      <c r="BW156" s="230"/>
      <c r="BX156" s="235"/>
      <c r="BY156" s="234"/>
      <c r="BZ156" s="230"/>
      <c r="CA156" s="235"/>
      <c r="CB156" s="234"/>
      <c r="CC156" s="230"/>
      <c r="CD156" s="235"/>
      <c r="CE156" s="234"/>
      <c r="CF156" s="230"/>
      <c r="CG156" s="235"/>
      <c r="CH156" s="234"/>
      <c r="CI156" s="230"/>
      <c r="CJ156" s="230"/>
      <c r="CK156" s="234"/>
      <c r="CL156" s="230"/>
      <c r="CM156" s="235"/>
      <c r="CN156" s="230"/>
      <c r="CO156" s="230"/>
      <c r="CP156" s="230"/>
      <c r="CQ156" s="234"/>
      <c r="CR156" s="230"/>
      <c r="CS156" s="230"/>
      <c r="CT156" s="234"/>
      <c r="CU156" s="230"/>
      <c r="CV156" s="230"/>
      <c r="CW156" s="234"/>
      <c r="CX156" s="230"/>
      <c r="CY156" s="235"/>
      <c r="CZ156" s="230"/>
      <c r="DA156" s="230"/>
      <c r="DB156" s="235">
        <f>IFERROR(__xludf.DUMMYFUNCTION("""COMPUTED_VALUE"""),53.84615384615385)</f>
        <v>53.84615385</v>
      </c>
      <c r="DC156" s="234"/>
      <c r="DD156" s="230"/>
      <c r="DE156" s="235"/>
      <c r="DF156" s="234"/>
      <c r="DG156" s="230"/>
      <c r="DH156" s="235"/>
      <c r="DI156" s="234"/>
      <c r="DJ156" s="230"/>
      <c r="DK156" s="235"/>
      <c r="DL156" s="322"/>
      <c r="DM156" s="323"/>
      <c r="DN156" s="324"/>
      <c r="DO156" s="96"/>
      <c r="DP156" s="96"/>
      <c r="DQ156" s="96"/>
      <c r="DR156" s="96"/>
      <c r="DS156" s="96"/>
      <c r="DT156" s="96"/>
      <c r="DU156" s="96"/>
    </row>
    <row r="157">
      <c r="B157" s="120" t="str">
        <f>IFERROR(__xludf.DUMMYFUNCTION("""COMPUTED_VALUE"""),"AGT8")</f>
        <v>AGT8</v>
      </c>
      <c r="C157" s="88" t="str">
        <f>IFERROR(__xludf.DUMMYFUNCTION("""COMPUTED_VALUE"""),"Foothills Jungle")</f>
        <v>Foothills Jungle</v>
      </c>
      <c r="D157" s="102">
        <f>IFERROR(__xludf.DUMMYFUNCTION("""COMPUTED_VALUE"""),21.0)</f>
        <v>21</v>
      </c>
      <c r="E157" s="82" t="b">
        <f>IFERROR(__xludf.DUMMYFUNCTION("""COMPUTED_VALUE"""),TRUE)</f>
        <v>1</v>
      </c>
      <c r="F157" s="82" t="str">
        <f>IFERROR(__xludf.DUMMYFUNCTION("""COMPUTED_VALUE"""),"Free Quests- EoR!A228:J245")</f>
        <v>Free Quests- EoR!A228:J245</v>
      </c>
      <c r="G157" s="82">
        <f>IFERROR(__xludf.DUMMYFUNCTION("""COMPUTED_VALUE"""),158.0)</f>
        <v>158</v>
      </c>
      <c r="H157" s="82">
        <f>IFERROR(__xludf.DUMMYFUNCTION("""COMPUTED_VALUE"""),83.0)</f>
        <v>83</v>
      </c>
      <c r="I157" s="82">
        <f>IFERROR(__xludf.DUMMYFUNCTION("""COMPUTED_VALUE"""),23100.0)</f>
        <v>23100</v>
      </c>
      <c r="J157" s="82">
        <f>IFERROR(__xludf.DUMMYFUNCTION("""COMPUTED_VALUE"""),23183.0)</f>
        <v>23183</v>
      </c>
      <c r="K157" s="234"/>
      <c r="L157" s="230"/>
      <c r="M157" s="235"/>
      <c r="N157" s="234"/>
      <c r="O157" s="230"/>
      <c r="P157" s="235"/>
      <c r="Q157" s="234"/>
      <c r="R157" s="230"/>
      <c r="S157" s="235"/>
      <c r="T157" s="234"/>
      <c r="U157" s="230"/>
      <c r="V157" s="235"/>
      <c r="W157" s="234"/>
      <c r="X157" s="230"/>
      <c r="Y157" s="235"/>
      <c r="Z157" s="234"/>
      <c r="AA157" s="230"/>
      <c r="AB157" s="235"/>
      <c r="AC157" s="234">
        <f>IFERROR(__xludf.DUMMYFUNCTION("""COMPUTED_VALUE"""),15.301298365181383)</f>
        <v>15.30129837</v>
      </c>
      <c r="AD157" s="230"/>
      <c r="AE157" s="235"/>
      <c r="AF157" s="234"/>
      <c r="AG157" s="230">
        <f>IFERROR(__xludf.DUMMYFUNCTION("""COMPUTED_VALUE"""),14.296251563645775)</f>
        <v>14.29625156</v>
      </c>
      <c r="AH157" s="235"/>
      <c r="AI157" s="234"/>
      <c r="AJ157" s="230"/>
      <c r="AK157" s="235"/>
      <c r="AL157" s="231"/>
      <c r="AM157" s="230"/>
      <c r="AN157" s="235"/>
      <c r="AO157" s="234"/>
      <c r="AP157" s="230"/>
      <c r="AQ157" s="235"/>
      <c r="AR157" s="234"/>
      <c r="AS157" s="230"/>
      <c r="AT157" s="235"/>
      <c r="AU157" s="234"/>
      <c r="AV157" s="230"/>
      <c r="AW157" s="235"/>
      <c r="AX157" s="234"/>
      <c r="AY157" s="230">
        <f>IFERROR(__xludf.DUMMYFUNCTION("""COMPUTED_VALUE"""),49.40430487857482)</f>
        <v>49.40430488</v>
      </c>
      <c r="AZ157" s="235"/>
      <c r="BA157" s="234"/>
      <c r="BB157" s="230"/>
      <c r="BC157" s="235"/>
      <c r="BD157" s="234"/>
      <c r="BE157" s="230"/>
      <c r="BF157" s="235"/>
      <c r="BG157" s="234"/>
      <c r="BH157" s="230"/>
      <c r="BI157" s="235"/>
      <c r="BJ157" s="234"/>
      <c r="BK157" s="230"/>
      <c r="BL157" s="235"/>
      <c r="BM157" s="234"/>
      <c r="BN157" s="230">
        <f>IFERROR(__xludf.DUMMYFUNCTION("""COMPUTED_VALUE"""),9.810618749432132)</f>
        <v>9.810618749</v>
      </c>
      <c r="BO157" s="235"/>
      <c r="BP157" s="234">
        <f>IFERROR(__xludf.DUMMYFUNCTION("""COMPUTED_VALUE"""),5.281024888927231)</f>
        <v>5.281024889</v>
      </c>
      <c r="BQ157" s="230"/>
      <c r="BR157" s="235"/>
      <c r="BS157" s="234"/>
      <c r="BT157" s="230"/>
      <c r="BU157" s="235">
        <f>IFERROR(__xludf.DUMMYFUNCTION("""COMPUTED_VALUE"""),15.904014405273124)</f>
        <v>15.90401441</v>
      </c>
      <c r="BV157" s="234"/>
      <c r="BW157" s="230">
        <f>IFERROR(__xludf.DUMMYFUNCTION("""COMPUTED_VALUE"""),25.093928878552788)</f>
        <v>25.09392888</v>
      </c>
      <c r="BX157" s="235"/>
      <c r="BY157" s="234"/>
      <c r="BZ157" s="230"/>
      <c r="CA157" s="235"/>
      <c r="CB157" s="234"/>
      <c r="CC157" s="230"/>
      <c r="CD157" s="235"/>
      <c r="CE157" s="234"/>
      <c r="CF157" s="230"/>
      <c r="CG157" s="235"/>
      <c r="CH157" s="234"/>
      <c r="CI157" s="230"/>
      <c r="CJ157" s="230"/>
      <c r="CK157" s="234"/>
      <c r="CL157" s="230"/>
      <c r="CM157" s="235"/>
      <c r="CN157" s="230"/>
      <c r="CO157" s="230"/>
      <c r="CP157" s="230"/>
      <c r="CQ157" s="234"/>
      <c r="CR157" s="230"/>
      <c r="CS157" s="230"/>
      <c r="CT157" s="234"/>
      <c r="CU157" s="230"/>
      <c r="CV157" s="230"/>
      <c r="CW157" s="234"/>
      <c r="CX157" s="230"/>
      <c r="CY157" s="235"/>
      <c r="CZ157" s="230">
        <f>IFERROR(__xludf.DUMMYFUNCTION("""COMPUTED_VALUE"""),7.317073170731707)</f>
        <v>7.317073171</v>
      </c>
      <c r="DA157" s="230"/>
      <c r="DB157" s="235"/>
      <c r="DC157" s="234"/>
      <c r="DD157" s="230"/>
      <c r="DE157" s="235"/>
      <c r="DF157" s="234">
        <f>IFERROR(__xludf.DUMMYFUNCTION("""COMPUTED_VALUE"""),9.75609756097561)</f>
        <v>9.756097561</v>
      </c>
      <c r="DG157" s="230"/>
      <c r="DH157" s="235">
        <f>IFERROR(__xludf.DUMMYFUNCTION("""COMPUTED_VALUE"""),4.878048780487805)</f>
        <v>4.87804878</v>
      </c>
      <c r="DI157" s="234"/>
      <c r="DJ157" s="230"/>
      <c r="DK157" s="235"/>
      <c r="DL157" s="317"/>
      <c r="DM157" s="318"/>
      <c r="DN157" s="282">
        <f>IFERROR(__xludf.DUMMYFUNCTION("""COMPUTED_VALUE"""),17.073170731707318)</f>
        <v>17.07317073</v>
      </c>
      <c r="DO157" s="96"/>
      <c r="DP157" s="96">
        <f>IFERROR(__xludf.DUMMYFUNCTION("""COMPUTED_VALUE"""),14.634146341463413)</f>
        <v>14.63414634</v>
      </c>
      <c r="DQ157" s="96"/>
      <c r="DR157" s="96"/>
      <c r="DS157" s="96"/>
      <c r="DT157" s="96"/>
      <c r="DU157" s="96"/>
    </row>
    <row r="158">
      <c r="B158" s="120" t="str">
        <f>IFERROR(__xludf.DUMMYFUNCTION("""COMPUTED_VALUE"""),"AGT9")</f>
        <v>AGT9</v>
      </c>
      <c r="C158" s="88" t="str">
        <f>IFERROR(__xludf.DUMMYFUNCTION("""COMPUTED_VALUE"""),"Palace of Dragon King")</f>
        <v>Palace of Dragon King</v>
      </c>
      <c r="D158" s="102">
        <f>IFERROR(__xludf.DUMMYFUNCTION("""COMPUTED_VALUE"""),21.0)</f>
        <v>21</v>
      </c>
      <c r="E158" s="82" t="b">
        <f>IFERROR(__xludf.DUMMYFUNCTION("""COMPUTED_VALUE"""),TRUE)</f>
        <v>1</v>
      </c>
      <c r="F158" s="82" t="str">
        <f>IFERROR(__xludf.DUMMYFUNCTION("""COMPUTED_VALUE"""),"Free Quests- EoR!A249:J257")</f>
        <v>Free Quests- EoR!A249:J257</v>
      </c>
      <c r="G158" s="82">
        <f>IFERROR(__xludf.DUMMYFUNCTION("""COMPUTED_VALUE"""),159.0)</f>
        <v>159</v>
      </c>
      <c r="H158" s="82">
        <f>IFERROR(__xludf.DUMMYFUNCTION("""COMPUTED_VALUE"""),575.0)</f>
        <v>575</v>
      </c>
      <c r="I158" s="82">
        <f>IFERROR(__xludf.DUMMYFUNCTION("""COMPUTED_VALUE"""),4641.0)</f>
        <v>4641</v>
      </c>
      <c r="J158" s="82">
        <f>IFERROR(__xludf.DUMMYFUNCTION("""COMPUTED_VALUE"""),5216.0)</f>
        <v>5216</v>
      </c>
      <c r="K158" s="234"/>
      <c r="L158" s="230"/>
      <c r="M158" s="235"/>
      <c r="N158" s="234"/>
      <c r="O158" s="230"/>
      <c r="P158" s="235"/>
      <c r="Q158" s="234"/>
      <c r="R158" s="230"/>
      <c r="S158" s="235"/>
      <c r="T158" s="234"/>
      <c r="U158" s="230"/>
      <c r="V158" s="235">
        <f>IFERROR(__xludf.DUMMYFUNCTION("""COMPUTED_VALUE"""),12.598603805982934)</f>
        <v>12.59860381</v>
      </c>
      <c r="W158" s="234"/>
      <c r="X158" s="230"/>
      <c r="Y158" s="235"/>
      <c r="Z158" s="234"/>
      <c r="AA158" s="230"/>
      <c r="AB158" s="235"/>
      <c r="AC158" s="234"/>
      <c r="AD158" s="230"/>
      <c r="AE158" s="235"/>
      <c r="AF158" s="234"/>
      <c r="AG158" s="230"/>
      <c r="AH158" s="235"/>
      <c r="AI158" s="234"/>
      <c r="AJ158" s="230"/>
      <c r="AK158" s="235"/>
      <c r="AL158" s="231"/>
      <c r="AM158" s="230"/>
      <c r="AN158" s="235"/>
      <c r="AO158" s="234"/>
      <c r="AP158" s="230"/>
      <c r="AQ158" s="235"/>
      <c r="AR158" s="234"/>
      <c r="AS158" s="230"/>
      <c r="AT158" s="235"/>
      <c r="AU158" s="234"/>
      <c r="AV158" s="230"/>
      <c r="AW158" s="235">
        <f>IFERROR(__xludf.DUMMYFUNCTION("""COMPUTED_VALUE"""),28.617427147239265)</f>
        <v>28.61742715</v>
      </c>
      <c r="AX158" s="234"/>
      <c r="AY158" s="230"/>
      <c r="AZ158" s="235"/>
      <c r="BA158" s="234"/>
      <c r="BB158" s="230"/>
      <c r="BC158" s="235"/>
      <c r="BD158" s="234"/>
      <c r="BE158" s="230"/>
      <c r="BF158" s="235"/>
      <c r="BG158" s="234">
        <f>IFERROR(__xludf.DUMMYFUNCTION("""COMPUTED_VALUE"""),4.403138651109755)</f>
        <v>4.403138651</v>
      </c>
      <c r="BH158" s="230"/>
      <c r="BI158" s="235"/>
      <c r="BJ158" s="234"/>
      <c r="BK158" s="230"/>
      <c r="BL158" s="235"/>
      <c r="BM158" s="234"/>
      <c r="BN158" s="230"/>
      <c r="BO158" s="235"/>
      <c r="BP158" s="234"/>
      <c r="BQ158" s="230"/>
      <c r="BR158" s="235"/>
      <c r="BS158" s="234"/>
      <c r="BT158" s="230"/>
      <c r="BU158" s="235"/>
      <c r="BV158" s="234"/>
      <c r="BW158" s="230">
        <f>IFERROR(__xludf.DUMMYFUNCTION("""COMPUTED_VALUE"""),28.888970495928216)</f>
        <v>28.8889705</v>
      </c>
      <c r="BX158" s="235"/>
      <c r="BY158" s="234"/>
      <c r="BZ158" s="230"/>
      <c r="CA158" s="235"/>
      <c r="CB158" s="234"/>
      <c r="CC158" s="230"/>
      <c r="CD158" s="235"/>
      <c r="CE158" s="234"/>
      <c r="CF158" s="230"/>
      <c r="CG158" s="235"/>
      <c r="CH158" s="234"/>
      <c r="CI158" s="230"/>
      <c r="CJ158" s="230"/>
      <c r="CK158" s="234"/>
      <c r="CL158" s="230"/>
      <c r="CM158" s="235"/>
      <c r="CN158" s="230"/>
      <c r="CO158" s="230"/>
      <c r="CP158" s="230">
        <f>IFERROR(__xludf.DUMMYFUNCTION("""COMPUTED_VALUE"""),5.255516679447853)</f>
        <v>5.255516679</v>
      </c>
      <c r="CQ158" s="234"/>
      <c r="CR158" s="230"/>
      <c r="CS158" s="230"/>
      <c r="CT158" s="234"/>
      <c r="CU158" s="230"/>
      <c r="CV158" s="230"/>
      <c r="CW158" s="234"/>
      <c r="CX158" s="230"/>
      <c r="CY158" s="235"/>
      <c r="CZ158" s="230"/>
      <c r="DA158" s="230"/>
      <c r="DB158" s="235"/>
      <c r="DC158" s="234"/>
      <c r="DD158" s="230"/>
      <c r="DE158" s="235"/>
      <c r="DF158" s="234"/>
      <c r="DG158" s="230"/>
      <c r="DH158" s="235">
        <f>IFERROR(__xludf.DUMMYFUNCTION("""COMPUTED_VALUE"""),28.48101265822785)</f>
        <v>28.48101266</v>
      </c>
      <c r="DI158" s="234"/>
      <c r="DJ158" s="230"/>
      <c r="DK158" s="235"/>
      <c r="DL158" s="322"/>
      <c r="DM158" s="323"/>
      <c r="DN158" s="324"/>
      <c r="DO158" s="96"/>
      <c r="DP158" s="96"/>
      <c r="DQ158" s="96"/>
      <c r="DR158" s="96"/>
      <c r="DS158" s="96"/>
      <c r="DT158" s="96"/>
      <c r="DU158" s="96"/>
    </row>
    <row r="159">
      <c r="B159" s="120" t="str">
        <f>IFERROR(__xludf.DUMMYFUNCTION("""COMPUTED_VALUE"""),"AGT10")</f>
        <v>AGT10</v>
      </c>
      <c r="C159" s="88" t="str">
        <f>IFERROR(__xludf.DUMMYFUNCTION("""COMPUTED_VALUE"""),"Great Underground River")</f>
        <v>Great Underground River</v>
      </c>
      <c r="D159" s="102">
        <f>IFERROR(__xludf.DUMMYFUNCTION("""COMPUTED_VALUE"""),21.0)</f>
        <v>21</v>
      </c>
      <c r="E159" s="82" t="b">
        <f>IFERROR(__xludf.DUMMYFUNCTION("""COMPUTED_VALUE"""),TRUE)</f>
        <v>1</v>
      </c>
      <c r="F159" s="82" t="str">
        <f>IFERROR(__xludf.DUMMYFUNCTION("""COMPUTED_VALUE"""),"Free Quests- EoR!A261:J273")</f>
        <v>Free Quests- EoR!A261:J273</v>
      </c>
      <c r="G159" s="82">
        <f>IFERROR(__xludf.DUMMYFUNCTION("""COMPUTED_VALUE"""),160.0)</f>
        <v>160</v>
      </c>
      <c r="H159" s="82">
        <f>IFERROR(__xludf.DUMMYFUNCTION("""COMPUTED_VALUE"""),1157.0)</f>
        <v>1157</v>
      </c>
      <c r="I159" s="82">
        <f>IFERROR(__xludf.DUMMYFUNCTION("""COMPUTED_VALUE"""),54691.0)</f>
        <v>54691</v>
      </c>
      <c r="J159" s="82">
        <f>IFERROR(__xludf.DUMMYFUNCTION("""COMPUTED_VALUE"""),55848.0)</f>
        <v>55848</v>
      </c>
      <c r="K159" s="234"/>
      <c r="L159" s="230"/>
      <c r="M159" s="235"/>
      <c r="N159" s="234"/>
      <c r="O159" s="230"/>
      <c r="P159" s="235"/>
      <c r="Q159" s="234"/>
      <c r="R159" s="230"/>
      <c r="S159" s="235"/>
      <c r="T159" s="234"/>
      <c r="U159" s="230"/>
      <c r="V159" s="235"/>
      <c r="W159" s="234"/>
      <c r="X159" s="230"/>
      <c r="Y159" s="235"/>
      <c r="Z159" s="234"/>
      <c r="AA159" s="230"/>
      <c r="AB159" s="235"/>
      <c r="AC159" s="234">
        <f>IFERROR(__xludf.DUMMYFUNCTION("""COMPUTED_VALUE"""),25.332045910328034)</f>
        <v>25.33204591</v>
      </c>
      <c r="AD159" s="230"/>
      <c r="AE159" s="235"/>
      <c r="AF159" s="234"/>
      <c r="AG159" s="230">
        <f>IFERROR(__xludf.DUMMYFUNCTION("""COMPUTED_VALUE"""),30.231489041684572)</f>
        <v>30.23148904</v>
      </c>
      <c r="AH159" s="235"/>
      <c r="AI159" s="234"/>
      <c r="AJ159" s="230"/>
      <c r="AK159" s="235"/>
      <c r="AL159" s="231"/>
      <c r="AM159" s="230"/>
      <c r="AN159" s="235"/>
      <c r="AO159" s="234"/>
      <c r="AP159" s="230"/>
      <c r="AQ159" s="235"/>
      <c r="AR159" s="234"/>
      <c r="AS159" s="230"/>
      <c r="AT159" s="235"/>
      <c r="AU159" s="234"/>
      <c r="AV159" s="230"/>
      <c r="AW159" s="235"/>
      <c r="AX159" s="234"/>
      <c r="AY159" s="230"/>
      <c r="AZ159" s="235"/>
      <c r="BA159" s="234"/>
      <c r="BB159" s="230"/>
      <c r="BC159" s="235"/>
      <c r="BD159" s="234"/>
      <c r="BE159" s="230"/>
      <c r="BF159" s="235"/>
      <c r="BG159" s="234"/>
      <c r="BH159" s="230">
        <f>IFERROR(__xludf.DUMMYFUNCTION("""COMPUTED_VALUE"""),3.1961465142431043)</f>
        <v>3.196146514</v>
      </c>
      <c r="BI159" s="235"/>
      <c r="BJ159" s="234"/>
      <c r="BK159" s="230"/>
      <c r="BL159" s="235"/>
      <c r="BM159" s="234"/>
      <c r="BN159" s="230"/>
      <c r="BO159" s="235">
        <f>IFERROR(__xludf.DUMMYFUNCTION("""COMPUTED_VALUE"""),14.625346480968101)</f>
        <v>14.62534648</v>
      </c>
      <c r="BP159" s="234"/>
      <c r="BQ159" s="230"/>
      <c r="BR159" s="235"/>
      <c r="BS159" s="234"/>
      <c r="BT159" s="230"/>
      <c r="BU159" s="235">
        <f>IFERROR(__xludf.DUMMYFUNCTION("""COMPUTED_VALUE"""),39.29333126044937)</f>
        <v>39.29333126</v>
      </c>
      <c r="BV159" s="234"/>
      <c r="BW159" s="230"/>
      <c r="BX159" s="235"/>
      <c r="BY159" s="234"/>
      <c r="BZ159" s="230"/>
      <c r="CA159" s="235"/>
      <c r="CB159" s="234"/>
      <c r="CC159" s="230"/>
      <c r="CD159" s="235"/>
      <c r="CE159" s="234"/>
      <c r="CF159" s="230"/>
      <c r="CG159" s="235"/>
      <c r="CH159" s="234"/>
      <c r="CI159" s="230"/>
      <c r="CJ159" s="230"/>
      <c r="CK159" s="234"/>
      <c r="CL159" s="230"/>
      <c r="CM159" s="235"/>
      <c r="CN159" s="230"/>
      <c r="CO159" s="230"/>
      <c r="CP159" s="230"/>
      <c r="CQ159" s="234"/>
      <c r="CR159" s="230"/>
      <c r="CS159" s="230"/>
      <c r="CT159" s="234"/>
      <c r="CU159" s="230"/>
      <c r="CV159" s="230"/>
      <c r="CW159" s="234"/>
      <c r="CX159" s="230"/>
      <c r="CY159" s="235">
        <f>IFERROR(__xludf.DUMMYFUNCTION("""COMPUTED_VALUE"""),4.455445544554455)</f>
        <v>4.455445545</v>
      </c>
      <c r="CZ159" s="230"/>
      <c r="DA159" s="230"/>
      <c r="DB159" s="235"/>
      <c r="DC159" s="234"/>
      <c r="DD159" s="230"/>
      <c r="DE159" s="235"/>
      <c r="DF159" s="234"/>
      <c r="DG159" s="230">
        <f>IFERROR(__xludf.DUMMYFUNCTION("""COMPUTED_VALUE"""),11.881188118811881)</f>
        <v>11.88118812</v>
      </c>
      <c r="DH159" s="235"/>
      <c r="DI159" s="234"/>
      <c r="DJ159" s="230"/>
      <c r="DK159" s="235"/>
      <c r="DL159" s="317"/>
      <c r="DM159" s="318"/>
      <c r="DN159" s="282">
        <f>IFERROR(__xludf.DUMMYFUNCTION("""COMPUTED_VALUE"""),23.762376237623762)</f>
        <v>23.76237624</v>
      </c>
      <c r="DO159" s="96"/>
      <c r="DP159" s="96"/>
      <c r="DQ159" s="96"/>
      <c r="DR159" s="96"/>
      <c r="DS159" s="96"/>
      <c r="DT159" s="96"/>
      <c r="DU159" s="96"/>
    </row>
    <row r="160">
      <c r="B160" s="120" t="str">
        <f>IFERROR(__xludf.DUMMYFUNCTION("""COMPUTED_VALUE"""),"AGT11")</f>
        <v>AGT11</v>
      </c>
      <c r="C160" s="88" t="str">
        <f>IFERROR(__xludf.DUMMYFUNCTION("""COMPUTED_VALUE"""),"El Dorado")</f>
        <v>El Dorado</v>
      </c>
      <c r="D160" s="102">
        <f>IFERROR(__xludf.DUMMYFUNCTION("""COMPUTED_VALUE"""),21.0)</f>
        <v>21</v>
      </c>
      <c r="E160" s="82" t="b">
        <f>IFERROR(__xludf.DUMMYFUNCTION("""COMPUTED_VALUE"""),TRUE)</f>
        <v>1</v>
      </c>
      <c r="F160" s="82" t="str">
        <f>IFERROR(__xludf.DUMMYFUNCTION("""COMPUTED_VALUE"""),"Free Quests- EoR!A277:J284")</f>
        <v>Free Quests- EoR!A277:J284</v>
      </c>
      <c r="G160" s="82">
        <f>IFERROR(__xludf.DUMMYFUNCTION("""COMPUTED_VALUE"""),161.0)</f>
        <v>161</v>
      </c>
      <c r="H160" s="82">
        <f>IFERROR(__xludf.DUMMYFUNCTION("""COMPUTED_VALUE"""),226.0)</f>
        <v>226</v>
      </c>
      <c r="I160" s="82">
        <f>IFERROR(__xludf.DUMMYFUNCTION("""COMPUTED_VALUE"""),3534.0)</f>
        <v>3534</v>
      </c>
      <c r="J160" s="82">
        <f>IFERROR(__xludf.DUMMYFUNCTION("""COMPUTED_VALUE"""),3760.0)</f>
        <v>3760</v>
      </c>
      <c r="K160" s="234"/>
      <c r="L160" s="230"/>
      <c r="M160" s="235"/>
      <c r="N160" s="234"/>
      <c r="O160" s="230"/>
      <c r="P160" s="235"/>
      <c r="Q160" s="234"/>
      <c r="R160" s="230"/>
      <c r="S160" s="235"/>
      <c r="T160" s="234"/>
      <c r="U160" s="230"/>
      <c r="V160" s="235"/>
      <c r="W160" s="234"/>
      <c r="X160" s="230"/>
      <c r="Y160" s="235"/>
      <c r="Z160" s="234"/>
      <c r="AA160" s="230"/>
      <c r="AB160" s="235"/>
      <c r="AC160" s="234">
        <f>IFERROR(__xludf.DUMMYFUNCTION("""COMPUTED_VALUE"""),34.362393617021276)</f>
        <v>34.36239362</v>
      </c>
      <c r="AD160" s="230"/>
      <c r="AE160" s="235"/>
      <c r="AF160" s="234"/>
      <c r="AG160" s="230"/>
      <c r="AH160" s="235"/>
      <c r="AI160" s="234"/>
      <c r="AJ160" s="230"/>
      <c r="AK160" s="235"/>
      <c r="AL160" s="231"/>
      <c r="AM160" s="230"/>
      <c r="AN160" s="235"/>
      <c r="AO160" s="234"/>
      <c r="AP160" s="230"/>
      <c r="AQ160" s="235"/>
      <c r="AR160" s="234"/>
      <c r="AS160" s="230"/>
      <c r="AT160" s="235"/>
      <c r="AU160" s="234"/>
      <c r="AV160" s="230"/>
      <c r="AW160" s="235"/>
      <c r="AX160" s="234"/>
      <c r="AY160" s="230"/>
      <c r="AZ160" s="235">
        <f>IFERROR(__xludf.DUMMYFUNCTION("""COMPUTED_VALUE"""),30.782021276595746)</f>
        <v>30.78202128</v>
      </c>
      <c r="BA160" s="234"/>
      <c r="BB160" s="230"/>
      <c r="BC160" s="235"/>
      <c r="BD160" s="234"/>
      <c r="BE160" s="230"/>
      <c r="BF160" s="235"/>
      <c r="BG160" s="234"/>
      <c r="BH160" s="230"/>
      <c r="BI160" s="235"/>
      <c r="BJ160" s="234"/>
      <c r="BK160" s="230"/>
      <c r="BL160" s="235"/>
      <c r="BM160" s="234"/>
      <c r="BN160" s="230"/>
      <c r="BO160" s="235"/>
      <c r="BP160" s="234"/>
      <c r="BQ160" s="230"/>
      <c r="BR160" s="235"/>
      <c r="BS160" s="234"/>
      <c r="BT160" s="230">
        <f>IFERROR(__xludf.DUMMYFUNCTION("""COMPUTED_VALUE"""),52.63170212765957)</f>
        <v>52.63170213</v>
      </c>
      <c r="BU160" s="235"/>
      <c r="BV160" s="234"/>
      <c r="BW160" s="230"/>
      <c r="BX160" s="235"/>
      <c r="BY160" s="234"/>
      <c r="BZ160" s="230"/>
      <c r="CA160" s="235"/>
      <c r="CB160" s="234"/>
      <c r="CC160" s="230"/>
      <c r="CD160" s="235"/>
      <c r="CE160" s="234"/>
      <c r="CF160" s="230"/>
      <c r="CG160" s="235"/>
      <c r="CH160" s="234"/>
      <c r="CI160" s="230"/>
      <c r="CJ160" s="230"/>
      <c r="CK160" s="234"/>
      <c r="CL160" s="230"/>
      <c r="CM160" s="235"/>
      <c r="CN160" s="230"/>
      <c r="CO160" s="230"/>
      <c r="CP160" s="230"/>
      <c r="CQ160" s="234"/>
      <c r="CR160" s="230"/>
      <c r="CS160" s="230"/>
      <c r="CT160" s="234"/>
      <c r="CU160" s="230"/>
      <c r="CV160" s="230"/>
      <c r="CW160" s="234"/>
      <c r="CX160" s="230"/>
      <c r="CY160" s="235"/>
      <c r="CZ160" s="230"/>
      <c r="DA160" s="230"/>
      <c r="DB160" s="235"/>
      <c r="DC160" s="234">
        <f>IFERROR(__xludf.DUMMYFUNCTION("""COMPUTED_VALUE"""),21.73913043478261)</f>
        <v>21.73913043</v>
      </c>
      <c r="DD160" s="230"/>
      <c r="DE160" s="235"/>
      <c r="DF160" s="234"/>
      <c r="DG160" s="230"/>
      <c r="DH160" s="235"/>
      <c r="DI160" s="234"/>
      <c r="DJ160" s="230"/>
      <c r="DK160" s="235"/>
      <c r="DL160" s="322"/>
      <c r="DM160" s="323">
        <f>IFERROR(__xludf.DUMMYFUNCTION("""COMPUTED_VALUE"""),32.608695652173914)</f>
        <v>32.60869565</v>
      </c>
      <c r="DN160" s="324"/>
      <c r="DO160" s="96"/>
      <c r="DP160" s="96"/>
      <c r="DQ160" s="96"/>
      <c r="DR160" s="96"/>
      <c r="DS160" s="96"/>
      <c r="DT160" s="96"/>
      <c r="DU160" s="96"/>
    </row>
    <row r="161">
      <c r="B161" s="120" t="str">
        <f>IFERROR(__xludf.DUMMYFUNCTION("""COMPUTED_VALUE"""),"AGT12")</f>
        <v>AGT12</v>
      </c>
      <c r="C161" s="88" t="str">
        <f>IFERROR(__xludf.DUMMYFUNCTION("""COMPUTED_VALUE"""),"Chasm in the Earth")</f>
        <v>Chasm in the Earth</v>
      </c>
      <c r="D161" s="102">
        <f>IFERROR(__xludf.DUMMYFUNCTION("""COMPUTED_VALUE"""),21.0)</f>
        <v>21</v>
      </c>
      <c r="E161" s="82" t="b">
        <f>IFERROR(__xludf.DUMMYFUNCTION("""COMPUTED_VALUE"""),TRUE)</f>
        <v>1</v>
      </c>
      <c r="F161" s="82" t="str">
        <f>IFERROR(__xludf.DUMMYFUNCTION("""COMPUTED_VALUE"""),"Free Quests- EoR!A288:J298")</f>
        <v>Free Quests- EoR!A288:J298</v>
      </c>
      <c r="G161" s="82">
        <f>IFERROR(__xludf.DUMMYFUNCTION("""COMPUTED_VALUE"""),162.0)</f>
        <v>162</v>
      </c>
      <c r="H161" s="82">
        <f>IFERROR(__xludf.DUMMYFUNCTION("""COMPUTED_VALUE"""),89.0)</f>
        <v>89</v>
      </c>
      <c r="I161" s="82">
        <f>IFERROR(__xludf.DUMMYFUNCTION("""COMPUTED_VALUE"""),1611.0)</f>
        <v>1611</v>
      </c>
      <c r="J161" s="82">
        <f>IFERROR(__xludf.DUMMYFUNCTION("""COMPUTED_VALUE"""),1700.0)</f>
        <v>1700</v>
      </c>
      <c r="K161" s="234"/>
      <c r="L161" s="230"/>
      <c r="M161" s="235"/>
      <c r="N161" s="234"/>
      <c r="O161" s="230"/>
      <c r="P161" s="235"/>
      <c r="Q161" s="234"/>
      <c r="R161" s="230"/>
      <c r="S161" s="235"/>
      <c r="T161" s="234"/>
      <c r="U161" s="230"/>
      <c r="V161" s="235"/>
      <c r="W161" s="234"/>
      <c r="X161" s="230"/>
      <c r="Y161" s="235"/>
      <c r="Z161" s="234"/>
      <c r="AA161" s="230"/>
      <c r="AB161" s="235"/>
      <c r="AC161" s="234"/>
      <c r="AD161" s="230"/>
      <c r="AE161" s="235"/>
      <c r="AF161" s="234">
        <f>IFERROR(__xludf.DUMMYFUNCTION("""COMPUTED_VALUE"""),39.39935294117647)</f>
        <v>39.39935294</v>
      </c>
      <c r="AG161" s="230"/>
      <c r="AH161" s="235"/>
      <c r="AI161" s="234"/>
      <c r="AJ161" s="230"/>
      <c r="AK161" s="235"/>
      <c r="AL161" s="231"/>
      <c r="AM161" s="230"/>
      <c r="AN161" s="235"/>
      <c r="AO161" s="234"/>
      <c r="AP161" s="230"/>
      <c r="AQ161" s="235"/>
      <c r="AR161" s="234"/>
      <c r="AS161" s="230"/>
      <c r="AT161" s="235"/>
      <c r="AU161" s="234"/>
      <c r="AV161" s="230"/>
      <c r="AW161" s="235"/>
      <c r="AX161" s="234"/>
      <c r="AY161" s="230"/>
      <c r="AZ161" s="235"/>
      <c r="BA161" s="234"/>
      <c r="BB161" s="230"/>
      <c r="BC161" s="235"/>
      <c r="BD161" s="234"/>
      <c r="BE161" s="230"/>
      <c r="BF161" s="235"/>
      <c r="BG161" s="234"/>
      <c r="BH161" s="230"/>
      <c r="BI161" s="235"/>
      <c r="BJ161" s="234">
        <f>IFERROR(__xludf.DUMMYFUNCTION("""COMPUTED_VALUE"""),3.231823529411765)</f>
        <v>3.231823529</v>
      </c>
      <c r="BK161" s="230"/>
      <c r="BL161" s="235"/>
      <c r="BM161" s="234"/>
      <c r="BN161" s="230"/>
      <c r="BO161" s="235"/>
      <c r="BP161" s="234"/>
      <c r="BQ161" s="230">
        <f>IFERROR(__xludf.DUMMYFUNCTION("""COMPUTED_VALUE"""),48.54911764705882)</f>
        <v>48.54911765</v>
      </c>
      <c r="BR161" s="235"/>
      <c r="BS161" s="234"/>
      <c r="BT161" s="230"/>
      <c r="BU161" s="235"/>
      <c r="BV161" s="234"/>
      <c r="BW161" s="230"/>
      <c r="BX161" s="235"/>
      <c r="BY161" s="234"/>
      <c r="BZ161" s="230"/>
      <c r="CA161" s="235"/>
      <c r="CB161" s="234"/>
      <c r="CC161" s="230"/>
      <c r="CD161" s="235"/>
      <c r="CE161" s="234"/>
      <c r="CF161" s="230"/>
      <c r="CG161" s="235"/>
      <c r="CH161" s="234"/>
      <c r="CI161" s="230"/>
      <c r="CJ161" s="230"/>
      <c r="CK161" s="234"/>
      <c r="CL161" s="230"/>
      <c r="CM161" s="235"/>
      <c r="CN161" s="230"/>
      <c r="CO161" s="230"/>
      <c r="CP161" s="230"/>
      <c r="CQ161" s="234"/>
      <c r="CR161" s="230"/>
      <c r="CS161" s="230">
        <f>IFERROR(__xludf.DUMMYFUNCTION("""COMPUTED_VALUE"""),7.865168539325842)</f>
        <v>7.865168539</v>
      </c>
      <c r="CT161" s="234"/>
      <c r="CU161" s="230"/>
      <c r="CV161" s="230"/>
      <c r="CW161" s="234"/>
      <c r="CX161" s="230"/>
      <c r="CY161" s="235"/>
      <c r="CZ161" s="230"/>
      <c r="DA161" s="230">
        <f>IFERROR(__xludf.DUMMYFUNCTION("""COMPUTED_VALUE"""),28.915662650602407)</f>
        <v>28.91566265</v>
      </c>
      <c r="DB161" s="235"/>
      <c r="DC161" s="234"/>
      <c r="DD161" s="230"/>
      <c r="DE161" s="235"/>
      <c r="DF161" s="234"/>
      <c r="DG161" s="230"/>
      <c r="DH161" s="235"/>
      <c r="DI161" s="234">
        <f>IFERROR(__xludf.DUMMYFUNCTION("""COMPUTED_VALUE"""),42.168674698795186)</f>
        <v>42.1686747</v>
      </c>
      <c r="DJ161" s="230"/>
      <c r="DK161" s="235"/>
      <c r="DL161" s="317"/>
      <c r="DM161" s="318"/>
      <c r="DN161" s="282"/>
      <c r="DO161" s="96"/>
      <c r="DP161" s="96"/>
      <c r="DQ161" s="96"/>
      <c r="DR161" s="96"/>
      <c r="DS161" s="96"/>
      <c r="DT161" s="96"/>
      <c r="DU161" s="96"/>
    </row>
    <row r="162">
      <c r="A162" s="155" t="str">
        <f>IFERROR(__xludf.DUMMYFUNCTION("""COMPUTED_VALUE"""),"SHIMOSA")</f>
        <v>SHIMOSA</v>
      </c>
      <c r="B162" s="120" t="str">
        <f>IFERROR(__xludf.DUMMYFUNCTION("""COMPUTED_VALUE"""),"SMS1")</f>
        <v>SMS1</v>
      </c>
      <c r="C162" s="88" t="str">
        <f>IFERROR(__xludf.DUMMYFUNCTION("""COMPUTED_VALUE"""),"Rice Field")</f>
        <v>Rice Field</v>
      </c>
      <c r="D162" s="102">
        <f>IFERROR(__xludf.DUMMYFUNCTION("""COMPUTED_VALUE"""),20.0)</f>
        <v>20</v>
      </c>
      <c r="E162" s="82" t="b">
        <f>IFERROR(__xludf.DUMMYFUNCTION("""COMPUTED_VALUE"""),TRUE)</f>
        <v>1</v>
      </c>
      <c r="F162" s="82" t="str">
        <f>IFERROR(__xludf.DUMMYFUNCTION("""COMPUTED_VALUE"""),"Free Quests- EoR!A304:J314")</f>
        <v>Free Quests- EoR!A304:J314</v>
      </c>
      <c r="G162" s="82">
        <f>IFERROR(__xludf.DUMMYFUNCTION("""COMPUTED_VALUE"""),163.0)</f>
        <v>163</v>
      </c>
      <c r="H162" s="82">
        <f>IFERROR(__xludf.DUMMYFUNCTION("""COMPUTED_VALUE"""),72.0)</f>
        <v>72</v>
      </c>
      <c r="I162" s="82">
        <f>IFERROR(__xludf.DUMMYFUNCTION("""COMPUTED_VALUE"""),49597.0)</f>
        <v>49597</v>
      </c>
      <c r="J162" s="82">
        <f>IFERROR(__xludf.DUMMYFUNCTION("""COMPUTED_VALUE"""),49669.0)</f>
        <v>49669</v>
      </c>
      <c r="K162" s="234"/>
      <c r="L162" s="230"/>
      <c r="M162" s="235"/>
      <c r="N162" s="234"/>
      <c r="O162" s="230"/>
      <c r="P162" s="235"/>
      <c r="Q162" s="234"/>
      <c r="R162" s="230"/>
      <c r="S162" s="235"/>
      <c r="T162" s="234"/>
      <c r="U162" s="230"/>
      <c r="V162" s="235"/>
      <c r="W162" s="234"/>
      <c r="X162" s="230"/>
      <c r="Y162" s="235"/>
      <c r="Z162" s="234"/>
      <c r="AA162" s="230"/>
      <c r="AB162" s="235"/>
      <c r="AC162" s="234">
        <f>IFERROR(__xludf.DUMMYFUNCTION("""COMPUTED_VALUE"""),39.7865992872818)</f>
        <v>39.78659929</v>
      </c>
      <c r="AD162" s="230">
        <f>IFERROR(__xludf.DUMMYFUNCTION("""COMPUTED_VALUE"""),25.717105236666733)</f>
        <v>25.71710524</v>
      </c>
      <c r="AE162" s="235"/>
      <c r="AF162" s="234"/>
      <c r="AG162" s="230"/>
      <c r="AH162" s="235"/>
      <c r="AI162" s="234"/>
      <c r="AJ162" s="230"/>
      <c r="AK162" s="235"/>
      <c r="AL162" s="231"/>
      <c r="AM162" s="230"/>
      <c r="AN162" s="235"/>
      <c r="AO162" s="234"/>
      <c r="AP162" s="230"/>
      <c r="AQ162" s="235"/>
      <c r="AR162" s="234"/>
      <c r="AS162" s="230"/>
      <c r="AT162" s="235"/>
      <c r="AU162" s="234"/>
      <c r="AV162" s="230"/>
      <c r="AW162" s="235"/>
      <c r="AX162" s="234"/>
      <c r="AY162" s="230"/>
      <c r="AZ162" s="235"/>
      <c r="BA162" s="234"/>
      <c r="BB162" s="230"/>
      <c r="BC162" s="235"/>
      <c r="BD162" s="234"/>
      <c r="BE162" s="230"/>
      <c r="BF162" s="235"/>
      <c r="BG162" s="234"/>
      <c r="BH162" s="230"/>
      <c r="BI162" s="235"/>
      <c r="BJ162" s="234"/>
      <c r="BK162" s="230"/>
      <c r="BL162" s="235"/>
      <c r="BM162" s="234"/>
      <c r="BN162" s="230"/>
      <c r="BO162" s="235"/>
      <c r="BP162" s="234"/>
      <c r="BQ162" s="230"/>
      <c r="BR162" s="235"/>
      <c r="BS162" s="234"/>
      <c r="BT162" s="230"/>
      <c r="BU162" s="235"/>
      <c r="BV162" s="234">
        <f>IFERROR(__xludf.DUMMYFUNCTION("""COMPUTED_VALUE"""),25.000510421242144)</f>
        <v>25.00051042</v>
      </c>
      <c r="BW162" s="230"/>
      <c r="BX162" s="235"/>
      <c r="BY162" s="234">
        <f>IFERROR(__xludf.DUMMYFUNCTION("""COMPUTED_VALUE"""),32.10042671215844)</f>
        <v>32.10042671</v>
      </c>
      <c r="BZ162" s="230"/>
      <c r="CA162" s="235"/>
      <c r="CB162" s="234"/>
      <c r="CC162" s="230"/>
      <c r="CD162" s="235"/>
      <c r="CE162" s="234"/>
      <c r="CF162" s="230"/>
      <c r="CG162" s="235"/>
      <c r="CH162" s="234"/>
      <c r="CI162" s="230"/>
      <c r="CJ162" s="230"/>
      <c r="CK162" s="234"/>
      <c r="CL162" s="230"/>
      <c r="CM162" s="235"/>
      <c r="CN162" s="230"/>
      <c r="CO162" s="230"/>
      <c r="CP162" s="230"/>
      <c r="CQ162" s="234"/>
      <c r="CR162" s="230"/>
      <c r="CS162" s="230"/>
      <c r="CT162" s="234"/>
      <c r="CU162" s="230"/>
      <c r="CV162" s="230"/>
      <c r="CW162" s="234"/>
      <c r="CX162" s="230"/>
      <c r="CY162" s="235">
        <f>IFERROR(__xludf.DUMMYFUNCTION("""COMPUTED_VALUE"""),6.0606060606060606)</f>
        <v>6.060606061</v>
      </c>
      <c r="CZ162" s="230"/>
      <c r="DA162" s="230"/>
      <c r="DB162" s="235">
        <f>IFERROR(__xludf.DUMMYFUNCTION("""COMPUTED_VALUE"""),18.181818181818183)</f>
        <v>18.18181818</v>
      </c>
      <c r="DC162" s="234"/>
      <c r="DD162" s="230"/>
      <c r="DE162" s="235"/>
      <c r="DF162" s="234"/>
      <c r="DG162" s="230">
        <f>IFERROR(__xludf.DUMMYFUNCTION("""COMPUTED_VALUE"""),24.242424242424242)</f>
        <v>24.24242424</v>
      </c>
      <c r="DH162" s="235"/>
      <c r="DI162" s="234"/>
      <c r="DJ162" s="230"/>
      <c r="DK162" s="235"/>
      <c r="DL162" s="325"/>
      <c r="DM162" s="326"/>
      <c r="DN162" s="327"/>
      <c r="DO162" s="96"/>
      <c r="DP162" s="96"/>
      <c r="DQ162" s="96"/>
      <c r="DR162" s="96"/>
      <c r="DS162" s="96"/>
      <c r="DT162" s="96"/>
      <c r="DU162" s="96"/>
    </row>
    <row r="163">
      <c r="B163" s="120" t="str">
        <f>IFERROR(__xludf.DUMMYFUNCTION("""COMPUTED_VALUE"""),"SMS2")</f>
        <v>SMS2</v>
      </c>
      <c r="C163" s="88" t="str">
        <f>IFERROR(__xludf.DUMMYFUNCTION("""COMPUTED_VALUE"""),"Village")</f>
        <v>Village</v>
      </c>
      <c r="D163" s="102">
        <f>IFERROR(__xludf.DUMMYFUNCTION("""COMPUTED_VALUE"""),21.0)</f>
        <v>21</v>
      </c>
      <c r="E163" s="82" t="b">
        <f>IFERROR(__xludf.DUMMYFUNCTION("""COMPUTED_VALUE"""),TRUE)</f>
        <v>1</v>
      </c>
      <c r="F163" s="82" t="str">
        <f>IFERROR(__xludf.DUMMYFUNCTION("""COMPUTED_VALUE"""),"Free Quests- EoR!A318:J329")</f>
        <v>Free Quests- EoR!A318:J329</v>
      </c>
      <c r="G163" s="82">
        <f>IFERROR(__xludf.DUMMYFUNCTION("""COMPUTED_VALUE"""),164.0)</f>
        <v>164</v>
      </c>
      <c r="H163" s="82">
        <f>IFERROR(__xludf.DUMMYFUNCTION("""COMPUTED_VALUE"""),201.0)</f>
        <v>201</v>
      </c>
      <c r="I163" s="82">
        <f>IFERROR(__xludf.DUMMYFUNCTION("""COMPUTED_VALUE"""),26324.0)</f>
        <v>26324</v>
      </c>
      <c r="J163" s="82">
        <f>IFERROR(__xludf.DUMMYFUNCTION("""COMPUTED_VALUE"""),26525.0)</f>
        <v>26525</v>
      </c>
      <c r="K163" s="234"/>
      <c r="L163" s="230"/>
      <c r="M163" s="235"/>
      <c r="N163" s="234"/>
      <c r="O163" s="230"/>
      <c r="P163" s="235"/>
      <c r="Q163" s="234"/>
      <c r="R163" s="230"/>
      <c r="S163" s="235"/>
      <c r="T163" s="234"/>
      <c r="U163" s="230"/>
      <c r="V163" s="235"/>
      <c r="W163" s="234"/>
      <c r="X163" s="230"/>
      <c r="Y163" s="235"/>
      <c r="Z163" s="234"/>
      <c r="AA163" s="230"/>
      <c r="AB163" s="235"/>
      <c r="AC163" s="234">
        <f>IFERROR(__xludf.DUMMYFUNCTION("""COMPUTED_VALUE"""),35.17454476908577)</f>
        <v>35.17454477</v>
      </c>
      <c r="AD163" s="230"/>
      <c r="AE163" s="235"/>
      <c r="AF163" s="234"/>
      <c r="AG163" s="230"/>
      <c r="AH163" s="235"/>
      <c r="AI163" s="234"/>
      <c r="AJ163" s="230"/>
      <c r="AK163" s="235"/>
      <c r="AL163" s="231"/>
      <c r="AM163" s="230"/>
      <c r="AN163" s="235">
        <f>IFERROR(__xludf.DUMMYFUNCTION("""COMPUTED_VALUE"""),25.38471630537229)</f>
        <v>25.38471631</v>
      </c>
      <c r="AO163" s="234"/>
      <c r="AP163" s="230"/>
      <c r="AQ163" s="235"/>
      <c r="AR163" s="234"/>
      <c r="AS163" s="230"/>
      <c r="AT163" s="235"/>
      <c r="AU163" s="234"/>
      <c r="AV163" s="230"/>
      <c r="AW163" s="235"/>
      <c r="AX163" s="234"/>
      <c r="AY163" s="230"/>
      <c r="AZ163" s="235">
        <f>IFERROR(__xludf.DUMMYFUNCTION("""COMPUTED_VALUE"""),30.28528557964185)</f>
        <v>30.28528558</v>
      </c>
      <c r="BA163" s="234"/>
      <c r="BB163" s="230"/>
      <c r="BC163" s="235"/>
      <c r="BD163" s="234"/>
      <c r="BE163" s="230"/>
      <c r="BF163" s="235"/>
      <c r="BG163" s="234"/>
      <c r="BH163" s="230"/>
      <c r="BI163" s="235"/>
      <c r="BJ163" s="234"/>
      <c r="BK163" s="230"/>
      <c r="BL163" s="235"/>
      <c r="BM163" s="234">
        <f>IFERROR(__xludf.DUMMYFUNCTION("""COMPUTED_VALUE"""),17.581445977208467)</f>
        <v>17.58144598</v>
      </c>
      <c r="BN163" s="230"/>
      <c r="BO163" s="235"/>
      <c r="BP163" s="234"/>
      <c r="BQ163" s="230"/>
      <c r="BR163" s="235"/>
      <c r="BS163" s="234"/>
      <c r="BT163" s="230"/>
      <c r="BU163" s="235"/>
      <c r="BV163" s="234">
        <f>IFERROR(__xludf.DUMMYFUNCTION("""COMPUTED_VALUE"""),23.843117133542435)</f>
        <v>23.84311713</v>
      </c>
      <c r="BW163" s="230"/>
      <c r="BX163" s="235"/>
      <c r="BY163" s="234"/>
      <c r="BZ163" s="230"/>
      <c r="CA163" s="235"/>
      <c r="CB163" s="234"/>
      <c r="CC163" s="230"/>
      <c r="CD163" s="235"/>
      <c r="CE163" s="234"/>
      <c r="CF163" s="230"/>
      <c r="CG163" s="235"/>
      <c r="CH163" s="234"/>
      <c r="CI163" s="230"/>
      <c r="CJ163" s="230"/>
      <c r="CK163" s="234"/>
      <c r="CL163" s="230"/>
      <c r="CM163" s="235"/>
      <c r="CN163" s="230"/>
      <c r="CO163" s="230">
        <f>IFERROR(__xludf.DUMMYFUNCTION("""COMPUTED_VALUE"""),13.186931475100817)</f>
        <v>13.18693148</v>
      </c>
      <c r="CP163" s="230"/>
      <c r="CQ163" s="234"/>
      <c r="CR163" s="230"/>
      <c r="CS163" s="230"/>
      <c r="CT163" s="234"/>
      <c r="CU163" s="230"/>
      <c r="CV163" s="230"/>
      <c r="CW163" s="234"/>
      <c r="CX163" s="230"/>
      <c r="CY163" s="235">
        <f>IFERROR(__xludf.DUMMYFUNCTION("""COMPUTED_VALUE"""),27.586206896551722)</f>
        <v>27.5862069</v>
      </c>
      <c r="CZ163" s="230"/>
      <c r="DA163" s="230"/>
      <c r="DB163" s="235"/>
      <c r="DC163" s="234"/>
      <c r="DD163" s="230"/>
      <c r="DE163" s="235"/>
      <c r="DF163" s="234"/>
      <c r="DG163" s="230">
        <f>IFERROR(__xludf.DUMMYFUNCTION("""COMPUTED_VALUE"""),32.758620689655174)</f>
        <v>32.75862069</v>
      </c>
      <c r="DH163" s="235"/>
      <c r="DI163" s="234"/>
      <c r="DJ163" s="230"/>
      <c r="DK163" s="235"/>
      <c r="DL163" s="317"/>
      <c r="DM163" s="318"/>
      <c r="DN163" s="282"/>
      <c r="DO163" s="96"/>
      <c r="DP163" s="96"/>
      <c r="DQ163" s="96"/>
      <c r="DR163" s="96"/>
      <c r="DS163" s="96"/>
      <c r="DT163" s="96"/>
      <c r="DU163" s="96"/>
    </row>
    <row r="164">
      <c r="B164" s="120" t="str">
        <f>IFERROR(__xludf.DUMMYFUNCTION("""COMPUTED_VALUE"""),"SMS3")</f>
        <v>SMS3</v>
      </c>
      <c r="C164" s="88" t="str">
        <f>IFERROR(__xludf.DUMMYFUNCTION("""COMPUTED_VALUE"""),"Monastery")</f>
        <v>Monastery</v>
      </c>
      <c r="D164" s="102">
        <f>IFERROR(__xludf.DUMMYFUNCTION("""COMPUTED_VALUE"""),21.0)</f>
        <v>21</v>
      </c>
      <c r="E164" s="82" t="b">
        <f>IFERROR(__xludf.DUMMYFUNCTION("""COMPUTED_VALUE"""),TRUE)</f>
        <v>1</v>
      </c>
      <c r="F164" s="82" t="str">
        <f>IFERROR(__xludf.DUMMYFUNCTION("""COMPUTED_VALUE"""),"Free Quests- EoR!A333:J342")</f>
        <v>Free Quests- EoR!A333:J342</v>
      </c>
      <c r="G164" s="82">
        <f>IFERROR(__xludf.DUMMYFUNCTION("""COMPUTED_VALUE"""),165.0)</f>
        <v>165</v>
      </c>
      <c r="H164" s="82">
        <f>IFERROR(__xludf.DUMMYFUNCTION("""COMPUTED_VALUE"""),42.0)</f>
        <v>42</v>
      </c>
      <c r="I164" s="82">
        <f>IFERROR(__xludf.DUMMYFUNCTION("""COMPUTED_VALUE"""),10300.0)</f>
        <v>10300</v>
      </c>
      <c r="J164" s="82">
        <f>IFERROR(__xludf.DUMMYFUNCTION("""COMPUTED_VALUE"""),10342.0)</f>
        <v>10342</v>
      </c>
      <c r="K164" s="234"/>
      <c r="L164" s="230"/>
      <c r="M164" s="235"/>
      <c r="N164" s="234"/>
      <c r="O164" s="230"/>
      <c r="P164" s="235"/>
      <c r="Q164" s="234"/>
      <c r="R164" s="230"/>
      <c r="S164" s="235"/>
      <c r="T164" s="234"/>
      <c r="U164" s="230"/>
      <c r="V164" s="235"/>
      <c r="W164" s="234"/>
      <c r="X164" s="230"/>
      <c r="Y164" s="235"/>
      <c r="Z164" s="234"/>
      <c r="AA164" s="230"/>
      <c r="AB164" s="235"/>
      <c r="AC164" s="234"/>
      <c r="AD164" s="230">
        <f>IFERROR(__xludf.DUMMYFUNCTION("""COMPUTED_VALUE"""),25.194353123187003)</f>
        <v>25.19435312</v>
      </c>
      <c r="AE164" s="235"/>
      <c r="AF164" s="234"/>
      <c r="AG164" s="230"/>
      <c r="AH164" s="235"/>
      <c r="AI164" s="234"/>
      <c r="AJ164" s="230"/>
      <c r="AK164" s="235"/>
      <c r="AL164" s="231"/>
      <c r="AM164" s="230"/>
      <c r="AN164" s="235">
        <f>IFERROR(__xludf.DUMMYFUNCTION("""COMPUTED_VALUE"""),25.175014503964416)</f>
        <v>25.1750145</v>
      </c>
      <c r="AO164" s="234"/>
      <c r="AP164" s="230"/>
      <c r="AQ164" s="235"/>
      <c r="AR164" s="234"/>
      <c r="AS164" s="230"/>
      <c r="AT164" s="235"/>
      <c r="AU164" s="234"/>
      <c r="AV164" s="230"/>
      <c r="AW164" s="235"/>
      <c r="AX164" s="234"/>
      <c r="AY164" s="230"/>
      <c r="AZ164" s="235"/>
      <c r="BA164" s="234"/>
      <c r="BB164" s="230"/>
      <c r="BC164" s="235"/>
      <c r="BD164" s="234"/>
      <c r="BE164" s="230"/>
      <c r="BF164" s="235"/>
      <c r="BG164" s="234"/>
      <c r="BH164" s="230"/>
      <c r="BI164" s="235"/>
      <c r="BJ164" s="234"/>
      <c r="BK164" s="230"/>
      <c r="BL164" s="235"/>
      <c r="BM164" s="234">
        <f>IFERROR(__xludf.DUMMYFUNCTION("""COMPUTED_VALUE"""),20.783214078514796)</f>
        <v>20.78321408</v>
      </c>
      <c r="BN164" s="230"/>
      <c r="BO164" s="235"/>
      <c r="BP164" s="234"/>
      <c r="BQ164" s="230"/>
      <c r="BR164" s="235"/>
      <c r="BS164" s="234"/>
      <c r="BT164" s="230"/>
      <c r="BU164" s="235"/>
      <c r="BV164" s="234"/>
      <c r="BW164" s="230"/>
      <c r="BX164" s="235"/>
      <c r="BY164" s="234">
        <f>IFERROR(__xludf.DUMMYFUNCTION("""COMPUTED_VALUE"""),40.5496630617497)</f>
        <v>40.54966306</v>
      </c>
      <c r="BZ164" s="230"/>
      <c r="CA164" s="235"/>
      <c r="CB164" s="234"/>
      <c r="CC164" s="230"/>
      <c r="CD164" s="235"/>
      <c r="CE164" s="234"/>
      <c r="CF164" s="230"/>
      <c r="CG164" s="235"/>
      <c r="CH164" s="234"/>
      <c r="CI164" s="230"/>
      <c r="CJ164" s="230"/>
      <c r="CK164" s="234"/>
      <c r="CL164" s="230"/>
      <c r="CM164" s="235"/>
      <c r="CN164" s="230"/>
      <c r="CO164" s="230">
        <f>IFERROR(__xludf.DUMMYFUNCTION("""COMPUTED_VALUE"""),22.423575264418425)</f>
        <v>22.42357526</v>
      </c>
      <c r="CP164" s="230"/>
      <c r="CQ164" s="234"/>
      <c r="CR164" s="230"/>
      <c r="CS164" s="230"/>
      <c r="CT164" s="234"/>
      <c r="CU164" s="230"/>
      <c r="CV164" s="230"/>
      <c r="CW164" s="234"/>
      <c r="CX164" s="230"/>
      <c r="CY164" s="235"/>
      <c r="CZ164" s="230"/>
      <c r="DA164" s="230"/>
      <c r="DB164" s="235">
        <f>IFERROR(__xludf.DUMMYFUNCTION("""COMPUTED_VALUE"""),17.94871794871795)</f>
        <v>17.94871795</v>
      </c>
      <c r="DC164" s="234"/>
      <c r="DD164" s="230"/>
      <c r="DE164" s="235"/>
      <c r="DF164" s="234"/>
      <c r="DG164" s="230"/>
      <c r="DH164" s="235"/>
      <c r="DI164" s="234"/>
      <c r="DJ164" s="230"/>
      <c r="DK164" s="235"/>
      <c r="DL164" s="325"/>
      <c r="DM164" s="326"/>
      <c r="DN164" s="327"/>
      <c r="DO164" s="96"/>
      <c r="DP164" s="96"/>
      <c r="DQ164" s="96"/>
      <c r="DR164" s="96"/>
      <c r="DS164" s="96"/>
      <c r="DT164" s="96"/>
      <c r="DU164" s="96"/>
    </row>
    <row r="165">
      <c r="B165" s="120" t="str">
        <f>IFERROR(__xludf.DUMMYFUNCTION("""COMPUTED_VALUE"""),"SMS4")</f>
        <v>SMS4</v>
      </c>
      <c r="C165" s="88" t="str">
        <f>IFERROR(__xludf.DUMMYFUNCTION("""COMPUTED_VALUE"""),"Castle Town")</f>
        <v>Castle Town</v>
      </c>
      <c r="D165" s="102">
        <f>IFERROR(__xludf.DUMMYFUNCTION("""COMPUTED_VALUE"""),21.0)</f>
        <v>21</v>
      </c>
      <c r="E165" s="82" t="b">
        <f>IFERROR(__xludf.DUMMYFUNCTION("""COMPUTED_VALUE"""),TRUE)</f>
        <v>1</v>
      </c>
      <c r="F165" s="82" t="str">
        <f>IFERROR(__xludf.DUMMYFUNCTION("""COMPUTED_VALUE"""),"Free Quests- EoR!A346:J351")</f>
        <v>Free Quests- EoR!A346:J351</v>
      </c>
      <c r="G165" s="82">
        <f>IFERROR(__xludf.DUMMYFUNCTION("""COMPUTED_VALUE"""),166.0)</f>
        <v>166</v>
      </c>
      <c r="H165" s="82">
        <f>IFERROR(__xludf.DUMMYFUNCTION("""COMPUTED_VALUE"""),3880.0)</f>
        <v>3880</v>
      </c>
      <c r="I165" s="82">
        <f>IFERROR(__xludf.DUMMYFUNCTION("""COMPUTED_VALUE"""),10765.0)</f>
        <v>10765</v>
      </c>
      <c r="J165" s="82">
        <f>IFERROR(__xludf.DUMMYFUNCTION("""COMPUTED_VALUE"""),14645.0)</f>
        <v>14645</v>
      </c>
      <c r="K165" s="234"/>
      <c r="L165" s="230"/>
      <c r="M165" s="235"/>
      <c r="N165" s="234"/>
      <c r="O165" s="230"/>
      <c r="P165" s="235"/>
      <c r="Q165" s="234"/>
      <c r="R165" s="230"/>
      <c r="S165" s="235"/>
      <c r="T165" s="234"/>
      <c r="U165" s="230"/>
      <c r="V165" s="235"/>
      <c r="W165" s="234"/>
      <c r="X165" s="230"/>
      <c r="Y165" s="235"/>
      <c r="Z165" s="234"/>
      <c r="AA165" s="230"/>
      <c r="AB165" s="235"/>
      <c r="AC165" s="234"/>
      <c r="AD165" s="230"/>
      <c r="AE165" s="235"/>
      <c r="AF165" s="234"/>
      <c r="AG165" s="230"/>
      <c r="AH165" s="235"/>
      <c r="AI165" s="234"/>
      <c r="AJ165" s="230"/>
      <c r="AK165" s="235"/>
      <c r="AL165" s="231"/>
      <c r="AM165" s="230"/>
      <c r="AN165" s="235">
        <f>IFERROR(__xludf.DUMMYFUNCTION("""COMPUTED_VALUE"""),40.40850119494708)</f>
        <v>40.40850119</v>
      </c>
      <c r="AO165" s="234"/>
      <c r="AP165" s="230"/>
      <c r="AQ165" s="235"/>
      <c r="AR165" s="234"/>
      <c r="AS165" s="230"/>
      <c r="AT165" s="235"/>
      <c r="AU165" s="234"/>
      <c r="AV165" s="230"/>
      <c r="AW165" s="235"/>
      <c r="AX165" s="234"/>
      <c r="AY165" s="230"/>
      <c r="AZ165" s="235"/>
      <c r="BA165" s="234"/>
      <c r="BB165" s="230"/>
      <c r="BC165" s="235"/>
      <c r="BD165" s="234"/>
      <c r="BE165" s="230"/>
      <c r="BF165" s="235"/>
      <c r="BG165" s="234"/>
      <c r="BH165" s="230"/>
      <c r="BI165" s="235"/>
      <c r="BJ165" s="234"/>
      <c r="BK165" s="230"/>
      <c r="BL165" s="235"/>
      <c r="BM165" s="234">
        <f>IFERROR(__xludf.DUMMYFUNCTION("""COMPUTED_VALUE"""),40.21590415993768)</f>
        <v>40.21590416</v>
      </c>
      <c r="BN165" s="230"/>
      <c r="BO165" s="235"/>
      <c r="BP165" s="234"/>
      <c r="BQ165" s="230"/>
      <c r="BR165" s="235"/>
      <c r="BS165" s="234"/>
      <c r="BT165" s="230"/>
      <c r="BU165" s="235"/>
      <c r="BV165" s="234"/>
      <c r="BW165" s="230"/>
      <c r="BX165" s="235"/>
      <c r="BY165" s="234"/>
      <c r="BZ165" s="230"/>
      <c r="CA165" s="235"/>
      <c r="CB165" s="234"/>
      <c r="CC165" s="230"/>
      <c r="CD165" s="235"/>
      <c r="CE165" s="234"/>
      <c r="CF165" s="230"/>
      <c r="CG165" s="235"/>
      <c r="CH165" s="234"/>
      <c r="CI165" s="230"/>
      <c r="CJ165" s="230"/>
      <c r="CK165" s="234"/>
      <c r="CL165" s="230"/>
      <c r="CM165" s="235"/>
      <c r="CN165" s="230"/>
      <c r="CO165" s="230">
        <f>IFERROR(__xludf.DUMMYFUNCTION("""COMPUTED_VALUE"""),38.355025400787675)</f>
        <v>38.3550254</v>
      </c>
      <c r="CP165" s="230"/>
      <c r="CQ165" s="234"/>
      <c r="CR165" s="230"/>
      <c r="CS165" s="230"/>
      <c r="CT165" s="234"/>
      <c r="CU165" s="230"/>
      <c r="CV165" s="230"/>
      <c r="CW165" s="234"/>
      <c r="CX165" s="230"/>
      <c r="CY165" s="235"/>
      <c r="CZ165" s="230"/>
      <c r="DA165" s="230"/>
      <c r="DB165" s="235"/>
      <c r="DC165" s="234"/>
      <c r="DD165" s="230"/>
      <c r="DE165" s="235"/>
      <c r="DF165" s="234"/>
      <c r="DG165" s="230"/>
      <c r="DH165" s="235"/>
      <c r="DI165" s="234"/>
      <c r="DJ165" s="230"/>
      <c r="DK165" s="235"/>
      <c r="DL165" s="317"/>
      <c r="DM165" s="318"/>
      <c r="DN165" s="282"/>
      <c r="DO165" s="96"/>
      <c r="DP165" s="96"/>
      <c r="DQ165" s="96"/>
      <c r="DR165" s="96"/>
      <c r="DS165" s="96"/>
      <c r="DT165" s="96"/>
      <c r="DU165" s="96"/>
    </row>
    <row r="166">
      <c r="B166" s="120" t="str">
        <f>IFERROR(__xludf.DUMMYFUNCTION("""COMPUTED_VALUE"""),"SMS5")</f>
        <v>SMS5</v>
      </c>
      <c r="C166" s="88" t="str">
        <f>IFERROR(__xludf.DUMMYFUNCTION("""COMPUTED_VALUE"""),"Battlefield")</f>
        <v>Battlefield</v>
      </c>
      <c r="D166" s="102">
        <f>IFERROR(__xludf.DUMMYFUNCTION("""COMPUTED_VALUE"""),21.0)</f>
        <v>21</v>
      </c>
      <c r="E166" s="82" t="b">
        <f>IFERROR(__xludf.DUMMYFUNCTION("""COMPUTED_VALUE"""),TRUE)</f>
        <v>1</v>
      </c>
      <c r="F166" s="82" t="str">
        <f>IFERROR(__xludf.DUMMYFUNCTION("""COMPUTED_VALUE"""),"Free Quests- EoR!A355:J366")</f>
        <v>Free Quests- EoR!A355:J366</v>
      </c>
      <c r="G166" s="82">
        <f>IFERROR(__xludf.DUMMYFUNCTION("""COMPUTED_VALUE"""),167.0)</f>
        <v>167</v>
      </c>
      <c r="H166" s="82">
        <f>IFERROR(__xludf.DUMMYFUNCTION("""COMPUTED_VALUE"""),271.0)</f>
        <v>271</v>
      </c>
      <c r="I166" s="82">
        <f>IFERROR(__xludf.DUMMYFUNCTION("""COMPUTED_VALUE"""),110438.0)</f>
        <v>110438</v>
      </c>
      <c r="J166" s="82">
        <f>IFERROR(__xludf.DUMMYFUNCTION("""COMPUTED_VALUE"""),110709.0)</f>
        <v>110709</v>
      </c>
      <c r="K166" s="234"/>
      <c r="L166" s="230"/>
      <c r="M166" s="235"/>
      <c r="N166" s="234"/>
      <c r="O166" s="230"/>
      <c r="P166" s="235"/>
      <c r="Q166" s="234"/>
      <c r="R166" s="230"/>
      <c r="S166" s="235"/>
      <c r="T166" s="234"/>
      <c r="U166" s="230"/>
      <c r="V166" s="235"/>
      <c r="W166" s="234"/>
      <c r="X166" s="230"/>
      <c r="Y166" s="235"/>
      <c r="Z166" s="234"/>
      <c r="AA166" s="230"/>
      <c r="AB166" s="235"/>
      <c r="AC166" s="234"/>
      <c r="AD166" s="230"/>
      <c r="AE166" s="235"/>
      <c r="AF166" s="234"/>
      <c r="AG166" s="230"/>
      <c r="AH166" s="235"/>
      <c r="AI166" s="234"/>
      <c r="AJ166" s="230"/>
      <c r="AK166" s="235"/>
      <c r="AL166" s="231"/>
      <c r="AM166" s="230"/>
      <c r="AN166" s="235">
        <f>IFERROR(__xludf.DUMMYFUNCTION("""COMPUTED_VALUE"""),25.20967220370521)</f>
        <v>25.2096722</v>
      </c>
      <c r="AO166" s="234"/>
      <c r="AP166" s="230"/>
      <c r="AQ166" s="235"/>
      <c r="AR166" s="234"/>
      <c r="AS166" s="230"/>
      <c r="AT166" s="235"/>
      <c r="AU166" s="234"/>
      <c r="AV166" s="230"/>
      <c r="AW166" s="235"/>
      <c r="AX166" s="234">
        <f>IFERROR(__xludf.DUMMYFUNCTION("""COMPUTED_VALUE"""),39.90078674723826)</f>
        <v>39.90078675</v>
      </c>
      <c r="AY166" s="230"/>
      <c r="AZ166" s="235">
        <f>IFERROR(__xludf.DUMMYFUNCTION("""COMPUTED_VALUE"""),30.697112249229964)</f>
        <v>30.69711225</v>
      </c>
      <c r="BA166" s="234"/>
      <c r="BB166" s="230"/>
      <c r="BC166" s="235"/>
      <c r="BD166" s="234"/>
      <c r="BE166" s="230"/>
      <c r="BF166" s="235"/>
      <c r="BG166" s="234"/>
      <c r="BH166" s="230"/>
      <c r="BI166" s="235"/>
      <c r="BJ166" s="234"/>
      <c r="BK166" s="230"/>
      <c r="BL166" s="235"/>
      <c r="BM166" s="234">
        <f>IFERROR(__xludf.DUMMYFUNCTION("""COMPUTED_VALUE"""),15.39947416366497)</f>
        <v>15.39947416</v>
      </c>
      <c r="BN166" s="230"/>
      <c r="BO166" s="235"/>
      <c r="BP166" s="234"/>
      <c r="BQ166" s="230"/>
      <c r="BR166" s="235"/>
      <c r="BS166" s="234"/>
      <c r="BT166" s="230">
        <f>IFERROR(__xludf.DUMMYFUNCTION("""COMPUTED_VALUE"""),24.492090127904227)</f>
        <v>24.49209013</v>
      </c>
      <c r="BU166" s="235"/>
      <c r="BV166" s="234"/>
      <c r="BW166" s="230"/>
      <c r="BX166" s="235"/>
      <c r="BY166" s="234"/>
      <c r="BZ166" s="230"/>
      <c r="CA166" s="235"/>
      <c r="CB166" s="234"/>
      <c r="CC166" s="230"/>
      <c r="CD166" s="235"/>
      <c r="CE166" s="234"/>
      <c r="CF166" s="230"/>
      <c r="CG166" s="235"/>
      <c r="CH166" s="234"/>
      <c r="CI166" s="230"/>
      <c r="CJ166" s="230"/>
      <c r="CK166" s="234"/>
      <c r="CL166" s="230"/>
      <c r="CM166" s="235"/>
      <c r="CN166" s="230"/>
      <c r="CO166" s="230">
        <f>IFERROR(__xludf.DUMMYFUNCTION("""COMPUTED_VALUE"""),13.509882773218965)</f>
        <v>13.50988277</v>
      </c>
      <c r="CP166" s="230"/>
      <c r="CQ166" s="234"/>
      <c r="CR166" s="230"/>
      <c r="CS166" s="230"/>
      <c r="CT166" s="234"/>
      <c r="CU166" s="230"/>
      <c r="CV166" s="230"/>
      <c r="CW166" s="234">
        <f>IFERROR(__xludf.DUMMYFUNCTION("""COMPUTED_VALUE"""),23.507462686567166)</f>
        <v>23.50746269</v>
      </c>
      <c r="CX166" s="230">
        <f>IFERROR(__xludf.DUMMYFUNCTION("""COMPUTED_VALUE"""),20.8955223880597)</f>
        <v>20.89552239</v>
      </c>
      <c r="CY166" s="235"/>
      <c r="CZ166" s="230"/>
      <c r="DA166" s="230"/>
      <c r="DB166" s="235"/>
      <c r="DC166" s="234"/>
      <c r="DD166" s="230"/>
      <c r="DE166" s="235"/>
      <c r="DF166" s="234"/>
      <c r="DG166" s="230"/>
      <c r="DH166" s="235"/>
      <c r="DI166" s="234"/>
      <c r="DJ166" s="230"/>
      <c r="DK166" s="235"/>
      <c r="DL166" s="325"/>
      <c r="DM166" s="326"/>
      <c r="DN166" s="327"/>
      <c r="DO166" s="96"/>
      <c r="DP166" s="96"/>
      <c r="DQ166" s="96"/>
      <c r="DR166" s="96"/>
      <c r="DS166" s="96"/>
      <c r="DT166" s="96"/>
      <c r="DU166" s="96"/>
    </row>
    <row r="167">
      <c r="B167" s="120" t="str">
        <f>IFERROR(__xludf.DUMMYFUNCTION("""COMPUTED_VALUE"""),"SMS6")</f>
        <v>SMS6</v>
      </c>
      <c r="C167" s="88" t="str">
        <f>IFERROR(__xludf.DUMMYFUNCTION("""COMPUTED_VALUE"""),"Toke Castle")</f>
        <v>Toke Castle</v>
      </c>
      <c r="D167" s="102">
        <f>IFERROR(__xludf.DUMMYFUNCTION("""COMPUTED_VALUE"""),21.0)</f>
        <v>21</v>
      </c>
      <c r="E167" s="82" t="b">
        <f>IFERROR(__xludf.DUMMYFUNCTION("""COMPUTED_VALUE"""),TRUE)</f>
        <v>1</v>
      </c>
      <c r="F167" s="82" t="str">
        <f>IFERROR(__xludf.DUMMYFUNCTION("""COMPUTED_VALUE"""),"Free Quests- EoR!A370:J380")</f>
        <v>Free Quests- EoR!A370:J380</v>
      </c>
      <c r="G167" s="82">
        <f>IFERROR(__xludf.DUMMYFUNCTION("""COMPUTED_VALUE"""),168.0)</f>
        <v>168</v>
      </c>
      <c r="H167" s="82">
        <f>IFERROR(__xludf.DUMMYFUNCTION("""COMPUTED_VALUE"""),182.0)</f>
        <v>182</v>
      </c>
      <c r="I167" s="82">
        <f>IFERROR(__xludf.DUMMYFUNCTION("""COMPUTED_VALUE"""),2591.0)</f>
        <v>2591</v>
      </c>
      <c r="J167" s="82">
        <f>IFERROR(__xludf.DUMMYFUNCTION("""COMPUTED_VALUE"""),2773.0)</f>
        <v>2773</v>
      </c>
      <c r="K167" s="234"/>
      <c r="L167" s="230"/>
      <c r="M167" s="235"/>
      <c r="N167" s="234"/>
      <c r="O167" s="230"/>
      <c r="P167" s="235"/>
      <c r="Q167" s="234"/>
      <c r="R167" s="230"/>
      <c r="S167" s="235"/>
      <c r="T167" s="234"/>
      <c r="U167" s="230"/>
      <c r="V167" s="235">
        <f>IFERROR(__xludf.DUMMYFUNCTION("""COMPUTED_VALUE"""),9.489542012261088)</f>
        <v>9.489542012</v>
      </c>
      <c r="W167" s="234"/>
      <c r="X167" s="230"/>
      <c r="Y167" s="235"/>
      <c r="Z167" s="234"/>
      <c r="AA167" s="230"/>
      <c r="AB167" s="235"/>
      <c r="AC167" s="234"/>
      <c r="AD167" s="230"/>
      <c r="AE167" s="235"/>
      <c r="AF167" s="234"/>
      <c r="AG167" s="230"/>
      <c r="AH167" s="235"/>
      <c r="AI167" s="234"/>
      <c r="AJ167" s="230"/>
      <c r="AK167" s="235"/>
      <c r="AL167" s="231"/>
      <c r="AM167" s="230"/>
      <c r="AN167" s="235">
        <f>IFERROR(__xludf.DUMMYFUNCTION("""COMPUTED_VALUE"""),26.66545257843491)</f>
        <v>26.66545258</v>
      </c>
      <c r="AO167" s="234"/>
      <c r="AP167" s="230"/>
      <c r="AQ167" s="235"/>
      <c r="AR167" s="234"/>
      <c r="AS167" s="230"/>
      <c r="AT167" s="235"/>
      <c r="AU167" s="234"/>
      <c r="AV167" s="230"/>
      <c r="AW167" s="235"/>
      <c r="AX167" s="234"/>
      <c r="AY167" s="230"/>
      <c r="AZ167" s="235">
        <f>IFERROR(__xludf.DUMMYFUNCTION("""COMPUTED_VALUE"""),29.094807068157227)</f>
        <v>29.09480707</v>
      </c>
      <c r="BA167" s="234"/>
      <c r="BB167" s="230"/>
      <c r="BC167" s="235"/>
      <c r="BD167" s="234"/>
      <c r="BE167" s="230"/>
      <c r="BF167" s="235"/>
      <c r="BG167" s="234"/>
      <c r="BH167" s="230">
        <f>IFERROR(__xludf.DUMMYFUNCTION("""COMPUTED_VALUE"""),4.098088712585647)</f>
        <v>4.098088713</v>
      </c>
      <c r="BI167" s="235"/>
      <c r="BJ167" s="234"/>
      <c r="BK167" s="230"/>
      <c r="BL167" s="235"/>
      <c r="BM167" s="234">
        <f>IFERROR(__xludf.DUMMYFUNCTION("""COMPUTED_VALUE"""),22.35273094303207)</f>
        <v>22.35273094</v>
      </c>
      <c r="BN167" s="230"/>
      <c r="BO167" s="235"/>
      <c r="BP167" s="234"/>
      <c r="BQ167" s="230"/>
      <c r="BR167" s="235"/>
      <c r="BS167" s="234"/>
      <c r="BT167" s="230"/>
      <c r="BU167" s="235"/>
      <c r="BV167" s="234"/>
      <c r="BW167" s="230"/>
      <c r="BX167" s="235"/>
      <c r="BY167" s="234"/>
      <c r="BZ167" s="230"/>
      <c r="CA167" s="235"/>
      <c r="CB167" s="234"/>
      <c r="CC167" s="230"/>
      <c r="CD167" s="235"/>
      <c r="CE167" s="234"/>
      <c r="CF167" s="230"/>
      <c r="CG167" s="235"/>
      <c r="CH167" s="234"/>
      <c r="CI167" s="230"/>
      <c r="CJ167" s="230"/>
      <c r="CK167" s="234"/>
      <c r="CL167" s="230"/>
      <c r="CM167" s="235"/>
      <c r="CN167" s="230"/>
      <c r="CO167" s="230">
        <f>IFERROR(__xludf.DUMMYFUNCTION("""COMPUTED_VALUE"""),24.491777857915615)</f>
        <v>24.49177786</v>
      </c>
      <c r="CP167" s="230"/>
      <c r="CQ167" s="234">
        <f>IFERROR(__xludf.DUMMYFUNCTION("""COMPUTED_VALUE"""),4.222673179687244)</f>
        <v>4.22267318</v>
      </c>
      <c r="CR167" s="230"/>
      <c r="CS167" s="230"/>
      <c r="CT167" s="234"/>
      <c r="CU167" s="230"/>
      <c r="CV167" s="230"/>
      <c r="CW167" s="234"/>
      <c r="CX167" s="230"/>
      <c r="CY167" s="235"/>
      <c r="CZ167" s="230"/>
      <c r="DA167" s="230"/>
      <c r="DB167" s="235">
        <f>IFERROR(__xludf.DUMMYFUNCTION("""COMPUTED_VALUE"""),27.27272727272727)</f>
        <v>27.27272727</v>
      </c>
      <c r="DC167" s="234"/>
      <c r="DD167" s="230"/>
      <c r="DE167" s="235"/>
      <c r="DF167" s="234"/>
      <c r="DG167" s="230"/>
      <c r="DH167" s="235"/>
      <c r="DI167" s="234"/>
      <c r="DJ167" s="230"/>
      <c r="DK167" s="235"/>
      <c r="DL167" s="317"/>
      <c r="DM167" s="318"/>
      <c r="DN167" s="282"/>
      <c r="DO167" s="96"/>
      <c r="DP167" s="96"/>
      <c r="DQ167" s="96"/>
      <c r="DR167" s="96"/>
      <c r="DS167" s="96"/>
      <c r="DT167" s="96"/>
      <c r="DU167" s="96"/>
    </row>
    <row r="168">
      <c r="B168" s="120" t="str">
        <f>IFERROR(__xludf.DUMMYFUNCTION("""COMPUTED_VALUE"""),"SMS7")</f>
        <v>SMS7</v>
      </c>
      <c r="C168" s="88" t="str">
        <f>IFERROR(__xludf.DUMMYFUNCTION("""COMPUTED_VALUE"""),"Rear Mountain (Nameless Sacred Mountain)")</f>
        <v>Rear Mountain (Nameless Sacred Mountain)</v>
      </c>
      <c r="D168" s="102">
        <f>IFERROR(__xludf.DUMMYFUNCTION("""COMPUTED_VALUE"""),21.0)</f>
        <v>21</v>
      </c>
      <c r="E168" s="82" t="b">
        <f>IFERROR(__xludf.DUMMYFUNCTION("""COMPUTED_VALUE"""),TRUE)</f>
        <v>1</v>
      </c>
      <c r="F168" s="82" t="str">
        <f>IFERROR(__xludf.DUMMYFUNCTION("""COMPUTED_VALUE"""),"Free Quests- EoR!A384:J395")</f>
        <v>Free Quests- EoR!A384:J395</v>
      </c>
      <c r="G168" s="82">
        <f>IFERROR(__xludf.DUMMYFUNCTION("""COMPUTED_VALUE"""),169.0)</f>
        <v>169</v>
      </c>
      <c r="H168" s="82">
        <f>IFERROR(__xludf.DUMMYFUNCTION("""COMPUTED_VALUE"""),39.0)</f>
        <v>39</v>
      </c>
      <c r="I168" s="82">
        <f>IFERROR(__xludf.DUMMYFUNCTION("""COMPUTED_VALUE"""),15395.0)</f>
        <v>15395</v>
      </c>
      <c r="J168" s="82">
        <f>IFERROR(__xludf.DUMMYFUNCTION("""COMPUTED_VALUE"""),15434.0)</f>
        <v>15434</v>
      </c>
      <c r="K168" s="234"/>
      <c r="L168" s="230"/>
      <c r="M168" s="235"/>
      <c r="N168" s="234"/>
      <c r="O168" s="230"/>
      <c r="P168" s="235"/>
      <c r="Q168" s="234"/>
      <c r="R168" s="230"/>
      <c r="S168" s="235"/>
      <c r="T168" s="234"/>
      <c r="U168" s="230"/>
      <c r="V168" s="235"/>
      <c r="W168" s="234"/>
      <c r="X168" s="230"/>
      <c r="Y168" s="235"/>
      <c r="Z168" s="234"/>
      <c r="AA168" s="230"/>
      <c r="AB168" s="235"/>
      <c r="AC168" s="234"/>
      <c r="AD168" s="230"/>
      <c r="AE168" s="235">
        <f>IFERROR(__xludf.DUMMYFUNCTION("""COMPUTED_VALUE"""),24.390177530128287)</f>
        <v>24.39017753</v>
      </c>
      <c r="AF168" s="234"/>
      <c r="AG168" s="230"/>
      <c r="AH168" s="235"/>
      <c r="AI168" s="234"/>
      <c r="AJ168" s="230"/>
      <c r="AK168" s="235"/>
      <c r="AL168" s="231"/>
      <c r="AM168" s="230"/>
      <c r="AN168" s="235">
        <f>IFERROR(__xludf.DUMMYFUNCTION("""COMPUTED_VALUE"""),24.097414798496825)</f>
        <v>24.0974148</v>
      </c>
      <c r="AO168" s="234"/>
      <c r="AP168" s="230"/>
      <c r="AQ168" s="235"/>
      <c r="AR168" s="234"/>
      <c r="AS168" s="230"/>
      <c r="AT168" s="235"/>
      <c r="AU168" s="234"/>
      <c r="AV168" s="230"/>
      <c r="AW168" s="235"/>
      <c r="AX168" s="234"/>
      <c r="AY168" s="230"/>
      <c r="AZ168" s="235">
        <f>IFERROR(__xludf.DUMMYFUNCTION("""COMPUTED_VALUE"""),29.889238045872748)</f>
        <v>29.88923805</v>
      </c>
      <c r="BA168" s="234"/>
      <c r="BB168" s="230"/>
      <c r="BC168" s="235"/>
      <c r="BD168" s="234"/>
      <c r="BE168" s="230"/>
      <c r="BF168" s="235"/>
      <c r="BG168" s="234"/>
      <c r="BH168" s="230"/>
      <c r="BI168" s="235"/>
      <c r="BJ168" s="234"/>
      <c r="BK168" s="230"/>
      <c r="BL168" s="235"/>
      <c r="BM168" s="234">
        <f>IFERROR(__xludf.DUMMYFUNCTION("""COMPUTED_VALUE"""),24.30176882208112)</f>
        <v>24.30176882</v>
      </c>
      <c r="BN168" s="230"/>
      <c r="BO168" s="235"/>
      <c r="BP168" s="234"/>
      <c r="BQ168" s="230"/>
      <c r="BR168" s="235"/>
      <c r="BS168" s="234">
        <f>IFERROR(__xludf.DUMMYFUNCTION("""COMPUTED_VALUE"""),7.986804025744028)</f>
        <v>7.986804026</v>
      </c>
      <c r="BT168" s="230"/>
      <c r="BU168" s="235"/>
      <c r="BV168" s="234"/>
      <c r="BW168" s="230"/>
      <c r="BX168" s="235"/>
      <c r="BY168" s="234"/>
      <c r="BZ168" s="230"/>
      <c r="CA168" s="235"/>
      <c r="CB168" s="234"/>
      <c r="CC168" s="230"/>
      <c r="CD168" s="235"/>
      <c r="CE168" s="234"/>
      <c r="CF168" s="230"/>
      <c r="CG168" s="235"/>
      <c r="CH168" s="234"/>
      <c r="CI168" s="230"/>
      <c r="CJ168" s="230"/>
      <c r="CK168" s="234"/>
      <c r="CL168" s="230"/>
      <c r="CM168" s="235"/>
      <c r="CN168" s="230"/>
      <c r="CO168" s="230">
        <f>IFERROR(__xludf.DUMMYFUNCTION("""COMPUTED_VALUE"""),23.5965185089197)</f>
        <v>23.59651851</v>
      </c>
      <c r="CP168" s="230"/>
      <c r="CQ168" s="234"/>
      <c r="CR168" s="230"/>
      <c r="CS168" s="230"/>
      <c r="CT168" s="234"/>
      <c r="CU168" s="230">
        <f>IFERROR(__xludf.DUMMYFUNCTION("""COMPUTED_VALUE"""),2.7777777777777777)</f>
        <v>2.777777778</v>
      </c>
      <c r="CV168" s="230"/>
      <c r="CW168" s="234"/>
      <c r="CX168" s="230"/>
      <c r="CY168" s="235"/>
      <c r="CZ168" s="230"/>
      <c r="DA168" s="230"/>
      <c r="DB168" s="235"/>
      <c r="DC168" s="234">
        <f>IFERROR(__xludf.DUMMYFUNCTION("""COMPUTED_VALUE"""),22.22222222222222)</f>
        <v>22.22222222</v>
      </c>
      <c r="DD168" s="230"/>
      <c r="DE168" s="235"/>
      <c r="DF168" s="234"/>
      <c r="DG168" s="230"/>
      <c r="DH168" s="235"/>
      <c r="DI168" s="234"/>
      <c r="DJ168" s="230"/>
      <c r="DK168" s="235"/>
      <c r="DL168" s="325"/>
      <c r="DM168" s="326"/>
      <c r="DN168" s="327"/>
      <c r="DO168" s="96"/>
      <c r="DP168" s="96"/>
      <c r="DQ168" s="96"/>
      <c r="DR168" s="96"/>
      <c r="DS168" s="96"/>
      <c r="DT168" s="96"/>
      <c r="DU168" s="96"/>
    </row>
    <row r="169">
      <c r="B169" s="120" t="str">
        <f>IFERROR(__xludf.DUMMYFUNCTION("""COMPUTED_VALUE"""),"SMS8")</f>
        <v>SMS8</v>
      </c>
      <c r="C169" s="88" t="str">
        <f>IFERROR(__xludf.DUMMYFUNCTION("""COMPUTED_VALUE"""),"Arakawa Field")</f>
        <v>Arakawa Field</v>
      </c>
      <c r="D169" s="102">
        <f>IFERROR(__xludf.DUMMYFUNCTION("""COMPUTED_VALUE"""),21.0)</f>
        <v>21</v>
      </c>
      <c r="E169" s="82" t="b">
        <f>IFERROR(__xludf.DUMMYFUNCTION("""COMPUTED_VALUE"""),TRUE)</f>
        <v>1</v>
      </c>
      <c r="F169" s="82" t="str">
        <f>IFERROR(__xludf.DUMMYFUNCTION("""COMPUTED_VALUE"""),"Free Quests- EoR!A399:J409")</f>
        <v>Free Quests- EoR!A399:J409</v>
      </c>
      <c r="G169" s="82">
        <f>IFERROR(__xludf.DUMMYFUNCTION("""COMPUTED_VALUE"""),170.0)</f>
        <v>170</v>
      </c>
      <c r="H169" s="82">
        <f>IFERROR(__xludf.DUMMYFUNCTION("""COMPUTED_VALUE"""),420.0)</f>
        <v>420</v>
      </c>
      <c r="I169" s="82">
        <f>IFERROR(__xludf.DUMMYFUNCTION("""COMPUTED_VALUE"""),28975.0)</f>
        <v>28975</v>
      </c>
      <c r="J169" s="82">
        <f>IFERROR(__xludf.DUMMYFUNCTION("""COMPUTED_VALUE"""),29395.0)</f>
        <v>29395</v>
      </c>
      <c r="K169" s="234"/>
      <c r="L169" s="230"/>
      <c r="M169" s="235"/>
      <c r="N169" s="234"/>
      <c r="O169" s="230"/>
      <c r="P169" s="235"/>
      <c r="Q169" s="234"/>
      <c r="R169" s="230"/>
      <c r="S169" s="235"/>
      <c r="T169" s="234"/>
      <c r="U169" s="230">
        <f>IFERROR(__xludf.DUMMYFUNCTION("""COMPUTED_VALUE"""),12.290950841979928)</f>
        <v>12.29095084</v>
      </c>
      <c r="V169" s="235"/>
      <c r="W169" s="234"/>
      <c r="X169" s="230"/>
      <c r="Y169" s="235"/>
      <c r="Z169" s="234"/>
      <c r="AA169" s="230"/>
      <c r="AB169" s="235"/>
      <c r="AC169" s="234"/>
      <c r="AD169" s="230"/>
      <c r="AE169" s="235"/>
      <c r="AF169" s="234"/>
      <c r="AG169" s="230"/>
      <c r="AH169" s="235"/>
      <c r="AI169" s="234"/>
      <c r="AJ169" s="230"/>
      <c r="AK169" s="235"/>
      <c r="AL169" s="231"/>
      <c r="AM169" s="230"/>
      <c r="AN169" s="235">
        <f>IFERROR(__xludf.DUMMYFUNCTION("""COMPUTED_VALUE"""),19.90142881442422)</f>
        <v>19.90142881</v>
      </c>
      <c r="AO169" s="234"/>
      <c r="AP169" s="230"/>
      <c r="AQ169" s="235"/>
      <c r="AR169" s="234"/>
      <c r="AS169" s="230"/>
      <c r="AT169" s="235"/>
      <c r="AU169" s="234"/>
      <c r="AV169" s="230"/>
      <c r="AW169" s="235"/>
      <c r="AX169" s="234"/>
      <c r="AY169" s="230"/>
      <c r="AZ169" s="235">
        <f>IFERROR(__xludf.DUMMYFUNCTION("""COMPUTED_VALUE"""),29.97618642626297)</f>
        <v>29.97618643</v>
      </c>
      <c r="BA169" s="234"/>
      <c r="BB169" s="230"/>
      <c r="BC169" s="235"/>
      <c r="BD169" s="234"/>
      <c r="BE169" s="230"/>
      <c r="BF169" s="235"/>
      <c r="BG169" s="234"/>
      <c r="BH169" s="230"/>
      <c r="BI169" s="235"/>
      <c r="BJ169" s="234"/>
      <c r="BK169" s="230"/>
      <c r="BL169" s="235">
        <f>IFERROR(__xludf.DUMMYFUNCTION("""COMPUTED_VALUE"""),3.0864706997821294)</f>
        <v>3.0864707</v>
      </c>
      <c r="BM169" s="234">
        <f>IFERROR(__xludf.DUMMYFUNCTION("""COMPUTED_VALUE"""),25.0153819734665)</f>
        <v>25.01538197</v>
      </c>
      <c r="BN169" s="230"/>
      <c r="BO169" s="235"/>
      <c r="BP169" s="234"/>
      <c r="BQ169" s="230"/>
      <c r="BR169" s="235"/>
      <c r="BS169" s="234"/>
      <c r="BT169" s="230"/>
      <c r="BU169" s="235"/>
      <c r="BV169" s="234"/>
      <c r="BW169" s="230"/>
      <c r="BX169" s="235"/>
      <c r="BY169" s="234"/>
      <c r="BZ169" s="230"/>
      <c r="CA169" s="235"/>
      <c r="CB169" s="234"/>
      <c r="CC169" s="230"/>
      <c r="CD169" s="235"/>
      <c r="CE169" s="234"/>
      <c r="CF169" s="230"/>
      <c r="CG169" s="235"/>
      <c r="CH169" s="234"/>
      <c r="CI169" s="230"/>
      <c r="CJ169" s="230"/>
      <c r="CK169" s="234"/>
      <c r="CL169" s="230"/>
      <c r="CM169" s="235"/>
      <c r="CN169" s="230"/>
      <c r="CO169" s="230">
        <f>IFERROR(__xludf.DUMMYFUNCTION("""COMPUTED_VALUE"""),23.777456483528947)</f>
        <v>23.77745648</v>
      </c>
      <c r="CP169" s="230"/>
      <c r="CQ169" s="234"/>
      <c r="CR169" s="230"/>
      <c r="CS169" s="230"/>
      <c r="CT169" s="234"/>
      <c r="CU169" s="230">
        <f>IFERROR(__xludf.DUMMYFUNCTION("""COMPUTED_VALUE"""),6.666666666666667)</f>
        <v>6.666666667</v>
      </c>
      <c r="CV169" s="230"/>
      <c r="CW169" s="234"/>
      <c r="CX169" s="230"/>
      <c r="CY169" s="235"/>
      <c r="CZ169" s="230">
        <f>IFERROR(__xludf.DUMMYFUNCTION("""COMPUTED_VALUE"""),15.555555555555555)</f>
        <v>15.55555556</v>
      </c>
      <c r="DA169" s="230"/>
      <c r="DB169" s="235"/>
      <c r="DC169" s="234"/>
      <c r="DD169" s="230"/>
      <c r="DE169" s="235"/>
      <c r="DF169" s="234"/>
      <c r="DG169" s="230"/>
      <c r="DH169" s="235"/>
      <c r="DI169" s="234"/>
      <c r="DJ169" s="230"/>
      <c r="DK169" s="235"/>
      <c r="DL169" s="317"/>
      <c r="DM169" s="318"/>
      <c r="DN169" s="282"/>
      <c r="DO169" s="96"/>
      <c r="DP169" s="96"/>
      <c r="DQ169" s="96"/>
      <c r="DR169" s="96"/>
      <c r="DS169" s="96"/>
      <c r="DT169" s="96"/>
      <c r="DU169" s="96"/>
    </row>
    <row r="170">
      <c r="B170" s="120" t="str">
        <f>IFERROR(__xludf.DUMMYFUNCTION("""COMPUTED_VALUE"""),"SMS9")</f>
        <v>SMS9</v>
      </c>
      <c r="C170" s="88" t="str">
        <f>IFERROR(__xludf.DUMMYFUNCTION("""COMPUTED_VALUE"""),"Rear Mountain (Trembling in Fear)")</f>
        <v>Rear Mountain (Trembling in Fear)</v>
      </c>
      <c r="D170" s="102">
        <f>IFERROR(__xludf.DUMMYFUNCTION("""COMPUTED_VALUE"""),21.0)</f>
        <v>21</v>
      </c>
      <c r="E170" s="82" t="b">
        <f>IFERROR(__xludf.DUMMYFUNCTION("""COMPUTED_VALUE"""),FALSE)</f>
        <v>0</v>
      </c>
      <c r="F170" s="82" t="str">
        <f>IFERROR(__xludf.DUMMYFUNCTION("""COMPUTED_VALUE"""),"Free Quests- EoR!A413:J421")</f>
        <v>Free Quests- EoR!A413:J421</v>
      </c>
      <c r="G170" s="82">
        <f>IFERROR(__xludf.DUMMYFUNCTION("""COMPUTED_VALUE"""),171.0)</f>
        <v>171</v>
      </c>
      <c r="H170" s="82" t="str">
        <f>IFERROR(__xludf.DUMMYFUNCTION("""COMPUTED_VALUE"""),"Closed")</f>
        <v>Closed</v>
      </c>
      <c r="I170" s="82">
        <f>IFERROR(__xludf.DUMMYFUNCTION("""COMPUTED_VALUE"""),25285.0)</f>
        <v>25285</v>
      </c>
      <c r="J170" s="82" t="str">
        <f>IFERROR(__xludf.DUMMYFUNCTION("""COMPUTED_VALUE"""),"Closed")</f>
        <v>Closed</v>
      </c>
      <c r="K170" s="234" t="str">
        <f>IFERROR(__xludf.DUMMYFUNCTION("""COMPUTED_VALUE"""),"Closed")</f>
        <v>Closed</v>
      </c>
      <c r="L170" s="230" t="str">
        <f>IFERROR(__xludf.DUMMYFUNCTION("""COMPUTED_VALUE"""),"Closed")</f>
        <v>Closed</v>
      </c>
      <c r="M170" s="235" t="str">
        <f>IFERROR(__xludf.DUMMYFUNCTION("""COMPUTED_VALUE"""),"Closed")</f>
        <v>Closed</v>
      </c>
      <c r="N170" s="234" t="str">
        <f>IFERROR(__xludf.DUMMYFUNCTION("""COMPUTED_VALUE"""),"Closed")</f>
        <v>Closed</v>
      </c>
      <c r="O170" s="230" t="str">
        <f>IFERROR(__xludf.DUMMYFUNCTION("""COMPUTED_VALUE"""),"Closed")</f>
        <v>Closed</v>
      </c>
      <c r="P170" s="235" t="str">
        <f>IFERROR(__xludf.DUMMYFUNCTION("""COMPUTED_VALUE"""),"Closed")</f>
        <v>Closed</v>
      </c>
      <c r="Q170" s="234" t="str">
        <f>IFERROR(__xludf.DUMMYFUNCTION("""COMPUTED_VALUE"""),"Closed")</f>
        <v>Closed</v>
      </c>
      <c r="R170" s="230" t="str">
        <f>IFERROR(__xludf.DUMMYFUNCTION("""COMPUTED_VALUE"""),"Closed")</f>
        <v>Closed</v>
      </c>
      <c r="S170" s="235" t="str">
        <f>IFERROR(__xludf.DUMMYFUNCTION("""COMPUTED_VALUE"""),"Closed")</f>
        <v>Closed</v>
      </c>
      <c r="T170" s="234" t="str">
        <f>IFERROR(__xludf.DUMMYFUNCTION("""COMPUTED_VALUE"""),"Closed")</f>
        <v>Closed</v>
      </c>
      <c r="U170" s="230" t="str">
        <f>IFERROR(__xludf.DUMMYFUNCTION("""COMPUTED_VALUE"""),"Closed")</f>
        <v>Closed</v>
      </c>
      <c r="V170" s="235" t="str">
        <f>IFERROR(__xludf.DUMMYFUNCTION("""COMPUTED_VALUE"""),"Closed")</f>
        <v>Closed</v>
      </c>
      <c r="W170" s="234" t="str">
        <f>IFERROR(__xludf.DUMMYFUNCTION("""COMPUTED_VALUE"""),"Closed")</f>
        <v>Closed</v>
      </c>
      <c r="X170" s="230" t="str">
        <f>IFERROR(__xludf.DUMMYFUNCTION("""COMPUTED_VALUE"""),"Closed")</f>
        <v>Closed</v>
      </c>
      <c r="Y170" s="235" t="str">
        <f>IFERROR(__xludf.DUMMYFUNCTION("""COMPUTED_VALUE"""),"Closed")</f>
        <v>Closed</v>
      </c>
      <c r="Z170" s="234" t="str">
        <f>IFERROR(__xludf.DUMMYFUNCTION("""COMPUTED_VALUE"""),"Closed")</f>
        <v>Closed</v>
      </c>
      <c r="AA170" s="230" t="str">
        <f>IFERROR(__xludf.DUMMYFUNCTION("""COMPUTED_VALUE"""),"Closed")</f>
        <v>Closed</v>
      </c>
      <c r="AB170" s="235" t="str">
        <f>IFERROR(__xludf.DUMMYFUNCTION("""COMPUTED_VALUE"""),"Closed")</f>
        <v>Closed</v>
      </c>
      <c r="AC170" s="234" t="str">
        <f>IFERROR(__xludf.DUMMYFUNCTION("""COMPUTED_VALUE"""),"Closed")</f>
        <v>Closed</v>
      </c>
      <c r="AD170" s="230" t="str">
        <f>IFERROR(__xludf.DUMMYFUNCTION("""COMPUTED_VALUE"""),"Closed")</f>
        <v>Closed</v>
      </c>
      <c r="AE170" s="235" t="str">
        <f>IFERROR(__xludf.DUMMYFUNCTION("""COMPUTED_VALUE"""),"Closed")</f>
        <v>Closed</v>
      </c>
      <c r="AF170" s="234" t="str">
        <f>IFERROR(__xludf.DUMMYFUNCTION("""COMPUTED_VALUE"""),"Closed")</f>
        <v>Closed</v>
      </c>
      <c r="AG170" s="230" t="str">
        <f>IFERROR(__xludf.DUMMYFUNCTION("""COMPUTED_VALUE"""),"Closed")</f>
        <v>Closed</v>
      </c>
      <c r="AH170" s="235" t="str">
        <f>IFERROR(__xludf.DUMMYFUNCTION("""COMPUTED_VALUE"""),"Closed")</f>
        <v>Closed</v>
      </c>
      <c r="AI170" s="234" t="str">
        <f>IFERROR(__xludf.DUMMYFUNCTION("""COMPUTED_VALUE"""),"Closed")</f>
        <v>Closed</v>
      </c>
      <c r="AJ170" s="230" t="str">
        <f>IFERROR(__xludf.DUMMYFUNCTION("""COMPUTED_VALUE"""),"Closed")</f>
        <v>Closed</v>
      </c>
      <c r="AK170" s="235" t="str">
        <f>IFERROR(__xludf.DUMMYFUNCTION("""COMPUTED_VALUE"""),"Closed")</f>
        <v>Closed</v>
      </c>
      <c r="AL170" s="231" t="str">
        <f>IFERROR(__xludf.DUMMYFUNCTION("""COMPUTED_VALUE"""),"Closed")</f>
        <v>Closed</v>
      </c>
      <c r="AM170" s="230" t="str">
        <f>IFERROR(__xludf.DUMMYFUNCTION("""COMPUTED_VALUE"""),"Closed")</f>
        <v>Closed</v>
      </c>
      <c r="AN170" s="235" t="str">
        <f>IFERROR(__xludf.DUMMYFUNCTION("""COMPUTED_VALUE"""),"Closed")</f>
        <v>Closed</v>
      </c>
      <c r="AO170" s="234" t="str">
        <f>IFERROR(__xludf.DUMMYFUNCTION("""COMPUTED_VALUE"""),"Closed")</f>
        <v>Closed</v>
      </c>
      <c r="AP170" s="230" t="str">
        <f>IFERROR(__xludf.DUMMYFUNCTION("""COMPUTED_VALUE"""),"Closed")</f>
        <v>Closed</v>
      </c>
      <c r="AQ170" s="235" t="str">
        <f>IFERROR(__xludf.DUMMYFUNCTION("""COMPUTED_VALUE"""),"Closed")</f>
        <v>Closed</v>
      </c>
      <c r="AR170" s="234" t="str">
        <f>IFERROR(__xludf.DUMMYFUNCTION("""COMPUTED_VALUE"""),"Closed")</f>
        <v>Closed</v>
      </c>
      <c r="AS170" s="230" t="str">
        <f>IFERROR(__xludf.DUMMYFUNCTION("""COMPUTED_VALUE"""),"Closed")</f>
        <v>Closed</v>
      </c>
      <c r="AT170" s="235" t="str">
        <f>IFERROR(__xludf.DUMMYFUNCTION("""COMPUTED_VALUE"""),"Closed")</f>
        <v>Closed</v>
      </c>
      <c r="AU170" s="234" t="str">
        <f>IFERROR(__xludf.DUMMYFUNCTION("""COMPUTED_VALUE"""),"Closed")</f>
        <v>Closed</v>
      </c>
      <c r="AV170" s="230" t="str">
        <f>IFERROR(__xludf.DUMMYFUNCTION("""COMPUTED_VALUE"""),"Closed")</f>
        <v>Closed</v>
      </c>
      <c r="AW170" s="235" t="str">
        <f>IFERROR(__xludf.DUMMYFUNCTION("""COMPUTED_VALUE"""),"Closed")</f>
        <v>Closed</v>
      </c>
      <c r="AX170" s="234" t="str">
        <f>IFERROR(__xludf.DUMMYFUNCTION("""COMPUTED_VALUE"""),"Closed")</f>
        <v>Closed</v>
      </c>
      <c r="AY170" s="230" t="str">
        <f>IFERROR(__xludf.DUMMYFUNCTION("""COMPUTED_VALUE"""),"Closed")</f>
        <v>Closed</v>
      </c>
      <c r="AZ170" s="235" t="str">
        <f>IFERROR(__xludf.DUMMYFUNCTION("""COMPUTED_VALUE"""),"Closed")</f>
        <v>Closed</v>
      </c>
      <c r="BA170" s="234" t="str">
        <f>IFERROR(__xludf.DUMMYFUNCTION("""COMPUTED_VALUE"""),"Closed")</f>
        <v>Closed</v>
      </c>
      <c r="BB170" s="230" t="str">
        <f>IFERROR(__xludf.DUMMYFUNCTION("""COMPUTED_VALUE"""),"Closed")</f>
        <v>Closed</v>
      </c>
      <c r="BC170" s="235" t="str">
        <f>IFERROR(__xludf.DUMMYFUNCTION("""COMPUTED_VALUE"""),"Closed")</f>
        <v>Closed</v>
      </c>
      <c r="BD170" s="234" t="str">
        <f>IFERROR(__xludf.DUMMYFUNCTION("""COMPUTED_VALUE"""),"Closed")</f>
        <v>Closed</v>
      </c>
      <c r="BE170" s="230" t="str">
        <f>IFERROR(__xludf.DUMMYFUNCTION("""COMPUTED_VALUE"""),"Closed")</f>
        <v>Closed</v>
      </c>
      <c r="BF170" s="235" t="str">
        <f>IFERROR(__xludf.DUMMYFUNCTION("""COMPUTED_VALUE"""),"Closed")</f>
        <v>Closed</v>
      </c>
      <c r="BG170" s="234" t="str">
        <f>IFERROR(__xludf.DUMMYFUNCTION("""COMPUTED_VALUE"""),"Closed")</f>
        <v>Closed</v>
      </c>
      <c r="BH170" s="230" t="str">
        <f>IFERROR(__xludf.DUMMYFUNCTION("""COMPUTED_VALUE"""),"Closed")</f>
        <v>Closed</v>
      </c>
      <c r="BI170" s="235" t="str">
        <f>IFERROR(__xludf.DUMMYFUNCTION("""COMPUTED_VALUE"""),"Closed")</f>
        <v>Closed</v>
      </c>
      <c r="BJ170" s="234" t="str">
        <f>IFERROR(__xludf.DUMMYFUNCTION("""COMPUTED_VALUE"""),"Closed")</f>
        <v>Closed</v>
      </c>
      <c r="BK170" s="230" t="str">
        <f>IFERROR(__xludf.DUMMYFUNCTION("""COMPUTED_VALUE"""),"Closed")</f>
        <v>Closed</v>
      </c>
      <c r="BL170" s="235" t="str">
        <f>IFERROR(__xludf.DUMMYFUNCTION("""COMPUTED_VALUE"""),"Closed")</f>
        <v>Closed</v>
      </c>
      <c r="BM170" s="234" t="str">
        <f>IFERROR(__xludf.DUMMYFUNCTION("""COMPUTED_VALUE"""),"Closed")</f>
        <v>Closed</v>
      </c>
      <c r="BN170" s="230" t="str">
        <f>IFERROR(__xludf.DUMMYFUNCTION("""COMPUTED_VALUE"""),"Closed")</f>
        <v>Closed</v>
      </c>
      <c r="BO170" s="235" t="str">
        <f>IFERROR(__xludf.DUMMYFUNCTION("""COMPUTED_VALUE"""),"Closed")</f>
        <v>Closed</v>
      </c>
      <c r="BP170" s="234" t="str">
        <f>IFERROR(__xludf.DUMMYFUNCTION("""COMPUTED_VALUE"""),"Closed")</f>
        <v>Closed</v>
      </c>
      <c r="BQ170" s="230" t="str">
        <f>IFERROR(__xludf.DUMMYFUNCTION("""COMPUTED_VALUE"""),"Closed")</f>
        <v>Closed</v>
      </c>
      <c r="BR170" s="235" t="str">
        <f>IFERROR(__xludf.DUMMYFUNCTION("""COMPUTED_VALUE"""),"Closed")</f>
        <v>Closed</v>
      </c>
      <c r="BS170" s="234" t="str">
        <f>IFERROR(__xludf.DUMMYFUNCTION("""COMPUTED_VALUE"""),"Closed")</f>
        <v>Closed</v>
      </c>
      <c r="BT170" s="230" t="str">
        <f>IFERROR(__xludf.DUMMYFUNCTION("""COMPUTED_VALUE"""),"Closed")</f>
        <v>Closed</v>
      </c>
      <c r="BU170" s="235" t="str">
        <f>IFERROR(__xludf.DUMMYFUNCTION("""COMPUTED_VALUE"""),"Closed")</f>
        <v>Closed</v>
      </c>
      <c r="BV170" s="234" t="str">
        <f>IFERROR(__xludf.DUMMYFUNCTION("""COMPUTED_VALUE"""),"Closed")</f>
        <v>Closed</v>
      </c>
      <c r="BW170" s="230" t="str">
        <f>IFERROR(__xludf.DUMMYFUNCTION("""COMPUTED_VALUE"""),"Closed")</f>
        <v>Closed</v>
      </c>
      <c r="BX170" s="235" t="str">
        <f>IFERROR(__xludf.DUMMYFUNCTION("""COMPUTED_VALUE"""),"Closed")</f>
        <v>Closed</v>
      </c>
      <c r="BY170" s="234" t="str">
        <f>IFERROR(__xludf.DUMMYFUNCTION("""COMPUTED_VALUE"""),"Closed")</f>
        <v>Closed</v>
      </c>
      <c r="BZ170" s="230" t="str">
        <f>IFERROR(__xludf.DUMMYFUNCTION("""COMPUTED_VALUE"""),"Closed")</f>
        <v>Closed</v>
      </c>
      <c r="CA170" s="235" t="str">
        <f>IFERROR(__xludf.DUMMYFUNCTION("""COMPUTED_VALUE"""),"Closed")</f>
        <v>Closed</v>
      </c>
      <c r="CB170" s="234" t="str">
        <f>IFERROR(__xludf.DUMMYFUNCTION("""COMPUTED_VALUE"""),"Closed")</f>
        <v>Closed</v>
      </c>
      <c r="CC170" s="230" t="str">
        <f>IFERROR(__xludf.DUMMYFUNCTION("""COMPUTED_VALUE"""),"Closed")</f>
        <v>Closed</v>
      </c>
      <c r="CD170" s="235" t="str">
        <f>IFERROR(__xludf.DUMMYFUNCTION("""COMPUTED_VALUE"""),"Closed")</f>
        <v>Closed</v>
      </c>
      <c r="CE170" s="234" t="str">
        <f>IFERROR(__xludf.DUMMYFUNCTION("""COMPUTED_VALUE"""),"Closed")</f>
        <v>Closed</v>
      </c>
      <c r="CF170" s="230" t="str">
        <f>IFERROR(__xludf.DUMMYFUNCTION("""COMPUTED_VALUE"""),"Closed")</f>
        <v>Closed</v>
      </c>
      <c r="CG170" s="235" t="str">
        <f>IFERROR(__xludf.DUMMYFUNCTION("""COMPUTED_VALUE"""),"Closed")</f>
        <v>Closed</v>
      </c>
      <c r="CH170" s="234" t="str">
        <f>IFERROR(__xludf.DUMMYFUNCTION("""COMPUTED_VALUE"""),"Closed")</f>
        <v>Closed</v>
      </c>
      <c r="CI170" s="230" t="str">
        <f>IFERROR(__xludf.DUMMYFUNCTION("""COMPUTED_VALUE"""),"Closed")</f>
        <v>Closed</v>
      </c>
      <c r="CJ170" s="230" t="str">
        <f>IFERROR(__xludf.DUMMYFUNCTION("""COMPUTED_VALUE"""),"Closed")</f>
        <v>Closed</v>
      </c>
      <c r="CK170" s="234" t="str">
        <f>IFERROR(__xludf.DUMMYFUNCTION("""COMPUTED_VALUE"""),"Closed")</f>
        <v>Closed</v>
      </c>
      <c r="CL170" s="230" t="str">
        <f>IFERROR(__xludf.DUMMYFUNCTION("""COMPUTED_VALUE"""),"Closed")</f>
        <v>Closed</v>
      </c>
      <c r="CM170" s="235" t="str">
        <f>IFERROR(__xludf.DUMMYFUNCTION("""COMPUTED_VALUE"""),"Closed")</f>
        <v>Closed</v>
      </c>
      <c r="CN170" s="230" t="str">
        <f>IFERROR(__xludf.DUMMYFUNCTION("""COMPUTED_VALUE"""),"Closed")</f>
        <v>Closed</v>
      </c>
      <c r="CO170" s="230" t="str">
        <f>IFERROR(__xludf.DUMMYFUNCTION("""COMPUTED_VALUE"""),"Closed")</f>
        <v>Closed</v>
      </c>
      <c r="CP170" s="230" t="str">
        <f>IFERROR(__xludf.DUMMYFUNCTION("""COMPUTED_VALUE"""),"Closed")</f>
        <v>Closed</v>
      </c>
      <c r="CQ170" s="234" t="str">
        <f>IFERROR(__xludf.DUMMYFUNCTION("""COMPUTED_VALUE"""),"Closed")</f>
        <v>Closed</v>
      </c>
      <c r="CR170" s="230" t="str">
        <f>IFERROR(__xludf.DUMMYFUNCTION("""COMPUTED_VALUE"""),"Closed")</f>
        <v>Closed</v>
      </c>
      <c r="CS170" s="230" t="str">
        <f>IFERROR(__xludf.DUMMYFUNCTION("""COMPUTED_VALUE"""),"Closed")</f>
        <v>Closed</v>
      </c>
      <c r="CT170" s="234" t="str">
        <f>IFERROR(__xludf.DUMMYFUNCTION("""COMPUTED_VALUE"""),"Closed")</f>
        <v>Closed</v>
      </c>
      <c r="CU170" s="230" t="str">
        <f>IFERROR(__xludf.DUMMYFUNCTION("""COMPUTED_VALUE"""),"Closed")</f>
        <v>Closed</v>
      </c>
      <c r="CV170" s="230" t="str">
        <f>IFERROR(__xludf.DUMMYFUNCTION("""COMPUTED_VALUE"""),"Closed")</f>
        <v>Closed</v>
      </c>
      <c r="CW170" s="234" t="str">
        <f>IFERROR(__xludf.DUMMYFUNCTION("""COMPUTED_VALUE"""),"Closed")</f>
        <v>Closed</v>
      </c>
      <c r="CX170" s="230" t="str">
        <f>IFERROR(__xludf.DUMMYFUNCTION("""COMPUTED_VALUE"""),"Closed")</f>
        <v>Closed</v>
      </c>
      <c r="CY170" s="235" t="str">
        <f>IFERROR(__xludf.DUMMYFUNCTION("""COMPUTED_VALUE"""),"Closed")</f>
        <v>Closed</v>
      </c>
      <c r="CZ170" s="230" t="str">
        <f>IFERROR(__xludf.DUMMYFUNCTION("""COMPUTED_VALUE"""),"Closed")</f>
        <v>Closed</v>
      </c>
      <c r="DA170" s="230" t="str">
        <f>IFERROR(__xludf.DUMMYFUNCTION("""COMPUTED_VALUE"""),"Closed")</f>
        <v>Closed</v>
      </c>
      <c r="DB170" s="235" t="str">
        <f>IFERROR(__xludf.DUMMYFUNCTION("""COMPUTED_VALUE"""),"Closed")</f>
        <v>Closed</v>
      </c>
      <c r="DC170" s="234" t="str">
        <f>IFERROR(__xludf.DUMMYFUNCTION("""COMPUTED_VALUE"""),"Closed")</f>
        <v>Closed</v>
      </c>
      <c r="DD170" s="230" t="str">
        <f>IFERROR(__xludf.DUMMYFUNCTION("""COMPUTED_VALUE"""),"Closed")</f>
        <v>Closed</v>
      </c>
      <c r="DE170" s="235" t="str">
        <f>IFERROR(__xludf.DUMMYFUNCTION("""COMPUTED_VALUE"""),"Closed")</f>
        <v>Closed</v>
      </c>
      <c r="DF170" s="234" t="str">
        <f>IFERROR(__xludf.DUMMYFUNCTION("""COMPUTED_VALUE"""),"Closed")</f>
        <v>Closed</v>
      </c>
      <c r="DG170" s="230" t="str">
        <f>IFERROR(__xludf.DUMMYFUNCTION("""COMPUTED_VALUE"""),"Closed")</f>
        <v>Closed</v>
      </c>
      <c r="DH170" s="235" t="str">
        <f>IFERROR(__xludf.DUMMYFUNCTION("""COMPUTED_VALUE"""),"Closed")</f>
        <v>Closed</v>
      </c>
      <c r="DI170" s="234" t="str">
        <f>IFERROR(__xludf.DUMMYFUNCTION("""COMPUTED_VALUE"""),"Closed")</f>
        <v>Closed</v>
      </c>
      <c r="DJ170" s="230" t="str">
        <f>IFERROR(__xludf.DUMMYFUNCTION("""COMPUTED_VALUE"""),"Closed")</f>
        <v>Closed</v>
      </c>
      <c r="DK170" s="235" t="str">
        <f>IFERROR(__xludf.DUMMYFUNCTION("""COMPUTED_VALUE"""),"Closed")</f>
        <v>Closed</v>
      </c>
      <c r="DL170" s="317" t="str">
        <f>IFERROR(__xludf.DUMMYFUNCTION("""COMPUTED_VALUE"""),"Closed")</f>
        <v>Closed</v>
      </c>
      <c r="DM170" s="318" t="str">
        <f>IFERROR(__xludf.DUMMYFUNCTION("""COMPUTED_VALUE"""),"Closed")</f>
        <v>Closed</v>
      </c>
      <c r="DN170" s="282" t="str">
        <f>IFERROR(__xludf.DUMMYFUNCTION("""COMPUTED_VALUE"""),"Closed")</f>
        <v>Closed</v>
      </c>
      <c r="DO170" s="96" t="str">
        <f>IFERROR(__xludf.DUMMYFUNCTION("""COMPUTED_VALUE"""),"Closed")</f>
        <v>Closed</v>
      </c>
      <c r="DP170" s="96" t="str">
        <f>IFERROR(__xludf.DUMMYFUNCTION("""COMPUTED_VALUE"""),"Closed")</f>
        <v>Closed</v>
      </c>
      <c r="DQ170" s="96" t="str">
        <f>IFERROR(__xludf.DUMMYFUNCTION("""COMPUTED_VALUE"""),"Closed")</f>
        <v>Closed</v>
      </c>
      <c r="DR170" s="96" t="str">
        <f>IFERROR(__xludf.DUMMYFUNCTION("""COMPUTED_VALUE"""),"Closed")</f>
        <v>Closed</v>
      </c>
      <c r="DS170" s="96" t="str">
        <f>IFERROR(__xludf.DUMMYFUNCTION("""COMPUTED_VALUE"""),"Closed")</f>
        <v>Closed</v>
      </c>
      <c r="DT170" s="96" t="str">
        <f>IFERROR(__xludf.DUMMYFUNCTION("""COMPUTED_VALUE"""),"Closed")</f>
        <v>Closed</v>
      </c>
      <c r="DU170" s="96"/>
    </row>
    <row r="171">
      <c r="A171" s="160" t="str">
        <f>IFERROR(__xludf.DUMMYFUNCTION("""COMPUTED_VALUE"""),"SALEM")</f>
        <v>SALEM</v>
      </c>
      <c r="B171" s="120" t="str">
        <f>IFERROR(__xludf.DUMMYFUNCTION("""COMPUTED_VALUE"""),"SLM1")</f>
        <v>SLM1</v>
      </c>
      <c r="C171" s="88" t="str">
        <f>IFERROR(__xludf.DUMMYFUNCTION("""COMPUTED_VALUE"""),"Quiet Forest")</f>
        <v>Quiet Forest</v>
      </c>
      <c r="D171" s="102">
        <f>IFERROR(__xludf.DUMMYFUNCTION("""COMPUTED_VALUE"""),20.0)</f>
        <v>20</v>
      </c>
      <c r="E171" s="82" t="b">
        <f>IFERROR(__xludf.DUMMYFUNCTION("""COMPUTED_VALUE"""),TRUE)</f>
        <v>1</v>
      </c>
      <c r="F171" s="82" t="str">
        <f>IFERROR(__xludf.DUMMYFUNCTION("""COMPUTED_VALUE"""),"Free Quests- EoR!A427:J432")</f>
        <v>Free Quests- EoR!A427:J432</v>
      </c>
      <c r="G171" s="82">
        <f>IFERROR(__xludf.DUMMYFUNCTION("""COMPUTED_VALUE"""),172.0)</f>
        <v>172</v>
      </c>
      <c r="H171" s="82">
        <f>IFERROR(__xludf.DUMMYFUNCTION("""COMPUTED_VALUE"""),100.0)</f>
        <v>100</v>
      </c>
      <c r="I171" s="82">
        <f>IFERROR(__xludf.DUMMYFUNCTION("""COMPUTED_VALUE"""),3543.0)</f>
        <v>3543</v>
      </c>
      <c r="J171" s="82">
        <f>IFERROR(__xludf.DUMMYFUNCTION("""COMPUTED_VALUE"""),3643.0)</f>
        <v>3643</v>
      </c>
      <c r="K171" s="234"/>
      <c r="L171" s="230"/>
      <c r="M171" s="235"/>
      <c r="N171" s="234"/>
      <c r="O171" s="230"/>
      <c r="P171" s="235"/>
      <c r="Q171" s="234"/>
      <c r="R171" s="230"/>
      <c r="S171" s="235"/>
      <c r="T171" s="234"/>
      <c r="U171" s="230"/>
      <c r="V171" s="235"/>
      <c r="W171" s="234"/>
      <c r="X171" s="230"/>
      <c r="Y171" s="235"/>
      <c r="Z171" s="234"/>
      <c r="AA171" s="230"/>
      <c r="AB171" s="235"/>
      <c r="AC171" s="234">
        <f>IFERROR(__xludf.DUMMYFUNCTION("""COMPUTED_VALUE"""),48.44155915454296)</f>
        <v>48.44155915</v>
      </c>
      <c r="AD171" s="230"/>
      <c r="AE171" s="235"/>
      <c r="AF171" s="234"/>
      <c r="AG171" s="230"/>
      <c r="AH171" s="235"/>
      <c r="AI171" s="234"/>
      <c r="AJ171" s="230"/>
      <c r="AK171" s="235"/>
      <c r="AL171" s="231"/>
      <c r="AM171" s="230"/>
      <c r="AN171" s="235"/>
      <c r="AO171" s="234"/>
      <c r="AP171" s="230"/>
      <c r="AQ171" s="235"/>
      <c r="AR171" s="234"/>
      <c r="AS171" s="230"/>
      <c r="AT171" s="235"/>
      <c r="AU171" s="234"/>
      <c r="AV171" s="230"/>
      <c r="AW171" s="235"/>
      <c r="AX171" s="234"/>
      <c r="AY171" s="230"/>
      <c r="AZ171" s="235"/>
      <c r="BA171" s="234"/>
      <c r="BB171" s="230"/>
      <c r="BC171" s="235"/>
      <c r="BD171" s="234"/>
      <c r="BE171" s="230"/>
      <c r="BF171" s="235"/>
      <c r="BG171" s="234"/>
      <c r="BH171" s="230"/>
      <c r="BI171" s="235"/>
      <c r="BJ171" s="234"/>
      <c r="BK171" s="230"/>
      <c r="BL171" s="235"/>
      <c r="BM171" s="234"/>
      <c r="BN171" s="230"/>
      <c r="BO171" s="235"/>
      <c r="BP171" s="234"/>
      <c r="BQ171" s="230"/>
      <c r="BR171" s="235"/>
      <c r="BS171" s="234"/>
      <c r="BT171" s="230"/>
      <c r="BU171" s="235"/>
      <c r="BV171" s="234"/>
      <c r="BW171" s="230">
        <f>IFERROR(__xludf.DUMMYFUNCTION("""COMPUTED_VALUE"""),45.78794468136887)</f>
        <v>45.78794468</v>
      </c>
      <c r="BX171" s="235"/>
      <c r="BY171" s="234"/>
      <c r="BZ171" s="230"/>
      <c r="CA171" s="235"/>
      <c r="CB171" s="234"/>
      <c r="CC171" s="230"/>
      <c r="CD171" s="235"/>
      <c r="CE171" s="234"/>
      <c r="CF171" s="230"/>
      <c r="CG171" s="235"/>
      <c r="CH171" s="234"/>
      <c r="CI171" s="230"/>
      <c r="CJ171" s="230"/>
      <c r="CK171" s="234"/>
      <c r="CL171" s="230"/>
      <c r="CM171" s="235"/>
      <c r="CN171" s="230"/>
      <c r="CO171" s="230"/>
      <c r="CP171" s="230"/>
      <c r="CQ171" s="234"/>
      <c r="CR171" s="230"/>
      <c r="CS171" s="230"/>
      <c r="CT171" s="234"/>
      <c r="CU171" s="230"/>
      <c r="CV171" s="230"/>
      <c r="CW171" s="234"/>
      <c r="CX171" s="230"/>
      <c r="CY171" s="235"/>
      <c r="CZ171" s="230"/>
      <c r="DA171" s="230"/>
      <c r="DB171" s="235"/>
      <c r="DC171" s="234"/>
      <c r="DD171" s="230"/>
      <c r="DE171" s="235"/>
      <c r="DF171" s="234"/>
      <c r="DG171" s="230"/>
      <c r="DH171" s="235">
        <f>IFERROR(__xludf.DUMMYFUNCTION("""COMPUTED_VALUE"""),52.87356321839081)</f>
        <v>52.87356322</v>
      </c>
      <c r="DI171" s="234"/>
      <c r="DJ171" s="230"/>
      <c r="DK171" s="235"/>
      <c r="DL171" s="328"/>
      <c r="DM171" s="329"/>
      <c r="DN171" s="330"/>
      <c r="DO171" s="96"/>
      <c r="DP171" s="96"/>
      <c r="DQ171" s="96"/>
      <c r="DR171" s="96"/>
      <c r="DS171" s="96"/>
      <c r="DT171" s="96"/>
      <c r="DU171" s="96"/>
    </row>
    <row r="172">
      <c r="B172" s="120" t="str">
        <f>IFERROR(__xludf.DUMMYFUNCTION("""COMPUTED_VALUE"""),"SLM2")</f>
        <v>SLM2</v>
      </c>
      <c r="C172" s="88" t="str">
        <f>IFERROR(__xludf.DUMMYFUNCTION("""COMPUTED_VALUE"""),"Carter Residence")</f>
        <v>Carter Residence</v>
      </c>
      <c r="D172" s="102">
        <f>IFERROR(__xludf.DUMMYFUNCTION("""COMPUTED_VALUE"""),20.0)</f>
        <v>20</v>
      </c>
      <c r="E172" s="82" t="b">
        <f>IFERROR(__xludf.DUMMYFUNCTION("""COMPUTED_VALUE"""),TRUE)</f>
        <v>1</v>
      </c>
      <c r="F172" s="82" t="str">
        <f>IFERROR(__xludf.DUMMYFUNCTION("""COMPUTED_VALUE"""),"Free Quests- EoR!A436:J444")</f>
        <v>Free Quests- EoR!A436:J444</v>
      </c>
      <c r="G172" s="82">
        <f>IFERROR(__xludf.DUMMYFUNCTION("""COMPUTED_VALUE"""),173.0)</f>
        <v>173</v>
      </c>
      <c r="H172" s="82">
        <f>IFERROR(__xludf.DUMMYFUNCTION("""COMPUTED_VALUE"""),2547.0)</f>
        <v>2547</v>
      </c>
      <c r="I172" s="82">
        <f>IFERROR(__xludf.DUMMYFUNCTION("""COMPUTED_VALUE"""),120434.0)</f>
        <v>120434</v>
      </c>
      <c r="J172" s="82">
        <f>IFERROR(__xludf.DUMMYFUNCTION("""COMPUTED_VALUE"""),122981.0)</f>
        <v>122981</v>
      </c>
      <c r="K172" s="234"/>
      <c r="L172" s="230">
        <f>IFERROR(__xludf.DUMMYFUNCTION("""COMPUTED_VALUE"""),12.296518974475733)</f>
        <v>12.29651897</v>
      </c>
      <c r="M172" s="235"/>
      <c r="N172" s="234"/>
      <c r="O172" s="230"/>
      <c r="P172" s="235"/>
      <c r="Q172" s="234"/>
      <c r="R172" s="230"/>
      <c r="S172" s="235"/>
      <c r="T172" s="234"/>
      <c r="U172" s="230"/>
      <c r="V172" s="235"/>
      <c r="W172" s="234"/>
      <c r="X172" s="230"/>
      <c r="Y172" s="235"/>
      <c r="Z172" s="234"/>
      <c r="AA172" s="230"/>
      <c r="AB172" s="235"/>
      <c r="AC172" s="234"/>
      <c r="AD172" s="230"/>
      <c r="AE172" s="235"/>
      <c r="AF172" s="234"/>
      <c r="AG172" s="230"/>
      <c r="AH172" s="235"/>
      <c r="AI172" s="234"/>
      <c r="AJ172" s="230"/>
      <c r="AK172" s="235"/>
      <c r="AL172" s="231"/>
      <c r="AM172" s="230"/>
      <c r="AN172" s="235"/>
      <c r="AO172" s="234"/>
      <c r="AP172" s="230"/>
      <c r="AQ172" s="235"/>
      <c r="AR172" s="234"/>
      <c r="AS172" s="230"/>
      <c r="AT172" s="235"/>
      <c r="AU172" s="234"/>
      <c r="AV172" s="230"/>
      <c r="AW172" s="235"/>
      <c r="AX172" s="234"/>
      <c r="AY172" s="230"/>
      <c r="AZ172" s="235"/>
      <c r="BA172" s="234"/>
      <c r="BB172" s="230"/>
      <c r="BC172" s="235"/>
      <c r="BD172" s="234">
        <f>IFERROR(__xludf.DUMMYFUNCTION("""COMPUTED_VALUE"""),40.007480830372174)</f>
        <v>40.00748083</v>
      </c>
      <c r="BE172" s="230"/>
      <c r="BF172" s="235"/>
      <c r="BG172" s="234"/>
      <c r="BH172" s="230"/>
      <c r="BI172" s="235"/>
      <c r="BJ172" s="234">
        <f>IFERROR(__xludf.DUMMYFUNCTION("""COMPUTED_VALUE"""),4.389380220539584)</f>
        <v>4.389380221</v>
      </c>
      <c r="BK172" s="230"/>
      <c r="BL172" s="235"/>
      <c r="BM172" s="234"/>
      <c r="BN172" s="230"/>
      <c r="BO172" s="235"/>
      <c r="BP172" s="234"/>
      <c r="BQ172" s="230"/>
      <c r="BR172" s="235">
        <f>IFERROR(__xludf.DUMMYFUNCTION("""COMPUTED_VALUE"""),24.890348952504688)</f>
        <v>24.89034895</v>
      </c>
      <c r="BS172" s="234"/>
      <c r="BT172" s="230"/>
      <c r="BU172" s="235"/>
      <c r="BV172" s="234"/>
      <c r="BW172" s="230"/>
      <c r="BX172" s="235"/>
      <c r="BY172" s="234"/>
      <c r="BZ172" s="230"/>
      <c r="CA172" s="235"/>
      <c r="CB172" s="234"/>
      <c r="CC172" s="230"/>
      <c r="CD172" s="235"/>
      <c r="CE172" s="234"/>
      <c r="CF172" s="230"/>
      <c r="CG172" s="235"/>
      <c r="CH172" s="234"/>
      <c r="CI172" s="230"/>
      <c r="CJ172" s="230"/>
      <c r="CK172" s="234"/>
      <c r="CL172" s="230"/>
      <c r="CM172" s="235"/>
      <c r="CN172" s="230"/>
      <c r="CO172" s="230"/>
      <c r="CP172" s="230"/>
      <c r="CQ172" s="234"/>
      <c r="CR172" s="230"/>
      <c r="CS172" s="230">
        <f>IFERROR(__xludf.DUMMYFUNCTION("""COMPUTED_VALUE"""),5.534531693472091)</f>
        <v>5.534531693</v>
      </c>
      <c r="CT172" s="234">
        <f>IFERROR(__xludf.DUMMYFUNCTION("""COMPUTED_VALUE"""),24.69252601702933)</f>
        <v>24.69252602</v>
      </c>
      <c r="CU172" s="230"/>
      <c r="CV172" s="230"/>
      <c r="CW172" s="234"/>
      <c r="CX172" s="230"/>
      <c r="CY172" s="235"/>
      <c r="CZ172" s="230"/>
      <c r="DA172" s="230"/>
      <c r="DB172" s="235"/>
      <c r="DC172" s="234"/>
      <c r="DD172" s="230"/>
      <c r="DE172" s="235"/>
      <c r="DF172" s="234"/>
      <c r="DG172" s="230"/>
      <c r="DH172" s="235"/>
      <c r="DI172" s="234"/>
      <c r="DJ172" s="230"/>
      <c r="DK172" s="235"/>
      <c r="DL172" s="317"/>
      <c r="DM172" s="318"/>
      <c r="DN172" s="282"/>
      <c r="DO172" s="96"/>
      <c r="DP172" s="96"/>
      <c r="DQ172" s="96"/>
      <c r="DR172" s="96"/>
      <c r="DS172" s="96"/>
      <c r="DT172" s="96"/>
      <c r="DU172" s="96"/>
    </row>
    <row r="173">
      <c r="B173" s="120" t="str">
        <f>IFERROR(__xludf.DUMMYFUNCTION("""COMPUTED_VALUE"""),"SLM3")</f>
        <v>SLM3</v>
      </c>
      <c r="C173" s="88" t="str">
        <f>IFERROR(__xludf.DUMMYFUNCTION("""COMPUTED_VALUE"""),"Town Hall")</f>
        <v>Town Hall</v>
      </c>
      <c r="D173" s="102">
        <f>IFERROR(__xludf.DUMMYFUNCTION("""COMPUTED_VALUE"""),21.0)</f>
        <v>21</v>
      </c>
      <c r="E173" s="82" t="b">
        <f>IFERROR(__xludf.DUMMYFUNCTION("""COMPUTED_VALUE"""),TRUE)</f>
        <v>1</v>
      </c>
      <c r="F173" s="82" t="str">
        <f>IFERROR(__xludf.DUMMYFUNCTION("""COMPUTED_VALUE"""),"Free Quests- EoR!A448:J453")</f>
        <v>Free Quests- EoR!A448:J453</v>
      </c>
      <c r="G173" s="82">
        <f>IFERROR(__xludf.DUMMYFUNCTION("""COMPUTED_VALUE"""),174.0)</f>
        <v>174</v>
      </c>
      <c r="H173" s="82">
        <f>IFERROR(__xludf.DUMMYFUNCTION("""COMPUTED_VALUE"""),4465.0)</f>
        <v>4465</v>
      </c>
      <c r="I173" s="82">
        <f>IFERROR(__xludf.DUMMYFUNCTION("""COMPUTED_VALUE"""),35726.0)</f>
        <v>35726</v>
      </c>
      <c r="J173" s="82">
        <f>IFERROR(__xludf.DUMMYFUNCTION("""COMPUTED_VALUE"""),40191.0)</f>
        <v>40191</v>
      </c>
      <c r="K173" s="234"/>
      <c r="L173" s="230"/>
      <c r="M173" s="235"/>
      <c r="N173" s="234"/>
      <c r="O173" s="230"/>
      <c r="P173" s="235"/>
      <c r="Q173" s="234"/>
      <c r="R173" s="230"/>
      <c r="S173" s="235"/>
      <c r="T173" s="234"/>
      <c r="U173" s="230"/>
      <c r="V173" s="235"/>
      <c r="W173" s="234"/>
      <c r="X173" s="230"/>
      <c r="Y173" s="235"/>
      <c r="Z173" s="234"/>
      <c r="AA173" s="230"/>
      <c r="AB173" s="235"/>
      <c r="AC173" s="234"/>
      <c r="AD173" s="230"/>
      <c r="AE173" s="235"/>
      <c r="AF173" s="234"/>
      <c r="AG173" s="230">
        <f>IFERROR(__xludf.DUMMYFUNCTION("""COMPUTED_VALUE"""),35.346913488094344)</f>
        <v>35.34691349</v>
      </c>
      <c r="AH173" s="235"/>
      <c r="AI173" s="234"/>
      <c r="AJ173" s="230"/>
      <c r="AK173" s="235"/>
      <c r="AL173" s="231"/>
      <c r="AM173" s="230"/>
      <c r="AN173" s="235"/>
      <c r="AO173" s="234"/>
      <c r="AP173" s="230"/>
      <c r="AQ173" s="235"/>
      <c r="AR173" s="234"/>
      <c r="AS173" s="230"/>
      <c r="AT173" s="235"/>
      <c r="AU173" s="234"/>
      <c r="AV173" s="230"/>
      <c r="AW173" s="235"/>
      <c r="AX173" s="234"/>
      <c r="AY173" s="230"/>
      <c r="AZ173" s="235"/>
      <c r="BA173" s="234"/>
      <c r="BB173" s="230"/>
      <c r="BC173" s="235"/>
      <c r="BD173" s="234"/>
      <c r="BE173" s="230"/>
      <c r="BF173" s="235"/>
      <c r="BG173" s="234"/>
      <c r="BH173" s="230"/>
      <c r="BI173" s="235"/>
      <c r="BJ173" s="234"/>
      <c r="BK173" s="230"/>
      <c r="BL173" s="235"/>
      <c r="BM173" s="234"/>
      <c r="BN173" s="230"/>
      <c r="BO173" s="235"/>
      <c r="BP173" s="234"/>
      <c r="BQ173" s="230">
        <f>IFERROR(__xludf.DUMMYFUNCTION("""COMPUTED_VALUE"""),35.019662747548594)</f>
        <v>35.01966275</v>
      </c>
      <c r="BR173" s="235"/>
      <c r="BS173" s="234"/>
      <c r="BT173" s="230"/>
      <c r="BU173" s="235"/>
      <c r="BV173" s="234"/>
      <c r="BW173" s="230"/>
      <c r="BX173" s="235"/>
      <c r="BY173" s="234"/>
      <c r="BZ173" s="230"/>
      <c r="CA173" s="235"/>
      <c r="CB173" s="234"/>
      <c r="CC173" s="230"/>
      <c r="CD173" s="235"/>
      <c r="CE173" s="234"/>
      <c r="CF173" s="230"/>
      <c r="CG173" s="235"/>
      <c r="CH173" s="234"/>
      <c r="CI173" s="230"/>
      <c r="CJ173" s="230"/>
      <c r="CK173" s="234"/>
      <c r="CL173" s="230"/>
      <c r="CM173" s="235"/>
      <c r="CN173" s="230"/>
      <c r="CO173" s="230"/>
      <c r="CP173" s="230"/>
      <c r="CQ173" s="234"/>
      <c r="CR173" s="230"/>
      <c r="CS173" s="230">
        <f>IFERROR(__xludf.DUMMYFUNCTION("""COMPUTED_VALUE"""),36.548082267926624)</f>
        <v>36.54808227</v>
      </c>
      <c r="CT173" s="234"/>
      <c r="CU173" s="230"/>
      <c r="CV173" s="230"/>
      <c r="CW173" s="234"/>
      <c r="CX173" s="230"/>
      <c r="CY173" s="235"/>
      <c r="CZ173" s="230"/>
      <c r="DA173" s="230"/>
      <c r="DB173" s="235"/>
      <c r="DC173" s="234"/>
      <c r="DD173" s="230"/>
      <c r="DE173" s="235"/>
      <c r="DF173" s="234"/>
      <c r="DG173" s="230"/>
      <c r="DH173" s="235"/>
      <c r="DI173" s="234"/>
      <c r="DJ173" s="230"/>
      <c r="DK173" s="235"/>
      <c r="DL173" s="328"/>
      <c r="DM173" s="329"/>
      <c r="DN173" s="330"/>
      <c r="DO173" s="96"/>
      <c r="DP173" s="96"/>
      <c r="DQ173" s="96"/>
      <c r="DR173" s="96"/>
      <c r="DS173" s="96"/>
      <c r="DT173" s="96"/>
      <c r="DU173" s="96"/>
    </row>
    <row r="174">
      <c r="B174" s="120" t="str">
        <f>IFERROR(__xludf.DUMMYFUNCTION("""COMPUTED_VALUE"""),"SLM4")</f>
        <v>SLM4</v>
      </c>
      <c r="C174" s="88" t="str">
        <f>IFERROR(__xludf.DUMMYFUNCTION("""COMPUTED_VALUE"""),"Wharf")</f>
        <v>Wharf</v>
      </c>
      <c r="D174" s="102">
        <f>IFERROR(__xludf.DUMMYFUNCTION("""COMPUTED_VALUE"""),21.0)</f>
        <v>21</v>
      </c>
      <c r="E174" s="82" t="b">
        <f>IFERROR(__xludf.DUMMYFUNCTION("""COMPUTED_VALUE"""),TRUE)</f>
        <v>1</v>
      </c>
      <c r="F174" s="82" t="str">
        <f>IFERROR(__xludf.DUMMYFUNCTION("""COMPUTED_VALUE"""),"Free Quests- EoR!A457:J466")</f>
        <v>Free Quests- EoR!A457:J466</v>
      </c>
      <c r="G174" s="82">
        <f>IFERROR(__xludf.DUMMYFUNCTION("""COMPUTED_VALUE"""),175.0)</f>
        <v>175</v>
      </c>
      <c r="H174" s="82">
        <f>IFERROR(__xludf.DUMMYFUNCTION("""COMPUTED_VALUE"""),52.0)</f>
        <v>52</v>
      </c>
      <c r="I174" s="82">
        <f>IFERROR(__xludf.DUMMYFUNCTION("""COMPUTED_VALUE"""),29538.0)</f>
        <v>29538</v>
      </c>
      <c r="J174" s="82">
        <f>IFERROR(__xludf.DUMMYFUNCTION("""COMPUTED_VALUE"""),29590.0)</f>
        <v>29590</v>
      </c>
      <c r="K174" s="234"/>
      <c r="L174" s="230"/>
      <c r="M174" s="235"/>
      <c r="N174" s="234"/>
      <c r="O174" s="230"/>
      <c r="P174" s="235"/>
      <c r="Q174" s="234"/>
      <c r="R174" s="230"/>
      <c r="S174" s="235"/>
      <c r="T174" s="234"/>
      <c r="U174" s="230"/>
      <c r="V174" s="235"/>
      <c r="W174" s="234"/>
      <c r="X174" s="230"/>
      <c r="Y174" s="235"/>
      <c r="Z174" s="234"/>
      <c r="AA174" s="230"/>
      <c r="AB174" s="235"/>
      <c r="AC174" s="234"/>
      <c r="AD174" s="230"/>
      <c r="AE174" s="235"/>
      <c r="AF174" s="234"/>
      <c r="AG174" s="230">
        <f>IFERROR(__xludf.DUMMYFUNCTION("""COMPUTED_VALUE"""),20.10523149712741)</f>
        <v>20.1052315</v>
      </c>
      <c r="AH174" s="235"/>
      <c r="AI174" s="234"/>
      <c r="AJ174" s="230"/>
      <c r="AK174" s="235"/>
      <c r="AL174" s="231"/>
      <c r="AM174" s="230"/>
      <c r="AN174" s="235"/>
      <c r="AO174" s="234"/>
      <c r="AP174" s="230"/>
      <c r="AQ174" s="235"/>
      <c r="AR174" s="234"/>
      <c r="AS174" s="230"/>
      <c r="AT174" s="235"/>
      <c r="AU174" s="234"/>
      <c r="AV174" s="230"/>
      <c r="AW174" s="235"/>
      <c r="AX174" s="234"/>
      <c r="AY174" s="230"/>
      <c r="AZ174" s="235"/>
      <c r="BA174" s="234">
        <f>IFERROR(__xludf.DUMMYFUNCTION("""COMPUTED_VALUE"""),39.931267320040554)</f>
        <v>39.93126732</v>
      </c>
      <c r="BB174" s="230"/>
      <c r="BC174" s="235"/>
      <c r="BD174" s="234"/>
      <c r="BE174" s="230"/>
      <c r="BF174" s="235"/>
      <c r="BG174" s="234"/>
      <c r="BH174" s="230"/>
      <c r="BI174" s="235"/>
      <c r="BJ174" s="234"/>
      <c r="BK174" s="230"/>
      <c r="BL174" s="235"/>
      <c r="BM174" s="234"/>
      <c r="BN174" s="230"/>
      <c r="BO174" s="235"/>
      <c r="BP174" s="234"/>
      <c r="BQ174" s="230">
        <f>IFERROR(__xludf.DUMMYFUNCTION("""COMPUTED_VALUE"""),20.300190080763635)</f>
        <v>20.30019008</v>
      </c>
      <c r="BR174" s="235"/>
      <c r="BS174" s="234"/>
      <c r="BT174" s="230"/>
      <c r="BU174" s="235"/>
      <c r="BV174" s="234"/>
      <c r="BW174" s="230"/>
      <c r="BX174" s="235"/>
      <c r="BY174" s="234">
        <f>IFERROR(__xludf.DUMMYFUNCTION("""COMPUTED_VALUE"""),24.79945486271562)</f>
        <v>24.79945486</v>
      </c>
      <c r="BZ174" s="230"/>
      <c r="CA174" s="235"/>
      <c r="CB174" s="234"/>
      <c r="CC174" s="230"/>
      <c r="CD174" s="235"/>
      <c r="CE174" s="234"/>
      <c r="CF174" s="230"/>
      <c r="CG174" s="235"/>
      <c r="CH174" s="234"/>
      <c r="CI174" s="230"/>
      <c r="CJ174" s="230"/>
      <c r="CK174" s="234"/>
      <c r="CL174" s="230"/>
      <c r="CM174" s="235"/>
      <c r="CN174" s="230"/>
      <c r="CO174" s="230"/>
      <c r="CP174" s="230"/>
      <c r="CQ174" s="234"/>
      <c r="CR174" s="230"/>
      <c r="CS174" s="230">
        <f>IFERROR(__xludf.DUMMYFUNCTION("""COMPUTED_VALUE"""),24.489795918367346)</f>
        <v>24.48979592</v>
      </c>
      <c r="CT174" s="234"/>
      <c r="CU174" s="230"/>
      <c r="CV174" s="230"/>
      <c r="CW174" s="234"/>
      <c r="CX174" s="230"/>
      <c r="CY174" s="235"/>
      <c r="CZ174" s="230"/>
      <c r="DA174" s="230"/>
      <c r="DB174" s="235"/>
      <c r="DC174" s="234"/>
      <c r="DD174" s="230"/>
      <c r="DE174" s="235"/>
      <c r="DF174" s="234"/>
      <c r="DG174" s="230"/>
      <c r="DH174" s="235"/>
      <c r="DI174" s="234"/>
      <c r="DJ174" s="230">
        <f>IFERROR(__xludf.DUMMYFUNCTION("""COMPUTED_VALUE"""),24.489795918367346)</f>
        <v>24.48979592</v>
      </c>
      <c r="DK174" s="235"/>
      <c r="DL174" s="317"/>
      <c r="DM174" s="318"/>
      <c r="DN174" s="282"/>
      <c r="DO174" s="96"/>
      <c r="DP174" s="96"/>
      <c r="DQ174" s="96"/>
      <c r="DR174" s="96"/>
      <c r="DS174" s="96"/>
      <c r="DT174" s="96"/>
      <c r="DU174" s="96"/>
    </row>
    <row r="175">
      <c r="B175" s="120" t="str">
        <f>IFERROR(__xludf.DUMMYFUNCTION("""COMPUTED_VALUE"""),"SLM5")</f>
        <v>SLM5</v>
      </c>
      <c r="C175" s="88" t="str">
        <f>IFERROR(__xludf.DUMMYFUNCTION("""COMPUTED_VALUE"""),"Whateley Residence")</f>
        <v>Whateley Residence</v>
      </c>
      <c r="D175" s="102">
        <f>IFERROR(__xludf.DUMMYFUNCTION("""COMPUTED_VALUE"""),21.0)</f>
        <v>21</v>
      </c>
      <c r="E175" s="82" t="b">
        <f>IFERROR(__xludf.DUMMYFUNCTION("""COMPUTED_VALUE"""),TRUE)</f>
        <v>1</v>
      </c>
      <c r="F175" s="82" t="str">
        <f>IFERROR(__xludf.DUMMYFUNCTION("""COMPUTED_VALUE"""),"Free Quests- EoR!A470:J478")</f>
        <v>Free Quests- EoR!A470:J478</v>
      </c>
      <c r="G175" s="82">
        <f>IFERROR(__xludf.DUMMYFUNCTION("""COMPUTED_VALUE"""),176.0)</f>
        <v>176</v>
      </c>
      <c r="H175" s="82">
        <f>IFERROR(__xludf.DUMMYFUNCTION("""COMPUTED_VALUE"""),81.0)</f>
        <v>81</v>
      </c>
      <c r="I175" s="82">
        <f>IFERROR(__xludf.DUMMYFUNCTION("""COMPUTED_VALUE"""),10612.0)</f>
        <v>10612</v>
      </c>
      <c r="J175" s="82">
        <f>IFERROR(__xludf.DUMMYFUNCTION("""COMPUTED_VALUE"""),10693.0)</f>
        <v>10693</v>
      </c>
      <c r="K175" s="234"/>
      <c r="L175" s="230"/>
      <c r="M175" s="235"/>
      <c r="N175" s="234"/>
      <c r="O175" s="230"/>
      <c r="P175" s="235"/>
      <c r="Q175" s="234"/>
      <c r="R175" s="230"/>
      <c r="S175" s="235"/>
      <c r="T175" s="234"/>
      <c r="U175" s="230"/>
      <c r="V175" s="235"/>
      <c r="W175" s="234"/>
      <c r="X175" s="230"/>
      <c r="Y175" s="235"/>
      <c r="Z175" s="234"/>
      <c r="AA175" s="230"/>
      <c r="AB175" s="235"/>
      <c r="AC175" s="234"/>
      <c r="AD175" s="230"/>
      <c r="AE175" s="235"/>
      <c r="AF175" s="234"/>
      <c r="AG175" s="230"/>
      <c r="AH175" s="235"/>
      <c r="AI175" s="234"/>
      <c r="AJ175" s="230">
        <f>IFERROR(__xludf.DUMMYFUNCTION("""COMPUTED_VALUE"""),39.81647806976527)</f>
        <v>39.81647807</v>
      </c>
      <c r="AK175" s="235"/>
      <c r="AL175" s="231"/>
      <c r="AM175" s="230"/>
      <c r="AN175" s="235"/>
      <c r="AO175" s="234"/>
      <c r="AP175" s="230"/>
      <c r="AQ175" s="235"/>
      <c r="AR175" s="234"/>
      <c r="AS175" s="230"/>
      <c r="AT175" s="235"/>
      <c r="AU175" s="234"/>
      <c r="AV175" s="230"/>
      <c r="AW175" s="235"/>
      <c r="AX175" s="234"/>
      <c r="AY175" s="230"/>
      <c r="AZ175" s="235"/>
      <c r="BA175" s="234"/>
      <c r="BB175" s="230"/>
      <c r="BC175" s="235"/>
      <c r="BD175" s="234"/>
      <c r="BE175" s="230"/>
      <c r="BF175" s="235"/>
      <c r="BG175" s="234"/>
      <c r="BH175" s="230"/>
      <c r="BI175" s="235"/>
      <c r="BJ175" s="234"/>
      <c r="BK175" s="230"/>
      <c r="BL175" s="235"/>
      <c r="BM175" s="234"/>
      <c r="BN175" s="230"/>
      <c r="BO175" s="235">
        <f>IFERROR(__xludf.DUMMYFUNCTION("""COMPUTED_VALUE"""),19.264081691940042)</f>
        <v>19.26408169</v>
      </c>
      <c r="BP175" s="234"/>
      <c r="BQ175" s="230"/>
      <c r="BR175" s="235"/>
      <c r="BS175" s="234"/>
      <c r="BT175" s="230"/>
      <c r="BU175" s="235"/>
      <c r="BV175" s="234">
        <f>IFERROR(__xludf.DUMMYFUNCTION("""COMPUTED_VALUE"""),37.288902065578796)</f>
        <v>37.28890207</v>
      </c>
      <c r="BW175" s="230"/>
      <c r="BX175" s="235"/>
      <c r="BY175" s="234"/>
      <c r="BZ175" s="230"/>
      <c r="CA175" s="235"/>
      <c r="CB175" s="234"/>
      <c r="CC175" s="230"/>
      <c r="CD175" s="235"/>
      <c r="CE175" s="234"/>
      <c r="CF175" s="230"/>
      <c r="CG175" s="235"/>
      <c r="CH175" s="234"/>
      <c r="CI175" s="230"/>
      <c r="CJ175" s="230"/>
      <c r="CK175" s="234"/>
      <c r="CL175" s="230"/>
      <c r="CM175" s="235"/>
      <c r="CN175" s="230"/>
      <c r="CO175" s="230"/>
      <c r="CP175" s="230"/>
      <c r="CQ175" s="234">
        <f>IFERROR(__xludf.DUMMYFUNCTION("""COMPUTED_VALUE"""),14.567450171219589)</f>
        <v>14.56745017</v>
      </c>
      <c r="CR175" s="230"/>
      <c r="CS175" s="230"/>
      <c r="CT175" s="234"/>
      <c r="CU175" s="230"/>
      <c r="CV175" s="230"/>
      <c r="CW175" s="234"/>
      <c r="CX175" s="230"/>
      <c r="CY175" s="235"/>
      <c r="CZ175" s="230"/>
      <c r="DA175" s="230"/>
      <c r="DB175" s="235"/>
      <c r="DC175" s="234"/>
      <c r="DD175" s="230"/>
      <c r="DE175" s="235"/>
      <c r="DF175" s="234"/>
      <c r="DG175" s="230">
        <f>IFERROR(__xludf.DUMMYFUNCTION("""COMPUTED_VALUE"""),21.27659574468085)</f>
        <v>21.27659574</v>
      </c>
      <c r="DH175" s="235"/>
      <c r="DI175" s="234"/>
      <c r="DJ175" s="230"/>
      <c r="DK175" s="235"/>
      <c r="DL175" s="328"/>
      <c r="DM175" s="329"/>
      <c r="DN175" s="330"/>
      <c r="DO175" s="96"/>
      <c r="DP175" s="96"/>
      <c r="DQ175" s="96"/>
      <c r="DR175" s="96"/>
      <c r="DS175" s="96"/>
      <c r="DT175" s="96"/>
      <c r="DU175" s="96"/>
    </row>
    <row r="176">
      <c r="B176" s="120" t="str">
        <f>IFERROR(__xludf.DUMMYFUNCTION("""COMPUTED_VALUE"""),"SLM6")</f>
        <v>SLM6</v>
      </c>
      <c r="C176" s="88" t="str">
        <f>IFERROR(__xludf.DUMMYFUNCTION("""COMPUTED_VALUE"""),"Isolated Mansion")</f>
        <v>Isolated Mansion</v>
      </c>
      <c r="D176" s="102">
        <f>IFERROR(__xludf.DUMMYFUNCTION("""COMPUTED_VALUE"""),21.0)</f>
        <v>21</v>
      </c>
      <c r="E176" s="82" t="b">
        <f>IFERROR(__xludf.DUMMYFUNCTION("""COMPUTED_VALUE"""),TRUE)</f>
        <v>1</v>
      </c>
      <c r="F176" s="82" t="str">
        <f>IFERROR(__xludf.DUMMYFUNCTION("""COMPUTED_VALUE"""),"Free Quests- EoR!A482:J493")</f>
        <v>Free Quests- EoR!A482:J493</v>
      </c>
      <c r="G176" s="82">
        <f>IFERROR(__xludf.DUMMYFUNCTION("""COMPUTED_VALUE"""),177.0)</f>
        <v>177</v>
      </c>
      <c r="H176" s="82">
        <f>IFERROR(__xludf.DUMMYFUNCTION("""COMPUTED_VALUE"""),100.0)</f>
        <v>100</v>
      </c>
      <c r="I176" s="82">
        <f>IFERROR(__xludf.DUMMYFUNCTION("""COMPUTED_VALUE"""),19538.0)</f>
        <v>19538</v>
      </c>
      <c r="J176" s="82">
        <f>IFERROR(__xludf.DUMMYFUNCTION("""COMPUTED_VALUE"""),19638.0)</f>
        <v>19638</v>
      </c>
      <c r="K176" s="234"/>
      <c r="L176" s="230"/>
      <c r="M176" s="235"/>
      <c r="N176" s="234"/>
      <c r="O176" s="230"/>
      <c r="P176" s="235"/>
      <c r="Q176" s="234"/>
      <c r="R176" s="230"/>
      <c r="S176" s="235"/>
      <c r="T176" s="234"/>
      <c r="U176" s="230"/>
      <c r="V176" s="235"/>
      <c r="W176" s="234"/>
      <c r="X176" s="230"/>
      <c r="Y176" s="235"/>
      <c r="Z176" s="234"/>
      <c r="AA176" s="230"/>
      <c r="AB176" s="235"/>
      <c r="AC176" s="234"/>
      <c r="AD176" s="230"/>
      <c r="AE176" s="235"/>
      <c r="AF176" s="234"/>
      <c r="AG176" s="230"/>
      <c r="AH176" s="235"/>
      <c r="AI176" s="234"/>
      <c r="AJ176" s="230"/>
      <c r="AK176" s="235"/>
      <c r="AL176" s="231"/>
      <c r="AM176" s="230"/>
      <c r="AN176" s="235"/>
      <c r="AO176" s="234"/>
      <c r="AP176" s="230"/>
      <c r="AQ176" s="235"/>
      <c r="AR176" s="234"/>
      <c r="AS176" s="230"/>
      <c r="AT176" s="235"/>
      <c r="AU176" s="234"/>
      <c r="AV176" s="230"/>
      <c r="AW176" s="235"/>
      <c r="AX176" s="234"/>
      <c r="AY176" s="230"/>
      <c r="AZ176" s="235"/>
      <c r="BA176" s="234">
        <f>IFERROR(__xludf.DUMMYFUNCTION("""COMPUTED_VALUE"""),40.82138710663)</f>
        <v>40.82138711</v>
      </c>
      <c r="BB176" s="230"/>
      <c r="BC176" s="235"/>
      <c r="BD176" s="234">
        <f>IFERROR(__xludf.DUMMYFUNCTION("""COMPUTED_VALUE"""),40.72189632345453)</f>
        <v>40.72189632</v>
      </c>
      <c r="BE176" s="230"/>
      <c r="BF176" s="235"/>
      <c r="BG176" s="234"/>
      <c r="BH176" s="230"/>
      <c r="BI176" s="235"/>
      <c r="BJ176" s="234"/>
      <c r="BK176" s="230"/>
      <c r="BL176" s="235"/>
      <c r="BM176" s="234"/>
      <c r="BN176" s="230"/>
      <c r="BO176" s="235"/>
      <c r="BP176" s="234"/>
      <c r="BQ176" s="230"/>
      <c r="BR176" s="235"/>
      <c r="BS176" s="234"/>
      <c r="BT176" s="230"/>
      <c r="BU176" s="235"/>
      <c r="BV176" s="234"/>
      <c r="BW176" s="230"/>
      <c r="BX176" s="235"/>
      <c r="BY176" s="234">
        <f>IFERROR(__xludf.DUMMYFUNCTION("""COMPUTED_VALUE"""),25.102199383305923)</f>
        <v>25.10219938</v>
      </c>
      <c r="BZ176" s="230">
        <f>IFERROR(__xludf.DUMMYFUNCTION("""COMPUTED_VALUE"""),22.48835301943908)</f>
        <v>22.48835302</v>
      </c>
      <c r="CA176" s="235"/>
      <c r="CB176" s="234"/>
      <c r="CC176" s="230"/>
      <c r="CD176" s="235"/>
      <c r="CE176" s="234"/>
      <c r="CF176" s="230"/>
      <c r="CG176" s="235"/>
      <c r="CH176" s="234"/>
      <c r="CI176" s="230"/>
      <c r="CJ176" s="230"/>
      <c r="CK176" s="234"/>
      <c r="CL176" s="230"/>
      <c r="CM176" s="235"/>
      <c r="CN176" s="230"/>
      <c r="CO176" s="230"/>
      <c r="CP176" s="230"/>
      <c r="CQ176" s="234"/>
      <c r="CR176" s="230"/>
      <c r="CS176" s="230"/>
      <c r="CT176" s="234"/>
      <c r="CU176" s="230"/>
      <c r="CV176" s="230"/>
      <c r="CW176" s="234"/>
      <c r="CX176" s="230"/>
      <c r="CY176" s="235"/>
      <c r="CZ176" s="230"/>
      <c r="DA176" s="230"/>
      <c r="DB176" s="235"/>
      <c r="DC176" s="234">
        <f>IFERROR(__xludf.DUMMYFUNCTION("""COMPUTED_VALUE"""),4.761904761904762)</f>
        <v>4.761904762</v>
      </c>
      <c r="DD176" s="230"/>
      <c r="DE176" s="235"/>
      <c r="DF176" s="234"/>
      <c r="DG176" s="230"/>
      <c r="DH176" s="235"/>
      <c r="DI176" s="234"/>
      <c r="DJ176" s="230">
        <f>IFERROR(__xludf.DUMMYFUNCTION("""COMPUTED_VALUE"""),29.347826086956523)</f>
        <v>29.34782609</v>
      </c>
      <c r="DK176" s="235">
        <f>IFERROR(__xludf.DUMMYFUNCTION("""COMPUTED_VALUE"""),5.952380952380952)</f>
        <v>5.952380952</v>
      </c>
      <c r="DL176" s="317"/>
      <c r="DM176" s="318"/>
      <c r="DN176" s="282"/>
      <c r="DO176" s="96"/>
      <c r="DP176" s="96"/>
      <c r="DQ176" s="96"/>
      <c r="DR176" s="96"/>
      <c r="DS176" s="96"/>
      <c r="DT176" s="96"/>
      <c r="DU176" s="96"/>
    </row>
    <row r="177">
      <c r="B177" s="120" t="str">
        <f>IFERROR(__xludf.DUMMYFUNCTION("""COMPUTED_VALUE"""),"SLM7")</f>
        <v>SLM7</v>
      </c>
      <c r="C177" s="88" t="str">
        <f>IFERROR(__xludf.DUMMYFUNCTION("""COMPUTED_VALUE"""),"Gallows Hill")</f>
        <v>Gallows Hill</v>
      </c>
      <c r="D177" s="102">
        <f>IFERROR(__xludf.DUMMYFUNCTION("""COMPUTED_VALUE"""),21.0)</f>
        <v>21</v>
      </c>
      <c r="E177" s="82" t="b">
        <f>IFERROR(__xludf.DUMMYFUNCTION("""COMPUTED_VALUE"""),TRUE)</f>
        <v>1</v>
      </c>
      <c r="F177" s="82" t="str">
        <f>IFERROR(__xludf.DUMMYFUNCTION("""COMPUTED_VALUE"""),"Free Quests- EoR!A497:J506")</f>
        <v>Free Quests- EoR!A497:J506</v>
      </c>
      <c r="G177" s="82">
        <f>IFERROR(__xludf.DUMMYFUNCTION("""COMPUTED_VALUE"""),178.0)</f>
        <v>178</v>
      </c>
      <c r="H177" s="82">
        <f>IFERROR(__xludf.DUMMYFUNCTION("""COMPUTED_VALUE"""),6526.0)</f>
        <v>6526</v>
      </c>
      <c r="I177" s="82">
        <f>IFERROR(__xludf.DUMMYFUNCTION("""COMPUTED_VALUE"""),29563.0)</f>
        <v>29563</v>
      </c>
      <c r="J177" s="82">
        <f>IFERROR(__xludf.DUMMYFUNCTION("""COMPUTED_VALUE"""),36089.0)</f>
        <v>36089</v>
      </c>
      <c r="K177" s="234"/>
      <c r="L177" s="230"/>
      <c r="M177" s="235"/>
      <c r="N177" s="234"/>
      <c r="O177" s="230"/>
      <c r="P177" s="235"/>
      <c r="Q177" s="234"/>
      <c r="R177" s="230"/>
      <c r="S177" s="235"/>
      <c r="T177" s="234"/>
      <c r="U177" s="230"/>
      <c r="V177" s="235"/>
      <c r="W177" s="234"/>
      <c r="X177" s="230"/>
      <c r="Y177" s="235"/>
      <c r="Z177" s="234"/>
      <c r="AA177" s="230"/>
      <c r="AB177" s="235"/>
      <c r="AC177" s="234"/>
      <c r="AD177" s="230"/>
      <c r="AE177" s="235"/>
      <c r="AF177" s="234"/>
      <c r="AG177" s="230"/>
      <c r="AH177" s="235"/>
      <c r="AI177" s="234"/>
      <c r="AJ177" s="230"/>
      <c r="AK177" s="235"/>
      <c r="AL177" s="231"/>
      <c r="AM177" s="230"/>
      <c r="AN177" s="235"/>
      <c r="AO177" s="234"/>
      <c r="AP177" s="230"/>
      <c r="AQ177" s="235"/>
      <c r="AR177" s="234"/>
      <c r="AS177" s="230"/>
      <c r="AT177" s="235"/>
      <c r="AU177" s="234"/>
      <c r="AV177" s="230"/>
      <c r="AW177" s="235"/>
      <c r="AX177" s="234"/>
      <c r="AY177" s="230"/>
      <c r="AZ177" s="235"/>
      <c r="BA177" s="234"/>
      <c r="BB177" s="230"/>
      <c r="BC177" s="235"/>
      <c r="BD177" s="234">
        <f>IFERROR(__xludf.DUMMYFUNCTION("""COMPUTED_VALUE"""),67.5038432763446)</f>
        <v>67.50384328</v>
      </c>
      <c r="BE177" s="230"/>
      <c r="BF177" s="235"/>
      <c r="BG177" s="234"/>
      <c r="BH177" s="230"/>
      <c r="BI177" s="235"/>
      <c r="BJ177" s="234"/>
      <c r="BK177" s="230"/>
      <c r="BL177" s="235"/>
      <c r="BM177" s="234"/>
      <c r="BN177" s="230"/>
      <c r="BO177" s="235"/>
      <c r="BP177" s="234"/>
      <c r="BQ177" s="230"/>
      <c r="BR177" s="235">
        <f>IFERROR(__xludf.DUMMYFUNCTION("""COMPUTED_VALUE"""),15.265573230316933)</f>
        <v>15.26557323</v>
      </c>
      <c r="BS177" s="234"/>
      <c r="BT177" s="230"/>
      <c r="BU177" s="235"/>
      <c r="BV177" s="234"/>
      <c r="BW177" s="230"/>
      <c r="BX177" s="235"/>
      <c r="BY177" s="234"/>
      <c r="BZ177" s="230">
        <f>IFERROR(__xludf.DUMMYFUNCTION("""COMPUTED_VALUE"""),35.79505322995531)</f>
        <v>35.79505323</v>
      </c>
      <c r="CA177" s="235"/>
      <c r="CB177" s="234"/>
      <c r="CC177" s="230"/>
      <c r="CD177" s="235"/>
      <c r="CE177" s="234"/>
      <c r="CF177" s="230"/>
      <c r="CG177" s="235"/>
      <c r="CH177" s="234"/>
      <c r="CI177" s="230"/>
      <c r="CJ177" s="230"/>
      <c r="CK177" s="234"/>
      <c r="CL177" s="230"/>
      <c r="CM177" s="235"/>
      <c r="CN177" s="230"/>
      <c r="CO177" s="230"/>
      <c r="CP177" s="230"/>
      <c r="CQ177" s="234"/>
      <c r="CR177" s="230"/>
      <c r="CS177" s="230"/>
      <c r="CT177" s="234">
        <f>IFERROR(__xludf.DUMMYFUNCTION("""COMPUTED_VALUE"""),14.85427765590724)</f>
        <v>14.85427766</v>
      </c>
      <c r="CU177" s="230"/>
      <c r="CV177" s="230"/>
      <c r="CW177" s="234"/>
      <c r="CX177" s="230"/>
      <c r="CY177" s="235"/>
      <c r="CZ177" s="230"/>
      <c r="DA177" s="230"/>
      <c r="DB177" s="235"/>
      <c r="DC177" s="234">
        <f>IFERROR(__xludf.DUMMYFUNCTION("""COMPUTED_VALUE"""),7.0103740961961645)</f>
        <v>7.010374096</v>
      </c>
      <c r="DD177" s="230"/>
      <c r="DE177" s="235"/>
      <c r="DF177" s="234"/>
      <c r="DG177" s="230"/>
      <c r="DH177" s="235"/>
      <c r="DI177" s="234"/>
      <c r="DJ177" s="230"/>
      <c r="DK177" s="235">
        <f>IFERROR(__xludf.DUMMYFUNCTION("""COMPUTED_VALUE"""),22.563459730492006)</f>
        <v>22.56345973</v>
      </c>
      <c r="DL177" s="328"/>
      <c r="DM177" s="329"/>
      <c r="DN177" s="330"/>
      <c r="DO177" s="96"/>
      <c r="DP177" s="96"/>
      <c r="DQ177" s="96"/>
      <c r="DR177" s="96"/>
      <c r="DS177" s="96"/>
      <c r="DT177" s="96"/>
      <c r="DU177" s="96"/>
    </row>
    <row r="178">
      <c r="B178" s="120" t="str">
        <f>IFERROR(__xludf.DUMMYFUNCTION("""COMPUTED_VALUE"""),"SLM8")</f>
        <v>SLM8</v>
      </c>
      <c r="C178" s="88" t="str">
        <f>IFERROR(__xludf.DUMMYFUNCTION("""COMPUTED_VALUE"""),"Meadow")</f>
        <v>Meadow</v>
      </c>
      <c r="D178" s="102">
        <f>IFERROR(__xludf.DUMMYFUNCTION("""COMPUTED_VALUE"""),21.0)</f>
        <v>21</v>
      </c>
      <c r="E178" s="82" t="b">
        <f>IFERROR(__xludf.DUMMYFUNCTION("""COMPUTED_VALUE"""),TRUE)</f>
        <v>1</v>
      </c>
      <c r="F178" s="82" t="str">
        <f>IFERROR(__xludf.DUMMYFUNCTION("""COMPUTED_VALUE"""),"Free Quests- EoR!A510:J520")</f>
        <v>Free Quests- EoR!A510:J520</v>
      </c>
      <c r="G178" s="82">
        <f>IFERROR(__xludf.DUMMYFUNCTION("""COMPUTED_VALUE"""),179.0)</f>
        <v>179</v>
      </c>
      <c r="H178" s="82">
        <f>IFERROR(__xludf.DUMMYFUNCTION("""COMPUTED_VALUE"""),51.0)</f>
        <v>51</v>
      </c>
      <c r="I178" s="82">
        <f>IFERROR(__xludf.DUMMYFUNCTION("""COMPUTED_VALUE"""),18155.0)</f>
        <v>18155</v>
      </c>
      <c r="J178" s="82">
        <f>IFERROR(__xludf.DUMMYFUNCTION("""COMPUTED_VALUE"""),18206.0)</f>
        <v>18206</v>
      </c>
      <c r="K178" s="234"/>
      <c r="L178" s="230"/>
      <c r="M178" s="235"/>
      <c r="N178" s="234"/>
      <c r="O178" s="230"/>
      <c r="P178" s="235"/>
      <c r="Q178" s="234"/>
      <c r="R178" s="230"/>
      <c r="S178" s="235"/>
      <c r="T178" s="234"/>
      <c r="U178" s="230"/>
      <c r="V178" s="235"/>
      <c r="W178" s="234"/>
      <c r="X178" s="230"/>
      <c r="Y178" s="235"/>
      <c r="Z178" s="234"/>
      <c r="AA178" s="230"/>
      <c r="AB178" s="235"/>
      <c r="AC178" s="234">
        <f>IFERROR(__xludf.DUMMYFUNCTION("""COMPUTED_VALUE"""),35.062094913764696)</f>
        <v>35.06209491</v>
      </c>
      <c r="AD178" s="230"/>
      <c r="AE178" s="235"/>
      <c r="AF178" s="234"/>
      <c r="AG178" s="230"/>
      <c r="AH178" s="235"/>
      <c r="AI178" s="234"/>
      <c r="AJ178" s="230"/>
      <c r="AK178" s="235"/>
      <c r="AL178" s="231"/>
      <c r="AM178" s="230"/>
      <c r="AN178" s="235"/>
      <c r="AO178" s="234"/>
      <c r="AP178" s="230"/>
      <c r="AQ178" s="235"/>
      <c r="AR178" s="234"/>
      <c r="AS178" s="230"/>
      <c r="AT178" s="235"/>
      <c r="AU178" s="234"/>
      <c r="AV178" s="230"/>
      <c r="AW178" s="235"/>
      <c r="AX178" s="234"/>
      <c r="AY178" s="230"/>
      <c r="AZ178" s="235"/>
      <c r="BA178" s="234"/>
      <c r="BB178" s="230"/>
      <c r="BC178" s="235"/>
      <c r="BD178" s="234">
        <f>IFERROR(__xludf.DUMMYFUNCTION("""COMPUTED_VALUE"""),40.07005932110293)</f>
        <v>40.07005932</v>
      </c>
      <c r="BE178" s="230"/>
      <c r="BF178" s="235"/>
      <c r="BG178" s="234"/>
      <c r="BH178" s="230"/>
      <c r="BI178" s="235"/>
      <c r="BJ178" s="234"/>
      <c r="BK178" s="230"/>
      <c r="BL178" s="235"/>
      <c r="BM178" s="234"/>
      <c r="BN178" s="230"/>
      <c r="BO178" s="235"/>
      <c r="BP178" s="234"/>
      <c r="BQ178" s="230"/>
      <c r="BR178" s="235"/>
      <c r="BS178" s="234"/>
      <c r="BT178" s="230"/>
      <c r="BU178" s="235"/>
      <c r="BV178" s="234"/>
      <c r="BW178" s="230">
        <f>IFERROR(__xludf.DUMMYFUNCTION("""COMPUTED_VALUE"""),24.835576183675713)</f>
        <v>24.83557618</v>
      </c>
      <c r="BX178" s="235"/>
      <c r="BY178" s="234"/>
      <c r="BZ178" s="230">
        <f>IFERROR(__xludf.DUMMYFUNCTION("""COMPUTED_VALUE"""),23.275582225639898)</f>
        <v>23.27558223</v>
      </c>
      <c r="CA178" s="235"/>
      <c r="CB178" s="234"/>
      <c r="CC178" s="230"/>
      <c r="CD178" s="235"/>
      <c r="CE178" s="234"/>
      <c r="CF178" s="230"/>
      <c r="CG178" s="235"/>
      <c r="CH178" s="234"/>
      <c r="CI178" s="230"/>
      <c r="CJ178" s="230"/>
      <c r="CK178" s="234"/>
      <c r="CL178" s="230"/>
      <c r="CM178" s="235"/>
      <c r="CN178" s="230"/>
      <c r="CO178" s="230"/>
      <c r="CP178" s="230"/>
      <c r="CQ178" s="234"/>
      <c r="CR178" s="230"/>
      <c r="CS178" s="230"/>
      <c r="CT178" s="234"/>
      <c r="CU178" s="230"/>
      <c r="CV178" s="230"/>
      <c r="CW178" s="234"/>
      <c r="CX178" s="230"/>
      <c r="CY178" s="235"/>
      <c r="CZ178" s="230"/>
      <c r="DA178" s="230"/>
      <c r="DB178" s="235"/>
      <c r="DC178" s="234">
        <f>IFERROR(__xludf.DUMMYFUNCTION("""COMPUTED_VALUE"""),10.416666666666668)</f>
        <v>10.41666667</v>
      </c>
      <c r="DD178" s="230"/>
      <c r="DE178" s="235"/>
      <c r="DF178" s="234"/>
      <c r="DG178" s="230"/>
      <c r="DH178" s="235">
        <f>IFERROR(__xludf.DUMMYFUNCTION("""COMPUTED_VALUE"""),35.41666666666667)</f>
        <v>35.41666667</v>
      </c>
      <c r="DI178" s="234"/>
      <c r="DJ178" s="230"/>
      <c r="DK178" s="235">
        <f>IFERROR(__xludf.DUMMYFUNCTION("""COMPUTED_VALUE"""),12.5)</f>
        <v>12.5</v>
      </c>
      <c r="DL178" s="317"/>
      <c r="DM178" s="318"/>
      <c r="DN178" s="282"/>
      <c r="DO178" s="96"/>
      <c r="DP178" s="96"/>
      <c r="DQ178" s="96"/>
      <c r="DR178" s="96"/>
      <c r="DS178" s="96"/>
      <c r="DT178" s="96"/>
      <c r="DU178" s="96"/>
    </row>
    <row r="179">
      <c r="B179" s="120" t="str">
        <f>IFERROR(__xludf.DUMMYFUNCTION("""COMPUTED_VALUE"""),"SLM9")</f>
        <v>SLM9</v>
      </c>
      <c r="C179" s="88" t="str">
        <f>IFERROR(__xludf.DUMMYFUNCTION("""COMPUTED_VALUE"""),"Empty House")</f>
        <v>Empty House</v>
      </c>
      <c r="D179" s="102">
        <f>IFERROR(__xludf.DUMMYFUNCTION("""COMPUTED_VALUE"""),21.0)</f>
        <v>21</v>
      </c>
      <c r="E179" s="82" t="b">
        <f>IFERROR(__xludf.DUMMYFUNCTION("""COMPUTED_VALUE"""),TRUE)</f>
        <v>1</v>
      </c>
      <c r="F179" s="82" t="str">
        <f>IFERROR(__xludf.DUMMYFUNCTION("""COMPUTED_VALUE"""),"Free Quests- EoR!A524:J533")</f>
        <v>Free Quests- EoR!A524:J533</v>
      </c>
      <c r="G179" s="82">
        <f>IFERROR(__xludf.DUMMYFUNCTION("""COMPUTED_VALUE"""),180.0)</f>
        <v>180</v>
      </c>
      <c r="H179" s="82">
        <f>IFERROR(__xludf.DUMMYFUNCTION("""COMPUTED_VALUE"""),2830.0)</f>
        <v>2830</v>
      </c>
      <c r="I179" s="82">
        <f>IFERROR(__xludf.DUMMYFUNCTION("""COMPUTED_VALUE"""),15956.0)</f>
        <v>15956</v>
      </c>
      <c r="J179" s="82">
        <f>IFERROR(__xludf.DUMMYFUNCTION("""COMPUTED_VALUE"""),18786.0)</f>
        <v>18786</v>
      </c>
      <c r="K179" s="234"/>
      <c r="L179" s="230"/>
      <c r="M179" s="235"/>
      <c r="N179" s="234"/>
      <c r="O179" s="230"/>
      <c r="P179" s="235"/>
      <c r="Q179" s="234"/>
      <c r="R179" s="230"/>
      <c r="S179" s="235"/>
      <c r="T179" s="234"/>
      <c r="U179" s="230"/>
      <c r="V179" s="235"/>
      <c r="W179" s="234"/>
      <c r="X179" s="230"/>
      <c r="Y179" s="235"/>
      <c r="Z179" s="234"/>
      <c r="AA179" s="230"/>
      <c r="AB179" s="235"/>
      <c r="AC179" s="234"/>
      <c r="AD179" s="230"/>
      <c r="AE179" s="235"/>
      <c r="AF179" s="234"/>
      <c r="AG179" s="230">
        <f>IFERROR(__xludf.DUMMYFUNCTION("""COMPUTED_VALUE"""),20.62093048014479)</f>
        <v>20.62093048</v>
      </c>
      <c r="AH179" s="235"/>
      <c r="AI179" s="234"/>
      <c r="AJ179" s="230"/>
      <c r="AK179" s="235"/>
      <c r="AL179" s="231"/>
      <c r="AM179" s="230"/>
      <c r="AN179" s="235"/>
      <c r="AO179" s="234"/>
      <c r="AP179" s="230"/>
      <c r="AQ179" s="235"/>
      <c r="AR179" s="234"/>
      <c r="AS179" s="230"/>
      <c r="AT179" s="235"/>
      <c r="AU179" s="234"/>
      <c r="AV179" s="230"/>
      <c r="AW179" s="235"/>
      <c r="AX179" s="234"/>
      <c r="AY179" s="230"/>
      <c r="AZ179" s="235"/>
      <c r="BA179" s="234"/>
      <c r="BB179" s="230"/>
      <c r="BC179" s="235"/>
      <c r="BD179" s="234">
        <f>IFERROR(__xludf.DUMMYFUNCTION("""COMPUTED_VALUE"""),40.35547748323219)</f>
        <v>40.35547748</v>
      </c>
      <c r="BE179" s="230"/>
      <c r="BF179" s="235"/>
      <c r="BG179" s="234"/>
      <c r="BH179" s="230"/>
      <c r="BI179" s="235"/>
      <c r="BJ179" s="234"/>
      <c r="BK179" s="230"/>
      <c r="BL179" s="235"/>
      <c r="BM179" s="234"/>
      <c r="BN179" s="230"/>
      <c r="BO179" s="235"/>
      <c r="BP179" s="234"/>
      <c r="BQ179" s="230">
        <f>IFERROR(__xludf.DUMMYFUNCTION("""COMPUTED_VALUE"""),15.053109372727366)</f>
        <v>15.05310937</v>
      </c>
      <c r="BR179" s="235"/>
      <c r="BS179" s="234"/>
      <c r="BT179" s="230"/>
      <c r="BU179" s="235"/>
      <c r="BV179" s="234"/>
      <c r="BW179" s="230"/>
      <c r="BX179" s="235"/>
      <c r="BY179" s="234"/>
      <c r="BZ179" s="230">
        <f>IFERROR(__xludf.DUMMYFUNCTION("""COMPUTED_VALUE"""),24.152652684623302)</f>
        <v>24.15265268</v>
      </c>
      <c r="CA179" s="235"/>
      <c r="CB179" s="234"/>
      <c r="CC179" s="230"/>
      <c r="CD179" s="235"/>
      <c r="CE179" s="234"/>
      <c r="CF179" s="230"/>
      <c r="CG179" s="235"/>
      <c r="CH179" s="234"/>
      <c r="CI179" s="230"/>
      <c r="CJ179" s="230"/>
      <c r="CK179" s="234"/>
      <c r="CL179" s="230"/>
      <c r="CM179" s="235"/>
      <c r="CN179" s="230"/>
      <c r="CO179" s="230"/>
      <c r="CP179" s="230"/>
      <c r="CQ179" s="234"/>
      <c r="CR179" s="230"/>
      <c r="CS179" s="230">
        <f>IFERROR(__xludf.DUMMYFUNCTION("""COMPUTED_VALUE"""),14.850948509485097)</f>
        <v>14.85094851</v>
      </c>
      <c r="CT179" s="234"/>
      <c r="CU179" s="230"/>
      <c r="CV179" s="230"/>
      <c r="CW179" s="234"/>
      <c r="CX179" s="230"/>
      <c r="CY179" s="235"/>
      <c r="CZ179" s="230"/>
      <c r="DA179" s="230"/>
      <c r="DB179" s="235"/>
      <c r="DC179" s="234"/>
      <c r="DD179" s="230"/>
      <c r="DE179" s="235"/>
      <c r="DF179" s="234"/>
      <c r="DG179" s="230"/>
      <c r="DH179" s="235"/>
      <c r="DI179" s="234"/>
      <c r="DJ179" s="230"/>
      <c r="DK179" s="235">
        <f>IFERROR(__xludf.DUMMYFUNCTION("""COMPUTED_VALUE"""),26.82926829268293)</f>
        <v>26.82926829</v>
      </c>
      <c r="DL179" s="328"/>
      <c r="DM179" s="329"/>
      <c r="DN179" s="330"/>
      <c r="DO179" s="96"/>
      <c r="DP179" s="96"/>
      <c r="DQ179" s="96"/>
      <c r="DR179" s="96"/>
      <c r="DS179" s="96"/>
      <c r="DT179" s="96"/>
      <c r="DU179" s="96"/>
    </row>
    <row r="180">
      <c r="B180" s="120" t="str">
        <f>IFERROR(__xludf.DUMMYFUNCTION("""COMPUTED_VALUE"""),"SLM10")</f>
        <v>SLM10</v>
      </c>
      <c r="C180" s="88" t="str">
        <f>IFERROR(__xludf.DUMMYFUNCTION("""COMPUTED_VALUE"""),"Hideout")</f>
        <v>Hideout</v>
      </c>
      <c r="D180" s="102">
        <f>IFERROR(__xludf.DUMMYFUNCTION("""COMPUTED_VALUE"""),21.0)</f>
        <v>21</v>
      </c>
      <c r="E180" s="82" t="b">
        <f>IFERROR(__xludf.DUMMYFUNCTION("""COMPUTED_VALUE"""),TRUE)</f>
        <v>1</v>
      </c>
      <c r="F180" s="82" t="str">
        <f>IFERROR(__xludf.DUMMYFUNCTION("""COMPUTED_VALUE"""),"Free Quests- EoR!A537:J546")</f>
        <v>Free Quests- EoR!A537:J546</v>
      </c>
      <c r="G180" s="82">
        <f>IFERROR(__xludf.DUMMYFUNCTION("""COMPUTED_VALUE"""),181.0)</f>
        <v>181</v>
      </c>
      <c r="H180" s="82">
        <f>IFERROR(__xludf.DUMMYFUNCTION("""COMPUTED_VALUE"""),53.0)</f>
        <v>53</v>
      </c>
      <c r="I180" s="82">
        <f>IFERROR(__xludf.DUMMYFUNCTION("""COMPUTED_VALUE"""),10589.0)</f>
        <v>10589</v>
      </c>
      <c r="J180" s="82">
        <f>IFERROR(__xludf.DUMMYFUNCTION("""COMPUTED_VALUE"""),10642.0)</f>
        <v>10642</v>
      </c>
      <c r="K180" s="234"/>
      <c r="L180" s="230"/>
      <c r="M180" s="235"/>
      <c r="N180" s="234"/>
      <c r="O180" s="230"/>
      <c r="P180" s="235"/>
      <c r="Q180" s="234"/>
      <c r="R180" s="230"/>
      <c r="S180" s="235"/>
      <c r="T180" s="234"/>
      <c r="U180" s="230"/>
      <c r="V180" s="235"/>
      <c r="W180" s="234"/>
      <c r="X180" s="230"/>
      <c r="Y180" s="235"/>
      <c r="Z180" s="234"/>
      <c r="AA180" s="230"/>
      <c r="AB180" s="235"/>
      <c r="AC180" s="234">
        <f>IFERROR(__xludf.DUMMYFUNCTION("""COMPUTED_VALUE"""),45.00694418342417)</f>
        <v>45.00694418</v>
      </c>
      <c r="AD180" s="230"/>
      <c r="AE180" s="235"/>
      <c r="AF180" s="234"/>
      <c r="AG180" s="230">
        <f>IFERROR(__xludf.DUMMYFUNCTION("""COMPUTED_VALUE"""),15.0004698364969)</f>
        <v>15.00046984</v>
      </c>
      <c r="AH180" s="235"/>
      <c r="AI180" s="234"/>
      <c r="AJ180" s="230"/>
      <c r="AK180" s="235"/>
      <c r="AL180" s="231"/>
      <c r="AM180" s="230"/>
      <c r="AN180" s="235"/>
      <c r="AO180" s="234"/>
      <c r="AP180" s="230"/>
      <c r="AQ180" s="235"/>
      <c r="AR180" s="234"/>
      <c r="AS180" s="230"/>
      <c r="AT180" s="235"/>
      <c r="AU180" s="234"/>
      <c r="AV180" s="230"/>
      <c r="AW180" s="235"/>
      <c r="AX180" s="234"/>
      <c r="AY180" s="230"/>
      <c r="AZ180" s="235"/>
      <c r="BA180" s="234"/>
      <c r="BB180" s="230"/>
      <c r="BC180" s="235"/>
      <c r="BD180" s="234"/>
      <c r="BE180" s="230"/>
      <c r="BF180" s="235"/>
      <c r="BG180" s="234"/>
      <c r="BH180" s="230"/>
      <c r="BI180" s="235"/>
      <c r="BJ180" s="234"/>
      <c r="BK180" s="230"/>
      <c r="BL180" s="235"/>
      <c r="BM180" s="234"/>
      <c r="BN180" s="230"/>
      <c r="BO180" s="235"/>
      <c r="BP180" s="234"/>
      <c r="BQ180" s="230">
        <f>IFERROR(__xludf.DUMMYFUNCTION("""COMPUTED_VALUE"""),15.213944747227963)</f>
        <v>15.21394475</v>
      </c>
      <c r="BR180" s="235"/>
      <c r="BS180" s="234"/>
      <c r="BT180" s="230"/>
      <c r="BU180" s="235"/>
      <c r="BV180" s="234"/>
      <c r="BW180" s="230">
        <f>IFERROR(__xludf.DUMMYFUNCTION("""COMPUTED_VALUE"""),24.696513813193008)</f>
        <v>24.69651381</v>
      </c>
      <c r="BX180" s="235"/>
      <c r="BY180" s="234"/>
      <c r="BZ180" s="230"/>
      <c r="CA180" s="235"/>
      <c r="CB180" s="234"/>
      <c r="CC180" s="230"/>
      <c r="CD180" s="235"/>
      <c r="CE180" s="234"/>
      <c r="CF180" s="230"/>
      <c r="CG180" s="235"/>
      <c r="CH180" s="234"/>
      <c r="CI180" s="230"/>
      <c r="CJ180" s="230"/>
      <c r="CK180" s="234"/>
      <c r="CL180" s="230"/>
      <c r="CM180" s="235"/>
      <c r="CN180" s="230"/>
      <c r="CO180" s="230"/>
      <c r="CP180" s="230"/>
      <c r="CQ180" s="234"/>
      <c r="CR180" s="230"/>
      <c r="CS180" s="230">
        <f>IFERROR(__xludf.DUMMYFUNCTION("""COMPUTED_VALUE"""),18.0)</f>
        <v>18</v>
      </c>
      <c r="CT180" s="234"/>
      <c r="CU180" s="230"/>
      <c r="CV180" s="230"/>
      <c r="CW180" s="234"/>
      <c r="CX180" s="230"/>
      <c r="CY180" s="235"/>
      <c r="CZ180" s="230"/>
      <c r="DA180" s="230"/>
      <c r="DB180" s="235"/>
      <c r="DC180" s="234"/>
      <c r="DD180" s="230"/>
      <c r="DE180" s="235"/>
      <c r="DF180" s="234"/>
      <c r="DG180" s="230"/>
      <c r="DH180" s="235">
        <f>IFERROR(__xludf.DUMMYFUNCTION("""COMPUTED_VALUE"""),22.0)</f>
        <v>22</v>
      </c>
      <c r="DI180" s="234"/>
      <c r="DJ180" s="230"/>
      <c r="DK180" s="235"/>
      <c r="DL180" s="317"/>
      <c r="DM180" s="318"/>
      <c r="DN180" s="282"/>
      <c r="DO180" s="96"/>
      <c r="DP180" s="96"/>
      <c r="DQ180" s="96"/>
      <c r="DR180" s="96"/>
      <c r="DS180" s="96"/>
      <c r="DT180" s="96"/>
      <c r="DU180" s="96"/>
    </row>
    <row r="181">
      <c r="B181" s="120" t="str">
        <f>IFERROR(__xludf.DUMMYFUNCTION("""COMPUTED_VALUE"""),"SLM11")</f>
        <v>SLM11</v>
      </c>
      <c r="C181" s="88" t="str">
        <f>IFERROR(__xludf.DUMMYFUNCTION("""COMPUTED_VALUE"""),"Jail")</f>
        <v>Jail</v>
      </c>
      <c r="D181" s="102">
        <f>IFERROR(__xludf.DUMMYFUNCTION("""COMPUTED_VALUE"""),21.0)</f>
        <v>21</v>
      </c>
      <c r="E181" s="82" t="b">
        <f>IFERROR(__xludf.DUMMYFUNCTION("""COMPUTED_VALUE"""),TRUE)</f>
        <v>1</v>
      </c>
      <c r="F181" s="82" t="str">
        <f>IFERROR(__xludf.DUMMYFUNCTION("""COMPUTED_VALUE"""),"Free Quests- EoR!A550:J559")</f>
        <v>Free Quests- EoR!A550:J559</v>
      </c>
      <c r="G181" s="82">
        <f>IFERROR(__xludf.DUMMYFUNCTION("""COMPUTED_VALUE"""),182.0)</f>
        <v>182</v>
      </c>
      <c r="H181" s="82">
        <f>IFERROR(__xludf.DUMMYFUNCTION("""COMPUTED_VALUE"""),102.0)</f>
        <v>102</v>
      </c>
      <c r="I181" s="82">
        <f>IFERROR(__xludf.DUMMYFUNCTION("""COMPUTED_VALUE"""),2710.0)</f>
        <v>2710</v>
      </c>
      <c r="J181" s="82">
        <f>IFERROR(__xludf.DUMMYFUNCTION("""COMPUTED_VALUE"""),2812.0)</f>
        <v>2812</v>
      </c>
      <c r="K181" s="234"/>
      <c r="L181" s="230"/>
      <c r="M181" s="235"/>
      <c r="N181" s="234"/>
      <c r="O181" s="230"/>
      <c r="P181" s="235"/>
      <c r="Q181" s="234"/>
      <c r="R181" s="230">
        <f>IFERROR(__xludf.DUMMYFUNCTION("""COMPUTED_VALUE"""),20.8072546230441)</f>
        <v>20.80725462</v>
      </c>
      <c r="S181" s="235"/>
      <c r="T181" s="234"/>
      <c r="U181" s="230"/>
      <c r="V181" s="235"/>
      <c r="W181" s="234"/>
      <c r="X181" s="230"/>
      <c r="Y181" s="235"/>
      <c r="Z181" s="234"/>
      <c r="AA181" s="230"/>
      <c r="AB181" s="235"/>
      <c r="AC181" s="234"/>
      <c r="AD181" s="230"/>
      <c r="AE181" s="235"/>
      <c r="AF181" s="234"/>
      <c r="AG181" s="230"/>
      <c r="AH181" s="235"/>
      <c r="AI181" s="234"/>
      <c r="AJ181" s="230"/>
      <c r="AK181" s="235"/>
      <c r="AL181" s="231"/>
      <c r="AM181" s="230"/>
      <c r="AN181" s="235"/>
      <c r="AO181" s="234"/>
      <c r="AP181" s="230"/>
      <c r="AQ181" s="235"/>
      <c r="AR181" s="234"/>
      <c r="AS181" s="230"/>
      <c r="AT181" s="235"/>
      <c r="AU181" s="234"/>
      <c r="AV181" s="230"/>
      <c r="AW181" s="235"/>
      <c r="AX181" s="234"/>
      <c r="AY181" s="230">
        <f>IFERROR(__xludf.DUMMYFUNCTION("""COMPUTED_VALUE"""),40.11930529391411)</f>
        <v>40.11930529</v>
      </c>
      <c r="AZ181" s="235"/>
      <c r="BA181" s="234"/>
      <c r="BB181" s="230"/>
      <c r="BC181" s="235"/>
      <c r="BD181" s="234"/>
      <c r="BE181" s="230"/>
      <c r="BF181" s="235"/>
      <c r="BG181" s="234"/>
      <c r="BH181" s="230"/>
      <c r="BI181" s="235"/>
      <c r="BJ181" s="234"/>
      <c r="BK181" s="230"/>
      <c r="BL181" s="235"/>
      <c r="BM181" s="234"/>
      <c r="BN181" s="230"/>
      <c r="BO181" s="235"/>
      <c r="BP181" s="234"/>
      <c r="BQ181" s="230">
        <f>IFERROR(__xludf.DUMMYFUNCTION("""COMPUTED_VALUE"""),7.5762209577999045)</f>
        <v>7.576220958</v>
      </c>
      <c r="BR181" s="235"/>
      <c r="BS181" s="234"/>
      <c r="BT181" s="230">
        <f>IFERROR(__xludf.DUMMYFUNCTION("""COMPUTED_VALUE"""),40.621147463252726)</f>
        <v>40.62114746</v>
      </c>
      <c r="BU181" s="235"/>
      <c r="BV181" s="234"/>
      <c r="BW181" s="230"/>
      <c r="BX181" s="235"/>
      <c r="BY181" s="234"/>
      <c r="BZ181" s="230"/>
      <c r="CA181" s="235"/>
      <c r="CB181" s="234"/>
      <c r="CC181" s="230"/>
      <c r="CD181" s="235"/>
      <c r="CE181" s="234"/>
      <c r="CF181" s="230"/>
      <c r="CG181" s="235"/>
      <c r="CH181" s="234"/>
      <c r="CI181" s="230"/>
      <c r="CJ181" s="230"/>
      <c r="CK181" s="234"/>
      <c r="CL181" s="230"/>
      <c r="CM181" s="235"/>
      <c r="CN181" s="230"/>
      <c r="CO181" s="230"/>
      <c r="CP181" s="230"/>
      <c r="CQ181" s="234"/>
      <c r="CR181" s="230"/>
      <c r="CS181" s="230">
        <f>IFERROR(__xludf.DUMMYFUNCTION("""COMPUTED_VALUE"""),2.2222222222222223)</f>
        <v>2.222222222</v>
      </c>
      <c r="CT181" s="234"/>
      <c r="CU181" s="230"/>
      <c r="CV181" s="230"/>
      <c r="CW181" s="234"/>
      <c r="CX181" s="230"/>
      <c r="CY181" s="235"/>
      <c r="CZ181" s="230"/>
      <c r="DA181" s="230"/>
      <c r="DB181" s="235"/>
      <c r="DC181" s="234"/>
      <c r="DD181" s="230"/>
      <c r="DE181" s="235">
        <f>IFERROR(__xludf.DUMMYFUNCTION("""COMPUTED_VALUE"""),44.44444444444444)</f>
        <v>44.44444444</v>
      </c>
      <c r="DF181" s="234"/>
      <c r="DG181" s="230"/>
      <c r="DH181" s="235"/>
      <c r="DI181" s="234"/>
      <c r="DJ181" s="230"/>
      <c r="DK181" s="235"/>
      <c r="DL181" s="331"/>
      <c r="DM181" s="332"/>
      <c r="DN181" s="333"/>
      <c r="DO181" s="96"/>
      <c r="DP181" s="96"/>
      <c r="DQ181" s="96"/>
      <c r="DR181" s="96"/>
      <c r="DS181" s="96"/>
      <c r="DT181" s="96"/>
      <c r="DU181" s="96"/>
    </row>
    <row r="182">
      <c r="A182" s="165" t="str">
        <f>IFERROR(__xludf.DUMMYFUNCTION("""COMPUTED_VALUE"""),"ANASTASIA")</f>
        <v>ANASTASIA</v>
      </c>
      <c r="B182" s="120" t="str">
        <f>IFERROR(__xludf.DUMMYFUNCTION("""COMPUTED_VALUE"""),"ANA1")</f>
        <v>ANA1</v>
      </c>
      <c r="C182" s="88" t="str">
        <f>IFERROR(__xludf.DUMMYFUNCTION("""COMPUTED_VALUE"""),"Anchor Point")</f>
        <v>Anchor Point</v>
      </c>
      <c r="D182" s="102">
        <f>IFERROR(__xludf.DUMMYFUNCTION("""COMPUTED_VALUE"""),20.0)</f>
        <v>20</v>
      </c>
      <c r="E182" s="82" t="b">
        <f>IFERROR(__xludf.DUMMYFUNCTION("""COMPUTED_VALUE"""),TRUE)</f>
        <v>1</v>
      </c>
      <c r="F182" s="82" t="str">
        <f>IFERROR(__xludf.DUMMYFUNCTION("""COMPUTED_VALUE"""),"Free Quests- Part 2!A7:J16")</f>
        <v>Free Quests- Part 2!A7:J16</v>
      </c>
      <c r="G182" s="82">
        <f>IFERROR(__xludf.DUMMYFUNCTION("""COMPUTED_VALUE"""),183.0)</f>
        <v>183</v>
      </c>
      <c r="H182" s="82">
        <f>IFERROR(__xludf.DUMMYFUNCTION("""COMPUTED_VALUE"""),39.0)</f>
        <v>39</v>
      </c>
      <c r="I182" s="82">
        <f>IFERROR(__xludf.DUMMYFUNCTION("""COMPUTED_VALUE"""),2652.0)</f>
        <v>2652</v>
      </c>
      <c r="J182" s="82">
        <f>IFERROR(__xludf.DUMMYFUNCTION("""COMPUTED_VALUE"""),2691.0)</f>
        <v>2691</v>
      </c>
      <c r="K182" s="234"/>
      <c r="L182" s="230"/>
      <c r="M182" s="235"/>
      <c r="N182" s="234"/>
      <c r="O182" s="230">
        <f>IFERROR(__xludf.DUMMYFUNCTION("""COMPUTED_VALUE"""),20.252991452991452)</f>
        <v>20.25299145</v>
      </c>
      <c r="P182" s="235"/>
      <c r="Q182" s="234"/>
      <c r="R182" s="230"/>
      <c r="S182" s="235"/>
      <c r="T182" s="234"/>
      <c r="U182" s="230"/>
      <c r="V182" s="235"/>
      <c r="W182" s="234"/>
      <c r="X182" s="230"/>
      <c r="Y182" s="235"/>
      <c r="Z182" s="234"/>
      <c r="AA182" s="230"/>
      <c r="AB182" s="235"/>
      <c r="AC182" s="234"/>
      <c r="AD182" s="230"/>
      <c r="AE182" s="235"/>
      <c r="AF182" s="234"/>
      <c r="AG182" s="230"/>
      <c r="AH182" s="235"/>
      <c r="AI182" s="234"/>
      <c r="AJ182" s="230"/>
      <c r="AK182" s="235"/>
      <c r="AL182" s="231"/>
      <c r="AM182" s="230"/>
      <c r="AN182" s="235"/>
      <c r="AO182" s="234"/>
      <c r="AP182" s="230"/>
      <c r="AQ182" s="235"/>
      <c r="AR182" s="234"/>
      <c r="AS182" s="230"/>
      <c r="AT182" s="235"/>
      <c r="AU182" s="234"/>
      <c r="AV182" s="230"/>
      <c r="AW182" s="235"/>
      <c r="AX182" s="234"/>
      <c r="AY182" s="230"/>
      <c r="AZ182" s="235"/>
      <c r="BA182" s="234"/>
      <c r="BB182" s="230">
        <f>IFERROR(__xludf.DUMMYFUNCTION("""COMPUTED_VALUE"""),41.23463396506875)</f>
        <v>41.23463397</v>
      </c>
      <c r="BC182" s="235"/>
      <c r="BD182" s="234"/>
      <c r="BE182" s="230"/>
      <c r="BF182" s="235"/>
      <c r="BG182" s="234"/>
      <c r="BH182" s="230"/>
      <c r="BI182" s="235"/>
      <c r="BJ182" s="234"/>
      <c r="BK182" s="230"/>
      <c r="BL182" s="235"/>
      <c r="BM182" s="234"/>
      <c r="BN182" s="230"/>
      <c r="BO182" s="235">
        <f>IFERROR(__xludf.DUMMYFUNCTION("""COMPUTED_VALUE"""),7.39549114331723)</f>
        <v>7.395491143</v>
      </c>
      <c r="BP182" s="234"/>
      <c r="BQ182" s="230"/>
      <c r="BR182" s="235"/>
      <c r="BS182" s="234"/>
      <c r="BT182" s="230"/>
      <c r="BU182" s="235"/>
      <c r="BV182" s="234">
        <f>IFERROR(__xludf.DUMMYFUNCTION("""COMPUTED_VALUE"""),36.83027375201288)</f>
        <v>36.83027375</v>
      </c>
      <c r="BW182" s="230"/>
      <c r="BX182" s="235"/>
      <c r="BY182" s="234"/>
      <c r="BZ182" s="230"/>
      <c r="CA182" s="235"/>
      <c r="CB182" s="234"/>
      <c r="CC182" s="230"/>
      <c r="CD182" s="235"/>
      <c r="CE182" s="234"/>
      <c r="CF182" s="230"/>
      <c r="CG182" s="235"/>
      <c r="CH182" s="234"/>
      <c r="CI182" s="230"/>
      <c r="CJ182" s="230"/>
      <c r="CK182" s="234"/>
      <c r="CL182" s="230"/>
      <c r="CM182" s="235"/>
      <c r="CN182" s="230"/>
      <c r="CO182" s="230"/>
      <c r="CP182" s="230"/>
      <c r="CQ182" s="234">
        <f>IFERROR(__xludf.DUMMYFUNCTION("""COMPUTED_VALUE"""),5.661308739569609)</f>
        <v>5.66130874</v>
      </c>
      <c r="CR182" s="230"/>
      <c r="CS182" s="230"/>
      <c r="CT182" s="234"/>
      <c r="CU182" s="230"/>
      <c r="CV182" s="230"/>
      <c r="CW182" s="234"/>
      <c r="CX182" s="230"/>
      <c r="CY182" s="235"/>
      <c r="CZ182" s="230"/>
      <c r="DA182" s="230"/>
      <c r="DB182" s="235"/>
      <c r="DC182" s="234"/>
      <c r="DD182" s="230"/>
      <c r="DE182" s="235"/>
      <c r="DF182" s="234"/>
      <c r="DG182" s="230">
        <f>IFERROR(__xludf.DUMMYFUNCTION("""COMPUTED_VALUE"""),30.303030303030305)</f>
        <v>30.3030303</v>
      </c>
      <c r="DH182" s="235"/>
      <c r="DI182" s="234"/>
      <c r="DJ182" s="230"/>
      <c r="DK182" s="235"/>
      <c r="DL182" s="331"/>
      <c r="DM182" s="318"/>
      <c r="DN182" s="282"/>
      <c r="DO182" s="96"/>
      <c r="DP182" s="96"/>
      <c r="DQ182" s="96"/>
      <c r="DR182" s="96"/>
      <c r="DS182" s="96"/>
      <c r="DT182" s="96"/>
      <c r="DU182" s="96"/>
    </row>
    <row r="183">
      <c r="B183" s="120" t="str">
        <f>IFERROR(__xludf.DUMMYFUNCTION("""COMPUTED_VALUE"""),"ANA2")</f>
        <v>ANA2</v>
      </c>
      <c r="C183" s="88" t="str">
        <f>IFERROR(__xludf.DUMMYFUNCTION("""COMPUTED_VALUE"""),"Yaga Smolensk")</f>
        <v>Yaga Smolensk</v>
      </c>
      <c r="D183" s="102">
        <f>IFERROR(__xludf.DUMMYFUNCTION("""COMPUTED_VALUE"""),20.0)</f>
        <v>20</v>
      </c>
      <c r="E183" s="82" t="b">
        <f>IFERROR(__xludf.DUMMYFUNCTION("""COMPUTED_VALUE"""),TRUE)</f>
        <v>1</v>
      </c>
      <c r="F183" s="82" t="str">
        <f>IFERROR(__xludf.DUMMYFUNCTION("""COMPUTED_VALUE"""),"Free Quests- Part 2!A20:J28")</f>
        <v>Free Quests- Part 2!A20:J28</v>
      </c>
      <c r="G183" s="82">
        <f>IFERROR(__xludf.DUMMYFUNCTION("""COMPUTED_VALUE"""),184.0)</f>
        <v>184</v>
      </c>
      <c r="H183" s="82">
        <f>IFERROR(__xludf.DUMMYFUNCTION("""COMPUTED_VALUE"""),6324.0)</f>
        <v>6324</v>
      </c>
      <c r="I183" s="82">
        <f>IFERROR(__xludf.DUMMYFUNCTION("""COMPUTED_VALUE"""),38160.0)</f>
        <v>38160</v>
      </c>
      <c r="J183" s="82">
        <f>IFERROR(__xludf.DUMMYFUNCTION("""COMPUTED_VALUE"""),44484.0)</f>
        <v>44484</v>
      </c>
      <c r="K183" s="234"/>
      <c r="L183" s="230"/>
      <c r="M183" s="235"/>
      <c r="N183" s="234"/>
      <c r="O183" s="230"/>
      <c r="P183" s="235"/>
      <c r="Q183" s="234"/>
      <c r="R183" s="230"/>
      <c r="S183" s="235"/>
      <c r="T183" s="234"/>
      <c r="U183" s="230"/>
      <c r="V183" s="235"/>
      <c r="W183" s="234"/>
      <c r="X183" s="230"/>
      <c r="Y183" s="235"/>
      <c r="Z183" s="234"/>
      <c r="AA183" s="230"/>
      <c r="AB183" s="235"/>
      <c r="AC183" s="234"/>
      <c r="AD183" s="230"/>
      <c r="AE183" s="235"/>
      <c r="AF183" s="234"/>
      <c r="AG183" s="230"/>
      <c r="AH183" s="235"/>
      <c r="AI183" s="234"/>
      <c r="AJ183" s="230"/>
      <c r="AK183" s="235"/>
      <c r="AL183" s="231"/>
      <c r="AM183" s="230"/>
      <c r="AN183" s="235"/>
      <c r="AO183" s="234"/>
      <c r="AP183" s="230"/>
      <c r="AQ183" s="235"/>
      <c r="AR183" s="234"/>
      <c r="AS183" s="230"/>
      <c r="AT183" s="235"/>
      <c r="AU183" s="234"/>
      <c r="AV183" s="230"/>
      <c r="AW183" s="235"/>
      <c r="AX183" s="234"/>
      <c r="AY183" s="230"/>
      <c r="AZ183" s="235"/>
      <c r="BA183" s="234"/>
      <c r="BB183" s="230"/>
      <c r="BC183" s="235"/>
      <c r="BD183" s="234"/>
      <c r="BE183" s="230">
        <f>IFERROR(__xludf.DUMMYFUNCTION("""COMPUTED_VALUE"""),65.61037676467943)</f>
        <v>65.61037676</v>
      </c>
      <c r="BF183" s="235"/>
      <c r="BG183" s="234"/>
      <c r="BH183" s="230"/>
      <c r="BI183" s="235"/>
      <c r="BJ183" s="234"/>
      <c r="BK183" s="230"/>
      <c r="BL183" s="235"/>
      <c r="BM183" s="234"/>
      <c r="BN183" s="230"/>
      <c r="BO183" s="235"/>
      <c r="BP183" s="234"/>
      <c r="BQ183" s="230"/>
      <c r="BR183" s="235"/>
      <c r="BS183" s="234"/>
      <c r="BT183" s="230">
        <f>IFERROR(__xludf.DUMMYFUNCTION("""COMPUTED_VALUE"""),24.43725354576607)</f>
        <v>24.43725355</v>
      </c>
      <c r="BU183" s="235"/>
      <c r="BV183" s="234"/>
      <c r="BW183" s="230"/>
      <c r="BX183" s="235"/>
      <c r="BY183" s="234">
        <f>IFERROR(__xludf.DUMMYFUNCTION("""COMPUTED_VALUE"""),20.1159820603265)</f>
        <v>20.11598206</v>
      </c>
      <c r="BZ183" s="230"/>
      <c r="CA183" s="235"/>
      <c r="CB183" s="234"/>
      <c r="CC183" s="230"/>
      <c r="CD183" s="235"/>
      <c r="CE183" s="234"/>
      <c r="CF183" s="230"/>
      <c r="CG183" s="235"/>
      <c r="CH183" s="234"/>
      <c r="CI183" s="230"/>
      <c r="CJ183" s="230"/>
      <c r="CK183" s="234"/>
      <c r="CL183" s="230"/>
      <c r="CM183" s="235"/>
      <c r="CN183" s="230"/>
      <c r="CO183" s="230"/>
      <c r="CP183" s="230"/>
      <c r="CQ183" s="234"/>
      <c r="CR183" s="230"/>
      <c r="CS183" s="230"/>
      <c r="CT183" s="234"/>
      <c r="CU183" s="230"/>
      <c r="CV183" s="230"/>
      <c r="CW183" s="234">
        <f>IFERROR(__xludf.DUMMYFUNCTION("""COMPUTED_VALUE"""),5.742049469964664)</f>
        <v>5.74204947</v>
      </c>
      <c r="CX183" s="230"/>
      <c r="CY183" s="235"/>
      <c r="CZ183" s="230"/>
      <c r="DA183" s="230"/>
      <c r="DB183" s="235"/>
      <c r="DC183" s="234"/>
      <c r="DD183" s="230"/>
      <c r="DE183" s="235">
        <f>IFERROR(__xludf.DUMMYFUNCTION("""COMPUTED_VALUE"""),19.346289752650176)</f>
        <v>19.34628975</v>
      </c>
      <c r="DF183" s="234"/>
      <c r="DG183" s="230"/>
      <c r="DH183" s="235"/>
      <c r="DI183" s="234"/>
      <c r="DJ183" s="230">
        <f>IFERROR(__xludf.DUMMYFUNCTION("""COMPUTED_VALUE"""),20.58303886925795)</f>
        <v>20.58303887</v>
      </c>
      <c r="DK183" s="235"/>
      <c r="DL183" s="331"/>
      <c r="DM183" s="318"/>
      <c r="DN183" s="282"/>
      <c r="DO183" s="96"/>
      <c r="DP183" s="96"/>
      <c r="DQ183" s="96"/>
      <c r="DR183" s="96"/>
      <c r="DS183" s="96"/>
      <c r="DT183" s="96"/>
      <c r="DU183" s="96"/>
    </row>
    <row r="184">
      <c r="B184" s="120" t="str">
        <f>IFERROR(__xludf.DUMMYFUNCTION("""COMPUTED_VALUE"""),"ANA3")</f>
        <v>ANA3</v>
      </c>
      <c r="C184" s="88" t="str">
        <f>IFERROR(__xludf.DUMMYFUNCTION("""COMPUTED_VALUE"""),"Icy Cavern")</f>
        <v>Icy Cavern</v>
      </c>
      <c r="D184" s="102">
        <f>IFERROR(__xludf.DUMMYFUNCTION("""COMPUTED_VALUE"""),20.0)</f>
        <v>20</v>
      </c>
      <c r="E184" s="82" t="b">
        <f>IFERROR(__xludf.DUMMYFUNCTION("""COMPUTED_VALUE"""),TRUE)</f>
        <v>1</v>
      </c>
      <c r="F184" s="82" t="str">
        <f>IFERROR(__xludf.DUMMYFUNCTION("""COMPUTED_VALUE"""),"Free Quests- Part 2!A32:J41")</f>
        <v>Free Quests- Part 2!A32:J41</v>
      </c>
      <c r="G184" s="82">
        <f>IFERROR(__xludf.DUMMYFUNCTION("""COMPUTED_VALUE"""),185.0)</f>
        <v>185</v>
      </c>
      <c r="H184" s="82">
        <f>IFERROR(__xludf.DUMMYFUNCTION("""COMPUTED_VALUE"""),238.0)</f>
        <v>238</v>
      </c>
      <c r="I184" s="82">
        <f>IFERROR(__xludf.DUMMYFUNCTION("""COMPUTED_VALUE"""),59379.0)</f>
        <v>59379</v>
      </c>
      <c r="J184" s="82">
        <f>IFERROR(__xludf.DUMMYFUNCTION("""COMPUTED_VALUE"""),59617.0)</f>
        <v>59617</v>
      </c>
      <c r="K184" s="234"/>
      <c r="L184" s="230"/>
      <c r="M184" s="235"/>
      <c r="N184" s="234"/>
      <c r="O184" s="230"/>
      <c r="P184" s="235"/>
      <c r="Q184" s="234"/>
      <c r="R184" s="230"/>
      <c r="S184" s="235"/>
      <c r="T184" s="234"/>
      <c r="U184" s="230"/>
      <c r="V184" s="235"/>
      <c r="W184" s="234"/>
      <c r="X184" s="230"/>
      <c r="Y184" s="235"/>
      <c r="Z184" s="234"/>
      <c r="AA184" s="230"/>
      <c r="AB184" s="235"/>
      <c r="AC184" s="234"/>
      <c r="AD184" s="230"/>
      <c r="AE184" s="235"/>
      <c r="AF184" s="234"/>
      <c r="AG184" s="230"/>
      <c r="AH184" s="235"/>
      <c r="AI184" s="234"/>
      <c r="AJ184" s="230"/>
      <c r="AK184" s="235"/>
      <c r="AL184" s="231"/>
      <c r="AM184" s="230">
        <f>IFERROR(__xludf.DUMMYFUNCTION("""COMPUTED_VALUE"""),25.196685509166848)</f>
        <v>25.19668551</v>
      </c>
      <c r="AN184" s="235"/>
      <c r="AO184" s="234"/>
      <c r="AP184" s="230"/>
      <c r="AQ184" s="235"/>
      <c r="AR184" s="234"/>
      <c r="AS184" s="230"/>
      <c r="AT184" s="235"/>
      <c r="AU184" s="234"/>
      <c r="AV184" s="230"/>
      <c r="AW184" s="235"/>
      <c r="AX184" s="234"/>
      <c r="AY184" s="230"/>
      <c r="AZ184" s="235"/>
      <c r="BA184" s="234"/>
      <c r="BB184" s="230">
        <f>IFERROR(__xludf.DUMMYFUNCTION("""COMPUTED_VALUE"""),40.37793818241441)</f>
        <v>40.37793818</v>
      </c>
      <c r="BC184" s="235"/>
      <c r="BD184" s="234"/>
      <c r="BE184" s="230"/>
      <c r="BF184" s="235"/>
      <c r="BG184" s="234"/>
      <c r="BH184" s="230"/>
      <c r="BI184" s="235"/>
      <c r="BJ184" s="234"/>
      <c r="BK184" s="230"/>
      <c r="BL184" s="235"/>
      <c r="BM184" s="234"/>
      <c r="BN184" s="230"/>
      <c r="BO184" s="235"/>
      <c r="BP184" s="234"/>
      <c r="BQ184" s="230"/>
      <c r="BR184" s="235"/>
      <c r="BS184" s="234"/>
      <c r="BT184" s="230"/>
      <c r="BU184" s="235"/>
      <c r="BV184" s="234">
        <f>IFERROR(__xludf.DUMMYFUNCTION("""COMPUTED_VALUE"""),25.017859617929535)</f>
        <v>25.01785962</v>
      </c>
      <c r="BW184" s="230"/>
      <c r="BX184" s="235"/>
      <c r="BY184" s="234"/>
      <c r="BZ184" s="230">
        <f>IFERROR(__xludf.DUMMYFUNCTION("""COMPUTED_VALUE"""),20.08279173284201)</f>
        <v>20.08279173</v>
      </c>
      <c r="CA184" s="235"/>
      <c r="CB184" s="234"/>
      <c r="CC184" s="230"/>
      <c r="CD184" s="235"/>
      <c r="CE184" s="234"/>
      <c r="CF184" s="230"/>
      <c r="CG184" s="235"/>
      <c r="CH184" s="234"/>
      <c r="CI184" s="230"/>
      <c r="CJ184" s="230"/>
      <c r="CK184" s="234"/>
      <c r="CL184" s="230"/>
      <c r="CM184" s="235"/>
      <c r="CN184" s="230"/>
      <c r="CO184" s="230"/>
      <c r="CP184" s="230"/>
      <c r="CQ184" s="234"/>
      <c r="CR184" s="230"/>
      <c r="CS184" s="230"/>
      <c r="CT184" s="234"/>
      <c r="CU184" s="230"/>
      <c r="CV184" s="230"/>
      <c r="CW184" s="234"/>
      <c r="CX184" s="230"/>
      <c r="CY184" s="235">
        <f>IFERROR(__xludf.DUMMYFUNCTION("""COMPUTED_VALUE"""),6.521739130434782)</f>
        <v>6.52173913</v>
      </c>
      <c r="CZ184" s="230"/>
      <c r="DA184" s="230"/>
      <c r="DB184" s="235"/>
      <c r="DC184" s="234"/>
      <c r="DD184" s="230"/>
      <c r="DE184" s="235"/>
      <c r="DF184" s="234"/>
      <c r="DG184" s="230">
        <f>IFERROR(__xludf.DUMMYFUNCTION("""COMPUTED_VALUE"""),13.043478260869565)</f>
        <v>13.04347826</v>
      </c>
      <c r="DH184" s="235"/>
      <c r="DI184" s="234"/>
      <c r="DJ184" s="230"/>
      <c r="DK184" s="235">
        <f>IFERROR(__xludf.DUMMYFUNCTION("""COMPUTED_VALUE"""),23.91304347826087)</f>
        <v>23.91304348</v>
      </c>
      <c r="DL184" s="331"/>
      <c r="DM184" s="318"/>
      <c r="DN184" s="282"/>
      <c r="DO184" s="96"/>
      <c r="DP184" s="96"/>
      <c r="DQ184" s="96"/>
      <c r="DR184" s="96"/>
      <c r="DS184" s="96"/>
      <c r="DT184" s="96"/>
      <c r="DU184" s="96"/>
    </row>
    <row r="185">
      <c r="B185" s="120" t="str">
        <f>IFERROR(__xludf.DUMMYFUNCTION("""COMPUTED_VALUE"""),"ANA4")</f>
        <v>ANA4</v>
      </c>
      <c r="C185" s="88" t="str">
        <f>IFERROR(__xludf.DUMMYFUNCTION("""COMPUTED_VALUE"""),"Rebel Stronghold")</f>
        <v>Rebel Stronghold</v>
      </c>
      <c r="D185" s="102">
        <f>IFERROR(__xludf.DUMMYFUNCTION("""COMPUTED_VALUE"""),21.0)</f>
        <v>21</v>
      </c>
      <c r="E185" s="82" t="b">
        <f>IFERROR(__xludf.DUMMYFUNCTION("""COMPUTED_VALUE"""),TRUE)</f>
        <v>1</v>
      </c>
      <c r="F185" s="82" t="str">
        <f>IFERROR(__xludf.DUMMYFUNCTION("""COMPUTED_VALUE"""),"Free Quests- Part 2!A45:J54")</f>
        <v>Free Quests- Part 2!A45:J54</v>
      </c>
      <c r="G185" s="82">
        <f>IFERROR(__xludf.DUMMYFUNCTION("""COMPUTED_VALUE"""),186.0)</f>
        <v>186</v>
      </c>
      <c r="H185" s="82">
        <f>IFERROR(__xludf.DUMMYFUNCTION("""COMPUTED_VALUE"""),38.0)</f>
        <v>38</v>
      </c>
      <c r="I185" s="82">
        <f>IFERROR(__xludf.DUMMYFUNCTION("""COMPUTED_VALUE"""),3070.0)</f>
        <v>3070</v>
      </c>
      <c r="J185" s="82">
        <f>IFERROR(__xludf.DUMMYFUNCTION("""COMPUTED_VALUE"""),3108.0)</f>
        <v>3108</v>
      </c>
      <c r="K185" s="234"/>
      <c r="L185" s="230"/>
      <c r="M185" s="235"/>
      <c r="N185" s="234"/>
      <c r="O185" s="230">
        <f>IFERROR(__xludf.DUMMYFUNCTION("""COMPUTED_VALUE"""),21.857464607464607)</f>
        <v>21.85746461</v>
      </c>
      <c r="P185" s="235"/>
      <c r="Q185" s="234"/>
      <c r="R185" s="230"/>
      <c r="S185" s="235"/>
      <c r="T185" s="234"/>
      <c r="U185" s="230"/>
      <c r="V185" s="235"/>
      <c r="W185" s="234"/>
      <c r="X185" s="230"/>
      <c r="Y185" s="235"/>
      <c r="Z185" s="234"/>
      <c r="AA185" s="230"/>
      <c r="AB185" s="235"/>
      <c r="AC185" s="234"/>
      <c r="AD185" s="230"/>
      <c r="AE185" s="235"/>
      <c r="AF185" s="234"/>
      <c r="AG185" s="230"/>
      <c r="AH185" s="235"/>
      <c r="AI185" s="234"/>
      <c r="AJ185" s="230"/>
      <c r="AK185" s="235"/>
      <c r="AL185" s="231"/>
      <c r="AM185" s="230"/>
      <c r="AN185" s="235"/>
      <c r="AO185" s="234"/>
      <c r="AP185" s="230"/>
      <c r="AQ185" s="235"/>
      <c r="AR185" s="234"/>
      <c r="AS185" s="230"/>
      <c r="AT185" s="235"/>
      <c r="AU185" s="234"/>
      <c r="AV185" s="230"/>
      <c r="AW185" s="235"/>
      <c r="AX185" s="234"/>
      <c r="AY185" s="230"/>
      <c r="AZ185" s="235"/>
      <c r="BA185" s="234"/>
      <c r="BB185" s="230"/>
      <c r="BC185" s="235"/>
      <c r="BD185" s="234"/>
      <c r="BE185" s="230">
        <f>IFERROR(__xludf.DUMMYFUNCTION("""COMPUTED_VALUE"""),41.537323037323034)</f>
        <v>41.53732304</v>
      </c>
      <c r="BF185" s="235"/>
      <c r="BG185" s="234"/>
      <c r="BH185" s="230"/>
      <c r="BI185" s="235"/>
      <c r="BJ185" s="234"/>
      <c r="BK185" s="230"/>
      <c r="BL185" s="235"/>
      <c r="BM185" s="234"/>
      <c r="BN185" s="230"/>
      <c r="BO185" s="235">
        <f>IFERROR(__xludf.DUMMYFUNCTION("""COMPUTED_VALUE"""),8.134675491818347)</f>
        <v>8.134675492</v>
      </c>
      <c r="BP185" s="234"/>
      <c r="BQ185" s="230"/>
      <c r="BR185" s="235"/>
      <c r="BS185" s="234"/>
      <c r="BT185" s="230">
        <f>IFERROR(__xludf.DUMMYFUNCTION("""COMPUTED_VALUE"""),37.10654532083103)</f>
        <v>37.10654532</v>
      </c>
      <c r="BU185" s="235"/>
      <c r="BV185" s="234"/>
      <c r="BW185" s="230"/>
      <c r="BX185" s="235"/>
      <c r="BY185" s="234"/>
      <c r="BZ185" s="230"/>
      <c r="CA185" s="235"/>
      <c r="CB185" s="234"/>
      <c r="CC185" s="230"/>
      <c r="CD185" s="235"/>
      <c r="CE185" s="234"/>
      <c r="CF185" s="230"/>
      <c r="CG185" s="235"/>
      <c r="CH185" s="234"/>
      <c r="CI185" s="230"/>
      <c r="CJ185" s="230"/>
      <c r="CK185" s="234"/>
      <c r="CL185" s="230"/>
      <c r="CM185" s="235"/>
      <c r="CN185" s="230"/>
      <c r="CO185" s="230"/>
      <c r="CP185" s="230"/>
      <c r="CQ185" s="234">
        <f>IFERROR(__xludf.DUMMYFUNCTION("""COMPUTED_VALUE"""),4.027509652509653)</f>
        <v>4.027509653</v>
      </c>
      <c r="CR185" s="230"/>
      <c r="CS185" s="230"/>
      <c r="CT185" s="234"/>
      <c r="CU185" s="230"/>
      <c r="CV185" s="230"/>
      <c r="CW185" s="234"/>
      <c r="CX185" s="230"/>
      <c r="CY185" s="235"/>
      <c r="CZ185" s="230"/>
      <c r="DA185" s="230"/>
      <c r="DB185" s="235"/>
      <c r="DC185" s="234"/>
      <c r="DD185" s="230"/>
      <c r="DE185" s="235">
        <f>IFERROR(__xludf.DUMMYFUNCTION("""COMPUTED_VALUE"""),31.25)</f>
        <v>31.25</v>
      </c>
      <c r="DF185" s="234"/>
      <c r="DG185" s="230"/>
      <c r="DH185" s="235"/>
      <c r="DI185" s="234"/>
      <c r="DJ185" s="230"/>
      <c r="DK185" s="235"/>
      <c r="DL185" s="331"/>
      <c r="DM185" s="318"/>
      <c r="DN185" s="282"/>
      <c r="DO185" s="96"/>
      <c r="DP185" s="96"/>
      <c r="DQ185" s="96"/>
      <c r="DR185" s="96"/>
      <c r="DS185" s="96"/>
      <c r="DT185" s="96"/>
      <c r="DU185" s="96"/>
    </row>
    <row r="186">
      <c r="B186" s="120" t="str">
        <f>IFERROR(__xludf.DUMMYFUNCTION("""COMPUTED_VALUE"""),"ANA5")</f>
        <v>ANA5</v>
      </c>
      <c r="C186" s="88" t="str">
        <f>IFERROR(__xludf.DUMMYFUNCTION("""COMPUTED_VALUE"""),"Yaga Sychyovka")</f>
        <v>Yaga Sychyovka</v>
      </c>
      <c r="D186" s="102">
        <f>IFERROR(__xludf.DUMMYFUNCTION("""COMPUTED_VALUE"""),21.0)</f>
        <v>21</v>
      </c>
      <c r="E186" s="82" t="b">
        <f>IFERROR(__xludf.DUMMYFUNCTION("""COMPUTED_VALUE"""),TRUE)</f>
        <v>1</v>
      </c>
      <c r="F186" s="82" t="str">
        <f>IFERROR(__xludf.DUMMYFUNCTION("""COMPUTED_VALUE"""),"Free Quests- Part 2!A58:J67")</f>
        <v>Free Quests- Part 2!A58:J67</v>
      </c>
      <c r="G186" s="82">
        <f>IFERROR(__xludf.DUMMYFUNCTION("""COMPUTED_VALUE"""),187.0)</f>
        <v>187</v>
      </c>
      <c r="H186" s="82">
        <f>IFERROR(__xludf.DUMMYFUNCTION("""COMPUTED_VALUE"""),190.0)</f>
        <v>190</v>
      </c>
      <c r="I186" s="82">
        <f>IFERROR(__xludf.DUMMYFUNCTION("""COMPUTED_VALUE"""),15732.0)</f>
        <v>15732</v>
      </c>
      <c r="J186" s="82">
        <f>IFERROR(__xludf.DUMMYFUNCTION("""COMPUTED_VALUE"""),15922.0)</f>
        <v>15922</v>
      </c>
      <c r="K186" s="234"/>
      <c r="L186" s="230"/>
      <c r="M186" s="235"/>
      <c r="N186" s="234"/>
      <c r="O186" s="230"/>
      <c r="P186" s="235"/>
      <c r="Q186" s="234"/>
      <c r="R186" s="230"/>
      <c r="S186" s="235"/>
      <c r="T186" s="234"/>
      <c r="U186" s="230"/>
      <c r="V186" s="235"/>
      <c r="W186" s="234"/>
      <c r="X186" s="230"/>
      <c r="Y186" s="235"/>
      <c r="Z186" s="234"/>
      <c r="AA186" s="230"/>
      <c r="AB186" s="235"/>
      <c r="AC186" s="234">
        <f>IFERROR(__xludf.DUMMYFUNCTION("""COMPUTED_VALUE"""),24.767843235774404)</f>
        <v>24.76784324</v>
      </c>
      <c r="AD186" s="230"/>
      <c r="AE186" s="235"/>
      <c r="AF186" s="234"/>
      <c r="AG186" s="230"/>
      <c r="AH186" s="235"/>
      <c r="AI186" s="234"/>
      <c r="AJ186" s="230"/>
      <c r="AK186" s="235"/>
      <c r="AL186" s="231"/>
      <c r="AM186" s="230"/>
      <c r="AN186" s="235"/>
      <c r="AO186" s="234"/>
      <c r="AP186" s="230"/>
      <c r="AQ186" s="235"/>
      <c r="AR186" s="234"/>
      <c r="AS186" s="230"/>
      <c r="AT186" s="235"/>
      <c r="AU186" s="234"/>
      <c r="AV186" s="230"/>
      <c r="AW186" s="235"/>
      <c r="AX186" s="234"/>
      <c r="AY186" s="230"/>
      <c r="AZ186" s="235"/>
      <c r="BA186" s="234"/>
      <c r="BB186" s="230"/>
      <c r="BC186" s="235"/>
      <c r="BD186" s="234"/>
      <c r="BE186" s="230">
        <f>IFERROR(__xludf.DUMMYFUNCTION("""COMPUTED_VALUE"""),41.389574174098726)</f>
        <v>41.38957417</v>
      </c>
      <c r="BF186" s="235"/>
      <c r="BG186" s="234"/>
      <c r="BH186" s="230"/>
      <c r="BI186" s="235"/>
      <c r="BJ186" s="234"/>
      <c r="BK186" s="230"/>
      <c r="BL186" s="235"/>
      <c r="BM186" s="234"/>
      <c r="BN186" s="230"/>
      <c r="BO186" s="235"/>
      <c r="BP186" s="234"/>
      <c r="BQ186" s="230"/>
      <c r="BR186" s="235"/>
      <c r="BS186" s="234">
        <f>IFERROR(__xludf.DUMMYFUNCTION("""COMPUTED_VALUE"""),20.38940566971302)</f>
        <v>20.38940567</v>
      </c>
      <c r="BT186" s="230"/>
      <c r="BU186" s="235">
        <f>IFERROR(__xludf.DUMMYFUNCTION("""COMPUTED_VALUE"""),25.109144886198266)</f>
        <v>25.10914489</v>
      </c>
      <c r="BV186" s="234"/>
      <c r="BW186" s="230"/>
      <c r="BX186" s="235"/>
      <c r="BY186" s="234"/>
      <c r="BZ186" s="230"/>
      <c r="CA186" s="235"/>
      <c r="CB186" s="234"/>
      <c r="CC186" s="230"/>
      <c r="CD186" s="235"/>
      <c r="CE186" s="234"/>
      <c r="CF186" s="230"/>
      <c r="CG186" s="235"/>
      <c r="CH186" s="234"/>
      <c r="CI186" s="230"/>
      <c r="CJ186" s="230"/>
      <c r="CK186" s="234"/>
      <c r="CL186" s="230"/>
      <c r="CM186" s="235"/>
      <c r="CN186" s="230"/>
      <c r="CO186" s="230"/>
      <c r="CP186" s="230"/>
      <c r="CQ186" s="234"/>
      <c r="CR186" s="230"/>
      <c r="CS186" s="230"/>
      <c r="CT186" s="234"/>
      <c r="CU186" s="230"/>
      <c r="CV186" s="230"/>
      <c r="CW186" s="234"/>
      <c r="CX186" s="230">
        <f>IFERROR(__xludf.DUMMYFUNCTION("""COMPUTED_VALUE"""),5.263157894736842)</f>
        <v>5.263157895</v>
      </c>
      <c r="CY186" s="235"/>
      <c r="CZ186" s="230"/>
      <c r="DA186" s="230"/>
      <c r="DB186" s="235"/>
      <c r="DC186" s="234"/>
      <c r="DD186" s="230"/>
      <c r="DE186" s="235"/>
      <c r="DF186" s="234">
        <f>IFERROR(__xludf.DUMMYFUNCTION("""COMPUTED_VALUE"""),15.789473684210526)</f>
        <v>15.78947368</v>
      </c>
      <c r="DG186" s="230"/>
      <c r="DH186" s="235"/>
      <c r="DI186" s="234"/>
      <c r="DJ186" s="230"/>
      <c r="DK186" s="235">
        <f>IFERROR(__xludf.DUMMYFUNCTION("""COMPUTED_VALUE"""),23.684210526315788)</f>
        <v>23.68421053</v>
      </c>
      <c r="DL186" s="331"/>
      <c r="DM186" s="318"/>
      <c r="DN186" s="282"/>
      <c r="DO186" s="96"/>
      <c r="DP186" s="96"/>
      <c r="DQ186" s="96"/>
      <c r="DR186" s="96"/>
      <c r="DS186" s="96"/>
      <c r="DT186" s="96"/>
      <c r="DU186" s="96"/>
    </row>
    <row r="187">
      <c r="B187" s="120" t="str">
        <f>IFERROR(__xludf.DUMMYFUNCTION("""COMPUTED_VALUE"""),"ANA6")</f>
        <v>ANA6</v>
      </c>
      <c r="C187" s="88" t="str">
        <f>IFERROR(__xludf.DUMMYFUNCTION("""COMPUTED_VALUE"""),"Burned Village")</f>
        <v>Burned Village</v>
      </c>
      <c r="D187" s="102">
        <f>IFERROR(__xludf.DUMMYFUNCTION("""COMPUTED_VALUE"""),21.0)</f>
        <v>21</v>
      </c>
      <c r="E187" s="82" t="b">
        <f>IFERROR(__xludf.DUMMYFUNCTION("""COMPUTED_VALUE"""),TRUE)</f>
        <v>1</v>
      </c>
      <c r="F187" s="82" t="str">
        <f>IFERROR(__xludf.DUMMYFUNCTION("""COMPUTED_VALUE"""),"Free Quests- Part 2!A71:J80")</f>
        <v>Free Quests- Part 2!A71:J80</v>
      </c>
      <c r="G187" s="82">
        <f>IFERROR(__xludf.DUMMYFUNCTION("""COMPUTED_VALUE"""),188.0)</f>
        <v>188</v>
      </c>
      <c r="H187" s="82">
        <f>IFERROR(__xludf.DUMMYFUNCTION("""COMPUTED_VALUE"""),2995.0)</f>
        <v>2995</v>
      </c>
      <c r="I187" s="82">
        <f>IFERROR(__xludf.DUMMYFUNCTION("""COMPUTED_VALUE"""),89379.0)</f>
        <v>89379</v>
      </c>
      <c r="J187" s="82">
        <f>IFERROR(__xludf.DUMMYFUNCTION("""COMPUTED_VALUE"""),92374.0)</f>
        <v>92374</v>
      </c>
      <c r="K187" s="234"/>
      <c r="L187" s="230"/>
      <c r="M187" s="235"/>
      <c r="N187" s="234"/>
      <c r="O187" s="230"/>
      <c r="P187" s="235"/>
      <c r="Q187" s="234"/>
      <c r="R187" s="230"/>
      <c r="S187" s="235"/>
      <c r="T187" s="234"/>
      <c r="U187" s="230"/>
      <c r="V187" s="235"/>
      <c r="W187" s="234"/>
      <c r="X187" s="230"/>
      <c r="Y187" s="235"/>
      <c r="Z187" s="234"/>
      <c r="AA187" s="230"/>
      <c r="AB187" s="235"/>
      <c r="AC187" s="234"/>
      <c r="AD187" s="230"/>
      <c r="AE187" s="235"/>
      <c r="AF187" s="234"/>
      <c r="AG187" s="230"/>
      <c r="AH187" s="235"/>
      <c r="AI187" s="234"/>
      <c r="AJ187" s="230"/>
      <c r="AK187" s="235"/>
      <c r="AL187" s="231"/>
      <c r="AM187" s="230">
        <f>IFERROR(__xludf.DUMMYFUNCTION("""COMPUTED_VALUE"""),24.892687336263453)</f>
        <v>24.89268734</v>
      </c>
      <c r="AN187" s="235"/>
      <c r="AO187" s="234"/>
      <c r="AP187" s="230"/>
      <c r="AQ187" s="235"/>
      <c r="AR187" s="234"/>
      <c r="AS187" s="230"/>
      <c r="AT187" s="235"/>
      <c r="AU187" s="234"/>
      <c r="AV187" s="230"/>
      <c r="AW187" s="235"/>
      <c r="AX187" s="234"/>
      <c r="AY187" s="230"/>
      <c r="AZ187" s="235"/>
      <c r="BA187" s="234"/>
      <c r="BB187" s="230"/>
      <c r="BC187" s="235"/>
      <c r="BD187" s="234"/>
      <c r="BE187" s="230">
        <f>IFERROR(__xludf.DUMMYFUNCTION("""COMPUTED_VALUE"""),40.4400762119211)</f>
        <v>40.44007621</v>
      </c>
      <c r="BF187" s="235"/>
      <c r="BG187" s="234"/>
      <c r="BH187" s="230"/>
      <c r="BI187" s="235"/>
      <c r="BJ187" s="234"/>
      <c r="BK187" s="230"/>
      <c r="BL187" s="235"/>
      <c r="BM187" s="234"/>
      <c r="BN187" s="230"/>
      <c r="BO187" s="235"/>
      <c r="BP187" s="234"/>
      <c r="BQ187" s="230"/>
      <c r="BR187" s="235"/>
      <c r="BS187" s="234"/>
      <c r="BT187" s="230">
        <f>IFERROR(__xludf.DUMMYFUNCTION("""COMPUTED_VALUE"""),24.966936320913003)</f>
        <v>24.96693632</v>
      </c>
      <c r="BU187" s="235"/>
      <c r="BV187" s="234"/>
      <c r="BW187" s="230"/>
      <c r="BX187" s="235"/>
      <c r="BY187" s="234"/>
      <c r="BZ187" s="230">
        <f>IFERROR(__xludf.DUMMYFUNCTION("""COMPUTED_VALUE"""),20.102706836170395)</f>
        <v>20.10270684</v>
      </c>
      <c r="CA187" s="235"/>
      <c r="CB187" s="234"/>
      <c r="CC187" s="230"/>
      <c r="CD187" s="235"/>
      <c r="CE187" s="234"/>
      <c r="CF187" s="230"/>
      <c r="CG187" s="235"/>
      <c r="CH187" s="234"/>
      <c r="CI187" s="230"/>
      <c r="CJ187" s="230"/>
      <c r="CK187" s="234"/>
      <c r="CL187" s="230"/>
      <c r="CM187" s="235"/>
      <c r="CN187" s="230"/>
      <c r="CO187" s="230"/>
      <c r="CP187" s="230"/>
      <c r="CQ187" s="234"/>
      <c r="CR187" s="230"/>
      <c r="CS187" s="230"/>
      <c r="CT187" s="234"/>
      <c r="CU187" s="230"/>
      <c r="CV187" s="230"/>
      <c r="CW187" s="234">
        <f>IFERROR(__xludf.DUMMYFUNCTION("""COMPUTED_VALUE"""),6.862745098039216)</f>
        <v>6.862745098</v>
      </c>
      <c r="CX187" s="230"/>
      <c r="CY187" s="235"/>
      <c r="CZ187" s="230"/>
      <c r="DA187" s="230"/>
      <c r="DB187" s="235"/>
      <c r="DC187" s="234"/>
      <c r="DD187" s="230"/>
      <c r="DE187" s="235">
        <f>IFERROR(__xludf.DUMMYFUNCTION("""COMPUTED_VALUE"""),19.11764705882353)</f>
        <v>19.11764706</v>
      </c>
      <c r="DF187" s="234"/>
      <c r="DG187" s="230"/>
      <c r="DH187" s="235"/>
      <c r="DI187" s="234"/>
      <c r="DJ187" s="230"/>
      <c r="DK187" s="235">
        <f>IFERROR(__xludf.DUMMYFUNCTION("""COMPUTED_VALUE"""),16.176470588235293)</f>
        <v>16.17647059</v>
      </c>
      <c r="DL187" s="331"/>
      <c r="DM187" s="318"/>
      <c r="DN187" s="282"/>
      <c r="DO187" s="96"/>
      <c r="DP187" s="96"/>
      <c r="DQ187" s="96"/>
      <c r="DR187" s="96"/>
      <c r="DS187" s="96"/>
      <c r="DT187" s="96"/>
      <c r="DU187" s="96"/>
    </row>
    <row r="188">
      <c r="B188" s="120" t="str">
        <f>IFERROR(__xludf.DUMMYFUNCTION("""COMPUTED_VALUE"""),"ANA7")</f>
        <v>ANA7</v>
      </c>
      <c r="C188" s="88" t="str">
        <f>IFERROR(__xludf.DUMMYFUNCTION("""COMPUTED_VALUE"""),"Yaga Vyazma")</f>
        <v>Yaga Vyazma</v>
      </c>
      <c r="D188" s="102">
        <f>IFERROR(__xludf.DUMMYFUNCTION("""COMPUTED_VALUE"""),21.0)</f>
        <v>21</v>
      </c>
      <c r="E188" s="82" t="b">
        <f>IFERROR(__xludf.DUMMYFUNCTION("""COMPUTED_VALUE"""),TRUE)</f>
        <v>1</v>
      </c>
      <c r="F188" s="82" t="str">
        <f>IFERROR(__xludf.DUMMYFUNCTION("""COMPUTED_VALUE"""),"Free Quests- Part 2!A84:J93")</f>
        <v>Free Quests- Part 2!A84:J93</v>
      </c>
      <c r="G188" s="82">
        <f>IFERROR(__xludf.DUMMYFUNCTION("""COMPUTED_VALUE"""),189.0)</f>
        <v>189</v>
      </c>
      <c r="H188" s="82">
        <f>IFERROR(__xludf.DUMMYFUNCTION("""COMPUTED_VALUE"""),72.0)</f>
        <v>72</v>
      </c>
      <c r="I188" s="82">
        <f>IFERROR(__xludf.DUMMYFUNCTION("""COMPUTED_VALUE"""),52413.0)</f>
        <v>52413</v>
      </c>
      <c r="J188" s="82">
        <f>IFERROR(__xludf.DUMMYFUNCTION("""COMPUTED_VALUE"""),52485.0)</f>
        <v>52485</v>
      </c>
      <c r="K188" s="234"/>
      <c r="L188" s="230"/>
      <c r="M188" s="235"/>
      <c r="N188" s="234"/>
      <c r="O188" s="230"/>
      <c r="P188" s="235"/>
      <c r="Q188" s="234"/>
      <c r="R188" s="230"/>
      <c r="S188" s="235"/>
      <c r="T188" s="234"/>
      <c r="U188" s="230"/>
      <c r="V188" s="235"/>
      <c r="W188" s="234"/>
      <c r="X188" s="230"/>
      <c r="Y188" s="235"/>
      <c r="Z188" s="234"/>
      <c r="AA188" s="230"/>
      <c r="AB188" s="235"/>
      <c r="AC188" s="234"/>
      <c r="AD188" s="230"/>
      <c r="AE188" s="235"/>
      <c r="AF188" s="234"/>
      <c r="AG188" s="230"/>
      <c r="AH188" s="235"/>
      <c r="AI188" s="234"/>
      <c r="AJ188" s="230"/>
      <c r="AK188" s="235"/>
      <c r="AL188" s="231"/>
      <c r="AM188" s="230"/>
      <c r="AN188" s="235"/>
      <c r="AO188" s="234"/>
      <c r="AP188" s="230"/>
      <c r="AQ188" s="235"/>
      <c r="AR188" s="234"/>
      <c r="AS188" s="230"/>
      <c r="AT188" s="235"/>
      <c r="AU188" s="234"/>
      <c r="AV188" s="230"/>
      <c r="AW188" s="235"/>
      <c r="AX188" s="234"/>
      <c r="AY188" s="230"/>
      <c r="AZ188" s="235"/>
      <c r="BA188" s="234"/>
      <c r="BB188" s="230">
        <f>IFERROR(__xludf.DUMMYFUNCTION("""COMPUTED_VALUE"""),40.49969515099552)</f>
        <v>40.49969515</v>
      </c>
      <c r="BC188" s="235"/>
      <c r="BD188" s="234"/>
      <c r="BE188" s="230">
        <f>IFERROR(__xludf.DUMMYFUNCTION("""COMPUTED_VALUE"""),39.89099171191769)</f>
        <v>39.89099171</v>
      </c>
      <c r="BF188" s="235"/>
      <c r="BG188" s="234"/>
      <c r="BH188" s="230"/>
      <c r="BI188" s="235"/>
      <c r="BJ188" s="234"/>
      <c r="BK188" s="230"/>
      <c r="BL188" s="235"/>
      <c r="BM188" s="234"/>
      <c r="BN188" s="230"/>
      <c r="BO188" s="235"/>
      <c r="BP188" s="234"/>
      <c r="BQ188" s="230"/>
      <c r="BR188" s="235"/>
      <c r="BS188" s="234"/>
      <c r="BT188" s="230"/>
      <c r="BU188" s="235"/>
      <c r="BV188" s="234">
        <f>IFERROR(__xludf.DUMMYFUNCTION("""COMPUTED_VALUE"""),19.00758383796988)</f>
        <v>19.00758384</v>
      </c>
      <c r="BW188" s="230"/>
      <c r="BX188" s="235"/>
      <c r="BY188" s="234">
        <f>IFERROR(__xludf.DUMMYFUNCTION("""COMPUTED_VALUE"""),23.80358744007722)</f>
        <v>23.80358744</v>
      </c>
      <c r="BZ188" s="230"/>
      <c r="CA188" s="235"/>
      <c r="CB188" s="234"/>
      <c r="CC188" s="230"/>
      <c r="CD188" s="235"/>
      <c r="CE188" s="234"/>
      <c r="CF188" s="230"/>
      <c r="CG188" s="235"/>
      <c r="CH188" s="234"/>
      <c r="CI188" s="230"/>
      <c r="CJ188" s="230"/>
      <c r="CK188" s="234"/>
      <c r="CL188" s="230"/>
      <c r="CM188" s="235"/>
      <c r="CN188" s="230"/>
      <c r="CO188" s="230"/>
      <c r="CP188" s="230"/>
      <c r="CQ188" s="234"/>
      <c r="CR188" s="230"/>
      <c r="CS188" s="230"/>
      <c r="CT188" s="234"/>
      <c r="CU188" s="230"/>
      <c r="CV188" s="230"/>
      <c r="CW188" s="234"/>
      <c r="CX188" s="230"/>
      <c r="CY188" s="235"/>
      <c r="CZ188" s="230"/>
      <c r="DA188" s="230"/>
      <c r="DB188" s="235">
        <f>IFERROR(__xludf.DUMMYFUNCTION("""COMPUTED_VALUE"""),8.333333333333332)</f>
        <v>8.333333333</v>
      </c>
      <c r="DC188" s="234"/>
      <c r="DD188" s="230"/>
      <c r="DE188" s="235"/>
      <c r="DF188" s="234"/>
      <c r="DG188" s="230">
        <f>IFERROR(__xludf.DUMMYFUNCTION("""COMPUTED_VALUE"""),12.5)</f>
        <v>12.5</v>
      </c>
      <c r="DH188" s="235"/>
      <c r="DI188" s="234"/>
      <c r="DJ188" s="230">
        <f>IFERROR(__xludf.DUMMYFUNCTION("""COMPUTED_VALUE"""),16.666666666666664)</f>
        <v>16.66666667</v>
      </c>
      <c r="DK188" s="235"/>
      <c r="DL188" s="331"/>
      <c r="DM188" s="318"/>
      <c r="DN188" s="282"/>
      <c r="DO188" s="96"/>
      <c r="DP188" s="96"/>
      <c r="DQ188" s="96"/>
      <c r="DR188" s="96"/>
      <c r="DS188" s="96"/>
      <c r="DT188" s="96"/>
      <c r="DU188" s="96"/>
    </row>
    <row r="189">
      <c r="B189" s="120" t="str">
        <f>IFERROR(__xludf.DUMMYFUNCTION("""COMPUTED_VALUE"""),"ANA8")</f>
        <v>ANA8</v>
      </c>
      <c r="C189" s="88" t="str">
        <f>IFERROR(__xludf.DUMMYFUNCTION("""COMPUTED_VALUE"""),"Yaga Demensk")</f>
        <v>Yaga Demensk</v>
      </c>
      <c r="D189" s="102">
        <f>IFERROR(__xludf.DUMMYFUNCTION("""COMPUTED_VALUE"""),21.0)</f>
        <v>21</v>
      </c>
      <c r="E189" s="82" t="b">
        <f>IFERROR(__xludf.DUMMYFUNCTION("""COMPUTED_VALUE"""),TRUE)</f>
        <v>1</v>
      </c>
      <c r="F189" s="82" t="str">
        <f>IFERROR(__xludf.DUMMYFUNCTION("""COMPUTED_VALUE"""),"Free Quests- Part 2!A97:J106")</f>
        <v>Free Quests- Part 2!A97:J106</v>
      </c>
      <c r="G189" s="82">
        <f>IFERROR(__xludf.DUMMYFUNCTION("""COMPUTED_VALUE"""),190.0)</f>
        <v>190</v>
      </c>
      <c r="H189" s="82">
        <f>IFERROR(__xludf.DUMMYFUNCTION("""COMPUTED_VALUE"""),34.0)</f>
        <v>34</v>
      </c>
      <c r="I189" s="82">
        <f>IFERROR(__xludf.DUMMYFUNCTION("""COMPUTED_VALUE"""),5518.0)</f>
        <v>5518</v>
      </c>
      <c r="J189" s="82">
        <f>IFERROR(__xludf.DUMMYFUNCTION("""COMPUTED_VALUE"""),5552.0)</f>
        <v>5552</v>
      </c>
      <c r="K189" s="234"/>
      <c r="L189" s="230"/>
      <c r="M189" s="235"/>
      <c r="N189" s="234"/>
      <c r="O189" s="230">
        <f>IFERROR(__xludf.DUMMYFUNCTION("""COMPUTED_VALUE"""),20.979466858789625)</f>
        <v>20.97946686</v>
      </c>
      <c r="P189" s="235"/>
      <c r="Q189" s="234"/>
      <c r="R189" s="230"/>
      <c r="S189" s="235"/>
      <c r="T189" s="234"/>
      <c r="U189" s="230"/>
      <c r="V189" s="235"/>
      <c r="W189" s="234"/>
      <c r="X189" s="230"/>
      <c r="Y189" s="235"/>
      <c r="Z189" s="234"/>
      <c r="AA189" s="230"/>
      <c r="AB189" s="235"/>
      <c r="AC189" s="234"/>
      <c r="AD189" s="230"/>
      <c r="AE189" s="235"/>
      <c r="AF189" s="234"/>
      <c r="AG189" s="230"/>
      <c r="AH189" s="235"/>
      <c r="AI189" s="234"/>
      <c r="AJ189" s="230"/>
      <c r="AK189" s="235"/>
      <c r="AL189" s="231"/>
      <c r="AM189" s="230"/>
      <c r="AN189" s="235"/>
      <c r="AO189" s="234">
        <f>IFERROR(__xludf.DUMMYFUNCTION("""COMPUTED_VALUE"""),25.867471181556194)</f>
        <v>25.86747118</v>
      </c>
      <c r="AP189" s="230"/>
      <c r="AQ189" s="235"/>
      <c r="AR189" s="234"/>
      <c r="AS189" s="230"/>
      <c r="AT189" s="235"/>
      <c r="AU189" s="234"/>
      <c r="AV189" s="230"/>
      <c r="AW189" s="235"/>
      <c r="AX189" s="234"/>
      <c r="AY189" s="230"/>
      <c r="AZ189" s="235"/>
      <c r="BA189" s="234"/>
      <c r="BB189" s="230"/>
      <c r="BC189" s="235"/>
      <c r="BD189" s="234"/>
      <c r="BE189" s="230"/>
      <c r="BF189" s="235"/>
      <c r="BG189" s="234"/>
      <c r="BH189" s="230"/>
      <c r="BI189" s="235"/>
      <c r="BJ189" s="234"/>
      <c r="BK189" s="230"/>
      <c r="BL189" s="235"/>
      <c r="BM189" s="234"/>
      <c r="BN189" s="230"/>
      <c r="BO189" s="235">
        <f>IFERROR(__xludf.DUMMYFUNCTION("""COMPUTED_VALUE"""),8.189293018499582)</f>
        <v>8.189293018</v>
      </c>
      <c r="BP189" s="234"/>
      <c r="BQ189" s="230"/>
      <c r="BR189" s="235">
        <f>IFERROR(__xludf.DUMMYFUNCTION("""COMPUTED_VALUE"""),39.97234359022032)</f>
        <v>39.97234359</v>
      </c>
      <c r="BS189" s="234"/>
      <c r="BT189" s="230"/>
      <c r="BU189" s="235"/>
      <c r="BV189" s="234"/>
      <c r="BW189" s="230"/>
      <c r="BX189" s="235"/>
      <c r="BY189" s="234"/>
      <c r="BZ189" s="230"/>
      <c r="CA189" s="235"/>
      <c r="CB189" s="234"/>
      <c r="CC189" s="230"/>
      <c r="CD189" s="235"/>
      <c r="CE189" s="234"/>
      <c r="CF189" s="230"/>
      <c r="CG189" s="235"/>
      <c r="CH189" s="234"/>
      <c r="CI189" s="230"/>
      <c r="CJ189" s="230"/>
      <c r="CK189" s="234"/>
      <c r="CL189" s="230"/>
      <c r="CM189" s="235"/>
      <c r="CN189" s="230"/>
      <c r="CO189" s="230"/>
      <c r="CP189" s="230"/>
      <c r="CQ189" s="234">
        <f>IFERROR(__xludf.DUMMYFUNCTION("""COMPUTED_VALUE"""),3.2241457389872377)</f>
        <v>3.224145739</v>
      </c>
      <c r="CR189" s="230"/>
      <c r="CS189" s="230"/>
      <c r="CT189" s="234"/>
      <c r="CU189" s="230"/>
      <c r="CV189" s="230"/>
      <c r="CW189" s="234"/>
      <c r="CX189" s="230"/>
      <c r="CY189" s="235"/>
      <c r="CZ189" s="230"/>
      <c r="DA189" s="230"/>
      <c r="DB189" s="235">
        <f>IFERROR(__xludf.DUMMYFUNCTION("""COMPUTED_VALUE"""),51.85185185185185)</f>
        <v>51.85185185</v>
      </c>
      <c r="DC189" s="234"/>
      <c r="DD189" s="230"/>
      <c r="DE189" s="235"/>
      <c r="DF189" s="234"/>
      <c r="DG189" s="230"/>
      <c r="DH189" s="235"/>
      <c r="DI189" s="234"/>
      <c r="DJ189" s="230"/>
      <c r="DK189" s="235"/>
      <c r="DL189" s="331"/>
      <c r="DM189" s="318"/>
      <c r="DN189" s="282"/>
      <c r="DO189" s="96"/>
      <c r="DP189" s="96"/>
      <c r="DQ189" s="96"/>
      <c r="DR189" s="96"/>
      <c r="DS189" s="96"/>
      <c r="DT189" s="96"/>
      <c r="DU189" s="96"/>
    </row>
    <row r="190">
      <c r="B190" s="120" t="str">
        <f>IFERROR(__xludf.DUMMYFUNCTION("""COMPUTED_VALUE"""),"ANA9")</f>
        <v>ANA9</v>
      </c>
      <c r="C190" s="88" t="str">
        <f>IFERROR(__xludf.DUMMYFUNCTION("""COMPUTED_VALUE"""),"Yaga Tula")</f>
        <v>Yaga Tula</v>
      </c>
      <c r="D190" s="102">
        <f>IFERROR(__xludf.DUMMYFUNCTION("""COMPUTED_VALUE"""),21.0)</f>
        <v>21</v>
      </c>
      <c r="E190" s="82" t="b">
        <f>IFERROR(__xludf.DUMMYFUNCTION("""COMPUTED_VALUE"""),TRUE)</f>
        <v>1</v>
      </c>
      <c r="F190" s="82" t="str">
        <f>IFERROR(__xludf.DUMMYFUNCTION("""COMPUTED_VALUE"""),"Free Quests- Part 2!A110:J120")</f>
        <v>Free Quests- Part 2!A110:J120</v>
      </c>
      <c r="G190" s="82">
        <f>IFERROR(__xludf.DUMMYFUNCTION("""COMPUTED_VALUE"""),191.0)</f>
        <v>191</v>
      </c>
      <c r="H190" s="82">
        <f>IFERROR(__xludf.DUMMYFUNCTION("""COMPUTED_VALUE"""),450.0)</f>
        <v>450</v>
      </c>
      <c r="I190" s="82">
        <f>IFERROR(__xludf.DUMMYFUNCTION("""COMPUTED_VALUE"""),32304.0)</f>
        <v>32304</v>
      </c>
      <c r="J190" s="82">
        <f>IFERROR(__xludf.DUMMYFUNCTION("""COMPUTED_VALUE"""),32754.0)</f>
        <v>32754</v>
      </c>
      <c r="K190" s="234"/>
      <c r="L190" s="230"/>
      <c r="M190" s="235"/>
      <c r="N190" s="234"/>
      <c r="O190" s="230"/>
      <c r="P190" s="235"/>
      <c r="Q190" s="234"/>
      <c r="R190" s="230"/>
      <c r="S190" s="235"/>
      <c r="T190" s="234"/>
      <c r="U190" s="230"/>
      <c r="V190" s="235"/>
      <c r="W190" s="234"/>
      <c r="X190" s="230"/>
      <c r="Y190" s="235"/>
      <c r="Z190" s="234"/>
      <c r="AA190" s="230"/>
      <c r="AB190" s="235"/>
      <c r="AC190" s="234"/>
      <c r="AD190" s="230"/>
      <c r="AE190" s="235"/>
      <c r="AF190" s="234"/>
      <c r="AG190" s="230"/>
      <c r="AH190" s="235"/>
      <c r="AI190" s="234"/>
      <c r="AJ190" s="230"/>
      <c r="AK190" s="235"/>
      <c r="AL190" s="231"/>
      <c r="AM190" s="230"/>
      <c r="AN190" s="235"/>
      <c r="AO190" s="234">
        <f>IFERROR(__xludf.DUMMYFUNCTION("""COMPUTED_VALUE"""),20.19725224400073)</f>
        <v>20.19725224</v>
      </c>
      <c r="AP190" s="230"/>
      <c r="AQ190" s="235"/>
      <c r="AR190" s="234"/>
      <c r="AS190" s="230"/>
      <c r="AT190" s="235"/>
      <c r="AU190" s="234"/>
      <c r="AV190" s="230"/>
      <c r="AW190" s="235"/>
      <c r="AX190" s="234"/>
      <c r="AY190" s="230"/>
      <c r="AZ190" s="235">
        <f>IFERROR(__xludf.DUMMYFUNCTION("""COMPUTED_VALUE"""),29.605495511998534)</f>
        <v>29.60549551</v>
      </c>
      <c r="BA190" s="234"/>
      <c r="BB190" s="230"/>
      <c r="BC190" s="235"/>
      <c r="BD190" s="234"/>
      <c r="BE190" s="230">
        <f>IFERROR(__xludf.DUMMYFUNCTION("""COMPUTED_VALUE"""),30.221676741771994)</f>
        <v>30.22167674</v>
      </c>
      <c r="BF190" s="235"/>
      <c r="BG190" s="234"/>
      <c r="BH190" s="230"/>
      <c r="BI190" s="235"/>
      <c r="BJ190" s="234"/>
      <c r="BK190" s="230"/>
      <c r="BL190" s="235"/>
      <c r="BM190" s="234"/>
      <c r="BN190" s="230"/>
      <c r="BO190" s="235"/>
      <c r="BP190" s="234"/>
      <c r="BQ190" s="230"/>
      <c r="BR190" s="235">
        <f>IFERROR(__xludf.DUMMYFUNCTION("""COMPUTED_VALUE"""),24.916845477094608)</f>
        <v>24.91684548</v>
      </c>
      <c r="BS190" s="234"/>
      <c r="BT190" s="230"/>
      <c r="BU190" s="235">
        <f>IFERROR(__xludf.DUMMYFUNCTION("""COMPUTED_VALUE"""),15.075109291376005)</f>
        <v>15.07510929</v>
      </c>
      <c r="BV190" s="234"/>
      <c r="BW190" s="230"/>
      <c r="BX190" s="235"/>
      <c r="BY190" s="234"/>
      <c r="BZ190" s="230"/>
      <c r="CA190" s="235"/>
      <c r="CB190" s="234"/>
      <c r="CC190" s="230"/>
      <c r="CD190" s="235"/>
      <c r="CE190" s="234"/>
      <c r="CF190" s="230"/>
      <c r="CG190" s="235"/>
      <c r="CH190" s="234"/>
      <c r="CI190" s="230"/>
      <c r="CJ190" s="230"/>
      <c r="CK190" s="234"/>
      <c r="CL190" s="230"/>
      <c r="CM190" s="235"/>
      <c r="CN190" s="230"/>
      <c r="CO190" s="230"/>
      <c r="CP190" s="230"/>
      <c r="CQ190" s="234"/>
      <c r="CR190" s="230"/>
      <c r="CS190" s="230"/>
      <c r="CT190" s="234"/>
      <c r="CU190" s="230"/>
      <c r="CV190" s="230"/>
      <c r="CW190" s="234"/>
      <c r="CX190" s="230"/>
      <c r="CY190" s="235"/>
      <c r="CZ190" s="230"/>
      <c r="DA190" s="230"/>
      <c r="DB190" s="235">
        <f>IFERROR(__xludf.DUMMYFUNCTION("""COMPUTED_VALUE"""),29.03225806451613)</f>
        <v>29.03225806</v>
      </c>
      <c r="DC190" s="234"/>
      <c r="DD190" s="230"/>
      <c r="DE190" s="235"/>
      <c r="DF190" s="234">
        <f>IFERROR(__xludf.DUMMYFUNCTION("""COMPUTED_VALUE"""),15.053763440860216)</f>
        <v>15.05376344</v>
      </c>
      <c r="DG190" s="230"/>
      <c r="DH190" s="235"/>
      <c r="DI190" s="234"/>
      <c r="DJ190" s="230"/>
      <c r="DK190" s="235"/>
      <c r="DL190" s="331"/>
      <c r="DM190" s="318"/>
      <c r="DN190" s="282"/>
      <c r="DO190" s="96"/>
      <c r="DP190" s="96"/>
      <c r="DQ190" s="96"/>
      <c r="DR190" s="96"/>
      <c r="DS190" s="96"/>
      <c r="DT190" s="96"/>
      <c r="DU190" s="96"/>
    </row>
    <row r="191">
      <c r="B191" s="120" t="str">
        <f>IFERROR(__xludf.DUMMYFUNCTION("""COMPUTED_VALUE"""),"ANA10")</f>
        <v>ANA10</v>
      </c>
      <c r="C191" s="88" t="str">
        <f>IFERROR(__xludf.DUMMYFUNCTION("""COMPUTED_VALUE"""),"Crushed Village")</f>
        <v>Crushed Village</v>
      </c>
      <c r="D191" s="102">
        <f>IFERROR(__xludf.DUMMYFUNCTION("""COMPUTED_VALUE"""),21.0)</f>
        <v>21</v>
      </c>
      <c r="E191" s="82" t="b">
        <f>IFERROR(__xludf.DUMMYFUNCTION("""COMPUTED_VALUE"""),TRUE)</f>
        <v>1</v>
      </c>
      <c r="F191" s="82" t="str">
        <f>IFERROR(__xludf.DUMMYFUNCTION("""COMPUTED_VALUE"""),"Free Quests- Part 2!A124:J133")</f>
        <v>Free Quests- Part 2!A124:J133</v>
      </c>
      <c r="G191" s="82">
        <f>IFERROR(__xludf.DUMMYFUNCTION("""COMPUTED_VALUE"""),192.0)</f>
        <v>192</v>
      </c>
      <c r="H191" s="82">
        <f>IFERROR(__xludf.DUMMYFUNCTION("""COMPUTED_VALUE"""),1110.0)</f>
        <v>1110</v>
      </c>
      <c r="I191" s="82">
        <f>IFERROR(__xludf.DUMMYFUNCTION("""COMPUTED_VALUE"""),17891.0)</f>
        <v>17891</v>
      </c>
      <c r="J191" s="82">
        <f>IFERROR(__xludf.DUMMYFUNCTION("""COMPUTED_VALUE"""),19001.0)</f>
        <v>19001</v>
      </c>
      <c r="K191" s="234"/>
      <c r="L191" s="230"/>
      <c r="M191" s="235"/>
      <c r="N191" s="234"/>
      <c r="O191" s="230"/>
      <c r="P191" s="235"/>
      <c r="Q191" s="234"/>
      <c r="R191" s="230"/>
      <c r="S191" s="235"/>
      <c r="T191" s="234"/>
      <c r="U191" s="230"/>
      <c r="V191" s="235"/>
      <c r="W191" s="234"/>
      <c r="X191" s="230"/>
      <c r="Y191" s="235"/>
      <c r="Z191" s="234"/>
      <c r="AA191" s="230"/>
      <c r="AB191" s="235"/>
      <c r="AC191" s="234"/>
      <c r="AD191" s="230"/>
      <c r="AE191" s="235"/>
      <c r="AF191" s="234"/>
      <c r="AG191" s="230"/>
      <c r="AH191" s="235"/>
      <c r="AI191" s="234"/>
      <c r="AJ191" s="230"/>
      <c r="AK191" s="235"/>
      <c r="AL191" s="231"/>
      <c r="AM191" s="230">
        <f>IFERROR(__xludf.DUMMYFUNCTION("""COMPUTED_VALUE"""),24.463422977738013)</f>
        <v>24.46342298</v>
      </c>
      <c r="AN191" s="235"/>
      <c r="AO191" s="234">
        <f>IFERROR(__xludf.DUMMYFUNCTION("""COMPUTED_VALUE"""),25.27984316614915)</f>
        <v>25.27984317</v>
      </c>
      <c r="AP191" s="230"/>
      <c r="AQ191" s="235"/>
      <c r="AR191" s="234"/>
      <c r="AS191" s="230"/>
      <c r="AT191" s="235"/>
      <c r="AU191" s="234"/>
      <c r="AV191" s="230"/>
      <c r="AW191" s="235"/>
      <c r="AX191" s="234"/>
      <c r="AY191" s="230"/>
      <c r="AZ191" s="235"/>
      <c r="BA191" s="234"/>
      <c r="BB191" s="230"/>
      <c r="BC191" s="235"/>
      <c r="BD191" s="234"/>
      <c r="BE191" s="230"/>
      <c r="BF191" s="235"/>
      <c r="BG191" s="234"/>
      <c r="BH191" s="230"/>
      <c r="BI191" s="235"/>
      <c r="BJ191" s="234"/>
      <c r="BK191" s="230"/>
      <c r="BL191" s="235"/>
      <c r="BM191" s="234"/>
      <c r="BN191" s="230"/>
      <c r="BO191" s="235"/>
      <c r="BP191" s="234"/>
      <c r="BQ191" s="230"/>
      <c r="BR191" s="235">
        <f>IFERROR(__xludf.DUMMYFUNCTION("""COMPUTED_VALUE"""),24.88741167808006)</f>
        <v>24.88741168</v>
      </c>
      <c r="BS191" s="234"/>
      <c r="BT191" s="230"/>
      <c r="BU191" s="235"/>
      <c r="BV191" s="234"/>
      <c r="BW191" s="230"/>
      <c r="BX191" s="235"/>
      <c r="BY191" s="234"/>
      <c r="BZ191" s="230">
        <f>IFERROR(__xludf.DUMMYFUNCTION("""COMPUTED_VALUE"""),20.350621716108808)</f>
        <v>20.35062172</v>
      </c>
      <c r="CA191" s="235"/>
      <c r="CB191" s="234"/>
      <c r="CC191" s="230"/>
      <c r="CD191" s="235"/>
      <c r="CE191" s="234"/>
      <c r="CF191" s="230"/>
      <c r="CG191" s="235"/>
      <c r="CH191" s="234"/>
      <c r="CI191" s="230"/>
      <c r="CJ191" s="230"/>
      <c r="CK191" s="234"/>
      <c r="CL191" s="230"/>
      <c r="CM191" s="235"/>
      <c r="CN191" s="230"/>
      <c r="CO191" s="230"/>
      <c r="CP191" s="230"/>
      <c r="CQ191" s="234"/>
      <c r="CR191" s="230"/>
      <c r="CS191" s="230"/>
      <c r="CT191" s="234"/>
      <c r="CU191" s="230"/>
      <c r="CV191" s="230"/>
      <c r="CW191" s="234"/>
      <c r="CX191" s="230"/>
      <c r="CY191" s="235"/>
      <c r="CZ191" s="230"/>
      <c r="DA191" s="230"/>
      <c r="DB191" s="235">
        <f>IFERROR(__xludf.DUMMYFUNCTION("""COMPUTED_VALUE"""),25.723472668810288)</f>
        <v>25.72347267</v>
      </c>
      <c r="DC191" s="234"/>
      <c r="DD191" s="230"/>
      <c r="DE191" s="235"/>
      <c r="DF191" s="234"/>
      <c r="DG191" s="230"/>
      <c r="DH191" s="235"/>
      <c r="DI191" s="234"/>
      <c r="DJ191" s="230"/>
      <c r="DK191" s="235">
        <f>IFERROR(__xludf.DUMMYFUNCTION("""COMPUTED_VALUE"""),16.720257234726688)</f>
        <v>16.72025723</v>
      </c>
      <c r="DL191" s="331"/>
      <c r="DM191" s="318"/>
      <c r="DN191" s="282"/>
      <c r="DO191" s="96"/>
      <c r="DP191" s="96"/>
      <c r="DQ191" s="96"/>
      <c r="DR191" s="96"/>
      <c r="DS191" s="96"/>
      <c r="DT191" s="96"/>
      <c r="DU191" s="96"/>
    </row>
    <row r="192">
      <c r="B192" s="120" t="str">
        <f>IFERROR(__xludf.DUMMYFUNCTION("""COMPUTED_VALUE"""),"ANA11")</f>
        <v>ANA11</v>
      </c>
      <c r="C192" s="88" t="str">
        <f>IFERROR(__xludf.DUMMYFUNCTION("""COMPUTED_VALUE"""),"Yaga Moscow")</f>
        <v>Yaga Moscow</v>
      </c>
      <c r="D192" s="102">
        <f>IFERROR(__xludf.DUMMYFUNCTION("""COMPUTED_VALUE"""),21.0)</f>
        <v>21</v>
      </c>
      <c r="E192" s="82" t="b">
        <f>IFERROR(__xludf.DUMMYFUNCTION("""COMPUTED_VALUE"""),TRUE)</f>
        <v>1</v>
      </c>
      <c r="F192" s="82" t="str">
        <f>IFERROR(__xludf.DUMMYFUNCTION("""COMPUTED_VALUE"""),"Free Quests- Part 2!A137:J142")</f>
        <v>Free Quests- Part 2!A137:J142</v>
      </c>
      <c r="G192" s="82">
        <f>IFERROR(__xludf.DUMMYFUNCTION("""COMPUTED_VALUE"""),193.0)</f>
        <v>193</v>
      </c>
      <c r="H192" s="82">
        <f>IFERROR(__xludf.DUMMYFUNCTION("""COMPUTED_VALUE"""),2765.0)</f>
        <v>2765</v>
      </c>
      <c r="I192" s="82">
        <f>IFERROR(__xludf.DUMMYFUNCTION("""COMPUTED_VALUE"""),11192.0)</f>
        <v>11192</v>
      </c>
      <c r="J192" s="82">
        <f>IFERROR(__xludf.DUMMYFUNCTION("""COMPUTED_VALUE"""),13957.0)</f>
        <v>13957</v>
      </c>
      <c r="K192" s="234"/>
      <c r="L192" s="230"/>
      <c r="M192" s="235"/>
      <c r="N192" s="234"/>
      <c r="O192" s="230"/>
      <c r="P192" s="235"/>
      <c r="Q192" s="234"/>
      <c r="R192" s="230"/>
      <c r="S192" s="235"/>
      <c r="T192" s="234"/>
      <c r="U192" s="230"/>
      <c r="V192" s="235"/>
      <c r="W192" s="234"/>
      <c r="X192" s="230"/>
      <c r="Y192" s="235"/>
      <c r="Z192" s="234"/>
      <c r="AA192" s="230"/>
      <c r="AB192" s="235"/>
      <c r="AC192" s="234"/>
      <c r="AD192" s="230"/>
      <c r="AE192" s="235"/>
      <c r="AF192" s="234"/>
      <c r="AG192" s="230"/>
      <c r="AH192" s="235"/>
      <c r="AI192" s="234"/>
      <c r="AJ192" s="230"/>
      <c r="AK192" s="235"/>
      <c r="AL192" s="231"/>
      <c r="AM192" s="230"/>
      <c r="AN192" s="235"/>
      <c r="AO192" s="234">
        <f>IFERROR(__xludf.DUMMYFUNCTION("""COMPUTED_VALUE"""),45.29884645697499)</f>
        <v>45.29884646</v>
      </c>
      <c r="AP192" s="230"/>
      <c r="AQ192" s="235"/>
      <c r="AR192" s="234"/>
      <c r="AS192" s="230"/>
      <c r="AT192" s="235"/>
      <c r="AU192" s="234"/>
      <c r="AV192" s="230"/>
      <c r="AW192" s="235"/>
      <c r="AX192" s="234"/>
      <c r="AY192" s="230"/>
      <c r="AZ192" s="235"/>
      <c r="BA192" s="234"/>
      <c r="BB192" s="230"/>
      <c r="BC192" s="235"/>
      <c r="BD192" s="234"/>
      <c r="BE192" s="230"/>
      <c r="BF192" s="235"/>
      <c r="BG192" s="234"/>
      <c r="BH192" s="230"/>
      <c r="BI192" s="235"/>
      <c r="BJ192" s="234"/>
      <c r="BK192" s="230"/>
      <c r="BL192" s="235"/>
      <c r="BM192" s="234"/>
      <c r="BN192" s="230"/>
      <c r="BO192" s="235"/>
      <c r="BP192" s="234"/>
      <c r="BQ192" s="230"/>
      <c r="BR192" s="235">
        <f>IFERROR(__xludf.DUMMYFUNCTION("""COMPUTED_VALUE"""),46.507232617192855)</f>
        <v>46.50723262</v>
      </c>
      <c r="BS192" s="234"/>
      <c r="BT192" s="230"/>
      <c r="BU192" s="235"/>
      <c r="BV192" s="234"/>
      <c r="BW192" s="230"/>
      <c r="BX192" s="235"/>
      <c r="BY192" s="234"/>
      <c r="BZ192" s="230"/>
      <c r="CA192" s="235"/>
      <c r="CB192" s="234"/>
      <c r="CC192" s="230"/>
      <c r="CD192" s="235"/>
      <c r="CE192" s="234"/>
      <c r="CF192" s="230"/>
      <c r="CG192" s="235"/>
      <c r="CH192" s="234"/>
      <c r="CI192" s="230"/>
      <c r="CJ192" s="230"/>
      <c r="CK192" s="234"/>
      <c r="CL192" s="230"/>
      <c r="CM192" s="235"/>
      <c r="CN192" s="230"/>
      <c r="CO192" s="230"/>
      <c r="CP192" s="230"/>
      <c r="CQ192" s="234"/>
      <c r="CR192" s="230"/>
      <c r="CS192" s="230"/>
      <c r="CT192" s="234"/>
      <c r="CU192" s="230"/>
      <c r="CV192" s="230"/>
      <c r="CW192" s="234"/>
      <c r="CX192" s="230"/>
      <c r="CY192" s="235"/>
      <c r="CZ192" s="230"/>
      <c r="DA192" s="230"/>
      <c r="DB192" s="235">
        <f>IFERROR(__xludf.DUMMYFUNCTION("""COMPUTED_VALUE"""),44.61538461538462)</f>
        <v>44.61538462</v>
      </c>
      <c r="DC192" s="234"/>
      <c r="DD192" s="230"/>
      <c r="DE192" s="235"/>
      <c r="DF192" s="234"/>
      <c r="DG192" s="230"/>
      <c r="DH192" s="235"/>
      <c r="DI192" s="234"/>
      <c r="DJ192" s="230"/>
      <c r="DK192" s="235"/>
      <c r="DL192" s="331"/>
      <c r="DM192" s="318"/>
      <c r="DN192" s="282"/>
      <c r="DO192" s="96"/>
      <c r="DP192" s="96"/>
      <c r="DQ192" s="96"/>
      <c r="DR192" s="96"/>
      <c r="DS192" s="96"/>
      <c r="DT192" s="96"/>
      <c r="DU192" s="96"/>
    </row>
    <row r="193">
      <c r="B193" s="120" t="str">
        <f>IFERROR(__xludf.DUMMYFUNCTION("""COMPUTED_VALUE"""),"ANA12")</f>
        <v>ANA12</v>
      </c>
      <c r="C193" s="88" t="str">
        <f>IFERROR(__xludf.DUMMYFUNCTION("""COMPUTED_VALUE"""),"Strath Stronghold")</f>
        <v>Strath Stronghold</v>
      </c>
      <c r="D193" s="102">
        <f>IFERROR(__xludf.DUMMYFUNCTION("""COMPUTED_VALUE"""),21.0)</f>
        <v>21</v>
      </c>
      <c r="E193" s="82" t="b">
        <f>IFERROR(__xludf.DUMMYFUNCTION("""COMPUTED_VALUE"""),TRUE)</f>
        <v>1</v>
      </c>
      <c r="F193" s="82" t="str">
        <f>IFERROR(__xludf.DUMMYFUNCTION("""COMPUTED_VALUE"""),"Free Quests- Part 2!A146:J156")</f>
        <v>Free Quests- Part 2!A146:J156</v>
      </c>
      <c r="G193" s="82">
        <f>IFERROR(__xludf.DUMMYFUNCTION("""COMPUTED_VALUE"""),194.0)</f>
        <v>194</v>
      </c>
      <c r="H193" s="82">
        <f>IFERROR(__xludf.DUMMYFUNCTION("""COMPUTED_VALUE"""),33.0)</f>
        <v>33</v>
      </c>
      <c r="I193" s="82">
        <f>IFERROR(__xludf.DUMMYFUNCTION("""COMPUTED_VALUE"""),14193.0)</f>
        <v>14193</v>
      </c>
      <c r="J193" s="82">
        <f>IFERROR(__xludf.DUMMYFUNCTION("""COMPUTED_VALUE"""),14226.0)</f>
        <v>14226</v>
      </c>
      <c r="K193" s="234"/>
      <c r="L193" s="230"/>
      <c r="M193" s="235"/>
      <c r="N193" s="234"/>
      <c r="O193" s="230"/>
      <c r="P193" s="235"/>
      <c r="Q193" s="234"/>
      <c r="R193" s="230"/>
      <c r="S193" s="235"/>
      <c r="T193" s="234"/>
      <c r="U193" s="230"/>
      <c r="V193" s="235">
        <f>IFERROR(__xludf.DUMMYFUNCTION("""COMPUTED_VALUE"""),10.097659215520876)</f>
        <v>10.09765922</v>
      </c>
      <c r="W193" s="234"/>
      <c r="X193" s="230"/>
      <c r="Y193" s="235"/>
      <c r="Z193" s="234"/>
      <c r="AA193" s="230"/>
      <c r="AB193" s="235"/>
      <c r="AC193" s="234"/>
      <c r="AD193" s="230"/>
      <c r="AE193" s="235"/>
      <c r="AF193" s="234"/>
      <c r="AG193" s="230"/>
      <c r="AH193" s="235"/>
      <c r="AI193" s="234"/>
      <c r="AJ193" s="230"/>
      <c r="AK193" s="235"/>
      <c r="AL193" s="231"/>
      <c r="AM193" s="230"/>
      <c r="AN193" s="235"/>
      <c r="AO193" s="234"/>
      <c r="AP193" s="230"/>
      <c r="AQ193" s="235"/>
      <c r="AR193" s="234"/>
      <c r="AS193" s="230"/>
      <c r="AT193" s="235"/>
      <c r="AU193" s="234"/>
      <c r="AV193" s="230"/>
      <c r="AW193" s="235"/>
      <c r="AX193" s="234"/>
      <c r="AY193" s="230"/>
      <c r="AZ193" s="235">
        <f>IFERROR(__xludf.DUMMYFUNCTION("""COMPUTED_VALUE"""),29.49483340362716)</f>
        <v>29.4948334</v>
      </c>
      <c r="BA193" s="234"/>
      <c r="BB193" s="230"/>
      <c r="BC193" s="235"/>
      <c r="BD193" s="234"/>
      <c r="BE193" s="230">
        <f>IFERROR(__xludf.DUMMYFUNCTION("""COMPUTED_VALUE"""),28.525270631238577)</f>
        <v>28.52527063</v>
      </c>
      <c r="BF193" s="235"/>
      <c r="BG193" s="234"/>
      <c r="BH193" s="230"/>
      <c r="BI193" s="235"/>
      <c r="BJ193" s="234"/>
      <c r="BK193" s="230">
        <f>IFERROR(__xludf.DUMMYFUNCTION("""COMPUTED_VALUE"""),4.098221566146492)</f>
        <v>4.098221566</v>
      </c>
      <c r="BL193" s="235"/>
      <c r="BM193" s="234"/>
      <c r="BN193" s="230"/>
      <c r="BO193" s="235"/>
      <c r="BP193" s="234"/>
      <c r="BQ193" s="230"/>
      <c r="BR193" s="235"/>
      <c r="BS193" s="234"/>
      <c r="BT193" s="230"/>
      <c r="BU193" s="235"/>
      <c r="BV193" s="234"/>
      <c r="BW193" s="230"/>
      <c r="BX193" s="235"/>
      <c r="BY193" s="234">
        <f>IFERROR(__xludf.DUMMYFUNCTION("""COMPUTED_VALUE"""),29.41685646000281)</f>
        <v>29.41685646</v>
      </c>
      <c r="BZ193" s="230"/>
      <c r="CA193" s="235"/>
      <c r="CB193" s="234"/>
      <c r="CC193" s="230"/>
      <c r="CD193" s="235"/>
      <c r="CE193" s="234"/>
      <c r="CF193" s="230"/>
      <c r="CG193" s="235"/>
      <c r="CH193" s="234"/>
      <c r="CI193" s="230"/>
      <c r="CJ193" s="230"/>
      <c r="CK193" s="234"/>
      <c r="CL193" s="230"/>
      <c r="CM193" s="235"/>
      <c r="CN193" s="230"/>
      <c r="CO193" s="230"/>
      <c r="CP193" s="230"/>
      <c r="CQ193" s="234"/>
      <c r="CR193" s="230"/>
      <c r="CS193" s="230"/>
      <c r="CT193" s="234">
        <f>IFERROR(__xludf.DUMMYFUNCTION("""COMPUTED_VALUE"""),3.7037037037037033)</f>
        <v>3.703703704</v>
      </c>
      <c r="CU193" s="230"/>
      <c r="CV193" s="230"/>
      <c r="CW193" s="234"/>
      <c r="CX193" s="230"/>
      <c r="CY193" s="235"/>
      <c r="CZ193" s="230"/>
      <c r="DA193" s="230"/>
      <c r="DB193" s="235"/>
      <c r="DC193" s="234">
        <f>IFERROR(__xludf.DUMMYFUNCTION("""COMPUTED_VALUE"""),25.925925925925924)</f>
        <v>25.92592593</v>
      </c>
      <c r="DD193" s="230"/>
      <c r="DE193" s="235"/>
      <c r="DF193" s="234"/>
      <c r="DG193" s="230"/>
      <c r="DH193" s="235"/>
      <c r="DI193" s="234"/>
      <c r="DJ193" s="230">
        <f>IFERROR(__xludf.DUMMYFUNCTION("""COMPUTED_VALUE"""),40.74074074074074)</f>
        <v>40.74074074</v>
      </c>
      <c r="DK193" s="235"/>
      <c r="DL193" s="331"/>
      <c r="DM193" s="318"/>
      <c r="DN193" s="282"/>
      <c r="DO193" s="96"/>
      <c r="DP193" s="96"/>
      <c r="DQ193" s="96"/>
      <c r="DR193" s="96"/>
      <c r="DS193" s="96"/>
      <c r="DT193" s="96"/>
      <c r="DU193" s="96"/>
    </row>
    <row r="194">
      <c r="B194" s="120" t="str">
        <f>IFERROR(__xludf.DUMMYFUNCTION("""COMPUTED_VALUE"""),"ANA13")</f>
        <v>ANA13</v>
      </c>
      <c r="C194" s="88" t="str">
        <f>IFERROR(__xludf.DUMMYFUNCTION("""COMPUTED_VALUE"""),"Base of the Great Tree")</f>
        <v>Base of the Great Tree</v>
      </c>
      <c r="D194" s="102">
        <f>IFERROR(__xludf.DUMMYFUNCTION("""COMPUTED_VALUE"""),21.0)</f>
        <v>21</v>
      </c>
      <c r="E194" s="82" t="b">
        <f>IFERROR(__xludf.DUMMYFUNCTION("""COMPUTED_VALUE"""),TRUE)</f>
        <v>1</v>
      </c>
      <c r="F194" s="82" t="str">
        <f>IFERROR(__xludf.DUMMYFUNCTION("""COMPUTED_VALUE"""),"Free Quests- Part 2!A160:J171")</f>
        <v>Free Quests- Part 2!A160:J171</v>
      </c>
      <c r="G194" s="82">
        <f>IFERROR(__xludf.DUMMYFUNCTION("""COMPUTED_VALUE"""),195.0)</f>
        <v>195</v>
      </c>
      <c r="H194" s="82">
        <f>IFERROR(__xludf.DUMMYFUNCTION("""COMPUTED_VALUE"""),36.0)</f>
        <v>36</v>
      </c>
      <c r="I194" s="82">
        <f>IFERROR(__xludf.DUMMYFUNCTION("""COMPUTED_VALUE"""),13743.0)</f>
        <v>13743</v>
      </c>
      <c r="J194" s="82">
        <f>IFERROR(__xludf.DUMMYFUNCTION("""COMPUTED_VALUE"""),13779.0)</f>
        <v>13779</v>
      </c>
      <c r="K194" s="234"/>
      <c r="L194" s="230"/>
      <c r="M194" s="235"/>
      <c r="N194" s="234"/>
      <c r="O194" s="230"/>
      <c r="P194" s="235"/>
      <c r="Q194" s="234"/>
      <c r="R194" s="230"/>
      <c r="S194" s="235"/>
      <c r="T194" s="234"/>
      <c r="U194" s="230"/>
      <c r="V194" s="235"/>
      <c r="W194" s="234"/>
      <c r="X194" s="230"/>
      <c r="Y194" s="235"/>
      <c r="Z194" s="234"/>
      <c r="AA194" s="230"/>
      <c r="AB194" s="235"/>
      <c r="AC194" s="234"/>
      <c r="AD194" s="230"/>
      <c r="AE194" s="235"/>
      <c r="AF194" s="234"/>
      <c r="AG194" s="230"/>
      <c r="AH194" s="235"/>
      <c r="AI194" s="234"/>
      <c r="AJ194" s="230"/>
      <c r="AK194" s="235"/>
      <c r="AL194" s="231"/>
      <c r="AM194" s="230"/>
      <c r="AN194" s="235"/>
      <c r="AO194" s="234">
        <f>IFERROR(__xludf.DUMMYFUNCTION("""COMPUTED_VALUE"""),19.98403367443211)</f>
        <v>19.98403367</v>
      </c>
      <c r="AP194" s="230"/>
      <c r="AQ194" s="235"/>
      <c r="AR194" s="234"/>
      <c r="AS194" s="230"/>
      <c r="AT194" s="235"/>
      <c r="AU194" s="234"/>
      <c r="AV194" s="230"/>
      <c r="AW194" s="235"/>
      <c r="AX194" s="234"/>
      <c r="AY194" s="230"/>
      <c r="AZ194" s="235">
        <f>IFERROR(__xludf.DUMMYFUNCTION("""COMPUTED_VALUE"""),30.008708904855215)</f>
        <v>30.0087089</v>
      </c>
      <c r="BA194" s="234"/>
      <c r="BB194" s="230">
        <f>IFERROR(__xludf.DUMMYFUNCTION("""COMPUTED_VALUE"""),29.424791349154507)</f>
        <v>29.42479135</v>
      </c>
      <c r="BC194" s="235"/>
      <c r="BD194" s="234"/>
      <c r="BE194" s="230"/>
      <c r="BF194" s="235"/>
      <c r="BG194" s="234"/>
      <c r="BH194" s="230"/>
      <c r="BI194" s="235"/>
      <c r="BJ194" s="234"/>
      <c r="BK194" s="230"/>
      <c r="BL194" s="235"/>
      <c r="BM194" s="234"/>
      <c r="BN194" s="230"/>
      <c r="BO194" s="235"/>
      <c r="BP194" s="234"/>
      <c r="BQ194" s="230"/>
      <c r="BR194" s="235">
        <f>IFERROR(__xludf.DUMMYFUNCTION("""COMPUTED_VALUE"""),19.480721651525048)</f>
        <v>19.48072165</v>
      </c>
      <c r="BS194" s="234"/>
      <c r="BT194" s="230"/>
      <c r="BU194" s="235"/>
      <c r="BV194" s="234">
        <f>IFERROR(__xludf.DUMMYFUNCTION("""COMPUTED_VALUE"""),21.100292935890586)</f>
        <v>21.10029294</v>
      </c>
      <c r="BW194" s="230"/>
      <c r="BX194" s="235"/>
      <c r="BY194" s="234"/>
      <c r="BZ194" s="230"/>
      <c r="CA194" s="235"/>
      <c r="CB194" s="234"/>
      <c r="CC194" s="230"/>
      <c r="CD194" s="235"/>
      <c r="CE194" s="234"/>
      <c r="CF194" s="230"/>
      <c r="CG194" s="235"/>
      <c r="CH194" s="234"/>
      <c r="CI194" s="230"/>
      <c r="CJ194" s="230"/>
      <c r="CK194" s="234"/>
      <c r="CL194" s="230"/>
      <c r="CM194" s="235"/>
      <c r="CN194" s="230"/>
      <c r="CO194" s="230"/>
      <c r="CP194" s="230"/>
      <c r="CQ194" s="234"/>
      <c r="CR194" s="230"/>
      <c r="CS194" s="230"/>
      <c r="CT194" s="234"/>
      <c r="CU194" s="230"/>
      <c r="CV194" s="230"/>
      <c r="CW194" s="234"/>
      <c r="CX194" s="230"/>
      <c r="CY194" s="235"/>
      <c r="CZ194" s="230"/>
      <c r="DA194" s="230">
        <f>IFERROR(__xludf.DUMMYFUNCTION("""COMPUTED_VALUE"""),26.666666666666668)</f>
        <v>26.66666667</v>
      </c>
      <c r="DB194" s="235">
        <f>IFERROR(__xludf.DUMMYFUNCTION("""COMPUTED_VALUE"""),20.0)</f>
        <v>20</v>
      </c>
      <c r="DC194" s="234"/>
      <c r="DD194" s="230"/>
      <c r="DE194" s="235"/>
      <c r="DF194" s="234"/>
      <c r="DG194" s="230">
        <f>IFERROR(__xludf.DUMMYFUNCTION("""COMPUTED_VALUE"""),23.333333333333332)</f>
        <v>23.33333333</v>
      </c>
      <c r="DH194" s="235"/>
      <c r="DI194" s="234"/>
      <c r="DJ194" s="230"/>
      <c r="DK194" s="235"/>
      <c r="DL194" s="331"/>
      <c r="DM194" s="318"/>
      <c r="DN194" s="282"/>
      <c r="DO194" s="96"/>
      <c r="DP194" s="96"/>
      <c r="DQ194" s="96"/>
      <c r="DR194" s="96"/>
      <c r="DS194" s="96"/>
      <c r="DT194" s="96"/>
      <c r="DU194" s="96"/>
    </row>
    <row r="195">
      <c r="B195" s="120" t="str">
        <f>IFERROR(__xludf.DUMMYFUNCTION("""COMPUTED_VALUE"""),"ANA14")</f>
        <v>ANA14</v>
      </c>
      <c r="C195" s="88" t="str">
        <f>IFERROR(__xludf.DUMMYFUNCTION("""COMPUTED_VALUE"""),"Yaga Ryazan")</f>
        <v>Yaga Ryazan</v>
      </c>
      <c r="D195" s="102">
        <f>IFERROR(__xludf.DUMMYFUNCTION("""COMPUTED_VALUE"""),21.0)</f>
        <v>21</v>
      </c>
      <c r="E195" s="82" t="b">
        <f>IFERROR(__xludf.DUMMYFUNCTION("""COMPUTED_VALUE"""),TRUE)</f>
        <v>1</v>
      </c>
      <c r="F195" s="82" t="str">
        <f>IFERROR(__xludf.DUMMYFUNCTION("""COMPUTED_VALUE"""),"Free Quests- Part 2!A175:J184")</f>
        <v>Free Quests- Part 2!A175:J184</v>
      </c>
      <c r="G195" s="82">
        <f>IFERROR(__xludf.DUMMYFUNCTION("""COMPUTED_VALUE"""),196.0)</f>
        <v>196</v>
      </c>
      <c r="H195" s="82">
        <f>IFERROR(__xludf.DUMMYFUNCTION("""COMPUTED_VALUE"""),164.0)</f>
        <v>164</v>
      </c>
      <c r="I195" s="82">
        <f>IFERROR(__xludf.DUMMYFUNCTION("""COMPUTED_VALUE"""),23979.0)</f>
        <v>23979</v>
      </c>
      <c r="J195" s="82">
        <f>IFERROR(__xludf.DUMMYFUNCTION("""COMPUTED_VALUE"""),24143.0)</f>
        <v>24143</v>
      </c>
      <c r="K195" s="234">
        <f>IFERROR(__xludf.DUMMYFUNCTION("""COMPUTED_VALUE"""),20.596752681936795)</f>
        <v>20.59675268</v>
      </c>
      <c r="L195" s="230"/>
      <c r="M195" s="235"/>
      <c r="N195" s="234"/>
      <c r="O195" s="230"/>
      <c r="P195" s="235"/>
      <c r="Q195" s="234"/>
      <c r="R195" s="230"/>
      <c r="S195" s="235"/>
      <c r="T195" s="234"/>
      <c r="U195" s="230"/>
      <c r="V195" s="235"/>
      <c r="W195" s="234"/>
      <c r="X195" s="230"/>
      <c r="Y195" s="235"/>
      <c r="Z195" s="234"/>
      <c r="AA195" s="230"/>
      <c r="AB195" s="235"/>
      <c r="AC195" s="234"/>
      <c r="AD195" s="230"/>
      <c r="AE195" s="235"/>
      <c r="AF195" s="234"/>
      <c r="AG195" s="230"/>
      <c r="AH195" s="235"/>
      <c r="AI195" s="234"/>
      <c r="AJ195" s="230"/>
      <c r="AK195" s="235"/>
      <c r="AL195" s="231"/>
      <c r="AM195" s="230"/>
      <c r="AN195" s="235"/>
      <c r="AO195" s="234">
        <f>IFERROR(__xludf.DUMMYFUNCTION("""COMPUTED_VALUE"""),24.954438139419292)</f>
        <v>24.95443814</v>
      </c>
      <c r="AP195" s="230"/>
      <c r="AQ195" s="235"/>
      <c r="AR195" s="234"/>
      <c r="AS195" s="230"/>
      <c r="AT195" s="235"/>
      <c r="AU195" s="234"/>
      <c r="AV195" s="230"/>
      <c r="AW195" s="235"/>
      <c r="AX195" s="234"/>
      <c r="AY195" s="230"/>
      <c r="AZ195" s="235"/>
      <c r="BA195" s="234"/>
      <c r="BB195" s="230"/>
      <c r="BC195" s="235"/>
      <c r="BD195" s="234"/>
      <c r="BE195" s="230"/>
      <c r="BF195" s="235"/>
      <c r="BG195" s="234"/>
      <c r="BH195" s="230"/>
      <c r="BI195" s="235"/>
      <c r="BJ195" s="234"/>
      <c r="BK195" s="230"/>
      <c r="BL195" s="235">
        <f>IFERROR(__xludf.DUMMYFUNCTION("""COMPUTED_VALUE"""),3.1909203521563936)</f>
        <v>3.190920352</v>
      </c>
      <c r="BM195" s="234"/>
      <c r="BN195" s="230"/>
      <c r="BO195" s="235"/>
      <c r="BP195" s="234"/>
      <c r="BQ195" s="230"/>
      <c r="BR195" s="235">
        <f>IFERROR(__xludf.DUMMYFUNCTION("""COMPUTED_VALUE"""),35.21826055570034)</f>
        <v>35.21826056</v>
      </c>
      <c r="BS195" s="234"/>
      <c r="BT195" s="230"/>
      <c r="BU195" s="235"/>
      <c r="BV195" s="234"/>
      <c r="BW195" s="230"/>
      <c r="BX195" s="235"/>
      <c r="BY195" s="234"/>
      <c r="BZ195" s="230"/>
      <c r="CA195" s="235"/>
      <c r="CB195" s="234"/>
      <c r="CC195" s="230"/>
      <c r="CD195" s="235"/>
      <c r="CE195" s="234"/>
      <c r="CF195" s="230"/>
      <c r="CG195" s="235"/>
      <c r="CH195" s="234"/>
      <c r="CI195" s="230"/>
      <c r="CJ195" s="230"/>
      <c r="CK195" s="234"/>
      <c r="CL195" s="230"/>
      <c r="CM195" s="235"/>
      <c r="CN195" s="230"/>
      <c r="CO195" s="230"/>
      <c r="CP195" s="230"/>
      <c r="CQ195" s="234"/>
      <c r="CR195" s="230"/>
      <c r="CS195" s="230"/>
      <c r="CT195" s="234"/>
      <c r="CU195" s="230">
        <f>IFERROR(__xludf.DUMMYFUNCTION("""COMPUTED_VALUE"""),2.941176470588235)</f>
        <v>2.941176471</v>
      </c>
      <c r="CV195" s="230"/>
      <c r="CW195" s="234"/>
      <c r="CX195" s="230"/>
      <c r="CY195" s="235"/>
      <c r="CZ195" s="230"/>
      <c r="DA195" s="230"/>
      <c r="DB195" s="235">
        <f>IFERROR(__xludf.DUMMYFUNCTION("""COMPUTED_VALUE"""),20.588235294117645)</f>
        <v>20.58823529</v>
      </c>
      <c r="DC195" s="234"/>
      <c r="DD195" s="230"/>
      <c r="DE195" s="235"/>
      <c r="DF195" s="234"/>
      <c r="DG195" s="230"/>
      <c r="DH195" s="235"/>
      <c r="DI195" s="234"/>
      <c r="DJ195" s="230"/>
      <c r="DK195" s="235"/>
      <c r="DL195" s="331"/>
      <c r="DM195" s="318"/>
      <c r="DN195" s="282"/>
      <c r="DO195" s="96"/>
      <c r="DP195" s="96"/>
      <c r="DQ195" s="96"/>
      <c r="DR195" s="96"/>
      <c r="DS195" s="96"/>
      <c r="DT195" s="96"/>
      <c r="DU195" s="96"/>
    </row>
    <row r="196" ht="16.5" customHeight="1">
      <c r="A196" s="173" t="str">
        <f>IFERROR(__xludf.DUMMYFUNCTION("""COMPUTED_VALUE"""),"GÖTTERDÄMMERUNG")</f>
        <v>GÖTTERDÄMMERUNG</v>
      </c>
      <c r="B196" s="120" t="str">
        <f>IFERROR(__xludf.DUMMYFUNCTION("""COMPUTED_VALUE"""),"GTT1")</f>
        <v>GTT1</v>
      </c>
      <c r="C196" s="88" t="str">
        <f>IFERROR(__xludf.DUMMYFUNCTION("""COMPUTED_VALUE"""),"Landing Point")</f>
        <v>Landing Point</v>
      </c>
      <c r="D196" s="102">
        <f>IFERROR(__xludf.DUMMYFUNCTION("""COMPUTED_VALUE"""),20.0)</f>
        <v>20</v>
      </c>
      <c r="E196" s="82" t="b">
        <f>IFERROR(__xludf.DUMMYFUNCTION("""COMPUTED_VALUE"""),TRUE)</f>
        <v>1</v>
      </c>
      <c r="F196" s="82" t="str">
        <f>IFERROR(__xludf.DUMMYFUNCTION("""COMPUTED_VALUE"""),"Free Quests- Part 2!A190:J202")</f>
        <v>Free Quests- Part 2!A190:J202</v>
      </c>
      <c r="G196" s="82">
        <f>IFERROR(__xludf.DUMMYFUNCTION("""COMPUTED_VALUE"""),197.0)</f>
        <v>197</v>
      </c>
      <c r="H196" s="82">
        <f>IFERROR(__xludf.DUMMYFUNCTION("""COMPUTED_VALUE"""),52.0)</f>
        <v>52</v>
      </c>
      <c r="I196" s="82">
        <f>IFERROR(__xludf.DUMMYFUNCTION("""COMPUTED_VALUE"""),7996.0)</f>
        <v>7996</v>
      </c>
      <c r="J196" s="82">
        <f>IFERROR(__xludf.DUMMYFUNCTION("""COMPUTED_VALUE"""),8048.0)</f>
        <v>8048</v>
      </c>
      <c r="K196" s="234"/>
      <c r="L196" s="230"/>
      <c r="M196" s="235"/>
      <c r="N196" s="234"/>
      <c r="O196" s="230"/>
      <c r="P196" s="235"/>
      <c r="Q196" s="234"/>
      <c r="R196" s="230"/>
      <c r="S196" s="235"/>
      <c r="T196" s="234">
        <f>IFERROR(__xludf.DUMMYFUNCTION("""COMPUTED_VALUE"""),12.096371769383696)</f>
        <v>12.09637177</v>
      </c>
      <c r="U196" s="230"/>
      <c r="V196" s="235"/>
      <c r="W196" s="234"/>
      <c r="X196" s="230"/>
      <c r="Y196" s="235"/>
      <c r="Z196" s="234"/>
      <c r="AA196" s="230"/>
      <c r="AB196" s="235"/>
      <c r="AC196" s="234">
        <f>IFERROR(__xludf.DUMMYFUNCTION("""COMPUTED_VALUE"""),25.894184890656064)</f>
        <v>25.89418489</v>
      </c>
      <c r="AD196" s="230"/>
      <c r="AE196" s="235"/>
      <c r="AF196" s="234"/>
      <c r="AG196" s="230"/>
      <c r="AH196" s="235"/>
      <c r="AI196" s="234"/>
      <c r="AJ196" s="230"/>
      <c r="AK196" s="235"/>
      <c r="AL196" s="231"/>
      <c r="AM196" s="230"/>
      <c r="AN196" s="235"/>
      <c r="AO196" s="234"/>
      <c r="AP196" s="230"/>
      <c r="AQ196" s="235"/>
      <c r="AR196" s="234"/>
      <c r="AS196" s="230"/>
      <c r="AT196" s="235"/>
      <c r="AU196" s="234"/>
      <c r="AV196" s="230"/>
      <c r="AW196" s="235"/>
      <c r="AX196" s="234"/>
      <c r="AY196" s="230"/>
      <c r="AZ196" s="235">
        <f>IFERROR(__xludf.DUMMYFUNCTION("""COMPUTED_VALUE"""),30.874353876739566)</f>
        <v>30.87435388</v>
      </c>
      <c r="BA196" s="234"/>
      <c r="BB196" s="230"/>
      <c r="BC196" s="235"/>
      <c r="BD196" s="234"/>
      <c r="BE196" s="230"/>
      <c r="BF196" s="235"/>
      <c r="BG196" s="234"/>
      <c r="BH196" s="230"/>
      <c r="BI196" s="235"/>
      <c r="BJ196" s="234"/>
      <c r="BK196" s="230"/>
      <c r="BL196" s="235"/>
      <c r="BM196" s="234"/>
      <c r="BN196" s="230"/>
      <c r="BO196" s="235"/>
      <c r="BP196" s="234"/>
      <c r="BQ196" s="230"/>
      <c r="BR196" s="235">
        <f>IFERROR(__xludf.DUMMYFUNCTION("""COMPUTED_VALUE"""),8.237475149105368)</f>
        <v>8.237475149</v>
      </c>
      <c r="BS196" s="234"/>
      <c r="BT196" s="230"/>
      <c r="BU196" s="235"/>
      <c r="BV196" s="234"/>
      <c r="BW196" s="230"/>
      <c r="BX196" s="235"/>
      <c r="BY196" s="234">
        <f>IFERROR(__xludf.DUMMYFUNCTION("""COMPUTED_VALUE"""),47.852982107355864)</f>
        <v>47.85298211</v>
      </c>
      <c r="BZ196" s="230"/>
      <c r="CA196" s="235">
        <f>IFERROR(__xludf.DUMMYFUNCTION("""COMPUTED_VALUE"""),0.0)</f>
        <v>0</v>
      </c>
      <c r="CB196" s="234"/>
      <c r="CC196" s="230"/>
      <c r="CD196" s="235"/>
      <c r="CE196" s="234"/>
      <c r="CF196" s="230"/>
      <c r="CG196" s="235"/>
      <c r="CH196" s="234"/>
      <c r="CI196" s="230"/>
      <c r="CJ196" s="230"/>
      <c r="CK196" s="234"/>
      <c r="CL196" s="230"/>
      <c r="CM196" s="235"/>
      <c r="CN196" s="230"/>
      <c r="CO196" s="230"/>
      <c r="CP196" s="230"/>
      <c r="CQ196" s="234"/>
      <c r="CR196" s="230"/>
      <c r="CS196" s="230"/>
      <c r="CT196" s="234">
        <f>IFERROR(__xludf.DUMMYFUNCTION("""COMPUTED_VALUE"""),4.545454545454546)</f>
        <v>4.545454545</v>
      </c>
      <c r="CU196" s="230"/>
      <c r="CV196" s="230"/>
      <c r="CW196" s="234">
        <f>IFERROR(__xludf.DUMMYFUNCTION("""COMPUTED_VALUE"""),13.636363636363635)</f>
        <v>13.63636364</v>
      </c>
      <c r="CX196" s="230"/>
      <c r="CY196" s="235"/>
      <c r="CZ196" s="230"/>
      <c r="DA196" s="230"/>
      <c r="DB196" s="235">
        <f>IFERROR(__xludf.DUMMYFUNCTION("""COMPUTED_VALUE"""),15.909090909090908)</f>
        <v>15.90909091</v>
      </c>
      <c r="DC196" s="234"/>
      <c r="DD196" s="230"/>
      <c r="DE196" s="235"/>
      <c r="DF196" s="234"/>
      <c r="DG196" s="230"/>
      <c r="DH196" s="235"/>
      <c r="DI196" s="234"/>
      <c r="DJ196" s="230"/>
      <c r="DK196" s="235"/>
      <c r="DL196" s="317"/>
      <c r="DM196" s="318"/>
      <c r="DN196" s="282"/>
      <c r="DO196" s="96"/>
      <c r="DP196" s="96"/>
      <c r="DQ196" s="96"/>
      <c r="DR196" s="96"/>
      <c r="DS196" s="96"/>
      <c r="DT196" s="96"/>
      <c r="DU196" s="96"/>
    </row>
    <row r="197" ht="16.5" customHeight="1">
      <c r="B197" s="120" t="str">
        <f>IFERROR(__xludf.DUMMYFUNCTION("""COMPUTED_VALUE"""),"GTT2")</f>
        <v>GTT2</v>
      </c>
      <c r="C197" s="88" t="str">
        <f>IFERROR(__xludf.DUMMYFUNCTION("""COMPUTED_VALUE"""),"Thin Ice Hill")</f>
        <v>Thin Ice Hill</v>
      </c>
      <c r="D197" s="102">
        <f>IFERROR(__xludf.DUMMYFUNCTION("""COMPUTED_VALUE"""),20.0)</f>
        <v>20</v>
      </c>
      <c r="E197" s="82" t="b">
        <f>IFERROR(__xludf.DUMMYFUNCTION("""COMPUTED_VALUE"""),TRUE)</f>
        <v>1</v>
      </c>
      <c r="F197" s="82" t="str">
        <f>IFERROR(__xludf.DUMMYFUNCTION("""COMPUTED_VALUE"""),"Free Quests- Part 2!A206:J214")</f>
        <v>Free Quests- Part 2!A206:J214</v>
      </c>
      <c r="G197" s="82">
        <f>IFERROR(__xludf.DUMMYFUNCTION("""COMPUTED_VALUE"""),198.0)</f>
        <v>198</v>
      </c>
      <c r="H197" s="82">
        <f>IFERROR(__xludf.DUMMYFUNCTION("""COMPUTED_VALUE"""),50.0)</f>
        <v>50</v>
      </c>
      <c r="I197" s="82">
        <f>IFERROR(__xludf.DUMMYFUNCTION("""COMPUTED_VALUE"""),4180.0)</f>
        <v>4180</v>
      </c>
      <c r="J197" s="82">
        <f>IFERROR(__xludf.DUMMYFUNCTION("""COMPUTED_VALUE"""),4230.0)</f>
        <v>4230</v>
      </c>
      <c r="K197" s="234"/>
      <c r="L197" s="230"/>
      <c r="M197" s="235"/>
      <c r="N197" s="234"/>
      <c r="O197" s="230"/>
      <c r="P197" s="235"/>
      <c r="Q197" s="234"/>
      <c r="R197" s="230"/>
      <c r="S197" s="235"/>
      <c r="T197" s="234"/>
      <c r="U197" s="230"/>
      <c r="V197" s="235"/>
      <c r="W197" s="234"/>
      <c r="X197" s="230"/>
      <c r="Y197" s="235"/>
      <c r="Z197" s="234"/>
      <c r="AA197" s="230"/>
      <c r="AB197" s="235"/>
      <c r="AC197" s="234">
        <f>IFERROR(__xludf.DUMMYFUNCTION("""COMPUTED_VALUE"""),25.52955082742317)</f>
        <v>25.52955083</v>
      </c>
      <c r="AD197" s="230"/>
      <c r="AE197" s="235"/>
      <c r="AF197" s="234"/>
      <c r="AG197" s="230"/>
      <c r="AH197" s="235"/>
      <c r="AI197" s="234"/>
      <c r="AJ197" s="230"/>
      <c r="AK197" s="235"/>
      <c r="AL197" s="231"/>
      <c r="AM197" s="230"/>
      <c r="AN197" s="235"/>
      <c r="AO197" s="234"/>
      <c r="AP197" s="230">
        <f>IFERROR(__xludf.DUMMYFUNCTION("""COMPUTED_VALUE"""),25.134278959810874)</f>
        <v>25.13427896</v>
      </c>
      <c r="AQ197" s="235"/>
      <c r="AR197" s="234"/>
      <c r="AS197" s="230"/>
      <c r="AT197" s="235"/>
      <c r="AU197" s="234"/>
      <c r="AV197" s="230"/>
      <c r="AW197" s="235"/>
      <c r="AX197" s="234"/>
      <c r="AY197" s="230"/>
      <c r="AZ197" s="235"/>
      <c r="BA197" s="234"/>
      <c r="BB197" s="230"/>
      <c r="BC197" s="235"/>
      <c r="BD197" s="234"/>
      <c r="BE197" s="230"/>
      <c r="BF197" s="235"/>
      <c r="BG197" s="234"/>
      <c r="BH197" s="230"/>
      <c r="BI197" s="235"/>
      <c r="BJ197" s="234"/>
      <c r="BK197" s="230"/>
      <c r="BL197" s="235"/>
      <c r="BM197" s="234"/>
      <c r="BN197" s="230"/>
      <c r="BO197" s="235"/>
      <c r="BP197" s="234"/>
      <c r="BQ197" s="230"/>
      <c r="BR197" s="235"/>
      <c r="BS197" s="234">
        <f>IFERROR(__xludf.DUMMYFUNCTION("""COMPUTED_VALUE"""),24.461898294854386)</f>
        <v>24.46189829</v>
      </c>
      <c r="BT197" s="230"/>
      <c r="BU197" s="235"/>
      <c r="BV197" s="234"/>
      <c r="BW197" s="230"/>
      <c r="BX197" s="235"/>
      <c r="BY197" s="234">
        <f>IFERROR(__xludf.DUMMYFUNCTION("""COMPUTED_VALUE"""),30.908435189376792)</f>
        <v>30.90843519</v>
      </c>
      <c r="BZ197" s="230"/>
      <c r="CA197" s="235"/>
      <c r="CB197" s="234"/>
      <c r="CC197" s="230"/>
      <c r="CD197" s="235"/>
      <c r="CE197" s="234"/>
      <c r="CF197" s="230"/>
      <c r="CG197" s="235"/>
      <c r="CH197" s="234"/>
      <c r="CI197" s="230"/>
      <c r="CJ197" s="230"/>
      <c r="CK197" s="234"/>
      <c r="CL197" s="230"/>
      <c r="CM197" s="235"/>
      <c r="CN197" s="230"/>
      <c r="CO197" s="230"/>
      <c r="CP197" s="230"/>
      <c r="CQ197" s="234"/>
      <c r="CR197" s="230"/>
      <c r="CS197" s="230"/>
      <c r="CT197" s="234"/>
      <c r="CU197" s="230"/>
      <c r="CV197" s="230"/>
      <c r="CW197" s="234"/>
      <c r="CX197" s="230"/>
      <c r="CY197" s="235"/>
      <c r="CZ197" s="230"/>
      <c r="DA197" s="230"/>
      <c r="DB197" s="235">
        <f>IFERROR(__xludf.DUMMYFUNCTION("""COMPUTED_VALUE"""),14.634146341463413)</f>
        <v>14.63414634</v>
      </c>
      <c r="DC197" s="234"/>
      <c r="DD197" s="230"/>
      <c r="DE197" s="235"/>
      <c r="DF197" s="234"/>
      <c r="DG197" s="230"/>
      <c r="DH197" s="235"/>
      <c r="DI197" s="234"/>
      <c r="DJ197" s="230"/>
      <c r="DK197" s="235">
        <f>IFERROR(__xludf.DUMMYFUNCTION("""COMPUTED_VALUE"""),19.51219512195122)</f>
        <v>19.51219512</v>
      </c>
      <c r="DL197" s="334"/>
      <c r="DM197" s="335"/>
      <c r="DN197" s="336"/>
      <c r="DO197" s="96"/>
      <c r="DP197" s="96"/>
      <c r="DQ197" s="96"/>
      <c r="DR197" s="96"/>
      <c r="DS197" s="96"/>
      <c r="DT197" s="96"/>
      <c r="DU197" s="96"/>
    </row>
    <row r="198" ht="16.5" customHeight="1">
      <c r="B198" s="120" t="str">
        <f>IFERROR(__xludf.DUMMYFUNCTION("""COMPUTED_VALUE"""),"GTT3")</f>
        <v>GTT3</v>
      </c>
      <c r="C198" s="88" t="str">
        <f>IFERROR(__xludf.DUMMYFUNCTION("""COMPUTED_VALUE"""),"Giant's Flower Garden")</f>
        <v>Giant's Flower Garden</v>
      </c>
      <c r="D198" s="102">
        <f>IFERROR(__xludf.DUMMYFUNCTION("""COMPUTED_VALUE"""),20.0)</f>
        <v>20</v>
      </c>
      <c r="E198" s="82" t="b">
        <f>IFERROR(__xludf.DUMMYFUNCTION("""COMPUTED_VALUE"""),TRUE)</f>
        <v>1</v>
      </c>
      <c r="F198" s="82" t="str">
        <f>IFERROR(__xludf.DUMMYFUNCTION("""COMPUTED_VALUE"""),"Free Quests- Part 2!A218:J225")</f>
        <v>Free Quests- Part 2!A218:J225</v>
      </c>
      <c r="G198" s="82">
        <f>IFERROR(__xludf.DUMMYFUNCTION("""COMPUTED_VALUE"""),199.0)</f>
        <v>199</v>
      </c>
      <c r="H198" s="82">
        <f>IFERROR(__xludf.DUMMYFUNCTION("""COMPUTED_VALUE"""),1315.0)</f>
        <v>1315</v>
      </c>
      <c r="I198" s="82">
        <f>IFERROR(__xludf.DUMMYFUNCTION("""COMPUTED_VALUE"""),13798.0)</f>
        <v>13798</v>
      </c>
      <c r="J198" s="82">
        <f>IFERROR(__xludf.DUMMYFUNCTION("""COMPUTED_VALUE"""),15113.0)</f>
        <v>15113</v>
      </c>
      <c r="K198" s="234"/>
      <c r="L198" s="230"/>
      <c r="M198" s="235"/>
      <c r="N198" s="234"/>
      <c r="O198" s="230"/>
      <c r="P198" s="235"/>
      <c r="Q198" s="234"/>
      <c r="R198" s="230"/>
      <c r="S198" s="235"/>
      <c r="T198" s="234"/>
      <c r="U198" s="230"/>
      <c r="V198" s="235"/>
      <c r="W198" s="234"/>
      <c r="X198" s="230"/>
      <c r="Y198" s="235"/>
      <c r="Z198" s="234"/>
      <c r="AA198" s="230"/>
      <c r="AB198" s="235"/>
      <c r="AC198" s="234"/>
      <c r="AD198" s="230"/>
      <c r="AE198" s="235"/>
      <c r="AF198" s="234"/>
      <c r="AG198" s="230"/>
      <c r="AH198" s="235"/>
      <c r="AI198" s="234"/>
      <c r="AJ198" s="230"/>
      <c r="AK198" s="235"/>
      <c r="AL198" s="231"/>
      <c r="AM198" s="230"/>
      <c r="AN198" s="235"/>
      <c r="AO198" s="234"/>
      <c r="AP198" s="230">
        <f>IFERROR(__xludf.DUMMYFUNCTION("""COMPUTED_VALUE"""),40.64570899225833)</f>
        <v>40.64570899</v>
      </c>
      <c r="AQ198" s="235"/>
      <c r="AR198" s="234"/>
      <c r="AS198" s="230"/>
      <c r="AT198" s="235"/>
      <c r="AU198" s="234"/>
      <c r="AV198" s="230"/>
      <c r="AW198" s="235"/>
      <c r="AX198" s="234"/>
      <c r="AY198" s="230"/>
      <c r="AZ198" s="235"/>
      <c r="BA198" s="234"/>
      <c r="BB198" s="230"/>
      <c r="BC198" s="235"/>
      <c r="BD198" s="234"/>
      <c r="BE198" s="230"/>
      <c r="BF198" s="235"/>
      <c r="BG198" s="234"/>
      <c r="BH198" s="230"/>
      <c r="BI198" s="235"/>
      <c r="BJ198" s="234"/>
      <c r="BK198" s="230"/>
      <c r="BL198" s="235"/>
      <c r="BM198" s="234"/>
      <c r="BN198" s="230"/>
      <c r="BO198" s="235"/>
      <c r="BP198" s="234"/>
      <c r="BQ198" s="230"/>
      <c r="BR198" s="235"/>
      <c r="BS198" s="234">
        <f>IFERROR(__xludf.DUMMYFUNCTION("""COMPUTED_VALUE"""),43.92343626016176)</f>
        <v>43.92343626</v>
      </c>
      <c r="BT198" s="230"/>
      <c r="BU198" s="235"/>
      <c r="BV198" s="234"/>
      <c r="BW198" s="230"/>
      <c r="BX198" s="235"/>
      <c r="BY198" s="234"/>
      <c r="BZ198" s="230"/>
      <c r="CA198" s="235"/>
      <c r="CB198" s="234"/>
      <c r="CC198" s="230"/>
      <c r="CD198" s="235"/>
      <c r="CE198" s="234"/>
      <c r="CF198" s="230"/>
      <c r="CG198" s="235"/>
      <c r="CH198" s="234"/>
      <c r="CI198" s="230"/>
      <c r="CJ198" s="230"/>
      <c r="CK198" s="234"/>
      <c r="CL198" s="230"/>
      <c r="CM198" s="235"/>
      <c r="CN198" s="230"/>
      <c r="CO198" s="230"/>
      <c r="CP198" s="230"/>
      <c r="CQ198" s="234"/>
      <c r="CR198" s="230"/>
      <c r="CS198" s="230"/>
      <c r="CT198" s="234"/>
      <c r="CU198" s="230"/>
      <c r="CV198" s="230"/>
      <c r="CW198" s="234"/>
      <c r="CX198" s="230"/>
      <c r="CY198" s="235"/>
      <c r="CZ198" s="230"/>
      <c r="DA198" s="230"/>
      <c r="DB198" s="235"/>
      <c r="DC198" s="234">
        <f>IFERROR(__xludf.DUMMYFUNCTION("""COMPUTED_VALUE"""),17.535545023696685)</f>
        <v>17.53554502</v>
      </c>
      <c r="DD198" s="230"/>
      <c r="DE198" s="235"/>
      <c r="DF198" s="234"/>
      <c r="DG198" s="230"/>
      <c r="DH198" s="235"/>
      <c r="DI198" s="234"/>
      <c r="DJ198" s="230"/>
      <c r="DK198" s="235">
        <f>IFERROR(__xludf.DUMMYFUNCTION("""COMPUTED_VALUE"""),16.113744075829384)</f>
        <v>16.11374408</v>
      </c>
      <c r="DL198" s="317"/>
      <c r="DM198" s="318"/>
      <c r="DN198" s="282"/>
      <c r="DO198" s="96"/>
      <c r="DP198" s="96"/>
      <c r="DQ198" s="96"/>
      <c r="DR198" s="96"/>
      <c r="DS198" s="96"/>
      <c r="DT198" s="96"/>
      <c r="DU198" s="96"/>
    </row>
    <row r="199" ht="16.5" customHeight="1">
      <c r="B199" s="120" t="str">
        <f>IFERROR(__xludf.DUMMYFUNCTION("""COMPUTED_VALUE"""),"GTT4")</f>
        <v>GTT4</v>
      </c>
      <c r="C199" s="88" t="str">
        <f>IFERROR(__xludf.DUMMYFUNCTION("""COMPUTED_VALUE"""),"Village 23")</f>
        <v>Village 23</v>
      </c>
      <c r="D199" s="102">
        <f>IFERROR(__xludf.DUMMYFUNCTION("""COMPUTED_VALUE"""),21.0)</f>
        <v>21</v>
      </c>
      <c r="E199" s="82" t="b">
        <f>IFERROR(__xludf.DUMMYFUNCTION("""COMPUTED_VALUE"""),TRUE)</f>
        <v>1</v>
      </c>
      <c r="F199" s="82" t="str">
        <f>IFERROR(__xludf.DUMMYFUNCTION("""COMPUTED_VALUE"""),"Free Quests- Part 2!A229:J238")</f>
        <v>Free Quests- Part 2!A229:J238</v>
      </c>
      <c r="G199" s="82">
        <f>IFERROR(__xludf.DUMMYFUNCTION("""COMPUTED_VALUE"""),200.0)</f>
        <v>200</v>
      </c>
      <c r="H199" s="82">
        <f>IFERROR(__xludf.DUMMYFUNCTION("""COMPUTED_VALUE"""),230.0)</f>
        <v>230</v>
      </c>
      <c r="I199" s="82">
        <f>IFERROR(__xludf.DUMMYFUNCTION("""COMPUTED_VALUE"""),1100.0)</f>
        <v>1100</v>
      </c>
      <c r="J199" s="82">
        <f>IFERROR(__xludf.DUMMYFUNCTION("""COMPUTED_VALUE"""),1330.0)</f>
        <v>1330</v>
      </c>
      <c r="K199" s="234"/>
      <c r="L199" s="230"/>
      <c r="M199" s="235"/>
      <c r="N199" s="234"/>
      <c r="O199" s="230"/>
      <c r="P199" s="235"/>
      <c r="Q199" s="234"/>
      <c r="R199" s="230"/>
      <c r="S199" s="235"/>
      <c r="T199" s="234"/>
      <c r="U199" s="230"/>
      <c r="V199" s="235"/>
      <c r="W199" s="234"/>
      <c r="X199" s="230"/>
      <c r="Y199" s="235"/>
      <c r="Z199" s="234"/>
      <c r="AA199" s="230"/>
      <c r="AB199" s="235"/>
      <c r="AC199" s="234">
        <f>IFERROR(__xludf.DUMMYFUNCTION("""COMPUTED_VALUE"""),25.50375939849624)</f>
        <v>25.5037594</v>
      </c>
      <c r="AD199" s="230"/>
      <c r="AE199" s="235"/>
      <c r="AF199" s="234"/>
      <c r="AG199" s="230"/>
      <c r="AH199" s="235"/>
      <c r="AI199" s="234"/>
      <c r="AJ199" s="230"/>
      <c r="AK199" s="235"/>
      <c r="AL199" s="231"/>
      <c r="AM199" s="230"/>
      <c r="AN199" s="235"/>
      <c r="AO199" s="234"/>
      <c r="AP199" s="230"/>
      <c r="AQ199" s="235">
        <f>IFERROR(__xludf.DUMMYFUNCTION("""COMPUTED_VALUE"""),24.1203007518797)</f>
        <v>24.12030075</v>
      </c>
      <c r="AR199" s="234"/>
      <c r="AS199" s="230"/>
      <c r="AT199" s="235"/>
      <c r="AU199" s="234"/>
      <c r="AV199" s="230"/>
      <c r="AW199" s="235"/>
      <c r="AX199" s="234"/>
      <c r="AY199" s="230"/>
      <c r="AZ199" s="235"/>
      <c r="BA199" s="234"/>
      <c r="BB199" s="230"/>
      <c r="BC199" s="235"/>
      <c r="BD199" s="234"/>
      <c r="BE199" s="230"/>
      <c r="BF199" s="235"/>
      <c r="BG199" s="234"/>
      <c r="BH199" s="230"/>
      <c r="BI199" s="235"/>
      <c r="BJ199" s="234"/>
      <c r="BK199" s="230"/>
      <c r="BL199" s="235"/>
      <c r="BM199" s="234"/>
      <c r="BN199" s="230"/>
      <c r="BO199" s="235"/>
      <c r="BP199" s="234">
        <f>IFERROR(__xludf.DUMMYFUNCTION("""COMPUTED_VALUE"""),24.701244261095216)</f>
        <v>24.70124426</v>
      </c>
      <c r="BQ199" s="230"/>
      <c r="BR199" s="235"/>
      <c r="BS199" s="234"/>
      <c r="BT199" s="230"/>
      <c r="BU199" s="235"/>
      <c r="BV199" s="234"/>
      <c r="BW199" s="230"/>
      <c r="BX199" s="235"/>
      <c r="BY199" s="234">
        <f>IFERROR(__xludf.DUMMYFUNCTION("""COMPUTED_VALUE"""),30.462040055891944)</f>
        <v>30.46204006</v>
      </c>
      <c r="BZ199" s="230"/>
      <c r="CA199" s="235"/>
      <c r="CB199" s="234"/>
      <c r="CC199" s="230"/>
      <c r="CD199" s="235"/>
      <c r="CE199" s="234"/>
      <c r="CF199" s="230"/>
      <c r="CG199" s="235"/>
      <c r="CH199" s="234"/>
      <c r="CI199" s="230"/>
      <c r="CJ199" s="230"/>
      <c r="CK199" s="234"/>
      <c r="CL199" s="230"/>
      <c r="CM199" s="235"/>
      <c r="CN199" s="230"/>
      <c r="CO199" s="230"/>
      <c r="CP199" s="230"/>
      <c r="CQ199" s="234"/>
      <c r="CR199" s="230"/>
      <c r="CS199" s="230"/>
      <c r="CT199" s="234"/>
      <c r="CU199" s="230"/>
      <c r="CV199" s="230"/>
      <c r="CW199" s="234"/>
      <c r="CX199" s="230"/>
      <c r="CY199" s="235"/>
      <c r="CZ199" s="230">
        <f>IFERROR(__xludf.DUMMYFUNCTION("""COMPUTED_VALUE"""),24.65753424657534)</f>
        <v>24.65753425</v>
      </c>
      <c r="DA199" s="230"/>
      <c r="DB199" s="235">
        <f>IFERROR(__xludf.DUMMYFUNCTION("""COMPUTED_VALUE"""),21.363636363636363)</f>
        <v>21.36363636</v>
      </c>
      <c r="DC199" s="234"/>
      <c r="DD199" s="230"/>
      <c r="DE199" s="235"/>
      <c r="DF199" s="234"/>
      <c r="DG199" s="230"/>
      <c r="DH199" s="235"/>
      <c r="DI199" s="234"/>
      <c r="DJ199" s="230"/>
      <c r="DK199" s="235"/>
      <c r="DL199" s="334"/>
      <c r="DM199" s="335"/>
      <c r="DN199" s="336"/>
      <c r="DO199" s="96"/>
      <c r="DP199" s="96"/>
      <c r="DQ199" s="96"/>
      <c r="DR199" s="96"/>
      <c r="DS199" s="96"/>
      <c r="DT199" s="96"/>
      <c r="DU199" s="96"/>
    </row>
    <row r="200" ht="16.5" customHeight="1">
      <c r="B200" s="120" t="str">
        <f>IFERROR(__xludf.DUMMYFUNCTION("""COMPUTED_VALUE"""),"GTT5")</f>
        <v>GTT5</v>
      </c>
      <c r="C200" s="88" t="str">
        <f>IFERROR(__xludf.DUMMYFUNCTION("""COMPUTED_VALUE"""),"Hero's Lair")</f>
        <v>Hero's Lair</v>
      </c>
      <c r="D200" s="102">
        <f>IFERROR(__xludf.DUMMYFUNCTION("""COMPUTED_VALUE"""),21.0)</f>
        <v>21</v>
      </c>
      <c r="E200" s="82" t="b">
        <f>IFERROR(__xludf.DUMMYFUNCTION("""COMPUTED_VALUE"""),TRUE)</f>
        <v>1</v>
      </c>
      <c r="F200" s="82" t="str">
        <f>IFERROR(__xludf.DUMMYFUNCTION("""COMPUTED_VALUE"""),"Free Quests- Part 2!A242:J251")</f>
        <v>Free Quests- Part 2!A242:J251</v>
      </c>
      <c r="G200" s="82">
        <f>IFERROR(__xludf.DUMMYFUNCTION("""COMPUTED_VALUE"""),201.0)</f>
        <v>201</v>
      </c>
      <c r="H200" s="82">
        <f>IFERROR(__xludf.DUMMYFUNCTION("""COMPUTED_VALUE"""),49.0)</f>
        <v>49</v>
      </c>
      <c r="I200" s="82">
        <f>IFERROR(__xludf.DUMMYFUNCTION("""COMPUTED_VALUE"""),8524.0)</f>
        <v>8524</v>
      </c>
      <c r="J200" s="82">
        <f>IFERROR(__xludf.DUMMYFUNCTION("""COMPUTED_VALUE"""),8573.0)</f>
        <v>8573</v>
      </c>
      <c r="K200" s="234"/>
      <c r="L200" s="230"/>
      <c r="M200" s="235"/>
      <c r="N200" s="234"/>
      <c r="O200" s="230"/>
      <c r="P200" s="235"/>
      <c r="Q200" s="234"/>
      <c r="R200" s="230"/>
      <c r="S200" s="235"/>
      <c r="T200" s="234"/>
      <c r="U200" s="230"/>
      <c r="V200" s="235"/>
      <c r="W200" s="234"/>
      <c r="X200" s="230"/>
      <c r="Y200" s="235"/>
      <c r="Z200" s="234"/>
      <c r="AA200" s="230"/>
      <c r="AB200" s="235"/>
      <c r="AC200" s="234"/>
      <c r="AD200" s="230"/>
      <c r="AE200" s="235">
        <f>IFERROR(__xludf.DUMMYFUNCTION("""COMPUTED_VALUE"""),24.833220576227692)</f>
        <v>24.83322058</v>
      </c>
      <c r="AF200" s="234"/>
      <c r="AG200" s="230"/>
      <c r="AH200" s="235"/>
      <c r="AI200" s="234"/>
      <c r="AJ200" s="230"/>
      <c r="AK200" s="235"/>
      <c r="AL200" s="231"/>
      <c r="AM200" s="230"/>
      <c r="AN200" s="235"/>
      <c r="AO200" s="234"/>
      <c r="AP200" s="230">
        <f>IFERROR(__xludf.DUMMYFUNCTION("""COMPUTED_VALUE"""),25.535331855826435)</f>
        <v>25.53533186</v>
      </c>
      <c r="AQ200" s="235"/>
      <c r="AR200" s="234"/>
      <c r="AS200" s="230"/>
      <c r="AT200" s="235"/>
      <c r="AU200" s="234"/>
      <c r="AV200" s="230"/>
      <c r="AW200" s="235"/>
      <c r="AX200" s="234"/>
      <c r="AY200" s="230"/>
      <c r="AZ200" s="235"/>
      <c r="BA200" s="234"/>
      <c r="BB200" s="230"/>
      <c r="BC200" s="235"/>
      <c r="BD200" s="234"/>
      <c r="BE200" s="230"/>
      <c r="BF200" s="235"/>
      <c r="BG200" s="234"/>
      <c r="BH200" s="230"/>
      <c r="BI200" s="235"/>
      <c r="BJ200" s="234"/>
      <c r="BK200" s="230"/>
      <c r="BL200" s="235">
        <f>IFERROR(__xludf.DUMMYFUNCTION("""COMPUTED_VALUE"""),4.884418726132093)</f>
        <v>4.884418726</v>
      </c>
      <c r="BM200" s="234"/>
      <c r="BN200" s="230"/>
      <c r="BO200" s="235"/>
      <c r="BP200" s="234"/>
      <c r="BQ200" s="230"/>
      <c r="BR200" s="235"/>
      <c r="BS200" s="234">
        <f>IFERROR(__xludf.DUMMYFUNCTION("""COMPUTED_VALUE"""),31.183201050821843)</f>
        <v>31.18320105</v>
      </c>
      <c r="BT200" s="230"/>
      <c r="BU200" s="235"/>
      <c r="BV200" s="234"/>
      <c r="BW200" s="230"/>
      <c r="BX200" s="235"/>
      <c r="BY200" s="234"/>
      <c r="BZ200" s="230"/>
      <c r="CA200" s="235"/>
      <c r="CB200" s="234"/>
      <c r="CC200" s="230"/>
      <c r="CD200" s="235"/>
      <c r="CE200" s="234"/>
      <c r="CF200" s="230"/>
      <c r="CG200" s="235"/>
      <c r="CH200" s="234"/>
      <c r="CI200" s="230"/>
      <c r="CJ200" s="230"/>
      <c r="CK200" s="234"/>
      <c r="CL200" s="230"/>
      <c r="CM200" s="235"/>
      <c r="CN200" s="230"/>
      <c r="CO200" s="230"/>
      <c r="CP200" s="230"/>
      <c r="CQ200" s="234"/>
      <c r="CR200" s="230"/>
      <c r="CS200" s="230"/>
      <c r="CT200" s="234"/>
      <c r="CU200" s="230"/>
      <c r="CV200" s="230"/>
      <c r="CW200" s="234"/>
      <c r="CX200" s="230"/>
      <c r="CY200" s="235"/>
      <c r="CZ200" s="230"/>
      <c r="DA200" s="230"/>
      <c r="DB200" s="235"/>
      <c r="DC200" s="234">
        <f>IFERROR(__xludf.DUMMYFUNCTION("""COMPUTED_VALUE"""),15.0)</f>
        <v>15</v>
      </c>
      <c r="DD200" s="230"/>
      <c r="DE200" s="235"/>
      <c r="DF200" s="234"/>
      <c r="DG200" s="230"/>
      <c r="DH200" s="235"/>
      <c r="DI200" s="234"/>
      <c r="DJ200" s="230"/>
      <c r="DK200" s="235">
        <f>IFERROR(__xludf.DUMMYFUNCTION("""COMPUTED_VALUE"""),20.0)</f>
        <v>20</v>
      </c>
      <c r="DL200" s="317"/>
      <c r="DM200" s="318"/>
      <c r="DN200" s="282"/>
      <c r="DO200" s="96"/>
      <c r="DP200" s="96"/>
      <c r="DQ200" s="96"/>
      <c r="DR200" s="96"/>
      <c r="DS200" s="96"/>
      <c r="DT200" s="96"/>
      <c r="DU200" s="96"/>
    </row>
    <row r="201" ht="16.5" customHeight="1">
      <c r="B201" s="120" t="str">
        <f>IFERROR(__xludf.DUMMYFUNCTION("""COMPUTED_VALUE"""),"GTT6")</f>
        <v>GTT6</v>
      </c>
      <c r="C201" s="88" t="str">
        <f>IFERROR(__xludf.DUMMYFUNCTION("""COMPUTED_VALUE"""),"Castle of Snow and Ice")</f>
        <v>Castle of Snow and Ice</v>
      </c>
      <c r="D201" s="102">
        <f>IFERROR(__xludf.DUMMYFUNCTION("""COMPUTED_VALUE"""),21.0)</f>
        <v>21</v>
      </c>
      <c r="E201" s="82" t="b">
        <f>IFERROR(__xludf.DUMMYFUNCTION("""COMPUTED_VALUE"""),TRUE)</f>
        <v>1</v>
      </c>
      <c r="F201" s="82" t="str">
        <f>IFERROR(__xludf.DUMMYFUNCTION("""COMPUTED_VALUE"""),"Free Quests- Part 2!A255:J260")</f>
        <v>Free Quests- Part 2!A255:J260</v>
      </c>
      <c r="G201" s="82">
        <f>IFERROR(__xludf.DUMMYFUNCTION("""COMPUTED_VALUE"""),202.0)</f>
        <v>202</v>
      </c>
      <c r="H201" s="82">
        <f>IFERROR(__xludf.DUMMYFUNCTION("""COMPUTED_VALUE"""),4174.0)</f>
        <v>4174</v>
      </c>
      <c r="I201" s="82">
        <f>IFERROR(__xludf.DUMMYFUNCTION("""COMPUTED_VALUE"""),11330.0)</f>
        <v>11330</v>
      </c>
      <c r="J201" s="82">
        <f>IFERROR(__xludf.DUMMYFUNCTION("""COMPUTED_VALUE"""),15504.0)</f>
        <v>15504</v>
      </c>
      <c r="K201" s="234"/>
      <c r="L201" s="230"/>
      <c r="M201" s="235"/>
      <c r="N201" s="234"/>
      <c r="O201" s="230"/>
      <c r="P201" s="235"/>
      <c r="Q201" s="234"/>
      <c r="R201" s="230"/>
      <c r="S201" s="235"/>
      <c r="T201" s="234"/>
      <c r="U201" s="230"/>
      <c r="V201" s="235"/>
      <c r="W201" s="234"/>
      <c r="X201" s="230"/>
      <c r="Y201" s="235"/>
      <c r="Z201" s="234"/>
      <c r="AA201" s="230"/>
      <c r="AB201" s="235"/>
      <c r="AC201" s="234"/>
      <c r="AD201" s="230"/>
      <c r="AE201" s="235"/>
      <c r="AF201" s="234"/>
      <c r="AG201" s="230"/>
      <c r="AH201" s="235"/>
      <c r="AI201" s="234"/>
      <c r="AJ201" s="230"/>
      <c r="AK201" s="235"/>
      <c r="AL201" s="231"/>
      <c r="AM201" s="230"/>
      <c r="AN201" s="235"/>
      <c r="AO201" s="234"/>
      <c r="AP201" s="230"/>
      <c r="AQ201" s="235">
        <f>IFERROR(__xludf.DUMMYFUNCTION("""COMPUTED_VALUE"""),39.08688080495356)</f>
        <v>39.0868808</v>
      </c>
      <c r="AR201" s="234"/>
      <c r="AS201" s="230"/>
      <c r="AT201" s="235"/>
      <c r="AU201" s="234"/>
      <c r="AV201" s="230"/>
      <c r="AW201" s="235"/>
      <c r="AX201" s="234"/>
      <c r="AY201" s="230"/>
      <c r="AZ201" s="235"/>
      <c r="BA201" s="234"/>
      <c r="BB201" s="230"/>
      <c r="BC201" s="235"/>
      <c r="BD201" s="234"/>
      <c r="BE201" s="230"/>
      <c r="BF201" s="235"/>
      <c r="BG201" s="234"/>
      <c r="BH201" s="230"/>
      <c r="BI201" s="235"/>
      <c r="BJ201" s="234"/>
      <c r="BK201" s="230"/>
      <c r="BL201" s="235"/>
      <c r="BM201" s="234"/>
      <c r="BN201" s="230"/>
      <c r="BO201" s="235"/>
      <c r="BP201" s="234">
        <f>IFERROR(__xludf.DUMMYFUNCTION("""COMPUTED_VALUE"""),45.873594775509794)</f>
        <v>45.87359478</v>
      </c>
      <c r="BQ201" s="230"/>
      <c r="BR201" s="235"/>
      <c r="BS201" s="234"/>
      <c r="BT201" s="230"/>
      <c r="BU201" s="235"/>
      <c r="BV201" s="234"/>
      <c r="BW201" s="230"/>
      <c r="BX201" s="235"/>
      <c r="BY201" s="234"/>
      <c r="BZ201" s="230"/>
      <c r="CA201" s="235"/>
      <c r="CB201" s="234"/>
      <c r="CC201" s="230"/>
      <c r="CD201" s="235"/>
      <c r="CE201" s="234"/>
      <c r="CF201" s="230"/>
      <c r="CG201" s="235"/>
      <c r="CH201" s="234"/>
      <c r="CI201" s="230"/>
      <c r="CJ201" s="230"/>
      <c r="CK201" s="234"/>
      <c r="CL201" s="230"/>
      <c r="CM201" s="235"/>
      <c r="CN201" s="230"/>
      <c r="CO201" s="230"/>
      <c r="CP201" s="230"/>
      <c r="CQ201" s="234"/>
      <c r="CR201" s="230"/>
      <c r="CS201" s="230"/>
      <c r="CT201" s="234"/>
      <c r="CU201" s="230"/>
      <c r="CV201" s="230"/>
      <c r="CW201" s="234"/>
      <c r="CX201" s="230"/>
      <c r="CY201" s="235"/>
      <c r="CZ201" s="230">
        <f>IFERROR(__xludf.DUMMYFUNCTION("""COMPUTED_VALUE"""),45.018769852728845)</f>
        <v>45.01876985</v>
      </c>
      <c r="DA201" s="230"/>
      <c r="DB201" s="235"/>
      <c r="DC201" s="234"/>
      <c r="DD201" s="230"/>
      <c r="DE201" s="235"/>
      <c r="DF201" s="234"/>
      <c r="DG201" s="230"/>
      <c r="DH201" s="235"/>
      <c r="DI201" s="234"/>
      <c r="DJ201" s="230"/>
      <c r="DK201" s="235"/>
      <c r="DL201" s="334"/>
      <c r="DM201" s="335"/>
      <c r="DN201" s="336"/>
      <c r="DO201" s="96"/>
      <c r="DP201" s="96"/>
      <c r="DQ201" s="96"/>
      <c r="DR201" s="96"/>
      <c r="DS201" s="96"/>
      <c r="DT201" s="96"/>
      <c r="DU201" s="96"/>
    </row>
    <row r="202" ht="16.5" customHeight="1">
      <c r="B202" s="120" t="str">
        <f>IFERROR(__xludf.DUMMYFUNCTION("""COMPUTED_VALUE"""),"GTT7")</f>
        <v>GTT7</v>
      </c>
      <c r="C202" s="88" t="str">
        <f>IFERROR(__xludf.DUMMYFUNCTION("""COMPUTED_VALUE"""),"Road to the End")</f>
        <v>Road to the End</v>
      </c>
      <c r="D202" s="102">
        <f>IFERROR(__xludf.DUMMYFUNCTION("""COMPUTED_VALUE"""),21.0)</f>
        <v>21</v>
      </c>
      <c r="E202" s="82" t="b">
        <f>IFERROR(__xludf.DUMMYFUNCTION("""COMPUTED_VALUE"""),TRUE)</f>
        <v>1</v>
      </c>
      <c r="F202" s="82" t="str">
        <f>IFERROR(__xludf.DUMMYFUNCTION("""COMPUTED_VALUE"""),"Free Quests- Part 2!A264:J273")</f>
        <v>Free Quests- Part 2!A264:J273</v>
      </c>
      <c r="G202" s="82">
        <f>IFERROR(__xludf.DUMMYFUNCTION("""COMPUTED_VALUE"""),203.0)</f>
        <v>203</v>
      </c>
      <c r="H202" s="82">
        <f>IFERROR(__xludf.DUMMYFUNCTION("""COMPUTED_VALUE"""),52.0)</f>
        <v>52</v>
      </c>
      <c r="I202" s="82">
        <f>IFERROR(__xludf.DUMMYFUNCTION("""COMPUTED_VALUE"""),16351.0)</f>
        <v>16351</v>
      </c>
      <c r="J202" s="82">
        <f>IFERROR(__xludf.DUMMYFUNCTION("""COMPUTED_VALUE"""),16403.0)</f>
        <v>16403</v>
      </c>
      <c r="K202" s="234"/>
      <c r="L202" s="230"/>
      <c r="M202" s="235"/>
      <c r="N202" s="234"/>
      <c r="O202" s="230"/>
      <c r="P202" s="235"/>
      <c r="Q202" s="234"/>
      <c r="R202" s="230"/>
      <c r="S202" s="235"/>
      <c r="T202" s="234">
        <f>IFERROR(__xludf.DUMMYFUNCTION("""COMPUTED_VALUE"""),17.692659779607386)</f>
        <v>17.69265978</v>
      </c>
      <c r="U202" s="230"/>
      <c r="V202" s="235"/>
      <c r="W202" s="234"/>
      <c r="X202" s="230"/>
      <c r="Y202" s="235"/>
      <c r="Z202" s="234"/>
      <c r="AA202" s="230"/>
      <c r="AB202" s="235"/>
      <c r="AC202" s="234"/>
      <c r="AD202" s="230"/>
      <c r="AE202" s="235"/>
      <c r="AF202" s="234"/>
      <c r="AG202" s="230"/>
      <c r="AH202" s="235"/>
      <c r="AI202" s="234"/>
      <c r="AJ202" s="230"/>
      <c r="AK202" s="235"/>
      <c r="AL202" s="231"/>
      <c r="AM202" s="230"/>
      <c r="AN202" s="235"/>
      <c r="AO202" s="234"/>
      <c r="AP202" s="230">
        <f>IFERROR(__xludf.DUMMYFUNCTION("""COMPUTED_VALUE"""),24.782344693043953)</f>
        <v>24.78234469</v>
      </c>
      <c r="AQ202" s="235"/>
      <c r="AR202" s="234"/>
      <c r="AS202" s="230"/>
      <c r="AT202" s="235"/>
      <c r="AU202" s="234"/>
      <c r="AV202" s="230"/>
      <c r="AW202" s="235"/>
      <c r="AX202" s="234"/>
      <c r="AY202" s="230"/>
      <c r="AZ202" s="235"/>
      <c r="BA202" s="234"/>
      <c r="BB202" s="230"/>
      <c r="BC202" s="235"/>
      <c r="BD202" s="234"/>
      <c r="BE202" s="230"/>
      <c r="BF202" s="235"/>
      <c r="BG202" s="234"/>
      <c r="BH202" s="230"/>
      <c r="BI202" s="235"/>
      <c r="BJ202" s="234"/>
      <c r="BK202" s="230"/>
      <c r="BL202" s="235"/>
      <c r="BM202" s="234"/>
      <c r="BN202" s="230"/>
      <c r="BO202" s="235"/>
      <c r="BP202" s="234"/>
      <c r="BQ202" s="230"/>
      <c r="BR202" s="235">
        <f>IFERROR(__xludf.DUMMYFUNCTION("""COMPUTED_VALUE"""),8.386310119975564)</f>
        <v>8.38631012</v>
      </c>
      <c r="BS202" s="234">
        <f>IFERROR(__xludf.DUMMYFUNCTION("""COMPUTED_VALUE"""),40.43366830607144)</f>
        <v>40.43366831</v>
      </c>
      <c r="BT202" s="230"/>
      <c r="BU202" s="235"/>
      <c r="BV202" s="234"/>
      <c r="BW202" s="230"/>
      <c r="BX202" s="235"/>
      <c r="BY202" s="234"/>
      <c r="BZ202" s="230"/>
      <c r="CA202" s="235"/>
      <c r="CB202" s="234"/>
      <c r="CC202" s="230"/>
      <c r="CD202" s="235"/>
      <c r="CE202" s="234"/>
      <c r="CF202" s="230"/>
      <c r="CG202" s="235"/>
      <c r="CH202" s="234"/>
      <c r="CI202" s="230"/>
      <c r="CJ202" s="230"/>
      <c r="CK202" s="234"/>
      <c r="CL202" s="230"/>
      <c r="CM202" s="235"/>
      <c r="CN202" s="230"/>
      <c r="CO202" s="230"/>
      <c r="CP202" s="230"/>
      <c r="CQ202" s="234"/>
      <c r="CR202" s="230"/>
      <c r="CS202" s="230"/>
      <c r="CT202" s="234">
        <f>IFERROR(__xludf.DUMMYFUNCTION("""COMPUTED_VALUE"""),9.30232558139535)</f>
        <v>9.302325581</v>
      </c>
      <c r="CU202" s="230"/>
      <c r="CV202" s="230"/>
      <c r="CW202" s="234"/>
      <c r="CX202" s="230"/>
      <c r="CY202" s="235"/>
      <c r="CZ202" s="230"/>
      <c r="DA202" s="230"/>
      <c r="DB202" s="235"/>
      <c r="DC202" s="234">
        <f>IFERROR(__xludf.DUMMYFUNCTION("""COMPUTED_VALUE"""),23.25581395348837)</f>
        <v>23.25581395</v>
      </c>
      <c r="DD202" s="230"/>
      <c r="DE202" s="235"/>
      <c r="DF202" s="234"/>
      <c r="DG202" s="230"/>
      <c r="DH202" s="235"/>
      <c r="DI202" s="234"/>
      <c r="DJ202" s="230"/>
      <c r="DK202" s="235"/>
      <c r="DL202" s="317"/>
      <c r="DM202" s="318"/>
      <c r="DN202" s="282"/>
      <c r="DO202" s="96"/>
      <c r="DP202" s="96"/>
      <c r="DQ202" s="96"/>
      <c r="DR202" s="96"/>
      <c r="DS202" s="96"/>
      <c r="DT202" s="96"/>
      <c r="DU202" s="96"/>
    </row>
    <row r="203" ht="16.5" customHeight="1">
      <c r="B203" s="120" t="str">
        <f>IFERROR(__xludf.DUMMYFUNCTION("""COMPUTED_VALUE"""),"GTT8")</f>
        <v>GTT8</v>
      </c>
      <c r="C203" s="88" t="str">
        <f>IFERROR(__xludf.DUMMYFUNCTION("""COMPUTED_VALUE"""),"Flaming Mansion")</f>
        <v>Flaming Mansion</v>
      </c>
      <c r="D203" s="102">
        <f>IFERROR(__xludf.DUMMYFUNCTION("""COMPUTED_VALUE"""),21.0)</f>
        <v>21</v>
      </c>
      <c r="E203" s="82" t="b">
        <f>IFERROR(__xludf.DUMMYFUNCTION("""COMPUTED_VALUE"""),TRUE)</f>
        <v>1</v>
      </c>
      <c r="F203" s="82" t="str">
        <f>IFERROR(__xludf.DUMMYFUNCTION("""COMPUTED_VALUE"""),"Free Quests- Part 2!A277:J286")</f>
        <v>Free Quests- Part 2!A277:J286</v>
      </c>
      <c r="G203" s="82">
        <f>IFERROR(__xludf.DUMMYFUNCTION("""COMPUTED_VALUE"""),204.0)</f>
        <v>204</v>
      </c>
      <c r="H203" s="82">
        <f>IFERROR(__xludf.DUMMYFUNCTION("""COMPUTED_VALUE"""),2851.0)</f>
        <v>2851</v>
      </c>
      <c r="I203" s="82">
        <f>IFERROR(__xludf.DUMMYFUNCTION("""COMPUTED_VALUE"""),16339.0)</f>
        <v>16339</v>
      </c>
      <c r="J203" s="82">
        <f>IFERROR(__xludf.DUMMYFUNCTION("""COMPUTED_VALUE"""),19190.0)</f>
        <v>19190</v>
      </c>
      <c r="K203" s="234"/>
      <c r="L203" s="230"/>
      <c r="M203" s="235"/>
      <c r="N203" s="234"/>
      <c r="O203" s="230"/>
      <c r="P203" s="235"/>
      <c r="Q203" s="234"/>
      <c r="R203" s="230"/>
      <c r="S203" s="235"/>
      <c r="T203" s="234"/>
      <c r="U203" s="230"/>
      <c r="V203" s="235"/>
      <c r="W203" s="234"/>
      <c r="X203" s="230"/>
      <c r="Y203" s="235"/>
      <c r="Z203" s="234"/>
      <c r="AA203" s="230"/>
      <c r="AB203" s="235"/>
      <c r="AC203" s="234"/>
      <c r="AD203" s="230"/>
      <c r="AE203" s="235"/>
      <c r="AF203" s="234"/>
      <c r="AG203" s="230"/>
      <c r="AH203" s="235"/>
      <c r="AI203" s="234"/>
      <c r="AJ203" s="230"/>
      <c r="AK203" s="235"/>
      <c r="AL203" s="231"/>
      <c r="AM203" s="230"/>
      <c r="AN203" s="235"/>
      <c r="AO203" s="234"/>
      <c r="AP203" s="230">
        <f>IFERROR(__xludf.DUMMYFUNCTION("""COMPUTED_VALUE"""),25.76238144867118)</f>
        <v>25.76238145</v>
      </c>
      <c r="AQ203" s="235">
        <f>IFERROR(__xludf.DUMMYFUNCTION("""COMPUTED_VALUE"""),24.695528921313183)</f>
        <v>24.69552892</v>
      </c>
      <c r="AR203" s="234"/>
      <c r="AS203" s="230"/>
      <c r="AT203" s="235"/>
      <c r="AU203" s="234"/>
      <c r="AV203" s="230"/>
      <c r="AW203" s="235"/>
      <c r="AX203" s="234"/>
      <c r="AY203" s="230"/>
      <c r="AZ203" s="235"/>
      <c r="BA203" s="234"/>
      <c r="BB203" s="230"/>
      <c r="BC203" s="235"/>
      <c r="BD203" s="234"/>
      <c r="BE203" s="230"/>
      <c r="BF203" s="235"/>
      <c r="BG203" s="234"/>
      <c r="BH203" s="230"/>
      <c r="BI203" s="235"/>
      <c r="BJ203" s="234"/>
      <c r="BK203" s="230"/>
      <c r="BL203" s="235"/>
      <c r="BM203" s="234"/>
      <c r="BN203" s="230"/>
      <c r="BO203" s="235"/>
      <c r="BP203" s="234">
        <f>IFERROR(__xludf.DUMMYFUNCTION("""COMPUTED_VALUE"""),25.32737093596865)</f>
        <v>25.32737094</v>
      </c>
      <c r="BQ203" s="230"/>
      <c r="BR203" s="235"/>
      <c r="BS203" s="234">
        <f>IFERROR(__xludf.DUMMYFUNCTION("""COMPUTED_VALUE"""),19.89217471727084)</f>
        <v>19.89217472</v>
      </c>
      <c r="BT203" s="230"/>
      <c r="BU203" s="235"/>
      <c r="BV203" s="234"/>
      <c r="BW203" s="230"/>
      <c r="BX203" s="235"/>
      <c r="BY203" s="234"/>
      <c r="BZ203" s="230"/>
      <c r="CA203" s="235"/>
      <c r="CB203" s="234"/>
      <c r="CC203" s="230"/>
      <c r="CD203" s="235"/>
      <c r="CE203" s="234"/>
      <c r="CF203" s="230"/>
      <c r="CG203" s="235"/>
      <c r="CH203" s="234"/>
      <c r="CI203" s="230"/>
      <c r="CJ203" s="230"/>
      <c r="CK203" s="234"/>
      <c r="CL203" s="230"/>
      <c r="CM203" s="235"/>
      <c r="CN203" s="230"/>
      <c r="CO203" s="230"/>
      <c r="CP203" s="230"/>
      <c r="CQ203" s="234"/>
      <c r="CR203" s="230"/>
      <c r="CS203" s="230"/>
      <c r="CT203" s="234"/>
      <c r="CU203" s="230">
        <f>IFERROR(__xludf.DUMMYFUNCTION("""COMPUTED_VALUE"""),19.0521327014218)</f>
        <v>19.0521327</v>
      </c>
      <c r="CV203" s="230"/>
      <c r="CW203" s="234"/>
      <c r="CX203" s="230"/>
      <c r="CY203" s="235"/>
      <c r="CZ203" s="230">
        <f>IFERROR(__xludf.DUMMYFUNCTION("""COMPUTED_VALUE"""),27.9874213836478)</f>
        <v>27.98742138</v>
      </c>
      <c r="DA203" s="230"/>
      <c r="DB203" s="235"/>
      <c r="DC203" s="234"/>
      <c r="DD203" s="230"/>
      <c r="DE203" s="235"/>
      <c r="DF203" s="234"/>
      <c r="DG203" s="230"/>
      <c r="DH203" s="235"/>
      <c r="DI203" s="234"/>
      <c r="DJ203" s="230"/>
      <c r="DK203" s="235"/>
      <c r="DL203" s="334"/>
      <c r="DM203" s="335"/>
      <c r="DN203" s="336"/>
      <c r="DO203" s="96"/>
      <c r="DP203" s="96"/>
      <c r="DQ203" s="96"/>
      <c r="DR203" s="96"/>
      <c r="DS203" s="96"/>
      <c r="DT203" s="96"/>
      <c r="DU203" s="96"/>
    </row>
    <row r="204" ht="16.5" customHeight="1">
      <c r="B204" s="120" t="str">
        <f>IFERROR(__xludf.DUMMYFUNCTION("""COMPUTED_VALUE"""),"GTT9")</f>
        <v>GTT9</v>
      </c>
      <c r="C204" s="88" t="str">
        <f>IFERROR(__xludf.DUMMYFUNCTION("""COMPUTED_VALUE"""),"Village 67")</f>
        <v>Village 67</v>
      </c>
      <c r="D204" s="102">
        <f>IFERROR(__xludf.DUMMYFUNCTION("""COMPUTED_VALUE"""),21.0)</f>
        <v>21</v>
      </c>
      <c r="E204" s="82" t="b">
        <f>IFERROR(__xludf.DUMMYFUNCTION("""COMPUTED_VALUE"""),TRUE)</f>
        <v>1</v>
      </c>
      <c r="F204" s="82" t="str">
        <f>IFERROR(__xludf.DUMMYFUNCTION("""COMPUTED_VALUE"""),"Free Quests- Part 2!A290:J299")</f>
        <v>Free Quests- Part 2!A290:J299</v>
      </c>
      <c r="G204" s="82">
        <f>IFERROR(__xludf.DUMMYFUNCTION("""COMPUTED_VALUE"""),205.0)</f>
        <v>205</v>
      </c>
      <c r="H204" s="82">
        <f>IFERROR(__xludf.DUMMYFUNCTION("""COMPUTED_VALUE"""),55.0)</f>
        <v>55</v>
      </c>
      <c r="I204" s="82">
        <f>IFERROR(__xludf.DUMMYFUNCTION("""COMPUTED_VALUE"""),1113.0)</f>
        <v>1113</v>
      </c>
      <c r="J204" s="82">
        <f>IFERROR(__xludf.DUMMYFUNCTION("""COMPUTED_VALUE"""),1168.0)</f>
        <v>1168</v>
      </c>
      <c r="K204" s="234"/>
      <c r="L204" s="230"/>
      <c r="M204" s="235"/>
      <c r="N204" s="234"/>
      <c r="O204" s="230"/>
      <c r="P204" s="235"/>
      <c r="Q204" s="234"/>
      <c r="R204" s="230"/>
      <c r="S204" s="235"/>
      <c r="T204" s="234">
        <f>IFERROR(__xludf.DUMMYFUNCTION("""COMPUTED_VALUE"""),18.42696917808219)</f>
        <v>18.42696918</v>
      </c>
      <c r="U204" s="230"/>
      <c r="V204" s="235"/>
      <c r="W204" s="234"/>
      <c r="X204" s="230"/>
      <c r="Y204" s="235"/>
      <c r="Z204" s="234"/>
      <c r="AA204" s="230"/>
      <c r="AB204" s="235"/>
      <c r="AC204" s="234"/>
      <c r="AD204" s="230"/>
      <c r="AE204" s="235"/>
      <c r="AF204" s="234"/>
      <c r="AG204" s="230"/>
      <c r="AH204" s="235"/>
      <c r="AI204" s="234"/>
      <c r="AJ204" s="230"/>
      <c r="AK204" s="235"/>
      <c r="AL204" s="231"/>
      <c r="AM204" s="230"/>
      <c r="AN204" s="235"/>
      <c r="AO204" s="234"/>
      <c r="AP204" s="230"/>
      <c r="AQ204" s="235">
        <f>IFERROR(__xludf.DUMMYFUNCTION("""COMPUTED_VALUE"""),25.412243150684933)</f>
        <v>25.41224315</v>
      </c>
      <c r="AR204" s="234"/>
      <c r="AS204" s="230"/>
      <c r="AT204" s="235"/>
      <c r="AU204" s="234"/>
      <c r="AV204" s="230"/>
      <c r="AW204" s="235"/>
      <c r="AX204" s="234"/>
      <c r="AY204" s="230"/>
      <c r="AZ204" s="235"/>
      <c r="BA204" s="234"/>
      <c r="BB204" s="230"/>
      <c r="BC204" s="235"/>
      <c r="BD204" s="234"/>
      <c r="BE204" s="230"/>
      <c r="BF204" s="235"/>
      <c r="BG204" s="234"/>
      <c r="BH204" s="230"/>
      <c r="BI204" s="235"/>
      <c r="BJ204" s="234"/>
      <c r="BK204" s="230"/>
      <c r="BL204" s="235"/>
      <c r="BM204" s="234"/>
      <c r="BN204" s="230"/>
      <c r="BO204" s="235"/>
      <c r="BP204" s="234">
        <f>IFERROR(__xludf.DUMMYFUNCTION("""COMPUTED_VALUE"""),33.714693097997895)</f>
        <v>33.7146931</v>
      </c>
      <c r="BQ204" s="230"/>
      <c r="BR204" s="235">
        <f>IFERROR(__xludf.DUMMYFUNCTION("""COMPUTED_VALUE"""),7.318473393045311)</f>
        <v>7.318473393</v>
      </c>
      <c r="BS204" s="234"/>
      <c r="BT204" s="230"/>
      <c r="BU204" s="235"/>
      <c r="BV204" s="234"/>
      <c r="BW204" s="230"/>
      <c r="BX204" s="235"/>
      <c r="BY204" s="234"/>
      <c r="BZ204" s="230"/>
      <c r="CA204" s="235"/>
      <c r="CB204" s="234"/>
      <c r="CC204" s="230"/>
      <c r="CD204" s="235"/>
      <c r="CE204" s="234"/>
      <c r="CF204" s="230"/>
      <c r="CG204" s="235"/>
      <c r="CH204" s="234"/>
      <c r="CI204" s="230"/>
      <c r="CJ204" s="230"/>
      <c r="CK204" s="234"/>
      <c r="CL204" s="230"/>
      <c r="CM204" s="235"/>
      <c r="CN204" s="230"/>
      <c r="CO204" s="230"/>
      <c r="CP204" s="230"/>
      <c r="CQ204" s="234"/>
      <c r="CR204" s="230"/>
      <c r="CS204" s="230"/>
      <c r="CT204" s="234">
        <f>IFERROR(__xludf.DUMMYFUNCTION("""COMPUTED_VALUE"""),0.0)</f>
        <v>0</v>
      </c>
      <c r="CU204" s="230"/>
      <c r="CV204" s="230"/>
      <c r="CW204" s="234"/>
      <c r="CX204" s="230"/>
      <c r="CY204" s="235"/>
      <c r="CZ204" s="230">
        <f>IFERROR(__xludf.DUMMYFUNCTION("""COMPUTED_VALUE"""),28.26086956521739)</f>
        <v>28.26086957</v>
      </c>
      <c r="DA204" s="230"/>
      <c r="DB204" s="235"/>
      <c r="DC204" s="234"/>
      <c r="DD204" s="230"/>
      <c r="DE204" s="235"/>
      <c r="DF204" s="234"/>
      <c r="DG204" s="230"/>
      <c r="DH204" s="235"/>
      <c r="DI204" s="234"/>
      <c r="DJ204" s="230"/>
      <c r="DK204" s="235"/>
      <c r="DL204" s="317"/>
      <c r="DM204" s="318"/>
      <c r="DN204" s="282"/>
      <c r="DO204" s="96"/>
      <c r="DP204" s="96"/>
      <c r="DQ204" s="96"/>
      <c r="DR204" s="96"/>
      <c r="DS204" s="96"/>
      <c r="DT204" s="96"/>
      <c r="DU204" s="96"/>
    </row>
    <row r="205" ht="16.5" customHeight="1">
      <c r="B205" s="120" t="str">
        <f>IFERROR(__xludf.DUMMYFUNCTION("""COMPUTED_VALUE"""),"GTT10")</f>
        <v>GTT10</v>
      </c>
      <c r="C205" s="88" t="str">
        <f>IFERROR(__xludf.DUMMYFUNCTION("""COMPUTED_VALUE"""),"North Boundary")</f>
        <v>North Boundary</v>
      </c>
      <c r="D205" s="102">
        <f>IFERROR(__xludf.DUMMYFUNCTION("""COMPUTED_VALUE"""),21.0)</f>
        <v>21</v>
      </c>
      <c r="E205" s="82" t="b">
        <f>IFERROR(__xludf.DUMMYFUNCTION("""COMPUTED_VALUE"""),TRUE)</f>
        <v>1</v>
      </c>
      <c r="F205" s="82" t="str">
        <f>IFERROR(__xludf.DUMMYFUNCTION("""COMPUTED_VALUE"""),"Free Quests- Part 2!A303:J312")</f>
        <v>Free Quests- Part 2!A303:J312</v>
      </c>
      <c r="G205" s="82">
        <f>IFERROR(__xludf.DUMMYFUNCTION("""COMPUTED_VALUE"""),206.0)</f>
        <v>206</v>
      </c>
      <c r="H205" s="82">
        <f>IFERROR(__xludf.DUMMYFUNCTION("""COMPUTED_VALUE"""),54.0)</f>
        <v>54</v>
      </c>
      <c r="I205" s="82">
        <f>IFERROR(__xludf.DUMMYFUNCTION("""COMPUTED_VALUE"""),6255.0)</f>
        <v>6255</v>
      </c>
      <c r="J205" s="82">
        <f>IFERROR(__xludf.DUMMYFUNCTION("""COMPUTED_VALUE"""),6309.0)</f>
        <v>6309</v>
      </c>
      <c r="K205" s="234"/>
      <c r="L205" s="230"/>
      <c r="M205" s="235"/>
      <c r="N205" s="234"/>
      <c r="O205" s="230"/>
      <c r="P205" s="235"/>
      <c r="Q205" s="234"/>
      <c r="R205" s="230"/>
      <c r="S205" s="235"/>
      <c r="T205" s="234"/>
      <c r="U205" s="230"/>
      <c r="V205" s="235"/>
      <c r="W205" s="234"/>
      <c r="X205" s="230"/>
      <c r="Y205" s="235"/>
      <c r="Z205" s="234"/>
      <c r="AA205" s="230"/>
      <c r="AB205" s="235"/>
      <c r="AC205" s="234"/>
      <c r="AD205" s="230"/>
      <c r="AE205" s="235"/>
      <c r="AF205" s="234"/>
      <c r="AG205" s="230"/>
      <c r="AH205" s="235"/>
      <c r="AI205" s="234"/>
      <c r="AJ205" s="230"/>
      <c r="AK205" s="235"/>
      <c r="AL205" s="231"/>
      <c r="AM205" s="230"/>
      <c r="AN205" s="235"/>
      <c r="AO205" s="234"/>
      <c r="AP205" s="230">
        <f>IFERROR(__xludf.DUMMYFUNCTION("""COMPUTED_VALUE"""),25.16642891107941)</f>
        <v>25.16642891</v>
      </c>
      <c r="AQ205" s="235"/>
      <c r="AR205" s="234"/>
      <c r="AS205" s="230"/>
      <c r="AT205" s="235"/>
      <c r="AU205" s="234"/>
      <c r="AV205" s="230"/>
      <c r="AW205" s="235"/>
      <c r="AX205" s="234"/>
      <c r="AY205" s="230"/>
      <c r="AZ205" s="235">
        <f>IFERROR(__xludf.DUMMYFUNCTION("""COMPUTED_VALUE"""),30.19915993025836)</f>
        <v>30.19915993</v>
      </c>
      <c r="BA205" s="234"/>
      <c r="BB205" s="230"/>
      <c r="BC205" s="235"/>
      <c r="BD205" s="234"/>
      <c r="BE205" s="230"/>
      <c r="BF205" s="235"/>
      <c r="BG205" s="234"/>
      <c r="BH205" s="230"/>
      <c r="BI205" s="235"/>
      <c r="BJ205" s="234"/>
      <c r="BK205" s="230"/>
      <c r="BL205" s="235"/>
      <c r="BM205" s="234"/>
      <c r="BN205" s="230"/>
      <c r="BO205" s="235"/>
      <c r="BP205" s="234"/>
      <c r="BQ205" s="230"/>
      <c r="BR205" s="235"/>
      <c r="BS205" s="234">
        <f>IFERROR(__xludf.DUMMYFUNCTION("""COMPUTED_VALUE"""),41.018293194595955)</f>
        <v>41.01829319</v>
      </c>
      <c r="BT205" s="230"/>
      <c r="BU205" s="235"/>
      <c r="BV205" s="234"/>
      <c r="BW205" s="230"/>
      <c r="BX205" s="235"/>
      <c r="BY205" s="234"/>
      <c r="BZ205" s="230"/>
      <c r="CA205" s="235"/>
      <c r="CB205" s="234"/>
      <c r="CC205" s="230"/>
      <c r="CD205" s="235"/>
      <c r="CE205" s="234"/>
      <c r="CF205" s="230"/>
      <c r="CG205" s="235"/>
      <c r="CH205" s="234"/>
      <c r="CI205" s="230"/>
      <c r="CJ205" s="230"/>
      <c r="CK205" s="234"/>
      <c r="CL205" s="230"/>
      <c r="CM205" s="235"/>
      <c r="CN205" s="230"/>
      <c r="CO205" s="230"/>
      <c r="CP205" s="230"/>
      <c r="CQ205" s="234"/>
      <c r="CR205" s="230"/>
      <c r="CS205" s="230"/>
      <c r="CT205" s="234"/>
      <c r="CU205" s="230">
        <f>IFERROR(__xludf.DUMMYFUNCTION("""COMPUTED_VALUE"""),17.77777777777778)</f>
        <v>17.77777778</v>
      </c>
      <c r="CV205" s="230"/>
      <c r="CW205" s="234"/>
      <c r="CX205" s="230"/>
      <c r="CY205" s="235">
        <f>IFERROR(__xludf.DUMMYFUNCTION("""COMPUTED_VALUE"""),20.0)</f>
        <v>20</v>
      </c>
      <c r="CZ205" s="230"/>
      <c r="DA205" s="230"/>
      <c r="DB205" s="235"/>
      <c r="DC205" s="234">
        <f>IFERROR(__xludf.DUMMYFUNCTION("""COMPUTED_VALUE"""),15.555555555555555)</f>
        <v>15.55555556</v>
      </c>
      <c r="DD205" s="230"/>
      <c r="DE205" s="235"/>
      <c r="DF205" s="234"/>
      <c r="DG205" s="230"/>
      <c r="DH205" s="235"/>
      <c r="DI205" s="234"/>
      <c r="DJ205" s="230"/>
      <c r="DK205" s="235"/>
      <c r="DL205" s="334"/>
      <c r="DM205" s="335"/>
      <c r="DN205" s="336"/>
      <c r="DO205" s="96"/>
      <c r="DP205" s="96"/>
      <c r="DQ205" s="96"/>
      <c r="DR205" s="96"/>
      <c r="DS205" s="96"/>
      <c r="DT205" s="96"/>
      <c r="DU205" s="96"/>
    </row>
    <row r="206" ht="16.5" customHeight="1">
      <c r="B206" s="120" t="str">
        <f>IFERROR(__xludf.DUMMYFUNCTION("""COMPUTED_VALUE"""),"GTT11")</f>
        <v>GTT11</v>
      </c>
      <c r="C206" s="88" t="str">
        <f>IFERROR(__xludf.DUMMYFUNCTION("""COMPUTED_VALUE"""),"Forgotten Shrine")</f>
        <v>Forgotten Shrine</v>
      </c>
      <c r="D206" s="102">
        <f>IFERROR(__xludf.DUMMYFUNCTION("""COMPUTED_VALUE"""),21.0)</f>
        <v>21</v>
      </c>
      <c r="E206" s="82" t="b">
        <f>IFERROR(__xludf.DUMMYFUNCTION("""COMPUTED_VALUE"""),TRUE)</f>
        <v>1</v>
      </c>
      <c r="F206" s="82" t="str">
        <f>IFERROR(__xludf.DUMMYFUNCTION("""COMPUTED_VALUE"""),"Free Quests- Part 2!A316:J324")</f>
        <v>Free Quests- Part 2!A316:J324</v>
      </c>
      <c r="G206" s="266">
        <f>IFERROR(__xludf.DUMMYFUNCTION("""COMPUTED_VALUE"""),207.0)</f>
        <v>207</v>
      </c>
      <c r="H206" s="266">
        <f>IFERROR(__xludf.DUMMYFUNCTION("""COMPUTED_VALUE"""),59.0)</f>
        <v>59</v>
      </c>
      <c r="I206" s="266">
        <f>IFERROR(__xludf.DUMMYFUNCTION("""COMPUTED_VALUE"""),4261.0)</f>
        <v>4261</v>
      </c>
      <c r="J206" s="266">
        <f>IFERROR(__xludf.DUMMYFUNCTION("""COMPUTED_VALUE"""),4320.0)</f>
        <v>4320</v>
      </c>
      <c r="K206" s="234"/>
      <c r="L206" s="230"/>
      <c r="M206" s="235"/>
      <c r="N206" s="234">
        <f>IFERROR(__xludf.DUMMYFUNCTION("""COMPUTED_VALUE"""),11.383194444444445)</f>
        <v>11.38319444</v>
      </c>
      <c r="O206" s="230"/>
      <c r="P206" s="235"/>
      <c r="Q206" s="234"/>
      <c r="R206" s="230"/>
      <c r="S206" s="235"/>
      <c r="T206" s="234"/>
      <c r="U206" s="230"/>
      <c r="V206" s="235"/>
      <c r="W206" s="234"/>
      <c r="X206" s="230"/>
      <c r="Y206" s="235"/>
      <c r="Z206" s="234"/>
      <c r="AA206" s="230"/>
      <c r="AB206" s="235"/>
      <c r="AC206" s="234"/>
      <c r="AD206" s="230"/>
      <c r="AE206" s="235"/>
      <c r="AF206" s="234"/>
      <c r="AG206" s="230"/>
      <c r="AH206" s="235"/>
      <c r="AI206" s="234"/>
      <c r="AJ206" s="230"/>
      <c r="AK206" s="235"/>
      <c r="AL206" s="231"/>
      <c r="AM206" s="230"/>
      <c r="AN206" s="235"/>
      <c r="AO206" s="234"/>
      <c r="AP206" s="230"/>
      <c r="AQ206" s="235">
        <f>IFERROR(__xludf.DUMMYFUNCTION("""COMPUTED_VALUE"""),23.886597222222225)</f>
        <v>23.88659722</v>
      </c>
      <c r="AR206" s="234"/>
      <c r="AS206" s="230"/>
      <c r="AT206" s="235"/>
      <c r="AU206" s="234"/>
      <c r="AV206" s="230"/>
      <c r="AW206" s="235"/>
      <c r="AX206" s="234"/>
      <c r="AY206" s="230"/>
      <c r="AZ206" s="235"/>
      <c r="BA206" s="234"/>
      <c r="BB206" s="230"/>
      <c r="BC206" s="235"/>
      <c r="BD206" s="234"/>
      <c r="BE206" s="230"/>
      <c r="BF206" s="235">
        <f>IFERROR(__xludf.DUMMYFUNCTION("""COMPUTED_VALUE"""),3.9941468253968253)</f>
        <v>3.994146825</v>
      </c>
      <c r="BG206" s="234"/>
      <c r="BH206" s="230"/>
      <c r="BI206" s="235"/>
      <c r="BJ206" s="234"/>
      <c r="BK206" s="230"/>
      <c r="BL206" s="235"/>
      <c r="BM206" s="234"/>
      <c r="BN206" s="230"/>
      <c r="BO206" s="235"/>
      <c r="BP206" s="234">
        <f>IFERROR(__xludf.DUMMYFUNCTION("""COMPUTED_VALUE"""),40.35823082010582)</f>
        <v>40.35823082</v>
      </c>
      <c r="BQ206" s="230"/>
      <c r="BR206" s="235"/>
      <c r="BS206" s="234"/>
      <c r="BT206" s="230"/>
      <c r="BU206" s="235"/>
      <c r="BV206" s="234"/>
      <c r="BW206" s="230"/>
      <c r="BX206" s="235"/>
      <c r="BY206" s="234"/>
      <c r="BZ206" s="230"/>
      <c r="CA206" s="235"/>
      <c r="CB206" s="234"/>
      <c r="CC206" s="230"/>
      <c r="CD206" s="235"/>
      <c r="CE206" s="234"/>
      <c r="CF206" s="230"/>
      <c r="CG206" s="235"/>
      <c r="CH206" s="234"/>
      <c r="CI206" s="230"/>
      <c r="CJ206" s="230"/>
      <c r="CK206" s="234"/>
      <c r="CL206" s="230"/>
      <c r="CM206" s="235"/>
      <c r="CN206" s="230"/>
      <c r="CO206" s="230">
        <f>IFERROR(__xludf.DUMMYFUNCTION("""COMPUTED_VALUE"""),4.465856481481482)</f>
        <v>4.465856481</v>
      </c>
      <c r="CP206" s="230"/>
      <c r="CQ206" s="234"/>
      <c r="CR206" s="230"/>
      <c r="CS206" s="230"/>
      <c r="CT206" s="234"/>
      <c r="CU206" s="230"/>
      <c r="CV206" s="230"/>
      <c r="CW206" s="234"/>
      <c r="CX206" s="230"/>
      <c r="CY206" s="235"/>
      <c r="CZ206" s="230">
        <f>IFERROR(__xludf.DUMMYFUNCTION("""COMPUTED_VALUE"""),48.0)</f>
        <v>48</v>
      </c>
      <c r="DA206" s="230"/>
      <c r="DB206" s="235"/>
      <c r="DC206" s="234"/>
      <c r="DD206" s="230"/>
      <c r="DE206" s="235"/>
      <c r="DF206" s="234"/>
      <c r="DG206" s="230"/>
      <c r="DH206" s="235"/>
      <c r="DI206" s="234"/>
      <c r="DJ206" s="230"/>
      <c r="DK206" s="235"/>
      <c r="DL206" s="337"/>
      <c r="DM206" s="286"/>
      <c r="DN206" s="338"/>
      <c r="DO206" s="96"/>
      <c r="DP206" s="96"/>
      <c r="DQ206" s="96"/>
      <c r="DR206" s="96"/>
      <c r="DS206" s="96"/>
      <c r="DT206" s="96"/>
      <c r="DU206" s="96"/>
    </row>
    <row r="207">
      <c r="A207" s="263" t="str">
        <f>IFERROR(__xludf.DUMMYFUNCTION("""COMPUTED_VALUE"""),"SIN")</f>
        <v>SIN</v>
      </c>
      <c r="B207" s="120" t="str">
        <f>IFERROR(__xludf.DUMMYFUNCTION("""COMPUTED_VALUE"""),"SIN1")</f>
        <v>SIN1</v>
      </c>
      <c r="C207" s="264" t="str">
        <f>IFERROR(__xludf.DUMMYFUNCTION("""COMPUTED_VALUE"""),"Seeding Point")</f>
        <v>Seeding Point</v>
      </c>
      <c r="D207" s="102">
        <f>IFERROR(__xludf.DUMMYFUNCTION("""COMPUTED_VALUE"""),20.0)</f>
        <v>20</v>
      </c>
      <c r="E207" s="82" t="b">
        <f>IFERROR(__xludf.DUMMYFUNCTION("""COMPUTED_VALUE"""),TRUE)</f>
        <v>1</v>
      </c>
      <c r="F207" s="82" t="str">
        <f>IFERROR(__xludf.DUMMYFUNCTION("""COMPUTED_VALUE"""),"Free Quests- Part 2!A330:J340")</f>
        <v>Free Quests- Part 2!A330:J340</v>
      </c>
      <c r="G207" s="266">
        <f>IFERROR(__xludf.DUMMYFUNCTION("""COMPUTED_VALUE"""),208.0)</f>
        <v>208</v>
      </c>
      <c r="H207" s="266">
        <f>IFERROR(__xludf.DUMMYFUNCTION("""COMPUTED_VALUE"""),42.0)</f>
        <v>42</v>
      </c>
      <c r="I207" s="266">
        <f>IFERROR(__xludf.DUMMYFUNCTION("""COMPUTED_VALUE"""),13260.0)</f>
        <v>13260</v>
      </c>
      <c r="J207" s="266">
        <f>IFERROR(__xludf.DUMMYFUNCTION("""COMPUTED_VALUE"""),13302.0)</f>
        <v>13302</v>
      </c>
      <c r="K207" s="265"/>
      <c r="L207" s="266"/>
      <c r="M207" s="267"/>
      <c r="N207" s="268"/>
      <c r="O207" s="266"/>
      <c r="P207" s="267"/>
      <c r="Q207" s="268"/>
      <c r="R207" s="266"/>
      <c r="S207" s="267"/>
      <c r="T207" s="268"/>
      <c r="U207" s="266"/>
      <c r="V207" s="267"/>
      <c r="W207" s="265"/>
      <c r="X207" s="266"/>
      <c r="Y207" s="267"/>
      <c r="Z207" s="268"/>
      <c r="AA207" s="266"/>
      <c r="AB207" s="267"/>
      <c r="AC207" s="268"/>
      <c r="AD207" s="266"/>
      <c r="AE207" s="267"/>
      <c r="AF207" s="268"/>
      <c r="AG207" s="266"/>
      <c r="AH207" s="339">
        <f>IFERROR(__xludf.DUMMYFUNCTION("""COMPUTED_VALUE"""),30.12524432416178)</f>
        <v>30.12524432</v>
      </c>
      <c r="AI207" s="265"/>
      <c r="AJ207" s="266"/>
      <c r="AK207" s="267"/>
      <c r="AL207" s="340"/>
      <c r="AM207" s="266"/>
      <c r="AN207" s="267"/>
      <c r="AO207" s="268"/>
      <c r="AP207" s="266"/>
      <c r="AQ207" s="267"/>
      <c r="AR207" s="268"/>
      <c r="AS207" s="266"/>
      <c r="AT207" s="267"/>
      <c r="AU207" s="265"/>
      <c r="AV207" s="266"/>
      <c r="AW207" s="267"/>
      <c r="AX207" s="268"/>
      <c r="AY207" s="266"/>
      <c r="AZ207" s="267"/>
      <c r="BA207" s="268"/>
      <c r="BB207" s="341">
        <f>IFERROR(__xludf.DUMMYFUNCTION("""COMPUTED_VALUE"""),39.38836265223275)</f>
        <v>39.38836265</v>
      </c>
      <c r="BC207" s="267"/>
      <c r="BD207" s="268"/>
      <c r="BE207" s="266"/>
      <c r="BF207" s="267"/>
      <c r="BG207" s="265"/>
      <c r="BH207" s="266"/>
      <c r="BI207" s="267"/>
      <c r="BJ207" s="268"/>
      <c r="BK207" s="266"/>
      <c r="BL207" s="267"/>
      <c r="BM207" s="268"/>
      <c r="BN207" s="266"/>
      <c r="BO207" s="267"/>
      <c r="BP207" s="268"/>
      <c r="BQ207" s="266"/>
      <c r="BR207" s="267"/>
      <c r="BS207" s="265"/>
      <c r="BT207" s="266"/>
      <c r="BU207" s="267"/>
      <c r="BV207" s="342">
        <f>IFERROR(__xludf.DUMMYFUNCTION("""COMPUTED_VALUE"""),25.173056683205534)</f>
        <v>25.17305668</v>
      </c>
      <c r="BW207" s="341">
        <f>IFERROR(__xludf.DUMMYFUNCTION("""COMPUTED_VALUE"""),19.573197012980504)</f>
        <v>19.57319701</v>
      </c>
      <c r="BX207" s="267"/>
      <c r="BY207" s="268"/>
      <c r="BZ207" s="266"/>
      <c r="CA207" s="267"/>
      <c r="CB207" s="268"/>
      <c r="CC207" s="266"/>
      <c r="CD207" s="267"/>
      <c r="CE207" s="268"/>
      <c r="CF207" s="266"/>
      <c r="CG207" s="267"/>
      <c r="CH207" s="268"/>
      <c r="CI207" s="266"/>
      <c r="CJ207" s="266"/>
      <c r="CK207" s="268"/>
      <c r="CL207" s="266"/>
      <c r="CM207" s="267"/>
      <c r="CN207" s="266"/>
      <c r="CO207" s="266"/>
      <c r="CP207" s="266"/>
      <c r="CQ207" s="268"/>
      <c r="CR207" s="266"/>
      <c r="CS207" s="266"/>
      <c r="CT207" s="268"/>
      <c r="CU207" s="266"/>
      <c r="CV207" s="266"/>
      <c r="CW207" s="268"/>
      <c r="CX207" s="266"/>
      <c r="CY207" s="339">
        <f>IFERROR(__xludf.DUMMYFUNCTION("""COMPUTED_VALUE"""),33.33333333333333)</f>
        <v>33.33333333</v>
      </c>
      <c r="CZ207" s="341">
        <f>IFERROR(__xludf.DUMMYFUNCTION("""COMPUTED_VALUE"""),9.090909090909092)</f>
        <v>9.090909091</v>
      </c>
      <c r="DA207" s="266"/>
      <c r="DB207" s="267"/>
      <c r="DC207" s="268"/>
      <c r="DD207" s="266"/>
      <c r="DE207" s="267"/>
      <c r="DF207" s="268"/>
      <c r="DG207" s="341">
        <f>IFERROR(__xludf.DUMMYFUNCTION("""COMPUTED_VALUE"""),21.21212121212121)</f>
        <v>21.21212121</v>
      </c>
      <c r="DH207" s="339">
        <f>IFERROR(__xludf.DUMMYFUNCTION("""COMPUTED_VALUE"""),3.0303030303030303)</f>
        <v>3.03030303</v>
      </c>
      <c r="DI207" s="342"/>
      <c r="DJ207" s="341"/>
      <c r="DK207" s="339"/>
      <c r="DL207" s="343"/>
      <c r="DM207" s="344"/>
      <c r="DN207" s="345"/>
      <c r="DO207" s="82"/>
      <c r="DP207" s="82"/>
      <c r="DQ207" s="82"/>
      <c r="DR207" s="82"/>
      <c r="DS207" s="82"/>
      <c r="DT207" s="82"/>
      <c r="DU207" s="82"/>
    </row>
    <row r="208">
      <c r="B208" s="120" t="str">
        <f>IFERROR(__xludf.DUMMYFUNCTION("""COMPUTED_VALUE"""),"SIN2")</f>
        <v>SIN2</v>
      </c>
      <c r="C208" s="264" t="str">
        <f>IFERROR(__xludf.DUMMYFUNCTION("""COMPUTED_VALUE"""),"Neighboring Village")</f>
        <v>Neighboring Village</v>
      </c>
      <c r="D208" s="102">
        <f>IFERROR(__xludf.DUMMYFUNCTION("""COMPUTED_VALUE"""),20.0)</f>
        <v>20</v>
      </c>
      <c r="E208" s="82" t="b">
        <f>IFERROR(__xludf.DUMMYFUNCTION("""COMPUTED_VALUE"""),TRUE)</f>
        <v>1</v>
      </c>
      <c r="F208" s="82" t="str">
        <f>IFERROR(__xludf.DUMMYFUNCTION("""COMPUTED_VALUE"""),"Free Quests- Part 2!A344:J354")</f>
        <v>Free Quests- Part 2!A344:J354</v>
      </c>
      <c r="G208" s="266">
        <f>IFERROR(__xludf.DUMMYFUNCTION("""COMPUTED_VALUE"""),209.0)</f>
        <v>209</v>
      </c>
      <c r="H208" s="266">
        <f>IFERROR(__xludf.DUMMYFUNCTION("""COMPUTED_VALUE"""),45.0)</f>
        <v>45</v>
      </c>
      <c r="I208" s="266">
        <f>IFERROR(__xludf.DUMMYFUNCTION("""COMPUTED_VALUE"""),8011.0)</f>
        <v>8011</v>
      </c>
      <c r="J208" s="266">
        <f>IFERROR(__xludf.DUMMYFUNCTION("""COMPUTED_VALUE"""),8056.0)</f>
        <v>8056</v>
      </c>
      <c r="K208" s="265"/>
      <c r="L208" s="266"/>
      <c r="M208" s="267"/>
      <c r="N208" s="268"/>
      <c r="O208" s="266"/>
      <c r="P208" s="267"/>
      <c r="Q208" s="268"/>
      <c r="R208" s="266"/>
      <c r="S208" s="267"/>
      <c r="T208" s="268"/>
      <c r="U208" s="266"/>
      <c r="V208" s="267"/>
      <c r="W208" s="265"/>
      <c r="X208" s="266"/>
      <c r="Y208" s="267"/>
      <c r="Z208" s="268"/>
      <c r="AA208" s="266"/>
      <c r="AB208" s="267"/>
      <c r="AC208" s="268"/>
      <c r="AD208" s="266"/>
      <c r="AE208" s="267"/>
      <c r="AF208" s="268"/>
      <c r="AG208" s="266"/>
      <c r="AH208" s="267"/>
      <c r="AI208" s="265"/>
      <c r="AJ208" s="266"/>
      <c r="AK208" s="267"/>
      <c r="AL208" s="340"/>
      <c r="AM208" s="266"/>
      <c r="AN208" s="267"/>
      <c r="AO208" s="268"/>
      <c r="AP208" s="341">
        <f>IFERROR(__xludf.DUMMYFUNCTION("""COMPUTED_VALUE"""),25.680573485600792)</f>
        <v>25.68057349</v>
      </c>
      <c r="AQ208" s="267"/>
      <c r="AR208" s="268"/>
      <c r="AS208" s="266"/>
      <c r="AT208" s="267"/>
      <c r="AU208" s="265"/>
      <c r="AV208" s="266"/>
      <c r="AW208" s="267"/>
      <c r="AX208" s="268"/>
      <c r="AY208" s="266"/>
      <c r="AZ208" s="267"/>
      <c r="BA208" s="268"/>
      <c r="BB208" s="341">
        <f>IFERROR(__xludf.DUMMYFUNCTION("""COMPUTED_VALUE"""),40.45996872033267)</f>
        <v>40.45996872</v>
      </c>
      <c r="BC208" s="267"/>
      <c r="BD208" s="268"/>
      <c r="BE208" s="266"/>
      <c r="BF208" s="267"/>
      <c r="BG208" s="265"/>
      <c r="BH208" s="266"/>
      <c r="BI208" s="267"/>
      <c r="BJ208" s="268"/>
      <c r="BK208" s="266"/>
      <c r="BL208" s="267"/>
      <c r="BM208" s="268"/>
      <c r="BN208" s="266"/>
      <c r="BO208" s="267"/>
      <c r="BP208" s="268"/>
      <c r="BQ208" s="266"/>
      <c r="BR208" s="267"/>
      <c r="BS208" s="234">
        <f>IFERROR(__xludf.DUMMYFUNCTION("""COMPUTED_VALUE"""),13.965584179970973)</f>
        <v>13.96558418</v>
      </c>
      <c r="BT208" s="266"/>
      <c r="BU208" s="267"/>
      <c r="BV208" s="342">
        <f>IFERROR(__xludf.DUMMYFUNCTION("""COMPUTED_VALUE"""),25.55726071346727)</f>
        <v>25.55726071</v>
      </c>
      <c r="BW208" s="266"/>
      <c r="BX208" s="267"/>
      <c r="BY208" s="268"/>
      <c r="BZ208" s="266"/>
      <c r="CA208" s="267"/>
      <c r="CB208" s="268"/>
      <c r="CC208" s="266"/>
      <c r="CD208" s="267"/>
      <c r="CE208" s="268"/>
      <c r="CF208" s="266"/>
      <c r="CG208" s="267"/>
      <c r="CH208" s="268"/>
      <c r="CI208" s="266"/>
      <c r="CJ208" s="266"/>
      <c r="CK208" s="268"/>
      <c r="CL208" s="266"/>
      <c r="CM208" s="267"/>
      <c r="CN208" s="266"/>
      <c r="CO208" s="266"/>
      <c r="CP208" s="266"/>
      <c r="CQ208" s="268"/>
      <c r="CR208" s="266"/>
      <c r="CS208" s="266"/>
      <c r="CT208" s="268"/>
      <c r="CU208" s="266"/>
      <c r="CV208" s="266"/>
      <c r="CW208" s="268"/>
      <c r="CX208" s="266"/>
      <c r="CY208" s="339">
        <f>IFERROR(__xludf.DUMMYFUNCTION("""COMPUTED_VALUE"""),19.444444444444446)</f>
        <v>19.44444444</v>
      </c>
      <c r="CZ208" s="266"/>
      <c r="DA208" s="266"/>
      <c r="DB208" s="267"/>
      <c r="DC208" s="268"/>
      <c r="DD208" s="266"/>
      <c r="DE208" s="267"/>
      <c r="DF208" s="268"/>
      <c r="DG208" s="341">
        <f>IFERROR(__xludf.DUMMYFUNCTION("""COMPUTED_VALUE"""),19.444444444444446)</f>
        <v>19.44444444</v>
      </c>
      <c r="DH208" s="267"/>
      <c r="DI208" s="342"/>
      <c r="DJ208" s="341"/>
      <c r="DK208" s="339">
        <f>IFERROR(__xludf.DUMMYFUNCTION("""COMPUTED_VALUE"""),25.0)</f>
        <v>25</v>
      </c>
      <c r="DL208" s="337"/>
      <c r="DM208" s="286"/>
      <c r="DN208" s="338"/>
      <c r="DO208" s="82"/>
      <c r="DP208" s="82"/>
      <c r="DQ208" s="82"/>
      <c r="DR208" s="82"/>
      <c r="DS208" s="82"/>
      <c r="DT208" s="82"/>
      <c r="DU208" s="82"/>
    </row>
    <row r="209">
      <c r="B209" s="120" t="str">
        <f>IFERROR(__xludf.DUMMYFUNCTION("""COMPUTED_VALUE"""),"SIN3")</f>
        <v>SIN3</v>
      </c>
      <c r="C209" s="264" t="str">
        <f>IFERROR(__xludf.DUMMYFUNCTION("""COMPUTED_VALUE"""),"Icy Cave")</f>
        <v>Icy Cave</v>
      </c>
      <c r="D209" s="102">
        <f>IFERROR(__xludf.DUMMYFUNCTION("""COMPUTED_VALUE"""),20.0)</f>
        <v>20</v>
      </c>
      <c r="E209" s="82" t="b">
        <f>IFERROR(__xludf.DUMMYFUNCTION("""COMPUTED_VALUE"""),TRUE)</f>
        <v>1</v>
      </c>
      <c r="F209" s="82" t="str">
        <f>IFERROR(__xludf.DUMMYFUNCTION("""COMPUTED_VALUE"""),"Free Quests- Part 2!A358:J367")</f>
        <v>Free Quests- Part 2!A358:J367</v>
      </c>
      <c r="G209" s="266">
        <f>IFERROR(__xludf.DUMMYFUNCTION("""COMPUTED_VALUE"""),210.0)</f>
        <v>210</v>
      </c>
      <c r="H209" s="266">
        <f>IFERROR(__xludf.DUMMYFUNCTION("""COMPUTED_VALUE"""),55.0)</f>
        <v>55</v>
      </c>
      <c r="I209" s="266">
        <f>IFERROR(__xludf.DUMMYFUNCTION("""COMPUTED_VALUE"""),1872.0)</f>
        <v>1872</v>
      </c>
      <c r="J209" s="266">
        <f>IFERROR(__xludf.DUMMYFUNCTION("""COMPUTED_VALUE"""),1927.0)</f>
        <v>1927</v>
      </c>
      <c r="K209" s="265"/>
      <c r="L209" s="266"/>
      <c r="M209" s="267"/>
      <c r="N209" s="268"/>
      <c r="O209" s="266"/>
      <c r="P209" s="267"/>
      <c r="Q209" s="268"/>
      <c r="R209" s="266"/>
      <c r="S209" s="267"/>
      <c r="T209" s="268"/>
      <c r="U209" s="266"/>
      <c r="V209" s="339">
        <f>IFERROR(__xludf.DUMMYFUNCTION("""COMPUTED_VALUE"""),10.17498702646601)</f>
        <v>10.17498703</v>
      </c>
      <c r="W209" s="265"/>
      <c r="X209" s="266"/>
      <c r="Y209" s="267"/>
      <c r="Z209" s="268"/>
      <c r="AA209" s="266"/>
      <c r="AB209" s="267"/>
      <c r="AC209" s="342">
        <f>IFERROR(__xludf.DUMMYFUNCTION("""COMPUTED_VALUE"""),33.251686559418786)</f>
        <v>33.25168656</v>
      </c>
      <c r="AD209" s="266"/>
      <c r="AE209" s="267"/>
      <c r="AF209" s="268"/>
      <c r="AG209" s="266"/>
      <c r="AH209" s="267"/>
      <c r="AI209" s="265"/>
      <c r="AJ209" s="266"/>
      <c r="AK209" s="267"/>
      <c r="AL209" s="340"/>
      <c r="AM209" s="266"/>
      <c r="AN209" s="267"/>
      <c r="AO209" s="268"/>
      <c r="AP209" s="266"/>
      <c r="AQ209" s="267"/>
      <c r="AR209" s="268"/>
      <c r="AS209" s="266"/>
      <c r="AT209" s="267"/>
      <c r="AU209" s="265"/>
      <c r="AV209" s="266"/>
      <c r="AW209" s="267"/>
      <c r="AX209" s="268"/>
      <c r="AY209" s="266"/>
      <c r="AZ209" s="267"/>
      <c r="BA209" s="268"/>
      <c r="BB209" s="266"/>
      <c r="BC209" s="267"/>
      <c r="BD209" s="268"/>
      <c r="BE209" s="266"/>
      <c r="BF209" s="267"/>
      <c r="BG209" s="265"/>
      <c r="BH209" s="266"/>
      <c r="BI209" s="267"/>
      <c r="BJ209" s="268"/>
      <c r="BK209" s="341">
        <f>IFERROR(__xludf.DUMMYFUNCTION("""COMPUTED_VALUE"""),3.613746650710102)</f>
        <v>3.613746651</v>
      </c>
      <c r="BL209" s="267"/>
      <c r="BM209" s="268"/>
      <c r="BN209" s="266"/>
      <c r="BO209" s="267"/>
      <c r="BP209" s="268"/>
      <c r="BQ209" s="266"/>
      <c r="BR209" s="267"/>
      <c r="BS209" s="265"/>
      <c r="BT209" s="266"/>
      <c r="BU209" s="267"/>
      <c r="BV209" s="268"/>
      <c r="BW209" s="266"/>
      <c r="BX209" s="267"/>
      <c r="BY209" s="342">
        <f>IFERROR(__xludf.DUMMYFUNCTION("""COMPUTED_VALUE"""),37.011973777575385)</f>
        <v>37.01197378</v>
      </c>
      <c r="BZ209" s="266"/>
      <c r="CA209" s="267"/>
      <c r="CB209" s="268"/>
      <c r="CC209" s="266"/>
      <c r="CD209" s="267"/>
      <c r="CE209" s="268"/>
      <c r="CF209" s="266"/>
      <c r="CG209" s="267"/>
      <c r="CH209" s="268"/>
      <c r="CI209" s="266"/>
      <c r="CJ209" s="266"/>
      <c r="CK209" s="268"/>
      <c r="CL209" s="266"/>
      <c r="CM209" s="267"/>
      <c r="CN209" s="266"/>
      <c r="CO209" s="266"/>
      <c r="CP209" s="266"/>
      <c r="CQ209" s="268"/>
      <c r="CR209" s="266"/>
      <c r="CS209" s="266"/>
      <c r="CT209" s="342">
        <f>IFERROR(__xludf.DUMMYFUNCTION("""COMPUTED_VALUE"""),2.1739130434782608)</f>
        <v>2.173913043</v>
      </c>
      <c r="CU209" s="266"/>
      <c r="CV209" s="266"/>
      <c r="CW209" s="268"/>
      <c r="CX209" s="266"/>
      <c r="CY209" s="267"/>
      <c r="CZ209" s="266"/>
      <c r="DA209" s="266"/>
      <c r="DB209" s="339">
        <f>IFERROR(__xludf.DUMMYFUNCTION("""COMPUTED_VALUE"""),52.17391304347826)</f>
        <v>52.17391304</v>
      </c>
      <c r="DC209" s="268"/>
      <c r="DD209" s="266"/>
      <c r="DE209" s="267"/>
      <c r="DF209" s="268"/>
      <c r="DG209" s="266"/>
      <c r="DH209" s="267"/>
      <c r="DI209" s="342"/>
      <c r="DJ209" s="341"/>
      <c r="DK209" s="339"/>
      <c r="DL209" s="343"/>
      <c r="DM209" s="344"/>
      <c r="DN209" s="345"/>
      <c r="DO209" s="82"/>
      <c r="DP209" s="82"/>
      <c r="DQ209" s="82"/>
      <c r="DR209" s="82"/>
      <c r="DS209" s="82"/>
      <c r="DT209" s="82"/>
      <c r="DU209" s="82"/>
    </row>
    <row r="210">
      <c r="B210" s="120" t="str">
        <f>IFERROR(__xludf.DUMMYFUNCTION("""COMPUTED_VALUE"""),"SIN4")</f>
        <v>SIN4</v>
      </c>
      <c r="C210" s="264" t="str">
        <f>IFERROR(__xludf.DUMMYFUNCTION("""COMPUTED_VALUE"""),"Akuta's Camp")</f>
        <v>Akuta's Camp</v>
      </c>
      <c r="D210" s="102">
        <f>IFERROR(__xludf.DUMMYFUNCTION("""COMPUTED_VALUE"""),21.0)</f>
        <v>21</v>
      </c>
      <c r="E210" s="82" t="b">
        <f>IFERROR(__xludf.DUMMYFUNCTION("""COMPUTED_VALUE"""),TRUE)</f>
        <v>1</v>
      </c>
      <c r="F210" s="82" t="str">
        <f>IFERROR(__xludf.DUMMYFUNCTION("""COMPUTED_VALUE"""),"Free Quests- Part 2!A371:J382")</f>
        <v>Free Quests- Part 2!A371:J382</v>
      </c>
      <c r="G210" s="266">
        <f>IFERROR(__xludf.DUMMYFUNCTION("""COMPUTED_VALUE"""),211.0)</f>
        <v>211</v>
      </c>
      <c r="H210" s="266">
        <f>IFERROR(__xludf.DUMMYFUNCTION("""COMPUTED_VALUE"""),40.0)</f>
        <v>40</v>
      </c>
      <c r="I210" s="266">
        <f>IFERROR(__xludf.DUMMYFUNCTION("""COMPUTED_VALUE"""),2492.0)</f>
        <v>2492</v>
      </c>
      <c r="J210" s="266">
        <f>IFERROR(__xludf.DUMMYFUNCTION("""COMPUTED_VALUE"""),2532.0)</f>
        <v>2532</v>
      </c>
      <c r="K210" s="265"/>
      <c r="L210" s="266"/>
      <c r="M210" s="267"/>
      <c r="N210" s="268"/>
      <c r="O210" s="266"/>
      <c r="P210" s="267"/>
      <c r="Q210" s="268"/>
      <c r="R210" s="266"/>
      <c r="S210" s="267"/>
      <c r="T210" s="268"/>
      <c r="U210" s="266"/>
      <c r="V210" s="267"/>
      <c r="W210" s="265"/>
      <c r="X210" s="266"/>
      <c r="Y210" s="267"/>
      <c r="Z210" s="268"/>
      <c r="AA210" s="266"/>
      <c r="AB210" s="267"/>
      <c r="AC210" s="268"/>
      <c r="AD210" s="266"/>
      <c r="AE210" s="267"/>
      <c r="AF210" s="268"/>
      <c r="AG210" s="266"/>
      <c r="AH210" s="339">
        <f>IFERROR(__xludf.DUMMYFUNCTION("""COMPUTED_VALUE"""),20.492101105845183)</f>
        <v>20.49210111</v>
      </c>
      <c r="AI210" s="265"/>
      <c r="AJ210" s="266"/>
      <c r="AK210" s="267"/>
      <c r="AL210" s="340"/>
      <c r="AM210" s="266"/>
      <c r="AN210" s="267"/>
      <c r="AO210" s="268"/>
      <c r="AP210" s="341">
        <f>IFERROR(__xludf.DUMMYFUNCTION("""COMPUTED_VALUE"""),18.641548183254343)</f>
        <v>18.64154818</v>
      </c>
      <c r="AQ210" s="267"/>
      <c r="AR210" s="268"/>
      <c r="AS210" s="266"/>
      <c r="AT210" s="267"/>
      <c r="AU210" s="265"/>
      <c r="AV210" s="266"/>
      <c r="AW210" s="267"/>
      <c r="AX210" s="268"/>
      <c r="AY210" s="266"/>
      <c r="AZ210" s="339">
        <f>IFERROR(__xludf.DUMMYFUNCTION("""COMPUTED_VALUE"""),29.685939968404426)</f>
        <v>29.68593997</v>
      </c>
      <c r="BA210" s="268"/>
      <c r="BB210" s="266"/>
      <c r="BC210" s="267"/>
      <c r="BD210" s="268"/>
      <c r="BE210" s="266"/>
      <c r="BF210" s="267"/>
      <c r="BG210" s="265"/>
      <c r="BH210" s="266"/>
      <c r="BI210" s="267"/>
      <c r="BJ210" s="268"/>
      <c r="BK210" s="266"/>
      <c r="BL210" s="267"/>
      <c r="BM210" s="268"/>
      <c r="BN210" s="266"/>
      <c r="BO210" s="267"/>
      <c r="BP210" s="268"/>
      <c r="BQ210" s="266"/>
      <c r="BR210" s="267"/>
      <c r="BS210" s="234">
        <f>IFERROR(__xludf.DUMMYFUNCTION("""COMPUTED_VALUE"""),15.585874918687855)</f>
        <v>15.58587492</v>
      </c>
      <c r="BT210" s="266"/>
      <c r="BU210" s="267"/>
      <c r="BV210" s="268"/>
      <c r="BW210" s="341">
        <f>IFERROR(__xludf.DUMMYFUNCTION("""COMPUTED_VALUE"""),25.742161509153423)</f>
        <v>25.74216151</v>
      </c>
      <c r="BX210" s="267"/>
      <c r="BY210" s="268"/>
      <c r="BZ210" s="266"/>
      <c r="CA210" s="267"/>
      <c r="CB210" s="268"/>
      <c r="CC210" s="266"/>
      <c r="CD210" s="267"/>
      <c r="CE210" s="268"/>
      <c r="CF210" s="266"/>
      <c r="CG210" s="267"/>
      <c r="CH210" s="268"/>
      <c r="CI210" s="266"/>
      <c r="CJ210" s="266"/>
      <c r="CK210" s="268"/>
      <c r="CL210" s="266"/>
      <c r="CM210" s="267"/>
      <c r="CN210" s="266"/>
      <c r="CO210" s="266"/>
      <c r="CP210" s="266"/>
      <c r="CQ210" s="268"/>
      <c r="CR210" s="266"/>
      <c r="CS210" s="266"/>
      <c r="CT210" s="268"/>
      <c r="CU210" s="266"/>
      <c r="CV210" s="266"/>
      <c r="CW210" s="342">
        <f>IFERROR(__xludf.DUMMYFUNCTION("""COMPUTED_VALUE"""),12.5)</f>
        <v>12.5</v>
      </c>
      <c r="CX210" s="266"/>
      <c r="CY210" s="267"/>
      <c r="CZ210" s="266"/>
      <c r="DA210" s="266"/>
      <c r="DB210" s="267"/>
      <c r="DC210" s="342">
        <f>IFERROR(__xludf.DUMMYFUNCTION("""COMPUTED_VALUE"""),25.0)</f>
        <v>25</v>
      </c>
      <c r="DD210" s="266"/>
      <c r="DE210" s="267"/>
      <c r="DF210" s="268"/>
      <c r="DG210" s="266"/>
      <c r="DH210" s="339">
        <f>IFERROR(__xludf.DUMMYFUNCTION("""COMPUTED_VALUE"""),25.0)</f>
        <v>25</v>
      </c>
      <c r="DI210" s="342"/>
      <c r="DJ210" s="341"/>
      <c r="DK210" s="339"/>
      <c r="DL210" s="337"/>
      <c r="DM210" s="286"/>
      <c r="DN210" s="338"/>
      <c r="DO210" s="82"/>
      <c r="DP210" s="82"/>
      <c r="DQ210" s="82"/>
      <c r="DR210" s="82"/>
      <c r="DS210" s="82"/>
      <c r="DT210" s="82"/>
      <c r="DU210" s="82"/>
    </row>
    <row r="211">
      <c r="B211" s="120" t="str">
        <f>IFERROR(__xludf.DUMMYFUNCTION("""COMPUTED_VALUE"""),"SIN5")</f>
        <v>SIN5</v>
      </c>
      <c r="C211" s="264" t="str">
        <f>IFERROR(__xludf.DUMMYFUNCTION("""COMPUTED_VALUE"""),"Jingyang Field")</f>
        <v>Jingyang Field</v>
      </c>
      <c r="D211" s="102">
        <f>IFERROR(__xludf.DUMMYFUNCTION("""COMPUTED_VALUE"""),21.0)</f>
        <v>21</v>
      </c>
      <c r="E211" s="82" t="b">
        <f>IFERROR(__xludf.DUMMYFUNCTION("""COMPUTED_VALUE"""),TRUE)</f>
        <v>1</v>
      </c>
      <c r="F211" s="82" t="str">
        <f>IFERROR(__xludf.DUMMYFUNCTION("""COMPUTED_VALUE"""),"Free Quests- Part 2!A386:J397")</f>
        <v>Free Quests- Part 2!A386:J397</v>
      </c>
      <c r="G211" s="266">
        <f>IFERROR(__xludf.DUMMYFUNCTION("""COMPUTED_VALUE"""),212.0)</f>
        <v>212</v>
      </c>
      <c r="H211" s="266">
        <f>IFERROR(__xludf.DUMMYFUNCTION("""COMPUTED_VALUE"""),45.0)</f>
        <v>45</v>
      </c>
      <c r="I211" s="266">
        <f>IFERROR(__xludf.DUMMYFUNCTION("""COMPUTED_VALUE"""),5852.0)</f>
        <v>5852</v>
      </c>
      <c r="J211" s="266">
        <f>IFERROR(__xludf.DUMMYFUNCTION("""COMPUTED_VALUE"""),5897.0)</f>
        <v>5897</v>
      </c>
      <c r="K211" s="265"/>
      <c r="L211" s="266"/>
      <c r="M211" s="267"/>
      <c r="N211" s="268"/>
      <c r="O211" s="266"/>
      <c r="P211" s="267"/>
      <c r="Q211" s="268"/>
      <c r="R211" s="266"/>
      <c r="S211" s="267"/>
      <c r="T211" s="268"/>
      <c r="U211" s="266"/>
      <c r="V211" s="267"/>
      <c r="W211" s="234">
        <f>IFERROR(__xludf.DUMMYFUNCTION("""COMPUTED_VALUE"""),15.732813294895708)</f>
        <v>15.73281329</v>
      </c>
      <c r="X211" s="266"/>
      <c r="Y211" s="267"/>
      <c r="Z211" s="268"/>
      <c r="AA211" s="266"/>
      <c r="AB211" s="267"/>
      <c r="AC211" s="268"/>
      <c r="AD211" s="266"/>
      <c r="AE211" s="267"/>
      <c r="AF211" s="268"/>
      <c r="AG211" s="266"/>
      <c r="AH211" s="267"/>
      <c r="AI211" s="265"/>
      <c r="AJ211" s="266"/>
      <c r="AK211" s="267"/>
      <c r="AL211" s="340"/>
      <c r="AM211" s="266"/>
      <c r="AN211" s="267"/>
      <c r="AO211" s="268"/>
      <c r="AP211" s="341">
        <f>IFERROR(__xludf.DUMMYFUNCTION("""COMPUTED_VALUE"""),20.728573851110735)</f>
        <v>20.72857385</v>
      </c>
      <c r="AQ211" s="267"/>
      <c r="AR211" s="268"/>
      <c r="AS211" s="266"/>
      <c r="AT211" s="267"/>
      <c r="AU211" s="265"/>
      <c r="AV211" s="266"/>
      <c r="AW211" s="267"/>
      <c r="AX211" s="268"/>
      <c r="AY211" s="266"/>
      <c r="AZ211" s="339">
        <f>IFERROR(__xludf.DUMMYFUNCTION("""COMPUTED_VALUE"""),32.07549601492284)</f>
        <v>32.07549601</v>
      </c>
      <c r="BA211" s="268"/>
      <c r="BB211" s="266"/>
      <c r="BC211" s="267"/>
      <c r="BD211" s="268"/>
      <c r="BE211" s="266"/>
      <c r="BF211" s="267"/>
      <c r="BG211" s="265"/>
      <c r="BH211" s="266"/>
      <c r="BI211" s="267"/>
      <c r="BJ211" s="268"/>
      <c r="BK211" s="266"/>
      <c r="BL211" s="267"/>
      <c r="BM211" s="268"/>
      <c r="BN211" s="341">
        <f>IFERROR(__xludf.DUMMYFUNCTION("""COMPUTED_VALUE"""),10.101193566481)</f>
        <v>10.10119357</v>
      </c>
      <c r="BO211" s="267"/>
      <c r="BP211" s="268"/>
      <c r="BQ211" s="266"/>
      <c r="BR211" s="267"/>
      <c r="BS211" s="234">
        <f>IFERROR(__xludf.DUMMYFUNCTION("""COMPUTED_VALUE"""),10.179460220972853)</f>
        <v>10.17946022</v>
      </c>
      <c r="BT211" s="266"/>
      <c r="BU211" s="267"/>
      <c r="BV211" s="268"/>
      <c r="BW211" s="266"/>
      <c r="BX211" s="267"/>
      <c r="BY211" s="268"/>
      <c r="BZ211" s="266"/>
      <c r="CA211" s="267"/>
      <c r="CB211" s="268"/>
      <c r="CC211" s="266"/>
      <c r="CD211" s="267"/>
      <c r="CE211" s="268"/>
      <c r="CF211" s="266"/>
      <c r="CG211" s="267"/>
      <c r="CH211" s="268"/>
      <c r="CI211" s="266"/>
      <c r="CJ211" s="266"/>
      <c r="CK211" s="268"/>
      <c r="CL211" s="266"/>
      <c r="CM211" s="267"/>
      <c r="CN211" s="266"/>
      <c r="CO211" s="266"/>
      <c r="CP211" s="266"/>
      <c r="CQ211" s="268"/>
      <c r="CR211" s="266"/>
      <c r="CS211" s="266"/>
      <c r="CT211" s="268"/>
      <c r="CU211" s="266"/>
      <c r="CV211" s="266"/>
      <c r="CW211" s="268"/>
      <c r="CX211" s="341">
        <f>IFERROR(__xludf.DUMMYFUNCTION("""COMPUTED_VALUE"""),8.333333333333332)</f>
        <v>8.333333333</v>
      </c>
      <c r="CY211" s="267"/>
      <c r="CZ211" s="266"/>
      <c r="DA211" s="266"/>
      <c r="DB211" s="267"/>
      <c r="DC211" s="342">
        <f>IFERROR(__xludf.DUMMYFUNCTION("""COMPUTED_VALUE"""),16.666666666666664)</f>
        <v>16.66666667</v>
      </c>
      <c r="DD211" s="266"/>
      <c r="DE211" s="267"/>
      <c r="DF211" s="268"/>
      <c r="DG211" s="266"/>
      <c r="DH211" s="267"/>
      <c r="DI211" s="342"/>
      <c r="DJ211" s="341"/>
      <c r="DK211" s="339">
        <f>IFERROR(__xludf.DUMMYFUNCTION("""COMPUTED_VALUE"""),8.333333333333332)</f>
        <v>8.333333333</v>
      </c>
      <c r="DL211" s="343"/>
      <c r="DM211" s="344"/>
      <c r="DN211" s="345"/>
      <c r="DO211" s="82"/>
      <c r="DP211" s="82"/>
      <c r="DQ211" s="82"/>
      <c r="DR211" s="82"/>
      <c r="DS211" s="82"/>
      <c r="DT211" s="82"/>
      <c r="DU211" s="82"/>
    </row>
    <row r="212">
      <c r="B212" s="120" t="str">
        <f>IFERROR(__xludf.DUMMYFUNCTION("""COMPUTED_VALUE"""),"SIN6")</f>
        <v>SIN6</v>
      </c>
      <c r="C212" s="264" t="str">
        <f>IFERROR(__xludf.DUMMYFUNCTION("""COMPUTED_VALUE"""),"Shanyang Hill")</f>
        <v>Shanyang Hill</v>
      </c>
      <c r="D212" s="102">
        <f>IFERROR(__xludf.DUMMYFUNCTION("""COMPUTED_VALUE"""),21.0)</f>
        <v>21</v>
      </c>
      <c r="E212" s="82" t="b">
        <f>IFERROR(__xludf.DUMMYFUNCTION("""COMPUTED_VALUE"""),TRUE)</f>
        <v>1</v>
      </c>
      <c r="F212" s="82" t="str">
        <f>IFERROR(__xludf.DUMMYFUNCTION("""COMPUTED_VALUE"""),"Free Quests- Part 2!A401:J413")</f>
        <v>Free Quests- Part 2!A401:J413</v>
      </c>
      <c r="G212" s="266">
        <f>IFERROR(__xludf.DUMMYFUNCTION("""COMPUTED_VALUE"""),213.0)</f>
        <v>213</v>
      </c>
      <c r="H212" s="266">
        <f>IFERROR(__xludf.DUMMYFUNCTION("""COMPUTED_VALUE"""),49.0)</f>
        <v>49</v>
      </c>
      <c r="I212" s="266">
        <f>IFERROR(__xludf.DUMMYFUNCTION("""COMPUTED_VALUE"""),5463.0)</f>
        <v>5463</v>
      </c>
      <c r="J212" s="266">
        <f>IFERROR(__xludf.DUMMYFUNCTION("""COMPUTED_VALUE"""),5512.0)</f>
        <v>5512</v>
      </c>
      <c r="K212" s="265"/>
      <c r="L212" s="266"/>
      <c r="M212" s="267"/>
      <c r="N212" s="268"/>
      <c r="O212" s="266"/>
      <c r="P212" s="267"/>
      <c r="Q212" s="268"/>
      <c r="R212" s="266"/>
      <c r="S212" s="267"/>
      <c r="T212" s="268"/>
      <c r="U212" s="266"/>
      <c r="V212" s="267"/>
      <c r="W212" s="234">
        <f>IFERROR(__xludf.DUMMYFUNCTION("""COMPUTED_VALUE"""),15.264441219158199)</f>
        <v>15.26444122</v>
      </c>
      <c r="X212" s="266"/>
      <c r="Y212" s="267"/>
      <c r="Z212" s="268"/>
      <c r="AA212" s="266"/>
      <c r="AB212" s="267"/>
      <c r="AC212" s="268"/>
      <c r="AD212" s="266"/>
      <c r="AE212" s="267"/>
      <c r="AF212" s="268"/>
      <c r="AG212" s="266"/>
      <c r="AH212" s="267"/>
      <c r="AI212" s="265"/>
      <c r="AJ212" s="266"/>
      <c r="AK212" s="267"/>
      <c r="AL212" s="340"/>
      <c r="AM212" s="266"/>
      <c r="AN212" s="267"/>
      <c r="AO212" s="268"/>
      <c r="AP212" s="266"/>
      <c r="AQ212" s="267"/>
      <c r="AR212" s="268"/>
      <c r="AS212" s="266"/>
      <c r="AT212" s="267"/>
      <c r="AU212" s="265"/>
      <c r="AV212" s="266"/>
      <c r="AW212" s="267"/>
      <c r="AX212" s="268"/>
      <c r="AY212" s="266"/>
      <c r="AZ212" s="339">
        <f>IFERROR(__xludf.DUMMYFUNCTION("""COMPUTED_VALUE"""),29.21255442670537)</f>
        <v>29.21255443</v>
      </c>
      <c r="BA212" s="268"/>
      <c r="BB212" s="341">
        <f>IFERROR(__xludf.DUMMYFUNCTION("""COMPUTED_VALUE"""),30.15898040638607)</f>
        <v>30.15898041</v>
      </c>
      <c r="BC212" s="267"/>
      <c r="BD212" s="268"/>
      <c r="BE212" s="266"/>
      <c r="BF212" s="267"/>
      <c r="BG212" s="265"/>
      <c r="BH212" s="266"/>
      <c r="BI212" s="267"/>
      <c r="BJ212" s="268"/>
      <c r="BK212" s="266"/>
      <c r="BL212" s="267"/>
      <c r="BM212" s="268"/>
      <c r="BN212" s="341">
        <f>IFERROR(__xludf.DUMMYFUNCTION("""COMPUTED_VALUE"""),12.215587977182974)</f>
        <v>12.21558798</v>
      </c>
      <c r="BO212" s="267"/>
      <c r="BP212" s="268"/>
      <c r="BQ212" s="266"/>
      <c r="BR212" s="267"/>
      <c r="BS212" s="265"/>
      <c r="BT212" s="266"/>
      <c r="BU212" s="267"/>
      <c r="BV212" s="342">
        <f>IFERROR(__xludf.DUMMYFUNCTION("""COMPUTED_VALUE"""),25.4288824383164)</f>
        <v>25.42888244</v>
      </c>
      <c r="BW212" s="266"/>
      <c r="BX212" s="267"/>
      <c r="BY212" s="268"/>
      <c r="BZ212" s="266"/>
      <c r="CA212" s="267"/>
      <c r="CB212" s="268"/>
      <c r="CC212" s="266"/>
      <c r="CD212" s="267"/>
      <c r="CE212" s="268"/>
      <c r="CF212" s="266"/>
      <c r="CG212" s="267"/>
      <c r="CH212" s="268"/>
      <c r="CI212" s="266"/>
      <c r="CJ212" s="266"/>
      <c r="CK212" s="268"/>
      <c r="CL212" s="266"/>
      <c r="CM212" s="267"/>
      <c r="CN212" s="266"/>
      <c r="CO212" s="266"/>
      <c r="CP212" s="266"/>
      <c r="CQ212" s="268"/>
      <c r="CR212" s="266"/>
      <c r="CS212" s="266"/>
      <c r="CT212" s="268"/>
      <c r="CU212" s="266"/>
      <c r="CV212" s="266"/>
      <c r="CW212" s="268"/>
      <c r="CX212" s="341">
        <f>IFERROR(__xludf.DUMMYFUNCTION("""COMPUTED_VALUE"""),13.513513513513514)</f>
        <v>13.51351351</v>
      </c>
      <c r="CY212" s="339">
        <f>IFERROR(__xludf.DUMMYFUNCTION("""COMPUTED_VALUE"""),18.91891891891892)</f>
        <v>18.91891892</v>
      </c>
      <c r="CZ212" s="341">
        <f>IFERROR(__xludf.DUMMYFUNCTION("""COMPUTED_VALUE"""),18.91891891891892)</f>
        <v>18.91891892</v>
      </c>
      <c r="DA212" s="266"/>
      <c r="DB212" s="267"/>
      <c r="DC212" s="268"/>
      <c r="DD212" s="266"/>
      <c r="DE212" s="267"/>
      <c r="DF212" s="268"/>
      <c r="DG212" s="341">
        <f>IFERROR(__xludf.DUMMYFUNCTION("""COMPUTED_VALUE"""),20.588235294117645)</f>
        <v>20.58823529</v>
      </c>
      <c r="DH212" s="267"/>
      <c r="DI212" s="342"/>
      <c r="DJ212" s="341"/>
      <c r="DK212" s="339"/>
      <c r="DL212" s="337"/>
      <c r="DM212" s="286"/>
      <c r="DN212" s="338"/>
      <c r="DO212" s="82"/>
      <c r="DP212" s="82"/>
      <c r="DQ212" s="82"/>
      <c r="DR212" s="82"/>
      <c r="DS212" s="82"/>
      <c r="DT212" s="82"/>
      <c r="DU212" s="82"/>
    </row>
    <row r="213">
      <c r="B213" s="120" t="str">
        <f>IFERROR(__xludf.DUMMYFUNCTION("""COMPUTED_VALUE"""),"SIN7")</f>
        <v>SIN7</v>
      </c>
      <c r="C213" s="264" t="str">
        <f>IFERROR(__xludf.DUMMYFUNCTION("""COMPUTED_VALUE"""),"Prison Camp")</f>
        <v>Prison Camp</v>
      </c>
      <c r="D213" s="102">
        <f>IFERROR(__xludf.DUMMYFUNCTION("""COMPUTED_VALUE"""),21.0)</f>
        <v>21</v>
      </c>
      <c r="E213" s="82" t="b">
        <f>IFERROR(__xludf.DUMMYFUNCTION("""COMPUTED_VALUE"""),TRUE)</f>
        <v>1</v>
      </c>
      <c r="F213" s="82" t="str">
        <f>IFERROR(__xludf.DUMMYFUNCTION("""COMPUTED_VALUE"""),"Free Quests- Part 2!A417:J426")</f>
        <v>Free Quests- Part 2!A417:J426</v>
      </c>
      <c r="G213" s="266">
        <f>IFERROR(__xludf.DUMMYFUNCTION("""COMPUTED_VALUE"""),214.0)</f>
        <v>214</v>
      </c>
      <c r="H213" s="266">
        <f>IFERROR(__xludf.DUMMYFUNCTION("""COMPUTED_VALUE"""),4712.0)</f>
        <v>4712</v>
      </c>
      <c r="I213" s="266">
        <f>IFERROR(__xludf.DUMMYFUNCTION("""COMPUTED_VALUE"""),64594.0)</f>
        <v>64594</v>
      </c>
      <c r="J213" s="266">
        <f>IFERROR(__xludf.DUMMYFUNCTION("""COMPUTED_VALUE"""),69306.0)</f>
        <v>69306</v>
      </c>
      <c r="K213" s="265"/>
      <c r="L213" s="266"/>
      <c r="M213" s="267"/>
      <c r="N213" s="268"/>
      <c r="O213" s="266"/>
      <c r="P213" s="267"/>
      <c r="Q213" s="268"/>
      <c r="R213" s="266"/>
      <c r="S213" s="267"/>
      <c r="T213" s="268"/>
      <c r="U213" s="266"/>
      <c r="V213" s="267"/>
      <c r="W213" s="234">
        <f>IFERROR(__xludf.DUMMYFUNCTION("""COMPUTED_VALUE"""),20.155524774189825)</f>
        <v>20.15552477</v>
      </c>
      <c r="X213" s="266"/>
      <c r="Y213" s="267"/>
      <c r="Z213" s="268"/>
      <c r="AA213" s="266"/>
      <c r="AB213" s="267"/>
      <c r="AC213" s="268"/>
      <c r="AD213" s="266"/>
      <c r="AE213" s="267"/>
      <c r="AF213" s="268"/>
      <c r="AG213" s="266"/>
      <c r="AH213" s="267"/>
      <c r="AI213" s="265"/>
      <c r="AJ213" s="266"/>
      <c r="AK213" s="267"/>
      <c r="AL213" s="340"/>
      <c r="AM213" s="266"/>
      <c r="AN213" s="267"/>
      <c r="AO213" s="268"/>
      <c r="AP213" s="266"/>
      <c r="AQ213" s="267"/>
      <c r="AR213" s="342">
        <f>IFERROR(__xludf.DUMMYFUNCTION("""COMPUTED_VALUE"""),25.266617608865033)</f>
        <v>25.26661761</v>
      </c>
      <c r="AS213" s="266"/>
      <c r="AT213" s="267"/>
      <c r="AU213" s="265"/>
      <c r="AV213" s="266"/>
      <c r="AW213" s="267"/>
      <c r="AX213" s="268"/>
      <c r="AY213" s="266"/>
      <c r="AZ213" s="267"/>
      <c r="BA213" s="268"/>
      <c r="BB213" s="266"/>
      <c r="BC213" s="267"/>
      <c r="BD213" s="268"/>
      <c r="BE213" s="266"/>
      <c r="BF213" s="267"/>
      <c r="BG213" s="265"/>
      <c r="BH213" s="266"/>
      <c r="BI213" s="267"/>
      <c r="BJ213" s="268"/>
      <c r="BK213" s="266"/>
      <c r="BL213" s="267"/>
      <c r="BM213" s="268"/>
      <c r="BN213" s="341">
        <f>IFERROR(__xludf.DUMMYFUNCTION("""COMPUTED_VALUE"""),14.866065078320531)</f>
        <v>14.86606508</v>
      </c>
      <c r="BO213" s="267"/>
      <c r="BP213" s="268"/>
      <c r="BQ213" s="266"/>
      <c r="BR213" s="339">
        <f>IFERROR(__xludf.DUMMYFUNCTION("""COMPUTED_VALUE"""),20.093085000138633)</f>
        <v>20.093085</v>
      </c>
      <c r="BS213" s="265"/>
      <c r="BT213" s="266"/>
      <c r="BU213" s="267"/>
      <c r="BV213" s="268"/>
      <c r="BW213" s="266"/>
      <c r="BX213" s="267"/>
      <c r="BY213" s="268"/>
      <c r="BZ213" s="266"/>
      <c r="CA213" s="267"/>
      <c r="CB213" s="268"/>
      <c r="CC213" s="266"/>
      <c r="CD213" s="267"/>
      <c r="CE213" s="268"/>
      <c r="CF213" s="266"/>
      <c r="CG213" s="267"/>
      <c r="CH213" s="268"/>
      <c r="CI213" s="266"/>
      <c r="CJ213" s="266"/>
      <c r="CK213" s="268"/>
      <c r="CL213" s="266"/>
      <c r="CM213" s="267"/>
      <c r="CN213" s="266"/>
      <c r="CO213" s="266"/>
      <c r="CP213" s="266"/>
      <c r="CQ213" s="268"/>
      <c r="CR213" s="266"/>
      <c r="CS213" s="266"/>
      <c r="CT213" s="268"/>
      <c r="CU213" s="266"/>
      <c r="CV213" s="266"/>
      <c r="CW213" s="268"/>
      <c r="CX213" s="341">
        <f>IFERROR(__xludf.DUMMYFUNCTION("""COMPUTED_VALUE"""),16.486486486486488)</f>
        <v>16.48648649</v>
      </c>
      <c r="CY213" s="267"/>
      <c r="CZ213" s="266"/>
      <c r="DA213" s="266"/>
      <c r="DB213" s="339">
        <f>IFERROR(__xludf.DUMMYFUNCTION("""COMPUTED_VALUE"""),20.27027027027027)</f>
        <v>20.27027027</v>
      </c>
      <c r="DC213" s="268"/>
      <c r="DD213" s="266"/>
      <c r="DE213" s="267"/>
      <c r="DF213" s="268"/>
      <c r="DG213" s="266"/>
      <c r="DH213" s="267"/>
      <c r="DI213" s="342"/>
      <c r="DJ213" s="341"/>
      <c r="DK213" s="339"/>
      <c r="DL213" s="343"/>
      <c r="DM213" s="344"/>
      <c r="DN213" s="345"/>
      <c r="DO213" s="82"/>
      <c r="DP213" s="82"/>
      <c r="DQ213" s="82"/>
      <c r="DR213" s="82"/>
      <c r="DS213" s="82"/>
      <c r="DT213" s="82"/>
      <c r="DU213" s="82"/>
    </row>
    <row r="214">
      <c r="B214" s="120" t="str">
        <f>IFERROR(__xludf.DUMMYFUNCTION("""COMPUTED_VALUE"""),"SIN8")</f>
        <v>SIN8</v>
      </c>
      <c r="C214" s="264" t="str">
        <f>IFERROR(__xludf.DUMMYFUNCTION("""COMPUTED_VALUE"""),"Shiquan Canyon")</f>
        <v>Shiquan Canyon</v>
      </c>
      <c r="D214" s="102">
        <f>IFERROR(__xludf.DUMMYFUNCTION("""COMPUTED_VALUE"""),21.0)</f>
        <v>21</v>
      </c>
      <c r="E214" s="82" t="b">
        <f>IFERROR(__xludf.DUMMYFUNCTION("""COMPUTED_VALUE"""),TRUE)</f>
        <v>1</v>
      </c>
      <c r="F214" s="82" t="str">
        <f>IFERROR(__xludf.DUMMYFUNCTION("""COMPUTED_VALUE"""),"Free Quests- Part 2!A430:J439")</f>
        <v>Free Quests- Part 2!A430:J439</v>
      </c>
      <c r="G214" s="266">
        <f>IFERROR(__xludf.DUMMYFUNCTION("""COMPUTED_VALUE"""),215.0)</f>
        <v>215</v>
      </c>
      <c r="H214" s="266">
        <f>IFERROR(__xludf.DUMMYFUNCTION("""COMPUTED_VALUE"""),36.0)</f>
        <v>36</v>
      </c>
      <c r="I214" s="266">
        <f>IFERROR(__xludf.DUMMYFUNCTION("""COMPUTED_VALUE"""),12318.0)</f>
        <v>12318</v>
      </c>
      <c r="J214" s="266">
        <f>IFERROR(__xludf.DUMMYFUNCTION("""COMPUTED_VALUE"""),12354.0)</f>
        <v>12354</v>
      </c>
      <c r="K214" s="265"/>
      <c r="L214" s="266"/>
      <c r="M214" s="267"/>
      <c r="N214" s="268"/>
      <c r="O214" s="266"/>
      <c r="P214" s="267"/>
      <c r="Q214" s="268"/>
      <c r="R214" s="266"/>
      <c r="S214" s="267"/>
      <c r="T214" s="268"/>
      <c r="U214" s="266"/>
      <c r="V214" s="267"/>
      <c r="W214" s="234">
        <f>IFERROR(__xludf.DUMMYFUNCTION("""COMPUTED_VALUE"""),19.982192002590253)</f>
        <v>19.982192</v>
      </c>
      <c r="X214" s="266"/>
      <c r="Y214" s="267"/>
      <c r="Z214" s="268"/>
      <c r="AA214" s="266"/>
      <c r="AB214" s="267"/>
      <c r="AC214" s="268"/>
      <c r="AD214" s="266"/>
      <c r="AE214" s="267"/>
      <c r="AF214" s="268"/>
      <c r="AG214" s="266"/>
      <c r="AH214" s="339">
        <f>IFERROR(__xludf.DUMMYFUNCTION("""COMPUTED_VALUE"""),30.133705682370085)</f>
        <v>30.13370568</v>
      </c>
      <c r="AI214" s="265"/>
      <c r="AJ214" s="266"/>
      <c r="AK214" s="267"/>
      <c r="AL214" s="340"/>
      <c r="AM214" s="266"/>
      <c r="AN214" s="267"/>
      <c r="AO214" s="268"/>
      <c r="AP214" s="266"/>
      <c r="AQ214" s="267"/>
      <c r="AR214" s="268"/>
      <c r="AS214" s="266"/>
      <c r="AT214" s="267"/>
      <c r="AU214" s="265"/>
      <c r="AV214" s="266"/>
      <c r="AW214" s="267"/>
      <c r="AX214" s="268"/>
      <c r="AY214" s="266"/>
      <c r="AZ214" s="267"/>
      <c r="BA214" s="268"/>
      <c r="BB214" s="266"/>
      <c r="BC214" s="267"/>
      <c r="BD214" s="268"/>
      <c r="BE214" s="266"/>
      <c r="BF214" s="267"/>
      <c r="BG214" s="265"/>
      <c r="BH214" s="266"/>
      <c r="BI214" s="267"/>
      <c r="BJ214" s="268"/>
      <c r="BK214" s="266"/>
      <c r="BL214" s="267"/>
      <c r="BM214" s="268"/>
      <c r="BN214" s="341">
        <f>IFERROR(__xludf.DUMMYFUNCTION("""COMPUTED_VALUE"""),19.54657757445675)</f>
        <v>19.54657757</v>
      </c>
      <c r="BO214" s="267"/>
      <c r="BP214" s="268"/>
      <c r="BQ214" s="266"/>
      <c r="BR214" s="267"/>
      <c r="BS214" s="265"/>
      <c r="BT214" s="266"/>
      <c r="BU214" s="267"/>
      <c r="BV214" s="268"/>
      <c r="BW214" s="341">
        <f>IFERROR(__xludf.DUMMYFUNCTION("""COMPUTED_VALUE"""),25.638202071158883)</f>
        <v>25.63820207</v>
      </c>
      <c r="BX214" s="267"/>
      <c r="BY214" s="268"/>
      <c r="BZ214" s="266"/>
      <c r="CA214" s="267"/>
      <c r="CB214" s="268"/>
      <c r="CC214" s="266"/>
      <c r="CD214" s="267"/>
      <c r="CE214" s="268"/>
      <c r="CF214" s="266"/>
      <c r="CG214" s="267"/>
      <c r="CH214" s="268"/>
      <c r="CI214" s="266"/>
      <c r="CJ214" s="266"/>
      <c r="CK214" s="268"/>
      <c r="CL214" s="266"/>
      <c r="CM214" s="267"/>
      <c r="CN214" s="266"/>
      <c r="CO214" s="266"/>
      <c r="CP214" s="266"/>
      <c r="CQ214" s="268"/>
      <c r="CR214" s="266"/>
      <c r="CS214" s="266"/>
      <c r="CT214" s="268"/>
      <c r="CU214" s="266"/>
      <c r="CV214" s="266"/>
      <c r="CW214" s="268"/>
      <c r="CX214" s="341">
        <f>IFERROR(__xludf.DUMMYFUNCTION("""COMPUTED_VALUE"""),32.142857142857146)</f>
        <v>32.14285714</v>
      </c>
      <c r="CY214" s="267"/>
      <c r="CZ214" s="266"/>
      <c r="DA214" s="266"/>
      <c r="DB214" s="267"/>
      <c r="DC214" s="268"/>
      <c r="DD214" s="266"/>
      <c r="DE214" s="267"/>
      <c r="DF214" s="268"/>
      <c r="DG214" s="266"/>
      <c r="DH214" s="339">
        <f>IFERROR(__xludf.DUMMYFUNCTION("""COMPUTED_VALUE"""),25.0)</f>
        <v>25</v>
      </c>
      <c r="DI214" s="342"/>
      <c r="DJ214" s="341"/>
      <c r="DK214" s="339"/>
      <c r="DL214" s="337"/>
      <c r="DM214" s="286"/>
      <c r="DN214" s="338"/>
      <c r="DO214" s="82"/>
      <c r="DP214" s="82"/>
      <c r="DQ214" s="82"/>
      <c r="DR214" s="82"/>
      <c r="DS214" s="82"/>
      <c r="DT214" s="82"/>
      <c r="DU214" s="82"/>
    </row>
    <row r="215">
      <c r="B215" s="120" t="str">
        <f>IFERROR(__xludf.DUMMYFUNCTION("""COMPUTED_VALUE"""),"SIN9")</f>
        <v>SIN9</v>
      </c>
      <c r="C215" s="264" t="str">
        <f>IFERROR(__xludf.DUMMYFUNCTION("""COMPUTED_VALUE"""),"Daping Yu")</f>
        <v>Daping Yu</v>
      </c>
      <c r="D215" s="102">
        <f>IFERROR(__xludf.DUMMYFUNCTION("""COMPUTED_VALUE"""),21.0)</f>
        <v>21</v>
      </c>
      <c r="E215" s="82" t="b">
        <f>IFERROR(__xludf.DUMMYFUNCTION("""COMPUTED_VALUE"""),TRUE)</f>
        <v>1</v>
      </c>
      <c r="F215" s="82" t="str">
        <f>IFERROR(__xludf.DUMMYFUNCTION("""COMPUTED_VALUE"""),"Free Quests- Part 2!A443:J452")</f>
        <v>Free Quests- Part 2!A443:J452</v>
      </c>
      <c r="G215" s="266">
        <f>IFERROR(__xludf.DUMMYFUNCTION("""COMPUTED_VALUE"""),216.0)</f>
        <v>216</v>
      </c>
      <c r="H215" s="266">
        <f>IFERROR(__xludf.DUMMYFUNCTION("""COMPUTED_VALUE"""),111.0)</f>
        <v>111</v>
      </c>
      <c r="I215" s="266">
        <f>IFERROR(__xludf.DUMMYFUNCTION("""COMPUTED_VALUE"""),10400.0)</f>
        <v>10400</v>
      </c>
      <c r="J215" s="266">
        <f>IFERROR(__xludf.DUMMYFUNCTION("""COMPUTED_VALUE"""),10511.0)</f>
        <v>10511</v>
      </c>
      <c r="K215" s="265"/>
      <c r="L215" s="266"/>
      <c r="M215" s="267"/>
      <c r="N215" s="268"/>
      <c r="O215" s="266"/>
      <c r="P215" s="267"/>
      <c r="Q215" s="268"/>
      <c r="R215" s="266"/>
      <c r="S215" s="267"/>
      <c r="T215" s="268"/>
      <c r="U215" s="266"/>
      <c r="V215" s="267"/>
      <c r="W215" s="265"/>
      <c r="X215" s="266"/>
      <c r="Y215" s="267"/>
      <c r="Z215" s="268"/>
      <c r="AA215" s="266"/>
      <c r="AB215" s="267"/>
      <c r="AC215" s="268"/>
      <c r="AD215" s="266"/>
      <c r="AE215" s="267"/>
      <c r="AF215" s="268"/>
      <c r="AG215" s="266"/>
      <c r="AH215" s="339">
        <f>IFERROR(__xludf.DUMMYFUNCTION("""COMPUTED_VALUE"""),28.733707544477216)</f>
        <v>28.73370754</v>
      </c>
      <c r="AI215" s="265"/>
      <c r="AJ215" s="266"/>
      <c r="AK215" s="267"/>
      <c r="AL215" s="340"/>
      <c r="AM215" s="266"/>
      <c r="AN215" s="267"/>
      <c r="AO215" s="268"/>
      <c r="AP215" s="266"/>
      <c r="AQ215" s="267"/>
      <c r="AR215" s="342">
        <f>IFERROR(__xludf.DUMMYFUNCTION("""COMPUTED_VALUE"""),25.436209685091807)</f>
        <v>25.43620969</v>
      </c>
      <c r="AS215" s="266"/>
      <c r="AT215" s="267"/>
      <c r="AU215" s="265"/>
      <c r="AV215" s="266"/>
      <c r="AW215" s="267"/>
      <c r="AX215" s="268"/>
      <c r="AY215" s="266"/>
      <c r="AZ215" s="267"/>
      <c r="BA215" s="268"/>
      <c r="BB215" s="266"/>
      <c r="BC215" s="267"/>
      <c r="BD215" s="268"/>
      <c r="BE215" s="266"/>
      <c r="BF215" s="267"/>
      <c r="BG215" s="265"/>
      <c r="BH215" s="266"/>
      <c r="BI215" s="267"/>
      <c r="BJ215" s="268"/>
      <c r="BK215" s="266"/>
      <c r="BL215" s="267"/>
      <c r="BM215" s="268"/>
      <c r="BN215" s="266"/>
      <c r="BO215" s="267"/>
      <c r="BP215" s="268"/>
      <c r="BQ215" s="266"/>
      <c r="BR215" s="339">
        <f>IFERROR(__xludf.DUMMYFUNCTION("""COMPUTED_VALUE"""),20.316946871984452)</f>
        <v>20.31694687</v>
      </c>
      <c r="BS215" s="265"/>
      <c r="BT215" s="266"/>
      <c r="BU215" s="267"/>
      <c r="BV215" s="268"/>
      <c r="BW215" s="341">
        <f>IFERROR(__xludf.DUMMYFUNCTION("""COMPUTED_VALUE"""),25.502262935428192)</f>
        <v>25.50226294</v>
      </c>
      <c r="BX215" s="267"/>
      <c r="BY215" s="268"/>
      <c r="BZ215" s="266"/>
      <c r="CA215" s="267"/>
      <c r="CB215" s="268"/>
      <c r="CC215" s="266"/>
      <c r="CD215" s="267"/>
      <c r="CE215" s="268"/>
      <c r="CF215" s="266"/>
      <c r="CG215" s="267"/>
      <c r="CH215" s="268"/>
      <c r="CI215" s="266"/>
      <c r="CJ215" s="266"/>
      <c r="CK215" s="268"/>
      <c r="CL215" s="266"/>
      <c r="CM215" s="267"/>
      <c r="CN215" s="266"/>
      <c r="CO215" s="266"/>
      <c r="CP215" s="266"/>
      <c r="CQ215" s="268"/>
      <c r="CR215" s="266"/>
      <c r="CS215" s="266"/>
      <c r="CT215" s="268"/>
      <c r="CU215" s="266"/>
      <c r="CV215" s="266"/>
      <c r="CW215" s="268"/>
      <c r="CX215" s="266"/>
      <c r="CY215" s="267"/>
      <c r="CZ215" s="266"/>
      <c r="DA215" s="266"/>
      <c r="DB215" s="339">
        <f>IFERROR(__xludf.DUMMYFUNCTION("""COMPUTED_VALUE"""),17.24137931034483)</f>
        <v>17.24137931</v>
      </c>
      <c r="DC215" s="268"/>
      <c r="DD215" s="266"/>
      <c r="DE215" s="267"/>
      <c r="DF215" s="268"/>
      <c r="DG215" s="266"/>
      <c r="DH215" s="339">
        <f>IFERROR(__xludf.DUMMYFUNCTION("""COMPUTED_VALUE"""),37.93103448275862)</f>
        <v>37.93103448</v>
      </c>
      <c r="DI215" s="342"/>
      <c r="DJ215" s="341"/>
      <c r="DK215" s="339"/>
      <c r="DL215" s="343"/>
      <c r="DM215" s="344"/>
      <c r="DN215" s="345"/>
      <c r="DO215" s="82"/>
      <c r="DP215" s="82"/>
      <c r="DQ215" s="82"/>
      <c r="DR215" s="82"/>
      <c r="DS215" s="82"/>
      <c r="DT215" s="82"/>
      <c r="DU215" s="82"/>
    </row>
    <row r="216">
      <c r="B216" s="120" t="str">
        <f>IFERROR(__xludf.DUMMYFUNCTION("""COMPUTED_VALUE"""),"SIN10")</f>
        <v>SIN10</v>
      </c>
      <c r="C216" s="264" t="str">
        <f>IFERROR(__xludf.DUMMYFUNCTION("""COMPUTED_VALUE"""),"Xianyang")</f>
        <v>Xianyang</v>
      </c>
      <c r="D216" s="102">
        <f>IFERROR(__xludf.DUMMYFUNCTION("""COMPUTED_VALUE"""),21.0)</f>
        <v>21</v>
      </c>
      <c r="E216" s="82" t="b">
        <f>IFERROR(__xludf.DUMMYFUNCTION("""COMPUTED_VALUE"""),TRUE)</f>
        <v>1</v>
      </c>
      <c r="F216" s="82" t="str">
        <f>IFERROR(__xludf.DUMMYFUNCTION("""COMPUTED_VALUE"""),"Free Quests- Part 2!A456:J467")</f>
        <v>Free Quests- Part 2!A456:J467</v>
      </c>
      <c r="G216" s="266">
        <f>IFERROR(__xludf.DUMMYFUNCTION("""COMPUTED_VALUE"""),217.0)</f>
        <v>217</v>
      </c>
      <c r="H216" s="266">
        <f>IFERROR(__xludf.DUMMYFUNCTION("""COMPUTED_VALUE"""),43.0)</f>
        <v>43</v>
      </c>
      <c r="I216" s="266">
        <f>IFERROR(__xludf.DUMMYFUNCTION("""COMPUTED_VALUE"""),10327.0)</f>
        <v>10327</v>
      </c>
      <c r="J216" s="266">
        <f>IFERROR(__xludf.DUMMYFUNCTION("""COMPUTED_VALUE"""),10370.0)</f>
        <v>10370</v>
      </c>
      <c r="K216" s="265"/>
      <c r="L216" s="266"/>
      <c r="M216" s="267"/>
      <c r="N216" s="268"/>
      <c r="O216" s="266"/>
      <c r="P216" s="267"/>
      <c r="Q216" s="268"/>
      <c r="R216" s="266"/>
      <c r="S216" s="267"/>
      <c r="T216" s="268"/>
      <c r="U216" s="266"/>
      <c r="V216" s="267"/>
      <c r="W216" s="234">
        <f>IFERROR(__xludf.DUMMYFUNCTION("""COMPUTED_VALUE"""),15.920858244937321)</f>
        <v>15.92085824</v>
      </c>
      <c r="X216" s="266"/>
      <c r="Y216" s="267"/>
      <c r="Z216" s="268"/>
      <c r="AA216" s="266"/>
      <c r="AB216" s="267"/>
      <c r="AC216" s="268"/>
      <c r="AD216" s="266"/>
      <c r="AE216" s="267"/>
      <c r="AF216" s="268"/>
      <c r="AG216" s="266"/>
      <c r="AH216" s="267"/>
      <c r="AI216" s="265"/>
      <c r="AJ216" s="266"/>
      <c r="AK216" s="267"/>
      <c r="AL216" s="340"/>
      <c r="AM216" s="266"/>
      <c r="AN216" s="267"/>
      <c r="AO216" s="268"/>
      <c r="AP216" s="266"/>
      <c r="AQ216" s="267"/>
      <c r="AR216" s="342">
        <f>IFERROR(__xludf.DUMMYFUNCTION("""COMPUTED_VALUE"""),19.913915139826422)</f>
        <v>19.91391514</v>
      </c>
      <c r="AS216" s="266"/>
      <c r="AT216" s="267"/>
      <c r="AU216" s="265"/>
      <c r="AV216" s="266"/>
      <c r="AW216" s="267"/>
      <c r="AX216" s="268"/>
      <c r="AY216" s="266"/>
      <c r="AZ216" s="339">
        <f>IFERROR(__xludf.DUMMYFUNCTION("""COMPUTED_VALUE"""),29.750424300867884)</f>
        <v>29.7504243</v>
      </c>
      <c r="BA216" s="268"/>
      <c r="BB216" s="266"/>
      <c r="BC216" s="267"/>
      <c r="BD216" s="268"/>
      <c r="BE216" s="266"/>
      <c r="BF216" s="267"/>
      <c r="BG216" s="265"/>
      <c r="BH216" s="266"/>
      <c r="BI216" s="267"/>
      <c r="BJ216" s="268"/>
      <c r="BK216" s="266"/>
      <c r="BL216" s="267"/>
      <c r="BM216" s="268"/>
      <c r="BN216" s="341">
        <f>IFERROR(__xludf.DUMMYFUNCTION("""COMPUTED_VALUE"""),15.28263045108754)</f>
        <v>15.28263045</v>
      </c>
      <c r="BO216" s="267"/>
      <c r="BP216" s="268"/>
      <c r="BQ216" s="266"/>
      <c r="BR216" s="339">
        <f>IFERROR(__xludf.DUMMYFUNCTION("""COMPUTED_VALUE"""),23.84696989178185)</f>
        <v>23.84696989</v>
      </c>
      <c r="BS216" s="265"/>
      <c r="BT216" s="266"/>
      <c r="BU216" s="267"/>
      <c r="BV216" s="268"/>
      <c r="BW216" s="266"/>
      <c r="BX216" s="267"/>
      <c r="BY216" s="268"/>
      <c r="BZ216" s="266"/>
      <c r="CA216" s="267"/>
      <c r="CB216" s="268"/>
      <c r="CC216" s="266"/>
      <c r="CD216" s="267"/>
      <c r="CE216" s="268"/>
      <c r="CF216" s="266"/>
      <c r="CG216" s="267"/>
      <c r="CH216" s="268"/>
      <c r="CI216" s="266"/>
      <c r="CJ216" s="266"/>
      <c r="CK216" s="268"/>
      <c r="CL216" s="266"/>
      <c r="CM216" s="267"/>
      <c r="CN216" s="266"/>
      <c r="CO216" s="266"/>
      <c r="CP216" s="266"/>
      <c r="CQ216" s="268"/>
      <c r="CR216" s="266"/>
      <c r="CS216" s="266"/>
      <c r="CT216" s="268"/>
      <c r="CU216" s="266"/>
      <c r="CV216" s="266"/>
      <c r="CW216" s="268"/>
      <c r="CX216" s="341">
        <f>IFERROR(__xludf.DUMMYFUNCTION("""COMPUTED_VALUE"""),12.121212121212121)</f>
        <v>12.12121212</v>
      </c>
      <c r="CY216" s="339">
        <f>IFERROR(__xludf.DUMMYFUNCTION("""COMPUTED_VALUE"""),9.090909090909092)</f>
        <v>9.090909091</v>
      </c>
      <c r="CZ216" s="266"/>
      <c r="DA216" s="266"/>
      <c r="DB216" s="339">
        <f>IFERROR(__xludf.DUMMYFUNCTION("""COMPUTED_VALUE"""),24.242424242424242)</f>
        <v>24.24242424</v>
      </c>
      <c r="DC216" s="268"/>
      <c r="DD216" s="266"/>
      <c r="DE216" s="267"/>
      <c r="DF216" s="268"/>
      <c r="DG216" s="266"/>
      <c r="DH216" s="267"/>
      <c r="DI216" s="342"/>
      <c r="DJ216" s="341"/>
      <c r="DK216" s="339"/>
      <c r="DL216" s="337"/>
      <c r="DM216" s="286"/>
      <c r="DN216" s="338"/>
      <c r="DO216" s="82"/>
      <c r="DP216" s="82"/>
      <c r="DQ216" s="82"/>
      <c r="DR216" s="82"/>
      <c r="DS216" s="82"/>
      <c r="DT216" s="82"/>
      <c r="DU216" s="82"/>
    </row>
    <row r="217">
      <c r="B217" s="120" t="str">
        <f>IFERROR(__xludf.DUMMYFUNCTION("""COMPUTED_VALUE"""),"SIN11")</f>
        <v>SIN11</v>
      </c>
      <c r="C217" s="264" t="str">
        <f>IFERROR(__xludf.DUMMYFUNCTION("""COMPUTED_VALUE"""),"Ba Men Cave")</f>
        <v>Ba Men Cave</v>
      </c>
      <c r="D217" s="102">
        <f>IFERROR(__xludf.DUMMYFUNCTION("""COMPUTED_VALUE"""),21.0)</f>
        <v>21</v>
      </c>
      <c r="E217" s="82" t="b">
        <f>IFERROR(__xludf.DUMMYFUNCTION("""COMPUTED_VALUE"""),TRUE)</f>
        <v>1</v>
      </c>
      <c r="F217" s="82" t="str">
        <f>IFERROR(__xludf.DUMMYFUNCTION("""COMPUTED_VALUE"""),"Free Quests- Part 2!A471:J476")</f>
        <v>Free Quests- Part 2!A471:J476</v>
      </c>
      <c r="G217" s="266">
        <f>IFERROR(__xludf.DUMMYFUNCTION("""COMPUTED_VALUE"""),218.0)</f>
        <v>218</v>
      </c>
      <c r="H217" s="266">
        <f>IFERROR(__xludf.DUMMYFUNCTION("""COMPUTED_VALUE"""),1450.0)</f>
        <v>1450</v>
      </c>
      <c r="I217" s="266">
        <f>IFERROR(__xludf.DUMMYFUNCTION("""COMPUTED_VALUE"""),29077.0)</f>
        <v>29077</v>
      </c>
      <c r="J217" s="266">
        <f>IFERROR(__xludf.DUMMYFUNCTION("""COMPUTED_VALUE"""),30527.0)</f>
        <v>30527</v>
      </c>
      <c r="K217" s="265"/>
      <c r="L217" s="266"/>
      <c r="M217" s="267"/>
      <c r="N217" s="268"/>
      <c r="O217" s="266"/>
      <c r="P217" s="267"/>
      <c r="Q217" s="268"/>
      <c r="R217" s="266"/>
      <c r="S217" s="267"/>
      <c r="T217" s="268"/>
      <c r="U217" s="266"/>
      <c r="V217" s="267"/>
      <c r="W217" s="265"/>
      <c r="X217" s="266"/>
      <c r="Y217" s="267"/>
      <c r="Z217" s="268"/>
      <c r="AA217" s="266"/>
      <c r="AB217" s="267"/>
      <c r="AC217" s="268"/>
      <c r="AD217" s="266"/>
      <c r="AE217" s="267"/>
      <c r="AF217" s="268"/>
      <c r="AG217" s="266"/>
      <c r="AH217" s="267"/>
      <c r="AI217" s="265"/>
      <c r="AJ217" s="266"/>
      <c r="AK217" s="267"/>
      <c r="AL217" s="340"/>
      <c r="AM217" s="266"/>
      <c r="AN217" s="267"/>
      <c r="AO217" s="268"/>
      <c r="AP217" s="266"/>
      <c r="AQ217" s="267"/>
      <c r="AR217" s="342">
        <f>IFERROR(__xludf.DUMMYFUNCTION("""COMPUTED_VALUE"""),39.28411242506633)</f>
        <v>39.28411243</v>
      </c>
      <c r="AS217" s="266"/>
      <c r="AT217" s="267"/>
      <c r="AU217" s="265"/>
      <c r="AV217" s="266"/>
      <c r="AW217" s="267"/>
      <c r="AX217" s="268"/>
      <c r="AY217" s="266"/>
      <c r="AZ217" s="267"/>
      <c r="BA217" s="268"/>
      <c r="BB217" s="266"/>
      <c r="BC217" s="267"/>
      <c r="BD217" s="268"/>
      <c r="BE217" s="266"/>
      <c r="BF217" s="267"/>
      <c r="BG217" s="265"/>
      <c r="BH217" s="266"/>
      <c r="BI217" s="267"/>
      <c r="BJ217" s="268"/>
      <c r="BK217" s="266"/>
      <c r="BL217" s="267"/>
      <c r="BM217" s="268"/>
      <c r="BN217" s="266"/>
      <c r="BO217" s="267"/>
      <c r="BP217" s="268"/>
      <c r="BQ217" s="266"/>
      <c r="BR217" s="339">
        <f>IFERROR(__xludf.DUMMYFUNCTION("""COMPUTED_VALUE"""),45.0679048444875)</f>
        <v>45.06790484</v>
      </c>
      <c r="BS217" s="265"/>
      <c r="BT217" s="266"/>
      <c r="BU217" s="267"/>
      <c r="BV217" s="268"/>
      <c r="BW217" s="266"/>
      <c r="BX217" s="267"/>
      <c r="BY217" s="268"/>
      <c r="BZ217" s="266"/>
      <c r="CA217" s="267"/>
      <c r="CB217" s="268"/>
      <c r="CC217" s="266"/>
      <c r="CD217" s="267"/>
      <c r="CE217" s="268"/>
      <c r="CF217" s="266"/>
      <c r="CG217" s="267"/>
      <c r="CH217" s="268"/>
      <c r="CI217" s="266"/>
      <c r="CJ217" s="266"/>
      <c r="CK217" s="268"/>
      <c r="CL217" s="266"/>
      <c r="CM217" s="267"/>
      <c r="CN217" s="266"/>
      <c r="CO217" s="266"/>
      <c r="CP217" s="266"/>
      <c r="CQ217" s="268"/>
      <c r="CR217" s="266"/>
      <c r="CS217" s="266"/>
      <c r="CT217" s="268"/>
      <c r="CU217" s="266"/>
      <c r="CV217" s="266"/>
      <c r="CW217" s="268"/>
      <c r="CX217" s="266"/>
      <c r="CY217" s="267"/>
      <c r="CZ217" s="266"/>
      <c r="DA217" s="266"/>
      <c r="DB217" s="339">
        <f>IFERROR(__xludf.DUMMYFUNCTION("""COMPUTED_VALUE"""),46.5625)</f>
        <v>46.5625</v>
      </c>
      <c r="DC217" s="268"/>
      <c r="DD217" s="266"/>
      <c r="DE217" s="267"/>
      <c r="DF217" s="268"/>
      <c r="DG217" s="266"/>
      <c r="DH217" s="267"/>
      <c r="DI217" s="342"/>
      <c r="DJ217" s="341"/>
      <c r="DK217" s="339"/>
      <c r="DL217" s="346"/>
      <c r="DM217" s="223"/>
      <c r="DN217" s="347"/>
      <c r="DO217" s="82"/>
      <c r="DP217" s="82"/>
      <c r="DQ217" s="82"/>
      <c r="DR217" s="82"/>
      <c r="DS217" s="82"/>
      <c r="DT217" s="82"/>
      <c r="DU217" s="82"/>
    </row>
    <row r="218">
      <c r="A218" s="183" t="str">
        <f>IFERROR(__xludf.DUMMYFUNCTION("""COMPUTED_VALUE"""),"YUGA KSHETRA")</f>
        <v>YUGA KSHETRA</v>
      </c>
      <c r="B218" s="120" t="str">
        <f>IFERROR(__xludf.DUMMYFUNCTION("""COMPUTED_VALUE"""),"YKS1")</f>
        <v>YKS1</v>
      </c>
      <c r="C218" s="264" t="str">
        <f>IFERROR(__xludf.DUMMYFUNCTION("""COMPUTED_VALUE"""),"Initiate Point")</f>
        <v>Initiate Point</v>
      </c>
      <c r="D218" s="102">
        <f>IFERROR(__xludf.DUMMYFUNCTION("""COMPUTED_VALUE"""),20.0)</f>
        <v>20</v>
      </c>
      <c r="E218" s="82" t="b">
        <f>IFERROR(__xludf.DUMMYFUNCTION("""COMPUTED_VALUE"""),FALSE)</f>
        <v>0</v>
      </c>
      <c r="F218" s="82" t="str">
        <f>IFERROR(__xludf.DUMMYFUNCTION("""COMPUTED_VALUE"""),"Free Quests- Part 2!A482:J490")</f>
        <v>Free Quests- Part 2!A482:J490</v>
      </c>
      <c r="G218" s="266">
        <f>IFERROR(__xludf.DUMMYFUNCTION("""COMPUTED_VALUE"""),219.0)</f>
        <v>219</v>
      </c>
      <c r="H218" s="266" t="str">
        <f>IFERROR(__xludf.DUMMYFUNCTION("""COMPUTED_VALUE"""),"Closed")</f>
        <v>Closed</v>
      </c>
      <c r="I218" s="266">
        <f>IFERROR(__xludf.DUMMYFUNCTION("""COMPUTED_VALUE"""),4522.0)</f>
        <v>4522</v>
      </c>
      <c r="J218" s="266" t="str">
        <f>IFERROR(__xludf.DUMMYFUNCTION("""COMPUTED_VALUE"""),"Closed")</f>
        <v>Closed</v>
      </c>
      <c r="K218" s="234" t="str">
        <f>IFERROR(__xludf.DUMMYFUNCTION("""COMPUTED_VALUE"""),"Closed")</f>
        <v>Closed</v>
      </c>
      <c r="L218" s="341" t="str">
        <f>IFERROR(__xludf.DUMMYFUNCTION("""COMPUTED_VALUE"""),"Closed")</f>
        <v>Closed</v>
      </c>
      <c r="M218" s="339" t="str">
        <f>IFERROR(__xludf.DUMMYFUNCTION("""COMPUTED_VALUE"""),"Closed")</f>
        <v>Closed</v>
      </c>
      <c r="N218" s="342" t="str">
        <f>IFERROR(__xludf.DUMMYFUNCTION("""COMPUTED_VALUE"""),"Closed")</f>
        <v>Closed</v>
      </c>
      <c r="O218" s="341" t="str">
        <f>IFERROR(__xludf.DUMMYFUNCTION("""COMPUTED_VALUE"""),"Closed")</f>
        <v>Closed</v>
      </c>
      <c r="P218" s="339" t="str">
        <f>IFERROR(__xludf.DUMMYFUNCTION("""COMPUTED_VALUE"""),"Closed")</f>
        <v>Closed</v>
      </c>
      <c r="Q218" s="342" t="str">
        <f>IFERROR(__xludf.DUMMYFUNCTION("""COMPUTED_VALUE"""),"Closed")</f>
        <v>Closed</v>
      </c>
      <c r="R218" s="341" t="str">
        <f>IFERROR(__xludf.DUMMYFUNCTION("""COMPUTED_VALUE"""),"Closed")</f>
        <v>Closed</v>
      </c>
      <c r="S218" s="339" t="str">
        <f>IFERROR(__xludf.DUMMYFUNCTION("""COMPUTED_VALUE"""),"Closed")</f>
        <v>Closed</v>
      </c>
      <c r="T218" s="342" t="str">
        <f>IFERROR(__xludf.DUMMYFUNCTION("""COMPUTED_VALUE"""),"Closed")</f>
        <v>Closed</v>
      </c>
      <c r="U218" s="341" t="str">
        <f>IFERROR(__xludf.DUMMYFUNCTION("""COMPUTED_VALUE"""),"Closed")</f>
        <v>Closed</v>
      </c>
      <c r="V218" s="339" t="str">
        <f>IFERROR(__xludf.DUMMYFUNCTION("""COMPUTED_VALUE"""),"Closed")</f>
        <v>Closed</v>
      </c>
      <c r="W218" s="234" t="str">
        <f>IFERROR(__xludf.DUMMYFUNCTION("""COMPUTED_VALUE"""),"Closed")</f>
        <v>Closed</v>
      </c>
      <c r="X218" s="341" t="str">
        <f>IFERROR(__xludf.DUMMYFUNCTION("""COMPUTED_VALUE"""),"Closed")</f>
        <v>Closed</v>
      </c>
      <c r="Y218" s="339" t="str">
        <f>IFERROR(__xludf.DUMMYFUNCTION("""COMPUTED_VALUE"""),"Closed")</f>
        <v>Closed</v>
      </c>
      <c r="Z218" s="342" t="str">
        <f>IFERROR(__xludf.DUMMYFUNCTION("""COMPUTED_VALUE"""),"Closed")</f>
        <v>Closed</v>
      </c>
      <c r="AA218" s="341" t="str">
        <f>IFERROR(__xludf.DUMMYFUNCTION("""COMPUTED_VALUE"""),"Closed")</f>
        <v>Closed</v>
      </c>
      <c r="AB218" s="339" t="str">
        <f>IFERROR(__xludf.DUMMYFUNCTION("""COMPUTED_VALUE"""),"Closed")</f>
        <v>Closed</v>
      </c>
      <c r="AC218" s="342" t="str">
        <f>IFERROR(__xludf.DUMMYFUNCTION("""COMPUTED_VALUE"""),"Closed")</f>
        <v>Closed</v>
      </c>
      <c r="AD218" s="341" t="str">
        <f>IFERROR(__xludf.DUMMYFUNCTION("""COMPUTED_VALUE"""),"Closed")</f>
        <v>Closed</v>
      </c>
      <c r="AE218" s="339" t="str">
        <f>IFERROR(__xludf.DUMMYFUNCTION("""COMPUTED_VALUE"""),"Closed")</f>
        <v>Closed</v>
      </c>
      <c r="AF218" s="342" t="str">
        <f>IFERROR(__xludf.DUMMYFUNCTION("""COMPUTED_VALUE"""),"Closed")</f>
        <v>Closed</v>
      </c>
      <c r="AG218" s="341" t="str">
        <f>IFERROR(__xludf.DUMMYFUNCTION("""COMPUTED_VALUE"""),"Closed")</f>
        <v>Closed</v>
      </c>
      <c r="AH218" s="339" t="str">
        <f>IFERROR(__xludf.DUMMYFUNCTION("""COMPUTED_VALUE"""),"Closed")</f>
        <v>Closed</v>
      </c>
      <c r="AI218" s="234" t="str">
        <f>IFERROR(__xludf.DUMMYFUNCTION("""COMPUTED_VALUE"""),"Closed")</f>
        <v>Closed</v>
      </c>
      <c r="AJ218" s="341" t="str">
        <f>IFERROR(__xludf.DUMMYFUNCTION("""COMPUTED_VALUE"""),"Closed")</f>
        <v>Closed</v>
      </c>
      <c r="AK218" s="339" t="str">
        <f>IFERROR(__xludf.DUMMYFUNCTION("""COMPUTED_VALUE"""),"Closed")</f>
        <v>Closed</v>
      </c>
      <c r="AL218" s="340" t="str">
        <f>IFERROR(__xludf.DUMMYFUNCTION("""COMPUTED_VALUE"""),"Closed")</f>
        <v>Closed</v>
      </c>
      <c r="AM218" s="341" t="str">
        <f>IFERROR(__xludf.DUMMYFUNCTION("""COMPUTED_VALUE"""),"Closed")</f>
        <v>Closed</v>
      </c>
      <c r="AN218" s="339" t="str">
        <f>IFERROR(__xludf.DUMMYFUNCTION("""COMPUTED_VALUE"""),"Closed")</f>
        <v>Closed</v>
      </c>
      <c r="AO218" s="342" t="str">
        <f>IFERROR(__xludf.DUMMYFUNCTION("""COMPUTED_VALUE"""),"Closed")</f>
        <v>Closed</v>
      </c>
      <c r="AP218" s="341" t="str">
        <f>IFERROR(__xludf.DUMMYFUNCTION("""COMPUTED_VALUE"""),"Closed")</f>
        <v>Closed</v>
      </c>
      <c r="AQ218" s="339" t="str">
        <f>IFERROR(__xludf.DUMMYFUNCTION("""COMPUTED_VALUE"""),"Closed")</f>
        <v>Closed</v>
      </c>
      <c r="AR218" s="342" t="str">
        <f>IFERROR(__xludf.DUMMYFUNCTION("""COMPUTED_VALUE"""),"Closed")</f>
        <v>Closed</v>
      </c>
      <c r="AS218" s="341" t="str">
        <f>IFERROR(__xludf.DUMMYFUNCTION("""COMPUTED_VALUE"""),"Closed")</f>
        <v>Closed</v>
      </c>
      <c r="AT218" s="339" t="str">
        <f>IFERROR(__xludf.DUMMYFUNCTION("""COMPUTED_VALUE"""),"Closed")</f>
        <v>Closed</v>
      </c>
      <c r="AU218" s="234" t="str">
        <f>IFERROR(__xludf.DUMMYFUNCTION("""COMPUTED_VALUE"""),"Closed")</f>
        <v>Closed</v>
      </c>
      <c r="AV218" s="341" t="str">
        <f>IFERROR(__xludf.DUMMYFUNCTION("""COMPUTED_VALUE"""),"Closed")</f>
        <v>Closed</v>
      </c>
      <c r="AW218" s="339" t="str">
        <f>IFERROR(__xludf.DUMMYFUNCTION("""COMPUTED_VALUE"""),"Closed")</f>
        <v>Closed</v>
      </c>
      <c r="AX218" s="342" t="str">
        <f>IFERROR(__xludf.DUMMYFUNCTION("""COMPUTED_VALUE"""),"Closed")</f>
        <v>Closed</v>
      </c>
      <c r="AY218" s="341" t="str">
        <f>IFERROR(__xludf.DUMMYFUNCTION("""COMPUTED_VALUE"""),"Closed")</f>
        <v>Closed</v>
      </c>
      <c r="AZ218" s="339" t="str">
        <f>IFERROR(__xludf.DUMMYFUNCTION("""COMPUTED_VALUE"""),"Closed")</f>
        <v>Closed</v>
      </c>
      <c r="BA218" s="342" t="str">
        <f>IFERROR(__xludf.DUMMYFUNCTION("""COMPUTED_VALUE"""),"Closed")</f>
        <v>Closed</v>
      </c>
      <c r="BB218" s="341" t="str">
        <f>IFERROR(__xludf.DUMMYFUNCTION("""COMPUTED_VALUE"""),"Closed")</f>
        <v>Closed</v>
      </c>
      <c r="BC218" s="339" t="str">
        <f>IFERROR(__xludf.DUMMYFUNCTION("""COMPUTED_VALUE"""),"Closed")</f>
        <v>Closed</v>
      </c>
      <c r="BD218" s="342" t="str">
        <f>IFERROR(__xludf.DUMMYFUNCTION("""COMPUTED_VALUE"""),"Closed")</f>
        <v>Closed</v>
      </c>
      <c r="BE218" s="341" t="str">
        <f>IFERROR(__xludf.DUMMYFUNCTION("""COMPUTED_VALUE"""),"Closed")</f>
        <v>Closed</v>
      </c>
      <c r="BF218" s="339" t="str">
        <f>IFERROR(__xludf.DUMMYFUNCTION("""COMPUTED_VALUE"""),"Closed")</f>
        <v>Closed</v>
      </c>
      <c r="BG218" s="234" t="str">
        <f>IFERROR(__xludf.DUMMYFUNCTION("""COMPUTED_VALUE"""),"Closed")</f>
        <v>Closed</v>
      </c>
      <c r="BH218" s="341" t="str">
        <f>IFERROR(__xludf.DUMMYFUNCTION("""COMPUTED_VALUE"""),"Closed")</f>
        <v>Closed</v>
      </c>
      <c r="BI218" s="339" t="str">
        <f>IFERROR(__xludf.DUMMYFUNCTION("""COMPUTED_VALUE"""),"Closed")</f>
        <v>Closed</v>
      </c>
      <c r="BJ218" s="342" t="str">
        <f>IFERROR(__xludf.DUMMYFUNCTION("""COMPUTED_VALUE"""),"Closed")</f>
        <v>Closed</v>
      </c>
      <c r="BK218" s="341" t="str">
        <f>IFERROR(__xludf.DUMMYFUNCTION("""COMPUTED_VALUE"""),"Closed")</f>
        <v>Closed</v>
      </c>
      <c r="BL218" s="339" t="str">
        <f>IFERROR(__xludf.DUMMYFUNCTION("""COMPUTED_VALUE"""),"Closed")</f>
        <v>Closed</v>
      </c>
      <c r="BM218" s="342" t="str">
        <f>IFERROR(__xludf.DUMMYFUNCTION("""COMPUTED_VALUE"""),"Closed")</f>
        <v>Closed</v>
      </c>
      <c r="BN218" s="341" t="str">
        <f>IFERROR(__xludf.DUMMYFUNCTION("""COMPUTED_VALUE"""),"Closed")</f>
        <v>Closed</v>
      </c>
      <c r="BO218" s="339" t="str">
        <f>IFERROR(__xludf.DUMMYFUNCTION("""COMPUTED_VALUE"""),"Closed")</f>
        <v>Closed</v>
      </c>
      <c r="BP218" s="342" t="str">
        <f>IFERROR(__xludf.DUMMYFUNCTION("""COMPUTED_VALUE"""),"Closed")</f>
        <v>Closed</v>
      </c>
      <c r="BQ218" s="341" t="str">
        <f>IFERROR(__xludf.DUMMYFUNCTION("""COMPUTED_VALUE"""),"Closed")</f>
        <v>Closed</v>
      </c>
      <c r="BR218" s="339" t="str">
        <f>IFERROR(__xludf.DUMMYFUNCTION("""COMPUTED_VALUE"""),"Closed")</f>
        <v>Closed</v>
      </c>
      <c r="BS218" s="234" t="str">
        <f>IFERROR(__xludf.DUMMYFUNCTION("""COMPUTED_VALUE"""),"Closed")</f>
        <v>Closed</v>
      </c>
      <c r="BT218" s="341" t="str">
        <f>IFERROR(__xludf.DUMMYFUNCTION("""COMPUTED_VALUE"""),"Closed")</f>
        <v>Closed</v>
      </c>
      <c r="BU218" s="339" t="str">
        <f>IFERROR(__xludf.DUMMYFUNCTION("""COMPUTED_VALUE"""),"Closed")</f>
        <v>Closed</v>
      </c>
      <c r="BV218" s="342" t="str">
        <f>IFERROR(__xludf.DUMMYFUNCTION("""COMPUTED_VALUE"""),"Closed")</f>
        <v>Closed</v>
      </c>
      <c r="BW218" s="341" t="str">
        <f>IFERROR(__xludf.DUMMYFUNCTION("""COMPUTED_VALUE"""),"Closed")</f>
        <v>Closed</v>
      </c>
      <c r="BX218" s="339" t="str">
        <f>IFERROR(__xludf.DUMMYFUNCTION("""COMPUTED_VALUE"""),"Closed")</f>
        <v>Closed</v>
      </c>
      <c r="BY218" s="342" t="str">
        <f>IFERROR(__xludf.DUMMYFUNCTION("""COMPUTED_VALUE"""),"Closed")</f>
        <v>Closed</v>
      </c>
      <c r="BZ218" s="341" t="str">
        <f>IFERROR(__xludf.DUMMYFUNCTION("""COMPUTED_VALUE"""),"Closed")</f>
        <v>Closed</v>
      </c>
      <c r="CA218" s="339" t="str">
        <f>IFERROR(__xludf.DUMMYFUNCTION("""COMPUTED_VALUE"""),"Closed")</f>
        <v>Closed</v>
      </c>
      <c r="CB218" s="342" t="str">
        <f>IFERROR(__xludf.DUMMYFUNCTION("""COMPUTED_VALUE"""),"Closed")</f>
        <v>Closed</v>
      </c>
      <c r="CC218" s="341" t="str">
        <f>IFERROR(__xludf.DUMMYFUNCTION("""COMPUTED_VALUE"""),"Closed")</f>
        <v>Closed</v>
      </c>
      <c r="CD218" s="339" t="str">
        <f>IFERROR(__xludf.DUMMYFUNCTION("""COMPUTED_VALUE"""),"Closed")</f>
        <v>Closed</v>
      </c>
      <c r="CE218" s="342" t="str">
        <f>IFERROR(__xludf.DUMMYFUNCTION("""COMPUTED_VALUE"""),"Closed")</f>
        <v>Closed</v>
      </c>
      <c r="CF218" s="341" t="str">
        <f>IFERROR(__xludf.DUMMYFUNCTION("""COMPUTED_VALUE"""),"Closed")</f>
        <v>Closed</v>
      </c>
      <c r="CG218" s="339" t="str">
        <f>IFERROR(__xludf.DUMMYFUNCTION("""COMPUTED_VALUE"""),"Closed")</f>
        <v>Closed</v>
      </c>
      <c r="CH218" s="342" t="str">
        <f>IFERROR(__xludf.DUMMYFUNCTION("""COMPUTED_VALUE"""),"Closed")</f>
        <v>Closed</v>
      </c>
      <c r="CI218" s="341" t="str">
        <f>IFERROR(__xludf.DUMMYFUNCTION("""COMPUTED_VALUE"""),"Closed")</f>
        <v>Closed</v>
      </c>
      <c r="CJ218" s="341" t="str">
        <f>IFERROR(__xludf.DUMMYFUNCTION("""COMPUTED_VALUE"""),"Closed")</f>
        <v>Closed</v>
      </c>
      <c r="CK218" s="342" t="str">
        <f>IFERROR(__xludf.DUMMYFUNCTION("""COMPUTED_VALUE"""),"Closed")</f>
        <v>Closed</v>
      </c>
      <c r="CL218" s="341" t="str">
        <f>IFERROR(__xludf.DUMMYFUNCTION("""COMPUTED_VALUE"""),"Closed")</f>
        <v>Closed</v>
      </c>
      <c r="CM218" s="339" t="str">
        <f>IFERROR(__xludf.DUMMYFUNCTION("""COMPUTED_VALUE"""),"Closed")</f>
        <v>Closed</v>
      </c>
      <c r="CN218" s="341" t="str">
        <f>IFERROR(__xludf.DUMMYFUNCTION("""COMPUTED_VALUE"""),"Closed")</f>
        <v>Closed</v>
      </c>
      <c r="CO218" s="341" t="str">
        <f>IFERROR(__xludf.DUMMYFUNCTION("""COMPUTED_VALUE"""),"Closed")</f>
        <v>Closed</v>
      </c>
      <c r="CP218" s="341" t="str">
        <f>IFERROR(__xludf.DUMMYFUNCTION("""COMPUTED_VALUE"""),"Closed")</f>
        <v>Closed</v>
      </c>
      <c r="CQ218" s="342" t="str">
        <f>IFERROR(__xludf.DUMMYFUNCTION("""COMPUTED_VALUE"""),"Closed")</f>
        <v>Closed</v>
      </c>
      <c r="CR218" s="341" t="str">
        <f>IFERROR(__xludf.DUMMYFUNCTION("""COMPUTED_VALUE"""),"Closed")</f>
        <v>Closed</v>
      </c>
      <c r="CS218" s="341" t="str">
        <f>IFERROR(__xludf.DUMMYFUNCTION("""COMPUTED_VALUE"""),"Closed")</f>
        <v>Closed</v>
      </c>
      <c r="CT218" s="342" t="str">
        <f>IFERROR(__xludf.DUMMYFUNCTION("""COMPUTED_VALUE"""),"Closed")</f>
        <v>Closed</v>
      </c>
      <c r="CU218" s="341" t="str">
        <f>IFERROR(__xludf.DUMMYFUNCTION("""COMPUTED_VALUE"""),"Closed")</f>
        <v>Closed</v>
      </c>
      <c r="CV218" s="341" t="str">
        <f>IFERROR(__xludf.DUMMYFUNCTION("""COMPUTED_VALUE"""),"Closed")</f>
        <v>Closed</v>
      </c>
      <c r="CW218" s="342" t="str">
        <f>IFERROR(__xludf.DUMMYFUNCTION("""COMPUTED_VALUE"""),"Closed")</f>
        <v>Closed</v>
      </c>
      <c r="CX218" s="341" t="str">
        <f>IFERROR(__xludf.DUMMYFUNCTION("""COMPUTED_VALUE"""),"Closed")</f>
        <v>Closed</v>
      </c>
      <c r="CY218" s="339" t="str">
        <f>IFERROR(__xludf.DUMMYFUNCTION("""COMPUTED_VALUE"""),"Closed")</f>
        <v>Closed</v>
      </c>
      <c r="CZ218" s="341" t="str">
        <f>IFERROR(__xludf.DUMMYFUNCTION("""COMPUTED_VALUE"""),"Closed")</f>
        <v>Closed</v>
      </c>
      <c r="DA218" s="341" t="str">
        <f>IFERROR(__xludf.DUMMYFUNCTION("""COMPUTED_VALUE"""),"Closed")</f>
        <v>Closed</v>
      </c>
      <c r="DB218" s="339" t="str">
        <f>IFERROR(__xludf.DUMMYFUNCTION("""COMPUTED_VALUE"""),"Closed")</f>
        <v>Closed</v>
      </c>
      <c r="DC218" s="342" t="str">
        <f>IFERROR(__xludf.DUMMYFUNCTION("""COMPUTED_VALUE"""),"Closed")</f>
        <v>Closed</v>
      </c>
      <c r="DD218" s="341" t="str">
        <f>IFERROR(__xludf.DUMMYFUNCTION("""COMPUTED_VALUE"""),"Closed")</f>
        <v>Closed</v>
      </c>
      <c r="DE218" s="339" t="str">
        <f>IFERROR(__xludf.DUMMYFUNCTION("""COMPUTED_VALUE"""),"Closed")</f>
        <v>Closed</v>
      </c>
      <c r="DF218" s="342" t="str">
        <f>IFERROR(__xludf.DUMMYFUNCTION("""COMPUTED_VALUE"""),"Closed")</f>
        <v>Closed</v>
      </c>
      <c r="DG218" s="341" t="str">
        <f>IFERROR(__xludf.DUMMYFUNCTION("""COMPUTED_VALUE"""),"Closed")</f>
        <v>Closed</v>
      </c>
      <c r="DH218" s="339" t="str">
        <f>IFERROR(__xludf.DUMMYFUNCTION("""COMPUTED_VALUE"""),"Closed")</f>
        <v>Closed</v>
      </c>
      <c r="DI218" s="342" t="str">
        <f>IFERROR(__xludf.DUMMYFUNCTION("""COMPUTED_VALUE"""),"Closed")</f>
        <v>Closed</v>
      </c>
      <c r="DJ218" s="341" t="str">
        <f>IFERROR(__xludf.DUMMYFUNCTION("""COMPUTED_VALUE"""),"Closed")</f>
        <v>Closed</v>
      </c>
      <c r="DK218" s="339" t="str">
        <f>IFERROR(__xludf.DUMMYFUNCTION("""COMPUTED_VALUE"""),"Closed")</f>
        <v>Closed</v>
      </c>
      <c r="DL218" s="348" t="str">
        <f>IFERROR(__xludf.DUMMYFUNCTION("""COMPUTED_VALUE"""),"Closed")</f>
        <v>Closed</v>
      </c>
      <c r="DM218" s="349" t="str">
        <f>IFERROR(__xludf.DUMMYFUNCTION("""COMPUTED_VALUE"""),"Closed")</f>
        <v>Closed</v>
      </c>
      <c r="DN218" s="350" t="str">
        <f>IFERROR(__xludf.DUMMYFUNCTION("""COMPUTED_VALUE"""),"Closed")</f>
        <v>Closed</v>
      </c>
      <c r="DO218" s="351" t="str">
        <f>IFERROR(__xludf.DUMMYFUNCTION("""COMPUTED_VALUE"""),"Closed")</f>
        <v>Closed</v>
      </c>
      <c r="DP218" s="351" t="str">
        <f>IFERROR(__xludf.DUMMYFUNCTION("""COMPUTED_VALUE"""),"Closed")</f>
        <v>Closed</v>
      </c>
      <c r="DQ218" s="351" t="str">
        <f>IFERROR(__xludf.DUMMYFUNCTION("""COMPUTED_VALUE"""),"Closed")</f>
        <v>Closed</v>
      </c>
      <c r="DR218" s="351" t="str">
        <f>IFERROR(__xludf.DUMMYFUNCTION("""COMPUTED_VALUE"""),"Closed")</f>
        <v>Closed</v>
      </c>
      <c r="DS218" s="351" t="str">
        <f>IFERROR(__xludf.DUMMYFUNCTION("""COMPUTED_VALUE"""),"Closed")</f>
        <v>Closed</v>
      </c>
      <c r="DT218" s="351" t="str">
        <f>IFERROR(__xludf.DUMMYFUNCTION("""COMPUTED_VALUE"""),"Closed")</f>
        <v>Closed</v>
      </c>
      <c r="DU218" s="82"/>
    </row>
    <row r="219">
      <c r="B219" s="120" t="str">
        <f>IFERROR(__xludf.DUMMYFUNCTION("""COMPUTED_VALUE"""),"YKS2")</f>
        <v>YKS2</v>
      </c>
      <c r="C219" s="264" t="str">
        <f>IFERROR(__xludf.DUMMYFUNCTION("""COMPUTED_VALUE"""),"Bich")</f>
        <v>Bich</v>
      </c>
      <c r="D219" s="102">
        <f>IFERROR(__xludf.DUMMYFUNCTION("""COMPUTED_VALUE"""),20.0)</f>
        <v>20</v>
      </c>
      <c r="E219" s="82" t="b">
        <f>IFERROR(__xludf.DUMMYFUNCTION("""COMPUTED_VALUE"""),FALSE)</f>
        <v>0</v>
      </c>
      <c r="F219" s="82" t="str">
        <f>IFERROR(__xludf.DUMMYFUNCTION("""COMPUTED_VALUE"""),"Free Quests- Part 2!A494:J504")</f>
        <v>Free Quests- Part 2!A494:J504</v>
      </c>
      <c r="G219" s="266">
        <f>IFERROR(__xludf.DUMMYFUNCTION("""COMPUTED_VALUE"""),220.0)</f>
        <v>220</v>
      </c>
      <c r="H219" s="266" t="str">
        <f>IFERROR(__xludf.DUMMYFUNCTION("""COMPUTED_VALUE"""),"Closed")</f>
        <v>Closed</v>
      </c>
      <c r="I219" s="266">
        <f>IFERROR(__xludf.DUMMYFUNCTION("""COMPUTED_VALUE"""),7416.0)</f>
        <v>7416</v>
      </c>
      <c r="J219" s="266" t="str">
        <f>IFERROR(__xludf.DUMMYFUNCTION("""COMPUTED_VALUE"""),"Closed")</f>
        <v>Closed</v>
      </c>
      <c r="K219" s="234" t="str">
        <f>IFERROR(__xludf.DUMMYFUNCTION("""COMPUTED_VALUE"""),"Closed")</f>
        <v>Closed</v>
      </c>
      <c r="L219" s="341" t="str">
        <f>IFERROR(__xludf.DUMMYFUNCTION("""COMPUTED_VALUE"""),"Closed")</f>
        <v>Closed</v>
      </c>
      <c r="M219" s="339" t="str">
        <f>IFERROR(__xludf.DUMMYFUNCTION("""COMPUTED_VALUE"""),"Closed")</f>
        <v>Closed</v>
      </c>
      <c r="N219" s="342" t="str">
        <f>IFERROR(__xludf.DUMMYFUNCTION("""COMPUTED_VALUE"""),"Closed")</f>
        <v>Closed</v>
      </c>
      <c r="O219" s="341" t="str">
        <f>IFERROR(__xludf.DUMMYFUNCTION("""COMPUTED_VALUE"""),"Closed")</f>
        <v>Closed</v>
      </c>
      <c r="P219" s="339" t="str">
        <f>IFERROR(__xludf.DUMMYFUNCTION("""COMPUTED_VALUE"""),"Closed")</f>
        <v>Closed</v>
      </c>
      <c r="Q219" s="342" t="str">
        <f>IFERROR(__xludf.DUMMYFUNCTION("""COMPUTED_VALUE"""),"Closed")</f>
        <v>Closed</v>
      </c>
      <c r="R219" s="341" t="str">
        <f>IFERROR(__xludf.DUMMYFUNCTION("""COMPUTED_VALUE"""),"Closed")</f>
        <v>Closed</v>
      </c>
      <c r="S219" s="339" t="str">
        <f>IFERROR(__xludf.DUMMYFUNCTION("""COMPUTED_VALUE"""),"Closed")</f>
        <v>Closed</v>
      </c>
      <c r="T219" s="342" t="str">
        <f>IFERROR(__xludf.DUMMYFUNCTION("""COMPUTED_VALUE"""),"Closed")</f>
        <v>Closed</v>
      </c>
      <c r="U219" s="341" t="str">
        <f>IFERROR(__xludf.DUMMYFUNCTION("""COMPUTED_VALUE"""),"Closed")</f>
        <v>Closed</v>
      </c>
      <c r="V219" s="339" t="str">
        <f>IFERROR(__xludf.DUMMYFUNCTION("""COMPUTED_VALUE"""),"Closed")</f>
        <v>Closed</v>
      </c>
      <c r="W219" s="234" t="str">
        <f>IFERROR(__xludf.DUMMYFUNCTION("""COMPUTED_VALUE"""),"Closed")</f>
        <v>Closed</v>
      </c>
      <c r="X219" s="341" t="str">
        <f>IFERROR(__xludf.DUMMYFUNCTION("""COMPUTED_VALUE"""),"Closed")</f>
        <v>Closed</v>
      </c>
      <c r="Y219" s="339" t="str">
        <f>IFERROR(__xludf.DUMMYFUNCTION("""COMPUTED_VALUE"""),"Closed")</f>
        <v>Closed</v>
      </c>
      <c r="Z219" s="342" t="str">
        <f>IFERROR(__xludf.DUMMYFUNCTION("""COMPUTED_VALUE"""),"Closed")</f>
        <v>Closed</v>
      </c>
      <c r="AA219" s="341" t="str">
        <f>IFERROR(__xludf.DUMMYFUNCTION("""COMPUTED_VALUE"""),"Closed")</f>
        <v>Closed</v>
      </c>
      <c r="AB219" s="339" t="str">
        <f>IFERROR(__xludf.DUMMYFUNCTION("""COMPUTED_VALUE"""),"Closed")</f>
        <v>Closed</v>
      </c>
      <c r="AC219" s="342" t="str">
        <f>IFERROR(__xludf.DUMMYFUNCTION("""COMPUTED_VALUE"""),"Closed")</f>
        <v>Closed</v>
      </c>
      <c r="AD219" s="341" t="str">
        <f>IFERROR(__xludf.DUMMYFUNCTION("""COMPUTED_VALUE"""),"Closed")</f>
        <v>Closed</v>
      </c>
      <c r="AE219" s="339" t="str">
        <f>IFERROR(__xludf.DUMMYFUNCTION("""COMPUTED_VALUE"""),"Closed")</f>
        <v>Closed</v>
      </c>
      <c r="AF219" s="342" t="str">
        <f>IFERROR(__xludf.DUMMYFUNCTION("""COMPUTED_VALUE"""),"Closed")</f>
        <v>Closed</v>
      </c>
      <c r="AG219" s="341" t="str">
        <f>IFERROR(__xludf.DUMMYFUNCTION("""COMPUTED_VALUE"""),"Closed")</f>
        <v>Closed</v>
      </c>
      <c r="AH219" s="339" t="str">
        <f>IFERROR(__xludf.DUMMYFUNCTION("""COMPUTED_VALUE"""),"Closed")</f>
        <v>Closed</v>
      </c>
      <c r="AI219" s="234" t="str">
        <f>IFERROR(__xludf.DUMMYFUNCTION("""COMPUTED_VALUE"""),"Closed")</f>
        <v>Closed</v>
      </c>
      <c r="AJ219" s="341" t="str">
        <f>IFERROR(__xludf.DUMMYFUNCTION("""COMPUTED_VALUE"""),"Closed")</f>
        <v>Closed</v>
      </c>
      <c r="AK219" s="339" t="str">
        <f>IFERROR(__xludf.DUMMYFUNCTION("""COMPUTED_VALUE"""),"Closed")</f>
        <v>Closed</v>
      </c>
      <c r="AL219" s="340" t="str">
        <f>IFERROR(__xludf.DUMMYFUNCTION("""COMPUTED_VALUE"""),"Closed")</f>
        <v>Closed</v>
      </c>
      <c r="AM219" s="341" t="str">
        <f>IFERROR(__xludf.DUMMYFUNCTION("""COMPUTED_VALUE"""),"Closed")</f>
        <v>Closed</v>
      </c>
      <c r="AN219" s="339" t="str">
        <f>IFERROR(__xludf.DUMMYFUNCTION("""COMPUTED_VALUE"""),"Closed")</f>
        <v>Closed</v>
      </c>
      <c r="AO219" s="342" t="str">
        <f>IFERROR(__xludf.DUMMYFUNCTION("""COMPUTED_VALUE"""),"Closed")</f>
        <v>Closed</v>
      </c>
      <c r="AP219" s="341" t="str">
        <f>IFERROR(__xludf.DUMMYFUNCTION("""COMPUTED_VALUE"""),"Closed")</f>
        <v>Closed</v>
      </c>
      <c r="AQ219" s="339" t="str">
        <f>IFERROR(__xludf.DUMMYFUNCTION("""COMPUTED_VALUE"""),"Closed")</f>
        <v>Closed</v>
      </c>
      <c r="AR219" s="342" t="str">
        <f>IFERROR(__xludf.DUMMYFUNCTION("""COMPUTED_VALUE"""),"Closed")</f>
        <v>Closed</v>
      </c>
      <c r="AS219" s="341" t="str">
        <f>IFERROR(__xludf.DUMMYFUNCTION("""COMPUTED_VALUE"""),"Closed")</f>
        <v>Closed</v>
      </c>
      <c r="AT219" s="339" t="str">
        <f>IFERROR(__xludf.DUMMYFUNCTION("""COMPUTED_VALUE"""),"Closed")</f>
        <v>Closed</v>
      </c>
      <c r="AU219" s="234" t="str">
        <f>IFERROR(__xludf.DUMMYFUNCTION("""COMPUTED_VALUE"""),"Closed")</f>
        <v>Closed</v>
      </c>
      <c r="AV219" s="341" t="str">
        <f>IFERROR(__xludf.DUMMYFUNCTION("""COMPUTED_VALUE"""),"Closed")</f>
        <v>Closed</v>
      </c>
      <c r="AW219" s="339" t="str">
        <f>IFERROR(__xludf.DUMMYFUNCTION("""COMPUTED_VALUE"""),"Closed")</f>
        <v>Closed</v>
      </c>
      <c r="AX219" s="342" t="str">
        <f>IFERROR(__xludf.DUMMYFUNCTION("""COMPUTED_VALUE"""),"Closed")</f>
        <v>Closed</v>
      </c>
      <c r="AY219" s="341" t="str">
        <f>IFERROR(__xludf.DUMMYFUNCTION("""COMPUTED_VALUE"""),"Closed")</f>
        <v>Closed</v>
      </c>
      <c r="AZ219" s="339" t="str">
        <f>IFERROR(__xludf.DUMMYFUNCTION("""COMPUTED_VALUE"""),"Closed")</f>
        <v>Closed</v>
      </c>
      <c r="BA219" s="342" t="str">
        <f>IFERROR(__xludf.DUMMYFUNCTION("""COMPUTED_VALUE"""),"Closed")</f>
        <v>Closed</v>
      </c>
      <c r="BB219" s="341" t="str">
        <f>IFERROR(__xludf.DUMMYFUNCTION("""COMPUTED_VALUE"""),"Closed")</f>
        <v>Closed</v>
      </c>
      <c r="BC219" s="339" t="str">
        <f>IFERROR(__xludf.DUMMYFUNCTION("""COMPUTED_VALUE"""),"Closed")</f>
        <v>Closed</v>
      </c>
      <c r="BD219" s="342" t="str">
        <f>IFERROR(__xludf.DUMMYFUNCTION("""COMPUTED_VALUE"""),"Closed")</f>
        <v>Closed</v>
      </c>
      <c r="BE219" s="341" t="str">
        <f>IFERROR(__xludf.DUMMYFUNCTION("""COMPUTED_VALUE"""),"Closed")</f>
        <v>Closed</v>
      </c>
      <c r="BF219" s="339" t="str">
        <f>IFERROR(__xludf.DUMMYFUNCTION("""COMPUTED_VALUE"""),"Closed")</f>
        <v>Closed</v>
      </c>
      <c r="BG219" s="234" t="str">
        <f>IFERROR(__xludf.DUMMYFUNCTION("""COMPUTED_VALUE"""),"Closed")</f>
        <v>Closed</v>
      </c>
      <c r="BH219" s="341" t="str">
        <f>IFERROR(__xludf.DUMMYFUNCTION("""COMPUTED_VALUE"""),"Closed")</f>
        <v>Closed</v>
      </c>
      <c r="BI219" s="339" t="str">
        <f>IFERROR(__xludf.DUMMYFUNCTION("""COMPUTED_VALUE"""),"Closed")</f>
        <v>Closed</v>
      </c>
      <c r="BJ219" s="342" t="str">
        <f>IFERROR(__xludf.DUMMYFUNCTION("""COMPUTED_VALUE"""),"Closed")</f>
        <v>Closed</v>
      </c>
      <c r="BK219" s="341" t="str">
        <f>IFERROR(__xludf.DUMMYFUNCTION("""COMPUTED_VALUE"""),"Closed")</f>
        <v>Closed</v>
      </c>
      <c r="BL219" s="339" t="str">
        <f>IFERROR(__xludf.DUMMYFUNCTION("""COMPUTED_VALUE"""),"Closed")</f>
        <v>Closed</v>
      </c>
      <c r="BM219" s="342" t="str">
        <f>IFERROR(__xludf.DUMMYFUNCTION("""COMPUTED_VALUE"""),"Closed")</f>
        <v>Closed</v>
      </c>
      <c r="BN219" s="341" t="str">
        <f>IFERROR(__xludf.DUMMYFUNCTION("""COMPUTED_VALUE"""),"Closed")</f>
        <v>Closed</v>
      </c>
      <c r="BO219" s="339" t="str">
        <f>IFERROR(__xludf.DUMMYFUNCTION("""COMPUTED_VALUE"""),"Closed")</f>
        <v>Closed</v>
      </c>
      <c r="BP219" s="342" t="str">
        <f>IFERROR(__xludf.DUMMYFUNCTION("""COMPUTED_VALUE"""),"Closed")</f>
        <v>Closed</v>
      </c>
      <c r="BQ219" s="341" t="str">
        <f>IFERROR(__xludf.DUMMYFUNCTION("""COMPUTED_VALUE"""),"Closed")</f>
        <v>Closed</v>
      </c>
      <c r="BR219" s="339" t="str">
        <f>IFERROR(__xludf.DUMMYFUNCTION("""COMPUTED_VALUE"""),"Closed")</f>
        <v>Closed</v>
      </c>
      <c r="BS219" s="234" t="str">
        <f>IFERROR(__xludf.DUMMYFUNCTION("""COMPUTED_VALUE"""),"Closed")</f>
        <v>Closed</v>
      </c>
      <c r="BT219" s="341" t="str">
        <f>IFERROR(__xludf.DUMMYFUNCTION("""COMPUTED_VALUE"""),"Closed")</f>
        <v>Closed</v>
      </c>
      <c r="BU219" s="339" t="str">
        <f>IFERROR(__xludf.DUMMYFUNCTION("""COMPUTED_VALUE"""),"Closed")</f>
        <v>Closed</v>
      </c>
      <c r="BV219" s="342" t="str">
        <f>IFERROR(__xludf.DUMMYFUNCTION("""COMPUTED_VALUE"""),"Closed")</f>
        <v>Closed</v>
      </c>
      <c r="BW219" s="341" t="str">
        <f>IFERROR(__xludf.DUMMYFUNCTION("""COMPUTED_VALUE"""),"Closed")</f>
        <v>Closed</v>
      </c>
      <c r="BX219" s="339" t="str">
        <f>IFERROR(__xludf.DUMMYFUNCTION("""COMPUTED_VALUE"""),"Closed")</f>
        <v>Closed</v>
      </c>
      <c r="BY219" s="342" t="str">
        <f>IFERROR(__xludf.DUMMYFUNCTION("""COMPUTED_VALUE"""),"Closed")</f>
        <v>Closed</v>
      </c>
      <c r="BZ219" s="341" t="str">
        <f>IFERROR(__xludf.DUMMYFUNCTION("""COMPUTED_VALUE"""),"Closed")</f>
        <v>Closed</v>
      </c>
      <c r="CA219" s="339" t="str">
        <f>IFERROR(__xludf.DUMMYFUNCTION("""COMPUTED_VALUE"""),"Closed")</f>
        <v>Closed</v>
      </c>
      <c r="CB219" s="342" t="str">
        <f>IFERROR(__xludf.DUMMYFUNCTION("""COMPUTED_VALUE"""),"Closed")</f>
        <v>Closed</v>
      </c>
      <c r="CC219" s="341" t="str">
        <f>IFERROR(__xludf.DUMMYFUNCTION("""COMPUTED_VALUE"""),"Closed")</f>
        <v>Closed</v>
      </c>
      <c r="CD219" s="339" t="str">
        <f>IFERROR(__xludf.DUMMYFUNCTION("""COMPUTED_VALUE"""),"Closed")</f>
        <v>Closed</v>
      </c>
      <c r="CE219" s="342" t="str">
        <f>IFERROR(__xludf.DUMMYFUNCTION("""COMPUTED_VALUE"""),"Closed")</f>
        <v>Closed</v>
      </c>
      <c r="CF219" s="341" t="str">
        <f>IFERROR(__xludf.DUMMYFUNCTION("""COMPUTED_VALUE"""),"Closed")</f>
        <v>Closed</v>
      </c>
      <c r="CG219" s="339" t="str">
        <f>IFERROR(__xludf.DUMMYFUNCTION("""COMPUTED_VALUE"""),"Closed")</f>
        <v>Closed</v>
      </c>
      <c r="CH219" s="342" t="str">
        <f>IFERROR(__xludf.DUMMYFUNCTION("""COMPUTED_VALUE"""),"Closed")</f>
        <v>Closed</v>
      </c>
      <c r="CI219" s="341" t="str">
        <f>IFERROR(__xludf.DUMMYFUNCTION("""COMPUTED_VALUE"""),"Closed")</f>
        <v>Closed</v>
      </c>
      <c r="CJ219" s="341" t="str">
        <f>IFERROR(__xludf.DUMMYFUNCTION("""COMPUTED_VALUE"""),"Closed")</f>
        <v>Closed</v>
      </c>
      <c r="CK219" s="342" t="str">
        <f>IFERROR(__xludf.DUMMYFUNCTION("""COMPUTED_VALUE"""),"Closed")</f>
        <v>Closed</v>
      </c>
      <c r="CL219" s="341" t="str">
        <f>IFERROR(__xludf.DUMMYFUNCTION("""COMPUTED_VALUE"""),"Closed")</f>
        <v>Closed</v>
      </c>
      <c r="CM219" s="339" t="str">
        <f>IFERROR(__xludf.DUMMYFUNCTION("""COMPUTED_VALUE"""),"Closed")</f>
        <v>Closed</v>
      </c>
      <c r="CN219" s="341" t="str">
        <f>IFERROR(__xludf.DUMMYFUNCTION("""COMPUTED_VALUE"""),"Closed")</f>
        <v>Closed</v>
      </c>
      <c r="CO219" s="341" t="str">
        <f>IFERROR(__xludf.DUMMYFUNCTION("""COMPUTED_VALUE"""),"Closed")</f>
        <v>Closed</v>
      </c>
      <c r="CP219" s="341" t="str">
        <f>IFERROR(__xludf.DUMMYFUNCTION("""COMPUTED_VALUE"""),"Closed")</f>
        <v>Closed</v>
      </c>
      <c r="CQ219" s="342" t="str">
        <f>IFERROR(__xludf.DUMMYFUNCTION("""COMPUTED_VALUE"""),"Closed")</f>
        <v>Closed</v>
      </c>
      <c r="CR219" s="341" t="str">
        <f>IFERROR(__xludf.DUMMYFUNCTION("""COMPUTED_VALUE"""),"Closed")</f>
        <v>Closed</v>
      </c>
      <c r="CS219" s="341" t="str">
        <f>IFERROR(__xludf.DUMMYFUNCTION("""COMPUTED_VALUE"""),"Closed")</f>
        <v>Closed</v>
      </c>
      <c r="CT219" s="342" t="str">
        <f>IFERROR(__xludf.DUMMYFUNCTION("""COMPUTED_VALUE"""),"Closed")</f>
        <v>Closed</v>
      </c>
      <c r="CU219" s="341" t="str">
        <f>IFERROR(__xludf.DUMMYFUNCTION("""COMPUTED_VALUE"""),"Closed")</f>
        <v>Closed</v>
      </c>
      <c r="CV219" s="341" t="str">
        <f>IFERROR(__xludf.DUMMYFUNCTION("""COMPUTED_VALUE"""),"Closed")</f>
        <v>Closed</v>
      </c>
      <c r="CW219" s="342" t="str">
        <f>IFERROR(__xludf.DUMMYFUNCTION("""COMPUTED_VALUE"""),"Closed")</f>
        <v>Closed</v>
      </c>
      <c r="CX219" s="341" t="str">
        <f>IFERROR(__xludf.DUMMYFUNCTION("""COMPUTED_VALUE"""),"Closed")</f>
        <v>Closed</v>
      </c>
      <c r="CY219" s="339" t="str">
        <f>IFERROR(__xludf.DUMMYFUNCTION("""COMPUTED_VALUE"""),"Closed")</f>
        <v>Closed</v>
      </c>
      <c r="CZ219" s="341" t="str">
        <f>IFERROR(__xludf.DUMMYFUNCTION("""COMPUTED_VALUE"""),"Closed")</f>
        <v>Closed</v>
      </c>
      <c r="DA219" s="341" t="str">
        <f>IFERROR(__xludf.DUMMYFUNCTION("""COMPUTED_VALUE"""),"Closed")</f>
        <v>Closed</v>
      </c>
      <c r="DB219" s="339" t="str">
        <f>IFERROR(__xludf.DUMMYFUNCTION("""COMPUTED_VALUE"""),"Closed")</f>
        <v>Closed</v>
      </c>
      <c r="DC219" s="342" t="str">
        <f>IFERROR(__xludf.DUMMYFUNCTION("""COMPUTED_VALUE"""),"Closed")</f>
        <v>Closed</v>
      </c>
      <c r="DD219" s="341" t="str">
        <f>IFERROR(__xludf.DUMMYFUNCTION("""COMPUTED_VALUE"""),"Closed")</f>
        <v>Closed</v>
      </c>
      <c r="DE219" s="339" t="str">
        <f>IFERROR(__xludf.DUMMYFUNCTION("""COMPUTED_VALUE"""),"Closed")</f>
        <v>Closed</v>
      </c>
      <c r="DF219" s="342" t="str">
        <f>IFERROR(__xludf.DUMMYFUNCTION("""COMPUTED_VALUE"""),"Closed")</f>
        <v>Closed</v>
      </c>
      <c r="DG219" s="341" t="str">
        <f>IFERROR(__xludf.DUMMYFUNCTION("""COMPUTED_VALUE"""),"Closed")</f>
        <v>Closed</v>
      </c>
      <c r="DH219" s="339" t="str">
        <f>IFERROR(__xludf.DUMMYFUNCTION("""COMPUTED_VALUE"""),"Closed")</f>
        <v>Closed</v>
      </c>
      <c r="DI219" s="342" t="str">
        <f>IFERROR(__xludf.DUMMYFUNCTION("""COMPUTED_VALUE"""),"Closed")</f>
        <v>Closed</v>
      </c>
      <c r="DJ219" s="341" t="str">
        <f>IFERROR(__xludf.DUMMYFUNCTION("""COMPUTED_VALUE"""),"Closed")</f>
        <v>Closed</v>
      </c>
      <c r="DK219" s="339" t="str">
        <f>IFERROR(__xludf.DUMMYFUNCTION("""COMPUTED_VALUE"""),"Closed")</f>
        <v>Closed</v>
      </c>
      <c r="DL219" s="348" t="str">
        <f>IFERROR(__xludf.DUMMYFUNCTION("""COMPUTED_VALUE"""),"Closed")</f>
        <v>Closed</v>
      </c>
      <c r="DM219" s="349" t="str">
        <f>IFERROR(__xludf.DUMMYFUNCTION("""COMPUTED_VALUE"""),"Closed")</f>
        <v>Closed</v>
      </c>
      <c r="DN219" s="350" t="str">
        <f>IFERROR(__xludf.DUMMYFUNCTION("""COMPUTED_VALUE"""),"Closed")</f>
        <v>Closed</v>
      </c>
      <c r="DO219" s="351" t="str">
        <f>IFERROR(__xludf.DUMMYFUNCTION("""COMPUTED_VALUE"""),"Closed")</f>
        <v>Closed</v>
      </c>
      <c r="DP219" s="351" t="str">
        <f>IFERROR(__xludf.DUMMYFUNCTION("""COMPUTED_VALUE"""),"Closed")</f>
        <v>Closed</v>
      </c>
      <c r="DQ219" s="351" t="str">
        <f>IFERROR(__xludf.DUMMYFUNCTION("""COMPUTED_VALUE"""),"Closed")</f>
        <v>Closed</v>
      </c>
      <c r="DR219" s="351" t="str">
        <f>IFERROR(__xludf.DUMMYFUNCTION("""COMPUTED_VALUE"""),"Closed")</f>
        <v>Closed</v>
      </c>
      <c r="DS219" s="351" t="str">
        <f>IFERROR(__xludf.DUMMYFUNCTION("""COMPUTED_VALUE"""),"Closed")</f>
        <v>Closed</v>
      </c>
      <c r="DT219" s="351" t="str">
        <f>IFERROR(__xludf.DUMMYFUNCTION("""COMPUTED_VALUE"""),"Closed")</f>
        <v>Closed</v>
      </c>
      <c r="DU219" s="82"/>
    </row>
    <row r="220">
      <c r="B220" s="120" t="str">
        <f>IFERROR(__xludf.DUMMYFUNCTION("""COMPUTED_VALUE"""),"YKS3")</f>
        <v>YKS3</v>
      </c>
      <c r="C220" s="264" t="str">
        <f>IFERROR(__xludf.DUMMYFUNCTION("""COMPUTED_VALUE"""),"Secluded Grotto")</f>
        <v>Secluded Grotto</v>
      </c>
      <c r="D220" s="102">
        <f>IFERROR(__xludf.DUMMYFUNCTION("""COMPUTED_VALUE"""),21.0)</f>
        <v>21</v>
      </c>
      <c r="E220" s="82" t="b">
        <f>IFERROR(__xludf.DUMMYFUNCTION("""COMPUTED_VALUE"""),FALSE)</f>
        <v>0</v>
      </c>
      <c r="F220" s="82" t="str">
        <f>IFERROR(__xludf.DUMMYFUNCTION("""COMPUTED_VALUE"""),"Free Quests- Part 2!A508:J516")</f>
        <v>Free Quests- Part 2!A508:J516</v>
      </c>
      <c r="G220" s="266">
        <f>IFERROR(__xludf.DUMMYFUNCTION("""COMPUTED_VALUE"""),221.0)</f>
        <v>221</v>
      </c>
      <c r="H220" s="266" t="str">
        <f>IFERROR(__xludf.DUMMYFUNCTION("""COMPUTED_VALUE"""),"Closed")</f>
        <v>Closed</v>
      </c>
      <c r="I220" s="266">
        <f>IFERROR(__xludf.DUMMYFUNCTION("""COMPUTED_VALUE"""),4926.0)</f>
        <v>4926</v>
      </c>
      <c r="J220" s="266" t="str">
        <f>IFERROR(__xludf.DUMMYFUNCTION("""COMPUTED_VALUE"""),"Closed")</f>
        <v>Closed</v>
      </c>
      <c r="K220" s="234" t="str">
        <f>IFERROR(__xludf.DUMMYFUNCTION("""COMPUTED_VALUE"""),"Closed")</f>
        <v>Closed</v>
      </c>
      <c r="L220" s="341" t="str">
        <f>IFERROR(__xludf.DUMMYFUNCTION("""COMPUTED_VALUE"""),"Closed")</f>
        <v>Closed</v>
      </c>
      <c r="M220" s="339" t="str">
        <f>IFERROR(__xludf.DUMMYFUNCTION("""COMPUTED_VALUE"""),"Closed")</f>
        <v>Closed</v>
      </c>
      <c r="N220" s="342" t="str">
        <f>IFERROR(__xludf.DUMMYFUNCTION("""COMPUTED_VALUE"""),"Closed")</f>
        <v>Closed</v>
      </c>
      <c r="O220" s="341" t="str">
        <f>IFERROR(__xludf.DUMMYFUNCTION("""COMPUTED_VALUE"""),"Closed")</f>
        <v>Closed</v>
      </c>
      <c r="P220" s="339" t="str">
        <f>IFERROR(__xludf.DUMMYFUNCTION("""COMPUTED_VALUE"""),"Closed")</f>
        <v>Closed</v>
      </c>
      <c r="Q220" s="342" t="str">
        <f>IFERROR(__xludf.DUMMYFUNCTION("""COMPUTED_VALUE"""),"Closed")</f>
        <v>Closed</v>
      </c>
      <c r="R220" s="341" t="str">
        <f>IFERROR(__xludf.DUMMYFUNCTION("""COMPUTED_VALUE"""),"Closed")</f>
        <v>Closed</v>
      </c>
      <c r="S220" s="339" t="str">
        <f>IFERROR(__xludf.DUMMYFUNCTION("""COMPUTED_VALUE"""),"Closed")</f>
        <v>Closed</v>
      </c>
      <c r="T220" s="342" t="str">
        <f>IFERROR(__xludf.DUMMYFUNCTION("""COMPUTED_VALUE"""),"Closed")</f>
        <v>Closed</v>
      </c>
      <c r="U220" s="341" t="str">
        <f>IFERROR(__xludf.DUMMYFUNCTION("""COMPUTED_VALUE"""),"Closed")</f>
        <v>Closed</v>
      </c>
      <c r="V220" s="339" t="str">
        <f>IFERROR(__xludf.DUMMYFUNCTION("""COMPUTED_VALUE"""),"Closed")</f>
        <v>Closed</v>
      </c>
      <c r="W220" s="234" t="str">
        <f>IFERROR(__xludf.DUMMYFUNCTION("""COMPUTED_VALUE"""),"Closed")</f>
        <v>Closed</v>
      </c>
      <c r="X220" s="341" t="str">
        <f>IFERROR(__xludf.DUMMYFUNCTION("""COMPUTED_VALUE"""),"Closed")</f>
        <v>Closed</v>
      </c>
      <c r="Y220" s="339" t="str">
        <f>IFERROR(__xludf.DUMMYFUNCTION("""COMPUTED_VALUE"""),"Closed")</f>
        <v>Closed</v>
      </c>
      <c r="Z220" s="342" t="str">
        <f>IFERROR(__xludf.DUMMYFUNCTION("""COMPUTED_VALUE"""),"Closed")</f>
        <v>Closed</v>
      </c>
      <c r="AA220" s="341" t="str">
        <f>IFERROR(__xludf.DUMMYFUNCTION("""COMPUTED_VALUE"""),"Closed")</f>
        <v>Closed</v>
      </c>
      <c r="AB220" s="339" t="str">
        <f>IFERROR(__xludf.DUMMYFUNCTION("""COMPUTED_VALUE"""),"Closed")</f>
        <v>Closed</v>
      </c>
      <c r="AC220" s="342" t="str">
        <f>IFERROR(__xludf.DUMMYFUNCTION("""COMPUTED_VALUE"""),"Closed")</f>
        <v>Closed</v>
      </c>
      <c r="AD220" s="341" t="str">
        <f>IFERROR(__xludf.DUMMYFUNCTION("""COMPUTED_VALUE"""),"Closed")</f>
        <v>Closed</v>
      </c>
      <c r="AE220" s="339" t="str">
        <f>IFERROR(__xludf.DUMMYFUNCTION("""COMPUTED_VALUE"""),"Closed")</f>
        <v>Closed</v>
      </c>
      <c r="AF220" s="342" t="str">
        <f>IFERROR(__xludf.DUMMYFUNCTION("""COMPUTED_VALUE"""),"Closed")</f>
        <v>Closed</v>
      </c>
      <c r="AG220" s="341" t="str">
        <f>IFERROR(__xludf.DUMMYFUNCTION("""COMPUTED_VALUE"""),"Closed")</f>
        <v>Closed</v>
      </c>
      <c r="AH220" s="339" t="str">
        <f>IFERROR(__xludf.DUMMYFUNCTION("""COMPUTED_VALUE"""),"Closed")</f>
        <v>Closed</v>
      </c>
      <c r="AI220" s="234" t="str">
        <f>IFERROR(__xludf.DUMMYFUNCTION("""COMPUTED_VALUE"""),"Closed")</f>
        <v>Closed</v>
      </c>
      <c r="AJ220" s="341" t="str">
        <f>IFERROR(__xludf.DUMMYFUNCTION("""COMPUTED_VALUE"""),"Closed")</f>
        <v>Closed</v>
      </c>
      <c r="AK220" s="339" t="str">
        <f>IFERROR(__xludf.DUMMYFUNCTION("""COMPUTED_VALUE"""),"Closed")</f>
        <v>Closed</v>
      </c>
      <c r="AL220" s="340" t="str">
        <f>IFERROR(__xludf.DUMMYFUNCTION("""COMPUTED_VALUE"""),"Closed")</f>
        <v>Closed</v>
      </c>
      <c r="AM220" s="341" t="str">
        <f>IFERROR(__xludf.DUMMYFUNCTION("""COMPUTED_VALUE"""),"Closed")</f>
        <v>Closed</v>
      </c>
      <c r="AN220" s="339" t="str">
        <f>IFERROR(__xludf.DUMMYFUNCTION("""COMPUTED_VALUE"""),"Closed")</f>
        <v>Closed</v>
      </c>
      <c r="AO220" s="342" t="str">
        <f>IFERROR(__xludf.DUMMYFUNCTION("""COMPUTED_VALUE"""),"Closed")</f>
        <v>Closed</v>
      </c>
      <c r="AP220" s="341" t="str">
        <f>IFERROR(__xludf.DUMMYFUNCTION("""COMPUTED_VALUE"""),"Closed")</f>
        <v>Closed</v>
      </c>
      <c r="AQ220" s="339" t="str">
        <f>IFERROR(__xludf.DUMMYFUNCTION("""COMPUTED_VALUE"""),"Closed")</f>
        <v>Closed</v>
      </c>
      <c r="AR220" s="342" t="str">
        <f>IFERROR(__xludf.DUMMYFUNCTION("""COMPUTED_VALUE"""),"Closed")</f>
        <v>Closed</v>
      </c>
      <c r="AS220" s="341" t="str">
        <f>IFERROR(__xludf.DUMMYFUNCTION("""COMPUTED_VALUE"""),"Closed")</f>
        <v>Closed</v>
      </c>
      <c r="AT220" s="339" t="str">
        <f>IFERROR(__xludf.DUMMYFUNCTION("""COMPUTED_VALUE"""),"Closed")</f>
        <v>Closed</v>
      </c>
      <c r="AU220" s="234" t="str">
        <f>IFERROR(__xludf.DUMMYFUNCTION("""COMPUTED_VALUE"""),"Closed")</f>
        <v>Closed</v>
      </c>
      <c r="AV220" s="341" t="str">
        <f>IFERROR(__xludf.DUMMYFUNCTION("""COMPUTED_VALUE"""),"Closed")</f>
        <v>Closed</v>
      </c>
      <c r="AW220" s="339" t="str">
        <f>IFERROR(__xludf.DUMMYFUNCTION("""COMPUTED_VALUE"""),"Closed")</f>
        <v>Closed</v>
      </c>
      <c r="AX220" s="342" t="str">
        <f>IFERROR(__xludf.DUMMYFUNCTION("""COMPUTED_VALUE"""),"Closed")</f>
        <v>Closed</v>
      </c>
      <c r="AY220" s="341" t="str">
        <f>IFERROR(__xludf.DUMMYFUNCTION("""COMPUTED_VALUE"""),"Closed")</f>
        <v>Closed</v>
      </c>
      <c r="AZ220" s="339" t="str">
        <f>IFERROR(__xludf.DUMMYFUNCTION("""COMPUTED_VALUE"""),"Closed")</f>
        <v>Closed</v>
      </c>
      <c r="BA220" s="342" t="str">
        <f>IFERROR(__xludf.DUMMYFUNCTION("""COMPUTED_VALUE"""),"Closed")</f>
        <v>Closed</v>
      </c>
      <c r="BB220" s="341" t="str">
        <f>IFERROR(__xludf.DUMMYFUNCTION("""COMPUTED_VALUE"""),"Closed")</f>
        <v>Closed</v>
      </c>
      <c r="BC220" s="339" t="str">
        <f>IFERROR(__xludf.DUMMYFUNCTION("""COMPUTED_VALUE"""),"Closed")</f>
        <v>Closed</v>
      </c>
      <c r="BD220" s="342" t="str">
        <f>IFERROR(__xludf.DUMMYFUNCTION("""COMPUTED_VALUE"""),"Closed")</f>
        <v>Closed</v>
      </c>
      <c r="BE220" s="341" t="str">
        <f>IFERROR(__xludf.DUMMYFUNCTION("""COMPUTED_VALUE"""),"Closed")</f>
        <v>Closed</v>
      </c>
      <c r="BF220" s="339" t="str">
        <f>IFERROR(__xludf.DUMMYFUNCTION("""COMPUTED_VALUE"""),"Closed")</f>
        <v>Closed</v>
      </c>
      <c r="BG220" s="234" t="str">
        <f>IFERROR(__xludf.DUMMYFUNCTION("""COMPUTED_VALUE"""),"Closed")</f>
        <v>Closed</v>
      </c>
      <c r="BH220" s="341" t="str">
        <f>IFERROR(__xludf.DUMMYFUNCTION("""COMPUTED_VALUE"""),"Closed")</f>
        <v>Closed</v>
      </c>
      <c r="BI220" s="339" t="str">
        <f>IFERROR(__xludf.DUMMYFUNCTION("""COMPUTED_VALUE"""),"Closed")</f>
        <v>Closed</v>
      </c>
      <c r="BJ220" s="342" t="str">
        <f>IFERROR(__xludf.DUMMYFUNCTION("""COMPUTED_VALUE"""),"Closed")</f>
        <v>Closed</v>
      </c>
      <c r="BK220" s="341" t="str">
        <f>IFERROR(__xludf.DUMMYFUNCTION("""COMPUTED_VALUE"""),"Closed")</f>
        <v>Closed</v>
      </c>
      <c r="BL220" s="339" t="str">
        <f>IFERROR(__xludf.DUMMYFUNCTION("""COMPUTED_VALUE"""),"Closed")</f>
        <v>Closed</v>
      </c>
      <c r="BM220" s="342" t="str">
        <f>IFERROR(__xludf.DUMMYFUNCTION("""COMPUTED_VALUE"""),"Closed")</f>
        <v>Closed</v>
      </c>
      <c r="BN220" s="341" t="str">
        <f>IFERROR(__xludf.DUMMYFUNCTION("""COMPUTED_VALUE"""),"Closed")</f>
        <v>Closed</v>
      </c>
      <c r="BO220" s="339" t="str">
        <f>IFERROR(__xludf.DUMMYFUNCTION("""COMPUTED_VALUE"""),"Closed")</f>
        <v>Closed</v>
      </c>
      <c r="BP220" s="342" t="str">
        <f>IFERROR(__xludf.DUMMYFUNCTION("""COMPUTED_VALUE"""),"Closed")</f>
        <v>Closed</v>
      </c>
      <c r="BQ220" s="341" t="str">
        <f>IFERROR(__xludf.DUMMYFUNCTION("""COMPUTED_VALUE"""),"Closed")</f>
        <v>Closed</v>
      </c>
      <c r="BR220" s="339" t="str">
        <f>IFERROR(__xludf.DUMMYFUNCTION("""COMPUTED_VALUE"""),"Closed")</f>
        <v>Closed</v>
      </c>
      <c r="BS220" s="234" t="str">
        <f>IFERROR(__xludf.DUMMYFUNCTION("""COMPUTED_VALUE"""),"Closed")</f>
        <v>Closed</v>
      </c>
      <c r="BT220" s="341" t="str">
        <f>IFERROR(__xludf.DUMMYFUNCTION("""COMPUTED_VALUE"""),"Closed")</f>
        <v>Closed</v>
      </c>
      <c r="BU220" s="339" t="str">
        <f>IFERROR(__xludf.DUMMYFUNCTION("""COMPUTED_VALUE"""),"Closed")</f>
        <v>Closed</v>
      </c>
      <c r="BV220" s="342" t="str">
        <f>IFERROR(__xludf.DUMMYFUNCTION("""COMPUTED_VALUE"""),"Closed")</f>
        <v>Closed</v>
      </c>
      <c r="BW220" s="341" t="str">
        <f>IFERROR(__xludf.DUMMYFUNCTION("""COMPUTED_VALUE"""),"Closed")</f>
        <v>Closed</v>
      </c>
      <c r="BX220" s="339" t="str">
        <f>IFERROR(__xludf.DUMMYFUNCTION("""COMPUTED_VALUE"""),"Closed")</f>
        <v>Closed</v>
      </c>
      <c r="BY220" s="342" t="str">
        <f>IFERROR(__xludf.DUMMYFUNCTION("""COMPUTED_VALUE"""),"Closed")</f>
        <v>Closed</v>
      </c>
      <c r="BZ220" s="341" t="str">
        <f>IFERROR(__xludf.DUMMYFUNCTION("""COMPUTED_VALUE"""),"Closed")</f>
        <v>Closed</v>
      </c>
      <c r="CA220" s="339" t="str">
        <f>IFERROR(__xludf.DUMMYFUNCTION("""COMPUTED_VALUE"""),"Closed")</f>
        <v>Closed</v>
      </c>
      <c r="CB220" s="342" t="str">
        <f>IFERROR(__xludf.DUMMYFUNCTION("""COMPUTED_VALUE"""),"Closed")</f>
        <v>Closed</v>
      </c>
      <c r="CC220" s="341" t="str">
        <f>IFERROR(__xludf.DUMMYFUNCTION("""COMPUTED_VALUE"""),"Closed")</f>
        <v>Closed</v>
      </c>
      <c r="CD220" s="339" t="str">
        <f>IFERROR(__xludf.DUMMYFUNCTION("""COMPUTED_VALUE"""),"Closed")</f>
        <v>Closed</v>
      </c>
      <c r="CE220" s="342" t="str">
        <f>IFERROR(__xludf.DUMMYFUNCTION("""COMPUTED_VALUE"""),"Closed")</f>
        <v>Closed</v>
      </c>
      <c r="CF220" s="341" t="str">
        <f>IFERROR(__xludf.DUMMYFUNCTION("""COMPUTED_VALUE"""),"Closed")</f>
        <v>Closed</v>
      </c>
      <c r="CG220" s="339" t="str">
        <f>IFERROR(__xludf.DUMMYFUNCTION("""COMPUTED_VALUE"""),"Closed")</f>
        <v>Closed</v>
      </c>
      <c r="CH220" s="342" t="str">
        <f>IFERROR(__xludf.DUMMYFUNCTION("""COMPUTED_VALUE"""),"Closed")</f>
        <v>Closed</v>
      </c>
      <c r="CI220" s="341" t="str">
        <f>IFERROR(__xludf.DUMMYFUNCTION("""COMPUTED_VALUE"""),"Closed")</f>
        <v>Closed</v>
      </c>
      <c r="CJ220" s="341" t="str">
        <f>IFERROR(__xludf.DUMMYFUNCTION("""COMPUTED_VALUE"""),"Closed")</f>
        <v>Closed</v>
      </c>
      <c r="CK220" s="342" t="str">
        <f>IFERROR(__xludf.DUMMYFUNCTION("""COMPUTED_VALUE"""),"Closed")</f>
        <v>Closed</v>
      </c>
      <c r="CL220" s="341" t="str">
        <f>IFERROR(__xludf.DUMMYFUNCTION("""COMPUTED_VALUE"""),"Closed")</f>
        <v>Closed</v>
      </c>
      <c r="CM220" s="339" t="str">
        <f>IFERROR(__xludf.DUMMYFUNCTION("""COMPUTED_VALUE"""),"Closed")</f>
        <v>Closed</v>
      </c>
      <c r="CN220" s="341" t="str">
        <f>IFERROR(__xludf.DUMMYFUNCTION("""COMPUTED_VALUE"""),"Closed")</f>
        <v>Closed</v>
      </c>
      <c r="CO220" s="341" t="str">
        <f>IFERROR(__xludf.DUMMYFUNCTION("""COMPUTED_VALUE"""),"Closed")</f>
        <v>Closed</v>
      </c>
      <c r="CP220" s="341" t="str">
        <f>IFERROR(__xludf.DUMMYFUNCTION("""COMPUTED_VALUE"""),"Closed")</f>
        <v>Closed</v>
      </c>
      <c r="CQ220" s="342" t="str">
        <f>IFERROR(__xludf.DUMMYFUNCTION("""COMPUTED_VALUE"""),"Closed")</f>
        <v>Closed</v>
      </c>
      <c r="CR220" s="341" t="str">
        <f>IFERROR(__xludf.DUMMYFUNCTION("""COMPUTED_VALUE"""),"Closed")</f>
        <v>Closed</v>
      </c>
      <c r="CS220" s="341" t="str">
        <f>IFERROR(__xludf.DUMMYFUNCTION("""COMPUTED_VALUE"""),"Closed")</f>
        <v>Closed</v>
      </c>
      <c r="CT220" s="342" t="str">
        <f>IFERROR(__xludf.DUMMYFUNCTION("""COMPUTED_VALUE"""),"Closed")</f>
        <v>Closed</v>
      </c>
      <c r="CU220" s="341" t="str">
        <f>IFERROR(__xludf.DUMMYFUNCTION("""COMPUTED_VALUE"""),"Closed")</f>
        <v>Closed</v>
      </c>
      <c r="CV220" s="341" t="str">
        <f>IFERROR(__xludf.DUMMYFUNCTION("""COMPUTED_VALUE"""),"Closed")</f>
        <v>Closed</v>
      </c>
      <c r="CW220" s="342" t="str">
        <f>IFERROR(__xludf.DUMMYFUNCTION("""COMPUTED_VALUE"""),"Closed")</f>
        <v>Closed</v>
      </c>
      <c r="CX220" s="341" t="str">
        <f>IFERROR(__xludf.DUMMYFUNCTION("""COMPUTED_VALUE"""),"Closed")</f>
        <v>Closed</v>
      </c>
      <c r="CY220" s="339" t="str">
        <f>IFERROR(__xludf.DUMMYFUNCTION("""COMPUTED_VALUE"""),"Closed")</f>
        <v>Closed</v>
      </c>
      <c r="CZ220" s="341" t="str">
        <f>IFERROR(__xludf.DUMMYFUNCTION("""COMPUTED_VALUE"""),"Closed")</f>
        <v>Closed</v>
      </c>
      <c r="DA220" s="341" t="str">
        <f>IFERROR(__xludf.DUMMYFUNCTION("""COMPUTED_VALUE"""),"Closed")</f>
        <v>Closed</v>
      </c>
      <c r="DB220" s="339" t="str">
        <f>IFERROR(__xludf.DUMMYFUNCTION("""COMPUTED_VALUE"""),"Closed")</f>
        <v>Closed</v>
      </c>
      <c r="DC220" s="342" t="str">
        <f>IFERROR(__xludf.DUMMYFUNCTION("""COMPUTED_VALUE"""),"Closed")</f>
        <v>Closed</v>
      </c>
      <c r="DD220" s="341" t="str">
        <f>IFERROR(__xludf.DUMMYFUNCTION("""COMPUTED_VALUE"""),"Closed")</f>
        <v>Closed</v>
      </c>
      <c r="DE220" s="339" t="str">
        <f>IFERROR(__xludf.DUMMYFUNCTION("""COMPUTED_VALUE"""),"Closed")</f>
        <v>Closed</v>
      </c>
      <c r="DF220" s="342" t="str">
        <f>IFERROR(__xludf.DUMMYFUNCTION("""COMPUTED_VALUE"""),"Closed")</f>
        <v>Closed</v>
      </c>
      <c r="DG220" s="341" t="str">
        <f>IFERROR(__xludf.DUMMYFUNCTION("""COMPUTED_VALUE"""),"Closed")</f>
        <v>Closed</v>
      </c>
      <c r="DH220" s="339" t="str">
        <f>IFERROR(__xludf.DUMMYFUNCTION("""COMPUTED_VALUE"""),"Closed")</f>
        <v>Closed</v>
      </c>
      <c r="DI220" s="342" t="str">
        <f>IFERROR(__xludf.DUMMYFUNCTION("""COMPUTED_VALUE"""),"Closed")</f>
        <v>Closed</v>
      </c>
      <c r="DJ220" s="341" t="str">
        <f>IFERROR(__xludf.DUMMYFUNCTION("""COMPUTED_VALUE"""),"Closed")</f>
        <v>Closed</v>
      </c>
      <c r="DK220" s="339" t="str">
        <f>IFERROR(__xludf.DUMMYFUNCTION("""COMPUTED_VALUE"""),"Closed")</f>
        <v>Closed</v>
      </c>
      <c r="DL220" s="348" t="str">
        <f>IFERROR(__xludf.DUMMYFUNCTION("""COMPUTED_VALUE"""),"Closed")</f>
        <v>Closed</v>
      </c>
      <c r="DM220" s="349" t="str">
        <f>IFERROR(__xludf.DUMMYFUNCTION("""COMPUTED_VALUE"""),"Closed")</f>
        <v>Closed</v>
      </c>
      <c r="DN220" s="350" t="str">
        <f>IFERROR(__xludf.DUMMYFUNCTION("""COMPUTED_VALUE"""),"Closed")</f>
        <v>Closed</v>
      </c>
      <c r="DO220" s="351" t="str">
        <f>IFERROR(__xludf.DUMMYFUNCTION("""COMPUTED_VALUE"""),"Closed")</f>
        <v>Closed</v>
      </c>
      <c r="DP220" s="351" t="str">
        <f>IFERROR(__xludf.DUMMYFUNCTION("""COMPUTED_VALUE"""),"Closed")</f>
        <v>Closed</v>
      </c>
      <c r="DQ220" s="351" t="str">
        <f>IFERROR(__xludf.DUMMYFUNCTION("""COMPUTED_VALUE"""),"Closed")</f>
        <v>Closed</v>
      </c>
      <c r="DR220" s="351" t="str">
        <f>IFERROR(__xludf.DUMMYFUNCTION("""COMPUTED_VALUE"""),"Closed")</f>
        <v>Closed</v>
      </c>
      <c r="DS220" s="351" t="str">
        <f>IFERROR(__xludf.DUMMYFUNCTION("""COMPUTED_VALUE"""),"Closed")</f>
        <v>Closed</v>
      </c>
      <c r="DT220" s="351" t="str">
        <f>IFERROR(__xludf.DUMMYFUNCTION("""COMPUTED_VALUE"""),"Closed")</f>
        <v>Closed</v>
      </c>
      <c r="DU220" s="82"/>
    </row>
    <row r="221">
      <c r="B221" s="120" t="str">
        <f>IFERROR(__xludf.DUMMYFUNCTION("""COMPUTED_VALUE"""),"YKS4")</f>
        <v>YKS4</v>
      </c>
      <c r="C221" s="264" t="str">
        <f>IFERROR(__xludf.DUMMYFUNCTION("""COMPUTED_VALUE"""),"Northern Sacred Mountain")</f>
        <v>Northern Sacred Mountain</v>
      </c>
      <c r="D221" s="102">
        <f>IFERROR(__xludf.DUMMYFUNCTION("""COMPUTED_VALUE"""),21.0)</f>
        <v>21</v>
      </c>
      <c r="E221" s="82" t="b">
        <f>IFERROR(__xludf.DUMMYFUNCTION("""COMPUTED_VALUE"""),FALSE)</f>
        <v>0</v>
      </c>
      <c r="F221" s="82" t="str">
        <f>IFERROR(__xludf.DUMMYFUNCTION("""COMPUTED_VALUE"""),"Free Quests- Part 2!A520:J530")</f>
        <v>Free Quests- Part 2!A520:J530</v>
      </c>
      <c r="G221" s="266">
        <f>IFERROR(__xludf.DUMMYFUNCTION("""COMPUTED_VALUE"""),222.0)</f>
        <v>222</v>
      </c>
      <c r="H221" s="266" t="str">
        <f>IFERROR(__xludf.DUMMYFUNCTION("""COMPUTED_VALUE"""),"Closed")</f>
        <v>Closed</v>
      </c>
      <c r="I221" s="266">
        <f>IFERROR(__xludf.DUMMYFUNCTION("""COMPUTED_VALUE"""),11672.0)</f>
        <v>11672</v>
      </c>
      <c r="J221" s="266" t="str">
        <f>IFERROR(__xludf.DUMMYFUNCTION("""COMPUTED_VALUE"""),"Closed")</f>
        <v>Closed</v>
      </c>
      <c r="K221" s="234" t="str">
        <f>IFERROR(__xludf.DUMMYFUNCTION("""COMPUTED_VALUE"""),"Closed")</f>
        <v>Closed</v>
      </c>
      <c r="L221" s="341" t="str">
        <f>IFERROR(__xludf.DUMMYFUNCTION("""COMPUTED_VALUE"""),"Closed")</f>
        <v>Closed</v>
      </c>
      <c r="M221" s="339" t="str">
        <f>IFERROR(__xludf.DUMMYFUNCTION("""COMPUTED_VALUE"""),"Closed")</f>
        <v>Closed</v>
      </c>
      <c r="N221" s="342" t="str">
        <f>IFERROR(__xludf.DUMMYFUNCTION("""COMPUTED_VALUE"""),"Closed")</f>
        <v>Closed</v>
      </c>
      <c r="O221" s="341" t="str">
        <f>IFERROR(__xludf.DUMMYFUNCTION("""COMPUTED_VALUE"""),"Closed")</f>
        <v>Closed</v>
      </c>
      <c r="P221" s="339" t="str">
        <f>IFERROR(__xludf.DUMMYFUNCTION("""COMPUTED_VALUE"""),"Closed")</f>
        <v>Closed</v>
      </c>
      <c r="Q221" s="342" t="str">
        <f>IFERROR(__xludf.DUMMYFUNCTION("""COMPUTED_VALUE"""),"Closed")</f>
        <v>Closed</v>
      </c>
      <c r="R221" s="341" t="str">
        <f>IFERROR(__xludf.DUMMYFUNCTION("""COMPUTED_VALUE"""),"Closed")</f>
        <v>Closed</v>
      </c>
      <c r="S221" s="339" t="str">
        <f>IFERROR(__xludf.DUMMYFUNCTION("""COMPUTED_VALUE"""),"Closed")</f>
        <v>Closed</v>
      </c>
      <c r="T221" s="342" t="str">
        <f>IFERROR(__xludf.DUMMYFUNCTION("""COMPUTED_VALUE"""),"Closed")</f>
        <v>Closed</v>
      </c>
      <c r="U221" s="341" t="str">
        <f>IFERROR(__xludf.DUMMYFUNCTION("""COMPUTED_VALUE"""),"Closed")</f>
        <v>Closed</v>
      </c>
      <c r="V221" s="339" t="str">
        <f>IFERROR(__xludf.DUMMYFUNCTION("""COMPUTED_VALUE"""),"Closed")</f>
        <v>Closed</v>
      </c>
      <c r="W221" s="234" t="str">
        <f>IFERROR(__xludf.DUMMYFUNCTION("""COMPUTED_VALUE"""),"Closed")</f>
        <v>Closed</v>
      </c>
      <c r="X221" s="341" t="str">
        <f>IFERROR(__xludf.DUMMYFUNCTION("""COMPUTED_VALUE"""),"Closed")</f>
        <v>Closed</v>
      </c>
      <c r="Y221" s="339" t="str">
        <f>IFERROR(__xludf.DUMMYFUNCTION("""COMPUTED_VALUE"""),"Closed")</f>
        <v>Closed</v>
      </c>
      <c r="Z221" s="342" t="str">
        <f>IFERROR(__xludf.DUMMYFUNCTION("""COMPUTED_VALUE"""),"Closed")</f>
        <v>Closed</v>
      </c>
      <c r="AA221" s="341" t="str">
        <f>IFERROR(__xludf.DUMMYFUNCTION("""COMPUTED_VALUE"""),"Closed")</f>
        <v>Closed</v>
      </c>
      <c r="AB221" s="339" t="str">
        <f>IFERROR(__xludf.DUMMYFUNCTION("""COMPUTED_VALUE"""),"Closed")</f>
        <v>Closed</v>
      </c>
      <c r="AC221" s="342" t="str">
        <f>IFERROR(__xludf.DUMMYFUNCTION("""COMPUTED_VALUE"""),"Closed")</f>
        <v>Closed</v>
      </c>
      <c r="AD221" s="341" t="str">
        <f>IFERROR(__xludf.DUMMYFUNCTION("""COMPUTED_VALUE"""),"Closed")</f>
        <v>Closed</v>
      </c>
      <c r="AE221" s="339" t="str">
        <f>IFERROR(__xludf.DUMMYFUNCTION("""COMPUTED_VALUE"""),"Closed")</f>
        <v>Closed</v>
      </c>
      <c r="AF221" s="342" t="str">
        <f>IFERROR(__xludf.DUMMYFUNCTION("""COMPUTED_VALUE"""),"Closed")</f>
        <v>Closed</v>
      </c>
      <c r="AG221" s="341" t="str">
        <f>IFERROR(__xludf.DUMMYFUNCTION("""COMPUTED_VALUE"""),"Closed")</f>
        <v>Closed</v>
      </c>
      <c r="AH221" s="339" t="str">
        <f>IFERROR(__xludf.DUMMYFUNCTION("""COMPUTED_VALUE"""),"Closed")</f>
        <v>Closed</v>
      </c>
      <c r="AI221" s="234" t="str">
        <f>IFERROR(__xludf.DUMMYFUNCTION("""COMPUTED_VALUE"""),"Closed")</f>
        <v>Closed</v>
      </c>
      <c r="AJ221" s="341" t="str">
        <f>IFERROR(__xludf.DUMMYFUNCTION("""COMPUTED_VALUE"""),"Closed")</f>
        <v>Closed</v>
      </c>
      <c r="AK221" s="339" t="str">
        <f>IFERROR(__xludf.DUMMYFUNCTION("""COMPUTED_VALUE"""),"Closed")</f>
        <v>Closed</v>
      </c>
      <c r="AL221" s="340" t="str">
        <f>IFERROR(__xludf.DUMMYFUNCTION("""COMPUTED_VALUE"""),"Closed")</f>
        <v>Closed</v>
      </c>
      <c r="AM221" s="341" t="str">
        <f>IFERROR(__xludf.DUMMYFUNCTION("""COMPUTED_VALUE"""),"Closed")</f>
        <v>Closed</v>
      </c>
      <c r="AN221" s="339" t="str">
        <f>IFERROR(__xludf.DUMMYFUNCTION("""COMPUTED_VALUE"""),"Closed")</f>
        <v>Closed</v>
      </c>
      <c r="AO221" s="342" t="str">
        <f>IFERROR(__xludf.DUMMYFUNCTION("""COMPUTED_VALUE"""),"Closed")</f>
        <v>Closed</v>
      </c>
      <c r="AP221" s="341" t="str">
        <f>IFERROR(__xludf.DUMMYFUNCTION("""COMPUTED_VALUE"""),"Closed")</f>
        <v>Closed</v>
      </c>
      <c r="AQ221" s="339" t="str">
        <f>IFERROR(__xludf.DUMMYFUNCTION("""COMPUTED_VALUE"""),"Closed")</f>
        <v>Closed</v>
      </c>
      <c r="AR221" s="342" t="str">
        <f>IFERROR(__xludf.DUMMYFUNCTION("""COMPUTED_VALUE"""),"Closed")</f>
        <v>Closed</v>
      </c>
      <c r="AS221" s="341" t="str">
        <f>IFERROR(__xludf.DUMMYFUNCTION("""COMPUTED_VALUE"""),"Closed")</f>
        <v>Closed</v>
      </c>
      <c r="AT221" s="339" t="str">
        <f>IFERROR(__xludf.DUMMYFUNCTION("""COMPUTED_VALUE"""),"Closed")</f>
        <v>Closed</v>
      </c>
      <c r="AU221" s="234" t="str">
        <f>IFERROR(__xludf.DUMMYFUNCTION("""COMPUTED_VALUE"""),"Closed")</f>
        <v>Closed</v>
      </c>
      <c r="AV221" s="341" t="str">
        <f>IFERROR(__xludf.DUMMYFUNCTION("""COMPUTED_VALUE"""),"Closed")</f>
        <v>Closed</v>
      </c>
      <c r="AW221" s="339" t="str">
        <f>IFERROR(__xludf.DUMMYFUNCTION("""COMPUTED_VALUE"""),"Closed")</f>
        <v>Closed</v>
      </c>
      <c r="AX221" s="342" t="str">
        <f>IFERROR(__xludf.DUMMYFUNCTION("""COMPUTED_VALUE"""),"Closed")</f>
        <v>Closed</v>
      </c>
      <c r="AY221" s="341" t="str">
        <f>IFERROR(__xludf.DUMMYFUNCTION("""COMPUTED_VALUE"""),"Closed")</f>
        <v>Closed</v>
      </c>
      <c r="AZ221" s="339" t="str">
        <f>IFERROR(__xludf.DUMMYFUNCTION("""COMPUTED_VALUE"""),"Closed")</f>
        <v>Closed</v>
      </c>
      <c r="BA221" s="342" t="str">
        <f>IFERROR(__xludf.DUMMYFUNCTION("""COMPUTED_VALUE"""),"Closed")</f>
        <v>Closed</v>
      </c>
      <c r="BB221" s="341" t="str">
        <f>IFERROR(__xludf.DUMMYFUNCTION("""COMPUTED_VALUE"""),"Closed")</f>
        <v>Closed</v>
      </c>
      <c r="BC221" s="339" t="str">
        <f>IFERROR(__xludf.DUMMYFUNCTION("""COMPUTED_VALUE"""),"Closed")</f>
        <v>Closed</v>
      </c>
      <c r="BD221" s="342" t="str">
        <f>IFERROR(__xludf.DUMMYFUNCTION("""COMPUTED_VALUE"""),"Closed")</f>
        <v>Closed</v>
      </c>
      <c r="BE221" s="341" t="str">
        <f>IFERROR(__xludf.DUMMYFUNCTION("""COMPUTED_VALUE"""),"Closed")</f>
        <v>Closed</v>
      </c>
      <c r="BF221" s="339" t="str">
        <f>IFERROR(__xludf.DUMMYFUNCTION("""COMPUTED_VALUE"""),"Closed")</f>
        <v>Closed</v>
      </c>
      <c r="BG221" s="234" t="str">
        <f>IFERROR(__xludf.DUMMYFUNCTION("""COMPUTED_VALUE"""),"Closed")</f>
        <v>Closed</v>
      </c>
      <c r="BH221" s="341" t="str">
        <f>IFERROR(__xludf.DUMMYFUNCTION("""COMPUTED_VALUE"""),"Closed")</f>
        <v>Closed</v>
      </c>
      <c r="BI221" s="339" t="str">
        <f>IFERROR(__xludf.DUMMYFUNCTION("""COMPUTED_VALUE"""),"Closed")</f>
        <v>Closed</v>
      </c>
      <c r="BJ221" s="342" t="str">
        <f>IFERROR(__xludf.DUMMYFUNCTION("""COMPUTED_VALUE"""),"Closed")</f>
        <v>Closed</v>
      </c>
      <c r="BK221" s="341" t="str">
        <f>IFERROR(__xludf.DUMMYFUNCTION("""COMPUTED_VALUE"""),"Closed")</f>
        <v>Closed</v>
      </c>
      <c r="BL221" s="339" t="str">
        <f>IFERROR(__xludf.DUMMYFUNCTION("""COMPUTED_VALUE"""),"Closed")</f>
        <v>Closed</v>
      </c>
      <c r="BM221" s="342" t="str">
        <f>IFERROR(__xludf.DUMMYFUNCTION("""COMPUTED_VALUE"""),"Closed")</f>
        <v>Closed</v>
      </c>
      <c r="BN221" s="341" t="str">
        <f>IFERROR(__xludf.DUMMYFUNCTION("""COMPUTED_VALUE"""),"Closed")</f>
        <v>Closed</v>
      </c>
      <c r="BO221" s="339" t="str">
        <f>IFERROR(__xludf.DUMMYFUNCTION("""COMPUTED_VALUE"""),"Closed")</f>
        <v>Closed</v>
      </c>
      <c r="BP221" s="342" t="str">
        <f>IFERROR(__xludf.DUMMYFUNCTION("""COMPUTED_VALUE"""),"Closed")</f>
        <v>Closed</v>
      </c>
      <c r="BQ221" s="341" t="str">
        <f>IFERROR(__xludf.DUMMYFUNCTION("""COMPUTED_VALUE"""),"Closed")</f>
        <v>Closed</v>
      </c>
      <c r="BR221" s="339" t="str">
        <f>IFERROR(__xludf.DUMMYFUNCTION("""COMPUTED_VALUE"""),"Closed")</f>
        <v>Closed</v>
      </c>
      <c r="BS221" s="234" t="str">
        <f>IFERROR(__xludf.DUMMYFUNCTION("""COMPUTED_VALUE"""),"Closed")</f>
        <v>Closed</v>
      </c>
      <c r="BT221" s="341" t="str">
        <f>IFERROR(__xludf.DUMMYFUNCTION("""COMPUTED_VALUE"""),"Closed")</f>
        <v>Closed</v>
      </c>
      <c r="BU221" s="339" t="str">
        <f>IFERROR(__xludf.DUMMYFUNCTION("""COMPUTED_VALUE"""),"Closed")</f>
        <v>Closed</v>
      </c>
      <c r="BV221" s="342" t="str">
        <f>IFERROR(__xludf.DUMMYFUNCTION("""COMPUTED_VALUE"""),"Closed")</f>
        <v>Closed</v>
      </c>
      <c r="BW221" s="341" t="str">
        <f>IFERROR(__xludf.DUMMYFUNCTION("""COMPUTED_VALUE"""),"Closed")</f>
        <v>Closed</v>
      </c>
      <c r="BX221" s="339" t="str">
        <f>IFERROR(__xludf.DUMMYFUNCTION("""COMPUTED_VALUE"""),"Closed")</f>
        <v>Closed</v>
      </c>
      <c r="BY221" s="342" t="str">
        <f>IFERROR(__xludf.DUMMYFUNCTION("""COMPUTED_VALUE"""),"Closed")</f>
        <v>Closed</v>
      </c>
      <c r="BZ221" s="341" t="str">
        <f>IFERROR(__xludf.DUMMYFUNCTION("""COMPUTED_VALUE"""),"Closed")</f>
        <v>Closed</v>
      </c>
      <c r="CA221" s="339" t="str">
        <f>IFERROR(__xludf.DUMMYFUNCTION("""COMPUTED_VALUE"""),"Closed")</f>
        <v>Closed</v>
      </c>
      <c r="CB221" s="342" t="str">
        <f>IFERROR(__xludf.DUMMYFUNCTION("""COMPUTED_VALUE"""),"Closed")</f>
        <v>Closed</v>
      </c>
      <c r="CC221" s="341" t="str">
        <f>IFERROR(__xludf.DUMMYFUNCTION("""COMPUTED_VALUE"""),"Closed")</f>
        <v>Closed</v>
      </c>
      <c r="CD221" s="339" t="str">
        <f>IFERROR(__xludf.DUMMYFUNCTION("""COMPUTED_VALUE"""),"Closed")</f>
        <v>Closed</v>
      </c>
      <c r="CE221" s="342" t="str">
        <f>IFERROR(__xludf.DUMMYFUNCTION("""COMPUTED_VALUE"""),"Closed")</f>
        <v>Closed</v>
      </c>
      <c r="CF221" s="341" t="str">
        <f>IFERROR(__xludf.DUMMYFUNCTION("""COMPUTED_VALUE"""),"Closed")</f>
        <v>Closed</v>
      </c>
      <c r="CG221" s="339" t="str">
        <f>IFERROR(__xludf.DUMMYFUNCTION("""COMPUTED_VALUE"""),"Closed")</f>
        <v>Closed</v>
      </c>
      <c r="CH221" s="342" t="str">
        <f>IFERROR(__xludf.DUMMYFUNCTION("""COMPUTED_VALUE"""),"Closed")</f>
        <v>Closed</v>
      </c>
      <c r="CI221" s="341" t="str">
        <f>IFERROR(__xludf.DUMMYFUNCTION("""COMPUTED_VALUE"""),"Closed")</f>
        <v>Closed</v>
      </c>
      <c r="CJ221" s="341" t="str">
        <f>IFERROR(__xludf.DUMMYFUNCTION("""COMPUTED_VALUE"""),"Closed")</f>
        <v>Closed</v>
      </c>
      <c r="CK221" s="342" t="str">
        <f>IFERROR(__xludf.DUMMYFUNCTION("""COMPUTED_VALUE"""),"Closed")</f>
        <v>Closed</v>
      </c>
      <c r="CL221" s="341" t="str">
        <f>IFERROR(__xludf.DUMMYFUNCTION("""COMPUTED_VALUE"""),"Closed")</f>
        <v>Closed</v>
      </c>
      <c r="CM221" s="339" t="str">
        <f>IFERROR(__xludf.DUMMYFUNCTION("""COMPUTED_VALUE"""),"Closed")</f>
        <v>Closed</v>
      </c>
      <c r="CN221" s="341" t="str">
        <f>IFERROR(__xludf.DUMMYFUNCTION("""COMPUTED_VALUE"""),"Closed")</f>
        <v>Closed</v>
      </c>
      <c r="CO221" s="341" t="str">
        <f>IFERROR(__xludf.DUMMYFUNCTION("""COMPUTED_VALUE"""),"Closed")</f>
        <v>Closed</v>
      </c>
      <c r="CP221" s="341" t="str">
        <f>IFERROR(__xludf.DUMMYFUNCTION("""COMPUTED_VALUE"""),"Closed")</f>
        <v>Closed</v>
      </c>
      <c r="CQ221" s="342" t="str">
        <f>IFERROR(__xludf.DUMMYFUNCTION("""COMPUTED_VALUE"""),"Closed")</f>
        <v>Closed</v>
      </c>
      <c r="CR221" s="341" t="str">
        <f>IFERROR(__xludf.DUMMYFUNCTION("""COMPUTED_VALUE"""),"Closed")</f>
        <v>Closed</v>
      </c>
      <c r="CS221" s="341" t="str">
        <f>IFERROR(__xludf.DUMMYFUNCTION("""COMPUTED_VALUE"""),"Closed")</f>
        <v>Closed</v>
      </c>
      <c r="CT221" s="342" t="str">
        <f>IFERROR(__xludf.DUMMYFUNCTION("""COMPUTED_VALUE"""),"Closed")</f>
        <v>Closed</v>
      </c>
      <c r="CU221" s="341" t="str">
        <f>IFERROR(__xludf.DUMMYFUNCTION("""COMPUTED_VALUE"""),"Closed")</f>
        <v>Closed</v>
      </c>
      <c r="CV221" s="341" t="str">
        <f>IFERROR(__xludf.DUMMYFUNCTION("""COMPUTED_VALUE"""),"Closed")</f>
        <v>Closed</v>
      </c>
      <c r="CW221" s="342" t="str">
        <f>IFERROR(__xludf.DUMMYFUNCTION("""COMPUTED_VALUE"""),"Closed")</f>
        <v>Closed</v>
      </c>
      <c r="CX221" s="341" t="str">
        <f>IFERROR(__xludf.DUMMYFUNCTION("""COMPUTED_VALUE"""),"Closed")</f>
        <v>Closed</v>
      </c>
      <c r="CY221" s="339" t="str">
        <f>IFERROR(__xludf.DUMMYFUNCTION("""COMPUTED_VALUE"""),"Closed")</f>
        <v>Closed</v>
      </c>
      <c r="CZ221" s="341" t="str">
        <f>IFERROR(__xludf.DUMMYFUNCTION("""COMPUTED_VALUE"""),"Closed")</f>
        <v>Closed</v>
      </c>
      <c r="DA221" s="341" t="str">
        <f>IFERROR(__xludf.DUMMYFUNCTION("""COMPUTED_VALUE"""),"Closed")</f>
        <v>Closed</v>
      </c>
      <c r="DB221" s="339" t="str">
        <f>IFERROR(__xludf.DUMMYFUNCTION("""COMPUTED_VALUE"""),"Closed")</f>
        <v>Closed</v>
      </c>
      <c r="DC221" s="342" t="str">
        <f>IFERROR(__xludf.DUMMYFUNCTION("""COMPUTED_VALUE"""),"Closed")</f>
        <v>Closed</v>
      </c>
      <c r="DD221" s="341" t="str">
        <f>IFERROR(__xludf.DUMMYFUNCTION("""COMPUTED_VALUE"""),"Closed")</f>
        <v>Closed</v>
      </c>
      <c r="DE221" s="339" t="str">
        <f>IFERROR(__xludf.DUMMYFUNCTION("""COMPUTED_VALUE"""),"Closed")</f>
        <v>Closed</v>
      </c>
      <c r="DF221" s="342" t="str">
        <f>IFERROR(__xludf.DUMMYFUNCTION("""COMPUTED_VALUE"""),"Closed")</f>
        <v>Closed</v>
      </c>
      <c r="DG221" s="341" t="str">
        <f>IFERROR(__xludf.DUMMYFUNCTION("""COMPUTED_VALUE"""),"Closed")</f>
        <v>Closed</v>
      </c>
      <c r="DH221" s="339" t="str">
        <f>IFERROR(__xludf.DUMMYFUNCTION("""COMPUTED_VALUE"""),"Closed")</f>
        <v>Closed</v>
      </c>
      <c r="DI221" s="342" t="str">
        <f>IFERROR(__xludf.DUMMYFUNCTION("""COMPUTED_VALUE"""),"Closed")</f>
        <v>Closed</v>
      </c>
      <c r="DJ221" s="341" t="str">
        <f>IFERROR(__xludf.DUMMYFUNCTION("""COMPUTED_VALUE"""),"Closed")</f>
        <v>Closed</v>
      </c>
      <c r="DK221" s="339" t="str">
        <f>IFERROR(__xludf.DUMMYFUNCTION("""COMPUTED_VALUE"""),"Closed")</f>
        <v>Closed</v>
      </c>
      <c r="DL221" s="348" t="str">
        <f>IFERROR(__xludf.DUMMYFUNCTION("""COMPUTED_VALUE"""),"Closed")</f>
        <v>Closed</v>
      </c>
      <c r="DM221" s="349" t="str">
        <f>IFERROR(__xludf.DUMMYFUNCTION("""COMPUTED_VALUE"""),"Closed")</f>
        <v>Closed</v>
      </c>
      <c r="DN221" s="350" t="str">
        <f>IFERROR(__xludf.DUMMYFUNCTION("""COMPUTED_VALUE"""),"Closed")</f>
        <v>Closed</v>
      </c>
      <c r="DO221" s="351" t="str">
        <f>IFERROR(__xludf.DUMMYFUNCTION("""COMPUTED_VALUE"""),"Closed")</f>
        <v>Closed</v>
      </c>
      <c r="DP221" s="351" t="str">
        <f>IFERROR(__xludf.DUMMYFUNCTION("""COMPUTED_VALUE"""),"Closed")</f>
        <v>Closed</v>
      </c>
      <c r="DQ221" s="351" t="str">
        <f>IFERROR(__xludf.DUMMYFUNCTION("""COMPUTED_VALUE"""),"Closed")</f>
        <v>Closed</v>
      </c>
      <c r="DR221" s="351" t="str">
        <f>IFERROR(__xludf.DUMMYFUNCTION("""COMPUTED_VALUE"""),"Closed")</f>
        <v>Closed</v>
      </c>
      <c r="DS221" s="351" t="str">
        <f>IFERROR(__xludf.DUMMYFUNCTION("""COMPUTED_VALUE"""),"Closed")</f>
        <v>Closed</v>
      </c>
      <c r="DT221" s="351" t="str">
        <f>IFERROR(__xludf.DUMMYFUNCTION("""COMPUTED_VALUE"""),"Closed")</f>
        <v>Closed</v>
      </c>
      <c r="DU221" s="82"/>
    </row>
    <row r="222">
      <c r="B222" s="120" t="str">
        <f>IFERROR(__xludf.DUMMYFUNCTION("""COMPUTED_VALUE"""),"YKS5")</f>
        <v>YKS5</v>
      </c>
      <c r="C222" s="264" t="str">
        <f>IFERROR(__xludf.DUMMYFUNCTION("""COMPUTED_VALUE"""),"Western Fault")</f>
        <v>Western Fault</v>
      </c>
      <c r="D222" s="102">
        <f>IFERROR(__xludf.DUMMYFUNCTION("""COMPUTED_VALUE"""),21.0)</f>
        <v>21</v>
      </c>
      <c r="E222" s="82" t="b">
        <f>IFERROR(__xludf.DUMMYFUNCTION("""COMPUTED_VALUE"""),FALSE)</f>
        <v>0</v>
      </c>
      <c r="F222" s="82" t="str">
        <f>IFERROR(__xludf.DUMMYFUNCTION("""COMPUTED_VALUE"""),"Free Quests- Part 2!A534:J543")</f>
        <v>Free Quests- Part 2!A534:J543</v>
      </c>
      <c r="G222" s="266">
        <f>IFERROR(__xludf.DUMMYFUNCTION("""COMPUTED_VALUE"""),223.0)</f>
        <v>223</v>
      </c>
      <c r="H222" s="266" t="str">
        <f>IFERROR(__xludf.DUMMYFUNCTION("""COMPUTED_VALUE"""),"Closed")</f>
        <v>Closed</v>
      </c>
      <c r="I222" s="266">
        <f>IFERROR(__xludf.DUMMYFUNCTION("""COMPUTED_VALUE"""),12456.0)</f>
        <v>12456</v>
      </c>
      <c r="J222" s="266" t="str">
        <f>IFERROR(__xludf.DUMMYFUNCTION("""COMPUTED_VALUE"""),"Closed")</f>
        <v>Closed</v>
      </c>
      <c r="K222" s="234" t="str">
        <f>IFERROR(__xludf.DUMMYFUNCTION("""COMPUTED_VALUE"""),"Closed")</f>
        <v>Closed</v>
      </c>
      <c r="L222" s="341" t="str">
        <f>IFERROR(__xludf.DUMMYFUNCTION("""COMPUTED_VALUE"""),"Closed")</f>
        <v>Closed</v>
      </c>
      <c r="M222" s="339" t="str">
        <f>IFERROR(__xludf.DUMMYFUNCTION("""COMPUTED_VALUE"""),"Closed")</f>
        <v>Closed</v>
      </c>
      <c r="N222" s="342" t="str">
        <f>IFERROR(__xludf.DUMMYFUNCTION("""COMPUTED_VALUE"""),"Closed")</f>
        <v>Closed</v>
      </c>
      <c r="O222" s="341" t="str">
        <f>IFERROR(__xludf.DUMMYFUNCTION("""COMPUTED_VALUE"""),"Closed")</f>
        <v>Closed</v>
      </c>
      <c r="P222" s="339" t="str">
        <f>IFERROR(__xludf.DUMMYFUNCTION("""COMPUTED_VALUE"""),"Closed")</f>
        <v>Closed</v>
      </c>
      <c r="Q222" s="342" t="str">
        <f>IFERROR(__xludf.DUMMYFUNCTION("""COMPUTED_VALUE"""),"Closed")</f>
        <v>Closed</v>
      </c>
      <c r="R222" s="341" t="str">
        <f>IFERROR(__xludf.DUMMYFUNCTION("""COMPUTED_VALUE"""),"Closed")</f>
        <v>Closed</v>
      </c>
      <c r="S222" s="339" t="str">
        <f>IFERROR(__xludf.DUMMYFUNCTION("""COMPUTED_VALUE"""),"Closed")</f>
        <v>Closed</v>
      </c>
      <c r="T222" s="342" t="str">
        <f>IFERROR(__xludf.DUMMYFUNCTION("""COMPUTED_VALUE"""),"Closed")</f>
        <v>Closed</v>
      </c>
      <c r="U222" s="341" t="str">
        <f>IFERROR(__xludf.DUMMYFUNCTION("""COMPUTED_VALUE"""),"Closed")</f>
        <v>Closed</v>
      </c>
      <c r="V222" s="339" t="str">
        <f>IFERROR(__xludf.DUMMYFUNCTION("""COMPUTED_VALUE"""),"Closed")</f>
        <v>Closed</v>
      </c>
      <c r="W222" s="234" t="str">
        <f>IFERROR(__xludf.DUMMYFUNCTION("""COMPUTED_VALUE"""),"Closed")</f>
        <v>Closed</v>
      </c>
      <c r="X222" s="341" t="str">
        <f>IFERROR(__xludf.DUMMYFUNCTION("""COMPUTED_VALUE"""),"Closed")</f>
        <v>Closed</v>
      </c>
      <c r="Y222" s="339" t="str">
        <f>IFERROR(__xludf.DUMMYFUNCTION("""COMPUTED_VALUE"""),"Closed")</f>
        <v>Closed</v>
      </c>
      <c r="Z222" s="342" t="str">
        <f>IFERROR(__xludf.DUMMYFUNCTION("""COMPUTED_VALUE"""),"Closed")</f>
        <v>Closed</v>
      </c>
      <c r="AA222" s="341" t="str">
        <f>IFERROR(__xludf.DUMMYFUNCTION("""COMPUTED_VALUE"""),"Closed")</f>
        <v>Closed</v>
      </c>
      <c r="AB222" s="339" t="str">
        <f>IFERROR(__xludf.DUMMYFUNCTION("""COMPUTED_VALUE"""),"Closed")</f>
        <v>Closed</v>
      </c>
      <c r="AC222" s="342" t="str">
        <f>IFERROR(__xludf.DUMMYFUNCTION("""COMPUTED_VALUE"""),"Closed")</f>
        <v>Closed</v>
      </c>
      <c r="AD222" s="341" t="str">
        <f>IFERROR(__xludf.DUMMYFUNCTION("""COMPUTED_VALUE"""),"Closed")</f>
        <v>Closed</v>
      </c>
      <c r="AE222" s="339" t="str">
        <f>IFERROR(__xludf.DUMMYFUNCTION("""COMPUTED_VALUE"""),"Closed")</f>
        <v>Closed</v>
      </c>
      <c r="AF222" s="342" t="str">
        <f>IFERROR(__xludf.DUMMYFUNCTION("""COMPUTED_VALUE"""),"Closed")</f>
        <v>Closed</v>
      </c>
      <c r="AG222" s="341" t="str">
        <f>IFERROR(__xludf.DUMMYFUNCTION("""COMPUTED_VALUE"""),"Closed")</f>
        <v>Closed</v>
      </c>
      <c r="AH222" s="339" t="str">
        <f>IFERROR(__xludf.DUMMYFUNCTION("""COMPUTED_VALUE"""),"Closed")</f>
        <v>Closed</v>
      </c>
      <c r="AI222" s="234" t="str">
        <f>IFERROR(__xludf.DUMMYFUNCTION("""COMPUTED_VALUE"""),"Closed")</f>
        <v>Closed</v>
      </c>
      <c r="AJ222" s="341" t="str">
        <f>IFERROR(__xludf.DUMMYFUNCTION("""COMPUTED_VALUE"""),"Closed")</f>
        <v>Closed</v>
      </c>
      <c r="AK222" s="339" t="str">
        <f>IFERROR(__xludf.DUMMYFUNCTION("""COMPUTED_VALUE"""),"Closed")</f>
        <v>Closed</v>
      </c>
      <c r="AL222" s="340" t="str">
        <f>IFERROR(__xludf.DUMMYFUNCTION("""COMPUTED_VALUE"""),"Closed")</f>
        <v>Closed</v>
      </c>
      <c r="AM222" s="341" t="str">
        <f>IFERROR(__xludf.DUMMYFUNCTION("""COMPUTED_VALUE"""),"Closed")</f>
        <v>Closed</v>
      </c>
      <c r="AN222" s="339" t="str">
        <f>IFERROR(__xludf.DUMMYFUNCTION("""COMPUTED_VALUE"""),"Closed")</f>
        <v>Closed</v>
      </c>
      <c r="AO222" s="342" t="str">
        <f>IFERROR(__xludf.DUMMYFUNCTION("""COMPUTED_VALUE"""),"Closed")</f>
        <v>Closed</v>
      </c>
      <c r="AP222" s="341" t="str">
        <f>IFERROR(__xludf.DUMMYFUNCTION("""COMPUTED_VALUE"""),"Closed")</f>
        <v>Closed</v>
      </c>
      <c r="AQ222" s="339" t="str">
        <f>IFERROR(__xludf.DUMMYFUNCTION("""COMPUTED_VALUE"""),"Closed")</f>
        <v>Closed</v>
      </c>
      <c r="AR222" s="342" t="str">
        <f>IFERROR(__xludf.DUMMYFUNCTION("""COMPUTED_VALUE"""),"Closed")</f>
        <v>Closed</v>
      </c>
      <c r="AS222" s="341" t="str">
        <f>IFERROR(__xludf.DUMMYFUNCTION("""COMPUTED_VALUE"""),"Closed")</f>
        <v>Closed</v>
      </c>
      <c r="AT222" s="339" t="str">
        <f>IFERROR(__xludf.DUMMYFUNCTION("""COMPUTED_VALUE"""),"Closed")</f>
        <v>Closed</v>
      </c>
      <c r="AU222" s="234" t="str">
        <f>IFERROR(__xludf.DUMMYFUNCTION("""COMPUTED_VALUE"""),"Closed")</f>
        <v>Closed</v>
      </c>
      <c r="AV222" s="341" t="str">
        <f>IFERROR(__xludf.DUMMYFUNCTION("""COMPUTED_VALUE"""),"Closed")</f>
        <v>Closed</v>
      </c>
      <c r="AW222" s="339" t="str">
        <f>IFERROR(__xludf.DUMMYFUNCTION("""COMPUTED_VALUE"""),"Closed")</f>
        <v>Closed</v>
      </c>
      <c r="AX222" s="342" t="str">
        <f>IFERROR(__xludf.DUMMYFUNCTION("""COMPUTED_VALUE"""),"Closed")</f>
        <v>Closed</v>
      </c>
      <c r="AY222" s="341" t="str">
        <f>IFERROR(__xludf.DUMMYFUNCTION("""COMPUTED_VALUE"""),"Closed")</f>
        <v>Closed</v>
      </c>
      <c r="AZ222" s="339" t="str">
        <f>IFERROR(__xludf.DUMMYFUNCTION("""COMPUTED_VALUE"""),"Closed")</f>
        <v>Closed</v>
      </c>
      <c r="BA222" s="342" t="str">
        <f>IFERROR(__xludf.DUMMYFUNCTION("""COMPUTED_VALUE"""),"Closed")</f>
        <v>Closed</v>
      </c>
      <c r="BB222" s="341" t="str">
        <f>IFERROR(__xludf.DUMMYFUNCTION("""COMPUTED_VALUE"""),"Closed")</f>
        <v>Closed</v>
      </c>
      <c r="BC222" s="339" t="str">
        <f>IFERROR(__xludf.DUMMYFUNCTION("""COMPUTED_VALUE"""),"Closed")</f>
        <v>Closed</v>
      </c>
      <c r="BD222" s="342" t="str">
        <f>IFERROR(__xludf.DUMMYFUNCTION("""COMPUTED_VALUE"""),"Closed")</f>
        <v>Closed</v>
      </c>
      <c r="BE222" s="341" t="str">
        <f>IFERROR(__xludf.DUMMYFUNCTION("""COMPUTED_VALUE"""),"Closed")</f>
        <v>Closed</v>
      </c>
      <c r="BF222" s="339" t="str">
        <f>IFERROR(__xludf.DUMMYFUNCTION("""COMPUTED_VALUE"""),"Closed")</f>
        <v>Closed</v>
      </c>
      <c r="BG222" s="234" t="str">
        <f>IFERROR(__xludf.DUMMYFUNCTION("""COMPUTED_VALUE"""),"Closed")</f>
        <v>Closed</v>
      </c>
      <c r="BH222" s="341" t="str">
        <f>IFERROR(__xludf.DUMMYFUNCTION("""COMPUTED_VALUE"""),"Closed")</f>
        <v>Closed</v>
      </c>
      <c r="BI222" s="339" t="str">
        <f>IFERROR(__xludf.DUMMYFUNCTION("""COMPUTED_VALUE"""),"Closed")</f>
        <v>Closed</v>
      </c>
      <c r="BJ222" s="342" t="str">
        <f>IFERROR(__xludf.DUMMYFUNCTION("""COMPUTED_VALUE"""),"Closed")</f>
        <v>Closed</v>
      </c>
      <c r="BK222" s="341" t="str">
        <f>IFERROR(__xludf.DUMMYFUNCTION("""COMPUTED_VALUE"""),"Closed")</f>
        <v>Closed</v>
      </c>
      <c r="BL222" s="339" t="str">
        <f>IFERROR(__xludf.DUMMYFUNCTION("""COMPUTED_VALUE"""),"Closed")</f>
        <v>Closed</v>
      </c>
      <c r="BM222" s="342" t="str">
        <f>IFERROR(__xludf.DUMMYFUNCTION("""COMPUTED_VALUE"""),"Closed")</f>
        <v>Closed</v>
      </c>
      <c r="BN222" s="341" t="str">
        <f>IFERROR(__xludf.DUMMYFUNCTION("""COMPUTED_VALUE"""),"Closed")</f>
        <v>Closed</v>
      </c>
      <c r="BO222" s="339" t="str">
        <f>IFERROR(__xludf.DUMMYFUNCTION("""COMPUTED_VALUE"""),"Closed")</f>
        <v>Closed</v>
      </c>
      <c r="BP222" s="342" t="str">
        <f>IFERROR(__xludf.DUMMYFUNCTION("""COMPUTED_VALUE"""),"Closed")</f>
        <v>Closed</v>
      </c>
      <c r="BQ222" s="341" t="str">
        <f>IFERROR(__xludf.DUMMYFUNCTION("""COMPUTED_VALUE"""),"Closed")</f>
        <v>Closed</v>
      </c>
      <c r="BR222" s="339" t="str">
        <f>IFERROR(__xludf.DUMMYFUNCTION("""COMPUTED_VALUE"""),"Closed")</f>
        <v>Closed</v>
      </c>
      <c r="BS222" s="234" t="str">
        <f>IFERROR(__xludf.DUMMYFUNCTION("""COMPUTED_VALUE"""),"Closed")</f>
        <v>Closed</v>
      </c>
      <c r="BT222" s="341" t="str">
        <f>IFERROR(__xludf.DUMMYFUNCTION("""COMPUTED_VALUE"""),"Closed")</f>
        <v>Closed</v>
      </c>
      <c r="BU222" s="339" t="str">
        <f>IFERROR(__xludf.DUMMYFUNCTION("""COMPUTED_VALUE"""),"Closed")</f>
        <v>Closed</v>
      </c>
      <c r="BV222" s="342" t="str">
        <f>IFERROR(__xludf.DUMMYFUNCTION("""COMPUTED_VALUE"""),"Closed")</f>
        <v>Closed</v>
      </c>
      <c r="BW222" s="341" t="str">
        <f>IFERROR(__xludf.DUMMYFUNCTION("""COMPUTED_VALUE"""),"Closed")</f>
        <v>Closed</v>
      </c>
      <c r="BX222" s="339" t="str">
        <f>IFERROR(__xludf.DUMMYFUNCTION("""COMPUTED_VALUE"""),"Closed")</f>
        <v>Closed</v>
      </c>
      <c r="BY222" s="342" t="str">
        <f>IFERROR(__xludf.DUMMYFUNCTION("""COMPUTED_VALUE"""),"Closed")</f>
        <v>Closed</v>
      </c>
      <c r="BZ222" s="341" t="str">
        <f>IFERROR(__xludf.DUMMYFUNCTION("""COMPUTED_VALUE"""),"Closed")</f>
        <v>Closed</v>
      </c>
      <c r="CA222" s="339" t="str">
        <f>IFERROR(__xludf.DUMMYFUNCTION("""COMPUTED_VALUE"""),"Closed")</f>
        <v>Closed</v>
      </c>
      <c r="CB222" s="342" t="str">
        <f>IFERROR(__xludf.DUMMYFUNCTION("""COMPUTED_VALUE"""),"Closed")</f>
        <v>Closed</v>
      </c>
      <c r="CC222" s="341" t="str">
        <f>IFERROR(__xludf.DUMMYFUNCTION("""COMPUTED_VALUE"""),"Closed")</f>
        <v>Closed</v>
      </c>
      <c r="CD222" s="339" t="str">
        <f>IFERROR(__xludf.DUMMYFUNCTION("""COMPUTED_VALUE"""),"Closed")</f>
        <v>Closed</v>
      </c>
      <c r="CE222" s="342" t="str">
        <f>IFERROR(__xludf.DUMMYFUNCTION("""COMPUTED_VALUE"""),"Closed")</f>
        <v>Closed</v>
      </c>
      <c r="CF222" s="341" t="str">
        <f>IFERROR(__xludf.DUMMYFUNCTION("""COMPUTED_VALUE"""),"Closed")</f>
        <v>Closed</v>
      </c>
      <c r="CG222" s="339" t="str">
        <f>IFERROR(__xludf.DUMMYFUNCTION("""COMPUTED_VALUE"""),"Closed")</f>
        <v>Closed</v>
      </c>
      <c r="CH222" s="342" t="str">
        <f>IFERROR(__xludf.DUMMYFUNCTION("""COMPUTED_VALUE"""),"Closed")</f>
        <v>Closed</v>
      </c>
      <c r="CI222" s="341" t="str">
        <f>IFERROR(__xludf.DUMMYFUNCTION("""COMPUTED_VALUE"""),"Closed")</f>
        <v>Closed</v>
      </c>
      <c r="CJ222" s="341" t="str">
        <f>IFERROR(__xludf.DUMMYFUNCTION("""COMPUTED_VALUE"""),"Closed")</f>
        <v>Closed</v>
      </c>
      <c r="CK222" s="342" t="str">
        <f>IFERROR(__xludf.DUMMYFUNCTION("""COMPUTED_VALUE"""),"Closed")</f>
        <v>Closed</v>
      </c>
      <c r="CL222" s="341" t="str">
        <f>IFERROR(__xludf.DUMMYFUNCTION("""COMPUTED_VALUE"""),"Closed")</f>
        <v>Closed</v>
      </c>
      <c r="CM222" s="339" t="str">
        <f>IFERROR(__xludf.DUMMYFUNCTION("""COMPUTED_VALUE"""),"Closed")</f>
        <v>Closed</v>
      </c>
      <c r="CN222" s="341" t="str">
        <f>IFERROR(__xludf.DUMMYFUNCTION("""COMPUTED_VALUE"""),"Closed")</f>
        <v>Closed</v>
      </c>
      <c r="CO222" s="341" t="str">
        <f>IFERROR(__xludf.DUMMYFUNCTION("""COMPUTED_VALUE"""),"Closed")</f>
        <v>Closed</v>
      </c>
      <c r="CP222" s="341" t="str">
        <f>IFERROR(__xludf.DUMMYFUNCTION("""COMPUTED_VALUE"""),"Closed")</f>
        <v>Closed</v>
      </c>
      <c r="CQ222" s="342" t="str">
        <f>IFERROR(__xludf.DUMMYFUNCTION("""COMPUTED_VALUE"""),"Closed")</f>
        <v>Closed</v>
      </c>
      <c r="CR222" s="341" t="str">
        <f>IFERROR(__xludf.DUMMYFUNCTION("""COMPUTED_VALUE"""),"Closed")</f>
        <v>Closed</v>
      </c>
      <c r="CS222" s="341" t="str">
        <f>IFERROR(__xludf.DUMMYFUNCTION("""COMPUTED_VALUE"""),"Closed")</f>
        <v>Closed</v>
      </c>
      <c r="CT222" s="342" t="str">
        <f>IFERROR(__xludf.DUMMYFUNCTION("""COMPUTED_VALUE"""),"Closed")</f>
        <v>Closed</v>
      </c>
      <c r="CU222" s="341" t="str">
        <f>IFERROR(__xludf.DUMMYFUNCTION("""COMPUTED_VALUE"""),"Closed")</f>
        <v>Closed</v>
      </c>
      <c r="CV222" s="341" t="str">
        <f>IFERROR(__xludf.DUMMYFUNCTION("""COMPUTED_VALUE"""),"Closed")</f>
        <v>Closed</v>
      </c>
      <c r="CW222" s="342" t="str">
        <f>IFERROR(__xludf.DUMMYFUNCTION("""COMPUTED_VALUE"""),"Closed")</f>
        <v>Closed</v>
      </c>
      <c r="CX222" s="341" t="str">
        <f>IFERROR(__xludf.DUMMYFUNCTION("""COMPUTED_VALUE"""),"Closed")</f>
        <v>Closed</v>
      </c>
      <c r="CY222" s="339" t="str">
        <f>IFERROR(__xludf.DUMMYFUNCTION("""COMPUTED_VALUE"""),"Closed")</f>
        <v>Closed</v>
      </c>
      <c r="CZ222" s="341" t="str">
        <f>IFERROR(__xludf.DUMMYFUNCTION("""COMPUTED_VALUE"""),"Closed")</f>
        <v>Closed</v>
      </c>
      <c r="DA222" s="341" t="str">
        <f>IFERROR(__xludf.DUMMYFUNCTION("""COMPUTED_VALUE"""),"Closed")</f>
        <v>Closed</v>
      </c>
      <c r="DB222" s="339" t="str">
        <f>IFERROR(__xludf.DUMMYFUNCTION("""COMPUTED_VALUE"""),"Closed")</f>
        <v>Closed</v>
      </c>
      <c r="DC222" s="342" t="str">
        <f>IFERROR(__xludf.DUMMYFUNCTION("""COMPUTED_VALUE"""),"Closed")</f>
        <v>Closed</v>
      </c>
      <c r="DD222" s="341" t="str">
        <f>IFERROR(__xludf.DUMMYFUNCTION("""COMPUTED_VALUE"""),"Closed")</f>
        <v>Closed</v>
      </c>
      <c r="DE222" s="339" t="str">
        <f>IFERROR(__xludf.DUMMYFUNCTION("""COMPUTED_VALUE"""),"Closed")</f>
        <v>Closed</v>
      </c>
      <c r="DF222" s="342" t="str">
        <f>IFERROR(__xludf.DUMMYFUNCTION("""COMPUTED_VALUE"""),"Closed")</f>
        <v>Closed</v>
      </c>
      <c r="DG222" s="341" t="str">
        <f>IFERROR(__xludf.DUMMYFUNCTION("""COMPUTED_VALUE"""),"Closed")</f>
        <v>Closed</v>
      </c>
      <c r="DH222" s="339" t="str">
        <f>IFERROR(__xludf.DUMMYFUNCTION("""COMPUTED_VALUE"""),"Closed")</f>
        <v>Closed</v>
      </c>
      <c r="DI222" s="342" t="str">
        <f>IFERROR(__xludf.DUMMYFUNCTION("""COMPUTED_VALUE"""),"Closed")</f>
        <v>Closed</v>
      </c>
      <c r="DJ222" s="341" t="str">
        <f>IFERROR(__xludf.DUMMYFUNCTION("""COMPUTED_VALUE"""),"Closed")</f>
        <v>Closed</v>
      </c>
      <c r="DK222" s="339" t="str">
        <f>IFERROR(__xludf.DUMMYFUNCTION("""COMPUTED_VALUE"""),"Closed")</f>
        <v>Closed</v>
      </c>
      <c r="DL222" s="348" t="str">
        <f>IFERROR(__xludf.DUMMYFUNCTION("""COMPUTED_VALUE"""),"Closed")</f>
        <v>Closed</v>
      </c>
      <c r="DM222" s="349" t="str">
        <f>IFERROR(__xludf.DUMMYFUNCTION("""COMPUTED_VALUE"""),"Closed")</f>
        <v>Closed</v>
      </c>
      <c r="DN222" s="350" t="str">
        <f>IFERROR(__xludf.DUMMYFUNCTION("""COMPUTED_VALUE"""),"Closed")</f>
        <v>Closed</v>
      </c>
      <c r="DO222" s="351" t="str">
        <f>IFERROR(__xludf.DUMMYFUNCTION("""COMPUTED_VALUE"""),"Closed")</f>
        <v>Closed</v>
      </c>
      <c r="DP222" s="351" t="str">
        <f>IFERROR(__xludf.DUMMYFUNCTION("""COMPUTED_VALUE"""),"Closed")</f>
        <v>Closed</v>
      </c>
      <c r="DQ222" s="351" t="str">
        <f>IFERROR(__xludf.DUMMYFUNCTION("""COMPUTED_VALUE"""),"Closed")</f>
        <v>Closed</v>
      </c>
      <c r="DR222" s="351" t="str">
        <f>IFERROR(__xludf.DUMMYFUNCTION("""COMPUTED_VALUE"""),"Closed")</f>
        <v>Closed</v>
      </c>
      <c r="DS222" s="351" t="str">
        <f>IFERROR(__xludf.DUMMYFUNCTION("""COMPUTED_VALUE"""),"Closed")</f>
        <v>Closed</v>
      </c>
      <c r="DT222" s="351" t="str">
        <f>IFERROR(__xludf.DUMMYFUNCTION("""COMPUTED_VALUE"""),"Closed")</f>
        <v>Closed</v>
      </c>
      <c r="DU222" s="82"/>
    </row>
    <row r="223">
      <c r="B223" s="120" t="str">
        <f>IFERROR(__xludf.DUMMYFUNCTION("""COMPUTED_VALUE"""),"YKS6")</f>
        <v>YKS6</v>
      </c>
      <c r="C223" s="264" t="str">
        <f>IFERROR(__xludf.DUMMYFUNCTION("""COMPUTED_VALUE"""),"Deewar")</f>
        <v>Deewar</v>
      </c>
      <c r="D223" s="102">
        <f>IFERROR(__xludf.DUMMYFUNCTION("""COMPUTED_VALUE"""),21.0)</f>
        <v>21</v>
      </c>
      <c r="E223" s="82" t="b">
        <f>IFERROR(__xludf.DUMMYFUNCTION("""COMPUTED_VALUE"""),FALSE)</f>
        <v>0</v>
      </c>
      <c r="F223" s="82" t="str">
        <f>IFERROR(__xludf.DUMMYFUNCTION("""COMPUTED_VALUE"""),"Free Quests- Part 2!A547:J555")</f>
        <v>Free Quests- Part 2!A547:J555</v>
      </c>
      <c r="G223" s="266">
        <f>IFERROR(__xludf.DUMMYFUNCTION("""COMPUTED_VALUE"""),224.0)</f>
        <v>224</v>
      </c>
      <c r="H223" s="266" t="str">
        <f>IFERROR(__xludf.DUMMYFUNCTION("""COMPUTED_VALUE"""),"Closed")</f>
        <v>Closed</v>
      </c>
      <c r="I223" s="266">
        <f>IFERROR(__xludf.DUMMYFUNCTION("""COMPUTED_VALUE"""),91778.0)</f>
        <v>91778</v>
      </c>
      <c r="J223" s="266" t="str">
        <f>IFERROR(__xludf.DUMMYFUNCTION("""COMPUTED_VALUE"""),"Closed")</f>
        <v>Closed</v>
      </c>
      <c r="K223" s="234" t="str">
        <f>IFERROR(__xludf.DUMMYFUNCTION("""COMPUTED_VALUE"""),"Closed")</f>
        <v>Closed</v>
      </c>
      <c r="L223" s="341" t="str">
        <f>IFERROR(__xludf.DUMMYFUNCTION("""COMPUTED_VALUE"""),"Closed")</f>
        <v>Closed</v>
      </c>
      <c r="M223" s="339" t="str">
        <f>IFERROR(__xludf.DUMMYFUNCTION("""COMPUTED_VALUE"""),"Closed")</f>
        <v>Closed</v>
      </c>
      <c r="N223" s="342" t="str">
        <f>IFERROR(__xludf.DUMMYFUNCTION("""COMPUTED_VALUE"""),"Closed")</f>
        <v>Closed</v>
      </c>
      <c r="O223" s="341" t="str">
        <f>IFERROR(__xludf.DUMMYFUNCTION("""COMPUTED_VALUE"""),"Closed")</f>
        <v>Closed</v>
      </c>
      <c r="P223" s="339" t="str">
        <f>IFERROR(__xludf.DUMMYFUNCTION("""COMPUTED_VALUE"""),"Closed")</f>
        <v>Closed</v>
      </c>
      <c r="Q223" s="342" t="str">
        <f>IFERROR(__xludf.DUMMYFUNCTION("""COMPUTED_VALUE"""),"Closed")</f>
        <v>Closed</v>
      </c>
      <c r="R223" s="341" t="str">
        <f>IFERROR(__xludf.DUMMYFUNCTION("""COMPUTED_VALUE"""),"Closed")</f>
        <v>Closed</v>
      </c>
      <c r="S223" s="339" t="str">
        <f>IFERROR(__xludf.DUMMYFUNCTION("""COMPUTED_VALUE"""),"Closed")</f>
        <v>Closed</v>
      </c>
      <c r="T223" s="342" t="str">
        <f>IFERROR(__xludf.DUMMYFUNCTION("""COMPUTED_VALUE"""),"Closed")</f>
        <v>Closed</v>
      </c>
      <c r="U223" s="341" t="str">
        <f>IFERROR(__xludf.DUMMYFUNCTION("""COMPUTED_VALUE"""),"Closed")</f>
        <v>Closed</v>
      </c>
      <c r="V223" s="339" t="str">
        <f>IFERROR(__xludf.DUMMYFUNCTION("""COMPUTED_VALUE"""),"Closed")</f>
        <v>Closed</v>
      </c>
      <c r="W223" s="234" t="str">
        <f>IFERROR(__xludf.DUMMYFUNCTION("""COMPUTED_VALUE"""),"Closed")</f>
        <v>Closed</v>
      </c>
      <c r="X223" s="341" t="str">
        <f>IFERROR(__xludf.DUMMYFUNCTION("""COMPUTED_VALUE"""),"Closed")</f>
        <v>Closed</v>
      </c>
      <c r="Y223" s="339" t="str">
        <f>IFERROR(__xludf.DUMMYFUNCTION("""COMPUTED_VALUE"""),"Closed")</f>
        <v>Closed</v>
      </c>
      <c r="Z223" s="342" t="str">
        <f>IFERROR(__xludf.DUMMYFUNCTION("""COMPUTED_VALUE"""),"Closed")</f>
        <v>Closed</v>
      </c>
      <c r="AA223" s="341" t="str">
        <f>IFERROR(__xludf.DUMMYFUNCTION("""COMPUTED_VALUE"""),"Closed")</f>
        <v>Closed</v>
      </c>
      <c r="AB223" s="339" t="str">
        <f>IFERROR(__xludf.DUMMYFUNCTION("""COMPUTED_VALUE"""),"Closed")</f>
        <v>Closed</v>
      </c>
      <c r="AC223" s="342" t="str">
        <f>IFERROR(__xludf.DUMMYFUNCTION("""COMPUTED_VALUE"""),"Closed")</f>
        <v>Closed</v>
      </c>
      <c r="AD223" s="341" t="str">
        <f>IFERROR(__xludf.DUMMYFUNCTION("""COMPUTED_VALUE"""),"Closed")</f>
        <v>Closed</v>
      </c>
      <c r="AE223" s="339" t="str">
        <f>IFERROR(__xludf.DUMMYFUNCTION("""COMPUTED_VALUE"""),"Closed")</f>
        <v>Closed</v>
      </c>
      <c r="AF223" s="342" t="str">
        <f>IFERROR(__xludf.DUMMYFUNCTION("""COMPUTED_VALUE"""),"Closed")</f>
        <v>Closed</v>
      </c>
      <c r="AG223" s="341" t="str">
        <f>IFERROR(__xludf.DUMMYFUNCTION("""COMPUTED_VALUE"""),"Closed")</f>
        <v>Closed</v>
      </c>
      <c r="AH223" s="339" t="str">
        <f>IFERROR(__xludf.DUMMYFUNCTION("""COMPUTED_VALUE"""),"Closed")</f>
        <v>Closed</v>
      </c>
      <c r="AI223" s="234" t="str">
        <f>IFERROR(__xludf.DUMMYFUNCTION("""COMPUTED_VALUE"""),"Closed")</f>
        <v>Closed</v>
      </c>
      <c r="AJ223" s="341" t="str">
        <f>IFERROR(__xludf.DUMMYFUNCTION("""COMPUTED_VALUE"""),"Closed")</f>
        <v>Closed</v>
      </c>
      <c r="AK223" s="339" t="str">
        <f>IFERROR(__xludf.DUMMYFUNCTION("""COMPUTED_VALUE"""),"Closed")</f>
        <v>Closed</v>
      </c>
      <c r="AL223" s="340" t="str">
        <f>IFERROR(__xludf.DUMMYFUNCTION("""COMPUTED_VALUE"""),"Closed")</f>
        <v>Closed</v>
      </c>
      <c r="AM223" s="341" t="str">
        <f>IFERROR(__xludf.DUMMYFUNCTION("""COMPUTED_VALUE"""),"Closed")</f>
        <v>Closed</v>
      </c>
      <c r="AN223" s="339" t="str">
        <f>IFERROR(__xludf.DUMMYFUNCTION("""COMPUTED_VALUE"""),"Closed")</f>
        <v>Closed</v>
      </c>
      <c r="AO223" s="342" t="str">
        <f>IFERROR(__xludf.DUMMYFUNCTION("""COMPUTED_VALUE"""),"Closed")</f>
        <v>Closed</v>
      </c>
      <c r="AP223" s="341" t="str">
        <f>IFERROR(__xludf.DUMMYFUNCTION("""COMPUTED_VALUE"""),"Closed")</f>
        <v>Closed</v>
      </c>
      <c r="AQ223" s="339" t="str">
        <f>IFERROR(__xludf.DUMMYFUNCTION("""COMPUTED_VALUE"""),"Closed")</f>
        <v>Closed</v>
      </c>
      <c r="AR223" s="342" t="str">
        <f>IFERROR(__xludf.DUMMYFUNCTION("""COMPUTED_VALUE"""),"Closed")</f>
        <v>Closed</v>
      </c>
      <c r="AS223" s="341" t="str">
        <f>IFERROR(__xludf.DUMMYFUNCTION("""COMPUTED_VALUE"""),"Closed")</f>
        <v>Closed</v>
      </c>
      <c r="AT223" s="339" t="str">
        <f>IFERROR(__xludf.DUMMYFUNCTION("""COMPUTED_VALUE"""),"Closed")</f>
        <v>Closed</v>
      </c>
      <c r="AU223" s="234" t="str">
        <f>IFERROR(__xludf.DUMMYFUNCTION("""COMPUTED_VALUE"""),"Closed")</f>
        <v>Closed</v>
      </c>
      <c r="AV223" s="341" t="str">
        <f>IFERROR(__xludf.DUMMYFUNCTION("""COMPUTED_VALUE"""),"Closed")</f>
        <v>Closed</v>
      </c>
      <c r="AW223" s="339" t="str">
        <f>IFERROR(__xludf.DUMMYFUNCTION("""COMPUTED_VALUE"""),"Closed")</f>
        <v>Closed</v>
      </c>
      <c r="AX223" s="342" t="str">
        <f>IFERROR(__xludf.DUMMYFUNCTION("""COMPUTED_VALUE"""),"Closed")</f>
        <v>Closed</v>
      </c>
      <c r="AY223" s="341" t="str">
        <f>IFERROR(__xludf.DUMMYFUNCTION("""COMPUTED_VALUE"""),"Closed")</f>
        <v>Closed</v>
      </c>
      <c r="AZ223" s="339" t="str">
        <f>IFERROR(__xludf.DUMMYFUNCTION("""COMPUTED_VALUE"""),"Closed")</f>
        <v>Closed</v>
      </c>
      <c r="BA223" s="342" t="str">
        <f>IFERROR(__xludf.DUMMYFUNCTION("""COMPUTED_VALUE"""),"Closed")</f>
        <v>Closed</v>
      </c>
      <c r="BB223" s="341" t="str">
        <f>IFERROR(__xludf.DUMMYFUNCTION("""COMPUTED_VALUE"""),"Closed")</f>
        <v>Closed</v>
      </c>
      <c r="BC223" s="339" t="str">
        <f>IFERROR(__xludf.DUMMYFUNCTION("""COMPUTED_VALUE"""),"Closed")</f>
        <v>Closed</v>
      </c>
      <c r="BD223" s="342" t="str">
        <f>IFERROR(__xludf.DUMMYFUNCTION("""COMPUTED_VALUE"""),"Closed")</f>
        <v>Closed</v>
      </c>
      <c r="BE223" s="341" t="str">
        <f>IFERROR(__xludf.DUMMYFUNCTION("""COMPUTED_VALUE"""),"Closed")</f>
        <v>Closed</v>
      </c>
      <c r="BF223" s="339" t="str">
        <f>IFERROR(__xludf.DUMMYFUNCTION("""COMPUTED_VALUE"""),"Closed")</f>
        <v>Closed</v>
      </c>
      <c r="BG223" s="234" t="str">
        <f>IFERROR(__xludf.DUMMYFUNCTION("""COMPUTED_VALUE"""),"Closed")</f>
        <v>Closed</v>
      </c>
      <c r="BH223" s="341" t="str">
        <f>IFERROR(__xludf.DUMMYFUNCTION("""COMPUTED_VALUE"""),"Closed")</f>
        <v>Closed</v>
      </c>
      <c r="BI223" s="339" t="str">
        <f>IFERROR(__xludf.DUMMYFUNCTION("""COMPUTED_VALUE"""),"Closed")</f>
        <v>Closed</v>
      </c>
      <c r="BJ223" s="342" t="str">
        <f>IFERROR(__xludf.DUMMYFUNCTION("""COMPUTED_VALUE"""),"Closed")</f>
        <v>Closed</v>
      </c>
      <c r="BK223" s="341" t="str">
        <f>IFERROR(__xludf.DUMMYFUNCTION("""COMPUTED_VALUE"""),"Closed")</f>
        <v>Closed</v>
      </c>
      <c r="BL223" s="339" t="str">
        <f>IFERROR(__xludf.DUMMYFUNCTION("""COMPUTED_VALUE"""),"Closed")</f>
        <v>Closed</v>
      </c>
      <c r="BM223" s="342" t="str">
        <f>IFERROR(__xludf.DUMMYFUNCTION("""COMPUTED_VALUE"""),"Closed")</f>
        <v>Closed</v>
      </c>
      <c r="BN223" s="341" t="str">
        <f>IFERROR(__xludf.DUMMYFUNCTION("""COMPUTED_VALUE"""),"Closed")</f>
        <v>Closed</v>
      </c>
      <c r="BO223" s="339" t="str">
        <f>IFERROR(__xludf.DUMMYFUNCTION("""COMPUTED_VALUE"""),"Closed")</f>
        <v>Closed</v>
      </c>
      <c r="BP223" s="342" t="str">
        <f>IFERROR(__xludf.DUMMYFUNCTION("""COMPUTED_VALUE"""),"Closed")</f>
        <v>Closed</v>
      </c>
      <c r="BQ223" s="341" t="str">
        <f>IFERROR(__xludf.DUMMYFUNCTION("""COMPUTED_VALUE"""),"Closed")</f>
        <v>Closed</v>
      </c>
      <c r="BR223" s="339" t="str">
        <f>IFERROR(__xludf.DUMMYFUNCTION("""COMPUTED_VALUE"""),"Closed")</f>
        <v>Closed</v>
      </c>
      <c r="BS223" s="234" t="str">
        <f>IFERROR(__xludf.DUMMYFUNCTION("""COMPUTED_VALUE"""),"Closed")</f>
        <v>Closed</v>
      </c>
      <c r="BT223" s="341" t="str">
        <f>IFERROR(__xludf.DUMMYFUNCTION("""COMPUTED_VALUE"""),"Closed")</f>
        <v>Closed</v>
      </c>
      <c r="BU223" s="339" t="str">
        <f>IFERROR(__xludf.DUMMYFUNCTION("""COMPUTED_VALUE"""),"Closed")</f>
        <v>Closed</v>
      </c>
      <c r="BV223" s="342" t="str">
        <f>IFERROR(__xludf.DUMMYFUNCTION("""COMPUTED_VALUE"""),"Closed")</f>
        <v>Closed</v>
      </c>
      <c r="BW223" s="341" t="str">
        <f>IFERROR(__xludf.DUMMYFUNCTION("""COMPUTED_VALUE"""),"Closed")</f>
        <v>Closed</v>
      </c>
      <c r="BX223" s="339" t="str">
        <f>IFERROR(__xludf.DUMMYFUNCTION("""COMPUTED_VALUE"""),"Closed")</f>
        <v>Closed</v>
      </c>
      <c r="BY223" s="342" t="str">
        <f>IFERROR(__xludf.DUMMYFUNCTION("""COMPUTED_VALUE"""),"Closed")</f>
        <v>Closed</v>
      </c>
      <c r="BZ223" s="341" t="str">
        <f>IFERROR(__xludf.DUMMYFUNCTION("""COMPUTED_VALUE"""),"Closed")</f>
        <v>Closed</v>
      </c>
      <c r="CA223" s="339" t="str">
        <f>IFERROR(__xludf.DUMMYFUNCTION("""COMPUTED_VALUE"""),"Closed")</f>
        <v>Closed</v>
      </c>
      <c r="CB223" s="342" t="str">
        <f>IFERROR(__xludf.DUMMYFUNCTION("""COMPUTED_VALUE"""),"Closed")</f>
        <v>Closed</v>
      </c>
      <c r="CC223" s="341" t="str">
        <f>IFERROR(__xludf.DUMMYFUNCTION("""COMPUTED_VALUE"""),"Closed")</f>
        <v>Closed</v>
      </c>
      <c r="CD223" s="339" t="str">
        <f>IFERROR(__xludf.DUMMYFUNCTION("""COMPUTED_VALUE"""),"Closed")</f>
        <v>Closed</v>
      </c>
      <c r="CE223" s="342" t="str">
        <f>IFERROR(__xludf.DUMMYFUNCTION("""COMPUTED_VALUE"""),"Closed")</f>
        <v>Closed</v>
      </c>
      <c r="CF223" s="341" t="str">
        <f>IFERROR(__xludf.DUMMYFUNCTION("""COMPUTED_VALUE"""),"Closed")</f>
        <v>Closed</v>
      </c>
      <c r="CG223" s="339" t="str">
        <f>IFERROR(__xludf.DUMMYFUNCTION("""COMPUTED_VALUE"""),"Closed")</f>
        <v>Closed</v>
      </c>
      <c r="CH223" s="342" t="str">
        <f>IFERROR(__xludf.DUMMYFUNCTION("""COMPUTED_VALUE"""),"Closed")</f>
        <v>Closed</v>
      </c>
      <c r="CI223" s="341" t="str">
        <f>IFERROR(__xludf.DUMMYFUNCTION("""COMPUTED_VALUE"""),"Closed")</f>
        <v>Closed</v>
      </c>
      <c r="CJ223" s="341" t="str">
        <f>IFERROR(__xludf.DUMMYFUNCTION("""COMPUTED_VALUE"""),"Closed")</f>
        <v>Closed</v>
      </c>
      <c r="CK223" s="342" t="str">
        <f>IFERROR(__xludf.DUMMYFUNCTION("""COMPUTED_VALUE"""),"Closed")</f>
        <v>Closed</v>
      </c>
      <c r="CL223" s="341" t="str">
        <f>IFERROR(__xludf.DUMMYFUNCTION("""COMPUTED_VALUE"""),"Closed")</f>
        <v>Closed</v>
      </c>
      <c r="CM223" s="339" t="str">
        <f>IFERROR(__xludf.DUMMYFUNCTION("""COMPUTED_VALUE"""),"Closed")</f>
        <v>Closed</v>
      </c>
      <c r="CN223" s="341" t="str">
        <f>IFERROR(__xludf.DUMMYFUNCTION("""COMPUTED_VALUE"""),"Closed")</f>
        <v>Closed</v>
      </c>
      <c r="CO223" s="341" t="str">
        <f>IFERROR(__xludf.DUMMYFUNCTION("""COMPUTED_VALUE"""),"Closed")</f>
        <v>Closed</v>
      </c>
      <c r="CP223" s="341" t="str">
        <f>IFERROR(__xludf.DUMMYFUNCTION("""COMPUTED_VALUE"""),"Closed")</f>
        <v>Closed</v>
      </c>
      <c r="CQ223" s="342" t="str">
        <f>IFERROR(__xludf.DUMMYFUNCTION("""COMPUTED_VALUE"""),"Closed")</f>
        <v>Closed</v>
      </c>
      <c r="CR223" s="341" t="str">
        <f>IFERROR(__xludf.DUMMYFUNCTION("""COMPUTED_VALUE"""),"Closed")</f>
        <v>Closed</v>
      </c>
      <c r="CS223" s="341" t="str">
        <f>IFERROR(__xludf.DUMMYFUNCTION("""COMPUTED_VALUE"""),"Closed")</f>
        <v>Closed</v>
      </c>
      <c r="CT223" s="342" t="str">
        <f>IFERROR(__xludf.DUMMYFUNCTION("""COMPUTED_VALUE"""),"Closed")</f>
        <v>Closed</v>
      </c>
      <c r="CU223" s="341" t="str">
        <f>IFERROR(__xludf.DUMMYFUNCTION("""COMPUTED_VALUE"""),"Closed")</f>
        <v>Closed</v>
      </c>
      <c r="CV223" s="341" t="str">
        <f>IFERROR(__xludf.DUMMYFUNCTION("""COMPUTED_VALUE"""),"Closed")</f>
        <v>Closed</v>
      </c>
      <c r="CW223" s="342" t="str">
        <f>IFERROR(__xludf.DUMMYFUNCTION("""COMPUTED_VALUE"""),"Closed")</f>
        <v>Closed</v>
      </c>
      <c r="CX223" s="341" t="str">
        <f>IFERROR(__xludf.DUMMYFUNCTION("""COMPUTED_VALUE"""),"Closed")</f>
        <v>Closed</v>
      </c>
      <c r="CY223" s="339" t="str">
        <f>IFERROR(__xludf.DUMMYFUNCTION("""COMPUTED_VALUE"""),"Closed")</f>
        <v>Closed</v>
      </c>
      <c r="CZ223" s="341" t="str">
        <f>IFERROR(__xludf.DUMMYFUNCTION("""COMPUTED_VALUE"""),"Closed")</f>
        <v>Closed</v>
      </c>
      <c r="DA223" s="341" t="str">
        <f>IFERROR(__xludf.DUMMYFUNCTION("""COMPUTED_VALUE"""),"Closed")</f>
        <v>Closed</v>
      </c>
      <c r="DB223" s="339" t="str">
        <f>IFERROR(__xludf.DUMMYFUNCTION("""COMPUTED_VALUE"""),"Closed")</f>
        <v>Closed</v>
      </c>
      <c r="DC223" s="342" t="str">
        <f>IFERROR(__xludf.DUMMYFUNCTION("""COMPUTED_VALUE"""),"Closed")</f>
        <v>Closed</v>
      </c>
      <c r="DD223" s="341" t="str">
        <f>IFERROR(__xludf.DUMMYFUNCTION("""COMPUTED_VALUE"""),"Closed")</f>
        <v>Closed</v>
      </c>
      <c r="DE223" s="339" t="str">
        <f>IFERROR(__xludf.DUMMYFUNCTION("""COMPUTED_VALUE"""),"Closed")</f>
        <v>Closed</v>
      </c>
      <c r="DF223" s="342" t="str">
        <f>IFERROR(__xludf.DUMMYFUNCTION("""COMPUTED_VALUE"""),"Closed")</f>
        <v>Closed</v>
      </c>
      <c r="DG223" s="341" t="str">
        <f>IFERROR(__xludf.DUMMYFUNCTION("""COMPUTED_VALUE"""),"Closed")</f>
        <v>Closed</v>
      </c>
      <c r="DH223" s="339" t="str">
        <f>IFERROR(__xludf.DUMMYFUNCTION("""COMPUTED_VALUE"""),"Closed")</f>
        <v>Closed</v>
      </c>
      <c r="DI223" s="342" t="str">
        <f>IFERROR(__xludf.DUMMYFUNCTION("""COMPUTED_VALUE"""),"Closed")</f>
        <v>Closed</v>
      </c>
      <c r="DJ223" s="341" t="str">
        <f>IFERROR(__xludf.DUMMYFUNCTION("""COMPUTED_VALUE"""),"Closed")</f>
        <v>Closed</v>
      </c>
      <c r="DK223" s="339" t="str">
        <f>IFERROR(__xludf.DUMMYFUNCTION("""COMPUTED_VALUE"""),"Closed")</f>
        <v>Closed</v>
      </c>
      <c r="DL223" s="348" t="str">
        <f>IFERROR(__xludf.DUMMYFUNCTION("""COMPUTED_VALUE"""),"Closed")</f>
        <v>Closed</v>
      </c>
      <c r="DM223" s="349" t="str">
        <f>IFERROR(__xludf.DUMMYFUNCTION("""COMPUTED_VALUE"""),"Closed")</f>
        <v>Closed</v>
      </c>
      <c r="DN223" s="350" t="str">
        <f>IFERROR(__xludf.DUMMYFUNCTION("""COMPUTED_VALUE"""),"Closed")</f>
        <v>Closed</v>
      </c>
      <c r="DO223" s="351" t="str">
        <f>IFERROR(__xludf.DUMMYFUNCTION("""COMPUTED_VALUE"""),"Closed")</f>
        <v>Closed</v>
      </c>
      <c r="DP223" s="351" t="str">
        <f>IFERROR(__xludf.DUMMYFUNCTION("""COMPUTED_VALUE"""),"Closed")</f>
        <v>Closed</v>
      </c>
      <c r="DQ223" s="351" t="str">
        <f>IFERROR(__xludf.DUMMYFUNCTION("""COMPUTED_VALUE"""),"Closed")</f>
        <v>Closed</v>
      </c>
      <c r="DR223" s="351" t="str">
        <f>IFERROR(__xludf.DUMMYFUNCTION("""COMPUTED_VALUE"""),"Closed")</f>
        <v>Closed</v>
      </c>
      <c r="DS223" s="351" t="str">
        <f>IFERROR(__xludf.DUMMYFUNCTION("""COMPUTED_VALUE"""),"Closed")</f>
        <v>Closed</v>
      </c>
      <c r="DT223" s="351" t="str">
        <f>IFERROR(__xludf.DUMMYFUNCTION("""COMPUTED_VALUE"""),"Closed")</f>
        <v>Closed</v>
      </c>
      <c r="DU223" s="82"/>
    </row>
    <row r="224">
      <c r="B224" s="120" t="str">
        <f>IFERROR(__xludf.DUMMYFUNCTION("""COMPUTED_VALUE"""),"YKS7")</f>
        <v>YKS7</v>
      </c>
      <c r="C224" s="264" t="str">
        <f>IFERROR(__xludf.DUMMYFUNCTION("""COMPUTED_VALUE"""),"Divine Sky Rock Ruins")</f>
        <v>Divine Sky Rock Ruins</v>
      </c>
      <c r="D224" s="102">
        <f>IFERROR(__xludf.DUMMYFUNCTION("""COMPUTED_VALUE"""),21.0)</f>
        <v>21</v>
      </c>
      <c r="E224" s="82" t="b">
        <f>IFERROR(__xludf.DUMMYFUNCTION("""COMPUTED_VALUE"""),FALSE)</f>
        <v>0</v>
      </c>
      <c r="F224" s="82" t="str">
        <f>IFERROR(__xludf.DUMMYFUNCTION("""COMPUTED_VALUE"""),"Free Quests- Part 2!A559:J566")</f>
        <v>Free Quests- Part 2!A559:J566</v>
      </c>
      <c r="G224" s="266">
        <f>IFERROR(__xludf.DUMMYFUNCTION("""COMPUTED_VALUE"""),225.0)</f>
        <v>225</v>
      </c>
      <c r="H224" s="266" t="str">
        <f>IFERROR(__xludf.DUMMYFUNCTION("""COMPUTED_VALUE"""),"Closed")</f>
        <v>Closed</v>
      </c>
      <c r="I224" s="266">
        <f>IFERROR(__xludf.DUMMYFUNCTION("""COMPUTED_VALUE"""),6686.0)</f>
        <v>6686</v>
      </c>
      <c r="J224" s="266" t="str">
        <f>IFERROR(__xludf.DUMMYFUNCTION("""COMPUTED_VALUE"""),"Closed")</f>
        <v>Closed</v>
      </c>
      <c r="K224" s="234" t="str">
        <f>IFERROR(__xludf.DUMMYFUNCTION("""COMPUTED_VALUE"""),"Closed")</f>
        <v>Closed</v>
      </c>
      <c r="L224" s="341" t="str">
        <f>IFERROR(__xludf.DUMMYFUNCTION("""COMPUTED_VALUE"""),"Closed")</f>
        <v>Closed</v>
      </c>
      <c r="M224" s="339" t="str">
        <f>IFERROR(__xludf.DUMMYFUNCTION("""COMPUTED_VALUE"""),"Closed")</f>
        <v>Closed</v>
      </c>
      <c r="N224" s="342" t="str">
        <f>IFERROR(__xludf.DUMMYFUNCTION("""COMPUTED_VALUE"""),"Closed")</f>
        <v>Closed</v>
      </c>
      <c r="O224" s="341" t="str">
        <f>IFERROR(__xludf.DUMMYFUNCTION("""COMPUTED_VALUE"""),"Closed")</f>
        <v>Closed</v>
      </c>
      <c r="P224" s="339" t="str">
        <f>IFERROR(__xludf.DUMMYFUNCTION("""COMPUTED_VALUE"""),"Closed")</f>
        <v>Closed</v>
      </c>
      <c r="Q224" s="342" t="str">
        <f>IFERROR(__xludf.DUMMYFUNCTION("""COMPUTED_VALUE"""),"Closed")</f>
        <v>Closed</v>
      </c>
      <c r="R224" s="341" t="str">
        <f>IFERROR(__xludf.DUMMYFUNCTION("""COMPUTED_VALUE"""),"Closed")</f>
        <v>Closed</v>
      </c>
      <c r="S224" s="339" t="str">
        <f>IFERROR(__xludf.DUMMYFUNCTION("""COMPUTED_VALUE"""),"Closed")</f>
        <v>Closed</v>
      </c>
      <c r="T224" s="342" t="str">
        <f>IFERROR(__xludf.DUMMYFUNCTION("""COMPUTED_VALUE"""),"Closed")</f>
        <v>Closed</v>
      </c>
      <c r="U224" s="341" t="str">
        <f>IFERROR(__xludf.DUMMYFUNCTION("""COMPUTED_VALUE"""),"Closed")</f>
        <v>Closed</v>
      </c>
      <c r="V224" s="339" t="str">
        <f>IFERROR(__xludf.DUMMYFUNCTION("""COMPUTED_VALUE"""),"Closed")</f>
        <v>Closed</v>
      </c>
      <c r="W224" s="234" t="str">
        <f>IFERROR(__xludf.DUMMYFUNCTION("""COMPUTED_VALUE"""),"Closed")</f>
        <v>Closed</v>
      </c>
      <c r="X224" s="341" t="str">
        <f>IFERROR(__xludf.DUMMYFUNCTION("""COMPUTED_VALUE"""),"Closed")</f>
        <v>Closed</v>
      </c>
      <c r="Y224" s="339" t="str">
        <f>IFERROR(__xludf.DUMMYFUNCTION("""COMPUTED_VALUE"""),"Closed")</f>
        <v>Closed</v>
      </c>
      <c r="Z224" s="342" t="str">
        <f>IFERROR(__xludf.DUMMYFUNCTION("""COMPUTED_VALUE"""),"Closed")</f>
        <v>Closed</v>
      </c>
      <c r="AA224" s="341" t="str">
        <f>IFERROR(__xludf.DUMMYFUNCTION("""COMPUTED_VALUE"""),"Closed")</f>
        <v>Closed</v>
      </c>
      <c r="AB224" s="339" t="str">
        <f>IFERROR(__xludf.DUMMYFUNCTION("""COMPUTED_VALUE"""),"Closed")</f>
        <v>Closed</v>
      </c>
      <c r="AC224" s="342" t="str">
        <f>IFERROR(__xludf.DUMMYFUNCTION("""COMPUTED_VALUE"""),"Closed")</f>
        <v>Closed</v>
      </c>
      <c r="AD224" s="341" t="str">
        <f>IFERROR(__xludf.DUMMYFUNCTION("""COMPUTED_VALUE"""),"Closed")</f>
        <v>Closed</v>
      </c>
      <c r="AE224" s="339" t="str">
        <f>IFERROR(__xludf.DUMMYFUNCTION("""COMPUTED_VALUE"""),"Closed")</f>
        <v>Closed</v>
      </c>
      <c r="AF224" s="342" t="str">
        <f>IFERROR(__xludf.DUMMYFUNCTION("""COMPUTED_VALUE"""),"Closed")</f>
        <v>Closed</v>
      </c>
      <c r="AG224" s="341" t="str">
        <f>IFERROR(__xludf.DUMMYFUNCTION("""COMPUTED_VALUE"""),"Closed")</f>
        <v>Closed</v>
      </c>
      <c r="AH224" s="339" t="str">
        <f>IFERROR(__xludf.DUMMYFUNCTION("""COMPUTED_VALUE"""),"Closed")</f>
        <v>Closed</v>
      </c>
      <c r="AI224" s="234" t="str">
        <f>IFERROR(__xludf.DUMMYFUNCTION("""COMPUTED_VALUE"""),"Closed")</f>
        <v>Closed</v>
      </c>
      <c r="AJ224" s="341" t="str">
        <f>IFERROR(__xludf.DUMMYFUNCTION("""COMPUTED_VALUE"""),"Closed")</f>
        <v>Closed</v>
      </c>
      <c r="AK224" s="339" t="str">
        <f>IFERROR(__xludf.DUMMYFUNCTION("""COMPUTED_VALUE"""),"Closed")</f>
        <v>Closed</v>
      </c>
      <c r="AL224" s="340" t="str">
        <f>IFERROR(__xludf.DUMMYFUNCTION("""COMPUTED_VALUE"""),"Closed")</f>
        <v>Closed</v>
      </c>
      <c r="AM224" s="341" t="str">
        <f>IFERROR(__xludf.DUMMYFUNCTION("""COMPUTED_VALUE"""),"Closed")</f>
        <v>Closed</v>
      </c>
      <c r="AN224" s="339" t="str">
        <f>IFERROR(__xludf.DUMMYFUNCTION("""COMPUTED_VALUE"""),"Closed")</f>
        <v>Closed</v>
      </c>
      <c r="AO224" s="342" t="str">
        <f>IFERROR(__xludf.DUMMYFUNCTION("""COMPUTED_VALUE"""),"Closed")</f>
        <v>Closed</v>
      </c>
      <c r="AP224" s="341" t="str">
        <f>IFERROR(__xludf.DUMMYFUNCTION("""COMPUTED_VALUE"""),"Closed")</f>
        <v>Closed</v>
      </c>
      <c r="AQ224" s="339" t="str">
        <f>IFERROR(__xludf.DUMMYFUNCTION("""COMPUTED_VALUE"""),"Closed")</f>
        <v>Closed</v>
      </c>
      <c r="AR224" s="342" t="str">
        <f>IFERROR(__xludf.DUMMYFUNCTION("""COMPUTED_VALUE"""),"Closed")</f>
        <v>Closed</v>
      </c>
      <c r="AS224" s="341" t="str">
        <f>IFERROR(__xludf.DUMMYFUNCTION("""COMPUTED_VALUE"""),"Closed")</f>
        <v>Closed</v>
      </c>
      <c r="AT224" s="339" t="str">
        <f>IFERROR(__xludf.DUMMYFUNCTION("""COMPUTED_VALUE"""),"Closed")</f>
        <v>Closed</v>
      </c>
      <c r="AU224" s="234" t="str">
        <f>IFERROR(__xludf.DUMMYFUNCTION("""COMPUTED_VALUE"""),"Closed")</f>
        <v>Closed</v>
      </c>
      <c r="AV224" s="341" t="str">
        <f>IFERROR(__xludf.DUMMYFUNCTION("""COMPUTED_VALUE"""),"Closed")</f>
        <v>Closed</v>
      </c>
      <c r="AW224" s="339" t="str">
        <f>IFERROR(__xludf.DUMMYFUNCTION("""COMPUTED_VALUE"""),"Closed")</f>
        <v>Closed</v>
      </c>
      <c r="AX224" s="342" t="str">
        <f>IFERROR(__xludf.DUMMYFUNCTION("""COMPUTED_VALUE"""),"Closed")</f>
        <v>Closed</v>
      </c>
      <c r="AY224" s="341" t="str">
        <f>IFERROR(__xludf.DUMMYFUNCTION("""COMPUTED_VALUE"""),"Closed")</f>
        <v>Closed</v>
      </c>
      <c r="AZ224" s="339" t="str">
        <f>IFERROR(__xludf.DUMMYFUNCTION("""COMPUTED_VALUE"""),"Closed")</f>
        <v>Closed</v>
      </c>
      <c r="BA224" s="342" t="str">
        <f>IFERROR(__xludf.DUMMYFUNCTION("""COMPUTED_VALUE"""),"Closed")</f>
        <v>Closed</v>
      </c>
      <c r="BB224" s="341" t="str">
        <f>IFERROR(__xludf.DUMMYFUNCTION("""COMPUTED_VALUE"""),"Closed")</f>
        <v>Closed</v>
      </c>
      <c r="BC224" s="339" t="str">
        <f>IFERROR(__xludf.DUMMYFUNCTION("""COMPUTED_VALUE"""),"Closed")</f>
        <v>Closed</v>
      </c>
      <c r="BD224" s="342" t="str">
        <f>IFERROR(__xludf.DUMMYFUNCTION("""COMPUTED_VALUE"""),"Closed")</f>
        <v>Closed</v>
      </c>
      <c r="BE224" s="341" t="str">
        <f>IFERROR(__xludf.DUMMYFUNCTION("""COMPUTED_VALUE"""),"Closed")</f>
        <v>Closed</v>
      </c>
      <c r="BF224" s="339" t="str">
        <f>IFERROR(__xludf.DUMMYFUNCTION("""COMPUTED_VALUE"""),"Closed")</f>
        <v>Closed</v>
      </c>
      <c r="BG224" s="234" t="str">
        <f>IFERROR(__xludf.DUMMYFUNCTION("""COMPUTED_VALUE"""),"Closed")</f>
        <v>Closed</v>
      </c>
      <c r="BH224" s="341" t="str">
        <f>IFERROR(__xludf.DUMMYFUNCTION("""COMPUTED_VALUE"""),"Closed")</f>
        <v>Closed</v>
      </c>
      <c r="BI224" s="339" t="str">
        <f>IFERROR(__xludf.DUMMYFUNCTION("""COMPUTED_VALUE"""),"Closed")</f>
        <v>Closed</v>
      </c>
      <c r="BJ224" s="342" t="str">
        <f>IFERROR(__xludf.DUMMYFUNCTION("""COMPUTED_VALUE"""),"Closed")</f>
        <v>Closed</v>
      </c>
      <c r="BK224" s="341" t="str">
        <f>IFERROR(__xludf.DUMMYFUNCTION("""COMPUTED_VALUE"""),"Closed")</f>
        <v>Closed</v>
      </c>
      <c r="BL224" s="339" t="str">
        <f>IFERROR(__xludf.DUMMYFUNCTION("""COMPUTED_VALUE"""),"Closed")</f>
        <v>Closed</v>
      </c>
      <c r="BM224" s="342" t="str">
        <f>IFERROR(__xludf.DUMMYFUNCTION("""COMPUTED_VALUE"""),"Closed")</f>
        <v>Closed</v>
      </c>
      <c r="BN224" s="341" t="str">
        <f>IFERROR(__xludf.DUMMYFUNCTION("""COMPUTED_VALUE"""),"Closed")</f>
        <v>Closed</v>
      </c>
      <c r="BO224" s="339" t="str">
        <f>IFERROR(__xludf.DUMMYFUNCTION("""COMPUTED_VALUE"""),"Closed")</f>
        <v>Closed</v>
      </c>
      <c r="BP224" s="342" t="str">
        <f>IFERROR(__xludf.DUMMYFUNCTION("""COMPUTED_VALUE"""),"Closed")</f>
        <v>Closed</v>
      </c>
      <c r="BQ224" s="341" t="str">
        <f>IFERROR(__xludf.DUMMYFUNCTION("""COMPUTED_VALUE"""),"Closed")</f>
        <v>Closed</v>
      </c>
      <c r="BR224" s="339" t="str">
        <f>IFERROR(__xludf.DUMMYFUNCTION("""COMPUTED_VALUE"""),"Closed")</f>
        <v>Closed</v>
      </c>
      <c r="BS224" s="234" t="str">
        <f>IFERROR(__xludf.DUMMYFUNCTION("""COMPUTED_VALUE"""),"Closed")</f>
        <v>Closed</v>
      </c>
      <c r="BT224" s="341" t="str">
        <f>IFERROR(__xludf.DUMMYFUNCTION("""COMPUTED_VALUE"""),"Closed")</f>
        <v>Closed</v>
      </c>
      <c r="BU224" s="339" t="str">
        <f>IFERROR(__xludf.DUMMYFUNCTION("""COMPUTED_VALUE"""),"Closed")</f>
        <v>Closed</v>
      </c>
      <c r="BV224" s="342" t="str">
        <f>IFERROR(__xludf.DUMMYFUNCTION("""COMPUTED_VALUE"""),"Closed")</f>
        <v>Closed</v>
      </c>
      <c r="BW224" s="341" t="str">
        <f>IFERROR(__xludf.DUMMYFUNCTION("""COMPUTED_VALUE"""),"Closed")</f>
        <v>Closed</v>
      </c>
      <c r="BX224" s="339" t="str">
        <f>IFERROR(__xludf.DUMMYFUNCTION("""COMPUTED_VALUE"""),"Closed")</f>
        <v>Closed</v>
      </c>
      <c r="BY224" s="342" t="str">
        <f>IFERROR(__xludf.DUMMYFUNCTION("""COMPUTED_VALUE"""),"Closed")</f>
        <v>Closed</v>
      </c>
      <c r="BZ224" s="341" t="str">
        <f>IFERROR(__xludf.DUMMYFUNCTION("""COMPUTED_VALUE"""),"Closed")</f>
        <v>Closed</v>
      </c>
      <c r="CA224" s="339" t="str">
        <f>IFERROR(__xludf.DUMMYFUNCTION("""COMPUTED_VALUE"""),"Closed")</f>
        <v>Closed</v>
      </c>
      <c r="CB224" s="342" t="str">
        <f>IFERROR(__xludf.DUMMYFUNCTION("""COMPUTED_VALUE"""),"Closed")</f>
        <v>Closed</v>
      </c>
      <c r="CC224" s="341" t="str">
        <f>IFERROR(__xludf.DUMMYFUNCTION("""COMPUTED_VALUE"""),"Closed")</f>
        <v>Closed</v>
      </c>
      <c r="CD224" s="339" t="str">
        <f>IFERROR(__xludf.DUMMYFUNCTION("""COMPUTED_VALUE"""),"Closed")</f>
        <v>Closed</v>
      </c>
      <c r="CE224" s="342" t="str">
        <f>IFERROR(__xludf.DUMMYFUNCTION("""COMPUTED_VALUE"""),"Closed")</f>
        <v>Closed</v>
      </c>
      <c r="CF224" s="341" t="str">
        <f>IFERROR(__xludf.DUMMYFUNCTION("""COMPUTED_VALUE"""),"Closed")</f>
        <v>Closed</v>
      </c>
      <c r="CG224" s="339" t="str">
        <f>IFERROR(__xludf.DUMMYFUNCTION("""COMPUTED_VALUE"""),"Closed")</f>
        <v>Closed</v>
      </c>
      <c r="CH224" s="342" t="str">
        <f>IFERROR(__xludf.DUMMYFUNCTION("""COMPUTED_VALUE"""),"Closed")</f>
        <v>Closed</v>
      </c>
      <c r="CI224" s="341" t="str">
        <f>IFERROR(__xludf.DUMMYFUNCTION("""COMPUTED_VALUE"""),"Closed")</f>
        <v>Closed</v>
      </c>
      <c r="CJ224" s="341" t="str">
        <f>IFERROR(__xludf.DUMMYFUNCTION("""COMPUTED_VALUE"""),"Closed")</f>
        <v>Closed</v>
      </c>
      <c r="CK224" s="342" t="str">
        <f>IFERROR(__xludf.DUMMYFUNCTION("""COMPUTED_VALUE"""),"Closed")</f>
        <v>Closed</v>
      </c>
      <c r="CL224" s="341" t="str">
        <f>IFERROR(__xludf.DUMMYFUNCTION("""COMPUTED_VALUE"""),"Closed")</f>
        <v>Closed</v>
      </c>
      <c r="CM224" s="339" t="str">
        <f>IFERROR(__xludf.DUMMYFUNCTION("""COMPUTED_VALUE"""),"Closed")</f>
        <v>Closed</v>
      </c>
      <c r="CN224" s="341" t="str">
        <f>IFERROR(__xludf.DUMMYFUNCTION("""COMPUTED_VALUE"""),"Closed")</f>
        <v>Closed</v>
      </c>
      <c r="CO224" s="341" t="str">
        <f>IFERROR(__xludf.DUMMYFUNCTION("""COMPUTED_VALUE"""),"Closed")</f>
        <v>Closed</v>
      </c>
      <c r="CP224" s="341" t="str">
        <f>IFERROR(__xludf.DUMMYFUNCTION("""COMPUTED_VALUE"""),"Closed")</f>
        <v>Closed</v>
      </c>
      <c r="CQ224" s="342" t="str">
        <f>IFERROR(__xludf.DUMMYFUNCTION("""COMPUTED_VALUE"""),"Closed")</f>
        <v>Closed</v>
      </c>
      <c r="CR224" s="341" t="str">
        <f>IFERROR(__xludf.DUMMYFUNCTION("""COMPUTED_VALUE"""),"Closed")</f>
        <v>Closed</v>
      </c>
      <c r="CS224" s="341" t="str">
        <f>IFERROR(__xludf.DUMMYFUNCTION("""COMPUTED_VALUE"""),"Closed")</f>
        <v>Closed</v>
      </c>
      <c r="CT224" s="342" t="str">
        <f>IFERROR(__xludf.DUMMYFUNCTION("""COMPUTED_VALUE"""),"Closed")</f>
        <v>Closed</v>
      </c>
      <c r="CU224" s="341" t="str">
        <f>IFERROR(__xludf.DUMMYFUNCTION("""COMPUTED_VALUE"""),"Closed")</f>
        <v>Closed</v>
      </c>
      <c r="CV224" s="341" t="str">
        <f>IFERROR(__xludf.DUMMYFUNCTION("""COMPUTED_VALUE"""),"Closed")</f>
        <v>Closed</v>
      </c>
      <c r="CW224" s="342" t="str">
        <f>IFERROR(__xludf.DUMMYFUNCTION("""COMPUTED_VALUE"""),"Closed")</f>
        <v>Closed</v>
      </c>
      <c r="CX224" s="341" t="str">
        <f>IFERROR(__xludf.DUMMYFUNCTION("""COMPUTED_VALUE"""),"Closed")</f>
        <v>Closed</v>
      </c>
      <c r="CY224" s="339" t="str">
        <f>IFERROR(__xludf.DUMMYFUNCTION("""COMPUTED_VALUE"""),"Closed")</f>
        <v>Closed</v>
      </c>
      <c r="CZ224" s="341" t="str">
        <f>IFERROR(__xludf.DUMMYFUNCTION("""COMPUTED_VALUE"""),"Closed")</f>
        <v>Closed</v>
      </c>
      <c r="DA224" s="341" t="str">
        <f>IFERROR(__xludf.DUMMYFUNCTION("""COMPUTED_VALUE"""),"Closed")</f>
        <v>Closed</v>
      </c>
      <c r="DB224" s="339" t="str">
        <f>IFERROR(__xludf.DUMMYFUNCTION("""COMPUTED_VALUE"""),"Closed")</f>
        <v>Closed</v>
      </c>
      <c r="DC224" s="342" t="str">
        <f>IFERROR(__xludf.DUMMYFUNCTION("""COMPUTED_VALUE"""),"Closed")</f>
        <v>Closed</v>
      </c>
      <c r="DD224" s="341" t="str">
        <f>IFERROR(__xludf.DUMMYFUNCTION("""COMPUTED_VALUE"""),"Closed")</f>
        <v>Closed</v>
      </c>
      <c r="DE224" s="339" t="str">
        <f>IFERROR(__xludf.DUMMYFUNCTION("""COMPUTED_VALUE"""),"Closed")</f>
        <v>Closed</v>
      </c>
      <c r="DF224" s="342" t="str">
        <f>IFERROR(__xludf.DUMMYFUNCTION("""COMPUTED_VALUE"""),"Closed")</f>
        <v>Closed</v>
      </c>
      <c r="DG224" s="341" t="str">
        <f>IFERROR(__xludf.DUMMYFUNCTION("""COMPUTED_VALUE"""),"Closed")</f>
        <v>Closed</v>
      </c>
      <c r="DH224" s="339" t="str">
        <f>IFERROR(__xludf.DUMMYFUNCTION("""COMPUTED_VALUE"""),"Closed")</f>
        <v>Closed</v>
      </c>
      <c r="DI224" s="342" t="str">
        <f>IFERROR(__xludf.DUMMYFUNCTION("""COMPUTED_VALUE"""),"Closed")</f>
        <v>Closed</v>
      </c>
      <c r="DJ224" s="341" t="str">
        <f>IFERROR(__xludf.DUMMYFUNCTION("""COMPUTED_VALUE"""),"Closed")</f>
        <v>Closed</v>
      </c>
      <c r="DK224" s="339" t="str">
        <f>IFERROR(__xludf.DUMMYFUNCTION("""COMPUTED_VALUE"""),"Closed")</f>
        <v>Closed</v>
      </c>
      <c r="DL224" s="348" t="str">
        <f>IFERROR(__xludf.DUMMYFUNCTION("""COMPUTED_VALUE"""),"Closed")</f>
        <v>Closed</v>
      </c>
      <c r="DM224" s="349" t="str">
        <f>IFERROR(__xludf.DUMMYFUNCTION("""COMPUTED_VALUE"""),"Closed")</f>
        <v>Closed</v>
      </c>
      <c r="DN224" s="350" t="str">
        <f>IFERROR(__xludf.DUMMYFUNCTION("""COMPUTED_VALUE"""),"Closed")</f>
        <v>Closed</v>
      </c>
      <c r="DO224" s="351" t="str">
        <f>IFERROR(__xludf.DUMMYFUNCTION("""COMPUTED_VALUE"""),"Closed")</f>
        <v>Closed</v>
      </c>
      <c r="DP224" s="351" t="str">
        <f>IFERROR(__xludf.DUMMYFUNCTION("""COMPUTED_VALUE"""),"Closed")</f>
        <v>Closed</v>
      </c>
      <c r="DQ224" s="351" t="str">
        <f>IFERROR(__xludf.DUMMYFUNCTION("""COMPUTED_VALUE"""),"Closed")</f>
        <v>Closed</v>
      </c>
      <c r="DR224" s="351" t="str">
        <f>IFERROR(__xludf.DUMMYFUNCTION("""COMPUTED_VALUE"""),"Closed")</f>
        <v>Closed</v>
      </c>
      <c r="DS224" s="351" t="str">
        <f>IFERROR(__xludf.DUMMYFUNCTION("""COMPUTED_VALUE"""),"Closed")</f>
        <v>Closed</v>
      </c>
      <c r="DT224" s="351" t="str">
        <f>IFERROR(__xludf.DUMMYFUNCTION("""COMPUTED_VALUE"""),"Closed")</f>
        <v>Closed</v>
      </c>
      <c r="DU224" s="82"/>
    </row>
    <row r="225">
      <c r="B225" s="120" t="str">
        <f>IFERROR(__xludf.DUMMYFUNCTION("""COMPUTED_VALUE"""),"YKS8")</f>
        <v>YKS8</v>
      </c>
      <c r="C225" s="264" t="str">
        <f>IFERROR(__xludf.DUMMYFUNCTION("""COMPUTED_VALUE"""),"Southern Town")</f>
        <v>Southern Town</v>
      </c>
      <c r="D225" s="102">
        <f>IFERROR(__xludf.DUMMYFUNCTION("""COMPUTED_VALUE"""),21.0)</f>
        <v>21</v>
      </c>
      <c r="E225" s="82" t="b">
        <f>IFERROR(__xludf.DUMMYFUNCTION("""COMPUTED_VALUE"""),FALSE)</f>
        <v>0</v>
      </c>
      <c r="F225" s="82" t="str">
        <f>IFERROR(__xludf.DUMMYFUNCTION("""COMPUTED_VALUE"""),"Free Quests- Part 2!A570:J580")</f>
        <v>Free Quests- Part 2!A570:J580</v>
      </c>
      <c r="G225" s="266">
        <f>IFERROR(__xludf.DUMMYFUNCTION("""COMPUTED_VALUE"""),226.0)</f>
        <v>226</v>
      </c>
      <c r="H225" s="266" t="str">
        <f>IFERROR(__xludf.DUMMYFUNCTION("""COMPUTED_VALUE"""),"Closed")</f>
        <v>Closed</v>
      </c>
      <c r="I225" s="266">
        <f>IFERROR(__xludf.DUMMYFUNCTION("""COMPUTED_VALUE"""),10032.0)</f>
        <v>10032</v>
      </c>
      <c r="J225" s="266" t="str">
        <f>IFERROR(__xludf.DUMMYFUNCTION("""COMPUTED_VALUE"""),"Closed")</f>
        <v>Closed</v>
      </c>
      <c r="K225" s="234" t="str">
        <f>IFERROR(__xludf.DUMMYFUNCTION("""COMPUTED_VALUE"""),"Closed")</f>
        <v>Closed</v>
      </c>
      <c r="L225" s="341" t="str">
        <f>IFERROR(__xludf.DUMMYFUNCTION("""COMPUTED_VALUE"""),"Closed")</f>
        <v>Closed</v>
      </c>
      <c r="M225" s="339" t="str">
        <f>IFERROR(__xludf.DUMMYFUNCTION("""COMPUTED_VALUE"""),"Closed")</f>
        <v>Closed</v>
      </c>
      <c r="N225" s="342" t="str">
        <f>IFERROR(__xludf.DUMMYFUNCTION("""COMPUTED_VALUE"""),"Closed")</f>
        <v>Closed</v>
      </c>
      <c r="O225" s="341" t="str">
        <f>IFERROR(__xludf.DUMMYFUNCTION("""COMPUTED_VALUE"""),"Closed")</f>
        <v>Closed</v>
      </c>
      <c r="P225" s="339" t="str">
        <f>IFERROR(__xludf.DUMMYFUNCTION("""COMPUTED_VALUE"""),"Closed")</f>
        <v>Closed</v>
      </c>
      <c r="Q225" s="342" t="str">
        <f>IFERROR(__xludf.DUMMYFUNCTION("""COMPUTED_VALUE"""),"Closed")</f>
        <v>Closed</v>
      </c>
      <c r="R225" s="341" t="str">
        <f>IFERROR(__xludf.DUMMYFUNCTION("""COMPUTED_VALUE"""),"Closed")</f>
        <v>Closed</v>
      </c>
      <c r="S225" s="339" t="str">
        <f>IFERROR(__xludf.DUMMYFUNCTION("""COMPUTED_VALUE"""),"Closed")</f>
        <v>Closed</v>
      </c>
      <c r="T225" s="342" t="str">
        <f>IFERROR(__xludf.DUMMYFUNCTION("""COMPUTED_VALUE"""),"Closed")</f>
        <v>Closed</v>
      </c>
      <c r="U225" s="341" t="str">
        <f>IFERROR(__xludf.DUMMYFUNCTION("""COMPUTED_VALUE"""),"Closed")</f>
        <v>Closed</v>
      </c>
      <c r="V225" s="339" t="str">
        <f>IFERROR(__xludf.DUMMYFUNCTION("""COMPUTED_VALUE"""),"Closed")</f>
        <v>Closed</v>
      </c>
      <c r="W225" s="234" t="str">
        <f>IFERROR(__xludf.DUMMYFUNCTION("""COMPUTED_VALUE"""),"Closed")</f>
        <v>Closed</v>
      </c>
      <c r="X225" s="341" t="str">
        <f>IFERROR(__xludf.DUMMYFUNCTION("""COMPUTED_VALUE"""),"Closed")</f>
        <v>Closed</v>
      </c>
      <c r="Y225" s="339" t="str">
        <f>IFERROR(__xludf.DUMMYFUNCTION("""COMPUTED_VALUE"""),"Closed")</f>
        <v>Closed</v>
      </c>
      <c r="Z225" s="342" t="str">
        <f>IFERROR(__xludf.DUMMYFUNCTION("""COMPUTED_VALUE"""),"Closed")</f>
        <v>Closed</v>
      </c>
      <c r="AA225" s="341" t="str">
        <f>IFERROR(__xludf.DUMMYFUNCTION("""COMPUTED_VALUE"""),"Closed")</f>
        <v>Closed</v>
      </c>
      <c r="AB225" s="339" t="str">
        <f>IFERROR(__xludf.DUMMYFUNCTION("""COMPUTED_VALUE"""),"Closed")</f>
        <v>Closed</v>
      </c>
      <c r="AC225" s="342" t="str">
        <f>IFERROR(__xludf.DUMMYFUNCTION("""COMPUTED_VALUE"""),"Closed")</f>
        <v>Closed</v>
      </c>
      <c r="AD225" s="341" t="str">
        <f>IFERROR(__xludf.DUMMYFUNCTION("""COMPUTED_VALUE"""),"Closed")</f>
        <v>Closed</v>
      </c>
      <c r="AE225" s="339" t="str">
        <f>IFERROR(__xludf.DUMMYFUNCTION("""COMPUTED_VALUE"""),"Closed")</f>
        <v>Closed</v>
      </c>
      <c r="AF225" s="342" t="str">
        <f>IFERROR(__xludf.DUMMYFUNCTION("""COMPUTED_VALUE"""),"Closed")</f>
        <v>Closed</v>
      </c>
      <c r="AG225" s="341" t="str">
        <f>IFERROR(__xludf.DUMMYFUNCTION("""COMPUTED_VALUE"""),"Closed")</f>
        <v>Closed</v>
      </c>
      <c r="AH225" s="339" t="str">
        <f>IFERROR(__xludf.DUMMYFUNCTION("""COMPUTED_VALUE"""),"Closed")</f>
        <v>Closed</v>
      </c>
      <c r="AI225" s="234" t="str">
        <f>IFERROR(__xludf.DUMMYFUNCTION("""COMPUTED_VALUE"""),"Closed")</f>
        <v>Closed</v>
      </c>
      <c r="AJ225" s="341" t="str">
        <f>IFERROR(__xludf.DUMMYFUNCTION("""COMPUTED_VALUE"""),"Closed")</f>
        <v>Closed</v>
      </c>
      <c r="AK225" s="339" t="str">
        <f>IFERROR(__xludf.DUMMYFUNCTION("""COMPUTED_VALUE"""),"Closed")</f>
        <v>Closed</v>
      </c>
      <c r="AL225" s="340" t="str">
        <f>IFERROR(__xludf.DUMMYFUNCTION("""COMPUTED_VALUE"""),"Closed")</f>
        <v>Closed</v>
      </c>
      <c r="AM225" s="341" t="str">
        <f>IFERROR(__xludf.DUMMYFUNCTION("""COMPUTED_VALUE"""),"Closed")</f>
        <v>Closed</v>
      </c>
      <c r="AN225" s="339" t="str">
        <f>IFERROR(__xludf.DUMMYFUNCTION("""COMPUTED_VALUE"""),"Closed")</f>
        <v>Closed</v>
      </c>
      <c r="AO225" s="342" t="str">
        <f>IFERROR(__xludf.DUMMYFUNCTION("""COMPUTED_VALUE"""),"Closed")</f>
        <v>Closed</v>
      </c>
      <c r="AP225" s="341" t="str">
        <f>IFERROR(__xludf.DUMMYFUNCTION("""COMPUTED_VALUE"""),"Closed")</f>
        <v>Closed</v>
      </c>
      <c r="AQ225" s="339" t="str">
        <f>IFERROR(__xludf.DUMMYFUNCTION("""COMPUTED_VALUE"""),"Closed")</f>
        <v>Closed</v>
      </c>
      <c r="AR225" s="342" t="str">
        <f>IFERROR(__xludf.DUMMYFUNCTION("""COMPUTED_VALUE"""),"Closed")</f>
        <v>Closed</v>
      </c>
      <c r="AS225" s="341" t="str">
        <f>IFERROR(__xludf.DUMMYFUNCTION("""COMPUTED_VALUE"""),"Closed")</f>
        <v>Closed</v>
      </c>
      <c r="AT225" s="339" t="str">
        <f>IFERROR(__xludf.DUMMYFUNCTION("""COMPUTED_VALUE"""),"Closed")</f>
        <v>Closed</v>
      </c>
      <c r="AU225" s="234" t="str">
        <f>IFERROR(__xludf.DUMMYFUNCTION("""COMPUTED_VALUE"""),"Closed")</f>
        <v>Closed</v>
      </c>
      <c r="AV225" s="341" t="str">
        <f>IFERROR(__xludf.DUMMYFUNCTION("""COMPUTED_VALUE"""),"Closed")</f>
        <v>Closed</v>
      </c>
      <c r="AW225" s="339" t="str">
        <f>IFERROR(__xludf.DUMMYFUNCTION("""COMPUTED_VALUE"""),"Closed")</f>
        <v>Closed</v>
      </c>
      <c r="AX225" s="342" t="str">
        <f>IFERROR(__xludf.DUMMYFUNCTION("""COMPUTED_VALUE"""),"Closed")</f>
        <v>Closed</v>
      </c>
      <c r="AY225" s="341" t="str">
        <f>IFERROR(__xludf.DUMMYFUNCTION("""COMPUTED_VALUE"""),"Closed")</f>
        <v>Closed</v>
      </c>
      <c r="AZ225" s="339" t="str">
        <f>IFERROR(__xludf.DUMMYFUNCTION("""COMPUTED_VALUE"""),"Closed")</f>
        <v>Closed</v>
      </c>
      <c r="BA225" s="342" t="str">
        <f>IFERROR(__xludf.DUMMYFUNCTION("""COMPUTED_VALUE"""),"Closed")</f>
        <v>Closed</v>
      </c>
      <c r="BB225" s="341" t="str">
        <f>IFERROR(__xludf.DUMMYFUNCTION("""COMPUTED_VALUE"""),"Closed")</f>
        <v>Closed</v>
      </c>
      <c r="BC225" s="339" t="str">
        <f>IFERROR(__xludf.DUMMYFUNCTION("""COMPUTED_VALUE"""),"Closed")</f>
        <v>Closed</v>
      </c>
      <c r="BD225" s="342" t="str">
        <f>IFERROR(__xludf.DUMMYFUNCTION("""COMPUTED_VALUE"""),"Closed")</f>
        <v>Closed</v>
      </c>
      <c r="BE225" s="341" t="str">
        <f>IFERROR(__xludf.DUMMYFUNCTION("""COMPUTED_VALUE"""),"Closed")</f>
        <v>Closed</v>
      </c>
      <c r="BF225" s="339" t="str">
        <f>IFERROR(__xludf.DUMMYFUNCTION("""COMPUTED_VALUE"""),"Closed")</f>
        <v>Closed</v>
      </c>
      <c r="BG225" s="234" t="str">
        <f>IFERROR(__xludf.DUMMYFUNCTION("""COMPUTED_VALUE"""),"Closed")</f>
        <v>Closed</v>
      </c>
      <c r="BH225" s="341" t="str">
        <f>IFERROR(__xludf.DUMMYFUNCTION("""COMPUTED_VALUE"""),"Closed")</f>
        <v>Closed</v>
      </c>
      <c r="BI225" s="339" t="str">
        <f>IFERROR(__xludf.DUMMYFUNCTION("""COMPUTED_VALUE"""),"Closed")</f>
        <v>Closed</v>
      </c>
      <c r="BJ225" s="342" t="str">
        <f>IFERROR(__xludf.DUMMYFUNCTION("""COMPUTED_VALUE"""),"Closed")</f>
        <v>Closed</v>
      </c>
      <c r="BK225" s="341" t="str">
        <f>IFERROR(__xludf.DUMMYFUNCTION("""COMPUTED_VALUE"""),"Closed")</f>
        <v>Closed</v>
      </c>
      <c r="BL225" s="339" t="str">
        <f>IFERROR(__xludf.DUMMYFUNCTION("""COMPUTED_VALUE"""),"Closed")</f>
        <v>Closed</v>
      </c>
      <c r="BM225" s="342" t="str">
        <f>IFERROR(__xludf.DUMMYFUNCTION("""COMPUTED_VALUE"""),"Closed")</f>
        <v>Closed</v>
      </c>
      <c r="BN225" s="341" t="str">
        <f>IFERROR(__xludf.DUMMYFUNCTION("""COMPUTED_VALUE"""),"Closed")</f>
        <v>Closed</v>
      </c>
      <c r="BO225" s="339" t="str">
        <f>IFERROR(__xludf.DUMMYFUNCTION("""COMPUTED_VALUE"""),"Closed")</f>
        <v>Closed</v>
      </c>
      <c r="BP225" s="342" t="str">
        <f>IFERROR(__xludf.DUMMYFUNCTION("""COMPUTED_VALUE"""),"Closed")</f>
        <v>Closed</v>
      </c>
      <c r="BQ225" s="341" t="str">
        <f>IFERROR(__xludf.DUMMYFUNCTION("""COMPUTED_VALUE"""),"Closed")</f>
        <v>Closed</v>
      </c>
      <c r="BR225" s="339" t="str">
        <f>IFERROR(__xludf.DUMMYFUNCTION("""COMPUTED_VALUE"""),"Closed")</f>
        <v>Closed</v>
      </c>
      <c r="BS225" s="234" t="str">
        <f>IFERROR(__xludf.DUMMYFUNCTION("""COMPUTED_VALUE"""),"Closed")</f>
        <v>Closed</v>
      </c>
      <c r="BT225" s="341" t="str">
        <f>IFERROR(__xludf.DUMMYFUNCTION("""COMPUTED_VALUE"""),"Closed")</f>
        <v>Closed</v>
      </c>
      <c r="BU225" s="339" t="str">
        <f>IFERROR(__xludf.DUMMYFUNCTION("""COMPUTED_VALUE"""),"Closed")</f>
        <v>Closed</v>
      </c>
      <c r="BV225" s="342" t="str">
        <f>IFERROR(__xludf.DUMMYFUNCTION("""COMPUTED_VALUE"""),"Closed")</f>
        <v>Closed</v>
      </c>
      <c r="BW225" s="341" t="str">
        <f>IFERROR(__xludf.DUMMYFUNCTION("""COMPUTED_VALUE"""),"Closed")</f>
        <v>Closed</v>
      </c>
      <c r="BX225" s="339" t="str">
        <f>IFERROR(__xludf.DUMMYFUNCTION("""COMPUTED_VALUE"""),"Closed")</f>
        <v>Closed</v>
      </c>
      <c r="BY225" s="342" t="str">
        <f>IFERROR(__xludf.DUMMYFUNCTION("""COMPUTED_VALUE"""),"Closed")</f>
        <v>Closed</v>
      </c>
      <c r="BZ225" s="341" t="str">
        <f>IFERROR(__xludf.DUMMYFUNCTION("""COMPUTED_VALUE"""),"Closed")</f>
        <v>Closed</v>
      </c>
      <c r="CA225" s="339" t="str">
        <f>IFERROR(__xludf.DUMMYFUNCTION("""COMPUTED_VALUE"""),"Closed")</f>
        <v>Closed</v>
      </c>
      <c r="CB225" s="342" t="str">
        <f>IFERROR(__xludf.DUMMYFUNCTION("""COMPUTED_VALUE"""),"Closed")</f>
        <v>Closed</v>
      </c>
      <c r="CC225" s="341" t="str">
        <f>IFERROR(__xludf.DUMMYFUNCTION("""COMPUTED_VALUE"""),"Closed")</f>
        <v>Closed</v>
      </c>
      <c r="CD225" s="339" t="str">
        <f>IFERROR(__xludf.DUMMYFUNCTION("""COMPUTED_VALUE"""),"Closed")</f>
        <v>Closed</v>
      </c>
      <c r="CE225" s="342" t="str">
        <f>IFERROR(__xludf.DUMMYFUNCTION("""COMPUTED_VALUE"""),"Closed")</f>
        <v>Closed</v>
      </c>
      <c r="CF225" s="341" t="str">
        <f>IFERROR(__xludf.DUMMYFUNCTION("""COMPUTED_VALUE"""),"Closed")</f>
        <v>Closed</v>
      </c>
      <c r="CG225" s="339" t="str">
        <f>IFERROR(__xludf.DUMMYFUNCTION("""COMPUTED_VALUE"""),"Closed")</f>
        <v>Closed</v>
      </c>
      <c r="CH225" s="342" t="str">
        <f>IFERROR(__xludf.DUMMYFUNCTION("""COMPUTED_VALUE"""),"Closed")</f>
        <v>Closed</v>
      </c>
      <c r="CI225" s="341" t="str">
        <f>IFERROR(__xludf.DUMMYFUNCTION("""COMPUTED_VALUE"""),"Closed")</f>
        <v>Closed</v>
      </c>
      <c r="CJ225" s="341" t="str">
        <f>IFERROR(__xludf.DUMMYFUNCTION("""COMPUTED_VALUE"""),"Closed")</f>
        <v>Closed</v>
      </c>
      <c r="CK225" s="342" t="str">
        <f>IFERROR(__xludf.DUMMYFUNCTION("""COMPUTED_VALUE"""),"Closed")</f>
        <v>Closed</v>
      </c>
      <c r="CL225" s="341" t="str">
        <f>IFERROR(__xludf.DUMMYFUNCTION("""COMPUTED_VALUE"""),"Closed")</f>
        <v>Closed</v>
      </c>
      <c r="CM225" s="339" t="str">
        <f>IFERROR(__xludf.DUMMYFUNCTION("""COMPUTED_VALUE"""),"Closed")</f>
        <v>Closed</v>
      </c>
      <c r="CN225" s="341" t="str">
        <f>IFERROR(__xludf.DUMMYFUNCTION("""COMPUTED_VALUE"""),"Closed")</f>
        <v>Closed</v>
      </c>
      <c r="CO225" s="341" t="str">
        <f>IFERROR(__xludf.DUMMYFUNCTION("""COMPUTED_VALUE"""),"Closed")</f>
        <v>Closed</v>
      </c>
      <c r="CP225" s="341" t="str">
        <f>IFERROR(__xludf.DUMMYFUNCTION("""COMPUTED_VALUE"""),"Closed")</f>
        <v>Closed</v>
      </c>
      <c r="CQ225" s="342" t="str">
        <f>IFERROR(__xludf.DUMMYFUNCTION("""COMPUTED_VALUE"""),"Closed")</f>
        <v>Closed</v>
      </c>
      <c r="CR225" s="341" t="str">
        <f>IFERROR(__xludf.DUMMYFUNCTION("""COMPUTED_VALUE"""),"Closed")</f>
        <v>Closed</v>
      </c>
      <c r="CS225" s="341" t="str">
        <f>IFERROR(__xludf.DUMMYFUNCTION("""COMPUTED_VALUE"""),"Closed")</f>
        <v>Closed</v>
      </c>
      <c r="CT225" s="342" t="str">
        <f>IFERROR(__xludf.DUMMYFUNCTION("""COMPUTED_VALUE"""),"Closed")</f>
        <v>Closed</v>
      </c>
      <c r="CU225" s="341" t="str">
        <f>IFERROR(__xludf.DUMMYFUNCTION("""COMPUTED_VALUE"""),"Closed")</f>
        <v>Closed</v>
      </c>
      <c r="CV225" s="341" t="str">
        <f>IFERROR(__xludf.DUMMYFUNCTION("""COMPUTED_VALUE"""),"Closed")</f>
        <v>Closed</v>
      </c>
      <c r="CW225" s="342" t="str">
        <f>IFERROR(__xludf.DUMMYFUNCTION("""COMPUTED_VALUE"""),"Closed")</f>
        <v>Closed</v>
      </c>
      <c r="CX225" s="341" t="str">
        <f>IFERROR(__xludf.DUMMYFUNCTION("""COMPUTED_VALUE"""),"Closed")</f>
        <v>Closed</v>
      </c>
      <c r="CY225" s="339" t="str">
        <f>IFERROR(__xludf.DUMMYFUNCTION("""COMPUTED_VALUE"""),"Closed")</f>
        <v>Closed</v>
      </c>
      <c r="CZ225" s="341" t="str">
        <f>IFERROR(__xludf.DUMMYFUNCTION("""COMPUTED_VALUE"""),"Closed")</f>
        <v>Closed</v>
      </c>
      <c r="DA225" s="341" t="str">
        <f>IFERROR(__xludf.DUMMYFUNCTION("""COMPUTED_VALUE"""),"Closed")</f>
        <v>Closed</v>
      </c>
      <c r="DB225" s="339" t="str">
        <f>IFERROR(__xludf.DUMMYFUNCTION("""COMPUTED_VALUE"""),"Closed")</f>
        <v>Closed</v>
      </c>
      <c r="DC225" s="342" t="str">
        <f>IFERROR(__xludf.DUMMYFUNCTION("""COMPUTED_VALUE"""),"Closed")</f>
        <v>Closed</v>
      </c>
      <c r="DD225" s="341" t="str">
        <f>IFERROR(__xludf.DUMMYFUNCTION("""COMPUTED_VALUE"""),"Closed")</f>
        <v>Closed</v>
      </c>
      <c r="DE225" s="339" t="str">
        <f>IFERROR(__xludf.DUMMYFUNCTION("""COMPUTED_VALUE"""),"Closed")</f>
        <v>Closed</v>
      </c>
      <c r="DF225" s="342" t="str">
        <f>IFERROR(__xludf.DUMMYFUNCTION("""COMPUTED_VALUE"""),"Closed")</f>
        <v>Closed</v>
      </c>
      <c r="DG225" s="341" t="str">
        <f>IFERROR(__xludf.DUMMYFUNCTION("""COMPUTED_VALUE"""),"Closed")</f>
        <v>Closed</v>
      </c>
      <c r="DH225" s="339" t="str">
        <f>IFERROR(__xludf.DUMMYFUNCTION("""COMPUTED_VALUE"""),"Closed")</f>
        <v>Closed</v>
      </c>
      <c r="DI225" s="342" t="str">
        <f>IFERROR(__xludf.DUMMYFUNCTION("""COMPUTED_VALUE"""),"Closed")</f>
        <v>Closed</v>
      </c>
      <c r="DJ225" s="341" t="str">
        <f>IFERROR(__xludf.DUMMYFUNCTION("""COMPUTED_VALUE"""),"Closed")</f>
        <v>Closed</v>
      </c>
      <c r="DK225" s="339" t="str">
        <f>IFERROR(__xludf.DUMMYFUNCTION("""COMPUTED_VALUE"""),"Closed")</f>
        <v>Closed</v>
      </c>
      <c r="DL225" s="348" t="str">
        <f>IFERROR(__xludf.DUMMYFUNCTION("""COMPUTED_VALUE"""),"Closed")</f>
        <v>Closed</v>
      </c>
      <c r="DM225" s="349" t="str">
        <f>IFERROR(__xludf.DUMMYFUNCTION("""COMPUTED_VALUE"""),"Closed")</f>
        <v>Closed</v>
      </c>
      <c r="DN225" s="350" t="str">
        <f>IFERROR(__xludf.DUMMYFUNCTION("""COMPUTED_VALUE"""),"Closed")</f>
        <v>Closed</v>
      </c>
      <c r="DO225" s="351" t="str">
        <f>IFERROR(__xludf.DUMMYFUNCTION("""COMPUTED_VALUE"""),"Closed")</f>
        <v>Closed</v>
      </c>
      <c r="DP225" s="351" t="str">
        <f>IFERROR(__xludf.DUMMYFUNCTION("""COMPUTED_VALUE"""),"Closed")</f>
        <v>Closed</v>
      </c>
      <c r="DQ225" s="351" t="str">
        <f>IFERROR(__xludf.DUMMYFUNCTION("""COMPUTED_VALUE"""),"Closed")</f>
        <v>Closed</v>
      </c>
      <c r="DR225" s="351" t="str">
        <f>IFERROR(__xludf.DUMMYFUNCTION("""COMPUTED_VALUE"""),"Closed")</f>
        <v>Closed</v>
      </c>
      <c r="DS225" s="351" t="str">
        <f>IFERROR(__xludf.DUMMYFUNCTION("""COMPUTED_VALUE"""),"Closed")</f>
        <v>Closed</v>
      </c>
      <c r="DT225" s="351" t="str">
        <f>IFERROR(__xludf.DUMMYFUNCTION("""COMPUTED_VALUE"""),"Closed")</f>
        <v>Closed</v>
      </c>
      <c r="DU225" s="82"/>
    </row>
    <row r="226">
      <c r="B226" s="120" t="str">
        <f>IFERROR(__xludf.DUMMYFUNCTION("""COMPUTED_VALUE"""),"YKS9")</f>
        <v>YKS9</v>
      </c>
      <c r="C226" s="264" t="str">
        <f>IFERROR(__xludf.DUMMYFUNCTION("""COMPUTED_VALUE"""),"Eternal Grounds")</f>
        <v>Eternal Grounds</v>
      </c>
      <c r="D226" s="102">
        <f>IFERROR(__xludf.DUMMYFUNCTION("""COMPUTED_VALUE"""),21.0)</f>
        <v>21</v>
      </c>
      <c r="E226" s="82" t="b">
        <f>IFERROR(__xludf.DUMMYFUNCTION("""COMPUTED_VALUE"""),FALSE)</f>
        <v>0</v>
      </c>
      <c r="F226" s="82" t="str">
        <f>IFERROR(__xludf.DUMMYFUNCTION("""COMPUTED_VALUE"""),"Free Quests- Part 2!A584:J594")</f>
        <v>Free Quests- Part 2!A584:J594</v>
      </c>
      <c r="G226" s="266">
        <f>IFERROR(__xludf.DUMMYFUNCTION("""COMPUTED_VALUE"""),227.0)</f>
        <v>227</v>
      </c>
      <c r="H226" s="266" t="str">
        <f>IFERROR(__xludf.DUMMYFUNCTION("""COMPUTED_VALUE"""),"Closed")</f>
        <v>Closed</v>
      </c>
      <c r="I226" s="266">
        <f>IFERROR(__xludf.DUMMYFUNCTION("""COMPUTED_VALUE"""),22314.0)</f>
        <v>22314</v>
      </c>
      <c r="J226" s="266" t="str">
        <f>IFERROR(__xludf.DUMMYFUNCTION("""COMPUTED_VALUE"""),"Closed")</f>
        <v>Closed</v>
      </c>
      <c r="K226" s="234" t="str">
        <f>IFERROR(__xludf.DUMMYFUNCTION("""COMPUTED_VALUE"""),"Closed")</f>
        <v>Closed</v>
      </c>
      <c r="L226" s="341" t="str">
        <f>IFERROR(__xludf.DUMMYFUNCTION("""COMPUTED_VALUE"""),"Closed")</f>
        <v>Closed</v>
      </c>
      <c r="M226" s="339" t="str">
        <f>IFERROR(__xludf.DUMMYFUNCTION("""COMPUTED_VALUE"""),"Closed")</f>
        <v>Closed</v>
      </c>
      <c r="N226" s="342" t="str">
        <f>IFERROR(__xludf.DUMMYFUNCTION("""COMPUTED_VALUE"""),"Closed")</f>
        <v>Closed</v>
      </c>
      <c r="O226" s="341" t="str">
        <f>IFERROR(__xludf.DUMMYFUNCTION("""COMPUTED_VALUE"""),"Closed")</f>
        <v>Closed</v>
      </c>
      <c r="P226" s="339" t="str">
        <f>IFERROR(__xludf.DUMMYFUNCTION("""COMPUTED_VALUE"""),"Closed")</f>
        <v>Closed</v>
      </c>
      <c r="Q226" s="342" t="str">
        <f>IFERROR(__xludf.DUMMYFUNCTION("""COMPUTED_VALUE"""),"Closed")</f>
        <v>Closed</v>
      </c>
      <c r="R226" s="341" t="str">
        <f>IFERROR(__xludf.DUMMYFUNCTION("""COMPUTED_VALUE"""),"Closed")</f>
        <v>Closed</v>
      </c>
      <c r="S226" s="339" t="str">
        <f>IFERROR(__xludf.DUMMYFUNCTION("""COMPUTED_VALUE"""),"Closed")</f>
        <v>Closed</v>
      </c>
      <c r="T226" s="342" t="str">
        <f>IFERROR(__xludf.DUMMYFUNCTION("""COMPUTED_VALUE"""),"Closed")</f>
        <v>Closed</v>
      </c>
      <c r="U226" s="341" t="str">
        <f>IFERROR(__xludf.DUMMYFUNCTION("""COMPUTED_VALUE"""),"Closed")</f>
        <v>Closed</v>
      </c>
      <c r="V226" s="339" t="str">
        <f>IFERROR(__xludf.DUMMYFUNCTION("""COMPUTED_VALUE"""),"Closed")</f>
        <v>Closed</v>
      </c>
      <c r="W226" s="234" t="str">
        <f>IFERROR(__xludf.DUMMYFUNCTION("""COMPUTED_VALUE"""),"Closed")</f>
        <v>Closed</v>
      </c>
      <c r="X226" s="341" t="str">
        <f>IFERROR(__xludf.DUMMYFUNCTION("""COMPUTED_VALUE"""),"Closed")</f>
        <v>Closed</v>
      </c>
      <c r="Y226" s="339" t="str">
        <f>IFERROR(__xludf.DUMMYFUNCTION("""COMPUTED_VALUE"""),"Closed")</f>
        <v>Closed</v>
      </c>
      <c r="Z226" s="342" t="str">
        <f>IFERROR(__xludf.DUMMYFUNCTION("""COMPUTED_VALUE"""),"Closed")</f>
        <v>Closed</v>
      </c>
      <c r="AA226" s="341" t="str">
        <f>IFERROR(__xludf.DUMMYFUNCTION("""COMPUTED_VALUE"""),"Closed")</f>
        <v>Closed</v>
      </c>
      <c r="AB226" s="339" t="str">
        <f>IFERROR(__xludf.DUMMYFUNCTION("""COMPUTED_VALUE"""),"Closed")</f>
        <v>Closed</v>
      </c>
      <c r="AC226" s="342" t="str">
        <f>IFERROR(__xludf.DUMMYFUNCTION("""COMPUTED_VALUE"""),"Closed")</f>
        <v>Closed</v>
      </c>
      <c r="AD226" s="341" t="str">
        <f>IFERROR(__xludf.DUMMYFUNCTION("""COMPUTED_VALUE"""),"Closed")</f>
        <v>Closed</v>
      </c>
      <c r="AE226" s="339" t="str">
        <f>IFERROR(__xludf.DUMMYFUNCTION("""COMPUTED_VALUE"""),"Closed")</f>
        <v>Closed</v>
      </c>
      <c r="AF226" s="342" t="str">
        <f>IFERROR(__xludf.DUMMYFUNCTION("""COMPUTED_VALUE"""),"Closed")</f>
        <v>Closed</v>
      </c>
      <c r="AG226" s="341" t="str">
        <f>IFERROR(__xludf.DUMMYFUNCTION("""COMPUTED_VALUE"""),"Closed")</f>
        <v>Closed</v>
      </c>
      <c r="AH226" s="339" t="str">
        <f>IFERROR(__xludf.DUMMYFUNCTION("""COMPUTED_VALUE"""),"Closed")</f>
        <v>Closed</v>
      </c>
      <c r="AI226" s="234" t="str">
        <f>IFERROR(__xludf.DUMMYFUNCTION("""COMPUTED_VALUE"""),"Closed")</f>
        <v>Closed</v>
      </c>
      <c r="AJ226" s="341" t="str">
        <f>IFERROR(__xludf.DUMMYFUNCTION("""COMPUTED_VALUE"""),"Closed")</f>
        <v>Closed</v>
      </c>
      <c r="AK226" s="339" t="str">
        <f>IFERROR(__xludf.DUMMYFUNCTION("""COMPUTED_VALUE"""),"Closed")</f>
        <v>Closed</v>
      </c>
      <c r="AL226" s="340" t="str">
        <f>IFERROR(__xludf.DUMMYFUNCTION("""COMPUTED_VALUE"""),"Closed")</f>
        <v>Closed</v>
      </c>
      <c r="AM226" s="341" t="str">
        <f>IFERROR(__xludf.DUMMYFUNCTION("""COMPUTED_VALUE"""),"Closed")</f>
        <v>Closed</v>
      </c>
      <c r="AN226" s="339" t="str">
        <f>IFERROR(__xludf.DUMMYFUNCTION("""COMPUTED_VALUE"""),"Closed")</f>
        <v>Closed</v>
      </c>
      <c r="AO226" s="342" t="str">
        <f>IFERROR(__xludf.DUMMYFUNCTION("""COMPUTED_VALUE"""),"Closed")</f>
        <v>Closed</v>
      </c>
      <c r="AP226" s="341" t="str">
        <f>IFERROR(__xludf.DUMMYFUNCTION("""COMPUTED_VALUE"""),"Closed")</f>
        <v>Closed</v>
      </c>
      <c r="AQ226" s="339" t="str">
        <f>IFERROR(__xludf.DUMMYFUNCTION("""COMPUTED_VALUE"""),"Closed")</f>
        <v>Closed</v>
      </c>
      <c r="AR226" s="342" t="str">
        <f>IFERROR(__xludf.DUMMYFUNCTION("""COMPUTED_VALUE"""),"Closed")</f>
        <v>Closed</v>
      </c>
      <c r="AS226" s="341" t="str">
        <f>IFERROR(__xludf.DUMMYFUNCTION("""COMPUTED_VALUE"""),"Closed")</f>
        <v>Closed</v>
      </c>
      <c r="AT226" s="339" t="str">
        <f>IFERROR(__xludf.DUMMYFUNCTION("""COMPUTED_VALUE"""),"Closed")</f>
        <v>Closed</v>
      </c>
      <c r="AU226" s="234" t="str">
        <f>IFERROR(__xludf.DUMMYFUNCTION("""COMPUTED_VALUE"""),"Closed")</f>
        <v>Closed</v>
      </c>
      <c r="AV226" s="341" t="str">
        <f>IFERROR(__xludf.DUMMYFUNCTION("""COMPUTED_VALUE"""),"Closed")</f>
        <v>Closed</v>
      </c>
      <c r="AW226" s="339" t="str">
        <f>IFERROR(__xludf.DUMMYFUNCTION("""COMPUTED_VALUE"""),"Closed")</f>
        <v>Closed</v>
      </c>
      <c r="AX226" s="342" t="str">
        <f>IFERROR(__xludf.DUMMYFUNCTION("""COMPUTED_VALUE"""),"Closed")</f>
        <v>Closed</v>
      </c>
      <c r="AY226" s="341" t="str">
        <f>IFERROR(__xludf.DUMMYFUNCTION("""COMPUTED_VALUE"""),"Closed")</f>
        <v>Closed</v>
      </c>
      <c r="AZ226" s="339" t="str">
        <f>IFERROR(__xludf.DUMMYFUNCTION("""COMPUTED_VALUE"""),"Closed")</f>
        <v>Closed</v>
      </c>
      <c r="BA226" s="342" t="str">
        <f>IFERROR(__xludf.DUMMYFUNCTION("""COMPUTED_VALUE"""),"Closed")</f>
        <v>Closed</v>
      </c>
      <c r="BB226" s="341" t="str">
        <f>IFERROR(__xludf.DUMMYFUNCTION("""COMPUTED_VALUE"""),"Closed")</f>
        <v>Closed</v>
      </c>
      <c r="BC226" s="339" t="str">
        <f>IFERROR(__xludf.DUMMYFUNCTION("""COMPUTED_VALUE"""),"Closed")</f>
        <v>Closed</v>
      </c>
      <c r="BD226" s="342" t="str">
        <f>IFERROR(__xludf.DUMMYFUNCTION("""COMPUTED_VALUE"""),"Closed")</f>
        <v>Closed</v>
      </c>
      <c r="BE226" s="341" t="str">
        <f>IFERROR(__xludf.DUMMYFUNCTION("""COMPUTED_VALUE"""),"Closed")</f>
        <v>Closed</v>
      </c>
      <c r="BF226" s="339" t="str">
        <f>IFERROR(__xludf.DUMMYFUNCTION("""COMPUTED_VALUE"""),"Closed")</f>
        <v>Closed</v>
      </c>
      <c r="BG226" s="234" t="str">
        <f>IFERROR(__xludf.DUMMYFUNCTION("""COMPUTED_VALUE"""),"Closed")</f>
        <v>Closed</v>
      </c>
      <c r="BH226" s="341" t="str">
        <f>IFERROR(__xludf.DUMMYFUNCTION("""COMPUTED_VALUE"""),"Closed")</f>
        <v>Closed</v>
      </c>
      <c r="BI226" s="339" t="str">
        <f>IFERROR(__xludf.DUMMYFUNCTION("""COMPUTED_VALUE"""),"Closed")</f>
        <v>Closed</v>
      </c>
      <c r="BJ226" s="342" t="str">
        <f>IFERROR(__xludf.DUMMYFUNCTION("""COMPUTED_VALUE"""),"Closed")</f>
        <v>Closed</v>
      </c>
      <c r="BK226" s="341" t="str">
        <f>IFERROR(__xludf.DUMMYFUNCTION("""COMPUTED_VALUE"""),"Closed")</f>
        <v>Closed</v>
      </c>
      <c r="BL226" s="339" t="str">
        <f>IFERROR(__xludf.DUMMYFUNCTION("""COMPUTED_VALUE"""),"Closed")</f>
        <v>Closed</v>
      </c>
      <c r="BM226" s="342" t="str">
        <f>IFERROR(__xludf.DUMMYFUNCTION("""COMPUTED_VALUE"""),"Closed")</f>
        <v>Closed</v>
      </c>
      <c r="BN226" s="341" t="str">
        <f>IFERROR(__xludf.DUMMYFUNCTION("""COMPUTED_VALUE"""),"Closed")</f>
        <v>Closed</v>
      </c>
      <c r="BO226" s="339" t="str">
        <f>IFERROR(__xludf.DUMMYFUNCTION("""COMPUTED_VALUE"""),"Closed")</f>
        <v>Closed</v>
      </c>
      <c r="BP226" s="342" t="str">
        <f>IFERROR(__xludf.DUMMYFUNCTION("""COMPUTED_VALUE"""),"Closed")</f>
        <v>Closed</v>
      </c>
      <c r="BQ226" s="341" t="str">
        <f>IFERROR(__xludf.DUMMYFUNCTION("""COMPUTED_VALUE"""),"Closed")</f>
        <v>Closed</v>
      </c>
      <c r="BR226" s="339" t="str">
        <f>IFERROR(__xludf.DUMMYFUNCTION("""COMPUTED_VALUE"""),"Closed")</f>
        <v>Closed</v>
      </c>
      <c r="BS226" s="234" t="str">
        <f>IFERROR(__xludf.DUMMYFUNCTION("""COMPUTED_VALUE"""),"Closed")</f>
        <v>Closed</v>
      </c>
      <c r="BT226" s="341" t="str">
        <f>IFERROR(__xludf.DUMMYFUNCTION("""COMPUTED_VALUE"""),"Closed")</f>
        <v>Closed</v>
      </c>
      <c r="BU226" s="339" t="str">
        <f>IFERROR(__xludf.DUMMYFUNCTION("""COMPUTED_VALUE"""),"Closed")</f>
        <v>Closed</v>
      </c>
      <c r="BV226" s="342" t="str">
        <f>IFERROR(__xludf.DUMMYFUNCTION("""COMPUTED_VALUE"""),"Closed")</f>
        <v>Closed</v>
      </c>
      <c r="BW226" s="341" t="str">
        <f>IFERROR(__xludf.DUMMYFUNCTION("""COMPUTED_VALUE"""),"Closed")</f>
        <v>Closed</v>
      </c>
      <c r="BX226" s="339" t="str">
        <f>IFERROR(__xludf.DUMMYFUNCTION("""COMPUTED_VALUE"""),"Closed")</f>
        <v>Closed</v>
      </c>
      <c r="BY226" s="342" t="str">
        <f>IFERROR(__xludf.DUMMYFUNCTION("""COMPUTED_VALUE"""),"Closed")</f>
        <v>Closed</v>
      </c>
      <c r="BZ226" s="341" t="str">
        <f>IFERROR(__xludf.DUMMYFUNCTION("""COMPUTED_VALUE"""),"Closed")</f>
        <v>Closed</v>
      </c>
      <c r="CA226" s="339" t="str">
        <f>IFERROR(__xludf.DUMMYFUNCTION("""COMPUTED_VALUE"""),"Closed")</f>
        <v>Closed</v>
      </c>
      <c r="CB226" s="342" t="str">
        <f>IFERROR(__xludf.DUMMYFUNCTION("""COMPUTED_VALUE"""),"Closed")</f>
        <v>Closed</v>
      </c>
      <c r="CC226" s="341" t="str">
        <f>IFERROR(__xludf.DUMMYFUNCTION("""COMPUTED_VALUE"""),"Closed")</f>
        <v>Closed</v>
      </c>
      <c r="CD226" s="339" t="str">
        <f>IFERROR(__xludf.DUMMYFUNCTION("""COMPUTED_VALUE"""),"Closed")</f>
        <v>Closed</v>
      </c>
      <c r="CE226" s="342" t="str">
        <f>IFERROR(__xludf.DUMMYFUNCTION("""COMPUTED_VALUE"""),"Closed")</f>
        <v>Closed</v>
      </c>
      <c r="CF226" s="341" t="str">
        <f>IFERROR(__xludf.DUMMYFUNCTION("""COMPUTED_VALUE"""),"Closed")</f>
        <v>Closed</v>
      </c>
      <c r="CG226" s="339" t="str">
        <f>IFERROR(__xludf.DUMMYFUNCTION("""COMPUTED_VALUE"""),"Closed")</f>
        <v>Closed</v>
      </c>
      <c r="CH226" s="342" t="str">
        <f>IFERROR(__xludf.DUMMYFUNCTION("""COMPUTED_VALUE"""),"Closed")</f>
        <v>Closed</v>
      </c>
      <c r="CI226" s="341" t="str">
        <f>IFERROR(__xludf.DUMMYFUNCTION("""COMPUTED_VALUE"""),"Closed")</f>
        <v>Closed</v>
      </c>
      <c r="CJ226" s="341" t="str">
        <f>IFERROR(__xludf.DUMMYFUNCTION("""COMPUTED_VALUE"""),"Closed")</f>
        <v>Closed</v>
      </c>
      <c r="CK226" s="342" t="str">
        <f>IFERROR(__xludf.DUMMYFUNCTION("""COMPUTED_VALUE"""),"Closed")</f>
        <v>Closed</v>
      </c>
      <c r="CL226" s="341" t="str">
        <f>IFERROR(__xludf.DUMMYFUNCTION("""COMPUTED_VALUE"""),"Closed")</f>
        <v>Closed</v>
      </c>
      <c r="CM226" s="339" t="str">
        <f>IFERROR(__xludf.DUMMYFUNCTION("""COMPUTED_VALUE"""),"Closed")</f>
        <v>Closed</v>
      </c>
      <c r="CN226" s="341" t="str">
        <f>IFERROR(__xludf.DUMMYFUNCTION("""COMPUTED_VALUE"""),"Closed")</f>
        <v>Closed</v>
      </c>
      <c r="CO226" s="341" t="str">
        <f>IFERROR(__xludf.DUMMYFUNCTION("""COMPUTED_VALUE"""),"Closed")</f>
        <v>Closed</v>
      </c>
      <c r="CP226" s="341" t="str">
        <f>IFERROR(__xludf.DUMMYFUNCTION("""COMPUTED_VALUE"""),"Closed")</f>
        <v>Closed</v>
      </c>
      <c r="CQ226" s="342" t="str">
        <f>IFERROR(__xludf.DUMMYFUNCTION("""COMPUTED_VALUE"""),"Closed")</f>
        <v>Closed</v>
      </c>
      <c r="CR226" s="341" t="str">
        <f>IFERROR(__xludf.DUMMYFUNCTION("""COMPUTED_VALUE"""),"Closed")</f>
        <v>Closed</v>
      </c>
      <c r="CS226" s="341" t="str">
        <f>IFERROR(__xludf.DUMMYFUNCTION("""COMPUTED_VALUE"""),"Closed")</f>
        <v>Closed</v>
      </c>
      <c r="CT226" s="342" t="str">
        <f>IFERROR(__xludf.DUMMYFUNCTION("""COMPUTED_VALUE"""),"Closed")</f>
        <v>Closed</v>
      </c>
      <c r="CU226" s="341" t="str">
        <f>IFERROR(__xludf.DUMMYFUNCTION("""COMPUTED_VALUE"""),"Closed")</f>
        <v>Closed</v>
      </c>
      <c r="CV226" s="341" t="str">
        <f>IFERROR(__xludf.DUMMYFUNCTION("""COMPUTED_VALUE"""),"Closed")</f>
        <v>Closed</v>
      </c>
      <c r="CW226" s="342" t="str">
        <f>IFERROR(__xludf.DUMMYFUNCTION("""COMPUTED_VALUE"""),"Closed")</f>
        <v>Closed</v>
      </c>
      <c r="CX226" s="341" t="str">
        <f>IFERROR(__xludf.DUMMYFUNCTION("""COMPUTED_VALUE"""),"Closed")</f>
        <v>Closed</v>
      </c>
      <c r="CY226" s="339" t="str">
        <f>IFERROR(__xludf.DUMMYFUNCTION("""COMPUTED_VALUE"""),"Closed")</f>
        <v>Closed</v>
      </c>
      <c r="CZ226" s="341" t="str">
        <f>IFERROR(__xludf.DUMMYFUNCTION("""COMPUTED_VALUE"""),"Closed")</f>
        <v>Closed</v>
      </c>
      <c r="DA226" s="341" t="str">
        <f>IFERROR(__xludf.DUMMYFUNCTION("""COMPUTED_VALUE"""),"Closed")</f>
        <v>Closed</v>
      </c>
      <c r="DB226" s="339" t="str">
        <f>IFERROR(__xludf.DUMMYFUNCTION("""COMPUTED_VALUE"""),"Closed")</f>
        <v>Closed</v>
      </c>
      <c r="DC226" s="342" t="str">
        <f>IFERROR(__xludf.DUMMYFUNCTION("""COMPUTED_VALUE"""),"Closed")</f>
        <v>Closed</v>
      </c>
      <c r="DD226" s="341" t="str">
        <f>IFERROR(__xludf.DUMMYFUNCTION("""COMPUTED_VALUE"""),"Closed")</f>
        <v>Closed</v>
      </c>
      <c r="DE226" s="339" t="str">
        <f>IFERROR(__xludf.DUMMYFUNCTION("""COMPUTED_VALUE"""),"Closed")</f>
        <v>Closed</v>
      </c>
      <c r="DF226" s="342" t="str">
        <f>IFERROR(__xludf.DUMMYFUNCTION("""COMPUTED_VALUE"""),"Closed")</f>
        <v>Closed</v>
      </c>
      <c r="DG226" s="341" t="str">
        <f>IFERROR(__xludf.DUMMYFUNCTION("""COMPUTED_VALUE"""),"Closed")</f>
        <v>Closed</v>
      </c>
      <c r="DH226" s="339" t="str">
        <f>IFERROR(__xludf.DUMMYFUNCTION("""COMPUTED_VALUE"""),"Closed")</f>
        <v>Closed</v>
      </c>
      <c r="DI226" s="342" t="str">
        <f>IFERROR(__xludf.DUMMYFUNCTION("""COMPUTED_VALUE"""),"Closed")</f>
        <v>Closed</v>
      </c>
      <c r="DJ226" s="341" t="str">
        <f>IFERROR(__xludf.DUMMYFUNCTION("""COMPUTED_VALUE"""),"Closed")</f>
        <v>Closed</v>
      </c>
      <c r="DK226" s="339" t="str">
        <f>IFERROR(__xludf.DUMMYFUNCTION("""COMPUTED_VALUE"""),"Closed")</f>
        <v>Closed</v>
      </c>
      <c r="DL226" s="348" t="str">
        <f>IFERROR(__xludf.DUMMYFUNCTION("""COMPUTED_VALUE"""),"Closed")</f>
        <v>Closed</v>
      </c>
      <c r="DM226" s="349" t="str">
        <f>IFERROR(__xludf.DUMMYFUNCTION("""COMPUTED_VALUE"""),"Closed")</f>
        <v>Closed</v>
      </c>
      <c r="DN226" s="350" t="str">
        <f>IFERROR(__xludf.DUMMYFUNCTION("""COMPUTED_VALUE"""),"Closed")</f>
        <v>Closed</v>
      </c>
      <c r="DO226" s="351" t="str">
        <f>IFERROR(__xludf.DUMMYFUNCTION("""COMPUTED_VALUE"""),"Closed")</f>
        <v>Closed</v>
      </c>
      <c r="DP226" s="351" t="str">
        <f>IFERROR(__xludf.DUMMYFUNCTION("""COMPUTED_VALUE"""),"Closed")</f>
        <v>Closed</v>
      </c>
      <c r="DQ226" s="351" t="str">
        <f>IFERROR(__xludf.DUMMYFUNCTION("""COMPUTED_VALUE"""),"Closed")</f>
        <v>Closed</v>
      </c>
      <c r="DR226" s="351" t="str">
        <f>IFERROR(__xludf.DUMMYFUNCTION("""COMPUTED_VALUE"""),"Closed")</f>
        <v>Closed</v>
      </c>
      <c r="DS226" s="351" t="str">
        <f>IFERROR(__xludf.DUMMYFUNCTION("""COMPUTED_VALUE"""),"Closed")</f>
        <v>Closed</v>
      </c>
      <c r="DT226" s="351" t="str">
        <f>IFERROR(__xludf.DUMMYFUNCTION("""COMPUTED_VALUE"""),"Closed")</f>
        <v>Closed</v>
      </c>
      <c r="DU226" s="82"/>
    </row>
    <row r="227">
      <c r="B227" s="120" t="str">
        <f>IFERROR(__xludf.DUMMYFUNCTION("""COMPUTED_VALUE"""),"YKS10")</f>
        <v>YKS10</v>
      </c>
      <c r="C227" s="264" t="str">
        <f>IFERROR(__xludf.DUMMYFUNCTION("""COMPUTED_VALUE"""),"Eastern Flower Garden")</f>
        <v>Eastern Flower Garden</v>
      </c>
      <c r="D227" s="102">
        <f>IFERROR(__xludf.DUMMYFUNCTION("""COMPUTED_VALUE"""),21.0)</f>
        <v>21</v>
      </c>
      <c r="E227" s="82" t="b">
        <f>IFERROR(__xludf.DUMMYFUNCTION("""COMPUTED_VALUE"""),FALSE)</f>
        <v>0</v>
      </c>
      <c r="F227" s="82" t="str">
        <f>IFERROR(__xludf.DUMMYFUNCTION("""COMPUTED_VALUE"""),"Free Quests- Part 2!A598:J604")</f>
        <v>Free Quests- Part 2!A598:J604</v>
      </c>
      <c r="G227" s="266">
        <f>IFERROR(__xludf.DUMMYFUNCTION("""COMPUTED_VALUE"""),228.0)</f>
        <v>228</v>
      </c>
      <c r="H227" s="266" t="str">
        <f>IFERROR(__xludf.DUMMYFUNCTION("""COMPUTED_VALUE"""),"Closed")</f>
        <v>Closed</v>
      </c>
      <c r="I227" s="266">
        <f>IFERROR(__xludf.DUMMYFUNCTION("""COMPUTED_VALUE"""),6018.0)</f>
        <v>6018</v>
      </c>
      <c r="J227" s="266" t="str">
        <f>IFERROR(__xludf.DUMMYFUNCTION("""COMPUTED_VALUE"""),"Closed")</f>
        <v>Closed</v>
      </c>
      <c r="K227" s="234" t="str">
        <f>IFERROR(__xludf.DUMMYFUNCTION("""COMPUTED_VALUE"""),"Closed")</f>
        <v>Closed</v>
      </c>
      <c r="L227" s="341" t="str">
        <f>IFERROR(__xludf.DUMMYFUNCTION("""COMPUTED_VALUE"""),"Closed")</f>
        <v>Closed</v>
      </c>
      <c r="M227" s="339" t="str">
        <f>IFERROR(__xludf.DUMMYFUNCTION("""COMPUTED_VALUE"""),"Closed")</f>
        <v>Closed</v>
      </c>
      <c r="N227" s="342" t="str">
        <f>IFERROR(__xludf.DUMMYFUNCTION("""COMPUTED_VALUE"""),"Closed")</f>
        <v>Closed</v>
      </c>
      <c r="O227" s="341" t="str">
        <f>IFERROR(__xludf.DUMMYFUNCTION("""COMPUTED_VALUE"""),"Closed")</f>
        <v>Closed</v>
      </c>
      <c r="P227" s="339" t="str">
        <f>IFERROR(__xludf.DUMMYFUNCTION("""COMPUTED_VALUE"""),"Closed")</f>
        <v>Closed</v>
      </c>
      <c r="Q227" s="342" t="str">
        <f>IFERROR(__xludf.DUMMYFUNCTION("""COMPUTED_VALUE"""),"Closed")</f>
        <v>Closed</v>
      </c>
      <c r="R227" s="341" t="str">
        <f>IFERROR(__xludf.DUMMYFUNCTION("""COMPUTED_VALUE"""),"Closed")</f>
        <v>Closed</v>
      </c>
      <c r="S227" s="339" t="str">
        <f>IFERROR(__xludf.DUMMYFUNCTION("""COMPUTED_VALUE"""),"Closed")</f>
        <v>Closed</v>
      </c>
      <c r="T227" s="342" t="str">
        <f>IFERROR(__xludf.DUMMYFUNCTION("""COMPUTED_VALUE"""),"Closed")</f>
        <v>Closed</v>
      </c>
      <c r="U227" s="341" t="str">
        <f>IFERROR(__xludf.DUMMYFUNCTION("""COMPUTED_VALUE"""),"Closed")</f>
        <v>Closed</v>
      </c>
      <c r="V227" s="339" t="str">
        <f>IFERROR(__xludf.DUMMYFUNCTION("""COMPUTED_VALUE"""),"Closed")</f>
        <v>Closed</v>
      </c>
      <c r="W227" s="234" t="str">
        <f>IFERROR(__xludf.DUMMYFUNCTION("""COMPUTED_VALUE"""),"Closed")</f>
        <v>Closed</v>
      </c>
      <c r="X227" s="341" t="str">
        <f>IFERROR(__xludf.DUMMYFUNCTION("""COMPUTED_VALUE"""),"Closed")</f>
        <v>Closed</v>
      </c>
      <c r="Y227" s="339" t="str">
        <f>IFERROR(__xludf.DUMMYFUNCTION("""COMPUTED_VALUE"""),"Closed")</f>
        <v>Closed</v>
      </c>
      <c r="Z227" s="342" t="str">
        <f>IFERROR(__xludf.DUMMYFUNCTION("""COMPUTED_VALUE"""),"Closed")</f>
        <v>Closed</v>
      </c>
      <c r="AA227" s="341" t="str">
        <f>IFERROR(__xludf.DUMMYFUNCTION("""COMPUTED_VALUE"""),"Closed")</f>
        <v>Closed</v>
      </c>
      <c r="AB227" s="339" t="str">
        <f>IFERROR(__xludf.DUMMYFUNCTION("""COMPUTED_VALUE"""),"Closed")</f>
        <v>Closed</v>
      </c>
      <c r="AC227" s="342" t="str">
        <f>IFERROR(__xludf.DUMMYFUNCTION("""COMPUTED_VALUE"""),"Closed")</f>
        <v>Closed</v>
      </c>
      <c r="AD227" s="341" t="str">
        <f>IFERROR(__xludf.DUMMYFUNCTION("""COMPUTED_VALUE"""),"Closed")</f>
        <v>Closed</v>
      </c>
      <c r="AE227" s="339" t="str">
        <f>IFERROR(__xludf.DUMMYFUNCTION("""COMPUTED_VALUE"""),"Closed")</f>
        <v>Closed</v>
      </c>
      <c r="AF227" s="342" t="str">
        <f>IFERROR(__xludf.DUMMYFUNCTION("""COMPUTED_VALUE"""),"Closed")</f>
        <v>Closed</v>
      </c>
      <c r="AG227" s="341" t="str">
        <f>IFERROR(__xludf.DUMMYFUNCTION("""COMPUTED_VALUE"""),"Closed")</f>
        <v>Closed</v>
      </c>
      <c r="AH227" s="339" t="str">
        <f>IFERROR(__xludf.DUMMYFUNCTION("""COMPUTED_VALUE"""),"Closed")</f>
        <v>Closed</v>
      </c>
      <c r="AI227" s="234" t="str">
        <f>IFERROR(__xludf.DUMMYFUNCTION("""COMPUTED_VALUE"""),"Closed")</f>
        <v>Closed</v>
      </c>
      <c r="AJ227" s="341" t="str">
        <f>IFERROR(__xludf.DUMMYFUNCTION("""COMPUTED_VALUE"""),"Closed")</f>
        <v>Closed</v>
      </c>
      <c r="AK227" s="339" t="str">
        <f>IFERROR(__xludf.DUMMYFUNCTION("""COMPUTED_VALUE"""),"Closed")</f>
        <v>Closed</v>
      </c>
      <c r="AL227" s="340" t="str">
        <f>IFERROR(__xludf.DUMMYFUNCTION("""COMPUTED_VALUE"""),"Closed")</f>
        <v>Closed</v>
      </c>
      <c r="AM227" s="341" t="str">
        <f>IFERROR(__xludf.DUMMYFUNCTION("""COMPUTED_VALUE"""),"Closed")</f>
        <v>Closed</v>
      </c>
      <c r="AN227" s="339" t="str">
        <f>IFERROR(__xludf.DUMMYFUNCTION("""COMPUTED_VALUE"""),"Closed")</f>
        <v>Closed</v>
      </c>
      <c r="AO227" s="342" t="str">
        <f>IFERROR(__xludf.DUMMYFUNCTION("""COMPUTED_VALUE"""),"Closed")</f>
        <v>Closed</v>
      </c>
      <c r="AP227" s="341" t="str">
        <f>IFERROR(__xludf.DUMMYFUNCTION("""COMPUTED_VALUE"""),"Closed")</f>
        <v>Closed</v>
      </c>
      <c r="AQ227" s="339" t="str">
        <f>IFERROR(__xludf.DUMMYFUNCTION("""COMPUTED_VALUE"""),"Closed")</f>
        <v>Closed</v>
      </c>
      <c r="AR227" s="342" t="str">
        <f>IFERROR(__xludf.DUMMYFUNCTION("""COMPUTED_VALUE"""),"Closed")</f>
        <v>Closed</v>
      </c>
      <c r="AS227" s="341" t="str">
        <f>IFERROR(__xludf.DUMMYFUNCTION("""COMPUTED_VALUE"""),"Closed")</f>
        <v>Closed</v>
      </c>
      <c r="AT227" s="339" t="str">
        <f>IFERROR(__xludf.DUMMYFUNCTION("""COMPUTED_VALUE"""),"Closed")</f>
        <v>Closed</v>
      </c>
      <c r="AU227" s="234" t="str">
        <f>IFERROR(__xludf.DUMMYFUNCTION("""COMPUTED_VALUE"""),"Closed")</f>
        <v>Closed</v>
      </c>
      <c r="AV227" s="341" t="str">
        <f>IFERROR(__xludf.DUMMYFUNCTION("""COMPUTED_VALUE"""),"Closed")</f>
        <v>Closed</v>
      </c>
      <c r="AW227" s="339" t="str">
        <f>IFERROR(__xludf.DUMMYFUNCTION("""COMPUTED_VALUE"""),"Closed")</f>
        <v>Closed</v>
      </c>
      <c r="AX227" s="342" t="str">
        <f>IFERROR(__xludf.DUMMYFUNCTION("""COMPUTED_VALUE"""),"Closed")</f>
        <v>Closed</v>
      </c>
      <c r="AY227" s="341" t="str">
        <f>IFERROR(__xludf.DUMMYFUNCTION("""COMPUTED_VALUE"""),"Closed")</f>
        <v>Closed</v>
      </c>
      <c r="AZ227" s="339" t="str">
        <f>IFERROR(__xludf.DUMMYFUNCTION("""COMPUTED_VALUE"""),"Closed")</f>
        <v>Closed</v>
      </c>
      <c r="BA227" s="342" t="str">
        <f>IFERROR(__xludf.DUMMYFUNCTION("""COMPUTED_VALUE"""),"Closed")</f>
        <v>Closed</v>
      </c>
      <c r="BB227" s="341" t="str">
        <f>IFERROR(__xludf.DUMMYFUNCTION("""COMPUTED_VALUE"""),"Closed")</f>
        <v>Closed</v>
      </c>
      <c r="BC227" s="339" t="str">
        <f>IFERROR(__xludf.DUMMYFUNCTION("""COMPUTED_VALUE"""),"Closed")</f>
        <v>Closed</v>
      </c>
      <c r="BD227" s="342" t="str">
        <f>IFERROR(__xludf.DUMMYFUNCTION("""COMPUTED_VALUE"""),"Closed")</f>
        <v>Closed</v>
      </c>
      <c r="BE227" s="341" t="str">
        <f>IFERROR(__xludf.DUMMYFUNCTION("""COMPUTED_VALUE"""),"Closed")</f>
        <v>Closed</v>
      </c>
      <c r="BF227" s="339" t="str">
        <f>IFERROR(__xludf.DUMMYFUNCTION("""COMPUTED_VALUE"""),"Closed")</f>
        <v>Closed</v>
      </c>
      <c r="BG227" s="234" t="str">
        <f>IFERROR(__xludf.DUMMYFUNCTION("""COMPUTED_VALUE"""),"Closed")</f>
        <v>Closed</v>
      </c>
      <c r="BH227" s="341" t="str">
        <f>IFERROR(__xludf.DUMMYFUNCTION("""COMPUTED_VALUE"""),"Closed")</f>
        <v>Closed</v>
      </c>
      <c r="BI227" s="339" t="str">
        <f>IFERROR(__xludf.DUMMYFUNCTION("""COMPUTED_VALUE"""),"Closed")</f>
        <v>Closed</v>
      </c>
      <c r="BJ227" s="342" t="str">
        <f>IFERROR(__xludf.DUMMYFUNCTION("""COMPUTED_VALUE"""),"Closed")</f>
        <v>Closed</v>
      </c>
      <c r="BK227" s="341" t="str">
        <f>IFERROR(__xludf.DUMMYFUNCTION("""COMPUTED_VALUE"""),"Closed")</f>
        <v>Closed</v>
      </c>
      <c r="BL227" s="339" t="str">
        <f>IFERROR(__xludf.DUMMYFUNCTION("""COMPUTED_VALUE"""),"Closed")</f>
        <v>Closed</v>
      </c>
      <c r="BM227" s="342" t="str">
        <f>IFERROR(__xludf.DUMMYFUNCTION("""COMPUTED_VALUE"""),"Closed")</f>
        <v>Closed</v>
      </c>
      <c r="BN227" s="341" t="str">
        <f>IFERROR(__xludf.DUMMYFUNCTION("""COMPUTED_VALUE"""),"Closed")</f>
        <v>Closed</v>
      </c>
      <c r="BO227" s="339" t="str">
        <f>IFERROR(__xludf.DUMMYFUNCTION("""COMPUTED_VALUE"""),"Closed")</f>
        <v>Closed</v>
      </c>
      <c r="BP227" s="342" t="str">
        <f>IFERROR(__xludf.DUMMYFUNCTION("""COMPUTED_VALUE"""),"Closed")</f>
        <v>Closed</v>
      </c>
      <c r="BQ227" s="341" t="str">
        <f>IFERROR(__xludf.DUMMYFUNCTION("""COMPUTED_VALUE"""),"Closed")</f>
        <v>Closed</v>
      </c>
      <c r="BR227" s="339" t="str">
        <f>IFERROR(__xludf.DUMMYFUNCTION("""COMPUTED_VALUE"""),"Closed")</f>
        <v>Closed</v>
      </c>
      <c r="BS227" s="234" t="str">
        <f>IFERROR(__xludf.DUMMYFUNCTION("""COMPUTED_VALUE"""),"Closed")</f>
        <v>Closed</v>
      </c>
      <c r="BT227" s="341" t="str">
        <f>IFERROR(__xludf.DUMMYFUNCTION("""COMPUTED_VALUE"""),"Closed")</f>
        <v>Closed</v>
      </c>
      <c r="BU227" s="339" t="str">
        <f>IFERROR(__xludf.DUMMYFUNCTION("""COMPUTED_VALUE"""),"Closed")</f>
        <v>Closed</v>
      </c>
      <c r="BV227" s="342" t="str">
        <f>IFERROR(__xludf.DUMMYFUNCTION("""COMPUTED_VALUE"""),"Closed")</f>
        <v>Closed</v>
      </c>
      <c r="BW227" s="341" t="str">
        <f>IFERROR(__xludf.DUMMYFUNCTION("""COMPUTED_VALUE"""),"Closed")</f>
        <v>Closed</v>
      </c>
      <c r="BX227" s="339" t="str">
        <f>IFERROR(__xludf.DUMMYFUNCTION("""COMPUTED_VALUE"""),"Closed")</f>
        <v>Closed</v>
      </c>
      <c r="BY227" s="342" t="str">
        <f>IFERROR(__xludf.DUMMYFUNCTION("""COMPUTED_VALUE"""),"Closed")</f>
        <v>Closed</v>
      </c>
      <c r="BZ227" s="341" t="str">
        <f>IFERROR(__xludf.DUMMYFUNCTION("""COMPUTED_VALUE"""),"Closed")</f>
        <v>Closed</v>
      </c>
      <c r="CA227" s="339" t="str">
        <f>IFERROR(__xludf.DUMMYFUNCTION("""COMPUTED_VALUE"""),"Closed")</f>
        <v>Closed</v>
      </c>
      <c r="CB227" s="342" t="str">
        <f>IFERROR(__xludf.DUMMYFUNCTION("""COMPUTED_VALUE"""),"Closed")</f>
        <v>Closed</v>
      </c>
      <c r="CC227" s="341" t="str">
        <f>IFERROR(__xludf.DUMMYFUNCTION("""COMPUTED_VALUE"""),"Closed")</f>
        <v>Closed</v>
      </c>
      <c r="CD227" s="339" t="str">
        <f>IFERROR(__xludf.DUMMYFUNCTION("""COMPUTED_VALUE"""),"Closed")</f>
        <v>Closed</v>
      </c>
      <c r="CE227" s="342" t="str">
        <f>IFERROR(__xludf.DUMMYFUNCTION("""COMPUTED_VALUE"""),"Closed")</f>
        <v>Closed</v>
      </c>
      <c r="CF227" s="341" t="str">
        <f>IFERROR(__xludf.DUMMYFUNCTION("""COMPUTED_VALUE"""),"Closed")</f>
        <v>Closed</v>
      </c>
      <c r="CG227" s="339" t="str">
        <f>IFERROR(__xludf.DUMMYFUNCTION("""COMPUTED_VALUE"""),"Closed")</f>
        <v>Closed</v>
      </c>
      <c r="CH227" s="342" t="str">
        <f>IFERROR(__xludf.DUMMYFUNCTION("""COMPUTED_VALUE"""),"Closed")</f>
        <v>Closed</v>
      </c>
      <c r="CI227" s="341" t="str">
        <f>IFERROR(__xludf.DUMMYFUNCTION("""COMPUTED_VALUE"""),"Closed")</f>
        <v>Closed</v>
      </c>
      <c r="CJ227" s="341" t="str">
        <f>IFERROR(__xludf.DUMMYFUNCTION("""COMPUTED_VALUE"""),"Closed")</f>
        <v>Closed</v>
      </c>
      <c r="CK227" s="342" t="str">
        <f>IFERROR(__xludf.DUMMYFUNCTION("""COMPUTED_VALUE"""),"Closed")</f>
        <v>Closed</v>
      </c>
      <c r="CL227" s="341" t="str">
        <f>IFERROR(__xludf.DUMMYFUNCTION("""COMPUTED_VALUE"""),"Closed")</f>
        <v>Closed</v>
      </c>
      <c r="CM227" s="339" t="str">
        <f>IFERROR(__xludf.DUMMYFUNCTION("""COMPUTED_VALUE"""),"Closed")</f>
        <v>Closed</v>
      </c>
      <c r="CN227" s="341" t="str">
        <f>IFERROR(__xludf.DUMMYFUNCTION("""COMPUTED_VALUE"""),"Closed")</f>
        <v>Closed</v>
      </c>
      <c r="CO227" s="341" t="str">
        <f>IFERROR(__xludf.DUMMYFUNCTION("""COMPUTED_VALUE"""),"Closed")</f>
        <v>Closed</v>
      </c>
      <c r="CP227" s="341" t="str">
        <f>IFERROR(__xludf.DUMMYFUNCTION("""COMPUTED_VALUE"""),"Closed")</f>
        <v>Closed</v>
      </c>
      <c r="CQ227" s="342" t="str">
        <f>IFERROR(__xludf.DUMMYFUNCTION("""COMPUTED_VALUE"""),"Closed")</f>
        <v>Closed</v>
      </c>
      <c r="CR227" s="341" t="str">
        <f>IFERROR(__xludf.DUMMYFUNCTION("""COMPUTED_VALUE"""),"Closed")</f>
        <v>Closed</v>
      </c>
      <c r="CS227" s="341" t="str">
        <f>IFERROR(__xludf.DUMMYFUNCTION("""COMPUTED_VALUE"""),"Closed")</f>
        <v>Closed</v>
      </c>
      <c r="CT227" s="342" t="str">
        <f>IFERROR(__xludf.DUMMYFUNCTION("""COMPUTED_VALUE"""),"Closed")</f>
        <v>Closed</v>
      </c>
      <c r="CU227" s="341" t="str">
        <f>IFERROR(__xludf.DUMMYFUNCTION("""COMPUTED_VALUE"""),"Closed")</f>
        <v>Closed</v>
      </c>
      <c r="CV227" s="341" t="str">
        <f>IFERROR(__xludf.DUMMYFUNCTION("""COMPUTED_VALUE"""),"Closed")</f>
        <v>Closed</v>
      </c>
      <c r="CW227" s="342" t="str">
        <f>IFERROR(__xludf.DUMMYFUNCTION("""COMPUTED_VALUE"""),"Closed")</f>
        <v>Closed</v>
      </c>
      <c r="CX227" s="341" t="str">
        <f>IFERROR(__xludf.DUMMYFUNCTION("""COMPUTED_VALUE"""),"Closed")</f>
        <v>Closed</v>
      </c>
      <c r="CY227" s="339" t="str">
        <f>IFERROR(__xludf.DUMMYFUNCTION("""COMPUTED_VALUE"""),"Closed")</f>
        <v>Closed</v>
      </c>
      <c r="CZ227" s="341" t="str">
        <f>IFERROR(__xludf.DUMMYFUNCTION("""COMPUTED_VALUE"""),"Closed")</f>
        <v>Closed</v>
      </c>
      <c r="DA227" s="341" t="str">
        <f>IFERROR(__xludf.DUMMYFUNCTION("""COMPUTED_VALUE"""),"Closed")</f>
        <v>Closed</v>
      </c>
      <c r="DB227" s="339" t="str">
        <f>IFERROR(__xludf.DUMMYFUNCTION("""COMPUTED_VALUE"""),"Closed")</f>
        <v>Closed</v>
      </c>
      <c r="DC227" s="342" t="str">
        <f>IFERROR(__xludf.DUMMYFUNCTION("""COMPUTED_VALUE"""),"Closed")</f>
        <v>Closed</v>
      </c>
      <c r="DD227" s="341" t="str">
        <f>IFERROR(__xludf.DUMMYFUNCTION("""COMPUTED_VALUE"""),"Closed")</f>
        <v>Closed</v>
      </c>
      <c r="DE227" s="339" t="str">
        <f>IFERROR(__xludf.DUMMYFUNCTION("""COMPUTED_VALUE"""),"Closed")</f>
        <v>Closed</v>
      </c>
      <c r="DF227" s="342" t="str">
        <f>IFERROR(__xludf.DUMMYFUNCTION("""COMPUTED_VALUE"""),"Closed")</f>
        <v>Closed</v>
      </c>
      <c r="DG227" s="341" t="str">
        <f>IFERROR(__xludf.DUMMYFUNCTION("""COMPUTED_VALUE"""),"Closed")</f>
        <v>Closed</v>
      </c>
      <c r="DH227" s="339" t="str">
        <f>IFERROR(__xludf.DUMMYFUNCTION("""COMPUTED_VALUE"""),"Closed")</f>
        <v>Closed</v>
      </c>
      <c r="DI227" s="342" t="str">
        <f>IFERROR(__xludf.DUMMYFUNCTION("""COMPUTED_VALUE"""),"Closed")</f>
        <v>Closed</v>
      </c>
      <c r="DJ227" s="341" t="str">
        <f>IFERROR(__xludf.DUMMYFUNCTION("""COMPUTED_VALUE"""),"Closed")</f>
        <v>Closed</v>
      </c>
      <c r="DK227" s="339" t="str">
        <f>IFERROR(__xludf.DUMMYFUNCTION("""COMPUTED_VALUE"""),"Closed")</f>
        <v>Closed</v>
      </c>
      <c r="DL227" s="348" t="str">
        <f>IFERROR(__xludf.DUMMYFUNCTION("""COMPUTED_VALUE"""),"Closed")</f>
        <v>Closed</v>
      </c>
      <c r="DM227" s="349" t="str">
        <f>IFERROR(__xludf.DUMMYFUNCTION("""COMPUTED_VALUE"""),"Closed")</f>
        <v>Closed</v>
      </c>
      <c r="DN227" s="350" t="str">
        <f>IFERROR(__xludf.DUMMYFUNCTION("""COMPUTED_VALUE"""),"Closed")</f>
        <v>Closed</v>
      </c>
      <c r="DO227" s="351" t="str">
        <f>IFERROR(__xludf.DUMMYFUNCTION("""COMPUTED_VALUE"""),"Closed")</f>
        <v>Closed</v>
      </c>
      <c r="DP227" s="351" t="str">
        <f>IFERROR(__xludf.DUMMYFUNCTION("""COMPUTED_VALUE"""),"Closed")</f>
        <v>Closed</v>
      </c>
      <c r="DQ227" s="351" t="str">
        <f>IFERROR(__xludf.DUMMYFUNCTION("""COMPUTED_VALUE"""),"Closed")</f>
        <v>Closed</v>
      </c>
      <c r="DR227" s="351" t="str">
        <f>IFERROR(__xludf.DUMMYFUNCTION("""COMPUTED_VALUE"""),"Closed")</f>
        <v>Closed</v>
      </c>
      <c r="DS227" s="351" t="str">
        <f>IFERROR(__xludf.DUMMYFUNCTION("""COMPUTED_VALUE"""),"Closed")</f>
        <v>Closed</v>
      </c>
      <c r="DT227" s="351" t="str">
        <f>IFERROR(__xludf.DUMMYFUNCTION("""COMPUTED_VALUE"""),"Closed")</f>
        <v>Closed</v>
      </c>
      <c r="DU227" s="82"/>
    </row>
    <row r="228" hidden="1">
      <c r="A228" s="188" t="str">
        <f>IFERROR(__xludf.DUMMYFUNCTION("""COMPUTED_VALUE"""),"ATLANTIS")</f>
        <v>ATLANTIS</v>
      </c>
      <c r="B228" s="189" t="str">
        <f>IFERROR(__xludf.DUMMYFUNCTION("""COMPUTED_VALUE"""),"ATL1")</f>
        <v>ATL1</v>
      </c>
      <c r="C228" s="352" t="str">
        <f>IFERROR(__xludf.DUMMYFUNCTION("""COMPUTED_VALUE"""),"Sailing Point")</f>
        <v>Sailing Point</v>
      </c>
      <c r="D228" s="240">
        <f>IFERROR(__xludf.DUMMYFUNCTION("""COMPUTED_VALUE"""),21.0)</f>
        <v>21</v>
      </c>
      <c r="E228" s="190" t="b">
        <f>IFERROR(__xludf.DUMMYFUNCTION("""COMPUTED_VALUE"""),FALSE)</f>
        <v>0</v>
      </c>
      <c r="F228" s="190" t="str">
        <f>IFERROR(__xludf.DUMMYFUNCTION("""COMPUTED_VALUE"""),"Free Quests- Part 2!A610:J619")</f>
        <v>Free Quests- Part 2!A610:J619</v>
      </c>
      <c r="G228" s="190">
        <f>IFERROR(__xludf.DUMMYFUNCTION("""COMPUTED_VALUE"""),229.0)</f>
        <v>229</v>
      </c>
      <c r="H228" s="190" t="str">
        <f>IFERROR(__xludf.DUMMYFUNCTION("""COMPUTED_VALUE"""),"Closed")</f>
        <v>Closed</v>
      </c>
      <c r="I228" s="190">
        <f>IFERROR(__xludf.DUMMYFUNCTION("""COMPUTED_VALUE"""),53983.0)</f>
        <v>53983</v>
      </c>
      <c r="J228" s="190" t="str">
        <f>IFERROR(__xludf.DUMMYFUNCTION("""COMPUTED_VALUE"""),"Closed")</f>
        <v>Closed</v>
      </c>
      <c r="K228" s="244" t="str">
        <f>IFERROR(__xludf.DUMMYFUNCTION("""COMPUTED_VALUE"""),"Closed")</f>
        <v>Closed</v>
      </c>
      <c r="L228" s="353" t="str">
        <f>IFERROR(__xludf.DUMMYFUNCTION("""COMPUTED_VALUE"""),"Closed")</f>
        <v>Closed</v>
      </c>
      <c r="M228" s="354" t="str">
        <f>IFERROR(__xludf.DUMMYFUNCTION("""COMPUTED_VALUE"""),"Closed")</f>
        <v>Closed</v>
      </c>
      <c r="N228" s="355" t="str">
        <f>IFERROR(__xludf.DUMMYFUNCTION("""COMPUTED_VALUE"""),"Closed")</f>
        <v>Closed</v>
      </c>
      <c r="O228" s="353" t="str">
        <f>IFERROR(__xludf.DUMMYFUNCTION("""COMPUTED_VALUE"""),"Closed")</f>
        <v>Closed</v>
      </c>
      <c r="P228" s="354" t="str">
        <f>IFERROR(__xludf.DUMMYFUNCTION("""COMPUTED_VALUE"""),"Closed")</f>
        <v>Closed</v>
      </c>
      <c r="Q228" s="355" t="str">
        <f>IFERROR(__xludf.DUMMYFUNCTION("""COMPUTED_VALUE"""),"Closed")</f>
        <v>Closed</v>
      </c>
      <c r="R228" s="353" t="str">
        <f>IFERROR(__xludf.DUMMYFUNCTION("""COMPUTED_VALUE"""),"Closed")</f>
        <v>Closed</v>
      </c>
      <c r="S228" s="354" t="str">
        <f>IFERROR(__xludf.DUMMYFUNCTION("""COMPUTED_VALUE"""),"Closed")</f>
        <v>Closed</v>
      </c>
      <c r="T228" s="355" t="str">
        <f>IFERROR(__xludf.DUMMYFUNCTION("""COMPUTED_VALUE"""),"Closed")</f>
        <v>Closed</v>
      </c>
      <c r="U228" s="353" t="str">
        <f>IFERROR(__xludf.DUMMYFUNCTION("""COMPUTED_VALUE"""),"Closed")</f>
        <v>Closed</v>
      </c>
      <c r="V228" s="354" t="str">
        <f>IFERROR(__xludf.DUMMYFUNCTION("""COMPUTED_VALUE"""),"Closed")</f>
        <v>Closed</v>
      </c>
      <c r="W228" s="244" t="str">
        <f>IFERROR(__xludf.DUMMYFUNCTION("""COMPUTED_VALUE"""),"Closed")</f>
        <v>Closed</v>
      </c>
      <c r="X228" s="353" t="str">
        <f>IFERROR(__xludf.DUMMYFUNCTION("""COMPUTED_VALUE"""),"Closed")</f>
        <v>Closed</v>
      </c>
      <c r="Y228" s="354" t="str">
        <f>IFERROR(__xludf.DUMMYFUNCTION("""COMPUTED_VALUE"""),"Closed")</f>
        <v>Closed</v>
      </c>
      <c r="Z228" s="355" t="str">
        <f>IFERROR(__xludf.DUMMYFUNCTION("""COMPUTED_VALUE"""),"Closed")</f>
        <v>Closed</v>
      </c>
      <c r="AA228" s="353" t="str">
        <f>IFERROR(__xludf.DUMMYFUNCTION("""COMPUTED_VALUE"""),"Closed")</f>
        <v>Closed</v>
      </c>
      <c r="AB228" s="354" t="str">
        <f>IFERROR(__xludf.DUMMYFUNCTION("""COMPUTED_VALUE"""),"Closed")</f>
        <v>Closed</v>
      </c>
      <c r="AC228" s="355" t="str">
        <f>IFERROR(__xludf.DUMMYFUNCTION("""COMPUTED_VALUE"""),"Closed")</f>
        <v>Closed</v>
      </c>
      <c r="AD228" s="353" t="str">
        <f>IFERROR(__xludf.DUMMYFUNCTION("""COMPUTED_VALUE"""),"Closed")</f>
        <v>Closed</v>
      </c>
      <c r="AE228" s="354" t="str">
        <f>IFERROR(__xludf.DUMMYFUNCTION("""COMPUTED_VALUE"""),"Closed")</f>
        <v>Closed</v>
      </c>
      <c r="AF228" s="355" t="str">
        <f>IFERROR(__xludf.DUMMYFUNCTION("""COMPUTED_VALUE"""),"Closed")</f>
        <v>Closed</v>
      </c>
      <c r="AG228" s="353" t="str">
        <f>IFERROR(__xludf.DUMMYFUNCTION("""COMPUTED_VALUE"""),"Closed")</f>
        <v>Closed</v>
      </c>
      <c r="AH228" s="354" t="str">
        <f>IFERROR(__xludf.DUMMYFUNCTION("""COMPUTED_VALUE"""),"Closed")</f>
        <v>Closed</v>
      </c>
      <c r="AI228" s="244" t="str">
        <f>IFERROR(__xludf.DUMMYFUNCTION("""COMPUTED_VALUE"""),"Closed")</f>
        <v>Closed</v>
      </c>
      <c r="AJ228" s="353" t="str">
        <f>IFERROR(__xludf.DUMMYFUNCTION("""COMPUTED_VALUE"""),"Closed")</f>
        <v>Closed</v>
      </c>
      <c r="AK228" s="354" t="str">
        <f>IFERROR(__xludf.DUMMYFUNCTION("""COMPUTED_VALUE"""),"Closed")</f>
        <v>Closed</v>
      </c>
      <c r="AL228" s="356" t="str">
        <f>IFERROR(__xludf.DUMMYFUNCTION("""COMPUTED_VALUE"""),"Closed")</f>
        <v>Closed</v>
      </c>
      <c r="AM228" s="357" t="str">
        <f>IFERROR(__xludf.DUMMYFUNCTION("""COMPUTED_VALUE"""),"Closed")</f>
        <v>Closed</v>
      </c>
      <c r="AN228" s="354" t="str">
        <f>IFERROR(__xludf.DUMMYFUNCTION("""COMPUTED_VALUE"""),"Closed")</f>
        <v>Closed</v>
      </c>
      <c r="AO228" s="355" t="str">
        <f>IFERROR(__xludf.DUMMYFUNCTION("""COMPUTED_VALUE"""),"Closed")</f>
        <v>Closed</v>
      </c>
      <c r="AP228" s="353" t="str">
        <f>IFERROR(__xludf.DUMMYFUNCTION("""COMPUTED_VALUE"""),"Closed")</f>
        <v>Closed</v>
      </c>
      <c r="AQ228" s="354" t="str">
        <f>IFERROR(__xludf.DUMMYFUNCTION("""COMPUTED_VALUE"""),"Closed")</f>
        <v>Closed</v>
      </c>
      <c r="AR228" s="355" t="str">
        <f>IFERROR(__xludf.DUMMYFUNCTION("""COMPUTED_VALUE"""),"Closed")</f>
        <v>Closed</v>
      </c>
      <c r="AS228" s="353" t="str">
        <f>IFERROR(__xludf.DUMMYFUNCTION("""COMPUTED_VALUE"""),"Closed")</f>
        <v>Closed</v>
      </c>
      <c r="AT228" s="354" t="str">
        <f>IFERROR(__xludf.DUMMYFUNCTION("""COMPUTED_VALUE"""),"Closed")</f>
        <v>Closed</v>
      </c>
      <c r="AU228" s="244" t="str">
        <f>IFERROR(__xludf.DUMMYFUNCTION("""COMPUTED_VALUE"""),"Closed")</f>
        <v>Closed</v>
      </c>
      <c r="AV228" s="353" t="str">
        <f>IFERROR(__xludf.DUMMYFUNCTION("""COMPUTED_VALUE"""),"Closed")</f>
        <v>Closed</v>
      </c>
      <c r="AW228" s="354" t="str">
        <f>IFERROR(__xludf.DUMMYFUNCTION("""COMPUTED_VALUE"""),"Closed")</f>
        <v>Closed</v>
      </c>
      <c r="AX228" s="355" t="str">
        <f>IFERROR(__xludf.DUMMYFUNCTION("""COMPUTED_VALUE"""),"Closed")</f>
        <v>Closed</v>
      </c>
      <c r="AY228" s="353" t="str">
        <f>IFERROR(__xludf.DUMMYFUNCTION("""COMPUTED_VALUE"""),"Closed")</f>
        <v>Closed</v>
      </c>
      <c r="AZ228" s="354" t="str">
        <f>IFERROR(__xludf.DUMMYFUNCTION("""COMPUTED_VALUE"""),"Closed")</f>
        <v>Closed</v>
      </c>
      <c r="BA228" s="355" t="str">
        <f>IFERROR(__xludf.DUMMYFUNCTION("""COMPUTED_VALUE"""),"Closed")</f>
        <v>Closed</v>
      </c>
      <c r="BB228" s="353" t="str">
        <f>IFERROR(__xludf.DUMMYFUNCTION("""COMPUTED_VALUE"""),"Closed")</f>
        <v>Closed</v>
      </c>
      <c r="BC228" s="354" t="str">
        <f>IFERROR(__xludf.DUMMYFUNCTION("""COMPUTED_VALUE"""),"Closed")</f>
        <v>Closed</v>
      </c>
      <c r="BD228" s="355" t="str">
        <f>IFERROR(__xludf.DUMMYFUNCTION("""COMPUTED_VALUE"""),"Closed")</f>
        <v>Closed</v>
      </c>
      <c r="BE228" s="353" t="str">
        <f>IFERROR(__xludf.DUMMYFUNCTION("""COMPUTED_VALUE"""),"Closed")</f>
        <v>Closed</v>
      </c>
      <c r="BF228" s="354" t="str">
        <f>IFERROR(__xludf.DUMMYFUNCTION("""COMPUTED_VALUE"""),"Closed")</f>
        <v>Closed</v>
      </c>
      <c r="BG228" s="244" t="str">
        <f>IFERROR(__xludf.DUMMYFUNCTION("""COMPUTED_VALUE"""),"Closed")</f>
        <v>Closed</v>
      </c>
      <c r="BH228" s="353" t="str">
        <f>IFERROR(__xludf.DUMMYFUNCTION("""COMPUTED_VALUE"""),"Closed")</f>
        <v>Closed</v>
      </c>
      <c r="BI228" s="354" t="str">
        <f>IFERROR(__xludf.DUMMYFUNCTION("""COMPUTED_VALUE"""),"Closed")</f>
        <v>Closed</v>
      </c>
      <c r="BJ228" s="355" t="str">
        <f>IFERROR(__xludf.DUMMYFUNCTION("""COMPUTED_VALUE"""),"Closed")</f>
        <v>Closed</v>
      </c>
      <c r="BK228" s="353" t="str">
        <f>IFERROR(__xludf.DUMMYFUNCTION("""COMPUTED_VALUE"""),"Closed")</f>
        <v>Closed</v>
      </c>
      <c r="BL228" s="354" t="str">
        <f>IFERROR(__xludf.DUMMYFUNCTION("""COMPUTED_VALUE"""),"Closed")</f>
        <v>Closed</v>
      </c>
      <c r="BM228" s="355" t="str">
        <f>IFERROR(__xludf.DUMMYFUNCTION("""COMPUTED_VALUE"""),"Closed")</f>
        <v>Closed</v>
      </c>
      <c r="BN228" s="353" t="str">
        <f>IFERROR(__xludf.DUMMYFUNCTION("""COMPUTED_VALUE"""),"Closed")</f>
        <v>Closed</v>
      </c>
      <c r="BO228" s="354" t="str">
        <f>IFERROR(__xludf.DUMMYFUNCTION("""COMPUTED_VALUE"""),"Closed")</f>
        <v>Closed</v>
      </c>
      <c r="BP228" s="355" t="str">
        <f>IFERROR(__xludf.DUMMYFUNCTION("""COMPUTED_VALUE"""),"Closed")</f>
        <v>Closed</v>
      </c>
      <c r="BQ228" s="353" t="str">
        <f>IFERROR(__xludf.DUMMYFUNCTION("""COMPUTED_VALUE"""),"Closed")</f>
        <v>Closed</v>
      </c>
      <c r="BR228" s="354" t="str">
        <f>IFERROR(__xludf.DUMMYFUNCTION("""COMPUTED_VALUE"""),"Closed")</f>
        <v>Closed</v>
      </c>
      <c r="BS228" s="244" t="str">
        <f>IFERROR(__xludf.DUMMYFUNCTION("""COMPUTED_VALUE"""),"Closed")</f>
        <v>Closed</v>
      </c>
      <c r="BT228" s="353" t="str">
        <f>IFERROR(__xludf.DUMMYFUNCTION("""COMPUTED_VALUE"""),"Closed")</f>
        <v>Closed</v>
      </c>
      <c r="BU228" s="354" t="str">
        <f>IFERROR(__xludf.DUMMYFUNCTION("""COMPUTED_VALUE"""),"Closed")</f>
        <v>Closed</v>
      </c>
      <c r="BV228" s="355" t="str">
        <f>IFERROR(__xludf.DUMMYFUNCTION("""COMPUTED_VALUE"""),"Closed")</f>
        <v>Closed</v>
      </c>
      <c r="BW228" s="353" t="str">
        <f>IFERROR(__xludf.DUMMYFUNCTION("""COMPUTED_VALUE"""),"Closed")</f>
        <v>Closed</v>
      </c>
      <c r="BX228" s="354" t="str">
        <f>IFERROR(__xludf.DUMMYFUNCTION("""COMPUTED_VALUE"""),"Closed")</f>
        <v>Closed</v>
      </c>
      <c r="BY228" s="355" t="str">
        <f>IFERROR(__xludf.DUMMYFUNCTION("""COMPUTED_VALUE"""),"Closed")</f>
        <v>Closed</v>
      </c>
      <c r="BZ228" s="353" t="str">
        <f>IFERROR(__xludf.DUMMYFUNCTION("""COMPUTED_VALUE"""),"Closed")</f>
        <v>Closed</v>
      </c>
      <c r="CA228" s="354" t="str">
        <f>IFERROR(__xludf.DUMMYFUNCTION("""COMPUTED_VALUE"""),"Closed")</f>
        <v>Closed</v>
      </c>
      <c r="CB228" s="355" t="str">
        <f>IFERROR(__xludf.DUMMYFUNCTION("""COMPUTED_VALUE"""),"Closed")</f>
        <v>Closed</v>
      </c>
      <c r="CC228" s="353" t="str">
        <f>IFERROR(__xludf.DUMMYFUNCTION("""COMPUTED_VALUE"""),"Closed")</f>
        <v>Closed</v>
      </c>
      <c r="CD228" s="354" t="str">
        <f>IFERROR(__xludf.DUMMYFUNCTION("""COMPUTED_VALUE"""),"Closed")</f>
        <v>Closed</v>
      </c>
      <c r="CE228" s="355" t="str">
        <f>IFERROR(__xludf.DUMMYFUNCTION("""COMPUTED_VALUE"""),"Closed")</f>
        <v>Closed</v>
      </c>
      <c r="CF228" s="353" t="str">
        <f>IFERROR(__xludf.DUMMYFUNCTION("""COMPUTED_VALUE"""),"Closed")</f>
        <v>Closed</v>
      </c>
      <c r="CG228" s="354" t="str">
        <f>IFERROR(__xludf.DUMMYFUNCTION("""COMPUTED_VALUE"""),"Closed")</f>
        <v>Closed</v>
      </c>
      <c r="CH228" s="355" t="str">
        <f>IFERROR(__xludf.DUMMYFUNCTION("""COMPUTED_VALUE"""),"Closed")</f>
        <v>Closed</v>
      </c>
      <c r="CI228" s="353" t="str">
        <f>IFERROR(__xludf.DUMMYFUNCTION("""COMPUTED_VALUE"""),"Closed")</f>
        <v>Closed</v>
      </c>
      <c r="CJ228" s="353" t="str">
        <f>IFERROR(__xludf.DUMMYFUNCTION("""COMPUTED_VALUE"""),"Closed")</f>
        <v>Closed</v>
      </c>
      <c r="CK228" s="355" t="str">
        <f>IFERROR(__xludf.DUMMYFUNCTION("""COMPUTED_VALUE"""),"Closed")</f>
        <v>Closed</v>
      </c>
      <c r="CL228" s="353" t="str">
        <f>IFERROR(__xludf.DUMMYFUNCTION("""COMPUTED_VALUE"""),"Closed")</f>
        <v>Closed</v>
      </c>
      <c r="CM228" s="354" t="str">
        <f>IFERROR(__xludf.DUMMYFUNCTION("""COMPUTED_VALUE"""),"Closed")</f>
        <v>Closed</v>
      </c>
      <c r="CN228" s="353" t="str">
        <f>IFERROR(__xludf.DUMMYFUNCTION("""COMPUTED_VALUE"""),"Closed")</f>
        <v>Closed</v>
      </c>
      <c r="CO228" s="353" t="str">
        <f>IFERROR(__xludf.DUMMYFUNCTION("""COMPUTED_VALUE"""),"Closed")</f>
        <v>Closed</v>
      </c>
      <c r="CP228" s="353" t="str">
        <f>IFERROR(__xludf.DUMMYFUNCTION("""COMPUTED_VALUE"""),"Closed")</f>
        <v>Closed</v>
      </c>
      <c r="CQ228" s="355" t="str">
        <f>IFERROR(__xludf.DUMMYFUNCTION("""COMPUTED_VALUE"""),"Closed")</f>
        <v>Closed</v>
      </c>
      <c r="CR228" s="353" t="str">
        <f>IFERROR(__xludf.DUMMYFUNCTION("""COMPUTED_VALUE"""),"Closed")</f>
        <v>Closed</v>
      </c>
      <c r="CS228" s="353" t="str">
        <f>IFERROR(__xludf.DUMMYFUNCTION("""COMPUTED_VALUE"""),"Closed")</f>
        <v>Closed</v>
      </c>
      <c r="CT228" s="355" t="str">
        <f>IFERROR(__xludf.DUMMYFUNCTION("""COMPUTED_VALUE"""),"Closed")</f>
        <v>Closed</v>
      </c>
      <c r="CU228" s="353" t="str">
        <f>IFERROR(__xludf.DUMMYFUNCTION("""COMPUTED_VALUE"""),"Closed")</f>
        <v>Closed</v>
      </c>
      <c r="CV228" s="353" t="str">
        <f>IFERROR(__xludf.DUMMYFUNCTION("""COMPUTED_VALUE"""),"Closed")</f>
        <v>Closed</v>
      </c>
      <c r="CW228" s="355" t="str">
        <f>IFERROR(__xludf.DUMMYFUNCTION("""COMPUTED_VALUE"""),"Closed")</f>
        <v>Closed</v>
      </c>
      <c r="CX228" s="353" t="str">
        <f>IFERROR(__xludf.DUMMYFUNCTION("""COMPUTED_VALUE"""),"Closed")</f>
        <v>Closed</v>
      </c>
      <c r="CY228" s="354" t="str">
        <f>IFERROR(__xludf.DUMMYFUNCTION("""COMPUTED_VALUE"""),"Closed")</f>
        <v>Closed</v>
      </c>
      <c r="CZ228" s="353" t="str">
        <f>IFERROR(__xludf.DUMMYFUNCTION("""COMPUTED_VALUE"""),"Closed")</f>
        <v>Closed</v>
      </c>
      <c r="DA228" s="353" t="str">
        <f>IFERROR(__xludf.DUMMYFUNCTION("""COMPUTED_VALUE"""),"Closed")</f>
        <v>Closed</v>
      </c>
      <c r="DB228" s="354" t="str">
        <f>IFERROR(__xludf.DUMMYFUNCTION("""COMPUTED_VALUE"""),"Closed")</f>
        <v>Closed</v>
      </c>
      <c r="DC228" s="355" t="str">
        <f>IFERROR(__xludf.DUMMYFUNCTION("""COMPUTED_VALUE"""),"Closed")</f>
        <v>Closed</v>
      </c>
      <c r="DD228" s="353" t="str">
        <f>IFERROR(__xludf.DUMMYFUNCTION("""COMPUTED_VALUE"""),"Closed")</f>
        <v>Closed</v>
      </c>
      <c r="DE228" s="354" t="str">
        <f>IFERROR(__xludf.DUMMYFUNCTION("""COMPUTED_VALUE"""),"Closed")</f>
        <v>Closed</v>
      </c>
      <c r="DF228" s="355" t="str">
        <f>IFERROR(__xludf.DUMMYFUNCTION("""COMPUTED_VALUE"""),"Closed")</f>
        <v>Closed</v>
      </c>
      <c r="DG228" s="353" t="str">
        <f>IFERROR(__xludf.DUMMYFUNCTION("""COMPUTED_VALUE"""),"Closed")</f>
        <v>Closed</v>
      </c>
      <c r="DH228" s="354" t="str">
        <f>IFERROR(__xludf.DUMMYFUNCTION("""COMPUTED_VALUE"""),"Closed")</f>
        <v>Closed</v>
      </c>
      <c r="DI228" s="355" t="str">
        <f>IFERROR(__xludf.DUMMYFUNCTION("""COMPUTED_VALUE"""),"Closed")</f>
        <v>Closed</v>
      </c>
      <c r="DJ228" s="353" t="str">
        <f>IFERROR(__xludf.DUMMYFUNCTION("""COMPUTED_VALUE"""),"Closed")</f>
        <v>Closed</v>
      </c>
      <c r="DK228" s="354" t="str">
        <f>IFERROR(__xludf.DUMMYFUNCTION("""COMPUTED_VALUE"""),"Closed")</f>
        <v>Closed</v>
      </c>
      <c r="DL228" s="353" t="str">
        <f>IFERROR(__xludf.DUMMYFUNCTION("""COMPUTED_VALUE"""),"Closed")</f>
        <v>Closed</v>
      </c>
      <c r="DM228" s="353" t="str">
        <f>IFERROR(__xludf.DUMMYFUNCTION("""COMPUTED_VALUE"""),"Closed")</f>
        <v>Closed</v>
      </c>
      <c r="DN228" s="353" t="str">
        <f>IFERROR(__xludf.DUMMYFUNCTION("""COMPUTED_VALUE"""),"Closed")</f>
        <v>Closed</v>
      </c>
      <c r="DO228" s="353" t="str">
        <f>IFERROR(__xludf.DUMMYFUNCTION("""COMPUTED_VALUE"""),"Closed")</f>
        <v>Closed</v>
      </c>
      <c r="DP228" s="353" t="str">
        <f>IFERROR(__xludf.DUMMYFUNCTION("""COMPUTED_VALUE"""),"Closed")</f>
        <v>Closed</v>
      </c>
      <c r="DQ228" s="353" t="str">
        <f>IFERROR(__xludf.DUMMYFUNCTION("""COMPUTED_VALUE"""),"Closed")</f>
        <v>Closed</v>
      </c>
      <c r="DR228" s="353" t="str">
        <f>IFERROR(__xludf.DUMMYFUNCTION("""COMPUTED_VALUE"""),"Closed")</f>
        <v>Closed</v>
      </c>
      <c r="DS228" s="353" t="str">
        <f>IFERROR(__xludf.DUMMYFUNCTION("""COMPUTED_VALUE"""),"Closed")</f>
        <v>Closed</v>
      </c>
      <c r="DT228" s="353" t="str">
        <f>IFERROR(__xludf.DUMMYFUNCTION("""COMPUTED_VALUE"""),"Closed")</f>
        <v>Closed</v>
      </c>
      <c r="DU228" s="190"/>
    </row>
    <row r="229" hidden="1">
      <c r="B229" s="201" t="str">
        <f>IFERROR(__xludf.DUMMYFUNCTION("""COMPUTED_VALUE"""),"ATL2")</f>
        <v>ATL2</v>
      </c>
      <c r="C229" s="358" t="str">
        <f>IFERROR(__xludf.DUMMYFUNCTION("""COMPUTED_VALUE"""),"Hestia Island")</f>
        <v>Hestia Island</v>
      </c>
      <c r="D229" s="248">
        <f>IFERROR(__xludf.DUMMYFUNCTION("""COMPUTED_VALUE"""),21.0)</f>
        <v>21</v>
      </c>
      <c r="E229" s="68" t="b">
        <f>IFERROR(__xludf.DUMMYFUNCTION("""COMPUTED_VALUE"""),FALSE)</f>
        <v>0</v>
      </c>
      <c r="F229" s="68" t="str">
        <f>IFERROR(__xludf.DUMMYFUNCTION("""COMPUTED_VALUE"""),"Free Quests- Part 2!A623:J633")</f>
        <v>Free Quests- Part 2!A623:J633</v>
      </c>
      <c r="G229" s="68">
        <f>IFERROR(__xludf.DUMMYFUNCTION("""COMPUTED_VALUE"""),230.0)</f>
        <v>230</v>
      </c>
      <c r="H229" s="68" t="str">
        <f>IFERROR(__xludf.DUMMYFUNCTION("""COMPUTED_VALUE"""),"Closed")</f>
        <v>Closed</v>
      </c>
      <c r="I229" s="68">
        <f>IFERROR(__xludf.DUMMYFUNCTION("""COMPUTED_VALUE"""),3235.0)</f>
        <v>3235</v>
      </c>
      <c r="J229" s="68" t="str">
        <f>IFERROR(__xludf.DUMMYFUNCTION("""COMPUTED_VALUE"""),"Closed")</f>
        <v>Closed</v>
      </c>
      <c r="K229" s="252" t="str">
        <f>IFERROR(__xludf.DUMMYFUNCTION("""COMPUTED_VALUE"""),"Closed")</f>
        <v>Closed</v>
      </c>
      <c r="L229" s="359" t="str">
        <f>IFERROR(__xludf.DUMMYFUNCTION("""COMPUTED_VALUE"""),"Closed")</f>
        <v>Closed</v>
      </c>
      <c r="M229" s="360" t="str">
        <f>IFERROR(__xludf.DUMMYFUNCTION("""COMPUTED_VALUE"""),"Closed")</f>
        <v>Closed</v>
      </c>
      <c r="N229" s="361" t="str">
        <f>IFERROR(__xludf.DUMMYFUNCTION("""COMPUTED_VALUE"""),"Closed")</f>
        <v>Closed</v>
      </c>
      <c r="O229" s="359" t="str">
        <f>IFERROR(__xludf.DUMMYFUNCTION("""COMPUTED_VALUE"""),"Closed")</f>
        <v>Closed</v>
      </c>
      <c r="P229" s="360" t="str">
        <f>IFERROR(__xludf.DUMMYFUNCTION("""COMPUTED_VALUE"""),"Closed")</f>
        <v>Closed</v>
      </c>
      <c r="Q229" s="361" t="str">
        <f>IFERROR(__xludf.DUMMYFUNCTION("""COMPUTED_VALUE"""),"Closed")</f>
        <v>Closed</v>
      </c>
      <c r="R229" s="359" t="str">
        <f>IFERROR(__xludf.DUMMYFUNCTION("""COMPUTED_VALUE"""),"Closed")</f>
        <v>Closed</v>
      </c>
      <c r="S229" s="360" t="str">
        <f>IFERROR(__xludf.DUMMYFUNCTION("""COMPUTED_VALUE"""),"Closed")</f>
        <v>Closed</v>
      </c>
      <c r="T229" s="361" t="str">
        <f>IFERROR(__xludf.DUMMYFUNCTION("""COMPUTED_VALUE"""),"Closed")</f>
        <v>Closed</v>
      </c>
      <c r="U229" s="359" t="str">
        <f>IFERROR(__xludf.DUMMYFUNCTION("""COMPUTED_VALUE"""),"Closed")</f>
        <v>Closed</v>
      </c>
      <c r="V229" s="360" t="str">
        <f>IFERROR(__xludf.DUMMYFUNCTION("""COMPUTED_VALUE"""),"Closed")</f>
        <v>Closed</v>
      </c>
      <c r="W229" s="252" t="str">
        <f>IFERROR(__xludf.DUMMYFUNCTION("""COMPUTED_VALUE"""),"Closed")</f>
        <v>Closed</v>
      </c>
      <c r="X229" s="359" t="str">
        <f>IFERROR(__xludf.DUMMYFUNCTION("""COMPUTED_VALUE"""),"Closed")</f>
        <v>Closed</v>
      </c>
      <c r="Y229" s="360" t="str">
        <f>IFERROR(__xludf.DUMMYFUNCTION("""COMPUTED_VALUE"""),"Closed")</f>
        <v>Closed</v>
      </c>
      <c r="Z229" s="361" t="str">
        <f>IFERROR(__xludf.DUMMYFUNCTION("""COMPUTED_VALUE"""),"Closed")</f>
        <v>Closed</v>
      </c>
      <c r="AA229" s="359" t="str">
        <f>IFERROR(__xludf.DUMMYFUNCTION("""COMPUTED_VALUE"""),"Closed")</f>
        <v>Closed</v>
      </c>
      <c r="AB229" s="360" t="str">
        <f>IFERROR(__xludf.DUMMYFUNCTION("""COMPUTED_VALUE"""),"Closed")</f>
        <v>Closed</v>
      </c>
      <c r="AC229" s="361" t="str">
        <f>IFERROR(__xludf.DUMMYFUNCTION("""COMPUTED_VALUE"""),"Closed")</f>
        <v>Closed</v>
      </c>
      <c r="AD229" s="359" t="str">
        <f>IFERROR(__xludf.DUMMYFUNCTION("""COMPUTED_VALUE"""),"Closed")</f>
        <v>Closed</v>
      </c>
      <c r="AE229" s="360" t="str">
        <f>IFERROR(__xludf.DUMMYFUNCTION("""COMPUTED_VALUE"""),"Closed")</f>
        <v>Closed</v>
      </c>
      <c r="AF229" s="361" t="str">
        <f>IFERROR(__xludf.DUMMYFUNCTION("""COMPUTED_VALUE"""),"Closed")</f>
        <v>Closed</v>
      </c>
      <c r="AG229" s="359" t="str">
        <f>IFERROR(__xludf.DUMMYFUNCTION("""COMPUTED_VALUE"""),"Closed")</f>
        <v>Closed</v>
      </c>
      <c r="AH229" s="360" t="str">
        <f>IFERROR(__xludf.DUMMYFUNCTION("""COMPUTED_VALUE"""),"Closed")</f>
        <v>Closed</v>
      </c>
      <c r="AI229" s="252" t="str">
        <f>IFERROR(__xludf.DUMMYFUNCTION("""COMPUTED_VALUE"""),"Closed")</f>
        <v>Closed</v>
      </c>
      <c r="AJ229" s="359" t="str">
        <f>IFERROR(__xludf.DUMMYFUNCTION("""COMPUTED_VALUE"""),"Closed")</f>
        <v>Closed</v>
      </c>
      <c r="AK229" s="360" t="str">
        <f>IFERROR(__xludf.DUMMYFUNCTION("""COMPUTED_VALUE"""),"Closed")</f>
        <v>Closed</v>
      </c>
      <c r="AL229" s="362" t="str">
        <f>IFERROR(__xludf.DUMMYFUNCTION("""COMPUTED_VALUE"""),"Closed")</f>
        <v>Closed</v>
      </c>
      <c r="AM229" s="363" t="str">
        <f>IFERROR(__xludf.DUMMYFUNCTION("""COMPUTED_VALUE"""),"Closed")</f>
        <v>Closed</v>
      </c>
      <c r="AN229" s="360" t="str">
        <f>IFERROR(__xludf.DUMMYFUNCTION("""COMPUTED_VALUE"""),"Closed")</f>
        <v>Closed</v>
      </c>
      <c r="AO229" s="361" t="str">
        <f>IFERROR(__xludf.DUMMYFUNCTION("""COMPUTED_VALUE"""),"Closed")</f>
        <v>Closed</v>
      </c>
      <c r="AP229" s="359" t="str">
        <f>IFERROR(__xludf.DUMMYFUNCTION("""COMPUTED_VALUE"""),"Closed")</f>
        <v>Closed</v>
      </c>
      <c r="AQ229" s="360" t="str">
        <f>IFERROR(__xludf.DUMMYFUNCTION("""COMPUTED_VALUE"""),"Closed")</f>
        <v>Closed</v>
      </c>
      <c r="AR229" s="361" t="str">
        <f>IFERROR(__xludf.DUMMYFUNCTION("""COMPUTED_VALUE"""),"Closed")</f>
        <v>Closed</v>
      </c>
      <c r="AS229" s="359" t="str">
        <f>IFERROR(__xludf.DUMMYFUNCTION("""COMPUTED_VALUE"""),"Closed")</f>
        <v>Closed</v>
      </c>
      <c r="AT229" s="360" t="str">
        <f>IFERROR(__xludf.DUMMYFUNCTION("""COMPUTED_VALUE"""),"Closed")</f>
        <v>Closed</v>
      </c>
      <c r="AU229" s="252" t="str">
        <f>IFERROR(__xludf.DUMMYFUNCTION("""COMPUTED_VALUE"""),"Closed")</f>
        <v>Closed</v>
      </c>
      <c r="AV229" s="359" t="str">
        <f>IFERROR(__xludf.DUMMYFUNCTION("""COMPUTED_VALUE"""),"Closed")</f>
        <v>Closed</v>
      </c>
      <c r="AW229" s="360" t="str">
        <f>IFERROR(__xludf.DUMMYFUNCTION("""COMPUTED_VALUE"""),"Closed")</f>
        <v>Closed</v>
      </c>
      <c r="AX229" s="361" t="str">
        <f>IFERROR(__xludf.DUMMYFUNCTION("""COMPUTED_VALUE"""),"Closed")</f>
        <v>Closed</v>
      </c>
      <c r="AY229" s="359" t="str">
        <f>IFERROR(__xludf.DUMMYFUNCTION("""COMPUTED_VALUE"""),"Closed")</f>
        <v>Closed</v>
      </c>
      <c r="AZ229" s="360" t="str">
        <f>IFERROR(__xludf.DUMMYFUNCTION("""COMPUTED_VALUE"""),"Closed")</f>
        <v>Closed</v>
      </c>
      <c r="BA229" s="361" t="str">
        <f>IFERROR(__xludf.DUMMYFUNCTION("""COMPUTED_VALUE"""),"Closed")</f>
        <v>Closed</v>
      </c>
      <c r="BB229" s="359" t="str">
        <f>IFERROR(__xludf.DUMMYFUNCTION("""COMPUTED_VALUE"""),"Closed")</f>
        <v>Closed</v>
      </c>
      <c r="BC229" s="360" t="str">
        <f>IFERROR(__xludf.DUMMYFUNCTION("""COMPUTED_VALUE"""),"Closed")</f>
        <v>Closed</v>
      </c>
      <c r="BD229" s="361" t="str">
        <f>IFERROR(__xludf.DUMMYFUNCTION("""COMPUTED_VALUE"""),"Closed")</f>
        <v>Closed</v>
      </c>
      <c r="BE229" s="359" t="str">
        <f>IFERROR(__xludf.DUMMYFUNCTION("""COMPUTED_VALUE"""),"Closed")</f>
        <v>Closed</v>
      </c>
      <c r="BF229" s="360" t="str">
        <f>IFERROR(__xludf.DUMMYFUNCTION("""COMPUTED_VALUE"""),"Closed")</f>
        <v>Closed</v>
      </c>
      <c r="BG229" s="252" t="str">
        <f>IFERROR(__xludf.DUMMYFUNCTION("""COMPUTED_VALUE"""),"Closed")</f>
        <v>Closed</v>
      </c>
      <c r="BH229" s="359" t="str">
        <f>IFERROR(__xludf.DUMMYFUNCTION("""COMPUTED_VALUE"""),"Closed")</f>
        <v>Closed</v>
      </c>
      <c r="BI229" s="360" t="str">
        <f>IFERROR(__xludf.DUMMYFUNCTION("""COMPUTED_VALUE"""),"Closed")</f>
        <v>Closed</v>
      </c>
      <c r="BJ229" s="361" t="str">
        <f>IFERROR(__xludf.DUMMYFUNCTION("""COMPUTED_VALUE"""),"Closed")</f>
        <v>Closed</v>
      </c>
      <c r="BK229" s="359" t="str">
        <f>IFERROR(__xludf.DUMMYFUNCTION("""COMPUTED_VALUE"""),"Closed")</f>
        <v>Closed</v>
      </c>
      <c r="BL229" s="360" t="str">
        <f>IFERROR(__xludf.DUMMYFUNCTION("""COMPUTED_VALUE"""),"Closed")</f>
        <v>Closed</v>
      </c>
      <c r="BM229" s="361" t="str">
        <f>IFERROR(__xludf.DUMMYFUNCTION("""COMPUTED_VALUE"""),"Closed")</f>
        <v>Closed</v>
      </c>
      <c r="BN229" s="359" t="str">
        <f>IFERROR(__xludf.DUMMYFUNCTION("""COMPUTED_VALUE"""),"Closed")</f>
        <v>Closed</v>
      </c>
      <c r="BO229" s="360" t="str">
        <f>IFERROR(__xludf.DUMMYFUNCTION("""COMPUTED_VALUE"""),"Closed")</f>
        <v>Closed</v>
      </c>
      <c r="BP229" s="361" t="str">
        <f>IFERROR(__xludf.DUMMYFUNCTION("""COMPUTED_VALUE"""),"Closed")</f>
        <v>Closed</v>
      </c>
      <c r="BQ229" s="359" t="str">
        <f>IFERROR(__xludf.DUMMYFUNCTION("""COMPUTED_VALUE"""),"Closed")</f>
        <v>Closed</v>
      </c>
      <c r="BR229" s="360" t="str">
        <f>IFERROR(__xludf.DUMMYFUNCTION("""COMPUTED_VALUE"""),"Closed")</f>
        <v>Closed</v>
      </c>
      <c r="BS229" s="252" t="str">
        <f>IFERROR(__xludf.DUMMYFUNCTION("""COMPUTED_VALUE"""),"Closed")</f>
        <v>Closed</v>
      </c>
      <c r="BT229" s="359" t="str">
        <f>IFERROR(__xludf.DUMMYFUNCTION("""COMPUTED_VALUE"""),"Closed")</f>
        <v>Closed</v>
      </c>
      <c r="BU229" s="360" t="str">
        <f>IFERROR(__xludf.DUMMYFUNCTION("""COMPUTED_VALUE"""),"Closed")</f>
        <v>Closed</v>
      </c>
      <c r="BV229" s="361" t="str">
        <f>IFERROR(__xludf.DUMMYFUNCTION("""COMPUTED_VALUE"""),"Closed")</f>
        <v>Closed</v>
      </c>
      <c r="BW229" s="359" t="str">
        <f>IFERROR(__xludf.DUMMYFUNCTION("""COMPUTED_VALUE"""),"Closed")</f>
        <v>Closed</v>
      </c>
      <c r="BX229" s="360" t="str">
        <f>IFERROR(__xludf.DUMMYFUNCTION("""COMPUTED_VALUE"""),"Closed")</f>
        <v>Closed</v>
      </c>
      <c r="BY229" s="361" t="str">
        <f>IFERROR(__xludf.DUMMYFUNCTION("""COMPUTED_VALUE"""),"Closed")</f>
        <v>Closed</v>
      </c>
      <c r="BZ229" s="359" t="str">
        <f>IFERROR(__xludf.DUMMYFUNCTION("""COMPUTED_VALUE"""),"Closed")</f>
        <v>Closed</v>
      </c>
      <c r="CA229" s="360" t="str">
        <f>IFERROR(__xludf.DUMMYFUNCTION("""COMPUTED_VALUE"""),"Closed")</f>
        <v>Closed</v>
      </c>
      <c r="CB229" s="361" t="str">
        <f>IFERROR(__xludf.DUMMYFUNCTION("""COMPUTED_VALUE"""),"Closed")</f>
        <v>Closed</v>
      </c>
      <c r="CC229" s="359" t="str">
        <f>IFERROR(__xludf.DUMMYFUNCTION("""COMPUTED_VALUE"""),"Closed")</f>
        <v>Closed</v>
      </c>
      <c r="CD229" s="360" t="str">
        <f>IFERROR(__xludf.DUMMYFUNCTION("""COMPUTED_VALUE"""),"Closed")</f>
        <v>Closed</v>
      </c>
      <c r="CE229" s="361" t="str">
        <f>IFERROR(__xludf.DUMMYFUNCTION("""COMPUTED_VALUE"""),"Closed")</f>
        <v>Closed</v>
      </c>
      <c r="CF229" s="359" t="str">
        <f>IFERROR(__xludf.DUMMYFUNCTION("""COMPUTED_VALUE"""),"Closed")</f>
        <v>Closed</v>
      </c>
      <c r="CG229" s="360" t="str">
        <f>IFERROR(__xludf.DUMMYFUNCTION("""COMPUTED_VALUE"""),"Closed")</f>
        <v>Closed</v>
      </c>
      <c r="CH229" s="361" t="str">
        <f>IFERROR(__xludf.DUMMYFUNCTION("""COMPUTED_VALUE"""),"Closed")</f>
        <v>Closed</v>
      </c>
      <c r="CI229" s="359" t="str">
        <f>IFERROR(__xludf.DUMMYFUNCTION("""COMPUTED_VALUE"""),"Closed")</f>
        <v>Closed</v>
      </c>
      <c r="CJ229" s="359" t="str">
        <f>IFERROR(__xludf.DUMMYFUNCTION("""COMPUTED_VALUE"""),"Closed")</f>
        <v>Closed</v>
      </c>
      <c r="CK229" s="361" t="str">
        <f>IFERROR(__xludf.DUMMYFUNCTION("""COMPUTED_VALUE"""),"Closed")</f>
        <v>Closed</v>
      </c>
      <c r="CL229" s="359" t="str">
        <f>IFERROR(__xludf.DUMMYFUNCTION("""COMPUTED_VALUE"""),"Closed")</f>
        <v>Closed</v>
      </c>
      <c r="CM229" s="360" t="str">
        <f>IFERROR(__xludf.DUMMYFUNCTION("""COMPUTED_VALUE"""),"Closed")</f>
        <v>Closed</v>
      </c>
      <c r="CN229" s="359" t="str">
        <f>IFERROR(__xludf.DUMMYFUNCTION("""COMPUTED_VALUE"""),"Closed")</f>
        <v>Closed</v>
      </c>
      <c r="CO229" s="359" t="str">
        <f>IFERROR(__xludf.DUMMYFUNCTION("""COMPUTED_VALUE"""),"Closed")</f>
        <v>Closed</v>
      </c>
      <c r="CP229" s="359" t="str">
        <f>IFERROR(__xludf.DUMMYFUNCTION("""COMPUTED_VALUE"""),"Closed")</f>
        <v>Closed</v>
      </c>
      <c r="CQ229" s="361" t="str">
        <f>IFERROR(__xludf.DUMMYFUNCTION("""COMPUTED_VALUE"""),"Closed")</f>
        <v>Closed</v>
      </c>
      <c r="CR229" s="359" t="str">
        <f>IFERROR(__xludf.DUMMYFUNCTION("""COMPUTED_VALUE"""),"Closed")</f>
        <v>Closed</v>
      </c>
      <c r="CS229" s="359" t="str">
        <f>IFERROR(__xludf.DUMMYFUNCTION("""COMPUTED_VALUE"""),"Closed")</f>
        <v>Closed</v>
      </c>
      <c r="CT229" s="361" t="str">
        <f>IFERROR(__xludf.DUMMYFUNCTION("""COMPUTED_VALUE"""),"Closed")</f>
        <v>Closed</v>
      </c>
      <c r="CU229" s="359" t="str">
        <f>IFERROR(__xludf.DUMMYFUNCTION("""COMPUTED_VALUE"""),"Closed")</f>
        <v>Closed</v>
      </c>
      <c r="CV229" s="359" t="str">
        <f>IFERROR(__xludf.DUMMYFUNCTION("""COMPUTED_VALUE"""),"Closed")</f>
        <v>Closed</v>
      </c>
      <c r="CW229" s="361" t="str">
        <f>IFERROR(__xludf.DUMMYFUNCTION("""COMPUTED_VALUE"""),"Closed")</f>
        <v>Closed</v>
      </c>
      <c r="CX229" s="359" t="str">
        <f>IFERROR(__xludf.DUMMYFUNCTION("""COMPUTED_VALUE"""),"Closed")</f>
        <v>Closed</v>
      </c>
      <c r="CY229" s="360" t="str">
        <f>IFERROR(__xludf.DUMMYFUNCTION("""COMPUTED_VALUE"""),"Closed")</f>
        <v>Closed</v>
      </c>
      <c r="CZ229" s="359" t="str">
        <f>IFERROR(__xludf.DUMMYFUNCTION("""COMPUTED_VALUE"""),"Closed")</f>
        <v>Closed</v>
      </c>
      <c r="DA229" s="359" t="str">
        <f>IFERROR(__xludf.DUMMYFUNCTION("""COMPUTED_VALUE"""),"Closed")</f>
        <v>Closed</v>
      </c>
      <c r="DB229" s="360" t="str">
        <f>IFERROR(__xludf.DUMMYFUNCTION("""COMPUTED_VALUE"""),"Closed")</f>
        <v>Closed</v>
      </c>
      <c r="DC229" s="361" t="str">
        <f>IFERROR(__xludf.DUMMYFUNCTION("""COMPUTED_VALUE"""),"Closed")</f>
        <v>Closed</v>
      </c>
      <c r="DD229" s="359" t="str">
        <f>IFERROR(__xludf.DUMMYFUNCTION("""COMPUTED_VALUE"""),"Closed")</f>
        <v>Closed</v>
      </c>
      <c r="DE229" s="360" t="str">
        <f>IFERROR(__xludf.DUMMYFUNCTION("""COMPUTED_VALUE"""),"Closed")</f>
        <v>Closed</v>
      </c>
      <c r="DF229" s="361" t="str">
        <f>IFERROR(__xludf.DUMMYFUNCTION("""COMPUTED_VALUE"""),"Closed")</f>
        <v>Closed</v>
      </c>
      <c r="DG229" s="359" t="str">
        <f>IFERROR(__xludf.DUMMYFUNCTION("""COMPUTED_VALUE"""),"Closed")</f>
        <v>Closed</v>
      </c>
      <c r="DH229" s="360" t="str">
        <f>IFERROR(__xludf.DUMMYFUNCTION("""COMPUTED_VALUE"""),"Closed")</f>
        <v>Closed</v>
      </c>
      <c r="DI229" s="361" t="str">
        <f>IFERROR(__xludf.DUMMYFUNCTION("""COMPUTED_VALUE"""),"Closed")</f>
        <v>Closed</v>
      </c>
      <c r="DJ229" s="359" t="str">
        <f>IFERROR(__xludf.DUMMYFUNCTION("""COMPUTED_VALUE"""),"Closed")</f>
        <v>Closed</v>
      </c>
      <c r="DK229" s="360" t="str">
        <f>IFERROR(__xludf.DUMMYFUNCTION("""COMPUTED_VALUE"""),"Closed")</f>
        <v>Closed</v>
      </c>
      <c r="DL229" s="359" t="str">
        <f>IFERROR(__xludf.DUMMYFUNCTION("""COMPUTED_VALUE"""),"Closed")</f>
        <v>Closed</v>
      </c>
      <c r="DM229" s="359" t="str">
        <f>IFERROR(__xludf.DUMMYFUNCTION("""COMPUTED_VALUE"""),"Closed")</f>
        <v>Closed</v>
      </c>
      <c r="DN229" s="359" t="str">
        <f>IFERROR(__xludf.DUMMYFUNCTION("""COMPUTED_VALUE"""),"Closed")</f>
        <v>Closed</v>
      </c>
      <c r="DO229" s="359" t="str">
        <f>IFERROR(__xludf.DUMMYFUNCTION("""COMPUTED_VALUE"""),"Closed")</f>
        <v>Closed</v>
      </c>
      <c r="DP229" s="359" t="str">
        <f>IFERROR(__xludf.DUMMYFUNCTION("""COMPUTED_VALUE"""),"Closed")</f>
        <v>Closed</v>
      </c>
      <c r="DQ229" s="359" t="str">
        <f>IFERROR(__xludf.DUMMYFUNCTION("""COMPUTED_VALUE"""),"Closed")</f>
        <v>Closed</v>
      </c>
      <c r="DR229" s="359" t="str">
        <f>IFERROR(__xludf.DUMMYFUNCTION("""COMPUTED_VALUE"""),"Closed")</f>
        <v>Closed</v>
      </c>
      <c r="DS229" s="359" t="str">
        <f>IFERROR(__xludf.DUMMYFUNCTION("""COMPUTED_VALUE"""),"Closed")</f>
        <v>Closed</v>
      </c>
      <c r="DT229" s="359" t="str">
        <f>IFERROR(__xludf.DUMMYFUNCTION("""COMPUTED_VALUE"""),"Closed")</f>
        <v>Closed</v>
      </c>
      <c r="DU229" s="68"/>
    </row>
    <row r="230" hidden="1">
      <c r="B230" s="189" t="str">
        <f>IFERROR(__xludf.DUMMYFUNCTION("""COMPUTED_VALUE"""),"ATL3")</f>
        <v>ATL3</v>
      </c>
      <c r="C230" s="352" t="str">
        <f>IFERROR(__xludf.DUMMYFUNCTION("""COMPUTED_VALUE"""),"Hecate Island")</f>
        <v>Hecate Island</v>
      </c>
      <c r="D230" s="240">
        <f>IFERROR(__xludf.DUMMYFUNCTION("""COMPUTED_VALUE"""),21.0)</f>
        <v>21</v>
      </c>
      <c r="E230" s="190" t="b">
        <f>IFERROR(__xludf.DUMMYFUNCTION("""COMPUTED_VALUE"""),FALSE)</f>
        <v>0</v>
      </c>
      <c r="F230" s="190" t="str">
        <f>IFERROR(__xludf.DUMMYFUNCTION("""COMPUTED_VALUE"""),"Free Quests- Part 2!A637:J646")</f>
        <v>Free Quests- Part 2!A637:J646</v>
      </c>
      <c r="G230" s="190">
        <f>IFERROR(__xludf.DUMMYFUNCTION("""COMPUTED_VALUE"""),231.0)</f>
        <v>231</v>
      </c>
      <c r="H230" s="190" t="str">
        <f>IFERROR(__xludf.DUMMYFUNCTION("""COMPUTED_VALUE"""),"Closed")</f>
        <v>Closed</v>
      </c>
      <c r="I230" s="190">
        <f>IFERROR(__xludf.DUMMYFUNCTION("""COMPUTED_VALUE"""),5012.0)</f>
        <v>5012</v>
      </c>
      <c r="J230" s="190" t="str">
        <f>IFERROR(__xludf.DUMMYFUNCTION("""COMPUTED_VALUE"""),"Closed")</f>
        <v>Closed</v>
      </c>
      <c r="K230" s="244" t="str">
        <f>IFERROR(__xludf.DUMMYFUNCTION("""COMPUTED_VALUE"""),"Closed")</f>
        <v>Closed</v>
      </c>
      <c r="L230" s="353" t="str">
        <f>IFERROR(__xludf.DUMMYFUNCTION("""COMPUTED_VALUE"""),"Closed")</f>
        <v>Closed</v>
      </c>
      <c r="M230" s="354" t="str">
        <f>IFERROR(__xludf.DUMMYFUNCTION("""COMPUTED_VALUE"""),"Closed")</f>
        <v>Closed</v>
      </c>
      <c r="N230" s="355" t="str">
        <f>IFERROR(__xludf.DUMMYFUNCTION("""COMPUTED_VALUE"""),"Closed")</f>
        <v>Closed</v>
      </c>
      <c r="O230" s="353" t="str">
        <f>IFERROR(__xludf.DUMMYFUNCTION("""COMPUTED_VALUE"""),"Closed")</f>
        <v>Closed</v>
      </c>
      <c r="P230" s="354" t="str">
        <f>IFERROR(__xludf.DUMMYFUNCTION("""COMPUTED_VALUE"""),"Closed")</f>
        <v>Closed</v>
      </c>
      <c r="Q230" s="355" t="str">
        <f>IFERROR(__xludf.DUMMYFUNCTION("""COMPUTED_VALUE"""),"Closed")</f>
        <v>Closed</v>
      </c>
      <c r="R230" s="353" t="str">
        <f>IFERROR(__xludf.DUMMYFUNCTION("""COMPUTED_VALUE"""),"Closed")</f>
        <v>Closed</v>
      </c>
      <c r="S230" s="354" t="str">
        <f>IFERROR(__xludf.DUMMYFUNCTION("""COMPUTED_VALUE"""),"Closed")</f>
        <v>Closed</v>
      </c>
      <c r="T230" s="355" t="str">
        <f>IFERROR(__xludf.DUMMYFUNCTION("""COMPUTED_VALUE"""),"Closed")</f>
        <v>Closed</v>
      </c>
      <c r="U230" s="353" t="str">
        <f>IFERROR(__xludf.DUMMYFUNCTION("""COMPUTED_VALUE"""),"Closed")</f>
        <v>Closed</v>
      </c>
      <c r="V230" s="354" t="str">
        <f>IFERROR(__xludf.DUMMYFUNCTION("""COMPUTED_VALUE"""),"Closed")</f>
        <v>Closed</v>
      </c>
      <c r="W230" s="244" t="str">
        <f>IFERROR(__xludf.DUMMYFUNCTION("""COMPUTED_VALUE"""),"Closed")</f>
        <v>Closed</v>
      </c>
      <c r="X230" s="353" t="str">
        <f>IFERROR(__xludf.DUMMYFUNCTION("""COMPUTED_VALUE"""),"Closed")</f>
        <v>Closed</v>
      </c>
      <c r="Y230" s="354" t="str">
        <f>IFERROR(__xludf.DUMMYFUNCTION("""COMPUTED_VALUE"""),"Closed")</f>
        <v>Closed</v>
      </c>
      <c r="Z230" s="355" t="str">
        <f>IFERROR(__xludf.DUMMYFUNCTION("""COMPUTED_VALUE"""),"Closed")</f>
        <v>Closed</v>
      </c>
      <c r="AA230" s="353" t="str">
        <f>IFERROR(__xludf.DUMMYFUNCTION("""COMPUTED_VALUE"""),"Closed")</f>
        <v>Closed</v>
      </c>
      <c r="AB230" s="354" t="str">
        <f>IFERROR(__xludf.DUMMYFUNCTION("""COMPUTED_VALUE"""),"Closed")</f>
        <v>Closed</v>
      </c>
      <c r="AC230" s="355" t="str">
        <f>IFERROR(__xludf.DUMMYFUNCTION("""COMPUTED_VALUE"""),"Closed")</f>
        <v>Closed</v>
      </c>
      <c r="AD230" s="353" t="str">
        <f>IFERROR(__xludf.DUMMYFUNCTION("""COMPUTED_VALUE"""),"Closed")</f>
        <v>Closed</v>
      </c>
      <c r="AE230" s="354" t="str">
        <f>IFERROR(__xludf.DUMMYFUNCTION("""COMPUTED_VALUE"""),"Closed")</f>
        <v>Closed</v>
      </c>
      <c r="AF230" s="355" t="str">
        <f>IFERROR(__xludf.DUMMYFUNCTION("""COMPUTED_VALUE"""),"Closed")</f>
        <v>Closed</v>
      </c>
      <c r="AG230" s="353" t="str">
        <f>IFERROR(__xludf.DUMMYFUNCTION("""COMPUTED_VALUE"""),"Closed")</f>
        <v>Closed</v>
      </c>
      <c r="AH230" s="354" t="str">
        <f>IFERROR(__xludf.DUMMYFUNCTION("""COMPUTED_VALUE"""),"Closed")</f>
        <v>Closed</v>
      </c>
      <c r="AI230" s="244" t="str">
        <f>IFERROR(__xludf.DUMMYFUNCTION("""COMPUTED_VALUE"""),"Closed")</f>
        <v>Closed</v>
      </c>
      <c r="AJ230" s="353" t="str">
        <f>IFERROR(__xludf.DUMMYFUNCTION("""COMPUTED_VALUE"""),"Closed")</f>
        <v>Closed</v>
      </c>
      <c r="AK230" s="354" t="str">
        <f>IFERROR(__xludf.DUMMYFUNCTION("""COMPUTED_VALUE"""),"Closed")</f>
        <v>Closed</v>
      </c>
      <c r="AL230" s="356" t="str">
        <f>IFERROR(__xludf.DUMMYFUNCTION("""COMPUTED_VALUE"""),"Closed")</f>
        <v>Closed</v>
      </c>
      <c r="AM230" s="357" t="str">
        <f>IFERROR(__xludf.DUMMYFUNCTION("""COMPUTED_VALUE"""),"Closed")</f>
        <v>Closed</v>
      </c>
      <c r="AN230" s="354" t="str">
        <f>IFERROR(__xludf.DUMMYFUNCTION("""COMPUTED_VALUE"""),"Closed")</f>
        <v>Closed</v>
      </c>
      <c r="AO230" s="355" t="str">
        <f>IFERROR(__xludf.DUMMYFUNCTION("""COMPUTED_VALUE"""),"Closed")</f>
        <v>Closed</v>
      </c>
      <c r="AP230" s="353" t="str">
        <f>IFERROR(__xludf.DUMMYFUNCTION("""COMPUTED_VALUE"""),"Closed")</f>
        <v>Closed</v>
      </c>
      <c r="AQ230" s="354" t="str">
        <f>IFERROR(__xludf.DUMMYFUNCTION("""COMPUTED_VALUE"""),"Closed")</f>
        <v>Closed</v>
      </c>
      <c r="AR230" s="355" t="str">
        <f>IFERROR(__xludf.DUMMYFUNCTION("""COMPUTED_VALUE"""),"Closed")</f>
        <v>Closed</v>
      </c>
      <c r="AS230" s="353" t="str">
        <f>IFERROR(__xludf.DUMMYFUNCTION("""COMPUTED_VALUE"""),"Closed")</f>
        <v>Closed</v>
      </c>
      <c r="AT230" s="354" t="str">
        <f>IFERROR(__xludf.DUMMYFUNCTION("""COMPUTED_VALUE"""),"Closed")</f>
        <v>Closed</v>
      </c>
      <c r="AU230" s="244" t="str">
        <f>IFERROR(__xludf.DUMMYFUNCTION("""COMPUTED_VALUE"""),"Closed")</f>
        <v>Closed</v>
      </c>
      <c r="AV230" s="353" t="str">
        <f>IFERROR(__xludf.DUMMYFUNCTION("""COMPUTED_VALUE"""),"Closed")</f>
        <v>Closed</v>
      </c>
      <c r="AW230" s="354" t="str">
        <f>IFERROR(__xludf.DUMMYFUNCTION("""COMPUTED_VALUE"""),"Closed")</f>
        <v>Closed</v>
      </c>
      <c r="AX230" s="355" t="str">
        <f>IFERROR(__xludf.DUMMYFUNCTION("""COMPUTED_VALUE"""),"Closed")</f>
        <v>Closed</v>
      </c>
      <c r="AY230" s="353" t="str">
        <f>IFERROR(__xludf.DUMMYFUNCTION("""COMPUTED_VALUE"""),"Closed")</f>
        <v>Closed</v>
      </c>
      <c r="AZ230" s="354" t="str">
        <f>IFERROR(__xludf.DUMMYFUNCTION("""COMPUTED_VALUE"""),"Closed")</f>
        <v>Closed</v>
      </c>
      <c r="BA230" s="355" t="str">
        <f>IFERROR(__xludf.DUMMYFUNCTION("""COMPUTED_VALUE"""),"Closed")</f>
        <v>Closed</v>
      </c>
      <c r="BB230" s="353" t="str">
        <f>IFERROR(__xludf.DUMMYFUNCTION("""COMPUTED_VALUE"""),"Closed")</f>
        <v>Closed</v>
      </c>
      <c r="BC230" s="354" t="str">
        <f>IFERROR(__xludf.DUMMYFUNCTION("""COMPUTED_VALUE"""),"Closed")</f>
        <v>Closed</v>
      </c>
      <c r="BD230" s="355" t="str">
        <f>IFERROR(__xludf.DUMMYFUNCTION("""COMPUTED_VALUE"""),"Closed")</f>
        <v>Closed</v>
      </c>
      <c r="BE230" s="353" t="str">
        <f>IFERROR(__xludf.DUMMYFUNCTION("""COMPUTED_VALUE"""),"Closed")</f>
        <v>Closed</v>
      </c>
      <c r="BF230" s="354" t="str">
        <f>IFERROR(__xludf.DUMMYFUNCTION("""COMPUTED_VALUE"""),"Closed")</f>
        <v>Closed</v>
      </c>
      <c r="BG230" s="244" t="str">
        <f>IFERROR(__xludf.DUMMYFUNCTION("""COMPUTED_VALUE"""),"Closed")</f>
        <v>Closed</v>
      </c>
      <c r="BH230" s="353" t="str">
        <f>IFERROR(__xludf.DUMMYFUNCTION("""COMPUTED_VALUE"""),"Closed")</f>
        <v>Closed</v>
      </c>
      <c r="BI230" s="354" t="str">
        <f>IFERROR(__xludf.DUMMYFUNCTION("""COMPUTED_VALUE"""),"Closed")</f>
        <v>Closed</v>
      </c>
      <c r="BJ230" s="355" t="str">
        <f>IFERROR(__xludf.DUMMYFUNCTION("""COMPUTED_VALUE"""),"Closed")</f>
        <v>Closed</v>
      </c>
      <c r="BK230" s="353" t="str">
        <f>IFERROR(__xludf.DUMMYFUNCTION("""COMPUTED_VALUE"""),"Closed")</f>
        <v>Closed</v>
      </c>
      <c r="BL230" s="354" t="str">
        <f>IFERROR(__xludf.DUMMYFUNCTION("""COMPUTED_VALUE"""),"Closed")</f>
        <v>Closed</v>
      </c>
      <c r="BM230" s="355" t="str">
        <f>IFERROR(__xludf.DUMMYFUNCTION("""COMPUTED_VALUE"""),"Closed")</f>
        <v>Closed</v>
      </c>
      <c r="BN230" s="353" t="str">
        <f>IFERROR(__xludf.DUMMYFUNCTION("""COMPUTED_VALUE"""),"Closed")</f>
        <v>Closed</v>
      </c>
      <c r="BO230" s="354" t="str">
        <f>IFERROR(__xludf.DUMMYFUNCTION("""COMPUTED_VALUE"""),"Closed")</f>
        <v>Closed</v>
      </c>
      <c r="BP230" s="355" t="str">
        <f>IFERROR(__xludf.DUMMYFUNCTION("""COMPUTED_VALUE"""),"Closed")</f>
        <v>Closed</v>
      </c>
      <c r="BQ230" s="353" t="str">
        <f>IFERROR(__xludf.DUMMYFUNCTION("""COMPUTED_VALUE"""),"Closed")</f>
        <v>Closed</v>
      </c>
      <c r="BR230" s="354" t="str">
        <f>IFERROR(__xludf.DUMMYFUNCTION("""COMPUTED_VALUE"""),"Closed")</f>
        <v>Closed</v>
      </c>
      <c r="BS230" s="244" t="str">
        <f>IFERROR(__xludf.DUMMYFUNCTION("""COMPUTED_VALUE"""),"Closed")</f>
        <v>Closed</v>
      </c>
      <c r="BT230" s="353" t="str">
        <f>IFERROR(__xludf.DUMMYFUNCTION("""COMPUTED_VALUE"""),"Closed")</f>
        <v>Closed</v>
      </c>
      <c r="BU230" s="354" t="str">
        <f>IFERROR(__xludf.DUMMYFUNCTION("""COMPUTED_VALUE"""),"Closed")</f>
        <v>Closed</v>
      </c>
      <c r="BV230" s="355" t="str">
        <f>IFERROR(__xludf.DUMMYFUNCTION("""COMPUTED_VALUE"""),"Closed")</f>
        <v>Closed</v>
      </c>
      <c r="BW230" s="353" t="str">
        <f>IFERROR(__xludf.DUMMYFUNCTION("""COMPUTED_VALUE"""),"Closed")</f>
        <v>Closed</v>
      </c>
      <c r="BX230" s="354" t="str">
        <f>IFERROR(__xludf.DUMMYFUNCTION("""COMPUTED_VALUE"""),"Closed")</f>
        <v>Closed</v>
      </c>
      <c r="BY230" s="355" t="str">
        <f>IFERROR(__xludf.DUMMYFUNCTION("""COMPUTED_VALUE"""),"Closed")</f>
        <v>Closed</v>
      </c>
      <c r="BZ230" s="353" t="str">
        <f>IFERROR(__xludf.DUMMYFUNCTION("""COMPUTED_VALUE"""),"Closed")</f>
        <v>Closed</v>
      </c>
      <c r="CA230" s="354" t="str">
        <f>IFERROR(__xludf.DUMMYFUNCTION("""COMPUTED_VALUE"""),"Closed")</f>
        <v>Closed</v>
      </c>
      <c r="CB230" s="355" t="str">
        <f>IFERROR(__xludf.DUMMYFUNCTION("""COMPUTED_VALUE"""),"Closed")</f>
        <v>Closed</v>
      </c>
      <c r="CC230" s="353" t="str">
        <f>IFERROR(__xludf.DUMMYFUNCTION("""COMPUTED_VALUE"""),"Closed")</f>
        <v>Closed</v>
      </c>
      <c r="CD230" s="354" t="str">
        <f>IFERROR(__xludf.DUMMYFUNCTION("""COMPUTED_VALUE"""),"Closed")</f>
        <v>Closed</v>
      </c>
      <c r="CE230" s="355" t="str">
        <f>IFERROR(__xludf.DUMMYFUNCTION("""COMPUTED_VALUE"""),"Closed")</f>
        <v>Closed</v>
      </c>
      <c r="CF230" s="353" t="str">
        <f>IFERROR(__xludf.DUMMYFUNCTION("""COMPUTED_VALUE"""),"Closed")</f>
        <v>Closed</v>
      </c>
      <c r="CG230" s="354" t="str">
        <f>IFERROR(__xludf.DUMMYFUNCTION("""COMPUTED_VALUE"""),"Closed")</f>
        <v>Closed</v>
      </c>
      <c r="CH230" s="355" t="str">
        <f>IFERROR(__xludf.DUMMYFUNCTION("""COMPUTED_VALUE"""),"Closed")</f>
        <v>Closed</v>
      </c>
      <c r="CI230" s="353" t="str">
        <f>IFERROR(__xludf.DUMMYFUNCTION("""COMPUTED_VALUE"""),"Closed")</f>
        <v>Closed</v>
      </c>
      <c r="CJ230" s="353" t="str">
        <f>IFERROR(__xludf.DUMMYFUNCTION("""COMPUTED_VALUE"""),"Closed")</f>
        <v>Closed</v>
      </c>
      <c r="CK230" s="355" t="str">
        <f>IFERROR(__xludf.DUMMYFUNCTION("""COMPUTED_VALUE"""),"Closed")</f>
        <v>Closed</v>
      </c>
      <c r="CL230" s="353" t="str">
        <f>IFERROR(__xludf.DUMMYFUNCTION("""COMPUTED_VALUE"""),"Closed")</f>
        <v>Closed</v>
      </c>
      <c r="CM230" s="354" t="str">
        <f>IFERROR(__xludf.DUMMYFUNCTION("""COMPUTED_VALUE"""),"Closed")</f>
        <v>Closed</v>
      </c>
      <c r="CN230" s="353" t="str">
        <f>IFERROR(__xludf.DUMMYFUNCTION("""COMPUTED_VALUE"""),"Closed")</f>
        <v>Closed</v>
      </c>
      <c r="CO230" s="353" t="str">
        <f>IFERROR(__xludf.DUMMYFUNCTION("""COMPUTED_VALUE"""),"Closed")</f>
        <v>Closed</v>
      </c>
      <c r="CP230" s="353" t="str">
        <f>IFERROR(__xludf.DUMMYFUNCTION("""COMPUTED_VALUE"""),"Closed")</f>
        <v>Closed</v>
      </c>
      <c r="CQ230" s="355" t="str">
        <f>IFERROR(__xludf.DUMMYFUNCTION("""COMPUTED_VALUE"""),"Closed")</f>
        <v>Closed</v>
      </c>
      <c r="CR230" s="353" t="str">
        <f>IFERROR(__xludf.DUMMYFUNCTION("""COMPUTED_VALUE"""),"Closed")</f>
        <v>Closed</v>
      </c>
      <c r="CS230" s="353" t="str">
        <f>IFERROR(__xludf.DUMMYFUNCTION("""COMPUTED_VALUE"""),"Closed")</f>
        <v>Closed</v>
      </c>
      <c r="CT230" s="355" t="str">
        <f>IFERROR(__xludf.DUMMYFUNCTION("""COMPUTED_VALUE"""),"Closed")</f>
        <v>Closed</v>
      </c>
      <c r="CU230" s="353" t="str">
        <f>IFERROR(__xludf.DUMMYFUNCTION("""COMPUTED_VALUE"""),"Closed")</f>
        <v>Closed</v>
      </c>
      <c r="CV230" s="353" t="str">
        <f>IFERROR(__xludf.DUMMYFUNCTION("""COMPUTED_VALUE"""),"Closed")</f>
        <v>Closed</v>
      </c>
      <c r="CW230" s="355" t="str">
        <f>IFERROR(__xludf.DUMMYFUNCTION("""COMPUTED_VALUE"""),"Closed")</f>
        <v>Closed</v>
      </c>
      <c r="CX230" s="353" t="str">
        <f>IFERROR(__xludf.DUMMYFUNCTION("""COMPUTED_VALUE"""),"Closed")</f>
        <v>Closed</v>
      </c>
      <c r="CY230" s="354" t="str">
        <f>IFERROR(__xludf.DUMMYFUNCTION("""COMPUTED_VALUE"""),"Closed")</f>
        <v>Closed</v>
      </c>
      <c r="CZ230" s="353" t="str">
        <f>IFERROR(__xludf.DUMMYFUNCTION("""COMPUTED_VALUE"""),"Closed")</f>
        <v>Closed</v>
      </c>
      <c r="DA230" s="353" t="str">
        <f>IFERROR(__xludf.DUMMYFUNCTION("""COMPUTED_VALUE"""),"Closed")</f>
        <v>Closed</v>
      </c>
      <c r="DB230" s="354" t="str">
        <f>IFERROR(__xludf.DUMMYFUNCTION("""COMPUTED_VALUE"""),"Closed")</f>
        <v>Closed</v>
      </c>
      <c r="DC230" s="355" t="str">
        <f>IFERROR(__xludf.DUMMYFUNCTION("""COMPUTED_VALUE"""),"Closed")</f>
        <v>Closed</v>
      </c>
      <c r="DD230" s="353" t="str">
        <f>IFERROR(__xludf.DUMMYFUNCTION("""COMPUTED_VALUE"""),"Closed")</f>
        <v>Closed</v>
      </c>
      <c r="DE230" s="354" t="str">
        <f>IFERROR(__xludf.DUMMYFUNCTION("""COMPUTED_VALUE"""),"Closed")</f>
        <v>Closed</v>
      </c>
      <c r="DF230" s="355" t="str">
        <f>IFERROR(__xludf.DUMMYFUNCTION("""COMPUTED_VALUE"""),"Closed")</f>
        <v>Closed</v>
      </c>
      <c r="DG230" s="353" t="str">
        <f>IFERROR(__xludf.DUMMYFUNCTION("""COMPUTED_VALUE"""),"Closed")</f>
        <v>Closed</v>
      </c>
      <c r="DH230" s="354" t="str">
        <f>IFERROR(__xludf.DUMMYFUNCTION("""COMPUTED_VALUE"""),"Closed")</f>
        <v>Closed</v>
      </c>
      <c r="DI230" s="355" t="str">
        <f>IFERROR(__xludf.DUMMYFUNCTION("""COMPUTED_VALUE"""),"Closed")</f>
        <v>Closed</v>
      </c>
      <c r="DJ230" s="353" t="str">
        <f>IFERROR(__xludf.DUMMYFUNCTION("""COMPUTED_VALUE"""),"Closed")</f>
        <v>Closed</v>
      </c>
      <c r="DK230" s="354" t="str">
        <f>IFERROR(__xludf.DUMMYFUNCTION("""COMPUTED_VALUE"""),"Closed")</f>
        <v>Closed</v>
      </c>
      <c r="DL230" s="353" t="str">
        <f>IFERROR(__xludf.DUMMYFUNCTION("""COMPUTED_VALUE"""),"Closed")</f>
        <v>Closed</v>
      </c>
      <c r="DM230" s="353" t="str">
        <f>IFERROR(__xludf.DUMMYFUNCTION("""COMPUTED_VALUE"""),"Closed")</f>
        <v>Closed</v>
      </c>
      <c r="DN230" s="353" t="str">
        <f>IFERROR(__xludf.DUMMYFUNCTION("""COMPUTED_VALUE"""),"Closed")</f>
        <v>Closed</v>
      </c>
      <c r="DO230" s="353" t="str">
        <f>IFERROR(__xludf.DUMMYFUNCTION("""COMPUTED_VALUE"""),"Closed")</f>
        <v>Closed</v>
      </c>
      <c r="DP230" s="353" t="str">
        <f>IFERROR(__xludf.DUMMYFUNCTION("""COMPUTED_VALUE"""),"Closed")</f>
        <v>Closed</v>
      </c>
      <c r="DQ230" s="353" t="str">
        <f>IFERROR(__xludf.DUMMYFUNCTION("""COMPUTED_VALUE"""),"Closed")</f>
        <v>Closed</v>
      </c>
      <c r="DR230" s="353" t="str">
        <f>IFERROR(__xludf.DUMMYFUNCTION("""COMPUTED_VALUE"""),"Closed")</f>
        <v>Closed</v>
      </c>
      <c r="DS230" s="353" t="str">
        <f>IFERROR(__xludf.DUMMYFUNCTION("""COMPUTED_VALUE"""),"Closed")</f>
        <v>Closed</v>
      </c>
      <c r="DT230" s="353" t="str">
        <f>IFERROR(__xludf.DUMMYFUNCTION("""COMPUTED_VALUE"""),"Closed")</f>
        <v>Closed</v>
      </c>
      <c r="DU230" s="190"/>
    </row>
    <row r="231" hidden="1">
      <c r="B231" s="201" t="str">
        <f>IFERROR(__xludf.DUMMYFUNCTION("""COMPUTED_VALUE"""),"ATL4")</f>
        <v>ATL4</v>
      </c>
      <c r="C231" s="358" t="str">
        <f>IFERROR(__xludf.DUMMYFUNCTION("""COMPUTED_VALUE"""),"Deimos Island")</f>
        <v>Deimos Island</v>
      </c>
      <c r="D231" s="248">
        <f>IFERROR(__xludf.DUMMYFUNCTION("""COMPUTED_VALUE"""),21.0)</f>
        <v>21</v>
      </c>
      <c r="E231" s="68" t="b">
        <f>IFERROR(__xludf.DUMMYFUNCTION("""COMPUTED_VALUE"""),FALSE)</f>
        <v>0</v>
      </c>
      <c r="F231" s="68" t="str">
        <f>IFERROR(__xludf.DUMMYFUNCTION("""COMPUTED_VALUE"""),"Free Quests- Part 2!A650:J658")</f>
        <v>Free Quests- Part 2!A650:J658</v>
      </c>
      <c r="G231" s="68">
        <f>IFERROR(__xludf.DUMMYFUNCTION("""COMPUTED_VALUE"""),232.0)</f>
        <v>232</v>
      </c>
      <c r="H231" s="68" t="str">
        <f>IFERROR(__xludf.DUMMYFUNCTION("""COMPUTED_VALUE"""),"Closed")</f>
        <v>Closed</v>
      </c>
      <c r="I231" s="68">
        <f>IFERROR(__xludf.DUMMYFUNCTION("""COMPUTED_VALUE"""),6220.0)</f>
        <v>6220</v>
      </c>
      <c r="J231" s="68" t="str">
        <f>IFERROR(__xludf.DUMMYFUNCTION("""COMPUTED_VALUE"""),"Closed")</f>
        <v>Closed</v>
      </c>
      <c r="K231" s="252" t="str">
        <f>IFERROR(__xludf.DUMMYFUNCTION("""COMPUTED_VALUE"""),"Closed")</f>
        <v>Closed</v>
      </c>
      <c r="L231" s="359" t="str">
        <f>IFERROR(__xludf.DUMMYFUNCTION("""COMPUTED_VALUE"""),"Closed")</f>
        <v>Closed</v>
      </c>
      <c r="M231" s="360" t="str">
        <f>IFERROR(__xludf.DUMMYFUNCTION("""COMPUTED_VALUE"""),"Closed")</f>
        <v>Closed</v>
      </c>
      <c r="N231" s="361" t="str">
        <f>IFERROR(__xludf.DUMMYFUNCTION("""COMPUTED_VALUE"""),"Closed")</f>
        <v>Closed</v>
      </c>
      <c r="O231" s="359" t="str">
        <f>IFERROR(__xludf.DUMMYFUNCTION("""COMPUTED_VALUE"""),"Closed")</f>
        <v>Closed</v>
      </c>
      <c r="P231" s="360" t="str">
        <f>IFERROR(__xludf.DUMMYFUNCTION("""COMPUTED_VALUE"""),"Closed")</f>
        <v>Closed</v>
      </c>
      <c r="Q231" s="361" t="str">
        <f>IFERROR(__xludf.DUMMYFUNCTION("""COMPUTED_VALUE"""),"Closed")</f>
        <v>Closed</v>
      </c>
      <c r="R231" s="359" t="str">
        <f>IFERROR(__xludf.DUMMYFUNCTION("""COMPUTED_VALUE"""),"Closed")</f>
        <v>Closed</v>
      </c>
      <c r="S231" s="360" t="str">
        <f>IFERROR(__xludf.DUMMYFUNCTION("""COMPUTED_VALUE"""),"Closed")</f>
        <v>Closed</v>
      </c>
      <c r="T231" s="361" t="str">
        <f>IFERROR(__xludf.DUMMYFUNCTION("""COMPUTED_VALUE"""),"Closed")</f>
        <v>Closed</v>
      </c>
      <c r="U231" s="359" t="str">
        <f>IFERROR(__xludf.DUMMYFUNCTION("""COMPUTED_VALUE"""),"Closed")</f>
        <v>Closed</v>
      </c>
      <c r="V231" s="360" t="str">
        <f>IFERROR(__xludf.DUMMYFUNCTION("""COMPUTED_VALUE"""),"Closed")</f>
        <v>Closed</v>
      </c>
      <c r="W231" s="252" t="str">
        <f>IFERROR(__xludf.DUMMYFUNCTION("""COMPUTED_VALUE"""),"Closed")</f>
        <v>Closed</v>
      </c>
      <c r="X231" s="359" t="str">
        <f>IFERROR(__xludf.DUMMYFUNCTION("""COMPUTED_VALUE"""),"Closed")</f>
        <v>Closed</v>
      </c>
      <c r="Y231" s="360" t="str">
        <f>IFERROR(__xludf.DUMMYFUNCTION("""COMPUTED_VALUE"""),"Closed")</f>
        <v>Closed</v>
      </c>
      <c r="Z231" s="361" t="str">
        <f>IFERROR(__xludf.DUMMYFUNCTION("""COMPUTED_VALUE"""),"Closed")</f>
        <v>Closed</v>
      </c>
      <c r="AA231" s="359" t="str">
        <f>IFERROR(__xludf.DUMMYFUNCTION("""COMPUTED_VALUE"""),"Closed")</f>
        <v>Closed</v>
      </c>
      <c r="AB231" s="360" t="str">
        <f>IFERROR(__xludf.DUMMYFUNCTION("""COMPUTED_VALUE"""),"Closed")</f>
        <v>Closed</v>
      </c>
      <c r="AC231" s="361" t="str">
        <f>IFERROR(__xludf.DUMMYFUNCTION("""COMPUTED_VALUE"""),"Closed")</f>
        <v>Closed</v>
      </c>
      <c r="AD231" s="359" t="str">
        <f>IFERROR(__xludf.DUMMYFUNCTION("""COMPUTED_VALUE"""),"Closed")</f>
        <v>Closed</v>
      </c>
      <c r="AE231" s="360" t="str">
        <f>IFERROR(__xludf.DUMMYFUNCTION("""COMPUTED_VALUE"""),"Closed")</f>
        <v>Closed</v>
      </c>
      <c r="AF231" s="361" t="str">
        <f>IFERROR(__xludf.DUMMYFUNCTION("""COMPUTED_VALUE"""),"Closed")</f>
        <v>Closed</v>
      </c>
      <c r="AG231" s="359" t="str">
        <f>IFERROR(__xludf.DUMMYFUNCTION("""COMPUTED_VALUE"""),"Closed")</f>
        <v>Closed</v>
      </c>
      <c r="AH231" s="360" t="str">
        <f>IFERROR(__xludf.DUMMYFUNCTION("""COMPUTED_VALUE"""),"Closed")</f>
        <v>Closed</v>
      </c>
      <c r="AI231" s="252" t="str">
        <f>IFERROR(__xludf.DUMMYFUNCTION("""COMPUTED_VALUE"""),"Closed")</f>
        <v>Closed</v>
      </c>
      <c r="AJ231" s="359" t="str">
        <f>IFERROR(__xludf.DUMMYFUNCTION("""COMPUTED_VALUE"""),"Closed")</f>
        <v>Closed</v>
      </c>
      <c r="AK231" s="360" t="str">
        <f>IFERROR(__xludf.DUMMYFUNCTION("""COMPUTED_VALUE"""),"Closed")</f>
        <v>Closed</v>
      </c>
      <c r="AL231" s="362" t="str">
        <f>IFERROR(__xludf.DUMMYFUNCTION("""COMPUTED_VALUE"""),"Closed")</f>
        <v>Closed</v>
      </c>
      <c r="AM231" s="363" t="str">
        <f>IFERROR(__xludf.DUMMYFUNCTION("""COMPUTED_VALUE"""),"Closed")</f>
        <v>Closed</v>
      </c>
      <c r="AN231" s="360" t="str">
        <f>IFERROR(__xludf.DUMMYFUNCTION("""COMPUTED_VALUE"""),"Closed")</f>
        <v>Closed</v>
      </c>
      <c r="AO231" s="361" t="str">
        <f>IFERROR(__xludf.DUMMYFUNCTION("""COMPUTED_VALUE"""),"Closed")</f>
        <v>Closed</v>
      </c>
      <c r="AP231" s="359" t="str">
        <f>IFERROR(__xludf.DUMMYFUNCTION("""COMPUTED_VALUE"""),"Closed")</f>
        <v>Closed</v>
      </c>
      <c r="AQ231" s="360" t="str">
        <f>IFERROR(__xludf.DUMMYFUNCTION("""COMPUTED_VALUE"""),"Closed")</f>
        <v>Closed</v>
      </c>
      <c r="AR231" s="361" t="str">
        <f>IFERROR(__xludf.DUMMYFUNCTION("""COMPUTED_VALUE"""),"Closed")</f>
        <v>Closed</v>
      </c>
      <c r="AS231" s="359" t="str">
        <f>IFERROR(__xludf.DUMMYFUNCTION("""COMPUTED_VALUE"""),"Closed")</f>
        <v>Closed</v>
      </c>
      <c r="AT231" s="360" t="str">
        <f>IFERROR(__xludf.DUMMYFUNCTION("""COMPUTED_VALUE"""),"Closed")</f>
        <v>Closed</v>
      </c>
      <c r="AU231" s="252" t="str">
        <f>IFERROR(__xludf.DUMMYFUNCTION("""COMPUTED_VALUE"""),"Closed")</f>
        <v>Closed</v>
      </c>
      <c r="AV231" s="359" t="str">
        <f>IFERROR(__xludf.DUMMYFUNCTION("""COMPUTED_VALUE"""),"Closed")</f>
        <v>Closed</v>
      </c>
      <c r="AW231" s="360" t="str">
        <f>IFERROR(__xludf.DUMMYFUNCTION("""COMPUTED_VALUE"""),"Closed")</f>
        <v>Closed</v>
      </c>
      <c r="AX231" s="361" t="str">
        <f>IFERROR(__xludf.DUMMYFUNCTION("""COMPUTED_VALUE"""),"Closed")</f>
        <v>Closed</v>
      </c>
      <c r="AY231" s="359" t="str">
        <f>IFERROR(__xludf.DUMMYFUNCTION("""COMPUTED_VALUE"""),"Closed")</f>
        <v>Closed</v>
      </c>
      <c r="AZ231" s="360" t="str">
        <f>IFERROR(__xludf.DUMMYFUNCTION("""COMPUTED_VALUE"""),"Closed")</f>
        <v>Closed</v>
      </c>
      <c r="BA231" s="361" t="str">
        <f>IFERROR(__xludf.DUMMYFUNCTION("""COMPUTED_VALUE"""),"Closed")</f>
        <v>Closed</v>
      </c>
      <c r="BB231" s="359" t="str">
        <f>IFERROR(__xludf.DUMMYFUNCTION("""COMPUTED_VALUE"""),"Closed")</f>
        <v>Closed</v>
      </c>
      <c r="BC231" s="360" t="str">
        <f>IFERROR(__xludf.DUMMYFUNCTION("""COMPUTED_VALUE"""),"Closed")</f>
        <v>Closed</v>
      </c>
      <c r="BD231" s="361" t="str">
        <f>IFERROR(__xludf.DUMMYFUNCTION("""COMPUTED_VALUE"""),"Closed")</f>
        <v>Closed</v>
      </c>
      <c r="BE231" s="359" t="str">
        <f>IFERROR(__xludf.DUMMYFUNCTION("""COMPUTED_VALUE"""),"Closed")</f>
        <v>Closed</v>
      </c>
      <c r="BF231" s="360" t="str">
        <f>IFERROR(__xludf.DUMMYFUNCTION("""COMPUTED_VALUE"""),"Closed")</f>
        <v>Closed</v>
      </c>
      <c r="BG231" s="252" t="str">
        <f>IFERROR(__xludf.DUMMYFUNCTION("""COMPUTED_VALUE"""),"Closed")</f>
        <v>Closed</v>
      </c>
      <c r="BH231" s="359" t="str">
        <f>IFERROR(__xludf.DUMMYFUNCTION("""COMPUTED_VALUE"""),"Closed")</f>
        <v>Closed</v>
      </c>
      <c r="BI231" s="360" t="str">
        <f>IFERROR(__xludf.DUMMYFUNCTION("""COMPUTED_VALUE"""),"Closed")</f>
        <v>Closed</v>
      </c>
      <c r="BJ231" s="361" t="str">
        <f>IFERROR(__xludf.DUMMYFUNCTION("""COMPUTED_VALUE"""),"Closed")</f>
        <v>Closed</v>
      </c>
      <c r="BK231" s="359" t="str">
        <f>IFERROR(__xludf.DUMMYFUNCTION("""COMPUTED_VALUE"""),"Closed")</f>
        <v>Closed</v>
      </c>
      <c r="BL231" s="360" t="str">
        <f>IFERROR(__xludf.DUMMYFUNCTION("""COMPUTED_VALUE"""),"Closed")</f>
        <v>Closed</v>
      </c>
      <c r="BM231" s="361" t="str">
        <f>IFERROR(__xludf.DUMMYFUNCTION("""COMPUTED_VALUE"""),"Closed")</f>
        <v>Closed</v>
      </c>
      <c r="BN231" s="359" t="str">
        <f>IFERROR(__xludf.DUMMYFUNCTION("""COMPUTED_VALUE"""),"Closed")</f>
        <v>Closed</v>
      </c>
      <c r="BO231" s="360" t="str">
        <f>IFERROR(__xludf.DUMMYFUNCTION("""COMPUTED_VALUE"""),"Closed")</f>
        <v>Closed</v>
      </c>
      <c r="BP231" s="361" t="str">
        <f>IFERROR(__xludf.DUMMYFUNCTION("""COMPUTED_VALUE"""),"Closed")</f>
        <v>Closed</v>
      </c>
      <c r="BQ231" s="359" t="str">
        <f>IFERROR(__xludf.DUMMYFUNCTION("""COMPUTED_VALUE"""),"Closed")</f>
        <v>Closed</v>
      </c>
      <c r="BR231" s="360" t="str">
        <f>IFERROR(__xludf.DUMMYFUNCTION("""COMPUTED_VALUE"""),"Closed")</f>
        <v>Closed</v>
      </c>
      <c r="BS231" s="252" t="str">
        <f>IFERROR(__xludf.DUMMYFUNCTION("""COMPUTED_VALUE"""),"Closed")</f>
        <v>Closed</v>
      </c>
      <c r="BT231" s="359" t="str">
        <f>IFERROR(__xludf.DUMMYFUNCTION("""COMPUTED_VALUE"""),"Closed")</f>
        <v>Closed</v>
      </c>
      <c r="BU231" s="360" t="str">
        <f>IFERROR(__xludf.DUMMYFUNCTION("""COMPUTED_VALUE"""),"Closed")</f>
        <v>Closed</v>
      </c>
      <c r="BV231" s="361" t="str">
        <f>IFERROR(__xludf.DUMMYFUNCTION("""COMPUTED_VALUE"""),"Closed")</f>
        <v>Closed</v>
      </c>
      <c r="BW231" s="359" t="str">
        <f>IFERROR(__xludf.DUMMYFUNCTION("""COMPUTED_VALUE"""),"Closed")</f>
        <v>Closed</v>
      </c>
      <c r="BX231" s="360" t="str">
        <f>IFERROR(__xludf.DUMMYFUNCTION("""COMPUTED_VALUE"""),"Closed")</f>
        <v>Closed</v>
      </c>
      <c r="BY231" s="361" t="str">
        <f>IFERROR(__xludf.DUMMYFUNCTION("""COMPUTED_VALUE"""),"Closed")</f>
        <v>Closed</v>
      </c>
      <c r="BZ231" s="359" t="str">
        <f>IFERROR(__xludf.DUMMYFUNCTION("""COMPUTED_VALUE"""),"Closed")</f>
        <v>Closed</v>
      </c>
      <c r="CA231" s="360" t="str">
        <f>IFERROR(__xludf.DUMMYFUNCTION("""COMPUTED_VALUE"""),"Closed")</f>
        <v>Closed</v>
      </c>
      <c r="CB231" s="361" t="str">
        <f>IFERROR(__xludf.DUMMYFUNCTION("""COMPUTED_VALUE"""),"Closed")</f>
        <v>Closed</v>
      </c>
      <c r="CC231" s="359" t="str">
        <f>IFERROR(__xludf.DUMMYFUNCTION("""COMPUTED_VALUE"""),"Closed")</f>
        <v>Closed</v>
      </c>
      <c r="CD231" s="360" t="str">
        <f>IFERROR(__xludf.DUMMYFUNCTION("""COMPUTED_VALUE"""),"Closed")</f>
        <v>Closed</v>
      </c>
      <c r="CE231" s="361" t="str">
        <f>IFERROR(__xludf.DUMMYFUNCTION("""COMPUTED_VALUE"""),"Closed")</f>
        <v>Closed</v>
      </c>
      <c r="CF231" s="359" t="str">
        <f>IFERROR(__xludf.DUMMYFUNCTION("""COMPUTED_VALUE"""),"Closed")</f>
        <v>Closed</v>
      </c>
      <c r="CG231" s="360" t="str">
        <f>IFERROR(__xludf.DUMMYFUNCTION("""COMPUTED_VALUE"""),"Closed")</f>
        <v>Closed</v>
      </c>
      <c r="CH231" s="361" t="str">
        <f>IFERROR(__xludf.DUMMYFUNCTION("""COMPUTED_VALUE"""),"Closed")</f>
        <v>Closed</v>
      </c>
      <c r="CI231" s="359" t="str">
        <f>IFERROR(__xludf.DUMMYFUNCTION("""COMPUTED_VALUE"""),"Closed")</f>
        <v>Closed</v>
      </c>
      <c r="CJ231" s="359" t="str">
        <f>IFERROR(__xludf.DUMMYFUNCTION("""COMPUTED_VALUE"""),"Closed")</f>
        <v>Closed</v>
      </c>
      <c r="CK231" s="361" t="str">
        <f>IFERROR(__xludf.DUMMYFUNCTION("""COMPUTED_VALUE"""),"Closed")</f>
        <v>Closed</v>
      </c>
      <c r="CL231" s="359" t="str">
        <f>IFERROR(__xludf.DUMMYFUNCTION("""COMPUTED_VALUE"""),"Closed")</f>
        <v>Closed</v>
      </c>
      <c r="CM231" s="360" t="str">
        <f>IFERROR(__xludf.DUMMYFUNCTION("""COMPUTED_VALUE"""),"Closed")</f>
        <v>Closed</v>
      </c>
      <c r="CN231" s="359" t="str">
        <f>IFERROR(__xludf.DUMMYFUNCTION("""COMPUTED_VALUE"""),"Closed")</f>
        <v>Closed</v>
      </c>
      <c r="CO231" s="359" t="str">
        <f>IFERROR(__xludf.DUMMYFUNCTION("""COMPUTED_VALUE"""),"Closed")</f>
        <v>Closed</v>
      </c>
      <c r="CP231" s="359" t="str">
        <f>IFERROR(__xludf.DUMMYFUNCTION("""COMPUTED_VALUE"""),"Closed")</f>
        <v>Closed</v>
      </c>
      <c r="CQ231" s="361" t="str">
        <f>IFERROR(__xludf.DUMMYFUNCTION("""COMPUTED_VALUE"""),"Closed")</f>
        <v>Closed</v>
      </c>
      <c r="CR231" s="359" t="str">
        <f>IFERROR(__xludf.DUMMYFUNCTION("""COMPUTED_VALUE"""),"Closed")</f>
        <v>Closed</v>
      </c>
      <c r="CS231" s="359" t="str">
        <f>IFERROR(__xludf.DUMMYFUNCTION("""COMPUTED_VALUE"""),"Closed")</f>
        <v>Closed</v>
      </c>
      <c r="CT231" s="361" t="str">
        <f>IFERROR(__xludf.DUMMYFUNCTION("""COMPUTED_VALUE"""),"Closed")</f>
        <v>Closed</v>
      </c>
      <c r="CU231" s="359" t="str">
        <f>IFERROR(__xludf.DUMMYFUNCTION("""COMPUTED_VALUE"""),"Closed")</f>
        <v>Closed</v>
      </c>
      <c r="CV231" s="359" t="str">
        <f>IFERROR(__xludf.DUMMYFUNCTION("""COMPUTED_VALUE"""),"Closed")</f>
        <v>Closed</v>
      </c>
      <c r="CW231" s="361" t="str">
        <f>IFERROR(__xludf.DUMMYFUNCTION("""COMPUTED_VALUE"""),"Closed")</f>
        <v>Closed</v>
      </c>
      <c r="CX231" s="359" t="str">
        <f>IFERROR(__xludf.DUMMYFUNCTION("""COMPUTED_VALUE"""),"Closed")</f>
        <v>Closed</v>
      </c>
      <c r="CY231" s="360" t="str">
        <f>IFERROR(__xludf.DUMMYFUNCTION("""COMPUTED_VALUE"""),"Closed")</f>
        <v>Closed</v>
      </c>
      <c r="CZ231" s="359" t="str">
        <f>IFERROR(__xludf.DUMMYFUNCTION("""COMPUTED_VALUE"""),"Closed")</f>
        <v>Closed</v>
      </c>
      <c r="DA231" s="359" t="str">
        <f>IFERROR(__xludf.DUMMYFUNCTION("""COMPUTED_VALUE"""),"Closed")</f>
        <v>Closed</v>
      </c>
      <c r="DB231" s="360" t="str">
        <f>IFERROR(__xludf.DUMMYFUNCTION("""COMPUTED_VALUE"""),"Closed")</f>
        <v>Closed</v>
      </c>
      <c r="DC231" s="361" t="str">
        <f>IFERROR(__xludf.DUMMYFUNCTION("""COMPUTED_VALUE"""),"Closed")</f>
        <v>Closed</v>
      </c>
      <c r="DD231" s="359" t="str">
        <f>IFERROR(__xludf.DUMMYFUNCTION("""COMPUTED_VALUE"""),"Closed")</f>
        <v>Closed</v>
      </c>
      <c r="DE231" s="360" t="str">
        <f>IFERROR(__xludf.DUMMYFUNCTION("""COMPUTED_VALUE"""),"Closed")</f>
        <v>Closed</v>
      </c>
      <c r="DF231" s="361" t="str">
        <f>IFERROR(__xludf.DUMMYFUNCTION("""COMPUTED_VALUE"""),"Closed")</f>
        <v>Closed</v>
      </c>
      <c r="DG231" s="359" t="str">
        <f>IFERROR(__xludf.DUMMYFUNCTION("""COMPUTED_VALUE"""),"Closed")</f>
        <v>Closed</v>
      </c>
      <c r="DH231" s="360" t="str">
        <f>IFERROR(__xludf.DUMMYFUNCTION("""COMPUTED_VALUE"""),"Closed")</f>
        <v>Closed</v>
      </c>
      <c r="DI231" s="361" t="str">
        <f>IFERROR(__xludf.DUMMYFUNCTION("""COMPUTED_VALUE"""),"Closed")</f>
        <v>Closed</v>
      </c>
      <c r="DJ231" s="359" t="str">
        <f>IFERROR(__xludf.DUMMYFUNCTION("""COMPUTED_VALUE"""),"Closed")</f>
        <v>Closed</v>
      </c>
      <c r="DK231" s="360" t="str">
        <f>IFERROR(__xludf.DUMMYFUNCTION("""COMPUTED_VALUE"""),"Closed")</f>
        <v>Closed</v>
      </c>
      <c r="DL231" s="359" t="str">
        <f>IFERROR(__xludf.DUMMYFUNCTION("""COMPUTED_VALUE"""),"Closed")</f>
        <v>Closed</v>
      </c>
      <c r="DM231" s="359" t="str">
        <f>IFERROR(__xludf.DUMMYFUNCTION("""COMPUTED_VALUE"""),"Closed")</f>
        <v>Closed</v>
      </c>
      <c r="DN231" s="359" t="str">
        <f>IFERROR(__xludf.DUMMYFUNCTION("""COMPUTED_VALUE"""),"Closed")</f>
        <v>Closed</v>
      </c>
      <c r="DO231" s="359" t="str">
        <f>IFERROR(__xludf.DUMMYFUNCTION("""COMPUTED_VALUE"""),"Closed")</f>
        <v>Closed</v>
      </c>
      <c r="DP231" s="359" t="str">
        <f>IFERROR(__xludf.DUMMYFUNCTION("""COMPUTED_VALUE"""),"Closed")</f>
        <v>Closed</v>
      </c>
      <c r="DQ231" s="359" t="str">
        <f>IFERROR(__xludf.DUMMYFUNCTION("""COMPUTED_VALUE"""),"Closed")</f>
        <v>Closed</v>
      </c>
      <c r="DR231" s="359" t="str">
        <f>IFERROR(__xludf.DUMMYFUNCTION("""COMPUTED_VALUE"""),"Closed")</f>
        <v>Closed</v>
      </c>
      <c r="DS231" s="359" t="str">
        <f>IFERROR(__xludf.DUMMYFUNCTION("""COMPUTED_VALUE"""),"Closed")</f>
        <v>Closed</v>
      </c>
      <c r="DT231" s="359" t="str">
        <f>IFERROR(__xludf.DUMMYFUNCTION("""COMPUTED_VALUE"""),"Closed")</f>
        <v>Closed</v>
      </c>
      <c r="DU231" s="68"/>
    </row>
    <row r="232" hidden="1">
      <c r="B232" s="189" t="str">
        <f>IFERROR(__xludf.DUMMYFUNCTION("""COMPUTED_VALUE"""),"ATL5")</f>
        <v>ATL5</v>
      </c>
      <c r="C232" s="352" t="str">
        <f>IFERROR(__xludf.DUMMYFUNCTION("""COMPUTED_VALUE"""),"Astraea Island")</f>
        <v>Astraea Island</v>
      </c>
      <c r="D232" s="240">
        <f>IFERROR(__xludf.DUMMYFUNCTION("""COMPUTED_VALUE"""),21.0)</f>
        <v>21</v>
      </c>
      <c r="E232" s="190" t="b">
        <f>IFERROR(__xludf.DUMMYFUNCTION("""COMPUTED_VALUE"""),FALSE)</f>
        <v>0</v>
      </c>
      <c r="F232" s="190" t="str">
        <f>IFERROR(__xludf.DUMMYFUNCTION("""COMPUTED_VALUE"""),"Free Quests- Part 2!A662:J671")</f>
        <v>Free Quests- Part 2!A662:J671</v>
      </c>
      <c r="G232" s="190">
        <f>IFERROR(__xludf.DUMMYFUNCTION("""COMPUTED_VALUE"""),233.0)</f>
        <v>233</v>
      </c>
      <c r="H232" s="190" t="str">
        <f>IFERROR(__xludf.DUMMYFUNCTION("""COMPUTED_VALUE"""),"Closed")</f>
        <v>Closed</v>
      </c>
      <c r="I232" s="190">
        <f>IFERROR(__xludf.DUMMYFUNCTION("""COMPUTED_VALUE"""),34644.0)</f>
        <v>34644</v>
      </c>
      <c r="J232" s="190" t="str">
        <f>IFERROR(__xludf.DUMMYFUNCTION("""COMPUTED_VALUE"""),"Closed")</f>
        <v>Closed</v>
      </c>
      <c r="K232" s="244" t="str">
        <f>IFERROR(__xludf.DUMMYFUNCTION("""COMPUTED_VALUE"""),"Closed")</f>
        <v>Closed</v>
      </c>
      <c r="L232" s="353" t="str">
        <f>IFERROR(__xludf.DUMMYFUNCTION("""COMPUTED_VALUE"""),"Closed")</f>
        <v>Closed</v>
      </c>
      <c r="M232" s="354" t="str">
        <f>IFERROR(__xludf.DUMMYFUNCTION("""COMPUTED_VALUE"""),"Closed")</f>
        <v>Closed</v>
      </c>
      <c r="N232" s="355" t="str">
        <f>IFERROR(__xludf.DUMMYFUNCTION("""COMPUTED_VALUE"""),"Closed")</f>
        <v>Closed</v>
      </c>
      <c r="O232" s="353" t="str">
        <f>IFERROR(__xludf.DUMMYFUNCTION("""COMPUTED_VALUE"""),"Closed")</f>
        <v>Closed</v>
      </c>
      <c r="P232" s="354" t="str">
        <f>IFERROR(__xludf.DUMMYFUNCTION("""COMPUTED_VALUE"""),"Closed")</f>
        <v>Closed</v>
      </c>
      <c r="Q232" s="355" t="str">
        <f>IFERROR(__xludf.DUMMYFUNCTION("""COMPUTED_VALUE"""),"Closed")</f>
        <v>Closed</v>
      </c>
      <c r="R232" s="353" t="str">
        <f>IFERROR(__xludf.DUMMYFUNCTION("""COMPUTED_VALUE"""),"Closed")</f>
        <v>Closed</v>
      </c>
      <c r="S232" s="354" t="str">
        <f>IFERROR(__xludf.DUMMYFUNCTION("""COMPUTED_VALUE"""),"Closed")</f>
        <v>Closed</v>
      </c>
      <c r="T232" s="355" t="str">
        <f>IFERROR(__xludf.DUMMYFUNCTION("""COMPUTED_VALUE"""),"Closed")</f>
        <v>Closed</v>
      </c>
      <c r="U232" s="353" t="str">
        <f>IFERROR(__xludf.DUMMYFUNCTION("""COMPUTED_VALUE"""),"Closed")</f>
        <v>Closed</v>
      </c>
      <c r="V232" s="354" t="str">
        <f>IFERROR(__xludf.DUMMYFUNCTION("""COMPUTED_VALUE"""),"Closed")</f>
        <v>Closed</v>
      </c>
      <c r="W232" s="244" t="str">
        <f>IFERROR(__xludf.DUMMYFUNCTION("""COMPUTED_VALUE"""),"Closed")</f>
        <v>Closed</v>
      </c>
      <c r="X232" s="353" t="str">
        <f>IFERROR(__xludf.DUMMYFUNCTION("""COMPUTED_VALUE"""),"Closed")</f>
        <v>Closed</v>
      </c>
      <c r="Y232" s="354" t="str">
        <f>IFERROR(__xludf.DUMMYFUNCTION("""COMPUTED_VALUE"""),"Closed")</f>
        <v>Closed</v>
      </c>
      <c r="Z232" s="355" t="str">
        <f>IFERROR(__xludf.DUMMYFUNCTION("""COMPUTED_VALUE"""),"Closed")</f>
        <v>Closed</v>
      </c>
      <c r="AA232" s="353" t="str">
        <f>IFERROR(__xludf.DUMMYFUNCTION("""COMPUTED_VALUE"""),"Closed")</f>
        <v>Closed</v>
      </c>
      <c r="AB232" s="354" t="str">
        <f>IFERROR(__xludf.DUMMYFUNCTION("""COMPUTED_VALUE"""),"Closed")</f>
        <v>Closed</v>
      </c>
      <c r="AC232" s="355" t="str">
        <f>IFERROR(__xludf.DUMMYFUNCTION("""COMPUTED_VALUE"""),"Closed")</f>
        <v>Closed</v>
      </c>
      <c r="AD232" s="353" t="str">
        <f>IFERROR(__xludf.DUMMYFUNCTION("""COMPUTED_VALUE"""),"Closed")</f>
        <v>Closed</v>
      </c>
      <c r="AE232" s="354" t="str">
        <f>IFERROR(__xludf.DUMMYFUNCTION("""COMPUTED_VALUE"""),"Closed")</f>
        <v>Closed</v>
      </c>
      <c r="AF232" s="355" t="str">
        <f>IFERROR(__xludf.DUMMYFUNCTION("""COMPUTED_VALUE"""),"Closed")</f>
        <v>Closed</v>
      </c>
      <c r="AG232" s="353" t="str">
        <f>IFERROR(__xludf.DUMMYFUNCTION("""COMPUTED_VALUE"""),"Closed")</f>
        <v>Closed</v>
      </c>
      <c r="AH232" s="354" t="str">
        <f>IFERROR(__xludf.DUMMYFUNCTION("""COMPUTED_VALUE"""),"Closed")</f>
        <v>Closed</v>
      </c>
      <c r="AI232" s="244" t="str">
        <f>IFERROR(__xludf.DUMMYFUNCTION("""COMPUTED_VALUE"""),"Closed")</f>
        <v>Closed</v>
      </c>
      <c r="AJ232" s="353" t="str">
        <f>IFERROR(__xludf.DUMMYFUNCTION("""COMPUTED_VALUE"""),"Closed")</f>
        <v>Closed</v>
      </c>
      <c r="AK232" s="354" t="str">
        <f>IFERROR(__xludf.DUMMYFUNCTION("""COMPUTED_VALUE"""),"Closed")</f>
        <v>Closed</v>
      </c>
      <c r="AL232" s="356" t="str">
        <f>IFERROR(__xludf.DUMMYFUNCTION("""COMPUTED_VALUE"""),"Closed")</f>
        <v>Closed</v>
      </c>
      <c r="AM232" s="357" t="str">
        <f>IFERROR(__xludf.DUMMYFUNCTION("""COMPUTED_VALUE"""),"Closed")</f>
        <v>Closed</v>
      </c>
      <c r="AN232" s="354" t="str">
        <f>IFERROR(__xludf.DUMMYFUNCTION("""COMPUTED_VALUE"""),"Closed")</f>
        <v>Closed</v>
      </c>
      <c r="AO232" s="355" t="str">
        <f>IFERROR(__xludf.DUMMYFUNCTION("""COMPUTED_VALUE"""),"Closed")</f>
        <v>Closed</v>
      </c>
      <c r="AP232" s="353" t="str">
        <f>IFERROR(__xludf.DUMMYFUNCTION("""COMPUTED_VALUE"""),"Closed")</f>
        <v>Closed</v>
      </c>
      <c r="AQ232" s="354" t="str">
        <f>IFERROR(__xludf.DUMMYFUNCTION("""COMPUTED_VALUE"""),"Closed")</f>
        <v>Closed</v>
      </c>
      <c r="AR232" s="355" t="str">
        <f>IFERROR(__xludf.DUMMYFUNCTION("""COMPUTED_VALUE"""),"Closed")</f>
        <v>Closed</v>
      </c>
      <c r="AS232" s="353" t="str">
        <f>IFERROR(__xludf.DUMMYFUNCTION("""COMPUTED_VALUE"""),"Closed")</f>
        <v>Closed</v>
      </c>
      <c r="AT232" s="354" t="str">
        <f>IFERROR(__xludf.DUMMYFUNCTION("""COMPUTED_VALUE"""),"Closed")</f>
        <v>Closed</v>
      </c>
      <c r="AU232" s="244" t="str">
        <f>IFERROR(__xludf.DUMMYFUNCTION("""COMPUTED_VALUE"""),"Closed")</f>
        <v>Closed</v>
      </c>
      <c r="AV232" s="353" t="str">
        <f>IFERROR(__xludf.DUMMYFUNCTION("""COMPUTED_VALUE"""),"Closed")</f>
        <v>Closed</v>
      </c>
      <c r="AW232" s="354" t="str">
        <f>IFERROR(__xludf.DUMMYFUNCTION("""COMPUTED_VALUE"""),"Closed")</f>
        <v>Closed</v>
      </c>
      <c r="AX232" s="355" t="str">
        <f>IFERROR(__xludf.DUMMYFUNCTION("""COMPUTED_VALUE"""),"Closed")</f>
        <v>Closed</v>
      </c>
      <c r="AY232" s="353" t="str">
        <f>IFERROR(__xludf.DUMMYFUNCTION("""COMPUTED_VALUE"""),"Closed")</f>
        <v>Closed</v>
      </c>
      <c r="AZ232" s="354" t="str">
        <f>IFERROR(__xludf.DUMMYFUNCTION("""COMPUTED_VALUE"""),"Closed")</f>
        <v>Closed</v>
      </c>
      <c r="BA232" s="355" t="str">
        <f>IFERROR(__xludf.DUMMYFUNCTION("""COMPUTED_VALUE"""),"Closed")</f>
        <v>Closed</v>
      </c>
      <c r="BB232" s="353" t="str">
        <f>IFERROR(__xludf.DUMMYFUNCTION("""COMPUTED_VALUE"""),"Closed")</f>
        <v>Closed</v>
      </c>
      <c r="BC232" s="354" t="str">
        <f>IFERROR(__xludf.DUMMYFUNCTION("""COMPUTED_VALUE"""),"Closed")</f>
        <v>Closed</v>
      </c>
      <c r="BD232" s="355" t="str">
        <f>IFERROR(__xludf.DUMMYFUNCTION("""COMPUTED_VALUE"""),"Closed")</f>
        <v>Closed</v>
      </c>
      <c r="BE232" s="353" t="str">
        <f>IFERROR(__xludf.DUMMYFUNCTION("""COMPUTED_VALUE"""),"Closed")</f>
        <v>Closed</v>
      </c>
      <c r="BF232" s="354" t="str">
        <f>IFERROR(__xludf.DUMMYFUNCTION("""COMPUTED_VALUE"""),"Closed")</f>
        <v>Closed</v>
      </c>
      <c r="BG232" s="244" t="str">
        <f>IFERROR(__xludf.DUMMYFUNCTION("""COMPUTED_VALUE"""),"Closed")</f>
        <v>Closed</v>
      </c>
      <c r="BH232" s="353" t="str">
        <f>IFERROR(__xludf.DUMMYFUNCTION("""COMPUTED_VALUE"""),"Closed")</f>
        <v>Closed</v>
      </c>
      <c r="BI232" s="354" t="str">
        <f>IFERROR(__xludf.DUMMYFUNCTION("""COMPUTED_VALUE"""),"Closed")</f>
        <v>Closed</v>
      </c>
      <c r="BJ232" s="355" t="str">
        <f>IFERROR(__xludf.DUMMYFUNCTION("""COMPUTED_VALUE"""),"Closed")</f>
        <v>Closed</v>
      </c>
      <c r="BK232" s="353" t="str">
        <f>IFERROR(__xludf.DUMMYFUNCTION("""COMPUTED_VALUE"""),"Closed")</f>
        <v>Closed</v>
      </c>
      <c r="BL232" s="354" t="str">
        <f>IFERROR(__xludf.DUMMYFUNCTION("""COMPUTED_VALUE"""),"Closed")</f>
        <v>Closed</v>
      </c>
      <c r="BM232" s="355" t="str">
        <f>IFERROR(__xludf.DUMMYFUNCTION("""COMPUTED_VALUE"""),"Closed")</f>
        <v>Closed</v>
      </c>
      <c r="BN232" s="353" t="str">
        <f>IFERROR(__xludf.DUMMYFUNCTION("""COMPUTED_VALUE"""),"Closed")</f>
        <v>Closed</v>
      </c>
      <c r="BO232" s="354" t="str">
        <f>IFERROR(__xludf.DUMMYFUNCTION("""COMPUTED_VALUE"""),"Closed")</f>
        <v>Closed</v>
      </c>
      <c r="BP232" s="355" t="str">
        <f>IFERROR(__xludf.DUMMYFUNCTION("""COMPUTED_VALUE"""),"Closed")</f>
        <v>Closed</v>
      </c>
      <c r="BQ232" s="353" t="str">
        <f>IFERROR(__xludf.DUMMYFUNCTION("""COMPUTED_VALUE"""),"Closed")</f>
        <v>Closed</v>
      </c>
      <c r="BR232" s="354" t="str">
        <f>IFERROR(__xludf.DUMMYFUNCTION("""COMPUTED_VALUE"""),"Closed")</f>
        <v>Closed</v>
      </c>
      <c r="BS232" s="244" t="str">
        <f>IFERROR(__xludf.DUMMYFUNCTION("""COMPUTED_VALUE"""),"Closed")</f>
        <v>Closed</v>
      </c>
      <c r="BT232" s="353" t="str">
        <f>IFERROR(__xludf.DUMMYFUNCTION("""COMPUTED_VALUE"""),"Closed")</f>
        <v>Closed</v>
      </c>
      <c r="BU232" s="354" t="str">
        <f>IFERROR(__xludf.DUMMYFUNCTION("""COMPUTED_VALUE"""),"Closed")</f>
        <v>Closed</v>
      </c>
      <c r="BV232" s="355" t="str">
        <f>IFERROR(__xludf.DUMMYFUNCTION("""COMPUTED_VALUE"""),"Closed")</f>
        <v>Closed</v>
      </c>
      <c r="BW232" s="353" t="str">
        <f>IFERROR(__xludf.DUMMYFUNCTION("""COMPUTED_VALUE"""),"Closed")</f>
        <v>Closed</v>
      </c>
      <c r="BX232" s="354" t="str">
        <f>IFERROR(__xludf.DUMMYFUNCTION("""COMPUTED_VALUE"""),"Closed")</f>
        <v>Closed</v>
      </c>
      <c r="BY232" s="355" t="str">
        <f>IFERROR(__xludf.DUMMYFUNCTION("""COMPUTED_VALUE"""),"Closed")</f>
        <v>Closed</v>
      </c>
      <c r="BZ232" s="353" t="str">
        <f>IFERROR(__xludf.DUMMYFUNCTION("""COMPUTED_VALUE"""),"Closed")</f>
        <v>Closed</v>
      </c>
      <c r="CA232" s="354" t="str">
        <f>IFERROR(__xludf.DUMMYFUNCTION("""COMPUTED_VALUE"""),"Closed")</f>
        <v>Closed</v>
      </c>
      <c r="CB232" s="355" t="str">
        <f>IFERROR(__xludf.DUMMYFUNCTION("""COMPUTED_VALUE"""),"Closed")</f>
        <v>Closed</v>
      </c>
      <c r="CC232" s="353" t="str">
        <f>IFERROR(__xludf.DUMMYFUNCTION("""COMPUTED_VALUE"""),"Closed")</f>
        <v>Closed</v>
      </c>
      <c r="CD232" s="354" t="str">
        <f>IFERROR(__xludf.DUMMYFUNCTION("""COMPUTED_VALUE"""),"Closed")</f>
        <v>Closed</v>
      </c>
      <c r="CE232" s="355" t="str">
        <f>IFERROR(__xludf.DUMMYFUNCTION("""COMPUTED_VALUE"""),"Closed")</f>
        <v>Closed</v>
      </c>
      <c r="CF232" s="353" t="str">
        <f>IFERROR(__xludf.DUMMYFUNCTION("""COMPUTED_VALUE"""),"Closed")</f>
        <v>Closed</v>
      </c>
      <c r="CG232" s="354" t="str">
        <f>IFERROR(__xludf.DUMMYFUNCTION("""COMPUTED_VALUE"""),"Closed")</f>
        <v>Closed</v>
      </c>
      <c r="CH232" s="355" t="str">
        <f>IFERROR(__xludf.DUMMYFUNCTION("""COMPUTED_VALUE"""),"Closed")</f>
        <v>Closed</v>
      </c>
      <c r="CI232" s="353" t="str">
        <f>IFERROR(__xludf.DUMMYFUNCTION("""COMPUTED_VALUE"""),"Closed")</f>
        <v>Closed</v>
      </c>
      <c r="CJ232" s="353" t="str">
        <f>IFERROR(__xludf.DUMMYFUNCTION("""COMPUTED_VALUE"""),"Closed")</f>
        <v>Closed</v>
      </c>
      <c r="CK232" s="355" t="str">
        <f>IFERROR(__xludf.DUMMYFUNCTION("""COMPUTED_VALUE"""),"Closed")</f>
        <v>Closed</v>
      </c>
      <c r="CL232" s="353" t="str">
        <f>IFERROR(__xludf.DUMMYFUNCTION("""COMPUTED_VALUE"""),"Closed")</f>
        <v>Closed</v>
      </c>
      <c r="CM232" s="354" t="str">
        <f>IFERROR(__xludf.DUMMYFUNCTION("""COMPUTED_VALUE"""),"Closed")</f>
        <v>Closed</v>
      </c>
      <c r="CN232" s="353" t="str">
        <f>IFERROR(__xludf.DUMMYFUNCTION("""COMPUTED_VALUE"""),"Closed")</f>
        <v>Closed</v>
      </c>
      <c r="CO232" s="353" t="str">
        <f>IFERROR(__xludf.DUMMYFUNCTION("""COMPUTED_VALUE"""),"Closed")</f>
        <v>Closed</v>
      </c>
      <c r="CP232" s="353" t="str">
        <f>IFERROR(__xludf.DUMMYFUNCTION("""COMPUTED_VALUE"""),"Closed")</f>
        <v>Closed</v>
      </c>
      <c r="CQ232" s="355" t="str">
        <f>IFERROR(__xludf.DUMMYFUNCTION("""COMPUTED_VALUE"""),"Closed")</f>
        <v>Closed</v>
      </c>
      <c r="CR232" s="353" t="str">
        <f>IFERROR(__xludf.DUMMYFUNCTION("""COMPUTED_VALUE"""),"Closed")</f>
        <v>Closed</v>
      </c>
      <c r="CS232" s="353" t="str">
        <f>IFERROR(__xludf.DUMMYFUNCTION("""COMPUTED_VALUE"""),"Closed")</f>
        <v>Closed</v>
      </c>
      <c r="CT232" s="355" t="str">
        <f>IFERROR(__xludf.DUMMYFUNCTION("""COMPUTED_VALUE"""),"Closed")</f>
        <v>Closed</v>
      </c>
      <c r="CU232" s="353" t="str">
        <f>IFERROR(__xludf.DUMMYFUNCTION("""COMPUTED_VALUE"""),"Closed")</f>
        <v>Closed</v>
      </c>
      <c r="CV232" s="353" t="str">
        <f>IFERROR(__xludf.DUMMYFUNCTION("""COMPUTED_VALUE"""),"Closed")</f>
        <v>Closed</v>
      </c>
      <c r="CW232" s="355" t="str">
        <f>IFERROR(__xludf.DUMMYFUNCTION("""COMPUTED_VALUE"""),"Closed")</f>
        <v>Closed</v>
      </c>
      <c r="CX232" s="353" t="str">
        <f>IFERROR(__xludf.DUMMYFUNCTION("""COMPUTED_VALUE"""),"Closed")</f>
        <v>Closed</v>
      </c>
      <c r="CY232" s="354" t="str">
        <f>IFERROR(__xludf.DUMMYFUNCTION("""COMPUTED_VALUE"""),"Closed")</f>
        <v>Closed</v>
      </c>
      <c r="CZ232" s="353" t="str">
        <f>IFERROR(__xludf.DUMMYFUNCTION("""COMPUTED_VALUE"""),"Closed")</f>
        <v>Closed</v>
      </c>
      <c r="DA232" s="353" t="str">
        <f>IFERROR(__xludf.DUMMYFUNCTION("""COMPUTED_VALUE"""),"Closed")</f>
        <v>Closed</v>
      </c>
      <c r="DB232" s="354" t="str">
        <f>IFERROR(__xludf.DUMMYFUNCTION("""COMPUTED_VALUE"""),"Closed")</f>
        <v>Closed</v>
      </c>
      <c r="DC232" s="355" t="str">
        <f>IFERROR(__xludf.DUMMYFUNCTION("""COMPUTED_VALUE"""),"Closed")</f>
        <v>Closed</v>
      </c>
      <c r="DD232" s="353" t="str">
        <f>IFERROR(__xludf.DUMMYFUNCTION("""COMPUTED_VALUE"""),"Closed")</f>
        <v>Closed</v>
      </c>
      <c r="DE232" s="354" t="str">
        <f>IFERROR(__xludf.DUMMYFUNCTION("""COMPUTED_VALUE"""),"Closed")</f>
        <v>Closed</v>
      </c>
      <c r="DF232" s="355" t="str">
        <f>IFERROR(__xludf.DUMMYFUNCTION("""COMPUTED_VALUE"""),"Closed")</f>
        <v>Closed</v>
      </c>
      <c r="DG232" s="353" t="str">
        <f>IFERROR(__xludf.DUMMYFUNCTION("""COMPUTED_VALUE"""),"Closed")</f>
        <v>Closed</v>
      </c>
      <c r="DH232" s="354" t="str">
        <f>IFERROR(__xludf.DUMMYFUNCTION("""COMPUTED_VALUE"""),"Closed")</f>
        <v>Closed</v>
      </c>
      <c r="DI232" s="355" t="str">
        <f>IFERROR(__xludf.DUMMYFUNCTION("""COMPUTED_VALUE"""),"Closed")</f>
        <v>Closed</v>
      </c>
      <c r="DJ232" s="353" t="str">
        <f>IFERROR(__xludf.DUMMYFUNCTION("""COMPUTED_VALUE"""),"Closed")</f>
        <v>Closed</v>
      </c>
      <c r="DK232" s="354" t="str">
        <f>IFERROR(__xludf.DUMMYFUNCTION("""COMPUTED_VALUE"""),"Closed")</f>
        <v>Closed</v>
      </c>
      <c r="DL232" s="353" t="str">
        <f>IFERROR(__xludf.DUMMYFUNCTION("""COMPUTED_VALUE"""),"Closed")</f>
        <v>Closed</v>
      </c>
      <c r="DM232" s="353" t="str">
        <f>IFERROR(__xludf.DUMMYFUNCTION("""COMPUTED_VALUE"""),"Closed")</f>
        <v>Closed</v>
      </c>
      <c r="DN232" s="353" t="str">
        <f>IFERROR(__xludf.DUMMYFUNCTION("""COMPUTED_VALUE"""),"Closed")</f>
        <v>Closed</v>
      </c>
      <c r="DO232" s="353" t="str">
        <f>IFERROR(__xludf.DUMMYFUNCTION("""COMPUTED_VALUE"""),"Closed")</f>
        <v>Closed</v>
      </c>
      <c r="DP232" s="353" t="str">
        <f>IFERROR(__xludf.DUMMYFUNCTION("""COMPUTED_VALUE"""),"Closed")</f>
        <v>Closed</v>
      </c>
      <c r="DQ232" s="353" t="str">
        <f>IFERROR(__xludf.DUMMYFUNCTION("""COMPUTED_VALUE"""),"Closed")</f>
        <v>Closed</v>
      </c>
      <c r="DR232" s="353" t="str">
        <f>IFERROR(__xludf.DUMMYFUNCTION("""COMPUTED_VALUE"""),"Closed")</f>
        <v>Closed</v>
      </c>
      <c r="DS232" s="353" t="str">
        <f>IFERROR(__xludf.DUMMYFUNCTION("""COMPUTED_VALUE"""),"Closed")</f>
        <v>Closed</v>
      </c>
      <c r="DT232" s="353" t="str">
        <f>IFERROR(__xludf.DUMMYFUNCTION("""COMPUTED_VALUE"""),"Closed")</f>
        <v>Closed</v>
      </c>
      <c r="DU232" s="190"/>
    </row>
    <row r="233" hidden="1">
      <c r="B233" s="201" t="str">
        <f>IFERROR(__xludf.DUMMYFUNCTION("""COMPUTED_VALUE"""),"ATL6")</f>
        <v>ATL6</v>
      </c>
      <c r="C233" s="358" t="str">
        <f>IFERROR(__xludf.DUMMYFUNCTION("""COMPUTED_VALUE"""),"Thetis Island")</f>
        <v>Thetis Island</v>
      </c>
      <c r="D233" s="248">
        <f>IFERROR(__xludf.DUMMYFUNCTION("""COMPUTED_VALUE"""),21.0)</f>
        <v>21</v>
      </c>
      <c r="E233" s="68" t="b">
        <f>IFERROR(__xludf.DUMMYFUNCTION("""COMPUTED_VALUE"""),FALSE)</f>
        <v>0</v>
      </c>
      <c r="F233" s="68" t="str">
        <f>IFERROR(__xludf.DUMMYFUNCTION("""COMPUTED_VALUE"""),"Free Quests- Part 2!A675:J684")</f>
        <v>Free Quests- Part 2!A675:J684</v>
      </c>
      <c r="G233" s="68">
        <f>IFERROR(__xludf.DUMMYFUNCTION("""COMPUTED_VALUE"""),234.0)</f>
        <v>234</v>
      </c>
      <c r="H233" s="68" t="str">
        <f>IFERROR(__xludf.DUMMYFUNCTION("""COMPUTED_VALUE"""),"Closed")</f>
        <v>Closed</v>
      </c>
      <c r="I233" s="68">
        <f>IFERROR(__xludf.DUMMYFUNCTION("""COMPUTED_VALUE"""),1367.0)</f>
        <v>1367</v>
      </c>
      <c r="J233" s="68" t="str">
        <f>IFERROR(__xludf.DUMMYFUNCTION("""COMPUTED_VALUE"""),"Closed")</f>
        <v>Closed</v>
      </c>
      <c r="K233" s="252" t="str">
        <f>IFERROR(__xludf.DUMMYFUNCTION("""COMPUTED_VALUE"""),"Closed")</f>
        <v>Closed</v>
      </c>
      <c r="L233" s="359" t="str">
        <f>IFERROR(__xludf.DUMMYFUNCTION("""COMPUTED_VALUE"""),"Closed")</f>
        <v>Closed</v>
      </c>
      <c r="M233" s="360" t="str">
        <f>IFERROR(__xludf.DUMMYFUNCTION("""COMPUTED_VALUE"""),"Closed")</f>
        <v>Closed</v>
      </c>
      <c r="N233" s="361" t="str">
        <f>IFERROR(__xludf.DUMMYFUNCTION("""COMPUTED_VALUE"""),"Closed")</f>
        <v>Closed</v>
      </c>
      <c r="O233" s="359" t="str">
        <f>IFERROR(__xludf.DUMMYFUNCTION("""COMPUTED_VALUE"""),"Closed")</f>
        <v>Closed</v>
      </c>
      <c r="P233" s="360" t="str">
        <f>IFERROR(__xludf.DUMMYFUNCTION("""COMPUTED_VALUE"""),"Closed")</f>
        <v>Closed</v>
      </c>
      <c r="Q233" s="361" t="str">
        <f>IFERROR(__xludf.DUMMYFUNCTION("""COMPUTED_VALUE"""),"Closed")</f>
        <v>Closed</v>
      </c>
      <c r="R233" s="359" t="str">
        <f>IFERROR(__xludf.DUMMYFUNCTION("""COMPUTED_VALUE"""),"Closed")</f>
        <v>Closed</v>
      </c>
      <c r="S233" s="360" t="str">
        <f>IFERROR(__xludf.DUMMYFUNCTION("""COMPUTED_VALUE"""),"Closed")</f>
        <v>Closed</v>
      </c>
      <c r="T233" s="361" t="str">
        <f>IFERROR(__xludf.DUMMYFUNCTION("""COMPUTED_VALUE"""),"Closed")</f>
        <v>Closed</v>
      </c>
      <c r="U233" s="359" t="str">
        <f>IFERROR(__xludf.DUMMYFUNCTION("""COMPUTED_VALUE"""),"Closed")</f>
        <v>Closed</v>
      </c>
      <c r="V233" s="360" t="str">
        <f>IFERROR(__xludf.DUMMYFUNCTION("""COMPUTED_VALUE"""),"Closed")</f>
        <v>Closed</v>
      </c>
      <c r="W233" s="252" t="str">
        <f>IFERROR(__xludf.DUMMYFUNCTION("""COMPUTED_VALUE"""),"Closed")</f>
        <v>Closed</v>
      </c>
      <c r="X233" s="359" t="str">
        <f>IFERROR(__xludf.DUMMYFUNCTION("""COMPUTED_VALUE"""),"Closed")</f>
        <v>Closed</v>
      </c>
      <c r="Y233" s="360" t="str">
        <f>IFERROR(__xludf.DUMMYFUNCTION("""COMPUTED_VALUE"""),"Closed")</f>
        <v>Closed</v>
      </c>
      <c r="Z233" s="361" t="str">
        <f>IFERROR(__xludf.DUMMYFUNCTION("""COMPUTED_VALUE"""),"Closed")</f>
        <v>Closed</v>
      </c>
      <c r="AA233" s="359" t="str">
        <f>IFERROR(__xludf.DUMMYFUNCTION("""COMPUTED_VALUE"""),"Closed")</f>
        <v>Closed</v>
      </c>
      <c r="AB233" s="360" t="str">
        <f>IFERROR(__xludf.DUMMYFUNCTION("""COMPUTED_VALUE"""),"Closed")</f>
        <v>Closed</v>
      </c>
      <c r="AC233" s="361" t="str">
        <f>IFERROR(__xludf.DUMMYFUNCTION("""COMPUTED_VALUE"""),"Closed")</f>
        <v>Closed</v>
      </c>
      <c r="AD233" s="359" t="str">
        <f>IFERROR(__xludf.DUMMYFUNCTION("""COMPUTED_VALUE"""),"Closed")</f>
        <v>Closed</v>
      </c>
      <c r="AE233" s="360" t="str">
        <f>IFERROR(__xludf.DUMMYFUNCTION("""COMPUTED_VALUE"""),"Closed")</f>
        <v>Closed</v>
      </c>
      <c r="AF233" s="361" t="str">
        <f>IFERROR(__xludf.DUMMYFUNCTION("""COMPUTED_VALUE"""),"Closed")</f>
        <v>Closed</v>
      </c>
      <c r="AG233" s="359" t="str">
        <f>IFERROR(__xludf.DUMMYFUNCTION("""COMPUTED_VALUE"""),"Closed")</f>
        <v>Closed</v>
      </c>
      <c r="AH233" s="360" t="str">
        <f>IFERROR(__xludf.DUMMYFUNCTION("""COMPUTED_VALUE"""),"Closed")</f>
        <v>Closed</v>
      </c>
      <c r="AI233" s="252" t="str">
        <f>IFERROR(__xludf.DUMMYFUNCTION("""COMPUTED_VALUE"""),"Closed")</f>
        <v>Closed</v>
      </c>
      <c r="AJ233" s="359" t="str">
        <f>IFERROR(__xludf.DUMMYFUNCTION("""COMPUTED_VALUE"""),"Closed")</f>
        <v>Closed</v>
      </c>
      <c r="AK233" s="360" t="str">
        <f>IFERROR(__xludf.DUMMYFUNCTION("""COMPUTED_VALUE"""),"Closed")</f>
        <v>Closed</v>
      </c>
      <c r="AL233" s="362" t="str">
        <f>IFERROR(__xludf.DUMMYFUNCTION("""COMPUTED_VALUE"""),"Closed")</f>
        <v>Closed</v>
      </c>
      <c r="AM233" s="363" t="str">
        <f>IFERROR(__xludf.DUMMYFUNCTION("""COMPUTED_VALUE"""),"Closed")</f>
        <v>Closed</v>
      </c>
      <c r="AN233" s="360" t="str">
        <f>IFERROR(__xludf.DUMMYFUNCTION("""COMPUTED_VALUE"""),"Closed")</f>
        <v>Closed</v>
      </c>
      <c r="AO233" s="361" t="str">
        <f>IFERROR(__xludf.DUMMYFUNCTION("""COMPUTED_VALUE"""),"Closed")</f>
        <v>Closed</v>
      </c>
      <c r="AP233" s="359" t="str">
        <f>IFERROR(__xludf.DUMMYFUNCTION("""COMPUTED_VALUE"""),"Closed")</f>
        <v>Closed</v>
      </c>
      <c r="AQ233" s="360" t="str">
        <f>IFERROR(__xludf.DUMMYFUNCTION("""COMPUTED_VALUE"""),"Closed")</f>
        <v>Closed</v>
      </c>
      <c r="AR233" s="361" t="str">
        <f>IFERROR(__xludf.DUMMYFUNCTION("""COMPUTED_VALUE"""),"Closed")</f>
        <v>Closed</v>
      </c>
      <c r="AS233" s="359" t="str">
        <f>IFERROR(__xludf.DUMMYFUNCTION("""COMPUTED_VALUE"""),"Closed")</f>
        <v>Closed</v>
      </c>
      <c r="AT233" s="360" t="str">
        <f>IFERROR(__xludf.DUMMYFUNCTION("""COMPUTED_VALUE"""),"Closed")</f>
        <v>Closed</v>
      </c>
      <c r="AU233" s="252" t="str">
        <f>IFERROR(__xludf.DUMMYFUNCTION("""COMPUTED_VALUE"""),"Closed")</f>
        <v>Closed</v>
      </c>
      <c r="AV233" s="359" t="str">
        <f>IFERROR(__xludf.DUMMYFUNCTION("""COMPUTED_VALUE"""),"Closed")</f>
        <v>Closed</v>
      </c>
      <c r="AW233" s="360" t="str">
        <f>IFERROR(__xludf.DUMMYFUNCTION("""COMPUTED_VALUE"""),"Closed")</f>
        <v>Closed</v>
      </c>
      <c r="AX233" s="361" t="str">
        <f>IFERROR(__xludf.DUMMYFUNCTION("""COMPUTED_VALUE"""),"Closed")</f>
        <v>Closed</v>
      </c>
      <c r="AY233" s="359" t="str">
        <f>IFERROR(__xludf.DUMMYFUNCTION("""COMPUTED_VALUE"""),"Closed")</f>
        <v>Closed</v>
      </c>
      <c r="AZ233" s="360" t="str">
        <f>IFERROR(__xludf.DUMMYFUNCTION("""COMPUTED_VALUE"""),"Closed")</f>
        <v>Closed</v>
      </c>
      <c r="BA233" s="361" t="str">
        <f>IFERROR(__xludf.DUMMYFUNCTION("""COMPUTED_VALUE"""),"Closed")</f>
        <v>Closed</v>
      </c>
      <c r="BB233" s="359" t="str">
        <f>IFERROR(__xludf.DUMMYFUNCTION("""COMPUTED_VALUE"""),"Closed")</f>
        <v>Closed</v>
      </c>
      <c r="BC233" s="360" t="str">
        <f>IFERROR(__xludf.DUMMYFUNCTION("""COMPUTED_VALUE"""),"Closed")</f>
        <v>Closed</v>
      </c>
      <c r="BD233" s="361" t="str">
        <f>IFERROR(__xludf.DUMMYFUNCTION("""COMPUTED_VALUE"""),"Closed")</f>
        <v>Closed</v>
      </c>
      <c r="BE233" s="359" t="str">
        <f>IFERROR(__xludf.DUMMYFUNCTION("""COMPUTED_VALUE"""),"Closed")</f>
        <v>Closed</v>
      </c>
      <c r="BF233" s="360" t="str">
        <f>IFERROR(__xludf.DUMMYFUNCTION("""COMPUTED_VALUE"""),"Closed")</f>
        <v>Closed</v>
      </c>
      <c r="BG233" s="252" t="str">
        <f>IFERROR(__xludf.DUMMYFUNCTION("""COMPUTED_VALUE"""),"Closed")</f>
        <v>Closed</v>
      </c>
      <c r="BH233" s="359" t="str">
        <f>IFERROR(__xludf.DUMMYFUNCTION("""COMPUTED_VALUE"""),"Closed")</f>
        <v>Closed</v>
      </c>
      <c r="BI233" s="360" t="str">
        <f>IFERROR(__xludf.DUMMYFUNCTION("""COMPUTED_VALUE"""),"Closed")</f>
        <v>Closed</v>
      </c>
      <c r="BJ233" s="361" t="str">
        <f>IFERROR(__xludf.DUMMYFUNCTION("""COMPUTED_VALUE"""),"Closed")</f>
        <v>Closed</v>
      </c>
      <c r="BK233" s="359" t="str">
        <f>IFERROR(__xludf.DUMMYFUNCTION("""COMPUTED_VALUE"""),"Closed")</f>
        <v>Closed</v>
      </c>
      <c r="BL233" s="360" t="str">
        <f>IFERROR(__xludf.DUMMYFUNCTION("""COMPUTED_VALUE"""),"Closed")</f>
        <v>Closed</v>
      </c>
      <c r="BM233" s="361" t="str">
        <f>IFERROR(__xludf.DUMMYFUNCTION("""COMPUTED_VALUE"""),"Closed")</f>
        <v>Closed</v>
      </c>
      <c r="BN233" s="359" t="str">
        <f>IFERROR(__xludf.DUMMYFUNCTION("""COMPUTED_VALUE"""),"Closed")</f>
        <v>Closed</v>
      </c>
      <c r="BO233" s="360" t="str">
        <f>IFERROR(__xludf.DUMMYFUNCTION("""COMPUTED_VALUE"""),"Closed")</f>
        <v>Closed</v>
      </c>
      <c r="BP233" s="361" t="str">
        <f>IFERROR(__xludf.DUMMYFUNCTION("""COMPUTED_VALUE"""),"Closed")</f>
        <v>Closed</v>
      </c>
      <c r="BQ233" s="359" t="str">
        <f>IFERROR(__xludf.DUMMYFUNCTION("""COMPUTED_VALUE"""),"Closed")</f>
        <v>Closed</v>
      </c>
      <c r="BR233" s="360" t="str">
        <f>IFERROR(__xludf.DUMMYFUNCTION("""COMPUTED_VALUE"""),"Closed")</f>
        <v>Closed</v>
      </c>
      <c r="BS233" s="252" t="str">
        <f>IFERROR(__xludf.DUMMYFUNCTION("""COMPUTED_VALUE"""),"Closed")</f>
        <v>Closed</v>
      </c>
      <c r="BT233" s="359" t="str">
        <f>IFERROR(__xludf.DUMMYFUNCTION("""COMPUTED_VALUE"""),"Closed")</f>
        <v>Closed</v>
      </c>
      <c r="BU233" s="360" t="str">
        <f>IFERROR(__xludf.DUMMYFUNCTION("""COMPUTED_VALUE"""),"Closed")</f>
        <v>Closed</v>
      </c>
      <c r="BV233" s="361" t="str">
        <f>IFERROR(__xludf.DUMMYFUNCTION("""COMPUTED_VALUE"""),"Closed")</f>
        <v>Closed</v>
      </c>
      <c r="BW233" s="359" t="str">
        <f>IFERROR(__xludf.DUMMYFUNCTION("""COMPUTED_VALUE"""),"Closed")</f>
        <v>Closed</v>
      </c>
      <c r="BX233" s="360" t="str">
        <f>IFERROR(__xludf.DUMMYFUNCTION("""COMPUTED_VALUE"""),"Closed")</f>
        <v>Closed</v>
      </c>
      <c r="BY233" s="361" t="str">
        <f>IFERROR(__xludf.DUMMYFUNCTION("""COMPUTED_VALUE"""),"Closed")</f>
        <v>Closed</v>
      </c>
      <c r="BZ233" s="359" t="str">
        <f>IFERROR(__xludf.DUMMYFUNCTION("""COMPUTED_VALUE"""),"Closed")</f>
        <v>Closed</v>
      </c>
      <c r="CA233" s="360" t="str">
        <f>IFERROR(__xludf.DUMMYFUNCTION("""COMPUTED_VALUE"""),"Closed")</f>
        <v>Closed</v>
      </c>
      <c r="CB233" s="361" t="str">
        <f>IFERROR(__xludf.DUMMYFUNCTION("""COMPUTED_VALUE"""),"Closed")</f>
        <v>Closed</v>
      </c>
      <c r="CC233" s="359" t="str">
        <f>IFERROR(__xludf.DUMMYFUNCTION("""COMPUTED_VALUE"""),"Closed")</f>
        <v>Closed</v>
      </c>
      <c r="CD233" s="360" t="str">
        <f>IFERROR(__xludf.DUMMYFUNCTION("""COMPUTED_VALUE"""),"Closed")</f>
        <v>Closed</v>
      </c>
      <c r="CE233" s="361" t="str">
        <f>IFERROR(__xludf.DUMMYFUNCTION("""COMPUTED_VALUE"""),"Closed")</f>
        <v>Closed</v>
      </c>
      <c r="CF233" s="359" t="str">
        <f>IFERROR(__xludf.DUMMYFUNCTION("""COMPUTED_VALUE"""),"Closed")</f>
        <v>Closed</v>
      </c>
      <c r="CG233" s="360" t="str">
        <f>IFERROR(__xludf.DUMMYFUNCTION("""COMPUTED_VALUE"""),"Closed")</f>
        <v>Closed</v>
      </c>
      <c r="CH233" s="361" t="str">
        <f>IFERROR(__xludf.DUMMYFUNCTION("""COMPUTED_VALUE"""),"Closed")</f>
        <v>Closed</v>
      </c>
      <c r="CI233" s="359" t="str">
        <f>IFERROR(__xludf.DUMMYFUNCTION("""COMPUTED_VALUE"""),"Closed")</f>
        <v>Closed</v>
      </c>
      <c r="CJ233" s="359" t="str">
        <f>IFERROR(__xludf.DUMMYFUNCTION("""COMPUTED_VALUE"""),"Closed")</f>
        <v>Closed</v>
      </c>
      <c r="CK233" s="361" t="str">
        <f>IFERROR(__xludf.DUMMYFUNCTION("""COMPUTED_VALUE"""),"Closed")</f>
        <v>Closed</v>
      </c>
      <c r="CL233" s="359" t="str">
        <f>IFERROR(__xludf.DUMMYFUNCTION("""COMPUTED_VALUE"""),"Closed")</f>
        <v>Closed</v>
      </c>
      <c r="CM233" s="360" t="str">
        <f>IFERROR(__xludf.DUMMYFUNCTION("""COMPUTED_VALUE"""),"Closed")</f>
        <v>Closed</v>
      </c>
      <c r="CN233" s="359" t="str">
        <f>IFERROR(__xludf.DUMMYFUNCTION("""COMPUTED_VALUE"""),"Closed")</f>
        <v>Closed</v>
      </c>
      <c r="CO233" s="359" t="str">
        <f>IFERROR(__xludf.DUMMYFUNCTION("""COMPUTED_VALUE"""),"Closed")</f>
        <v>Closed</v>
      </c>
      <c r="CP233" s="359" t="str">
        <f>IFERROR(__xludf.DUMMYFUNCTION("""COMPUTED_VALUE"""),"Closed")</f>
        <v>Closed</v>
      </c>
      <c r="CQ233" s="361" t="str">
        <f>IFERROR(__xludf.DUMMYFUNCTION("""COMPUTED_VALUE"""),"Closed")</f>
        <v>Closed</v>
      </c>
      <c r="CR233" s="359" t="str">
        <f>IFERROR(__xludf.DUMMYFUNCTION("""COMPUTED_VALUE"""),"Closed")</f>
        <v>Closed</v>
      </c>
      <c r="CS233" s="359" t="str">
        <f>IFERROR(__xludf.DUMMYFUNCTION("""COMPUTED_VALUE"""),"Closed")</f>
        <v>Closed</v>
      </c>
      <c r="CT233" s="361" t="str">
        <f>IFERROR(__xludf.DUMMYFUNCTION("""COMPUTED_VALUE"""),"Closed")</f>
        <v>Closed</v>
      </c>
      <c r="CU233" s="359" t="str">
        <f>IFERROR(__xludf.DUMMYFUNCTION("""COMPUTED_VALUE"""),"Closed")</f>
        <v>Closed</v>
      </c>
      <c r="CV233" s="359" t="str">
        <f>IFERROR(__xludf.DUMMYFUNCTION("""COMPUTED_VALUE"""),"Closed")</f>
        <v>Closed</v>
      </c>
      <c r="CW233" s="361" t="str">
        <f>IFERROR(__xludf.DUMMYFUNCTION("""COMPUTED_VALUE"""),"Closed")</f>
        <v>Closed</v>
      </c>
      <c r="CX233" s="359" t="str">
        <f>IFERROR(__xludf.DUMMYFUNCTION("""COMPUTED_VALUE"""),"Closed")</f>
        <v>Closed</v>
      </c>
      <c r="CY233" s="360" t="str">
        <f>IFERROR(__xludf.DUMMYFUNCTION("""COMPUTED_VALUE"""),"Closed")</f>
        <v>Closed</v>
      </c>
      <c r="CZ233" s="359" t="str">
        <f>IFERROR(__xludf.DUMMYFUNCTION("""COMPUTED_VALUE"""),"Closed")</f>
        <v>Closed</v>
      </c>
      <c r="DA233" s="359" t="str">
        <f>IFERROR(__xludf.DUMMYFUNCTION("""COMPUTED_VALUE"""),"Closed")</f>
        <v>Closed</v>
      </c>
      <c r="DB233" s="360" t="str">
        <f>IFERROR(__xludf.DUMMYFUNCTION("""COMPUTED_VALUE"""),"Closed")</f>
        <v>Closed</v>
      </c>
      <c r="DC233" s="361" t="str">
        <f>IFERROR(__xludf.DUMMYFUNCTION("""COMPUTED_VALUE"""),"Closed")</f>
        <v>Closed</v>
      </c>
      <c r="DD233" s="359" t="str">
        <f>IFERROR(__xludf.DUMMYFUNCTION("""COMPUTED_VALUE"""),"Closed")</f>
        <v>Closed</v>
      </c>
      <c r="DE233" s="360" t="str">
        <f>IFERROR(__xludf.DUMMYFUNCTION("""COMPUTED_VALUE"""),"Closed")</f>
        <v>Closed</v>
      </c>
      <c r="DF233" s="361" t="str">
        <f>IFERROR(__xludf.DUMMYFUNCTION("""COMPUTED_VALUE"""),"Closed")</f>
        <v>Closed</v>
      </c>
      <c r="DG233" s="359" t="str">
        <f>IFERROR(__xludf.DUMMYFUNCTION("""COMPUTED_VALUE"""),"Closed")</f>
        <v>Closed</v>
      </c>
      <c r="DH233" s="360" t="str">
        <f>IFERROR(__xludf.DUMMYFUNCTION("""COMPUTED_VALUE"""),"Closed")</f>
        <v>Closed</v>
      </c>
      <c r="DI233" s="361" t="str">
        <f>IFERROR(__xludf.DUMMYFUNCTION("""COMPUTED_VALUE"""),"Closed")</f>
        <v>Closed</v>
      </c>
      <c r="DJ233" s="359" t="str">
        <f>IFERROR(__xludf.DUMMYFUNCTION("""COMPUTED_VALUE"""),"Closed")</f>
        <v>Closed</v>
      </c>
      <c r="DK233" s="360" t="str">
        <f>IFERROR(__xludf.DUMMYFUNCTION("""COMPUTED_VALUE"""),"Closed")</f>
        <v>Closed</v>
      </c>
      <c r="DL233" s="359" t="str">
        <f>IFERROR(__xludf.DUMMYFUNCTION("""COMPUTED_VALUE"""),"Closed")</f>
        <v>Closed</v>
      </c>
      <c r="DM233" s="359" t="str">
        <f>IFERROR(__xludf.DUMMYFUNCTION("""COMPUTED_VALUE"""),"Closed")</f>
        <v>Closed</v>
      </c>
      <c r="DN233" s="359" t="str">
        <f>IFERROR(__xludf.DUMMYFUNCTION("""COMPUTED_VALUE"""),"Closed")</f>
        <v>Closed</v>
      </c>
      <c r="DO233" s="359" t="str">
        <f>IFERROR(__xludf.DUMMYFUNCTION("""COMPUTED_VALUE"""),"Closed")</f>
        <v>Closed</v>
      </c>
      <c r="DP233" s="359" t="str">
        <f>IFERROR(__xludf.DUMMYFUNCTION("""COMPUTED_VALUE"""),"Closed")</f>
        <v>Closed</v>
      </c>
      <c r="DQ233" s="359" t="str">
        <f>IFERROR(__xludf.DUMMYFUNCTION("""COMPUTED_VALUE"""),"Closed")</f>
        <v>Closed</v>
      </c>
      <c r="DR233" s="359" t="str">
        <f>IFERROR(__xludf.DUMMYFUNCTION("""COMPUTED_VALUE"""),"Closed")</f>
        <v>Closed</v>
      </c>
      <c r="DS233" s="359" t="str">
        <f>IFERROR(__xludf.DUMMYFUNCTION("""COMPUTED_VALUE"""),"Closed")</f>
        <v>Closed</v>
      </c>
      <c r="DT233" s="359" t="str">
        <f>IFERROR(__xludf.DUMMYFUNCTION("""COMPUTED_VALUE"""),"Closed")</f>
        <v>Closed</v>
      </c>
      <c r="DU233" s="68"/>
    </row>
    <row r="234" hidden="1">
      <c r="B234" s="189" t="str">
        <f>IFERROR(__xludf.DUMMYFUNCTION("""COMPUTED_VALUE"""),"ATL7")</f>
        <v>ATL7</v>
      </c>
      <c r="C234" s="352" t="str">
        <f>IFERROR(__xludf.DUMMYFUNCTION("""COMPUTED_VALUE"""),"Eris Island")</f>
        <v>Eris Island</v>
      </c>
      <c r="D234" s="240">
        <f>IFERROR(__xludf.DUMMYFUNCTION("""COMPUTED_VALUE"""),21.0)</f>
        <v>21</v>
      </c>
      <c r="E234" s="190" t="b">
        <f>IFERROR(__xludf.DUMMYFUNCTION("""COMPUTED_VALUE"""),FALSE)</f>
        <v>0</v>
      </c>
      <c r="F234" s="190" t="str">
        <f>IFERROR(__xludf.DUMMYFUNCTION("""COMPUTED_VALUE"""),"Free Quests- Part 2!A688:J700")</f>
        <v>Free Quests- Part 2!A688:J700</v>
      </c>
      <c r="G234" s="190">
        <f>IFERROR(__xludf.DUMMYFUNCTION("""COMPUTED_VALUE"""),235.0)</f>
        <v>235</v>
      </c>
      <c r="H234" s="190" t="str">
        <f>IFERROR(__xludf.DUMMYFUNCTION("""COMPUTED_VALUE"""),"Closed")</f>
        <v>Closed</v>
      </c>
      <c r="I234" s="190">
        <f>IFERROR(__xludf.DUMMYFUNCTION("""COMPUTED_VALUE"""),4175.0)</f>
        <v>4175</v>
      </c>
      <c r="J234" s="190" t="str">
        <f>IFERROR(__xludf.DUMMYFUNCTION("""COMPUTED_VALUE"""),"Closed")</f>
        <v>Closed</v>
      </c>
      <c r="K234" s="244" t="str">
        <f>IFERROR(__xludf.DUMMYFUNCTION("""COMPUTED_VALUE"""),"Closed")</f>
        <v>Closed</v>
      </c>
      <c r="L234" s="353" t="str">
        <f>IFERROR(__xludf.DUMMYFUNCTION("""COMPUTED_VALUE"""),"Closed")</f>
        <v>Closed</v>
      </c>
      <c r="M234" s="354" t="str">
        <f>IFERROR(__xludf.DUMMYFUNCTION("""COMPUTED_VALUE"""),"Closed")</f>
        <v>Closed</v>
      </c>
      <c r="N234" s="355" t="str">
        <f>IFERROR(__xludf.DUMMYFUNCTION("""COMPUTED_VALUE"""),"Closed")</f>
        <v>Closed</v>
      </c>
      <c r="O234" s="353" t="str">
        <f>IFERROR(__xludf.DUMMYFUNCTION("""COMPUTED_VALUE"""),"Closed")</f>
        <v>Closed</v>
      </c>
      <c r="P234" s="354" t="str">
        <f>IFERROR(__xludf.DUMMYFUNCTION("""COMPUTED_VALUE"""),"Closed")</f>
        <v>Closed</v>
      </c>
      <c r="Q234" s="355" t="str">
        <f>IFERROR(__xludf.DUMMYFUNCTION("""COMPUTED_VALUE"""),"Closed")</f>
        <v>Closed</v>
      </c>
      <c r="R234" s="353" t="str">
        <f>IFERROR(__xludf.DUMMYFUNCTION("""COMPUTED_VALUE"""),"Closed")</f>
        <v>Closed</v>
      </c>
      <c r="S234" s="354" t="str">
        <f>IFERROR(__xludf.DUMMYFUNCTION("""COMPUTED_VALUE"""),"Closed")</f>
        <v>Closed</v>
      </c>
      <c r="T234" s="355" t="str">
        <f>IFERROR(__xludf.DUMMYFUNCTION("""COMPUTED_VALUE"""),"Closed")</f>
        <v>Closed</v>
      </c>
      <c r="U234" s="353" t="str">
        <f>IFERROR(__xludf.DUMMYFUNCTION("""COMPUTED_VALUE"""),"Closed")</f>
        <v>Closed</v>
      </c>
      <c r="V234" s="354" t="str">
        <f>IFERROR(__xludf.DUMMYFUNCTION("""COMPUTED_VALUE"""),"Closed")</f>
        <v>Closed</v>
      </c>
      <c r="W234" s="244" t="str">
        <f>IFERROR(__xludf.DUMMYFUNCTION("""COMPUTED_VALUE"""),"Closed")</f>
        <v>Closed</v>
      </c>
      <c r="X234" s="353" t="str">
        <f>IFERROR(__xludf.DUMMYFUNCTION("""COMPUTED_VALUE"""),"Closed")</f>
        <v>Closed</v>
      </c>
      <c r="Y234" s="354" t="str">
        <f>IFERROR(__xludf.DUMMYFUNCTION("""COMPUTED_VALUE"""),"Closed")</f>
        <v>Closed</v>
      </c>
      <c r="Z234" s="355" t="str">
        <f>IFERROR(__xludf.DUMMYFUNCTION("""COMPUTED_VALUE"""),"Closed")</f>
        <v>Closed</v>
      </c>
      <c r="AA234" s="353" t="str">
        <f>IFERROR(__xludf.DUMMYFUNCTION("""COMPUTED_VALUE"""),"Closed")</f>
        <v>Closed</v>
      </c>
      <c r="AB234" s="354" t="str">
        <f>IFERROR(__xludf.DUMMYFUNCTION("""COMPUTED_VALUE"""),"Closed")</f>
        <v>Closed</v>
      </c>
      <c r="AC234" s="355" t="str">
        <f>IFERROR(__xludf.DUMMYFUNCTION("""COMPUTED_VALUE"""),"Closed")</f>
        <v>Closed</v>
      </c>
      <c r="AD234" s="353" t="str">
        <f>IFERROR(__xludf.DUMMYFUNCTION("""COMPUTED_VALUE"""),"Closed")</f>
        <v>Closed</v>
      </c>
      <c r="AE234" s="354" t="str">
        <f>IFERROR(__xludf.DUMMYFUNCTION("""COMPUTED_VALUE"""),"Closed")</f>
        <v>Closed</v>
      </c>
      <c r="AF234" s="355" t="str">
        <f>IFERROR(__xludf.DUMMYFUNCTION("""COMPUTED_VALUE"""),"Closed")</f>
        <v>Closed</v>
      </c>
      <c r="AG234" s="353" t="str">
        <f>IFERROR(__xludf.DUMMYFUNCTION("""COMPUTED_VALUE"""),"Closed")</f>
        <v>Closed</v>
      </c>
      <c r="AH234" s="354" t="str">
        <f>IFERROR(__xludf.DUMMYFUNCTION("""COMPUTED_VALUE"""),"Closed")</f>
        <v>Closed</v>
      </c>
      <c r="AI234" s="244" t="str">
        <f>IFERROR(__xludf.DUMMYFUNCTION("""COMPUTED_VALUE"""),"Closed")</f>
        <v>Closed</v>
      </c>
      <c r="AJ234" s="353" t="str">
        <f>IFERROR(__xludf.DUMMYFUNCTION("""COMPUTED_VALUE"""),"Closed")</f>
        <v>Closed</v>
      </c>
      <c r="AK234" s="354" t="str">
        <f>IFERROR(__xludf.DUMMYFUNCTION("""COMPUTED_VALUE"""),"Closed")</f>
        <v>Closed</v>
      </c>
      <c r="AL234" s="356" t="str">
        <f>IFERROR(__xludf.DUMMYFUNCTION("""COMPUTED_VALUE"""),"Closed")</f>
        <v>Closed</v>
      </c>
      <c r="AM234" s="357" t="str">
        <f>IFERROR(__xludf.DUMMYFUNCTION("""COMPUTED_VALUE"""),"Closed")</f>
        <v>Closed</v>
      </c>
      <c r="AN234" s="354" t="str">
        <f>IFERROR(__xludf.DUMMYFUNCTION("""COMPUTED_VALUE"""),"Closed")</f>
        <v>Closed</v>
      </c>
      <c r="AO234" s="355" t="str">
        <f>IFERROR(__xludf.DUMMYFUNCTION("""COMPUTED_VALUE"""),"Closed")</f>
        <v>Closed</v>
      </c>
      <c r="AP234" s="353" t="str">
        <f>IFERROR(__xludf.DUMMYFUNCTION("""COMPUTED_VALUE"""),"Closed")</f>
        <v>Closed</v>
      </c>
      <c r="AQ234" s="354" t="str">
        <f>IFERROR(__xludf.DUMMYFUNCTION("""COMPUTED_VALUE"""),"Closed")</f>
        <v>Closed</v>
      </c>
      <c r="AR234" s="355" t="str">
        <f>IFERROR(__xludf.DUMMYFUNCTION("""COMPUTED_VALUE"""),"Closed")</f>
        <v>Closed</v>
      </c>
      <c r="AS234" s="353" t="str">
        <f>IFERROR(__xludf.DUMMYFUNCTION("""COMPUTED_VALUE"""),"Closed")</f>
        <v>Closed</v>
      </c>
      <c r="AT234" s="354" t="str">
        <f>IFERROR(__xludf.DUMMYFUNCTION("""COMPUTED_VALUE"""),"Closed")</f>
        <v>Closed</v>
      </c>
      <c r="AU234" s="244" t="str">
        <f>IFERROR(__xludf.DUMMYFUNCTION("""COMPUTED_VALUE"""),"Closed")</f>
        <v>Closed</v>
      </c>
      <c r="AV234" s="353" t="str">
        <f>IFERROR(__xludf.DUMMYFUNCTION("""COMPUTED_VALUE"""),"Closed")</f>
        <v>Closed</v>
      </c>
      <c r="AW234" s="354" t="str">
        <f>IFERROR(__xludf.DUMMYFUNCTION("""COMPUTED_VALUE"""),"Closed")</f>
        <v>Closed</v>
      </c>
      <c r="AX234" s="355" t="str">
        <f>IFERROR(__xludf.DUMMYFUNCTION("""COMPUTED_VALUE"""),"Closed")</f>
        <v>Closed</v>
      </c>
      <c r="AY234" s="353" t="str">
        <f>IFERROR(__xludf.DUMMYFUNCTION("""COMPUTED_VALUE"""),"Closed")</f>
        <v>Closed</v>
      </c>
      <c r="AZ234" s="354" t="str">
        <f>IFERROR(__xludf.DUMMYFUNCTION("""COMPUTED_VALUE"""),"Closed")</f>
        <v>Closed</v>
      </c>
      <c r="BA234" s="355" t="str">
        <f>IFERROR(__xludf.DUMMYFUNCTION("""COMPUTED_VALUE"""),"Closed")</f>
        <v>Closed</v>
      </c>
      <c r="BB234" s="353" t="str">
        <f>IFERROR(__xludf.DUMMYFUNCTION("""COMPUTED_VALUE"""),"Closed")</f>
        <v>Closed</v>
      </c>
      <c r="BC234" s="354" t="str">
        <f>IFERROR(__xludf.DUMMYFUNCTION("""COMPUTED_VALUE"""),"Closed")</f>
        <v>Closed</v>
      </c>
      <c r="BD234" s="355" t="str">
        <f>IFERROR(__xludf.DUMMYFUNCTION("""COMPUTED_VALUE"""),"Closed")</f>
        <v>Closed</v>
      </c>
      <c r="BE234" s="353" t="str">
        <f>IFERROR(__xludf.DUMMYFUNCTION("""COMPUTED_VALUE"""),"Closed")</f>
        <v>Closed</v>
      </c>
      <c r="BF234" s="354" t="str">
        <f>IFERROR(__xludf.DUMMYFUNCTION("""COMPUTED_VALUE"""),"Closed")</f>
        <v>Closed</v>
      </c>
      <c r="BG234" s="244" t="str">
        <f>IFERROR(__xludf.DUMMYFUNCTION("""COMPUTED_VALUE"""),"Closed")</f>
        <v>Closed</v>
      </c>
      <c r="BH234" s="353" t="str">
        <f>IFERROR(__xludf.DUMMYFUNCTION("""COMPUTED_VALUE"""),"Closed")</f>
        <v>Closed</v>
      </c>
      <c r="BI234" s="354" t="str">
        <f>IFERROR(__xludf.DUMMYFUNCTION("""COMPUTED_VALUE"""),"Closed")</f>
        <v>Closed</v>
      </c>
      <c r="BJ234" s="355" t="str">
        <f>IFERROR(__xludf.DUMMYFUNCTION("""COMPUTED_VALUE"""),"Closed")</f>
        <v>Closed</v>
      </c>
      <c r="BK234" s="353" t="str">
        <f>IFERROR(__xludf.DUMMYFUNCTION("""COMPUTED_VALUE"""),"Closed")</f>
        <v>Closed</v>
      </c>
      <c r="BL234" s="354" t="str">
        <f>IFERROR(__xludf.DUMMYFUNCTION("""COMPUTED_VALUE"""),"Closed")</f>
        <v>Closed</v>
      </c>
      <c r="BM234" s="355" t="str">
        <f>IFERROR(__xludf.DUMMYFUNCTION("""COMPUTED_VALUE"""),"Closed")</f>
        <v>Closed</v>
      </c>
      <c r="BN234" s="353" t="str">
        <f>IFERROR(__xludf.DUMMYFUNCTION("""COMPUTED_VALUE"""),"Closed")</f>
        <v>Closed</v>
      </c>
      <c r="BO234" s="354" t="str">
        <f>IFERROR(__xludf.DUMMYFUNCTION("""COMPUTED_VALUE"""),"Closed")</f>
        <v>Closed</v>
      </c>
      <c r="BP234" s="355" t="str">
        <f>IFERROR(__xludf.DUMMYFUNCTION("""COMPUTED_VALUE"""),"Closed")</f>
        <v>Closed</v>
      </c>
      <c r="BQ234" s="353" t="str">
        <f>IFERROR(__xludf.DUMMYFUNCTION("""COMPUTED_VALUE"""),"Closed")</f>
        <v>Closed</v>
      </c>
      <c r="BR234" s="354" t="str">
        <f>IFERROR(__xludf.DUMMYFUNCTION("""COMPUTED_VALUE"""),"Closed")</f>
        <v>Closed</v>
      </c>
      <c r="BS234" s="244" t="str">
        <f>IFERROR(__xludf.DUMMYFUNCTION("""COMPUTED_VALUE"""),"Closed")</f>
        <v>Closed</v>
      </c>
      <c r="BT234" s="353" t="str">
        <f>IFERROR(__xludf.DUMMYFUNCTION("""COMPUTED_VALUE"""),"Closed")</f>
        <v>Closed</v>
      </c>
      <c r="BU234" s="354" t="str">
        <f>IFERROR(__xludf.DUMMYFUNCTION("""COMPUTED_VALUE"""),"Closed")</f>
        <v>Closed</v>
      </c>
      <c r="BV234" s="355" t="str">
        <f>IFERROR(__xludf.DUMMYFUNCTION("""COMPUTED_VALUE"""),"Closed")</f>
        <v>Closed</v>
      </c>
      <c r="BW234" s="353" t="str">
        <f>IFERROR(__xludf.DUMMYFUNCTION("""COMPUTED_VALUE"""),"Closed")</f>
        <v>Closed</v>
      </c>
      <c r="BX234" s="354" t="str">
        <f>IFERROR(__xludf.DUMMYFUNCTION("""COMPUTED_VALUE"""),"Closed")</f>
        <v>Closed</v>
      </c>
      <c r="BY234" s="355" t="str">
        <f>IFERROR(__xludf.DUMMYFUNCTION("""COMPUTED_VALUE"""),"Closed")</f>
        <v>Closed</v>
      </c>
      <c r="BZ234" s="353" t="str">
        <f>IFERROR(__xludf.DUMMYFUNCTION("""COMPUTED_VALUE"""),"Closed")</f>
        <v>Closed</v>
      </c>
      <c r="CA234" s="354" t="str">
        <f>IFERROR(__xludf.DUMMYFUNCTION("""COMPUTED_VALUE"""),"Closed")</f>
        <v>Closed</v>
      </c>
      <c r="CB234" s="355" t="str">
        <f>IFERROR(__xludf.DUMMYFUNCTION("""COMPUTED_VALUE"""),"Closed")</f>
        <v>Closed</v>
      </c>
      <c r="CC234" s="353" t="str">
        <f>IFERROR(__xludf.DUMMYFUNCTION("""COMPUTED_VALUE"""),"Closed")</f>
        <v>Closed</v>
      </c>
      <c r="CD234" s="354" t="str">
        <f>IFERROR(__xludf.DUMMYFUNCTION("""COMPUTED_VALUE"""),"Closed")</f>
        <v>Closed</v>
      </c>
      <c r="CE234" s="355" t="str">
        <f>IFERROR(__xludf.DUMMYFUNCTION("""COMPUTED_VALUE"""),"Closed")</f>
        <v>Closed</v>
      </c>
      <c r="CF234" s="353" t="str">
        <f>IFERROR(__xludf.DUMMYFUNCTION("""COMPUTED_VALUE"""),"Closed")</f>
        <v>Closed</v>
      </c>
      <c r="CG234" s="354" t="str">
        <f>IFERROR(__xludf.DUMMYFUNCTION("""COMPUTED_VALUE"""),"Closed")</f>
        <v>Closed</v>
      </c>
      <c r="CH234" s="355" t="str">
        <f>IFERROR(__xludf.DUMMYFUNCTION("""COMPUTED_VALUE"""),"Closed")</f>
        <v>Closed</v>
      </c>
      <c r="CI234" s="353" t="str">
        <f>IFERROR(__xludf.DUMMYFUNCTION("""COMPUTED_VALUE"""),"Closed")</f>
        <v>Closed</v>
      </c>
      <c r="CJ234" s="353" t="str">
        <f>IFERROR(__xludf.DUMMYFUNCTION("""COMPUTED_VALUE"""),"Closed")</f>
        <v>Closed</v>
      </c>
      <c r="CK234" s="355" t="str">
        <f>IFERROR(__xludf.DUMMYFUNCTION("""COMPUTED_VALUE"""),"Closed")</f>
        <v>Closed</v>
      </c>
      <c r="CL234" s="353" t="str">
        <f>IFERROR(__xludf.DUMMYFUNCTION("""COMPUTED_VALUE"""),"Closed")</f>
        <v>Closed</v>
      </c>
      <c r="CM234" s="354" t="str">
        <f>IFERROR(__xludf.DUMMYFUNCTION("""COMPUTED_VALUE"""),"Closed")</f>
        <v>Closed</v>
      </c>
      <c r="CN234" s="353" t="str">
        <f>IFERROR(__xludf.DUMMYFUNCTION("""COMPUTED_VALUE"""),"Closed")</f>
        <v>Closed</v>
      </c>
      <c r="CO234" s="353" t="str">
        <f>IFERROR(__xludf.DUMMYFUNCTION("""COMPUTED_VALUE"""),"Closed")</f>
        <v>Closed</v>
      </c>
      <c r="CP234" s="353" t="str">
        <f>IFERROR(__xludf.DUMMYFUNCTION("""COMPUTED_VALUE"""),"Closed")</f>
        <v>Closed</v>
      </c>
      <c r="CQ234" s="355" t="str">
        <f>IFERROR(__xludf.DUMMYFUNCTION("""COMPUTED_VALUE"""),"Closed")</f>
        <v>Closed</v>
      </c>
      <c r="CR234" s="353" t="str">
        <f>IFERROR(__xludf.DUMMYFUNCTION("""COMPUTED_VALUE"""),"Closed")</f>
        <v>Closed</v>
      </c>
      <c r="CS234" s="353" t="str">
        <f>IFERROR(__xludf.DUMMYFUNCTION("""COMPUTED_VALUE"""),"Closed")</f>
        <v>Closed</v>
      </c>
      <c r="CT234" s="355" t="str">
        <f>IFERROR(__xludf.DUMMYFUNCTION("""COMPUTED_VALUE"""),"Closed")</f>
        <v>Closed</v>
      </c>
      <c r="CU234" s="353" t="str">
        <f>IFERROR(__xludf.DUMMYFUNCTION("""COMPUTED_VALUE"""),"Closed")</f>
        <v>Closed</v>
      </c>
      <c r="CV234" s="353" t="str">
        <f>IFERROR(__xludf.DUMMYFUNCTION("""COMPUTED_VALUE"""),"Closed")</f>
        <v>Closed</v>
      </c>
      <c r="CW234" s="355" t="str">
        <f>IFERROR(__xludf.DUMMYFUNCTION("""COMPUTED_VALUE"""),"Closed")</f>
        <v>Closed</v>
      </c>
      <c r="CX234" s="353" t="str">
        <f>IFERROR(__xludf.DUMMYFUNCTION("""COMPUTED_VALUE"""),"Closed")</f>
        <v>Closed</v>
      </c>
      <c r="CY234" s="354" t="str">
        <f>IFERROR(__xludf.DUMMYFUNCTION("""COMPUTED_VALUE"""),"Closed")</f>
        <v>Closed</v>
      </c>
      <c r="CZ234" s="353" t="str">
        <f>IFERROR(__xludf.DUMMYFUNCTION("""COMPUTED_VALUE"""),"Closed")</f>
        <v>Closed</v>
      </c>
      <c r="DA234" s="353" t="str">
        <f>IFERROR(__xludf.DUMMYFUNCTION("""COMPUTED_VALUE"""),"Closed")</f>
        <v>Closed</v>
      </c>
      <c r="DB234" s="354" t="str">
        <f>IFERROR(__xludf.DUMMYFUNCTION("""COMPUTED_VALUE"""),"Closed")</f>
        <v>Closed</v>
      </c>
      <c r="DC234" s="355" t="str">
        <f>IFERROR(__xludf.DUMMYFUNCTION("""COMPUTED_VALUE"""),"Closed")</f>
        <v>Closed</v>
      </c>
      <c r="DD234" s="353" t="str">
        <f>IFERROR(__xludf.DUMMYFUNCTION("""COMPUTED_VALUE"""),"Closed")</f>
        <v>Closed</v>
      </c>
      <c r="DE234" s="354" t="str">
        <f>IFERROR(__xludf.DUMMYFUNCTION("""COMPUTED_VALUE"""),"Closed")</f>
        <v>Closed</v>
      </c>
      <c r="DF234" s="355" t="str">
        <f>IFERROR(__xludf.DUMMYFUNCTION("""COMPUTED_VALUE"""),"Closed")</f>
        <v>Closed</v>
      </c>
      <c r="DG234" s="353" t="str">
        <f>IFERROR(__xludf.DUMMYFUNCTION("""COMPUTED_VALUE"""),"Closed")</f>
        <v>Closed</v>
      </c>
      <c r="DH234" s="354" t="str">
        <f>IFERROR(__xludf.DUMMYFUNCTION("""COMPUTED_VALUE"""),"Closed")</f>
        <v>Closed</v>
      </c>
      <c r="DI234" s="355" t="str">
        <f>IFERROR(__xludf.DUMMYFUNCTION("""COMPUTED_VALUE"""),"Closed")</f>
        <v>Closed</v>
      </c>
      <c r="DJ234" s="353" t="str">
        <f>IFERROR(__xludf.DUMMYFUNCTION("""COMPUTED_VALUE"""),"Closed")</f>
        <v>Closed</v>
      </c>
      <c r="DK234" s="354" t="str">
        <f>IFERROR(__xludf.DUMMYFUNCTION("""COMPUTED_VALUE"""),"Closed")</f>
        <v>Closed</v>
      </c>
      <c r="DL234" s="353" t="str">
        <f>IFERROR(__xludf.DUMMYFUNCTION("""COMPUTED_VALUE"""),"Closed")</f>
        <v>Closed</v>
      </c>
      <c r="DM234" s="353" t="str">
        <f>IFERROR(__xludf.DUMMYFUNCTION("""COMPUTED_VALUE"""),"Closed")</f>
        <v>Closed</v>
      </c>
      <c r="DN234" s="353" t="str">
        <f>IFERROR(__xludf.DUMMYFUNCTION("""COMPUTED_VALUE"""),"Closed")</f>
        <v>Closed</v>
      </c>
      <c r="DO234" s="353" t="str">
        <f>IFERROR(__xludf.DUMMYFUNCTION("""COMPUTED_VALUE"""),"Closed")</f>
        <v>Closed</v>
      </c>
      <c r="DP234" s="353" t="str">
        <f>IFERROR(__xludf.DUMMYFUNCTION("""COMPUTED_VALUE"""),"Closed")</f>
        <v>Closed</v>
      </c>
      <c r="DQ234" s="353" t="str">
        <f>IFERROR(__xludf.DUMMYFUNCTION("""COMPUTED_VALUE"""),"Closed")</f>
        <v>Closed</v>
      </c>
      <c r="DR234" s="353" t="str">
        <f>IFERROR(__xludf.DUMMYFUNCTION("""COMPUTED_VALUE"""),"Closed")</f>
        <v>Closed</v>
      </c>
      <c r="DS234" s="353" t="str">
        <f>IFERROR(__xludf.DUMMYFUNCTION("""COMPUTED_VALUE"""),"Closed")</f>
        <v>Closed</v>
      </c>
      <c r="DT234" s="353" t="str">
        <f>IFERROR(__xludf.DUMMYFUNCTION("""COMPUTED_VALUE"""),"Closed")</f>
        <v>Closed</v>
      </c>
      <c r="DU234" s="190"/>
    </row>
    <row r="235" hidden="1">
      <c r="B235" s="201" t="str">
        <f>IFERROR(__xludf.DUMMYFUNCTION("""COMPUTED_VALUE"""),"ATL8")</f>
        <v>ATL8</v>
      </c>
      <c r="C235" s="358" t="str">
        <f>IFERROR(__xludf.DUMMYFUNCTION("""COMPUTED_VALUE"""),"Nemesis Island")</f>
        <v>Nemesis Island</v>
      </c>
      <c r="D235" s="248">
        <f>IFERROR(__xludf.DUMMYFUNCTION("""COMPUTED_VALUE"""),21.0)</f>
        <v>21</v>
      </c>
      <c r="E235" s="68" t="b">
        <f>IFERROR(__xludf.DUMMYFUNCTION("""COMPUTED_VALUE"""),FALSE)</f>
        <v>0</v>
      </c>
      <c r="F235" s="68" t="str">
        <f>IFERROR(__xludf.DUMMYFUNCTION("""COMPUTED_VALUE"""),"Free Quests- Part 2!A704:J713")</f>
        <v>Free Quests- Part 2!A704:J713</v>
      </c>
      <c r="G235" s="68">
        <f>IFERROR(__xludf.DUMMYFUNCTION("""COMPUTED_VALUE"""),236.0)</f>
        <v>236</v>
      </c>
      <c r="H235" s="68" t="str">
        <f>IFERROR(__xludf.DUMMYFUNCTION("""COMPUTED_VALUE"""),"Closed")</f>
        <v>Closed</v>
      </c>
      <c r="I235" s="68">
        <f>IFERROR(__xludf.DUMMYFUNCTION("""COMPUTED_VALUE"""),93630.0)</f>
        <v>93630</v>
      </c>
      <c r="J235" s="68" t="str">
        <f>IFERROR(__xludf.DUMMYFUNCTION("""COMPUTED_VALUE"""),"Closed")</f>
        <v>Closed</v>
      </c>
      <c r="K235" s="252" t="str">
        <f>IFERROR(__xludf.DUMMYFUNCTION("""COMPUTED_VALUE"""),"Closed")</f>
        <v>Closed</v>
      </c>
      <c r="L235" s="359" t="str">
        <f>IFERROR(__xludf.DUMMYFUNCTION("""COMPUTED_VALUE"""),"Closed")</f>
        <v>Closed</v>
      </c>
      <c r="M235" s="360" t="str">
        <f>IFERROR(__xludf.DUMMYFUNCTION("""COMPUTED_VALUE"""),"Closed")</f>
        <v>Closed</v>
      </c>
      <c r="N235" s="361" t="str">
        <f>IFERROR(__xludf.DUMMYFUNCTION("""COMPUTED_VALUE"""),"Closed")</f>
        <v>Closed</v>
      </c>
      <c r="O235" s="359" t="str">
        <f>IFERROR(__xludf.DUMMYFUNCTION("""COMPUTED_VALUE"""),"Closed")</f>
        <v>Closed</v>
      </c>
      <c r="P235" s="360" t="str">
        <f>IFERROR(__xludf.DUMMYFUNCTION("""COMPUTED_VALUE"""),"Closed")</f>
        <v>Closed</v>
      </c>
      <c r="Q235" s="361" t="str">
        <f>IFERROR(__xludf.DUMMYFUNCTION("""COMPUTED_VALUE"""),"Closed")</f>
        <v>Closed</v>
      </c>
      <c r="R235" s="359" t="str">
        <f>IFERROR(__xludf.DUMMYFUNCTION("""COMPUTED_VALUE"""),"Closed")</f>
        <v>Closed</v>
      </c>
      <c r="S235" s="360" t="str">
        <f>IFERROR(__xludf.DUMMYFUNCTION("""COMPUTED_VALUE"""),"Closed")</f>
        <v>Closed</v>
      </c>
      <c r="T235" s="361" t="str">
        <f>IFERROR(__xludf.DUMMYFUNCTION("""COMPUTED_VALUE"""),"Closed")</f>
        <v>Closed</v>
      </c>
      <c r="U235" s="359" t="str">
        <f>IFERROR(__xludf.DUMMYFUNCTION("""COMPUTED_VALUE"""),"Closed")</f>
        <v>Closed</v>
      </c>
      <c r="V235" s="360" t="str">
        <f>IFERROR(__xludf.DUMMYFUNCTION("""COMPUTED_VALUE"""),"Closed")</f>
        <v>Closed</v>
      </c>
      <c r="W235" s="252" t="str">
        <f>IFERROR(__xludf.DUMMYFUNCTION("""COMPUTED_VALUE"""),"Closed")</f>
        <v>Closed</v>
      </c>
      <c r="X235" s="359" t="str">
        <f>IFERROR(__xludf.DUMMYFUNCTION("""COMPUTED_VALUE"""),"Closed")</f>
        <v>Closed</v>
      </c>
      <c r="Y235" s="360" t="str">
        <f>IFERROR(__xludf.DUMMYFUNCTION("""COMPUTED_VALUE"""),"Closed")</f>
        <v>Closed</v>
      </c>
      <c r="Z235" s="361" t="str">
        <f>IFERROR(__xludf.DUMMYFUNCTION("""COMPUTED_VALUE"""),"Closed")</f>
        <v>Closed</v>
      </c>
      <c r="AA235" s="359" t="str">
        <f>IFERROR(__xludf.DUMMYFUNCTION("""COMPUTED_VALUE"""),"Closed")</f>
        <v>Closed</v>
      </c>
      <c r="AB235" s="360" t="str">
        <f>IFERROR(__xludf.DUMMYFUNCTION("""COMPUTED_VALUE"""),"Closed")</f>
        <v>Closed</v>
      </c>
      <c r="AC235" s="361" t="str">
        <f>IFERROR(__xludf.DUMMYFUNCTION("""COMPUTED_VALUE"""),"Closed")</f>
        <v>Closed</v>
      </c>
      <c r="AD235" s="359" t="str">
        <f>IFERROR(__xludf.DUMMYFUNCTION("""COMPUTED_VALUE"""),"Closed")</f>
        <v>Closed</v>
      </c>
      <c r="AE235" s="360" t="str">
        <f>IFERROR(__xludf.DUMMYFUNCTION("""COMPUTED_VALUE"""),"Closed")</f>
        <v>Closed</v>
      </c>
      <c r="AF235" s="361" t="str">
        <f>IFERROR(__xludf.DUMMYFUNCTION("""COMPUTED_VALUE"""),"Closed")</f>
        <v>Closed</v>
      </c>
      <c r="AG235" s="359" t="str">
        <f>IFERROR(__xludf.DUMMYFUNCTION("""COMPUTED_VALUE"""),"Closed")</f>
        <v>Closed</v>
      </c>
      <c r="AH235" s="360" t="str">
        <f>IFERROR(__xludf.DUMMYFUNCTION("""COMPUTED_VALUE"""),"Closed")</f>
        <v>Closed</v>
      </c>
      <c r="AI235" s="252" t="str">
        <f>IFERROR(__xludf.DUMMYFUNCTION("""COMPUTED_VALUE"""),"Closed")</f>
        <v>Closed</v>
      </c>
      <c r="AJ235" s="359" t="str">
        <f>IFERROR(__xludf.DUMMYFUNCTION("""COMPUTED_VALUE"""),"Closed")</f>
        <v>Closed</v>
      </c>
      <c r="AK235" s="360" t="str">
        <f>IFERROR(__xludf.DUMMYFUNCTION("""COMPUTED_VALUE"""),"Closed")</f>
        <v>Closed</v>
      </c>
      <c r="AL235" s="362" t="str">
        <f>IFERROR(__xludf.DUMMYFUNCTION("""COMPUTED_VALUE"""),"Closed")</f>
        <v>Closed</v>
      </c>
      <c r="AM235" s="363" t="str">
        <f>IFERROR(__xludf.DUMMYFUNCTION("""COMPUTED_VALUE"""),"Closed")</f>
        <v>Closed</v>
      </c>
      <c r="AN235" s="360" t="str">
        <f>IFERROR(__xludf.DUMMYFUNCTION("""COMPUTED_VALUE"""),"Closed")</f>
        <v>Closed</v>
      </c>
      <c r="AO235" s="361" t="str">
        <f>IFERROR(__xludf.DUMMYFUNCTION("""COMPUTED_VALUE"""),"Closed")</f>
        <v>Closed</v>
      </c>
      <c r="AP235" s="359" t="str">
        <f>IFERROR(__xludf.DUMMYFUNCTION("""COMPUTED_VALUE"""),"Closed")</f>
        <v>Closed</v>
      </c>
      <c r="AQ235" s="360" t="str">
        <f>IFERROR(__xludf.DUMMYFUNCTION("""COMPUTED_VALUE"""),"Closed")</f>
        <v>Closed</v>
      </c>
      <c r="AR235" s="361" t="str">
        <f>IFERROR(__xludf.DUMMYFUNCTION("""COMPUTED_VALUE"""),"Closed")</f>
        <v>Closed</v>
      </c>
      <c r="AS235" s="359" t="str">
        <f>IFERROR(__xludf.DUMMYFUNCTION("""COMPUTED_VALUE"""),"Closed")</f>
        <v>Closed</v>
      </c>
      <c r="AT235" s="360" t="str">
        <f>IFERROR(__xludf.DUMMYFUNCTION("""COMPUTED_VALUE"""),"Closed")</f>
        <v>Closed</v>
      </c>
      <c r="AU235" s="252" t="str">
        <f>IFERROR(__xludf.DUMMYFUNCTION("""COMPUTED_VALUE"""),"Closed")</f>
        <v>Closed</v>
      </c>
      <c r="AV235" s="359" t="str">
        <f>IFERROR(__xludf.DUMMYFUNCTION("""COMPUTED_VALUE"""),"Closed")</f>
        <v>Closed</v>
      </c>
      <c r="AW235" s="360" t="str">
        <f>IFERROR(__xludf.DUMMYFUNCTION("""COMPUTED_VALUE"""),"Closed")</f>
        <v>Closed</v>
      </c>
      <c r="AX235" s="361" t="str">
        <f>IFERROR(__xludf.DUMMYFUNCTION("""COMPUTED_VALUE"""),"Closed")</f>
        <v>Closed</v>
      </c>
      <c r="AY235" s="359" t="str">
        <f>IFERROR(__xludf.DUMMYFUNCTION("""COMPUTED_VALUE"""),"Closed")</f>
        <v>Closed</v>
      </c>
      <c r="AZ235" s="360" t="str">
        <f>IFERROR(__xludf.DUMMYFUNCTION("""COMPUTED_VALUE"""),"Closed")</f>
        <v>Closed</v>
      </c>
      <c r="BA235" s="361" t="str">
        <f>IFERROR(__xludf.DUMMYFUNCTION("""COMPUTED_VALUE"""),"Closed")</f>
        <v>Closed</v>
      </c>
      <c r="BB235" s="359" t="str">
        <f>IFERROR(__xludf.DUMMYFUNCTION("""COMPUTED_VALUE"""),"Closed")</f>
        <v>Closed</v>
      </c>
      <c r="BC235" s="360" t="str">
        <f>IFERROR(__xludf.DUMMYFUNCTION("""COMPUTED_VALUE"""),"Closed")</f>
        <v>Closed</v>
      </c>
      <c r="BD235" s="361" t="str">
        <f>IFERROR(__xludf.DUMMYFUNCTION("""COMPUTED_VALUE"""),"Closed")</f>
        <v>Closed</v>
      </c>
      <c r="BE235" s="359" t="str">
        <f>IFERROR(__xludf.DUMMYFUNCTION("""COMPUTED_VALUE"""),"Closed")</f>
        <v>Closed</v>
      </c>
      <c r="BF235" s="360" t="str">
        <f>IFERROR(__xludf.DUMMYFUNCTION("""COMPUTED_VALUE"""),"Closed")</f>
        <v>Closed</v>
      </c>
      <c r="BG235" s="252" t="str">
        <f>IFERROR(__xludf.DUMMYFUNCTION("""COMPUTED_VALUE"""),"Closed")</f>
        <v>Closed</v>
      </c>
      <c r="BH235" s="359" t="str">
        <f>IFERROR(__xludf.DUMMYFUNCTION("""COMPUTED_VALUE"""),"Closed")</f>
        <v>Closed</v>
      </c>
      <c r="BI235" s="360" t="str">
        <f>IFERROR(__xludf.DUMMYFUNCTION("""COMPUTED_VALUE"""),"Closed")</f>
        <v>Closed</v>
      </c>
      <c r="BJ235" s="361" t="str">
        <f>IFERROR(__xludf.DUMMYFUNCTION("""COMPUTED_VALUE"""),"Closed")</f>
        <v>Closed</v>
      </c>
      <c r="BK235" s="359" t="str">
        <f>IFERROR(__xludf.DUMMYFUNCTION("""COMPUTED_VALUE"""),"Closed")</f>
        <v>Closed</v>
      </c>
      <c r="BL235" s="360" t="str">
        <f>IFERROR(__xludf.DUMMYFUNCTION("""COMPUTED_VALUE"""),"Closed")</f>
        <v>Closed</v>
      </c>
      <c r="BM235" s="361" t="str">
        <f>IFERROR(__xludf.DUMMYFUNCTION("""COMPUTED_VALUE"""),"Closed")</f>
        <v>Closed</v>
      </c>
      <c r="BN235" s="359" t="str">
        <f>IFERROR(__xludf.DUMMYFUNCTION("""COMPUTED_VALUE"""),"Closed")</f>
        <v>Closed</v>
      </c>
      <c r="BO235" s="360" t="str">
        <f>IFERROR(__xludf.DUMMYFUNCTION("""COMPUTED_VALUE"""),"Closed")</f>
        <v>Closed</v>
      </c>
      <c r="BP235" s="361" t="str">
        <f>IFERROR(__xludf.DUMMYFUNCTION("""COMPUTED_VALUE"""),"Closed")</f>
        <v>Closed</v>
      </c>
      <c r="BQ235" s="359" t="str">
        <f>IFERROR(__xludf.DUMMYFUNCTION("""COMPUTED_VALUE"""),"Closed")</f>
        <v>Closed</v>
      </c>
      <c r="BR235" s="360" t="str">
        <f>IFERROR(__xludf.DUMMYFUNCTION("""COMPUTED_VALUE"""),"Closed")</f>
        <v>Closed</v>
      </c>
      <c r="BS235" s="252" t="str">
        <f>IFERROR(__xludf.DUMMYFUNCTION("""COMPUTED_VALUE"""),"Closed")</f>
        <v>Closed</v>
      </c>
      <c r="BT235" s="359" t="str">
        <f>IFERROR(__xludf.DUMMYFUNCTION("""COMPUTED_VALUE"""),"Closed")</f>
        <v>Closed</v>
      </c>
      <c r="BU235" s="360" t="str">
        <f>IFERROR(__xludf.DUMMYFUNCTION("""COMPUTED_VALUE"""),"Closed")</f>
        <v>Closed</v>
      </c>
      <c r="BV235" s="361" t="str">
        <f>IFERROR(__xludf.DUMMYFUNCTION("""COMPUTED_VALUE"""),"Closed")</f>
        <v>Closed</v>
      </c>
      <c r="BW235" s="359" t="str">
        <f>IFERROR(__xludf.DUMMYFUNCTION("""COMPUTED_VALUE"""),"Closed")</f>
        <v>Closed</v>
      </c>
      <c r="BX235" s="360" t="str">
        <f>IFERROR(__xludf.DUMMYFUNCTION("""COMPUTED_VALUE"""),"Closed")</f>
        <v>Closed</v>
      </c>
      <c r="BY235" s="361" t="str">
        <f>IFERROR(__xludf.DUMMYFUNCTION("""COMPUTED_VALUE"""),"Closed")</f>
        <v>Closed</v>
      </c>
      <c r="BZ235" s="359" t="str">
        <f>IFERROR(__xludf.DUMMYFUNCTION("""COMPUTED_VALUE"""),"Closed")</f>
        <v>Closed</v>
      </c>
      <c r="CA235" s="360" t="str">
        <f>IFERROR(__xludf.DUMMYFUNCTION("""COMPUTED_VALUE"""),"Closed")</f>
        <v>Closed</v>
      </c>
      <c r="CB235" s="361" t="str">
        <f>IFERROR(__xludf.DUMMYFUNCTION("""COMPUTED_VALUE"""),"Closed")</f>
        <v>Closed</v>
      </c>
      <c r="CC235" s="359" t="str">
        <f>IFERROR(__xludf.DUMMYFUNCTION("""COMPUTED_VALUE"""),"Closed")</f>
        <v>Closed</v>
      </c>
      <c r="CD235" s="360" t="str">
        <f>IFERROR(__xludf.DUMMYFUNCTION("""COMPUTED_VALUE"""),"Closed")</f>
        <v>Closed</v>
      </c>
      <c r="CE235" s="361" t="str">
        <f>IFERROR(__xludf.DUMMYFUNCTION("""COMPUTED_VALUE"""),"Closed")</f>
        <v>Closed</v>
      </c>
      <c r="CF235" s="359" t="str">
        <f>IFERROR(__xludf.DUMMYFUNCTION("""COMPUTED_VALUE"""),"Closed")</f>
        <v>Closed</v>
      </c>
      <c r="CG235" s="360" t="str">
        <f>IFERROR(__xludf.DUMMYFUNCTION("""COMPUTED_VALUE"""),"Closed")</f>
        <v>Closed</v>
      </c>
      <c r="CH235" s="361" t="str">
        <f>IFERROR(__xludf.DUMMYFUNCTION("""COMPUTED_VALUE"""),"Closed")</f>
        <v>Closed</v>
      </c>
      <c r="CI235" s="359" t="str">
        <f>IFERROR(__xludf.DUMMYFUNCTION("""COMPUTED_VALUE"""),"Closed")</f>
        <v>Closed</v>
      </c>
      <c r="CJ235" s="359" t="str">
        <f>IFERROR(__xludf.DUMMYFUNCTION("""COMPUTED_VALUE"""),"Closed")</f>
        <v>Closed</v>
      </c>
      <c r="CK235" s="361" t="str">
        <f>IFERROR(__xludf.DUMMYFUNCTION("""COMPUTED_VALUE"""),"Closed")</f>
        <v>Closed</v>
      </c>
      <c r="CL235" s="359" t="str">
        <f>IFERROR(__xludf.DUMMYFUNCTION("""COMPUTED_VALUE"""),"Closed")</f>
        <v>Closed</v>
      </c>
      <c r="CM235" s="360" t="str">
        <f>IFERROR(__xludf.DUMMYFUNCTION("""COMPUTED_VALUE"""),"Closed")</f>
        <v>Closed</v>
      </c>
      <c r="CN235" s="359" t="str">
        <f>IFERROR(__xludf.DUMMYFUNCTION("""COMPUTED_VALUE"""),"Closed")</f>
        <v>Closed</v>
      </c>
      <c r="CO235" s="359" t="str">
        <f>IFERROR(__xludf.DUMMYFUNCTION("""COMPUTED_VALUE"""),"Closed")</f>
        <v>Closed</v>
      </c>
      <c r="CP235" s="359" t="str">
        <f>IFERROR(__xludf.DUMMYFUNCTION("""COMPUTED_VALUE"""),"Closed")</f>
        <v>Closed</v>
      </c>
      <c r="CQ235" s="361" t="str">
        <f>IFERROR(__xludf.DUMMYFUNCTION("""COMPUTED_VALUE"""),"Closed")</f>
        <v>Closed</v>
      </c>
      <c r="CR235" s="359" t="str">
        <f>IFERROR(__xludf.DUMMYFUNCTION("""COMPUTED_VALUE"""),"Closed")</f>
        <v>Closed</v>
      </c>
      <c r="CS235" s="359" t="str">
        <f>IFERROR(__xludf.DUMMYFUNCTION("""COMPUTED_VALUE"""),"Closed")</f>
        <v>Closed</v>
      </c>
      <c r="CT235" s="361" t="str">
        <f>IFERROR(__xludf.DUMMYFUNCTION("""COMPUTED_VALUE"""),"Closed")</f>
        <v>Closed</v>
      </c>
      <c r="CU235" s="359" t="str">
        <f>IFERROR(__xludf.DUMMYFUNCTION("""COMPUTED_VALUE"""),"Closed")</f>
        <v>Closed</v>
      </c>
      <c r="CV235" s="359" t="str">
        <f>IFERROR(__xludf.DUMMYFUNCTION("""COMPUTED_VALUE"""),"Closed")</f>
        <v>Closed</v>
      </c>
      <c r="CW235" s="361" t="str">
        <f>IFERROR(__xludf.DUMMYFUNCTION("""COMPUTED_VALUE"""),"Closed")</f>
        <v>Closed</v>
      </c>
      <c r="CX235" s="359" t="str">
        <f>IFERROR(__xludf.DUMMYFUNCTION("""COMPUTED_VALUE"""),"Closed")</f>
        <v>Closed</v>
      </c>
      <c r="CY235" s="360" t="str">
        <f>IFERROR(__xludf.DUMMYFUNCTION("""COMPUTED_VALUE"""),"Closed")</f>
        <v>Closed</v>
      </c>
      <c r="CZ235" s="359" t="str">
        <f>IFERROR(__xludf.DUMMYFUNCTION("""COMPUTED_VALUE"""),"Closed")</f>
        <v>Closed</v>
      </c>
      <c r="DA235" s="359" t="str">
        <f>IFERROR(__xludf.DUMMYFUNCTION("""COMPUTED_VALUE"""),"Closed")</f>
        <v>Closed</v>
      </c>
      <c r="DB235" s="360" t="str">
        <f>IFERROR(__xludf.DUMMYFUNCTION("""COMPUTED_VALUE"""),"Closed")</f>
        <v>Closed</v>
      </c>
      <c r="DC235" s="361" t="str">
        <f>IFERROR(__xludf.DUMMYFUNCTION("""COMPUTED_VALUE"""),"Closed")</f>
        <v>Closed</v>
      </c>
      <c r="DD235" s="359" t="str">
        <f>IFERROR(__xludf.DUMMYFUNCTION("""COMPUTED_VALUE"""),"Closed")</f>
        <v>Closed</v>
      </c>
      <c r="DE235" s="360" t="str">
        <f>IFERROR(__xludf.DUMMYFUNCTION("""COMPUTED_VALUE"""),"Closed")</f>
        <v>Closed</v>
      </c>
      <c r="DF235" s="361" t="str">
        <f>IFERROR(__xludf.DUMMYFUNCTION("""COMPUTED_VALUE"""),"Closed")</f>
        <v>Closed</v>
      </c>
      <c r="DG235" s="359" t="str">
        <f>IFERROR(__xludf.DUMMYFUNCTION("""COMPUTED_VALUE"""),"Closed")</f>
        <v>Closed</v>
      </c>
      <c r="DH235" s="360" t="str">
        <f>IFERROR(__xludf.DUMMYFUNCTION("""COMPUTED_VALUE"""),"Closed")</f>
        <v>Closed</v>
      </c>
      <c r="DI235" s="361" t="str">
        <f>IFERROR(__xludf.DUMMYFUNCTION("""COMPUTED_VALUE"""),"Closed")</f>
        <v>Closed</v>
      </c>
      <c r="DJ235" s="359" t="str">
        <f>IFERROR(__xludf.DUMMYFUNCTION("""COMPUTED_VALUE"""),"Closed")</f>
        <v>Closed</v>
      </c>
      <c r="DK235" s="360" t="str">
        <f>IFERROR(__xludf.DUMMYFUNCTION("""COMPUTED_VALUE"""),"Closed")</f>
        <v>Closed</v>
      </c>
      <c r="DL235" s="359" t="str">
        <f>IFERROR(__xludf.DUMMYFUNCTION("""COMPUTED_VALUE"""),"Closed")</f>
        <v>Closed</v>
      </c>
      <c r="DM235" s="359" t="str">
        <f>IFERROR(__xludf.DUMMYFUNCTION("""COMPUTED_VALUE"""),"Closed")</f>
        <v>Closed</v>
      </c>
      <c r="DN235" s="359" t="str">
        <f>IFERROR(__xludf.DUMMYFUNCTION("""COMPUTED_VALUE"""),"Closed")</f>
        <v>Closed</v>
      </c>
      <c r="DO235" s="359" t="str">
        <f>IFERROR(__xludf.DUMMYFUNCTION("""COMPUTED_VALUE"""),"Closed")</f>
        <v>Closed</v>
      </c>
      <c r="DP235" s="359" t="str">
        <f>IFERROR(__xludf.DUMMYFUNCTION("""COMPUTED_VALUE"""),"Closed")</f>
        <v>Closed</v>
      </c>
      <c r="DQ235" s="359" t="str">
        <f>IFERROR(__xludf.DUMMYFUNCTION("""COMPUTED_VALUE"""),"Closed")</f>
        <v>Closed</v>
      </c>
      <c r="DR235" s="359" t="str">
        <f>IFERROR(__xludf.DUMMYFUNCTION("""COMPUTED_VALUE"""),"Closed")</f>
        <v>Closed</v>
      </c>
      <c r="DS235" s="359" t="str">
        <f>IFERROR(__xludf.DUMMYFUNCTION("""COMPUTED_VALUE"""),"Closed")</f>
        <v>Closed</v>
      </c>
      <c r="DT235" s="359" t="str">
        <f>IFERROR(__xludf.DUMMYFUNCTION("""COMPUTED_VALUE"""),"Closed")</f>
        <v>Closed</v>
      </c>
      <c r="DU235" s="68"/>
    </row>
    <row r="236" hidden="1">
      <c r="B236" s="189" t="str">
        <f>IFERROR(__xludf.DUMMYFUNCTION("""COMPUTED_VALUE"""),"ATL9")</f>
        <v>ATL9</v>
      </c>
      <c r="C236" s="352" t="str">
        <f>IFERROR(__xludf.DUMMYFUNCTION("""COMPUTED_VALUE"""),"Thanatos Island")</f>
        <v>Thanatos Island</v>
      </c>
      <c r="D236" s="240">
        <f>IFERROR(__xludf.DUMMYFUNCTION("""COMPUTED_VALUE"""),21.0)</f>
        <v>21</v>
      </c>
      <c r="E236" s="190" t="b">
        <f>IFERROR(__xludf.DUMMYFUNCTION("""COMPUTED_VALUE"""),FALSE)</f>
        <v>0</v>
      </c>
      <c r="F236" s="190" t="str">
        <f>IFERROR(__xludf.DUMMYFUNCTION("""COMPUTED_VALUE"""),"Free Quests- Part 2!A717:J727")</f>
        <v>Free Quests- Part 2!A717:J727</v>
      </c>
      <c r="G236" s="190">
        <f>IFERROR(__xludf.DUMMYFUNCTION("""COMPUTED_VALUE"""),237.0)</f>
        <v>237</v>
      </c>
      <c r="H236" s="190" t="str">
        <f>IFERROR(__xludf.DUMMYFUNCTION("""COMPUTED_VALUE"""),"Closed")</f>
        <v>Closed</v>
      </c>
      <c r="I236" s="190">
        <f>IFERROR(__xludf.DUMMYFUNCTION("""COMPUTED_VALUE"""),3912.0)</f>
        <v>3912</v>
      </c>
      <c r="J236" s="190" t="str">
        <f>IFERROR(__xludf.DUMMYFUNCTION("""COMPUTED_VALUE"""),"Closed")</f>
        <v>Closed</v>
      </c>
      <c r="K236" s="244" t="str">
        <f>IFERROR(__xludf.DUMMYFUNCTION("""COMPUTED_VALUE"""),"Closed")</f>
        <v>Closed</v>
      </c>
      <c r="L236" s="353" t="str">
        <f>IFERROR(__xludf.DUMMYFUNCTION("""COMPUTED_VALUE"""),"Closed")</f>
        <v>Closed</v>
      </c>
      <c r="M236" s="354" t="str">
        <f>IFERROR(__xludf.DUMMYFUNCTION("""COMPUTED_VALUE"""),"Closed")</f>
        <v>Closed</v>
      </c>
      <c r="N236" s="355" t="str">
        <f>IFERROR(__xludf.DUMMYFUNCTION("""COMPUTED_VALUE"""),"Closed")</f>
        <v>Closed</v>
      </c>
      <c r="O236" s="353" t="str">
        <f>IFERROR(__xludf.DUMMYFUNCTION("""COMPUTED_VALUE"""),"Closed")</f>
        <v>Closed</v>
      </c>
      <c r="P236" s="354" t="str">
        <f>IFERROR(__xludf.DUMMYFUNCTION("""COMPUTED_VALUE"""),"Closed")</f>
        <v>Closed</v>
      </c>
      <c r="Q236" s="355" t="str">
        <f>IFERROR(__xludf.DUMMYFUNCTION("""COMPUTED_VALUE"""),"Closed")</f>
        <v>Closed</v>
      </c>
      <c r="R236" s="353" t="str">
        <f>IFERROR(__xludf.DUMMYFUNCTION("""COMPUTED_VALUE"""),"Closed")</f>
        <v>Closed</v>
      </c>
      <c r="S236" s="354" t="str">
        <f>IFERROR(__xludf.DUMMYFUNCTION("""COMPUTED_VALUE"""),"Closed")</f>
        <v>Closed</v>
      </c>
      <c r="T236" s="355" t="str">
        <f>IFERROR(__xludf.DUMMYFUNCTION("""COMPUTED_VALUE"""),"Closed")</f>
        <v>Closed</v>
      </c>
      <c r="U236" s="353" t="str">
        <f>IFERROR(__xludf.DUMMYFUNCTION("""COMPUTED_VALUE"""),"Closed")</f>
        <v>Closed</v>
      </c>
      <c r="V236" s="354" t="str">
        <f>IFERROR(__xludf.DUMMYFUNCTION("""COMPUTED_VALUE"""),"Closed")</f>
        <v>Closed</v>
      </c>
      <c r="W236" s="244" t="str">
        <f>IFERROR(__xludf.DUMMYFUNCTION("""COMPUTED_VALUE"""),"Closed")</f>
        <v>Closed</v>
      </c>
      <c r="X236" s="353" t="str">
        <f>IFERROR(__xludf.DUMMYFUNCTION("""COMPUTED_VALUE"""),"Closed")</f>
        <v>Closed</v>
      </c>
      <c r="Y236" s="354" t="str">
        <f>IFERROR(__xludf.DUMMYFUNCTION("""COMPUTED_VALUE"""),"Closed")</f>
        <v>Closed</v>
      </c>
      <c r="Z236" s="355" t="str">
        <f>IFERROR(__xludf.DUMMYFUNCTION("""COMPUTED_VALUE"""),"Closed")</f>
        <v>Closed</v>
      </c>
      <c r="AA236" s="353" t="str">
        <f>IFERROR(__xludf.DUMMYFUNCTION("""COMPUTED_VALUE"""),"Closed")</f>
        <v>Closed</v>
      </c>
      <c r="AB236" s="354" t="str">
        <f>IFERROR(__xludf.DUMMYFUNCTION("""COMPUTED_VALUE"""),"Closed")</f>
        <v>Closed</v>
      </c>
      <c r="AC236" s="355" t="str">
        <f>IFERROR(__xludf.DUMMYFUNCTION("""COMPUTED_VALUE"""),"Closed")</f>
        <v>Closed</v>
      </c>
      <c r="AD236" s="353" t="str">
        <f>IFERROR(__xludf.DUMMYFUNCTION("""COMPUTED_VALUE"""),"Closed")</f>
        <v>Closed</v>
      </c>
      <c r="AE236" s="354" t="str">
        <f>IFERROR(__xludf.DUMMYFUNCTION("""COMPUTED_VALUE"""),"Closed")</f>
        <v>Closed</v>
      </c>
      <c r="AF236" s="355" t="str">
        <f>IFERROR(__xludf.DUMMYFUNCTION("""COMPUTED_VALUE"""),"Closed")</f>
        <v>Closed</v>
      </c>
      <c r="AG236" s="353" t="str">
        <f>IFERROR(__xludf.DUMMYFUNCTION("""COMPUTED_VALUE"""),"Closed")</f>
        <v>Closed</v>
      </c>
      <c r="AH236" s="354" t="str">
        <f>IFERROR(__xludf.DUMMYFUNCTION("""COMPUTED_VALUE"""),"Closed")</f>
        <v>Closed</v>
      </c>
      <c r="AI236" s="244" t="str">
        <f>IFERROR(__xludf.DUMMYFUNCTION("""COMPUTED_VALUE"""),"Closed")</f>
        <v>Closed</v>
      </c>
      <c r="AJ236" s="353" t="str">
        <f>IFERROR(__xludf.DUMMYFUNCTION("""COMPUTED_VALUE"""),"Closed")</f>
        <v>Closed</v>
      </c>
      <c r="AK236" s="354" t="str">
        <f>IFERROR(__xludf.DUMMYFUNCTION("""COMPUTED_VALUE"""),"Closed")</f>
        <v>Closed</v>
      </c>
      <c r="AL236" s="356" t="str">
        <f>IFERROR(__xludf.DUMMYFUNCTION("""COMPUTED_VALUE"""),"Closed")</f>
        <v>Closed</v>
      </c>
      <c r="AM236" s="357" t="str">
        <f>IFERROR(__xludf.DUMMYFUNCTION("""COMPUTED_VALUE"""),"Closed")</f>
        <v>Closed</v>
      </c>
      <c r="AN236" s="354" t="str">
        <f>IFERROR(__xludf.DUMMYFUNCTION("""COMPUTED_VALUE"""),"Closed")</f>
        <v>Closed</v>
      </c>
      <c r="AO236" s="355" t="str">
        <f>IFERROR(__xludf.DUMMYFUNCTION("""COMPUTED_VALUE"""),"Closed")</f>
        <v>Closed</v>
      </c>
      <c r="AP236" s="353" t="str">
        <f>IFERROR(__xludf.DUMMYFUNCTION("""COMPUTED_VALUE"""),"Closed")</f>
        <v>Closed</v>
      </c>
      <c r="AQ236" s="354" t="str">
        <f>IFERROR(__xludf.DUMMYFUNCTION("""COMPUTED_VALUE"""),"Closed")</f>
        <v>Closed</v>
      </c>
      <c r="AR236" s="355" t="str">
        <f>IFERROR(__xludf.DUMMYFUNCTION("""COMPUTED_VALUE"""),"Closed")</f>
        <v>Closed</v>
      </c>
      <c r="AS236" s="353" t="str">
        <f>IFERROR(__xludf.DUMMYFUNCTION("""COMPUTED_VALUE"""),"Closed")</f>
        <v>Closed</v>
      </c>
      <c r="AT236" s="354" t="str">
        <f>IFERROR(__xludf.DUMMYFUNCTION("""COMPUTED_VALUE"""),"Closed")</f>
        <v>Closed</v>
      </c>
      <c r="AU236" s="244" t="str">
        <f>IFERROR(__xludf.DUMMYFUNCTION("""COMPUTED_VALUE"""),"Closed")</f>
        <v>Closed</v>
      </c>
      <c r="AV236" s="353" t="str">
        <f>IFERROR(__xludf.DUMMYFUNCTION("""COMPUTED_VALUE"""),"Closed")</f>
        <v>Closed</v>
      </c>
      <c r="AW236" s="354" t="str">
        <f>IFERROR(__xludf.DUMMYFUNCTION("""COMPUTED_VALUE"""),"Closed")</f>
        <v>Closed</v>
      </c>
      <c r="AX236" s="355" t="str">
        <f>IFERROR(__xludf.DUMMYFUNCTION("""COMPUTED_VALUE"""),"Closed")</f>
        <v>Closed</v>
      </c>
      <c r="AY236" s="353" t="str">
        <f>IFERROR(__xludf.DUMMYFUNCTION("""COMPUTED_VALUE"""),"Closed")</f>
        <v>Closed</v>
      </c>
      <c r="AZ236" s="354" t="str">
        <f>IFERROR(__xludf.DUMMYFUNCTION("""COMPUTED_VALUE"""),"Closed")</f>
        <v>Closed</v>
      </c>
      <c r="BA236" s="355" t="str">
        <f>IFERROR(__xludf.DUMMYFUNCTION("""COMPUTED_VALUE"""),"Closed")</f>
        <v>Closed</v>
      </c>
      <c r="BB236" s="353" t="str">
        <f>IFERROR(__xludf.DUMMYFUNCTION("""COMPUTED_VALUE"""),"Closed")</f>
        <v>Closed</v>
      </c>
      <c r="BC236" s="354" t="str">
        <f>IFERROR(__xludf.DUMMYFUNCTION("""COMPUTED_VALUE"""),"Closed")</f>
        <v>Closed</v>
      </c>
      <c r="BD236" s="355" t="str">
        <f>IFERROR(__xludf.DUMMYFUNCTION("""COMPUTED_VALUE"""),"Closed")</f>
        <v>Closed</v>
      </c>
      <c r="BE236" s="353" t="str">
        <f>IFERROR(__xludf.DUMMYFUNCTION("""COMPUTED_VALUE"""),"Closed")</f>
        <v>Closed</v>
      </c>
      <c r="BF236" s="354" t="str">
        <f>IFERROR(__xludf.DUMMYFUNCTION("""COMPUTED_VALUE"""),"Closed")</f>
        <v>Closed</v>
      </c>
      <c r="BG236" s="244" t="str">
        <f>IFERROR(__xludf.DUMMYFUNCTION("""COMPUTED_VALUE"""),"Closed")</f>
        <v>Closed</v>
      </c>
      <c r="BH236" s="353" t="str">
        <f>IFERROR(__xludf.DUMMYFUNCTION("""COMPUTED_VALUE"""),"Closed")</f>
        <v>Closed</v>
      </c>
      <c r="BI236" s="354" t="str">
        <f>IFERROR(__xludf.DUMMYFUNCTION("""COMPUTED_VALUE"""),"Closed")</f>
        <v>Closed</v>
      </c>
      <c r="BJ236" s="355" t="str">
        <f>IFERROR(__xludf.DUMMYFUNCTION("""COMPUTED_VALUE"""),"Closed")</f>
        <v>Closed</v>
      </c>
      <c r="BK236" s="353" t="str">
        <f>IFERROR(__xludf.DUMMYFUNCTION("""COMPUTED_VALUE"""),"Closed")</f>
        <v>Closed</v>
      </c>
      <c r="BL236" s="354" t="str">
        <f>IFERROR(__xludf.DUMMYFUNCTION("""COMPUTED_VALUE"""),"Closed")</f>
        <v>Closed</v>
      </c>
      <c r="BM236" s="355" t="str">
        <f>IFERROR(__xludf.DUMMYFUNCTION("""COMPUTED_VALUE"""),"Closed")</f>
        <v>Closed</v>
      </c>
      <c r="BN236" s="353" t="str">
        <f>IFERROR(__xludf.DUMMYFUNCTION("""COMPUTED_VALUE"""),"Closed")</f>
        <v>Closed</v>
      </c>
      <c r="BO236" s="354" t="str">
        <f>IFERROR(__xludf.DUMMYFUNCTION("""COMPUTED_VALUE"""),"Closed")</f>
        <v>Closed</v>
      </c>
      <c r="BP236" s="355" t="str">
        <f>IFERROR(__xludf.DUMMYFUNCTION("""COMPUTED_VALUE"""),"Closed")</f>
        <v>Closed</v>
      </c>
      <c r="BQ236" s="353" t="str">
        <f>IFERROR(__xludf.DUMMYFUNCTION("""COMPUTED_VALUE"""),"Closed")</f>
        <v>Closed</v>
      </c>
      <c r="BR236" s="354" t="str">
        <f>IFERROR(__xludf.DUMMYFUNCTION("""COMPUTED_VALUE"""),"Closed")</f>
        <v>Closed</v>
      </c>
      <c r="BS236" s="244" t="str">
        <f>IFERROR(__xludf.DUMMYFUNCTION("""COMPUTED_VALUE"""),"Closed")</f>
        <v>Closed</v>
      </c>
      <c r="BT236" s="353" t="str">
        <f>IFERROR(__xludf.DUMMYFUNCTION("""COMPUTED_VALUE"""),"Closed")</f>
        <v>Closed</v>
      </c>
      <c r="BU236" s="354" t="str">
        <f>IFERROR(__xludf.DUMMYFUNCTION("""COMPUTED_VALUE"""),"Closed")</f>
        <v>Closed</v>
      </c>
      <c r="BV236" s="355" t="str">
        <f>IFERROR(__xludf.DUMMYFUNCTION("""COMPUTED_VALUE"""),"Closed")</f>
        <v>Closed</v>
      </c>
      <c r="BW236" s="353" t="str">
        <f>IFERROR(__xludf.DUMMYFUNCTION("""COMPUTED_VALUE"""),"Closed")</f>
        <v>Closed</v>
      </c>
      <c r="BX236" s="354" t="str">
        <f>IFERROR(__xludf.DUMMYFUNCTION("""COMPUTED_VALUE"""),"Closed")</f>
        <v>Closed</v>
      </c>
      <c r="BY236" s="355" t="str">
        <f>IFERROR(__xludf.DUMMYFUNCTION("""COMPUTED_VALUE"""),"Closed")</f>
        <v>Closed</v>
      </c>
      <c r="BZ236" s="353" t="str">
        <f>IFERROR(__xludf.DUMMYFUNCTION("""COMPUTED_VALUE"""),"Closed")</f>
        <v>Closed</v>
      </c>
      <c r="CA236" s="354" t="str">
        <f>IFERROR(__xludf.DUMMYFUNCTION("""COMPUTED_VALUE"""),"Closed")</f>
        <v>Closed</v>
      </c>
      <c r="CB236" s="355" t="str">
        <f>IFERROR(__xludf.DUMMYFUNCTION("""COMPUTED_VALUE"""),"Closed")</f>
        <v>Closed</v>
      </c>
      <c r="CC236" s="353" t="str">
        <f>IFERROR(__xludf.DUMMYFUNCTION("""COMPUTED_VALUE"""),"Closed")</f>
        <v>Closed</v>
      </c>
      <c r="CD236" s="354" t="str">
        <f>IFERROR(__xludf.DUMMYFUNCTION("""COMPUTED_VALUE"""),"Closed")</f>
        <v>Closed</v>
      </c>
      <c r="CE236" s="355" t="str">
        <f>IFERROR(__xludf.DUMMYFUNCTION("""COMPUTED_VALUE"""),"Closed")</f>
        <v>Closed</v>
      </c>
      <c r="CF236" s="353" t="str">
        <f>IFERROR(__xludf.DUMMYFUNCTION("""COMPUTED_VALUE"""),"Closed")</f>
        <v>Closed</v>
      </c>
      <c r="CG236" s="354" t="str">
        <f>IFERROR(__xludf.DUMMYFUNCTION("""COMPUTED_VALUE"""),"Closed")</f>
        <v>Closed</v>
      </c>
      <c r="CH236" s="355" t="str">
        <f>IFERROR(__xludf.DUMMYFUNCTION("""COMPUTED_VALUE"""),"Closed")</f>
        <v>Closed</v>
      </c>
      <c r="CI236" s="353" t="str">
        <f>IFERROR(__xludf.DUMMYFUNCTION("""COMPUTED_VALUE"""),"Closed")</f>
        <v>Closed</v>
      </c>
      <c r="CJ236" s="353" t="str">
        <f>IFERROR(__xludf.DUMMYFUNCTION("""COMPUTED_VALUE"""),"Closed")</f>
        <v>Closed</v>
      </c>
      <c r="CK236" s="355" t="str">
        <f>IFERROR(__xludf.DUMMYFUNCTION("""COMPUTED_VALUE"""),"Closed")</f>
        <v>Closed</v>
      </c>
      <c r="CL236" s="353" t="str">
        <f>IFERROR(__xludf.DUMMYFUNCTION("""COMPUTED_VALUE"""),"Closed")</f>
        <v>Closed</v>
      </c>
      <c r="CM236" s="354" t="str">
        <f>IFERROR(__xludf.DUMMYFUNCTION("""COMPUTED_VALUE"""),"Closed")</f>
        <v>Closed</v>
      </c>
      <c r="CN236" s="353" t="str">
        <f>IFERROR(__xludf.DUMMYFUNCTION("""COMPUTED_VALUE"""),"Closed")</f>
        <v>Closed</v>
      </c>
      <c r="CO236" s="353" t="str">
        <f>IFERROR(__xludf.DUMMYFUNCTION("""COMPUTED_VALUE"""),"Closed")</f>
        <v>Closed</v>
      </c>
      <c r="CP236" s="353" t="str">
        <f>IFERROR(__xludf.DUMMYFUNCTION("""COMPUTED_VALUE"""),"Closed")</f>
        <v>Closed</v>
      </c>
      <c r="CQ236" s="355" t="str">
        <f>IFERROR(__xludf.DUMMYFUNCTION("""COMPUTED_VALUE"""),"Closed")</f>
        <v>Closed</v>
      </c>
      <c r="CR236" s="353" t="str">
        <f>IFERROR(__xludf.DUMMYFUNCTION("""COMPUTED_VALUE"""),"Closed")</f>
        <v>Closed</v>
      </c>
      <c r="CS236" s="353" t="str">
        <f>IFERROR(__xludf.DUMMYFUNCTION("""COMPUTED_VALUE"""),"Closed")</f>
        <v>Closed</v>
      </c>
      <c r="CT236" s="355" t="str">
        <f>IFERROR(__xludf.DUMMYFUNCTION("""COMPUTED_VALUE"""),"Closed")</f>
        <v>Closed</v>
      </c>
      <c r="CU236" s="353" t="str">
        <f>IFERROR(__xludf.DUMMYFUNCTION("""COMPUTED_VALUE"""),"Closed")</f>
        <v>Closed</v>
      </c>
      <c r="CV236" s="353" t="str">
        <f>IFERROR(__xludf.DUMMYFUNCTION("""COMPUTED_VALUE"""),"Closed")</f>
        <v>Closed</v>
      </c>
      <c r="CW236" s="355" t="str">
        <f>IFERROR(__xludf.DUMMYFUNCTION("""COMPUTED_VALUE"""),"Closed")</f>
        <v>Closed</v>
      </c>
      <c r="CX236" s="353" t="str">
        <f>IFERROR(__xludf.DUMMYFUNCTION("""COMPUTED_VALUE"""),"Closed")</f>
        <v>Closed</v>
      </c>
      <c r="CY236" s="354" t="str">
        <f>IFERROR(__xludf.DUMMYFUNCTION("""COMPUTED_VALUE"""),"Closed")</f>
        <v>Closed</v>
      </c>
      <c r="CZ236" s="353" t="str">
        <f>IFERROR(__xludf.DUMMYFUNCTION("""COMPUTED_VALUE"""),"Closed")</f>
        <v>Closed</v>
      </c>
      <c r="DA236" s="353" t="str">
        <f>IFERROR(__xludf.DUMMYFUNCTION("""COMPUTED_VALUE"""),"Closed")</f>
        <v>Closed</v>
      </c>
      <c r="DB236" s="354" t="str">
        <f>IFERROR(__xludf.DUMMYFUNCTION("""COMPUTED_VALUE"""),"Closed")</f>
        <v>Closed</v>
      </c>
      <c r="DC236" s="355" t="str">
        <f>IFERROR(__xludf.DUMMYFUNCTION("""COMPUTED_VALUE"""),"Closed")</f>
        <v>Closed</v>
      </c>
      <c r="DD236" s="353" t="str">
        <f>IFERROR(__xludf.DUMMYFUNCTION("""COMPUTED_VALUE"""),"Closed")</f>
        <v>Closed</v>
      </c>
      <c r="DE236" s="354" t="str">
        <f>IFERROR(__xludf.DUMMYFUNCTION("""COMPUTED_VALUE"""),"Closed")</f>
        <v>Closed</v>
      </c>
      <c r="DF236" s="355" t="str">
        <f>IFERROR(__xludf.DUMMYFUNCTION("""COMPUTED_VALUE"""),"Closed")</f>
        <v>Closed</v>
      </c>
      <c r="DG236" s="353" t="str">
        <f>IFERROR(__xludf.DUMMYFUNCTION("""COMPUTED_VALUE"""),"Closed")</f>
        <v>Closed</v>
      </c>
      <c r="DH236" s="354" t="str">
        <f>IFERROR(__xludf.DUMMYFUNCTION("""COMPUTED_VALUE"""),"Closed")</f>
        <v>Closed</v>
      </c>
      <c r="DI236" s="355" t="str">
        <f>IFERROR(__xludf.DUMMYFUNCTION("""COMPUTED_VALUE"""),"Closed")</f>
        <v>Closed</v>
      </c>
      <c r="DJ236" s="353" t="str">
        <f>IFERROR(__xludf.DUMMYFUNCTION("""COMPUTED_VALUE"""),"Closed")</f>
        <v>Closed</v>
      </c>
      <c r="DK236" s="354" t="str">
        <f>IFERROR(__xludf.DUMMYFUNCTION("""COMPUTED_VALUE"""),"Closed")</f>
        <v>Closed</v>
      </c>
      <c r="DL236" s="353" t="str">
        <f>IFERROR(__xludf.DUMMYFUNCTION("""COMPUTED_VALUE"""),"Closed")</f>
        <v>Closed</v>
      </c>
      <c r="DM236" s="353" t="str">
        <f>IFERROR(__xludf.DUMMYFUNCTION("""COMPUTED_VALUE"""),"Closed")</f>
        <v>Closed</v>
      </c>
      <c r="DN236" s="353" t="str">
        <f>IFERROR(__xludf.DUMMYFUNCTION("""COMPUTED_VALUE"""),"Closed")</f>
        <v>Closed</v>
      </c>
      <c r="DO236" s="353" t="str">
        <f>IFERROR(__xludf.DUMMYFUNCTION("""COMPUTED_VALUE"""),"Closed")</f>
        <v>Closed</v>
      </c>
      <c r="DP236" s="353" t="str">
        <f>IFERROR(__xludf.DUMMYFUNCTION("""COMPUTED_VALUE"""),"Closed")</f>
        <v>Closed</v>
      </c>
      <c r="DQ236" s="353" t="str">
        <f>IFERROR(__xludf.DUMMYFUNCTION("""COMPUTED_VALUE"""),"Closed")</f>
        <v>Closed</v>
      </c>
      <c r="DR236" s="353" t="str">
        <f>IFERROR(__xludf.DUMMYFUNCTION("""COMPUTED_VALUE"""),"Closed")</f>
        <v>Closed</v>
      </c>
      <c r="DS236" s="353" t="str">
        <f>IFERROR(__xludf.DUMMYFUNCTION("""COMPUTED_VALUE"""),"Closed")</f>
        <v>Closed</v>
      </c>
      <c r="DT236" s="353" t="str">
        <f>IFERROR(__xludf.DUMMYFUNCTION("""COMPUTED_VALUE"""),"Closed")</f>
        <v>Closed</v>
      </c>
      <c r="DU236" s="190"/>
    </row>
    <row r="237" hidden="1">
      <c r="A237" s="214" t="str">
        <f>IFERROR(__xludf.DUMMYFUNCTION("""COMPUTED_VALUE"""),"OLYMPUS")</f>
        <v>OLYMPUS</v>
      </c>
      <c r="B237" s="180" t="str">
        <f>IFERROR(__xludf.DUMMYFUNCTION("""COMPUTED_VALUE"""),"OLP1")</f>
        <v>OLP1</v>
      </c>
      <c r="C237" s="88" t="str">
        <f>IFERROR(__xludf.DUMMYFUNCTION("""COMPUTED_VALUE"""),"Gliding Point")</f>
        <v>Gliding Point</v>
      </c>
      <c r="D237" s="102">
        <f>IFERROR(__xludf.DUMMYFUNCTION("""COMPUTED_VALUE"""),21.0)</f>
        <v>21</v>
      </c>
      <c r="E237" s="82" t="b">
        <f>IFERROR(__xludf.DUMMYFUNCTION("""COMPUTED_VALUE"""),FALSE)</f>
        <v>0</v>
      </c>
      <c r="F237" s="82" t="str">
        <f>IFERROR(__xludf.DUMMYFUNCTION("""COMPUTED_VALUE"""),"Free Quests- Part 2!A733:J742")</f>
        <v>Free Quests- Part 2!A733:J742</v>
      </c>
      <c r="G237" s="82">
        <f>IFERROR(__xludf.DUMMYFUNCTION("""COMPUTED_VALUE"""),238.0)</f>
        <v>238</v>
      </c>
      <c r="H237" s="82" t="str">
        <f>IFERROR(__xludf.DUMMYFUNCTION("""COMPUTED_VALUE"""),"Closed")</f>
        <v>Closed</v>
      </c>
      <c r="I237" s="82">
        <f>IFERROR(__xludf.DUMMYFUNCTION("""COMPUTED_VALUE"""),8211.0)</f>
        <v>8211</v>
      </c>
      <c r="J237" s="82" t="str">
        <f>IFERROR(__xludf.DUMMYFUNCTION("""COMPUTED_VALUE"""),"Closed")</f>
        <v>Closed</v>
      </c>
      <c r="K237" s="234" t="str">
        <f>IFERROR(__xludf.DUMMYFUNCTION("""COMPUTED_VALUE"""),"Closed")</f>
        <v>Closed</v>
      </c>
      <c r="L237" s="351" t="str">
        <f>IFERROR(__xludf.DUMMYFUNCTION("""COMPUTED_VALUE"""),"Closed")</f>
        <v>Closed</v>
      </c>
      <c r="M237" s="364" t="str">
        <f>IFERROR(__xludf.DUMMYFUNCTION("""COMPUTED_VALUE"""),"Closed")</f>
        <v>Closed</v>
      </c>
      <c r="N237" s="365" t="str">
        <f>IFERROR(__xludf.DUMMYFUNCTION("""COMPUTED_VALUE"""),"Closed")</f>
        <v>Closed</v>
      </c>
      <c r="O237" s="351" t="str">
        <f>IFERROR(__xludf.DUMMYFUNCTION("""COMPUTED_VALUE"""),"Closed")</f>
        <v>Closed</v>
      </c>
      <c r="P237" s="364" t="str">
        <f>IFERROR(__xludf.DUMMYFUNCTION("""COMPUTED_VALUE"""),"Closed")</f>
        <v>Closed</v>
      </c>
      <c r="Q237" s="365" t="str">
        <f>IFERROR(__xludf.DUMMYFUNCTION("""COMPUTED_VALUE"""),"Closed")</f>
        <v>Closed</v>
      </c>
      <c r="R237" s="351" t="str">
        <f>IFERROR(__xludf.DUMMYFUNCTION("""COMPUTED_VALUE"""),"Closed")</f>
        <v>Closed</v>
      </c>
      <c r="S237" s="364" t="str">
        <f>IFERROR(__xludf.DUMMYFUNCTION("""COMPUTED_VALUE"""),"Closed")</f>
        <v>Closed</v>
      </c>
      <c r="T237" s="365" t="str">
        <f>IFERROR(__xludf.DUMMYFUNCTION("""COMPUTED_VALUE"""),"Closed")</f>
        <v>Closed</v>
      </c>
      <c r="U237" s="351" t="str">
        <f>IFERROR(__xludf.DUMMYFUNCTION("""COMPUTED_VALUE"""),"Closed")</f>
        <v>Closed</v>
      </c>
      <c r="V237" s="364" t="str">
        <f>IFERROR(__xludf.DUMMYFUNCTION("""COMPUTED_VALUE"""),"Closed")</f>
        <v>Closed</v>
      </c>
      <c r="W237" s="234" t="str">
        <f>IFERROR(__xludf.DUMMYFUNCTION("""COMPUTED_VALUE"""),"Closed")</f>
        <v>Closed</v>
      </c>
      <c r="X237" s="351" t="str">
        <f>IFERROR(__xludf.DUMMYFUNCTION("""COMPUTED_VALUE"""),"Closed")</f>
        <v>Closed</v>
      </c>
      <c r="Y237" s="364" t="str">
        <f>IFERROR(__xludf.DUMMYFUNCTION("""COMPUTED_VALUE"""),"Closed")</f>
        <v>Closed</v>
      </c>
      <c r="Z237" s="365" t="str">
        <f>IFERROR(__xludf.DUMMYFUNCTION("""COMPUTED_VALUE"""),"Closed")</f>
        <v>Closed</v>
      </c>
      <c r="AA237" s="351" t="str">
        <f>IFERROR(__xludf.DUMMYFUNCTION("""COMPUTED_VALUE"""),"Closed")</f>
        <v>Closed</v>
      </c>
      <c r="AB237" s="364" t="str">
        <f>IFERROR(__xludf.DUMMYFUNCTION("""COMPUTED_VALUE"""),"Closed")</f>
        <v>Closed</v>
      </c>
      <c r="AC237" s="365" t="str">
        <f>IFERROR(__xludf.DUMMYFUNCTION("""COMPUTED_VALUE"""),"Closed")</f>
        <v>Closed</v>
      </c>
      <c r="AD237" s="351" t="str">
        <f>IFERROR(__xludf.DUMMYFUNCTION("""COMPUTED_VALUE"""),"Closed")</f>
        <v>Closed</v>
      </c>
      <c r="AE237" s="364" t="str">
        <f>IFERROR(__xludf.DUMMYFUNCTION("""COMPUTED_VALUE"""),"Closed")</f>
        <v>Closed</v>
      </c>
      <c r="AF237" s="365" t="str">
        <f>IFERROR(__xludf.DUMMYFUNCTION("""COMPUTED_VALUE"""),"Closed")</f>
        <v>Closed</v>
      </c>
      <c r="AG237" s="351" t="str">
        <f>IFERROR(__xludf.DUMMYFUNCTION("""COMPUTED_VALUE"""),"Closed")</f>
        <v>Closed</v>
      </c>
      <c r="AH237" s="364" t="str">
        <f>IFERROR(__xludf.DUMMYFUNCTION("""COMPUTED_VALUE"""),"Closed")</f>
        <v>Closed</v>
      </c>
      <c r="AI237" s="234" t="str">
        <f>IFERROR(__xludf.DUMMYFUNCTION("""COMPUTED_VALUE"""),"Closed")</f>
        <v>Closed</v>
      </c>
      <c r="AJ237" s="351" t="str">
        <f>IFERROR(__xludf.DUMMYFUNCTION("""COMPUTED_VALUE"""),"Closed")</f>
        <v>Closed</v>
      </c>
      <c r="AK237" s="364" t="str">
        <f>IFERROR(__xludf.DUMMYFUNCTION("""COMPUTED_VALUE"""),"Closed")</f>
        <v>Closed</v>
      </c>
      <c r="AL237" s="366" t="str">
        <f>IFERROR(__xludf.DUMMYFUNCTION("""COMPUTED_VALUE"""),"Closed")</f>
        <v>Closed</v>
      </c>
      <c r="AM237" s="367" t="str">
        <f>IFERROR(__xludf.DUMMYFUNCTION("""COMPUTED_VALUE"""),"Closed")</f>
        <v>Closed</v>
      </c>
      <c r="AN237" s="364" t="str">
        <f>IFERROR(__xludf.DUMMYFUNCTION("""COMPUTED_VALUE"""),"Closed")</f>
        <v>Closed</v>
      </c>
      <c r="AO237" s="365" t="str">
        <f>IFERROR(__xludf.DUMMYFUNCTION("""COMPUTED_VALUE"""),"Closed")</f>
        <v>Closed</v>
      </c>
      <c r="AP237" s="351" t="str">
        <f>IFERROR(__xludf.DUMMYFUNCTION("""COMPUTED_VALUE"""),"Closed")</f>
        <v>Closed</v>
      </c>
      <c r="AQ237" s="364" t="str">
        <f>IFERROR(__xludf.DUMMYFUNCTION("""COMPUTED_VALUE"""),"Closed")</f>
        <v>Closed</v>
      </c>
      <c r="AR237" s="365" t="str">
        <f>IFERROR(__xludf.DUMMYFUNCTION("""COMPUTED_VALUE"""),"Closed")</f>
        <v>Closed</v>
      </c>
      <c r="AS237" s="351" t="str">
        <f>IFERROR(__xludf.DUMMYFUNCTION("""COMPUTED_VALUE"""),"Closed")</f>
        <v>Closed</v>
      </c>
      <c r="AT237" s="364" t="str">
        <f>IFERROR(__xludf.DUMMYFUNCTION("""COMPUTED_VALUE"""),"Closed")</f>
        <v>Closed</v>
      </c>
      <c r="AU237" s="234" t="str">
        <f>IFERROR(__xludf.DUMMYFUNCTION("""COMPUTED_VALUE"""),"Closed")</f>
        <v>Closed</v>
      </c>
      <c r="AV237" s="351" t="str">
        <f>IFERROR(__xludf.DUMMYFUNCTION("""COMPUTED_VALUE"""),"Closed")</f>
        <v>Closed</v>
      </c>
      <c r="AW237" s="364" t="str">
        <f>IFERROR(__xludf.DUMMYFUNCTION("""COMPUTED_VALUE"""),"Closed")</f>
        <v>Closed</v>
      </c>
      <c r="AX237" s="365" t="str">
        <f>IFERROR(__xludf.DUMMYFUNCTION("""COMPUTED_VALUE"""),"Closed")</f>
        <v>Closed</v>
      </c>
      <c r="AY237" s="351" t="str">
        <f>IFERROR(__xludf.DUMMYFUNCTION("""COMPUTED_VALUE"""),"Closed")</f>
        <v>Closed</v>
      </c>
      <c r="AZ237" s="364" t="str">
        <f>IFERROR(__xludf.DUMMYFUNCTION("""COMPUTED_VALUE"""),"Closed")</f>
        <v>Closed</v>
      </c>
      <c r="BA237" s="365" t="str">
        <f>IFERROR(__xludf.DUMMYFUNCTION("""COMPUTED_VALUE"""),"Closed")</f>
        <v>Closed</v>
      </c>
      <c r="BB237" s="351" t="str">
        <f>IFERROR(__xludf.DUMMYFUNCTION("""COMPUTED_VALUE"""),"Closed")</f>
        <v>Closed</v>
      </c>
      <c r="BC237" s="364" t="str">
        <f>IFERROR(__xludf.DUMMYFUNCTION("""COMPUTED_VALUE"""),"Closed")</f>
        <v>Closed</v>
      </c>
      <c r="BD237" s="365" t="str">
        <f>IFERROR(__xludf.DUMMYFUNCTION("""COMPUTED_VALUE"""),"Closed")</f>
        <v>Closed</v>
      </c>
      <c r="BE237" s="351" t="str">
        <f>IFERROR(__xludf.DUMMYFUNCTION("""COMPUTED_VALUE"""),"Closed")</f>
        <v>Closed</v>
      </c>
      <c r="BF237" s="364" t="str">
        <f>IFERROR(__xludf.DUMMYFUNCTION("""COMPUTED_VALUE"""),"Closed")</f>
        <v>Closed</v>
      </c>
      <c r="BG237" s="234" t="str">
        <f>IFERROR(__xludf.DUMMYFUNCTION("""COMPUTED_VALUE"""),"Closed")</f>
        <v>Closed</v>
      </c>
      <c r="BH237" s="351" t="str">
        <f>IFERROR(__xludf.DUMMYFUNCTION("""COMPUTED_VALUE"""),"Closed")</f>
        <v>Closed</v>
      </c>
      <c r="BI237" s="364" t="str">
        <f>IFERROR(__xludf.DUMMYFUNCTION("""COMPUTED_VALUE"""),"Closed")</f>
        <v>Closed</v>
      </c>
      <c r="BJ237" s="365" t="str">
        <f>IFERROR(__xludf.DUMMYFUNCTION("""COMPUTED_VALUE"""),"Closed")</f>
        <v>Closed</v>
      </c>
      <c r="BK237" s="351" t="str">
        <f>IFERROR(__xludf.DUMMYFUNCTION("""COMPUTED_VALUE"""),"Closed")</f>
        <v>Closed</v>
      </c>
      <c r="BL237" s="364" t="str">
        <f>IFERROR(__xludf.DUMMYFUNCTION("""COMPUTED_VALUE"""),"Closed")</f>
        <v>Closed</v>
      </c>
      <c r="BM237" s="365" t="str">
        <f>IFERROR(__xludf.DUMMYFUNCTION("""COMPUTED_VALUE"""),"Closed")</f>
        <v>Closed</v>
      </c>
      <c r="BN237" s="351" t="str">
        <f>IFERROR(__xludf.DUMMYFUNCTION("""COMPUTED_VALUE"""),"Closed")</f>
        <v>Closed</v>
      </c>
      <c r="BO237" s="364" t="str">
        <f>IFERROR(__xludf.DUMMYFUNCTION("""COMPUTED_VALUE"""),"Closed")</f>
        <v>Closed</v>
      </c>
      <c r="BP237" s="365" t="str">
        <f>IFERROR(__xludf.DUMMYFUNCTION("""COMPUTED_VALUE"""),"Closed")</f>
        <v>Closed</v>
      </c>
      <c r="BQ237" s="351" t="str">
        <f>IFERROR(__xludf.DUMMYFUNCTION("""COMPUTED_VALUE"""),"Closed")</f>
        <v>Closed</v>
      </c>
      <c r="BR237" s="364" t="str">
        <f>IFERROR(__xludf.DUMMYFUNCTION("""COMPUTED_VALUE"""),"Closed")</f>
        <v>Closed</v>
      </c>
      <c r="BS237" s="234" t="str">
        <f>IFERROR(__xludf.DUMMYFUNCTION("""COMPUTED_VALUE"""),"Closed")</f>
        <v>Closed</v>
      </c>
      <c r="BT237" s="351" t="str">
        <f>IFERROR(__xludf.DUMMYFUNCTION("""COMPUTED_VALUE"""),"Closed")</f>
        <v>Closed</v>
      </c>
      <c r="BU237" s="364" t="str">
        <f>IFERROR(__xludf.DUMMYFUNCTION("""COMPUTED_VALUE"""),"Closed")</f>
        <v>Closed</v>
      </c>
      <c r="BV237" s="365" t="str">
        <f>IFERROR(__xludf.DUMMYFUNCTION("""COMPUTED_VALUE"""),"Closed")</f>
        <v>Closed</v>
      </c>
      <c r="BW237" s="351" t="str">
        <f>IFERROR(__xludf.DUMMYFUNCTION("""COMPUTED_VALUE"""),"Closed")</f>
        <v>Closed</v>
      </c>
      <c r="BX237" s="364" t="str">
        <f>IFERROR(__xludf.DUMMYFUNCTION("""COMPUTED_VALUE"""),"Closed")</f>
        <v>Closed</v>
      </c>
      <c r="BY237" s="365" t="str">
        <f>IFERROR(__xludf.DUMMYFUNCTION("""COMPUTED_VALUE"""),"Closed")</f>
        <v>Closed</v>
      </c>
      <c r="BZ237" s="351" t="str">
        <f>IFERROR(__xludf.DUMMYFUNCTION("""COMPUTED_VALUE"""),"Closed")</f>
        <v>Closed</v>
      </c>
      <c r="CA237" s="364" t="str">
        <f>IFERROR(__xludf.DUMMYFUNCTION("""COMPUTED_VALUE"""),"Closed")</f>
        <v>Closed</v>
      </c>
      <c r="CB237" s="365" t="str">
        <f>IFERROR(__xludf.DUMMYFUNCTION("""COMPUTED_VALUE"""),"Closed")</f>
        <v>Closed</v>
      </c>
      <c r="CC237" s="351" t="str">
        <f>IFERROR(__xludf.DUMMYFUNCTION("""COMPUTED_VALUE"""),"Closed")</f>
        <v>Closed</v>
      </c>
      <c r="CD237" s="364" t="str">
        <f>IFERROR(__xludf.DUMMYFUNCTION("""COMPUTED_VALUE"""),"Closed")</f>
        <v>Closed</v>
      </c>
      <c r="CE237" s="365" t="str">
        <f>IFERROR(__xludf.DUMMYFUNCTION("""COMPUTED_VALUE"""),"Closed")</f>
        <v>Closed</v>
      </c>
      <c r="CF237" s="351" t="str">
        <f>IFERROR(__xludf.DUMMYFUNCTION("""COMPUTED_VALUE"""),"Closed")</f>
        <v>Closed</v>
      </c>
      <c r="CG237" s="364" t="str">
        <f>IFERROR(__xludf.DUMMYFUNCTION("""COMPUTED_VALUE"""),"Closed")</f>
        <v>Closed</v>
      </c>
      <c r="CH237" s="365" t="str">
        <f>IFERROR(__xludf.DUMMYFUNCTION("""COMPUTED_VALUE"""),"Closed")</f>
        <v>Closed</v>
      </c>
      <c r="CI237" s="351" t="str">
        <f>IFERROR(__xludf.DUMMYFUNCTION("""COMPUTED_VALUE"""),"Closed")</f>
        <v>Closed</v>
      </c>
      <c r="CJ237" s="351" t="str">
        <f>IFERROR(__xludf.DUMMYFUNCTION("""COMPUTED_VALUE"""),"Closed")</f>
        <v>Closed</v>
      </c>
      <c r="CK237" s="365" t="str">
        <f>IFERROR(__xludf.DUMMYFUNCTION("""COMPUTED_VALUE"""),"Closed")</f>
        <v>Closed</v>
      </c>
      <c r="CL237" s="351" t="str">
        <f>IFERROR(__xludf.DUMMYFUNCTION("""COMPUTED_VALUE"""),"Closed")</f>
        <v>Closed</v>
      </c>
      <c r="CM237" s="364" t="str">
        <f>IFERROR(__xludf.DUMMYFUNCTION("""COMPUTED_VALUE"""),"Closed")</f>
        <v>Closed</v>
      </c>
      <c r="CN237" s="351" t="str">
        <f>IFERROR(__xludf.DUMMYFUNCTION("""COMPUTED_VALUE"""),"Closed")</f>
        <v>Closed</v>
      </c>
      <c r="CO237" s="351" t="str">
        <f>IFERROR(__xludf.DUMMYFUNCTION("""COMPUTED_VALUE"""),"Closed")</f>
        <v>Closed</v>
      </c>
      <c r="CP237" s="351" t="str">
        <f>IFERROR(__xludf.DUMMYFUNCTION("""COMPUTED_VALUE"""),"Closed")</f>
        <v>Closed</v>
      </c>
      <c r="CQ237" s="365" t="str">
        <f>IFERROR(__xludf.DUMMYFUNCTION("""COMPUTED_VALUE"""),"Closed")</f>
        <v>Closed</v>
      </c>
      <c r="CR237" s="351" t="str">
        <f>IFERROR(__xludf.DUMMYFUNCTION("""COMPUTED_VALUE"""),"Closed")</f>
        <v>Closed</v>
      </c>
      <c r="CS237" s="351" t="str">
        <f>IFERROR(__xludf.DUMMYFUNCTION("""COMPUTED_VALUE"""),"Closed")</f>
        <v>Closed</v>
      </c>
      <c r="CT237" s="365" t="str">
        <f>IFERROR(__xludf.DUMMYFUNCTION("""COMPUTED_VALUE"""),"Closed")</f>
        <v>Closed</v>
      </c>
      <c r="CU237" s="351" t="str">
        <f>IFERROR(__xludf.DUMMYFUNCTION("""COMPUTED_VALUE"""),"Closed")</f>
        <v>Closed</v>
      </c>
      <c r="CV237" s="351" t="str">
        <f>IFERROR(__xludf.DUMMYFUNCTION("""COMPUTED_VALUE"""),"Closed")</f>
        <v>Closed</v>
      </c>
      <c r="CW237" s="365" t="str">
        <f>IFERROR(__xludf.DUMMYFUNCTION("""COMPUTED_VALUE"""),"Closed")</f>
        <v>Closed</v>
      </c>
      <c r="CX237" s="351" t="str">
        <f>IFERROR(__xludf.DUMMYFUNCTION("""COMPUTED_VALUE"""),"Closed")</f>
        <v>Closed</v>
      </c>
      <c r="CY237" s="364" t="str">
        <f>IFERROR(__xludf.DUMMYFUNCTION("""COMPUTED_VALUE"""),"Closed")</f>
        <v>Closed</v>
      </c>
      <c r="CZ237" s="351" t="str">
        <f>IFERROR(__xludf.DUMMYFUNCTION("""COMPUTED_VALUE"""),"Closed")</f>
        <v>Closed</v>
      </c>
      <c r="DA237" s="351" t="str">
        <f>IFERROR(__xludf.DUMMYFUNCTION("""COMPUTED_VALUE"""),"Closed")</f>
        <v>Closed</v>
      </c>
      <c r="DB237" s="364" t="str">
        <f>IFERROR(__xludf.DUMMYFUNCTION("""COMPUTED_VALUE"""),"Closed")</f>
        <v>Closed</v>
      </c>
      <c r="DC237" s="365" t="str">
        <f>IFERROR(__xludf.DUMMYFUNCTION("""COMPUTED_VALUE"""),"Closed")</f>
        <v>Closed</v>
      </c>
      <c r="DD237" s="351" t="str">
        <f>IFERROR(__xludf.DUMMYFUNCTION("""COMPUTED_VALUE"""),"Closed")</f>
        <v>Closed</v>
      </c>
      <c r="DE237" s="364" t="str">
        <f>IFERROR(__xludf.DUMMYFUNCTION("""COMPUTED_VALUE"""),"Closed")</f>
        <v>Closed</v>
      </c>
      <c r="DF237" s="365" t="str">
        <f>IFERROR(__xludf.DUMMYFUNCTION("""COMPUTED_VALUE"""),"Closed")</f>
        <v>Closed</v>
      </c>
      <c r="DG237" s="351" t="str">
        <f>IFERROR(__xludf.DUMMYFUNCTION("""COMPUTED_VALUE"""),"Closed")</f>
        <v>Closed</v>
      </c>
      <c r="DH237" s="364" t="str">
        <f>IFERROR(__xludf.DUMMYFUNCTION("""COMPUTED_VALUE"""),"Closed")</f>
        <v>Closed</v>
      </c>
      <c r="DI237" s="365" t="str">
        <f>IFERROR(__xludf.DUMMYFUNCTION("""COMPUTED_VALUE"""),"Closed")</f>
        <v>Closed</v>
      </c>
      <c r="DJ237" s="351" t="str">
        <f>IFERROR(__xludf.DUMMYFUNCTION("""COMPUTED_VALUE"""),"Closed")</f>
        <v>Closed</v>
      </c>
      <c r="DK237" s="364" t="str">
        <f>IFERROR(__xludf.DUMMYFUNCTION("""COMPUTED_VALUE"""),"Closed")</f>
        <v>Closed</v>
      </c>
      <c r="DL237" s="351" t="str">
        <f>IFERROR(__xludf.DUMMYFUNCTION("""COMPUTED_VALUE"""),"Closed")</f>
        <v>Closed</v>
      </c>
      <c r="DM237" s="351" t="str">
        <f>IFERROR(__xludf.DUMMYFUNCTION("""COMPUTED_VALUE"""),"Closed")</f>
        <v>Closed</v>
      </c>
      <c r="DN237" s="351" t="str">
        <f>IFERROR(__xludf.DUMMYFUNCTION("""COMPUTED_VALUE"""),"Closed")</f>
        <v>Closed</v>
      </c>
      <c r="DO237" s="256" t="str">
        <f>IFERROR(__xludf.DUMMYFUNCTION("""COMPUTED_VALUE"""),"Closed")</f>
        <v>Closed</v>
      </c>
      <c r="DP237" s="256" t="str">
        <f>IFERROR(__xludf.DUMMYFUNCTION("""COMPUTED_VALUE"""),"Closed")</f>
        <v>Closed</v>
      </c>
      <c r="DQ237" s="256" t="str">
        <f>IFERROR(__xludf.DUMMYFUNCTION("""COMPUTED_VALUE"""),"Closed")</f>
        <v>Closed</v>
      </c>
      <c r="DR237" s="256" t="str">
        <f>IFERROR(__xludf.DUMMYFUNCTION("""COMPUTED_VALUE"""),"Closed")</f>
        <v>Closed</v>
      </c>
      <c r="DS237" s="256" t="str">
        <f>IFERROR(__xludf.DUMMYFUNCTION("""COMPUTED_VALUE"""),"Closed")</f>
        <v>Closed</v>
      </c>
      <c r="DT237" s="256" t="str">
        <f>IFERROR(__xludf.DUMMYFUNCTION("""COMPUTED_VALUE"""),"Closed")</f>
        <v>Closed</v>
      </c>
    </row>
    <row r="238" hidden="1">
      <c r="B238" s="180" t="str">
        <f>IFERROR(__xludf.DUMMYFUNCTION("""COMPUTED_VALUE"""),"OLP2")</f>
        <v>OLP2</v>
      </c>
      <c r="C238" s="88" t="str">
        <f>IFERROR(__xludf.DUMMYFUNCTION("""COMPUTED_VALUE"""),"Interstellar City: West")</f>
        <v>Interstellar City: West</v>
      </c>
      <c r="D238" s="102">
        <f>IFERROR(__xludf.DUMMYFUNCTION("""COMPUTED_VALUE"""),21.0)</f>
        <v>21</v>
      </c>
      <c r="E238" s="82" t="b">
        <f>IFERROR(__xludf.DUMMYFUNCTION("""COMPUTED_VALUE"""),FALSE)</f>
        <v>0</v>
      </c>
      <c r="F238" s="82" t="str">
        <f>IFERROR(__xludf.DUMMYFUNCTION("""COMPUTED_VALUE"""),"Free Quests- Part 2!A746:J752")</f>
        <v>Free Quests- Part 2!A746:J752</v>
      </c>
      <c r="G238" s="82">
        <f>IFERROR(__xludf.DUMMYFUNCTION("""COMPUTED_VALUE"""),239.0)</f>
        <v>239</v>
      </c>
      <c r="H238" s="82" t="str">
        <f>IFERROR(__xludf.DUMMYFUNCTION("""COMPUTED_VALUE"""),"Closed")</f>
        <v>Closed</v>
      </c>
      <c r="I238" s="82">
        <f>IFERROR(__xludf.DUMMYFUNCTION("""COMPUTED_VALUE"""),12319.0)</f>
        <v>12319</v>
      </c>
      <c r="J238" s="82" t="str">
        <f>IFERROR(__xludf.DUMMYFUNCTION("""COMPUTED_VALUE"""),"Closed")</f>
        <v>Closed</v>
      </c>
      <c r="K238" s="234" t="str">
        <f>IFERROR(__xludf.DUMMYFUNCTION("""COMPUTED_VALUE"""),"Closed")</f>
        <v>Closed</v>
      </c>
      <c r="L238" s="351" t="str">
        <f>IFERROR(__xludf.DUMMYFUNCTION("""COMPUTED_VALUE"""),"Closed")</f>
        <v>Closed</v>
      </c>
      <c r="M238" s="364" t="str">
        <f>IFERROR(__xludf.DUMMYFUNCTION("""COMPUTED_VALUE"""),"Closed")</f>
        <v>Closed</v>
      </c>
      <c r="N238" s="365" t="str">
        <f>IFERROR(__xludf.DUMMYFUNCTION("""COMPUTED_VALUE"""),"Closed")</f>
        <v>Closed</v>
      </c>
      <c r="O238" s="351" t="str">
        <f>IFERROR(__xludf.DUMMYFUNCTION("""COMPUTED_VALUE"""),"Closed")</f>
        <v>Closed</v>
      </c>
      <c r="P238" s="364" t="str">
        <f>IFERROR(__xludf.DUMMYFUNCTION("""COMPUTED_VALUE"""),"Closed")</f>
        <v>Closed</v>
      </c>
      <c r="Q238" s="365" t="str">
        <f>IFERROR(__xludf.DUMMYFUNCTION("""COMPUTED_VALUE"""),"Closed")</f>
        <v>Closed</v>
      </c>
      <c r="R238" s="351" t="str">
        <f>IFERROR(__xludf.DUMMYFUNCTION("""COMPUTED_VALUE"""),"Closed")</f>
        <v>Closed</v>
      </c>
      <c r="S238" s="364" t="str">
        <f>IFERROR(__xludf.DUMMYFUNCTION("""COMPUTED_VALUE"""),"Closed")</f>
        <v>Closed</v>
      </c>
      <c r="T238" s="365" t="str">
        <f>IFERROR(__xludf.DUMMYFUNCTION("""COMPUTED_VALUE"""),"Closed")</f>
        <v>Closed</v>
      </c>
      <c r="U238" s="351" t="str">
        <f>IFERROR(__xludf.DUMMYFUNCTION("""COMPUTED_VALUE"""),"Closed")</f>
        <v>Closed</v>
      </c>
      <c r="V238" s="364" t="str">
        <f>IFERROR(__xludf.DUMMYFUNCTION("""COMPUTED_VALUE"""),"Closed")</f>
        <v>Closed</v>
      </c>
      <c r="W238" s="234" t="str">
        <f>IFERROR(__xludf.DUMMYFUNCTION("""COMPUTED_VALUE"""),"Closed")</f>
        <v>Closed</v>
      </c>
      <c r="X238" s="351" t="str">
        <f>IFERROR(__xludf.DUMMYFUNCTION("""COMPUTED_VALUE"""),"Closed")</f>
        <v>Closed</v>
      </c>
      <c r="Y238" s="364" t="str">
        <f>IFERROR(__xludf.DUMMYFUNCTION("""COMPUTED_VALUE"""),"Closed")</f>
        <v>Closed</v>
      </c>
      <c r="Z238" s="365" t="str">
        <f>IFERROR(__xludf.DUMMYFUNCTION("""COMPUTED_VALUE"""),"Closed")</f>
        <v>Closed</v>
      </c>
      <c r="AA238" s="351" t="str">
        <f>IFERROR(__xludf.DUMMYFUNCTION("""COMPUTED_VALUE"""),"Closed")</f>
        <v>Closed</v>
      </c>
      <c r="AB238" s="364" t="str">
        <f>IFERROR(__xludf.DUMMYFUNCTION("""COMPUTED_VALUE"""),"Closed")</f>
        <v>Closed</v>
      </c>
      <c r="AC238" s="365" t="str">
        <f>IFERROR(__xludf.DUMMYFUNCTION("""COMPUTED_VALUE"""),"Closed")</f>
        <v>Closed</v>
      </c>
      <c r="AD238" s="351" t="str">
        <f>IFERROR(__xludf.DUMMYFUNCTION("""COMPUTED_VALUE"""),"Closed")</f>
        <v>Closed</v>
      </c>
      <c r="AE238" s="364" t="str">
        <f>IFERROR(__xludf.DUMMYFUNCTION("""COMPUTED_VALUE"""),"Closed")</f>
        <v>Closed</v>
      </c>
      <c r="AF238" s="365" t="str">
        <f>IFERROR(__xludf.DUMMYFUNCTION("""COMPUTED_VALUE"""),"Closed")</f>
        <v>Closed</v>
      </c>
      <c r="AG238" s="351" t="str">
        <f>IFERROR(__xludf.DUMMYFUNCTION("""COMPUTED_VALUE"""),"Closed")</f>
        <v>Closed</v>
      </c>
      <c r="AH238" s="364" t="str">
        <f>IFERROR(__xludf.DUMMYFUNCTION("""COMPUTED_VALUE"""),"Closed")</f>
        <v>Closed</v>
      </c>
      <c r="AI238" s="234" t="str">
        <f>IFERROR(__xludf.DUMMYFUNCTION("""COMPUTED_VALUE"""),"Closed")</f>
        <v>Closed</v>
      </c>
      <c r="AJ238" s="351" t="str">
        <f>IFERROR(__xludf.DUMMYFUNCTION("""COMPUTED_VALUE"""),"Closed")</f>
        <v>Closed</v>
      </c>
      <c r="AK238" s="364" t="str">
        <f>IFERROR(__xludf.DUMMYFUNCTION("""COMPUTED_VALUE"""),"Closed")</f>
        <v>Closed</v>
      </c>
      <c r="AL238" s="366" t="str">
        <f>IFERROR(__xludf.DUMMYFUNCTION("""COMPUTED_VALUE"""),"Closed")</f>
        <v>Closed</v>
      </c>
      <c r="AM238" s="367" t="str">
        <f>IFERROR(__xludf.DUMMYFUNCTION("""COMPUTED_VALUE"""),"Closed")</f>
        <v>Closed</v>
      </c>
      <c r="AN238" s="364" t="str">
        <f>IFERROR(__xludf.DUMMYFUNCTION("""COMPUTED_VALUE"""),"Closed")</f>
        <v>Closed</v>
      </c>
      <c r="AO238" s="365" t="str">
        <f>IFERROR(__xludf.DUMMYFUNCTION("""COMPUTED_VALUE"""),"Closed")</f>
        <v>Closed</v>
      </c>
      <c r="AP238" s="351" t="str">
        <f>IFERROR(__xludf.DUMMYFUNCTION("""COMPUTED_VALUE"""),"Closed")</f>
        <v>Closed</v>
      </c>
      <c r="AQ238" s="364" t="str">
        <f>IFERROR(__xludf.DUMMYFUNCTION("""COMPUTED_VALUE"""),"Closed")</f>
        <v>Closed</v>
      </c>
      <c r="AR238" s="365" t="str">
        <f>IFERROR(__xludf.DUMMYFUNCTION("""COMPUTED_VALUE"""),"Closed")</f>
        <v>Closed</v>
      </c>
      <c r="AS238" s="351" t="str">
        <f>IFERROR(__xludf.DUMMYFUNCTION("""COMPUTED_VALUE"""),"Closed")</f>
        <v>Closed</v>
      </c>
      <c r="AT238" s="364" t="str">
        <f>IFERROR(__xludf.DUMMYFUNCTION("""COMPUTED_VALUE"""),"Closed")</f>
        <v>Closed</v>
      </c>
      <c r="AU238" s="234" t="str">
        <f>IFERROR(__xludf.DUMMYFUNCTION("""COMPUTED_VALUE"""),"Closed")</f>
        <v>Closed</v>
      </c>
      <c r="AV238" s="351" t="str">
        <f>IFERROR(__xludf.DUMMYFUNCTION("""COMPUTED_VALUE"""),"Closed")</f>
        <v>Closed</v>
      </c>
      <c r="AW238" s="364" t="str">
        <f>IFERROR(__xludf.DUMMYFUNCTION("""COMPUTED_VALUE"""),"Closed")</f>
        <v>Closed</v>
      </c>
      <c r="AX238" s="365" t="str">
        <f>IFERROR(__xludf.DUMMYFUNCTION("""COMPUTED_VALUE"""),"Closed")</f>
        <v>Closed</v>
      </c>
      <c r="AY238" s="351" t="str">
        <f>IFERROR(__xludf.DUMMYFUNCTION("""COMPUTED_VALUE"""),"Closed")</f>
        <v>Closed</v>
      </c>
      <c r="AZ238" s="364" t="str">
        <f>IFERROR(__xludf.DUMMYFUNCTION("""COMPUTED_VALUE"""),"Closed")</f>
        <v>Closed</v>
      </c>
      <c r="BA238" s="365" t="str">
        <f>IFERROR(__xludf.DUMMYFUNCTION("""COMPUTED_VALUE"""),"Closed")</f>
        <v>Closed</v>
      </c>
      <c r="BB238" s="351" t="str">
        <f>IFERROR(__xludf.DUMMYFUNCTION("""COMPUTED_VALUE"""),"Closed")</f>
        <v>Closed</v>
      </c>
      <c r="BC238" s="364" t="str">
        <f>IFERROR(__xludf.DUMMYFUNCTION("""COMPUTED_VALUE"""),"Closed")</f>
        <v>Closed</v>
      </c>
      <c r="BD238" s="365" t="str">
        <f>IFERROR(__xludf.DUMMYFUNCTION("""COMPUTED_VALUE"""),"Closed")</f>
        <v>Closed</v>
      </c>
      <c r="BE238" s="351" t="str">
        <f>IFERROR(__xludf.DUMMYFUNCTION("""COMPUTED_VALUE"""),"Closed")</f>
        <v>Closed</v>
      </c>
      <c r="BF238" s="364" t="str">
        <f>IFERROR(__xludf.DUMMYFUNCTION("""COMPUTED_VALUE"""),"Closed")</f>
        <v>Closed</v>
      </c>
      <c r="BG238" s="234" t="str">
        <f>IFERROR(__xludf.DUMMYFUNCTION("""COMPUTED_VALUE"""),"Closed")</f>
        <v>Closed</v>
      </c>
      <c r="BH238" s="351" t="str">
        <f>IFERROR(__xludf.DUMMYFUNCTION("""COMPUTED_VALUE"""),"Closed")</f>
        <v>Closed</v>
      </c>
      <c r="BI238" s="364" t="str">
        <f>IFERROR(__xludf.DUMMYFUNCTION("""COMPUTED_VALUE"""),"Closed")</f>
        <v>Closed</v>
      </c>
      <c r="BJ238" s="365" t="str">
        <f>IFERROR(__xludf.DUMMYFUNCTION("""COMPUTED_VALUE"""),"Closed")</f>
        <v>Closed</v>
      </c>
      <c r="BK238" s="351" t="str">
        <f>IFERROR(__xludf.DUMMYFUNCTION("""COMPUTED_VALUE"""),"Closed")</f>
        <v>Closed</v>
      </c>
      <c r="BL238" s="364" t="str">
        <f>IFERROR(__xludf.DUMMYFUNCTION("""COMPUTED_VALUE"""),"Closed")</f>
        <v>Closed</v>
      </c>
      <c r="BM238" s="365" t="str">
        <f>IFERROR(__xludf.DUMMYFUNCTION("""COMPUTED_VALUE"""),"Closed")</f>
        <v>Closed</v>
      </c>
      <c r="BN238" s="351" t="str">
        <f>IFERROR(__xludf.DUMMYFUNCTION("""COMPUTED_VALUE"""),"Closed")</f>
        <v>Closed</v>
      </c>
      <c r="BO238" s="364" t="str">
        <f>IFERROR(__xludf.DUMMYFUNCTION("""COMPUTED_VALUE"""),"Closed")</f>
        <v>Closed</v>
      </c>
      <c r="BP238" s="365" t="str">
        <f>IFERROR(__xludf.DUMMYFUNCTION("""COMPUTED_VALUE"""),"Closed")</f>
        <v>Closed</v>
      </c>
      <c r="BQ238" s="351" t="str">
        <f>IFERROR(__xludf.DUMMYFUNCTION("""COMPUTED_VALUE"""),"Closed")</f>
        <v>Closed</v>
      </c>
      <c r="BR238" s="364" t="str">
        <f>IFERROR(__xludf.DUMMYFUNCTION("""COMPUTED_VALUE"""),"Closed")</f>
        <v>Closed</v>
      </c>
      <c r="BS238" s="234" t="str">
        <f>IFERROR(__xludf.DUMMYFUNCTION("""COMPUTED_VALUE"""),"Closed")</f>
        <v>Closed</v>
      </c>
      <c r="BT238" s="351" t="str">
        <f>IFERROR(__xludf.DUMMYFUNCTION("""COMPUTED_VALUE"""),"Closed")</f>
        <v>Closed</v>
      </c>
      <c r="BU238" s="364" t="str">
        <f>IFERROR(__xludf.DUMMYFUNCTION("""COMPUTED_VALUE"""),"Closed")</f>
        <v>Closed</v>
      </c>
      <c r="BV238" s="365" t="str">
        <f>IFERROR(__xludf.DUMMYFUNCTION("""COMPUTED_VALUE"""),"Closed")</f>
        <v>Closed</v>
      </c>
      <c r="BW238" s="351" t="str">
        <f>IFERROR(__xludf.DUMMYFUNCTION("""COMPUTED_VALUE"""),"Closed")</f>
        <v>Closed</v>
      </c>
      <c r="BX238" s="364" t="str">
        <f>IFERROR(__xludf.DUMMYFUNCTION("""COMPUTED_VALUE"""),"Closed")</f>
        <v>Closed</v>
      </c>
      <c r="BY238" s="365" t="str">
        <f>IFERROR(__xludf.DUMMYFUNCTION("""COMPUTED_VALUE"""),"Closed")</f>
        <v>Closed</v>
      </c>
      <c r="BZ238" s="351" t="str">
        <f>IFERROR(__xludf.DUMMYFUNCTION("""COMPUTED_VALUE"""),"Closed")</f>
        <v>Closed</v>
      </c>
      <c r="CA238" s="364" t="str">
        <f>IFERROR(__xludf.DUMMYFUNCTION("""COMPUTED_VALUE"""),"Closed")</f>
        <v>Closed</v>
      </c>
      <c r="CB238" s="365" t="str">
        <f>IFERROR(__xludf.DUMMYFUNCTION("""COMPUTED_VALUE"""),"Closed")</f>
        <v>Closed</v>
      </c>
      <c r="CC238" s="351" t="str">
        <f>IFERROR(__xludf.DUMMYFUNCTION("""COMPUTED_VALUE"""),"Closed")</f>
        <v>Closed</v>
      </c>
      <c r="CD238" s="364" t="str">
        <f>IFERROR(__xludf.DUMMYFUNCTION("""COMPUTED_VALUE"""),"Closed")</f>
        <v>Closed</v>
      </c>
      <c r="CE238" s="365" t="str">
        <f>IFERROR(__xludf.DUMMYFUNCTION("""COMPUTED_VALUE"""),"Closed")</f>
        <v>Closed</v>
      </c>
      <c r="CF238" s="351" t="str">
        <f>IFERROR(__xludf.DUMMYFUNCTION("""COMPUTED_VALUE"""),"Closed")</f>
        <v>Closed</v>
      </c>
      <c r="CG238" s="364" t="str">
        <f>IFERROR(__xludf.DUMMYFUNCTION("""COMPUTED_VALUE"""),"Closed")</f>
        <v>Closed</v>
      </c>
      <c r="CH238" s="365" t="str">
        <f>IFERROR(__xludf.DUMMYFUNCTION("""COMPUTED_VALUE"""),"Closed")</f>
        <v>Closed</v>
      </c>
      <c r="CI238" s="351" t="str">
        <f>IFERROR(__xludf.DUMMYFUNCTION("""COMPUTED_VALUE"""),"Closed")</f>
        <v>Closed</v>
      </c>
      <c r="CJ238" s="351" t="str">
        <f>IFERROR(__xludf.DUMMYFUNCTION("""COMPUTED_VALUE"""),"Closed")</f>
        <v>Closed</v>
      </c>
      <c r="CK238" s="365" t="str">
        <f>IFERROR(__xludf.DUMMYFUNCTION("""COMPUTED_VALUE"""),"Closed")</f>
        <v>Closed</v>
      </c>
      <c r="CL238" s="351" t="str">
        <f>IFERROR(__xludf.DUMMYFUNCTION("""COMPUTED_VALUE"""),"Closed")</f>
        <v>Closed</v>
      </c>
      <c r="CM238" s="364" t="str">
        <f>IFERROR(__xludf.DUMMYFUNCTION("""COMPUTED_VALUE"""),"Closed")</f>
        <v>Closed</v>
      </c>
      <c r="CN238" s="351" t="str">
        <f>IFERROR(__xludf.DUMMYFUNCTION("""COMPUTED_VALUE"""),"Closed")</f>
        <v>Closed</v>
      </c>
      <c r="CO238" s="351" t="str">
        <f>IFERROR(__xludf.DUMMYFUNCTION("""COMPUTED_VALUE"""),"Closed")</f>
        <v>Closed</v>
      </c>
      <c r="CP238" s="351" t="str">
        <f>IFERROR(__xludf.DUMMYFUNCTION("""COMPUTED_VALUE"""),"Closed")</f>
        <v>Closed</v>
      </c>
      <c r="CQ238" s="365" t="str">
        <f>IFERROR(__xludf.DUMMYFUNCTION("""COMPUTED_VALUE"""),"Closed")</f>
        <v>Closed</v>
      </c>
      <c r="CR238" s="351" t="str">
        <f>IFERROR(__xludf.DUMMYFUNCTION("""COMPUTED_VALUE"""),"Closed")</f>
        <v>Closed</v>
      </c>
      <c r="CS238" s="351" t="str">
        <f>IFERROR(__xludf.DUMMYFUNCTION("""COMPUTED_VALUE"""),"Closed")</f>
        <v>Closed</v>
      </c>
      <c r="CT238" s="365" t="str">
        <f>IFERROR(__xludf.DUMMYFUNCTION("""COMPUTED_VALUE"""),"Closed")</f>
        <v>Closed</v>
      </c>
      <c r="CU238" s="351" t="str">
        <f>IFERROR(__xludf.DUMMYFUNCTION("""COMPUTED_VALUE"""),"Closed")</f>
        <v>Closed</v>
      </c>
      <c r="CV238" s="351" t="str">
        <f>IFERROR(__xludf.DUMMYFUNCTION("""COMPUTED_VALUE"""),"Closed")</f>
        <v>Closed</v>
      </c>
      <c r="CW238" s="365" t="str">
        <f>IFERROR(__xludf.DUMMYFUNCTION("""COMPUTED_VALUE"""),"Closed")</f>
        <v>Closed</v>
      </c>
      <c r="CX238" s="351" t="str">
        <f>IFERROR(__xludf.DUMMYFUNCTION("""COMPUTED_VALUE"""),"Closed")</f>
        <v>Closed</v>
      </c>
      <c r="CY238" s="364" t="str">
        <f>IFERROR(__xludf.DUMMYFUNCTION("""COMPUTED_VALUE"""),"Closed")</f>
        <v>Closed</v>
      </c>
      <c r="CZ238" s="351" t="str">
        <f>IFERROR(__xludf.DUMMYFUNCTION("""COMPUTED_VALUE"""),"Closed")</f>
        <v>Closed</v>
      </c>
      <c r="DA238" s="351" t="str">
        <f>IFERROR(__xludf.DUMMYFUNCTION("""COMPUTED_VALUE"""),"Closed")</f>
        <v>Closed</v>
      </c>
      <c r="DB238" s="364" t="str">
        <f>IFERROR(__xludf.DUMMYFUNCTION("""COMPUTED_VALUE"""),"Closed")</f>
        <v>Closed</v>
      </c>
      <c r="DC238" s="365" t="str">
        <f>IFERROR(__xludf.DUMMYFUNCTION("""COMPUTED_VALUE"""),"Closed")</f>
        <v>Closed</v>
      </c>
      <c r="DD238" s="351" t="str">
        <f>IFERROR(__xludf.DUMMYFUNCTION("""COMPUTED_VALUE"""),"Closed")</f>
        <v>Closed</v>
      </c>
      <c r="DE238" s="364" t="str">
        <f>IFERROR(__xludf.DUMMYFUNCTION("""COMPUTED_VALUE"""),"Closed")</f>
        <v>Closed</v>
      </c>
      <c r="DF238" s="365" t="str">
        <f>IFERROR(__xludf.DUMMYFUNCTION("""COMPUTED_VALUE"""),"Closed")</f>
        <v>Closed</v>
      </c>
      <c r="DG238" s="351" t="str">
        <f>IFERROR(__xludf.DUMMYFUNCTION("""COMPUTED_VALUE"""),"Closed")</f>
        <v>Closed</v>
      </c>
      <c r="DH238" s="364" t="str">
        <f>IFERROR(__xludf.DUMMYFUNCTION("""COMPUTED_VALUE"""),"Closed")</f>
        <v>Closed</v>
      </c>
      <c r="DI238" s="365" t="str">
        <f>IFERROR(__xludf.DUMMYFUNCTION("""COMPUTED_VALUE"""),"Closed")</f>
        <v>Closed</v>
      </c>
      <c r="DJ238" s="351" t="str">
        <f>IFERROR(__xludf.DUMMYFUNCTION("""COMPUTED_VALUE"""),"Closed")</f>
        <v>Closed</v>
      </c>
      <c r="DK238" s="364" t="str">
        <f>IFERROR(__xludf.DUMMYFUNCTION("""COMPUTED_VALUE"""),"Closed")</f>
        <v>Closed</v>
      </c>
      <c r="DL238" s="351" t="str">
        <f>IFERROR(__xludf.DUMMYFUNCTION("""COMPUTED_VALUE"""),"Closed")</f>
        <v>Closed</v>
      </c>
      <c r="DM238" s="351" t="str">
        <f>IFERROR(__xludf.DUMMYFUNCTION("""COMPUTED_VALUE"""),"Closed")</f>
        <v>Closed</v>
      </c>
      <c r="DN238" s="351" t="str">
        <f>IFERROR(__xludf.DUMMYFUNCTION("""COMPUTED_VALUE"""),"Closed")</f>
        <v>Closed</v>
      </c>
      <c r="DO238" s="256" t="str">
        <f>IFERROR(__xludf.DUMMYFUNCTION("""COMPUTED_VALUE"""),"Closed")</f>
        <v>Closed</v>
      </c>
      <c r="DP238" s="256" t="str">
        <f>IFERROR(__xludf.DUMMYFUNCTION("""COMPUTED_VALUE"""),"Closed")</f>
        <v>Closed</v>
      </c>
      <c r="DQ238" s="256" t="str">
        <f>IFERROR(__xludf.DUMMYFUNCTION("""COMPUTED_VALUE"""),"Closed")</f>
        <v>Closed</v>
      </c>
      <c r="DR238" s="256" t="str">
        <f>IFERROR(__xludf.DUMMYFUNCTION("""COMPUTED_VALUE"""),"Closed")</f>
        <v>Closed</v>
      </c>
      <c r="DS238" s="256" t="str">
        <f>IFERROR(__xludf.DUMMYFUNCTION("""COMPUTED_VALUE"""),"Closed")</f>
        <v>Closed</v>
      </c>
      <c r="DT238" s="256" t="str">
        <f>IFERROR(__xludf.DUMMYFUNCTION("""COMPUTED_VALUE"""),"Closed")</f>
        <v>Closed</v>
      </c>
    </row>
    <row r="239" hidden="1">
      <c r="B239" s="180" t="str">
        <f>IFERROR(__xludf.DUMMYFUNCTION("""COMPUTED_VALUE"""),"OLP3")</f>
        <v>OLP3</v>
      </c>
      <c r="C239" s="88" t="str">
        <f>IFERROR(__xludf.DUMMYFUNCTION("""COMPUTED_VALUE"""),"Interstellar City: South")</f>
        <v>Interstellar City: South</v>
      </c>
      <c r="D239" s="102">
        <f>IFERROR(__xludf.DUMMYFUNCTION("""COMPUTED_VALUE"""),21.0)</f>
        <v>21</v>
      </c>
      <c r="E239" s="82" t="b">
        <f>IFERROR(__xludf.DUMMYFUNCTION("""COMPUTED_VALUE"""),FALSE)</f>
        <v>0</v>
      </c>
      <c r="F239" s="82" t="str">
        <f>IFERROR(__xludf.DUMMYFUNCTION("""COMPUTED_VALUE"""),"Free Quests- Part 2!A756:J765")</f>
        <v>Free Quests- Part 2!A756:J765</v>
      </c>
      <c r="G239" s="82">
        <f>IFERROR(__xludf.DUMMYFUNCTION("""COMPUTED_VALUE"""),240.0)</f>
        <v>240</v>
      </c>
      <c r="H239" s="82" t="str">
        <f>IFERROR(__xludf.DUMMYFUNCTION("""COMPUTED_VALUE"""),"Closed")</f>
        <v>Closed</v>
      </c>
      <c r="I239" s="82">
        <f>IFERROR(__xludf.DUMMYFUNCTION("""COMPUTED_VALUE"""),65354.0)</f>
        <v>65354</v>
      </c>
      <c r="J239" s="82" t="str">
        <f>IFERROR(__xludf.DUMMYFUNCTION("""COMPUTED_VALUE"""),"Closed")</f>
        <v>Closed</v>
      </c>
      <c r="K239" s="234" t="str">
        <f>IFERROR(__xludf.DUMMYFUNCTION("""COMPUTED_VALUE"""),"Closed")</f>
        <v>Closed</v>
      </c>
      <c r="L239" s="351" t="str">
        <f>IFERROR(__xludf.DUMMYFUNCTION("""COMPUTED_VALUE"""),"Closed")</f>
        <v>Closed</v>
      </c>
      <c r="M239" s="364" t="str">
        <f>IFERROR(__xludf.DUMMYFUNCTION("""COMPUTED_VALUE"""),"Closed")</f>
        <v>Closed</v>
      </c>
      <c r="N239" s="365" t="str">
        <f>IFERROR(__xludf.DUMMYFUNCTION("""COMPUTED_VALUE"""),"Closed")</f>
        <v>Closed</v>
      </c>
      <c r="O239" s="351" t="str">
        <f>IFERROR(__xludf.DUMMYFUNCTION("""COMPUTED_VALUE"""),"Closed")</f>
        <v>Closed</v>
      </c>
      <c r="P239" s="364" t="str">
        <f>IFERROR(__xludf.DUMMYFUNCTION("""COMPUTED_VALUE"""),"Closed")</f>
        <v>Closed</v>
      </c>
      <c r="Q239" s="365" t="str">
        <f>IFERROR(__xludf.DUMMYFUNCTION("""COMPUTED_VALUE"""),"Closed")</f>
        <v>Closed</v>
      </c>
      <c r="R239" s="351" t="str">
        <f>IFERROR(__xludf.DUMMYFUNCTION("""COMPUTED_VALUE"""),"Closed")</f>
        <v>Closed</v>
      </c>
      <c r="S239" s="364" t="str">
        <f>IFERROR(__xludf.DUMMYFUNCTION("""COMPUTED_VALUE"""),"Closed")</f>
        <v>Closed</v>
      </c>
      <c r="T239" s="365" t="str">
        <f>IFERROR(__xludf.DUMMYFUNCTION("""COMPUTED_VALUE"""),"Closed")</f>
        <v>Closed</v>
      </c>
      <c r="U239" s="351" t="str">
        <f>IFERROR(__xludf.DUMMYFUNCTION("""COMPUTED_VALUE"""),"Closed")</f>
        <v>Closed</v>
      </c>
      <c r="V239" s="364" t="str">
        <f>IFERROR(__xludf.DUMMYFUNCTION("""COMPUTED_VALUE"""),"Closed")</f>
        <v>Closed</v>
      </c>
      <c r="W239" s="234" t="str">
        <f>IFERROR(__xludf.DUMMYFUNCTION("""COMPUTED_VALUE"""),"Closed")</f>
        <v>Closed</v>
      </c>
      <c r="X239" s="351" t="str">
        <f>IFERROR(__xludf.DUMMYFUNCTION("""COMPUTED_VALUE"""),"Closed")</f>
        <v>Closed</v>
      </c>
      <c r="Y239" s="364" t="str">
        <f>IFERROR(__xludf.DUMMYFUNCTION("""COMPUTED_VALUE"""),"Closed")</f>
        <v>Closed</v>
      </c>
      <c r="Z239" s="365" t="str">
        <f>IFERROR(__xludf.DUMMYFUNCTION("""COMPUTED_VALUE"""),"Closed")</f>
        <v>Closed</v>
      </c>
      <c r="AA239" s="351" t="str">
        <f>IFERROR(__xludf.DUMMYFUNCTION("""COMPUTED_VALUE"""),"Closed")</f>
        <v>Closed</v>
      </c>
      <c r="AB239" s="364" t="str">
        <f>IFERROR(__xludf.DUMMYFUNCTION("""COMPUTED_VALUE"""),"Closed")</f>
        <v>Closed</v>
      </c>
      <c r="AC239" s="365" t="str">
        <f>IFERROR(__xludf.DUMMYFUNCTION("""COMPUTED_VALUE"""),"Closed")</f>
        <v>Closed</v>
      </c>
      <c r="AD239" s="351" t="str">
        <f>IFERROR(__xludf.DUMMYFUNCTION("""COMPUTED_VALUE"""),"Closed")</f>
        <v>Closed</v>
      </c>
      <c r="AE239" s="364" t="str">
        <f>IFERROR(__xludf.DUMMYFUNCTION("""COMPUTED_VALUE"""),"Closed")</f>
        <v>Closed</v>
      </c>
      <c r="AF239" s="365" t="str">
        <f>IFERROR(__xludf.DUMMYFUNCTION("""COMPUTED_VALUE"""),"Closed")</f>
        <v>Closed</v>
      </c>
      <c r="AG239" s="351" t="str">
        <f>IFERROR(__xludf.DUMMYFUNCTION("""COMPUTED_VALUE"""),"Closed")</f>
        <v>Closed</v>
      </c>
      <c r="AH239" s="364" t="str">
        <f>IFERROR(__xludf.DUMMYFUNCTION("""COMPUTED_VALUE"""),"Closed")</f>
        <v>Closed</v>
      </c>
      <c r="AI239" s="234" t="str">
        <f>IFERROR(__xludf.DUMMYFUNCTION("""COMPUTED_VALUE"""),"Closed")</f>
        <v>Closed</v>
      </c>
      <c r="AJ239" s="351" t="str">
        <f>IFERROR(__xludf.DUMMYFUNCTION("""COMPUTED_VALUE"""),"Closed")</f>
        <v>Closed</v>
      </c>
      <c r="AK239" s="364" t="str">
        <f>IFERROR(__xludf.DUMMYFUNCTION("""COMPUTED_VALUE"""),"Closed")</f>
        <v>Closed</v>
      </c>
      <c r="AL239" s="366" t="str">
        <f>IFERROR(__xludf.DUMMYFUNCTION("""COMPUTED_VALUE"""),"Closed")</f>
        <v>Closed</v>
      </c>
      <c r="AM239" s="367" t="str">
        <f>IFERROR(__xludf.DUMMYFUNCTION("""COMPUTED_VALUE"""),"Closed")</f>
        <v>Closed</v>
      </c>
      <c r="AN239" s="364" t="str">
        <f>IFERROR(__xludf.DUMMYFUNCTION("""COMPUTED_VALUE"""),"Closed")</f>
        <v>Closed</v>
      </c>
      <c r="AO239" s="365" t="str">
        <f>IFERROR(__xludf.DUMMYFUNCTION("""COMPUTED_VALUE"""),"Closed")</f>
        <v>Closed</v>
      </c>
      <c r="AP239" s="351" t="str">
        <f>IFERROR(__xludf.DUMMYFUNCTION("""COMPUTED_VALUE"""),"Closed")</f>
        <v>Closed</v>
      </c>
      <c r="AQ239" s="364" t="str">
        <f>IFERROR(__xludf.DUMMYFUNCTION("""COMPUTED_VALUE"""),"Closed")</f>
        <v>Closed</v>
      </c>
      <c r="AR239" s="365" t="str">
        <f>IFERROR(__xludf.DUMMYFUNCTION("""COMPUTED_VALUE"""),"Closed")</f>
        <v>Closed</v>
      </c>
      <c r="AS239" s="351" t="str">
        <f>IFERROR(__xludf.DUMMYFUNCTION("""COMPUTED_VALUE"""),"Closed")</f>
        <v>Closed</v>
      </c>
      <c r="AT239" s="364" t="str">
        <f>IFERROR(__xludf.DUMMYFUNCTION("""COMPUTED_VALUE"""),"Closed")</f>
        <v>Closed</v>
      </c>
      <c r="AU239" s="234" t="str">
        <f>IFERROR(__xludf.DUMMYFUNCTION("""COMPUTED_VALUE"""),"Closed")</f>
        <v>Closed</v>
      </c>
      <c r="AV239" s="351" t="str">
        <f>IFERROR(__xludf.DUMMYFUNCTION("""COMPUTED_VALUE"""),"Closed")</f>
        <v>Closed</v>
      </c>
      <c r="AW239" s="364" t="str">
        <f>IFERROR(__xludf.DUMMYFUNCTION("""COMPUTED_VALUE"""),"Closed")</f>
        <v>Closed</v>
      </c>
      <c r="AX239" s="365" t="str">
        <f>IFERROR(__xludf.DUMMYFUNCTION("""COMPUTED_VALUE"""),"Closed")</f>
        <v>Closed</v>
      </c>
      <c r="AY239" s="351" t="str">
        <f>IFERROR(__xludf.DUMMYFUNCTION("""COMPUTED_VALUE"""),"Closed")</f>
        <v>Closed</v>
      </c>
      <c r="AZ239" s="364" t="str">
        <f>IFERROR(__xludf.DUMMYFUNCTION("""COMPUTED_VALUE"""),"Closed")</f>
        <v>Closed</v>
      </c>
      <c r="BA239" s="365" t="str">
        <f>IFERROR(__xludf.DUMMYFUNCTION("""COMPUTED_VALUE"""),"Closed")</f>
        <v>Closed</v>
      </c>
      <c r="BB239" s="351" t="str">
        <f>IFERROR(__xludf.DUMMYFUNCTION("""COMPUTED_VALUE"""),"Closed")</f>
        <v>Closed</v>
      </c>
      <c r="BC239" s="364" t="str">
        <f>IFERROR(__xludf.DUMMYFUNCTION("""COMPUTED_VALUE"""),"Closed")</f>
        <v>Closed</v>
      </c>
      <c r="BD239" s="365" t="str">
        <f>IFERROR(__xludf.DUMMYFUNCTION("""COMPUTED_VALUE"""),"Closed")</f>
        <v>Closed</v>
      </c>
      <c r="BE239" s="351" t="str">
        <f>IFERROR(__xludf.DUMMYFUNCTION("""COMPUTED_VALUE"""),"Closed")</f>
        <v>Closed</v>
      </c>
      <c r="BF239" s="364" t="str">
        <f>IFERROR(__xludf.DUMMYFUNCTION("""COMPUTED_VALUE"""),"Closed")</f>
        <v>Closed</v>
      </c>
      <c r="BG239" s="234" t="str">
        <f>IFERROR(__xludf.DUMMYFUNCTION("""COMPUTED_VALUE"""),"Closed")</f>
        <v>Closed</v>
      </c>
      <c r="BH239" s="351" t="str">
        <f>IFERROR(__xludf.DUMMYFUNCTION("""COMPUTED_VALUE"""),"Closed")</f>
        <v>Closed</v>
      </c>
      <c r="BI239" s="364" t="str">
        <f>IFERROR(__xludf.DUMMYFUNCTION("""COMPUTED_VALUE"""),"Closed")</f>
        <v>Closed</v>
      </c>
      <c r="BJ239" s="365" t="str">
        <f>IFERROR(__xludf.DUMMYFUNCTION("""COMPUTED_VALUE"""),"Closed")</f>
        <v>Closed</v>
      </c>
      <c r="BK239" s="351" t="str">
        <f>IFERROR(__xludf.DUMMYFUNCTION("""COMPUTED_VALUE"""),"Closed")</f>
        <v>Closed</v>
      </c>
      <c r="BL239" s="364" t="str">
        <f>IFERROR(__xludf.DUMMYFUNCTION("""COMPUTED_VALUE"""),"Closed")</f>
        <v>Closed</v>
      </c>
      <c r="BM239" s="365" t="str">
        <f>IFERROR(__xludf.DUMMYFUNCTION("""COMPUTED_VALUE"""),"Closed")</f>
        <v>Closed</v>
      </c>
      <c r="BN239" s="351" t="str">
        <f>IFERROR(__xludf.DUMMYFUNCTION("""COMPUTED_VALUE"""),"Closed")</f>
        <v>Closed</v>
      </c>
      <c r="BO239" s="364" t="str">
        <f>IFERROR(__xludf.DUMMYFUNCTION("""COMPUTED_VALUE"""),"Closed")</f>
        <v>Closed</v>
      </c>
      <c r="BP239" s="365" t="str">
        <f>IFERROR(__xludf.DUMMYFUNCTION("""COMPUTED_VALUE"""),"Closed")</f>
        <v>Closed</v>
      </c>
      <c r="BQ239" s="351" t="str">
        <f>IFERROR(__xludf.DUMMYFUNCTION("""COMPUTED_VALUE"""),"Closed")</f>
        <v>Closed</v>
      </c>
      <c r="BR239" s="364" t="str">
        <f>IFERROR(__xludf.DUMMYFUNCTION("""COMPUTED_VALUE"""),"Closed")</f>
        <v>Closed</v>
      </c>
      <c r="BS239" s="234" t="str">
        <f>IFERROR(__xludf.DUMMYFUNCTION("""COMPUTED_VALUE"""),"Closed")</f>
        <v>Closed</v>
      </c>
      <c r="BT239" s="351" t="str">
        <f>IFERROR(__xludf.DUMMYFUNCTION("""COMPUTED_VALUE"""),"Closed")</f>
        <v>Closed</v>
      </c>
      <c r="BU239" s="364" t="str">
        <f>IFERROR(__xludf.DUMMYFUNCTION("""COMPUTED_VALUE"""),"Closed")</f>
        <v>Closed</v>
      </c>
      <c r="BV239" s="365" t="str">
        <f>IFERROR(__xludf.DUMMYFUNCTION("""COMPUTED_VALUE"""),"Closed")</f>
        <v>Closed</v>
      </c>
      <c r="BW239" s="351" t="str">
        <f>IFERROR(__xludf.DUMMYFUNCTION("""COMPUTED_VALUE"""),"Closed")</f>
        <v>Closed</v>
      </c>
      <c r="BX239" s="364" t="str">
        <f>IFERROR(__xludf.DUMMYFUNCTION("""COMPUTED_VALUE"""),"Closed")</f>
        <v>Closed</v>
      </c>
      <c r="BY239" s="365" t="str">
        <f>IFERROR(__xludf.DUMMYFUNCTION("""COMPUTED_VALUE"""),"Closed")</f>
        <v>Closed</v>
      </c>
      <c r="BZ239" s="351" t="str">
        <f>IFERROR(__xludf.DUMMYFUNCTION("""COMPUTED_VALUE"""),"Closed")</f>
        <v>Closed</v>
      </c>
      <c r="CA239" s="364" t="str">
        <f>IFERROR(__xludf.DUMMYFUNCTION("""COMPUTED_VALUE"""),"Closed")</f>
        <v>Closed</v>
      </c>
      <c r="CB239" s="365" t="str">
        <f>IFERROR(__xludf.DUMMYFUNCTION("""COMPUTED_VALUE"""),"Closed")</f>
        <v>Closed</v>
      </c>
      <c r="CC239" s="351" t="str">
        <f>IFERROR(__xludf.DUMMYFUNCTION("""COMPUTED_VALUE"""),"Closed")</f>
        <v>Closed</v>
      </c>
      <c r="CD239" s="364" t="str">
        <f>IFERROR(__xludf.DUMMYFUNCTION("""COMPUTED_VALUE"""),"Closed")</f>
        <v>Closed</v>
      </c>
      <c r="CE239" s="365" t="str">
        <f>IFERROR(__xludf.DUMMYFUNCTION("""COMPUTED_VALUE"""),"Closed")</f>
        <v>Closed</v>
      </c>
      <c r="CF239" s="351" t="str">
        <f>IFERROR(__xludf.DUMMYFUNCTION("""COMPUTED_VALUE"""),"Closed")</f>
        <v>Closed</v>
      </c>
      <c r="CG239" s="364" t="str">
        <f>IFERROR(__xludf.DUMMYFUNCTION("""COMPUTED_VALUE"""),"Closed")</f>
        <v>Closed</v>
      </c>
      <c r="CH239" s="365" t="str">
        <f>IFERROR(__xludf.DUMMYFUNCTION("""COMPUTED_VALUE"""),"Closed")</f>
        <v>Closed</v>
      </c>
      <c r="CI239" s="351" t="str">
        <f>IFERROR(__xludf.DUMMYFUNCTION("""COMPUTED_VALUE"""),"Closed")</f>
        <v>Closed</v>
      </c>
      <c r="CJ239" s="351" t="str">
        <f>IFERROR(__xludf.DUMMYFUNCTION("""COMPUTED_VALUE"""),"Closed")</f>
        <v>Closed</v>
      </c>
      <c r="CK239" s="365" t="str">
        <f>IFERROR(__xludf.DUMMYFUNCTION("""COMPUTED_VALUE"""),"Closed")</f>
        <v>Closed</v>
      </c>
      <c r="CL239" s="351" t="str">
        <f>IFERROR(__xludf.DUMMYFUNCTION("""COMPUTED_VALUE"""),"Closed")</f>
        <v>Closed</v>
      </c>
      <c r="CM239" s="364" t="str">
        <f>IFERROR(__xludf.DUMMYFUNCTION("""COMPUTED_VALUE"""),"Closed")</f>
        <v>Closed</v>
      </c>
      <c r="CN239" s="351" t="str">
        <f>IFERROR(__xludf.DUMMYFUNCTION("""COMPUTED_VALUE"""),"Closed")</f>
        <v>Closed</v>
      </c>
      <c r="CO239" s="351" t="str">
        <f>IFERROR(__xludf.DUMMYFUNCTION("""COMPUTED_VALUE"""),"Closed")</f>
        <v>Closed</v>
      </c>
      <c r="CP239" s="351" t="str">
        <f>IFERROR(__xludf.DUMMYFUNCTION("""COMPUTED_VALUE"""),"Closed")</f>
        <v>Closed</v>
      </c>
      <c r="CQ239" s="365" t="str">
        <f>IFERROR(__xludf.DUMMYFUNCTION("""COMPUTED_VALUE"""),"Closed")</f>
        <v>Closed</v>
      </c>
      <c r="CR239" s="351" t="str">
        <f>IFERROR(__xludf.DUMMYFUNCTION("""COMPUTED_VALUE"""),"Closed")</f>
        <v>Closed</v>
      </c>
      <c r="CS239" s="351" t="str">
        <f>IFERROR(__xludf.DUMMYFUNCTION("""COMPUTED_VALUE"""),"Closed")</f>
        <v>Closed</v>
      </c>
      <c r="CT239" s="365" t="str">
        <f>IFERROR(__xludf.DUMMYFUNCTION("""COMPUTED_VALUE"""),"Closed")</f>
        <v>Closed</v>
      </c>
      <c r="CU239" s="351" t="str">
        <f>IFERROR(__xludf.DUMMYFUNCTION("""COMPUTED_VALUE"""),"Closed")</f>
        <v>Closed</v>
      </c>
      <c r="CV239" s="351" t="str">
        <f>IFERROR(__xludf.DUMMYFUNCTION("""COMPUTED_VALUE"""),"Closed")</f>
        <v>Closed</v>
      </c>
      <c r="CW239" s="365" t="str">
        <f>IFERROR(__xludf.DUMMYFUNCTION("""COMPUTED_VALUE"""),"Closed")</f>
        <v>Closed</v>
      </c>
      <c r="CX239" s="351" t="str">
        <f>IFERROR(__xludf.DUMMYFUNCTION("""COMPUTED_VALUE"""),"Closed")</f>
        <v>Closed</v>
      </c>
      <c r="CY239" s="364" t="str">
        <f>IFERROR(__xludf.DUMMYFUNCTION("""COMPUTED_VALUE"""),"Closed")</f>
        <v>Closed</v>
      </c>
      <c r="CZ239" s="351" t="str">
        <f>IFERROR(__xludf.DUMMYFUNCTION("""COMPUTED_VALUE"""),"Closed")</f>
        <v>Closed</v>
      </c>
      <c r="DA239" s="351" t="str">
        <f>IFERROR(__xludf.DUMMYFUNCTION("""COMPUTED_VALUE"""),"Closed")</f>
        <v>Closed</v>
      </c>
      <c r="DB239" s="364" t="str">
        <f>IFERROR(__xludf.DUMMYFUNCTION("""COMPUTED_VALUE"""),"Closed")</f>
        <v>Closed</v>
      </c>
      <c r="DC239" s="365" t="str">
        <f>IFERROR(__xludf.DUMMYFUNCTION("""COMPUTED_VALUE"""),"Closed")</f>
        <v>Closed</v>
      </c>
      <c r="DD239" s="351" t="str">
        <f>IFERROR(__xludf.DUMMYFUNCTION("""COMPUTED_VALUE"""),"Closed")</f>
        <v>Closed</v>
      </c>
      <c r="DE239" s="364" t="str">
        <f>IFERROR(__xludf.DUMMYFUNCTION("""COMPUTED_VALUE"""),"Closed")</f>
        <v>Closed</v>
      </c>
      <c r="DF239" s="365" t="str">
        <f>IFERROR(__xludf.DUMMYFUNCTION("""COMPUTED_VALUE"""),"Closed")</f>
        <v>Closed</v>
      </c>
      <c r="DG239" s="351" t="str">
        <f>IFERROR(__xludf.DUMMYFUNCTION("""COMPUTED_VALUE"""),"Closed")</f>
        <v>Closed</v>
      </c>
      <c r="DH239" s="364" t="str">
        <f>IFERROR(__xludf.DUMMYFUNCTION("""COMPUTED_VALUE"""),"Closed")</f>
        <v>Closed</v>
      </c>
      <c r="DI239" s="365" t="str">
        <f>IFERROR(__xludf.DUMMYFUNCTION("""COMPUTED_VALUE"""),"Closed")</f>
        <v>Closed</v>
      </c>
      <c r="DJ239" s="351" t="str">
        <f>IFERROR(__xludf.DUMMYFUNCTION("""COMPUTED_VALUE"""),"Closed")</f>
        <v>Closed</v>
      </c>
      <c r="DK239" s="364" t="str">
        <f>IFERROR(__xludf.DUMMYFUNCTION("""COMPUTED_VALUE"""),"Closed")</f>
        <v>Closed</v>
      </c>
      <c r="DL239" s="351" t="str">
        <f>IFERROR(__xludf.DUMMYFUNCTION("""COMPUTED_VALUE"""),"Closed")</f>
        <v>Closed</v>
      </c>
      <c r="DM239" s="351" t="str">
        <f>IFERROR(__xludf.DUMMYFUNCTION("""COMPUTED_VALUE"""),"Closed")</f>
        <v>Closed</v>
      </c>
      <c r="DN239" s="351" t="str">
        <f>IFERROR(__xludf.DUMMYFUNCTION("""COMPUTED_VALUE"""),"Closed")</f>
        <v>Closed</v>
      </c>
      <c r="DO239" s="256" t="str">
        <f>IFERROR(__xludf.DUMMYFUNCTION("""COMPUTED_VALUE"""),"Closed")</f>
        <v>Closed</v>
      </c>
      <c r="DP239" s="256" t="str">
        <f>IFERROR(__xludf.DUMMYFUNCTION("""COMPUTED_VALUE"""),"Closed")</f>
        <v>Closed</v>
      </c>
      <c r="DQ239" s="256" t="str">
        <f>IFERROR(__xludf.DUMMYFUNCTION("""COMPUTED_VALUE"""),"Closed")</f>
        <v>Closed</v>
      </c>
      <c r="DR239" s="256" t="str">
        <f>IFERROR(__xludf.DUMMYFUNCTION("""COMPUTED_VALUE"""),"Closed")</f>
        <v>Closed</v>
      </c>
      <c r="DS239" s="256" t="str">
        <f>IFERROR(__xludf.DUMMYFUNCTION("""COMPUTED_VALUE"""),"Closed")</f>
        <v>Closed</v>
      </c>
      <c r="DT239" s="256" t="str">
        <f>IFERROR(__xludf.DUMMYFUNCTION("""COMPUTED_VALUE"""),"Closed")</f>
        <v>Closed</v>
      </c>
    </row>
    <row r="240" hidden="1">
      <c r="B240" s="180" t="str">
        <f>IFERROR(__xludf.DUMMYFUNCTION("""COMPUTED_VALUE"""),"OLP4")</f>
        <v>OLP4</v>
      </c>
      <c r="C240" s="88" t="str">
        <f>IFERROR(__xludf.DUMMYFUNCTION("""COMPUTED_VALUE"""),"Interstellar City: East")</f>
        <v>Interstellar City: East</v>
      </c>
      <c r="D240" s="102">
        <f>IFERROR(__xludf.DUMMYFUNCTION("""COMPUTED_VALUE"""),21.0)</f>
        <v>21</v>
      </c>
      <c r="E240" s="82" t="b">
        <f>IFERROR(__xludf.DUMMYFUNCTION("""COMPUTED_VALUE"""),FALSE)</f>
        <v>0</v>
      </c>
      <c r="F240" s="82" t="str">
        <f>IFERROR(__xludf.DUMMYFUNCTION("""COMPUTED_VALUE"""),"Free Quests- Part 2!A769:J780")</f>
        <v>Free Quests- Part 2!A769:J780</v>
      </c>
      <c r="G240" s="82">
        <f>IFERROR(__xludf.DUMMYFUNCTION("""COMPUTED_VALUE"""),241.0)</f>
        <v>241</v>
      </c>
      <c r="H240" s="82" t="str">
        <f>IFERROR(__xludf.DUMMYFUNCTION("""COMPUTED_VALUE"""),"Closed")</f>
        <v>Closed</v>
      </c>
      <c r="I240" s="82">
        <f>IFERROR(__xludf.DUMMYFUNCTION("""COMPUTED_VALUE"""),3293.0)</f>
        <v>3293</v>
      </c>
      <c r="J240" s="82" t="str">
        <f>IFERROR(__xludf.DUMMYFUNCTION("""COMPUTED_VALUE"""),"Closed")</f>
        <v>Closed</v>
      </c>
      <c r="K240" s="234" t="str">
        <f>IFERROR(__xludf.DUMMYFUNCTION("""COMPUTED_VALUE"""),"Closed")</f>
        <v>Closed</v>
      </c>
      <c r="L240" s="351" t="str">
        <f>IFERROR(__xludf.DUMMYFUNCTION("""COMPUTED_VALUE"""),"Closed")</f>
        <v>Closed</v>
      </c>
      <c r="M240" s="364" t="str">
        <f>IFERROR(__xludf.DUMMYFUNCTION("""COMPUTED_VALUE"""),"Closed")</f>
        <v>Closed</v>
      </c>
      <c r="N240" s="365" t="str">
        <f>IFERROR(__xludf.DUMMYFUNCTION("""COMPUTED_VALUE"""),"Closed")</f>
        <v>Closed</v>
      </c>
      <c r="O240" s="351" t="str">
        <f>IFERROR(__xludf.DUMMYFUNCTION("""COMPUTED_VALUE"""),"Closed")</f>
        <v>Closed</v>
      </c>
      <c r="P240" s="364" t="str">
        <f>IFERROR(__xludf.DUMMYFUNCTION("""COMPUTED_VALUE"""),"Closed")</f>
        <v>Closed</v>
      </c>
      <c r="Q240" s="365" t="str">
        <f>IFERROR(__xludf.DUMMYFUNCTION("""COMPUTED_VALUE"""),"Closed")</f>
        <v>Closed</v>
      </c>
      <c r="R240" s="351" t="str">
        <f>IFERROR(__xludf.DUMMYFUNCTION("""COMPUTED_VALUE"""),"Closed")</f>
        <v>Closed</v>
      </c>
      <c r="S240" s="364" t="str">
        <f>IFERROR(__xludf.DUMMYFUNCTION("""COMPUTED_VALUE"""),"Closed")</f>
        <v>Closed</v>
      </c>
      <c r="T240" s="365" t="str">
        <f>IFERROR(__xludf.DUMMYFUNCTION("""COMPUTED_VALUE"""),"Closed")</f>
        <v>Closed</v>
      </c>
      <c r="U240" s="351" t="str">
        <f>IFERROR(__xludf.DUMMYFUNCTION("""COMPUTED_VALUE"""),"Closed")</f>
        <v>Closed</v>
      </c>
      <c r="V240" s="364" t="str">
        <f>IFERROR(__xludf.DUMMYFUNCTION("""COMPUTED_VALUE"""),"Closed")</f>
        <v>Closed</v>
      </c>
      <c r="W240" s="234" t="str">
        <f>IFERROR(__xludf.DUMMYFUNCTION("""COMPUTED_VALUE"""),"Closed")</f>
        <v>Closed</v>
      </c>
      <c r="X240" s="351" t="str">
        <f>IFERROR(__xludf.DUMMYFUNCTION("""COMPUTED_VALUE"""),"Closed")</f>
        <v>Closed</v>
      </c>
      <c r="Y240" s="364" t="str">
        <f>IFERROR(__xludf.DUMMYFUNCTION("""COMPUTED_VALUE"""),"Closed")</f>
        <v>Closed</v>
      </c>
      <c r="Z240" s="365" t="str">
        <f>IFERROR(__xludf.DUMMYFUNCTION("""COMPUTED_VALUE"""),"Closed")</f>
        <v>Closed</v>
      </c>
      <c r="AA240" s="351" t="str">
        <f>IFERROR(__xludf.DUMMYFUNCTION("""COMPUTED_VALUE"""),"Closed")</f>
        <v>Closed</v>
      </c>
      <c r="AB240" s="364" t="str">
        <f>IFERROR(__xludf.DUMMYFUNCTION("""COMPUTED_VALUE"""),"Closed")</f>
        <v>Closed</v>
      </c>
      <c r="AC240" s="365" t="str">
        <f>IFERROR(__xludf.DUMMYFUNCTION("""COMPUTED_VALUE"""),"Closed")</f>
        <v>Closed</v>
      </c>
      <c r="AD240" s="351" t="str">
        <f>IFERROR(__xludf.DUMMYFUNCTION("""COMPUTED_VALUE"""),"Closed")</f>
        <v>Closed</v>
      </c>
      <c r="AE240" s="364" t="str">
        <f>IFERROR(__xludf.DUMMYFUNCTION("""COMPUTED_VALUE"""),"Closed")</f>
        <v>Closed</v>
      </c>
      <c r="AF240" s="365" t="str">
        <f>IFERROR(__xludf.DUMMYFUNCTION("""COMPUTED_VALUE"""),"Closed")</f>
        <v>Closed</v>
      </c>
      <c r="AG240" s="351" t="str">
        <f>IFERROR(__xludf.DUMMYFUNCTION("""COMPUTED_VALUE"""),"Closed")</f>
        <v>Closed</v>
      </c>
      <c r="AH240" s="364" t="str">
        <f>IFERROR(__xludf.DUMMYFUNCTION("""COMPUTED_VALUE"""),"Closed")</f>
        <v>Closed</v>
      </c>
      <c r="AI240" s="234" t="str">
        <f>IFERROR(__xludf.DUMMYFUNCTION("""COMPUTED_VALUE"""),"Closed")</f>
        <v>Closed</v>
      </c>
      <c r="AJ240" s="351" t="str">
        <f>IFERROR(__xludf.DUMMYFUNCTION("""COMPUTED_VALUE"""),"Closed")</f>
        <v>Closed</v>
      </c>
      <c r="AK240" s="364" t="str">
        <f>IFERROR(__xludf.DUMMYFUNCTION("""COMPUTED_VALUE"""),"Closed")</f>
        <v>Closed</v>
      </c>
      <c r="AL240" s="366" t="str">
        <f>IFERROR(__xludf.DUMMYFUNCTION("""COMPUTED_VALUE"""),"Closed")</f>
        <v>Closed</v>
      </c>
      <c r="AM240" s="367" t="str">
        <f>IFERROR(__xludf.DUMMYFUNCTION("""COMPUTED_VALUE"""),"Closed")</f>
        <v>Closed</v>
      </c>
      <c r="AN240" s="364" t="str">
        <f>IFERROR(__xludf.DUMMYFUNCTION("""COMPUTED_VALUE"""),"Closed")</f>
        <v>Closed</v>
      </c>
      <c r="AO240" s="365" t="str">
        <f>IFERROR(__xludf.DUMMYFUNCTION("""COMPUTED_VALUE"""),"Closed")</f>
        <v>Closed</v>
      </c>
      <c r="AP240" s="351" t="str">
        <f>IFERROR(__xludf.DUMMYFUNCTION("""COMPUTED_VALUE"""),"Closed")</f>
        <v>Closed</v>
      </c>
      <c r="AQ240" s="364" t="str">
        <f>IFERROR(__xludf.DUMMYFUNCTION("""COMPUTED_VALUE"""),"Closed")</f>
        <v>Closed</v>
      </c>
      <c r="AR240" s="365" t="str">
        <f>IFERROR(__xludf.DUMMYFUNCTION("""COMPUTED_VALUE"""),"Closed")</f>
        <v>Closed</v>
      </c>
      <c r="AS240" s="351" t="str">
        <f>IFERROR(__xludf.DUMMYFUNCTION("""COMPUTED_VALUE"""),"Closed")</f>
        <v>Closed</v>
      </c>
      <c r="AT240" s="364" t="str">
        <f>IFERROR(__xludf.DUMMYFUNCTION("""COMPUTED_VALUE"""),"Closed")</f>
        <v>Closed</v>
      </c>
      <c r="AU240" s="234" t="str">
        <f>IFERROR(__xludf.DUMMYFUNCTION("""COMPUTED_VALUE"""),"Closed")</f>
        <v>Closed</v>
      </c>
      <c r="AV240" s="351" t="str">
        <f>IFERROR(__xludf.DUMMYFUNCTION("""COMPUTED_VALUE"""),"Closed")</f>
        <v>Closed</v>
      </c>
      <c r="AW240" s="364" t="str">
        <f>IFERROR(__xludf.DUMMYFUNCTION("""COMPUTED_VALUE"""),"Closed")</f>
        <v>Closed</v>
      </c>
      <c r="AX240" s="365" t="str">
        <f>IFERROR(__xludf.DUMMYFUNCTION("""COMPUTED_VALUE"""),"Closed")</f>
        <v>Closed</v>
      </c>
      <c r="AY240" s="351" t="str">
        <f>IFERROR(__xludf.DUMMYFUNCTION("""COMPUTED_VALUE"""),"Closed")</f>
        <v>Closed</v>
      </c>
      <c r="AZ240" s="364" t="str">
        <f>IFERROR(__xludf.DUMMYFUNCTION("""COMPUTED_VALUE"""),"Closed")</f>
        <v>Closed</v>
      </c>
      <c r="BA240" s="365" t="str">
        <f>IFERROR(__xludf.DUMMYFUNCTION("""COMPUTED_VALUE"""),"Closed")</f>
        <v>Closed</v>
      </c>
      <c r="BB240" s="351" t="str">
        <f>IFERROR(__xludf.DUMMYFUNCTION("""COMPUTED_VALUE"""),"Closed")</f>
        <v>Closed</v>
      </c>
      <c r="BC240" s="364" t="str">
        <f>IFERROR(__xludf.DUMMYFUNCTION("""COMPUTED_VALUE"""),"Closed")</f>
        <v>Closed</v>
      </c>
      <c r="BD240" s="365" t="str">
        <f>IFERROR(__xludf.DUMMYFUNCTION("""COMPUTED_VALUE"""),"Closed")</f>
        <v>Closed</v>
      </c>
      <c r="BE240" s="351" t="str">
        <f>IFERROR(__xludf.DUMMYFUNCTION("""COMPUTED_VALUE"""),"Closed")</f>
        <v>Closed</v>
      </c>
      <c r="BF240" s="364" t="str">
        <f>IFERROR(__xludf.DUMMYFUNCTION("""COMPUTED_VALUE"""),"Closed")</f>
        <v>Closed</v>
      </c>
      <c r="BG240" s="234" t="str">
        <f>IFERROR(__xludf.DUMMYFUNCTION("""COMPUTED_VALUE"""),"Closed")</f>
        <v>Closed</v>
      </c>
      <c r="BH240" s="351" t="str">
        <f>IFERROR(__xludf.DUMMYFUNCTION("""COMPUTED_VALUE"""),"Closed")</f>
        <v>Closed</v>
      </c>
      <c r="BI240" s="364" t="str">
        <f>IFERROR(__xludf.DUMMYFUNCTION("""COMPUTED_VALUE"""),"Closed")</f>
        <v>Closed</v>
      </c>
      <c r="BJ240" s="365" t="str">
        <f>IFERROR(__xludf.DUMMYFUNCTION("""COMPUTED_VALUE"""),"Closed")</f>
        <v>Closed</v>
      </c>
      <c r="BK240" s="351" t="str">
        <f>IFERROR(__xludf.DUMMYFUNCTION("""COMPUTED_VALUE"""),"Closed")</f>
        <v>Closed</v>
      </c>
      <c r="BL240" s="364" t="str">
        <f>IFERROR(__xludf.DUMMYFUNCTION("""COMPUTED_VALUE"""),"Closed")</f>
        <v>Closed</v>
      </c>
      <c r="BM240" s="365" t="str">
        <f>IFERROR(__xludf.DUMMYFUNCTION("""COMPUTED_VALUE"""),"Closed")</f>
        <v>Closed</v>
      </c>
      <c r="BN240" s="351" t="str">
        <f>IFERROR(__xludf.DUMMYFUNCTION("""COMPUTED_VALUE"""),"Closed")</f>
        <v>Closed</v>
      </c>
      <c r="BO240" s="364" t="str">
        <f>IFERROR(__xludf.DUMMYFUNCTION("""COMPUTED_VALUE"""),"Closed")</f>
        <v>Closed</v>
      </c>
      <c r="BP240" s="365" t="str">
        <f>IFERROR(__xludf.DUMMYFUNCTION("""COMPUTED_VALUE"""),"Closed")</f>
        <v>Closed</v>
      </c>
      <c r="BQ240" s="351" t="str">
        <f>IFERROR(__xludf.DUMMYFUNCTION("""COMPUTED_VALUE"""),"Closed")</f>
        <v>Closed</v>
      </c>
      <c r="BR240" s="364" t="str">
        <f>IFERROR(__xludf.DUMMYFUNCTION("""COMPUTED_VALUE"""),"Closed")</f>
        <v>Closed</v>
      </c>
      <c r="BS240" s="234" t="str">
        <f>IFERROR(__xludf.DUMMYFUNCTION("""COMPUTED_VALUE"""),"Closed")</f>
        <v>Closed</v>
      </c>
      <c r="BT240" s="351" t="str">
        <f>IFERROR(__xludf.DUMMYFUNCTION("""COMPUTED_VALUE"""),"Closed")</f>
        <v>Closed</v>
      </c>
      <c r="BU240" s="364" t="str">
        <f>IFERROR(__xludf.DUMMYFUNCTION("""COMPUTED_VALUE"""),"Closed")</f>
        <v>Closed</v>
      </c>
      <c r="BV240" s="365" t="str">
        <f>IFERROR(__xludf.DUMMYFUNCTION("""COMPUTED_VALUE"""),"Closed")</f>
        <v>Closed</v>
      </c>
      <c r="BW240" s="351" t="str">
        <f>IFERROR(__xludf.DUMMYFUNCTION("""COMPUTED_VALUE"""),"Closed")</f>
        <v>Closed</v>
      </c>
      <c r="BX240" s="364" t="str">
        <f>IFERROR(__xludf.DUMMYFUNCTION("""COMPUTED_VALUE"""),"Closed")</f>
        <v>Closed</v>
      </c>
      <c r="BY240" s="365" t="str">
        <f>IFERROR(__xludf.DUMMYFUNCTION("""COMPUTED_VALUE"""),"Closed")</f>
        <v>Closed</v>
      </c>
      <c r="BZ240" s="351" t="str">
        <f>IFERROR(__xludf.DUMMYFUNCTION("""COMPUTED_VALUE"""),"Closed")</f>
        <v>Closed</v>
      </c>
      <c r="CA240" s="364" t="str">
        <f>IFERROR(__xludf.DUMMYFUNCTION("""COMPUTED_VALUE"""),"Closed")</f>
        <v>Closed</v>
      </c>
      <c r="CB240" s="365" t="str">
        <f>IFERROR(__xludf.DUMMYFUNCTION("""COMPUTED_VALUE"""),"Closed")</f>
        <v>Closed</v>
      </c>
      <c r="CC240" s="351" t="str">
        <f>IFERROR(__xludf.DUMMYFUNCTION("""COMPUTED_VALUE"""),"Closed")</f>
        <v>Closed</v>
      </c>
      <c r="CD240" s="364" t="str">
        <f>IFERROR(__xludf.DUMMYFUNCTION("""COMPUTED_VALUE"""),"Closed")</f>
        <v>Closed</v>
      </c>
      <c r="CE240" s="365" t="str">
        <f>IFERROR(__xludf.DUMMYFUNCTION("""COMPUTED_VALUE"""),"Closed")</f>
        <v>Closed</v>
      </c>
      <c r="CF240" s="351" t="str">
        <f>IFERROR(__xludf.DUMMYFUNCTION("""COMPUTED_VALUE"""),"Closed")</f>
        <v>Closed</v>
      </c>
      <c r="CG240" s="364" t="str">
        <f>IFERROR(__xludf.DUMMYFUNCTION("""COMPUTED_VALUE"""),"Closed")</f>
        <v>Closed</v>
      </c>
      <c r="CH240" s="365" t="str">
        <f>IFERROR(__xludf.DUMMYFUNCTION("""COMPUTED_VALUE"""),"Closed")</f>
        <v>Closed</v>
      </c>
      <c r="CI240" s="351" t="str">
        <f>IFERROR(__xludf.DUMMYFUNCTION("""COMPUTED_VALUE"""),"Closed")</f>
        <v>Closed</v>
      </c>
      <c r="CJ240" s="351" t="str">
        <f>IFERROR(__xludf.DUMMYFUNCTION("""COMPUTED_VALUE"""),"Closed")</f>
        <v>Closed</v>
      </c>
      <c r="CK240" s="365" t="str">
        <f>IFERROR(__xludf.DUMMYFUNCTION("""COMPUTED_VALUE"""),"Closed")</f>
        <v>Closed</v>
      </c>
      <c r="CL240" s="351" t="str">
        <f>IFERROR(__xludf.DUMMYFUNCTION("""COMPUTED_VALUE"""),"Closed")</f>
        <v>Closed</v>
      </c>
      <c r="CM240" s="364" t="str">
        <f>IFERROR(__xludf.DUMMYFUNCTION("""COMPUTED_VALUE"""),"Closed")</f>
        <v>Closed</v>
      </c>
      <c r="CN240" s="351" t="str">
        <f>IFERROR(__xludf.DUMMYFUNCTION("""COMPUTED_VALUE"""),"Closed")</f>
        <v>Closed</v>
      </c>
      <c r="CO240" s="351" t="str">
        <f>IFERROR(__xludf.DUMMYFUNCTION("""COMPUTED_VALUE"""),"Closed")</f>
        <v>Closed</v>
      </c>
      <c r="CP240" s="351" t="str">
        <f>IFERROR(__xludf.DUMMYFUNCTION("""COMPUTED_VALUE"""),"Closed")</f>
        <v>Closed</v>
      </c>
      <c r="CQ240" s="365" t="str">
        <f>IFERROR(__xludf.DUMMYFUNCTION("""COMPUTED_VALUE"""),"Closed")</f>
        <v>Closed</v>
      </c>
      <c r="CR240" s="351" t="str">
        <f>IFERROR(__xludf.DUMMYFUNCTION("""COMPUTED_VALUE"""),"Closed")</f>
        <v>Closed</v>
      </c>
      <c r="CS240" s="351" t="str">
        <f>IFERROR(__xludf.DUMMYFUNCTION("""COMPUTED_VALUE"""),"Closed")</f>
        <v>Closed</v>
      </c>
      <c r="CT240" s="365" t="str">
        <f>IFERROR(__xludf.DUMMYFUNCTION("""COMPUTED_VALUE"""),"Closed")</f>
        <v>Closed</v>
      </c>
      <c r="CU240" s="351" t="str">
        <f>IFERROR(__xludf.DUMMYFUNCTION("""COMPUTED_VALUE"""),"Closed")</f>
        <v>Closed</v>
      </c>
      <c r="CV240" s="351" t="str">
        <f>IFERROR(__xludf.DUMMYFUNCTION("""COMPUTED_VALUE"""),"Closed")</f>
        <v>Closed</v>
      </c>
      <c r="CW240" s="365" t="str">
        <f>IFERROR(__xludf.DUMMYFUNCTION("""COMPUTED_VALUE"""),"Closed")</f>
        <v>Closed</v>
      </c>
      <c r="CX240" s="351" t="str">
        <f>IFERROR(__xludf.DUMMYFUNCTION("""COMPUTED_VALUE"""),"Closed")</f>
        <v>Closed</v>
      </c>
      <c r="CY240" s="364" t="str">
        <f>IFERROR(__xludf.DUMMYFUNCTION("""COMPUTED_VALUE"""),"Closed")</f>
        <v>Closed</v>
      </c>
      <c r="CZ240" s="351" t="str">
        <f>IFERROR(__xludf.DUMMYFUNCTION("""COMPUTED_VALUE"""),"Closed")</f>
        <v>Closed</v>
      </c>
      <c r="DA240" s="351" t="str">
        <f>IFERROR(__xludf.DUMMYFUNCTION("""COMPUTED_VALUE"""),"Closed")</f>
        <v>Closed</v>
      </c>
      <c r="DB240" s="364" t="str">
        <f>IFERROR(__xludf.DUMMYFUNCTION("""COMPUTED_VALUE"""),"Closed")</f>
        <v>Closed</v>
      </c>
      <c r="DC240" s="365" t="str">
        <f>IFERROR(__xludf.DUMMYFUNCTION("""COMPUTED_VALUE"""),"Closed")</f>
        <v>Closed</v>
      </c>
      <c r="DD240" s="351" t="str">
        <f>IFERROR(__xludf.DUMMYFUNCTION("""COMPUTED_VALUE"""),"Closed")</f>
        <v>Closed</v>
      </c>
      <c r="DE240" s="364" t="str">
        <f>IFERROR(__xludf.DUMMYFUNCTION("""COMPUTED_VALUE"""),"Closed")</f>
        <v>Closed</v>
      </c>
      <c r="DF240" s="365" t="str">
        <f>IFERROR(__xludf.DUMMYFUNCTION("""COMPUTED_VALUE"""),"Closed")</f>
        <v>Closed</v>
      </c>
      <c r="DG240" s="351" t="str">
        <f>IFERROR(__xludf.DUMMYFUNCTION("""COMPUTED_VALUE"""),"Closed")</f>
        <v>Closed</v>
      </c>
      <c r="DH240" s="364" t="str">
        <f>IFERROR(__xludf.DUMMYFUNCTION("""COMPUTED_VALUE"""),"Closed")</f>
        <v>Closed</v>
      </c>
      <c r="DI240" s="365" t="str">
        <f>IFERROR(__xludf.DUMMYFUNCTION("""COMPUTED_VALUE"""),"Closed")</f>
        <v>Closed</v>
      </c>
      <c r="DJ240" s="351" t="str">
        <f>IFERROR(__xludf.DUMMYFUNCTION("""COMPUTED_VALUE"""),"Closed")</f>
        <v>Closed</v>
      </c>
      <c r="DK240" s="364" t="str">
        <f>IFERROR(__xludf.DUMMYFUNCTION("""COMPUTED_VALUE"""),"Closed")</f>
        <v>Closed</v>
      </c>
      <c r="DL240" s="351" t="str">
        <f>IFERROR(__xludf.DUMMYFUNCTION("""COMPUTED_VALUE"""),"Closed")</f>
        <v>Closed</v>
      </c>
      <c r="DM240" s="351" t="str">
        <f>IFERROR(__xludf.DUMMYFUNCTION("""COMPUTED_VALUE"""),"Closed")</f>
        <v>Closed</v>
      </c>
      <c r="DN240" s="351" t="str">
        <f>IFERROR(__xludf.DUMMYFUNCTION("""COMPUTED_VALUE"""),"Closed")</f>
        <v>Closed</v>
      </c>
      <c r="DO240" s="256" t="str">
        <f>IFERROR(__xludf.DUMMYFUNCTION("""COMPUTED_VALUE"""),"Closed")</f>
        <v>Closed</v>
      </c>
      <c r="DP240" s="256" t="str">
        <f>IFERROR(__xludf.DUMMYFUNCTION("""COMPUTED_VALUE"""),"Closed")</f>
        <v>Closed</v>
      </c>
      <c r="DQ240" s="256" t="str">
        <f>IFERROR(__xludf.DUMMYFUNCTION("""COMPUTED_VALUE"""),"Closed")</f>
        <v>Closed</v>
      </c>
      <c r="DR240" s="256" t="str">
        <f>IFERROR(__xludf.DUMMYFUNCTION("""COMPUTED_VALUE"""),"Closed")</f>
        <v>Closed</v>
      </c>
      <c r="DS240" s="256" t="str">
        <f>IFERROR(__xludf.DUMMYFUNCTION("""COMPUTED_VALUE"""),"Closed")</f>
        <v>Closed</v>
      </c>
      <c r="DT240" s="256" t="str">
        <f>IFERROR(__xludf.DUMMYFUNCTION("""COMPUTED_VALUE"""),"Closed")</f>
        <v>Closed</v>
      </c>
    </row>
    <row r="241" hidden="1">
      <c r="B241" s="180" t="str">
        <f>IFERROR(__xludf.DUMMYFUNCTION("""COMPUTED_VALUE"""),"OLP5")</f>
        <v>OLP5</v>
      </c>
      <c r="C241" s="88" t="str">
        <f>IFERROR(__xludf.DUMMYFUNCTION("""COMPUTED_VALUE"""),"Grand Workshop")</f>
        <v>Grand Workshop</v>
      </c>
      <c r="D241" s="102">
        <f>IFERROR(__xludf.DUMMYFUNCTION("""COMPUTED_VALUE"""),21.0)</f>
        <v>21</v>
      </c>
      <c r="E241" s="82" t="b">
        <f>IFERROR(__xludf.DUMMYFUNCTION("""COMPUTED_VALUE"""),FALSE)</f>
        <v>0</v>
      </c>
      <c r="F241" s="82" t="str">
        <f>IFERROR(__xludf.DUMMYFUNCTION("""COMPUTED_VALUE"""),"Free Quests- Part 2!A784:J794")</f>
        <v>Free Quests- Part 2!A784:J794</v>
      </c>
      <c r="G241" s="82">
        <f>IFERROR(__xludf.DUMMYFUNCTION("""COMPUTED_VALUE"""),242.0)</f>
        <v>242</v>
      </c>
      <c r="H241" s="82" t="str">
        <f>IFERROR(__xludf.DUMMYFUNCTION("""COMPUTED_VALUE"""),"Closed")</f>
        <v>Closed</v>
      </c>
      <c r="I241" s="82">
        <f>IFERROR(__xludf.DUMMYFUNCTION("""COMPUTED_VALUE"""),4719.0)</f>
        <v>4719</v>
      </c>
      <c r="J241" s="82" t="str">
        <f>IFERROR(__xludf.DUMMYFUNCTION("""COMPUTED_VALUE"""),"Closed")</f>
        <v>Closed</v>
      </c>
      <c r="K241" s="234" t="str">
        <f>IFERROR(__xludf.DUMMYFUNCTION("""COMPUTED_VALUE"""),"Closed")</f>
        <v>Closed</v>
      </c>
      <c r="L241" s="351" t="str">
        <f>IFERROR(__xludf.DUMMYFUNCTION("""COMPUTED_VALUE"""),"Closed")</f>
        <v>Closed</v>
      </c>
      <c r="M241" s="364" t="str">
        <f>IFERROR(__xludf.DUMMYFUNCTION("""COMPUTED_VALUE"""),"Closed")</f>
        <v>Closed</v>
      </c>
      <c r="N241" s="365" t="str">
        <f>IFERROR(__xludf.DUMMYFUNCTION("""COMPUTED_VALUE"""),"Closed")</f>
        <v>Closed</v>
      </c>
      <c r="O241" s="351" t="str">
        <f>IFERROR(__xludf.DUMMYFUNCTION("""COMPUTED_VALUE"""),"Closed")</f>
        <v>Closed</v>
      </c>
      <c r="P241" s="364" t="str">
        <f>IFERROR(__xludf.DUMMYFUNCTION("""COMPUTED_VALUE"""),"Closed")</f>
        <v>Closed</v>
      </c>
      <c r="Q241" s="365" t="str">
        <f>IFERROR(__xludf.DUMMYFUNCTION("""COMPUTED_VALUE"""),"Closed")</f>
        <v>Closed</v>
      </c>
      <c r="R241" s="351" t="str">
        <f>IFERROR(__xludf.DUMMYFUNCTION("""COMPUTED_VALUE"""),"Closed")</f>
        <v>Closed</v>
      </c>
      <c r="S241" s="364" t="str">
        <f>IFERROR(__xludf.DUMMYFUNCTION("""COMPUTED_VALUE"""),"Closed")</f>
        <v>Closed</v>
      </c>
      <c r="T241" s="365" t="str">
        <f>IFERROR(__xludf.DUMMYFUNCTION("""COMPUTED_VALUE"""),"Closed")</f>
        <v>Closed</v>
      </c>
      <c r="U241" s="351" t="str">
        <f>IFERROR(__xludf.DUMMYFUNCTION("""COMPUTED_VALUE"""),"Closed")</f>
        <v>Closed</v>
      </c>
      <c r="V241" s="364" t="str">
        <f>IFERROR(__xludf.DUMMYFUNCTION("""COMPUTED_VALUE"""),"Closed")</f>
        <v>Closed</v>
      </c>
      <c r="W241" s="234" t="str">
        <f>IFERROR(__xludf.DUMMYFUNCTION("""COMPUTED_VALUE"""),"Closed")</f>
        <v>Closed</v>
      </c>
      <c r="X241" s="351" t="str">
        <f>IFERROR(__xludf.DUMMYFUNCTION("""COMPUTED_VALUE"""),"Closed")</f>
        <v>Closed</v>
      </c>
      <c r="Y241" s="364" t="str">
        <f>IFERROR(__xludf.DUMMYFUNCTION("""COMPUTED_VALUE"""),"Closed")</f>
        <v>Closed</v>
      </c>
      <c r="Z241" s="365" t="str">
        <f>IFERROR(__xludf.DUMMYFUNCTION("""COMPUTED_VALUE"""),"Closed")</f>
        <v>Closed</v>
      </c>
      <c r="AA241" s="351" t="str">
        <f>IFERROR(__xludf.DUMMYFUNCTION("""COMPUTED_VALUE"""),"Closed")</f>
        <v>Closed</v>
      </c>
      <c r="AB241" s="364" t="str">
        <f>IFERROR(__xludf.DUMMYFUNCTION("""COMPUTED_VALUE"""),"Closed")</f>
        <v>Closed</v>
      </c>
      <c r="AC241" s="365" t="str">
        <f>IFERROR(__xludf.DUMMYFUNCTION("""COMPUTED_VALUE"""),"Closed")</f>
        <v>Closed</v>
      </c>
      <c r="AD241" s="351" t="str">
        <f>IFERROR(__xludf.DUMMYFUNCTION("""COMPUTED_VALUE"""),"Closed")</f>
        <v>Closed</v>
      </c>
      <c r="AE241" s="364" t="str">
        <f>IFERROR(__xludf.DUMMYFUNCTION("""COMPUTED_VALUE"""),"Closed")</f>
        <v>Closed</v>
      </c>
      <c r="AF241" s="365" t="str">
        <f>IFERROR(__xludf.DUMMYFUNCTION("""COMPUTED_VALUE"""),"Closed")</f>
        <v>Closed</v>
      </c>
      <c r="AG241" s="351" t="str">
        <f>IFERROR(__xludf.DUMMYFUNCTION("""COMPUTED_VALUE"""),"Closed")</f>
        <v>Closed</v>
      </c>
      <c r="AH241" s="364" t="str">
        <f>IFERROR(__xludf.DUMMYFUNCTION("""COMPUTED_VALUE"""),"Closed")</f>
        <v>Closed</v>
      </c>
      <c r="AI241" s="234" t="str">
        <f>IFERROR(__xludf.DUMMYFUNCTION("""COMPUTED_VALUE"""),"Closed")</f>
        <v>Closed</v>
      </c>
      <c r="AJ241" s="351" t="str">
        <f>IFERROR(__xludf.DUMMYFUNCTION("""COMPUTED_VALUE"""),"Closed")</f>
        <v>Closed</v>
      </c>
      <c r="AK241" s="364" t="str">
        <f>IFERROR(__xludf.DUMMYFUNCTION("""COMPUTED_VALUE"""),"Closed")</f>
        <v>Closed</v>
      </c>
      <c r="AL241" s="366" t="str">
        <f>IFERROR(__xludf.DUMMYFUNCTION("""COMPUTED_VALUE"""),"Closed")</f>
        <v>Closed</v>
      </c>
      <c r="AM241" s="367" t="str">
        <f>IFERROR(__xludf.DUMMYFUNCTION("""COMPUTED_VALUE"""),"Closed")</f>
        <v>Closed</v>
      </c>
      <c r="AN241" s="364" t="str">
        <f>IFERROR(__xludf.DUMMYFUNCTION("""COMPUTED_VALUE"""),"Closed")</f>
        <v>Closed</v>
      </c>
      <c r="AO241" s="365" t="str">
        <f>IFERROR(__xludf.DUMMYFUNCTION("""COMPUTED_VALUE"""),"Closed")</f>
        <v>Closed</v>
      </c>
      <c r="AP241" s="351" t="str">
        <f>IFERROR(__xludf.DUMMYFUNCTION("""COMPUTED_VALUE"""),"Closed")</f>
        <v>Closed</v>
      </c>
      <c r="AQ241" s="364" t="str">
        <f>IFERROR(__xludf.DUMMYFUNCTION("""COMPUTED_VALUE"""),"Closed")</f>
        <v>Closed</v>
      </c>
      <c r="AR241" s="365" t="str">
        <f>IFERROR(__xludf.DUMMYFUNCTION("""COMPUTED_VALUE"""),"Closed")</f>
        <v>Closed</v>
      </c>
      <c r="AS241" s="351" t="str">
        <f>IFERROR(__xludf.DUMMYFUNCTION("""COMPUTED_VALUE"""),"Closed")</f>
        <v>Closed</v>
      </c>
      <c r="AT241" s="364" t="str">
        <f>IFERROR(__xludf.DUMMYFUNCTION("""COMPUTED_VALUE"""),"Closed")</f>
        <v>Closed</v>
      </c>
      <c r="AU241" s="234" t="str">
        <f>IFERROR(__xludf.DUMMYFUNCTION("""COMPUTED_VALUE"""),"Closed")</f>
        <v>Closed</v>
      </c>
      <c r="AV241" s="351" t="str">
        <f>IFERROR(__xludf.DUMMYFUNCTION("""COMPUTED_VALUE"""),"Closed")</f>
        <v>Closed</v>
      </c>
      <c r="AW241" s="364" t="str">
        <f>IFERROR(__xludf.DUMMYFUNCTION("""COMPUTED_VALUE"""),"Closed")</f>
        <v>Closed</v>
      </c>
      <c r="AX241" s="365" t="str">
        <f>IFERROR(__xludf.DUMMYFUNCTION("""COMPUTED_VALUE"""),"Closed")</f>
        <v>Closed</v>
      </c>
      <c r="AY241" s="351" t="str">
        <f>IFERROR(__xludf.DUMMYFUNCTION("""COMPUTED_VALUE"""),"Closed")</f>
        <v>Closed</v>
      </c>
      <c r="AZ241" s="364" t="str">
        <f>IFERROR(__xludf.DUMMYFUNCTION("""COMPUTED_VALUE"""),"Closed")</f>
        <v>Closed</v>
      </c>
      <c r="BA241" s="365" t="str">
        <f>IFERROR(__xludf.DUMMYFUNCTION("""COMPUTED_VALUE"""),"Closed")</f>
        <v>Closed</v>
      </c>
      <c r="BB241" s="351" t="str">
        <f>IFERROR(__xludf.DUMMYFUNCTION("""COMPUTED_VALUE"""),"Closed")</f>
        <v>Closed</v>
      </c>
      <c r="BC241" s="364" t="str">
        <f>IFERROR(__xludf.DUMMYFUNCTION("""COMPUTED_VALUE"""),"Closed")</f>
        <v>Closed</v>
      </c>
      <c r="BD241" s="365" t="str">
        <f>IFERROR(__xludf.DUMMYFUNCTION("""COMPUTED_VALUE"""),"Closed")</f>
        <v>Closed</v>
      </c>
      <c r="BE241" s="351" t="str">
        <f>IFERROR(__xludf.DUMMYFUNCTION("""COMPUTED_VALUE"""),"Closed")</f>
        <v>Closed</v>
      </c>
      <c r="BF241" s="364" t="str">
        <f>IFERROR(__xludf.DUMMYFUNCTION("""COMPUTED_VALUE"""),"Closed")</f>
        <v>Closed</v>
      </c>
      <c r="BG241" s="234" t="str">
        <f>IFERROR(__xludf.DUMMYFUNCTION("""COMPUTED_VALUE"""),"Closed")</f>
        <v>Closed</v>
      </c>
      <c r="BH241" s="351" t="str">
        <f>IFERROR(__xludf.DUMMYFUNCTION("""COMPUTED_VALUE"""),"Closed")</f>
        <v>Closed</v>
      </c>
      <c r="BI241" s="364" t="str">
        <f>IFERROR(__xludf.DUMMYFUNCTION("""COMPUTED_VALUE"""),"Closed")</f>
        <v>Closed</v>
      </c>
      <c r="BJ241" s="365" t="str">
        <f>IFERROR(__xludf.DUMMYFUNCTION("""COMPUTED_VALUE"""),"Closed")</f>
        <v>Closed</v>
      </c>
      <c r="BK241" s="351" t="str">
        <f>IFERROR(__xludf.DUMMYFUNCTION("""COMPUTED_VALUE"""),"Closed")</f>
        <v>Closed</v>
      </c>
      <c r="BL241" s="364" t="str">
        <f>IFERROR(__xludf.DUMMYFUNCTION("""COMPUTED_VALUE"""),"Closed")</f>
        <v>Closed</v>
      </c>
      <c r="BM241" s="365" t="str">
        <f>IFERROR(__xludf.DUMMYFUNCTION("""COMPUTED_VALUE"""),"Closed")</f>
        <v>Closed</v>
      </c>
      <c r="BN241" s="351" t="str">
        <f>IFERROR(__xludf.DUMMYFUNCTION("""COMPUTED_VALUE"""),"Closed")</f>
        <v>Closed</v>
      </c>
      <c r="BO241" s="364" t="str">
        <f>IFERROR(__xludf.DUMMYFUNCTION("""COMPUTED_VALUE"""),"Closed")</f>
        <v>Closed</v>
      </c>
      <c r="BP241" s="365" t="str">
        <f>IFERROR(__xludf.DUMMYFUNCTION("""COMPUTED_VALUE"""),"Closed")</f>
        <v>Closed</v>
      </c>
      <c r="BQ241" s="351" t="str">
        <f>IFERROR(__xludf.DUMMYFUNCTION("""COMPUTED_VALUE"""),"Closed")</f>
        <v>Closed</v>
      </c>
      <c r="BR241" s="364" t="str">
        <f>IFERROR(__xludf.DUMMYFUNCTION("""COMPUTED_VALUE"""),"Closed")</f>
        <v>Closed</v>
      </c>
      <c r="BS241" s="234" t="str">
        <f>IFERROR(__xludf.DUMMYFUNCTION("""COMPUTED_VALUE"""),"Closed")</f>
        <v>Closed</v>
      </c>
      <c r="BT241" s="351" t="str">
        <f>IFERROR(__xludf.DUMMYFUNCTION("""COMPUTED_VALUE"""),"Closed")</f>
        <v>Closed</v>
      </c>
      <c r="BU241" s="364" t="str">
        <f>IFERROR(__xludf.DUMMYFUNCTION("""COMPUTED_VALUE"""),"Closed")</f>
        <v>Closed</v>
      </c>
      <c r="BV241" s="365" t="str">
        <f>IFERROR(__xludf.DUMMYFUNCTION("""COMPUTED_VALUE"""),"Closed")</f>
        <v>Closed</v>
      </c>
      <c r="BW241" s="351" t="str">
        <f>IFERROR(__xludf.DUMMYFUNCTION("""COMPUTED_VALUE"""),"Closed")</f>
        <v>Closed</v>
      </c>
      <c r="BX241" s="364" t="str">
        <f>IFERROR(__xludf.DUMMYFUNCTION("""COMPUTED_VALUE"""),"Closed")</f>
        <v>Closed</v>
      </c>
      <c r="BY241" s="365" t="str">
        <f>IFERROR(__xludf.DUMMYFUNCTION("""COMPUTED_VALUE"""),"Closed")</f>
        <v>Closed</v>
      </c>
      <c r="BZ241" s="351" t="str">
        <f>IFERROR(__xludf.DUMMYFUNCTION("""COMPUTED_VALUE"""),"Closed")</f>
        <v>Closed</v>
      </c>
      <c r="CA241" s="364" t="str">
        <f>IFERROR(__xludf.DUMMYFUNCTION("""COMPUTED_VALUE"""),"Closed")</f>
        <v>Closed</v>
      </c>
      <c r="CB241" s="365" t="str">
        <f>IFERROR(__xludf.DUMMYFUNCTION("""COMPUTED_VALUE"""),"Closed")</f>
        <v>Closed</v>
      </c>
      <c r="CC241" s="351" t="str">
        <f>IFERROR(__xludf.DUMMYFUNCTION("""COMPUTED_VALUE"""),"Closed")</f>
        <v>Closed</v>
      </c>
      <c r="CD241" s="364" t="str">
        <f>IFERROR(__xludf.DUMMYFUNCTION("""COMPUTED_VALUE"""),"Closed")</f>
        <v>Closed</v>
      </c>
      <c r="CE241" s="365" t="str">
        <f>IFERROR(__xludf.DUMMYFUNCTION("""COMPUTED_VALUE"""),"Closed")</f>
        <v>Closed</v>
      </c>
      <c r="CF241" s="351" t="str">
        <f>IFERROR(__xludf.DUMMYFUNCTION("""COMPUTED_VALUE"""),"Closed")</f>
        <v>Closed</v>
      </c>
      <c r="CG241" s="364" t="str">
        <f>IFERROR(__xludf.DUMMYFUNCTION("""COMPUTED_VALUE"""),"Closed")</f>
        <v>Closed</v>
      </c>
      <c r="CH241" s="365" t="str">
        <f>IFERROR(__xludf.DUMMYFUNCTION("""COMPUTED_VALUE"""),"Closed")</f>
        <v>Closed</v>
      </c>
      <c r="CI241" s="351" t="str">
        <f>IFERROR(__xludf.DUMMYFUNCTION("""COMPUTED_VALUE"""),"Closed")</f>
        <v>Closed</v>
      </c>
      <c r="CJ241" s="351" t="str">
        <f>IFERROR(__xludf.DUMMYFUNCTION("""COMPUTED_VALUE"""),"Closed")</f>
        <v>Closed</v>
      </c>
      <c r="CK241" s="365" t="str">
        <f>IFERROR(__xludf.DUMMYFUNCTION("""COMPUTED_VALUE"""),"Closed")</f>
        <v>Closed</v>
      </c>
      <c r="CL241" s="351" t="str">
        <f>IFERROR(__xludf.DUMMYFUNCTION("""COMPUTED_VALUE"""),"Closed")</f>
        <v>Closed</v>
      </c>
      <c r="CM241" s="364" t="str">
        <f>IFERROR(__xludf.DUMMYFUNCTION("""COMPUTED_VALUE"""),"Closed")</f>
        <v>Closed</v>
      </c>
      <c r="CN241" s="351" t="str">
        <f>IFERROR(__xludf.DUMMYFUNCTION("""COMPUTED_VALUE"""),"Closed")</f>
        <v>Closed</v>
      </c>
      <c r="CO241" s="351" t="str">
        <f>IFERROR(__xludf.DUMMYFUNCTION("""COMPUTED_VALUE"""),"Closed")</f>
        <v>Closed</v>
      </c>
      <c r="CP241" s="351" t="str">
        <f>IFERROR(__xludf.DUMMYFUNCTION("""COMPUTED_VALUE"""),"Closed")</f>
        <v>Closed</v>
      </c>
      <c r="CQ241" s="365" t="str">
        <f>IFERROR(__xludf.DUMMYFUNCTION("""COMPUTED_VALUE"""),"Closed")</f>
        <v>Closed</v>
      </c>
      <c r="CR241" s="351" t="str">
        <f>IFERROR(__xludf.DUMMYFUNCTION("""COMPUTED_VALUE"""),"Closed")</f>
        <v>Closed</v>
      </c>
      <c r="CS241" s="351" t="str">
        <f>IFERROR(__xludf.DUMMYFUNCTION("""COMPUTED_VALUE"""),"Closed")</f>
        <v>Closed</v>
      </c>
      <c r="CT241" s="365" t="str">
        <f>IFERROR(__xludf.DUMMYFUNCTION("""COMPUTED_VALUE"""),"Closed")</f>
        <v>Closed</v>
      </c>
      <c r="CU241" s="351" t="str">
        <f>IFERROR(__xludf.DUMMYFUNCTION("""COMPUTED_VALUE"""),"Closed")</f>
        <v>Closed</v>
      </c>
      <c r="CV241" s="351" t="str">
        <f>IFERROR(__xludf.DUMMYFUNCTION("""COMPUTED_VALUE"""),"Closed")</f>
        <v>Closed</v>
      </c>
      <c r="CW241" s="365" t="str">
        <f>IFERROR(__xludf.DUMMYFUNCTION("""COMPUTED_VALUE"""),"Closed")</f>
        <v>Closed</v>
      </c>
      <c r="CX241" s="351" t="str">
        <f>IFERROR(__xludf.DUMMYFUNCTION("""COMPUTED_VALUE"""),"Closed")</f>
        <v>Closed</v>
      </c>
      <c r="CY241" s="364" t="str">
        <f>IFERROR(__xludf.DUMMYFUNCTION("""COMPUTED_VALUE"""),"Closed")</f>
        <v>Closed</v>
      </c>
      <c r="CZ241" s="351" t="str">
        <f>IFERROR(__xludf.DUMMYFUNCTION("""COMPUTED_VALUE"""),"Closed")</f>
        <v>Closed</v>
      </c>
      <c r="DA241" s="351" t="str">
        <f>IFERROR(__xludf.DUMMYFUNCTION("""COMPUTED_VALUE"""),"Closed")</f>
        <v>Closed</v>
      </c>
      <c r="DB241" s="364" t="str">
        <f>IFERROR(__xludf.DUMMYFUNCTION("""COMPUTED_VALUE"""),"Closed")</f>
        <v>Closed</v>
      </c>
      <c r="DC241" s="365" t="str">
        <f>IFERROR(__xludf.DUMMYFUNCTION("""COMPUTED_VALUE"""),"Closed")</f>
        <v>Closed</v>
      </c>
      <c r="DD241" s="351" t="str">
        <f>IFERROR(__xludf.DUMMYFUNCTION("""COMPUTED_VALUE"""),"Closed")</f>
        <v>Closed</v>
      </c>
      <c r="DE241" s="364" t="str">
        <f>IFERROR(__xludf.DUMMYFUNCTION("""COMPUTED_VALUE"""),"Closed")</f>
        <v>Closed</v>
      </c>
      <c r="DF241" s="365" t="str">
        <f>IFERROR(__xludf.DUMMYFUNCTION("""COMPUTED_VALUE"""),"Closed")</f>
        <v>Closed</v>
      </c>
      <c r="DG241" s="351" t="str">
        <f>IFERROR(__xludf.DUMMYFUNCTION("""COMPUTED_VALUE"""),"Closed")</f>
        <v>Closed</v>
      </c>
      <c r="DH241" s="364" t="str">
        <f>IFERROR(__xludf.DUMMYFUNCTION("""COMPUTED_VALUE"""),"Closed")</f>
        <v>Closed</v>
      </c>
      <c r="DI241" s="365" t="str">
        <f>IFERROR(__xludf.DUMMYFUNCTION("""COMPUTED_VALUE"""),"Closed")</f>
        <v>Closed</v>
      </c>
      <c r="DJ241" s="351" t="str">
        <f>IFERROR(__xludf.DUMMYFUNCTION("""COMPUTED_VALUE"""),"Closed")</f>
        <v>Closed</v>
      </c>
      <c r="DK241" s="364" t="str">
        <f>IFERROR(__xludf.DUMMYFUNCTION("""COMPUTED_VALUE"""),"Closed")</f>
        <v>Closed</v>
      </c>
      <c r="DL241" s="351" t="str">
        <f>IFERROR(__xludf.DUMMYFUNCTION("""COMPUTED_VALUE"""),"Closed")</f>
        <v>Closed</v>
      </c>
      <c r="DM241" s="351" t="str">
        <f>IFERROR(__xludf.DUMMYFUNCTION("""COMPUTED_VALUE"""),"Closed")</f>
        <v>Closed</v>
      </c>
      <c r="DN241" s="351" t="str">
        <f>IFERROR(__xludf.DUMMYFUNCTION("""COMPUTED_VALUE"""),"Closed")</f>
        <v>Closed</v>
      </c>
      <c r="DO241" s="256" t="str">
        <f>IFERROR(__xludf.DUMMYFUNCTION("""COMPUTED_VALUE"""),"Closed")</f>
        <v>Closed</v>
      </c>
      <c r="DP241" s="256" t="str">
        <f>IFERROR(__xludf.DUMMYFUNCTION("""COMPUTED_VALUE"""),"Closed")</f>
        <v>Closed</v>
      </c>
      <c r="DQ241" s="256" t="str">
        <f>IFERROR(__xludf.DUMMYFUNCTION("""COMPUTED_VALUE"""),"Closed")</f>
        <v>Closed</v>
      </c>
      <c r="DR241" s="256" t="str">
        <f>IFERROR(__xludf.DUMMYFUNCTION("""COMPUTED_VALUE"""),"Closed")</f>
        <v>Closed</v>
      </c>
      <c r="DS241" s="256" t="str">
        <f>IFERROR(__xludf.DUMMYFUNCTION("""COMPUTED_VALUE"""),"Closed")</f>
        <v>Closed</v>
      </c>
      <c r="DT241" s="256" t="str">
        <f>IFERROR(__xludf.DUMMYFUNCTION("""COMPUTED_VALUE"""),"Closed")</f>
        <v>Closed</v>
      </c>
    </row>
    <row r="242" hidden="1">
      <c r="B242" s="180" t="str">
        <f>IFERROR(__xludf.DUMMYFUNCTION("""COMPUTED_VALUE"""),"OLP6")</f>
        <v>OLP6</v>
      </c>
      <c r="C242" s="88" t="str">
        <f>IFERROR(__xludf.DUMMYFUNCTION("""COMPUTED_VALUE"""),"God Slayers League Base")</f>
        <v>God Slayers League Base</v>
      </c>
      <c r="D242" s="102">
        <f>IFERROR(__xludf.DUMMYFUNCTION("""COMPUTED_VALUE"""),21.0)</f>
        <v>21</v>
      </c>
      <c r="E242" s="82" t="b">
        <f>IFERROR(__xludf.DUMMYFUNCTION("""COMPUTED_VALUE"""),FALSE)</f>
        <v>0</v>
      </c>
      <c r="F242" s="82" t="str">
        <f>IFERROR(__xludf.DUMMYFUNCTION("""COMPUTED_VALUE"""),"Free Quests- Part 2!A798:J806")</f>
        <v>Free Quests- Part 2!A798:J806</v>
      </c>
      <c r="G242" s="82">
        <f>IFERROR(__xludf.DUMMYFUNCTION("""COMPUTED_VALUE"""),243.0)</f>
        <v>243</v>
      </c>
      <c r="H242" s="82" t="str">
        <f>IFERROR(__xludf.DUMMYFUNCTION("""COMPUTED_VALUE"""),"Closed")</f>
        <v>Closed</v>
      </c>
      <c r="I242" s="82">
        <f>IFERROR(__xludf.DUMMYFUNCTION("""COMPUTED_VALUE"""),3244.0)</f>
        <v>3244</v>
      </c>
      <c r="J242" s="82" t="str">
        <f>IFERROR(__xludf.DUMMYFUNCTION("""COMPUTED_VALUE"""),"Closed")</f>
        <v>Closed</v>
      </c>
      <c r="K242" s="234" t="str">
        <f>IFERROR(__xludf.DUMMYFUNCTION("""COMPUTED_VALUE"""),"Closed")</f>
        <v>Closed</v>
      </c>
      <c r="L242" s="351" t="str">
        <f>IFERROR(__xludf.DUMMYFUNCTION("""COMPUTED_VALUE"""),"Closed")</f>
        <v>Closed</v>
      </c>
      <c r="M242" s="364" t="str">
        <f>IFERROR(__xludf.DUMMYFUNCTION("""COMPUTED_VALUE"""),"Closed")</f>
        <v>Closed</v>
      </c>
      <c r="N242" s="365" t="str">
        <f>IFERROR(__xludf.DUMMYFUNCTION("""COMPUTED_VALUE"""),"Closed")</f>
        <v>Closed</v>
      </c>
      <c r="O242" s="351" t="str">
        <f>IFERROR(__xludf.DUMMYFUNCTION("""COMPUTED_VALUE"""),"Closed")</f>
        <v>Closed</v>
      </c>
      <c r="P242" s="364" t="str">
        <f>IFERROR(__xludf.DUMMYFUNCTION("""COMPUTED_VALUE"""),"Closed")</f>
        <v>Closed</v>
      </c>
      <c r="Q242" s="365" t="str">
        <f>IFERROR(__xludf.DUMMYFUNCTION("""COMPUTED_VALUE"""),"Closed")</f>
        <v>Closed</v>
      </c>
      <c r="R242" s="351" t="str">
        <f>IFERROR(__xludf.DUMMYFUNCTION("""COMPUTED_VALUE"""),"Closed")</f>
        <v>Closed</v>
      </c>
      <c r="S242" s="364" t="str">
        <f>IFERROR(__xludf.DUMMYFUNCTION("""COMPUTED_VALUE"""),"Closed")</f>
        <v>Closed</v>
      </c>
      <c r="T242" s="365" t="str">
        <f>IFERROR(__xludf.DUMMYFUNCTION("""COMPUTED_VALUE"""),"Closed")</f>
        <v>Closed</v>
      </c>
      <c r="U242" s="351" t="str">
        <f>IFERROR(__xludf.DUMMYFUNCTION("""COMPUTED_VALUE"""),"Closed")</f>
        <v>Closed</v>
      </c>
      <c r="V242" s="364" t="str">
        <f>IFERROR(__xludf.DUMMYFUNCTION("""COMPUTED_VALUE"""),"Closed")</f>
        <v>Closed</v>
      </c>
      <c r="W242" s="234" t="str">
        <f>IFERROR(__xludf.DUMMYFUNCTION("""COMPUTED_VALUE"""),"Closed")</f>
        <v>Closed</v>
      </c>
      <c r="X242" s="351" t="str">
        <f>IFERROR(__xludf.DUMMYFUNCTION("""COMPUTED_VALUE"""),"Closed")</f>
        <v>Closed</v>
      </c>
      <c r="Y242" s="364" t="str">
        <f>IFERROR(__xludf.DUMMYFUNCTION("""COMPUTED_VALUE"""),"Closed")</f>
        <v>Closed</v>
      </c>
      <c r="Z242" s="365" t="str">
        <f>IFERROR(__xludf.DUMMYFUNCTION("""COMPUTED_VALUE"""),"Closed")</f>
        <v>Closed</v>
      </c>
      <c r="AA242" s="351" t="str">
        <f>IFERROR(__xludf.DUMMYFUNCTION("""COMPUTED_VALUE"""),"Closed")</f>
        <v>Closed</v>
      </c>
      <c r="AB242" s="364" t="str">
        <f>IFERROR(__xludf.DUMMYFUNCTION("""COMPUTED_VALUE"""),"Closed")</f>
        <v>Closed</v>
      </c>
      <c r="AC242" s="365" t="str">
        <f>IFERROR(__xludf.DUMMYFUNCTION("""COMPUTED_VALUE"""),"Closed")</f>
        <v>Closed</v>
      </c>
      <c r="AD242" s="351" t="str">
        <f>IFERROR(__xludf.DUMMYFUNCTION("""COMPUTED_VALUE"""),"Closed")</f>
        <v>Closed</v>
      </c>
      <c r="AE242" s="364" t="str">
        <f>IFERROR(__xludf.DUMMYFUNCTION("""COMPUTED_VALUE"""),"Closed")</f>
        <v>Closed</v>
      </c>
      <c r="AF242" s="365" t="str">
        <f>IFERROR(__xludf.DUMMYFUNCTION("""COMPUTED_VALUE"""),"Closed")</f>
        <v>Closed</v>
      </c>
      <c r="AG242" s="351" t="str">
        <f>IFERROR(__xludf.DUMMYFUNCTION("""COMPUTED_VALUE"""),"Closed")</f>
        <v>Closed</v>
      </c>
      <c r="AH242" s="364" t="str">
        <f>IFERROR(__xludf.DUMMYFUNCTION("""COMPUTED_VALUE"""),"Closed")</f>
        <v>Closed</v>
      </c>
      <c r="AI242" s="234" t="str">
        <f>IFERROR(__xludf.DUMMYFUNCTION("""COMPUTED_VALUE"""),"Closed")</f>
        <v>Closed</v>
      </c>
      <c r="AJ242" s="351" t="str">
        <f>IFERROR(__xludf.DUMMYFUNCTION("""COMPUTED_VALUE"""),"Closed")</f>
        <v>Closed</v>
      </c>
      <c r="AK242" s="364" t="str">
        <f>IFERROR(__xludf.DUMMYFUNCTION("""COMPUTED_VALUE"""),"Closed")</f>
        <v>Closed</v>
      </c>
      <c r="AL242" s="366" t="str">
        <f>IFERROR(__xludf.DUMMYFUNCTION("""COMPUTED_VALUE"""),"Closed")</f>
        <v>Closed</v>
      </c>
      <c r="AM242" s="367" t="str">
        <f>IFERROR(__xludf.DUMMYFUNCTION("""COMPUTED_VALUE"""),"Closed")</f>
        <v>Closed</v>
      </c>
      <c r="AN242" s="364" t="str">
        <f>IFERROR(__xludf.DUMMYFUNCTION("""COMPUTED_VALUE"""),"Closed")</f>
        <v>Closed</v>
      </c>
      <c r="AO242" s="365" t="str">
        <f>IFERROR(__xludf.DUMMYFUNCTION("""COMPUTED_VALUE"""),"Closed")</f>
        <v>Closed</v>
      </c>
      <c r="AP242" s="351" t="str">
        <f>IFERROR(__xludf.DUMMYFUNCTION("""COMPUTED_VALUE"""),"Closed")</f>
        <v>Closed</v>
      </c>
      <c r="AQ242" s="364" t="str">
        <f>IFERROR(__xludf.DUMMYFUNCTION("""COMPUTED_VALUE"""),"Closed")</f>
        <v>Closed</v>
      </c>
      <c r="AR242" s="365" t="str">
        <f>IFERROR(__xludf.DUMMYFUNCTION("""COMPUTED_VALUE"""),"Closed")</f>
        <v>Closed</v>
      </c>
      <c r="AS242" s="351" t="str">
        <f>IFERROR(__xludf.DUMMYFUNCTION("""COMPUTED_VALUE"""),"Closed")</f>
        <v>Closed</v>
      </c>
      <c r="AT242" s="364" t="str">
        <f>IFERROR(__xludf.DUMMYFUNCTION("""COMPUTED_VALUE"""),"Closed")</f>
        <v>Closed</v>
      </c>
      <c r="AU242" s="234" t="str">
        <f>IFERROR(__xludf.DUMMYFUNCTION("""COMPUTED_VALUE"""),"Closed")</f>
        <v>Closed</v>
      </c>
      <c r="AV242" s="351" t="str">
        <f>IFERROR(__xludf.DUMMYFUNCTION("""COMPUTED_VALUE"""),"Closed")</f>
        <v>Closed</v>
      </c>
      <c r="AW242" s="364" t="str">
        <f>IFERROR(__xludf.DUMMYFUNCTION("""COMPUTED_VALUE"""),"Closed")</f>
        <v>Closed</v>
      </c>
      <c r="AX242" s="365" t="str">
        <f>IFERROR(__xludf.DUMMYFUNCTION("""COMPUTED_VALUE"""),"Closed")</f>
        <v>Closed</v>
      </c>
      <c r="AY242" s="351" t="str">
        <f>IFERROR(__xludf.DUMMYFUNCTION("""COMPUTED_VALUE"""),"Closed")</f>
        <v>Closed</v>
      </c>
      <c r="AZ242" s="364" t="str">
        <f>IFERROR(__xludf.DUMMYFUNCTION("""COMPUTED_VALUE"""),"Closed")</f>
        <v>Closed</v>
      </c>
      <c r="BA242" s="365" t="str">
        <f>IFERROR(__xludf.DUMMYFUNCTION("""COMPUTED_VALUE"""),"Closed")</f>
        <v>Closed</v>
      </c>
      <c r="BB242" s="351" t="str">
        <f>IFERROR(__xludf.DUMMYFUNCTION("""COMPUTED_VALUE"""),"Closed")</f>
        <v>Closed</v>
      </c>
      <c r="BC242" s="364" t="str">
        <f>IFERROR(__xludf.DUMMYFUNCTION("""COMPUTED_VALUE"""),"Closed")</f>
        <v>Closed</v>
      </c>
      <c r="BD242" s="365" t="str">
        <f>IFERROR(__xludf.DUMMYFUNCTION("""COMPUTED_VALUE"""),"Closed")</f>
        <v>Closed</v>
      </c>
      <c r="BE242" s="351" t="str">
        <f>IFERROR(__xludf.DUMMYFUNCTION("""COMPUTED_VALUE"""),"Closed")</f>
        <v>Closed</v>
      </c>
      <c r="BF242" s="364" t="str">
        <f>IFERROR(__xludf.DUMMYFUNCTION("""COMPUTED_VALUE"""),"Closed")</f>
        <v>Closed</v>
      </c>
      <c r="BG242" s="234" t="str">
        <f>IFERROR(__xludf.DUMMYFUNCTION("""COMPUTED_VALUE"""),"Closed")</f>
        <v>Closed</v>
      </c>
      <c r="BH242" s="351" t="str">
        <f>IFERROR(__xludf.DUMMYFUNCTION("""COMPUTED_VALUE"""),"Closed")</f>
        <v>Closed</v>
      </c>
      <c r="BI242" s="364" t="str">
        <f>IFERROR(__xludf.DUMMYFUNCTION("""COMPUTED_VALUE"""),"Closed")</f>
        <v>Closed</v>
      </c>
      <c r="BJ242" s="365" t="str">
        <f>IFERROR(__xludf.DUMMYFUNCTION("""COMPUTED_VALUE"""),"Closed")</f>
        <v>Closed</v>
      </c>
      <c r="BK242" s="351" t="str">
        <f>IFERROR(__xludf.DUMMYFUNCTION("""COMPUTED_VALUE"""),"Closed")</f>
        <v>Closed</v>
      </c>
      <c r="BL242" s="364" t="str">
        <f>IFERROR(__xludf.DUMMYFUNCTION("""COMPUTED_VALUE"""),"Closed")</f>
        <v>Closed</v>
      </c>
      <c r="BM242" s="365" t="str">
        <f>IFERROR(__xludf.DUMMYFUNCTION("""COMPUTED_VALUE"""),"Closed")</f>
        <v>Closed</v>
      </c>
      <c r="BN242" s="351" t="str">
        <f>IFERROR(__xludf.DUMMYFUNCTION("""COMPUTED_VALUE"""),"Closed")</f>
        <v>Closed</v>
      </c>
      <c r="BO242" s="364" t="str">
        <f>IFERROR(__xludf.DUMMYFUNCTION("""COMPUTED_VALUE"""),"Closed")</f>
        <v>Closed</v>
      </c>
      <c r="BP242" s="365" t="str">
        <f>IFERROR(__xludf.DUMMYFUNCTION("""COMPUTED_VALUE"""),"Closed")</f>
        <v>Closed</v>
      </c>
      <c r="BQ242" s="351" t="str">
        <f>IFERROR(__xludf.DUMMYFUNCTION("""COMPUTED_VALUE"""),"Closed")</f>
        <v>Closed</v>
      </c>
      <c r="BR242" s="364" t="str">
        <f>IFERROR(__xludf.DUMMYFUNCTION("""COMPUTED_VALUE"""),"Closed")</f>
        <v>Closed</v>
      </c>
      <c r="BS242" s="234" t="str">
        <f>IFERROR(__xludf.DUMMYFUNCTION("""COMPUTED_VALUE"""),"Closed")</f>
        <v>Closed</v>
      </c>
      <c r="BT242" s="351" t="str">
        <f>IFERROR(__xludf.DUMMYFUNCTION("""COMPUTED_VALUE"""),"Closed")</f>
        <v>Closed</v>
      </c>
      <c r="BU242" s="364" t="str">
        <f>IFERROR(__xludf.DUMMYFUNCTION("""COMPUTED_VALUE"""),"Closed")</f>
        <v>Closed</v>
      </c>
      <c r="BV242" s="365" t="str">
        <f>IFERROR(__xludf.DUMMYFUNCTION("""COMPUTED_VALUE"""),"Closed")</f>
        <v>Closed</v>
      </c>
      <c r="BW242" s="351" t="str">
        <f>IFERROR(__xludf.DUMMYFUNCTION("""COMPUTED_VALUE"""),"Closed")</f>
        <v>Closed</v>
      </c>
      <c r="BX242" s="364" t="str">
        <f>IFERROR(__xludf.DUMMYFUNCTION("""COMPUTED_VALUE"""),"Closed")</f>
        <v>Closed</v>
      </c>
      <c r="BY242" s="365" t="str">
        <f>IFERROR(__xludf.DUMMYFUNCTION("""COMPUTED_VALUE"""),"Closed")</f>
        <v>Closed</v>
      </c>
      <c r="BZ242" s="351" t="str">
        <f>IFERROR(__xludf.DUMMYFUNCTION("""COMPUTED_VALUE"""),"Closed")</f>
        <v>Closed</v>
      </c>
      <c r="CA242" s="364" t="str">
        <f>IFERROR(__xludf.DUMMYFUNCTION("""COMPUTED_VALUE"""),"Closed")</f>
        <v>Closed</v>
      </c>
      <c r="CB242" s="365" t="str">
        <f>IFERROR(__xludf.DUMMYFUNCTION("""COMPUTED_VALUE"""),"Closed")</f>
        <v>Closed</v>
      </c>
      <c r="CC242" s="351" t="str">
        <f>IFERROR(__xludf.DUMMYFUNCTION("""COMPUTED_VALUE"""),"Closed")</f>
        <v>Closed</v>
      </c>
      <c r="CD242" s="364" t="str">
        <f>IFERROR(__xludf.DUMMYFUNCTION("""COMPUTED_VALUE"""),"Closed")</f>
        <v>Closed</v>
      </c>
      <c r="CE242" s="365" t="str">
        <f>IFERROR(__xludf.DUMMYFUNCTION("""COMPUTED_VALUE"""),"Closed")</f>
        <v>Closed</v>
      </c>
      <c r="CF242" s="351" t="str">
        <f>IFERROR(__xludf.DUMMYFUNCTION("""COMPUTED_VALUE"""),"Closed")</f>
        <v>Closed</v>
      </c>
      <c r="CG242" s="364" t="str">
        <f>IFERROR(__xludf.DUMMYFUNCTION("""COMPUTED_VALUE"""),"Closed")</f>
        <v>Closed</v>
      </c>
      <c r="CH242" s="365" t="str">
        <f>IFERROR(__xludf.DUMMYFUNCTION("""COMPUTED_VALUE"""),"Closed")</f>
        <v>Closed</v>
      </c>
      <c r="CI242" s="351" t="str">
        <f>IFERROR(__xludf.DUMMYFUNCTION("""COMPUTED_VALUE"""),"Closed")</f>
        <v>Closed</v>
      </c>
      <c r="CJ242" s="351" t="str">
        <f>IFERROR(__xludf.DUMMYFUNCTION("""COMPUTED_VALUE"""),"Closed")</f>
        <v>Closed</v>
      </c>
      <c r="CK242" s="365" t="str">
        <f>IFERROR(__xludf.DUMMYFUNCTION("""COMPUTED_VALUE"""),"Closed")</f>
        <v>Closed</v>
      </c>
      <c r="CL242" s="351" t="str">
        <f>IFERROR(__xludf.DUMMYFUNCTION("""COMPUTED_VALUE"""),"Closed")</f>
        <v>Closed</v>
      </c>
      <c r="CM242" s="364" t="str">
        <f>IFERROR(__xludf.DUMMYFUNCTION("""COMPUTED_VALUE"""),"Closed")</f>
        <v>Closed</v>
      </c>
      <c r="CN242" s="351" t="str">
        <f>IFERROR(__xludf.DUMMYFUNCTION("""COMPUTED_VALUE"""),"Closed")</f>
        <v>Closed</v>
      </c>
      <c r="CO242" s="351" t="str">
        <f>IFERROR(__xludf.DUMMYFUNCTION("""COMPUTED_VALUE"""),"Closed")</f>
        <v>Closed</v>
      </c>
      <c r="CP242" s="351" t="str">
        <f>IFERROR(__xludf.DUMMYFUNCTION("""COMPUTED_VALUE"""),"Closed")</f>
        <v>Closed</v>
      </c>
      <c r="CQ242" s="365" t="str">
        <f>IFERROR(__xludf.DUMMYFUNCTION("""COMPUTED_VALUE"""),"Closed")</f>
        <v>Closed</v>
      </c>
      <c r="CR242" s="351" t="str">
        <f>IFERROR(__xludf.DUMMYFUNCTION("""COMPUTED_VALUE"""),"Closed")</f>
        <v>Closed</v>
      </c>
      <c r="CS242" s="351" t="str">
        <f>IFERROR(__xludf.DUMMYFUNCTION("""COMPUTED_VALUE"""),"Closed")</f>
        <v>Closed</v>
      </c>
      <c r="CT242" s="365" t="str">
        <f>IFERROR(__xludf.DUMMYFUNCTION("""COMPUTED_VALUE"""),"Closed")</f>
        <v>Closed</v>
      </c>
      <c r="CU242" s="351" t="str">
        <f>IFERROR(__xludf.DUMMYFUNCTION("""COMPUTED_VALUE"""),"Closed")</f>
        <v>Closed</v>
      </c>
      <c r="CV242" s="351" t="str">
        <f>IFERROR(__xludf.DUMMYFUNCTION("""COMPUTED_VALUE"""),"Closed")</f>
        <v>Closed</v>
      </c>
      <c r="CW242" s="365" t="str">
        <f>IFERROR(__xludf.DUMMYFUNCTION("""COMPUTED_VALUE"""),"Closed")</f>
        <v>Closed</v>
      </c>
      <c r="CX242" s="351" t="str">
        <f>IFERROR(__xludf.DUMMYFUNCTION("""COMPUTED_VALUE"""),"Closed")</f>
        <v>Closed</v>
      </c>
      <c r="CY242" s="364" t="str">
        <f>IFERROR(__xludf.DUMMYFUNCTION("""COMPUTED_VALUE"""),"Closed")</f>
        <v>Closed</v>
      </c>
      <c r="CZ242" s="351" t="str">
        <f>IFERROR(__xludf.DUMMYFUNCTION("""COMPUTED_VALUE"""),"Closed")</f>
        <v>Closed</v>
      </c>
      <c r="DA242" s="351" t="str">
        <f>IFERROR(__xludf.DUMMYFUNCTION("""COMPUTED_VALUE"""),"Closed")</f>
        <v>Closed</v>
      </c>
      <c r="DB242" s="364" t="str">
        <f>IFERROR(__xludf.DUMMYFUNCTION("""COMPUTED_VALUE"""),"Closed")</f>
        <v>Closed</v>
      </c>
      <c r="DC242" s="365" t="str">
        <f>IFERROR(__xludf.DUMMYFUNCTION("""COMPUTED_VALUE"""),"Closed")</f>
        <v>Closed</v>
      </c>
      <c r="DD242" s="351" t="str">
        <f>IFERROR(__xludf.DUMMYFUNCTION("""COMPUTED_VALUE"""),"Closed")</f>
        <v>Closed</v>
      </c>
      <c r="DE242" s="364" t="str">
        <f>IFERROR(__xludf.DUMMYFUNCTION("""COMPUTED_VALUE"""),"Closed")</f>
        <v>Closed</v>
      </c>
      <c r="DF242" s="365" t="str">
        <f>IFERROR(__xludf.DUMMYFUNCTION("""COMPUTED_VALUE"""),"Closed")</f>
        <v>Closed</v>
      </c>
      <c r="DG242" s="351" t="str">
        <f>IFERROR(__xludf.DUMMYFUNCTION("""COMPUTED_VALUE"""),"Closed")</f>
        <v>Closed</v>
      </c>
      <c r="DH242" s="364" t="str">
        <f>IFERROR(__xludf.DUMMYFUNCTION("""COMPUTED_VALUE"""),"Closed")</f>
        <v>Closed</v>
      </c>
      <c r="DI242" s="365" t="str">
        <f>IFERROR(__xludf.DUMMYFUNCTION("""COMPUTED_VALUE"""),"Closed")</f>
        <v>Closed</v>
      </c>
      <c r="DJ242" s="351" t="str">
        <f>IFERROR(__xludf.DUMMYFUNCTION("""COMPUTED_VALUE"""),"Closed")</f>
        <v>Closed</v>
      </c>
      <c r="DK242" s="364" t="str">
        <f>IFERROR(__xludf.DUMMYFUNCTION("""COMPUTED_VALUE"""),"Closed")</f>
        <v>Closed</v>
      </c>
      <c r="DL242" s="351" t="str">
        <f>IFERROR(__xludf.DUMMYFUNCTION("""COMPUTED_VALUE"""),"Closed")</f>
        <v>Closed</v>
      </c>
      <c r="DM242" s="351" t="str">
        <f>IFERROR(__xludf.DUMMYFUNCTION("""COMPUTED_VALUE"""),"Closed")</f>
        <v>Closed</v>
      </c>
      <c r="DN242" s="351" t="str">
        <f>IFERROR(__xludf.DUMMYFUNCTION("""COMPUTED_VALUE"""),"Closed")</f>
        <v>Closed</v>
      </c>
      <c r="DO242" s="256" t="str">
        <f>IFERROR(__xludf.DUMMYFUNCTION("""COMPUTED_VALUE"""),"Closed")</f>
        <v>Closed</v>
      </c>
      <c r="DP242" s="256" t="str">
        <f>IFERROR(__xludf.DUMMYFUNCTION("""COMPUTED_VALUE"""),"Closed")</f>
        <v>Closed</v>
      </c>
      <c r="DQ242" s="256" t="str">
        <f>IFERROR(__xludf.DUMMYFUNCTION("""COMPUTED_VALUE"""),"Closed")</f>
        <v>Closed</v>
      </c>
      <c r="DR242" s="256" t="str">
        <f>IFERROR(__xludf.DUMMYFUNCTION("""COMPUTED_VALUE"""),"Closed")</f>
        <v>Closed</v>
      </c>
      <c r="DS242" s="256" t="str">
        <f>IFERROR(__xludf.DUMMYFUNCTION("""COMPUTED_VALUE"""),"Closed")</f>
        <v>Closed</v>
      </c>
      <c r="DT242" s="256" t="str">
        <f>IFERROR(__xludf.DUMMYFUNCTION("""COMPUTED_VALUE"""),"Closed")</f>
        <v>Closed</v>
      </c>
    </row>
    <row r="243" hidden="1">
      <c r="B243" s="180" t="str">
        <f>IFERROR(__xludf.DUMMYFUNCTION("""COMPUTED_VALUE"""),"OLP7")</f>
        <v>OLP7</v>
      </c>
      <c r="C243" s="88" t="str">
        <f>IFERROR(__xludf.DUMMYFUNCTION("""COMPUTED_VALUE"""),"Altar District")</f>
        <v>Altar District</v>
      </c>
      <c r="D243" s="102">
        <f>IFERROR(__xludf.DUMMYFUNCTION("""COMPUTED_VALUE"""),21.0)</f>
        <v>21</v>
      </c>
      <c r="E243" s="82" t="b">
        <f>IFERROR(__xludf.DUMMYFUNCTION("""COMPUTED_VALUE"""),FALSE)</f>
        <v>0</v>
      </c>
      <c r="F243" s="82" t="str">
        <f>IFERROR(__xludf.DUMMYFUNCTION("""COMPUTED_VALUE"""),"Free Quests- Part 2!A810:J819")</f>
        <v>Free Quests- Part 2!A810:J819</v>
      </c>
      <c r="G243" s="82">
        <f>IFERROR(__xludf.DUMMYFUNCTION("""COMPUTED_VALUE"""),244.0)</f>
        <v>244</v>
      </c>
      <c r="H243" s="82" t="str">
        <f>IFERROR(__xludf.DUMMYFUNCTION("""COMPUTED_VALUE"""),"Closed")</f>
        <v>Closed</v>
      </c>
      <c r="I243" s="82">
        <f>IFERROR(__xludf.DUMMYFUNCTION("""COMPUTED_VALUE"""),3474.0)</f>
        <v>3474</v>
      </c>
      <c r="J243" s="82" t="str">
        <f>IFERROR(__xludf.DUMMYFUNCTION("""COMPUTED_VALUE"""),"Closed")</f>
        <v>Closed</v>
      </c>
      <c r="K243" s="234" t="str">
        <f>IFERROR(__xludf.DUMMYFUNCTION("""COMPUTED_VALUE"""),"Closed")</f>
        <v>Closed</v>
      </c>
      <c r="L243" s="351" t="str">
        <f>IFERROR(__xludf.DUMMYFUNCTION("""COMPUTED_VALUE"""),"Closed")</f>
        <v>Closed</v>
      </c>
      <c r="M243" s="364" t="str">
        <f>IFERROR(__xludf.DUMMYFUNCTION("""COMPUTED_VALUE"""),"Closed")</f>
        <v>Closed</v>
      </c>
      <c r="N243" s="365" t="str">
        <f>IFERROR(__xludf.DUMMYFUNCTION("""COMPUTED_VALUE"""),"Closed")</f>
        <v>Closed</v>
      </c>
      <c r="O243" s="351" t="str">
        <f>IFERROR(__xludf.DUMMYFUNCTION("""COMPUTED_VALUE"""),"Closed")</f>
        <v>Closed</v>
      </c>
      <c r="P243" s="364" t="str">
        <f>IFERROR(__xludf.DUMMYFUNCTION("""COMPUTED_VALUE"""),"Closed")</f>
        <v>Closed</v>
      </c>
      <c r="Q243" s="365" t="str">
        <f>IFERROR(__xludf.DUMMYFUNCTION("""COMPUTED_VALUE"""),"Closed")</f>
        <v>Closed</v>
      </c>
      <c r="R243" s="351" t="str">
        <f>IFERROR(__xludf.DUMMYFUNCTION("""COMPUTED_VALUE"""),"Closed")</f>
        <v>Closed</v>
      </c>
      <c r="S243" s="364" t="str">
        <f>IFERROR(__xludf.DUMMYFUNCTION("""COMPUTED_VALUE"""),"Closed")</f>
        <v>Closed</v>
      </c>
      <c r="T243" s="365" t="str">
        <f>IFERROR(__xludf.DUMMYFUNCTION("""COMPUTED_VALUE"""),"Closed")</f>
        <v>Closed</v>
      </c>
      <c r="U243" s="351" t="str">
        <f>IFERROR(__xludf.DUMMYFUNCTION("""COMPUTED_VALUE"""),"Closed")</f>
        <v>Closed</v>
      </c>
      <c r="V243" s="364" t="str">
        <f>IFERROR(__xludf.DUMMYFUNCTION("""COMPUTED_VALUE"""),"Closed")</f>
        <v>Closed</v>
      </c>
      <c r="W243" s="234" t="str">
        <f>IFERROR(__xludf.DUMMYFUNCTION("""COMPUTED_VALUE"""),"Closed")</f>
        <v>Closed</v>
      </c>
      <c r="X243" s="351" t="str">
        <f>IFERROR(__xludf.DUMMYFUNCTION("""COMPUTED_VALUE"""),"Closed")</f>
        <v>Closed</v>
      </c>
      <c r="Y243" s="364" t="str">
        <f>IFERROR(__xludf.DUMMYFUNCTION("""COMPUTED_VALUE"""),"Closed")</f>
        <v>Closed</v>
      </c>
      <c r="Z243" s="365" t="str">
        <f>IFERROR(__xludf.DUMMYFUNCTION("""COMPUTED_VALUE"""),"Closed")</f>
        <v>Closed</v>
      </c>
      <c r="AA243" s="351" t="str">
        <f>IFERROR(__xludf.DUMMYFUNCTION("""COMPUTED_VALUE"""),"Closed")</f>
        <v>Closed</v>
      </c>
      <c r="AB243" s="364" t="str">
        <f>IFERROR(__xludf.DUMMYFUNCTION("""COMPUTED_VALUE"""),"Closed")</f>
        <v>Closed</v>
      </c>
      <c r="AC243" s="365" t="str">
        <f>IFERROR(__xludf.DUMMYFUNCTION("""COMPUTED_VALUE"""),"Closed")</f>
        <v>Closed</v>
      </c>
      <c r="AD243" s="351" t="str">
        <f>IFERROR(__xludf.DUMMYFUNCTION("""COMPUTED_VALUE"""),"Closed")</f>
        <v>Closed</v>
      </c>
      <c r="AE243" s="364" t="str">
        <f>IFERROR(__xludf.DUMMYFUNCTION("""COMPUTED_VALUE"""),"Closed")</f>
        <v>Closed</v>
      </c>
      <c r="AF243" s="365" t="str">
        <f>IFERROR(__xludf.DUMMYFUNCTION("""COMPUTED_VALUE"""),"Closed")</f>
        <v>Closed</v>
      </c>
      <c r="AG243" s="351" t="str">
        <f>IFERROR(__xludf.DUMMYFUNCTION("""COMPUTED_VALUE"""),"Closed")</f>
        <v>Closed</v>
      </c>
      <c r="AH243" s="364" t="str">
        <f>IFERROR(__xludf.DUMMYFUNCTION("""COMPUTED_VALUE"""),"Closed")</f>
        <v>Closed</v>
      </c>
      <c r="AI243" s="234" t="str">
        <f>IFERROR(__xludf.DUMMYFUNCTION("""COMPUTED_VALUE"""),"Closed")</f>
        <v>Closed</v>
      </c>
      <c r="AJ243" s="351" t="str">
        <f>IFERROR(__xludf.DUMMYFUNCTION("""COMPUTED_VALUE"""),"Closed")</f>
        <v>Closed</v>
      </c>
      <c r="AK243" s="364" t="str">
        <f>IFERROR(__xludf.DUMMYFUNCTION("""COMPUTED_VALUE"""),"Closed")</f>
        <v>Closed</v>
      </c>
      <c r="AL243" s="366" t="str">
        <f>IFERROR(__xludf.DUMMYFUNCTION("""COMPUTED_VALUE"""),"Closed")</f>
        <v>Closed</v>
      </c>
      <c r="AM243" s="367" t="str">
        <f>IFERROR(__xludf.DUMMYFUNCTION("""COMPUTED_VALUE"""),"Closed")</f>
        <v>Closed</v>
      </c>
      <c r="AN243" s="364" t="str">
        <f>IFERROR(__xludf.DUMMYFUNCTION("""COMPUTED_VALUE"""),"Closed")</f>
        <v>Closed</v>
      </c>
      <c r="AO243" s="365" t="str">
        <f>IFERROR(__xludf.DUMMYFUNCTION("""COMPUTED_VALUE"""),"Closed")</f>
        <v>Closed</v>
      </c>
      <c r="AP243" s="351" t="str">
        <f>IFERROR(__xludf.DUMMYFUNCTION("""COMPUTED_VALUE"""),"Closed")</f>
        <v>Closed</v>
      </c>
      <c r="AQ243" s="364" t="str">
        <f>IFERROR(__xludf.DUMMYFUNCTION("""COMPUTED_VALUE"""),"Closed")</f>
        <v>Closed</v>
      </c>
      <c r="AR243" s="365" t="str">
        <f>IFERROR(__xludf.DUMMYFUNCTION("""COMPUTED_VALUE"""),"Closed")</f>
        <v>Closed</v>
      </c>
      <c r="AS243" s="351" t="str">
        <f>IFERROR(__xludf.DUMMYFUNCTION("""COMPUTED_VALUE"""),"Closed")</f>
        <v>Closed</v>
      </c>
      <c r="AT243" s="364" t="str">
        <f>IFERROR(__xludf.DUMMYFUNCTION("""COMPUTED_VALUE"""),"Closed")</f>
        <v>Closed</v>
      </c>
      <c r="AU243" s="234" t="str">
        <f>IFERROR(__xludf.DUMMYFUNCTION("""COMPUTED_VALUE"""),"Closed")</f>
        <v>Closed</v>
      </c>
      <c r="AV243" s="351" t="str">
        <f>IFERROR(__xludf.DUMMYFUNCTION("""COMPUTED_VALUE"""),"Closed")</f>
        <v>Closed</v>
      </c>
      <c r="AW243" s="364" t="str">
        <f>IFERROR(__xludf.DUMMYFUNCTION("""COMPUTED_VALUE"""),"Closed")</f>
        <v>Closed</v>
      </c>
      <c r="AX243" s="365" t="str">
        <f>IFERROR(__xludf.DUMMYFUNCTION("""COMPUTED_VALUE"""),"Closed")</f>
        <v>Closed</v>
      </c>
      <c r="AY243" s="351" t="str">
        <f>IFERROR(__xludf.DUMMYFUNCTION("""COMPUTED_VALUE"""),"Closed")</f>
        <v>Closed</v>
      </c>
      <c r="AZ243" s="364" t="str">
        <f>IFERROR(__xludf.DUMMYFUNCTION("""COMPUTED_VALUE"""),"Closed")</f>
        <v>Closed</v>
      </c>
      <c r="BA243" s="365" t="str">
        <f>IFERROR(__xludf.DUMMYFUNCTION("""COMPUTED_VALUE"""),"Closed")</f>
        <v>Closed</v>
      </c>
      <c r="BB243" s="351" t="str">
        <f>IFERROR(__xludf.DUMMYFUNCTION("""COMPUTED_VALUE"""),"Closed")</f>
        <v>Closed</v>
      </c>
      <c r="BC243" s="364" t="str">
        <f>IFERROR(__xludf.DUMMYFUNCTION("""COMPUTED_VALUE"""),"Closed")</f>
        <v>Closed</v>
      </c>
      <c r="BD243" s="365" t="str">
        <f>IFERROR(__xludf.DUMMYFUNCTION("""COMPUTED_VALUE"""),"Closed")</f>
        <v>Closed</v>
      </c>
      <c r="BE243" s="351" t="str">
        <f>IFERROR(__xludf.DUMMYFUNCTION("""COMPUTED_VALUE"""),"Closed")</f>
        <v>Closed</v>
      </c>
      <c r="BF243" s="364" t="str">
        <f>IFERROR(__xludf.DUMMYFUNCTION("""COMPUTED_VALUE"""),"Closed")</f>
        <v>Closed</v>
      </c>
      <c r="BG243" s="234" t="str">
        <f>IFERROR(__xludf.DUMMYFUNCTION("""COMPUTED_VALUE"""),"Closed")</f>
        <v>Closed</v>
      </c>
      <c r="BH243" s="351" t="str">
        <f>IFERROR(__xludf.DUMMYFUNCTION("""COMPUTED_VALUE"""),"Closed")</f>
        <v>Closed</v>
      </c>
      <c r="BI243" s="364" t="str">
        <f>IFERROR(__xludf.DUMMYFUNCTION("""COMPUTED_VALUE"""),"Closed")</f>
        <v>Closed</v>
      </c>
      <c r="BJ243" s="365" t="str">
        <f>IFERROR(__xludf.DUMMYFUNCTION("""COMPUTED_VALUE"""),"Closed")</f>
        <v>Closed</v>
      </c>
      <c r="BK243" s="351" t="str">
        <f>IFERROR(__xludf.DUMMYFUNCTION("""COMPUTED_VALUE"""),"Closed")</f>
        <v>Closed</v>
      </c>
      <c r="BL243" s="364" t="str">
        <f>IFERROR(__xludf.DUMMYFUNCTION("""COMPUTED_VALUE"""),"Closed")</f>
        <v>Closed</v>
      </c>
      <c r="BM243" s="365" t="str">
        <f>IFERROR(__xludf.DUMMYFUNCTION("""COMPUTED_VALUE"""),"Closed")</f>
        <v>Closed</v>
      </c>
      <c r="BN243" s="351" t="str">
        <f>IFERROR(__xludf.DUMMYFUNCTION("""COMPUTED_VALUE"""),"Closed")</f>
        <v>Closed</v>
      </c>
      <c r="BO243" s="364" t="str">
        <f>IFERROR(__xludf.DUMMYFUNCTION("""COMPUTED_VALUE"""),"Closed")</f>
        <v>Closed</v>
      </c>
      <c r="BP243" s="365" t="str">
        <f>IFERROR(__xludf.DUMMYFUNCTION("""COMPUTED_VALUE"""),"Closed")</f>
        <v>Closed</v>
      </c>
      <c r="BQ243" s="351" t="str">
        <f>IFERROR(__xludf.DUMMYFUNCTION("""COMPUTED_VALUE"""),"Closed")</f>
        <v>Closed</v>
      </c>
      <c r="BR243" s="364" t="str">
        <f>IFERROR(__xludf.DUMMYFUNCTION("""COMPUTED_VALUE"""),"Closed")</f>
        <v>Closed</v>
      </c>
      <c r="BS243" s="234" t="str">
        <f>IFERROR(__xludf.DUMMYFUNCTION("""COMPUTED_VALUE"""),"Closed")</f>
        <v>Closed</v>
      </c>
      <c r="BT243" s="351" t="str">
        <f>IFERROR(__xludf.DUMMYFUNCTION("""COMPUTED_VALUE"""),"Closed")</f>
        <v>Closed</v>
      </c>
      <c r="BU243" s="364" t="str">
        <f>IFERROR(__xludf.DUMMYFUNCTION("""COMPUTED_VALUE"""),"Closed")</f>
        <v>Closed</v>
      </c>
      <c r="BV243" s="365" t="str">
        <f>IFERROR(__xludf.DUMMYFUNCTION("""COMPUTED_VALUE"""),"Closed")</f>
        <v>Closed</v>
      </c>
      <c r="BW243" s="351" t="str">
        <f>IFERROR(__xludf.DUMMYFUNCTION("""COMPUTED_VALUE"""),"Closed")</f>
        <v>Closed</v>
      </c>
      <c r="BX243" s="364" t="str">
        <f>IFERROR(__xludf.DUMMYFUNCTION("""COMPUTED_VALUE"""),"Closed")</f>
        <v>Closed</v>
      </c>
      <c r="BY243" s="365" t="str">
        <f>IFERROR(__xludf.DUMMYFUNCTION("""COMPUTED_VALUE"""),"Closed")</f>
        <v>Closed</v>
      </c>
      <c r="BZ243" s="351" t="str">
        <f>IFERROR(__xludf.DUMMYFUNCTION("""COMPUTED_VALUE"""),"Closed")</f>
        <v>Closed</v>
      </c>
      <c r="CA243" s="364" t="str">
        <f>IFERROR(__xludf.DUMMYFUNCTION("""COMPUTED_VALUE"""),"Closed")</f>
        <v>Closed</v>
      </c>
      <c r="CB243" s="365" t="str">
        <f>IFERROR(__xludf.DUMMYFUNCTION("""COMPUTED_VALUE"""),"Closed")</f>
        <v>Closed</v>
      </c>
      <c r="CC243" s="351" t="str">
        <f>IFERROR(__xludf.DUMMYFUNCTION("""COMPUTED_VALUE"""),"Closed")</f>
        <v>Closed</v>
      </c>
      <c r="CD243" s="364" t="str">
        <f>IFERROR(__xludf.DUMMYFUNCTION("""COMPUTED_VALUE"""),"Closed")</f>
        <v>Closed</v>
      </c>
      <c r="CE243" s="365" t="str">
        <f>IFERROR(__xludf.DUMMYFUNCTION("""COMPUTED_VALUE"""),"Closed")</f>
        <v>Closed</v>
      </c>
      <c r="CF243" s="351" t="str">
        <f>IFERROR(__xludf.DUMMYFUNCTION("""COMPUTED_VALUE"""),"Closed")</f>
        <v>Closed</v>
      </c>
      <c r="CG243" s="364" t="str">
        <f>IFERROR(__xludf.DUMMYFUNCTION("""COMPUTED_VALUE"""),"Closed")</f>
        <v>Closed</v>
      </c>
      <c r="CH243" s="365" t="str">
        <f>IFERROR(__xludf.DUMMYFUNCTION("""COMPUTED_VALUE"""),"Closed")</f>
        <v>Closed</v>
      </c>
      <c r="CI243" s="351" t="str">
        <f>IFERROR(__xludf.DUMMYFUNCTION("""COMPUTED_VALUE"""),"Closed")</f>
        <v>Closed</v>
      </c>
      <c r="CJ243" s="351" t="str">
        <f>IFERROR(__xludf.DUMMYFUNCTION("""COMPUTED_VALUE"""),"Closed")</f>
        <v>Closed</v>
      </c>
      <c r="CK243" s="365" t="str">
        <f>IFERROR(__xludf.DUMMYFUNCTION("""COMPUTED_VALUE"""),"Closed")</f>
        <v>Closed</v>
      </c>
      <c r="CL243" s="351" t="str">
        <f>IFERROR(__xludf.DUMMYFUNCTION("""COMPUTED_VALUE"""),"Closed")</f>
        <v>Closed</v>
      </c>
      <c r="CM243" s="364" t="str">
        <f>IFERROR(__xludf.DUMMYFUNCTION("""COMPUTED_VALUE"""),"Closed")</f>
        <v>Closed</v>
      </c>
      <c r="CN243" s="351" t="str">
        <f>IFERROR(__xludf.DUMMYFUNCTION("""COMPUTED_VALUE"""),"Closed")</f>
        <v>Closed</v>
      </c>
      <c r="CO243" s="351" t="str">
        <f>IFERROR(__xludf.DUMMYFUNCTION("""COMPUTED_VALUE"""),"Closed")</f>
        <v>Closed</v>
      </c>
      <c r="CP243" s="351" t="str">
        <f>IFERROR(__xludf.DUMMYFUNCTION("""COMPUTED_VALUE"""),"Closed")</f>
        <v>Closed</v>
      </c>
      <c r="CQ243" s="365" t="str">
        <f>IFERROR(__xludf.DUMMYFUNCTION("""COMPUTED_VALUE"""),"Closed")</f>
        <v>Closed</v>
      </c>
      <c r="CR243" s="351" t="str">
        <f>IFERROR(__xludf.DUMMYFUNCTION("""COMPUTED_VALUE"""),"Closed")</f>
        <v>Closed</v>
      </c>
      <c r="CS243" s="351" t="str">
        <f>IFERROR(__xludf.DUMMYFUNCTION("""COMPUTED_VALUE"""),"Closed")</f>
        <v>Closed</v>
      </c>
      <c r="CT243" s="365" t="str">
        <f>IFERROR(__xludf.DUMMYFUNCTION("""COMPUTED_VALUE"""),"Closed")</f>
        <v>Closed</v>
      </c>
      <c r="CU243" s="351" t="str">
        <f>IFERROR(__xludf.DUMMYFUNCTION("""COMPUTED_VALUE"""),"Closed")</f>
        <v>Closed</v>
      </c>
      <c r="CV243" s="351" t="str">
        <f>IFERROR(__xludf.DUMMYFUNCTION("""COMPUTED_VALUE"""),"Closed")</f>
        <v>Closed</v>
      </c>
      <c r="CW243" s="365" t="str">
        <f>IFERROR(__xludf.DUMMYFUNCTION("""COMPUTED_VALUE"""),"Closed")</f>
        <v>Closed</v>
      </c>
      <c r="CX243" s="351" t="str">
        <f>IFERROR(__xludf.DUMMYFUNCTION("""COMPUTED_VALUE"""),"Closed")</f>
        <v>Closed</v>
      </c>
      <c r="CY243" s="364" t="str">
        <f>IFERROR(__xludf.DUMMYFUNCTION("""COMPUTED_VALUE"""),"Closed")</f>
        <v>Closed</v>
      </c>
      <c r="CZ243" s="351" t="str">
        <f>IFERROR(__xludf.DUMMYFUNCTION("""COMPUTED_VALUE"""),"Closed")</f>
        <v>Closed</v>
      </c>
      <c r="DA243" s="351" t="str">
        <f>IFERROR(__xludf.DUMMYFUNCTION("""COMPUTED_VALUE"""),"Closed")</f>
        <v>Closed</v>
      </c>
      <c r="DB243" s="364" t="str">
        <f>IFERROR(__xludf.DUMMYFUNCTION("""COMPUTED_VALUE"""),"Closed")</f>
        <v>Closed</v>
      </c>
      <c r="DC243" s="365" t="str">
        <f>IFERROR(__xludf.DUMMYFUNCTION("""COMPUTED_VALUE"""),"Closed")</f>
        <v>Closed</v>
      </c>
      <c r="DD243" s="351" t="str">
        <f>IFERROR(__xludf.DUMMYFUNCTION("""COMPUTED_VALUE"""),"Closed")</f>
        <v>Closed</v>
      </c>
      <c r="DE243" s="364" t="str">
        <f>IFERROR(__xludf.DUMMYFUNCTION("""COMPUTED_VALUE"""),"Closed")</f>
        <v>Closed</v>
      </c>
      <c r="DF243" s="365" t="str">
        <f>IFERROR(__xludf.DUMMYFUNCTION("""COMPUTED_VALUE"""),"Closed")</f>
        <v>Closed</v>
      </c>
      <c r="DG243" s="351" t="str">
        <f>IFERROR(__xludf.DUMMYFUNCTION("""COMPUTED_VALUE"""),"Closed")</f>
        <v>Closed</v>
      </c>
      <c r="DH243" s="364" t="str">
        <f>IFERROR(__xludf.DUMMYFUNCTION("""COMPUTED_VALUE"""),"Closed")</f>
        <v>Closed</v>
      </c>
      <c r="DI243" s="365" t="str">
        <f>IFERROR(__xludf.DUMMYFUNCTION("""COMPUTED_VALUE"""),"Closed")</f>
        <v>Closed</v>
      </c>
      <c r="DJ243" s="351" t="str">
        <f>IFERROR(__xludf.DUMMYFUNCTION("""COMPUTED_VALUE"""),"Closed")</f>
        <v>Closed</v>
      </c>
      <c r="DK243" s="364" t="str">
        <f>IFERROR(__xludf.DUMMYFUNCTION("""COMPUTED_VALUE"""),"Closed")</f>
        <v>Closed</v>
      </c>
      <c r="DL243" s="351" t="str">
        <f>IFERROR(__xludf.DUMMYFUNCTION("""COMPUTED_VALUE"""),"Closed")</f>
        <v>Closed</v>
      </c>
      <c r="DM243" s="351" t="str">
        <f>IFERROR(__xludf.DUMMYFUNCTION("""COMPUTED_VALUE"""),"Closed")</f>
        <v>Closed</v>
      </c>
      <c r="DN243" s="351" t="str">
        <f>IFERROR(__xludf.DUMMYFUNCTION("""COMPUTED_VALUE"""),"Closed")</f>
        <v>Closed</v>
      </c>
      <c r="DO243" s="256" t="str">
        <f>IFERROR(__xludf.DUMMYFUNCTION("""COMPUTED_VALUE"""),"Closed")</f>
        <v>Closed</v>
      </c>
      <c r="DP243" s="256" t="str">
        <f>IFERROR(__xludf.DUMMYFUNCTION("""COMPUTED_VALUE"""),"Closed")</f>
        <v>Closed</v>
      </c>
      <c r="DQ243" s="256" t="str">
        <f>IFERROR(__xludf.DUMMYFUNCTION("""COMPUTED_VALUE"""),"Closed")</f>
        <v>Closed</v>
      </c>
      <c r="DR243" s="256" t="str">
        <f>IFERROR(__xludf.DUMMYFUNCTION("""COMPUTED_VALUE"""),"Closed")</f>
        <v>Closed</v>
      </c>
      <c r="DS243" s="256" t="str">
        <f>IFERROR(__xludf.DUMMYFUNCTION("""COMPUTED_VALUE"""),"Closed")</f>
        <v>Closed</v>
      </c>
      <c r="DT243" s="256" t="str">
        <f>IFERROR(__xludf.DUMMYFUNCTION("""COMPUTED_VALUE"""),"Closed")</f>
        <v>Closed</v>
      </c>
    </row>
    <row r="244" hidden="1">
      <c r="B244" s="180" t="str">
        <f>IFERROR(__xludf.DUMMYFUNCTION("""COMPUTED_VALUE"""),"OLP8")</f>
        <v>OLP8</v>
      </c>
      <c r="C244" s="88" t="str">
        <f>IFERROR(__xludf.DUMMYFUNCTION("""COMPUTED_VALUE"""),"Aerial Garden")</f>
        <v>Aerial Garden</v>
      </c>
      <c r="D244" s="102">
        <f>IFERROR(__xludf.DUMMYFUNCTION("""COMPUTED_VALUE"""),21.0)</f>
        <v>21</v>
      </c>
      <c r="E244" s="82" t="b">
        <f>IFERROR(__xludf.DUMMYFUNCTION("""COMPUTED_VALUE"""),FALSE)</f>
        <v>0</v>
      </c>
      <c r="F244" s="82" t="str">
        <f>IFERROR(__xludf.DUMMYFUNCTION("""COMPUTED_VALUE"""),"Free Quests- Part 2!A823:J831")</f>
        <v>Free Quests- Part 2!A823:J831</v>
      </c>
      <c r="G244" s="82">
        <f>IFERROR(__xludf.DUMMYFUNCTION("""COMPUTED_VALUE"""),245.0)</f>
        <v>245</v>
      </c>
      <c r="H244" s="82" t="str">
        <f>IFERROR(__xludf.DUMMYFUNCTION("""COMPUTED_VALUE"""),"Closed")</f>
        <v>Closed</v>
      </c>
      <c r="I244" s="82">
        <f>IFERROR(__xludf.DUMMYFUNCTION("""COMPUTED_VALUE"""),39476.0)</f>
        <v>39476</v>
      </c>
      <c r="J244" s="82" t="str">
        <f>IFERROR(__xludf.DUMMYFUNCTION("""COMPUTED_VALUE"""),"Closed")</f>
        <v>Closed</v>
      </c>
      <c r="K244" s="234" t="str">
        <f>IFERROR(__xludf.DUMMYFUNCTION("""COMPUTED_VALUE"""),"Closed")</f>
        <v>Closed</v>
      </c>
      <c r="L244" s="351" t="str">
        <f>IFERROR(__xludf.DUMMYFUNCTION("""COMPUTED_VALUE"""),"Closed")</f>
        <v>Closed</v>
      </c>
      <c r="M244" s="364" t="str">
        <f>IFERROR(__xludf.DUMMYFUNCTION("""COMPUTED_VALUE"""),"Closed")</f>
        <v>Closed</v>
      </c>
      <c r="N244" s="365" t="str">
        <f>IFERROR(__xludf.DUMMYFUNCTION("""COMPUTED_VALUE"""),"Closed")</f>
        <v>Closed</v>
      </c>
      <c r="O244" s="351" t="str">
        <f>IFERROR(__xludf.DUMMYFUNCTION("""COMPUTED_VALUE"""),"Closed")</f>
        <v>Closed</v>
      </c>
      <c r="P244" s="364" t="str">
        <f>IFERROR(__xludf.DUMMYFUNCTION("""COMPUTED_VALUE"""),"Closed")</f>
        <v>Closed</v>
      </c>
      <c r="Q244" s="365" t="str">
        <f>IFERROR(__xludf.DUMMYFUNCTION("""COMPUTED_VALUE"""),"Closed")</f>
        <v>Closed</v>
      </c>
      <c r="R244" s="351" t="str">
        <f>IFERROR(__xludf.DUMMYFUNCTION("""COMPUTED_VALUE"""),"Closed")</f>
        <v>Closed</v>
      </c>
      <c r="S244" s="364" t="str">
        <f>IFERROR(__xludf.DUMMYFUNCTION("""COMPUTED_VALUE"""),"Closed")</f>
        <v>Closed</v>
      </c>
      <c r="T244" s="365" t="str">
        <f>IFERROR(__xludf.DUMMYFUNCTION("""COMPUTED_VALUE"""),"Closed")</f>
        <v>Closed</v>
      </c>
      <c r="U244" s="351" t="str">
        <f>IFERROR(__xludf.DUMMYFUNCTION("""COMPUTED_VALUE"""),"Closed")</f>
        <v>Closed</v>
      </c>
      <c r="V244" s="364" t="str">
        <f>IFERROR(__xludf.DUMMYFUNCTION("""COMPUTED_VALUE"""),"Closed")</f>
        <v>Closed</v>
      </c>
      <c r="W244" s="234" t="str">
        <f>IFERROR(__xludf.DUMMYFUNCTION("""COMPUTED_VALUE"""),"Closed")</f>
        <v>Closed</v>
      </c>
      <c r="X244" s="351" t="str">
        <f>IFERROR(__xludf.DUMMYFUNCTION("""COMPUTED_VALUE"""),"Closed")</f>
        <v>Closed</v>
      </c>
      <c r="Y244" s="364" t="str">
        <f>IFERROR(__xludf.DUMMYFUNCTION("""COMPUTED_VALUE"""),"Closed")</f>
        <v>Closed</v>
      </c>
      <c r="Z244" s="365" t="str">
        <f>IFERROR(__xludf.DUMMYFUNCTION("""COMPUTED_VALUE"""),"Closed")</f>
        <v>Closed</v>
      </c>
      <c r="AA244" s="351" t="str">
        <f>IFERROR(__xludf.DUMMYFUNCTION("""COMPUTED_VALUE"""),"Closed")</f>
        <v>Closed</v>
      </c>
      <c r="AB244" s="364" t="str">
        <f>IFERROR(__xludf.DUMMYFUNCTION("""COMPUTED_VALUE"""),"Closed")</f>
        <v>Closed</v>
      </c>
      <c r="AC244" s="365" t="str">
        <f>IFERROR(__xludf.DUMMYFUNCTION("""COMPUTED_VALUE"""),"Closed")</f>
        <v>Closed</v>
      </c>
      <c r="AD244" s="351" t="str">
        <f>IFERROR(__xludf.DUMMYFUNCTION("""COMPUTED_VALUE"""),"Closed")</f>
        <v>Closed</v>
      </c>
      <c r="AE244" s="364" t="str">
        <f>IFERROR(__xludf.DUMMYFUNCTION("""COMPUTED_VALUE"""),"Closed")</f>
        <v>Closed</v>
      </c>
      <c r="AF244" s="365" t="str">
        <f>IFERROR(__xludf.DUMMYFUNCTION("""COMPUTED_VALUE"""),"Closed")</f>
        <v>Closed</v>
      </c>
      <c r="AG244" s="351" t="str">
        <f>IFERROR(__xludf.DUMMYFUNCTION("""COMPUTED_VALUE"""),"Closed")</f>
        <v>Closed</v>
      </c>
      <c r="AH244" s="364" t="str">
        <f>IFERROR(__xludf.DUMMYFUNCTION("""COMPUTED_VALUE"""),"Closed")</f>
        <v>Closed</v>
      </c>
      <c r="AI244" s="234" t="str">
        <f>IFERROR(__xludf.DUMMYFUNCTION("""COMPUTED_VALUE"""),"Closed")</f>
        <v>Closed</v>
      </c>
      <c r="AJ244" s="351" t="str">
        <f>IFERROR(__xludf.DUMMYFUNCTION("""COMPUTED_VALUE"""),"Closed")</f>
        <v>Closed</v>
      </c>
      <c r="AK244" s="364" t="str">
        <f>IFERROR(__xludf.DUMMYFUNCTION("""COMPUTED_VALUE"""),"Closed")</f>
        <v>Closed</v>
      </c>
      <c r="AL244" s="366" t="str">
        <f>IFERROR(__xludf.DUMMYFUNCTION("""COMPUTED_VALUE"""),"Closed")</f>
        <v>Closed</v>
      </c>
      <c r="AM244" s="367" t="str">
        <f>IFERROR(__xludf.DUMMYFUNCTION("""COMPUTED_VALUE"""),"Closed")</f>
        <v>Closed</v>
      </c>
      <c r="AN244" s="364" t="str">
        <f>IFERROR(__xludf.DUMMYFUNCTION("""COMPUTED_VALUE"""),"Closed")</f>
        <v>Closed</v>
      </c>
      <c r="AO244" s="365" t="str">
        <f>IFERROR(__xludf.DUMMYFUNCTION("""COMPUTED_VALUE"""),"Closed")</f>
        <v>Closed</v>
      </c>
      <c r="AP244" s="351" t="str">
        <f>IFERROR(__xludf.DUMMYFUNCTION("""COMPUTED_VALUE"""),"Closed")</f>
        <v>Closed</v>
      </c>
      <c r="AQ244" s="364" t="str">
        <f>IFERROR(__xludf.DUMMYFUNCTION("""COMPUTED_VALUE"""),"Closed")</f>
        <v>Closed</v>
      </c>
      <c r="AR244" s="365" t="str">
        <f>IFERROR(__xludf.DUMMYFUNCTION("""COMPUTED_VALUE"""),"Closed")</f>
        <v>Closed</v>
      </c>
      <c r="AS244" s="351" t="str">
        <f>IFERROR(__xludf.DUMMYFUNCTION("""COMPUTED_VALUE"""),"Closed")</f>
        <v>Closed</v>
      </c>
      <c r="AT244" s="364" t="str">
        <f>IFERROR(__xludf.DUMMYFUNCTION("""COMPUTED_VALUE"""),"Closed")</f>
        <v>Closed</v>
      </c>
      <c r="AU244" s="234" t="str">
        <f>IFERROR(__xludf.DUMMYFUNCTION("""COMPUTED_VALUE"""),"Closed")</f>
        <v>Closed</v>
      </c>
      <c r="AV244" s="351" t="str">
        <f>IFERROR(__xludf.DUMMYFUNCTION("""COMPUTED_VALUE"""),"Closed")</f>
        <v>Closed</v>
      </c>
      <c r="AW244" s="364" t="str">
        <f>IFERROR(__xludf.DUMMYFUNCTION("""COMPUTED_VALUE"""),"Closed")</f>
        <v>Closed</v>
      </c>
      <c r="AX244" s="365" t="str">
        <f>IFERROR(__xludf.DUMMYFUNCTION("""COMPUTED_VALUE"""),"Closed")</f>
        <v>Closed</v>
      </c>
      <c r="AY244" s="351" t="str">
        <f>IFERROR(__xludf.DUMMYFUNCTION("""COMPUTED_VALUE"""),"Closed")</f>
        <v>Closed</v>
      </c>
      <c r="AZ244" s="364" t="str">
        <f>IFERROR(__xludf.DUMMYFUNCTION("""COMPUTED_VALUE"""),"Closed")</f>
        <v>Closed</v>
      </c>
      <c r="BA244" s="365" t="str">
        <f>IFERROR(__xludf.DUMMYFUNCTION("""COMPUTED_VALUE"""),"Closed")</f>
        <v>Closed</v>
      </c>
      <c r="BB244" s="351" t="str">
        <f>IFERROR(__xludf.DUMMYFUNCTION("""COMPUTED_VALUE"""),"Closed")</f>
        <v>Closed</v>
      </c>
      <c r="BC244" s="364" t="str">
        <f>IFERROR(__xludf.DUMMYFUNCTION("""COMPUTED_VALUE"""),"Closed")</f>
        <v>Closed</v>
      </c>
      <c r="BD244" s="365" t="str">
        <f>IFERROR(__xludf.DUMMYFUNCTION("""COMPUTED_VALUE"""),"Closed")</f>
        <v>Closed</v>
      </c>
      <c r="BE244" s="351" t="str">
        <f>IFERROR(__xludf.DUMMYFUNCTION("""COMPUTED_VALUE"""),"Closed")</f>
        <v>Closed</v>
      </c>
      <c r="BF244" s="364" t="str">
        <f>IFERROR(__xludf.DUMMYFUNCTION("""COMPUTED_VALUE"""),"Closed")</f>
        <v>Closed</v>
      </c>
      <c r="BG244" s="234" t="str">
        <f>IFERROR(__xludf.DUMMYFUNCTION("""COMPUTED_VALUE"""),"Closed")</f>
        <v>Closed</v>
      </c>
      <c r="BH244" s="351" t="str">
        <f>IFERROR(__xludf.DUMMYFUNCTION("""COMPUTED_VALUE"""),"Closed")</f>
        <v>Closed</v>
      </c>
      <c r="BI244" s="364" t="str">
        <f>IFERROR(__xludf.DUMMYFUNCTION("""COMPUTED_VALUE"""),"Closed")</f>
        <v>Closed</v>
      </c>
      <c r="BJ244" s="365" t="str">
        <f>IFERROR(__xludf.DUMMYFUNCTION("""COMPUTED_VALUE"""),"Closed")</f>
        <v>Closed</v>
      </c>
      <c r="BK244" s="351" t="str">
        <f>IFERROR(__xludf.DUMMYFUNCTION("""COMPUTED_VALUE"""),"Closed")</f>
        <v>Closed</v>
      </c>
      <c r="BL244" s="364" t="str">
        <f>IFERROR(__xludf.DUMMYFUNCTION("""COMPUTED_VALUE"""),"Closed")</f>
        <v>Closed</v>
      </c>
      <c r="BM244" s="365" t="str">
        <f>IFERROR(__xludf.DUMMYFUNCTION("""COMPUTED_VALUE"""),"Closed")</f>
        <v>Closed</v>
      </c>
      <c r="BN244" s="351" t="str">
        <f>IFERROR(__xludf.DUMMYFUNCTION("""COMPUTED_VALUE"""),"Closed")</f>
        <v>Closed</v>
      </c>
      <c r="BO244" s="364" t="str">
        <f>IFERROR(__xludf.DUMMYFUNCTION("""COMPUTED_VALUE"""),"Closed")</f>
        <v>Closed</v>
      </c>
      <c r="BP244" s="365" t="str">
        <f>IFERROR(__xludf.DUMMYFUNCTION("""COMPUTED_VALUE"""),"Closed")</f>
        <v>Closed</v>
      </c>
      <c r="BQ244" s="351" t="str">
        <f>IFERROR(__xludf.DUMMYFUNCTION("""COMPUTED_VALUE"""),"Closed")</f>
        <v>Closed</v>
      </c>
      <c r="BR244" s="364" t="str">
        <f>IFERROR(__xludf.DUMMYFUNCTION("""COMPUTED_VALUE"""),"Closed")</f>
        <v>Closed</v>
      </c>
      <c r="BS244" s="234" t="str">
        <f>IFERROR(__xludf.DUMMYFUNCTION("""COMPUTED_VALUE"""),"Closed")</f>
        <v>Closed</v>
      </c>
      <c r="BT244" s="351" t="str">
        <f>IFERROR(__xludf.DUMMYFUNCTION("""COMPUTED_VALUE"""),"Closed")</f>
        <v>Closed</v>
      </c>
      <c r="BU244" s="364" t="str">
        <f>IFERROR(__xludf.DUMMYFUNCTION("""COMPUTED_VALUE"""),"Closed")</f>
        <v>Closed</v>
      </c>
      <c r="BV244" s="365" t="str">
        <f>IFERROR(__xludf.DUMMYFUNCTION("""COMPUTED_VALUE"""),"Closed")</f>
        <v>Closed</v>
      </c>
      <c r="BW244" s="351" t="str">
        <f>IFERROR(__xludf.DUMMYFUNCTION("""COMPUTED_VALUE"""),"Closed")</f>
        <v>Closed</v>
      </c>
      <c r="BX244" s="364" t="str">
        <f>IFERROR(__xludf.DUMMYFUNCTION("""COMPUTED_VALUE"""),"Closed")</f>
        <v>Closed</v>
      </c>
      <c r="BY244" s="365" t="str">
        <f>IFERROR(__xludf.DUMMYFUNCTION("""COMPUTED_VALUE"""),"Closed")</f>
        <v>Closed</v>
      </c>
      <c r="BZ244" s="351" t="str">
        <f>IFERROR(__xludf.DUMMYFUNCTION("""COMPUTED_VALUE"""),"Closed")</f>
        <v>Closed</v>
      </c>
      <c r="CA244" s="364" t="str">
        <f>IFERROR(__xludf.DUMMYFUNCTION("""COMPUTED_VALUE"""),"Closed")</f>
        <v>Closed</v>
      </c>
      <c r="CB244" s="365" t="str">
        <f>IFERROR(__xludf.DUMMYFUNCTION("""COMPUTED_VALUE"""),"Closed")</f>
        <v>Closed</v>
      </c>
      <c r="CC244" s="351" t="str">
        <f>IFERROR(__xludf.DUMMYFUNCTION("""COMPUTED_VALUE"""),"Closed")</f>
        <v>Closed</v>
      </c>
      <c r="CD244" s="364" t="str">
        <f>IFERROR(__xludf.DUMMYFUNCTION("""COMPUTED_VALUE"""),"Closed")</f>
        <v>Closed</v>
      </c>
      <c r="CE244" s="365" t="str">
        <f>IFERROR(__xludf.DUMMYFUNCTION("""COMPUTED_VALUE"""),"Closed")</f>
        <v>Closed</v>
      </c>
      <c r="CF244" s="351" t="str">
        <f>IFERROR(__xludf.DUMMYFUNCTION("""COMPUTED_VALUE"""),"Closed")</f>
        <v>Closed</v>
      </c>
      <c r="CG244" s="364" t="str">
        <f>IFERROR(__xludf.DUMMYFUNCTION("""COMPUTED_VALUE"""),"Closed")</f>
        <v>Closed</v>
      </c>
      <c r="CH244" s="365" t="str">
        <f>IFERROR(__xludf.DUMMYFUNCTION("""COMPUTED_VALUE"""),"Closed")</f>
        <v>Closed</v>
      </c>
      <c r="CI244" s="351" t="str">
        <f>IFERROR(__xludf.DUMMYFUNCTION("""COMPUTED_VALUE"""),"Closed")</f>
        <v>Closed</v>
      </c>
      <c r="CJ244" s="351" t="str">
        <f>IFERROR(__xludf.DUMMYFUNCTION("""COMPUTED_VALUE"""),"Closed")</f>
        <v>Closed</v>
      </c>
      <c r="CK244" s="365" t="str">
        <f>IFERROR(__xludf.DUMMYFUNCTION("""COMPUTED_VALUE"""),"Closed")</f>
        <v>Closed</v>
      </c>
      <c r="CL244" s="351" t="str">
        <f>IFERROR(__xludf.DUMMYFUNCTION("""COMPUTED_VALUE"""),"Closed")</f>
        <v>Closed</v>
      </c>
      <c r="CM244" s="364" t="str">
        <f>IFERROR(__xludf.DUMMYFUNCTION("""COMPUTED_VALUE"""),"Closed")</f>
        <v>Closed</v>
      </c>
      <c r="CN244" s="351" t="str">
        <f>IFERROR(__xludf.DUMMYFUNCTION("""COMPUTED_VALUE"""),"Closed")</f>
        <v>Closed</v>
      </c>
      <c r="CO244" s="351" t="str">
        <f>IFERROR(__xludf.DUMMYFUNCTION("""COMPUTED_VALUE"""),"Closed")</f>
        <v>Closed</v>
      </c>
      <c r="CP244" s="351" t="str">
        <f>IFERROR(__xludf.DUMMYFUNCTION("""COMPUTED_VALUE"""),"Closed")</f>
        <v>Closed</v>
      </c>
      <c r="CQ244" s="365" t="str">
        <f>IFERROR(__xludf.DUMMYFUNCTION("""COMPUTED_VALUE"""),"Closed")</f>
        <v>Closed</v>
      </c>
      <c r="CR244" s="351" t="str">
        <f>IFERROR(__xludf.DUMMYFUNCTION("""COMPUTED_VALUE"""),"Closed")</f>
        <v>Closed</v>
      </c>
      <c r="CS244" s="351" t="str">
        <f>IFERROR(__xludf.DUMMYFUNCTION("""COMPUTED_VALUE"""),"Closed")</f>
        <v>Closed</v>
      </c>
      <c r="CT244" s="365" t="str">
        <f>IFERROR(__xludf.DUMMYFUNCTION("""COMPUTED_VALUE"""),"Closed")</f>
        <v>Closed</v>
      </c>
      <c r="CU244" s="351" t="str">
        <f>IFERROR(__xludf.DUMMYFUNCTION("""COMPUTED_VALUE"""),"Closed")</f>
        <v>Closed</v>
      </c>
      <c r="CV244" s="351" t="str">
        <f>IFERROR(__xludf.DUMMYFUNCTION("""COMPUTED_VALUE"""),"Closed")</f>
        <v>Closed</v>
      </c>
      <c r="CW244" s="365" t="str">
        <f>IFERROR(__xludf.DUMMYFUNCTION("""COMPUTED_VALUE"""),"Closed")</f>
        <v>Closed</v>
      </c>
      <c r="CX244" s="351" t="str">
        <f>IFERROR(__xludf.DUMMYFUNCTION("""COMPUTED_VALUE"""),"Closed")</f>
        <v>Closed</v>
      </c>
      <c r="CY244" s="364" t="str">
        <f>IFERROR(__xludf.DUMMYFUNCTION("""COMPUTED_VALUE"""),"Closed")</f>
        <v>Closed</v>
      </c>
      <c r="CZ244" s="351" t="str">
        <f>IFERROR(__xludf.DUMMYFUNCTION("""COMPUTED_VALUE"""),"Closed")</f>
        <v>Closed</v>
      </c>
      <c r="DA244" s="351" t="str">
        <f>IFERROR(__xludf.DUMMYFUNCTION("""COMPUTED_VALUE"""),"Closed")</f>
        <v>Closed</v>
      </c>
      <c r="DB244" s="364" t="str">
        <f>IFERROR(__xludf.DUMMYFUNCTION("""COMPUTED_VALUE"""),"Closed")</f>
        <v>Closed</v>
      </c>
      <c r="DC244" s="365" t="str">
        <f>IFERROR(__xludf.DUMMYFUNCTION("""COMPUTED_VALUE"""),"Closed")</f>
        <v>Closed</v>
      </c>
      <c r="DD244" s="351" t="str">
        <f>IFERROR(__xludf.DUMMYFUNCTION("""COMPUTED_VALUE"""),"Closed")</f>
        <v>Closed</v>
      </c>
      <c r="DE244" s="364" t="str">
        <f>IFERROR(__xludf.DUMMYFUNCTION("""COMPUTED_VALUE"""),"Closed")</f>
        <v>Closed</v>
      </c>
      <c r="DF244" s="365" t="str">
        <f>IFERROR(__xludf.DUMMYFUNCTION("""COMPUTED_VALUE"""),"Closed")</f>
        <v>Closed</v>
      </c>
      <c r="DG244" s="351" t="str">
        <f>IFERROR(__xludf.DUMMYFUNCTION("""COMPUTED_VALUE"""),"Closed")</f>
        <v>Closed</v>
      </c>
      <c r="DH244" s="364" t="str">
        <f>IFERROR(__xludf.DUMMYFUNCTION("""COMPUTED_VALUE"""),"Closed")</f>
        <v>Closed</v>
      </c>
      <c r="DI244" s="365" t="str">
        <f>IFERROR(__xludf.DUMMYFUNCTION("""COMPUTED_VALUE"""),"Closed")</f>
        <v>Closed</v>
      </c>
      <c r="DJ244" s="351" t="str">
        <f>IFERROR(__xludf.DUMMYFUNCTION("""COMPUTED_VALUE"""),"Closed")</f>
        <v>Closed</v>
      </c>
      <c r="DK244" s="364" t="str">
        <f>IFERROR(__xludf.DUMMYFUNCTION("""COMPUTED_VALUE"""),"Closed")</f>
        <v>Closed</v>
      </c>
      <c r="DL244" s="351" t="str">
        <f>IFERROR(__xludf.DUMMYFUNCTION("""COMPUTED_VALUE"""),"Closed")</f>
        <v>Closed</v>
      </c>
      <c r="DM244" s="351" t="str">
        <f>IFERROR(__xludf.DUMMYFUNCTION("""COMPUTED_VALUE"""),"Closed")</f>
        <v>Closed</v>
      </c>
      <c r="DN244" s="351" t="str">
        <f>IFERROR(__xludf.DUMMYFUNCTION("""COMPUTED_VALUE"""),"Closed")</f>
        <v>Closed</v>
      </c>
      <c r="DO244" s="256" t="str">
        <f>IFERROR(__xludf.DUMMYFUNCTION("""COMPUTED_VALUE"""),"Closed")</f>
        <v>Closed</v>
      </c>
      <c r="DP244" s="256" t="str">
        <f>IFERROR(__xludf.DUMMYFUNCTION("""COMPUTED_VALUE"""),"Closed")</f>
        <v>Closed</v>
      </c>
      <c r="DQ244" s="256" t="str">
        <f>IFERROR(__xludf.DUMMYFUNCTION("""COMPUTED_VALUE"""),"Closed")</f>
        <v>Closed</v>
      </c>
      <c r="DR244" s="256" t="str">
        <f>IFERROR(__xludf.DUMMYFUNCTION("""COMPUTED_VALUE"""),"Closed")</f>
        <v>Closed</v>
      </c>
      <c r="DS244" s="256" t="str">
        <f>IFERROR(__xludf.DUMMYFUNCTION("""COMPUTED_VALUE"""),"Closed")</f>
        <v>Closed</v>
      </c>
      <c r="DT244" s="256" t="str">
        <f>IFERROR(__xludf.DUMMYFUNCTION("""COMPUTED_VALUE"""),"Closed")</f>
        <v>Closed</v>
      </c>
    </row>
    <row r="245" hidden="1">
      <c r="B245" s="180" t="str">
        <f>IFERROR(__xludf.DUMMYFUNCTION("""COMPUTED_VALUE"""),"OLP9")</f>
        <v>OLP9</v>
      </c>
      <c r="C245" s="88" t="str">
        <f>IFERROR(__xludf.DUMMYFUNCTION("""COMPUTED_VALUE"""),"Machine God's Cloister")</f>
        <v>Machine God's Cloister</v>
      </c>
      <c r="D245" s="102">
        <f>IFERROR(__xludf.DUMMYFUNCTION("""COMPUTED_VALUE"""),21.0)</f>
        <v>21</v>
      </c>
      <c r="E245" s="82" t="b">
        <f>IFERROR(__xludf.DUMMYFUNCTION("""COMPUTED_VALUE"""),FALSE)</f>
        <v>0</v>
      </c>
      <c r="F245" s="82" t="str">
        <f>IFERROR(__xludf.DUMMYFUNCTION("""COMPUTED_VALUE"""),"Free Quests- Part 2!A835:J843")</f>
        <v>Free Quests- Part 2!A835:J843</v>
      </c>
      <c r="G245" s="82">
        <f>IFERROR(__xludf.DUMMYFUNCTION("""COMPUTED_VALUE"""),246.0)</f>
        <v>246</v>
      </c>
      <c r="H245" s="82" t="str">
        <f>IFERROR(__xludf.DUMMYFUNCTION("""COMPUTED_VALUE"""),"Closed")</f>
        <v>Closed</v>
      </c>
      <c r="I245" s="82">
        <f>IFERROR(__xludf.DUMMYFUNCTION("""COMPUTED_VALUE"""),3310.0)</f>
        <v>3310</v>
      </c>
      <c r="J245" s="82" t="str">
        <f>IFERROR(__xludf.DUMMYFUNCTION("""COMPUTED_VALUE"""),"Closed")</f>
        <v>Closed</v>
      </c>
      <c r="K245" s="234" t="str">
        <f>IFERROR(__xludf.DUMMYFUNCTION("""COMPUTED_VALUE"""),"Closed")</f>
        <v>Closed</v>
      </c>
      <c r="L245" s="351" t="str">
        <f>IFERROR(__xludf.DUMMYFUNCTION("""COMPUTED_VALUE"""),"Closed")</f>
        <v>Closed</v>
      </c>
      <c r="M245" s="364" t="str">
        <f>IFERROR(__xludf.DUMMYFUNCTION("""COMPUTED_VALUE"""),"Closed")</f>
        <v>Closed</v>
      </c>
      <c r="N245" s="365" t="str">
        <f>IFERROR(__xludf.DUMMYFUNCTION("""COMPUTED_VALUE"""),"Closed")</f>
        <v>Closed</v>
      </c>
      <c r="O245" s="351" t="str">
        <f>IFERROR(__xludf.DUMMYFUNCTION("""COMPUTED_VALUE"""),"Closed")</f>
        <v>Closed</v>
      </c>
      <c r="P245" s="364" t="str">
        <f>IFERROR(__xludf.DUMMYFUNCTION("""COMPUTED_VALUE"""),"Closed")</f>
        <v>Closed</v>
      </c>
      <c r="Q245" s="365" t="str">
        <f>IFERROR(__xludf.DUMMYFUNCTION("""COMPUTED_VALUE"""),"Closed")</f>
        <v>Closed</v>
      </c>
      <c r="R245" s="351" t="str">
        <f>IFERROR(__xludf.DUMMYFUNCTION("""COMPUTED_VALUE"""),"Closed")</f>
        <v>Closed</v>
      </c>
      <c r="S245" s="364" t="str">
        <f>IFERROR(__xludf.DUMMYFUNCTION("""COMPUTED_VALUE"""),"Closed")</f>
        <v>Closed</v>
      </c>
      <c r="T245" s="365" t="str">
        <f>IFERROR(__xludf.DUMMYFUNCTION("""COMPUTED_VALUE"""),"Closed")</f>
        <v>Closed</v>
      </c>
      <c r="U245" s="351" t="str">
        <f>IFERROR(__xludf.DUMMYFUNCTION("""COMPUTED_VALUE"""),"Closed")</f>
        <v>Closed</v>
      </c>
      <c r="V245" s="364" t="str">
        <f>IFERROR(__xludf.DUMMYFUNCTION("""COMPUTED_VALUE"""),"Closed")</f>
        <v>Closed</v>
      </c>
      <c r="W245" s="234" t="str">
        <f>IFERROR(__xludf.DUMMYFUNCTION("""COMPUTED_VALUE"""),"Closed")</f>
        <v>Closed</v>
      </c>
      <c r="X245" s="351" t="str">
        <f>IFERROR(__xludf.DUMMYFUNCTION("""COMPUTED_VALUE"""),"Closed")</f>
        <v>Closed</v>
      </c>
      <c r="Y245" s="364" t="str">
        <f>IFERROR(__xludf.DUMMYFUNCTION("""COMPUTED_VALUE"""),"Closed")</f>
        <v>Closed</v>
      </c>
      <c r="Z245" s="365" t="str">
        <f>IFERROR(__xludf.DUMMYFUNCTION("""COMPUTED_VALUE"""),"Closed")</f>
        <v>Closed</v>
      </c>
      <c r="AA245" s="351" t="str">
        <f>IFERROR(__xludf.DUMMYFUNCTION("""COMPUTED_VALUE"""),"Closed")</f>
        <v>Closed</v>
      </c>
      <c r="AB245" s="364" t="str">
        <f>IFERROR(__xludf.DUMMYFUNCTION("""COMPUTED_VALUE"""),"Closed")</f>
        <v>Closed</v>
      </c>
      <c r="AC245" s="365" t="str">
        <f>IFERROR(__xludf.DUMMYFUNCTION("""COMPUTED_VALUE"""),"Closed")</f>
        <v>Closed</v>
      </c>
      <c r="AD245" s="351" t="str">
        <f>IFERROR(__xludf.DUMMYFUNCTION("""COMPUTED_VALUE"""),"Closed")</f>
        <v>Closed</v>
      </c>
      <c r="AE245" s="364" t="str">
        <f>IFERROR(__xludf.DUMMYFUNCTION("""COMPUTED_VALUE"""),"Closed")</f>
        <v>Closed</v>
      </c>
      <c r="AF245" s="365" t="str">
        <f>IFERROR(__xludf.DUMMYFUNCTION("""COMPUTED_VALUE"""),"Closed")</f>
        <v>Closed</v>
      </c>
      <c r="AG245" s="351" t="str">
        <f>IFERROR(__xludf.DUMMYFUNCTION("""COMPUTED_VALUE"""),"Closed")</f>
        <v>Closed</v>
      </c>
      <c r="AH245" s="364" t="str">
        <f>IFERROR(__xludf.DUMMYFUNCTION("""COMPUTED_VALUE"""),"Closed")</f>
        <v>Closed</v>
      </c>
      <c r="AI245" s="234" t="str">
        <f>IFERROR(__xludf.DUMMYFUNCTION("""COMPUTED_VALUE"""),"Closed")</f>
        <v>Closed</v>
      </c>
      <c r="AJ245" s="351" t="str">
        <f>IFERROR(__xludf.DUMMYFUNCTION("""COMPUTED_VALUE"""),"Closed")</f>
        <v>Closed</v>
      </c>
      <c r="AK245" s="364" t="str">
        <f>IFERROR(__xludf.DUMMYFUNCTION("""COMPUTED_VALUE"""),"Closed")</f>
        <v>Closed</v>
      </c>
      <c r="AL245" s="366" t="str">
        <f>IFERROR(__xludf.DUMMYFUNCTION("""COMPUTED_VALUE"""),"Closed")</f>
        <v>Closed</v>
      </c>
      <c r="AM245" s="367" t="str">
        <f>IFERROR(__xludf.DUMMYFUNCTION("""COMPUTED_VALUE"""),"Closed")</f>
        <v>Closed</v>
      </c>
      <c r="AN245" s="364" t="str">
        <f>IFERROR(__xludf.DUMMYFUNCTION("""COMPUTED_VALUE"""),"Closed")</f>
        <v>Closed</v>
      </c>
      <c r="AO245" s="365" t="str">
        <f>IFERROR(__xludf.DUMMYFUNCTION("""COMPUTED_VALUE"""),"Closed")</f>
        <v>Closed</v>
      </c>
      <c r="AP245" s="351" t="str">
        <f>IFERROR(__xludf.DUMMYFUNCTION("""COMPUTED_VALUE"""),"Closed")</f>
        <v>Closed</v>
      </c>
      <c r="AQ245" s="364" t="str">
        <f>IFERROR(__xludf.DUMMYFUNCTION("""COMPUTED_VALUE"""),"Closed")</f>
        <v>Closed</v>
      </c>
      <c r="AR245" s="365" t="str">
        <f>IFERROR(__xludf.DUMMYFUNCTION("""COMPUTED_VALUE"""),"Closed")</f>
        <v>Closed</v>
      </c>
      <c r="AS245" s="351" t="str">
        <f>IFERROR(__xludf.DUMMYFUNCTION("""COMPUTED_VALUE"""),"Closed")</f>
        <v>Closed</v>
      </c>
      <c r="AT245" s="364" t="str">
        <f>IFERROR(__xludf.DUMMYFUNCTION("""COMPUTED_VALUE"""),"Closed")</f>
        <v>Closed</v>
      </c>
      <c r="AU245" s="234" t="str">
        <f>IFERROR(__xludf.DUMMYFUNCTION("""COMPUTED_VALUE"""),"Closed")</f>
        <v>Closed</v>
      </c>
      <c r="AV245" s="351" t="str">
        <f>IFERROR(__xludf.DUMMYFUNCTION("""COMPUTED_VALUE"""),"Closed")</f>
        <v>Closed</v>
      </c>
      <c r="AW245" s="364" t="str">
        <f>IFERROR(__xludf.DUMMYFUNCTION("""COMPUTED_VALUE"""),"Closed")</f>
        <v>Closed</v>
      </c>
      <c r="AX245" s="365" t="str">
        <f>IFERROR(__xludf.DUMMYFUNCTION("""COMPUTED_VALUE"""),"Closed")</f>
        <v>Closed</v>
      </c>
      <c r="AY245" s="351" t="str">
        <f>IFERROR(__xludf.DUMMYFUNCTION("""COMPUTED_VALUE"""),"Closed")</f>
        <v>Closed</v>
      </c>
      <c r="AZ245" s="364" t="str">
        <f>IFERROR(__xludf.DUMMYFUNCTION("""COMPUTED_VALUE"""),"Closed")</f>
        <v>Closed</v>
      </c>
      <c r="BA245" s="365" t="str">
        <f>IFERROR(__xludf.DUMMYFUNCTION("""COMPUTED_VALUE"""),"Closed")</f>
        <v>Closed</v>
      </c>
      <c r="BB245" s="351" t="str">
        <f>IFERROR(__xludf.DUMMYFUNCTION("""COMPUTED_VALUE"""),"Closed")</f>
        <v>Closed</v>
      </c>
      <c r="BC245" s="364" t="str">
        <f>IFERROR(__xludf.DUMMYFUNCTION("""COMPUTED_VALUE"""),"Closed")</f>
        <v>Closed</v>
      </c>
      <c r="BD245" s="365" t="str">
        <f>IFERROR(__xludf.DUMMYFUNCTION("""COMPUTED_VALUE"""),"Closed")</f>
        <v>Closed</v>
      </c>
      <c r="BE245" s="351" t="str">
        <f>IFERROR(__xludf.DUMMYFUNCTION("""COMPUTED_VALUE"""),"Closed")</f>
        <v>Closed</v>
      </c>
      <c r="BF245" s="364" t="str">
        <f>IFERROR(__xludf.DUMMYFUNCTION("""COMPUTED_VALUE"""),"Closed")</f>
        <v>Closed</v>
      </c>
      <c r="BG245" s="234" t="str">
        <f>IFERROR(__xludf.DUMMYFUNCTION("""COMPUTED_VALUE"""),"Closed")</f>
        <v>Closed</v>
      </c>
      <c r="BH245" s="351" t="str">
        <f>IFERROR(__xludf.DUMMYFUNCTION("""COMPUTED_VALUE"""),"Closed")</f>
        <v>Closed</v>
      </c>
      <c r="BI245" s="364" t="str">
        <f>IFERROR(__xludf.DUMMYFUNCTION("""COMPUTED_VALUE"""),"Closed")</f>
        <v>Closed</v>
      </c>
      <c r="BJ245" s="365" t="str">
        <f>IFERROR(__xludf.DUMMYFUNCTION("""COMPUTED_VALUE"""),"Closed")</f>
        <v>Closed</v>
      </c>
      <c r="BK245" s="351" t="str">
        <f>IFERROR(__xludf.DUMMYFUNCTION("""COMPUTED_VALUE"""),"Closed")</f>
        <v>Closed</v>
      </c>
      <c r="BL245" s="364" t="str">
        <f>IFERROR(__xludf.DUMMYFUNCTION("""COMPUTED_VALUE"""),"Closed")</f>
        <v>Closed</v>
      </c>
      <c r="BM245" s="365" t="str">
        <f>IFERROR(__xludf.DUMMYFUNCTION("""COMPUTED_VALUE"""),"Closed")</f>
        <v>Closed</v>
      </c>
      <c r="BN245" s="351" t="str">
        <f>IFERROR(__xludf.DUMMYFUNCTION("""COMPUTED_VALUE"""),"Closed")</f>
        <v>Closed</v>
      </c>
      <c r="BO245" s="364" t="str">
        <f>IFERROR(__xludf.DUMMYFUNCTION("""COMPUTED_VALUE"""),"Closed")</f>
        <v>Closed</v>
      </c>
      <c r="BP245" s="365" t="str">
        <f>IFERROR(__xludf.DUMMYFUNCTION("""COMPUTED_VALUE"""),"Closed")</f>
        <v>Closed</v>
      </c>
      <c r="BQ245" s="351" t="str">
        <f>IFERROR(__xludf.DUMMYFUNCTION("""COMPUTED_VALUE"""),"Closed")</f>
        <v>Closed</v>
      </c>
      <c r="BR245" s="364" t="str">
        <f>IFERROR(__xludf.DUMMYFUNCTION("""COMPUTED_VALUE"""),"Closed")</f>
        <v>Closed</v>
      </c>
      <c r="BS245" s="234" t="str">
        <f>IFERROR(__xludf.DUMMYFUNCTION("""COMPUTED_VALUE"""),"Closed")</f>
        <v>Closed</v>
      </c>
      <c r="BT245" s="351" t="str">
        <f>IFERROR(__xludf.DUMMYFUNCTION("""COMPUTED_VALUE"""),"Closed")</f>
        <v>Closed</v>
      </c>
      <c r="BU245" s="364" t="str">
        <f>IFERROR(__xludf.DUMMYFUNCTION("""COMPUTED_VALUE"""),"Closed")</f>
        <v>Closed</v>
      </c>
      <c r="BV245" s="365" t="str">
        <f>IFERROR(__xludf.DUMMYFUNCTION("""COMPUTED_VALUE"""),"Closed")</f>
        <v>Closed</v>
      </c>
      <c r="BW245" s="351" t="str">
        <f>IFERROR(__xludf.DUMMYFUNCTION("""COMPUTED_VALUE"""),"Closed")</f>
        <v>Closed</v>
      </c>
      <c r="BX245" s="364" t="str">
        <f>IFERROR(__xludf.DUMMYFUNCTION("""COMPUTED_VALUE"""),"Closed")</f>
        <v>Closed</v>
      </c>
      <c r="BY245" s="365" t="str">
        <f>IFERROR(__xludf.DUMMYFUNCTION("""COMPUTED_VALUE"""),"Closed")</f>
        <v>Closed</v>
      </c>
      <c r="BZ245" s="351" t="str">
        <f>IFERROR(__xludf.DUMMYFUNCTION("""COMPUTED_VALUE"""),"Closed")</f>
        <v>Closed</v>
      </c>
      <c r="CA245" s="364" t="str">
        <f>IFERROR(__xludf.DUMMYFUNCTION("""COMPUTED_VALUE"""),"Closed")</f>
        <v>Closed</v>
      </c>
      <c r="CB245" s="365" t="str">
        <f>IFERROR(__xludf.DUMMYFUNCTION("""COMPUTED_VALUE"""),"Closed")</f>
        <v>Closed</v>
      </c>
      <c r="CC245" s="351" t="str">
        <f>IFERROR(__xludf.DUMMYFUNCTION("""COMPUTED_VALUE"""),"Closed")</f>
        <v>Closed</v>
      </c>
      <c r="CD245" s="364" t="str">
        <f>IFERROR(__xludf.DUMMYFUNCTION("""COMPUTED_VALUE"""),"Closed")</f>
        <v>Closed</v>
      </c>
      <c r="CE245" s="365" t="str">
        <f>IFERROR(__xludf.DUMMYFUNCTION("""COMPUTED_VALUE"""),"Closed")</f>
        <v>Closed</v>
      </c>
      <c r="CF245" s="351" t="str">
        <f>IFERROR(__xludf.DUMMYFUNCTION("""COMPUTED_VALUE"""),"Closed")</f>
        <v>Closed</v>
      </c>
      <c r="CG245" s="364" t="str">
        <f>IFERROR(__xludf.DUMMYFUNCTION("""COMPUTED_VALUE"""),"Closed")</f>
        <v>Closed</v>
      </c>
      <c r="CH245" s="365" t="str">
        <f>IFERROR(__xludf.DUMMYFUNCTION("""COMPUTED_VALUE"""),"Closed")</f>
        <v>Closed</v>
      </c>
      <c r="CI245" s="351" t="str">
        <f>IFERROR(__xludf.DUMMYFUNCTION("""COMPUTED_VALUE"""),"Closed")</f>
        <v>Closed</v>
      </c>
      <c r="CJ245" s="351" t="str">
        <f>IFERROR(__xludf.DUMMYFUNCTION("""COMPUTED_VALUE"""),"Closed")</f>
        <v>Closed</v>
      </c>
      <c r="CK245" s="365" t="str">
        <f>IFERROR(__xludf.DUMMYFUNCTION("""COMPUTED_VALUE"""),"Closed")</f>
        <v>Closed</v>
      </c>
      <c r="CL245" s="351" t="str">
        <f>IFERROR(__xludf.DUMMYFUNCTION("""COMPUTED_VALUE"""),"Closed")</f>
        <v>Closed</v>
      </c>
      <c r="CM245" s="364" t="str">
        <f>IFERROR(__xludf.DUMMYFUNCTION("""COMPUTED_VALUE"""),"Closed")</f>
        <v>Closed</v>
      </c>
      <c r="CN245" s="351" t="str">
        <f>IFERROR(__xludf.DUMMYFUNCTION("""COMPUTED_VALUE"""),"Closed")</f>
        <v>Closed</v>
      </c>
      <c r="CO245" s="351" t="str">
        <f>IFERROR(__xludf.DUMMYFUNCTION("""COMPUTED_VALUE"""),"Closed")</f>
        <v>Closed</v>
      </c>
      <c r="CP245" s="351" t="str">
        <f>IFERROR(__xludf.DUMMYFUNCTION("""COMPUTED_VALUE"""),"Closed")</f>
        <v>Closed</v>
      </c>
      <c r="CQ245" s="365" t="str">
        <f>IFERROR(__xludf.DUMMYFUNCTION("""COMPUTED_VALUE"""),"Closed")</f>
        <v>Closed</v>
      </c>
      <c r="CR245" s="351" t="str">
        <f>IFERROR(__xludf.DUMMYFUNCTION("""COMPUTED_VALUE"""),"Closed")</f>
        <v>Closed</v>
      </c>
      <c r="CS245" s="351" t="str">
        <f>IFERROR(__xludf.DUMMYFUNCTION("""COMPUTED_VALUE"""),"Closed")</f>
        <v>Closed</v>
      </c>
      <c r="CT245" s="365" t="str">
        <f>IFERROR(__xludf.DUMMYFUNCTION("""COMPUTED_VALUE"""),"Closed")</f>
        <v>Closed</v>
      </c>
      <c r="CU245" s="351" t="str">
        <f>IFERROR(__xludf.DUMMYFUNCTION("""COMPUTED_VALUE"""),"Closed")</f>
        <v>Closed</v>
      </c>
      <c r="CV245" s="351" t="str">
        <f>IFERROR(__xludf.DUMMYFUNCTION("""COMPUTED_VALUE"""),"Closed")</f>
        <v>Closed</v>
      </c>
      <c r="CW245" s="365" t="str">
        <f>IFERROR(__xludf.DUMMYFUNCTION("""COMPUTED_VALUE"""),"Closed")</f>
        <v>Closed</v>
      </c>
      <c r="CX245" s="351" t="str">
        <f>IFERROR(__xludf.DUMMYFUNCTION("""COMPUTED_VALUE"""),"Closed")</f>
        <v>Closed</v>
      </c>
      <c r="CY245" s="364" t="str">
        <f>IFERROR(__xludf.DUMMYFUNCTION("""COMPUTED_VALUE"""),"Closed")</f>
        <v>Closed</v>
      </c>
      <c r="CZ245" s="351" t="str">
        <f>IFERROR(__xludf.DUMMYFUNCTION("""COMPUTED_VALUE"""),"Closed")</f>
        <v>Closed</v>
      </c>
      <c r="DA245" s="351" t="str">
        <f>IFERROR(__xludf.DUMMYFUNCTION("""COMPUTED_VALUE"""),"Closed")</f>
        <v>Closed</v>
      </c>
      <c r="DB245" s="364" t="str">
        <f>IFERROR(__xludf.DUMMYFUNCTION("""COMPUTED_VALUE"""),"Closed")</f>
        <v>Closed</v>
      </c>
      <c r="DC245" s="365" t="str">
        <f>IFERROR(__xludf.DUMMYFUNCTION("""COMPUTED_VALUE"""),"Closed")</f>
        <v>Closed</v>
      </c>
      <c r="DD245" s="351" t="str">
        <f>IFERROR(__xludf.DUMMYFUNCTION("""COMPUTED_VALUE"""),"Closed")</f>
        <v>Closed</v>
      </c>
      <c r="DE245" s="364" t="str">
        <f>IFERROR(__xludf.DUMMYFUNCTION("""COMPUTED_VALUE"""),"Closed")</f>
        <v>Closed</v>
      </c>
      <c r="DF245" s="365" t="str">
        <f>IFERROR(__xludf.DUMMYFUNCTION("""COMPUTED_VALUE"""),"Closed")</f>
        <v>Closed</v>
      </c>
      <c r="DG245" s="351" t="str">
        <f>IFERROR(__xludf.DUMMYFUNCTION("""COMPUTED_VALUE"""),"Closed")</f>
        <v>Closed</v>
      </c>
      <c r="DH245" s="364" t="str">
        <f>IFERROR(__xludf.DUMMYFUNCTION("""COMPUTED_VALUE"""),"Closed")</f>
        <v>Closed</v>
      </c>
      <c r="DI245" s="365" t="str">
        <f>IFERROR(__xludf.DUMMYFUNCTION("""COMPUTED_VALUE"""),"Closed")</f>
        <v>Closed</v>
      </c>
      <c r="DJ245" s="351" t="str">
        <f>IFERROR(__xludf.DUMMYFUNCTION("""COMPUTED_VALUE"""),"Closed")</f>
        <v>Closed</v>
      </c>
      <c r="DK245" s="364" t="str">
        <f>IFERROR(__xludf.DUMMYFUNCTION("""COMPUTED_VALUE"""),"Closed")</f>
        <v>Closed</v>
      </c>
      <c r="DL245" s="351" t="str">
        <f>IFERROR(__xludf.DUMMYFUNCTION("""COMPUTED_VALUE"""),"Closed")</f>
        <v>Closed</v>
      </c>
      <c r="DM245" s="351" t="str">
        <f>IFERROR(__xludf.DUMMYFUNCTION("""COMPUTED_VALUE"""),"Closed")</f>
        <v>Closed</v>
      </c>
      <c r="DN245" s="351" t="str">
        <f>IFERROR(__xludf.DUMMYFUNCTION("""COMPUTED_VALUE"""),"Closed")</f>
        <v>Closed</v>
      </c>
      <c r="DO245" s="256" t="str">
        <f>IFERROR(__xludf.DUMMYFUNCTION("""COMPUTED_VALUE"""),"Closed")</f>
        <v>Closed</v>
      </c>
      <c r="DP245" s="256" t="str">
        <f>IFERROR(__xludf.DUMMYFUNCTION("""COMPUTED_VALUE"""),"Closed")</f>
        <v>Closed</v>
      </c>
      <c r="DQ245" s="256" t="str">
        <f>IFERROR(__xludf.DUMMYFUNCTION("""COMPUTED_VALUE"""),"Closed")</f>
        <v>Closed</v>
      </c>
      <c r="DR245" s="256" t="str">
        <f>IFERROR(__xludf.DUMMYFUNCTION("""COMPUTED_VALUE"""),"Closed")</f>
        <v>Closed</v>
      </c>
      <c r="DS245" s="256" t="str">
        <f>IFERROR(__xludf.DUMMYFUNCTION("""COMPUTED_VALUE"""),"Closed")</f>
        <v>Closed</v>
      </c>
      <c r="DT245" s="256" t="str">
        <f>IFERROR(__xludf.DUMMYFUNCTION("""COMPUTED_VALUE"""),"Closed")</f>
        <v>Closed</v>
      </c>
    </row>
    <row r="246" hidden="1">
      <c r="B246" s="180" t="str">
        <f>IFERROR(__xludf.DUMMYFUNCTION("""COMPUTED_VALUE"""),"OLP10")</f>
        <v>OLP10</v>
      </c>
      <c r="C246" s="88" t="str">
        <f>IFERROR(__xludf.DUMMYFUNCTION("""COMPUTED_VALUE"""),"Grand Altar")</f>
        <v>Grand Altar</v>
      </c>
      <c r="D246" s="102">
        <f>IFERROR(__xludf.DUMMYFUNCTION("""COMPUTED_VALUE"""),21.0)</f>
        <v>21</v>
      </c>
      <c r="E246" s="82" t="b">
        <f>IFERROR(__xludf.DUMMYFUNCTION("""COMPUTED_VALUE"""),FALSE)</f>
        <v>0</v>
      </c>
      <c r="F246" s="82" t="str">
        <f>IFERROR(__xludf.DUMMYFUNCTION("""COMPUTED_VALUE"""),"Free Quests- Part 2!A847:J858")</f>
        <v>Free Quests- Part 2!A847:J858</v>
      </c>
      <c r="G246" s="82">
        <f>IFERROR(__xludf.DUMMYFUNCTION("""COMPUTED_VALUE"""),247.0)</f>
        <v>247</v>
      </c>
      <c r="H246" s="82" t="str">
        <f>IFERROR(__xludf.DUMMYFUNCTION("""COMPUTED_VALUE"""),"Closed")</f>
        <v>Closed</v>
      </c>
      <c r="I246" s="82">
        <f>IFERROR(__xludf.DUMMYFUNCTION("""COMPUTED_VALUE"""),1624.0)</f>
        <v>1624</v>
      </c>
      <c r="J246" s="82" t="str">
        <f>IFERROR(__xludf.DUMMYFUNCTION("""COMPUTED_VALUE"""),"Closed")</f>
        <v>Closed</v>
      </c>
      <c r="K246" s="234" t="str">
        <f>IFERROR(__xludf.DUMMYFUNCTION("""COMPUTED_VALUE"""),"Closed")</f>
        <v>Closed</v>
      </c>
      <c r="L246" s="351" t="str">
        <f>IFERROR(__xludf.DUMMYFUNCTION("""COMPUTED_VALUE"""),"Closed")</f>
        <v>Closed</v>
      </c>
      <c r="M246" s="364" t="str">
        <f>IFERROR(__xludf.DUMMYFUNCTION("""COMPUTED_VALUE"""),"Closed")</f>
        <v>Closed</v>
      </c>
      <c r="N246" s="365" t="str">
        <f>IFERROR(__xludf.DUMMYFUNCTION("""COMPUTED_VALUE"""),"Closed")</f>
        <v>Closed</v>
      </c>
      <c r="O246" s="351" t="str">
        <f>IFERROR(__xludf.DUMMYFUNCTION("""COMPUTED_VALUE"""),"Closed")</f>
        <v>Closed</v>
      </c>
      <c r="P246" s="364" t="str">
        <f>IFERROR(__xludf.DUMMYFUNCTION("""COMPUTED_VALUE"""),"Closed")</f>
        <v>Closed</v>
      </c>
      <c r="Q246" s="365" t="str">
        <f>IFERROR(__xludf.DUMMYFUNCTION("""COMPUTED_VALUE"""),"Closed")</f>
        <v>Closed</v>
      </c>
      <c r="R246" s="351" t="str">
        <f>IFERROR(__xludf.DUMMYFUNCTION("""COMPUTED_VALUE"""),"Closed")</f>
        <v>Closed</v>
      </c>
      <c r="S246" s="364" t="str">
        <f>IFERROR(__xludf.DUMMYFUNCTION("""COMPUTED_VALUE"""),"Closed")</f>
        <v>Closed</v>
      </c>
      <c r="T246" s="365" t="str">
        <f>IFERROR(__xludf.DUMMYFUNCTION("""COMPUTED_VALUE"""),"Closed")</f>
        <v>Closed</v>
      </c>
      <c r="U246" s="351" t="str">
        <f>IFERROR(__xludf.DUMMYFUNCTION("""COMPUTED_VALUE"""),"Closed")</f>
        <v>Closed</v>
      </c>
      <c r="V246" s="364" t="str">
        <f>IFERROR(__xludf.DUMMYFUNCTION("""COMPUTED_VALUE"""),"Closed")</f>
        <v>Closed</v>
      </c>
      <c r="W246" s="234" t="str">
        <f>IFERROR(__xludf.DUMMYFUNCTION("""COMPUTED_VALUE"""),"Closed")</f>
        <v>Closed</v>
      </c>
      <c r="X246" s="351" t="str">
        <f>IFERROR(__xludf.DUMMYFUNCTION("""COMPUTED_VALUE"""),"Closed")</f>
        <v>Closed</v>
      </c>
      <c r="Y246" s="364" t="str">
        <f>IFERROR(__xludf.DUMMYFUNCTION("""COMPUTED_VALUE"""),"Closed")</f>
        <v>Closed</v>
      </c>
      <c r="Z246" s="365" t="str">
        <f>IFERROR(__xludf.DUMMYFUNCTION("""COMPUTED_VALUE"""),"Closed")</f>
        <v>Closed</v>
      </c>
      <c r="AA246" s="351" t="str">
        <f>IFERROR(__xludf.DUMMYFUNCTION("""COMPUTED_VALUE"""),"Closed")</f>
        <v>Closed</v>
      </c>
      <c r="AB246" s="364" t="str">
        <f>IFERROR(__xludf.DUMMYFUNCTION("""COMPUTED_VALUE"""),"Closed")</f>
        <v>Closed</v>
      </c>
      <c r="AC246" s="365" t="str">
        <f>IFERROR(__xludf.DUMMYFUNCTION("""COMPUTED_VALUE"""),"Closed")</f>
        <v>Closed</v>
      </c>
      <c r="AD246" s="351" t="str">
        <f>IFERROR(__xludf.DUMMYFUNCTION("""COMPUTED_VALUE"""),"Closed")</f>
        <v>Closed</v>
      </c>
      <c r="AE246" s="364" t="str">
        <f>IFERROR(__xludf.DUMMYFUNCTION("""COMPUTED_VALUE"""),"Closed")</f>
        <v>Closed</v>
      </c>
      <c r="AF246" s="365" t="str">
        <f>IFERROR(__xludf.DUMMYFUNCTION("""COMPUTED_VALUE"""),"Closed")</f>
        <v>Closed</v>
      </c>
      <c r="AG246" s="351" t="str">
        <f>IFERROR(__xludf.DUMMYFUNCTION("""COMPUTED_VALUE"""),"Closed")</f>
        <v>Closed</v>
      </c>
      <c r="AH246" s="364" t="str">
        <f>IFERROR(__xludf.DUMMYFUNCTION("""COMPUTED_VALUE"""),"Closed")</f>
        <v>Closed</v>
      </c>
      <c r="AI246" s="234" t="str">
        <f>IFERROR(__xludf.DUMMYFUNCTION("""COMPUTED_VALUE"""),"Closed")</f>
        <v>Closed</v>
      </c>
      <c r="AJ246" s="351" t="str">
        <f>IFERROR(__xludf.DUMMYFUNCTION("""COMPUTED_VALUE"""),"Closed")</f>
        <v>Closed</v>
      </c>
      <c r="AK246" s="364" t="str">
        <f>IFERROR(__xludf.DUMMYFUNCTION("""COMPUTED_VALUE"""),"Closed")</f>
        <v>Closed</v>
      </c>
      <c r="AL246" s="366" t="str">
        <f>IFERROR(__xludf.DUMMYFUNCTION("""COMPUTED_VALUE"""),"Closed")</f>
        <v>Closed</v>
      </c>
      <c r="AM246" s="367" t="str">
        <f>IFERROR(__xludf.DUMMYFUNCTION("""COMPUTED_VALUE"""),"Closed")</f>
        <v>Closed</v>
      </c>
      <c r="AN246" s="364" t="str">
        <f>IFERROR(__xludf.DUMMYFUNCTION("""COMPUTED_VALUE"""),"Closed")</f>
        <v>Closed</v>
      </c>
      <c r="AO246" s="365" t="str">
        <f>IFERROR(__xludf.DUMMYFUNCTION("""COMPUTED_VALUE"""),"Closed")</f>
        <v>Closed</v>
      </c>
      <c r="AP246" s="351" t="str">
        <f>IFERROR(__xludf.DUMMYFUNCTION("""COMPUTED_VALUE"""),"Closed")</f>
        <v>Closed</v>
      </c>
      <c r="AQ246" s="364" t="str">
        <f>IFERROR(__xludf.DUMMYFUNCTION("""COMPUTED_VALUE"""),"Closed")</f>
        <v>Closed</v>
      </c>
      <c r="AR246" s="365" t="str">
        <f>IFERROR(__xludf.DUMMYFUNCTION("""COMPUTED_VALUE"""),"Closed")</f>
        <v>Closed</v>
      </c>
      <c r="AS246" s="351" t="str">
        <f>IFERROR(__xludf.DUMMYFUNCTION("""COMPUTED_VALUE"""),"Closed")</f>
        <v>Closed</v>
      </c>
      <c r="AT246" s="364" t="str">
        <f>IFERROR(__xludf.DUMMYFUNCTION("""COMPUTED_VALUE"""),"Closed")</f>
        <v>Closed</v>
      </c>
      <c r="AU246" s="234" t="str">
        <f>IFERROR(__xludf.DUMMYFUNCTION("""COMPUTED_VALUE"""),"Closed")</f>
        <v>Closed</v>
      </c>
      <c r="AV246" s="351" t="str">
        <f>IFERROR(__xludf.DUMMYFUNCTION("""COMPUTED_VALUE"""),"Closed")</f>
        <v>Closed</v>
      </c>
      <c r="AW246" s="364" t="str">
        <f>IFERROR(__xludf.DUMMYFUNCTION("""COMPUTED_VALUE"""),"Closed")</f>
        <v>Closed</v>
      </c>
      <c r="AX246" s="365" t="str">
        <f>IFERROR(__xludf.DUMMYFUNCTION("""COMPUTED_VALUE"""),"Closed")</f>
        <v>Closed</v>
      </c>
      <c r="AY246" s="351" t="str">
        <f>IFERROR(__xludf.DUMMYFUNCTION("""COMPUTED_VALUE"""),"Closed")</f>
        <v>Closed</v>
      </c>
      <c r="AZ246" s="364" t="str">
        <f>IFERROR(__xludf.DUMMYFUNCTION("""COMPUTED_VALUE"""),"Closed")</f>
        <v>Closed</v>
      </c>
      <c r="BA246" s="365" t="str">
        <f>IFERROR(__xludf.DUMMYFUNCTION("""COMPUTED_VALUE"""),"Closed")</f>
        <v>Closed</v>
      </c>
      <c r="BB246" s="351" t="str">
        <f>IFERROR(__xludf.DUMMYFUNCTION("""COMPUTED_VALUE"""),"Closed")</f>
        <v>Closed</v>
      </c>
      <c r="BC246" s="364" t="str">
        <f>IFERROR(__xludf.DUMMYFUNCTION("""COMPUTED_VALUE"""),"Closed")</f>
        <v>Closed</v>
      </c>
      <c r="BD246" s="365" t="str">
        <f>IFERROR(__xludf.DUMMYFUNCTION("""COMPUTED_VALUE"""),"Closed")</f>
        <v>Closed</v>
      </c>
      <c r="BE246" s="351" t="str">
        <f>IFERROR(__xludf.DUMMYFUNCTION("""COMPUTED_VALUE"""),"Closed")</f>
        <v>Closed</v>
      </c>
      <c r="BF246" s="364" t="str">
        <f>IFERROR(__xludf.DUMMYFUNCTION("""COMPUTED_VALUE"""),"Closed")</f>
        <v>Closed</v>
      </c>
      <c r="BG246" s="234" t="str">
        <f>IFERROR(__xludf.DUMMYFUNCTION("""COMPUTED_VALUE"""),"Closed")</f>
        <v>Closed</v>
      </c>
      <c r="BH246" s="351" t="str">
        <f>IFERROR(__xludf.DUMMYFUNCTION("""COMPUTED_VALUE"""),"Closed")</f>
        <v>Closed</v>
      </c>
      <c r="BI246" s="364" t="str">
        <f>IFERROR(__xludf.DUMMYFUNCTION("""COMPUTED_VALUE"""),"Closed")</f>
        <v>Closed</v>
      </c>
      <c r="BJ246" s="365" t="str">
        <f>IFERROR(__xludf.DUMMYFUNCTION("""COMPUTED_VALUE"""),"Closed")</f>
        <v>Closed</v>
      </c>
      <c r="BK246" s="351" t="str">
        <f>IFERROR(__xludf.DUMMYFUNCTION("""COMPUTED_VALUE"""),"Closed")</f>
        <v>Closed</v>
      </c>
      <c r="BL246" s="364" t="str">
        <f>IFERROR(__xludf.DUMMYFUNCTION("""COMPUTED_VALUE"""),"Closed")</f>
        <v>Closed</v>
      </c>
      <c r="BM246" s="365" t="str">
        <f>IFERROR(__xludf.DUMMYFUNCTION("""COMPUTED_VALUE"""),"Closed")</f>
        <v>Closed</v>
      </c>
      <c r="BN246" s="351" t="str">
        <f>IFERROR(__xludf.DUMMYFUNCTION("""COMPUTED_VALUE"""),"Closed")</f>
        <v>Closed</v>
      </c>
      <c r="BO246" s="364" t="str">
        <f>IFERROR(__xludf.DUMMYFUNCTION("""COMPUTED_VALUE"""),"Closed")</f>
        <v>Closed</v>
      </c>
      <c r="BP246" s="365" t="str">
        <f>IFERROR(__xludf.DUMMYFUNCTION("""COMPUTED_VALUE"""),"Closed")</f>
        <v>Closed</v>
      </c>
      <c r="BQ246" s="351" t="str">
        <f>IFERROR(__xludf.DUMMYFUNCTION("""COMPUTED_VALUE"""),"Closed")</f>
        <v>Closed</v>
      </c>
      <c r="BR246" s="364" t="str">
        <f>IFERROR(__xludf.DUMMYFUNCTION("""COMPUTED_VALUE"""),"Closed")</f>
        <v>Closed</v>
      </c>
      <c r="BS246" s="234" t="str">
        <f>IFERROR(__xludf.DUMMYFUNCTION("""COMPUTED_VALUE"""),"Closed")</f>
        <v>Closed</v>
      </c>
      <c r="BT246" s="351" t="str">
        <f>IFERROR(__xludf.DUMMYFUNCTION("""COMPUTED_VALUE"""),"Closed")</f>
        <v>Closed</v>
      </c>
      <c r="BU246" s="364" t="str">
        <f>IFERROR(__xludf.DUMMYFUNCTION("""COMPUTED_VALUE"""),"Closed")</f>
        <v>Closed</v>
      </c>
      <c r="BV246" s="365" t="str">
        <f>IFERROR(__xludf.DUMMYFUNCTION("""COMPUTED_VALUE"""),"Closed")</f>
        <v>Closed</v>
      </c>
      <c r="BW246" s="351" t="str">
        <f>IFERROR(__xludf.DUMMYFUNCTION("""COMPUTED_VALUE"""),"Closed")</f>
        <v>Closed</v>
      </c>
      <c r="BX246" s="364" t="str">
        <f>IFERROR(__xludf.DUMMYFUNCTION("""COMPUTED_VALUE"""),"Closed")</f>
        <v>Closed</v>
      </c>
      <c r="BY246" s="365" t="str">
        <f>IFERROR(__xludf.DUMMYFUNCTION("""COMPUTED_VALUE"""),"Closed")</f>
        <v>Closed</v>
      </c>
      <c r="BZ246" s="351" t="str">
        <f>IFERROR(__xludf.DUMMYFUNCTION("""COMPUTED_VALUE"""),"Closed")</f>
        <v>Closed</v>
      </c>
      <c r="CA246" s="364" t="str">
        <f>IFERROR(__xludf.DUMMYFUNCTION("""COMPUTED_VALUE"""),"Closed")</f>
        <v>Closed</v>
      </c>
      <c r="CB246" s="365" t="str">
        <f>IFERROR(__xludf.DUMMYFUNCTION("""COMPUTED_VALUE"""),"Closed")</f>
        <v>Closed</v>
      </c>
      <c r="CC246" s="351" t="str">
        <f>IFERROR(__xludf.DUMMYFUNCTION("""COMPUTED_VALUE"""),"Closed")</f>
        <v>Closed</v>
      </c>
      <c r="CD246" s="364" t="str">
        <f>IFERROR(__xludf.DUMMYFUNCTION("""COMPUTED_VALUE"""),"Closed")</f>
        <v>Closed</v>
      </c>
      <c r="CE246" s="365" t="str">
        <f>IFERROR(__xludf.DUMMYFUNCTION("""COMPUTED_VALUE"""),"Closed")</f>
        <v>Closed</v>
      </c>
      <c r="CF246" s="351" t="str">
        <f>IFERROR(__xludf.DUMMYFUNCTION("""COMPUTED_VALUE"""),"Closed")</f>
        <v>Closed</v>
      </c>
      <c r="CG246" s="364" t="str">
        <f>IFERROR(__xludf.DUMMYFUNCTION("""COMPUTED_VALUE"""),"Closed")</f>
        <v>Closed</v>
      </c>
      <c r="CH246" s="365" t="str">
        <f>IFERROR(__xludf.DUMMYFUNCTION("""COMPUTED_VALUE"""),"Closed")</f>
        <v>Closed</v>
      </c>
      <c r="CI246" s="351" t="str">
        <f>IFERROR(__xludf.DUMMYFUNCTION("""COMPUTED_VALUE"""),"Closed")</f>
        <v>Closed</v>
      </c>
      <c r="CJ246" s="351" t="str">
        <f>IFERROR(__xludf.DUMMYFUNCTION("""COMPUTED_VALUE"""),"Closed")</f>
        <v>Closed</v>
      </c>
      <c r="CK246" s="365" t="str">
        <f>IFERROR(__xludf.DUMMYFUNCTION("""COMPUTED_VALUE"""),"Closed")</f>
        <v>Closed</v>
      </c>
      <c r="CL246" s="351" t="str">
        <f>IFERROR(__xludf.DUMMYFUNCTION("""COMPUTED_VALUE"""),"Closed")</f>
        <v>Closed</v>
      </c>
      <c r="CM246" s="364" t="str">
        <f>IFERROR(__xludf.DUMMYFUNCTION("""COMPUTED_VALUE"""),"Closed")</f>
        <v>Closed</v>
      </c>
      <c r="CN246" s="351" t="str">
        <f>IFERROR(__xludf.DUMMYFUNCTION("""COMPUTED_VALUE"""),"Closed")</f>
        <v>Closed</v>
      </c>
      <c r="CO246" s="351" t="str">
        <f>IFERROR(__xludf.DUMMYFUNCTION("""COMPUTED_VALUE"""),"Closed")</f>
        <v>Closed</v>
      </c>
      <c r="CP246" s="351" t="str">
        <f>IFERROR(__xludf.DUMMYFUNCTION("""COMPUTED_VALUE"""),"Closed")</f>
        <v>Closed</v>
      </c>
      <c r="CQ246" s="365" t="str">
        <f>IFERROR(__xludf.DUMMYFUNCTION("""COMPUTED_VALUE"""),"Closed")</f>
        <v>Closed</v>
      </c>
      <c r="CR246" s="351" t="str">
        <f>IFERROR(__xludf.DUMMYFUNCTION("""COMPUTED_VALUE"""),"Closed")</f>
        <v>Closed</v>
      </c>
      <c r="CS246" s="351" t="str">
        <f>IFERROR(__xludf.DUMMYFUNCTION("""COMPUTED_VALUE"""),"Closed")</f>
        <v>Closed</v>
      </c>
      <c r="CT246" s="365" t="str">
        <f>IFERROR(__xludf.DUMMYFUNCTION("""COMPUTED_VALUE"""),"Closed")</f>
        <v>Closed</v>
      </c>
      <c r="CU246" s="351" t="str">
        <f>IFERROR(__xludf.DUMMYFUNCTION("""COMPUTED_VALUE"""),"Closed")</f>
        <v>Closed</v>
      </c>
      <c r="CV246" s="351" t="str">
        <f>IFERROR(__xludf.DUMMYFUNCTION("""COMPUTED_VALUE"""),"Closed")</f>
        <v>Closed</v>
      </c>
      <c r="CW246" s="365" t="str">
        <f>IFERROR(__xludf.DUMMYFUNCTION("""COMPUTED_VALUE"""),"Closed")</f>
        <v>Closed</v>
      </c>
      <c r="CX246" s="351" t="str">
        <f>IFERROR(__xludf.DUMMYFUNCTION("""COMPUTED_VALUE"""),"Closed")</f>
        <v>Closed</v>
      </c>
      <c r="CY246" s="364" t="str">
        <f>IFERROR(__xludf.DUMMYFUNCTION("""COMPUTED_VALUE"""),"Closed")</f>
        <v>Closed</v>
      </c>
      <c r="CZ246" s="351" t="str">
        <f>IFERROR(__xludf.DUMMYFUNCTION("""COMPUTED_VALUE"""),"Closed")</f>
        <v>Closed</v>
      </c>
      <c r="DA246" s="351" t="str">
        <f>IFERROR(__xludf.DUMMYFUNCTION("""COMPUTED_VALUE"""),"Closed")</f>
        <v>Closed</v>
      </c>
      <c r="DB246" s="364" t="str">
        <f>IFERROR(__xludf.DUMMYFUNCTION("""COMPUTED_VALUE"""),"Closed")</f>
        <v>Closed</v>
      </c>
      <c r="DC246" s="365" t="str">
        <f>IFERROR(__xludf.DUMMYFUNCTION("""COMPUTED_VALUE"""),"Closed")</f>
        <v>Closed</v>
      </c>
      <c r="DD246" s="351" t="str">
        <f>IFERROR(__xludf.DUMMYFUNCTION("""COMPUTED_VALUE"""),"Closed")</f>
        <v>Closed</v>
      </c>
      <c r="DE246" s="364" t="str">
        <f>IFERROR(__xludf.DUMMYFUNCTION("""COMPUTED_VALUE"""),"Closed")</f>
        <v>Closed</v>
      </c>
      <c r="DF246" s="365" t="str">
        <f>IFERROR(__xludf.DUMMYFUNCTION("""COMPUTED_VALUE"""),"Closed")</f>
        <v>Closed</v>
      </c>
      <c r="DG246" s="351" t="str">
        <f>IFERROR(__xludf.DUMMYFUNCTION("""COMPUTED_VALUE"""),"Closed")</f>
        <v>Closed</v>
      </c>
      <c r="DH246" s="364" t="str">
        <f>IFERROR(__xludf.DUMMYFUNCTION("""COMPUTED_VALUE"""),"Closed")</f>
        <v>Closed</v>
      </c>
      <c r="DI246" s="365" t="str">
        <f>IFERROR(__xludf.DUMMYFUNCTION("""COMPUTED_VALUE"""),"Closed")</f>
        <v>Closed</v>
      </c>
      <c r="DJ246" s="351" t="str">
        <f>IFERROR(__xludf.DUMMYFUNCTION("""COMPUTED_VALUE"""),"Closed")</f>
        <v>Closed</v>
      </c>
      <c r="DK246" s="364" t="str">
        <f>IFERROR(__xludf.DUMMYFUNCTION("""COMPUTED_VALUE"""),"Closed")</f>
        <v>Closed</v>
      </c>
      <c r="DL246" s="351" t="str">
        <f>IFERROR(__xludf.DUMMYFUNCTION("""COMPUTED_VALUE"""),"Closed")</f>
        <v>Closed</v>
      </c>
      <c r="DM246" s="351" t="str">
        <f>IFERROR(__xludf.DUMMYFUNCTION("""COMPUTED_VALUE"""),"Closed")</f>
        <v>Closed</v>
      </c>
      <c r="DN246" s="351" t="str">
        <f>IFERROR(__xludf.DUMMYFUNCTION("""COMPUTED_VALUE"""),"Closed")</f>
        <v>Closed</v>
      </c>
      <c r="DO246" s="256" t="str">
        <f>IFERROR(__xludf.DUMMYFUNCTION("""COMPUTED_VALUE"""),"Closed")</f>
        <v>Closed</v>
      </c>
      <c r="DP246" s="256" t="str">
        <f>IFERROR(__xludf.DUMMYFUNCTION("""COMPUTED_VALUE"""),"Closed")</f>
        <v>Closed</v>
      </c>
      <c r="DQ246" s="256" t="str">
        <f>IFERROR(__xludf.DUMMYFUNCTION("""COMPUTED_VALUE"""),"Closed")</f>
        <v>Closed</v>
      </c>
      <c r="DR246" s="256" t="str">
        <f>IFERROR(__xludf.DUMMYFUNCTION("""COMPUTED_VALUE"""),"Closed")</f>
        <v>Closed</v>
      </c>
      <c r="DS246" s="256" t="str">
        <f>IFERROR(__xludf.DUMMYFUNCTION("""COMPUTED_VALUE"""),"Closed")</f>
        <v>Closed</v>
      </c>
      <c r="DT246" s="256" t="str">
        <f>IFERROR(__xludf.DUMMYFUNCTION("""COMPUTED_VALUE"""),"Closed")</f>
        <v>Closed</v>
      </c>
    </row>
    <row r="247" hidden="1">
      <c r="B247" s="180" t="str">
        <f>IFERROR(__xludf.DUMMYFUNCTION("""COMPUTED_VALUE"""),"OLP11")</f>
        <v>OLP11</v>
      </c>
      <c r="C247" s="88" t="str">
        <f>IFERROR(__xludf.DUMMYFUNCTION("""COMPUTED_VALUE"""),"Underground Belt Mechanism - Outer Region")</f>
        <v>Underground Belt Mechanism - Outer Region</v>
      </c>
      <c r="D247" s="102">
        <f>IFERROR(__xludf.DUMMYFUNCTION("""COMPUTED_VALUE"""),21.0)</f>
        <v>21</v>
      </c>
      <c r="E247" s="82" t="b">
        <f>IFERROR(__xludf.DUMMYFUNCTION("""COMPUTED_VALUE"""),FALSE)</f>
        <v>0</v>
      </c>
      <c r="F247" s="82" t="str">
        <f>IFERROR(__xludf.DUMMYFUNCTION("""COMPUTED_VALUE"""),"Free Quests- Part 2!A862:J867")</f>
        <v>Free Quests- Part 2!A862:J867</v>
      </c>
      <c r="G247" s="82">
        <f>IFERROR(__xludf.DUMMYFUNCTION("""COMPUTED_VALUE"""),248.0)</f>
        <v>248</v>
      </c>
      <c r="H247" s="82" t="str">
        <f>IFERROR(__xludf.DUMMYFUNCTION("""COMPUTED_VALUE"""),"Closed")</f>
        <v>Closed</v>
      </c>
      <c r="I247" s="82">
        <f>IFERROR(__xludf.DUMMYFUNCTION("""COMPUTED_VALUE"""),8377.0)</f>
        <v>8377</v>
      </c>
      <c r="J247" s="82" t="str">
        <f>IFERROR(__xludf.DUMMYFUNCTION("""COMPUTED_VALUE"""),"Closed")</f>
        <v>Closed</v>
      </c>
      <c r="K247" s="234" t="str">
        <f>IFERROR(__xludf.DUMMYFUNCTION("""COMPUTED_VALUE"""),"Closed")</f>
        <v>Closed</v>
      </c>
      <c r="L247" s="351" t="str">
        <f>IFERROR(__xludf.DUMMYFUNCTION("""COMPUTED_VALUE"""),"Closed")</f>
        <v>Closed</v>
      </c>
      <c r="M247" s="364" t="str">
        <f>IFERROR(__xludf.DUMMYFUNCTION("""COMPUTED_VALUE"""),"Closed")</f>
        <v>Closed</v>
      </c>
      <c r="N247" s="365" t="str">
        <f>IFERROR(__xludf.DUMMYFUNCTION("""COMPUTED_VALUE"""),"Closed")</f>
        <v>Closed</v>
      </c>
      <c r="O247" s="351" t="str">
        <f>IFERROR(__xludf.DUMMYFUNCTION("""COMPUTED_VALUE"""),"Closed")</f>
        <v>Closed</v>
      </c>
      <c r="P247" s="364" t="str">
        <f>IFERROR(__xludf.DUMMYFUNCTION("""COMPUTED_VALUE"""),"Closed")</f>
        <v>Closed</v>
      </c>
      <c r="Q247" s="365" t="str">
        <f>IFERROR(__xludf.DUMMYFUNCTION("""COMPUTED_VALUE"""),"Closed")</f>
        <v>Closed</v>
      </c>
      <c r="R247" s="351" t="str">
        <f>IFERROR(__xludf.DUMMYFUNCTION("""COMPUTED_VALUE"""),"Closed")</f>
        <v>Closed</v>
      </c>
      <c r="S247" s="364" t="str">
        <f>IFERROR(__xludf.DUMMYFUNCTION("""COMPUTED_VALUE"""),"Closed")</f>
        <v>Closed</v>
      </c>
      <c r="T247" s="365" t="str">
        <f>IFERROR(__xludf.DUMMYFUNCTION("""COMPUTED_VALUE"""),"Closed")</f>
        <v>Closed</v>
      </c>
      <c r="U247" s="351" t="str">
        <f>IFERROR(__xludf.DUMMYFUNCTION("""COMPUTED_VALUE"""),"Closed")</f>
        <v>Closed</v>
      </c>
      <c r="V247" s="364" t="str">
        <f>IFERROR(__xludf.DUMMYFUNCTION("""COMPUTED_VALUE"""),"Closed")</f>
        <v>Closed</v>
      </c>
      <c r="W247" s="234" t="str">
        <f>IFERROR(__xludf.DUMMYFUNCTION("""COMPUTED_VALUE"""),"Closed")</f>
        <v>Closed</v>
      </c>
      <c r="X247" s="351" t="str">
        <f>IFERROR(__xludf.DUMMYFUNCTION("""COMPUTED_VALUE"""),"Closed")</f>
        <v>Closed</v>
      </c>
      <c r="Y247" s="364" t="str">
        <f>IFERROR(__xludf.DUMMYFUNCTION("""COMPUTED_VALUE"""),"Closed")</f>
        <v>Closed</v>
      </c>
      <c r="Z247" s="365" t="str">
        <f>IFERROR(__xludf.DUMMYFUNCTION("""COMPUTED_VALUE"""),"Closed")</f>
        <v>Closed</v>
      </c>
      <c r="AA247" s="351" t="str">
        <f>IFERROR(__xludf.DUMMYFUNCTION("""COMPUTED_VALUE"""),"Closed")</f>
        <v>Closed</v>
      </c>
      <c r="AB247" s="364" t="str">
        <f>IFERROR(__xludf.DUMMYFUNCTION("""COMPUTED_VALUE"""),"Closed")</f>
        <v>Closed</v>
      </c>
      <c r="AC247" s="365" t="str">
        <f>IFERROR(__xludf.DUMMYFUNCTION("""COMPUTED_VALUE"""),"Closed")</f>
        <v>Closed</v>
      </c>
      <c r="AD247" s="351" t="str">
        <f>IFERROR(__xludf.DUMMYFUNCTION("""COMPUTED_VALUE"""),"Closed")</f>
        <v>Closed</v>
      </c>
      <c r="AE247" s="364" t="str">
        <f>IFERROR(__xludf.DUMMYFUNCTION("""COMPUTED_VALUE"""),"Closed")</f>
        <v>Closed</v>
      </c>
      <c r="AF247" s="365" t="str">
        <f>IFERROR(__xludf.DUMMYFUNCTION("""COMPUTED_VALUE"""),"Closed")</f>
        <v>Closed</v>
      </c>
      <c r="AG247" s="351" t="str">
        <f>IFERROR(__xludf.DUMMYFUNCTION("""COMPUTED_VALUE"""),"Closed")</f>
        <v>Closed</v>
      </c>
      <c r="AH247" s="364" t="str">
        <f>IFERROR(__xludf.DUMMYFUNCTION("""COMPUTED_VALUE"""),"Closed")</f>
        <v>Closed</v>
      </c>
      <c r="AI247" s="234" t="str">
        <f>IFERROR(__xludf.DUMMYFUNCTION("""COMPUTED_VALUE"""),"Closed")</f>
        <v>Closed</v>
      </c>
      <c r="AJ247" s="351" t="str">
        <f>IFERROR(__xludf.DUMMYFUNCTION("""COMPUTED_VALUE"""),"Closed")</f>
        <v>Closed</v>
      </c>
      <c r="AK247" s="364" t="str">
        <f>IFERROR(__xludf.DUMMYFUNCTION("""COMPUTED_VALUE"""),"Closed")</f>
        <v>Closed</v>
      </c>
      <c r="AL247" s="366" t="str">
        <f>IFERROR(__xludf.DUMMYFUNCTION("""COMPUTED_VALUE"""),"Closed")</f>
        <v>Closed</v>
      </c>
      <c r="AM247" s="367" t="str">
        <f>IFERROR(__xludf.DUMMYFUNCTION("""COMPUTED_VALUE"""),"Closed")</f>
        <v>Closed</v>
      </c>
      <c r="AN247" s="364" t="str">
        <f>IFERROR(__xludf.DUMMYFUNCTION("""COMPUTED_VALUE"""),"Closed")</f>
        <v>Closed</v>
      </c>
      <c r="AO247" s="365" t="str">
        <f>IFERROR(__xludf.DUMMYFUNCTION("""COMPUTED_VALUE"""),"Closed")</f>
        <v>Closed</v>
      </c>
      <c r="AP247" s="351" t="str">
        <f>IFERROR(__xludf.DUMMYFUNCTION("""COMPUTED_VALUE"""),"Closed")</f>
        <v>Closed</v>
      </c>
      <c r="AQ247" s="364" t="str">
        <f>IFERROR(__xludf.DUMMYFUNCTION("""COMPUTED_VALUE"""),"Closed")</f>
        <v>Closed</v>
      </c>
      <c r="AR247" s="365" t="str">
        <f>IFERROR(__xludf.DUMMYFUNCTION("""COMPUTED_VALUE"""),"Closed")</f>
        <v>Closed</v>
      </c>
      <c r="AS247" s="351" t="str">
        <f>IFERROR(__xludf.DUMMYFUNCTION("""COMPUTED_VALUE"""),"Closed")</f>
        <v>Closed</v>
      </c>
      <c r="AT247" s="364" t="str">
        <f>IFERROR(__xludf.DUMMYFUNCTION("""COMPUTED_VALUE"""),"Closed")</f>
        <v>Closed</v>
      </c>
      <c r="AU247" s="234" t="str">
        <f>IFERROR(__xludf.DUMMYFUNCTION("""COMPUTED_VALUE"""),"Closed")</f>
        <v>Closed</v>
      </c>
      <c r="AV247" s="351" t="str">
        <f>IFERROR(__xludf.DUMMYFUNCTION("""COMPUTED_VALUE"""),"Closed")</f>
        <v>Closed</v>
      </c>
      <c r="AW247" s="364" t="str">
        <f>IFERROR(__xludf.DUMMYFUNCTION("""COMPUTED_VALUE"""),"Closed")</f>
        <v>Closed</v>
      </c>
      <c r="AX247" s="365" t="str">
        <f>IFERROR(__xludf.DUMMYFUNCTION("""COMPUTED_VALUE"""),"Closed")</f>
        <v>Closed</v>
      </c>
      <c r="AY247" s="351" t="str">
        <f>IFERROR(__xludf.DUMMYFUNCTION("""COMPUTED_VALUE"""),"Closed")</f>
        <v>Closed</v>
      </c>
      <c r="AZ247" s="364" t="str">
        <f>IFERROR(__xludf.DUMMYFUNCTION("""COMPUTED_VALUE"""),"Closed")</f>
        <v>Closed</v>
      </c>
      <c r="BA247" s="365" t="str">
        <f>IFERROR(__xludf.DUMMYFUNCTION("""COMPUTED_VALUE"""),"Closed")</f>
        <v>Closed</v>
      </c>
      <c r="BB247" s="351" t="str">
        <f>IFERROR(__xludf.DUMMYFUNCTION("""COMPUTED_VALUE"""),"Closed")</f>
        <v>Closed</v>
      </c>
      <c r="BC247" s="364" t="str">
        <f>IFERROR(__xludf.DUMMYFUNCTION("""COMPUTED_VALUE"""),"Closed")</f>
        <v>Closed</v>
      </c>
      <c r="BD247" s="365" t="str">
        <f>IFERROR(__xludf.DUMMYFUNCTION("""COMPUTED_VALUE"""),"Closed")</f>
        <v>Closed</v>
      </c>
      <c r="BE247" s="351" t="str">
        <f>IFERROR(__xludf.DUMMYFUNCTION("""COMPUTED_VALUE"""),"Closed")</f>
        <v>Closed</v>
      </c>
      <c r="BF247" s="364" t="str">
        <f>IFERROR(__xludf.DUMMYFUNCTION("""COMPUTED_VALUE"""),"Closed")</f>
        <v>Closed</v>
      </c>
      <c r="BG247" s="234" t="str">
        <f>IFERROR(__xludf.DUMMYFUNCTION("""COMPUTED_VALUE"""),"Closed")</f>
        <v>Closed</v>
      </c>
      <c r="BH247" s="351" t="str">
        <f>IFERROR(__xludf.DUMMYFUNCTION("""COMPUTED_VALUE"""),"Closed")</f>
        <v>Closed</v>
      </c>
      <c r="BI247" s="364" t="str">
        <f>IFERROR(__xludf.DUMMYFUNCTION("""COMPUTED_VALUE"""),"Closed")</f>
        <v>Closed</v>
      </c>
      <c r="BJ247" s="365" t="str">
        <f>IFERROR(__xludf.DUMMYFUNCTION("""COMPUTED_VALUE"""),"Closed")</f>
        <v>Closed</v>
      </c>
      <c r="BK247" s="351" t="str">
        <f>IFERROR(__xludf.DUMMYFUNCTION("""COMPUTED_VALUE"""),"Closed")</f>
        <v>Closed</v>
      </c>
      <c r="BL247" s="364" t="str">
        <f>IFERROR(__xludf.DUMMYFUNCTION("""COMPUTED_VALUE"""),"Closed")</f>
        <v>Closed</v>
      </c>
      <c r="BM247" s="365" t="str">
        <f>IFERROR(__xludf.DUMMYFUNCTION("""COMPUTED_VALUE"""),"Closed")</f>
        <v>Closed</v>
      </c>
      <c r="BN247" s="351" t="str">
        <f>IFERROR(__xludf.DUMMYFUNCTION("""COMPUTED_VALUE"""),"Closed")</f>
        <v>Closed</v>
      </c>
      <c r="BO247" s="364" t="str">
        <f>IFERROR(__xludf.DUMMYFUNCTION("""COMPUTED_VALUE"""),"Closed")</f>
        <v>Closed</v>
      </c>
      <c r="BP247" s="365" t="str">
        <f>IFERROR(__xludf.DUMMYFUNCTION("""COMPUTED_VALUE"""),"Closed")</f>
        <v>Closed</v>
      </c>
      <c r="BQ247" s="351" t="str">
        <f>IFERROR(__xludf.DUMMYFUNCTION("""COMPUTED_VALUE"""),"Closed")</f>
        <v>Closed</v>
      </c>
      <c r="BR247" s="364" t="str">
        <f>IFERROR(__xludf.DUMMYFUNCTION("""COMPUTED_VALUE"""),"Closed")</f>
        <v>Closed</v>
      </c>
      <c r="BS247" s="234" t="str">
        <f>IFERROR(__xludf.DUMMYFUNCTION("""COMPUTED_VALUE"""),"Closed")</f>
        <v>Closed</v>
      </c>
      <c r="BT247" s="351" t="str">
        <f>IFERROR(__xludf.DUMMYFUNCTION("""COMPUTED_VALUE"""),"Closed")</f>
        <v>Closed</v>
      </c>
      <c r="BU247" s="364" t="str">
        <f>IFERROR(__xludf.DUMMYFUNCTION("""COMPUTED_VALUE"""),"Closed")</f>
        <v>Closed</v>
      </c>
      <c r="BV247" s="365" t="str">
        <f>IFERROR(__xludf.DUMMYFUNCTION("""COMPUTED_VALUE"""),"Closed")</f>
        <v>Closed</v>
      </c>
      <c r="BW247" s="351" t="str">
        <f>IFERROR(__xludf.DUMMYFUNCTION("""COMPUTED_VALUE"""),"Closed")</f>
        <v>Closed</v>
      </c>
      <c r="BX247" s="364" t="str">
        <f>IFERROR(__xludf.DUMMYFUNCTION("""COMPUTED_VALUE"""),"Closed")</f>
        <v>Closed</v>
      </c>
      <c r="BY247" s="365" t="str">
        <f>IFERROR(__xludf.DUMMYFUNCTION("""COMPUTED_VALUE"""),"Closed")</f>
        <v>Closed</v>
      </c>
      <c r="BZ247" s="351" t="str">
        <f>IFERROR(__xludf.DUMMYFUNCTION("""COMPUTED_VALUE"""),"Closed")</f>
        <v>Closed</v>
      </c>
      <c r="CA247" s="364" t="str">
        <f>IFERROR(__xludf.DUMMYFUNCTION("""COMPUTED_VALUE"""),"Closed")</f>
        <v>Closed</v>
      </c>
      <c r="CB247" s="365" t="str">
        <f>IFERROR(__xludf.DUMMYFUNCTION("""COMPUTED_VALUE"""),"Closed")</f>
        <v>Closed</v>
      </c>
      <c r="CC247" s="351" t="str">
        <f>IFERROR(__xludf.DUMMYFUNCTION("""COMPUTED_VALUE"""),"Closed")</f>
        <v>Closed</v>
      </c>
      <c r="CD247" s="364" t="str">
        <f>IFERROR(__xludf.DUMMYFUNCTION("""COMPUTED_VALUE"""),"Closed")</f>
        <v>Closed</v>
      </c>
      <c r="CE247" s="365" t="str">
        <f>IFERROR(__xludf.DUMMYFUNCTION("""COMPUTED_VALUE"""),"Closed")</f>
        <v>Closed</v>
      </c>
      <c r="CF247" s="351" t="str">
        <f>IFERROR(__xludf.DUMMYFUNCTION("""COMPUTED_VALUE"""),"Closed")</f>
        <v>Closed</v>
      </c>
      <c r="CG247" s="364" t="str">
        <f>IFERROR(__xludf.DUMMYFUNCTION("""COMPUTED_VALUE"""),"Closed")</f>
        <v>Closed</v>
      </c>
      <c r="CH247" s="365" t="str">
        <f>IFERROR(__xludf.DUMMYFUNCTION("""COMPUTED_VALUE"""),"Closed")</f>
        <v>Closed</v>
      </c>
      <c r="CI247" s="351" t="str">
        <f>IFERROR(__xludf.DUMMYFUNCTION("""COMPUTED_VALUE"""),"Closed")</f>
        <v>Closed</v>
      </c>
      <c r="CJ247" s="351" t="str">
        <f>IFERROR(__xludf.DUMMYFUNCTION("""COMPUTED_VALUE"""),"Closed")</f>
        <v>Closed</v>
      </c>
      <c r="CK247" s="365" t="str">
        <f>IFERROR(__xludf.DUMMYFUNCTION("""COMPUTED_VALUE"""),"Closed")</f>
        <v>Closed</v>
      </c>
      <c r="CL247" s="351" t="str">
        <f>IFERROR(__xludf.DUMMYFUNCTION("""COMPUTED_VALUE"""),"Closed")</f>
        <v>Closed</v>
      </c>
      <c r="CM247" s="364" t="str">
        <f>IFERROR(__xludf.DUMMYFUNCTION("""COMPUTED_VALUE"""),"Closed")</f>
        <v>Closed</v>
      </c>
      <c r="CN247" s="351" t="str">
        <f>IFERROR(__xludf.DUMMYFUNCTION("""COMPUTED_VALUE"""),"Closed")</f>
        <v>Closed</v>
      </c>
      <c r="CO247" s="351" t="str">
        <f>IFERROR(__xludf.DUMMYFUNCTION("""COMPUTED_VALUE"""),"Closed")</f>
        <v>Closed</v>
      </c>
      <c r="CP247" s="351" t="str">
        <f>IFERROR(__xludf.DUMMYFUNCTION("""COMPUTED_VALUE"""),"Closed")</f>
        <v>Closed</v>
      </c>
      <c r="CQ247" s="365" t="str">
        <f>IFERROR(__xludf.DUMMYFUNCTION("""COMPUTED_VALUE"""),"Closed")</f>
        <v>Closed</v>
      </c>
      <c r="CR247" s="351" t="str">
        <f>IFERROR(__xludf.DUMMYFUNCTION("""COMPUTED_VALUE"""),"Closed")</f>
        <v>Closed</v>
      </c>
      <c r="CS247" s="351" t="str">
        <f>IFERROR(__xludf.DUMMYFUNCTION("""COMPUTED_VALUE"""),"Closed")</f>
        <v>Closed</v>
      </c>
      <c r="CT247" s="365" t="str">
        <f>IFERROR(__xludf.DUMMYFUNCTION("""COMPUTED_VALUE"""),"Closed")</f>
        <v>Closed</v>
      </c>
      <c r="CU247" s="351" t="str">
        <f>IFERROR(__xludf.DUMMYFUNCTION("""COMPUTED_VALUE"""),"Closed")</f>
        <v>Closed</v>
      </c>
      <c r="CV247" s="351" t="str">
        <f>IFERROR(__xludf.DUMMYFUNCTION("""COMPUTED_VALUE"""),"Closed")</f>
        <v>Closed</v>
      </c>
      <c r="CW247" s="365" t="str">
        <f>IFERROR(__xludf.DUMMYFUNCTION("""COMPUTED_VALUE"""),"Closed")</f>
        <v>Closed</v>
      </c>
      <c r="CX247" s="351" t="str">
        <f>IFERROR(__xludf.DUMMYFUNCTION("""COMPUTED_VALUE"""),"Closed")</f>
        <v>Closed</v>
      </c>
      <c r="CY247" s="364" t="str">
        <f>IFERROR(__xludf.DUMMYFUNCTION("""COMPUTED_VALUE"""),"Closed")</f>
        <v>Closed</v>
      </c>
      <c r="CZ247" s="351" t="str">
        <f>IFERROR(__xludf.DUMMYFUNCTION("""COMPUTED_VALUE"""),"Closed")</f>
        <v>Closed</v>
      </c>
      <c r="DA247" s="351" t="str">
        <f>IFERROR(__xludf.DUMMYFUNCTION("""COMPUTED_VALUE"""),"Closed")</f>
        <v>Closed</v>
      </c>
      <c r="DB247" s="364" t="str">
        <f>IFERROR(__xludf.DUMMYFUNCTION("""COMPUTED_VALUE"""),"Closed")</f>
        <v>Closed</v>
      </c>
      <c r="DC247" s="365" t="str">
        <f>IFERROR(__xludf.DUMMYFUNCTION("""COMPUTED_VALUE"""),"Closed")</f>
        <v>Closed</v>
      </c>
      <c r="DD247" s="351" t="str">
        <f>IFERROR(__xludf.DUMMYFUNCTION("""COMPUTED_VALUE"""),"Closed")</f>
        <v>Closed</v>
      </c>
      <c r="DE247" s="364" t="str">
        <f>IFERROR(__xludf.DUMMYFUNCTION("""COMPUTED_VALUE"""),"Closed")</f>
        <v>Closed</v>
      </c>
      <c r="DF247" s="365" t="str">
        <f>IFERROR(__xludf.DUMMYFUNCTION("""COMPUTED_VALUE"""),"Closed")</f>
        <v>Closed</v>
      </c>
      <c r="DG247" s="351" t="str">
        <f>IFERROR(__xludf.DUMMYFUNCTION("""COMPUTED_VALUE"""),"Closed")</f>
        <v>Closed</v>
      </c>
      <c r="DH247" s="364" t="str">
        <f>IFERROR(__xludf.DUMMYFUNCTION("""COMPUTED_VALUE"""),"Closed")</f>
        <v>Closed</v>
      </c>
      <c r="DI247" s="365" t="str">
        <f>IFERROR(__xludf.DUMMYFUNCTION("""COMPUTED_VALUE"""),"Closed")</f>
        <v>Closed</v>
      </c>
      <c r="DJ247" s="351" t="str">
        <f>IFERROR(__xludf.DUMMYFUNCTION("""COMPUTED_VALUE"""),"Closed")</f>
        <v>Closed</v>
      </c>
      <c r="DK247" s="364" t="str">
        <f>IFERROR(__xludf.DUMMYFUNCTION("""COMPUTED_VALUE"""),"Closed")</f>
        <v>Closed</v>
      </c>
      <c r="DL247" s="351" t="str">
        <f>IFERROR(__xludf.DUMMYFUNCTION("""COMPUTED_VALUE"""),"Closed")</f>
        <v>Closed</v>
      </c>
      <c r="DM247" s="351" t="str">
        <f>IFERROR(__xludf.DUMMYFUNCTION("""COMPUTED_VALUE"""),"Closed")</f>
        <v>Closed</v>
      </c>
      <c r="DN247" s="351" t="str">
        <f>IFERROR(__xludf.DUMMYFUNCTION("""COMPUTED_VALUE"""),"Closed")</f>
        <v>Closed</v>
      </c>
      <c r="DO247" s="256" t="str">
        <f>IFERROR(__xludf.DUMMYFUNCTION("""COMPUTED_VALUE"""),"Closed")</f>
        <v>Closed</v>
      </c>
      <c r="DP247" s="256" t="str">
        <f>IFERROR(__xludf.DUMMYFUNCTION("""COMPUTED_VALUE"""),"Closed")</f>
        <v>Closed</v>
      </c>
      <c r="DQ247" s="256" t="str">
        <f>IFERROR(__xludf.DUMMYFUNCTION("""COMPUTED_VALUE"""),"Closed")</f>
        <v>Closed</v>
      </c>
      <c r="DR247" s="256" t="str">
        <f>IFERROR(__xludf.DUMMYFUNCTION("""COMPUTED_VALUE"""),"Closed")</f>
        <v>Closed</v>
      </c>
      <c r="DS247" s="256" t="str">
        <f>IFERROR(__xludf.DUMMYFUNCTION("""COMPUTED_VALUE"""),"Closed")</f>
        <v>Closed</v>
      </c>
      <c r="DT247" s="256" t="str">
        <f>IFERROR(__xludf.DUMMYFUNCTION("""COMPUTED_VALUE"""),"Closed")</f>
        <v>Closed</v>
      </c>
    </row>
    <row r="248" hidden="1">
      <c r="A248" t="str">
        <f>IFERROR(__xludf.DUMMYFUNCTION("""COMPUTED_VALUE"""),"Heian-Kyo")</f>
        <v>Heian-Kyo</v>
      </c>
      <c r="B248" s="180" t="str">
        <f>IFERROR(__xludf.DUMMYFUNCTION("""COMPUTED_VALUE"""),"HEA1")</f>
        <v>HEA1</v>
      </c>
      <c r="C248" s="368" t="str">
        <f>IFERROR(__xludf.DUMMYFUNCTION("""COMPUTED_VALUE"""),"Jō Seven, Bō Four")</f>
        <v>Jō Seven, Bō Four</v>
      </c>
      <c r="D248" s="273">
        <f>IFERROR(__xludf.DUMMYFUNCTION("""COMPUTED_VALUE"""),21.0)</f>
        <v>21</v>
      </c>
      <c r="E248" t="b">
        <f>IFERROR(__xludf.DUMMYFUNCTION("""COMPUTED_VALUE"""),FALSE)</f>
        <v>0</v>
      </c>
      <c r="F248" t="str">
        <f>IFERROR(__xludf.DUMMYFUNCTION("""COMPUTED_VALUE"""),"Free Quests- Part 2!A871:J881")</f>
        <v>Free Quests- Part 2!A871:J881</v>
      </c>
      <c r="G248">
        <f>IFERROR(__xludf.DUMMYFUNCTION("""COMPUTED_VALUE"""),249.0)</f>
        <v>249</v>
      </c>
      <c r="H248" t="str">
        <f>IFERROR(__xludf.DUMMYFUNCTION("""COMPUTED_VALUE"""),"Closed")</f>
        <v>Closed</v>
      </c>
      <c r="I248">
        <f>IFERROR(__xludf.DUMMYFUNCTION("""COMPUTED_VALUE"""),1250.0)</f>
        <v>1250</v>
      </c>
      <c r="J248" t="str">
        <f>IFERROR(__xludf.DUMMYFUNCTION("""COMPUTED_VALUE"""),"Closed")</f>
        <v>Closed</v>
      </c>
      <c r="K248" s="369" t="str">
        <f>IFERROR(__xludf.DUMMYFUNCTION("""COMPUTED_VALUE"""),"Closed")</f>
        <v>Closed</v>
      </c>
      <c r="L248" s="256" t="str">
        <f>IFERROR(__xludf.DUMMYFUNCTION("""COMPUTED_VALUE"""),"Closed")</f>
        <v>Closed</v>
      </c>
      <c r="M248" s="370" t="str">
        <f>IFERROR(__xludf.DUMMYFUNCTION("""COMPUTED_VALUE"""),"Closed")</f>
        <v>Closed</v>
      </c>
      <c r="N248" s="371" t="str">
        <f>IFERROR(__xludf.DUMMYFUNCTION("""COMPUTED_VALUE"""),"Closed")</f>
        <v>Closed</v>
      </c>
      <c r="O248" s="256" t="str">
        <f>IFERROR(__xludf.DUMMYFUNCTION("""COMPUTED_VALUE"""),"Closed")</f>
        <v>Closed</v>
      </c>
      <c r="P248" s="370" t="str">
        <f>IFERROR(__xludf.DUMMYFUNCTION("""COMPUTED_VALUE"""),"Closed")</f>
        <v>Closed</v>
      </c>
      <c r="Q248" s="371" t="str">
        <f>IFERROR(__xludf.DUMMYFUNCTION("""COMPUTED_VALUE"""),"Closed")</f>
        <v>Closed</v>
      </c>
      <c r="R248" s="256" t="str">
        <f>IFERROR(__xludf.DUMMYFUNCTION("""COMPUTED_VALUE"""),"Closed")</f>
        <v>Closed</v>
      </c>
      <c r="S248" s="370" t="str">
        <f>IFERROR(__xludf.DUMMYFUNCTION("""COMPUTED_VALUE"""),"Closed")</f>
        <v>Closed</v>
      </c>
      <c r="T248" s="371" t="str">
        <f>IFERROR(__xludf.DUMMYFUNCTION("""COMPUTED_VALUE"""),"Closed")</f>
        <v>Closed</v>
      </c>
      <c r="U248" s="256" t="str">
        <f>IFERROR(__xludf.DUMMYFUNCTION("""COMPUTED_VALUE"""),"Closed")</f>
        <v>Closed</v>
      </c>
      <c r="V248" s="370" t="str">
        <f>IFERROR(__xludf.DUMMYFUNCTION("""COMPUTED_VALUE"""),"Closed")</f>
        <v>Closed</v>
      </c>
      <c r="W248" s="369" t="str">
        <f>IFERROR(__xludf.DUMMYFUNCTION("""COMPUTED_VALUE"""),"Closed")</f>
        <v>Closed</v>
      </c>
      <c r="X248" s="256" t="str">
        <f>IFERROR(__xludf.DUMMYFUNCTION("""COMPUTED_VALUE"""),"Closed")</f>
        <v>Closed</v>
      </c>
      <c r="Y248" s="370" t="str">
        <f>IFERROR(__xludf.DUMMYFUNCTION("""COMPUTED_VALUE"""),"Closed")</f>
        <v>Closed</v>
      </c>
      <c r="Z248" s="371" t="str">
        <f>IFERROR(__xludf.DUMMYFUNCTION("""COMPUTED_VALUE"""),"Closed")</f>
        <v>Closed</v>
      </c>
      <c r="AA248" s="256" t="str">
        <f>IFERROR(__xludf.DUMMYFUNCTION("""COMPUTED_VALUE"""),"Closed")</f>
        <v>Closed</v>
      </c>
      <c r="AB248" s="370" t="str">
        <f>IFERROR(__xludf.DUMMYFUNCTION("""COMPUTED_VALUE"""),"Closed")</f>
        <v>Closed</v>
      </c>
      <c r="AC248" s="371" t="str">
        <f>IFERROR(__xludf.DUMMYFUNCTION("""COMPUTED_VALUE"""),"Closed")</f>
        <v>Closed</v>
      </c>
      <c r="AD248" s="256" t="str">
        <f>IFERROR(__xludf.DUMMYFUNCTION("""COMPUTED_VALUE"""),"Closed")</f>
        <v>Closed</v>
      </c>
      <c r="AE248" s="370" t="str">
        <f>IFERROR(__xludf.DUMMYFUNCTION("""COMPUTED_VALUE"""),"Closed")</f>
        <v>Closed</v>
      </c>
      <c r="AF248" s="371" t="str">
        <f>IFERROR(__xludf.DUMMYFUNCTION("""COMPUTED_VALUE"""),"Closed")</f>
        <v>Closed</v>
      </c>
      <c r="AG248" s="256" t="str">
        <f>IFERROR(__xludf.DUMMYFUNCTION("""COMPUTED_VALUE"""),"Closed")</f>
        <v>Closed</v>
      </c>
      <c r="AH248" s="370" t="str">
        <f>IFERROR(__xludf.DUMMYFUNCTION("""COMPUTED_VALUE"""),"Closed")</f>
        <v>Closed</v>
      </c>
      <c r="AI248" s="369" t="str">
        <f>IFERROR(__xludf.DUMMYFUNCTION("""COMPUTED_VALUE"""),"Closed")</f>
        <v>Closed</v>
      </c>
      <c r="AJ248" s="256" t="str">
        <f>IFERROR(__xludf.DUMMYFUNCTION("""COMPUTED_VALUE"""),"Closed")</f>
        <v>Closed</v>
      </c>
      <c r="AK248" s="370" t="str">
        <f>IFERROR(__xludf.DUMMYFUNCTION("""COMPUTED_VALUE"""),"Closed")</f>
        <v>Closed</v>
      </c>
      <c r="AL248" s="372" t="str">
        <f>IFERROR(__xludf.DUMMYFUNCTION("""COMPUTED_VALUE"""),"Closed")</f>
        <v>Closed</v>
      </c>
      <c r="AM248" s="373" t="str">
        <f>IFERROR(__xludf.DUMMYFUNCTION("""COMPUTED_VALUE"""),"Closed")</f>
        <v>Closed</v>
      </c>
      <c r="AN248" s="370" t="str">
        <f>IFERROR(__xludf.DUMMYFUNCTION("""COMPUTED_VALUE"""),"Closed")</f>
        <v>Closed</v>
      </c>
      <c r="AO248" s="371" t="str">
        <f>IFERROR(__xludf.DUMMYFUNCTION("""COMPUTED_VALUE"""),"Closed")</f>
        <v>Closed</v>
      </c>
      <c r="AP248" s="256" t="str">
        <f>IFERROR(__xludf.DUMMYFUNCTION("""COMPUTED_VALUE"""),"Closed")</f>
        <v>Closed</v>
      </c>
      <c r="AQ248" s="370" t="str">
        <f>IFERROR(__xludf.DUMMYFUNCTION("""COMPUTED_VALUE"""),"Closed")</f>
        <v>Closed</v>
      </c>
      <c r="AR248" s="371" t="str">
        <f>IFERROR(__xludf.DUMMYFUNCTION("""COMPUTED_VALUE"""),"Closed")</f>
        <v>Closed</v>
      </c>
      <c r="AS248" s="256" t="str">
        <f>IFERROR(__xludf.DUMMYFUNCTION("""COMPUTED_VALUE"""),"Closed")</f>
        <v>Closed</v>
      </c>
      <c r="AT248" s="370" t="str">
        <f>IFERROR(__xludf.DUMMYFUNCTION("""COMPUTED_VALUE"""),"Closed")</f>
        <v>Closed</v>
      </c>
      <c r="AU248" s="369" t="str">
        <f>IFERROR(__xludf.DUMMYFUNCTION("""COMPUTED_VALUE"""),"Closed")</f>
        <v>Closed</v>
      </c>
      <c r="AV248" s="256" t="str">
        <f>IFERROR(__xludf.DUMMYFUNCTION("""COMPUTED_VALUE"""),"Closed")</f>
        <v>Closed</v>
      </c>
      <c r="AW248" s="370" t="str">
        <f>IFERROR(__xludf.DUMMYFUNCTION("""COMPUTED_VALUE"""),"Closed")</f>
        <v>Closed</v>
      </c>
      <c r="AX248" s="371" t="str">
        <f>IFERROR(__xludf.DUMMYFUNCTION("""COMPUTED_VALUE"""),"Closed")</f>
        <v>Closed</v>
      </c>
      <c r="AY248" s="256" t="str">
        <f>IFERROR(__xludf.DUMMYFUNCTION("""COMPUTED_VALUE"""),"Closed")</f>
        <v>Closed</v>
      </c>
      <c r="AZ248" s="370" t="str">
        <f>IFERROR(__xludf.DUMMYFUNCTION("""COMPUTED_VALUE"""),"Closed")</f>
        <v>Closed</v>
      </c>
      <c r="BA248" s="371" t="str">
        <f>IFERROR(__xludf.DUMMYFUNCTION("""COMPUTED_VALUE"""),"Closed")</f>
        <v>Closed</v>
      </c>
      <c r="BB248" s="256" t="str">
        <f>IFERROR(__xludf.DUMMYFUNCTION("""COMPUTED_VALUE"""),"Closed")</f>
        <v>Closed</v>
      </c>
      <c r="BC248" s="370" t="str">
        <f>IFERROR(__xludf.DUMMYFUNCTION("""COMPUTED_VALUE"""),"Closed")</f>
        <v>Closed</v>
      </c>
      <c r="BD248" s="371" t="str">
        <f>IFERROR(__xludf.DUMMYFUNCTION("""COMPUTED_VALUE"""),"Closed")</f>
        <v>Closed</v>
      </c>
      <c r="BE248" s="256" t="str">
        <f>IFERROR(__xludf.DUMMYFUNCTION("""COMPUTED_VALUE"""),"Closed")</f>
        <v>Closed</v>
      </c>
      <c r="BF248" s="370" t="str">
        <f>IFERROR(__xludf.DUMMYFUNCTION("""COMPUTED_VALUE"""),"Closed")</f>
        <v>Closed</v>
      </c>
      <c r="BG248" s="369" t="str">
        <f>IFERROR(__xludf.DUMMYFUNCTION("""COMPUTED_VALUE"""),"Closed")</f>
        <v>Closed</v>
      </c>
      <c r="BH248" s="256" t="str">
        <f>IFERROR(__xludf.DUMMYFUNCTION("""COMPUTED_VALUE"""),"Closed")</f>
        <v>Closed</v>
      </c>
      <c r="BI248" s="370" t="str">
        <f>IFERROR(__xludf.DUMMYFUNCTION("""COMPUTED_VALUE"""),"Closed")</f>
        <v>Closed</v>
      </c>
      <c r="BJ248" s="371" t="str">
        <f>IFERROR(__xludf.DUMMYFUNCTION("""COMPUTED_VALUE"""),"Closed")</f>
        <v>Closed</v>
      </c>
      <c r="BK248" s="256" t="str">
        <f>IFERROR(__xludf.DUMMYFUNCTION("""COMPUTED_VALUE"""),"Closed")</f>
        <v>Closed</v>
      </c>
      <c r="BL248" s="370" t="str">
        <f>IFERROR(__xludf.DUMMYFUNCTION("""COMPUTED_VALUE"""),"Closed")</f>
        <v>Closed</v>
      </c>
      <c r="BM248" s="371" t="str">
        <f>IFERROR(__xludf.DUMMYFUNCTION("""COMPUTED_VALUE"""),"Closed")</f>
        <v>Closed</v>
      </c>
      <c r="BN248" s="256" t="str">
        <f>IFERROR(__xludf.DUMMYFUNCTION("""COMPUTED_VALUE"""),"Closed")</f>
        <v>Closed</v>
      </c>
      <c r="BO248" s="370" t="str">
        <f>IFERROR(__xludf.DUMMYFUNCTION("""COMPUTED_VALUE"""),"Closed")</f>
        <v>Closed</v>
      </c>
      <c r="BP248" s="371" t="str">
        <f>IFERROR(__xludf.DUMMYFUNCTION("""COMPUTED_VALUE"""),"Closed")</f>
        <v>Closed</v>
      </c>
      <c r="BQ248" s="256" t="str">
        <f>IFERROR(__xludf.DUMMYFUNCTION("""COMPUTED_VALUE"""),"Closed")</f>
        <v>Closed</v>
      </c>
      <c r="BR248" s="370" t="str">
        <f>IFERROR(__xludf.DUMMYFUNCTION("""COMPUTED_VALUE"""),"Closed")</f>
        <v>Closed</v>
      </c>
      <c r="BS248" s="369" t="str">
        <f>IFERROR(__xludf.DUMMYFUNCTION("""COMPUTED_VALUE"""),"Closed")</f>
        <v>Closed</v>
      </c>
      <c r="BT248" s="256" t="str">
        <f>IFERROR(__xludf.DUMMYFUNCTION("""COMPUTED_VALUE"""),"Closed")</f>
        <v>Closed</v>
      </c>
      <c r="BU248" s="370" t="str">
        <f>IFERROR(__xludf.DUMMYFUNCTION("""COMPUTED_VALUE"""),"Closed")</f>
        <v>Closed</v>
      </c>
      <c r="BV248" s="371" t="str">
        <f>IFERROR(__xludf.DUMMYFUNCTION("""COMPUTED_VALUE"""),"Closed")</f>
        <v>Closed</v>
      </c>
      <c r="BW248" s="256" t="str">
        <f>IFERROR(__xludf.DUMMYFUNCTION("""COMPUTED_VALUE"""),"Closed")</f>
        <v>Closed</v>
      </c>
      <c r="BX248" s="370" t="str">
        <f>IFERROR(__xludf.DUMMYFUNCTION("""COMPUTED_VALUE"""),"Closed")</f>
        <v>Closed</v>
      </c>
      <c r="BY248" s="371" t="str">
        <f>IFERROR(__xludf.DUMMYFUNCTION("""COMPUTED_VALUE"""),"Closed")</f>
        <v>Closed</v>
      </c>
      <c r="BZ248" s="256" t="str">
        <f>IFERROR(__xludf.DUMMYFUNCTION("""COMPUTED_VALUE"""),"Closed")</f>
        <v>Closed</v>
      </c>
      <c r="CA248" s="370" t="str">
        <f>IFERROR(__xludf.DUMMYFUNCTION("""COMPUTED_VALUE"""),"Closed")</f>
        <v>Closed</v>
      </c>
      <c r="CB248" s="371" t="str">
        <f>IFERROR(__xludf.DUMMYFUNCTION("""COMPUTED_VALUE"""),"Closed")</f>
        <v>Closed</v>
      </c>
      <c r="CC248" s="256" t="str">
        <f>IFERROR(__xludf.DUMMYFUNCTION("""COMPUTED_VALUE"""),"Closed")</f>
        <v>Closed</v>
      </c>
      <c r="CD248" s="370" t="str">
        <f>IFERROR(__xludf.DUMMYFUNCTION("""COMPUTED_VALUE"""),"Closed")</f>
        <v>Closed</v>
      </c>
      <c r="CE248" s="371" t="str">
        <f>IFERROR(__xludf.DUMMYFUNCTION("""COMPUTED_VALUE"""),"Closed")</f>
        <v>Closed</v>
      </c>
      <c r="CF248" s="256" t="str">
        <f>IFERROR(__xludf.DUMMYFUNCTION("""COMPUTED_VALUE"""),"Closed")</f>
        <v>Closed</v>
      </c>
      <c r="CG248" s="370" t="str">
        <f>IFERROR(__xludf.DUMMYFUNCTION("""COMPUTED_VALUE"""),"Closed")</f>
        <v>Closed</v>
      </c>
      <c r="CH248" s="371" t="str">
        <f>IFERROR(__xludf.DUMMYFUNCTION("""COMPUTED_VALUE"""),"Closed")</f>
        <v>Closed</v>
      </c>
      <c r="CI248" s="256" t="str">
        <f>IFERROR(__xludf.DUMMYFUNCTION("""COMPUTED_VALUE"""),"Closed")</f>
        <v>Closed</v>
      </c>
      <c r="CJ248" s="256" t="str">
        <f>IFERROR(__xludf.DUMMYFUNCTION("""COMPUTED_VALUE"""),"Closed")</f>
        <v>Closed</v>
      </c>
      <c r="CK248" s="371" t="str">
        <f>IFERROR(__xludf.DUMMYFUNCTION("""COMPUTED_VALUE"""),"Closed")</f>
        <v>Closed</v>
      </c>
      <c r="CL248" s="256" t="str">
        <f>IFERROR(__xludf.DUMMYFUNCTION("""COMPUTED_VALUE"""),"Closed")</f>
        <v>Closed</v>
      </c>
      <c r="CM248" s="370" t="str">
        <f>IFERROR(__xludf.DUMMYFUNCTION("""COMPUTED_VALUE"""),"Closed")</f>
        <v>Closed</v>
      </c>
      <c r="CN248" s="256" t="str">
        <f>IFERROR(__xludf.DUMMYFUNCTION("""COMPUTED_VALUE"""),"Closed")</f>
        <v>Closed</v>
      </c>
      <c r="CO248" s="256" t="str">
        <f>IFERROR(__xludf.DUMMYFUNCTION("""COMPUTED_VALUE"""),"Closed")</f>
        <v>Closed</v>
      </c>
      <c r="CP248" s="256" t="str">
        <f>IFERROR(__xludf.DUMMYFUNCTION("""COMPUTED_VALUE"""),"Closed")</f>
        <v>Closed</v>
      </c>
      <c r="CQ248" s="371" t="str">
        <f>IFERROR(__xludf.DUMMYFUNCTION("""COMPUTED_VALUE"""),"Closed")</f>
        <v>Closed</v>
      </c>
      <c r="CR248" s="256" t="str">
        <f>IFERROR(__xludf.DUMMYFUNCTION("""COMPUTED_VALUE"""),"Closed")</f>
        <v>Closed</v>
      </c>
      <c r="CS248" s="256" t="str">
        <f>IFERROR(__xludf.DUMMYFUNCTION("""COMPUTED_VALUE"""),"Closed")</f>
        <v>Closed</v>
      </c>
      <c r="CT248" s="371" t="str">
        <f>IFERROR(__xludf.DUMMYFUNCTION("""COMPUTED_VALUE"""),"Closed")</f>
        <v>Closed</v>
      </c>
      <c r="CU248" s="256" t="str">
        <f>IFERROR(__xludf.DUMMYFUNCTION("""COMPUTED_VALUE"""),"Closed")</f>
        <v>Closed</v>
      </c>
      <c r="CV248" s="256" t="str">
        <f>IFERROR(__xludf.DUMMYFUNCTION("""COMPUTED_VALUE"""),"Closed")</f>
        <v>Closed</v>
      </c>
      <c r="CW248" s="371" t="str">
        <f>IFERROR(__xludf.DUMMYFUNCTION("""COMPUTED_VALUE"""),"Closed")</f>
        <v>Closed</v>
      </c>
      <c r="CX248" s="256" t="str">
        <f>IFERROR(__xludf.DUMMYFUNCTION("""COMPUTED_VALUE"""),"Closed")</f>
        <v>Closed</v>
      </c>
      <c r="CY248" s="370" t="str">
        <f>IFERROR(__xludf.DUMMYFUNCTION("""COMPUTED_VALUE"""),"Closed")</f>
        <v>Closed</v>
      </c>
      <c r="CZ248" s="256" t="str">
        <f>IFERROR(__xludf.DUMMYFUNCTION("""COMPUTED_VALUE"""),"Closed")</f>
        <v>Closed</v>
      </c>
      <c r="DA248" s="256" t="str">
        <f>IFERROR(__xludf.DUMMYFUNCTION("""COMPUTED_VALUE"""),"Closed")</f>
        <v>Closed</v>
      </c>
      <c r="DB248" s="370" t="str">
        <f>IFERROR(__xludf.DUMMYFUNCTION("""COMPUTED_VALUE"""),"Closed")</f>
        <v>Closed</v>
      </c>
      <c r="DC248" s="371" t="str">
        <f>IFERROR(__xludf.DUMMYFUNCTION("""COMPUTED_VALUE"""),"Closed")</f>
        <v>Closed</v>
      </c>
      <c r="DD248" s="256" t="str">
        <f>IFERROR(__xludf.DUMMYFUNCTION("""COMPUTED_VALUE"""),"Closed")</f>
        <v>Closed</v>
      </c>
      <c r="DE248" s="370" t="str">
        <f>IFERROR(__xludf.DUMMYFUNCTION("""COMPUTED_VALUE"""),"Closed")</f>
        <v>Closed</v>
      </c>
      <c r="DF248" s="371" t="str">
        <f>IFERROR(__xludf.DUMMYFUNCTION("""COMPUTED_VALUE"""),"Closed")</f>
        <v>Closed</v>
      </c>
      <c r="DG248" s="256" t="str">
        <f>IFERROR(__xludf.DUMMYFUNCTION("""COMPUTED_VALUE"""),"Closed")</f>
        <v>Closed</v>
      </c>
      <c r="DH248" s="370" t="str">
        <f>IFERROR(__xludf.DUMMYFUNCTION("""COMPUTED_VALUE"""),"Closed")</f>
        <v>Closed</v>
      </c>
      <c r="DI248" s="371" t="str">
        <f>IFERROR(__xludf.DUMMYFUNCTION("""COMPUTED_VALUE"""),"Closed")</f>
        <v>Closed</v>
      </c>
      <c r="DJ248" s="256" t="str">
        <f>IFERROR(__xludf.DUMMYFUNCTION("""COMPUTED_VALUE"""),"Closed")</f>
        <v>Closed</v>
      </c>
      <c r="DK248" s="370" t="str">
        <f>IFERROR(__xludf.DUMMYFUNCTION("""COMPUTED_VALUE"""),"Closed")</f>
        <v>Closed</v>
      </c>
      <c r="DL248" s="256" t="str">
        <f>IFERROR(__xludf.DUMMYFUNCTION("""COMPUTED_VALUE"""),"Closed")</f>
        <v>Closed</v>
      </c>
      <c r="DM248" s="256" t="str">
        <f>IFERROR(__xludf.DUMMYFUNCTION("""COMPUTED_VALUE"""),"Closed")</f>
        <v>Closed</v>
      </c>
      <c r="DN248" s="256" t="str">
        <f>IFERROR(__xludf.DUMMYFUNCTION("""COMPUTED_VALUE"""),"Closed")</f>
        <v>Closed</v>
      </c>
      <c r="DO248" s="256" t="str">
        <f>IFERROR(__xludf.DUMMYFUNCTION("""COMPUTED_VALUE"""),"Closed")</f>
        <v>Closed</v>
      </c>
      <c r="DP248" s="256" t="str">
        <f>IFERROR(__xludf.DUMMYFUNCTION("""COMPUTED_VALUE"""),"Closed")</f>
        <v>Closed</v>
      </c>
      <c r="DQ248" s="256" t="str">
        <f>IFERROR(__xludf.DUMMYFUNCTION("""COMPUTED_VALUE"""),"Closed")</f>
        <v>Closed</v>
      </c>
      <c r="DR248" s="256" t="str">
        <f>IFERROR(__xludf.DUMMYFUNCTION("""COMPUTED_VALUE"""),"Closed")</f>
        <v>Closed</v>
      </c>
      <c r="DS248" s="256" t="str">
        <f>IFERROR(__xludf.DUMMYFUNCTION("""COMPUTED_VALUE"""),"Closed")</f>
        <v>Closed</v>
      </c>
      <c r="DT248" s="256" t="str">
        <f>IFERROR(__xludf.DUMMYFUNCTION("""COMPUTED_VALUE"""),"Closed")</f>
        <v>Closed</v>
      </c>
    </row>
    <row r="249" hidden="1">
      <c r="B249" s="180" t="str">
        <f>IFERROR(__xludf.DUMMYFUNCTION("""COMPUTED_VALUE"""),"HEA2")</f>
        <v>HEA2</v>
      </c>
      <c r="C249" s="368" t="str">
        <f>IFERROR(__xludf.DUMMYFUNCTION("""COMPUTED_VALUE"""),"Jō Seven, Bō Two")</f>
        <v>Jō Seven, Bō Two</v>
      </c>
      <c r="D249" s="273">
        <f>IFERROR(__xludf.DUMMYFUNCTION("""COMPUTED_VALUE"""),21.0)</f>
        <v>21</v>
      </c>
      <c r="E249" t="b">
        <f>IFERROR(__xludf.DUMMYFUNCTION("""COMPUTED_VALUE"""),FALSE)</f>
        <v>0</v>
      </c>
      <c r="F249" t="str">
        <f>IFERROR(__xludf.DUMMYFUNCTION("""COMPUTED_VALUE"""),"Free Quests- Part 2!A885:J896")</f>
        <v>Free Quests- Part 2!A885:J896</v>
      </c>
      <c r="G249">
        <f>IFERROR(__xludf.DUMMYFUNCTION("""COMPUTED_VALUE"""),250.0)</f>
        <v>250</v>
      </c>
      <c r="H249" t="str">
        <f>IFERROR(__xludf.DUMMYFUNCTION("""COMPUTED_VALUE"""),"Closed")</f>
        <v>Closed</v>
      </c>
      <c r="I249">
        <f>IFERROR(__xludf.DUMMYFUNCTION("""COMPUTED_VALUE"""),1000.0)</f>
        <v>1000</v>
      </c>
      <c r="J249" t="str">
        <f>IFERROR(__xludf.DUMMYFUNCTION("""COMPUTED_VALUE"""),"Closed")</f>
        <v>Closed</v>
      </c>
      <c r="K249" s="369" t="str">
        <f>IFERROR(__xludf.DUMMYFUNCTION("""COMPUTED_VALUE"""),"Closed")</f>
        <v>Closed</v>
      </c>
      <c r="L249" s="256" t="str">
        <f>IFERROR(__xludf.DUMMYFUNCTION("""COMPUTED_VALUE"""),"Closed")</f>
        <v>Closed</v>
      </c>
      <c r="M249" s="370" t="str">
        <f>IFERROR(__xludf.DUMMYFUNCTION("""COMPUTED_VALUE"""),"Closed")</f>
        <v>Closed</v>
      </c>
      <c r="N249" s="371" t="str">
        <f>IFERROR(__xludf.DUMMYFUNCTION("""COMPUTED_VALUE"""),"Closed")</f>
        <v>Closed</v>
      </c>
      <c r="O249" s="256" t="str">
        <f>IFERROR(__xludf.DUMMYFUNCTION("""COMPUTED_VALUE"""),"Closed")</f>
        <v>Closed</v>
      </c>
      <c r="P249" s="370" t="str">
        <f>IFERROR(__xludf.DUMMYFUNCTION("""COMPUTED_VALUE"""),"Closed")</f>
        <v>Closed</v>
      </c>
      <c r="Q249" s="371" t="str">
        <f>IFERROR(__xludf.DUMMYFUNCTION("""COMPUTED_VALUE"""),"Closed")</f>
        <v>Closed</v>
      </c>
      <c r="R249" s="256" t="str">
        <f>IFERROR(__xludf.DUMMYFUNCTION("""COMPUTED_VALUE"""),"Closed")</f>
        <v>Closed</v>
      </c>
      <c r="S249" s="370" t="str">
        <f>IFERROR(__xludf.DUMMYFUNCTION("""COMPUTED_VALUE"""),"Closed")</f>
        <v>Closed</v>
      </c>
      <c r="T249" s="371" t="str">
        <f>IFERROR(__xludf.DUMMYFUNCTION("""COMPUTED_VALUE"""),"Closed")</f>
        <v>Closed</v>
      </c>
      <c r="U249" s="256" t="str">
        <f>IFERROR(__xludf.DUMMYFUNCTION("""COMPUTED_VALUE"""),"Closed")</f>
        <v>Closed</v>
      </c>
      <c r="V249" s="370" t="str">
        <f>IFERROR(__xludf.DUMMYFUNCTION("""COMPUTED_VALUE"""),"Closed")</f>
        <v>Closed</v>
      </c>
      <c r="W249" s="369" t="str">
        <f>IFERROR(__xludf.DUMMYFUNCTION("""COMPUTED_VALUE"""),"Closed")</f>
        <v>Closed</v>
      </c>
      <c r="X249" s="256" t="str">
        <f>IFERROR(__xludf.DUMMYFUNCTION("""COMPUTED_VALUE"""),"Closed")</f>
        <v>Closed</v>
      </c>
      <c r="Y249" s="370" t="str">
        <f>IFERROR(__xludf.DUMMYFUNCTION("""COMPUTED_VALUE"""),"Closed")</f>
        <v>Closed</v>
      </c>
      <c r="Z249" s="371" t="str">
        <f>IFERROR(__xludf.DUMMYFUNCTION("""COMPUTED_VALUE"""),"Closed")</f>
        <v>Closed</v>
      </c>
      <c r="AA249" s="256" t="str">
        <f>IFERROR(__xludf.DUMMYFUNCTION("""COMPUTED_VALUE"""),"Closed")</f>
        <v>Closed</v>
      </c>
      <c r="AB249" s="370" t="str">
        <f>IFERROR(__xludf.DUMMYFUNCTION("""COMPUTED_VALUE"""),"Closed")</f>
        <v>Closed</v>
      </c>
      <c r="AC249" s="371" t="str">
        <f>IFERROR(__xludf.DUMMYFUNCTION("""COMPUTED_VALUE"""),"Closed")</f>
        <v>Closed</v>
      </c>
      <c r="AD249" s="256" t="str">
        <f>IFERROR(__xludf.DUMMYFUNCTION("""COMPUTED_VALUE"""),"Closed")</f>
        <v>Closed</v>
      </c>
      <c r="AE249" s="370" t="str">
        <f>IFERROR(__xludf.DUMMYFUNCTION("""COMPUTED_VALUE"""),"Closed")</f>
        <v>Closed</v>
      </c>
      <c r="AF249" s="371" t="str">
        <f>IFERROR(__xludf.DUMMYFUNCTION("""COMPUTED_VALUE"""),"Closed")</f>
        <v>Closed</v>
      </c>
      <c r="AG249" s="256" t="str">
        <f>IFERROR(__xludf.DUMMYFUNCTION("""COMPUTED_VALUE"""),"Closed")</f>
        <v>Closed</v>
      </c>
      <c r="AH249" s="370" t="str">
        <f>IFERROR(__xludf.DUMMYFUNCTION("""COMPUTED_VALUE"""),"Closed")</f>
        <v>Closed</v>
      </c>
      <c r="AI249" s="369" t="str">
        <f>IFERROR(__xludf.DUMMYFUNCTION("""COMPUTED_VALUE"""),"Closed")</f>
        <v>Closed</v>
      </c>
      <c r="AJ249" s="256" t="str">
        <f>IFERROR(__xludf.DUMMYFUNCTION("""COMPUTED_VALUE"""),"Closed")</f>
        <v>Closed</v>
      </c>
      <c r="AK249" s="370" t="str">
        <f>IFERROR(__xludf.DUMMYFUNCTION("""COMPUTED_VALUE"""),"Closed")</f>
        <v>Closed</v>
      </c>
      <c r="AL249" s="372" t="str">
        <f>IFERROR(__xludf.DUMMYFUNCTION("""COMPUTED_VALUE"""),"Closed")</f>
        <v>Closed</v>
      </c>
      <c r="AM249" s="373" t="str">
        <f>IFERROR(__xludf.DUMMYFUNCTION("""COMPUTED_VALUE"""),"Closed")</f>
        <v>Closed</v>
      </c>
      <c r="AN249" s="370" t="str">
        <f>IFERROR(__xludf.DUMMYFUNCTION("""COMPUTED_VALUE"""),"Closed")</f>
        <v>Closed</v>
      </c>
      <c r="AO249" s="371" t="str">
        <f>IFERROR(__xludf.DUMMYFUNCTION("""COMPUTED_VALUE"""),"Closed")</f>
        <v>Closed</v>
      </c>
      <c r="AP249" s="256" t="str">
        <f>IFERROR(__xludf.DUMMYFUNCTION("""COMPUTED_VALUE"""),"Closed")</f>
        <v>Closed</v>
      </c>
      <c r="AQ249" s="370" t="str">
        <f>IFERROR(__xludf.DUMMYFUNCTION("""COMPUTED_VALUE"""),"Closed")</f>
        <v>Closed</v>
      </c>
      <c r="AR249" s="371" t="str">
        <f>IFERROR(__xludf.DUMMYFUNCTION("""COMPUTED_VALUE"""),"Closed")</f>
        <v>Closed</v>
      </c>
      <c r="AS249" s="256" t="str">
        <f>IFERROR(__xludf.DUMMYFUNCTION("""COMPUTED_VALUE"""),"Closed")</f>
        <v>Closed</v>
      </c>
      <c r="AT249" s="370" t="str">
        <f>IFERROR(__xludf.DUMMYFUNCTION("""COMPUTED_VALUE"""),"Closed")</f>
        <v>Closed</v>
      </c>
      <c r="AU249" s="369" t="str">
        <f>IFERROR(__xludf.DUMMYFUNCTION("""COMPUTED_VALUE"""),"Closed")</f>
        <v>Closed</v>
      </c>
      <c r="AV249" s="256" t="str">
        <f>IFERROR(__xludf.DUMMYFUNCTION("""COMPUTED_VALUE"""),"Closed")</f>
        <v>Closed</v>
      </c>
      <c r="AW249" s="370" t="str">
        <f>IFERROR(__xludf.DUMMYFUNCTION("""COMPUTED_VALUE"""),"Closed")</f>
        <v>Closed</v>
      </c>
      <c r="AX249" s="371" t="str">
        <f>IFERROR(__xludf.DUMMYFUNCTION("""COMPUTED_VALUE"""),"Closed")</f>
        <v>Closed</v>
      </c>
      <c r="AY249" s="256" t="str">
        <f>IFERROR(__xludf.DUMMYFUNCTION("""COMPUTED_VALUE"""),"Closed")</f>
        <v>Closed</v>
      </c>
      <c r="AZ249" s="370" t="str">
        <f>IFERROR(__xludf.DUMMYFUNCTION("""COMPUTED_VALUE"""),"Closed")</f>
        <v>Closed</v>
      </c>
      <c r="BA249" s="371" t="str">
        <f>IFERROR(__xludf.DUMMYFUNCTION("""COMPUTED_VALUE"""),"Closed")</f>
        <v>Closed</v>
      </c>
      <c r="BB249" s="256" t="str">
        <f>IFERROR(__xludf.DUMMYFUNCTION("""COMPUTED_VALUE"""),"Closed")</f>
        <v>Closed</v>
      </c>
      <c r="BC249" s="370" t="str">
        <f>IFERROR(__xludf.DUMMYFUNCTION("""COMPUTED_VALUE"""),"Closed")</f>
        <v>Closed</v>
      </c>
      <c r="BD249" s="371" t="str">
        <f>IFERROR(__xludf.DUMMYFUNCTION("""COMPUTED_VALUE"""),"Closed")</f>
        <v>Closed</v>
      </c>
      <c r="BE249" s="256" t="str">
        <f>IFERROR(__xludf.DUMMYFUNCTION("""COMPUTED_VALUE"""),"Closed")</f>
        <v>Closed</v>
      </c>
      <c r="BF249" s="370" t="str">
        <f>IFERROR(__xludf.DUMMYFUNCTION("""COMPUTED_VALUE"""),"Closed")</f>
        <v>Closed</v>
      </c>
      <c r="BG249" s="369" t="str">
        <f>IFERROR(__xludf.DUMMYFUNCTION("""COMPUTED_VALUE"""),"Closed")</f>
        <v>Closed</v>
      </c>
      <c r="BH249" s="256" t="str">
        <f>IFERROR(__xludf.DUMMYFUNCTION("""COMPUTED_VALUE"""),"Closed")</f>
        <v>Closed</v>
      </c>
      <c r="BI249" s="370" t="str">
        <f>IFERROR(__xludf.DUMMYFUNCTION("""COMPUTED_VALUE"""),"Closed")</f>
        <v>Closed</v>
      </c>
      <c r="BJ249" s="371" t="str">
        <f>IFERROR(__xludf.DUMMYFUNCTION("""COMPUTED_VALUE"""),"Closed")</f>
        <v>Closed</v>
      </c>
      <c r="BK249" s="256" t="str">
        <f>IFERROR(__xludf.DUMMYFUNCTION("""COMPUTED_VALUE"""),"Closed")</f>
        <v>Closed</v>
      </c>
      <c r="BL249" s="370" t="str">
        <f>IFERROR(__xludf.DUMMYFUNCTION("""COMPUTED_VALUE"""),"Closed")</f>
        <v>Closed</v>
      </c>
      <c r="BM249" s="371" t="str">
        <f>IFERROR(__xludf.DUMMYFUNCTION("""COMPUTED_VALUE"""),"Closed")</f>
        <v>Closed</v>
      </c>
      <c r="BN249" s="256" t="str">
        <f>IFERROR(__xludf.DUMMYFUNCTION("""COMPUTED_VALUE"""),"Closed")</f>
        <v>Closed</v>
      </c>
      <c r="BO249" s="370" t="str">
        <f>IFERROR(__xludf.DUMMYFUNCTION("""COMPUTED_VALUE"""),"Closed")</f>
        <v>Closed</v>
      </c>
      <c r="BP249" s="371" t="str">
        <f>IFERROR(__xludf.DUMMYFUNCTION("""COMPUTED_VALUE"""),"Closed")</f>
        <v>Closed</v>
      </c>
      <c r="BQ249" s="256" t="str">
        <f>IFERROR(__xludf.DUMMYFUNCTION("""COMPUTED_VALUE"""),"Closed")</f>
        <v>Closed</v>
      </c>
      <c r="BR249" s="370" t="str">
        <f>IFERROR(__xludf.DUMMYFUNCTION("""COMPUTED_VALUE"""),"Closed")</f>
        <v>Closed</v>
      </c>
      <c r="BS249" s="369" t="str">
        <f>IFERROR(__xludf.DUMMYFUNCTION("""COMPUTED_VALUE"""),"Closed")</f>
        <v>Closed</v>
      </c>
      <c r="BT249" s="256" t="str">
        <f>IFERROR(__xludf.DUMMYFUNCTION("""COMPUTED_VALUE"""),"Closed")</f>
        <v>Closed</v>
      </c>
      <c r="BU249" s="370" t="str">
        <f>IFERROR(__xludf.DUMMYFUNCTION("""COMPUTED_VALUE"""),"Closed")</f>
        <v>Closed</v>
      </c>
      <c r="BV249" s="371" t="str">
        <f>IFERROR(__xludf.DUMMYFUNCTION("""COMPUTED_VALUE"""),"Closed")</f>
        <v>Closed</v>
      </c>
      <c r="BW249" s="256" t="str">
        <f>IFERROR(__xludf.DUMMYFUNCTION("""COMPUTED_VALUE"""),"Closed")</f>
        <v>Closed</v>
      </c>
      <c r="BX249" s="370" t="str">
        <f>IFERROR(__xludf.DUMMYFUNCTION("""COMPUTED_VALUE"""),"Closed")</f>
        <v>Closed</v>
      </c>
      <c r="BY249" s="371" t="str">
        <f>IFERROR(__xludf.DUMMYFUNCTION("""COMPUTED_VALUE"""),"Closed")</f>
        <v>Closed</v>
      </c>
      <c r="BZ249" s="256" t="str">
        <f>IFERROR(__xludf.DUMMYFUNCTION("""COMPUTED_VALUE"""),"Closed")</f>
        <v>Closed</v>
      </c>
      <c r="CA249" s="370" t="str">
        <f>IFERROR(__xludf.DUMMYFUNCTION("""COMPUTED_VALUE"""),"Closed")</f>
        <v>Closed</v>
      </c>
      <c r="CB249" s="371" t="str">
        <f>IFERROR(__xludf.DUMMYFUNCTION("""COMPUTED_VALUE"""),"Closed")</f>
        <v>Closed</v>
      </c>
      <c r="CC249" s="256" t="str">
        <f>IFERROR(__xludf.DUMMYFUNCTION("""COMPUTED_VALUE"""),"Closed")</f>
        <v>Closed</v>
      </c>
      <c r="CD249" s="370" t="str">
        <f>IFERROR(__xludf.DUMMYFUNCTION("""COMPUTED_VALUE"""),"Closed")</f>
        <v>Closed</v>
      </c>
      <c r="CE249" s="371" t="str">
        <f>IFERROR(__xludf.DUMMYFUNCTION("""COMPUTED_VALUE"""),"Closed")</f>
        <v>Closed</v>
      </c>
      <c r="CF249" s="256" t="str">
        <f>IFERROR(__xludf.DUMMYFUNCTION("""COMPUTED_VALUE"""),"Closed")</f>
        <v>Closed</v>
      </c>
      <c r="CG249" s="370" t="str">
        <f>IFERROR(__xludf.DUMMYFUNCTION("""COMPUTED_VALUE"""),"Closed")</f>
        <v>Closed</v>
      </c>
      <c r="CH249" s="371" t="str">
        <f>IFERROR(__xludf.DUMMYFUNCTION("""COMPUTED_VALUE"""),"Closed")</f>
        <v>Closed</v>
      </c>
      <c r="CI249" s="256" t="str">
        <f>IFERROR(__xludf.DUMMYFUNCTION("""COMPUTED_VALUE"""),"Closed")</f>
        <v>Closed</v>
      </c>
      <c r="CJ249" s="256" t="str">
        <f>IFERROR(__xludf.DUMMYFUNCTION("""COMPUTED_VALUE"""),"Closed")</f>
        <v>Closed</v>
      </c>
      <c r="CK249" s="371" t="str">
        <f>IFERROR(__xludf.DUMMYFUNCTION("""COMPUTED_VALUE"""),"Closed")</f>
        <v>Closed</v>
      </c>
      <c r="CL249" s="256" t="str">
        <f>IFERROR(__xludf.DUMMYFUNCTION("""COMPUTED_VALUE"""),"Closed")</f>
        <v>Closed</v>
      </c>
      <c r="CM249" s="370" t="str">
        <f>IFERROR(__xludf.DUMMYFUNCTION("""COMPUTED_VALUE"""),"Closed")</f>
        <v>Closed</v>
      </c>
      <c r="CN249" s="256" t="str">
        <f>IFERROR(__xludf.DUMMYFUNCTION("""COMPUTED_VALUE"""),"Closed")</f>
        <v>Closed</v>
      </c>
      <c r="CO249" s="256" t="str">
        <f>IFERROR(__xludf.DUMMYFUNCTION("""COMPUTED_VALUE"""),"Closed")</f>
        <v>Closed</v>
      </c>
      <c r="CP249" s="256" t="str">
        <f>IFERROR(__xludf.DUMMYFUNCTION("""COMPUTED_VALUE"""),"Closed")</f>
        <v>Closed</v>
      </c>
      <c r="CQ249" s="371" t="str">
        <f>IFERROR(__xludf.DUMMYFUNCTION("""COMPUTED_VALUE"""),"Closed")</f>
        <v>Closed</v>
      </c>
      <c r="CR249" s="256" t="str">
        <f>IFERROR(__xludf.DUMMYFUNCTION("""COMPUTED_VALUE"""),"Closed")</f>
        <v>Closed</v>
      </c>
      <c r="CS249" s="256" t="str">
        <f>IFERROR(__xludf.DUMMYFUNCTION("""COMPUTED_VALUE"""),"Closed")</f>
        <v>Closed</v>
      </c>
      <c r="CT249" s="371" t="str">
        <f>IFERROR(__xludf.DUMMYFUNCTION("""COMPUTED_VALUE"""),"Closed")</f>
        <v>Closed</v>
      </c>
      <c r="CU249" s="256" t="str">
        <f>IFERROR(__xludf.DUMMYFUNCTION("""COMPUTED_VALUE"""),"Closed")</f>
        <v>Closed</v>
      </c>
      <c r="CV249" s="256" t="str">
        <f>IFERROR(__xludf.DUMMYFUNCTION("""COMPUTED_VALUE"""),"Closed")</f>
        <v>Closed</v>
      </c>
      <c r="CW249" s="371" t="str">
        <f>IFERROR(__xludf.DUMMYFUNCTION("""COMPUTED_VALUE"""),"Closed")</f>
        <v>Closed</v>
      </c>
      <c r="CX249" s="256" t="str">
        <f>IFERROR(__xludf.DUMMYFUNCTION("""COMPUTED_VALUE"""),"Closed")</f>
        <v>Closed</v>
      </c>
      <c r="CY249" s="370" t="str">
        <f>IFERROR(__xludf.DUMMYFUNCTION("""COMPUTED_VALUE"""),"Closed")</f>
        <v>Closed</v>
      </c>
      <c r="CZ249" s="256" t="str">
        <f>IFERROR(__xludf.DUMMYFUNCTION("""COMPUTED_VALUE"""),"Closed")</f>
        <v>Closed</v>
      </c>
      <c r="DA249" s="256" t="str">
        <f>IFERROR(__xludf.DUMMYFUNCTION("""COMPUTED_VALUE"""),"Closed")</f>
        <v>Closed</v>
      </c>
      <c r="DB249" s="370" t="str">
        <f>IFERROR(__xludf.DUMMYFUNCTION("""COMPUTED_VALUE"""),"Closed")</f>
        <v>Closed</v>
      </c>
      <c r="DC249" s="371" t="str">
        <f>IFERROR(__xludf.DUMMYFUNCTION("""COMPUTED_VALUE"""),"Closed")</f>
        <v>Closed</v>
      </c>
      <c r="DD249" s="256" t="str">
        <f>IFERROR(__xludf.DUMMYFUNCTION("""COMPUTED_VALUE"""),"Closed")</f>
        <v>Closed</v>
      </c>
      <c r="DE249" s="370" t="str">
        <f>IFERROR(__xludf.DUMMYFUNCTION("""COMPUTED_VALUE"""),"Closed")</f>
        <v>Closed</v>
      </c>
      <c r="DF249" s="371" t="str">
        <f>IFERROR(__xludf.DUMMYFUNCTION("""COMPUTED_VALUE"""),"Closed")</f>
        <v>Closed</v>
      </c>
      <c r="DG249" s="256" t="str">
        <f>IFERROR(__xludf.DUMMYFUNCTION("""COMPUTED_VALUE"""),"Closed")</f>
        <v>Closed</v>
      </c>
      <c r="DH249" s="370" t="str">
        <f>IFERROR(__xludf.DUMMYFUNCTION("""COMPUTED_VALUE"""),"Closed")</f>
        <v>Closed</v>
      </c>
      <c r="DI249" s="371" t="str">
        <f>IFERROR(__xludf.DUMMYFUNCTION("""COMPUTED_VALUE"""),"Closed")</f>
        <v>Closed</v>
      </c>
      <c r="DJ249" s="256" t="str">
        <f>IFERROR(__xludf.DUMMYFUNCTION("""COMPUTED_VALUE"""),"Closed")</f>
        <v>Closed</v>
      </c>
      <c r="DK249" s="370" t="str">
        <f>IFERROR(__xludf.DUMMYFUNCTION("""COMPUTED_VALUE"""),"Closed")</f>
        <v>Closed</v>
      </c>
      <c r="DL249" s="256" t="str">
        <f>IFERROR(__xludf.DUMMYFUNCTION("""COMPUTED_VALUE"""),"Closed")</f>
        <v>Closed</v>
      </c>
      <c r="DM249" s="256" t="str">
        <f>IFERROR(__xludf.DUMMYFUNCTION("""COMPUTED_VALUE"""),"Closed")</f>
        <v>Closed</v>
      </c>
      <c r="DN249" s="256" t="str">
        <f>IFERROR(__xludf.DUMMYFUNCTION("""COMPUTED_VALUE"""),"Closed")</f>
        <v>Closed</v>
      </c>
      <c r="DO249" s="256" t="str">
        <f>IFERROR(__xludf.DUMMYFUNCTION("""COMPUTED_VALUE"""),"Closed")</f>
        <v>Closed</v>
      </c>
      <c r="DP249" s="256" t="str">
        <f>IFERROR(__xludf.DUMMYFUNCTION("""COMPUTED_VALUE"""),"Closed")</f>
        <v>Closed</v>
      </c>
      <c r="DQ249" s="256" t="str">
        <f>IFERROR(__xludf.DUMMYFUNCTION("""COMPUTED_VALUE"""),"Closed")</f>
        <v>Closed</v>
      </c>
      <c r="DR249" s="256" t="str">
        <f>IFERROR(__xludf.DUMMYFUNCTION("""COMPUTED_VALUE"""),"Closed")</f>
        <v>Closed</v>
      </c>
      <c r="DS249" s="256" t="str">
        <f>IFERROR(__xludf.DUMMYFUNCTION("""COMPUTED_VALUE"""),"Closed")</f>
        <v>Closed</v>
      </c>
      <c r="DT249" s="256" t="str">
        <f>IFERROR(__xludf.DUMMYFUNCTION("""COMPUTED_VALUE"""),"Closed")</f>
        <v>Closed</v>
      </c>
    </row>
    <row r="250" hidden="1">
      <c r="B250" s="180" t="str">
        <f>IFERROR(__xludf.DUMMYFUNCTION("""COMPUTED_VALUE"""),"HEA3")</f>
        <v>HEA3</v>
      </c>
      <c r="C250" s="368" t="str">
        <f>IFERROR(__xludf.DUMMYFUNCTION("""COMPUTED_VALUE"""),"Jō Six, Main Street")</f>
        <v>Jō Six, Main Street</v>
      </c>
      <c r="D250" s="273">
        <f>IFERROR(__xludf.DUMMYFUNCTION("""COMPUTED_VALUE"""),21.0)</f>
        <v>21</v>
      </c>
      <c r="E250" t="b">
        <f>IFERROR(__xludf.DUMMYFUNCTION("""COMPUTED_VALUE"""),FALSE)</f>
        <v>0</v>
      </c>
      <c r="F250" t="str">
        <f>IFERROR(__xludf.DUMMYFUNCTION("""COMPUTED_VALUE"""),"Free Quests- Part 2!A900:J909")</f>
        <v>Free Quests- Part 2!A900:J909</v>
      </c>
      <c r="G250">
        <f>IFERROR(__xludf.DUMMYFUNCTION("""COMPUTED_VALUE"""),251.0)</f>
        <v>251</v>
      </c>
      <c r="H250" t="str">
        <f>IFERROR(__xludf.DUMMYFUNCTION("""COMPUTED_VALUE"""),"Closed")</f>
        <v>Closed</v>
      </c>
      <c r="I250">
        <f>IFERROR(__xludf.DUMMYFUNCTION("""COMPUTED_VALUE"""),1792.0)</f>
        <v>1792</v>
      </c>
      <c r="J250" t="str">
        <f>IFERROR(__xludf.DUMMYFUNCTION("""COMPUTED_VALUE"""),"Closed")</f>
        <v>Closed</v>
      </c>
      <c r="K250" s="369" t="str">
        <f>IFERROR(__xludf.DUMMYFUNCTION("""COMPUTED_VALUE"""),"Closed")</f>
        <v>Closed</v>
      </c>
      <c r="L250" s="256" t="str">
        <f>IFERROR(__xludf.DUMMYFUNCTION("""COMPUTED_VALUE"""),"Closed")</f>
        <v>Closed</v>
      </c>
      <c r="M250" s="370" t="str">
        <f>IFERROR(__xludf.DUMMYFUNCTION("""COMPUTED_VALUE"""),"Closed")</f>
        <v>Closed</v>
      </c>
      <c r="N250" s="371" t="str">
        <f>IFERROR(__xludf.DUMMYFUNCTION("""COMPUTED_VALUE"""),"Closed")</f>
        <v>Closed</v>
      </c>
      <c r="O250" s="256" t="str">
        <f>IFERROR(__xludf.DUMMYFUNCTION("""COMPUTED_VALUE"""),"Closed")</f>
        <v>Closed</v>
      </c>
      <c r="P250" s="370" t="str">
        <f>IFERROR(__xludf.DUMMYFUNCTION("""COMPUTED_VALUE"""),"Closed")</f>
        <v>Closed</v>
      </c>
      <c r="Q250" s="371" t="str">
        <f>IFERROR(__xludf.DUMMYFUNCTION("""COMPUTED_VALUE"""),"Closed")</f>
        <v>Closed</v>
      </c>
      <c r="R250" s="256" t="str">
        <f>IFERROR(__xludf.DUMMYFUNCTION("""COMPUTED_VALUE"""),"Closed")</f>
        <v>Closed</v>
      </c>
      <c r="S250" s="370" t="str">
        <f>IFERROR(__xludf.DUMMYFUNCTION("""COMPUTED_VALUE"""),"Closed")</f>
        <v>Closed</v>
      </c>
      <c r="T250" s="371" t="str">
        <f>IFERROR(__xludf.DUMMYFUNCTION("""COMPUTED_VALUE"""),"Closed")</f>
        <v>Closed</v>
      </c>
      <c r="U250" s="256" t="str">
        <f>IFERROR(__xludf.DUMMYFUNCTION("""COMPUTED_VALUE"""),"Closed")</f>
        <v>Closed</v>
      </c>
      <c r="V250" s="370" t="str">
        <f>IFERROR(__xludf.DUMMYFUNCTION("""COMPUTED_VALUE"""),"Closed")</f>
        <v>Closed</v>
      </c>
      <c r="W250" s="369" t="str">
        <f>IFERROR(__xludf.DUMMYFUNCTION("""COMPUTED_VALUE"""),"Closed")</f>
        <v>Closed</v>
      </c>
      <c r="X250" s="256" t="str">
        <f>IFERROR(__xludf.DUMMYFUNCTION("""COMPUTED_VALUE"""),"Closed")</f>
        <v>Closed</v>
      </c>
      <c r="Y250" s="370" t="str">
        <f>IFERROR(__xludf.DUMMYFUNCTION("""COMPUTED_VALUE"""),"Closed")</f>
        <v>Closed</v>
      </c>
      <c r="Z250" s="371" t="str">
        <f>IFERROR(__xludf.DUMMYFUNCTION("""COMPUTED_VALUE"""),"Closed")</f>
        <v>Closed</v>
      </c>
      <c r="AA250" s="256" t="str">
        <f>IFERROR(__xludf.DUMMYFUNCTION("""COMPUTED_VALUE"""),"Closed")</f>
        <v>Closed</v>
      </c>
      <c r="AB250" s="370" t="str">
        <f>IFERROR(__xludf.DUMMYFUNCTION("""COMPUTED_VALUE"""),"Closed")</f>
        <v>Closed</v>
      </c>
      <c r="AC250" s="371" t="str">
        <f>IFERROR(__xludf.DUMMYFUNCTION("""COMPUTED_VALUE"""),"Closed")</f>
        <v>Closed</v>
      </c>
      <c r="AD250" s="256" t="str">
        <f>IFERROR(__xludf.DUMMYFUNCTION("""COMPUTED_VALUE"""),"Closed")</f>
        <v>Closed</v>
      </c>
      <c r="AE250" s="370" t="str">
        <f>IFERROR(__xludf.DUMMYFUNCTION("""COMPUTED_VALUE"""),"Closed")</f>
        <v>Closed</v>
      </c>
      <c r="AF250" s="371" t="str">
        <f>IFERROR(__xludf.DUMMYFUNCTION("""COMPUTED_VALUE"""),"Closed")</f>
        <v>Closed</v>
      </c>
      <c r="AG250" s="256" t="str">
        <f>IFERROR(__xludf.DUMMYFUNCTION("""COMPUTED_VALUE"""),"Closed")</f>
        <v>Closed</v>
      </c>
      <c r="AH250" s="370" t="str">
        <f>IFERROR(__xludf.DUMMYFUNCTION("""COMPUTED_VALUE"""),"Closed")</f>
        <v>Closed</v>
      </c>
      <c r="AI250" s="369" t="str">
        <f>IFERROR(__xludf.DUMMYFUNCTION("""COMPUTED_VALUE"""),"Closed")</f>
        <v>Closed</v>
      </c>
      <c r="AJ250" s="256" t="str">
        <f>IFERROR(__xludf.DUMMYFUNCTION("""COMPUTED_VALUE"""),"Closed")</f>
        <v>Closed</v>
      </c>
      <c r="AK250" s="370" t="str">
        <f>IFERROR(__xludf.DUMMYFUNCTION("""COMPUTED_VALUE"""),"Closed")</f>
        <v>Closed</v>
      </c>
      <c r="AL250" s="372" t="str">
        <f>IFERROR(__xludf.DUMMYFUNCTION("""COMPUTED_VALUE"""),"Closed")</f>
        <v>Closed</v>
      </c>
      <c r="AM250" s="373" t="str">
        <f>IFERROR(__xludf.DUMMYFUNCTION("""COMPUTED_VALUE"""),"Closed")</f>
        <v>Closed</v>
      </c>
      <c r="AN250" s="370" t="str">
        <f>IFERROR(__xludf.DUMMYFUNCTION("""COMPUTED_VALUE"""),"Closed")</f>
        <v>Closed</v>
      </c>
      <c r="AO250" s="371" t="str">
        <f>IFERROR(__xludf.DUMMYFUNCTION("""COMPUTED_VALUE"""),"Closed")</f>
        <v>Closed</v>
      </c>
      <c r="AP250" s="256" t="str">
        <f>IFERROR(__xludf.DUMMYFUNCTION("""COMPUTED_VALUE"""),"Closed")</f>
        <v>Closed</v>
      </c>
      <c r="AQ250" s="370" t="str">
        <f>IFERROR(__xludf.DUMMYFUNCTION("""COMPUTED_VALUE"""),"Closed")</f>
        <v>Closed</v>
      </c>
      <c r="AR250" s="371" t="str">
        <f>IFERROR(__xludf.DUMMYFUNCTION("""COMPUTED_VALUE"""),"Closed")</f>
        <v>Closed</v>
      </c>
      <c r="AS250" s="256" t="str">
        <f>IFERROR(__xludf.DUMMYFUNCTION("""COMPUTED_VALUE"""),"Closed")</f>
        <v>Closed</v>
      </c>
      <c r="AT250" s="370" t="str">
        <f>IFERROR(__xludf.DUMMYFUNCTION("""COMPUTED_VALUE"""),"Closed")</f>
        <v>Closed</v>
      </c>
      <c r="AU250" s="369" t="str">
        <f>IFERROR(__xludf.DUMMYFUNCTION("""COMPUTED_VALUE"""),"Closed")</f>
        <v>Closed</v>
      </c>
      <c r="AV250" s="256" t="str">
        <f>IFERROR(__xludf.DUMMYFUNCTION("""COMPUTED_VALUE"""),"Closed")</f>
        <v>Closed</v>
      </c>
      <c r="AW250" s="370" t="str">
        <f>IFERROR(__xludf.DUMMYFUNCTION("""COMPUTED_VALUE"""),"Closed")</f>
        <v>Closed</v>
      </c>
      <c r="AX250" s="371" t="str">
        <f>IFERROR(__xludf.DUMMYFUNCTION("""COMPUTED_VALUE"""),"Closed")</f>
        <v>Closed</v>
      </c>
      <c r="AY250" s="256" t="str">
        <f>IFERROR(__xludf.DUMMYFUNCTION("""COMPUTED_VALUE"""),"Closed")</f>
        <v>Closed</v>
      </c>
      <c r="AZ250" s="370" t="str">
        <f>IFERROR(__xludf.DUMMYFUNCTION("""COMPUTED_VALUE"""),"Closed")</f>
        <v>Closed</v>
      </c>
      <c r="BA250" s="371" t="str">
        <f>IFERROR(__xludf.DUMMYFUNCTION("""COMPUTED_VALUE"""),"Closed")</f>
        <v>Closed</v>
      </c>
      <c r="BB250" s="256" t="str">
        <f>IFERROR(__xludf.DUMMYFUNCTION("""COMPUTED_VALUE"""),"Closed")</f>
        <v>Closed</v>
      </c>
      <c r="BC250" s="370" t="str">
        <f>IFERROR(__xludf.DUMMYFUNCTION("""COMPUTED_VALUE"""),"Closed")</f>
        <v>Closed</v>
      </c>
      <c r="BD250" s="371" t="str">
        <f>IFERROR(__xludf.DUMMYFUNCTION("""COMPUTED_VALUE"""),"Closed")</f>
        <v>Closed</v>
      </c>
      <c r="BE250" s="256" t="str">
        <f>IFERROR(__xludf.DUMMYFUNCTION("""COMPUTED_VALUE"""),"Closed")</f>
        <v>Closed</v>
      </c>
      <c r="BF250" s="370" t="str">
        <f>IFERROR(__xludf.DUMMYFUNCTION("""COMPUTED_VALUE"""),"Closed")</f>
        <v>Closed</v>
      </c>
      <c r="BG250" s="369" t="str">
        <f>IFERROR(__xludf.DUMMYFUNCTION("""COMPUTED_VALUE"""),"Closed")</f>
        <v>Closed</v>
      </c>
      <c r="BH250" s="256" t="str">
        <f>IFERROR(__xludf.DUMMYFUNCTION("""COMPUTED_VALUE"""),"Closed")</f>
        <v>Closed</v>
      </c>
      <c r="BI250" s="370" t="str">
        <f>IFERROR(__xludf.DUMMYFUNCTION("""COMPUTED_VALUE"""),"Closed")</f>
        <v>Closed</v>
      </c>
      <c r="BJ250" s="371" t="str">
        <f>IFERROR(__xludf.DUMMYFUNCTION("""COMPUTED_VALUE"""),"Closed")</f>
        <v>Closed</v>
      </c>
      <c r="BK250" s="256" t="str">
        <f>IFERROR(__xludf.DUMMYFUNCTION("""COMPUTED_VALUE"""),"Closed")</f>
        <v>Closed</v>
      </c>
      <c r="BL250" s="370" t="str">
        <f>IFERROR(__xludf.DUMMYFUNCTION("""COMPUTED_VALUE"""),"Closed")</f>
        <v>Closed</v>
      </c>
      <c r="BM250" s="371" t="str">
        <f>IFERROR(__xludf.DUMMYFUNCTION("""COMPUTED_VALUE"""),"Closed")</f>
        <v>Closed</v>
      </c>
      <c r="BN250" s="256" t="str">
        <f>IFERROR(__xludf.DUMMYFUNCTION("""COMPUTED_VALUE"""),"Closed")</f>
        <v>Closed</v>
      </c>
      <c r="BO250" s="370" t="str">
        <f>IFERROR(__xludf.DUMMYFUNCTION("""COMPUTED_VALUE"""),"Closed")</f>
        <v>Closed</v>
      </c>
      <c r="BP250" s="371" t="str">
        <f>IFERROR(__xludf.DUMMYFUNCTION("""COMPUTED_VALUE"""),"Closed")</f>
        <v>Closed</v>
      </c>
      <c r="BQ250" s="256" t="str">
        <f>IFERROR(__xludf.DUMMYFUNCTION("""COMPUTED_VALUE"""),"Closed")</f>
        <v>Closed</v>
      </c>
      <c r="BR250" s="370" t="str">
        <f>IFERROR(__xludf.DUMMYFUNCTION("""COMPUTED_VALUE"""),"Closed")</f>
        <v>Closed</v>
      </c>
      <c r="BS250" s="369" t="str">
        <f>IFERROR(__xludf.DUMMYFUNCTION("""COMPUTED_VALUE"""),"Closed")</f>
        <v>Closed</v>
      </c>
      <c r="BT250" s="256" t="str">
        <f>IFERROR(__xludf.DUMMYFUNCTION("""COMPUTED_VALUE"""),"Closed")</f>
        <v>Closed</v>
      </c>
      <c r="BU250" s="370" t="str">
        <f>IFERROR(__xludf.DUMMYFUNCTION("""COMPUTED_VALUE"""),"Closed")</f>
        <v>Closed</v>
      </c>
      <c r="BV250" s="371" t="str">
        <f>IFERROR(__xludf.DUMMYFUNCTION("""COMPUTED_VALUE"""),"Closed")</f>
        <v>Closed</v>
      </c>
      <c r="BW250" s="256" t="str">
        <f>IFERROR(__xludf.DUMMYFUNCTION("""COMPUTED_VALUE"""),"Closed")</f>
        <v>Closed</v>
      </c>
      <c r="BX250" s="370" t="str">
        <f>IFERROR(__xludf.DUMMYFUNCTION("""COMPUTED_VALUE"""),"Closed")</f>
        <v>Closed</v>
      </c>
      <c r="BY250" s="371" t="str">
        <f>IFERROR(__xludf.DUMMYFUNCTION("""COMPUTED_VALUE"""),"Closed")</f>
        <v>Closed</v>
      </c>
      <c r="BZ250" s="256" t="str">
        <f>IFERROR(__xludf.DUMMYFUNCTION("""COMPUTED_VALUE"""),"Closed")</f>
        <v>Closed</v>
      </c>
      <c r="CA250" s="370" t="str">
        <f>IFERROR(__xludf.DUMMYFUNCTION("""COMPUTED_VALUE"""),"Closed")</f>
        <v>Closed</v>
      </c>
      <c r="CB250" s="371" t="str">
        <f>IFERROR(__xludf.DUMMYFUNCTION("""COMPUTED_VALUE"""),"Closed")</f>
        <v>Closed</v>
      </c>
      <c r="CC250" s="256" t="str">
        <f>IFERROR(__xludf.DUMMYFUNCTION("""COMPUTED_VALUE"""),"Closed")</f>
        <v>Closed</v>
      </c>
      <c r="CD250" s="370" t="str">
        <f>IFERROR(__xludf.DUMMYFUNCTION("""COMPUTED_VALUE"""),"Closed")</f>
        <v>Closed</v>
      </c>
      <c r="CE250" s="371" t="str">
        <f>IFERROR(__xludf.DUMMYFUNCTION("""COMPUTED_VALUE"""),"Closed")</f>
        <v>Closed</v>
      </c>
      <c r="CF250" s="256" t="str">
        <f>IFERROR(__xludf.DUMMYFUNCTION("""COMPUTED_VALUE"""),"Closed")</f>
        <v>Closed</v>
      </c>
      <c r="CG250" s="370" t="str">
        <f>IFERROR(__xludf.DUMMYFUNCTION("""COMPUTED_VALUE"""),"Closed")</f>
        <v>Closed</v>
      </c>
      <c r="CH250" s="371" t="str">
        <f>IFERROR(__xludf.DUMMYFUNCTION("""COMPUTED_VALUE"""),"Closed")</f>
        <v>Closed</v>
      </c>
      <c r="CI250" s="256" t="str">
        <f>IFERROR(__xludf.DUMMYFUNCTION("""COMPUTED_VALUE"""),"Closed")</f>
        <v>Closed</v>
      </c>
      <c r="CJ250" s="256" t="str">
        <f>IFERROR(__xludf.DUMMYFUNCTION("""COMPUTED_VALUE"""),"Closed")</f>
        <v>Closed</v>
      </c>
      <c r="CK250" s="371" t="str">
        <f>IFERROR(__xludf.DUMMYFUNCTION("""COMPUTED_VALUE"""),"Closed")</f>
        <v>Closed</v>
      </c>
      <c r="CL250" s="256" t="str">
        <f>IFERROR(__xludf.DUMMYFUNCTION("""COMPUTED_VALUE"""),"Closed")</f>
        <v>Closed</v>
      </c>
      <c r="CM250" s="370" t="str">
        <f>IFERROR(__xludf.DUMMYFUNCTION("""COMPUTED_VALUE"""),"Closed")</f>
        <v>Closed</v>
      </c>
      <c r="CN250" s="256" t="str">
        <f>IFERROR(__xludf.DUMMYFUNCTION("""COMPUTED_VALUE"""),"Closed")</f>
        <v>Closed</v>
      </c>
      <c r="CO250" s="256" t="str">
        <f>IFERROR(__xludf.DUMMYFUNCTION("""COMPUTED_VALUE"""),"Closed")</f>
        <v>Closed</v>
      </c>
      <c r="CP250" s="256" t="str">
        <f>IFERROR(__xludf.DUMMYFUNCTION("""COMPUTED_VALUE"""),"Closed")</f>
        <v>Closed</v>
      </c>
      <c r="CQ250" s="371" t="str">
        <f>IFERROR(__xludf.DUMMYFUNCTION("""COMPUTED_VALUE"""),"Closed")</f>
        <v>Closed</v>
      </c>
      <c r="CR250" s="256" t="str">
        <f>IFERROR(__xludf.DUMMYFUNCTION("""COMPUTED_VALUE"""),"Closed")</f>
        <v>Closed</v>
      </c>
      <c r="CS250" s="256" t="str">
        <f>IFERROR(__xludf.DUMMYFUNCTION("""COMPUTED_VALUE"""),"Closed")</f>
        <v>Closed</v>
      </c>
      <c r="CT250" s="371" t="str">
        <f>IFERROR(__xludf.DUMMYFUNCTION("""COMPUTED_VALUE"""),"Closed")</f>
        <v>Closed</v>
      </c>
      <c r="CU250" s="256" t="str">
        <f>IFERROR(__xludf.DUMMYFUNCTION("""COMPUTED_VALUE"""),"Closed")</f>
        <v>Closed</v>
      </c>
      <c r="CV250" s="256" t="str">
        <f>IFERROR(__xludf.DUMMYFUNCTION("""COMPUTED_VALUE"""),"Closed")</f>
        <v>Closed</v>
      </c>
      <c r="CW250" s="371" t="str">
        <f>IFERROR(__xludf.DUMMYFUNCTION("""COMPUTED_VALUE"""),"Closed")</f>
        <v>Closed</v>
      </c>
      <c r="CX250" s="256" t="str">
        <f>IFERROR(__xludf.DUMMYFUNCTION("""COMPUTED_VALUE"""),"Closed")</f>
        <v>Closed</v>
      </c>
      <c r="CY250" s="370" t="str">
        <f>IFERROR(__xludf.DUMMYFUNCTION("""COMPUTED_VALUE"""),"Closed")</f>
        <v>Closed</v>
      </c>
      <c r="CZ250" s="256" t="str">
        <f>IFERROR(__xludf.DUMMYFUNCTION("""COMPUTED_VALUE"""),"Closed")</f>
        <v>Closed</v>
      </c>
      <c r="DA250" s="256" t="str">
        <f>IFERROR(__xludf.DUMMYFUNCTION("""COMPUTED_VALUE"""),"Closed")</f>
        <v>Closed</v>
      </c>
      <c r="DB250" s="370" t="str">
        <f>IFERROR(__xludf.DUMMYFUNCTION("""COMPUTED_VALUE"""),"Closed")</f>
        <v>Closed</v>
      </c>
      <c r="DC250" s="371" t="str">
        <f>IFERROR(__xludf.DUMMYFUNCTION("""COMPUTED_VALUE"""),"Closed")</f>
        <v>Closed</v>
      </c>
      <c r="DD250" s="256" t="str">
        <f>IFERROR(__xludf.DUMMYFUNCTION("""COMPUTED_VALUE"""),"Closed")</f>
        <v>Closed</v>
      </c>
      <c r="DE250" s="370" t="str">
        <f>IFERROR(__xludf.DUMMYFUNCTION("""COMPUTED_VALUE"""),"Closed")</f>
        <v>Closed</v>
      </c>
      <c r="DF250" s="371" t="str">
        <f>IFERROR(__xludf.DUMMYFUNCTION("""COMPUTED_VALUE"""),"Closed")</f>
        <v>Closed</v>
      </c>
      <c r="DG250" s="256" t="str">
        <f>IFERROR(__xludf.DUMMYFUNCTION("""COMPUTED_VALUE"""),"Closed")</f>
        <v>Closed</v>
      </c>
      <c r="DH250" s="370" t="str">
        <f>IFERROR(__xludf.DUMMYFUNCTION("""COMPUTED_VALUE"""),"Closed")</f>
        <v>Closed</v>
      </c>
      <c r="DI250" s="371" t="str">
        <f>IFERROR(__xludf.DUMMYFUNCTION("""COMPUTED_VALUE"""),"Closed")</f>
        <v>Closed</v>
      </c>
      <c r="DJ250" s="256" t="str">
        <f>IFERROR(__xludf.DUMMYFUNCTION("""COMPUTED_VALUE"""),"Closed")</f>
        <v>Closed</v>
      </c>
      <c r="DK250" s="370" t="str">
        <f>IFERROR(__xludf.DUMMYFUNCTION("""COMPUTED_VALUE"""),"Closed")</f>
        <v>Closed</v>
      </c>
      <c r="DL250" s="256" t="str">
        <f>IFERROR(__xludf.DUMMYFUNCTION("""COMPUTED_VALUE"""),"Closed")</f>
        <v>Closed</v>
      </c>
      <c r="DM250" s="256" t="str">
        <f>IFERROR(__xludf.DUMMYFUNCTION("""COMPUTED_VALUE"""),"Closed")</f>
        <v>Closed</v>
      </c>
      <c r="DN250" s="256" t="str">
        <f>IFERROR(__xludf.DUMMYFUNCTION("""COMPUTED_VALUE"""),"Closed")</f>
        <v>Closed</v>
      </c>
      <c r="DO250" s="256" t="str">
        <f>IFERROR(__xludf.DUMMYFUNCTION("""COMPUTED_VALUE"""),"Closed")</f>
        <v>Closed</v>
      </c>
      <c r="DP250" s="256" t="str">
        <f>IFERROR(__xludf.DUMMYFUNCTION("""COMPUTED_VALUE"""),"Closed")</f>
        <v>Closed</v>
      </c>
      <c r="DQ250" s="256" t="str">
        <f>IFERROR(__xludf.DUMMYFUNCTION("""COMPUTED_VALUE"""),"Closed")</f>
        <v>Closed</v>
      </c>
      <c r="DR250" s="256" t="str">
        <f>IFERROR(__xludf.DUMMYFUNCTION("""COMPUTED_VALUE"""),"Closed")</f>
        <v>Closed</v>
      </c>
      <c r="DS250" s="256" t="str">
        <f>IFERROR(__xludf.DUMMYFUNCTION("""COMPUTED_VALUE"""),"Closed")</f>
        <v>Closed</v>
      </c>
      <c r="DT250" s="256" t="str">
        <f>IFERROR(__xludf.DUMMYFUNCTION("""COMPUTED_VALUE"""),"Closed")</f>
        <v>Closed</v>
      </c>
    </row>
    <row r="251" hidden="1">
      <c r="B251" s="180" t="str">
        <f>IFERROR(__xludf.DUMMYFUNCTION("""COMPUTED_VALUE"""),"HEA4")</f>
        <v>HEA4</v>
      </c>
      <c r="C251" s="368" t="str">
        <f>IFERROR(__xludf.DUMMYFUNCTION("""COMPUTED_VALUE"""),"Aristocrat's Residence")</f>
        <v>Aristocrat's Residence</v>
      </c>
      <c r="D251" s="273">
        <f>IFERROR(__xludf.DUMMYFUNCTION("""COMPUTED_VALUE"""),21.0)</f>
        <v>21</v>
      </c>
      <c r="E251" t="b">
        <f>IFERROR(__xludf.DUMMYFUNCTION("""COMPUTED_VALUE"""),FALSE)</f>
        <v>0</v>
      </c>
      <c r="F251" t="str">
        <f>IFERROR(__xludf.DUMMYFUNCTION("""COMPUTED_VALUE"""),"Free Quests- Part 2!A913:J921")</f>
        <v>Free Quests- Part 2!A913:J921</v>
      </c>
      <c r="G251">
        <f>IFERROR(__xludf.DUMMYFUNCTION("""COMPUTED_VALUE"""),252.0)</f>
        <v>252</v>
      </c>
      <c r="H251" t="str">
        <f>IFERROR(__xludf.DUMMYFUNCTION("""COMPUTED_VALUE"""),"Closed")</f>
        <v>Closed</v>
      </c>
      <c r="I251">
        <f>IFERROR(__xludf.DUMMYFUNCTION("""COMPUTED_VALUE"""),1400.0)</f>
        <v>1400</v>
      </c>
      <c r="J251" t="str">
        <f>IFERROR(__xludf.DUMMYFUNCTION("""COMPUTED_VALUE"""),"Closed")</f>
        <v>Closed</v>
      </c>
      <c r="K251" s="369" t="str">
        <f>IFERROR(__xludf.DUMMYFUNCTION("""COMPUTED_VALUE"""),"Closed")</f>
        <v>Closed</v>
      </c>
      <c r="L251" s="256" t="str">
        <f>IFERROR(__xludf.DUMMYFUNCTION("""COMPUTED_VALUE"""),"Closed")</f>
        <v>Closed</v>
      </c>
      <c r="M251" s="370" t="str">
        <f>IFERROR(__xludf.DUMMYFUNCTION("""COMPUTED_VALUE"""),"Closed")</f>
        <v>Closed</v>
      </c>
      <c r="N251" s="371" t="str">
        <f>IFERROR(__xludf.DUMMYFUNCTION("""COMPUTED_VALUE"""),"Closed")</f>
        <v>Closed</v>
      </c>
      <c r="O251" s="256" t="str">
        <f>IFERROR(__xludf.DUMMYFUNCTION("""COMPUTED_VALUE"""),"Closed")</f>
        <v>Closed</v>
      </c>
      <c r="P251" s="370" t="str">
        <f>IFERROR(__xludf.DUMMYFUNCTION("""COMPUTED_VALUE"""),"Closed")</f>
        <v>Closed</v>
      </c>
      <c r="Q251" s="371" t="str">
        <f>IFERROR(__xludf.DUMMYFUNCTION("""COMPUTED_VALUE"""),"Closed")</f>
        <v>Closed</v>
      </c>
      <c r="R251" s="256" t="str">
        <f>IFERROR(__xludf.DUMMYFUNCTION("""COMPUTED_VALUE"""),"Closed")</f>
        <v>Closed</v>
      </c>
      <c r="S251" s="370" t="str">
        <f>IFERROR(__xludf.DUMMYFUNCTION("""COMPUTED_VALUE"""),"Closed")</f>
        <v>Closed</v>
      </c>
      <c r="T251" s="371" t="str">
        <f>IFERROR(__xludf.DUMMYFUNCTION("""COMPUTED_VALUE"""),"Closed")</f>
        <v>Closed</v>
      </c>
      <c r="U251" s="256" t="str">
        <f>IFERROR(__xludf.DUMMYFUNCTION("""COMPUTED_VALUE"""),"Closed")</f>
        <v>Closed</v>
      </c>
      <c r="V251" s="370" t="str">
        <f>IFERROR(__xludf.DUMMYFUNCTION("""COMPUTED_VALUE"""),"Closed")</f>
        <v>Closed</v>
      </c>
      <c r="W251" s="369" t="str">
        <f>IFERROR(__xludf.DUMMYFUNCTION("""COMPUTED_VALUE"""),"Closed")</f>
        <v>Closed</v>
      </c>
      <c r="X251" s="256" t="str">
        <f>IFERROR(__xludf.DUMMYFUNCTION("""COMPUTED_VALUE"""),"Closed")</f>
        <v>Closed</v>
      </c>
      <c r="Y251" s="370" t="str">
        <f>IFERROR(__xludf.DUMMYFUNCTION("""COMPUTED_VALUE"""),"Closed")</f>
        <v>Closed</v>
      </c>
      <c r="Z251" s="371" t="str">
        <f>IFERROR(__xludf.DUMMYFUNCTION("""COMPUTED_VALUE"""),"Closed")</f>
        <v>Closed</v>
      </c>
      <c r="AA251" s="256" t="str">
        <f>IFERROR(__xludf.DUMMYFUNCTION("""COMPUTED_VALUE"""),"Closed")</f>
        <v>Closed</v>
      </c>
      <c r="AB251" s="370" t="str">
        <f>IFERROR(__xludf.DUMMYFUNCTION("""COMPUTED_VALUE"""),"Closed")</f>
        <v>Closed</v>
      </c>
      <c r="AC251" s="371" t="str">
        <f>IFERROR(__xludf.DUMMYFUNCTION("""COMPUTED_VALUE"""),"Closed")</f>
        <v>Closed</v>
      </c>
      <c r="AD251" s="256" t="str">
        <f>IFERROR(__xludf.DUMMYFUNCTION("""COMPUTED_VALUE"""),"Closed")</f>
        <v>Closed</v>
      </c>
      <c r="AE251" s="370" t="str">
        <f>IFERROR(__xludf.DUMMYFUNCTION("""COMPUTED_VALUE"""),"Closed")</f>
        <v>Closed</v>
      </c>
      <c r="AF251" s="371" t="str">
        <f>IFERROR(__xludf.DUMMYFUNCTION("""COMPUTED_VALUE"""),"Closed")</f>
        <v>Closed</v>
      </c>
      <c r="AG251" s="256" t="str">
        <f>IFERROR(__xludf.DUMMYFUNCTION("""COMPUTED_VALUE"""),"Closed")</f>
        <v>Closed</v>
      </c>
      <c r="AH251" s="370" t="str">
        <f>IFERROR(__xludf.DUMMYFUNCTION("""COMPUTED_VALUE"""),"Closed")</f>
        <v>Closed</v>
      </c>
      <c r="AI251" s="369" t="str">
        <f>IFERROR(__xludf.DUMMYFUNCTION("""COMPUTED_VALUE"""),"Closed")</f>
        <v>Closed</v>
      </c>
      <c r="AJ251" s="256" t="str">
        <f>IFERROR(__xludf.DUMMYFUNCTION("""COMPUTED_VALUE"""),"Closed")</f>
        <v>Closed</v>
      </c>
      <c r="AK251" s="370" t="str">
        <f>IFERROR(__xludf.DUMMYFUNCTION("""COMPUTED_VALUE"""),"Closed")</f>
        <v>Closed</v>
      </c>
      <c r="AL251" s="372" t="str">
        <f>IFERROR(__xludf.DUMMYFUNCTION("""COMPUTED_VALUE"""),"Closed")</f>
        <v>Closed</v>
      </c>
      <c r="AM251" s="373" t="str">
        <f>IFERROR(__xludf.DUMMYFUNCTION("""COMPUTED_VALUE"""),"Closed")</f>
        <v>Closed</v>
      </c>
      <c r="AN251" s="370" t="str">
        <f>IFERROR(__xludf.DUMMYFUNCTION("""COMPUTED_VALUE"""),"Closed")</f>
        <v>Closed</v>
      </c>
      <c r="AO251" s="371" t="str">
        <f>IFERROR(__xludf.DUMMYFUNCTION("""COMPUTED_VALUE"""),"Closed")</f>
        <v>Closed</v>
      </c>
      <c r="AP251" s="256" t="str">
        <f>IFERROR(__xludf.DUMMYFUNCTION("""COMPUTED_VALUE"""),"Closed")</f>
        <v>Closed</v>
      </c>
      <c r="AQ251" s="370" t="str">
        <f>IFERROR(__xludf.DUMMYFUNCTION("""COMPUTED_VALUE"""),"Closed")</f>
        <v>Closed</v>
      </c>
      <c r="AR251" s="371" t="str">
        <f>IFERROR(__xludf.DUMMYFUNCTION("""COMPUTED_VALUE"""),"Closed")</f>
        <v>Closed</v>
      </c>
      <c r="AS251" s="256" t="str">
        <f>IFERROR(__xludf.DUMMYFUNCTION("""COMPUTED_VALUE"""),"Closed")</f>
        <v>Closed</v>
      </c>
      <c r="AT251" s="370" t="str">
        <f>IFERROR(__xludf.DUMMYFUNCTION("""COMPUTED_VALUE"""),"Closed")</f>
        <v>Closed</v>
      </c>
      <c r="AU251" s="369" t="str">
        <f>IFERROR(__xludf.DUMMYFUNCTION("""COMPUTED_VALUE"""),"Closed")</f>
        <v>Closed</v>
      </c>
      <c r="AV251" s="256" t="str">
        <f>IFERROR(__xludf.DUMMYFUNCTION("""COMPUTED_VALUE"""),"Closed")</f>
        <v>Closed</v>
      </c>
      <c r="AW251" s="370" t="str">
        <f>IFERROR(__xludf.DUMMYFUNCTION("""COMPUTED_VALUE"""),"Closed")</f>
        <v>Closed</v>
      </c>
      <c r="AX251" s="371" t="str">
        <f>IFERROR(__xludf.DUMMYFUNCTION("""COMPUTED_VALUE"""),"Closed")</f>
        <v>Closed</v>
      </c>
      <c r="AY251" s="256" t="str">
        <f>IFERROR(__xludf.DUMMYFUNCTION("""COMPUTED_VALUE"""),"Closed")</f>
        <v>Closed</v>
      </c>
      <c r="AZ251" s="370" t="str">
        <f>IFERROR(__xludf.DUMMYFUNCTION("""COMPUTED_VALUE"""),"Closed")</f>
        <v>Closed</v>
      </c>
      <c r="BA251" s="371" t="str">
        <f>IFERROR(__xludf.DUMMYFUNCTION("""COMPUTED_VALUE"""),"Closed")</f>
        <v>Closed</v>
      </c>
      <c r="BB251" s="256" t="str">
        <f>IFERROR(__xludf.DUMMYFUNCTION("""COMPUTED_VALUE"""),"Closed")</f>
        <v>Closed</v>
      </c>
      <c r="BC251" s="370" t="str">
        <f>IFERROR(__xludf.DUMMYFUNCTION("""COMPUTED_VALUE"""),"Closed")</f>
        <v>Closed</v>
      </c>
      <c r="BD251" s="371" t="str">
        <f>IFERROR(__xludf.DUMMYFUNCTION("""COMPUTED_VALUE"""),"Closed")</f>
        <v>Closed</v>
      </c>
      <c r="BE251" s="256" t="str">
        <f>IFERROR(__xludf.DUMMYFUNCTION("""COMPUTED_VALUE"""),"Closed")</f>
        <v>Closed</v>
      </c>
      <c r="BF251" s="370" t="str">
        <f>IFERROR(__xludf.DUMMYFUNCTION("""COMPUTED_VALUE"""),"Closed")</f>
        <v>Closed</v>
      </c>
      <c r="BG251" s="369" t="str">
        <f>IFERROR(__xludf.DUMMYFUNCTION("""COMPUTED_VALUE"""),"Closed")</f>
        <v>Closed</v>
      </c>
      <c r="BH251" s="256" t="str">
        <f>IFERROR(__xludf.DUMMYFUNCTION("""COMPUTED_VALUE"""),"Closed")</f>
        <v>Closed</v>
      </c>
      <c r="BI251" s="370" t="str">
        <f>IFERROR(__xludf.DUMMYFUNCTION("""COMPUTED_VALUE"""),"Closed")</f>
        <v>Closed</v>
      </c>
      <c r="BJ251" s="371" t="str">
        <f>IFERROR(__xludf.DUMMYFUNCTION("""COMPUTED_VALUE"""),"Closed")</f>
        <v>Closed</v>
      </c>
      <c r="BK251" s="256" t="str">
        <f>IFERROR(__xludf.DUMMYFUNCTION("""COMPUTED_VALUE"""),"Closed")</f>
        <v>Closed</v>
      </c>
      <c r="BL251" s="370" t="str">
        <f>IFERROR(__xludf.DUMMYFUNCTION("""COMPUTED_VALUE"""),"Closed")</f>
        <v>Closed</v>
      </c>
      <c r="BM251" s="371" t="str">
        <f>IFERROR(__xludf.DUMMYFUNCTION("""COMPUTED_VALUE"""),"Closed")</f>
        <v>Closed</v>
      </c>
      <c r="BN251" s="256" t="str">
        <f>IFERROR(__xludf.DUMMYFUNCTION("""COMPUTED_VALUE"""),"Closed")</f>
        <v>Closed</v>
      </c>
      <c r="BO251" s="370" t="str">
        <f>IFERROR(__xludf.DUMMYFUNCTION("""COMPUTED_VALUE"""),"Closed")</f>
        <v>Closed</v>
      </c>
      <c r="BP251" s="371" t="str">
        <f>IFERROR(__xludf.DUMMYFUNCTION("""COMPUTED_VALUE"""),"Closed")</f>
        <v>Closed</v>
      </c>
      <c r="BQ251" s="256" t="str">
        <f>IFERROR(__xludf.DUMMYFUNCTION("""COMPUTED_VALUE"""),"Closed")</f>
        <v>Closed</v>
      </c>
      <c r="BR251" s="370" t="str">
        <f>IFERROR(__xludf.DUMMYFUNCTION("""COMPUTED_VALUE"""),"Closed")</f>
        <v>Closed</v>
      </c>
      <c r="BS251" s="369" t="str">
        <f>IFERROR(__xludf.DUMMYFUNCTION("""COMPUTED_VALUE"""),"Closed")</f>
        <v>Closed</v>
      </c>
      <c r="BT251" s="256" t="str">
        <f>IFERROR(__xludf.DUMMYFUNCTION("""COMPUTED_VALUE"""),"Closed")</f>
        <v>Closed</v>
      </c>
      <c r="BU251" s="370" t="str">
        <f>IFERROR(__xludf.DUMMYFUNCTION("""COMPUTED_VALUE"""),"Closed")</f>
        <v>Closed</v>
      </c>
      <c r="BV251" s="371" t="str">
        <f>IFERROR(__xludf.DUMMYFUNCTION("""COMPUTED_VALUE"""),"Closed")</f>
        <v>Closed</v>
      </c>
      <c r="BW251" s="256" t="str">
        <f>IFERROR(__xludf.DUMMYFUNCTION("""COMPUTED_VALUE"""),"Closed")</f>
        <v>Closed</v>
      </c>
      <c r="BX251" s="370" t="str">
        <f>IFERROR(__xludf.DUMMYFUNCTION("""COMPUTED_VALUE"""),"Closed")</f>
        <v>Closed</v>
      </c>
      <c r="BY251" s="371" t="str">
        <f>IFERROR(__xludf.DUMMYFUNCTION("""COMPUTED_VALUE"""),"Closed")</f>
        <v>Closed</v>
      </c>
      <c r="BZ251" s="256" t="str">
        <f>IFERROR(__xludf.DUMMYFUNCTION("""COMPUTED_VALUE"""),"Closed")</f>
        <v>Closed</v>
      </c>
      <c r="CA251" s="370" t="str">
        <f>IFERROR(__xludf.DUMMYFUNCTION("""COMPUTED_VALUE"""),"Closed")</f>
        <v>Closed</v>
      </c>
      <c r="CB251" s="371" t="str">
        <f>IFERROR(__xludf.DUMMYFUNCTION("""COMPUTED_VALUE"""),"Closed")</f>
        <v>Closed</v>
      </c>
      <c r="CC251" s="256" t="str">
        <f>IFERROR(__xludf.DUMMYFUNCTION("""COMPUTED_VALUE"""),"Closed")</f>
        <v>Closed</v>
      </c>
      <c r="CD251" s="370" t="str">
        <f>IFERROR(__xludf.DUMMYFUNCTION("""COMPUTED_VALUE"""),"Closed")</f>
        <v>Closed</v>
      </c>
      <c r="CE251" s="371" t="str">
        <f>IFERROR(__xludf.DUMMYFUNCTION("""COMPUTED_VALUE"""),"Closed")</f>
        <v>Closed</v>
      </c>
      <c r="CF251" s="256" t="str">
        <f>IFERROR(__xludf.DUMMYFUNCTION("""COMPUTED_VALUE"""),"Closed")</f>
        <v>Closed</v>
      </c>
      <c r="CG251" s="370" t="str">
        <f>IFERROR(__xludf.DUMMYFUNCTION("""COMPUTED_VALUE"""),"Closed")</f>
        <v>Closed</v>
      </c>
      <c r="CH251" s="371" t="str">
        <f>IFERROR(__xludf.DUMMYFUNCTION("""COMPUTED_VALUE"""),"Closed")</f>
        <v>Closed</v>
      </c>
      <c r="CI251" s="256" t="str">
        <f>IFERROR(__xludf.DUMMYFUNCTION("""COMPUTED_VALUE"""),"Closed")</f>
        <v>Closed</v>
      </c>
      <c r="CJ251" s="256" t="str">
        <f>IFERROR(__xludf.DUMMYFUNCTION("""COMPUTED_VALUE"""),"Closed")</f>
        <v>Closed</v>
      </c>
      <c r="CK251" s="371" t="str">
        <f>IFERROR(__xludf.DUMMYFUNCTION("""COMPUTED_VALUE"""),"Closed")</f>
        <v>Closed</v>
      </c>
      <c r="CL251" s="256" t="str">
        <f>IFERROR(__xludf.DUMMYFUNCTION("""COMPUTED_VALUE"""),"Closed")</f>
        <v>Closed</v>
      </c>
      <c r="CM251" s="370" t="str">
        <f>IFERROR(__xludf.DUMMYFUNCTION("""COMPUTED_VALUE"""),"Closed")</f>
        <v>Closed</v>
      </c>
      <c r="CN251" s="256" t="str">
        <f>IFERROR(__xludf.DUMMYFUNCTION("""COMPUTED_VALUE"""),"Closed")</f>
        <v>Closed</v>
      </c>
      <c r="CO251" s="256" t="str">
        <f>IFERROR(__xludf.DUMMYFUNCTION("""COMPUTED_VALUE"""),"Closed")</f>
        <v>Closed</v>
      </c>
      <c r="CP251" s="256" t="str">
        <f>IFERROR(__xludf.DUMMYFUNCTION("""COMPUTED_VALUE"""),"Closed")</f>
        <v>Closed</v>
      </c>
      <c r="CQ251" s="371" t="str">
        <f>IFERROR(__xludf.DUMMYFUNCTION("""COMPUTED_VALUE"""),"Closed")</f>
        <v>Closed</v>
      </c>
      <c r="CR251" s="256" t="str">
        <f>IFERROR(__xludf.DUMMYFUNCTION("""COMPUTED_VALUE"""),"Closed")</f>
        <v>Closed</v>
      </c>
      <c r="CS251" s="256" t="str">
        <f>IFERROR(__xludf.DUMMYFUNCTION("""COMPUTED_VALUE"""),"Closed")</f>
        <v>Closed</v>
      </c>
      <c r="CT251" s="371" t="str">
        <f>IFERROR(__xludf.DUMMYFUNCTION("""COMPUTED_VALUE"""),"Closed")</f>
        <v>Closed</v>
      </c>
      <c r="CU251" s="256" t="str">
        <f>IFERROR(__xludf.DUMMYFUNCTION("""COMPUTED_VALUE"""),"Closed")</f>
        <v>Closed</v>
      </c>
      <c r="CV251" s="256" t="str">
        <f>IFERROR(__xludf.DUMMYFUNCTION("""COMPUTED_VALUE"""),"Closed")</f>
        <v>Closed</v>
      </c>
      <c r="CW251" s="371" t="str">
        <f>IFERROR(__xludf.DUMMYFUNCTION("""COMPUTED_VALUE"""),"Closed")</f>
        <v>Closed</v>
      </c>
      <c r="CX251" s="256" t="str">
        <f>IFERROR(__xludf.DUMMYFUNCTION("""COMPUTED_VALUE"""),"Closed")</f>
        <v>Closed</v>
      </c>
      <c r="CY251" s="370" t="str">
        <f>IFERROR(__xludf.DUMMYFUNCTION("""COMPUTED_VALUE"""),"Closed")</f>
        <v>Closed</v>
      </c>
      <c r="CZ251" s="256" t="str">
        <f>IFERROR(__xludf.DUMMYFUNCTION("""COMPUTED_VALUE"""),"Closed")</f>
        <v>Closed</v>
      </c>
      <c r="DA251" s="256" t="str">
        <f>IFERROR(__xludf.DUMMYFUNCTION("""COMPUTED_VALUE"""),"Closed")</f>
        <v>Closed</v>
      </c>
      <c r="DB251" s="370" t="str">
        <f>IFERROR(__xludf.DUMMYFUNCTION("""COMPUTED_VALUE"""),"Closed")</f>
        <v>Closed</v>
      </c>
      <c r="DC251" s="371" t="str">
        <f>IFERROR(__xludf.DUMMYFUNCTION("""COMPUTED_VALUE"""),"Closed")</f>
        <v>Closed</v>
      </c>
      <c r="DD251" s="256" t="str">
        <f>IFERROR(__xludf.DUMMYFUNCTION("""COMPUTED_VALUE"""),"Closed")</f>
        <v>Closed</v>
      </c>
      <c r="DE251" s="370" t="str">
        <f>IFERROR(__xludf.DUMMYFUNCTION("""COMPUTED_VALUE"""),"Closed")</f>
        <v>Closed</v>
      </c>
      <c r="DF251" s="371" t="str">
        <f>IFERROR(__xludf.DUMMYFUNCTION("""COMPUTED_VALUE"""),"Closed")</f>
        <v>Closed</v>
      </c>
      <c r="DG251" s="256" t="str">
        <f>IFERROR(__xludf.DUMMYFUNCTION("""COMPUTED_VALUE"""),"Closed")</f>
        <v>Closed</v>
      </c>
      <c r="DH251" s="370" t="str">
        <f>IFERROR(__xludf.DUMMYFUNCTION("""COMPUTED_VALUE"""),"Closed")</f>
        <v>Closed</v>
      </c>
      <c r="DI251" s="371" t="str">
        <f>IFERROR(__xludf.DUMMYFUNCTION("""COMPUTED_VALUE"""),"Closed")</f>
        <v>Closed</v>
      </c>
      <c r="DJ251" s="256" t="str">
        <f>IFERROR(__xludf.DUMMYFUNCTION("""COMPUTED_VALUE"""),"Closed")</f>
        <v>Closed</v>
      </c>
      <c r="DK251" s="370" t="str">
        <f>IFERROR(__xludf.DUMMYFUNCTION("""COMPUTED_VALUE"""),"Closed")</f>
        <v>Closed</v>
      </c>
      <c r="DL251" s="256" t="str">
        <f>IFERROR(__xludf.DUMMYFUNCTION("""COMPUTED_VALUE"""),"Closed")</f>
        <v>Closed</v>
      </c>
      <c r="DM251" s="256" t="str">
        <f>IFERROR(__xludf.DUMMYFUNCTION("""COMPUTED_VALUE"""),"Closed")</f>
        <v>Closed</v>
      </c>
      <c r="DN251" s="256" t="str">
        <f>IFERROR(__xludf.DUMMYFUNCTION("""COMPUTED_VALUE"""),"Closed")</f>
        <v>Closed</v>
      </c>
      <c r="DO251" s="256" t="str">
        <f>IFERROR(__xludf.DUMMYFUNCTION("""COMPUTED_VALUE"""),"Closed")</f>
        <v>Closed</v>
      </c>
      <c r="DP251" s="256" t="str">
        <f>IFERROR(__xludf.DUMMYFUNCTION("""COMPUTED_VALUE"""),"Closed")</f>
        <v>Closed</v>
      </c>
      <c r="DQ251" s="256" t="str">
        <f>IFERROR(__xludf.DUMMYFUNCTION("""COMPUTED_VALUE"""),"Closed")</f>
        <v>Closed</v>
      </c>
      <c r="DR251" s="256" t="str">
        <f>IFERROR(__xludf.DUMMYFUNCTION("""COMPUTED_VALUE"""),"Closed")</f>
        <v>Closed</v>
      </c>
      <c r="DS251" s="256" t="str">
        <f>IFERROR(__xludf.DUMMYFUNCTION("""COMPUTED_VALUE"""),"Closed")</f>
        <v>Closed</v>
      </c>
      <c r="DT251" s="256" t="str">
        <f>IFERROR(__xludf.DUMMYFUNCTION("""COMPUTED_VALUE"""),"Closed")</f>
        <v>Closed</v>
      </c>
    </row>
    <row r="252" hidden="1">
      <c r="B252" s="180" t="str">
        <f>IFERROR(__xludf.DUMMYFUNCTION("""COMPUTED_VALUE"""),"HEA5")</f>
        <v>HEA5</v>
      </c>
      <c r="C252" s="368" t="str">
        <f>IFERROR(__xludf.DUMMYFUNCTION("""COMPUTED_VALUE"""),"Suzakumon")</f>
        <v>Suzakumon</v>
      </c>
      <c r="D252" s="273">
        <f>IFERROR(__xludf.DUMMYFUNCTION("""COMPUTED_VALUE"""),21.0)</f>
        <v>21</v>
      </c>
      <c r="E252" t="b">
        <f>IFERROR(__xludf.DUMMYFUNCTION("""COMPUTED_VALUE"""),FALSE)</f>
        <v>0</v>
      </c>
      <c r="F252" t="str">
        <f>IFERROR(__xludf.DUMMYFUNCTION("""COMPUTED_VALUE"""),"Free Quests- Part 2!A925:J934")</f>
        <v>Free Quests- Part 2!A925:J934</v>
      </c>
      <c r="G252">
        <f>IFERROR(__xludf.DUMMYFUNCTION("""COMPUTED_VALUE"""),253.0)</f>
        <v>253</v>
      </c>
      <c r="H252" t="str">
        <f>IFERROR(__xludf.DUMMYFUNCTION("""COMPUTED_VALUE"""),"Closed")</f>
        <v>Closed</v>
      </c>
      <c r="I252">
        <f>IFERROR(__xludf.DUMMYFUNCTION("""COMPUTED_VALUE"""),11136.0)</f>
        <v>11136</v>
      </c>
      <c r="J252" t="str">
        <f>IFERROR(__xludf.DUMMYFUNCTION("""COMPUTED_VALUE"""),"Closed")</f>
        <v>Closed</v>
      </c>
      <c r="K252" s="369" t="str">
        <f>IFERROR(__xludf.DUMMYFUNCTION("""COMPUTED_VALUE"""),"Closed")</f>
        <v>Closed</v>
      </c>
      <c r="L252" s="256" t="str">
        <f>IFERROR(__xludf.DUMMYFUNCTION("""COMPUTED_VALUE"""),"Closed")</f>
        <v>Closed</v>
      </c>
      <c r="M252" s="370" t="str">
        <f>IFERROR(__xludf.DUMMYFUNCTION("""COMPUTED_VALUE"""),"Closed")</f>
        <v>Closed</v>
      </c>
      <c r="N252" s="371" t="str">
        <f>IFERROR(__xludf.DUMMYFUNCTION("""COMPUTED_VALUE"""),"Closed")</f>
        <v>Closed</v>
      </c>
      <c r="O252" s="256" t="str">
        <f>IFERROR(__xludf.DUMMYFUNCTION("""COMPUTED_VALUE"""),"Closed")</f>
        <v>Closed</v>
      </c>
      <c r="P252" s="370" t="str">
        <f>IFERROR(__xludf.DUMMYFUNCTION("""COMPUTED_VALUE"""),"Closed")</f>
        <v>Closed</v>
      </c>
      <c r="Q252" s="371" t="str">
        <f>IFERROR(__xludf.DUMMYFUNCTION("""COMPUTED_VALUE"""),"Closed")</f>
        <v>Closed</v>
      </c>
      <c r="R252" s="256" t="str">
        <f>IFERROR(__xludf.DUMMYFUNCTION("""COMPUTED_VALUE"""),"Closed")</f>
        <v>Closed</v>
      </c>
      <c r="S252" s="370" t="str">
        <f>IFERROR(__xludf.DUMMYFUNCTION("""COMPUTED_VALUE"""),"Closed")</f>
        <v>Closed</v>
      </c>
      <c r="T252" s="371" t="str">
        <f>IFERROR(__xludf.DUMMYFUNCTION("""COMPUTED_VALUE"""),"Closed")</f>
        <v>Closed</v>
      </c>
      <c r="U252" s="256" t="str">
        <f>IFERROR(__xludf.DUMMYFUNCTION("""COMPUTED_VALUE"""),"Closed")</f>
        <v>Closed</v>
      </c>
      <c r="V252" s="370" t="str">
        <f>IFERROR(__xludf.DUMMYFUNCTION("""COMPUTED_VALUE"""),"Closed")</f>
        <v>Closed</v>
      </c>
      <c r="W252" s="369" t="str">
        <f>IFERROR(__xludf.DUMMYFUNCTION("""COMPUTED_VALUE"""),"Closed")</f>
        <v>Closed</v>
      </c>
      <c r="X252" s="256" t="str">
        <f>IFERROR(__xludf.DUMMYFUNCTION("""COMPUTED_VALUE"""),"Closed")</f>
        <v>Closed</v>
      </c>
      <c r="Y252" s="370" t="str">
        <f>IFERROR(__xludf.DUMMYFUNCTION("""COMPUTED_VALUE"""),"Closed")</f>
        <v>Closed</v>
      </c>
      <c r="Z252" s="371" t="str">
        <f>IFERROR(__xludf.DUMMYFUNCTION("""COMPUTED_VALUE"""),"Closed")</f>
        <v>Closed</v>
      </c>
      <c r="AA252" s="256" t="str">
        <f>IFERROR(__xludf.DUMMYFUNCTION("""COMPUTED_VALUE"""),"Closed")</f>
        <v>Closed</v>
      </c>
      <c r="AB252" s="370" t="str">
        <f>IFERROR(__xludf.DUMMYFUNCTION("""COMPUTED_VALUE"""),"Closed")</f>
        <v>Closed</v>
      </c>
      <c r="AC252" s="371" t="str">
        <f>IFERROR(__xludf.DUMMYFUNCTION("""COMPUTED_VALUE"""),"Closed")</f>
        <v>Closed</v>
      </c>
      <c r="AD252" s="256" t="str">
        <f>IFERROR(__xludf.DUMMYFUNCTION("""COMPUTED_VALUE"""),"Closed")</f>
        <v>Closed</v>
      </c>
      <c r="AE252" s="370" t="str">
        <f>IFERROR(__xludf.DUMMYFUNCTION("""COMPUTED_VALUE"""),"Closed")</f>
        <v>Closed</v>
      </c>
      <c r="AF252" s="371" t="str">
        <f>IFERROR(__xludf.DUMMYFUNCTION("""COMPUTED_VALUE"""),"Closed")</f>
        <v>Closed</v>
      </c>
      <c r="AG252" s="256" t="str">
        <f>IFERROR(__xludf.DUMMYFUNCTION("""COMPUTED_VALUE"""),"Closed")</f>
        <v>Closed</v>
      </c>
      <c r="AH252" s="370" t="str">
        <f>IFERROR(__xludf.DUMMYFUNCTION("""COMPUTED_VALUE"""),"Closed")</f>
        <v>Closed</v>
      </c>
      <c r="AI252" s="369" t="str">
        <f>IFERROR(__xludf.DUMMYFUNCTION("""COMPUTED_VALUE"""),"Closed")</f>
        <v>Closed</v>
      </c>
      <c r="AJ252" s="256" t="str">
        <f>IFERROR(__xludf.DUMMYFUNCTION("""COMPUTED_VALUE"""),"Closed")</f>
        <v>Closed</v>
      </c>
      <c r="AK252" s="370" t="str">
        <f>IFERROR(__xludf.DUMMYFUNCTION("""COMPUTED_VALUE"""),"Closed")</f>
        <v>Closed</v>
      </c>
      <c r="AL252" s="372" t="str">
        <f>IFERROR(__xludf.DUMMYFUNCTION("""COMPUTED_VALUE"""),"Closed")</f>
        <v>Closed</v>
      </c>
      <c r="AM252" s="373" t="str">
        <f>IFERROR(__xludf.DUMMYFUNCTION("""COMPUTED_VALUE"""),"Closed")</f>
        <v>Closed</v>
      </c>
      <c r="AN252" s="370" t="str">
        <f>IFERROR(__xludf.DUMMYFUNCTION("""COMPUTED_VALUE"""),"Closed")</f>
        <v>Closed</v>
      </c>
      <c r="AO252" s="371" t="str">
        <f>IFERROR(__xludf.DUMMYFUNCTION("""COMPUTED_VALUE"""),"Closed")</f>
        <v>Closed</v>
      </c>
      <c r="AP252" s="256" t="str">
        <f>IFERROR(__xludf.DUMMYFUNCTION("""COMPUTED_VALUE"""),"Closed")</f>
        <v>Closed</v>
      </c>
      <c r="AQ252" s="370" t="str">
        <f>IFERROR(__xludf.DUMMYFUNCTION("""COMPUTED_VALUE"""),"Closed")</f>
        <v>Closed</v>
      </c>
      <c r="AR252" s="371" t="str">
        <f>IFERROR(__xludf.DUMMYFUNCTION("""COMPUTED_VALUE"""),"Closed")</f>
        <v>Closed</v>
      </c>
      <c r="AS252" s="256" t="str">
        <f>IFERROR(__xludf.DUMMYFUNCTION("""COMPUTED_VALUE"""),"Closed")</f>
        <v>Closed</v>
      </c>
      <c r="AT252" s="370" t="str">
        <f>IFERROR(__xludf.DUMMYFUNCTION("""COMPUTED_VALUE"""),"Closed")</f>
        <v>Closed</v>
      </c>
      <c r="AU252" s="369" t="str">
        <f>IFERROR(__xludf.DUMMYFUNCTION("""COMPUTED_VALUE"""),"Closed")</f>
        <v>Closed</v>
      </c>
      <c r="AV252" s="256" t="str">
        <f>IFERROR(__xludf.DUMMYFUNCTION("""COMPUTED_VALUE"""),"Closed")</f>
        <v>Closed</v>
      </c>
      <c r="AW252" s="370" t="str">
        <f>IFERROR(__xludf.DUMMYFUNCTION("""COMPUTED_VALUE"""),"Closed")</f>
        <v>Closed</v>
      </c>
      <c r="AX252" s="371" t="str">
        <f>IFERROR(__xludf.DUMMYFUNCTION("""COMPUTED_VALUE"""),"Closed")</f>
        <v>Closed</v>
      </c>
      <c r="AY252" s="256" t="str">
        <f>IFERROR(__xludf.DUMMYFUNCTION("""COMPUTED_VALUE"""),"Closed")</f>
        <v>Closed</v>
      </c>
      <c r="AZ252" s="370" t="str">
        <f>IFERROR(__xludf.DUMMYFUNCTION("""COMPUTED_VALUE"""),"Closed")</f>
        <v>Closed</v>
      </c>
      <c r="BA252" s="371" t="str">
        <f>IFERROR(__xludf.DUMMYFUNCTION("""COMPUTED_VALUE"""),"Closed")</f>
        <v>Closed</v>
      </c>
      <c r="BB252" s="256" t="str">
        <f>IFERROR(__xludf.DUMMYFUNCTION("""COMPUTED_VALUE"""),"Closed")</f>
        <v>Closed</v>
      </c>
      <c r="BC252" s="370" t="str">
        <f>IFERROR(__xludf.DUMMYFUNCTION("""COMPUTED_VALUE"""),"Closed")</f>
        <v>Closed</v>
      </c>
      <c r="BD252" s="371" t="str">
        <f>IFERROR(__xludf.DUMMYFUNCTION("""COMPUTED_VALUE"""),"Closed")</f>
        <v>Closed</v>
      </c>
      <c r="BE252" s="256" t="str">
        <f>IFERROR(__xludf.DUMMYFUNCTION("""COMPUTED_VALUE"""),"Closed")</f>
        <v>Closed</v>
      </c>
      <c r="BF252" s="370" t="str">
        <f>IFERROR(__xludf.DUMMYFUNCTION("""COMPUTED_VALUE"""),"Closed")</f>
        <v>Closed</v>
      </c>
      <c r="BG252" s="369" t="str">
        <f>IFERROR(__xludf.DUMMYFUNCTION("""COMPUTED_VALUE"""),"Closed")</f>
        <v>Closed</v>
      </c>
      <c r="BH252" s="256" t="str">
        <f>IFERROR(__xludf.DUMMYFUNCTION("""COMPUTED_VALUE"""),"Closed")</f>
        <v>Closed</v>
      </c>
      <c r="BI252" s="370" t="str">
        <f>IFERROR(__xludf.DUMMYFUNCTION("""COMPUTED_VALUE"""),"Closed")</f>
        <v>Closed</v>
      </c>
      <c r="BJ252" s="371" t="str">
        <f>IFERROR(__xludf.DUMMYFUNCTION("""COMPUTED_VALUE"""),"Closed")</f>
        <v>Closed</v>
      </c>
      <c r="BK252" s="256" t="str">
        <f>IFERROR(__xludf.DUMMYFUNCTION("""COMPUTED_VALUE"""),"Closed")</f>
        <v>Closed</v>
      </c>
      <c r="BL252" s="370" t="str">
        <f>IFERROR(__xludf.DUMMYFUNCTION("""COMPUTED_VALUE"""),"Closed")</f>
        <v>Closed</v>
      </c>
      <c r="BM252" s="371" t="str">
        <f>IFERROR(__xludf.DUMMYFUNCTION("""COMPUTED_VALUE"""),"Closed")</f>
        <v>Closed</v>
      </c>
      <c r="BN252" s="256" t="str">
        <f>IFERROR(__xludf.DUMMYFUNCTION("""COMPUTED_VALUE"""),"Closed")</f>
        <v>Closed</v>
      </c>
      <c r="BO252" s="370" t="str">
        <f>IFERROR(__xludf.DUMMYFUNCTION("""COMPUTED_VALUE"""),"Closed")</f>
        <v>Closed</v>
      </c>
      <c r="BP252" s="371" t="str">
        <f>IFERROR(__xludf.DUMMYFUNCTION("""COMPUTED_VALUE"""),"Closed")</f>
        <v>Closed</v>
      </c>
      <c r="BQ252" s="256" t="str">
        <f>IFERROR(__xludf.DUMMYFUNCTION("""COMPUTED_VALUE"""),"Closed")</f>
        <v>Closed</v>
      </c>
      <c r="BR252" s="370" t="str">
        <f>IFERROR(__xludf.DUMMYFUNCTION("""COMPUTED_VALUE"""),"Closed")</f>
        <v>Closed</v>
      </c>
      <c r="BS252" s="369" t="str">
        <f>IFERROR(__xludf.DUMMYFUNCTION("""COMPUTED_VALUE"""),"Closed")</f>
        <v>Closed</v>
      </c>
      <c r="BT252" s="256" t="str">
        <f>IFERROR(__xludf.DUMMYFUNCTION("""COMPUTED_VALUE"""),"Closed")</f>
        <v>Closed</v>
      </c>
      <c r="BU252" s="370" t="str">
        <f>IFERROR(__xludf.DUMMYFUNCTION("""COMPUTED_VALUE"""),"Closed")</f>
        <v>Closed</v>
      </c>
      <c r="BV252" s="371" t="str">
        <f>IFERROR(__xludf.DUMMYFUNCTION("""COMPUTED_VALUE"""),"Closed")</f>
        <v>Closed</v>
      </c>
      <c r="BW252" s="256" t="str">
        <f>IFERROR(__xludf.DUMMYFUNCTION("""COMPUTED_VALUE"""),"Closed")</f>
        <v>Closed</v>
      </c>
      <c r="BX252" s="370" t="str">
        <f>IFERROR(__xludf.DUMMYFUNCTION("""COMPUTED_VALUE"""),"Closed")</f>
        <v>Closed</v>
      </c>
      <c r="BY252" s="371" t="str">
        <f>IFERROR(__xludf.DUMMYFUNCTION("""COMPUTED_VALUE"""),"Closed")</f>
        <v>Closed</v>
      </c>
      <c r="BZ252" s="256" t="str">
        <f>IFERROR(__xludf.DUMMYFUNCTION("""COMPUTED_VALUE"""),"Closed")</f>
        <v>Closed</v>
      </c>
      <c r="CA252" s="370" t="str">
        <f>IFERROR(__xludf.DUMMYFUNCTION("""COMPUTED_VALUE"""),"Closed")</f>
        <v>Closed</v>
      </c>
      <c r="CB252" s="371" t="str">
        <f>IFERROR(__xludf.DUMMYFUNCTION("""COMPUTED_VALUE"""),"Closed")</f>
        <v>Closed</v>
      </c>
      <c r="CC252" s="256" t="str">
        <f>IFERROR(__xludf.DUMMYFUNCTION("""COMPUTED_VALUE"""),"Closed")</f>
        <v>Closed</v>
      </c>
      <c r="CD252" s="370" t="str">
        <f>IFERROR(__xludf.DUMMYFUNCTION("""COMPUTED_VALUE"""),"Closed")</f>
        <v>Closed</v>
      </c>
      <c r="CE252" s="371" t="str">
        <f>IFERROR(__xludf.DUMMYFUNCTION("""COMPUTED_VALUE"""),"Closed")</f>
        <v>Closed</v>
      </c>
      <c r="CF252" s="256" t="str">
        <f>IFERROR(__xludf.DUMMYFUNCTION("""COMPUTED_VALUE"""),"Closed")</f>
        <v>Closed</v>
      </c>
      <c r="CG252" s="370" t="str">
        <f>IFERROR(__xludf.DUMMYFUNCTION("""COMPUTED_VALUE"""),"Closed")</f>
        <v>Closed</v>
      </c>
      <c r="CH252" s="371" t="str">
        <f>IFERROR(__xludf.DUMMYFUNCTION("""COMPUTED_VALUE"""),"Closed")</f>
        <v>Closed</v>
      </c>
      <c r="CI252" s="256" t="str">
        <f>IFERROR(__xludf.DUMMYFUNCTION("""COMPUTED_VALUE"""),"Closed")</f>
        <v>Closed</v>
      </c>
      <c r="CJ252" s="256" t="str">
        <f>IFERROR(__xludf.DUMMYFUNCTION("""COMPUTED_VALUE"""),"Closed")</f>
        <v>Closed</v>
      </c>
      <c r="CK252" s="371" t="str">
        <f>IFERROR(__xludf.DUMMYFUNCTION("""COMPUTED_VALUE"""),"Closed")</f>
        <v>Closed</v>
      </c>
      <c r="CL252" s="256" t="str">
        <f>IFERROR(__xludf.DUMMYFUNCTION("""COMPUTED_VALUE"""),"Closed")</f>
        <v>Closed</v>
      </c>
      <c r="CM252" s="370" t="str">
        <f>IFERROR(__xludf.DUMMYFUNCTION("""COMPUTED_VALUE"""),"Closed")</f>
        <v>Closed</v>
      </c>
      <c r="CN252" s="256" t="str">
        <f>IFERROR(__xludf.DUMMYFUNCTION("""COMPUTED_VALUE"""),"Closed")</f>
        <v>Closed</v>
      </c>
      <c r="CO252" s="256" t="str">
        <f>IFERROR(__xludf.DUMMYFUNCTION("""COMPUTED_VALUE"""),"Closed")</f>
        <v>Closed</v>
      </c>
      <c r="CP252" s="256" t="str">
        <f>IFERROR(__xludf.DUMMYFUNCTION("""COMPUTED_VALUE"""),"Closed")</f>
        <v>Closed</v>
      </c>
      <c r="CQ252" s="371" t="str">
        <f>IFERROR(__xludf.DUMMYFUNCTION("""COMPUTED_VALUE"""),"Closed")</f>
        <v>Closed</v>
      </c>
      <c r="CR252" s="256" t="str">
        <f>IFERROR(__xludf.DUMMYFUNCTION("""COMPUTED_VALUE"""),"Closed")</f>
        <v>Closed</v>
      </c>
      <c r="CS252" s="256" t="str">
        <f>IFERROR(__xludf.DUMMYFUNCTION("""COMPUTED_VALUE"""),"Closed")</f>
        <v>Closed</v>
      </c>
      <c r="CT252" s="371" t="str">
        <f>IFERROR(__xludf.DUMMYFUNCTION("""COMPUTED_VALUE"""),"Closed")</f>
        <v>Closed</v>
      </c>
      <c r="CU252" s="256" t="str">
        <f>IFERROR(__xludf.DUMMYFUNCTION("""COMPUTED_VALUE"""),"Closed")</f>
        <v>Closed</v>
      </c>
      <c r="CV252" s="256" t="str">
        <f>IFERROR(__xludf.DUMMYFUNCTION("""COMPUTED_VALUE"""),"Closed")</f>
        <v>Closed</v>
      </c>
      <c r="CW252" s="371" t="str">
        <f>IFERROR(__xludf.DUMMYFUNCTION("""COMPUTED_VALUE"""),"Closed")</f>
        <v>Closed</v>
      </c>
      <c r="CX252" s="256" t="str">
        <f>IFERROR(__xludf.DUMMYFUNCTION("""COMPUTED_VALUE"""),"Closed")</f>
        <v>Closed</v>
      </c>
      <c r="CY252" s="370" t="str">
        <f>IFERROR(__xludf.DUMMYFUNCTION("""COMPUTED_VALUE"""),"Closed")</f>
        <v>Closed</v>
      </c>
      <c r="CZ252" s="256" t="str">
        <f>IFERROR(__xludf.DUMMYFUNCTION("""COMPUTED_VALUE"""),"Closed")</f>
        <v>Closed</v>
      </c>
      <c r="DA252" s="256" t="str">
        <f>IFERROR(__xludf.DUMMYFUNCTION("""COMPUTED_VALUE"""),"Closed")</f>
        <v>Closed</v>
      </c>
      <c r="DB252" s="370" t="str">
        <f>IFERROR(__xludf.DUMMYFUNCTION("""COMPUTED_VALUE"""),"Closed")</f>
        <v>Closed</v>
      </c>
      <c r="DC252" s="371" t="str">
        <f>IFERROR(__xludf.DUMMYFUNCTION("""COMPUTED_VALUE"""),"Closed")</f>
        <v>Closed</v>
      </c>
      <c r="DD252" s="256" t="str">
        <f>IFERROR(__xludf.DUMMYFUNCTION("""COMPUTED_VALUE"""),"Closed")</f>
        <v>Closed</v>
      </c>
      <c r="DE252" s="370" t="str">
        <f>IFERROR(__xludf.DUMMYFUNCTION("""COMPUTED_VALUE"""),"Closed")</f>
        <v>Closed</v>
      </c>
      <c r="DF252" s="371" t="str">
        <f>IFERROR(__xludf.DUMMYFUNCTION("""COMPUTED_VALUE"""),"Closed")</f>
        <v>Closed</v>
      </c>
      <c r="DG252" s="256" t="str">
        <f>IFERROR(__xludf.DUMMYFUNCTION("""COMPUTED_VALUE"""),"Closed")</f>
        <v>Closed</v>
      </c>
      <c r="DH252" s="370" t="str">
        <f>IFERROR(__xludf.DUMMYFUNCTION("""COMPUTED_VALUE"""),"Closed")</f>
        <v>Closed</v>
      </c>
      <c r="DI252" s="371" t="str">
        <f>IFERROR(__xludf.DUMMYFUNCTION("""COMPUTED_VALUE"""),"Closed")</f>
        <v>Closed</v>
      </c>
      <c r="DJ252" s="256" t="str">
        <f>IFERROR(__xludf.DUMMYFUNCTION("""COMPUTED_VALUE"""),"Closed")</f>
        <v>Closed</v>
      </c>
      <c r="DK252" s="370" t="str">
        <f>IFERROR(__xludf.DUMMYFUNCTION("""COMPUTED_VALUE"""),"Closed")</f>
        <v>Closed</v>
      </c>
      <c r="DL252" s="256" t="str">
        <f>IFERROR(__xludf.DUMMYFUNCTION("""COMPUTED_VALUE"""),"Closed")</f>
        <v>Closed</v>
      </c>
      <c r="DM252" s="256" t="str">
        <f>IFERROR(__xludf.DUMMYFUNCTION("""COMPUTED_VALUE"""),"Closed")</f>
        <v>Closed</v>
      </c>
      <c r="DN252" s="256" t="str">
        <f>IFERROR(__xludf.DUMMYFUNCTION("""COMPUTED_VALUE"""),"Closed")</f>
        <v>Closed</v>
      </c>
      <c r="DO252" s="256" t="str">
        <f>IFERROR(__xludf.DUMMYFUNCTION("""COMPUTED_VALUE"""),"Closed")</f>
        <v>Closed</v>
      </c>
      <c r="DP252" s="256" t="str">
        <f>IFERROR(__xludf.DUMMYFUNCTION("""COMPUTED_VALUE"""),"Closed")</f>
        <v>Closed</v>
      </c>
      <c r="DQ252" s="256" t="str">
        <f>IFERROR(__xludf.DUMMYFUNCTION("""COMPUTED_VALUE"""),"Closed")</f>
        <v>Closed</v>
      </c>
      <c r="DR252" s="256" t="str">
        <f>IFERROR(__xludf.DUMMYFUNCTION("""COMPUTED_VALUE"""),"Closed")</f>
        <v>Closed</v>
      </c>
      <c r="DS252" s="256" t="str">
        <f>IFERROR(__xludf.DUMMYFUNCTION("""COMPUTED_VALUE"""),"Closed")</f>
        <v>Closed</v>
      </c>
      <c r="DT252" s="256" t="str">
        <f>IFERROR(__xludf.DUMMYFUNCTION("""COMPUTED_VALUE"""),"Closed")</f>
        <v>Closed</v>
      </c>
    </row>
    <row r="253" hidden="1">
      <c r="B253" s="180" t="str">
        <f>IFERROR(__xludf.DUMMYFUNCTION("""COMPUTED_VALUE"""),"HEA6")</f>
        <v>HEA6</v>
      </c>
      <c r="C253" s="368" t="str">
        <f>IFERROR(__xludf.DUMMYFUNCTION("""COMPUTED_VALUE"""),"Heian Imperial Palace")</f>
        <v>Heian Imperial Palace</v>
      </c>
      <c r="D253" s="273">
        <f>IFERROR(__xludf.DUMMYFUNCTION("""COMPUTED_VALUE"""),21.0)</f>
        <v>21</v>
      </c>
      <c r="E253" t="b">
        <f>IFERROR(__xludf.DUMMYFUNCTION("""COMPUTED_VALUE"""),FALSE)</f>
        <v>0</v>
      </c>
      <c r="F253" t="str">
        <f>IFERROR(__xludf.DUMMYFUNCTION("""COMPUTED_VALUE"""),"Free Quests- Part 2!A938:J947")</f>
        <v>Free Quests- Part 2!A938:J947</v>
      </c>
      <c r="G253">
        <f>IFERROR(__xludf.DUMMYFUNCTION("""COMPUTED_VALUE"""),254.0)</f>
        <v>254</v>
      </c>
      <c r="H253" t="str">
        <f>IFERROR(__xludf.DUMMYFUNCTION("""COMPUTED_VALUE"""),"Closed")</f>
        <v>Closed</v>
      </c>
      <c r="I253">
        <f>IFERROR(__xludf.DUMMYFUNCTION("""COMPUTED_VALUE"""),4753.0)</f>
        <v>4753</v>
      </c>
      <c r="J253" t="str">
        <f>IFERROR(__xludf.DUMMYFUNCTION("""COMPUTED_VALUE"""),"Closed")</f>
        <v>Closed</v>
      </c>
      <c r="K253" s="369" t="str">
        <f>IFERROR(__xludf.DUMMYFUNCTION("""COMPUTED_VALUE"""),"Closed")</f>
        <v>Closed</v>
      </c>
      <c r="L253" s="256" t="str">
        <f>IFERROR(__xludf.DUMMYFUNCTION("""COMPUTED_VALUE"""),"Closed")</f>
        <v>Closed</v>
      </c>
      <c r="M253" s="370" t="str">
        <f>IFERROR(__xludf.DUMMYFUNCTION("""COMPUTED_VALUE"""),"Closed")</f>
        <v>Closed</v>
      </c>
      <c r="N253" s="371" t="str">
        <f>IFERROR(__xludf.DUMMYFUNCTION("""COMPUTED_VALUE"""),"Closed")</f>
        <v>Closed</v>
      </c>
      <c r="O253" s="256" t="str">
        <f>IFERROR(__xludf.DUMMYFUNCTION("""COMPUTED_VALUE"""),"Closed")</f>
        <v>Closed</v>
      </c>
      <c r="P253" s="370" t="str">
        <f>IFERROR(__xludf.DUMMYFUNCTION("""COMPUTED_VALUE"""),"Closed")</f>
        <v>Closed</v>
      </c>
      <c r="Q253" s="371" t="str">
        <f>IFERROR(__xludf.DUMMYFUNCTION("""COMPUTED_VALUE"""),"Closed")</f>
        <v>Closed</v>
      </c>
      <c r="R253" s="256" t="str">
        <f>IFERROR(__xludf.DUMMYFUNCTION("""COMPUTED_VALUE"""),"Closed")</f>
        <v>Closed</v>
      </c>
      <c r="S253" s="370" t="str">
        <f>IFERROR(__xludf.DUMMYFUNCTION("""COMPUTED_VALUE"""),"Closed")</f>
        <v>Closed</v>
      </c>
      <c r="T253" s="371" t="str">
        <f>IFERROR(__xludf.DUMMYFUNCTION("""COMPUTED_VALUE"""),"Closed")</f>
        <v>Closed</v>
      </c>
      <c r="U253" s="256" t="str">
        <f>IFERROR(__xludf.DUMMYFUNCTION("""COMPUTED_VALUE"""),"Closed")</f>
        <v>Closed</v>
      </c>
      <c r="V253" s="370" t="str">
        <f>IFERROR(__xludf.DUMMYFUNCTION("""COMPUTED_VALUE"""),"Closed")</f>
        <v>Closed</v>
      </c>
      <c r="W253" s="369" t="str">
        <f>IFERROR(__xludf.DUMMYFUNCTION("""COMPUTED_VALUE"""),"Closed")</f>
        <v>Closed</v>
      </c>
      <c r="X253" s="256" t="str">
        <f>IFERROR(__xludf.DUMMYFUNCTION("""COMPUTED_VALUE"""),"Closed")</f>
        <v>Closed</v>
      </c>
      <c r="Y253" s="370" t="str">
        <f>IFERROR(__xludf.DUMMYFUNCTION("""COMPUTED_VALUE"""),"Closed")</f>
        <v>Closed</v>
      </c>
      <c r="Z253" s="371" t="str">
        <f>IFERROR(__xludf.DUMMYFUNCTION("""COMPUTED_VALUE"""),"Closed")</f>
        <v>Closed</v>
      </c>
      <c r="AA253" s="256" t="str">
        <f>IFERROR(__xludf.DUMMYFUNCTION("""COMPUTED_VALUE"""),"Closed")</f>
        <v>Closed</v>
      </c>
      <c r="AB253" s="370" t="str">
        <f>IFERROR(__xludf.DUMMYFUNCTION("""COMPUTED_VALUE"""),"Closed")</f>
        <v>Closed</v>
      </c>
      <c r="AC253" s="371" t="str">
        <f>IFERROR(__xludf.DUMMYFUNCTION("""COMPUTED_VALUE"""),"Closed")</f>
        <v>Closed</v>
      </c>
      <c r="AD253" s="256" t="str">
        <f>IFERROR(__xludf.DUMMYFUNCTION("""COMPUTED_VALUE"""),"Closed")</f>
        <v>Closed</v>
      </c>
      <c r="AE253" s="370" t="str">
        <f>IFERROR(__xludf.DUMMYFUNCTION("""COMPUTED_VALUE"""),"Closed")</f>
        <v>Closed</v>
      </c>
      <c r="AF253" s="371" t="str">
        <f>IFERROR(__xludf.DUMMYFUNCTION("""COMPUTED_VALUE"""),"Closed")</f>
        <v>Closed</v>
      </c>
      <c r="AG253" s="256" t="str">
        <f>IFERROR(__xludf.DUMMYFUNCTION("""COMPUTED_VALUE"""),"Closed")</f>
        <v>Closed</v>
      </c>
      <c r="AH253" s="370" t="str">
        <f>IFERROR(__xludf.DUMMYFUNCTION("""COMPUTED_VALUE"""),"Closed")</f>
        <v>Closed</v>
      </c>
      <c r="AI253" s="369" t="str">
        <f>IFERROR(__xludf.DUMMYFUNCTION("""COMPUTED_VALUE"""),"Closed")</f>
        <v>Closed</v>
      </c>
      <c r="AJ253" s="256" t="str">
        <f>IFERROR(__xludf.DUMMYFUNCTION("""COMPUTED_VALUE"""),"Closed")</f>
        <v>Closed</v>
      </c>
      <c r="AK253" s="370" t="str">
        <f>IFERROR(__xludf.DUMMYFUNCTION("""COMPUTED_VALUE"""),"Closed")</f>
        <v>Closed</v>
      </c>
      <c r="AL253" s="372" t="str">
        <f>IFERROR(__xludf.DUMMYFUNCTION("""COMPUTED_VALUE"""),"Closed")</f>
        <v>Closed</v>
      </c>
      <c r="AM253" s="373" t="str">
        <f>IFERROR(__xludf.DUMMYFUNCTION("""COMPUTED_VALUE"""),"Closed")</f>
        <v>Closed</v>
      </c>
      <c r="AN253" s="370" t="str">
        <f>IFERROR(__xludf.DUMMYFUNCTION("""COMPUTED_VALUE"""),"Closed")</f>
        <v>Closed</v>
      </c>
      <c r="AO253" s="371" t="str">
        <f>IFERROR(__xludf.DUMMYFUNCTION("""COMPUTED_VALUE"""),"Closed")</f>
        <v>Closed</v>
      </c>
      <c r="AP253" s="256" t="str">
        <f>IFERROR(__xludf.DUMMYFUNCTION("""COMPUTED_VALUE"""),"Closed")</f>
        <v>Closed</v>
      </c>
      <c r="AQ253" s="370" t="str">
        <f>IFERROR(__xludf.DUMMYFUNCTION("""COMPUTED_VALUE"""),"Closed")</f>
        <v>Closed</v>
      </c>
      <c r="AR253" s="371" t="str">
        <f>IFERROR(__xludf.DUMMYFUNCTION("""COMPUTED_VALUE"""),"Closed")</f>
        <v>Closed</v>
      </c>
      <c r="AS253" s="256" t="str">
        <f>IFERROR(__xludf.DUMMYFUNCTION("""COMPUTED_VALUE"""),"Closed")</f>
        <v>Closed</v>
      </c>
      <c r="AT253" s="370" t="str">
        <f>IFERROR(__xludf.DUMMYFUNCTION("""COMPUTED_VALUE"""),"Closed")</f>
        <v>Closed</v>
      </c>
      <c r="AU253" s="369" t="str">
        <f>IFERROR(__xludf.DUMMYFUNCTION("""COMPUTED_VALUE"""),"Closed")</f>
        <v>Closed</v>
      </c>
      <c r="AV253" s="256" t="str">
        <f>IFERROR(__xludf.DUMMYFUNCTION("""COMPUTED_VALUE"""),"Closed")</f>
        <v>Closed</v>
      </c>
      <c r="AW253" s="370" t="str">
        <f>IFERROR(__xludf.DUMMYFUNCTION("""COMPUTED_VALUE"""),"Closed")</f>
        <v>Closed</v>
      </c>
      <c r="AX253" s="371" t="str">
        <f>IFERROR(__xludf.DUMMYFUNCTION("""COMPUTED_VALUE"""),"Closed")</f>
        <v>Closed</v>
      </c>
      <c r="AY253" s="256" t="str">
        <f>IFERROR(__xludf.DUMMYFUNCTION("""COMPUTED_VALUE"""),"Closed")</f>
        <v>Closed</v>
      </c>
      <c r="AZ253" s="370" t="str">
        <f>IFERROR(__xludf.DUMMYFUNCTION("""COMPUTED_VALUE"""),"Closed")</f>
        <v>Closed</v>
      </c>
      <c r="BA253" s="371" t="str">
        <f>IFERROR(__xludf.DUMMYFUNCTION("""COMPUTED_VALUE"""),"Closed")</f>
        <v>Closed</v>
      </c>
      <c r="BB253" s="256" t="str">
        <f>IFERROR(__xludf.DUMMYFUNCTION("""COMPUTED_VALUE"""),"Closed")</f>
        <v>Closed</v>
      </c>
      <c r="BC253" s="370" t="str">
        <f>IFERROR(__xludf.DUMMYFUNCTION("""COMPUTED_VALUE"""),"Closed")</f>
        <v>Closed</v>
      </c>
      <c r="BD253" s="371" t="str">
        <f>IFERROR(__xludf.DUMMYFUNCTION("""COMPUTED_VALUE"""),"Closed")</f>
        <v>Closed</v>
      </c>
      <c r="BE253" s="256" t="str">
        <f>IFERROR(__xludf.DUMMYFUNCTION("""COMPUTED_VALUE"""),"Closed")</f>
        <v>Closed</v>
      </c>
      <c r="BF253" s="370" t="str">
        <f>IFERROR(__xludf.DUMMYFUNCTION("""COMPUTED_VALUE"""),"Closed")</f>
        <v>Closed</v>
      </c>
      <c r="BG253" s="369" t="str">
        <f>IFERROR(__xludf.DUMMYFUNCTION("""COMPUTED_VALUE"""),"Closed")</f>
        <v>Closed</v>
      </c>
      <c r="BH253" s="256" t="str">
        <f>IFERROR(__xludf.DUMMYFUNCTION("""COMPUTED_VALUE"""),"Closed")</f>
        <v>Closed</v>
      </c>
      <c r="BI253" s="370" t="str">
        <f>IFERROR(__xludf.DUMMYFUNCTION("""COMPUTED_VALUE"""),"Closed")</f>
        <v>Closed</v>
      </c>
      <c r="BJ253" s="371" t="str">
        <f>IFERROR(__xludf.DUMMYFUNCTION("""COMPUTED_VALUE"""),"Closed")</f>
        <v>Closed</v>
      </c>
      <c r="BK253" s="256" t="str">
        <f>IFERROR(__xludf.DUMMYFUNCTION("""COMPUTED_VALUE"""),"Closed")</f>
        <v>Closed</v>
      </c>
      <c r="BL253" s="370" t="str">
        <f>IFERROR(__xludf.DUMMYFUNCTION("""COMPUTED_VALUE"""),"Closed")</f>
        <v>Closed</v>
      </c>
      <c r="BM253" s="371" t="str">
        <f>IFERROR(__xludf.DUMMYFUNCTION("""COMPUTED_VALUE"""),"Closed")</f>
        <v>Closed</v>
      </c>
      <c r="BN253" s="256" t="str">
        <f>IFERROR(__xludf.DUMMYFUNCTION("""COMPUTED_VALUE"""),"Closed")</f>
        <v>Closed</v>
      </c>
      <c r="BO253" s="370" t="str">
        <f>IFERROR(__xludf.DUMMYFUNCTION("""COMPUTED_VALUE"""),"Closed")</f>
        <v>Closed</v>
      </c>
      <c r="BP253" s="371" t="str">
        <f>IFERROR(__xludf.DUMMYFUNCTION("""COMPUTED_VALUE"""),"Closed")</f>
        <v>Closed</v>
      </c>
      <c r="BQ253" s="256" t="str">
        <f>IFERROR(__xludf.DUMMYFUNCTION("""COMPUTED_VALUE"""),"Closed")</f>
        <v>Closed</v>
      </c>
      <c r="BR253" s="370" t="str">
        <f>IFERROR(__xludf.DUMMYFUNCTION("""COMPUTED_VALUE"""),"Closed")</f>
        <v>Closed</v>
      </c>
      <c r="BS253" s="369" t="str">
        <f>IFERROR(__xludf.DUMMYFUNCTION("""COMPUTED_VALUE"""),"Closed")</f>
        <v>Closed</v>
      </c>
      <c r="BT253" s="256" t="str">
        <f>IFERROR(__xludf.DUMMYFUNCTION("""COMPUTED_VALUE"""),"Closed")</f>
        <v>Closed</v>
      </c>
      <c r="BU253" s="370" t="str">
        <f>IFERROR(__xludf.DUMMYFUNCTION("""COMPUTED_VALUE"""),"Closed")</f>
        <v>Closed</v>
      </c>
      <c r="BV253" s="371" t="str">
        <f>IFERROR(__xludf.DUMMYFUNCTION("""COMPUTED_VALUE"""),"Closed")</f>
        <v>Closed</v>
      </c>
      <c r="BW253" s="256" t="str">
        <f>IFERROR(__xludf.DUMMYFUNCTION("""COMPUTED_VALUE"""),"Closed")</f>
        <v>Closed</v>
      </c>
      <c r="BX253" s="370" t="str">
        <f>IFERROR(__xludf.DUMMYFUNCTION("""COMPUTED_VALUE"""),"Closed")</f>
        <v>Closed</v>
      </c>
      <c r="BY253" s="371" t="str">
        <f>IFERROR(__xludf.DUMMYFUNCTION("""COMPUTED_VALUE"""),"Closed")</f>
        <v>Closed</v>
      </c>
      <c r="BZ253" s="256" t="str">
        <f>IFERROR(__xludf.DUMMYFUNCTION("""COMPUTED_VALUE"""),"Closed")</f>
        <v>Closed</v>
      </c>
      <c r="CA253" s="370" t="str">
        <f>IFERROR(__xludf.DUMMYFUNCTION("""COMPUTED_VALUE"""),"Closed")</f>
        <v>Closed</v>
      </c>
      <c r="CB253" s="371" t="str">
        <f>IFERROR(__xludf.DUMMYFUNCTION("""COMPUTED_VALUE"""),"Closed")</f>
        <v>Closed</v>
      </c>
      <c r="CC253" s="256" t="str">
        <f>IFERROR(__xludf.DUMMYFUNCTION("""COMPUTED_VALUE"""),"Closed")</f>
        <v>Closed</v>
      </c>
      <c r="CD253" s="370" t="str">
        <f>IFERROR(__xludf.DUMMYFUNCTION("""COMPUTED_VALUE"""),"Closed")</f>
        <v>Closed</v>
      </c>
      <c r="CE253" s="371" t="str">
        <f>IFERROR(__xludf.DUMMYFUNCTION("""COMPUTED_VALUE"""),"Closed")</f>
        <v>Closed</v>
      </c>
      <c r="CF253" s="256" t="str">
        <f>IFERROR(__xludf.DUMMYFUNCTION("""COMPUTED_VALUE"""),"Closed")</f>
        <v>Closed</v>
      </c>
      <c r="CG253" s="370" t="str">
        <f>IFERROR(__xludf.DUMMYFUNCTION("""COMPUTED_VALUE"""),"Closed")</f>
        <v>Closed</v>
      </c>
      <c r="CH253" s="371" t="str">
        <f>IFERROR(__xludf.DUMMYFUNCTION("""COMPUTED_VALUE"""),"Closed")</f>
        <v>Closed</v>
      </c>
      <c r="CI253" s="256" t="str">
        <f>IFERROR(__xludf.DUMMYFUNCTION("""COMPUTED_VALUE"""),"Closed")</f>
        <v>Closed</v>
      </c>
      <c r="CJ253" s="256" t="str">
        <f>IFERROR(__xludf.DUMMYFUNCTION("""COMPUTED_VALUE"""),"Closed")</f>
        <v>Closed</v>
      </c>
      <c r="CK253" s="371" t="str">
        <f>IFERROR(__xludf.DUMMYFUNCTION("""COMPUTED_VALUE"""),"Closed")</f>
        <v>Closed</v>
      </c>
      <c r="CL253" s="256" t="str">
        <f>IFERROR(__xludf.DUMMYFUNCTION("""COMPUTED_VALUE"""),"Closed")</f>
        <v>Closed</v>
      </c>
      <c r="CM253" s="370" t="str">
        <f>IFERROR(__xludf.DUMMYFUNCTION("""COMPUTED_VALUE"""),"Closed")</f>
        <v>Closed</v>
      </c>
      <c r="CN253" s="256" t="str">
        <f>IFERROR(__xludf.DUMMYFUNCTION("""COMPUTED_VALUE"""),"Closed")</f>
        <v>Closed</v>
      </c>
      <c r="CO253" s="256" t="str">
        <f>IFERROR(__xludf.DUMMYFUNCTION("""COMPUTED_VALUE"""),"Closed")</f>
        <v>Closed</v>
      </c>
      <c r="CP253" s="256" t="str">
        <f>IFERROR(__xludf.DUMMYFUNCTION("""COMPUTED_VALUE"""),"Closed")</f>
        <v>Closed</v>
      </c>
      <c r="CQ253" s="371" t="str">
        <f>IFERROR(__xludf.DUMMYFUNCTION("""COMPUTED_VALUE"""),"Closed")</f>
        <v>Closed</v>
      </c>
      <c r="CR253" s="256" t="str">
        <f>IFERROR(__xludf.DUMMYFUNCTION("""COMPUTED_VALUE"""),"Closed")</f>
        <v>Closed</v>
      </c>
      <c r="CS253" s="256" t="str">
        <f>IFERROR(__xludf.DUMMYFUNCTION("""COMPUTED_VALUE"""),"Closed")</f>
        <v>Closed</v>
      </c>
      <c r="CT253" s="371" t="str">
        <f>IFERROR(__xludf.DUMMYFUNCTION("""COMPUTED_VALUE"""),"Closed")</f>
        <v>Closed</v>
      </c>
      <c r="CU253" s="256" t="str">
        <f>IFERROR(__xludf.DUMMYFUNCTION("""COMPUTED_VALUE"""),"Closed")</f>
        <v>Closed</v>
      </c>
      <c r="CV253" s="256" t="str">
        <f>IFERROR(__xludf.DUMMYFUNCTION("""COMPUTED_VALUE"""),"Closed")</f>
        <v>Closed</v>
      </c>
      <c r="CW253" s="371" t="str">
        <f>IFERROR(__xludf.DUMMYFUNCTION("""COMPUTED_VALUE"""),"Closed")</f>
        <v>Closed</v>
      </c>
      <c r="CX253" s="256" t="str">
        <f>IFERROR(__xludf.DUMMYFUNCTION("""COMPUTED_VALUE"""),"Closed")</f>
        <v>Closed</v>
      </c>
      <c r="CY253" s="370" t="str">
        <f>IFERROR(__xludf.DUMMYFUNCTION("""COMPUTED_VALUE"""),"Closed")</f>
        <v>Closed</v>
      </c>
      <c r="CZ253" s="256" t="str">
        <f>IFERROR(__xludf.DUMMYFUNCTION("""COMPUTED_VALUE"""),"Closed")</f>
        <v>Closed</v>
      </c>
      <c r="DA253" s="256" t="str">
        <f>IFERROR(__xludf.DUMMYFUNCTION("""COMPUTED_VALUE"""),"Closed")</f>
        <v>Closed</v>
      </c>
      <c r="DB253" s="370" t="str">
        <f>IFERROR(__xludf.DUMMYFUNCTION("""COMPUTED_VALUE"""),"Closed")</f>
        <v>Closed</v>
      </c>
      <c r="DC253" s="371" t="str">
        <f>IFERROR(__xludf.DUMMYFUNCTION("""COMPUTED_VALUE"""),"Closed")</f>
        <v>Closed</v>
      </c>
      <c r="DD253" s="256" t="str">
        <f>IFERROR(__xludf.DUMMYFUNCTION("""COMPUTED_VALUE"""),"Closed")</f>
        <v>Closed</v>
      </c>
      <c r="DE253" s="370" t="str">
        <f>IFERROR(__xludf.DUMMYFUNCTION("""COMPUTED_VALUE"""),"Closed")</f>
        <v>Closed</v>
      </c>
      <c r="DF253" s="371" t="str">
        <f>IFERROR(__xludf.DUMMYFUNCTION("""COMPUTED_VALUE"""),"Closed")</f>
        <v>Closed</v>
      </c>
      <c r="DG253" s="256" t="str">
        <f>IFERROR(__xludf.DUMMYFUNCTION("""COMPUTED_VALUE"""),"Closed")</f>
        <v>Closed</v>
      </c>
      <c r="DH253" s="370" t="str">
        <f>IFERROR(__xludf.DUMMYFUNCTION("""COMPUTED_VALUE"""),"Closed")</f>
        <v>Closed</v>
      </c>
      <c r="DI253" s="371" t="str">
        <f>IFERROR(__xludf.DUMMYFUNCTION("""COMPUTED_VALUE"""),"Closed")</f>
        <v>Closed</v>
      </c>
      <c r="DJ253" s="256" t="str">
        <f>IFERROR(__xludf.DUMMYFUNCTION("""COMPUTED_VALUE"""),"Closed")</f>
        <v>Closed</v>
      </c>
      <c r="DK253" s="370" t="str">
        <f>IFERROR(__xludf.DUMMYFUNCTION("""COMPUTED_VALUE"""),"Closed")</f>
        <v>Closed</v>
      </c>
      <c r="DL253" s="256" t="str">
        <f>IFERROR(__xludf.DUMMYFUNCTION("""COMPUTED_VALUE"""),"Closed")</f>
        <v>Closed</v>
      </c>
      <c r="DM253" s="256" t="str">
        <f>IFERROR(__xludf.DUMMYFUNCTION("""COMPUTED_VALUE"""),"Closed")</f>
        <v>Closed</v>
      </c>
      <c r="DN253" s="256" t="str">
        <f>IFERROR(__xludf.DUMMYFUNCTION("""COMPUTED_VALUE"""),"Closed")</f>
        <v>Closed</v>
      </c>
      <c r="DO253" s="256" t="str">
        <f>IFERROR(__xludf.DUMMYFUNCTION("""COMPUTED_VALUE"""),"Closed")</f>
        <v>Closed</v>
      </c>
      <c r="DP253" s="256" t="str">
        <f>IFERROR(__xludf.DUMMYFUNCTION("""COMPUTED_VALUE"""),"Closed")</f>
        <v>Closed</v>
      </c>
      <c r="DQ253" s="256" t="str">
        <f>IFERROR(__xludf.DUMMYFUNCTION("""COMPUTED_VALUE"""),"Closed")</f>
        <v>Closed</v>
      </c>
      <c r="DR253" s="256" t="str">
        <f>IFERROR(__xludf.DUMMYFUNCTION("""COMPUTED_VALUE"""),"Closed")</f>
        <v>Closed</v>
      </c>
      <c r="DS253" s="256" t="str">
        <f>IFERROR(__xludf.DUMMYFUNCTION("""COMPUTED_VALUE"""),"Closed")</f>
        <v>Closed</v>
      </c>
      <c r="DT253" s="256" t="str">
        <f>IFERROR(__xludf.DUMMYFUNCTION("""COMPUTED_VALUE"""),"Closed")</f>
        <v>Closed</v>
      </c>
    </row>
    <row r="254" hidden="1">
      <c r="B254" s="180" t="str">
        <f>IFERROR(__xludf.DUMMYFUNCTION("""COMPUTED_VALUE"""),"HEA7")</f>
        <v>HEA7</v>
      </c>
      <c r="C254" s="368" t="str">
        <f>IFERROR(__xludf.DUMMYFUNCTION("""COMPUTED_VALUE"""),"Suzaku Main Street")</f>
        <v>Suzaku Main Street</v>
      </c>
      <c r="D254" s="273">
        <f>IFERROR(__xludf.DUMMYFUNCTION("""COMPUTED_VALUE"""),21.0)</f>
        <v>21</v>
      </c>
      <c r="E254" t="b">
        <f>IFERROR(__xludf.DUMMYFUNCTION("""COMPUTED_VALUE"""),FALSE)</f>
        <v>0</v>
      </c>
      <c r="F254" t="str">
        <f>IFERROR(__xludf.DUMMYFUNCTION("""COMPUTED_VALUE"""),"Free Quests- Part 2!A951:J960")</f>
        <v>Free Quests- Part 2!A951:J960</v>
      </c>
      <c r="G254">
        <f>IFERROR(__xludf.DUMMYFUNCTION("""COMPUTED_VALUE"""),255.0)</f>
        <v>255</v>
      </c>
      <c r="H254" t="str">
        <f>IFERROR(__xludf.DUMMYFUNCTION("""COMPUTED_VALUE"""),"Closed")</f>
        <v>Closed</v>
      </c>
      <c r="I254">
        <f>IFERROR(__xludf.DUMMYFUNCTION("""COMPUTED_VALUE"""),1655.0)</f>
        <v>1655</v>
      </c>
      <c r="J254" t="str">
        <f>IFERROR(__xludf.DUMMYFUNCTION("""COMPUTED_VALUE"""),"Closed")</f>
        <v>Closed</v>
      </c>
      <c r="K254" s="369" t="str">
        <f>IFERROR(__xludf.DUMMYFUNCTION("""COMPUTED_VALUE"""),"Closed")</f>
        <v>Closed</v>
      </c>
      <c r="L254" s="256" t="str">
        <f>IFERROR(__xludf.DUMMYFUNCTION("""COMPUTED_VALUE"""),"Closed")</f>
        <v>Closed</v>
      </c>
      <c r="M254" s="370" t="str">
        <f>IFERROR(__xludf.DUMMYFUNCTION("""COMPUTED_VALUE"""),"Closed")</f>
        <v>Closed</v>
      </c>
      <c r="N254" s="371" t="str">
        <f>IFERROR(__xludf.DUMMYFUNCTION("""COMPUTED_VALUE"""),"Closed")</f>
        <v>Closed</v>
      </c>
      <c r="O254" s="256" t="str">
        <f>IFERROR(__xludf.DUMMYFUNCTION("""COMPUTED_VALUE"""),"Closed")</f>
        <v>Closed</v>
      </c>
      <c r="P254" s="370" t="str">
        <f>IFERROR(__xludf.DUMMYFUNCTION("""COMPUTED_VALUE"""),"Closed")</f>
        <v>Closed</v>
      </c>
      <c r="Q254" s="371" t="str">
        <f>IFERROR(__xludf.DUMMYFUNCTION("""COMPUTED_VALUE"""),"Closed")</f>
        <v>Closed</v>
      </c>
      <c r="R254" s="256" t="str">
        <f>IFERROR(__xludf.DUMMYFUNCTION("""COMPUTED_VALUE"""),"Closed")</f>
        <v>Closed</v>
      </c>
      <c r="S254" s="370" t="str">
        <f>IFERROR(__xludf.DUMMYFUNCTION("""COMPUTED_VALUE"""),"Closed")</f>
        <v>Closed</v>
      </c>
      <c r="T254" s="371" t="str">
        <f>IFERROR(__xludf.DUMMYFUNCTION("""COMPUTED_VALUE"""),"Closed")</f>
        <v>Closed</v>
      </c>
      <c r="U254" s="256" t="str">
        <f>IFERROR(__xludf.DUMMYFUNCTION("""COMPUTED_VALUE"""),"Closed")</f>
        <v>Closed</v>
      </c>
      <c r="V254" s="370" t="str">
        <f>IFERROR(__xludf.DUMMYFUNCTION("""COMPUTED_VALUE"""),"Closed")</f>
        <v>Closed</v>
      </c>
      <c r="W254" s="369" t="str">
        <f>IFERROR(__xludf.DUMMYFUNCTION("""COMPUTED_VALUE"""),"Closed")</f>
        <v>Closed</v>
      </c>
      <c r="X254" s="256" t="str">
        <f>IFERROR(__xludf.DUMMYFUNCTION("""COMPUTED_VALUE"""),"Closed")</f>
        <v>Closed</v>
      </c>
      <c r="Y254" s="370" t="str">
        <f>IFERROR(__xludf.DUMMYFUNCTION("""COMPUTED_VALUE"""),"Closed")</f>
        <v>Closed</v>
      </c>
      <c r="Z254" s="371" t="str">
        <f>IFERROR(__xludf.DUMMYFUNCTION("""COMPUTED_VALUE"""),"Closed")</f>
        <v>Closed</v>
      </c>
      <c r="AA254" s="256" t="str">
        <f>IFERROR(__xludf.DUMMYFUNCTION("""COMPUTED_VALUE"""),"Closed")</f>
        <v>Closed</v>
      </c>
      <c r="AB254" s="370" t="str">
        <f>IFERROR(__xludf.DUMMYFUNCTION("""COMPUTED_VALUE"""),"Closed")</f>
        <v>Closed</v>
      </c>
      <c r="AC254" s="371" t="str">
        <f>IFERROR(__xludf.DUMMYFUNCTION("""COMPUTED_VALUE"""),"Closed")</f>
        <v>Closed</v>
      </c>
      <c r="AD254" s="256" t="str">
        <f>IFERROR(__xludf.DUMMYFUNCTION("""COMPUTED_VALUE"""),"Closed")</f>
        <v>Closed</v>
      </c>
      <c r="AE254" s="370" t="str">
        <f>IFERROR(__xludf.DUMMYFUNCTION("""COMPUTED_VALUE"""),"Closed")</f>
        <v>Closed</v>
      </c>
      <c r="AF254" s="371" t="str">
        <f>IFERROR(__xludf.DUMMYFUNCTION("""COMPUTED_VALUE"""),"Closed")</f>
        <v>Closed</v>
      </c>
      <c r="AG254" s="256" t="str">
        <f>IFERROR(__xludf.DUMMYFUNCTION("""COMPUTED_VALUE"""),"Closed")</f>
        <v>Closed</v>
      </c>
      <c r="AH254" s="370" t="str">
        <f>IFERROR(__xludf.DUMMYFUNCTION("""COMPUTED_VALUE"""),"Closed")</f>
        <v>Closed</v>
      </c>
      <c r="AI254" s="369" t="str">
        <f>IFERROR(__xludf.DUMMYFUNCTION("""COMPUTED_VALUE"""),"Closed")</f>
        <v>Closed</v>
      </c>
      <c r="AJ254" s="256" t="str">
        <f>IFERROR(__xludf.DUMMYFUNCTION("""COMPUTED_VALUE"""),"Closed")</f>
        <v>Closed</v>
      </c>
      <c r="AK254" s="370" t="str">
        <f>IFERROR(__xludf.DUMMYFUNCTION("""COMPUTED_VALUE"""),"Closed")</f>
        <v>Closed</v>
      </c>
      <c r="AL254" s="372" t="str">
        <f>IFERROR(__xludf.DUMMYFUNCTION("""COMPUTED_VALUE"""),"Closed")</f>
        <v>Closed</v>
      </c>
      <c r="AM254" s="373" t="str">
        <f>IFERROR(__xludf.DUMMYFUNCTION("""COMPUTED_VALUE"""),"Closed")</f>
        <v>Closed</v>
      </c>
      <c r="AN254" s="370" t="str">
        <f>IFERROR(__xludf.DUMMYFUNCTION("""COMPUTED_VALUE"""),"Closed")</f>
        <v>Closed</v>
      </c>
      <c r="AO254" s="371" t="str">
        <f>IFERROR(__xludf.DUMMYFUNCTION("""COMPUTED_VALUE"""),"Closed")</f>
        <v>Closed</v>
      </c>
      <c r="AP254" s="256" t="str">
        <f>IFERROR(__xludf.DUMMYFUNCTION("""COMPUTED_VALUE"""),"Closed")</f>
        <v>Closed</v>
      </c>
      <c r="AQ254" s="370" t="str">
        <f>IFERROR(__xludf.DUMMYFUNCTION("""COMPUTED_VALUE"""),"Closed")</f>
        <v>Closed</v>
      </c>
      <c r="AR254" s="371" t="str">
        <f>IFERROR(__xludf.DUMMYFUNCTION("""COMPUTED_VALUE"""),"Closed")</f>
        <v>Closed</v>
      </c>
      <c r="AS254" s="256" t="str">
        <f>IFERROR(__xludf.DUMMYFUNCTION("""COMPUTED_VALUE"""),"Closed")</f>
        <v>Closed</v>
      </c>
      <c r="AT254" s="370" t="str">
        <f>IFERROR(__xludf.DUMMYFUNCTION("""COMPUTED_VALUE"""),"Closed")</f>
        <v>Closed</v>
      </c>
      <c r="AU254" s="369" t="str">
        <f>IFERROR(__xludf.DUMMYFUNCTION("""COMPUTED_VALUE"""),"Closed")</f>
        <v>Closed</v>
      </c>
      <c r="AV254" s="256" t="str">
        <f>IFERROR(__xludf.DUMMYFUNCTION("""COMPUTED_VALUE"""),"Closed")</f>
        <v>Closed</v>
      </c>
      <c r="AW254" s="370" t="str">
        <f>IFERROR(__xludf.DUMMYFUNCTION("""COMPUTED_VALUE"""),"Closed")</f>
        <v>Closed</v>
      </c>
      <c r="AX254" s="371" t="str">
        <f>IFERROR(__xludf.DUMMYFUNCTION("""COMPUTED_VALUE"""),"Closed")</f>
        <v>Closed</v>
      </c>
      <c r="AY254" s="256" t="str">
        <f>IFERROR(__xludf.DUMMYFUNCTION("""COMPUTED_VALUE"""),"Closed")</f>
        <v>Closed</v>
      </c>
      <c r="AZ254" s="370" t="str">
        <f>IFERROR(__xludf.DUMMYFUNCTION("""COMPUTED_VALUE"""),"Closed")</f>
        <v>Closed</v>
      </c>
      <c r="BA254" s="371" t="str">
        <f>IFERROR(__xludf.DUMMYFUNCTION("""COMPUTED_VALUE"""),"Closed")</f>
        <v>Closed</v>
      </c>
      <c r="BB254" s="256" t="str">
        <f>IFERROR(__xludf.DUMMYFUNCTION("""COMPUTED_VALUE"""),"Closed")</f>
        <v>Closed</v>
      </c>
      <c r="BC254" s="370" t="str">
        <f>IFERROR(__xludf.DUMMYFUNCTION("""COMPUTED_VALUE"""),"Closed")</f>
        <v>Closed</v>
      </c>
      <c r="BD254" s="371" t="str">
        <f>IFERROR(__xludf.DUMMYFUNCTION("""COMPUTED_VALUE"""),"Closed")</f>
        <v>Closed</v>
      </c>
      <c r="BE254" s="256" t="str">
        <f>IFERROR(__xludf.DUMMYFUNCTION("""COMPUTED_VALUE"""),"Closed")</f>
        <v>Closed</v>
      </c>
      <c r="BF254" s="370" t="str">
        <f>IFERROR(__xludf.DUMMYFUNCTION("""COMPUTED_VALUE"""),"Closed")</f>
        <v>Closed</v>
      </c>
      <c r="BG254" s="369" t="str">
        <f>IFERROR(__xludf.DUMMYFUNCTION("""COMPUTED_VALUE"""),"Closed")</f>
        <v>Closed</v>
      </c>
      <c r="BH254" s="256" t="str">
        <f>IFERROR(__xludf.DUMMYFUNCTION("""COMPUTED_VALUE"""),"Closed")</f>
        <v>Closed</v>
      </c>
      <c r="BI254" s="370" t="str">
        <f>IFERROR(__xludf.DUMMYFUNCTION("""COMPUTED_VALUE"""),"Closed")</f>
        <v>Closed</v>
      </c>
      <c r="BJ254" s="371" t="str">
        <f>IFERROR(__xludf.DUMMYFUNCTION("""COMPUTED_VALUE"""),"Closed")</f>
        <v>Closed</v>
      </c>
      <c r="BK254" s="256" t="str">
        <f>IFERROR(__xludf.DUMMYFUNCTION("""COMPUTED_VALUE"""),"Closed")</f>
        <v>Closed</v>
      </c>
      <c r="BL254" s="370" t="str">
        <f>IFERROR(__xludf.DUMMYFUNCTION("""COMPUTED_VALUE"""),"Closed")</f>
        <v>Closed</v>
      </c>
      <c r="BM254" s="371" t="str">
        <f>IFERROR(__xludf.DUMMYFUNCTION("""COMPUTED_VALUE"""),"Closed")</f>
        <v>Closed</v>
      </c>
      <c r="BN254" s="256" t="str">
        <f>IFERROR(__xludf.DUMMYFUNCTION("""COMPUTED_VALUE"""),"Closed")</f>
        <v>Closed</v>
      </c>
      <c r="BO254" s="370" t="str">
        <f>IFERROR(__xludf.DUMMYFUNCTION("""COMPUTED_VALUE"""),"Closed")</f>
        <v>Closed</v>
      </c>
      <c r="BP254" s="371" t="str">
        <f>IFERROR(__xludf.DUMMYFUNCTION("""COMPUTED_VALUE"""),"Closed")</f>
        <v>Closed</v>
      </c>
      <c r="BQ254" s="256" t="str">
        <f>IFERROR(__xludf.DUMMYFUNCTION("""COMPUTED_VALUE"""),"Closed")</f>
        <v>Closed</v>
      </c>
      <c r="BR254" s="370" t="str">
        <f>IFERROR(__xludf.DUMMYFUNCTION("""COMPUTED_VALUE"""),"Closed")</f>
        <v>Closed</v>
      </c>
      <c r="BS254" s="369" t="str">
        <f>IFERROR(__xludf.DUMMYFUNCTION("""COMPUTED_VALUE"""),"Closed")</f>
        <v>Closed</v>
      </c>
      <c r="BT254" s="256" t="str">
        <f>IFERROR(__xludf.DUMMYFUNCTION("""COMPUTED_VALUE"""),"Closed")</f>
        <v>Closed</v>
      </c>
      <c r="BU254" s="370" t="str">
        <f>IFERROR(__xludf.DUMMYFUNCTION("""COMPUTED_VALUE"""),"Closed")</f>
        <v>Closed</v>
      </c>
      <c r="BV254" s="371" t="str">
        <f>IFERROR(__xludf.DUMMYFUNCTION("""COMPUTED_VALUE"""),"Closed")</f>
        <v>Closed</v>
      </c>
      <c r="BW254" s="256" t="str">
        <f>IFERROR(__xludf.DUMMYFUNCTION("""COMPUTED_VALUE"""),"Closed")</f>
        <v>Closed</v>
      </c>
      <c r="BX254" s="370" t="str">
        <f>IFERROR(__xludf.DUMMYFUNCTION("""COMPUTED_VALUE"""),"Closed")</f>
        <v>Closed</v>
      </c>
      <c r="BY254" s="371" t="str">
        <f>IFERROR(__xludf.DUMMYFUNCTION("""COMPUTED_VALUE"""),"Closed")</f>
        <v>Closed</v>
      </c>
      <c r="BZ254" s="256" t="str">
        <f>IFERROR(__xludf.DUMMYFUNCTION("""COMPUTED_VALUE"""),"Closed")</f>
        <v>Closed</v>
      </c>
      <c r="CA254" s="370" t="str">
        <f>IFERROR(__xludf.DUMMYFUNCTION("""COMPUTED_VALUE"""),"Closed")</f>
        <v>Closed</v>
      </c>
      <c r="CB254" s="371" t="str">
        <f>IFERROR(__xludf.DUMMYFUNCTION("""COMPUTED_VALUE"""),"Closed")</f>
        <v>Closed</v>
      </c>
      <c r="CC254" s="256" t="str">
        <f>IFERROR(__xludf.DUMMYFUNCTION("""COMPUTED_VALUE"""),"Closed")</f>
        <v>Closed</v>
      </c>
      <c r="CD254" s="370" t="str">
        <f>IFERROR(__xludf.DUMMYFUNCTION("""COMPUTED_VALUE"""),"Closed")</f>
        <v>Closed</v>
      </c>
      <c r="CE254" s="371" t="str">
        <f>IFERROR(__xludf.DUMMYFUNCTION("""COMPUTED_VALUE"""),"Closed")</f>
        <v>Closed</v>
      </c>
      <c r="CF254" s="256" t="str">
        <f>IFERROR(__xludf.DUMMYFUNCTION("""COMPUTED_VALUE"""),"Closed")</f>
        <v>Closed</v>
      </c>
      <c r="CG254" s="370" t="str">
        <f>IFERROR(__xludf.DUMMYFUNCTION("""COMPUTED_VALUE"""),"Closed")</f>
        <v>Closed</v>
      </c>
      <c r="CH254" s="371" t="str">
        <f>IFERROR(__xludf.DUMMYFUNCTION("""COMPUTED_VALUE"""),"Closed")</f>
        <v>Closed</v>
      </c>
      <c r="CI254" s="256" t="str">
        <f>IFERROR(__xludf.DUMMYFUNCTION("""COMPUTED_VALUE"""),"Closed")</f>
        <v>Closed</v>
      </c>
      <c r="CJ254" s="256" t="str">
        <f>IFERROR(__xludf.DUMMYFUNCTION("""COMPUTED_VALUE"""),"Closed")</f>
        <v>Closed</v>
      </c>
      <c r="CK254" s="371" t="str">
        <f>IFERROR(__xludf.DUMMYFUNCTION("""COMPUTED_VALUE"""),"Closed")</f>
        <v>Closed</v>
      </c>
      <c r="CL254" s="256" t="str">
        <f>IFERROR(__xludf.DUMMYFUNCTION("""COMPUTED_VALUE"""),"Closed")</f>
        <v>Closed</v>
      </c>
      <c r="CM254" s="370" t="str">
        <f>IFERROR(__xludf.DUMMYFUNCTION("""COMPUTED_VALUE"""),"Closed")</f>
        <v>Closed</v>
      </c>
      <c r="CN254" s="256" t="str">
        <f>IFERROR(__xludf.DUMMYFUNCTION("""COMPUTED_VALUE"""),"Closed")</f>
        <v>Closed</v>
      </c>
      <c r="CO254" s="256" t="str">
        <f>IFERROR(__xludf.DUMMYFUNCTION("""COMPUTED_VALUE"""),"Closed")</f>
        <v>Closed</v>
      </c>
      <c r="CP254" s="256" t="str">
        <f>IFERROR(__xludf.DUMMYFUNCTION("""COMPUTED_VALUE"""),"Closed")</f>
        <v>Closed</v>
      </c>
      <c r="CQ254" s="371" t="str">
        <f>IFERROR(__xludf.DUMMYFUNCTION("""COMPUTED_VALUE"""),"Closed")</f>
        <v>Closed</v>
      </c>
      <c r="CR254" s="256" t="str">
        <f>IFERROR(__xludf.DUMMYFUNCTION("""COMPUTED_VALUE"""),"Closed")</f>
        <v>Closed</v>
      </c>
      <c r="CS254" s="256" t="str">
        <f>IFERROR(__xludf.DUMMYFUNCTION("""COMPUTED_VALUE"""),"Closed")</f>
        <v>Closed</v>
      </c>
      <c r="CT254" s="371" t="str">
        <f>IFERROR(__xludf.DUMMYFUNCTION("""COMPUTED_VALUE"""),"Closed")</f>
        <v>Closed</v>
      </c>
      <c r="CU254" s="256" t="str">
        <f>IFERROR(__xludf.DUMMYFUNCTION("""COMPUTED_VALUE"""),"Closed")</f>
        <v>Closed</v>
      </c>
      <c r="CV254" s="256" t="str">
        <f>IFERROR(__xludf.DUMMYFUNCTION("""COMPUTED_VALUE"""),"Closed")</f>
        <v>Closed</v>
      </c>
      <c r="CW254" s="371" t="str">
        <f>IFERROR(__xludf.DUMMYFUNCTION("""COMPUTED_VALUE"""),"Closed")</f>
        <v>Closed</v>
      </c>
      <c r="CX254" s="256" t="str">
        <f>IFERROR(__xludf.DUMMYFUNCTION("""COMPUTED_VALUE"""),"Closed")</f>
        <v>Closed</v>
      </c>
      <c r="CY254" s="370" t="str">
        <f>IFERROR(__xludf.DUMMYFUNCTION("""COMPUTED_VALUE"""),"Closed")</f>
        <v>Closed</v>
      </c>
      <c r="CZ254" s="256" t="str">
        <f>IFERROR(__xludf.DUMMYFUNCTION("""COMPUTED_VALUE"""),"Closed")</f>
        <v>Closed</v>
      </c>
      <c r="DA254" s="256" t="str">
        <f>IFERROR(__xludf.DUMMYFUNCTION("""COMPUTED_VALUE"""),"Closed")</f>
        <v>Closed</v>
      </c>
      <c r="DB254" s="370" t="str">
        <f>IFERROR(__xludf.DUMMYFUNCTION("""COMPUTED_VALUE"""),"Closed")</f>
        <v>Closed</v>
      </c>
      <c r="DC254" s="371" t="str">
        <f>IFERROR(__xludf.DUMMYFUNCTION("""COMPUTED_VALUE"""),"Closed")</f>
        <v>Closed</v>
      </c>
      <c r="DD254" s="256" t="str">
        <f>IFERROR(__xludf.DUMMYFUNCTION("""COMPUTED_VALUE"""),"Closed")</f>
        <v>Closed</v>
      </c>
      <c r="DE254" s="370" t="str">
        <f>IFERROR(__xludf.DUMMYFUNCTION("""COMPUTED_VALUE"""),"Closed")</f>
        <v>Closed</v>
      </c>
      <c r="DF254" s="371" t="str">
        <f>IFERROR(__xludf.DUMMYFUNCTION("""COMPUTED_VALUE"""),"Closed")</f>
        <v>Closed</v>
      </c>
      <c r="DG254" s="256" t="str">
        <f>IFERROR(__xludf.DUMMYFUNCTION("""COMPUTED_VALUE"""),"Closed")</f>
        <v>Closed</v>
      </c>
      <c r="DH254" s="370" t="str">
        <f>IFERROR(__xludf.DUMMYFUNCTION("""COMPUTED_VALUE"""),"Closed")</f>
        <v>Closed</v>
      </c>
      <c r="DI254" s="371" t="str">
        <f>IFERROR(__xludf.DUMMYFUNCTION("""COMPUTED_VALUE"""),"Closed")</f>
        <v>Closed</v>
      </c>
      <c r="DJ254" s="256" t="str">
        <f>IFERROR(__xludf.DUMMYFUNCTION("""COMPUTED_VALUE"""),"Closed")</f>
        <v>Closed</v>
      </c>
      <c r="DK254" s="370" t="str">
        <f>IFERROR(__xludf.DUMMYFUNCTION("""COMPUTED_VALUE"""),"Closed")</f>
        <v>Closed</v>
      </c>
      <c r="DL254" s="256" t="str">
        <f>IFERROR(__xludf.DUMMYFUNCTION("""COMPUTED_VALUE"""),"Closed")</f>
        <v>Closed</v>
      </c>
      <c r="DM254" s="256" t="str">
        <f>IFERROR(__xludf.DUMMYFUNCTION("""COMPUTED_VALUE"""),"Closed")</f>
        <v>Closed</v>
      </c>
      <c r="DN254" s="256" t="str">
        <f>IFERROR(__xludf.DUMMYFUNCTION("""COMPUTED_VALUE"""),"Closed")</f>
        <v>Closed</v>
      </c>
      <c r="DO254" s="256" t="str">
        <f>IFERROR(__xludf.DUMMYFUNCTION("""COMPUTED_VALUE"""),"Closed")</f>
        <v>Closed</v>
      </c>
      <c r="DP254" s="256" t="str">
        <f>IFERROR(__xludf.DUMMYFUNCTION("""COMPUTED_VALUE"""),"Closed")</f>
        <v>Closed</v>
      </c>
      <c r="DQ254" s="256" t="str">
        <f>IFERROR(__xludf.DUMMYFUNCTION("""COMPUTED_VALUE"""),"Closed")</f>
        <v>Closed</v>
      </c>
      <c r="DR254" s="256" t="str">
        <f>IFERROR(__xludf.DUMMYFUNCTION("""COMPUTED_VALUE"""),"Closed")</f>
        <v>Closed</v>
      </c>
      <c r="DS254" s="256" t="str">
        <f>IFERROR(__xludf.DUMMYFUNCTION("""COMPUTED_VALUE"""),"Closed")</f>
        <v>Closed</v>
      </c>
      <c r="DT254" s="256" t="str">
        <f>IFERROR(__xludf.DUMMYFUNCTION("""COMPUTED_VALUE"""),"Closed")</f>
        <v>Closed</v>
      </c>
    </row>
    <row r="255" hidden="1">
      <c r="B255" s="180" t="str">
        <f>IFERROR(__xludf.DUMMYFUNCTION("""COMPUTED_VALUE"""),"HEA8")</f>
        <v>HEA8</v>
      </c>
      <c r="C255" s="368" t="str">
        <f>IFERROR(__xludf.DUMMYFUNCTION("""COMPUTED_VALUE"""),"Inari Shrine")</f>
        <v>Inari Shrine</v>
      </c>
      <c r="D255" s="273">
        <f>IFERROR(__xludf.DUMMYFUNCTION("""COMPUTED_VALUE"""),21.0)</f>
        <v>21</v>
      </c>
      <c r="E255" t="b">
        <f>IFERROR(__xludf.DUMMYFUNCTION("""COMPUTED_VALUE"""),FALSE)</f>
        <v>0</v>
      </c>
      <c r="F255" t="str">
        <f>IFERROR(__xludf.DUMMYFUNCTION("""COMPUTED_VALUE"""),"Free Quests- Part 2!A964:J973")</f>
        <v>Free Quests- Part 2!A964:J973</v>
      </c>
      <c r="G255">
        <f>IFERROR(__xludf.DUMMYFUNCTION("""COMPUTED_VALUE"""),256.0)</f>
        <v>256</v>
      </c>
      <c r="H255" t="str">
        <f>IFERROR(__xludf.DUMMYFUNCTION("""COMPUTED_VALUE"""),"Closed")</f>
        <v>Closed</v>
      </c>
      <c r="I255">
        <f>IFERROR(__xludf.DUMMYFUNCTION("""COMPUTED_VALUE"""),1003.0)</f>
        <v>1003</v>
      </c>
      <c r="J255" t="str">
        <f>IFERROR(__xludf.DUMMYFUNCTION("""COMPUTED_VALUE"""),"Closed")</f>
        <v>Closed</v>
      </c>
      <c r="K255" s="369" t="str">
        <f>IFERROR(__xludf.DUMMYFUNCTION("""COMPUTED_VALUE"""),"Closed")</f>
        <v>Closed</v>
      </c>
      <c r="L255" s="256" t="str">
        <f>IFERROR(__xludf.DUMMYFUNCTION("""COMPUTED_VALUE"""),"Closed")</f>
        <v>Closed</v>
      </c>
      <c r="M255" s="370" t="str">
        <f>IFERROR(__xludf.DUMMYFUNCTION("""COMPUTED_VALUE"""),"Closed")</f>
        <v>Closed</v>
      </c>
      <c r="N255" s="371" t="str">
        <f>IFERROR(__xludf.DUMMYFUNCTION("""COMPUTED_VALUE"""),"Closed")</f>
        <v>Closed</v>
      </c>
      <c r="O255" s="256" t="str">
        <f>IFERROR(__xludf.DUMMYFUNCTION("""COMPUTED_VALUE"""),"Closed")</f>
        <v>Closed</v>
      </c>
      <c r="P255" s="370" t="str">
        <f>IFERROR(__xludf.DUMMYFUNCTION("""COMPUTED_VALUE"""),"Closed")</f>
        <v>Closed</v>
      </c>
      <c r="Q255" s="371" t="str">
        <f>IFERROR(__xludf.DUMMYFUNCTION("""COMPUTED_VALUE"""),"Closed")</f>
        <v>Closed</v>
      </c>
      <c r="R255" s="256" t="str">
        <f>IFERROR(__xludf.DUMMYFUNCTION("""COMPUTED_VALUE"""),"Closed")</f>
        <v>Closed</v>
      </c>
      <c r="S255" s="370" t="str">
        <f>IFERROR(__xludf.DUMMYFUNCTION("""COMPUTED_VALUE"""),"Closed")</f>
        <v>Closed</v>
      </c>
      <c r="T255" s="371" t="str">
        <f>IFERROR(__xludf.DUMMYFUNCTION("""COMPUTED_VALUE"""),"Closed")</f>
        <v>Closed</v>
      </c>
      <c r="U255" s="256" t="str">
        <f>IFERROR(__xludf.DUMMYFUNCTION("""COMPUTED_VALUE"""),"Closed")</f>
        <v>Closed</v>
      </c>
      <c r="V255" s="370" t="str">
        <f>IFERROR(__xludf.DUMMYFUNCTION("""COMPUTED_VALUE"""),"Closed")</f>
        <v>Closed</v>
      </c>
      <c r="W255" s="369" t="str">
        <f>IFERROR(__xludf.DUMMYFUNCTION("""COMPUTED_VALUE"""),"Closed")</f>
        <v>Closed</v>
      </c>
      <c r="X255" s="256" t="str">
        <f>IFERROR(__xludf.DUMMYFUNCTION("""COMPUTED_VALUE"""),"Closed")</f>
        <v>Closed</v>
      </c>
      <c r="Y255" s="370" t="str">
        <f>IFERROR(__xludf.DUMMYFUNCTION("""COMPUTED_VALUE"""),"Closed")</f>
        <v>Closed</v>
      </c>
      <c r="Z255" s="371" t="str">
        <f>IFERROR(__xludf.DUMMYFUNCTION("""COMPUTED_VALUE"""),"Closed")</f>
        <v>Closed</v>
      </c>
      <c r="AA255" s="256" t="str">
        <f>IFERROR(__xludf.DUMMYFUNCTION("""COMPUTED_VALUE"""),"Closed")</f>
        <v>Closed</v>
      </c>
      <c r="AB255" s="370" t="str">
        <f>IFERROR(__xludf.DUMMYFUNCTION("""COMPUTED_VALUE"""),"Closed")</f>
        <v>Closed</v>
      </c>
      <c r="AC255" s="371" t="str">
        <f>IFERROR(__xludf.DUMMYFUNCTION("""COMPUTED_VALUE"""),"Closed")</f>
        <v>Closed</v>
      </c>
      <c r="AD255" s="256" t="str">
        <f>IFERROR(__xludf.DUMMYFUNCTION("""COMPUTED_VALUE"""),"Closed")</f>
        <v>Closed</v>
      </c>
      <c r="AE255" s="370" t="str">
        <f>IFERROR(__xludf.DUMMYFUNCTION("""COMPUTED_VALUE"""),"Closed")</f>
        <v>Closed</v>
      </c>
      <c r="AF255" s="371" t="str">
        <f>IFERROR(__xludf.DUMMYFUNCTION("""COMPUTED_VALUE"""),"Closed")</f>
        <v>Closed</v>
      </c>
      <c r="AG255" s="256" t="str">
        <f>IFERROR(__xludf.DUMMYFUNCTION("""COMPUTED_VALUE"""),"Closed")</f>
        <v>Closed</v>
      </c>
      <c r="AH255" s="370" t="str">
        <f>IFERROR(__xludf.DUMMYFUNCTION("""COMPUTED_VALUE"""),"Closed")</f>
        <v>Closed</v>
      </c>
      <c r="AI255" s="369" t="str">
        <f>IFERROR(__xludf.DUMMYFUNCTION("""COMPUTED_VALUE"""),"Closed")</f>
        <v>Closed</v>
      </c>
      <c r="AJ255" s="256" t="str">
        <f>IFERROR(__xludf.DUMMYFUNCTION("""COMPUTED_VALUE"""),"Closed")</f>
        <v>Closed</v>
      </c>
      <c r="AK255" s="370" t="str">
        <f>IFERROR(__xludf.DUMMYFUNCTION("""COMPUTED_VALUE"""),"Closed")</f>
        <v>Closed</v>
      </c>
      <c r="AL255" s="372" t="str">
        <f>IFERROR(__xludf.DUMMYFUNCTION("""COMPUTED_VALUE"""),"Closed")</f>
        <v>Closed</v>
      </c>
      <c r="AM255" s="373" t="str">
        <f>IFERROR(__xludf.DUMMYFUNCTION("""COMPUTED_VALUE"""),"Closed")</f>
        <v>Closed</v>
      </c>
      <c r="AN255" s="370" t="str">
        <f>IFERROR(__xludf.DUMMYFUNCTION("""COMPUTED_VALUE"""),"Closed")</f>
        <v>Closed</v>
      </c>
      <c r="AO255" s="371" t="str">
        <f>IFERROR(__xludf.DUMMYFUNCTION("""COMPUTED_VALUE"""),"Closed")</f>
        <v>Closed</v>
      </c>
      <c r="AP255" s="256" t="str">
        <f>IFERROR(__xludf.DUMMYFUNCTION("""COMPUTED_VALUE"""),"Closed")</f>
        <v>Closed</v>
      </c>
      <c r="AQ255" s="370" t="str">
        <f>IFERROR(__xludf.DUMMYFUNCTION("""COMPUTED_VALUE"""),"Closed")</f>
        <v>Closed</v>
      </c>
      <c r="AR255" s="371" t="str">
        <f>IFERROR(__xludf.DUMMYFUNCTION("""COMPUTED_VALUE"""),"Closed")</f>
        <v>Closed</v>
      </c>
      <c r="AS255" s="256" t="str">
        <f>IFERROR(__xludf.DUMMYFUNCTION("""COMPUTED_VALUE"""),"Closed")</f>
        <v>Closed</v>
      </c>
      <c r="AT255" s="370" t="str">
        <f>IFERROR(__xludf.DUMMYFUNCTION("""COMPUTED_VALUE"""),"Closed")</f>
        <v>Closed</v>
      </c>
      <c r="AU255" s="369" t="str">
        <f>IFERROR(__xludf.DUMMYFUNCTION("""COMPUTED_VALUE"""),"Closed")</f>
        <v>Closed</v>
      </c>
      <c r="AV255" s="256" t="str">
        <f>IFERROR(__xludf.DUMMYFUNCTION("""COMPUTED_VALUE"""),"Closed")</f>
        <v>Closed</v>
      </c>
      <c r="AW255" s="370" t="str">
        <f>IFERROR(__xludf.DUMMYFUNCTION("""COMPUTED_VALUE"""),"Closed")</f>
        <v>Closed</v>
      </c>
      <c r="AX255" s="371" t="str">
        <f>IFERROR(__xludf.DUMMYFUNCTION("""COMPUTED_VALUE"""),"Closed")</f>
        <v>Closed</v>
      </c>
      <c r="AY255" s="256" t="str">
        <f>IFERROR(__xludf.DUMMYFUNCTION("""COMPUTED_VALUE"""),"Closed")</f>
        <v>Closed</v>
      </c>
      <c r="AZ255" s="370" t="str">
        <f>IFERROR(__xludf.DUMMYFUNCTION("""COMPUTED_VALUE"""),"Closed")</f>
        <v>Closed</v>
      </c>
      <c r="BA255" s="371" t="str">
        <f>IFERROR(__xludf.DUMMYFUNCTION("""COMPUTED_VALUE"""),"Closed")</f>
        <v>Closed</v>
      </c>
      <c r="BB255" s="256" t="str">
        <f>IFERROR(__xludf.DUMMYFUNCTION("""COMPUTED_VALUE"""),"Closed")</f>
        <v>Closed</v>
      </c>
      <c r="BC255" s="370" t="str">
        <f>IFERROR(__xludf.DUMMYFUNCTION("""COMPUTED_VALUE"""),"Closed")</f>
        <v>Closed</v>
      </c>
      <c r="BD255" s="371" t="str">
        <f>IFERROR(__xludf.DUMMYFUNCTION("""COMPUTED_VALUE"""),"Closed")</f>
        <v>Closed</v>
      </c>
      <c r="BE255" s="256" t="str">
        <f>IFERROR(__xludf.DUMMYFUNCTION("""COMPUTED_VALUE"""),"Closed")</f>
        <v>Closed</v>
      </c>
      <c r="BF255" s="370" t="str">
        <f>IFERROR(__xludf.DUMMYFUNCTION("""COMPUTED_VALUE"""),"Closed")</f>
        <v>Closed</v>
      </c>
      <c r="BG255" s="369" t="str">
        <f>IFERROR(__xludf.DUMMYFUNCTION("""COMPUTED_VALUE"""),"Closed")</f>
        <v>Closed</v>
      </c>
      <c r="BH255" s="256" t="str">
        <f>IFERROR(__xludf.DUMMYFUNCTION("""COMPUTED_VALUE"""),"Closed")</f>
        <v>Closed</v>
      </c>
      <c r="BI255" s="370" t="str">
        <f>IFERROR(__xludf.DUMMYFUNCTION("""COMPUTED_VALUE"""),"Closed")</f>
        <v>Closed</v>
      </c>
      <c r="BJ255" s="371" t="str">
        <f>IFERROR(__xludf.DUMMYFUNCTION("""COMPUTED_VALUE"""),"Closed")</f>
        <v>Closed</v>
      </c>
      <c r="BK255" s="256" t="str">
        <f>IFERROR(__xludf.DUMMYFUNCTION("""COMPUTED_VALUE"""),"Closed")</f>
        <v>Closed</v>
      </c>
      <c r="BL255" s="370" t="str">
        <f>IFERROR(__xludf.DUMMYFUNCTION("""COMPUTED_VALUE"""),"Closed")</f>
        <v>Closed</v>
      </c>
      <c r="BM255" s="371" t="str">
        <f>IFERROR(__xludf.DUMMYFUNCTION("""COMPUTED_VALUE"""),"Closed")</f>
        <v>Closed</v>
      </c>
      <c r="BN255" s="256" t="str">
        <f>IFERROR(__xludf.DUMMYFUNCTION("""COMPUTED_VALUE"""),"Closed")</f>
        <v>Closed</v>
      </c>
      <c r="BO255" s="370" t="str">
        <f>IFERROR(__xludf.DUMMYFUNCTION("""COMPUTED_VALUE"""),"Closed")</f>
        <v>Closed</v>
      </c>
      <c r="BP255" s="371" t="str">
        <f>IFERROR(__xludf.DUMMYFUNCTION("""COMPUTED_VALUE"""),"Closed")</f>
        <v>Closed</v>
      </c>
      <c r="BQ255" s="256" t="str">
        <f>IFERROR(__xludf.DUMMYFUNCTION("""COMPUTED_VALUE"""),"Closed")</f>
        <v>Closed</v>
      </c>
      <c r="BR255" s="370" t="str">
        <f>IFERROR(__xludf.DUMMYFUNCTION("""COMPUTED_VALUE"""),"Closed")</f>
        <v>Closed</v>
      </c>
      <c r="BS255" s="369" t="str">
        <f>IFERROR(__xludf.DUMMYFUNCTION("""COMPUTED_VALUE"""),"Closed")</f>
        <v>Closed</v>
      </c>
      <c r="BT255" s="256" t="str">
        <f>IFERROR(__xludf.DUMMYFUNCTION("""COMPUTED_VALUE"""),"Closed")</f>
        <v>Closed</v>
      </c>
      <c r="BU255" s="370" t="str">
        <f>IFERROR(__xludf.DUMMYFUNCTION("""COMPUTED_VALUE"""),"Closed")</f>
        <v>Closed</v>
      </c>
      <c r="BV255" s="371" t="str">
        <f>IFERROR(__xludf.DUMMYFUNCTION("""COMPUTED_VALUE"""),"Closed")</f>
        <v>Closed</v>
      </c>
      <c r="BW255" s="256" t="str">
        <f>IFERROR(__xludf.DUMMYFUNCTION("""COMPUTED_VALUE"""),"Closed")</f>
        <v>Closed</v>
      </c>
      <c r="BX255" s="370" t="str">
        <f>IFERROR(__xludf.DUMMYFUNCTION("""COMPUTED_VALUE"""),"Closed")</f>
        <v>Closed</v>
      </c>
      <c r="BY255" s="371" t="str">
        <f>IFERROR(__xludf.DUMMYFUNCTION("""COMPUTED_VALUE"""),"Closed")</f>
        <v>Closed</v>
      </c>
      <c r="BZ255" s="256" t="str">
        <f>IFERROR(__xludf.DUMMYFUNCTION("""COMPUTED_VALUE"""),"Closed")</f>
        <v>Closed</v>
      </c>
      <c r="CA255" s="370" t="str">
        <f>IFERROR(__xludf.DUMMYFUNCTION("""COMPUTED_VALUE"""),"Closed")</f>
        <v>Closed</v>
      </c>
      <c r="CB255" s="371" t="str">
        <f>IFERROR(__xludf.DUMMYFUNCTION("""COMPUTED_VALUE"""),"Closed")</f>
        <v>Closed</v>
      </c>
      <c r="CC255" s="256" t="str">
        <f>IFERROR(__xludf.DUMMYFUNCTION("""COMPUTED_VALUE"""),"Closed")</f>
        <v>Closed</v>
      </c>
      <c r="CD255" s="370" t="str">
        <f>IFERROR(__xludf.DUMMYFUNCTION("""COMPUTED_VALUE"""),"Closed")</f>
        <v>Closed</v>
      </c>
      <c r="CE255" s="371" t="str">
        <f>IFERROR(__xludf.DUMMYFUNCTION("""COMPUTED_VALUE"""),"Closed")</f>
        <v>Closed</v>
      </c>
      <c r="CF255" s="256" t="str">
        <f>IFERROR(__xludf.DUMMYFUNCTION("""COMPUTED_VALUE"""),"Closed")</f>
        <v>Closed</v>
      </c>
      <c r="CG255" s="370" t="str">
        <f>IFERROR(__xludf.DUMMYFUNCTION("""COMPUTED_VALUE"""),"Closed")</f>
        <v>Closed</v>
      </c>
      <c r="CH255" s="371" t="str">
        <f>IFERROR(__xludf.DUMMYFUNCTION("""COMPUTED_VALUE"""),"Closed")</f>
        <v>Closed</v>
      </c>
      <c r="CI255" s="256" t="str">
        <f>IFERROR(__xludf.DUMMYFUNCTION("""COMPUTED_VALUE"""),"Closed")</f>
        <v>Closed</v>
      </c>
      <c r="CJ255" s="256" t="str">
        <f>IFERROR(__xludf.DUMMYFUNCTION("""COMPUTED_VALUE"""),"Closed")</f>
        <v>Closed</v>
      </c>
      <c r="CK255" s="371" t="str">
        <f>IFERROR(__xludf.DUMMYFUNCTION("""COMPUTED_VALUE"""),"Closed")</f>
        <v>Closed</v>
      </c>
      <c r="CL255" s="256" t="str">
        <f>IFERROR(__xludf.DUMMYFUNCTION("""COMPUTED_VALUE"""),"Closed")</f>
        <v>Closed</v>
      </c>
      <c r="CM255" s="370" t="str">
        <f>IFERROR(__xludf.DUMMYFUNCTION("""COMPUTED_VALUE"""),"Closed")</f>
        <v>Closed</v>
      </c>
      <c r="CN255" s="256" t="str">
        <f>IFERROR(__xludf.DUMMYFUNCTION("""COMPUTED_VALUE"""),"Closed")</f>
        <v>Closed</v>
      </c>
      <c r="CO255" s="256" t="str">
        <f>IFERROR(__xludf.DUMMYFUNCTION("""COMPUTED_VALUE"""),"Closed")</f>
        <v>Closed</v>
      </c>
      <c r="CP255" s="256" t="str">
        <f>IFERROR(__xludf.DUMMYFUNCTION("""COMPUTED_VALUE"""),"Closed")</f>
        <v>Closed</v>
      </c>
      <c r="CQ255" s="371" t="str">
        <f>IFERROR(__xludf.DUMMYFUNCTION("""COMPUTED_VALUE"""),"Closed")</f>
        <v>Closed</v>
      </c>
      <c r="CR255" s="256" t="str">
        <f>IFERROR(__xludf.DUMMYFUNCTION("""COMPUTED_VALUE"""),"Closed")</f>
        <v>Closed</v>
      </c>
      <c r="CS255" s="256" t="str">
        <f>IFERROR(__xludf.DUMMYFUNCTION("""COMPUTED_VALUE"""),"Closed")</f>
        <v>Closed</v>
      </c>
      <c r="CT255" s="371" t="str">
        <f>IFERROR(__xludf.DUMMYFUNCTION("""COMPUTED_VALUE"""),"Closed")</f>
        <v>Closed</v>
      </c>
      <c r="CU255" s="256" t="str">
        <f>IFERROR(__xludf.DUMMYFUNCTION("""COMPUTED_VALUE"""),"Closed")</f>
        <v>Closed</v>
      </c>
      <c r="CV255" s="256" t="str">
        <f>IFERROR(__xludf.DUMMYFUNCTION("""COMPUTED_VALUE"""),"Closed")</f>
        <v>Closed</v>
      </c>
      <c r="CW255" s="371" t="str">
        <f>IFERROR(__xludf.DUMMYFUNCTION("""COMPUTED_VALUE"""),"Closed")</f>
        <v>Closed</v>
      </c>
      <c r="CX255" s="256" t="str">
        <f>IFERROR(__xludf.DUMMYFUNCTION("""COMPUTED_VALUE"""),"Closed")</f>
        <v>Closed</v>
      </c>
      <c r="CY255" s="370" t="str">
        <f>IFERROR(__xludf.DUMMYFUNCTION("""COMPUTED_VALUE"""),"Closed")</f>
        <v>Closed</v>
      </c>
      <c r="CZ255" s="256" t="str">
        <f>IFERROR(__xludf.DUMMYFUNCTION("""COMPUTED_VALUE"""),"Closed")</f>
        <v>Closed</v>
      </c>
      <c r="DA255" s="256" t="str">
        <f>IFERROR(__xludf.DUMMYFUNCTION("""COMPUTED_VALUE"""),"Closed")</f>
        <v>Closed</v>
      </c>
      <c r="DB255" s="370" t="str">
        <f>IFERROR(__xludf.DUMMYFUNCTION("""COMPUTED_VALUE"""),"Closed")</f>
        <v>Closed</v>
      </c>
      <c r="DC255" s="371" t="str">
        <f>IFERROR(__xludf.DUMMYFUNCTION("""COMPUTED_VALUE"""),"Closed")</f>
        <v>Closed</v>
      </c>
      <c r="DD255" s="256" t="str">
        <f>IFERROR(__xludf.DUMMYFUNCTION("""COMPUTED_VALUE"""),"Closed")</f>
        <v>Closed</v>
      </c>
      <c r="DE255" s="370" t="str">
        <f>IFERROR(__xludf.DUMMYFUNCTION("""COMPUTED_VALUE"""),"Closed")</f>
        <v>Closed</v>
      </c>
      <c r="DF255" s="371" t="str">
        <f>IFERROR(__xludf.DUMMYFUNCTION("""COMPUTED_VALUE"""),"Closed")</f>
        <v>Closed</v>
      </c>
      <c r="DG255" s="256" t="str">
        <f>IFERROR(__xludf.DUMMYFUNCTION("""COMPUTED_VALUE"""),"Closed")</f>
        <v>Closed</v>
      </c>
      <c r="DH255" s="370" t="str">
        <f>IFERROR(__xludf.DUMMYFUNCTION("""COMPUTED_VALUE"""),"Closed")</f>
        <v>Closed</v>
      </c>
      <c r="DI255" s="371" t="str">
        <f>IFERROR(__xludf.DUMMYFUNCTION("""COMPUTED_VALUE"""),"Closed")</f>
        <v>Closed</v>
      </c>
      <c r="DJ255" s="256" t="str">
        <f>IFERROR(__xludf.DUMMYFUNCTION("""COMPUTED_VALUE"""),"Closed")</f>
        <v>Closed</v>
      </c>
      <c r="DK255" s="370" t="str">
        <f>IFERROR(__xludf.DUMMYFUNCTION("""COMPUTED_VALUE"""),"Closed")</f>
        <v>Closed</v>
      </c>
      <c r="DL255" s="256" t="str">
        <f>IFERROR(__xludf.DUMMYFUNCTION("""COMPUTED_VALUE"""),"Closed")</f>
        <v>Closed</v>
      </c>
      <c r="DM255" s="256" t="str">
        <f>IFERROR(__xludf.DUMMYFUNCTION("""COMPUTED_VALUE"""),"Closed")</f>
        <v>Closed</v>
      </c>
      <c r="DN255" s="256" t="str">
        <f>IFERROR(__xludf.DUMMYFUNCTION("""COMPUTED_VALUE"""),"Closed")</f>
        <v>Closed</v>
      </c>
      <c r="DO255" s="256" t="str">
        <f>IFERROR(__xludf.DUMMYFUNCTION("""COMPUTED_VALUE"""),"Closed")</f>
        <v>Closed</v>
      </c>
      <c r="DP255" s="256" t="str">
        <f>IFERROR(__xludf.DUMMYFUNCTION("""COMPUTED_VALUE"""),"Closed")</f>
        <v>Closed</v>
      </c>
      <c r="DQ255" s="256" t="str">
        <f>IFERROR(__xludf.DUMMYFUNCTION("""COMPUTED_VALUE"""),"Closed")</f>
        <v>Closed</v>
      </c>
      <c r="DR255" s="256" t="str">
        <f>IFERROR(__xludf.DUMMYFUNCTION("""COMPUTED_VALUE"""),"Closed")</f>
        <v>Closed</v>
      </c>
      <c r="DS255" s="256" t="str">
        <f>IFERROR(__xludf.DUMMYFUNCTION("""COMPUTED_VALUE"""),"Closed")</f>
        <v>Closed</v>
      </c>
      <c r="DT255" s="256" t="str">
        <f>IFERROR(__xludf.DUMMYFUNCTION("""COMPUTED_VALUE"""),"Closed")</f>
        <v>Closed</v>
      </c>
    </row>
    <row r="256" hidden="1">
      <c r="B256" s="180" t="str">
        <f>IFERROR(__xludf.DUMMYFUNCTION("""COMPUTED_VALUE"""),"HEA9")</f>
        <v>HEA9</v>
      </c>
      <c r="C256" s="368" t="str">
        <f>IFERROR(__xludf.DUMMYFUNCTION("""COMPUTED_VALUE"""),"Imperial Palace Main Street")</f>
        <v>Imperial Palace Main Street</v>
      </c>
      <c r="D256" s="273">
        <f>IFERROR(__xludf.DUMMYFUNCTION("""COMPUTED_VALUE"""),21.0)</f>
        <v>21</v>
      </c>
      <c r="E256" t="b">
        <f>IFERROR(__xludf.DUMMYFUNCTION("""COMPUTED_VALUE"""),FALSE)</f>
        <v>0</v>
      </c>
      <c r="F256" t="str">
        <f>IFERROR(__xludf.DUMMYFUNCTION("""COMPUTED_VALUE"""),"Free Quests- Part 2!A977:J987")</f>
        <v>Free Quests- Part 2!A977:J987</v>
      </c>
      <c r="G256">
        <f>IFERROR(__xludf.DUMMYFUNCTION("""COMPUTED_VALUE"""),257.0)</f>
        <v>257</v>
      </c>
      <c r="H256" t="str">
        <f>IFERROR(__xludf.DUMMYFUNCTION("""COMPUTED_VALUE"""),"Closed")</f>
        <v>Closed</v>
      </c>
      <c r="I256">
        <f>IFERROR(__xludf.DUMMYFUNCTION("""COMPUTED_VALUE"""),7620.0)</f>
        <v>7620</v>
      </c>
      <c r="J256" t="str">
        <f>IFERROR(__xludf.DUMMYFUNCTION("""COMPUTED_VALUE"""),"Closed")</f>
        <v>Closed</v>
      </c>
      <c r="K256" s="369" t="str">
        <f>IFERROR(__xludf.DUMMYFUNCTION("""COMPUTED_VALUE"""),"Closed")</f>
        <v>Closed</v>
      </c>
      <c r="L256" s="256" t="str">
        <f>IFERROR(__xludf.DUMMYFUNCTION("""COMPUTED_VALUE"""),"Closed")</f>
        <v>Closed</v>
      </c>
      <c r="M256" s="370" t="str">
        <f>IFERROR(__xludf.DUMMYFUNCTION("""COMPUTED_VALUE"""),"Closed")</f>
        <v>Closed</v>
      </c>
      <c r="N256" s="371" t="str">
        <f>IFERROR(__xludf.DUMMYFUNCTION("""COMPUTED_VALUE"""),"Closed")</f>
        <v>Closed</v>
      </c>
      <c r="O256" s="256" t="str">
        <f>IFERROR(__xludf.DUMMYFUNCTION("""COMPUTED_VALUE"""),"Closed")</f>
        <v>Closed</v>
      </c>
      <c r="P256" s="370" t="str">
        <f>IFERROR(__xludf.DUMMYFUNCTION("""COMPUTED_VALUE"""),"Closed")</f>
        <v>Closed</v>
      </c>
      <c r="Q256" s="371" t="str">
        <f>IFERROR(__xludf.DUMMYFUNCTION("""COMPUTED_VALUE"""),"Closed")</f>
        <v>Closed</v>
      </c>
      <c r="R256" s="256" t="str">
        <f>IFERROR(__xludf.DUMMYFUNCTION("""COMPUTED_VALUE"""),"Closed")</f>
        <v>Closed</v>
      </c>
      <c r="S256" s="370" t="str">
        <f>IFERROR(__xludf.DUMMYFUNCTION("""COMPUTED_VALUE"""),"Closed")</f>
        <v>Closed</v>
      </c>
      <c r="T256" s="371" t="str">
        <f>IFERROR(__xludf.DUMMYFUNCTION("""COMPUTED_VALUE"""),"Closed")</f>
        <v>Closed</v>
      </c>
      <c r="U256" s="256" t="str">
        <f>IFERROR(__xludf.DUMMYFUNCTION("""COMPUTED_VALUE"""),"Closed")</f>
        <v>Closed</v>
      </c>
      <c r="V256" s="370" t="str">
        <f>IFERROR(__xludf.DUMMYFUNCTION("""COMPUTED_VALUE"""),"Closed")</f>
        <v>Closed</v>
      </c>
      <c r="W256" s="369" t="str">
        <f>IFERROR(__xludf.DUMMYFUNCTION("""COMPUTED_VALUE"""),"Closed")</f>
        <v>Closed</v>
      </c>
      <c r="X256" s="256" t="str">
        <f>IFERROR(__xludf.DUMMYFUNCTION("""COMPUTED_VALUE"""),"Closed")</f>
        <v>Closed</v>
      </c>
      <c r="Y256" s="370" t="str">
        <f>IFERROR(__xludf.DUMMYFUNCTION("""COMPUTED_VALUE"""),"Closed")</f>
        <v>Closed</v>
      </c>
      <c r="Z256" s="371" t="str">
        <f>IFERROR(__xludf.DUMMYFUNCTION("""COMPUTED_VALUE"""),"Closed")</f>
        <v>Closed</v>
      </c>
      <c r="AA256" s="256" t="str">
        <f>IFERROR(__xludf.DUMMYFUNCTION("""COMPUTED_VALUE"""),"Closed")</f>
        <v>Closed</v>
      </c>
      <c r="AB256" s="370" t="str">
        <f>IFERROR(__xludf.DUMMYFUNCTION("""COMPUTED_VALUE"""),"Closed")</f>
        <v>Closed</v>
      </c>
      <c r="AC256" s="371" t="str">
        <f>IFERROR(__xludf.DUMMYFUNCTION("""COMPUTED_VALUE"""),"Closed")</f>
        <v>Closed</v>
      </c>
      <c r="AD256" s="256" t="str">
        <f>IFERROR(__xludf.DUMMYFUNCTION("""COMPUTED_VALUE"""),"Closed")</f>
        <v>Closed</v>
      </c>
      <c r="AE256" s="370" t="str">
        <f>IFERROR(__xludf.DUMMYFUNCTION("""COMPUTED_VALUE"""),"Closed")</f>
        <v>Closed</v>
      </c>
      <c r="AF256" s="371" t="str">
        <f>IFERROR(__xludf.DUMMYFUNCTION("""COMPUTED_VALUE"""),"Closed")</f>
        <v>Closed</v>
      </c>
      <c r="AG256" s="256" t="str">
        <f>IFERROR(__xludf.DUMMYFUNCTION("""COMPUTED_VALUE"""),"Closed")</f>
        <v>Closed</v>
      </c>
      <c r="AH256" s="370" t="str">
        <f>IFERROR(__xludf.DUMMYFUNCTION("""COMPUTED_VALUE"""),"Closed")</f>
        <v>Closed</v>
      </c>
      <c r="AI256" s="369" t="str">
        <f>IFERROR(__xludf.DUMMYFUNCTION("""COMPUTED_VALUE"""),"Closed")</f>
        <v>Closed</v>
      </c>
      <c r="AJ256" s="256" t="str">
        <f>IFERROR(__xludf.DUMMYFUNCTION("""COMPUTED_VALUE"""),"Closed")</f>
        <v>Closed</v>
      </c>
      <c r="AK256" s="370" t="str">
        <f>IFERROR(__xludf.DUMMYFUNCTION("""COMPUTED_VALUE"""),"Closed")</f>
        <v>Closed</v>
      </c>
      <c r="AL256" s="372" t="str">
        <f>IFERROR(__xludf.DUMMYFUNCTION("""COMPUTED_VALUE"""),"Closed")</f>
        <v>Closed</v>
      </c>
      <c r="AM256" s="373" t="str">
        <f>IFERROR(__xludf.DUMMYFUNCTION("""COMPUTED_VALUE"""),"Closed")</f>
        <v>Closed</v>
      </c>
      <c r="AN256" s="370" t="str">
        <f>IFERROR(__xludf.DUMMYFUNCTION("""COMPUTED_VALUE"""),"Closed")</f>
        <v>Closed</v>
      </c>
      <c r="AO256" s="371" t="str">
        <f>IFERROR(__xludf.DUMMYFUNCTION("""COMPUTED_VALUE"""),"Closed")</f>
        <v>Closed</v>
      </c>
      <c r="AP256" s="256" t="str">
        <f>IFERROR(__xludf.DUMMYFUNCTION("""COMPUTED_VALUE"""),"Closed")</f>
        <v>Closed</v>
      </c>
      <c r="AQ256" s="370" t="str">
        <f>IFERROR(__xludf.DUMMYFUNCTION("""COMPUTED_VALUE"""),"Closed")</f>
        <v>Closed</v>
      </c>
      <c r="AR256" s="371" t="str">
        <f>IFERROR(__xludf.DUMMYFUNCTION("""COMPUTED_VALUE"""),"Closed")</f>
        <v>Closed</v>
      </c>
      <c r="AS256" s="256" t="str">
        <f>IFERROR(__xludf.DUMMYFUNCTION("""COMPUTED_VALUE"""),"Closed")</f>
        <v>Closed</v>
      </c>
      <c r="AT256" s="370" t="str">
        <f>IFERROR(__xludf.DUMMYFUNCTION("""COMPUTED_VALUE"""),"Closed")</f>
        <v>Closed</v>
      </c>
      <c r="AU256" s="369" t="str">
        <f>IFERROR(__xludf.DUMMYFUNCTION("""COMPUTED_VALUE"""),"Closed")</f>
        <v>Closed</v>
      </c>
      <c r="AV256" s="256" t="str">
        <f>IFERROR(__xludf.DUMMYFUNCTION("""COMPUTED_VALUE"""),"Closed")</f>
        <v>Closed</v>
      </c>
      <c r="AW256" s="370" t="str">
        <f>IFERROR(__xludf.DUMMYFUNCTION("""COMPUTED_VALUE"""),"Closed")</f>
        <v>Closed</v>
      </c>
      <c r="AX256" s="371" t="str">
        <f>IFERROR(__xludf.DUMMYFUNCTION("""COMPUTED_VALUE"""),"Closed")</f>
        <v>Closed</v>
      </c>
      <c r="AY256" s="256" t="str">
        <f>IFERROR(__xludf.DUMMYFUNCTION("""COMPUTED_VALUE"""),"Closed")</f>
        <v>Closed</v>
      </c>
      <c r="AZ256" s="370" t="str">
        <f>IFERROR(__xludf.DUMMYFUNCTION("""COMPUTED_VALUE"""),"Closed")</f>
        <v>Closed</v>
      </c>
      <c r="BA256" s="371" t="str">
        <f>IFERROR(__xludf.DUMMYFUNCTION("""COMPUTED_VALUE"""),"Closed")</f>
        <v>Closed</v>
      </c>
      <c r="BB256" s="256" t="str">
        <f>IFERROR(__xludf.DUMMYFUNCTION("""COMPUTED_VALUE"""),"Closed")</f>
        <v>Closed</v>
      </c>
      <c r="BC256" s="370" t="str">
        <f>IFERROR(__xludf.DUMMYFUNCTION("""COMPUTED_VALUE"""),"Closed")</f>
        <v>Closed</v>
      </c>
      <c r="BD256" s="371" t="str">
        <f>IFERROR(__xludf.DUMMYFUNCTION("""COMPUTED_VALUE"""),"Closed")</f>
        <v>Closed</v>
      </c>
      <c r="BE256" s="256" t="str">
        <f>IFERROR(__xludf.DUMMYFUNCTION("""COMPUTED_VALUE"""),"Closed")</f>
        <v>Closed</v>
      </c>
      <c r="BF256" s="370" t="str">
        <f>IFERROR(__xludf.DUMMYFUNCTION("""COMPUTED_VALUE"""),"Closed")</f>
        <v>Closed</v>
      </c>
      <c r="BG256" s="369" t="str">
        <f>IFERROR(__xludf.DUMMYFUNCTION("""COMPUTED_VALUE"""),"Closed")</f>
        <v>Closed</v>
      </c>
      <c r="BH256" s="256" t="str">
        <f>IFERROR(__xludf.DUMMYFUNCTION("""COMPUTED_VALUE"""),"Closed")</f>
        <v>Closed</v>
      </c>
      <c r="BI256" s="370" t="str">
        <f>IFERROR(__xludf.DUMMYFUNCTION("""COMPUTED_VALUE"""),"Closed")</f>
        <v>Closed</v>
      </c>
      <c r="BJ256" s="371" t="str">
        <f>IFERROR(__xludf.DUMMYFUNCTION("""COMPUTED_VALUE"""),"Closed")</f>
        <v>Closed</v>
      </c>
      <c r="BK256" s="256" t="str">
        <f>IFERROR(__xludf.DUMMYFUNCTION("""COMPUTED_VALUE"""),"Closed")</f>
        <v>Closed</v>
      </c>
      <c r="BL256" s="370" t="str">
        <f>IFERROR(__xludf.DUMMYFUNCTION("""COMPUTED_VALUE"""),"Closed")</f>
        <v>Closed</v>
      </c>
      <c r="BM256" s="371" t="str">
        <f>IFERROR(__xludf.DUMMYFUNCTION("""COMPUTED_VALUE"""),"Closed")</f>
        <v>Closed</v>
      </c>
      <c r="BN256" s="256" t="str">
        <f>IFERROR(__xludf.DUMMYFUNCTION("""COMPUTED_VALUE"""),"Closed")</f>
        <v>Closed</v>
      </c>
      <c r="BO256" s="370" t="str">
        <f>IFERROR(__xludf.DUMMYFUNCTION("""COMPUTED_VALUE"""),"Closed")</f>
        <v>Closed</v>
      </c>
      <c r="BP256" s="371" t="str">
        <f>IFERROR(__xludf.DUMMYFUNCTION("""COMPUTED_VALUE"""),"Closed")</f>
        <v>Closed</v>
      </c>
      <c r="BQ256" s="256" t="str">
        <f>IFERROR(__xludf.DUMMYFUNCTION("""COMPUTED_VALUE"""),"Closed")</f>
        <v>Closed</v>
      </c>
      <c r="BR256" s="370" t="str">
        <f>IFERROR(__xludf.DUMMYFUNCTION("""COMPUTED_VALUE"""),"Closed")</f>
        <v>Closed</v>
      </c>
      <c r="BS256" s="369" t="str">
        <f>IFERROR(__xludf.DUMMYFUNCTION("""COMPUTED_VALUE"""),"Closed")</f>
        <v>Closed</v>
      </c>
      <c r="BT256" s="256" t="str">
        <f>IFERROR(__xludf.DUMMYFUNCTION("""COMPUTED_VALUE"""),"Closed")</f>
        <v>Closed</v>
      </c>
      <c r="BU256" s="370" t="str">
        <f>IFERROR(__xludf.DUMMYFUNCTION("""COMPUTED_VALUE"""),"Closed")</f>
        <v>Closed</v>
      </c>
      <c r="BV256" s="371" t="str">
        <f>IFERROR(__xludf.DUMMYFUNCTION("""COMPUTED_VALUE"""),"Closed")</f>
        <v>Closed</v>
      </c>
      <c r="BW256" s="256" t="str">
        <f>IFERROR(__xludf.DUMMYFUNCTION("""COMPUTED_VALUE"""),"Closed")</f>
        <v>Closed</v>
      </c>
      <c r="BX256" s="370" t="str">
        <f>IFERROR(__xludf.DUMMYFUNCTION("""COMPUTED_VALUE"""),"Closed")</f>
        <v>Closed</v>
      </c>
      <c r="BY256" s="371" t="str">
        <f>IFERROR(__xludf.DUMMYFUNCTION("""COMPUTED_VALUE"""),"Closed")</f>
        <v>Closed</v>
      </c>
      <c r="BZ256" s="256" t="str">
        <f>IFERROR(__xludf.DUMMYFUNCTION("""COMPUTED_VALUE"""),"Closed")</f>
        <v>Closed</v>
      </c>
      <c r="CA256" s="370" t="str">
        <f>IFERROR(__xludf.DUMMYFUNCTION("""COMPUTED_VALUE"""),"Closed")</f>
        <v>Closed</v>
      </c>
      <c r="CB256" s="371" t="str">
        <f>IFERROR(__xludf.DUMMYFUNCTION("""COMPUTED_VALUE"""),"Closed")</f>
        <v>Closed</v>
      </c>
      <c r="CC256" s="256" t="str">
        <f>IFERROR(__xludf.DUMMYFUNCTION("""COMPUTED_VALUE"""),"Closed")</f>
        <v>Closed</v>
      </c>
      <c r="CD256" s="370" t="str">
        <f>IFERROR(__xludf.DUMMYFUNCTION("""COMPUTED_VALUE"""),"Closed")</f>
        <v>Closed</v>
      </c>
      <c r="CE256" s="371" t="str">
        <f>IFERROR(__xludf.DUMMYFUNCTION("""COMPUTED_VALUE"""),"Closed")</f>
        <v>Closed</v>
      </c>
      <c r="CF256" s="256" t="str">
        <f>IFERROR(__xludf.DUMMYFUNCTION("""COMPUTED_VALUE"""),"Closed")</f>
        <v>Closed</v>
      </c>
      <c r="CG256" s="370" t="str">
        <f>IFERROR(__xludf.DUMMYFUNCTION("""COMPUTED_VALUE"""),"Closed")</f>
        <v>Closed</v>
      </c>
      <c r="CH256" s="371" t="str">
        <f>IFERROR(__xludf.DUMMYFUNCTION("""COMPUTED_VALUE"""),"Closed")</f>
        <v>Closed</v>
      </c>
      <c r="CI256" s="256" t="str">
        <f>IFERROR(__xludf.DUMMYFUNCTION("""COMPUTED_VALUE"""),"Closed")</f>
        <v>Closed</v>
      </c>
      <c r="CJ256" s="256" t="str">
        <f>IFERROR(__xludf.DUMMYFUNCTION("""COMPUTED_VALUE"""),"Closed")</f>
        <v>Closed</v>
      </c>
      <c r="CK256" s="371" t="str">
        <f>IFERROR(__xludf.DUMMYFUNCTION("""COMPUTED_VALUE"""),"Closed")</f>
        <v>Closed</v>
      </c>
      <c r="CL256" s="256" t="str">
        <f>IFERROR(__xludf.DUMMYFUNCTION("""COMPUTED_VALUE"""),"Closed")</f>
        <v>Closed</v>
      </c>
      <c r="CM256" s="370" t="str">
        <f>IFERROR(__xludf.DUMMYFUNCTION("""COMPUTED_VALUE"""),"Closed")</f>
        <v>Closed</v>
      </c>
      <c r="CN256" s="256" t="str">
        <f>IFERROR(__xludf.DUMMYFUNCTION("""COMPUTED_VALUE"""),"Closed")</f>
        <v>Closed</v>
      </c>
      <c r="CO256" s="256" t="str">
        <f>IFERROR(__xludf.DUMMYFUNCTION("""COMPUTED_VALUE"""),"Closed")</f>
        <v>Closed</v>
      </c>
      <c r="CP256" s="256" t="str">
        <f>IFERROR(__xludf.DUMMYFUNCTION("""COMPUTED_VALUE"""),"Closed")</f>
        <v>Closed</v>
      </c>
      <c r="CQ256" s="371" t="str">
        <f>IFERROR(__xludf.DUMMYFUNCTION("""COMPUTED_VALUE"""),"Closed")</f>
        <v>Closed</v>
      </c>
      <c r="CR256" s="256" t="str">
        <f>IFERROR(__xludf.DUMMYFUNCTION("""COMPUTED_VALUE"""),"Closed")</f>
        <v>Closed</v>
      </c>
      <c r="CS256" s="256" t="str">
        <f>IFERROR(__xludf.DUMMYFUNCTION("""COMPUTED_VALUE"""),"Closed")</f>
        <v>Closed</v>
      </c>
      <c r="CT256" s="371" t="str">
        <f>IFERROR(__xludf.DUMMYFUNCTION("""COMPUTED_VALUE"""),"Closed")</f>
        <v>Closed</v>
      </c>
      <c r="CU256" s="256" t="str">
        <f>IFERROR(__xludf.DUMMYFUNCTION("""COMPUTED_VALUE"""),"Closed")</f>
        <v>Closed</v>
      </c>
      <c r="CV256" s="256" t="str">
        <f>IFERROR(__xludf.DUMMYFUNCTION("""COMPUTED_VALUE"""),"Closed")</f>
        <v>Closed</v>
      </c>
      <c r="CW256" s="371" t="str">
        <f>IFERROR(__xludf.DUMMYFUNCTION("""COMPUTED_VALUE"""),"Closed")</f>
        <v>Closed</v>
      </c>
      <c r="CX256" s="256" t="str">
        <f>IFERROR(__xludf.DUMMYFUNCTION("""COMPUTED_VALUE"""),"Closed")</f>
        <v>Closed</v>
      </c>
      <c r="CY256" s="370" t="str">
        <f>IFERROR(__xludf.DUMMYFUNCTION("""COMPUTED_VALUE"""),"Closed")</f>
        <v>Closed</v>
      </c>
      <c r="CZ256" s="256" t="str">
        <f>IFERROR(__xludf.DUMMYFUNCTION("""COMPUTED_VALUE"""),"Closed")</f>
        <v>Closed</v>
      </c>
      <c r="DA256" s="256" t="str">
        <f>IFERROR(__xludf.DUMMYFUNCTION("""COMPUTED_VALUE"""),"Closed")</f>
        <v>Closed</v>
      </c>
      <c r="DB256" s="370" t="str">
        <f>IFERROR(__xludf.DUMMYFUNCTION("""COMPUTED_VALUE"""),"Closed")</f>
        <v>Closed</v>
      </c>
      <c r="DC256" s="371" t="str">
        <f>IFERROR(__xludf.DUMMYFUNCTION("""COMPUTED_VALUE"""),"Closed")</f>
        <v>Closed</v>
      </c>
      <c r="DD256" s="256" t="str">
        <f>IFERROR(__xludf.DUMMYFUNCTION("""COMPUTED_VALUE"""),"Closed")</f>
        <v>Closed</v>
      </c>
      <c r="DE256" s="370" t="str">
        <f>IFERROR(__xludf.DUMMYFUNCTION("""COMPUTED_VALUE"""),"Closed")</f>
        <v>Closed</v>
      </c>
      <c r="DF256" s="371" t="str">
        <f>IFERROR(__xludf.DUMMYFUNCTION("""COMPUTED_VALUE"""),"Closed")</f>
        <v>Closed</v>
      </c>
      <c r="DG256" s="256" t="str">
        <f>IFERROR(__xludf.DUMMYFUNCTION("""COMPUTED_VALUE"""),"Closed")</f>
        <v>Closed</v>
      </c>
      <c r="DH256" s="370" t="str">
        <f>IFERROR(__xludf.DUMMYFUNCTION("""COMPUTED_VALUE"""),"Closed")</f>
        <v>Closed</v>
      </c>
      <c r="DI256" s="371" t="str">
        <f>IFERROR(__xludf.DUMMYFUNCTION("""COMPUTED_VALUE"""),"Closed")</f>
        <v>Closed</v>
      </c>
      <c r="DJ256" s="256" t="str">
        <f>IFERROR(__xludf.DUMMYFUNCTION("""COMPUTED_VALUE"""),"Closed")</f>
        <v>Closed</v>
      </c>
      <c r="DK256" s="370" t="str">
        <f>IFERROR(__xludf.DUMMYFUNCTION("""COMPUTED_VALUE"""),"Closed")</f>
        <v>Closed</v>
      </c>
      <c r="DL256" s="256" t="str">
        <f>IFERROR(__xludf.DUMMYFUNCTION("""COMPUTED_VALUE"""),"Closed")</f>
        <v>Closed</v>
      </c>
      <c r="DM256" s="256" t="str">
        <f>IFERROR(__xludf.DUMMYFUNCTION("""COMPUTED_VALUE"""),"Closed")</f>
        <v>Closed</v>
      </c>
      <c r="DN256" s="256" t="str">
        <f>IFERROR(__xludf.DUMMYFUNCTION("""COMPUTED_VALUE"""),"Closed")</f>
        <v>Closed</v>
      </c>
      <c r="DO256" s="256" t="str">
        <f>IFERROR(__xludf.DUMMYFUNCTION("""COMPUTED_VALUE"""),"Closed")</f>
        <v>Closed</v>
      </c>
      <c r="DP256" s="256" t="str">
        <f>IFERROR(__xludf.DUMMYFUNCTION("""COMPUTED_VALUE"""),"Closed")</f>
        <v>Closed</v>
      </c>
      <c r="DQ256" s="256" t="str">
        <f>IFERROR(__xludf.DUMMYFUNCTION("""COMPUTED_VALUE"""),"Closed")</f>
        <v>Closed</v>
      </c>
      <c r="DR256" s="256" t="str">
        <f>IFERROR(__xludf.DUMMYFUNCTION("""COMPUTED_VALUE"""),"Closed")</f>
        <v>Closed</v>
      </c>
      <c r="DS256" s="256" t="str">
        <f>IFERROR(__xludf.DUMMYFUNCTION("""COMPUTED_VALUE"""),"Closed")</f>
        <v>Closed</v>
      </c>
      <c r="DT256" s="256" t="str">
        <f>IFERROR(__xludf.DUMMYFUNCTION("""COMPUTED_VALUE"""),"Closed")</f>
        <v>Closed</v>
      </c>
    </row>
    <row r="257" hidden="1">
      <c r="B257" s="180" t="str">
        <f>IFERROR(__xludf.DUMMYFUNCTION("""COMPUTED_VALUE"""),"HEA10")</f>
        <v>HEA10</v>
      </c>
      <c r="C257" s="368" t="str">
        <f>IFERROR(__xludf.DUMMYFUNCTION("""COMPUTED_VALUE"""),"Raikou's Residence")</f>
        <v>Raikou's Residence</v>
      </c>
      <c r="D257" s="273">
        <f>IFERROR(__xludf.DUMMYFUNCTION("""COMPUTED_VALUE"""),21.0)</f>
        <v>21</v>
      </c>
      <c r="E257" t="b">
        <f>IFERROR(__xludf.DUMMYFUNCTION("""COMPUTED_VALUE"""),FALSE)</f>
        <v>0</v>
      </c>
      <c r="F257" t="str">
        <f>IFERROR(__xludf.DUMMYFUNCTION("""COMPUTED_VALUE"""),"Free Quests- Part 2!A991:J999")</f>
        <v>Free Quests- Part 2!A991:J999</v>
      </c>
      <c r="G257">
        <f>IFERROR(__xludf.DUMMYFUNCTION("""COMPUTED_VALUE"""),258.0)</f>
        <v>258</v>
      </c>
      <c r="H257" t="str">
        <f>IFERROR(__xludf.DUMMYFUNCTION("""COMPUTED_VALUE"""),"Closed")</f>
        <v>Closed</v>
      </c>
      <c r="I257">
        <f>IFERROR(__xludf.DUMMYFUNCTION("""COMPUTED_VALUE"""),0.0)</f>
        <v>0</v>
      </c>
      <c r="J257" t="str">
        <f>IFERROR(__xludf.DUMMYFUNCTION("""COMPUTED_VALUE"""),"Closed")</f>
        <v>Closed</v>
      </c>
      <c r="K257" s="369" t="str">
        <f>IFERROR(__xludf.DUMMYFUNCTION("""COMPUTED_VALUE"""),"Closed")</f>
        <v>Closed</v>
      </c>
      <c r="L257" s="256" t="str">
        <f>IFERROR(__xludf.DUMMYFUNCTION("""COMPUTED_VALUE"""),"Closed")</f>
        <v>Closed</v>
      </c>
      <c r="M257" s="370" t="str">
        <f>IFERROR(__xludf.DUMMYFUNCTION("""COMPUTED_VALUE"""),"Closed")</f>
        <v>Closed</v>
      </c>
      <c r="N257" s="371" t="str">
        <f>IFERROR(__xludf.DUMMYFUNCTION("""COMPUTED_VALUE"""),"Closed")</f>
        <v>Closed</v>
      </c>
      <c r="O257" s="256" t="str">
        <f>IFERROR(__xludf.DUMMYFUNCTION("""COMPUTED_VALUE"""),"Closed")</f>
        <v>Closed</v>
      </c>
      <c r="P257" s="370" t="str">
        <f>IFERROR(__xludf.DUMMYFUNCTION("""COMPUTED_VALUE"""),"Closed")</f>
        <v>Closed</v>
      </c>
      <c r="Q257" s="371" t="str">
        <f>IFERROR(__xludf.DUMMYFUNCTION("""COMPUTED_VALUE"""),"Closed")</f>
        <v>Closed</v>
      </c>
      <c r="R257" s="256" t="str">
        <f>IFERROR(__xludf.DUMMYFUNCTION("""COMPUTED_VALUE"""),"Closed")</f>
        <v>Closed</v>
      </c>
      <c r="S257" s="370" t="str">
        <f>IFERROR(__xludf.DUMMYFUNCTION("""COMPUTED_VALUE"""),"Closed")</f>
        <v>Closed</v>
      </c>
      <c r="T257" s="371" t="str">
        <f>IFERROR(__xludf.DUMMYFUNCTION("""COMPUTED_VALUE"""),"Closed")</f>
        <v>Closed</v>
      </c>
      <c r="U257" s="256" t="str">
        <f>IFERROR(__xludf.DUMMYFUNCTION("""COMPUTED_VALUE"""),"Closed")</f>
        <v>Closed</v>
      </c>
      <c r="V257" s="370" t="str">
        <f>IFERROR(__xludf.DUMMYFUNCTION("""COMPUTED_VALUE"""),"Closed")</f>
        <v>Closed</v>
      </c>
      <c r="W257" s="369" t="str">
        <f>IFERROR(__xludf.DUMMYFUNCTION("""COMPUTED_VALUE"""),"Closed")</f>
        <v>Closed</v>
      </c>
      <c r="X257" s="256" t="str">
        <f>IFERROR(__xludf.DUMMYFUNCTION("""COMPUTED_VALUE"""),"Closed")</f>
        <v>Closed</v>
      </c>
      <c r="Y257" s="370" t="str">
        <f>IFERROR(__xludf.DUMMYFUNCTION("""COMPUTED_VALUE"""),"Closed")</f>
        <v>Closed</v>
      </c>
      <c r="Z257" s="371" t="str">
        <f>IFERROR(__xludf.DUMMYFUNCTION("""COMPUTED_VALUE"""),"Closed")</f>
        <v>Closed</v>
      </c>
      <c r="AA257" s="256" t="str">
        <f>IFERROR(__xludf.DUMMYFUNCTION("""COMPUTED_VALUE"""),"Closed")</f>
        <v>Closed</v>
      </c>
      <c r="AB257" s="370" t="str">
        <f>IFERROR(__xludf.DUMMYFUNCTION("""COMPUTED_VALUE"""),"Closed")</f>
        <v>Closed</v>
      </c>
      <c r="AC257" s="371" t="str">
        <f>IFERROR(__xludf.DUMMYFUNCTION("""COMPUTED_VALUE"""),"Closed")</f>
        <v>Closed</v>
      </c>
      <c r="AD257" s="256" t="str">
        <f>IFERROR(__xludf.DUMMYFUNCTION("""COMPUTED_VALUE"""),"Closed")</f>
        <v>Closed</v>
      </c>
      <c r="AE257" s="370" t="str">
        <f>IFERROR(__xludf.DUMMYFUNCTION("""COMPUTED_VALUE"""),"Closed")</f>
        <v>Closed</v>
      </c>
      <c r="AF257" s="371" t="str">
        <f>IFERROR(__xludf.DUMMYFUNCTION("""COMPUTED_VALUE"""),"Closed")</f>
        <v>Closed</v>
      </c>
      <c r="AG257" s="256" t="str">
        <f>IFERROR(__xludf.DUMMYFUNCTION("""COMPUTED_VALUE"""),"Closed")</f>
        <v>Closed</v>
      </c>
      <c r="AH257" s="370" t="str">
        <f>IFERROR(__xludf.DUMMYFUNCTION("""COMPUTED_VALUE"""),"Closed")</f>
        <v>Closed</v>
      </c>
      <c r="AI257" s="369" t="str">
        <f>IFERROR(__xludf.DUMMYFUNCTION("""COMPUTED_VALUE"""),"Closed")</f>
        <v>Closed</v>
      </c>
      <c r="AJ257" s="256" t="str">
        <f>IFERROR(__xludf.DUMMYFUNCTION("""COMPUTED_VALUE"""),"Closed")</f>
        <v>Closed</v>
      </c>
      <c r="AK257" s="370" t="str">
        <f>IFERROR(__xludf.DUMMYFUNCTION("""COMPUTED_VALUE"""),"Closed")</f>
        <v>Closed</v>
      </c>
      <c r="AL257" s="372" t="str">
        <f>IFERROR(__xludf.DUMMYFUNCTION("""COMPUTED_VALUE"""),"Closed")</f>
        <v>Closed</v>
      </c>
      <c r="AM257" s="373" t="str">
        <f>IFERROR(__xludf.DUMMYFUNCTION("""COMPUTED_VALUE"""),"Closed")</f>
        <v>Closed</v>
      </c>
      <c r="AN257" s="370" t="str">
        <f>IFERROR(__xludf.DUMMYFUNCTION("""COMPUTED_VALUE"""),"Closed")</f>
        <v>Closed</v>
      </c>
      <c r="AO257" s="371" t="str">
        <f>IFERROR(__xludf.DUMMYFUNCTION("""COMPUTED_VALUE"""),"Closed")</f>
        <v>Closed</v>
      </c>
      <c r="AP257" s="256" t="str">
        <f>IFERROR(__xludf.DUMMYFUNCTION("""COMPUTED_VALUE"""),"Closed")</f>
        <v>Closed</v>
      </c>
      <c r="AQ257" s="370" t="str">
        <f>IFERROR(__xludf.DUMMYFUNCTION("""COMPUTED_VALUE"""),"Closed")</f>
        <v>Closed</v>
      </c>
      <c r="AR257" s="371" t="str">
        <f>IFERROR(__xludf.DUMMYFUNCTION("""COMPUTED_VALUE"""),"Closed")</f>
        <v>Closed</v>
      </c>
      <c r="AS257" s="256" t="str">
        <f>IFERROR(__xludf.DUMMYFUNCTION("""COMPUTED_VALUE"""),"Closed")</f>
        <v>Closed</v>
      </c>
      <c r="AT257" s="370" t="str">
        <f>IFERROR(__xludf.DUMMYFUNCTION("""COMPUTED_VALUE"""),"Closed")</f>
        <v>Closed</v>
      </c>
      <c r="AU257" s="369" t="str">
        <f>IFERROR(__xludf.DUMMYFUNCTION("""COMPUTED_VALUE"""),"Closed")</f>
        <v>Closed</v>
      </c>
      <c r="AV257" s="256" t="str">
        <f>IFERROR(__xludf.DUMMYFUNCTION("""COMPUTED_VALUE"""),"Closed")</f>
        <v>Closed</v>
      </c>
      <c r="AW257" s="370" t="str">
        <f>IFERROR(__xludf.DUMMYFUNCTION("""COMPUTED_VALUE"""),"Closed")</f>
        <v>Closed</v>
      </c>
      <c r="AX257" s="371" t="str">
        <f>IFERROR(__xludf.DUMMYFUNCTION("""COMPUTED_VALUE"""),"Closed")</f>
        <v>Closed</v>
      </c>
      <c r="AY257" s="256" t="str">
        <f>IFERROR(__xludf.DUMMYFUNCTION("""COMPUTED_VALUE"""),"Closed")</f>
        <v>Closed</v>
      </c>
      <c r="AZ257" s="370" t="str">
        <f>IFERROR(__xludf.DUMMYFUNCTION("""COMPUTED_VALUE"""),"Closed")</f>
        <v>Closed</v>
      </c>
      <c r="BA257" s="371" t="str">
        <f>IFERROR(__xludf.DUMMYFUNCTION("""COMPUTED_VALUE"""),"Closed")</f>
        <v>Closed</v>
      </c>
      <c r="BB257" s="256" t="str">
        <f>IFERROR(__xludf.DUMMYFUNCTION("""COMPUTED_VALUE"""),"Closed")</f>
        <v>Closed</v>
      </c>
      <c r="BC257" s="370" t="str">
        <f>IFERROR(__xludf.DUMMYFUNCTION("""COMPUTED_VALUE"""),"Closed")</f>
        <v>Closed</v>
      </c>
      <c r="BD257" s="371" t="str">
        <f>IFERROR(__xludf.DUMMYFUNCTION("""COMPUTED_VALUE"""),"Closed")</f>
        <v>Closed</v>
      </c>
      <c r="BE257" s="256" t="str">
        <f>IFERROR(__xludf.DUMMYFUNCTION("""COMPUTED_VALUE"""),"Closed")</f>
        <v>Closed</v>
      </c>
      <c r="BF257" s="370" t="str">
        <f>IFERROR(__xludf.DUMMYFUNCTION("""COMPUTED_VALUE"""),"Closed")</f>
        <v>Closed</v>
      </c>
      <c r="BG257" s="369" t="str">
        <f>IFERROR(__xludf.DUMMYFUNCTION("""COMPUTED_VALUE"""),"Closed")</f>
        <v>Closed</v>
      </c>
      <c r="BH257" s="256" t="str">
        <f>IFERROR(__xludf.DUMMYFUNCTION("""COMPUTED_VALUE"""),"Closed")</f>
        <v>Closed</v>
      </c>
      <c r="BI257" s="370" t="str">
        <f>IFERROR(__xludf.DUMMYFUNCTION("""COMPUTED_VALUE"""),"Closed")</f>
        <v>Closed</v>
      </c>
      <c r="BJ257" s="371" t="str">
        <f>IFERROR(__xludf.DUMMYFUNCTION("""COMPUTED_VALUE"""),"Closed")</f>
        <v>Closed</v>
      </c>
      <c r="BK257" s="256" t="str">
        <f>IFERROR(__xludf.DUMMYFUNCTION("""COMPUTED_VALUE"""),"Closed")</f>
        <v>Closed</v>
      </c>
      <c r="BL257" s="370" t="str">
        <f>IFERROR(__xludf.DUMMYFUNCTION("""COMPUTED_VALUE"""),"Closed")</f>
        <v>Closed</v>
      </c>
      <c r="BM257" s="371" t="str">
        <f>IFERROR(__xludf.DUMMYFUNCTION("""COMPUTED_VALUE"""),"Closed")</f>
        <v>Closed</v>
      </c>
      <c r="BN257" s="256" t="str">
        <f>IFERROR(__xludf.DUMMYFUNCTION("""COMPUTED_VALUE"""),"Closed")</f>
        <v>Closed</v>
      </c>
      <c r="BO257" s="370" t="str">
        <f>IFERROR(__xludf.DUMMYFUNCTION("""COMPUTED_VALUE"""),"Closed")</f>
        <v>Closed</v>
      </c>
      <c r="BP257" s="371" t="str">
        <f>IFERROR(__xludf.DUMMYFUNCTION("""COMPUTED_VALUE"""),"Closed")</f>
        <v>Closed</v>
      </c>
      <c r="BQ257" s="256" t="str">
        <f>IFERROR(__xludf.DUMMYFUNCTION("""COMPUTED_VALUE"""),"Closed")</f>
        <v>Closed</v>
      </c>
      <c r="BR257" s="370" t="str">
        <f>IFERROR(__xludf.DUMMYFUNCTION("""COMPUTED_VALUE"""),"Closed")</f>
        <v>Closed</v>
      </c>
      <c r="BS257" s="369" t="str">
        <f>IFERROR(__xludf.DUMMYFUNCTION("""COMPUTED_VALUE"""),"Closed")</f>
        <v>Closed</v>
      </c>
      <c r="BT257" s="256" t="str">
        <f>IFERROR(__xludf.DUMMYFUNCTION("""COMPUTED_VALUE"""),"Closed")</f>
        <v>Closed</v>
      </c>
      <c r="BU257" s="370" t="str">
        <f>IFERROR(__xludf.DUMMYFUNCTION("""COMPUTED_VALUE"""),"Closed")</f>
        <v>Closed</v>
      </c>
      <c r="BV257" s="371" t="str">
        <f>IFERROR(__xludf.DUMMYFUNCTION("""COMPUTED_VALUE"""),"Closed")</f>
        <v>Closed</v>
      </c>
      <c r="BW257" s="256" t="str">
        <f>IFERROR(__xludf.DUMMYFUNCTION("""COMPUTED_VALUE"""),"Closed")</f>
        <v>Closed</v>
      </c>
      <c r="BX257" s="370" t="str">
        <f>IFERROR(__xludf.DUMMYFUNCTION("""COMPUTED_VALUE"""),"Closed")</f>
        <v>Closed</v>
      </c>
      <c r="BY257" s="371" t="str">
        <f>IFERROR(__xludf.DUMMYFUNCTION("""COMPUTED_VALUE"""),"Closed")</f>
        <v>Closed</v>
      </c>
      <c r="BZ257" s="256" t="str">
        <f>IFERROR(__xludf.DUMMYFUNCTION("""COMPUTED_VALUE"""),"Closed")</f>
        <v>Closed</v>
      </c>
      <c r="CA257" s="370" t="str">
        <f>IFERROR(__xludf.DUMMYFUNCTION("""COMPUTED_VALUE"""),"Closed")</f>
        <v>Closed</v>
      </c>
      <c r="CB257" s="371" t="str">
        <f>IFERROR(__xludf.DUMMYFUNCTION("""COMPUTED_VALUE"""),"Closed")</f>
        <v>Closed</v>
      </c>
      <c r="CC257" s="256" t="str">
        <f>IFERROR(__xludf.DUMMYFUNCTION("""COMPUTED_VALUE"""),"Closed")</f>
        <v>Closed</v>
      </c>
      <c r="CD257" s="370" t="str">
        <f>IFERROR(__xludf.DUMMYFUNCTION("""COMPUTED_VALUE"""),"Closed")</f>
        <v>Closed</v>
      </c>
      <c r="CE257" s="371" t="str">
        <f>IFERROR(__xludf.DUMMYFUNCTION("""COMPUTED_VALUE"""),"Closed")</f>
        <v>Closed</v>
      </c>
      <c r="CF257" s="256" t="str">
        <f>IFERROR(__xludf.DUMMYFUNCTION("""COMPUTED_VALUE"""),"Closed")</f>
        <v>Closed</v>
      </c>
      <c r="CG257" s="370" t="str">
        <f>IFERROR(__xludf.DUMMYFUNCTION("""COMPUTED_VALUE"""),"Closed")</f>
        <v>Closed</v>
      </c>
      <c r="CH257" s="371" t="str">
        <f>IFERROR(__xludf.DUMMYFUNCTION("""COMPUTED_VALUE"""),"Closed")</f>
        <v>Closed</v>
      </c>
      <c r="CI257" s="256" t="str">
        <f>IFERROR(__xludf.DUMMYFUNCTION("""COMPUTED_VALUE"""),"Closed")</f>
        <v>Closed</v>
      </c>
      <c r="CJ257" s="256" t="str">
        <f>IFERROR(__xludf.DUMMYFUNCTION("""COMPUTED_VALUE"""),"Closed")</f>
        <v>Closed</v>
      </c>
      <c r="CK257" s="371" t="str">
        <f>IFERROR(__xludf.DUMMYFUNCTION("""COMPUTED_VALUE"""),"Closed")</f>
        <v>Closed</v>
      </c>
      <c r="CL257" s="256" t="str">
        <f>IFERROR(__xludf.DUMMYFUNCTION("""COMPUTED_VALUE"""),"Closed")</f>
        <v>Closed</v>
      </c>
      <c r="CM257" s="370" t="str">
        <f>IFERROR(__xludf.DUMMYFUNCTION("""COMPUTED_VALUE"""),"Closed")</f>
        <v>Closed</v>
      </c>
      <c r="CN257" s="256" t="str">
        <f>IFERROR(__xludf.DUMMYFUNCTION("""COMPUTED_VALUE"""),"Closed")</f>
        <v>Closed</v>
      </c>
      <c r="CO257" s="256" t="str">
        <f>IFERROR(__xludf.DUMMYFUNCTION("""COMPUTED_VALUE"""),"Closed")</f>
        <v>Closed</v>
      </c>
      <c r="CP257" s="256" t="str">
        <f>IFERROR(__xludf.DUMMYFUNCTION("""COMPUTED_VALUE"""),"Closed")</f>
        <v>Closed</v>
      </c>
      <c r="CQ257" s="371" t="str">
        <f>IFERROR(__xludf.DUMMYFUNCTION("""COMPUTED_VALUE"""),"Closed")</f>
        <v>Closed</v>
      </c>
      <c r="CR257" s="256" t="str">
        <f>IFERROR(__xludf.DUMMYFUNCTION("""COMPUTED_VALUE"""),"Closed")</f>
        <v>Closed</v>
      </c>
      <c r="CS257" s="256" t="str">
        <f>IFERROR(__xludf.DUMMYFUNCTION("""COMPUTED_VALUE"""),"Closed")</f>
        <v>Closed</v>
      </c>
      <c r="CT257" s="371" t="str">
        <f>IFERROR(__xludf.DUMMYFUNCTION("""COMPUTED_VALUE"""),"Closed")</f>
        <v>Closed</v>
      </c>
      <c r="CU257" s="256" t="str">
        <f>IFERROR(__xludf.DUMMYFUNCTION("""COMPUTED_VALUE"""),"Closed")</f>
        <v>Closed</v>
      </c>
      <c r="CV257" s="256" t="str">
        <f>IFERROR(__xludf.DUMMYFUNCTION("""COMPUTED_VALUE"""),"Closed")</f>
        <v>Closed</v>
      </c>
      <c r="CW257" s="371" t="str">
        <f>IFERROR(__xludf.DUMMYFUNCTION("""COMPUTED_VALUE"""),"Closed")</f>
        <v>Closed</v>
      </c>
      <c r="CX257" s="256" t="str">
        <f>IFERROR(__xludf.DUMMYFUNCTION("""COMPUTED_VALUE"""),"Closed")</f>
        <v>Closed</v>
      </c>
      <c r="CY257" s="370" t="str">
        <f>IFERROR(__xludf.DUMMYFUNCTION("""COMPUTED_VALUE"""),"Closed")</f>
        <v>Closed</v>
      </c>
      <c r="CZ257" s="256" t="str">
        <f>IFERROR(__xludf.DUMMYFUNCTION("""COMPUTED_VALUE"""),"Closed")</f>
        <v>Closed</v>
      </c>
      <c r="DA257" s="256" t="str">
        <f>IFERROR(__xludf.DUMMYFUNCTION("""COMPUTED_VALUE"""),"Closed")</f>
        <v>Closed</v>
      </c>
      <c r="DB257" s="370" t="str">
        <f>IFERROR(__xludf.DUMMYFUNCTION("""COMPUTED_VALUE"""),"Closed")</f>
        <v>Closed</v>
      </c>
      <c r="DC257" s="371" t="str">
        <f>IFERROR(__xludf.DUMMYFUNCTION("""COMPUTED_VALUE"""),"Closed")</f>
        <v>Closed</v>
      </c>
      <c r="DD257" s="256" t="str">
        <f>IFERROR(__xludf.DUMMYFUNCTION("""COMPUTED_VALUE"""),"Closed")</f>
        <v>Closed</v>
      </c>
      <c r="DE257" s="370" t="str">
        <f>IFERROR(__xludf.DUMMYFUNCTION("""COMPUTED_VALUE"""),"Closed")</f>
        <v>Closed</v>
      </c>
      <c r="DF257" s="371" t="str">
        <f>IFERROR(__xludf.DUMMYFUNCTION("""COMPUTED_VALUE"""),"Closed")</f>
        <v>Closed</v>
      </c>
      <c r="DG257" s="256" t="str">
        <f>IFERROR(__xludf.DUMMYFUNCTION("""COMPUTED_VALUE"""),"Closed")</f>
        <v>Closed</v>
      </c>
      <c r="DH257" s="370" t="str">
        <f>IFERROR(__xludf.DUMMYFUNCTION("""COMPUTED_VALUE"""),"Closed")</f>
        <v>Closed</v>
      </c>
      <c r="DI257" s="371" t="str">
        <f>IFERROR(__xludf.DUMMYFUNCTION("""COMPUTED_VALUE"""),"Closed")</f>
        <v>Closed</v>
      </c>
      <c r="DJ257" s="256" t="str">
        <f>IFERROR(__xludf.DUMMYFUNCTION("""COMPUTED_VALUE"""),"Closed")</f>
        <v>Closed</v>
      </c>
      <c r="DK257" s="370" t="str">
        <f>IFERROR(__xludf.DUMMYFUNCTION("""COMPUTED_VALUE"""),"Closed")</f>
        <v>Closed</v>
      </c>
      <c r="DL257" s="256" t="str">
        <f>IFERROR(__xludf.DUMMYFUNCTION("""COMPUTED_VALUE"""),"Closed")</f>
        <v>Closed</v>
      </c>
      <c r="DM257" s="256" t="str">
        <f>IFERROR(__xludf.DUMMYFUNCTION("""COMPUTED_VALUE"""),"Closed")</f>
        <v>Closed</v>
      </c>
      <c r="DN257" s="256" t="str">
        <f>IFERROR(__xludf.DUMMYFUNCTION("""COMPUTED_VALUE"""),"Closed")</f>
        <v>Closed</v>
      </c>
      <c r="DO257" s="256" t="str">
        <f>IFERROR(__xludf.DUMMYFUNCTION("""COMPUTED_VALUE"""),"Closed")</f>
        <v>Closed</v>
      </c>
      <c r="DP257" s="256" t="str">
        <f>IFERROR(__xludf.DUMMYFUNCTION("""COMPUTED_VALUE"""),"Closed")</f>
        <v>Closed</v>
      </c>
      <c r="DQ257" s="256" t="str">
        <f>IFERROR(__xludf.DUMMYFUNCTION("""COMPUTED_VALUE"""),"Closed")</f>
        <v>Closed</v>
      </c>
      <c r="DR257" s="256" t="str">
        <f>IFERROR(__xludf.DUMMYFUNCTION("""COMPUTED_VALUE"""),"Closed")</f>
        <v>Closed</v>
      </c>
      <c r="DS257" s="256" t="str">
        <f>IFERROR(__xludf.DUMMYFUNCTION("""COMPUTED_VALUE"""),"Closed")</f>
        <v>Closed</v>
      </c>
      <c r="DT257" s="256" t="str">
        <f>IFERROR(__xludf.DUMMYFUNCTION("""COMPUTED_VALUE"""),"Closed")</f>
        <v>Closed</v>
      </c>
    </row>
    <row r="258" hidden="1">
      <c r="B258" s="180" t="str">
        <f>IFERROR(__xludf.DUMMYFUNCTION("""COMPUTED_VALUE"""),"HEA11")</f>
        <v>HEA11</v>
      </c>
      <c r="C258" s="368" t="str">
        <f>IFERROR(__xludf.DUMMYFUNCTION("""COMPUTED_VALUE"""),"Gojō Bridge")</f>
        <v>Gojō Bridge</v>
      </c>
      <c r="D258" s="273">
        <f>IFERROR(__xludf.DUMMYFUNCTION("""COMPUTED_VALUE"""),21.0)</f>
        <v>21</v>
      </c>
      <c r="E258" t="b">
        <f>IFERROR(__xludf.DUMMYFUNCTION("""COMPUTED_VALUE"""),FALSE)</f>
        <v>0</v>
      </c>
      <c r="F258" t="str">
        <f>IFERROR(__xludf.DUMMYFUNCTION("""COMPUTED_VALUE"""),"Free Quests- Part 2!A1003:J1009")</f>
        <v>Free Quests- Part 2!A1003:J1009</v>
      </c>
      <c r="G258">
        <f>IFERROR(__xludf.DUMMYFUNCTION("""COMPUTED_VALUE"""),259.0)</f>
        <v>259</v>
      </c>
      <c r="H258" t="str">
        <f>IFERROR(__xludf.DUMMYFUNCTION("""COMPUTED_VALUE"""),"Closed")</f>
        <v>Closed</v>
      </c>
      <c r="I258">
        <f>IFERROR(__xludf.DUMMYFUNCTION("""COMPUTED_VALUE"""),0.0)</f>
        <v>0</v>
      </c>
      <c r="J258" t="str">
        <f>IFERROR(__xludf.DUMMYFUNCTION("""COMPUTED_VALUE"""),"Closed")</f>
        <v>Closed</v>
      </c>
      <c r="K258" s="369" t="str">
        <f>IFERROR(__xludf.DUMMYFUNCTION("""COMPUTED_VALUE"""),"Closed")</f>
        <v>Closed</v>
      </c>
      <c r="L258" s="256" t="str">
        <f>IFERROR(__xludf.DUMMYFUNCTION("""COMPUTED_VALUE"""),"Closed")</f>
        <v>Closed</v>
      </c>
      <c r="M258" s="370" t="str">
        <f>IFERROR(__xludf.DUMMYFUNCTION("""COMPUTED_VALUE"""),"Closed")</f>
        <v>Closed</v>
      </c>
      <c r="N258" s="371" t="str">
        <f>IFERROR(__xludf.DUMMYFUNCTION("""COMPUTED_VALUE"""),"Closed")</f>
        <v>Closed</v>
      </c>
      <c r="O258" s="256" t="str">
        <f>IFERROR(__xludf.DUMMYFUNCTION("""COMPUTED_VALUE"""),"Closed")</f>
        <v>Closed</v>
      </c>
      <c r="P258" s="370" t="str">
        <f>IFERROR(__xludf.DUMMYFUNCTION("""COMPUTED_VALUE"""),"Closed")</f>
        <v>Closed</v>
      </c>
      <c r="Q258" s="371" t="str">
        <f>IFERROR(__xludf.DUMMYFUNCTION("""COMPUTED_VALUE"""),"Closed")</f>
        <v>Closed</v>
      </c>
      <c r="R258" s="256" t="str">
        <f>IFERROR(__xludf.DUMMYFUNCTION("""COMPUTED_VALUE"""),"Closed")</f>
        <v>Closed</v>
      </c>
      <c r="S258" s="370" t="str">
        <f>IFERROR(__xludf.DUMMYFUNCTION("""COMPUTED_VALUE"""),"Closed")</f>
        <v>Closed</v>
      </c>
      <c r="T258" s="371" t="str">
        <f>IFERROR(__xludf.DUMMYFUNCTION("""COMPUTED_VALUE"""),"Closed")</f>
        <v>Closed</v>
      </c>
      <c r="U258" s="256" t="str">
        <f>IFERROR(__xludf.DUMMYFUNCTION("""COMPUTED_VALUE"""),"Closed")</f>
        <v>Closed</v>
      </c>
      <c r="V258" s="370" t="str">
        <f>IFERROR(__xludf.DUMMYFUNCTION("""COMPUTED_VALUE"""),"Closed")</f>
        <v>Closed</v>
      </c>
      <c r="W258" s="369" t="str">
        <f>IFERROR(__xludf.DUMMYFUNCTION("""COMPUTED_VALUE"""),"Closed")</f>
        <v>Closed</v>
      </c>
      <c r="X258" s="256" t="str">
        <f>IFERROR(__xludf.DUMMYFUNCTION("""COMPUTED_VALUE"""),"Closed")</f>
        <v>Closed</v>
      </c>
      <c r="Y258" s="370" t="str">
        <f>IFERROR(__xludf.DUMMYFUNCTION("""COMPUTED_VALUE"""),"Closed")</f>
        <v>Closed</v>
      </c>
      <c r="Z258" s="371" t="str">
        <f>IFERROR(__xludf.DUMMYFUNCTION("""COMPUTED_VALUE"""),"Closed")</f>
        <v>Closed</v>
      </c>
      <c r="AA258" s="256" t="str">
        <f>IFERROR(__xludf.DUMMYFUNCTION("""COMPUTED_VALUE"""),"Closed")</f>
        <v>Closed</v>
      </c>
      <c r="AB258" s="370" t="str">
        <f>IFERROR(__xludf.DUMMYFUNCTION("""COMPUTED_VALUE"""),"Closed")</f>
        <v>Closed</v>
      </c>
      <c r="AC258" s="371" t="str">
        <f>IFERROR(__xludf.DUMMYFUNCTION("""COMPUTED_VALUE"""),"Closed")</f>
        <v>Closed</v>
      </c>
      <c r="AD258" s="256" t="str">
        <f>IFERROR(__xludf.DUMMYFUNCTION("""COMPUTED_VALUE"""),"Closed")</f>
        <v>Closed</v>
      </c>
      <c r="AE258" s="370" t="str">
        <f>IFERROR(__xludf.DUMMYFUNCTION("""COMPUTED_VALUE"""),"Closed")</f>
        <v>Closed</v>
      </c>
      <c r="AF258" s="371" t="str">
        <f>IFERROR(__xludf.DUMMYFUNCTION("""COMPUTED_VALUE"""),"Closed")</f>
        <v>Closed</v>
      </c>
      <c r="AG258" s="256" t="str">
        <f>IFERROR(__xludf.DUMMYFUNCTION("""COMPUTED_VALUE"""),"Closed")</f>
        <v>Closed</v>
      </c>
      <c r="AH258" s="370" t="str">
        <f>IFERROR(__xludf.DUMMYFUNCTION("""COMPUTED_VALUE"""),"Closed")</f>
        <v>Closed</v>
      </c>
      <c r="AI258" s="369" t="str">
        <f>IFERROR(__xludf.DUMMYFUNCTION("""COMPUTED_VALUE"""),"Closed")</f>
        <v>Closed</v>
      </c>
      <c r="AJ258" s="256" t="str">
        <f>IFERROR(__xludf.DUMMYFUNCTION("""COMPUTED_VALUE"""),"Closed")</f>
        <v>Closed</v>
      </c>
      <c r="AK258" s="370" t="str">
        <f>IFERROR(__xludf.DUMMYFUNCTION("""COMPUTED_VALUE"""),"Closed")</f>
        <v>Closed</v>
      </c>
      <c r="AL258" s="372" t="str">
        <f>IFERROR(__xludf.DUMMYFUNCTION("""COMPUTED_VALUE"""),"Closed")</f>
        <v>Closed</v>
      </c>
      <c r="AM258" s="373" t="str">
        <f>IFERROR(__xludf.DUMMYFUNCTION("""COMPUTED_VALUE"""),"Closed")</f>
        <v>Closed</v>
      </c>
      <c r="AN258" s="370" t="str">
        <f>IFERROR(__xludf.DUMMYFUNCTION("""COMPUTED_VALUE"""),"Closed")</f>
        <v>Closed</v>
      </c>
      <c r="AO258" s="371" t="str">
        <f>IFERROR(__xludf.DUMMYFUNCTION("""COMPUTED_VALUE"""),"Closed")</f>
        <v>Closed</v>
      </c>
      <c r="AP258" s="256" t="str">
        <f>IFERROR(__xludf.DUMMYFUNCTION("""COMPUTED_VALUE"""),"Closed")</f>
        <v>Closed</v>
      </c>
      <c r="AQ258" s="370" t="str">
        <f>IFERROR(__xludf.DUMMYFUNCTION("""COMPUTED_VALUE"""),"Closed")</f>
        <v>Closed</v>
      </c>
      <c r="AR258" s="371" t="str">
        <f>IFERROR(__xludf.DUMMYFUNCTION("""COMPUTED_VALUE"""),"Closed")</f>
        <v>Closed</v>
      </c>
      <c r="AS258" s="256" t="str">
        <f>IFERROR(__xludf.DUMMYFUNCTION("""COMPUTED_VALUE"""),"Closed")</f>
        <v>Closed</v>
      </c>
      <c r="AT258" s="370" t="str">
        <f>IFERROR(__xludf.DUMMYFUNCTION("""COMPUTED_VALUE"""),"Closed")</f>
        <v>Closed</v>
      </c>
      <c r="AU258" s="369" t="str">
        <f>IFERROR(__xludf.DUMMYFUNCTION("""COMPUTED_VALUE"""),"Closed")</f>
        <v>Closed</v>
      </c>
      <c r="AV258" s="256" t="str">
        <f>IFERROR(__xludf.DUMMYFUNCTION("""COMPUTED_VALUE"""),"Closed")</f>
        <v>Closed</v>
      </c>
      <c r="AW258" s="370" t="str">
        <f>IFERROR(__xludf.DUMMYFUNCTION("""COMPUTED_VALUE"""),"Closed")</f>
        <v>Closed</v>
      </c>
      <c r="AX258" s="371" t="str">
        <f>IFERROR(__xludf.DUMMYFUNCTION("""COMPUTED_VALUE"""),"Closed")</f>
        <v>Closed</v>
      </c>
      <c r="AY258" s="256" t="str">
        <f>IFERROR(__xludf.DUMMYFUNCTION("""COMPUTED_VALUE"""),"Closed")</f>
        <v>Closed</v>
      </c>
      <c r="AZ258" s="370" t="str">
        <f>IFERROR(__xludf.DUMMYFUNCTION("""COMPUTED_VALUE"""),"Closed")</f>
        <v>Closed</v>
      </c>
      <c r="BA258" s="371" t="str">
        <f>IFERROR(__xludf.DUMMYFUNCTION("""COMPUTED_VALUE"""),"Closed")</f>
        <v>Closed</v>
      </c>
      <c r="BB258" s="256" t="str">
        <f>IFERROR(__xludf.DUMMYFUNCTION("""COMPUTED_VALUE"""),"Closed")</f>
        <v>Closed</v>
      </c>
      <c r="BC258" s="370" t="str">
        <f>IFERROR(__xludf.DUMMYFUNCTION("""COMPUTED_VALUE"""),"Closed")</f>
        <v>Closed</v>
      </c>
      <c r="BD258" s="371" t="str">
        <f>IFERROR(__xludf.DUMMYFUNCTION("""COMPUTED_VALUE"""),"Closed")</f>
        <v>Closed</v>
      </c>
      <c r="BE258" s="256" t="str">
        <f>IFERROR(__xludf.DUMMYFUNCTION("""COMPUTED_VALUE"""),"Closed")</f>
        <v>Closed</v>
      </c>
      <c r="BF258" s="370" t="str">
        <f>IFERROR(__xludf.DUMMYFUNCTION("""COMPUTED_VALUE"""),"Closed")</f>
        <v>Closed</v>
      </c>
      <c r="BG258" s="369" t="str">
        <f>IFERROR(__xludf.DUMMYFUNCTION("""COMPUTED_VALUE"""),"Closed")</f>
        <v>Closed</v>
      </c>
      <c r="BH258" s="256" t="str">
        <f>IFERROR(__xludf.DUMMYFUNCTION("""COMPUTED_VALUE"""),"Closed")</f>
        <v>Closed</v>
      </c>
      <c r="BI258" s="370" t="str">
        <f>IFERROR(__xludf.DUMMYFUNCTION("""COMPUTED_VALUE"""),"Closed")</f>
        <v>Closed</v>
      </c>
      <c r="BJ258" s="371" t="str">
        <f>IFERROR(__xludf.DUMMYFUNCTION("""COMPUTED_VALUE"""),"Closed")</f>
        <v>Closed</v>
      </c>
      <c r="BK258" s="256" t="str">
        <f>IFERROR(__xludf.DUMMYFUNCTION("""COMPUTED_VALUE"""),"Closed")</f>
        <v>Closed</v>
      </c>
      <c r="BL258" s="370" t="str">
        <f>IFERROR(__xludf.DUMMYFUNCTION("""COMPUTED_VALUE"""),"Closed")</f>
        <v>Closed</v>
      </c>
      <c r="BM258" s="371" t="str">
        <f>IFERROR(__xludf.DUMMYFUNCTION("""COMPUTED_VALUE"""),"Closed")</f>
        <v>Closed</v>
      </c>
      <c r="BN258" s="256" t="str">
        <f>IFERROR(__xludf.DUMMYFUNCTION("""COMPUTED_VALUE"""),"Closed")</f>
        <v>Closed</v>
      </c>
      <c r="BO258" s="370" t="str">
        <f>IFERROR(__xludf.DUMMYFUNCTION("""COMPUTED_VALUE"""),"Closed")</f>
        <v>Closed</v>
      </c>
      <c r="BP258" s="371" t="str">
        <f>IFERROR(__xludf.DUMMYFUNCTION("""COMPUTED_VALUE"""),"Closed")</f>
        <v>Closed</v>
      </c>
      <c r="BQ258" s="256" t="str">
        <f>IFERROR(__xludf.DUMMYFUNCTION("""COMPUTED_VALUE"""),"Closed")</f>
        <v>Closed</v>
      </c>
      <c r="BR258" s="370" t="str">
        <f>IFERROR(__xludf.DUMMYFUNCTION("""COMPUTED_VALUE"""),"Closed")</f>
        <v>Closed</v>
      </c>
      <c r="BS258" s="369" t="str">
        <f>IFERROR(__xludf.DUMMYFUNCTION("""COMPUTED_VALUE"""),"Closed")</f>
        <v>Closed</v>
      </c>
      <c r="BT258" s="256" t="str">
        <f>IFERROR(__xludf.DUMMYFUNCTION("""COMPUTED_VALUE"""),"Closed")</f>
        <v>Closed</v>
      </c>
      <c r="BU258" s="370" t="str">
        <f>IFERROR(__xludf.DUMMYFUNCTION("""COMPUTED_VALUE"""),"Closed")</f>
        <v>Closed</v>
      </c>
      <c r="BV258" s="371" t="str">
        <f>IFERROR(__xludf.DUMMYFUNCTION("""COMPUTED_VALUE"""),"Closed")</f>
        <v>Closed</v>
      </c>
      <c r="BW258" s="256" t="str">
        <f>IFERROR(__xludf.DUMMYFUNCTION("""COMPUTED_VALUE"""),"Closed")</f>
        <v>Closed</v>
      </c>
      <c r="BX258" s="370" t="str">
        <f>IFERROR(__xludf.DUMMYFUNCTION("""COMPUTED_VALUE"""),"Closed")</f>
        <v>Closed</v>
      </c>
      <c r="BY258" s="371" t="str">
        <f>IFERROR(__xludf.DUMMYFUNCTION("""COMPUTED_VALUE"""),"Closed")</f>
        <v>Closed</v>
      </c>
      <c r="BZ258" s="256" t="str">
        <f>IFERROR(__xludf.DUMMYFUNCTION("""COMPUTED_VALUE"""),"Closed")</f>
        <v>Closed</v>
      </c>
      <c r="CA258" s="370" t="str">
        <f>IFERROR(__xludf.DUMMYFUNCTION("""COMPUTED_VALUE"""),"Closed")</f>
        <v>Closed</v>
      </c>
      <c r="CB258" s="371" t="str">
        <f>IFERROR(__xludf.DUMMYFUNCTION("""COMPUTED_VALUE"""),"Closed")</f>
        <v>Closed</v>
      </c>
      <c r="CC258" s="256" t="str">
        <f>IFERROR(__xludf.DUMMYFUNCTION("""COMPUTED_VALUE"""),"Closed")</f>
        <v>Closed</v>
      </c>
      <c r="CD258" s="370" t="str">
        <f>IFERROR(__xludf.DUMMYFUNCTION("""COMPUTED_VALUE"""),"Closed")</f>
        <v>Closed</v>
      </c>
      <c r="CE258" s="371" t="str">
        <f>IFERROR(__xludf.DUMMYFUNCTION("""COMPUTED_VALUE"""),"Closed")</f>
        <v>Closed</v>
      </c>
      <c r="CF258" s="256" t="str">
        <f>IFERROR(__xludf.DUMMYFUNCTION("""COMPUTED_VALUE"""),"Closed")</f>
        <v>Closed</v>
      </c>
      <c r="CG258" s="370" t="str">
        <f>IFERROR(__xludf.DUMMYFUNCTION("""COMPUTED_VALUE"""),"Closed")</f>
        <v>Closed</v>
      </c>
      <c r="CH258" s="371" t="str">
        <f>IFERROR(__xludf.DUMMYFUNCTION("""COMPUTED_VALUE"""),"Closed")</f>
        <v>Closed</v>
      </c>
      <c r="CI258" s="256" t="str">
        <f>IFERROR(__xludf.DUMMYFUNCTION("""COMPUTED_VALUE"""),"Closed")</f>
        <v>Closed</v>
      </c>
      <c r="CJ258" s="256" t="str">
        <f>IFERROR(__xludf.DUMMYFUNCTION("""COMPUTED_VALUE"""),"Closed")</f>
        <v>Closed</v>
      </c>
      <c r="CK258" s="371" t="str">
        <f>IFERROR(__xludf.DUMMYFUNCTION("""COMPUTED_VALUE"""),"Closed")</f>
        <v>Closed</v>
      </c>
      <c r="CL258" s="256" t="str">
        <f>IFERROR(__xludf.DUMMYFUNCTION("""COMPUTED_VALUE"""),"Closed")</f>
        <v>Closed</v>
      </c>
      <c r="CM258" s="370" t="str">
        <f>IFERROR(__xludf.DUMMYFUNCTION("""COMPUTED_VALUE"""),"Closed")</f>
        <v>Closed</v>
      </c>
      <c r="CN258" s="256" t="str">
        <f>IFERROR(__xludf.DUMMYFUNCTION("""COMPUTED_VALUE"""),"Closed")</f>
        <v>Closed</v>
      </c>
      <c r="CO258" s="256" t="str">
        <f>IFERROR(__xludf.DUMMYFUNCTION("""COMPUTED_VALUE"""),"Closed")</f>
        <v>Closed</v>
      </c>
      <c r="CP258" s="256" t="str">
        <f>IFERROR(__xludf.DUMMYFUNCTION("""COMPUTED_VALUE"""),"Closed")</f>
        <v>Closed</v>
      </c>
      <c r="CQ258" s="371" t="str">
        <f>IFERROR(__xludf.DUMMYFUNCTION("""COMPUTED_VALUE"""),"Closed")</f>
        <v>Closed</v>
      </c>
      <c r="CR258" s="256" t="str">
        <f>IFERROR(__xludf.DUMMYFUNCTION("""COMPUTED_VALUE"""),"Closed")</f>
        <v>Closed</v>
      </c>
      <c r="CS258" s="256" t="str">
        <f>IFERROR(__xludf.DUMMYFUNCTION("""COMPUTED_VALUE"""),"Closed")</f>
        <v>Closed</v>
      </c>
      <c r="CT258" s="371" t="str">
        <f>IFERROR(__xludf.DUMMYFUNCTION("""COMPUTED_VALUE"""),"Closed")</f>
        <v>Closed</v>
      </c>
      <c r="CU258" s="256" t="str">
        <f>IFERROR(__xludf.DUMMYFUNCTION("""COMPUTED_VALUE"""),"Closed")</f>
        <v>Closed</v>
      </c>
      <c r="CV258" s="256" t="str">
        <f>IFERROR(__xludf.DUMMYFUNCTION("""COMPUTED_VALUE"""),"Closed")</f>
        <v>Closed</v>
      </c>
      <c r="CW258" s="371" t="str">
        <f>IFERROR(__xludf.DUMMYFUNCTION("""COMPUTED_VALUE"""),"Closed")</f>
        <v>Closed</v>
      </c>
      <c r="CX258" s="256" t="str">
        <f>IFERROR(__xludf.DUMMYFUNCTION("""COMPUTED_VALUE"""),"Closed")</f>
        <v>Closed</v>
      </c>
      <c r="CY258" s="370" t="str">
        <f>IFERROR(__xludf.DUMMYFUNCTION("""COMPUTED_VALUE"""),"Closed")</f>
        <v>Closed</v>
      </c>
      <c r="CZ258" s="256" t="str">
        <f>IFERROR(__xludf.DUMMYFUNCTION("""COMPUTED_VALUE"""),"Closed")</f>
        <v>Closed</v>
      </c>
      <c r="DA258" s="256" t="str">
        <f>IFERROR(__xludf.DUMMYFUNCTION("""COMPUTED_VALUE"""),"Closed")</f>
        <v>Closed</v>
      </c>
      <c r="DB258" s="370" t="str">
        <f>IFERROR(__xludf.DUMMYFUNCTION("""COMPUTED_VALUE"""),"Closed")</f>
        <v>Closed</v>
      </c>
      <c r="DC258" s="371" t="str">
        <f>IFERROR(__xludf.DUMMYFUNCTION("""COMPUTED_VALUE"""),"Closed")</f>
        <v>Closed</v>
      </c>
      <c r="DD258" s="256" t="str">
        <f>IFERROR(__xludf.DUMMYFUNCTION("""COMPUTED_VALUE"""),"Closed")</f>
        <v>Closed</v>
      </c>
      <c r="DE258" s="370" t="str">
        <f>IFERROR(__xludf.DUMMYFUNCTION("""COMPUTED_VALUE"""),"Closed")</f>
        <v>Closed</v>
      </c>
      <c r="DF258" s="371" t="str">
        <f>IFERROR(__xludf.DUMMYFUNCTION("""COMPUTED_VALUE"""),"Closed")</f>
        <v>Closed</v>
      </c>
      <c r="DG258" s="256" t="str">
        <f>IFERROR(__xludf.DUMMYFUNCTION("""COMPUTED_VALUE"""),"Closed")</f>
        <v>Closed</v>
      </c>
      <c r="DH258" s="370" t="str">
        <f>IFERROR(__xludf.DUMMYFUNCTION("""COMPUTED_VALUE"""),"Closed")</f>
        <v>Closed</v>
      </c>
      <c r="DI258" s="371" t="str">
        <f>IFERROR(__xludf.DUMMYFUNCTION("""COMPUTED_VALUE"""),"Closed")</f>
        <v>Closed</v>
      </c>
      <c r="DJ258" s="256" t="str">
        <f>IFERROR(__xludf.DUMMYFUNCTION("""COMPUTED_VALUE"""),"Closed")</f>
        <v>Closed</v>
      </c>
      <c r="DK258" s="370" t="str">
        <f>IFERROR(__xludf.DUMMYFUNCTION("""COMPUTED_VALUE"""),"Closed")</f>
        <v>Closed</v>
      </c>
      <c r="DL258" s="256" t="str">
        <f>IFERROR(__xludf.DUMMYFUNCTION("""COMPUTED_VALUE"""),"Closed")</f>
        <v>Closed</v>
      </c>
      <c r="DM258" s="256" t="str">
        <f>IFERROR(__xludf.DUMMYFUNCTION("""COMPUTED_VALUE"""),"Closed")</f>
        <v>Closed</v>
      </c>
      <c r="DN258" s="256" t="str">
        <f>IFERROR(__xludf.DUMMYFUNCTION("""COMPUTED_VALUE"""),"Closed")</f>
        <v>Closed</v>
      </c>
      <c r="DO258" s="256" t="str">
        <f>IFERROR(__xludf.DUMMYFUNCTION("""COMPUTED_VALUE"""),"Closed")</f>
        <v>Closed</v>
      </c>
      <c r="DP258" s="256" t="str">
        <f>IFERROR(__xludf.DUMMYFUNCTION("""COMPUTED_VALUE"""),"Closed")</f>
        <v>Closed</v>
      </c>
      <c r="DQ258" s="256" t="str">
        <f>IFERROR(__xludf.DUMMYFUNCTION("""COMPUTED_VALUE"""),"Closed")</f>
        <v>Closed</v>
      </c>
      <c r="DR258" s="256" t="str">
        <f>IFERROR(__xludf.DUMMYFUNCTION("""COMPUTED_VALUE"""),"Closed")</f>
        <v>Closed</v>
      </c>
      <c r="DS258" s="256" t="str">
        <f>IFERROR(__xludf.DUMMYFUNCTION("""COMPUTED_VALUE"""),"Closed")</f>
        <v>Closed</v>
      </c>
      <c r="DT258" s="256" t="str">
        <f>IFERROR(__xludf.DUMMYFUNCTION("""COMPUTED_VALUE"""),"Closed")</f>
        <v>Closed</v>
      </c>
    </row>
    <row r="259" hidden="1">
      <c r="B259" s="180" t="str">
        <f>IFERROR(__xludf.DUMMYFUNCTION("""COMPUTED_VALUE"""),"HEA12")</f>
        <v>HEA12</v>
      </c>
      <c r="C259" s="368" t="str">
        <f>IFERROR(__xludf.DUMMYFUNCTION("""COMPUTED_VALUE"""),"Mount Ōe")</f>
        <v>Mount Ōe</v>
      </c>
      <c r="D259" s="273">
        <f>IFERROR(__xludf.DUMMYFUNCTION("""COMPUTED_VALUE"""),21.0)</f>
        <v>21</v>
      </c>
      <c r="E259" t="b">
        <f>IFERROR(__xludf.DUMMYFUNCTION("""COMPUTED_VALUE"""),FALSE)</f>
        <v>0</v>
      </c>
      <c r="F259" t="str">
        <f>IFERROR(__xludf.DUMMYFUNCTION("""COMPUTED_VALUE"""),"Free Quests- Part 2!A1013:J1021")</f>
        <v>Free Quests- Part 2!A1013:J1021</v>
      </c>
      <c r="G259">
        <f>IFERROR(__xludf.DUMMYFUNCTION("""COMPUTED_VALUE"""),260.0)</f>
        <v>260</v>
      </c>
      <c r="H259" t="str">
        <f>IFERROR(__xludf.DUMMYFUNCTION("""COMPUTED_VALUE"""),"Closed")</f>
        <v>Closed</v>
      </c>
      <c r="I259">
        <f>IFERROR(__xludf.DUMMYFUNCTION("""COMPUTED_VALUE"""),0.0)</f>
        <v>0</v>
      </c>
      <c r="J259" t="str">
        <f>IFERROR(__xludf.DUMMYFUNCTION("""COMPUTED_VALUE"""),"Closed")</f>
        <v>Closed</v>
      </c>
      <c r="K259" s="369" t="str">
        <f>IFERROR(__xludf.DUMMYFUNCTION("""COMPUTED_VALUE"""),"Closed")</f>
        <v>Closed</v>
      </c>
      <c r="L259" s="256" t="str">
        <f>IFERROR(__xludf.DUMMYFUNCTION("""COMPUTED_VALUE"""),"Closed")</f>
        <v>Closed</v>
      </c>
      <c r="M259" s="370" t="str">
        <f>IFERROR(__xludf.DUMMYFUNCTION("""COMPUTED_VALUE"""),"Closed")</f>
        <v>Closed</v>
      </c>
      <c r="N259" s="371" t="str">
        <f>IFERROR(__xludf.DUMMYFUNCTION("""COMPUTED_VALUE"""),"Closed")</f>
        <v>Closed</v>
      </c>
      <c r="O259" s="256" t="str">
        <f>IFERROR(__xludf.DUMMYFUNCTION("""COMPUTED_VALUE"""),"Closed")</f>
        <v>Closed</v>
      </c>
      <c r="P259" s="370" t="str">
        <f>IFERROR(__xludf.DUMMYFUNCTION("""COMPUTED_VALUE"""),"Closed")</f>
        <v>Closed</v>
      </c>
      <c r="Q259" s="371" t="str">
        <f>IFERROR(__xludf.DUMMYFUNCTION("""COMPUTED_VALUE"""),"Closed")</f>
        <v>Closed</v>
      </c>
      <c r="R259" s="256" t="str">
        <f>IFERROR(__xludf.DUMMYFUNCTION("""COMPUTED_VALUE"""),"Closed")</f>
        <v>Closed</v>
      </c>
      <c r="S259" s="370" t="str">
        <f>IFERROR(__xludf.DUMMYFUNCTION("""COMPUTED_VALUE"""),"Closed")</f>
        <v>Closed</v>
      </c>
      <c r="T259" s="371" t="str">
        <f>IFERROR(__xludf.DUMMYFUNCTION("""COMPUTED_VALUE"""),"Closed")</f>
        <v>Closed</v>
      </c>
      <c r="U259" s="256" t="str">
        <f>IFERROR(__xludf.DUMMYFUNCTION("""COMPUTED_VALUE"""),"Closed")</f>
        <v>Closed</v>
      </c>
      <c r="V259" s="370" t="str">
        <f>IFERROR(__xludf.DUMMYFUNCTION("""COMPUTED_VALUE"""),"Closed")</f>
        <v>Closed</v>
      </c>
      <c r="W259" s="369" t="str">
        <f>IFERROR(__xludf.DUMMYFUNCTION("""COMPUTED_VALUE"""),"Closed")</f>
        <v>Closed</v>
      </c>
      <c r="X259" s="256" t="str">
        <f>IFERROR(__xludf.DUMMYFUNCTION("""COMPUTED_VALUE"""),"Closed")</f>
        <v>Closed</v>
      </c>
      <c r="Y259" s="370" t="str">
        <f>IFERROR(__xludf.DUMMYFUNCTION("""COMPUTED_VALUE"""),"Closed")</f>
        <v>Closed</v>
      </c>
      <c r="Z259" s="371" t="str">
        <f>IFERROR(__xludf.DUMMYFUNCTION("""COMPUTED_VALUE"""),"Closed")</f>
        <v>Closed</v>
      </c>
      <c r="AA259" s="256" t="str">
        <f>IFERROR(__xludf.DUMMYFUNCTION("""COMPUTED_VALUE"""),"Closed")</f>
        <v>Closed</v>
      </c>
      <c r="AB259" s="370" t="str">
        <f>IFERROR(__xludf.DUMMYFUNCTION("""COMPUTED_VALUE"""),"Closed")</f>
        <v>Closed</v>
      </c>
      <c r="AC259" s="371" t="str">
        <f>IFERROR(__xludf.DUMMYFUNCTION("""COMPUTED_VALUE"""),"Closed")</f>
        <v>Closed</v>
      </c>
      <c r="AD259" s="256" t="str">
        <f>IFERROR(__xludf.DUMMYFUNCTION("""COMPUTED_VALUE"""),"Closed")</f>
        <v>Closed</v>
      </c>
      <c r="AE259" s="370" t="str">
        <f>IFERROR(__xludf.DUMMYFUNCTION("""COMPUTED_VALUE"""),"Closed")</f>
        <v>Closed</v>
      </c>
      <c r="AF259" s="371" t="str">
        <f>IFERROR(__xludf.DUMMYFUNCTION("""COMPUTED_VALUE"""),"Closed")</f>
        <v>Closed</v>
      </c>
      <c r="AG259" s="256" t="str">
        <f>IFERROR(__xludf.DUMMYFUNCTION("""COMPUTED_VALUE"""),"Closed")</f>
        <v>Closed</v>
      </c>
      <c r="AH259" s="370" t="str">
        <f>IFERROR(__xludf.DUMMYFUNCTION("""COMPUTED_VALUE"""),"Closed")</f>
        <v>Closed</v>
      </c>
      <c r="AI259" s="369" t="str">
        <f>IFERROR(__xludf.DUMMYFUNCTION("""COMPUTED_VALUE"""),"Closed")</f>
        <v>Closed</v>
      </c>
      <c r="AJ259" s="256" t="str">
        <f>IFERROR(__xludf.DUMMYFUNCTION("""COMPUTED_VALUE"""),"Closed")</f>
        <v>Closed</v>
      </c>
      <c r="AK259" s="370" t="str">
        <f>IFERROR(__xludf.DUMMYFUNCTION("""COMPUTED_VALUE"""),"Closed")</f>
        <v>Closed</v>
      </c>
      <c r="AL259" s="372" t="str">
        <f>IFERROR(__xludf.DUMMYFUNCTION("""COMPUTED_VALUE"""),"Closed")</f>
        <v>Closed</v>
      </c>
      <c r="AM259" s="373" t="str">
        <f>IFERROR(__xludf.DUMMYFUNCTION("""COMPUTED_VALUE"""),"Closed")</f>
        <v>Closed</v>
      </c>
      <c r="AN259" s="370" t="str">
        <f>IFERROR(__xludf.DUMMYFUNCTION("""COMPUTED_VALUE"""),"Closed")</f>
        <v>Closed</v>
      </c>
      <c r="AO259" s="371" t="str">
        <f>IFERROR(__xludf.DUMMYFUNCTION("""COMPUTED_VALUE"""),"Closed")</f>
        <v>Closed</v>
      </c>
      <c r="AP259" s="256" t="str">
        <f>IFERROR(__xludf.DUMMYFUNCTION("""COMPUTED_VALUE"""),"Closed")</f>
        <v>Closed</v>
      </c>
      <c r="AQ259" s="370" t="str">
        <f>IFERROR(__xludf.DUMMYFUNCTION("""COMPUTED_VALUE"""),"Closed")</f>
        <v>Closed</v>
      </c>
      <c r="AR259" s="371" t="str">
        <f>IFERROR(__xludf.DUMMYFUNCTION("""COMPUTED_VALUE"""),"Closed")</f>
        <v>Closed</v>
      </c>
      <c r="AS259" s="256" t="str">
        <f>IFERROR(__xludf.DUMMYFUNCTION("""COMPUTED_VALUE"""),"Closed")</f>
        <v>Closed</v>
      </c>
      <c r="AT259" s="370" t="str">
        <f>IFERROR(__xludf.DUMMYFUNCTION("""COMPUTED_VALUE"""),"Closed")</f>
        <v>Closed</v>
      </c>
      <c r="AU259" s="369" t="str">
        <f>IFERROR(__xludf.DUMMYFUNCTION("""COMPUTED_VALUE"""),"Closed")</f>
        <v>Closed</v>
      </c>
      <c r="AV259" s="256" t="str">
        <f>IFERROR(__xludf.DUMMYFUNCTION("""COMPUTED_VALUE"""),"Closed")</f>
        <v>Closed</v>
      </c>
      <c r="AW259" s="370" t="str">
        <f>IFERROR(__xludf.DUMMYFUNCTION("""COMPUTED_VALUE"""),"Closed")</f>
        <v>Closed</v>
      </c>
      <c r="AX259" s="371" t="str">
        <f>IFERROR(__xludf.DUMMYFUNCTION("""COMPUTED_VALUE"""),"Closed")</f>
        <v>Closed</v>
      </c>
      <c r="AY259" s="256" t="str">
        <f>IFERROR(__xludf.DUMMYFUNCTION("""COMPUTED_VALUE"""),"Closed")</f>
        <v>Closed</v>
      </c>
      <c r="AZ259" s="370" t="str">
        <f>IFERROR(__xludf.DUMMYFUNCTION("""COMPUTED_VALUE"""),"Closed")</f>
        <v>Closed</v>
      </c>
      <c r="BA259" s="371" t="str">
        <f>IFERROR(__xludf.DUMMYFUNCTION("""COMPUTED_VALUE"""),"Closed")</f>
        <v>Closed</v>
      </c>
      <c r="BB259" s="256" t="str">
        <f>IFERROR(__xludf.DUMMYFUNCTION("""COMPUTED_VALUE"""),"Closed")</f>
        <v>Closed</v>
      </c>
      <c r="BC259" s="370" t="str">
        <f>IFERROR(__xludf.DUMMYFUNCTION("""COMPUTED_VALUE"""),"Closed")</f>
        <v>Closed</v>
      </c>
      <c r="BD259" s="371" t="str">
        <f>IFERROR(__xludf.DUMMYFUNCTION("""COMPUTED_VALUE"""),"Closed")</f>
        <v>Closed</v>
      </c>
      <c r="BE259" s="256" t="str">
        <f>IFERROR(__xludf.DUMMYFUNCTION("""COMPUTED_VALUE"""),"Closed")</f>
        <v>Closed</v>
      </c>
      <c r="BF259" s="370" t="str">
        <f>IFERROR(__xludf.DUMMYFUNCTION("""COMPUTED_VALUE"""),"Closed")</f>
        <v>Closed</v>
      </c>
      <c r="BG259" s="369" t="str">
        <f>IFERROR(__xludf.DUMMYFUNCTION("""COMPUTED_VALUE"""),"Closed")</f>
        <v>Closed</v>
      </c>
      <c r="BH259" s="256" t="str">
        <f>IFERROR(__xludf.DUMMYFUNCTION("""COMPUTED_VALUE"""),"Closed")</f>
        <v>Closed</v>
      </c>
      <c r="BI259" s="370" t="str">
        <f>IFERROR(__xludf.DUMMYFUNCTION("""COMPUTED_VALUE"""),"Closed")</f>
        <v>Closed</v>
      </c>
      <c r="BJ259" s="371" t="str">
        <f>IFERROR(__xludf.DUMMYFUNCTION("""COMPUTED_VALUE"""),"Closed")</f>
        <v>Closed</v>
      </c>
      <c r="BK259" s="256" t="str">
        <f>IFERROR(__xludf.DUMMYFUNCTION("""COMPUTED_VALUE"""),"Closed")</f>
        <v>Closed</v>
      </c>
      <c r="BL259" s="370" t="str">
        <f>IFERROR(__xludf.DUMMYFUNCTION("""COMPUTED_VALUE"""),"Closed")</f>
        <v>Closed</v>
      </c>
      <c r="BM259" s="371" t="str">
        <f>IFERROR(__xludf.DUMMYFUNCTION("""COMPUTED_VALUE"""),"Closed")</f>
        <v>Closed</v>
      </c>
      <c r="BN259" s="256" t="str">
        <f>IFERROR(__xludf.DUMMYFUNCTION("""COMPUTED_VALUE"""),"Closed")</f>
        <v>Closed</v>
      </c>
      <c r="BO259" s="370" t="str">
        <f>IFERROR(__xludf.DUMMYFUNCTION("""COMPUTED_VALUE"""),"Closed")</f>
        <v>Closed</v>
      </c>
      <c r="BP259" s="371" t="str">
        <f>IFERROR(__xludf.DUMMYFUNCTION("""COMPUTED_VALUE"""),"Closed")</f>
        <v>Closed</v>
      </c>
      <c r="BQ259" s="256" t="str">
        <f>IFERROR(__xludf.DUMMYFUNCTION("""COMPUTED_VALUE"""),"Closed")</f>
        <v>Closed</v>
      </c>
      <c r="BR259" s="370" t="str">
        <f>IFERROR(__xludf.DUMMYFUNCTION("""COMPUTED_VALUE"""),"Closed")</f>
        <v>Closed</v>
      </c>
      <c r="BS259" s="369" t="str">
        <f>IFERROR(__xludf.DUMMYFUNCTION("""COMPUTED_VALUE"""),"Closed")</f>
        <v>Closed</v>
      </c>
      <c r="BT259" s="256" t="str">
        <f>IFERROR(__xludf.DUMMYFUNCTION("""COMPUTED_VALUE"""),"Closed")</f>
        <v>Closed</v>
      </c>
      <c r="BU259" s="370" t="str">
        <f>IFERROR(__xludf.DUMMYFUNCTION("""COMPUTED_VALUE"""),"Closed")</f>
        <v>Closed</v>
      </c>
      <c r="BV259" s="371" t="str">
        <f>IFERROR(__xludf.DUMMYFUNCTION("""COMPUTED_VALUE"""),"Closed")</f>
        <v>Closed</v>
      </c>
      <c r="BW259" s="256" t="str">
        <f>IFERROR(__xludf.DUMMYFUNCTION("""COMPUTED_VALUE"""),"Closed")</f>
        <v>Closed</v>
      </c>
      <c r="BX259" s="370" t="str">
        <f>IFERROR(__xludf.DUMMYFUNCTION("""COMPUTED_VALUE"""),"Closed")</f>
        <v>Closed</v>
      </c>
      <c r="BY259" s="371" t="str">
        <f>IFERROR(__xludf.DUMMYFUNCTION("""COMPUTED_VALUE"""),"Closed")</f>
        <v>Closed</v>
      </c>
      <c r="BZ259" s="256" t="str">
        <f>IFERROR(__xludf.DUMMYFUNCTION("""COMPUTED_VALUE"""),"Closed")</f>
        <v>Closed</v>
      </c>
      <c r="CA259" s="370" t="str">
        <f>IFERROR(__xludf.DUMMYFUNCTION("""COMPUTED_VALUE"""),"Closed")</f>
        <v>Closed</v>
      </c>
      <c r="CB259" s="371" t="str">
        <f>IFERROR(__xludf.DUMMYFUNCTION("""COMPUTED_VALUE"""),"Closed")</f>
        <v>Closed</v>
      </c>
      <c r="CC259" s="256" t="str">
        <f>IFERROR(__xludf.DUMMYFUNCTION("""COMPUTED_VALUE"""),"Closed")</f>
        <v>Closed</v>
      </c>
      <c r="CD259" s="370" t="str">
        <f>IFERROR(__xludf.DUMMYFUNCTION("""COMPUTED_VALUE"""),"Closed")</f>
        <v>Closed</v>
      </c>
      <c r="CE259" s="371" t="str">
        <f>IFERROR(__xludf.DUMMYFUNCTION("""COMPUTED_VALUE"""),"Closed")</f>
        <v>Closed</v>
      </c>
      <c r="CF259" s="256" t="str">
        <f>IFERROR(__xludf.DUMMYFUNCTION("""COMPUTED_VALUE"""),"Closed")</f>
        <v>Closed</v>
      </c>
      <c r="CG259" s="370" t="str">
        <f>IFERROR(__xludf.DUMMYFUNCTION("""COMPUTED_VALUE"""),"Closed")</f>
        <v>Closed</v>
      </c>
      <c r="CH259" s="371" t="str">
        <f>IFERROR(__xludf.DUMMYFUNCTION("""COMPUTED_VALUE"""),"Closed")</f>
        <v>Closed</v>
      </c>
      <c r="CI259" s="256" t="str">
        <f>IFERROR(__xludf.DUMMYFUNCTION("""COMPUTED_VALUE"""),"Closed")</f>
        <v>Closed</v>
      </c>
      <c r="CJ259" s="256" t="str">
        <f>IFERROR(__xludf.DUMMYFUNCTION("""COMPUTED_VALUE"""),"Closed")</f>
        <v>Closed</v>
      </c>
      <c r="CK259" s="371" t="str">
        <f>IFERROR(__xludf.DUMMYFUNCTION("""COMPUTED_VALUE"""),"Closed")</f>
        <v>Closed</v>
      </c>
      <c r="CL259" s="256" t="str">
        <f>IFERROR(__xludf.DUMMYFUNCTION("""COMPUTED_VALUE"""),"Closed")</f>
        <v>Closed</v>
      </c>
      <c r="CM259" s="370" t="str">
        <f>IFERROR(__xludf.DUMMYFUNCTION("""COMPUTED_VALUE"""),"Closed")</f>
        <v>Closed</v>
      </c>
      <c r="CN259" s="256" t="str">
        <f>IFERROR(__xludf.DUMMYFUNCTION("""COMPUTED_VALUE"""),"Closed")</f>
        <v>Closed</v>
      </c>
      <c r="CO259" s="256" t="str">
        <f>IFERROR(__xludf.DUMMYFUNCTION("""COMPUTED_VALUE"""),"Closed")</f>
        <v>Closed</v>
      </c>
      <c r="CP259" s="256" t="str">
        <f>IFERROR(__xludf.DUMMYFUNCTION("""COMPUTED_VALUE"""),"Closed")</f>
        <v>Closed</v>
      </c>
      <c r="CQ259" s="371" t="str">
        <f>IFERROR(__xludf.DUMMYFUNCTION("""COMPUTED_VALUE"""),"Closed")</f>
        <v>Closed</v>
      </c>
      <c r="CR259" s="256" t="str">
        <f>IFERROR(__xludf.DUMMYFUNCTION("""COMPUTED_VALUE"""),"Closed")</f>
        <v>Closed</v>
      </c>
      <c r="CS259" s="256" t="str">
        <f>IFERROR(__xludf.DUMMYFUNCTION("""COMPUTED_VALUE"""),"Closed")</f>
        <v>Closed</v>
      </c>
      <c r="CT259" s="371" t="str">
        <f>IFERROR(__xludf.DUMMYFUNCTION("""COMPUTED_VALUE"""),"Closed")</f>
        <v>Closed</v>
      </c>
      <c r="CU259" s="256" t="str">
        <f>IFERROR(__xludf.DUMMYFUNCTION("""COMPUTED_VALUE"""),"Closed")</f>
        <v>Closed</v>
      </c>
      <c r="CV259" s="256" t="str">
        <f>IFERROR(__xludf.DUMMYFUNCTION("""COMPUTED_VALUE"""),"Closed")</f>
        <v>Closed</v>
      </c>
      <c r="CW259" s="371" t="str">
        <f>IFERROR(__xludf.DUMMYFUNCTION("""COMPUTED_VALUE"""),"Closed")</f>
        <v>Closed</v>
      </c>
      <c r="CX259" s="256" t="str">
        <f>IFERROR(__xludf.DUMMYFUNCTION("""COMPUTED_VALUE"""),"Closed")</f>
        <v>Closed</v>
      </c>
      <c r="CY259" s="370" t="str">
        <f>IFERROR(__xludf.DUMMYFUNCTION("""COMPUTED_VALUE"""),"Closed")</f>
        <v>Closed</v>
      </c>
      <c r="CZ259" s="256" t="str">
        <f>IFERROR(__xludf.DUMMYFUNCTION("""COMPUTED_VALUE"""),"Closed")</f>
        <v>Closed</v>
      </c>
      <c r="DA259" s="256" t="str">
        <f>IFERROR(__xludf.DUMMYFUNCTION("""COMPUTED_VALUE"""),"Closed")</f>
        <v>Closed</v>
      </c>
      <c r="DB259" s="370" t="str">
        <f>IFERROR(__xludf.DUMMYFUNCTION("""COMPUTED_VALUE"""),"Closed")</f>
        <v>Closed</v>
      </c>
      <c r="DC259" s="371" t="str">
        <f>IFERROR(__xludf.DUMMYFUNCTION("""COMPUTED_VALUE"""),"Closed")</f>
        <v>Closed</v>
      </c>
      <c r="DD259" s="256" t="str">
        <f>IFERROR(__xludf.DUMMYFUNCTION("""COMPUTED_VALUE"""),"Closed")</f>
        <v>Closed</v>
      </c>
      <c r="DE259" s="370" t="str">
        <f>IFERROR(__xludf.DUMMYFUNCTION("""COMPUTED_VALUE"""),"Closed")</f>
        <v>Closed</v>
      </c>
      <c r="DF259" s="371" t="str">
        <f>IFERROR(__xludf.DUMMYFUNCTION("""COMPUTED_VALUE"""),"Closed")</f>
        <v>Closed</v>
      </c>
      <c r="DG259" s="256" t="str">
        <f>IFERROR(__xludf.DUMMYFUNCTION("""COMPUTED_VALUE"""),"Closed")</f>
        <v>Closed</v>
      </c>
      <c r="DH259" s="370" t="str">
        <f>IFERROR(__xludf.DUMMYFUNCTION("""COMPUTED_VALUE"""),"Closed")</f>
        <v>Closed</v>
      </c>
      <c r="DI259" s="371" t="str">
        <f>IFERROR(__xludf.DUMMYFUNCTION("""COMPUTED_VALUE"""),"Closed")</f>
        <v>Closed</v>
      </c>
      <c r="DJ259" s="256" t="str">
        <f>IFERROR(__xludf.DUMMYFUNCTION("""COMPUTED_VALUE"""),"Closed")</f>
        <v>Closed</v>
      </c>
      <c r="DK259" s="370" t="str">
        <f>IFERROR(__xludf.DUMMYFUNCTION("""COMPUTED_VALUE"""),"Closed")</f>
        <v>Closed</v>
      </c>
      <c r="DL259" s="256" t="str">
        <f>IFERROR(__xludf.DUMMYFUNCTION("""COMPUTED_VALUE"""),"Closed")</f>
        <v>Closed</v>
      </c>
      <c r="DM259" s="256" t="str">
        <f>IFERROR(__xludf.DUMMYFUNCTION("""COMPUTED_VALUE"""),"Closed")</f>
        <v>Closed</v>
      </c>
      <c r="DN259" s="256" t="str">
        <f>IFERROR(__xludf.DUMMYFUNCTION("""COMPUTED_VALUE"""),"Closed")</f>
        <v>Closed</v>
      </c>
      <c r="DO259" s="256" t="str">
        <f>IFERROR(__xludf.DUMMYFUNCTION("""COMPUTED_VALUE"""),"Closed")</f>
        <v>Closed</v>
      </c>
      <c r="DP259" s="256" t="str">
        <f>IFERROR(__xludf.DUMMYFUNCTION("""COMPUTED_VALUE"""),"Closed")</f>
        <v>Closed</v>
      </c>
      <c r="DQ259" s="256" t="str">
        <f>IFERROR(__xludf.DUMMYFUNCTION("""COMPUTED_VALUE"""),"Closed")</f>
        <v>Closed</v>
      </c>
      <c r="DR259" s="256" t="str">
        <f>IFERROR(__xludf.DUMMYFUNCTION("""COMPUTED_VALUE"""),"Closed")</f>
        <v>Closed</v>
      </c>
      <c r="DS259" s="256" t="str">
        <f>IFERROR(__xludf.DUMMYFUNCTION("""COMPUTED_VALUE"""),"Closed")</f>
        <v>Closed</v>
      </c>
      <c r="DT259" s="256" t="str">
        <f>IFERROR(__xludf.DUMMYFUNCTION("""COMPUTED_VALUE"""),"Closed")</f>
        <v>Closed</v>
      </c>
    </row>
    <row r="260" hidden="1">
      <c r="B260" s="180" t="str">
        <f>IFERROR(__xludf.DUMMYFUNCTION("""COMPUTED_VALUE"""),"HEA13")</f>
        <v>HEA13</v>
      </c>
      <c r="C260" s="368" t="str">
        <f>IFERROR(__xludf.DUMMYFUNCTION("""COMPUTED_VALUE"""),"Jō Three, Bō Three")</f>
        <v>Jō Three, Bō Three</v>
      </c>
      <c r="D260" s="273">
        <f>IFERROR(__xludf.DUMMYFUNCTION("""COMPUTED_VALUE"""),21.0)</f>
        <v>21</v>
      </c>
      <c r="E260" t="b">
        <f>IFERROR(__xludf.DUMMYFUNCTION("""COMPUTED_VALUE"""),FALSE)</f>
        <v>0</v>
      </c>
      <c r="F260" t="str">
        <f>IFERROR(__xludf.DUMMYFUNCTION("""COMPUTED_VALUE"""),"Free Quests- Part 2!A1025:J1034")</f>
        <v>Free Quests- Part 2!A1025:J1034</v>
      </c>
      <c r="G260">
        <f>IFERROR(__xludf.DUMMYFUNCTION("""COMPUTED_VALUE"""),261.0)</f>
        <v>261</v>
      </c>
      <c r="H260" t="str">
        <f>IFERROR(__xludf.DUMMYFUNCTION("""COMPUTED_VALUE"""),"Closed")</f>
        <v>Closed</v>
      </c>
      <c r="I260">
        <f>IFERROR(__xludf.DUMMYFUNCTION("""COMPUTED_VALUE"""),0.0)</f>
        <v>0</v>
      </c>
      <c r="J260" t="str">
        <f>IFERROR(__xludf.DUMMYFUNCTION("""COMPUTED_VALUE"""),"Closed")</f>
        <v>Closed</v>
      </c>
      <c r="K260" s="369" t="str">
        <f>IFERROR(__xludf.DUMMYFUNCTION("""COMPUTED_VALUE"""),"Closed")</f>
        <v>Closed</v>
      </c>
      <c r="L260" s="256" t="str">
        <f>IFERROR(__xludf.DUMMYFUNCTION("""COMPUTED_VALUE"""),"Closed")</f>
        <v>Closed</v>
      </c>
      <c r="M260" s="370" t="str">
        <f>IFERROR(__xludf.DUMMYFUNCTION("""COMPUTED_VALUE"""),"Closed")</f>
        <v>Closed</v>
      </c>
      <c r="N260" s="371" t="str">
        <f>IFERROR(__xludf.DUMMYFUNCTION("""COMPUTED_VALUE"""),"Closed")</f>
        <v>Closed</v>
      </c>
      <c r="O260" s="256" t="str">
        <f>IFERROR(__xludf.DUMMYFUNCTION("""COMPUTED_VALUE"""),"Closed")</f>
        <v>Closed</v>
      </c>
      <c r="P260" s="370" t="str">
        <f>IFERROR(__xludf.DUMMYFUNCTION("""COMPUTED_VALUE"""),"Closed")</f>
        <v>Closed</v>
      </c>
      <c r="Q260" s="371" t="str">
        <f>IFERROR(__xludf.DUMMYFUNCTION("""COMPUTED_VALUE"""),"Closed")</f>
        <v>Closed</v>
      </c>
      <c r="R260" s="256" t="str">
        <f>IFERROR(__xludf.DUMMYFUNCTION("""COMPUTED_VALUE"""),"Closed")</f>
        <v>Closed</v>
      </c>
      <c r="S260" s="370" t="str">
        <f>IFERROR(__xludf.DUMMYFUNCTION("""COMPUTED_VALUE"""),"Closed")</f>
        <v>Closed</v>
      </c>
      <c r="T260" s="371" t="str">
        <f>IFERROR(__xludf.DUMMYFUNCTION("""COMPUTED_VALUE"""),"Closed")</f>
        <v>Closed</v>
      </c>
      <c r="U260" s="256" t="str">
        <f>IFERROR(__xludf.DUMMYFUNCTION("""COMPUTED_VALUE"""),"Closed")</f>
        <v>Closed</v>
      </c>
      <c r="V260" s="370" t="str">
        <f>IFERROR(__xludf.DUMMYFUNCTION("""COMPUTED_VALUE"""),"Closed")</f>
        <v>Closed</v>
      </c>
      <c r="W260" s="369" t="str">
        <f>IFERROR(__xludf.DUMMYFUNCTION("""COMPUTED_VALUE"""),"Closed")</f>
        <v>Closed</v>
      </c>
      <c r="X260" s="256" t="str">
        <f>IFERROR(__xludf.DUMMYFUNCTION("""COMPUTED_VALUE"""),"Closed")</f>
        <v>Closed</v>
      </c>
      <c r="Y260" s="370" t="str">
        <f>IFERROR(__xludf.DUMMYFUNCTION("""COMPUTED_VALUE"""),"Closed")</f>
        <v>Closed</v>
      </c>
      <c r="Z260" s="371" t="str">
        <f>IFERROR(__xludf.DUMMYFUNCTION("""COMPUTED_VALUE"""),"Closed")</f>
        <v>Closed</v>
      </c>
      <c r="AA260" s="256" t="str">
        <f>IFERROR(__xludf.DUMMYFUNCTION("""COMPUTED_VALUE"""),"Closed")</f>
        <v>Closed</v>
      </c>
      <c r="AB260" s="370" t="str">
        <f>IFERROR(__xludf.DUMMYFUNCTION("""COMPUTED_VALUE"""),"Closed")</f>
        <v>Closed</v>
      </c>
      <c r="AC260" s="371" t="str">
        <f>IFERROR(__xludf.DUMMYFUNCTION("""COMPUTED_VALUE"""),"Closed")</f>
        <v>Closed</v>
      </c>
      <c r="AD260" s="256" t="str">
        <f>IFERROR(__xludf.DUMMYFUNCTION("""COMPUTED_VALUE"""),"Closed")</f>
        <v>Closed</v>
      </c>
      <c r="AE260" s="370" t="str">
        <f>IFERROR(__xludf.DUMMYFUNCTION("""COMPUTED_VALUE"""),"Closed")</f>
        <v>Closed</v>
      </c>
      <c r="AF260" s="371" t="str">
        <f>IFERROR(__xludf.DUMMYFUNCTION("""COMPUTED_VALUE"""),"Closed")</f>
        <v>Closed</v>
      </c>
      <c r="AG260" s="256" t="str">
        <f>IFERROR(__xludf.DUMMYFUNCTION("""COMPUTED_VALUE"""),"Closed")</f>
        <v>Closed</v>
      </c>
      <c r="AH260" s="370" t="str">
        <f>IFERROR(__xludf.DUMMYFUNCTION("""COMPUTED_VALUE"""),"Closed")</f>
        <v>Closed</v>
      </c>
      <c r="AI260" s="369" t="str">
        <f>IFERROR(__xludf.DUMMYFUNCTION("""COMPUTED_VALUE"""),"Closed")</f>
        <v>Closed</v>
      </c>
      <c r="AJ260" s="256" t="str">
        <f>IFERROR(__xludf.DUMMYFUNCTION("""COMPUTED_VALUE"""),"Closed")</f>
        <v>Closed</v>
      </c>
      <c r="AK260" s="370" t="str">
        <f>IFERROR(__xludf.DUMMYFUNCTION("""COMPUTED_VALUE"""),"Closed")</f>
        <v>Closed</v>
      </c>
      <c r="AL260" s="372" t="str">
        <f>IFERROR(__xludf.DUMMYFUNCTION("""COMPUTED_VALUE"""),"Closed")</f>
        <v>Closed</v>
      </c>
      <c r="AM260" s="373" t="str">
        <f>IFERROR(__xludf.DUMMYFUNCTION("""COMPUTED_VALUE"""),"Closed")</f>
        <v>Closed</v>
      </c>
      <c r="AN260" s="370" t="str">
        <f>IFERROR(__xludf.DUMMYFUNCTION("""COMPUTED_VALUE"""),"Closed")</f>
        <v>Closed</v>
      </c>
      <c r="AO260" s="371" t="str">
        <f>IFERROR(__xludf.DUMMYFUNCTION("""COMPUTED_VALUE"""),"Closed")</f>
        <v>Closed</v>
      </c>
      <c r="AP260" s="256" t="str">
        <f>IFERROR(__xludf.DUMMYFUNCTION("""COMPUTED_VALUE"""),"Closed")</f>
        <v>Closed</v>
      </c>
      <c r="AQ260" s="370" t="str">
        <f>IFERROR(__xludf.DUMMYFUNCTION("""COMPUTED_VALUE"""),"Closed")</f>
        <v>Closed</v>
      </c>
      <c r="AR260" s="371" t="str">
        <f>IFERROR(__xludf.DUMMYFUNCTION("""COMPUTED_VALUE"""),"Closed")</f>
        <v>Closed</v>
      </c>
      <c r="AS260" s="256" t="str">
        <f>IFERROR(__xludf.DUMMYFUNCTION("""COMPUTED_VALUE"""),"Closed")</f>
        <v>Closed</v>
      </c>
      <c r="AT260" s="370" t="str">
        <f>IFERROR(__xludf.DUMMYFUNCTION("""COMPUTED_VALUE"""),"Closed")</f>
        <v>Closed</v>
      </c>
      <c r="AU260" s="369" t="str">
        <f>IFERROR(__xludf.DUMMYFUNCTION("""COMPUTED_VALUE"""),"Closed")</f>
        <v>Closed</v>
      </c>
      <c r="AV260" s="256" t="str">
        <f>IFERROR(__xludf.DUMMYFUNCTION("""COMPUTED_VALUE"""),"Closed")</f>
        <v>Closed</v>
      </c>
      <c r="AW260" s="370" t="str">
        <f>IFERROR(__xludf.DUMMYFUNCTION("""COMPUTED_VALUE"""),"Closed")</f>
        <v>Closed</v>
      </c>
      <c r="AX260" s="371" t="str">
        <f>IFERROR(__xludf.DUMMYFUNCTION("""COMPUTED_VALUE"""),"Closed")</f>
        <v>Closed</v>
      </c>
      <c r="AY260" s="256" t="str">
        <f>IFERROR(__xludf.DUMMYFUNCTION("""COMPUTED_VALUE"""),"Closed")</f>
        <v>Closed</v>
      </c>
      <c r="AZ260" s="370" t="str">
        <f>IFERROR(__xludf.DUMMYFUNCTION("""COMPUTED_VALUE"""),"Closed")</f>
        <v>Closed</v>
      </c>
      <c r="BA260" s="371" t="str">
        <f>IFERROR(__xludf.DUMMYFUNCTION("""COMPUTED_VALUE"""),"Closed")</f>
        <v>Closed</v>
      </c>
      <c r="BB260" s="256" t="str">
        <f>IFERROR(__xludf.DUMMYFUNCTION("""COMPUTED_VALUE"""),"Closed")</f>
        <v>Closed</v>
      </c>
      <c r="BC260" s="370" t="str">
        <f>IFERROR(__xludf.DUMMYFUNCTION("""COMPUTED_VALUE"""),"Closed")</f>
        <v>Closed</v>
      </c>
      <c r="BD260" s="371" t="str">
        <f>IFERROR(__xludf.DUMMYFUNCTION("""COMPUTED_VALUE"""),"Closed")</f>
        <v>Closed</v>
      </c>
      <c r="BE260" s="256" t="str">
        <f>IFERROR(__xludf.DUMMYFUNCTION("""COMPUTED_VALUE"""),"Closed")</f>
        <v>Closed</v>
      </c>
      <c r="BF260" s="370" t="str">
        <f>IFERROR(__xludf.DUMMYFUNCTION("""COMPUTED_VALUE"""),"Closed")</f>
        <v>Closed</v>
      </c>
      <c r="BG260" s="369" t="str">
        <f>IFERROR(__xludf.DUMMYFUNCTION("""COMPUTED_VALUE"""),"Closed")</f>
        <v>Closed</v>
      </c>
      <c r="BH260" s="256" t="str">
        <f>IFERROR(__xludf.DUMMYFUNCTION("""COMPUTED_VALUE"""),"Closed")</f>
        <v>Closed</v>
      </c>
      <c r="BI260" s="370" t="str">
        <f>IFERROR(__xludf.DUMMYFUNCTION("""COMPUTED_VALUE"""),"Closed")</f>
        <v>Closed</v>
      </c>
      <c r="BJ260" s="371" t="str">
        <f>IFERROR(__xludf.DUMMYFUNCTION("""COMPUTED_VALUE"""),"Closed")</f>
        <v>Closed</v>
      </c>
      <c r="BK260" s="256" t="str">
        <f>IFERROR(__xludf.DUMMYFUNCTION("""COMPUTED_VALUE"""),"Closed")</f>
        <v>Closed</v>
      </c>
      <c r="BL260" s="370" t="str">
        <f>IFERROR(__xludf.DUMMYFUNCTION("""COMPUTED_VALUE"""),"Closed")</f>
        <v>Closed</v>
      </c>
      <c r="BM260" s="371" t="str">
        <f>IFERROR(__xludf.DUMMYFUNCTION("""COMPUTED_VALUE"""),"Closed")</f>
        <v>Closed</v>
      </c>
      <c r="BN260" s="256" t="str">
        <f>IFERROR(__xludf.DUMMYFUNCTION("""COMPUTED_VALUE"""),"Closed")</f>
        <v>Closed</v>
      </c>
      <c r="BO260" s="370" t="str">
        <f>IFERROR(__xludf.DUMMYFUNCTION("""COMPUTED_VALUE"""),"Closed")</f>
        <v>Closed</v>
      </c>
      <c r="BP260" s="371" t="str">
        <f>IFERROR(__xludf.DUMMYFUNCTION("""COMPUTED_VALUE"""),"Closed")</f>
        <v>Closed</v>
      </c>
      <c r="BQ260" s="256" t="str">
        <f>IFERROR(__xludf.DUMMYFUNCTION("""COMPUTED_VALUE"""),"Closed")</f>
        <v>Closed</v>
      </c>
      <c r="BR260" s="370" t="str">
        <f>IFERROR(__xludf.DUMMYFUNCTION("""COMPUTED_VALUE"""),"Closed")</f>
        <v>Closed</v>
      </c>
      <c r="BS260" s="369" t="str">
        <f>IFERROR(__xludf.DUMMYFUNCTION("""COMPUTED_VALUE"""),"Closed")</f>
        <v>Closed</v>
      </c>
      <c r="BT260" s="256" t="str">
        <f>IFERROR(__xludf.DUMMYFUNCTION("""COMPUTED_VALUE"""),"Closed")</f>
        <v>Closed</v>
      </c>
      <c r="BU260" s="370" t="str">
        <f>IFERROR(__xludf.DUMMYFUNCTION("""COMPUTED_VALUE"""),"Closed")</f>
        <v>Closed</v>
      </c>
      <c r="BV260" s="371" t="str">
        <f>IFERROR(__xludf.DUMMYFUNCTION("""COMPUTED_VALUE"""),"Closed")</f>
        <v>Closed</v>
      </c>
      <c r="BW260" s="256" t="str">
        <f>IFERROR(__xludf.DUMMYFUNCTION("""COMPUTED_VALUE"""),"Closed")</f>
        <v>Closed</v>
      </c>
      <c r="BX260" s="370" t="str">
        <f>IFERROR(__xludf.DUMMYFUNCTION("""COMPUTED_VALUE"""),"Closed")</f>
        <v>Closed</v>
      </c>
      <c r="BY260" s="371" t="str">
        <f>IFERROR(__xludf.DUMMYFUNCTION("""COMPUTED_VALUE"""),"Closed")</f>
        <v>Closed</v>
      </c>
      <c r="BZ260" s="256" t="str">
        <f>IFERROR(__xludf.DUMMYFUNCTION("""COMPUTED_VALUE"""),"Closed")</f>
        <v>Closed</v>
      </c>
      <c r="CA260" s="370" t="str">
        <f>IFERROR(__xludf.DUMMYFUNCTION("""COMPUTED_VALUE"""),"Closed")</f>
        <v>Closed</v>
      </c>
      <c r="CB260" s="371" t="str">
        <f>IFERROR(__xludf.DUMMYFUNCTION("""COMPUTED_VALUE"""),"Closed")</f>
        <v>Closed</v>
      </c>
      <c r="CC260" s="256" t="str">
        <f>IFERROR(__xludf.DUMMYFUNCTION("""COMPUTED_VALUE"""),"Closed")</f>
        <v>Closed</v>
      </c>
      <c r="CD260" s="370" t="str">
        <f>IFERROR(__xludf.DUMMYFUNCTION("""COMPUTED_VALUE"""),"Closed")</f>
        <v>Closed</v>
      </c>
      <c r="CE260" s="371" t="str">
        <f>IFERROR(__xludf.DUMMYFUNCTION("""COMPUTED_VALUE"""),"Closed")</f>
        <v>Closed</v>
      </c>
      <c r="CF260" s="256" t="str">
        <f>IFERROR(__xludf.DUMMYFUNCTION("""COMPUTED_VALUE"""),"Closed")</f>
        <v>Closed</v>
      </c>
      <c r="CG260" s="370" t="str">
        <f>IFERROR(__xludf.DUMMYFUNCTION("""COMPUTED_VALUE"""),"Closed")</f>
        <v>Closed</v>
      </c>
      <c r="CH260" s="371" t="str">
        <f>IFERROR(__xludf.DUMMYFUNCTION("""COMPUTED_VALUE"""),"Closed")</f>
        <v>Closed</v>
      </c>
      <c r="CI260" s="256" t="str">
        <f>IFERROR(__xludf.DUMMYFUNCTION("""COMPUTED_VALUE"""),"Closed")</f>
        <v>Closed</v>
      </c>
      <c r="CJ260" s="256" t="str">
        <f>IFERROR(__xludf.DUMMYFUNCTION("""COMPUTED_VALUE"""),"Closed")</f>
        <v>Closed</v>
      </c>
      <c r="CK260" s="371" t="str">
        <f>IFERROR(__xludf.DUMMYFUNCTION("""COMPUTED_VALUE"""),"Closed")</f>
        <v>Closed</v>
      </c>
      <c r="CL260" s="256" t="str">
        <f>IFERROR(__xludf.DUMMYFUNCTION("""COMPUTED_VALUE"""),"Closed")</f>
        <v>Closed</v>
      </c>
      <c r="CM260" s="370" t="str">
        <f>IFERROR(__xludf.DUMMYFUNCTION("""COMPUTED_VALUE"""),"Closed")</f>
        <v>Closed</v>
      </c>
      <c r="CN260" s="256" t="str">
        <f>IFERROR(__xludf.DUMMYFUNCTION("""COMPUTED_VALUE"""),"Closed")</f>
        <v>Closed</v>
      </c>
      <c r="CO260" s="256" t="str">
        <f>IFERROR(__xludf.DUMMYFUNCTION("""COMPUTED_VALUE"""),"Closed")</f>
        <v>Closed</v>
      </c>
      <c r="CP260" s="256" t="str">
        <f>IFERROR(__xludf.DUMMYFUNCTION("""COMPUTED_VALUE"""),"Closed")</f>
        <v>Closed</v>
      </c>
      <c r="CQ260" s="371" t="str">
        <f>IFERROR(__xludf.DUMMYFUNCTION("""COMPUTED_VALUE"""),"Closed")</f>
        <v>Closed</v>
      </c>
      <c r="CR260" s="256" t="str">
        <f>IFERROR(__xludf.DUMMYFUNCTION("""COMPUTED_VALUE"""),"Closed")</f>
        <v>Closed</v>
      </c>
      <c r="CS260" s="256" t="str">
        <f>IFERROR(__xludf.DUMMYFUNCTION("""COMPUTED_VALUE"""),"Closed")</f>
        <v>Closed</v>
      </c>
      <c r="CT260" s="371" t="str">
        <f>IFERROR(__xludf.DUMMYFUNCTION("""COMPUTED_VALUE"""),"Closed")</f>
        <v>Closed</v>
      </c>
      <c r="CU260" s="256" t="str">
        <f>IFERROR(__xludf.DUMMYFUNCTION("""COMPUTED_VALUE"""),"Closed")</f>
        <v>Closed</v>
      </c>
      <c r="CV260" s="256" t="str">
        <f>IFERROR(__xludf.DUMMYFUNCTION("""COMPUTED_VALUE"""),"Closed")</f>
        <v>Closed</v>
      </c>
      <c r="CW260" s="371" t="str">
        <f>IFERROR(__xludf.DUMMYFUNCTION("""COMPUTED_VALUE"""),"Closed")</f>
        <v>Closed</v>
      </c>
      <c r="CX260" s="256" t="str">
        <f>IFERROR(__xludf.DUMMYFUNCTION("""COMPUTED_VALUE"""),"Closed")</f>
        <v>Closed</v>
      </c>
      <c r="CY260" s="370" t="str">
        <f>IFERROR(__xludf.DUMMYFUNCTION("""COMPUTED_VALUE"""),"Closed")</f>
        <v>Closed</v>
      </c>
      <c r="CZ260" s="256" t="str">
        <f>IFERROR(__xludf.DUMMYFUNCTION("""COMPUTED_VALUE"""),"Closed")</f>
        <v>Closed</v>
      </c>
      <c r="DA260" s="256" t="str">
        <f>IFERROR(__xludf.DUMMYFUNCTION("""COMPUTED_VALUE"""),"Closed")</f>
        <v>Closed</v>
      </c>
      <c r="DB260" s="370" t="str">
        <f>IFERROR(__xludf.DUMMYFUNCTION("""COMPUTED_VALUE"""),"Closed")</f>
        <v>Closed</v>
      </c>
      <c r="DC260" s="371" t="str">
        <f>IFERROR(__xludf.DUMMYFUNCTION("""COMPUTED_VALUE"""),"Closed")</f>
        <v>Closed</v>
      </c>
      <c r="DD260" s="256" t="str">
        <f>IFERROR(__xludf.DUMMYFUNCTION("""COMPUTED_VALUE"""),"Closed")</f>
        <v>Closed</v>
      </c>
      <c r="DE260" s="370" t="str">
        <f>IFERROR(__xludf.DUMMYFUNCTION("""COMPUTED_VALUE"""),"Closed")</f>
        <v>Closed</v>
      </c>
      <c r="DF260" s="371" t="str">
        <f>IFERROR(__xludf.DUMMYFUNCTION("""COMPUTED_VALUE"""),"Closed")</f>
        <v>Closed</v>
      </c>
      <c r="DG260" s="256" t="str">
        <f>IFERROR(__xludf.DUMMYFUNCTION("""COMPUTED_VALUE"""),"Closed")</f>
        <v>Closed</v>
      </c>
      <c r="DH260" s="370" t="str">
        <f>IFERROR(__xludf.DUMMYFUNCTION("""COMPUTED_VALUE"""),"Closed")</f>
        <v>Closed</v>
      </c>
      <c r="DI260" s="371" t="str">
        <f>IFERROR(__xludf.DUMMYFUNCTION("""COMPUTED_VALUE"""),"Closed")</f>
        <v>Closed</v>
      </c>
      <c r="DJ260" s="256" t="str">
        <f>IFERROR(__xludf.DUMMYFUNCTION("""COMPUTED_VALUE"""),"Closed")</f>
        <v>Closed</v>
      </c>
      <c r="DK260" s="370" t="str">
        <f>IFERROR(__xludf.DUMMYFUNCTION("""COMPUTED_VALUE"""),"Closed")</f>
        <v>Closed</v>
      </c>
      <c r="DL260" s="256" t="str">
        <f>IFERROR(__xludf.DUMMYFUNCTION("""COMPUTED_VALUE"""),"Closed")</f>
        <v>Closed</v>
      </c>
      <c r="DM260" s="256" t="str">
        <f>IFERROR(__xludf.DUMMYFUNCTION("""COMPUTED_VALUE"""),"Closed")</f>
        <v>Closed</v>
      </c>
      <c r="DN260" s="256" t="str">
        <f>IFERROR(__xludf.DUMMYFUNCTION("""COMPUTED_VALUE"""),"Closed")</f>
        <v>Closed</v>
      </c>
      <c r="DO260" s="256" t="str">
        <f>IFERROR(__xludf.DUMMYFUNCTION("""COMPUTED_VALUE"""),"Closed")</f>
        <v>Closed</v>
      </c>
      <c r="DP260" s="256" t="str">
        <f>IFERROR(__xludf.DUMMYFUNCTION("""COMPUTED_VALUE"""),"Closed")</f>
        <v>Closed</v>
      </c>
      <c r="DQ260" s="256" t="str">
        <f>IFERROR(__xludf.DUMMYFUNCTION("""COMPUTED_VALUE"""),"Closed")</f>
        <v>Closed</v>
      </c>
      <c r="DR260" s="256" t="str">
        <f>IFERROR(__xludf.DUMMYFUNCTION("""COMPUTED_VALUE"""),"Closed")</f>
        <v>Closed</v>
      </c>
      <c r="DS260" s="256" t="str">
        <f>IFERROR(__xludf.DUMMYFUNCTION("""COMPUTED_VALUE"""),"Closed")</f>
        <v>Closed</v>
      </c>
      <c r="DT260" s="256" t="str">
        <f>IFERROR(__xludf.DUMMYFUNCTION("""COMPUTED_VALUE"""),"Closed")</f>
        <v>Closed</v>
      </c>
    </row>
    <row r="261" hidden="1">
      <c r="B261" s="180"/>
      <c r="K261" s="374"/>
      <c r="M261" s="260"/>
      <c r="N261" s="259"/>
      <c r="P261" s="260"/>
      <c r="Q261" s="259"/>
      <c r="S261" s="260"/>
      <c r="T261" s="259"/>
      <c r="V261" s="260"/>
      <c r="W261" s="374"/>
      <c r="Y261" s="260"/>
      <c r="Z261" s="259"/>
      <c r="AB261" s="260"/>
      <c r="AC261" s="259"/>
      <c r="AE261" s="260"/>
      <c r="AF261" s="259"/>
      <c r="AH261" s="260"/>
      <c r="AI261" s="374"/>
      <c r="AK261" s="260"/>
      <c r="AL261" s="372"/>
      <c r="AN261" s="260"/>
      <c r="AO261" s="259"/>
      <c r="AQ261" s="260"/>
      <c r="AR261" s="259"/>
      <c r="AT261" s="260"/>
      <c r="AU261" s="374"/>
      <c r="AW261" s="260"/>
      <c r="AX261" s="259"/>
      <c r="AZ261" s="260"/>
      <c r="BA261" s="259"/>
      <c r="BC261" s="260"/>
      <c r="BD261" s="259"/>
      <c r="BF261" s="260"/>
      <c r="BG261" s="374"/>
      <c r="BI261" s="260"/>
      <c r="BJ261" s="259"/>
      <c r="BL261" s="260"/>
      <c r="BM261" s="259"/>
      <c r="BO261" s="260"/>
      <c r="BP261" s="259"/>
      <c r="BR261" s="260"/>
      <c r="BS261" s="374"/>
      <c r="BU261" s="260"/>
      <c r="BV261" s="259"/>
      <c r="BX261" s="260"/>
      <c r="BY261" s="259"/>
      <c r="CA261" s="260"/>
      <c r="CB261" s="259"/>
      <c r="CD261" s="260"/>
      <c r="CE261" s="259"/>
      <c r="CG261" s="260"/>
      <c r="CH261" s="259"/>
      <c r="CK261" s="259"/>
      <c r="CM261" s="260"/>
      <c r="CQ261" s="259"/>
      <c r="CT261" s="259"/>
      <c r="CW261" s="259"/>
      <c r="CY261" s="260"/>
      <c r="DB261" s="260"/>
      <c r="DC261" s="259"/>
      <c r="DE261" s="260"/>
      <c r="DF261" s="259"/>
      <c r="DH261" s="260"/>
      <c r="DI261" s="259"/>
      <c r="DK261" s="260"/>
    </row>
    <row r="262" hidden="1">
      <c r="B262" s="180"/>
      <c r="K262" s="374"/>
      <c r="M262" s="260"/>
      <c r="N262" s="259"/>
      <c r="P262" s="260"/>
      <c r="Q262" s="259"/>
      <c r="S262" s="260"/>
      <c r="T262" s="259"/>
      <c r="V262" s="260"/>
      <c r="W262" s="374"/>
      <c r="Y262" s="260"/>
      <c r="Z262" s="259"/>
      <c r="AB262" s="260"/>
      <c r="AC262" s="259"/>
      <c r="AE262" s="260"/>
      <c r="AF262" s="259"/>
      <c r="AH262" s="260"/>
      <c r="AI262" s="374"/>
      <c r="AK262" s="260"/>
      <c r="AL262" s="372"/>
      <c r="AN262" s="260"/>
      <c r="AO262" s="259"/>
      <c r="AQ262" s="260"/>
      <c r="AR262" s="259"/>
      <c r="AT262" s="260"/>
      <c r="AU262" s="374"/>
      <c r="AW262" s="260"/>
      <c r="AX262" s="259"/>
      <c r="AZ262" s="260"/>
      <c r="BA262" s="259"/>
      <c r="BC262" s="260"/>
      <c r="BD262" s="259"/>
      <c r="BF262" s="260"/>
      <c r="BG262" s="374"/>
      <c r="BI262" s="260"/>
      <c r="BJ262" s="259"/>
      <c r="BL262" s="260"/>
      <c r="BM262" s="259"/>
      <c r="BO262" s="260"/>
      <c r="BP262" s="259"/>
      <c r="BR262" s="260"/>
      <c r="BS262" s="374"/>
      <c r="BU262" s="260"/>
      <c r="BV262" s="259"/>
      <c r="BX262" s="260"/>
      <c r="BY262" s="259"/>
      <c r="CA262" s="260"/>
      <c r="CB262" s="259"/>
      <c r="CD262" s="260"/>
      <c r="CE262" s="259"/>
      <c r="CG262" s="260"/>
      <c r="CH262" s="259"/>
      <c r="CK262" s="259"/>
      <c r="CM262" s="260"/>
      <c r="CQ262" s="259"/>
      <c r="CT262" s="259"/>
      <c r="CW262" s="259"/>
      <c r="CY262" s="260"/>
      <c r="DB262" s="260"/>
      <c r="DC262" s="259"/>
      <c r="DE262" s="260"/>
      <c r="DF262" s="259"/>
      <c r="DH262" s="260"/>
      <c r="DI262" s="259"/>
      <c r="DK262" s="260"/>
    </row>
    <row r="263" hidden="1">
      <c r="B263" s="180"/>
      <c r="K263" s="374"/>
      <c r="M263" s="260"/>
      <c r="N263" s="259"/>
      <c r="P263" s="260"/>
      <c r="Q263" s="259"/>
      <c r="S263" s="260"/>
      <c r="T263" s="259"/>
      <c r="V263" s="260"/>
      <c r="W263" s="374"/>
      <c r="Y263" s="260"/>
      <c r="Z263" s="259"/>
      <c r="AB263" s="260"/>
      <c r="AC263" s="259"/>
      <c r="AE263" s="260"/>
      <c r="AF263" s="259"/>
      <c r="AH263" s="260"/>
      <c r="AI263" s="374"/>
      <c r="AK263" s="260"/>
      <c r="AL263" s="372"/>
      <c r="AN263" s="260"/>
      <c r="AO263" s="259"/>
      <c r="AQ263" s="260"/>
      <c r="AR263" s="259"/>
      <c r="AT263" s="260"/>
      <c r="AU263" s="374"/>
      <c r="AW263" s="260"/>
      <c r="AX263" s="259"/>
      <c r="AZ263" s="260"/>
      <c r="BA263" s="259"/>
      <c r="BC263" s="260"/>
      <c r="BD263" s="259"/>
      <c r="BF263" s="260"/>
      <c r="BG263" s="374"/>
      <c r="BI263" s="260"/>
      <c r="BJ263" s="259"/>
      <c r="BL263" s="260"/>
      <c r="BM263" s="259"/>
      <c r="BO263" s="260"/>
      <c r="BP263" s="259"/>
      <c r="BR263" s="260"/>
      <c r="BS263" s="374"/>
      <c r="BU263" s="260"/>
      <c r="BV263" s="259"/>
      <c r="BX263" s="260"/>
      <c r="BY263" s="259"/>
      <c r="CA263" s="260"/>
      <c r="CB263" s="259"/>
      <c r="CD263" s="260"/>
      <c r="CE263" s="259"/>
      <c r="CG263" s="260"/>
      <c r="CH263" s="259"/>
      <c r="CK263" s="259"/>
      <c r="CM263" s="260"/>
      <c r="CQ263" s="259"/>
      <c r="CT263" s="259"/>
      <c r="CW263" s="259"/>
      <c r="CY263" s="260"/>
      <c r="DB263" s="260"/>
      <c r="DC263" s="259"/>
      <c r="DE263" s="260"/>
      <c r="DF263" s="259"/>
      <c r="DH263" s="260"/>
      <c r="DI263" s="259"/>
      <c r="DK263" s="260"/>
    </row>
    <row r="264" hidden="1">
      <c r="B264" s="180"/>
      <c r="K264" s="374"/>
      <c r="M264" s="260"/>
      <c r="N264" s="259"/>
      <c r="P264" s="260"/>
      <c r="Q264" s="259"/>
      <c r="S264" s="260"/>
      <c r="T264" s="259"/>
      <c r="V264" s="260"/>
      <c r="W264" s="374"/>
      <c r="Y264" s="260"/>
      <c r="Z264" s="259"/>
      <c r="AB264" s="260"/>
      <c r="AC264" s="259"/>
      <c r="AE264" s="260"/>
      <c r="AF264" s="259"/>
      <c r="AH264" s="260"/>
      <c r="AI264" s="374"/>
      <c r="AK264" s="260"/>
      <c r="AL264" s="372"/>
      <c r="AN264" s="260"/>
      <c r="AO264" s="259"/>
      <c r="AQ264" s="260"/>
      <c r="AR264" s="259"/>
      <c r="AT264" s="260"/>
      <c r="AU264" s="374"/>
      <c r="AW264" s="260"/>
      <c r="AX264" s="259"/>
      <c r="AZ264" s="260"/>
      <c r="BA264" s="259"/>
      <c r="BC264" s="260"/>
      <c r="BD264" s="259"/>
      <c r="BF264" s="260"/>
      <c r="BG264" s="374"/>
      <c r="BI264" s="260"/>
      <c r="BJ264" s="259"/>
      <c r="BL264" s="260"/>
      <c r="BM264" s="259"/>
      <c r="BO264" s="260"/>
      <c r="BP264" s="259"/>
      <c r="BR264" s="260"/>
      <c r="BS264" s="374"/>
      <c r="BU264" s="260"/>
      <c r="BV264" s="259"/>
      <c r="BX264" s="260"/>
      <c r="BY264" s="259"/>
      <c r="CA264" s="260"/>
      <c r="CB264" s="259"/>
      <c r="CD264" s="260"/>
      <c r="CE264" s="259"/>
      <c r="CG264" s="260"/>
      <c r="CH264" s="259"/>
      <c r="CK264" s="259"/>
      <c r="CM264" s="260"/>
      <c r="CQ264" s="259"/>
      <c r="CT264" s="259"/>
      <c r="CW264" s="259"/>
      <c r="CY264" s="260"/>
      <c r="DB264" s="260"/>
      <c r="DC264" s="259"/>
      <c r="DE264" s="260"/>
      <c r="DF264" s="259"/>
      <c r="DH264" s="260"/>
      <c r="DI264" s="259"/>
      <c r="DK264" s="260"/>
    </row>
    <row r="265" hidden="1">
      <c r="B265" s="180"/>
      <c r="K265" s="374"/>
      <c r="M265" s="260"/>
      <c r="N265" s="259"/>
      <c r="P265" s="260"/>
      <c r="Q265" s="259"/>
      <c r="S265" s="260"/>
      <c r="T265" s="259"/>
      <c r="V265" s="260"/>
      <c r="W265" s="374"/>
      <c r="Y265" s="260"/>
      <c r="Z265" s="259"/>
      <c r="AB265" s="260"/>
      <c r="AC265" s="259"/>
      <c r="AE265" s="260"/>
      <c r="AF265" s="259"/>
      <c r="AH265" s="260"/>
      <c r="AI265" s="374"/>
      <c r="AK265" s="260"/>
      <c r="AL265" s="372"/>
      <c r="AN265" s="260"/>
      <c r="AO265" s="259"/>
      <c r="AQ265" s="260"/>
      <c r="AR265" s="259"/>
      <c r="AT265" s="260"/>
      <c r="AU265" s="374"/>
      <c r="AW265" s="260"/>
      <c r="AX265" s="259"/>
      <c r="AZ265" s="260"/>
      <c r="BA265" s="259"/>
      <c r="BC265" s="260"/>
      <c r="BD265" s="259"/>
      <c r="BF265" s="260"/>
      <c r="BG265" s="374"/>
      <c r="BI265" s="260"/>
      <c r="BJ265" s="259"/>
      <c r="BL265" s="260"/>
      <c r="BM265" s="259"/>
      <c r="BO265" s="260"/>
      <c r="BP265" s="259"/>
      <c r="BR265" s="260"/>
      <c r="BS265" s="374"/>
      <c r="BU265" s="260"/>
      <c r="BV265" s="259"/>
      <c r="BX265" s="260"/>
      <c r="BY265" s="259"/>
      <c r="CA265" s="260"/>
      <c r="CB265" s="259"/>
      <c r="CD265" s="260"/>
      <c r="CE265" s="259"/>
      <c r="CG265" s="260"/>
      <c r="CH265" s="259"/>
      <c r="CK265" s="259"/>
      <c r="CM265" s="260"/>
      <c r="CQ265" s="259"/>
      <c r="CT265" s="259"/>
      <c r="CW265" s="259"/>
      <c r="CY265" s="260"/>
      <c r="DB265" s="260"/>
      <c r="DC265" s="259"/>
      <c r="DE265" s="260"/>
      <c r="DF265" s="259"/>
      <c r="DH265" s="260"/>
      <c r="DI265" s="259"/>
      <c r="DK265" s="260"/>
    </row>
    <row r="266" hidden="1">
      <c r="B266" s="180"/>
      <c r="K266" s="374"/>
      <c r="M266" s="260"/>
      <c r="N266" s="259"/>
      <c r="P266" s="260"/>
      <c r="Q266" s="259"/>
      <c r="S266" s="260"/>
      <c r="T266" s="259"/>
      <c r="V266" s="260"/>
      <c r="W266" s="374"/>
      <c r="Y266" s="260"/>
      <c r="Z266" s="259"/>
      <c r="AB266" s="260"/>
      <c r="AC266" s="259"/>
      <c r="AE266" s="260"/>
      <c r="AF266" s="259"/>
      <c r="AH266" s="260"/>
      <c r="AI266" s="374"/>
      <c r="AK266" s="260"/>
      <c r="AL266" s="372"/>
      <c r="AN266" s="260"/>
      <c r="AO266" s="259"/>
      <c r="AQ266" s="260"/>
      <c r="AR266" s="259"/>
      <c r="AT266" s="260"/>
      <c r="AU266" s="374"/>
      <c r="AW266" s="260"/>
      <c r="AX266" s="259"/>
      <c r="AZ266" s="260"/>
      <c r="BA266" s="259"/>
      <c r="BC266" s="260"/>
      <c r="BD266" s="259"/>
      <c r="BF266" s="260"/>
      <c r="BG266" s="374"/>
      <c r="BI266" s="260"/>
      <c r="BJ266" s="259"/>
      <c r="BL266" s="260"/>
      <c r="BM266" s="259"/>
      <c r="BO266" s="260"/>
      <c r="BP266" s="259"/>
      <c r="BR266" s="260"/>
      <c r="BS266" s="374"/>
      <c r="BU266" s="260"/>
      <c r="BV266" s="259"/>
      <c r="BX266" s="260"/>
      <c r="BY266" s="259"/>
      <c r="CA266" s="260"/>
      <c r="CB266" s="259"/>
      <c r="CD266" s="260"/>
      <c r="CE266" s="259"/>
      <c r="CG266" s="260"/>
      <c r="CH266" s="259"/>
      <c r="CK266" s="259"/>
      <c r="CM266" s="260"/>
      <c r="CQ266" s="259"/>
      <c r="CT266" s="259"/>
      <c r="CW266" s="259"/>
      <c r="CY266" s="260"/>
      <c r="DB266" s="260"/>
      <c r="DC266" s="259"/>
      <c r="DE266" s="260"/>
      <c r="DF266" s="259"/>
      <c r="DH266" s="260"/>
      <c r="DI266" s="259"/>
      <c r="DK266" s="260"/>
    </row>
    <row r="267" hidden="1">
      <c r="B267" s="180"/>
      <c r="K267" s="374"/>
      <c r="M267" s="260"/>
      <c r="N267" s="259"/>
      <c r="P267" s="260"/>
      <c r="Q267" s="259"/>
      <c r="S267" s="260"/>
      <c r="T267" s="259"/>
      <c r="V267" s="260"/>
      <c r="W267" s="374"/>
      <c r="Y267" s="260"/>
      <c r="Z267" s="259"/>
      <c r="AB267" s="260"/>
      <c r="AC267" s="259"/>
      <c r="AE267" s="260"/>
      <c r="AF267" s="259"/>
      <c r="AH267" s="260"/>
      <c r="AI267" s="374"/>
      <c r="AK267" s="260"/>
      <c r="AL267" s="372"/>
      <c r="AN267" s="260"/>
      <c r="AO267" s="259"/>
      <c r="AQ267" s="260"/>
      <c r="AR267" s="259"/>
      <c r="AT267" s="260"/>
      <c r="AU267" s="374"/>
      <c r="AW267" s="260"/>
      <c r="AX267" s="259"/>
      <c r="AZ267" s="260"/>
      <c r="BA267" s="259"/>
      <c r="BC267" s="260"/>
      <c r="BD267" s="259"/>
      <c r="BF267" s="260"/>
      <c r="BG267" s="374"/>
      <c r="BI267" s="260"/>
      <c r="BJ267" s="259"/>
      <c r="BL267" s="260"/>
      <c r="BM267" s="259"/>
      <c r="BO267" s="260"/>
      <c r="BP267" s="259"/>
      <c r="BR267" s="260"/>
      <c r="BS267" s="374"/>
      <c r="BU267" s="260"/>
      <c r="BV267" s="259"/>
      <c r="BX267" s="260"/>
      <c r="BY267" s="259"/>
      <c r="CA267" s="260"/>
      <c r="CB267" s="259"/>
      <c r="CD267" s="260"/>
      <c r="CE267" s="259"/>
      <c r="CG267" s="260"/>
      <c r="CH267" s="259"/>
      <c r="CK267" s="259"/>
      <c r="CM267" s="260"/>
      <c r="CQ267" s="259"/>
      <c r="CT267" s="259"/>
      <c r="CW267" s="259"/>
      <c r="CY267" s="260"/>
      <c r="DB267" s="260"/>
      <c r="DC267" s="259"/>
      <c r="DE267" s="260"/>
      <c r="DF267" s="259"/>
      <c r="DH267" s="260"/>
      <c r="DI267" s="259"/>
      <c r="DK267" s="260"/>
    </row>
    <row r="268" hidden="1">
      <c r="B268" s="180"/>
      <c r="K268" s="374"/>
      <c r="M268" s="260"/>
      <c r="N268" s="259"/>
      <c r="P268" s="260"/>
      <c r="Q268" s="259"/>
      <c r="S268" s="260"/>
      <c r="T268" s="259"/>
      <c r="V268" s="260"/>
      <c r="W268" s="374"/>
      <c r="Y268" s="260"/>
      <c r="Z268" s="259"/>
      <c r="AB268" s="260"/>
      <c r="AC268" s="259"/>
      <c r="AE268" s="260"/>
      <c r="AF268" s="259"/>
      <c r="AH268" s="260"/>
      <c r="AI268" s="374"/>
      <c r="AK268" s="260"/>
      <c r="AL268" s="372"/>
      <c r="AN268" s="260"/>
      <c r="AO268" s="259"/>
      <c r="AQ268" s="260"/>
      <c r="AR268" s="259"/>
      <c r="AT268" s="260"/>
      <c r="AU268" s="374"/>
      <c r="AW268" s="260"/>
      <c r="AX268" s="259"/>
      <c r="AZ268" s="260"/>
      <c r="BA268" s="259"/>
      <c r="BC268" s="260"/>
      <c r="BD268" s="259"/>
      <c r="BF268" s="260"/>
      <c r="BG268" s="374"/>
      <c r="BI268" s="260"/>
      <c r="BJ268" s="259"/>
      <c r="BL268" s="260"/>
      <c r="BM268" s="259"/>
      <c r="BO268" s="260"/>
      <c r="BP268" s="259"/>
      <c r="BR268" s="260"/>
      <c r="BS268" s="374"/>
      <c r="BU268" s="260"/>
      <c r="BV268" s="259"/>
      <c r="BX268" s="260"/>
      <c r="BY268" s="259"/>
      <c r="CA268" s="260"/>
      <c r="CB268" s="259"/>
      <c r="CD268" s="260"/>
      <c r="CE268" s="259"/>
      <c r="CG268" s="260"/>
      <c r="CH268" s="259"/>
      <c r="CK268" s="259"/>
      <c r="CM268" s="260"/>
      <c r="CQ268" s="259"/>
      <c r="CT268" s="259"/>
      <c r="CW268" s="259"/>
      <c r="CY268" s="260"/>
      <c r="DB268" s="260"/>
      <c r="DC268" s="259"/>
      <c r="DE268" s="260"/>
      <c r="DF268" s="259"/>
      <c r="DH268" s="260"/>
      <c r="DI268" s="259"/>
      <c r="DK268" s="260"/>
    </row>
    <row r="269" hidden="1">
      <c r="B269" s="180"/>
      <c r="K269" s="374"/>
      <c r="M269" s="260"/>
      <c r="N269" s="259"/>
      <c r="P269" s="260"/>
      <c r="Q269" s="259"/>
      <c r="S269" s="260"/>
      <c r="T269" s="259"/>
      <c r="V269" s="260"/>
      <c r="W269" s="374"/>
      <c r="Y269" s="260"/>
      <c r="Z269" s="259"/>
      <c r="AB269" s="260"/>
      <c r="AC269" s="259"/>
      <c r="AE269" s="260"/>
      <c r="AF269" s="259"/>
      <c r="AH269" s="260"/>
      <c r="AI269" s="374"/>
      <c r="AK269" s="260"/>
      <c r="AL269" s="372"/>
      <c r="AN269" s="260"/>
      <c r="AO269" s="259"/>
      <c r="AQ269" s="260"/>
      <c r="AR269" s="259"/>
      <c r="AT269" s="260"/>
      <c r="AU269" s="374"/>
      <c r="AW269" s="260"/>
      <c r="AX269" s="259"/>
      <c r="AZ269" s="260"/>
      <c r="BA269" s="259"/>
      <c r="BC269" s="260"/>
      <c r="BD269" s="259"/>
      <c r="BF269" s="260"/>
      <c r="BG269" s="374"/>
      <c r="BI269" s="260"/>
      <c r="BJ269" s="259"/>
      <c r="BL269" s="260"/>
      <c r="BM269" s="259"/>
      <c r="BO269" s="260"/>
      <c r="BP269" s="259"/>
      <c r="BR269" s="260"/>
      <c r="BS269" s="374"/>
      <c r="BU269" s="260"/>
      <c r="BV269" s="259"/>
      <c r="BX269" s="260"/>
      <c r="BY269" s="259"/>
      <c r="CA269" s="260"/>
      <c r="CB269" s="259"/>
      <c r="CD269" s="260"/>
      <c r="CE269" s="259"/>
      <c r="CG269" s="260"/>
      <c r="CH269" s="259"/>
      <c r="CK269" s="259"/>
      <c r="CM269" s="260"/>
      <c r="CQ269" s="259"/>
      <c r="CT269" s="259"/>
      <c r="CW269" s="259"/>
      <c r="CY269" s="260"/>
      <c r="DB269" s="260"/>
      <c r="DC269" s="259"/>
      <c r="DE269" s="260"/>
      <c r="DF269" s="259"/>
      <c r="DH269" s="260"/>
      <c r="DI269" s="259"/>
      <c r="DK269" s="260"/>
    </row>
    <row r="270" hidden="1">
      <c r="B270" s="180"/>
      <c r="K270" s="374"/>
      <c r="M270" s="260"/>
      <c r="N270" s="259"/>
      <c r="P270" s="260"/>
      <c r="Q270" s="259"/>
      <c r="S270" s="260"/>
      <c r="T270" s="259"/>
      <c r="V270" s="260"/>
      <c r="W270" s="374"/>
      <c r="Y270" s="260"/>
      <c r="Z270" s="259"/>
      <c r="AB270" s="260"/>
      <c r="AC270" s="259"/>
      <c r="AE270" s="260"/>
      <c r="AF270" s="259"/>
      <c r="AH270" s="260"/>
      <c r="AI270" s="374"/>
      <c r="AK270" s="260"/>
      <c r="AL270" s="372"/>
      <c r="AN270" s="260"/>
      <c r="AO270" s="259"/>
      <c r="AQ270" s="260"/>
      <c r="AR270" s="259"/>
      <c r="AT270" s="260"/>
      <c r="AU270" s="374"/>
      <c r="AW270" s="260"/>
      <c r="AX270" s="259"/>
      <c r="AZ270" s="260"/>
      <c r="BA270" s="259"/>
      <c r="BC270" s="260"/>
      <c r="BD270" s="259"/>
      <c r="BF270" s="260"/>
      <c r="BG270" s="374"/>
      <c r="BI270" s="260"/>
      <c r="BJ270" s="259"/>
      <c r="BL270" s="260"/>
      <c r="BM270" s="259"/>
      <c r="BO270" s="260"/>
      <c r="BP270" s="259"/>
      <c r="BR270" s="260"/>
      <c r="BS270" s="374"/>
      <c r="BU270" s="260"/>
      <c r="BV270" s="259"/>
      <c r="BX270" s="260"/>
      <c r="BY270" s="259"/>
      <c r="CA270" s="260"/>
      <c r="CB270" s="259"/>
      <c r="CD270" s="260"/>
      <c r="CE270" s="259"/>
      <c r="CG270" s="260"/>
      <c r="CH270" s="259"/>
      <c r="CK270" s="259"/>
      <c r="CM270" s="260"/>
      <c r="CQ270" s="259"/>
      <c r="CT270" s="259"/>
      <c r="CW270" s="259"/>
      <c r="CY270" s="260"/>
      <c r="DB270" s="260"/>
      <c r="DC270" s="259"/>
      <c r="DE270" s="260"/>
      <c r="DF270" s="259"/>
      <c r="DH270" s="260"/>
      <c r="DI270" s="259"/>
      <c r="DK270" s="260"/>
    </row>
    <row r="271" hidden="1">
      <c r="B271" s="180"/>
      <c r="K271" s="374"/>
      <c r="M271" s="260"/>
      <c r="N271" s="259"/>
      <c r="P271" s="260"/>
      <c r="Q271" s="259"/>
      <c r="S271" s="260"/>
      <c r="T271" s="259"/>
      <c r="V271" s="260"/>
      <c r="W271" s="374"/>
      <c r="Y271" s="260"/>
      <c r="Z271" s="259"/>
      <c r="AB271" s="260"/>
      <c r="AC271" s="259"/>
      <c r="AE271" s="260"/>
      <c r="AF271" s="259"/>
      <c r="AH271" s="260"/>
      <c r="AI271" s="374"/>
      <c r="AK271" s="260"/>
      <c r="AL271" s="372"/>
      <c r="AN271" s="260"/>
      <c r="AO271" s="259"/>
      <c r="AQ271" s="260"/>
      <c r="AR271" s="259"/>
      <c r="AT271" s="260"/>
      <c r="AU271" s="374"/>
      <c r="AW271" s="260"/>
      <c r="AX271" s="259"/>
      <c r="AZ271" s="260"/>
      <c r="BA271" s="259"/>
      <c r="BC271" s="260"/>
      <c r="BD271" s="259"/>
      <c r="BF271" s="260"/>
      <c r="BG271" s="374"/>
      <c r="BI271" s="260"/>
      <c r="BJ271" s="259"/>
      <c r="BL271" s="260"/>
      <c r="BM271" s="259"/>
      <c r="BO271" s="260"/>
      <c r="BP271" s="259"/>
      <c r="BR271" s="260"/>
      <c r="BS271" s="374"/>
      <c r="BU271" s="260"/>
      <c r="BV271" s="259"/>
      <c r="BX271" s="260"/>
      <c r="BY271" s="259"/>
      <c r="CA271" s="260"/>
      <c r="CB271" s="259"/>
      <c r="CD271" s="260"/>
      <c r="CE271" s="259"/>
      <c r="CG271" s="260"/>
      <c r="CH271" s="259"/>
      <c r="CK271" s="259"/>
      <c r="CM271" s="260"/>
      <c r="CQ271" s="259"/>
      <c r="CT271" s="259"/>
      <c r="CW271" s="259"/>
      <c r="CY271" s="260"/>
      <c r="DB271" s="260"/>
      <c r="DC271" s="259"/>
      <c r="DE271" s="260"/>
      <c r="DF271" s="259"/>
      <c r="DH271" s="260"/>
      <c r="DI271" s="259"/>
      <c r="DK271" s="260"/>
    </row>
    <row r="272" hidden="1">
      <c r="B272" s="180"/>
      <c r="K272" s="374"/>
      <c r="M272" s="260"/>
      <c r="N272" s="259"/>
      <c r="P272" s="260"/>
      <c r="Q272" s="259"/>
      <c r="S272" s="260"/>
      <c r="T272" s="259"/>
      <c r="V272" s="260"/>
      <c r="W272" s="374"/>
      <c r="Y272" s="260"/>
      <c r="Z272" s="259"/>
      <c r="AB272" s="260"/>
      <c r="AC272" s="259"/>
      <c r="AE272" s="260"/>
      <c r="AF272" s="259"/>
      <c r="AH272" s="260"/>
      <c r="AI272" s="374"/>
      <c r="AK272" s="260"/>
      <c r="AL272" s="372"/>
      <c r="AN272" s="260"/>
      <c r="AO272" s="259"/>
      <c r="AQ272" s="260"/>
      <c r="AR272" s="259"/>
      <c r="AT272" s="260"/>
      <c r="AU272" s="374"/>
      <c r="AW272" s="260"/>
      <c r="AX272" s="259"/>
      <c r="AZ272" s="260"/>
      <c r="BA272" s="259"/>
      <c r="BC272" s="260"/>
      <c r="BD272" s="259"/>
      <c r="BF272" s="260"/>
      <c r="BG272" s="374"/>
      <c r="BI272" s="260"/>
      <c r="BJ272" s="259"/>
      <c r="BL272" s="260"/>
      <c r="BM272" s="259"/>
      <c r="BO272" s="260"/>
      <c r="BP272" s="259"/>
      <c r="BR272" s="260"/>
      <c r="BS272" s="374"/>
      <c r="BU272" s="260"/>
      <c r="BV272" s="259"/>
      <c r="BX272" s="260"/>
      <c r="BY272" s="259"/>
      <c r="CA272" s="260"/>
      <c r="CB272" s="259"/>
      <c r="CD272" s="260"/>
      <c r="CE272" s="259"/>
      <c r="CG272" s="260"/>
      <c r="CH272" s="259"/>
      <c r="CK272" s="259"/>
      <c r="CM272" s="260"/>
      <c r="CQ272" s="259"/>
      <c r="CT272" s="259"/>
      <c r="CW272" s="259"/>
      <c r="CY272" s="260"/>
      <c r="DB272" s="260"/>
      <c r="DC272" s="259"/>
      <c r="DE272" s="260"/>
      <c r="DF272" s="259"/>
      <c r="DH272" s="260"/>
      <c r="DI272" s="259"/>
      <c r="DK272" s="260"/>
    </row>
    <row r="273" hidden="1">
      <c r="B273" s="180"/>
      <c r="K273" s="374"/>
      <c r="M273" s="260"/>
      <c r="N273" s="259"/>
      <c r="P273" s="260"/>
      <c r="Q273" s="259"/>
      <c r="S273" s="260"/>
      <c r="T273" s="259"/>
      <c r="V273" s="260"/>
      <c r="W273" s="374"/>
      <c r="Y273" s="260"/>
      <c r="Z273" s="259"/>
      <c r="AB273" s="260"/>
      <c r="AC273" s="259"/>
      <c r="AE273" s="260"/>
      <c r="AF273" s="259"/>
      <c r="AH273" s="260"/>
      <c r="AI273" s="374"/>
      <c r="AK273" s="260"/>
      <c r="AL273" s="372"/>
      <c r="AN273" s="260"/>
      <c r="AO273" s="259"/>
      <c r="AQ273" s="260"/>
      <c r="AR273" s="259"/>
      <c r="AT273" s="260"/>
      <c r="AU273" s="374"/>
      <c r="AW273" s="260"/>
      <c r="AX273" s="259"/>
      <c r="AZ273" s="260"/>
      <c r="BA273" s="259"/>
      <c r="BC273" s="260"/>
      <c r="BD273" s="259"/>
      <c r="BF273" s="260"/>
      <c r="BG273" s="374"/>
      <c r="BI273" s="260"/>
      <c r="BJ273" s="259"/>
      <c r="BL273" s="260"/>
      <c r="BM273" s="259"/>
      <c r="BO273" s="260"/>
      <c r="BP273" s="259"/>
      <c r="BR273" s="260"/>
      <c r="BS273" s="374"/>
      <c r="BU273" s="260"/>
      <c r="BV273" s="259"/>
      <c r="BX273" s="260"/>
      <c r="BY273" s="259"/>
      <c r="CA273" s="260"/>
      <c r="CB273" s="259"/>
      <c r="CD273" s="260"/>
      <c r="CE273" s="259"/>
      <c r="CG273" s="260"/>
      <c r="CH273" s="259"/>
      <c r="CK273" s="259"/>
      <c r="CM273" s="260"/>
      <c r="CQ273" s="259"/>
      <c r="CT273" s="259"/>
      <c r="CW273" s="259"/>
      <c r="CY273" s="260"/>
      <c r="DB273" s="260"/>
      <c r="DC273" s="259"/>
      <c r="DE273" s="260"/>
      <c r="DF273" s="259"/>
      <c r="DH273" s="260"/>
      <c r="DI273" s="259"/>
      <c r="DK273" s="260"/>
    </row>
    <row r="274" hidden="1">
      <c r="B274" s="180"/>
      <c r="K274" s="374"/>
      <c r="M274" s="260"/>
      <c r="N274" s="259"/>
      <c r="P274" s="260"/>
      <c r="Q274" s="259"/>
      <c r="S274" s="260"/>
      <c r="T274" s="259"/>
      <c r="V274" s="260"/>
      <c r="W274" s="374"/>
      <c r="Y274" s="260"/>
      <c r="Z274" s="259"/>
      <c r="AB274" s="260"/>
      <c r="AC274" s="259"/>
      <c r="AE274" s="260"/>
      <c r="AF274" s="259"/>
      <c r="AH274" s="260"/>
      <c r="AI274" s="374"/>
      <c r="AK274" s="260"/>
      <c r="AL274" s="372"/>
      <c r="AN274" s="260"/>
      <c r="AO274" s="259"/>
      <c r="AQ274" s="260"/>
      <c r="AR274" s="259"/>
      <c r="AT274" s="260"/>
      <c r="AU274" s="374"/>
      <c r="AW274" s="260"/>
      <c r="AX274" s="259"/>
      <c r="AZ274" s="260"/>
      <c r="BA274" s="259"/>
      <c r="BC274" s="260"/>
      <c r="BD274" s="259"/>
      <c r="BF274" s="260"/>
      <c r="BG274" s="374"/>
      <c r="BI274" s="260"/>
      <c r="BJ274" s="259"/>
      <c r="BL274" s="260"/>
      <c r="BM274" s="259"/>
      <c r="BO274" s="260"/>
      <c r="BP274" s="259"/>
      <c r="BR274" s="260"/>
      <c r="BS274" s="374"/>
      <c r="BU274" s="260"/>
      <c r="BV274" s="259"/>
      <c r="BX274" s="260"/>
      <c r="BY274" s="259"/>
      <c r="CA274" s="260"/>
      <c r="CB274" s="259"/>
      <c r="CD274" s="260"/>
      <c r="CE274" s="259"/>
      <c r="CG274" s="260"/>
      <c r="CH274" s="259"/>
      <c r="CK274" s="259"/>
      <c r="CM274" s="260"/>
      <c r="CQ274" s="259"/>
      <c r="CT274" s="259"/>
      <c r="CW274" s="259"/>
      <c r="CY274" s="260"/>
      <c r="DB274" s="260"/>
      <c r="DC274" s="259"/>
      <c r="DE274" s="260"/>
      <c r="DF274" s="259"/>
      <c r="DH274" s="260"/>
      <c r="DI274" s="259"/>
      <c r="DK274" s="260"/>
    </row>
    <row r="275" hidden="1">
      <c r="B275" s="180"/>
      <c r="K275" s="374"/>
      <c r="M275" s="260"/>
      <c r="N275" s="259"/>
      <c r="P275" s="260"/>
      <c r="Q275" s="259"/>
      <c r="S275" s="260"/>
      <c r="T275" s="259"/>
      <c r="V275" s="260"/>
      <c r="W275" s="374"/>
      <c r="Y275" s="260"/>
      <c r="Z275" s="259"/>
      <c r="AB275" s="260"/>
      <c r="AC275" s="259"/>
      <c r="AE275" s="260"/>
      <c r="AF275" s="259"/>
      <c r="AH275" s="260"/>
      <c r="AI275" s="374"/>
      <c r="AK275" s="260"/>
      <c r="AL275" s="372"/>
      <c r="AN275" s="260"/>
      <c r="AO275" s="259"/>
      <c r="AQ275" s="260"/>
      <c r="AR275" s="259"/>
      <c r="AT275" s="260"/>
      <c r="AU275" s="374"/>
      <c r="AW275" s="260"/>
      <c r="AX275" s="259"/>
      <c r="AZ275" s="260"/>
      <c r="BA275" s="259"/>
      <c r="BC275" s="260"/>
      <c r="BD275" s="259"/>
      <c r="BF275" s="260"/>
      <c r="BG275" s="374"/>
      <c r="BI275" s="260"/>
      <c r="BJ275" s="259"/>
      <c r="BL275" s="260"/>
      <c r="BM275" s="259"/>
      <c r="BO275" s="260"/>
      <c r="BP275" s="259"/>
      <c r="BR275" s="260"/>
      <c r="BS275" s="374"/>
      <c r="BU275" s="260"/>
      <c r="BV275" s="259"/>
      <c r="BX275" s="260"/>
      <c r="BY275" s="259"/>
      <c r="CA275" s="260"/>
      <c r="CB275" s="259"/>
      <c r="CD275" s="260"/>
      <c r="CE275" s="259"/>
      <c r="CG275" s="260"/>
      <c r="CH275" s="259"/>
      <c r="CK275" s="259"/>
      <c r="CM275" s="260"/>
      <c r="CQ275" s="259"/>
      <c r="CT275" s="259"/>
      <c r="CW275" s="259"/>
      <c r="CY275" s="260"/>
      <c r="DB275" s="260"/>
      <c r="DC275" s="259"/>
      <c r="DE275" s="260"/>
      <c r="DF275" s="259"/>
      <c r="DH275" s="260"/>
      <c r="DI275" s="259"/>
      <c r="DK275" s="260"/>
    </row>
    <row r="276" hidden="1">
      <c r="B276" s="180"/>
      <c r="K276" s="374"/>
      <c r="M276" s="260"/>
      <c r="N276" s="259"/>
      <c r="P276" s="260"/>
      <c r="Q276" s="259"/>
      <c r="S276" s="260"/>
      <c r="T276" s="259"/>
      <c r="V276" s="260"/>
      <c r="W276" s="374"/>
      <c r="Y276" s="260"/>
      <c r="Z276" s="259"/>
      <c r="AB276" s="260"/>
      <c r="AC276" s="259"/>
      <c r="AE276" s="260"/>
      <c r="AF276" s="259"/>
      <c r="AH276" s="260"/>
      <c r="AI276" s="374"/>
      <c r="AK276" s="260"/>
      <c r="AL276" s="372"/>
      <c r="AN276" s="260"/>
      <c r="AO276" s="259"/>
      <c r="AQ276" s="260"/>
      <c r="AR276" s="259"/>
      <c r="AT276" s="260"/>
      <c r="AU276" s="374"/>
      <c r="AW276" s="260"/>
      <c r="AX276" s="259"/>
      <c r="AZ276" s="260"/>
      <c r="BA276" s="259"/>
      <c r="BC276" s="260"/>
      <c r="BD276" s="259"/>
      <c r="BF276" s="260"/>
      <c r="BG276" s="374"/>
      <c r="BI276" s="260"/>
      <c r="BJ276" s="259"/>
      <c r="BL276" s="260"/>
      <c r="BM276" s="259"/>
      <c r="BO276" s="260"/>
      <c r="BP276" s="259"/>
      <c r="BR276" s="260"/>
      <c r="BS276" s="374"/>
      <c r="BU276" s="260"/>
      <c r="BV276" s="259"/>
      <c r="BX276" s="260"/>
      <c r="BY276" s="259"/>
      <c r="CA276" s="260"/>
      <c r="CB276" s="259"/>
      <c r="CD276" s="260"/>
      <c r="CE276" s="259"/>
      <c r="CG276" s="260"/>
      <c r="CH276" s="259"/>
      <c r="CK276" s="259"/>
      <c r="CM276" s="260"/>
      <c r="CQ276" s="259"/>
      <c r="CT276" s="259"/>
      <c r="CW276" s="259"/>
      <c r="CY276" s="260"/>
      <c r="DB276" s="260"/>
      <c r="DC276" s="259"/>
      <c r="DE276" s="260"/>
      <c r="DF276" s="259"/>
      <c r="DH276" s="260"/>
      <c r="DI276" s="259"/>
      <c r="DK276" s="260"/>
    </row>
    <row r="277" hidden="1">
      <c r="B277" s="180"/>
      <c r="K277" s="374"/>
      <c r="M277" s="260"/>
      <c r="N277" s="259"/>
      <c r="P277" s="260"/>
      <c r="Q277" s="259"/>
      <c r="S277" s="260"/>
      <c r="T277" s="259"/>
      <c r="V277" s="260"/>
      <c r="W277" s="374"/>
      <c r="Y277" s="260"/>
      <c r="Z277" s="259"/>
      <c r="AB277" s="260"/>
      <c r="AC277" s="259"/>
      <c r="AE277" s="260"/>
      <c r="AF277" s="259"/>
      <c r="AH277" s="260"/>
      <c r="AI277" s="374"/>
      <c r="AK277" s="260"/>
      <c r="AL277" s="372"/>
      <c r="AN277" s="260"/>
      <c r="AO277" s="259"/>
      <c r="AQ277" s="260"/>
      <c r="AR277" s="259"/>
      <c r="AT277" s="260"/>
      <c r="AU277" s="374"/>
      <c r="AW277" s="260"/>
      <c r="AX277" s="259"/>
      <c r="AZ277" s="260"/>
      <c r="BA277" s="259"/>
      <c r="BC277" s="260"/>
      <c r="BD277" s="259"/>
      <c r="BF277" s="260"/>
      <c r="BG277" s="374"/>
      <c r="BI277" s="260"/>
      <c r="BJ277" s="259"/>
      <c r="BL277" s="260"/>
      <c r="BM277" s="259"/>
      <c r="BO277" s="260"/>
      <c r="BP277" s="259"/>
      <c r="BR277" s="260"/>
      <c r="BS277" s="374"/>
      <c r="BU277" s="260"/>
      <c r="BV277" s="259"/>
      <c r="BX277" s="260"/>
      <c r="BY277" s="259"/>
      <c r="CA277" s="260"/>
      <c r="CB277" s="259"/>
      <c r="CD277" s="260"/>
      <c r="CE277" s="259"/>
      <c r="CG277" s="260"/>
      <c r="CH277" s="259"/>
      <c r="CK277" s="259"/>
      <c r="CM277" s="260"/>
      <c r="CQ277" s="259"/>
      <c r="CT277" s="259"/>
      <c r="CW277" s="259"/>
      <c r="CY277" s="260"/>
      <c r="DB277" s="260"/>
      <c r="DC277" s="259"/>
      <c r="DE277" s="260"/>
      <c r="DF277" s="259"/>
      <c r="DH277" s="260"/>
      <c r="DI277" s="259"/>
      <c r="DK277" s="260"/>
    </row>
    <row r="278" hidden="1">
      <c r="B278" s="180"/>
      <c r="K278" s="374"/>
      <c r="M278" s="260"/>
      <c r="N278" s="259"/>
      <c r="P278" s="260"/>
      <c r="Q278" s="259"/>
      <c r="S278" s="260"/>
      <c r="T278" s="259"/>
      <c r="V278" s="260"/>
      <c r="W278" s="374"/>
      <c r="Y278" s="260"/>
      <c r="Z278" s="259"/>
      <c r="AB278" s="260"/>
      <c r="AC278" s="259"/>
      <c r="AE278" s="260"/>
      <c r="AF278" s="259"/>
      <c r="AH278" s="260"/>
      <c r="AI278" s="374"/>
      <c r="AK278" s="260"/>
      <c r="AL278" s="372"/>
      <c r="AN278" s="260"/>
      <c r="AO278" s="259"/>
      <c r="AQ278" s="260"/>
      <c r="AR278" s="259"/>
      <c r="AT278" s="260"/>
      <c r="AU278" s="374"/>
      <c r="AW278" s="260"/>
      <c r="AX278" s="259"/>
      <c r="AZ278" s="260"/>
      <c r="BA278" s="259"/>
      <c r="BC278" s="260"/>
      <c r="BD278" s="259"/>
      <c r="BF278" s="260"/>
      <c r="BG278" s="374"/>
      <c r="BI278" s="260"/>
      <c r="BJ278" s="259"/>
      <c r="BL278" s="260"/>
      <c r="BM278" s="259"/>
      <c r="BO278" s="260"/>
      <c r="BP278" s="259"/>
      <c r="BR278" s="260"/>
      <c r="BS278" s="374"/>
      <c r="BU278" s="260"/>
      <c r="BV278" s="259"/>
      <c r="BX278" s="260"/>
      <c r="BY278" s="259"/>
      <c r="CA278" s="260"/>
      <c r="CB278" s="259"/>
      <c r="CD278" s="260"/>
      <c r="CE278" s="259"/>
      <c r="CG278" s="260"/>
      <c r="CH278" s="259"/>
      <c r="CK278" s="259"/>
      <c r="CM278" s="260"/>
      <c r="CQ278" s="259"/>
      <c r="CT278" s="259"/>
      <c r="CW278" s="259"/>
      <c r="CY278" s="260"/>
      <c r="DB278" s="260"/>
      <c r="DC278" s="259"/>
      <c r="DE278" s="260"/>
      <c r="DF278" s="259"/>
      <c r="DH278" s="260"/>
      <c r="DI278" s="259"/>
      <c r="DK278" s="260"/>
    </row>
    <row r="279" hidden="1">
      <c r="B279" s="180"/>
      <c r="K279" s="374"/>
      <c r="M279" s="260"/>
      <c r="N279" s="259"/>
      <c r="P279" s="260"/>
      <c r="Q279" s="259"/>
      <c r="S279" s="260"/>
      <c r="T279" s="259"/>
      <c r="V279" s="260"/>
      <c r="W279" s="374"/>
      <c r="Y279" s="260"/>
      <c r="Z279" s="259"/>
      <c r="AB279" s="260"/>
      <c r="AC279" s="259"/>
      <c r="AE279" s="260"/>
      <c r="AF279" s="259"/>
      <c r="AH279" s="260"/>
      <c r="AI279" s="374"/>
      <c r="AK279" s="260"/>
      <c r="AL279" s="372"/>
      <c r="AN279" s="260"/>
      <c r="AO279" s="259"/>
      <c r="AQ279" s="260"/>
      <c r="AR279" s="259"/>
      <c r="AT279" s="260"/>
      <c r="AU279" s="374"/>
      <c r="AW279" s="260"/>
      <c r="AX279" s="259"/>
      <c r="AZ279" s="260"/>
      <c r="BA279" s="259"/>
      <c r="BC279" s="260"/>
      <c r="BD279" s="259"/>
      <c r="BF279" s="260"/>
      <c r="BG279" s="374"/>
      <c r="BI279" s="260"/>
      <c r="BJ279" s="259"/>
      <c r="BL279" s="260"/>
      <c r="BM279" s="259"/>
      <c r="BO279" s="260"/>
      <c r="BP279" s="259"/>
      <c r="BR279" s="260"/>
      <c r="BS279" s="374"/>
      <c r="BU279" s="260"/>
      <c r="BV279" s="259"/>
      <c r="BX279" s="260"/>
      <c r="BY279" s="259"/>
      <c r="CA279" s="260"/>
      <c r="CB279" s="259"/>
      <c r="CD279" s="260"/>
      <c r="CE279" s="259"/>
      <c r="CG279" s="260"/>
      <c r="CH279" s="259"/>
      <c r="CK279" s="259"/>
      <c r="CM279" s="260"/>
      <c r="CQ279" s="259"/>
      <c r="CT279" s="259"/>
      <c r="CW279" s="259"/>
      <c r="CY279" s="260"/>
      <c r="DB279" s="260"/>
      <c r="DC279" s="259"/>
      <c r="DE279" s="260"/>
      <c r="DF279" s="259"/>
      <c r="DH279" s="260"/>
      <c r="DI279" s="259"/>
      <c r="DK279" s="260"/>
    </row>
    <row r="280" hidden="1">
      <c r="B280" s="180"/>
      <c r="K280" s="374"/>
      <c r="M280" s="260"/>
      <c r="N280" s="259"/>
      <c r="P280" s="260"/>
      <c r="Q280" s="259"/>
      <c r="S280" s="260"/>
      <c r="T280" s="259"/>
      <c r="V280" s="260"/>
      <c r="W280" s="374"/>
      <c r="Y280" s="260"/>
      <c r="Z280" s="259"/>
      <c r="AB280" s="260"/>
      <c r="AC280" s="259"/>
      <c r="AE280" s="260"/>
      <c r="AF280" s="259"/>
      <c r="AH280" s="260"/>
      <c r="AI280" s="374"/>
      <c r="AK280" s="260"/>
      <c r="AL280" s="372"/>
      <c r="AN280" s="260"/>
      <c r="AO280" s="259"/>
      <c r="AQ280" s="260"/>
      <c r="AR280" s="259"/>
      <c r="AT280" s="260"/>
      <c r="AU280" s="374"/>
      <c r="AW280" s="260"/>
      <c r="AX280" s="259"/>
      <c r="AZ280" s="260"/>
      <c r="BA280" s="259"/>
      <c r="BC280" s="260"/>
      <c r="BD280" s="259"/>
      <c r="BF280" s="260"/>
      <c r="BG280" s="374"/>
      <c r="BI280" s="260"/>
      <c r="BJ280" s="259"/>
      <c r="BL280" s="260"/>
      <c r="BM280" s="259"/>
      <c r="BO280" s="260"/>
      <c r="BP280" s="259"/>
      <c r="BR280" s="260"/>
      <c r="BS280" s="374"/>
      <c r="BU280" s="260"/>
      <c r="BV280" s="259"/>
      <c r="BX280" s="260"/>
      <c r="BY280" s="259"/>
      <c r="CA280" s="260"/>
      <c r="CB280" s="259"/>
      <c r="CD280" s="260"/>
      <c r="CE280" s="259"/>
      <c r="CG280" s="260"/>
      <c r="CH280" s="259"/>
      <c r="CK280" s="259"/>
      <c r="CM280" s="260"/>
      <c r="CQ280" s="259"/>
      <c r="CT280" s="259"/>
      <c r="CW280" s="259"/>
      <c r="CY280" s="260"/>
      <c r="DB280" s="260"/>
      <c r="DC280" s="259"/>
      <c r="DE280" s="260"/>
      <c r="DF280" s="259"/>
      <c r="DH280" s="260"/>
      <c r="DI280" s="259"/>
      <c r="DK280" s="260"/>
    </row>
    <row r="281" hidden="1">
      <c r="B281" s="180"/>
      <c r="K281" s="374"/>
      <c r="M281" s="260"/>
      <c r="N281" s="259"/>
      <c r="P281" s="260"/>
      <c r="Q281" s="259"/>
      <c r="S281" s="260"/>
      <c r="T281" s="259"/>
      <c r="V281" s="260"/>
      <c r="W281" s="374"/>
      <c r="Y281" s="260"/>
      <c r="Z281" s="259"/>
      <c r="AB281" s="260"/>
      <c r="AC281" s="259"/>
      <c r="AE281" s="260"/>
      <c r="AF281" s="259"/>
      <c r="AH281" s="260"/>
      <c r="AI281" s="374"/>
      <c r="AK281" s="260"/>
      <c r="AL281" s="372"/>
      <c r="AN281" s="260"/>
      <c r="AO281" s="259"/>
      <c r="AQ281" s="260"/>
      <c r="AR281" s="259"/>
      <c r="AT281" s="260"/>
      <c r="AU281" s="374"/>
      <c r="AW281" s="260"/>
      <c r="AX281" s="259"/>
      <c r="AZ281" s="260"/>
      <c r="BA281" s="259"/>
      <c r="BC281" s="260"/>
      <c r="BD281" s="259"/>
      <c r="BF281" s="260"/>
      <c r="BG281" s="374"/>
      <c r="BI281" s="260"/>
      <c r="BJ281" s="259"/>
      <c r="BL281" s="260"/>
      <c r="BM281" s="259"/>
      <c r="BO281" s="260"/>
      <c r="BP281" s="259"/>
      <c r="BR281" s="260"/>
      <c r="BS281" s="374"/>
      <c r="BU281" s="260"/>
      <c r="BV281" s="259"/>
      <c r="BX281" s="260"/>
      <c r="BY281" s="259"/>
      <c r="CA281" s="260"/>
      <c r="CB281" s="259"/>
      <c r="CD281" s="260"/>
      <c r="CE281" s="259"/>
      <c r="CG281" s="260"/>
      <c r="CH281" s="259"/>
      <c r="CK281" s="259"/>
      <c r="CM281" s="260"/>
      <c r="CQ281" s="259"/>
      <c r="CT281" s="259"/>
      <c r="CW281" s="259"/>
      <c r="CY281" s="260"/>
      <c r="DB281" s="260"/>
      <c r="DC281" s="259"/>
      <c r="DE281" s="260"/>
      <c r="DF281" s="259"/>
      <c r="DH281" s="260"/>
      <c r="DI281" s="259"/>
      <c r="DK281" s="260"/>
    </row>
    <row r="282" hidden="1">
      <c r="B282" s="180"/>
      <c r="K282" s="374"/>
      <c r="M282" s="260"/>
      <c r="N282" s="259"/>
      <c r="P282" s="260"/>
      <c r="Q282" s="259"/>
      <c r="S282" s="260"/>
      <c r="T282" s="259"/>
      <c r="V282" s="260"/>
      <c r="W282" s="374"/>
      <c r="Y282" s="260"/>
      <c r="Z282" s="259"/>
      <c r="AB282" s="260"/>
      <c r="AC282" s="259"/>
      <c r="AE282" s="260"/>
      <c r="AF282" s="259"/>
      <c r="AH282" s="260"/>
      <c r="AI282" s="374"/>
      <c r="AK282" s="260"/>
      <c r="AL282" s="372"/>
      <c r="AN282" s="260"/>
      <c r="AO282" s="259"/>
      <c r="AQ282" s="260"/>
      <c r="AR282" s="259"/>
      <c r="AT282" s="260"/>
      <c r="AU282" s="374"/>
      <c r="AW282" s="260"/>
      <c r="AX282" s="259"/>
      <c r="AZ282" s="260"/>
      <c r="BA282" s="259"/>
      <c r="BC282" s="260"/>
      <c r="BD282" s="259"/>
      <c r="BF282" s="260"/>
      <c r="BG282" s="374"/>
      <c r="BI282" s="260"/>
      <c r="BJ282" s="259"/>
      <c r="BL282" s="260"/>
      <c r="BM282" s="259"/>
      <c r="BO282" s="260"/>
      <c r="BP282" s="259"/>
      <c r="BR282" s="260"/>
      <c r="BS282" s="374"/>
      <c r="BU282" s="260"/>
      <c r="BV282" s="259"/>
      <c r="BX282" s="260"/>
      <c r="BY282" s="259"/>
      <c r="CA282" s="260"/>
      <c r="CB282" s="259"/>
      <c r="CD282" s="260"/>
      <c r="CE282" s="259"/>
      <c r="CG282" s="260"/>
      <c r="CH282" s="259"/>
      <c r="CK282" s="259"/>
      <c r="CM282" s="260"/>
      <c r="CQ282" s="259"/>
      <c r="CT282" s="259"/>
      <c r="CW282" s="259"/>
      <c r="CY282" s="260"/>
      <c r="DB282" s="260"/>
      <c r="DC282" s="259"/>
      <c r="DE282" s="260"/>
      <c r="DF282" s="259"/>
      <c r="DH282" s="260"/>
      <c r="DI282" s="259"/>
      <c r="DK282" s="260"/>
    </row>
    <row r="283" hidden="1">
      <c r="B283" s="180"/>
      <c r="K283" s="374"/>
      <c r="M283" s="260"/>
      <c r="N283" s="259"/>
      <c r="P283" s="260"/>
      <c r="Q283" s="259"/>
      <c r="S283" s="260"/>
      <c r="T283" s="259"/>
      <c r="V283" s="260"/>
      <c r="W283" s="374"/>
      <c r="Y283" s="260"/>
      <c r="Z283" s="259"/>
      <c r="AB283" s="260"/>
      <c r="AC283" s="259"/>
      <c r="AE283" s="260"/>
      <c r="AF283" s="259"/>
      <c r="AH283" s="260"/>
      <c r="AI283" s="374"/>
      <c r="AK283" s="260"/>
      <c r="AL283" s="372"/>
      <c r="AN283" s="260"/>
      <c r="AO283" s="259"/>
      <c r="AQ283" s="260"/>
      <c r="AR283" s="259"/>
      <c r="AT283" s="260"/>
      <c r="AU283" s="374"/>
      <c r="AW283" s="260"/>
      <c r="AX283" s="259"/>
      <c r="AZ283" s="260"/>
      <c r="BA283" s="259"/>
      <c r="BC283" s="260"/>
      <c r="BD283" s="259"/>
      <c r="BF283" s="260"/>
      <c r="BG283" s="374"/>
      <c r="BI283" s="260"/>
      <c r="BJ283" s="259"/>
      <c r="BL283" s="260"/>
      <c r="BM283" s="259"/>
      <c r="BO283" s="260"/>
      <c r="BP283" s="259"/>
      <c r="BR283" s="260"/>
      <c r="BS283" s="374"/>
      <c r="BU283" s="260"/>
      <c r="BV283" s="259"/>
      <c r="BX283" s="260"/>
      <c r="BY283" s="259"/>
      <c r="CA283" s="260"/>
      <c r="CB283" s="259"/>
      <c r="CD283" s="260"/>
      <c r="CE283" s="259"/>
      <c r="CG283" s="260"/>
      <c r="CH283" s="259"/>
      <c r="CK283" s="259"/>
      <c r="CM283" s="260"/>
      <c r="CQ283" s="259"/>
      <c r="CT283" s="259"/>
      <c r="CW283" s="259"/>
      <c r="CY283" s="260"/>
      <c r="DB283" s="260"/>
      <c r="DC283" s="259"/>
      <c r="DE283" s="260"/>
      <c r="DF283" s="259"/>
      <c r="DH283" s="260"/>
      <c r="DI283" s="259"/>
      <c r="DK283" s="260"/>
    </row>
    <row r="284" hidden="1">
      <c r="B284" s="180"/>
      <c r="K284" s="374"/>
      <c r="M284" s="260"/>
      <c r="N284" s="259"/>
      <c r="P284" s="260"/>
      <c r="Q284" s="259"/>
      <c r="S284" s="260"/>
      <c r="T284" s="259"/>
      <c r="V284" s="260"/>
      <c r="W284" s="374"/>
      <c r="Y284" s="260"/>
      <c r="Z284" s="259"/>
      <c r="AB284" s="260"/>
      <c r="AC284" s="259"/>
      <c r="AE284" s="260"/>
      <c r="AF284" s="259"/>
      <c r="AH284" s="260"/>
      <c r="AI284" s="374"/>
      <c r="AK284" s="260"/>
      <c r="AL284" s="372"/>
      <c r="AN284" s="260"/>
      <c r="AO284" s="259"/>
      <c r="AQ284" s="260"/>
      <c r="AR284" s="259"/>
      <c r="AT284" s="260"/>
      <c r="AU284" s="374"/>
      <c r="AW284" s="260"/>
      <c r="AX284" s="259"/>
      <c r="AZ284" s="260"/>
      <c r="BA284" s="259"/>
      <c r="BC284" s="260"/>
      <c r="BD284" s="259"/>
      <c r="BF284" s="260"/>
      <c r="BG284" s="374"/>
      <c r="BI284" s="260"/>
      <c r="BJ284" s="259"/>
      <c r="BL284" s="260"/>
      <c r="BM284" s="259"/>
      <c r="BO284" s="260"/>
      <c r="BP284" s="259"/>
      <c r="BR284" s="260"/>
      <c r="BS284" s="374"/>
      <c r="BU284" s="260"/>
      <c r="BV284" s="259"/>
      <c r="BX284" s="260"/>
      <c r="BY284" s="259"/>
      <c r="CA284" s="260"/>
      <c r="CB284" s="259"/>
      <c r="CD284" s="260"/>
      <c r="CE284" s="259"/>
      <c r="CG284" s="260"/>
      <c r="CH284" s="259"/>
      <c r="CK284" s="259"/>
      <c r="CM284" s="260"/>
      <c r="CQ284" s="259"/>
      <c r="CT284" s="259"/>
      <c r="CW284" s="259"/>
      <c r="CY284" s="260"/>
      <c r="DB284" s="260"/>
      <c r="DC284" s="259"/>
      <c r="DE284" s="260"/>
      <c r="DF284" s="259"/>
      <c r="DH284" s="260"/>
      <c r="DI284" s="259"/>
      <c r="DK284" s="260"/>
    </row>
    <row r="285" hidden="1">
      <c r="B285" s="180"/>
      <c r="K285" s="374"/>
      <c r="M285" s="260"/>
      <c r="N285" s="259"/>
      <c r="P285" s="260"/>
      <c r="Q285" s="259"/>
      <c r="S285" s="260"/>
      <c r="T285" s="259"/>
      <c r="V285" s="260"/>
      <c r="W285" s="374"/>
      <c r="Y285" s="260"/>
      <c r="Z285" s="259"/>
      <c r="AB285" s="260"/>
      <c r="AC285" s="259"/>
      <c r="AE285" s="260"/>
      <c r="AF285" s="259"/>
      <c r="AH285" s="260"/>
      <c r="AI285" s="374"/>
      <c r="AK285" s="260"/>
      <c r="AL285" s="372"/>
      <c r="AN285" s="260"/>
      <c r="AO285" s="259"/>
      <c r="AQ285" s="260"/>
      <c r="AR285" s="259"/>
      <c r="AT285" s="260"/>
      <c r="AU285" s="374"/>
      <c r="AW285" s="260"/>
      <c r="AX285" s="259"/>
      <c r="AZ285" s="260"/>
      <c r="BA285" s="259"/>
      <c r="BC285" s="260"/>
      <c r="BD285" s="259"/>
      <c r="BF285" s="260"/>
      <c r="BG285" s="374"/>
      <c r="BI285" s="260"/>
      <c r="BJ285" s="259"/>
      <c r="BL285" s="260"/>
      <c r="BM285" s="259"/>
      <c r="BO285" s="260"/>
      <c r="BP285" s="259"/>
      <c r="BR285" s="260"/>
      <c r="BS285" s="374"/>
      <c r="BU285" s="260"/>
      <c r="BV285" s="259"/>
      <c r="BX285" s="260"/>
      <c r="BY285" s="259"/>
      <c r="CA285" s="260"/>
      <c r="CB285" s="259"/>
      <c r="CD285" s="260"/>
      <c r="CE285" s="259"/>
      <c r="CG285" s="260"/>
      <c r="CH285" s="259"/>
      <c r="CK285" s="259"/>
      <c r="CM285" s="260"/>
      <c r="CQ285" s="259"/>
      <c r="CT285" s="259"/>
      <c r="CW285" s="259"/>
      <c r="CY285" s="260"/>
      <c r="DB285" s="260"/>
      <c r="DC285" s="259"/>
      <c r="DE285" s="260"/>
      <c r="DF285" s="259"/>
      <c r="DH285" s="260"/>
      <c r="DI285" s="259"/>
      <c r="DK285" s="260"/>
    </row>
    <row r="286" hidden="1">
      <c r="B286" s="180"/>
      <c r="K286" s="374"/>
      <c r="M286" s="260"/>
      <c r="N286" s="259"/>
      <c r="P286" s="260"/>
      <c r="Q286" s="259"/>
      <c r="S286" s="260"/>
      <c r="T286" s="259"/>
      <c r="V286" s="260"/>
      <c r="W286" s="374"/>
      <c r="Y286" s="260"/>
      <c r="Z286" s="259"/>
      <c r="AB286" s="260"/>
      <c r="AC286" s="259"/>
      <c r="AE286" s="260"/>
      <c r="AF286" s="259"/>
      <c r="AH286" s="260"/>
      <c r="AI286" s="374"/>
      <c r="AK286" s="260"/>
      <c r="AL286" s="372"/>
      <c r="AN286" s="260"/>
      <c r="AO286" s="259"/>
      <c r="AQ286" s="260"/>
      <c r="AR286" s="259"/>
      <c r="AT286" s="260"/>
      <c r="AU286" s="374"/>
      <c r="AW286" s="260"/>
      <c r="AX286" s="259"/>
      <c r="AZ286" s="260"/>
      <c r="BA286" s="259"/>
      <c r="BC286" s="260"/>
      <c r="BD286" s="259"/>
      <c r="BF286" s="260"/>
      <c r="BG286" s="374"/>
      <c r="BI286" s="260"/>
      <c r="BJ286" s="259"/>
      <c r="BL286" s="260"/>
      <c r="BM286" s="259"/>
      <c r="BO286" s="260"/>
      <c r="BP286" s="259"/>
      <c r="BR286" s="260"/>
      <c r="BS286" s="374"/>
      <c r="BU286" s="260"/>
      <c r="BV286" s="259"/>
      <c r="BX286" s="260"/>
      <c r="BY286" s="259"/>
      <c r="CA286" s="260"/>
      <c r="CB286" s="259"/>
      <c r="CD286" s="260"/>
      <c r="CE286" s="259"/>
      <c r="CG286" s="260"/>
      <c r="CH286" s="259"/>
      <c r="CK286" s="259"/>
      <c r="CM286" s="260"/>
      <c r="CQ286" s="259"/>
      <c r="CT286" s="259"/>
      <c r="CW286" s="259"/>
      <c r="CY286" s="260"/>
      <c r="DB286" s="260"/>
      <c r="DC286" s="259"/>
      <c r="DE286" s="260"/>
      <c r="DF286" s="259"/>
      <c r="DH286" s="260"/>
      <c r="DI286" s="259"/>
      <c r="DK286" s="260"/>
    </row>
    <row r="287" hidden="1">
      <c r="B287" s="180"/>
      <c r="K287" s="374"/>
      <c r="M287" s="260"/>
      <c r="N287" s="259"/>
      <c r="P287" s="260"/>
      <c r="Q287" s="259"/>
      <c r="S287" s="260"/>
      <c r="T287" s="259"/>
      <c r="V287" s="260"/>
      <c r="W287" s="374"/>
      <c r="Y287" s="260"/>
      <c r="Z287" s="259"/>
      <c r="AB287" s="260"/>
      <c r="AC287" s="259"/>
      <c r="AE287" s="260"/>
      <c r="AF287" s="259"/>
      <c r="AH287" s="260"/>
      <c r="AI287" s="374"/>
      <c r="AK287" s="260"/>
      <c r="AL287" s="372"/>
      <c r="AN287" s="260"/>
      <c r="AO287" s="259"/>
      <c r="AQ287" s="260"/>
      <c r="AR287" s="259"/>
      <c r="AT287" s="260"/>
      <c r="AU287" s="374"/>
      <c r="AW287" s="260"/>
      <c r="AX287" s="259"/>
      <c r="AZ287" s="260"/>
      <c r="BA287" s="259"/>
      <c r="BC287" s="260"/>
      <c r="BD287" s="259"/>
      <c r="BF287" s="260"/>
      <c r="BG287" s="374"/>
      <c r="BI287" s="260"/>
      <c r="BJ287" s="259"/>
      <c r="BL287" s="260"/>
      <c r="BM287" s="259"/>
      <c r="BO287" s="260"/>
      <c r="BP287" s="259"/>
      <c r="BR287" s="260"/>
      <c r="BS287" s="374"/>
      <c r="BU287" s="260"/>
      <c r="BV287" s="259"/>
      <c r="BX287" s="260"/>
      <c r="BY287" s="259"/>
      <c r="CA287" s="260"/>
      <c r="CB287" s="259"/>
      <c r="CD287" s="260"/>
      <c r="CE287" s="259"/>
      <c r="CG287" s="260"/>
      <c r="CH287" s="259"/>
      <c r="CK287" s="259"/>
      <c r="CM287" s="260"/>
      <c r="CQ287" s="259"/>
      <c r="CT287" s="259"/>
      <c r="CW287" s="259"/>
      <c r="CY287" s="260"/>
      <c r="DB287" s="260"/>
      <c r="DC287" s="259"/>
      <c r="DE287" s="260"/>
      <c r="DF287" s="259"/>
      <c r="DH287" s="260"/>
      <c r="DI287" s="259"/>
      <c r="DK287" s="260"/>
    </row>
    <row r="288" hidden="1">
      <c r="B288" s="180"/>
      <c r="K288" s="374"/>
      <c r="M288" s="260"/>
      <c r="N288" s="259"/>
      <c r="P288" s="260"/>
      <c r="Q288" s="259"/>
      <c r="S288" s="260"/>
      <c r="T288" s="259"/>
      <c r="V288" s="260"/>
      <c r="W288" s="374"/>
      <c r="Y288" s="260"/>
      <c r="Z288" s="259"/>
      <c r="AB288" s="260"/>
      <c r="AC288" s="259"/>
      <c r="AE288" s="260"/>
      <c r="AF288" s="259"/>
      <c r="AH288" s="260"/>
      <c r="AI288" s="374"/>
      <c r="AK288" s="260"/>
      <c r="AL288" s="372"/>
      <c r="AN288" s="260"/>
      <c r="AO288" s="259"/>
      <c r="AQ288" s="260"/>
      <c r="AR288" s="259"/>
      <c r="AT288" s="260"/>
      <c r="AU288" s="374"/>
      <c r="AW288" s="260"/>
      <c r="AX288" s="259"/>
      <c r="AZ288" s="260"/>
      <c r="BA288" s="259"/>
      <c r="BC288" s="260"/>
      <c r="BD288" s="259"/>
      <c r="BF288" s="260"/>
      <c r="BG288" s="374"/>
      <c r="BI288" s="260"/>
      <c r="BJ288" s="259"/>
      <c r="BL288" s="260"/>
      <c r="BM288" s="259"/>
      <c r="BO288" s="260"/>
      <c r="BP288" s="259"/>
      <c r="BR288" s="260"/>
      <c r="BS288" s="374"/>
      <c r="BU288" s="260"/>
      <c r="BV288" s="259"/>
      <c r="BX288" s="260"/>
      <c r="BY288" s="259"/>
      <c r="CA288" s="260"/>
      <c r="CB288" s="259"/>
      <c r="CD288" s="260"/>
      <c r="CE288" s="259"/>
      <c r="CG288" s="260"/>
      <c r="CH288" s="259"/>
      <c r="CK288" s="259"/>
      <c r="CM288" s="260"/>
      <c r="CQ288" s="259"/>
      <c r="CT288" s="259"/>
      <c r="CW288" s="259"/>
      <c r="CY288" s="260"/>
      <c r="DB288" s="260"/>
      <c r="DC288" s="259"/>
      <c r="DE288" s="260"/>
      <c r="DF288" s="259"/>
      <c r="DH288" s="260"/>
      <c r="DI288" s="259"/>
      <c r="DK288" s="260"/>
    </row>
    <row r="289" hidden="1">
      <c r="B289" s="180"/>
      <c r="K289" s="374"/>
      <c r="M289" s="260"/>
      <c r="N289" s="259"/>
      <c r="P289" s="260"/>
      <c r="Q289" s="259"/>
      <c r="S289" s="260"/>
      <c r="T289" s="259"/>
      <c r="V289" s="260"/>
      <c r="W289" s="374"/>
      <c r="Y289" s="260"/>
      <c r="Z289" s="259"/>
      <c r="AB289" s="260"/>
      <c r="AC289" s="259"/>
      <c r="AE289" s="260"/>
      <c r="AF289" s="259"/>
      <c r="AH289" s="260"/>
      <c r="AI289" s="374"/>
      <c r="AK289" s="260"/>
      <c r="AL289" s="372"/>
      <c r="AN289" s="260"/>
      <c r="AO289" s="259"/>
      <c r="AQ289" s="260"/>
      <c r="AR289" s="259"/>
      <c r="AT289" s="260"/>
      <c r="AU289" s="374"/>
      <c r="AW289" s="260"/>
      <c r="AX289" s="259"/>
      <c r="AZ289" s="260"/>
      <c r="BA289" s="259"/>
      <c r="BC289" s="260"/>
      <c r="BD289" s="259"/>
      <c r="BF289" s="260"/>
      <c r="BG289" s="374"/>
      <c r="BI289" s="260"/>
      <c r="BJ289" s="259"/>
      <c r="BL289" s="260"/>
      <c r="BM289" s="259"/>
      <c r="BO289" s="260"/>
      <c r="BP289" s="259"/>
      <c r="BR289" s="260"/>
      <c r="BS289" s="374"/>
      <c r="BU289" s="260"/>
      <c r="BV289" s="259"/>
      <c r="BX289" s="260"/>
      <c r="BY289" s="259"/>
      <c r="CA289" s="260"/>
      <c r="CB289" s="259"/>
      <c r="CD289" s="260"/>
      <c r="CE289" s="259"/>
      <c r="CG289" s="260"/>
      <c r="CH289" s="259"/>
      <c r="CK289" s="259"/>
      <c r="CM289" s="260"/>
      <c r="CQ289" s="259"/>
      <c r="CT289" s="259"/>
      <c r="CW289" s="259"/>
      <c r="CY289" s="260"/>
      <c r="DB289" s="260"/>
      <c r="DC289" s="259"/>
      <c r="DE289" s="260"/>
      <c r="DF289" s="259"/>
      <c r="DH289" s="260"/>
      <c r="DI289" s="259"/>
      <c r="DK289" s="260"/>
    </row>
    <row r="290" hidden="1">
      <c r="B290" s="180"/>
      <c r="K290" s="374"/>
      <c r="M290" s="260"/>
      <c r="N290" s="259"/>
      <c r="P290" s="260"/>
      <c r="Q290" s="259"/>
      <c r="S290" s="260"/>
      <c r="T290" s="259"/>
      <c r="V290" s="260"/>
      <c r="W290" s="374"/>
      <c r="Y290" s="260"/>
      <c r="Z290" s="259"/>
      <c r="AB290" s="260"/>
      <c r="AC290" s="259"/>
      <c r="AE290" s="260"/>
      <c r="AF290" s="259"/>
      <c r="AH290" s="260"/>
      <c r="AI290" s="374"/>
      <c r="AK290" s="260"/>
      <c r="AL290" s="372"/>
      <c r="AN290" s="260"/>
      <c r="AO290" s="259"/>
      <c r="AQ290" s="260"/>
      <c r="AR290" s="259"/>
      <c r="AT290" s="260"/>
      <c r="AU290" s="374"/>
      <c r="AW290" s="260"/>
      <c r="AX290" s="259"/>
      <c r="AZ290" s="260"/>
      <c r="BA290" s="259"/>
      <c r="BC290" s="260"/>
      <c r="BD290" s="259"/>
      <c r="BF290" s="260"/>
      <c r="BG290" s="374"/>
      <c r="BI290" s="260"/>
      <c r="BJ290" s="259"/>
      <c r="BL290" s="260"/>
      <c r="BM290" s="259"/>
      <c r="BO290" s="260"/>
      <c r="BP290" s="259"/>
      <c r="BR290" s="260"/>
      <c r="BS290" s="374"/>
      <c r="BU290" s="260"/>
      <c r="BV290" s="259"/>
      <c r="BX290" s="260"/>
      <c r="BY290" s="259"/>
      <c r="CA290" s="260"/>
      <c r="CB290" s="259"/>
      <c r="CD290" s="260"/>
      <c r="CE290" s="259"/>
      <c r="CG290" s="260"/>
      <c r="CH290" s="259"/>
      <c r="CK290" s="259"/>
      <c r="CM290" s="260"/>
      <c r="CQ290" s="259"/>
      <c r="CT290" s="259"/>
      <c r="CW290" s="259"/>
      <c r="CY290" s="260"/>
      <c r="DB290" s="260"/>
      <c r="DC290" s="259"/>
      <c r="DE290" s="260"/>
      <c r="DF290" s="259"/>
      <c r="DH290" s="260"/>
      <c r="DI290" s="259"/>
      <c r="DK290" s="260"/>
    </row>
    <row r="291" hidden="1">
      <c r="B291" s="180"/>
      <c r="K291" s="374"/>
      <c r="M291" s="260"/>
      <c r="N291" s="259"/>
      <c r="P291" s="260"/>
      <c r="Q291" s="259"/>
      <c r="S291" s="260"/>
      <c r="T291" s="259"/>
      <c r="V291" s="260"/>
      <c r="W291" s="374"/>
      <c r="Y291" s="260"/>
      <c r="Z291" s="259"/>
      <c r="AB291" s="260"/>
      <c r="AC291" s="259"/>
      <c r="AE291" s="260"/>
      <c r="AF291" s="259"/>
      <c r="AH291" s="260"/>
      <c r="AI291" s="374"/>
      <c r="AK291" s="260"/>
      <c r="AL291" s="372"/>
      <c r="AN291" s="260"/>
      <c r="AO291" s="259"/>
      <c r="AQ291" s="260"/>
      <c r="AR291" s="259"/>
      <c r="AT291" s="260"/>
      <c r="AU291" s="374"/>
      <c r="AW291" s="260"/>
      <c r="AX291" s="259"/>
      <c r="AZ291" s="260"/>
      <c r="BA291" s="259"/>
      <c r="BC291" s="260"/>
      <c r="BD291" s="259"/>
      <c r="BF291" s="260"/>
      <c r="BG291" s="374"/>
      <c r="BI291" s="260"/>
      <c r="BJ291" s="259"/>
      <c r="BL291" s="260"/>
      <c r="BM291" s="259"/>
      <c r="BO291" s="260"/>
      <c r="BP291" s="259"/>
      <c r="BR291" s="260"/>
      <c r="BS291" s="374"/>
      <c r="BU291" s="260"/>
      <c r="BV291" s="259"/>
      <c r="BX291" s="260"/>
      <c r="BY291" s="259"/>
      <c r="CA291" s="260"/>
      <c r="CB291" s="259"/>
      <c r="CD291" s="260"/>
      <c r="CE291" s="259"/>
      <c r="CG291" s="260"/>
      <c r="CH291" s="259"/>
      <c r="CK291" s="259"/>
      <c r="CM291" s="260"/>
      <c r="CQ291" s="259"/>
      <c r="CT291" s="259"/>
      <c r="CW291" s="259"/>
      <c r="CY291" s="260"/>
      <c r="DB291" s="260"/>
      <c r="DC291" s="259"/>
      <c r="DE291" s="260"/>
      <c r="DF291" s="259"/>
      <c r="DH291" s="260"/>
      <c r="DI291" s="259"/>
      <c r="DK291" s="260"/>
    </row>
    <row r="292" hidden="1">
      <c r="B292" s="180"/>
      <c r="K292" s="374"/>
      <c r="M292" s="260"/>
      <c r="N292" s="259"/>
      <c r="P292" s="260"/>
      <c r="Q292" s="259"/>
      <c r="S292" s="260"/>
      <c r="T292" s="259"/>
      <c r="V292" s="260"/>
      <c r="W292" s="374"/>
      <c r="Y292" s="260"/>
      <c r="Z292" s="259"/>
      <c r="AB292" s="260"/>
      <c r="AC292" s="259"/>
      <c r="AE292" s="260"/>
      <c r="AF292" s="259"/>
      <c r="AH292" s="260"/>
      <c r="AI292" s="374"/>
      <c r="AK292" s="260"/>
      <c r="AL292" s="372"/>
      <c r="AN292" s="260"/>
      <c r="AO292" s="259"/>
      <c r="AQ292" s="260"/>
      <c r="AR292" s="259"/>
      <c r="AT292" s="260"/>
      <c r="AU292" s="374"/>
      <c r="AW292" s="260"/>
      <c r="AX292" s="259"/>
      <c r="AZ292" s="260"/>
      <c r="BA292" s="259"/>
      <c r="BC292" s="260"/>
      <c r="BD292" s="259"/>
      <c r="BF292" s="260"/>
      <c r="BG292" s="374"/>
      <c r="BI292" s="260"/>
      <c r="BJ292" s="259"/>
      <c r="BL292" s="260"/>
      <c r="BM292" s="259"/>
      <c r="BO292" s="260"/>
      <c r="BP292" s="259"/>
      <c r="BR292" s="260"/>
      <c r="BS292" s="374"/>
      <c r="BU292" s="260"/>
      <c r="BV292" s="259"/>
      <c r="BX292" s="260"/>
      <c r="BY292" s="259"/>
      <c r="CA292" s="260"/>
      <c r="CB292" s="259"/>
      <c r="CD292" s="260"/>
      <c r="CE292" s="259"/>
      <c r="CG292" s="260"/>
      <c r="CH292" s="259"/>
      <c r="CK292" s="259"/>
      <c r="CM292" s="260"/>
      <c r="CQ292" s="259"/>
      <c r="CT292" s="259"/>
      <c r="CW292" s="259"/>
      <c r="CY292" s="260"/>
      <c r="DB292" s="260"/>
      <c r="DC292" s="259"/>
      <c r="DE292" s="260"/>
      <c r="DF292" s="259"/>
      <c r="DH292" s="260"/>
      <c r="DI292" s="259"/>
      <c r="DK292" s="260"/>
    </row>
    <row r="293" hidden="1">
      <c r="B293" s="180"/>
      <c r="K293" s="374"/>
      <c r="M293" s="260"/>
      <c r="N293" s="259"/>
      <c r="P293" s="260"/>
      <c r="Q293" s="259"/>
      <c r="S293" s="260"/>
      <c r="T293" s="259"/>
      <c r="V293" s="260"/>
      <c r="W293" s="374"/>
      <c r="Y293" s="260"/>
      <c r="Z293" s="259"/>
      <c r="AB293" s="260"/>
      <c r="AC293" s="259"/>
      <c r="AE293" s="260"/>
      <c r="AF293" s="259"/>
      <c r="AH293" s="260"/>
      <c r="AI293" s="374"/>
      <c r="AK293" s="260"/>
      <c r="AL293" s="372"/>
      <c r="AN293" s="260"/>
      <c r="AO293" s="259"/>
      <c r="AQ293" s="260"/>
      <c r="AR293" s="259"/>
      <c r="AT293" s="260"/>
      <c r="AU293" s="374"/>
      <c r="AW293" s="260"/>
      <c r="AX293" s="259"/>
      <c r="AZ293" s="260"/>
      <c r="BA293" s="259"/>
      <c r="BC293" s="260"/>
      <c r="BD293" s="259"/>
      <c r="BF293" s="260"/>
      <c r="BG293" s="374"/>
      <c r="BI293" s="260"/>
      <c r="BJ293" s="259"/>
      <c r="BL293" s="260"/>
      <c r="BM293" s="259"/>
      <c r="BO293" s="260"/>
      <c r="BP293" s="259"/>
      <c r="BR293" s="260"/>
      <c r="BS293" s="374"/>
      <c r="BU293" s="260"/>
      <c r="BV293" s="259"/>
      <c r="BX293" s="260"/>
      <c r="BY293" s="259"/>
      <c r="CA293" s="260"/>
      <c r="CB293" s="259"/>
      <c r="CD293" s="260"/>
      <c r="CE293" s="259"/>
      <c r="CG293" s="260"/>
      <c r="CH293" s="259"/>
      <c r="CK293" s="259"/>
      <c r="CM293" s="260"/>
      <c r="CQ293" s="259"/>
      <c r="CT293" s="259"/>
      <c r="CW293" s="259"/>
      <c r="CY293" s="260"/>
      <c r="DB293" s="260"/>
      <c r="DC293" s="259"/>
      <c r="DE293" s="260"/>
      <c r="DF293" s="259"/>
      <c r="DH293" s="260"/>
      <c r="DI293" s="259"/>
      <c r="DK293" s="260"/>
    </row>
    <row r="294" hidden="1">
      <c r="B294" s="180"/>
      <c r="K294" s="374"/>
      <c r="M294" s="260"/>
      <c r="N294" s="259"/>
      <c r="P294" s="260"/>
      <c r="Q294" s="259"/>
      <c r="S294" s="260"/>
      <c r="T294" s="259"/>
      <c r="V294" s="260"/>
      <c r="W294" s="374"/>
      <c r="Y294" s="260"/>
      <c r="Z294" s="259"/>
      <c r="AB294" s="260"/>
      <c r="AC294" s="259"/>
      <c r="AE294" s="260"/>
      <c r="AF294" s="259"/>
      <c r="AH294" s="260"/>
      <c r="AI294" s="374"/>
      <c r="AK294" s="260"/>
      <c r="AL294" s="372"/>
      <c r="AN294" s="260"/>
      <c r="AO294" s="259"/>
      <c r="AQ294" s="260"/>
      <c r="AR294" s="259"/>
      <c r="AT294" s="260"/>
      <c r="AU294" s="374"/>
      <c r="AW294" s="260"/>
      <c r="AX294" s="259"/>
      <c r="AZ294" s="260"/>
      <c r="BA294" s="259"/>
      <c r="BC294" s="260"/>
      <c r="BD294" s="259"/>
      <c r="BF294" s="260"/>
      <c r="BG294" s="374"/>
      <c r="BI294" s="260"/>
      <c r="BJ294" s="259"/>
      <c r="BL294" s="260"/>
      <c r="BM294" s="259"/>
      <c r="BO294" s="260"/>
      <c r="BP294" s="259"/>
      <c r="BR294" s="260"/>
      <c r="BS294" s="374"/>
      <c r="BU294" s="260"/>
      <c r="BV294" s="259"/>
      <c r="BX294" s="260"/>
      <c r="BY294" s="259"/>
      <c r="CA294" s="260"/>
      <c r="CB294" s="259"/>
      <c r="CD294" s="260"/>
      <c r="CE294" s="259"/>
      <c r="CG294" s="260"/>
      <c r="CH294" s="259"/>
      <c r="CK294" s="259"/>
      <c r="CM294" s="260"/>
      <c r="CQ294" s="259"/>
      <c r="CT294" s="259"/>
      <c r="CW294" s="259"/>
      <c r="CY294" s="260"/>
      <c r="DB294" s="260"/>
      <c r="DC294" s="259"/>
      <c r="DE294" s="260"/>
      <c r="DF294" s="259"/>
      <c r="DH294" s="260"/>
      <c r="DI294" s="259"/>
      <c r="DK294" s="260"/>
    </row>
    <row r="295" hidden="1">
      <c r="B295" s="180"/>
      <c r="K295" s="374"/>
      <c r="M295" s="260"/>
      <c r="N295" s="259"/>
      <c r="P295" s="260"/>
      <c r="Q295" s="259"/>
      <c r="S295" s="260"/>
      <c r="T295" s="259"/>
      <c r="V295" s="260"/>
      <c r="W295" s="374"/>
      <c r="Y295" s="260"/>
      <c r="Z295" s="259"/>
      <c r="AB295" s="260"/>
      <c r="AC295" s="259"/>
      <c r="AE295" s="260"/>
      <c r="AF295" s="259"/>
      <c r="AH295" s="260"/>
      <c r="AI295" s="374"/>
      <c r="AK295" s="260"/>
      <c r="AL295" s="372"/>
      <c r="AN295" s="260"/>
      <c r="AO295" s="259"/>
      <c r="AQ295" s="260"/>
      <c r="AR295" s="259"/>
      <c r="AT295" s="260"/>
      <c r="AU295" s="374"/>
      <c r="AW295" s="260"/>
      <c r="AX295" s="259"/>
      <c r="AZ295" s="260"/>
      <c r="BA295" s="259"/>
      <c r="BC295" s="260"/>
      <c r="BD295" s="259"/>
      <c r="BF295" s="260"/>
      <c r="BG295" s="374"/>
      <c r="BI295" s="260"/>
      <c r="BJ295" s="259"/>
      <c r="BL295" s="260"/>
      <c r="BM295" s="259"/>
      <c r="BO295" s="260"/>
      <c r="BP295" s="259"/>
      <c r="BR295" s="260"/>
      <c r="BS295" s="374"/>
      <c r="BU295" s="260"/>
      <c r="BV295" s="259"/>
      <c r="BX295" s="260"/>
      <c r="BY295" s="259"/>
      <c r="CA295" s="260"/>
      <c r="CB295" s="259"/>
      <c r="CD295" s="260"/>
      <c r="CE295" s="259"/>
      <c r="CG295" s="260"/>
      <c r="CH295" s="259"/>
      <c r="CK295" s="259"/>
      <c r="CM295" s="260"/>
      <c r="CQ295" s="259"/>
      <c r="CT295" s="259"/>
      <c r="CW295" s="259"/>
      <c r="CY295" s="260"/>
      <c r="DB295" s="260"/>
      <c r="DC295" s="259"/>
      <c r="DE295" s="260"/>
      <c r="DF295" s="259"/>
      <c r="DH295" s="260"/>
      <c r="DI295" s="259"/>
      <c r="DK295" s="260"/>
    </row>
    <row r="296" hidden="1">
      <c r="B296" s="180"/>
      <c r="K296" s="374"/>
      <c r="M296" s="260"/>
      <c r="N296" s="259"/>
      <c r="P296" s="260"/>
      <c r="Q296" s="259"/>
      <c r="S296" s="260"/>
      <c r="T296" s="259"/>
      <c r="V296" s="260"/>
      <c r="W296" s="374"/>
      <c r="Y296" s="260"/>
      <c r="Z296" s="259"/>
      <c r="AB296" s="260"/>
      <c r="AC296" s="259"/>
      <c r="AE296" s="260"/>
      <c r="AF296" s="259"/>
      <c r="AH296" s="260"/>
      <c r="AI296" s="374"/>
      <c r="AK296" s="260"/>
      <c r="AL296" s="372"/>
      <c r="AN296" s="260"/>
      <c r="AO296" s="259"/>
      <c r="AQ296" s="260"/>
      <c r="AR296" s="259"/>
      <c r="AT296" s="260"/>
      <c r="AU296" s="374"/>
      <c r="AW296" s="260"/>
      <c r="AX296" s="259"/>
      <c r="AZ296" s="260"/>
      <c r="BA296" s="259"/>
      <c r="BC296" s="260"/>
      <c r="BD296" s="259"/>
      <c r="BF296" s="260"/>
      <c r="BG296" s="374"/>
      <c r="BI296" s="260"/>
      <c r="BJ296" s="259"/>
      <c r="BL296" s="260"/>
      <c r="BM296" s="259"/>
      <c r="BO296" s="260"/>
      <c r="BP296" s="259"/>
      <c r="BR296" s="260"/>
      <c r="BS296" s="374"/>
      <c r="BU296" s="260"/>
      <c r="BV296" s="259"/>
      <c r="BX296" s="260"/>
      <c r="BY296" s="259"/>
      <c r="CA296" s="260"/>
      <c r="CB296" s="259"/>
      <c r="CD296" s="260"/>
      <c r="CE296" s="259"/>
      <c r="CG296" s="260"/>
      <c r="CH296" s="259"/>
      <c r="CK296" s="259"/>
      <c r="CM296" s="260"/>
      <c r="CQ296" s="259"/>
      <c r="CT296" s="259"/>
      <c r="CW296" s="259"/>
      <c r="CY296" s="260"/>
      <c r="DB296" s="260"/>
      <c r="DC296" s="259"/>
      <c r="DE296" s="260"/>
      <c r="DF296" s="259"/>
      <c r="DH296" s="260"/>
      <c r="DI296" s="259"/>
      <c r="DK296" s="260"/>
    </row>
    <row r="297" hidden="1">
      <c r="B297" s="180"/>
      <c r="K297" s="374"/>
      <c r="M297" s="260"/>
      <c r="N297" s="259"/>
      <c r="P297" s="260"/>
      <c r="Q297" s="259"/>
      <c r="S297" s="260"/>
      <c r="T297" s="259"/>
      <c r="V297" s="260"/>
      <c r="W297" s="374"/>
      <c r="Y297" s="260"/>
      <c r="Z297" s="259"/>
      <c r="AB297" s="260"/>
      <c r="AC297" s="259"/>
      <c r="AE297" s="260"/>
      <c r="AF297" s="259"/>
      <c r="AH297" s="260"/>
      <c r="AI297" s="374"/>
      <c r="AK297" s="260"/>
      <c r="AL297" s="372"/>
      <c r="AN297" s="260"/>
      <c r="AO297" s="259"/>
      <c r="AQ297" s="260"/>
      <c r="AR297" s="259"/>
      <c r="AT297" s="260"/>
      <c r="AU297" s="374"/>
      <c r="AW297" s="260"/>
      <c r="AX297" s="259"/>
      <c r="AZ297" s="260"/>
      <c r="BA297" s="259"/>
      <c r="BC297" s="260"/>
      <c r="BD297" s="259"/>
      <c r="BF297" s="260"/>
      <c r="BG297" s="374"/>
      <c r="BI297" s="260"/>
      <c r="BJ297" s="259"/>
      <c r="BL297" s="260"/>
      <c r="BM297" s="259"/>
      <c r="BO297" s="260"/>
      <c r="BP297" s="259"/>
      <c r="BR297" s="260"/>
      <c r="BS297" s="374"/>
      <c r="BU297" s="260"/>
      <c r="BV297" s="259"/>
      <c r="BX297" s="260"/>
      <c r="BY297" s="259"/>
      <c r="CA297" s="260"/>
      <c r="CB297" s="259"/>
      <c r="CD297" s="260"/>
      <c r="CE297" s="259"/>
      <c r="CG297" s="260"/>
      <c r="CH297" s="259"/>
      <c r="CK297" s="259"/>
      <c r="CM297" s="260"/>
      <c r="CQ297" s="259"/>
      <c r="CT297" s="259"/>
      <c r="CW297" s="259"/>
      <c r="CY297" s="260"/>
      <c r="DB297" s="260"/>
      <c r="DC297" s="259"/>
      <c r="DE297" s="260"/>
      <c r="DF297" s="259"/>
      <c r="DH297" s="260"/>
      <c r="DI297" s="259"/>
      <c r="DK297" s="260"/>
    </row>
    <row r="298" hidden="1">
      <c r="B298" s="180"/>
      <c r="K298" s="374"/>
      <c r="M298" s="260"/>
      <c r="N298" s="259"/>
      <c r="P298" s="260"/>
      <c r="Q298" s="259"/>
      <c r="S298" s="260"/>
      <c r="T298" s="259"/>
      <c r="V298" s="260"/>
      <c r="W298" s="374"/>
      <c r="Y298" s="260"/>
      <c r="Z298" s="259"/>
      <c r="AB298" s="260"/>
      <c r="AC298" s="259"/>
      <c r="AE298" s="260"/>
      <c r="AF298" s="259"/>
      <c r="AH298" s="260"/>
      <c r="AI298" s="374"/>
      <c r="AK298" s="260"/>
      <c r="AL298" s="372"/>
      <c r="AN298" s="260"/>
      <c r="AO298" s="259"/>
      <c r="AQ298" s="260"/>
      <c r="AR298" s="259"/>
      <c r="AT298" s="260"/>
      <c r="AU298" s="374"/>
      <c r="AW298" s="260"/>
      <c r="AX298" s="259"/>
      <c r="AZ298" s="260"/>
      <c r="BA298" s="259"/>
      <c r="BC298" s="260"/>
      <c r="BD298" s="259"/>
      <c r="BF298" s="260"/>
      <c r="BG298" s="374"/>
      <c r="BI298" s="260"/>
      <c r="BJ298" s="259"/>
      <c r="BL298" s="260"/>
      <c r="BM298" s="259"/>
      <c r="BO298" s="260"/>
      <c r="BP298" s="259"/>
      <c r="BR298" s="260"/>
      <c r="BS298" s="374"/>
      <c r="BU298" s="260"/>
      <c r="BV298" s="259"/>
      <c r="BX298" s="260"/>
      <c r="BY298" s="259"/>
      <c r="CA298" s="260"/>
      <c r="CB298" s="259"/>
      <c r="CD298" s="260"/>
      <c r="CE298" s="259"/>
      <c r="CG298" s="260"/>
      <c r="CH298" s="259"/>
      <c r="CK298" s="259"/>
      <c r="CM298" s="260"/>
      <c r="CQ298" s="259"/>
      <c r="CT298" s="259"/>
      <c r="CW298" s="259"/>
      <c r="CY298" s="260"/>
      <c r="DB298" s="260"/>
      <c r="DC298" s="259"/>
      <c r="DE298" s="260"/>
      <c r="DF298" s="259"/>
      <c r="DH298" s="260"/>
      <c r="DI298" s="259"/>
      <c r="DK298" s="260"/>
    </row>
    <row r="299" hidden="1">
      <c r="B299" s="180"/>
      <c r="K299" s="374"/>
      <c r="M299" s="260"/>
      <c r="N299" s="259"/>
      <c r="P299" s="260"/>
      <c r="Q299" s="259"/>
      <c r="S299" s="260"/>
      <c r="T299" s="259"/>
      <c r="V299" s="260"/>
      <c r="W299" s="374"/>
      <c r="Y299" s="260"/>
      <c r="Z299" s="259"/>
      <c r="AB299" s="260"/>
      <c r="AC299" s="259"/>
      <c r="AE299" s="260"/>
      <c r="AF299" s="259"/>
      <c r="AH299" s="260"/>
      <c r="AI299" s="374"/>
      <c r="AK299" s="260"/>
      <c r="AL299" s="372"/>
      <c r="AN299" s="260"/>
      <c r="AO299" s="259"/>
      <c r="AQ299" s="260"/>
      <c r="AR299" s="259"/>
      <c r="AT299" s="260"/>
      <c r="AU299" s="374"/>
      <c r="AW299" s="260"/>
      <c r="AX299" s="259"/>
      <c r="AZ299" s="260"/>
      <c r="BA299" s="259"/>
      <c r="BC299" s="260"/>
      <c r="BD299" s="259"/>
      <c r="BF299" s="260"/>
      <c r="BG299" s="374"/>
      <c r="BI299" s="260"/>
      <c r="BJ299" s="259"/>
      <c r="BL299" s="260"/>
      <c r="BM299" s="259"/>
      <c r="BO299" s="260"/>
      <c r="BP299" s="259"/>
      <c r="BR299" s="260"/>
      <c r="BS299" s="374"/>
      <c r="BU299" s="260"/>
      <c r="BV299" s="259"/>
      <c r="BX299" s="260"/>
      <c r="BY299" s="259"/>
      <c r="CA299" s="260"/>
      <c r="CB299" s="259"/>
      <c r="CD299" s="260"/>
      <c r="CE299" s="259"/>
      <c r="CG299" s="260"/>
      <c r="CH299" s="259"/>
      <c r="CK299" s="259"/>
      <c r="CM299" s="260"/>
      <c r="CQ299" s="259"/>
      <c r="CT299" s="259"/>
      <c r="CW299" s="259"/>
      <c r="CY299" s="260"/>
      <c r="DB299" s="260"/>
      <c r="DC299" s="259"/>
      <c r="DE299" s="260"/>
      <c r="DF299" s="259"/>
      <c r="DH299" s="260"/>
      <c r="DI299" s="259"/>
      <c r="DK299" s="260"/>
    </row>
    <row r="300" hidden="1">
      <c r="B300" s="180"/>
      <c r="K300" s="374"/>
      <c r="M300" s="260"/>
      <c r="N300" s="259"/>
      <c r="P300" s="260"/>
      <c r="Q300" s="259"/>
      <c r="S300" s="260"/>
      <c r="T300" s="259"/>
      <c r="V300" s="260"/>
      <c r="W300" s="374"/>
      <c r="Y300" s="260"/>
      <c r="Z300" s="259"/>
      <c r="AB300" s="260"/>
      <c r="AC300" s="259"/>
      <c r="AE300" s="260"/>
      <c r="AF300" s="259"/>
      <c r="AH300" s="260"/>
      <c r="AI300" s="374"/>
      <c r="AK300" s="260"/>
      <c r="AL300" s="372"/>
      <c r="AN300" s="260"/>
      <c r="AO300" s="259"/>
      <c r="AQ300" s="260"/>
      <c r="AR300" s="259"/>
      <c r="AT300" s="260"/>
      <c r="AU300" s="374"/>
      <c r="AW300" s="260"/>
      <c r="AX300" s="259"/>
      <c r="AZ300" s="260"/>
      <c r="BA300" s="259"/>
      <c r="BC300" s="260"/>
      <c r="BD300" s="259"/>
      <c r="BF300" s="260"/>
      <c r="BG300" s="374"/>
      <c r="BI300" s="260"/>
      <c r="BJ300" s="259"/>
      <c r="BL300" s="260"/>
      <c r="BM300" s="259"/>
      <c r="BO300" s="260"/>
      <c r="BP300" s="259"/>
      <c r="BR300" s="260"/>
      <c r="BS300" s="374"/>
      <c r="BU300" s="260"/>
      <c r="BV300" s="259"/>
      <c r="BX300" s="260"/>
      <c r="BY300" s="259"/>
      <c r="CA300" s="260"/>
      <c r="CB300" s="259"/>
      <c r="CD300" s="260"/>
      <c r="CE300" s="259"/>
      <c r="CG300" s="260"/>
      <c r="CH300" s="259"/>
      <c r="CK300" s="259"/>
      <c r="CM300" s="260"/>
      <c r="CQ300" s="259"/>
      <c r="CT300" s="259"/>
      <c r="CW300" s="259"/>
      <c r="CY300" s="260"/>
      <c r="DB300" s="260"/>
      <c r="DC300" s="259"/>
      <c r="DE300" s="260"/>
      <c r="DF300" s="259"/>
      <c r="DH300" s="260"/>
      <c r="DI300" s="259"/>
      <c r="DK300" s="260"/>
    </row>
    <row r="301" hidden="1">
      <c r="B301" s="180"/>
      <c r="K301" s="374"/>
      <c r="M301" s="260"/>
      <c r="N301" s="259"/>
      <c r="P301" s="260"/>
      <c r="Q301" s="259"/>
      <c r="S301" s="260"/>
      <c r="T301" s="259"/>
      <c r="V301" s="260"/>
      <c r="W301" s="374"/>
      <c r="Y301" s="260"/>
      <c r="Z301" s="259"/>
      <c r="AB301" s="260"/>
      <c r="AC301" s="259"/>
      <c r="AE301" s="260"/>
      <c r="AF301" s="259"/>
      <c r="AH301" s="260"/>
      <c r="AI301" s="374"/>
      <c r="AK301" s="260"/>
      <c r="AL301" s="372"/>
      <c r="AN301" s="260"/>
      <c r="AO301" s="259"/>
      <c r="AQ301" s="260"/>
      <c r="AR301" s="259"/>
      <c r="AT301" s="260"/>
      <c r="AU301" s="374"/>
      <c r="AW301" s="260"/>
      <c r="AX301" s="259"/>
      <c r="AZ301" s="260"/>
      <c r="BA301" s="259"/>
      <c r="BC301" s="260"/>
      <c r="BD301" s="259"/>
      <c r="BF301" s="260"/>
      <c r="BG301" s="374"/>
      <c r="BI301" s="260"/>
      <c r="BJ301" s="259"/>
      <c r="BL301" s="260"/>
      <c r="BM301" s="259"/>
      <c r="BO301" s="260"/>
      <c r="BP301" s="259"/>
      <c r="BR301" s="260"/>
      <c r="BS301" s="374"/>
      <c r="BU301" s="260"/>
      <c r="BV301" s="259"/>
      <c r="BX301" s="260"/>
      <c r="BY301" s="259"/>
      <c r="CA301" s="260"/>
      <c r="CB301" s="259"/>
      <c r="CD301" s="260"/>
      <c r="CE301" s="259"/>
      <c r="CG301" s="260"/>
      <c r="CH301" s="259"/>
      <c r="CK301" s="259"/>
      <c r="CM301" s="260"/>
      <c r="CQ301" s="259"/>
      <c r="CT301" s="259"/>
      <c r="CW301" s="259"/>
      <c r="CY301" s="260"/>
      <c r="DB301" s="260"/>
      <c r="DC301" s="259"/>
      <c r="DE301" s="260"/>
      <c r="DF301" s="259"/>
      <c r="DH301" s="260"/>
      <c r="DI301" s="259"/>
      <c r="DK301" s="260"/>
    </row>
    <row r="302" hidden="1">
      <c r="B302" s="180"/>
      <c r="K302" s="374"/>
      <c r="M302" s="260"/>
      <c r="N302" s="259"/>
      <c r="P302" s="260"/>
      <c r="Q302" s="259"/>
      <c r="S302" s="260"/>
      <c r="T302" s="259"/>
      <c r="V302" s="260"/>
      <c r="W302" s="374"/>
      <c r="Y302" s="260"/>
      <c r="Z302" s="259"/>
      <c r="AB302" s="260"/>
      <c r="AC302" s="259"/>
      <c r="AE302" s="260"/>
      <c r="AF302" s="259"/>
      <c r="AH302" s="260"/>
      <c r="AI302" s="374"/>
      <c r="AK302" s="260"/>
      <c r="AL302" s="372"/>
      <c r="AN302" s="260"/>
      <c r="AO302" s="259"/>
      <c r="AQ302" s="260"/>
      <c r="AR302" s="259"/>
      <c r="AT302" s="260"/>
      <c r="AU302" s="374"/>
      <c r="AW302" s="260"/>
      <c r="AX302" s="259"/>
      <c r="AZ302" s="260"/>
      <c r="BA302" s="259"/>
      <c r="BC302" s="260"/>
      <c r="BD302" s="259"/>
      <c r="BF302" s="260"/>
      <c r="BG302" s="374"/>
      <c r="BI302" s="260"/>
      <c r="BJ302" s="259"/>
      <c r="BL302" s="260"/>
      <c r="BM302" s="259"/>
      <c r="BO302" s="260"/>
      <c r="BP302" s="259"/>
      <c r="BR302" s="260"/>
      <c r="BS302" s="374"/>
      <c r="BU302" s="260"/>
      <c r="BV302" s="259"/>
      <c r="BX302" s="260"/>
      <c r="BY302" s="259"/>
      <c r="CA302" s="260"/>
      <c r="CB302" s="259"/>
      <c r="CD302" s="260"/>
      <c r="CE302" s="259"/>
      <c r="CG302" s="260"/>
      <c r="CH302" s="259"/>
      <c r="CK302" s="259"/>
      <c r="CM302" s="260"/>
      <c r="CQ302" s="259"/>
      <c r="CT302" s="259"/>
      <c r="CW302" s="259"/>
      <c r="CY302" s="260"/>
      <c r="DB302" s="260"/>
      <c r="DC302" s="259"/>
      <c r="DE302" s="260"/>
      <c r="DF302" s="259"/>
      <c r="DH302" s="260"/>
      <c r="DI302" s="259"/>
      <c r="DK302" s="260"/>
    </row>
    <row r="303" hidden="1">
      <c r="B303" s="180"/>
      <c r="K303" s="374"/>
      <c r="M303" s="260"/>
      <c r="N303" s="259"/>
      <c r="P303" s="260"/>
      <c r="Q303" s="259"/>
      <c r="S303" s="260"/>
      <c r="T303" s="259"/>
      <c r="V303" s="260"/>
      <c r="W303" s="374"/>
      <c r="Y303" s="260"/>
      <c r="Z303" s="259"/>
      <c r="AB303" s="260"/>
      <c r="AC303" s="259"/>
      <c r="AE303" s="260"/>
      <c r="AF303" s="259"/>
      <c r="AH303" s="260"/>
      <c r="AI303" s="374"/>
      <c r="AK303" s="260"/>
      <c r="AL303" s="372"/>
      <c r="AN303" s="260"/>
      <c r="AO303" s="259"/>
      <c r="AQ303" s="260"/>
      <c r="AR303" s="259"/>
      <c r="AT303" s="260"/>
      <c r="AU303" s="374"/>
      <c r="AW303" s="260"/>
      <c r="AX303" s="259"/>
      <c r="AZ303" s="260"/>
      <c r="BA303" s="259"/>
      <c r="BC303" s="260"/>
      <c r="BD303" s="259"/>
      <c r="BF303" s="260"/>
      <c r="BG303" s="374"/>
      <c r="BI303" s="260"/>
      <c r="BJ303" s="259"/>
      <c r="BL303" s="260"/>
      <c r="BM303" s="259"/>
      <c r="BO303" s="260"/>
      <c r="BP303" s="259"/>
      <c r="BR303" s="260"/>
      <c r="BS303" s="374"/>
      <c r="BU303" s="260"/>
      <c r="BV303" s="259"/>
      <c r="BX303" s="260"/>
      <c r="BY303" s="259"/>
      <c r="CA303" s="260"/>
      <c r="CB303" s="259"/>
      <c r="CD303" s="260"/>
      <c r="CE303" s="259"/>
      <c r="CG303" s="260"/>
      <c r="CH303" s="259"/>
      <c r="CK303" s="259"/>
      <c r="CM303" s="260"/>
      <c r="CQ303" s="259"/>
      <c r="CT303" s="259"/>
      <c r="CW303" s="259"/>
      <c r="CY303" s="260"/>
      <c r="DB303" s="260"/>
      <c r="DC303" s="259"/>
      <c r="DE303" s="260"/>
      <c r="DF303" s="259"/>
      <c r="DH303" s="260"/>
      <c r="DI303" s="259"/>
      <c r="DK303" s="260"/>
    </row>
    <row r="304" hidden="1">
      <c r="B304" s="180"/>
      <c r="K304" s="374"/>
      <c r="M304" s="260"/>
      <c r="N304" s="259"/>
      <c r="P304" s="260"/>
      <c r="Q304" s="259"/>
      <c r="S304" s="260"/>
      <c r="T304" s="259"/>
      <c r="V304" s="260"/>
      <c r="W304" s="374"/>
      <c r="Y304" s="260"/>
      <c r="Z304" s="259"/>
      <c r="AB304" s="260"/>
      <c r="AC304" s="259"/>
      <c r="AE304" s="260"/>
      <c r="AF304" s="259"/>
      <c r="AH304" s="260"/>
      <c r="AI304" s="374"/>
      <c r="AK304" s="260"/>
      <c r="AL304" s="372"/>
      <c r="AN304" s="260"/>
      <c r="AO304" s="259"/>
      <c r="AQ304" s="260"/>
      <c r="AR304" s="259"/>
      <c r="AT304" s="260"/>
      <c r="AU304" s="374"/>
      <c r="AW304" s="260"/>
      <c r="AX304" s="259"/>
      <c r="AZ304" s="260"/>
      <c r="BA304" s="259"/>
      <c r="BC304" s="260"/>
      <c r="BD304" s="259"/>
      <c r="BF304" s="260"/>
      <c r="BG304" s="374"/>
      <c r="BI304" s="260"/>
      <c r="BJ304" s="259"/>
      <c r="BL304" s="260"/>
      <c r="BM304" s="259"/>
      <c r="BO304" s="260"/>
      <c r="BP304" s="259"/>
      <c r="BR304" s="260"/>
      <c r="BS304" s="374"/>
      <c r="BU304" s="260"/>
      <c r="BV304" s="259"/>
      <c r="BX304" s="260"/>
      <c r="BY304" s="259"/>
      <c r="CA304" s="260"/>
      <c r="CB304" s="259"/>
      <c r="CD304" s="260"/>
      <c r="CE304" s="259"/>
      <c r="CG304" s="260"/>
      <c r="CH304" s="259"/>
      <c r="CK304" s="259"/>
      <c r="CM304" s="260"/>
      <c r="CQ304" s="259"/>
      <c r="CT304" s="259"/>
      <c r="CW304" s="259"/>
      <c r="CY304" s="260"/>
      <c r="DB304" s="260"/>
      <c r="DC304" s="259"/>
      <c r="DE304" s="260"/>
      <c r="DF304" s="259"/>
      <c r="DH304" s="260"/>
      <c r="DI304" s="259"/>
      <c r="DK304" s="260"/>
    </row>
    <row r="305" hidden="1">
      <c r="B305" s="180"/>
      <c r="K305" s="374"/>
      <c r="M305" s="260"/>
      <c r="N305" s="259"/>
      <c r="P305" s="260"/>
      <c r="Q305" s="259"/>
      <c r="S305" s="260"/>
      <c r="T305" s="259"/>
      <c r="V305" s="260"/>
      <c r="W305" s="374"/>
      <c r="Y305" s="260"/>
      <c r="Z305" s="259"/>
      <c r="AB305" s="260"/>
      <c r="AC305" s="259"/>
      <c r="AE305" s="260"/>
      <c r="AF305" s="259"/>
      <c r="AH305" s="260"/>
      <c r="AI305" s="374"/>
      <c r="AK305" s="260"/>
      <c r="AL305" s="372"/>
      <c r="AN305" s="260"/>
      <c r="AO305" s="259"/>
      <c r="AQ305" s="260"/>
      <c r="AR305" s="259"/>
      <c r="AT305" s="260"/>
      <c r="AU305" s="374"/>
      <c r="AW305" s="260"/>
      <c r="AX305" s="259"/>
      <c r="AZ305" s="260"/>
      <c r="BA305" s="259"/>
      <c r="BC305" s="260"/>
      <c r="BD305" s="259"/>
      <c r="BF305" s="260"/>
      <c r="BG305" s="374"/>
      <c r="BI305" s="260"/>
      <c r="BJ305" s="259"/>
      <c r="BL305" s="260"/>
      <c r="BM305" s="259"/>
      <c r="BO305" s="260"/>
      <c r="BP305" s="259"/>
      <c r="BR305" s="260"/>
      <c r="BS305" s="374"/>
      <c r="BU305" s="260"/>
      <c r="BV305" s="259"/>
      <c r="BX305" s="260"/>
      <c r="BY305" s="259"/>
      <c r="CA305" s="260"/>
      <c r="CB305" s="259"/>
      <c r="CD305" s="260"/>
      <c r="CE305" s="259"/>
      <c r="CG305" s="260"/>
      <c r="CH305" s="259"/>
      <c r="CK305" s="259"/>
      <c r="CM305" s="260"/>
      <c r="CQ305" s="259"/>
      <c r="CT305" s="259"/>
      <c r="CW305" s="259"/>
      <c r="CY305" s="260"/>
      <c r="DB305" s="260"/>
      <c r="DC305" s="259"/>
      <c r="DE305" s="260"/>
      <c r="DF305" s="259"/>
      <c r="DH305" s="260"/>
      <c r="DI305" s="259"/>
      <c r="DK305" s="260"/>
    </row>
    <row r="306" hidden="1">
      <c r="B306" s="180"/>
      <c r="K306" s="374"/>
      <c r="M306" s="260"/>
      <c r="N306" s="259"/>
      <c r="P306" s="260"/>
      <c r="Q306" s="259"/>
      <c r="S306" s="260"/>
      <c r="T306" s="259"/>
      <c r="V306" s="260"/>
      <c r="W306" s="374"/>
      <c r="Y306" s="260"/>
      <c r="Z306" s="259"/>
      <c r="AB306" s="260"/>
      <c r="AC306" s="259"/>
      <c r="AE306" s="260"/>
      <c r="AF306" s="259"/>
      <c r="AH306" s="260"/>
      <c r="AI306" s="374"/>
      <c r="AK306" s="260"/>
      <c r="AL306" s="372"/>
      <c r="AN306" s="260"/>
      <c r="AO306" s="259"/>
      <c r="AQ306" s="260"/>
      <c r="AR306" s="259"/>
      <c r="AT306" s="260"/>
      <c r="AU306" s="374"/>
      <c r="AW306" s="260"/>
      <c r="AX306" s="259"/>
      <c r="AZ306" s="260"/>
      <c r="BA306" s="259"/>
      <c r="BC306" s="260"/>
      <c r="BD306" s="259"/>
      <c r="BF306" s="260"/>
      <c r="BG306" s="374"/>
      <c r="BI306" s="260"/>
      <c r="BJ306" s="259"/>
      <c r="BL306" s="260"/>
      <c r="BM306" s="259"/>
      <c r="BO306" s="260"/>
      <c r="BP306" s="259"/>
      <c r="BR306" s="260"/>
      <c r="BS306" s="374"/>
      <c r="BU306" s="260"/>
      <c r="BV306" s="259"/>
      <c r="BX306" s="260"/>
      <c r="BY306" s="259"/>
      <c r="CA306" s="260"/>
      <c r="CB306" s="259"/>
      <c r="CD306" s="260"/>
      <c r="CE306" s="259"/>
      <c r="CG306" s="260"/>
      <c r="CH306" s="259"/>
      <c r="CK306" s="259"/>
      <c r="CM306" s="260"/>
      <c r="CQ306" s="259"/>
      <c r="CT306" s="259"/>
      <c r="CW306" s="259"/>
      <c r="CY306" s="260"/>
      <c r="DB306" s="260"/>
      <c r="DC306" s="259"/>
      <c r="DE306" s="260"/>
      <c r="DF306" s="259"/>
      <c r="DH306" s="260"/>
      <c r="DI306" s="259"/>
      <c r="DK306" s="260"/>
    </row>
    <row r="307" hidden="1">
      <c r="B307" s="180"/>
      <c r="K307" s="374"/>
      <c r="M307" s="260"/>
      <c r="N307" s="259"/>
      <c r="P307" s="260"/>
      <c r="Q307" s="259"/>
      <c r="S307" s="260"/>
      <c r="T307" s="259"/>
      <c r="V307" s="260"/>
      <c r="W307" s="374"/>
      <c r="Y307" s="260"/>
      <c r="Z307" s="259"/>
      <c r="AB307" s="260"/>
      <c r="AC307" s="259"/>
      <c r="AE307" s="260"/>
      <c r="AF307" s="259"/>
      <c r="AH307" s="260"/>
      <c r="AI307" s="374"/>
      <c r="AK307" s="260"/>
      <c r="AL307" s="372"/>
      <c r="AN307" s="260"/>
      <c r="AO307" s="259"/>
      <c r="AQ307" s="260"/>
      <c r="AR307" s="259"/>
      <c r="AT307" s="260"/>
      <c r="AU307" s="374"/>
      <c r="AW307" s="260"/>
      <c r="AX307" s="259"/>
      <c r="AZ307" s="260"/>
      <c r="BA307" s="259"/>
      <c r="BC307" s="260"/>
      <c r="BD307" s="259"/>
      <c r="BF307" s="260"/>
      <c r="BG307" s="374"/>
      <c r="BI307" s="260"/>
      <c r="BJ307" s="259"/>
      <c r="BL307" s="260"/>
      <c r="BM307" s="259"/>
      <c r="BO307" s="260"/>
      <c r="BP307" s="259"/>
      <c r="BR307" s="260"/>
      <c r="BS307" s="374"/>
      <c r="BU307" s="260"/>
      <c r="BV307" s="259"/>
      <c r="BX307" s="260"/>
      <c r="BY307" s="259"/>
      <c r="CA307" s="260"/>
      <c r="CB307" s="259"/>
      <c r="CD307" s="260"/>
      <c r="CE307" s="259"/>
      <c r="CG307" s="260"/>
      <c r="CH307" s="259"/>
      <c r="CK307" s="259"/>
      <c r="CM307" s="260"/>
      <c r="CQ307" s="259"/>
      <c r="CT307" s="259"/>
      <c r="CW307" s="259"/>
      <c r="CY307" s="260"/>
      <c r="DB307" s="260"/>
      <c r="DC307" s="259"/>
      <c r="DE307" s="260"/>
      <c r="DF307" s="259"/>
      <c r="DH307" s="260"/>
      <c r="DI307" s="259"/>
      <c r="DK307" s="260"/>
    </row>
    <row r="308" hidden="1">
      <c r="B308" s="180"/>
      <c r="K308" s="374"/>
      <c r="M308" s="260"/>
      <c r="N308" s="259"/>
      <c r="P308" s="260"/>
      <c r="Q308" s="259"/>
      <c r="S308" s="260"/>
      <c r="T308" s="259"/>
      <c r="V308" s="260"/>
      <c r="W308" s="374"/>
      <c r="Y308" s="260"/>
      <c r="Z308" s="259"/>
      <c r="AB308" s="260"/>
      <c r="AC308" s="259"/>
      <c r="AE308" s="260"/>
      <c r="AF308" s="259"/>
      <c r="AH308" s="260"/>
      <c r="AI308" s="374"/>
      <c r="AK308" s="260"/>
      <c r="AL308" s="372"/>
      <c r="AN308" s="260"/>
      <c r="AO308" s="259"/>
      <c r="AQ308" s="260"/>
      <c r="AR308" s="259"/>
      <c r="AT308" s="260"/>
      <c r="AU308" s="374"/>
      <c r="AW308" s="260"/>
      <c r="AX308" s="259"/>
      <c r="AZ308" s="260"/>
      <c r="BA308" s="259"/>
      <c r="BC308" s="260"/>
      <c r="BD308" s="259"/>
      <c r="BF308" s="260"/>
      <c r="BG308" s="374"/>
      <c r="BI308" s="260"/>
      <c r="BJ308" s="259"/>
      <c r="BL308" s="260"/>
      <c r="BM308" s="259"/>
      <c r="BO308" s="260"/>
      <c r="BP308" s="259"/>
      <c r="BR308" s="260"/>
      <c r="BS308" s="374"/>
      <c r="BU308" s="260"/>
      <c r="BV308" s="259"/>
      <c r="BX308" s="260"/>
      <c r="BY308" s="259"/>
      <c r="CA308" s="260"/>
      <c r="CB308" s="259"/>
      <c r="CD308" s="260"/>
      <c r="CE308" s="259"/>
      <c r="CG308" s="260"/>
      <c r="CH308" s="259"/>
      <c r="CK308" s="259"/>
      <c r="CM308" s="260"/>
      <c r="CQ308" s="259"/>
      <c r="CT308" s="259"/>
      <c r="CW308" s="259"/>
      <c r="CY308" s="260"/>
      <c r="DB308" s="260"/>
      <c r="DC308" s="259"/>
      <c r="DE308" s="260"/>
      <c r="DF308" s="259"/>
      <c r="DH308" s="260"/>
      <c r="DI308" s="259"/>
      <c r="DK308" s="260"/>
    </row>
    <row r="309" hidden="1">
      <c r="B309" s="180"/>
      <c r="K309" s="374"/>
      <c r="M309" s="260"/>
      <c r="N309" s="259"/>
      <c r="P309" s="260"/>
      <c r="Q309" s="259"/>
      <c r="S309" s="260"/>
      <c r="T309" s="259"/>
      <c r="V309" s="260"/>
      <c r="W309" s="374"/>
      <c r="Y309" s="260"/>
      <c r="Z309" s="259"/>
      <c r="AB309" s="260"/>
      <c r="AC309" s="259"/>
      <c r="AE309" s="260"/>
      <c r="AF309" s="259"/>
      <c r="AH309" s="260"/>
      <c r="AI309" s="374"/>
      <c r="AK309" s="260"/>
      <c r="AL309" s="372"/>
      <c r="AN309" s="260"/>
      <c r="AO309" s="259"/>
      <c r="AQ309" s="260"/>
      <c r="AR309" s="259"/>
      <c r="AT309" s="260"/>
      <c r="AU309" s="374"/>
      <c r="AW309" s="260"/>
      <c r="AX309" s="259"/>
      <c r="AZ309" s="260"/>
      <c r="BA309" s="259"/>
      <c r="BC309" s="260"/>
      <c r="BD309" s="259"/>
      <c r="BF309" s="260"/>
      <c r="BG309" s="374"/>
      <c r="BI309" s="260"/>
      <c r="BJ309" s="259"/>
      <c r="BL309" s="260"/>
      <c r="BM309" s="259"/>
      <c r="BO309" s="260"/>
      <c r="BP309" s="259"/>
      <c r="BR309" s="260"/>
      <c r="BS309" s="374"/>
      <c r="BU309" s="260"/>
      <c r="BV309" s="259"/>
      <c r="BX309" s="260"/>
      <c r="BY309" s="259"/>
      <c r="CA309" s="260"/>
      <c r="CB309" s="259"/>
      <c r="CD309" s="260"/>
      <c r="CE309" s="259"/>
      <c r="CG309" s="260"/>
      <c r="CH309" s="259"/>
      <c r="CK309" s="259"/>
      <c r="CM309" s="260"/>
      <c r="CQ309" s="259"/>
      <c r="CT309" s="259"/>
      <c r="CW309" s="259"/>
      <c r="CY309" s="260"/>
      <c r="DB309" s="260"/>
      <c r="DC309" s="259"/>
      <c r="DE309" s="260"/>
      <c r="DF309" s="259"/>
      <c r="DH309" s="260"/>
      <c r="DI309" s="259"/>
      <c r="DK309" s="260"/>
    </row>
    <row r="310" hidden="1">
      <c r="B310" s="180"/>
      <c r="K310" s="374"/>
      <c r="M310" s="260"/>
      <c r="N310" s="259"/>
      <c r="P310" s="260"/>
      <c r="Q310" s="259"/>
      <c r="S310" s="260"/>
      <c r="T310" s="259"/>
      <c r="V310" s="260"/>
      <c r="W310" s="374"/>
      <c r="Y310" s="260"/>
      <c r="Z310" s="259"/>
      <c r="AB310" s="260"/>
      <c r="AC310" s="259"/>
      <c r="AE310" s="260"/>
      <c r="AF310" s="259"/>
      <c r="AH310" s="260"/>
      <c r="AI310" s="374"/>
      <c r="AK310" s="260"/>
      <c r="AL310" s="372"/>
      <c r="AN310" s="260"/>
      <c r="AO310" s="259"/>
      <c r="AQ310" s="260"/>
      <c r="AR310" s="259"/>
      <c r="AT310" s="260"/>
      <c r="AU310" s="374"/>
      <c r="AW310" s="260"/>
      <c r="AX310" s="259"/>
      <c r="AZ310" s="260"/>
      <c r="BA310" s="259"/>
      <c r="BC310" s="260"/>
      <c r="BD310" s="259"/>
      <c r="BF310" s="260"/>
      <c r="BG310" s="374"/>
      <c r="BI310" s="260"/>
      <c r="BJ310" s="259"/>
      <c r="BL310" s="260"/>
      <c r="BM310" s="259"/>
      <c r="BO310" s="260"/>
      <c r="BP310" s="259"/>
      <c r="BR310" s="260"/>
      <c r="BS310" s="374"/>
      <c r="BU310" s="260"/>
      <c r="BV310" s="259"/>
      <c r="BX310" s="260"/>
      <c r="BY310" s="259"/>
      <c r="CA310" s="260"/>
      <c r="CB310" s="259"/>
      <c r="CD310" s="260"/>
      <c r="CE310" s="259"/>
      <c r="CG310" s="260"/>
      <c r="CH310" s="259"/>
      <c r="CK310" s="259"/>
      <c r="CM310" s="260"/>
      <c r="CQ310" s="259"/>
      <c r="CT310" s="259"/>
      <c r="CW310" s="259"/>
      <c r="CY310" s="260"/>
      <c r="DB310" s="260"/>
      <c r="DC310" s="259"/>
      <c r="DE310" s="260"/>
      <c r="DF310" s="259"/>
      <c r="DH310" s="260"/>
      <c r="DI310" s="259"/>
      <c r="DK310" s="260"/>
    </row>
    <row r="311" hidden="1">
      <c r="B311" s="180"/>
      <c r="K311" s="374"/>
      <c r="M311" s="260"/>
      <c r="N311" s="259"/>
      <c r="P311" s="260"/>
      <c r="Q311" s="259"/>
      <c r="S311" s="260"/>
      <c r="T311" s="259"/>
      <c r="V311" s="260"/>
      <c r="W311" s="374"/>
      <c r="Y311" s="260"/>
      <c r="Z311" s="259"/>
      <c r="AB311" s="260"/>
      <c r="AC311" s="259"/>
      <c r="AE311" s="260"/>
      <c r="AF311" s="259"/>
      <c r="AH311" s="260"/>
      <c r="AI311" s="374"/>
      <c r="AK311" s="260"/>
      <c r="AL311" s="372"/>
      <c r="AN311" s="260"/>
      <c r="AO311" s="259"/>
      <c r="AQ311" s="260"/>
      <c r="AR311" s="259"/>
      <c r="AT311" s="260"/>
      <c r="AU311" s="374"/>
      <c r="AW311" s="260"/>
      <c r="AX311" s="259"/>
      <c r="AZ311" s="260"/>
      <c r="BA311" s="259"/>
      <c r="BC311" s="260"/>
      <c r="BD311" s="259"/>
      <c r="BF311" s="260"/>
      <c r="BG311" s="374"/>
      <c r="BI311" s="260"/>
      <c r="BJ311" s="259"/>
      <c r="BL311" s="260"/>
      <c r="BM311" s="259"/>
      <c r="BO311" s="260"/>
      <c r="BP311" s="259"/>
      <c r="BR311" s="260"/>
      <c r="BS311" s="374"/>
      <c r="BU311" s="260"/>
      <c r="BV311" s="259"/>
      <c r="BX311" s="260"/>
      <c r="BY311" s="259"/>
      <c r="CA311" s="260"/>
      <c r="CB311" s="259"/>
      <c r="CD311" s="260"/>
      <c r="CE311" s="259"/>
      <c r="CG311" s="260"/>
      <c r="CH311" s="259"/>
      <c r="CK311" s="259"/>
      <c r="CM311" s="260"/>
      <c r="CQ311" s="259"/>
      <c r="CT311" s="259"/>
      <c r="CW311" s="259"/>
      <c r="CY311" s="260"/>
      <c r="DB311" s="260"/>
      <c r="DC311" s="259"/>
      <c r="DE311" s="260"/>
      <c r="DF311" s="259"/>
      <c r="DH311" s="260"/>
      <c r="DI311" s="259"/>
      <c r="DK311" s="260"/>
    </row>
  </sheetData>
  <mergeCells count="20">
    <mergeCell ref="A4:A19"/>
    <mergeCell ref="A20:A47"/>
    <mergeCell ref="A48:A55"/>
    <mergeCell ref="A56:A65"/>
    <mergeCell ref="A66:A76"/>
    <mergeCell ref="A77:A88"/>
    <mergeCell ref="A89:A97"/>
    <mergeCell ref="A182:A195"/>
    <mergeCell ref="A196:A206"/>
    <mergeCell ref="A207:A217"/>
    <mergeCell ref="A218:A227"/>
    <mergeCell ref="A228:A236"/>
    <mergeCell ref="A237:A247"/>
    <mergeCell ref="A98:A111"/>
    <mergeCell ref="A112:A125"/>
    <mergeCell ref="A126:A139"/>
    <mergeCell ref="A140:A149"/>
    <mergeCell ref="A150:A161"/>
    <mergeCell ref="A162:A170"/>
    <mergeCell ref="A171:A181"/>
  </mergeCells>
  <conditionalFormatting sqref="I218:DI227">
    <cfRule type="expression" dxfId="0" priority="1">
      <formula>I218=SMALL(I$4:I311,1)</formula>
    </cfRule>
  </conditionalFormatting>
  <conditionalFormatting sqref="I218:DI227">
    <cfRule type="expression" dxfId="1" priority="2">
      <formula>AND(I218=SMALL(I$4:I311,2),I218&lt;2*SMALL(I$4:I311,1))</formula>
    </cfRule>
  </conditionalFormatting>
  <conditionalFormatting sqref="I218:DI227">
    <cfRule type="expression" dxfId="2" priority="3">
      <formula>AND(I218=SMALL(I$4:I311,3),I218&lt;2*SMALL(I$4:I311,1))</formula>
    </cfRule>
  </conditionalFormatting>
  <conditionalFormatting sqref="K4:DK311">
    <cfRule type="expression" dxfId="0" priority="4">
      <formula>AND(K4=LARGE(K$4:K311,1),K4&gt;0)</formula>
    </cfRule>
  </conditionalFormatting>
  <conditionalFormatting sqref="K4:DK311">
    <cfRule type="expression" dxfId="1" priority="5">
      <formula>AND(K4=LARGE(K$4:K311,2),K4&gt;0.5*SMALL(K$4:K311,1))</formula>
    </cfRule>
  </conditionalFormatting>
  <conditionalFormatting sqref="K4:DK311">
    <cfRule type="expression" dxfId="2" priority="6">
      <formula>AND(K4=LARGE(K$4:K311,3),K4&gt;0.5*SMALL(K$4:K311,1))</formula>
    </cfRule>
  </conditionalFormatting>
  <hyperlinks>
    <hyperlink r:id="rId1" location="Ember_Gathering_.28Lances.2FKilling.29" ref="C4"/>
    <hyperlink r:id="rId2" location="Ember_Gathering_.28Lances.2FKilling.29" ref="C5"/>
    <hyperlink r:id="rId3" location="Ember_Gathering_.28Lances.2FKilling.29" ref="C6"/>
    <hyperlink r:id="rId4" location="Ember_Gathering_.28Lances.2FKilling.29" ref="C7"/>
    <hyperlink r:id="rId5" location="Ember_Gathering_.28Swords.2FCavalry.29" ref="C8"/>
    <hyperlink r:id="rId6" location="Ember_Gathering_.28Swords.2FCavalry.29" ref="C9"/>
    <hyperlink r:id="rId7" location="Ember_Gathering_.28Swords.2FCavalry.29" ref="C10"/>
    <hyperlink r:id="rId8" location="Ember_Gathering_.28Swords.2FCavalry.29" ref="C11"/>
    <hyperlink r:id="rId9" location="Ember_Gathering_.28Bows.2FSpells.29" ref="C12"/>
    <hyperlink r:id="rId10" location="Ember_Gathering_.28Bows.2FSpells.29" ref="C13"/>
    <hyperlink r:id="rId11" location="Ember_Gathering_.28Bows.2FSpells.29" ref="C14"/>
    <hyperlink r:id="rId12" location="Ember_Gathering_.28Bows.2FSpells.29" ref="C15"/>
    <hyperlink r:id="rId13" location="Ember_Gathering_.28ALL_Class.29" ref="C16"/>
    <hyperlink r:id="rId14" location="Ember_Gathering_.28ALL_Class.29" ref="C17"/>
    <hyperlink r:id="rId15" location="Ember_Gathering_.28ALL_Class.29" ref="C18"/>
    <hyperlink r:id="rId16" location="Ember_Gathering_.28ALL_Class.29" ref="C19"/>
    <hyperlink r:id="rId17" location="Archery_Training_Field" ref="C20"/>
    <hyperlink r:id="rId18" location="Archery_Training_Field" ref="C21"/>
    <hyperlink r:id="rId19" location="Archery_Training_Field" ref="C22"/>
    <hyperlink r:id="rId20" location="Archery_Training_Field" ref="C23"/>
    <hyperlink r:id="rId21" location="Spear_Training_Field" ref="C24"/>
    <hyperlink r:id="rId22" location="Spear_Training_Field" ref="C25"/>
    <hyperlink r:id="rId23" location="Spear_Training_Field" ref="C26"/>
    <hyperlink r:id="rId24" location="Spear_Training_Field" ref="C27"/>
    <hyperlink r:id="rId25" location="Mad_Training_Field" ref="C28"/>
    <hyperlink r:id="rId26" location="Mad_Training_Field" ref="C29"/>
    <hyperlink r:id="rId27" location="Mad_Training_Field" ref="C30"/>
    <hyperlink r:id="rId28" location="Mad_Training_Field" ref="C31"/>
    <hyperlink r:id="rId29" location="Cavalry_Training_Field" ref="C32"/>
    <hyperlink r:id="rId30" location="Cavalry_Training_Field" ref="C33"/>
    <hyperlink r:id="rId31" location="Cavalry_Training_Field" ref="C34"/>
    <hyperlink r:id="rId32" location="Cavalry_Training_Field" ref="C35"/>
    <hyperlink r:id="rId33" location="Magic_Training_Field" ref="C36"/>
    <hyperlink r:id="rId34" location="Magic_Training_Field" ref="C37"/>
    <hyperlink r:id="rId35" location="Magic_Training_Field" ref="C38"/>
    <hyperlink r:id="rId36" location="Magic_Training_Field" ref="C39"/>
    <hyperlink r:id="rId37" location="Killing_Training_Field" ref="C40"/>
    <hyperlink r:id="rId38" location="Killing_Training_Field" ref="C41"/>
    <hyperlink r:id="rId39" location="Killing_Training_Field" ref="C42"/>
    <hyperlink r:id="rId40" location="Killing_Training_Field" ref="C43"/>
    <hyperlink r:id="rId41" location="Sword_Training_Field" ref="C44"/>
    <hyperlink r:id="rId42" location="Sword_Training_Field" ref="C45"/>
    <hyperlink r:id="rId43" location="Sword_Training_Field" ref="C46"/>
    <hyperlink r:id="rId44" location="Sword_Training_Field" ref="C47"/>
    <hyperlink r:id="rId45" location="Unknown_Coordinates_X-A" ref="C48"/>
    <hyperlink r:id="rId46" location="Unknown_Coordinates_X-B" ref="C49"/>
    <hyperlink r:id="rId47" location="Unknown_Coordinates_X-C" ref="C50"/>
    <hyperlink r:id="rId48" location="Unknown_Coordinates_X-D" ref="C51"/>
    <hyperlink r:id="rId49" location="Unknown_Coordinates_X-E" ref="C52"/>
    <hyperlink r:id="rId50" location="Unknown_Coordinates_X-F" ref="C53"/>
    <hyperlink r:id="rId51" location="Unknown_Coordinates_X-G" ref="C54"/>
    <hyperlink r:id="rId52" location="Mobile_Coordinates.2C_Point_0" ref="C55"/>
    <hyperlink r:id="rId53" location="Domr.C3.A9my" ref="C56"/>
    <hyperlink r:id="rId54" location="Vaucouleurs" ref="C57"/>
    <hyperlink r:id="rId55" location="La_Charit.C3.A9" ref="C58"/>
    <hyperlink r:id="rId56" location="Jura" ref="C59"/>
    <hyperlink r:id="rId57" location="Lyon" ref="C60"/>
    <hyperlink r:id="rId58" location="Marseille" ref="C61"/>
    <hyperlink r:id="rId59" location="Thiers" ref="C62"/>
    <hyperlink r:id="rId60" location="Bordeaux" ref="C63"/>
    <hyperlink r:id="rId61" location="Orleans" ref="C64"/>
    <hyperlink r:id="rId62" location="Paris" ref="C65"/>
    <hyperlink r:id="rId63" location="Appia_Road" ref="C66"/>
    <hyperlink r:id="rId64" location="Rome" ref="C67"/>
    <hyperlink r:id="rId65" location="Mt._Etna" ref="C68"/>
    <hyperlink r:id="rId66" location="Florence" ref="C69"/>
    <hyperlink r:id="rId67" location="Mediolanum" ref="C70"/>
    <hyperlink r:id="rId68" location="Germania" ref="C71"/>
    <hyperlink r:id="rId69" location="Massilia" ref="C72"/>
    <hyperlink r:id="rId70" location="Gaul" ref="C73"/>
    <hyperlink r:id="rId71" location="Britannia" ref="C74"/>
    <hyperlink r:id="rId72" location="Shaped_Isle" ref="C75"/>
    <hyperlink r:id="rId73" location="Alliance_Capital" ref="C76"/>
    <hyperlink r:id="rId74" location="Pirate_Ship" ref="C77"/>
    <hyperlink r:id="rId75" location="Pirate_Island" ref="C78"/>
    <hyperlink r:id="rId76" location="King.27s_Abode_Island" ref="C79"/>
    <hyperlink r:id="rId77" location="Mapped_Island" ref="C80"/>
    <hyperlink r:id="rId78" location="Sunken_Rock_Seas" ref="C81"/>
    <hyperlink r:id="rId79" location="Two-Current_Sea" ref="C82"/>
    <hyperlink r:id="rId80" location="Island_of_Wyverns" ref="C83"/>
    <hyperlink r:id="rId81" location="Caldera_Island" ref="C84"/>
    <hyperlink r:id="rId82" location="Stormy_Seas" ref="C85"/>
    <hyperlink r:id="rId83" location="Archipelago" ref="C86"/>
    <hyperlink r:id="rId84" location="Archipelago" ref="C87"/>
    <hyperlink r:id="rId85" location="Bountiful_Sea" ref="C88"/>
    <hyperlink r:id="rId86" location="Old_Street" ref="C89"/>
    <hyperlink r:id="rId87" location="Whitechapel" ref="C90"/>
    <hyperlink r:id="rId88" location="City_Of_London" ref="C91"/>
    <hyperlink r:id="rId89" location="SOHO" ref="C92"/>
    <hyperlink r:id="rId90" location="Westminster_.2F_City_of_Westminster" ref="C93"/>
    <hyperlink r:id="rId91" location="Regent_Park" ref="C94"/>
    <hyperlink r:id="rId92" location="Clerkenwell" ref="C95"/>
    <hyperlink r:id="rId93" location="Southwark_.2F_Borough_of_Southwark" ref="C96"/>
    <hyperlink r:id="rId94" location="Hyde_Park" ref="C97"/>
    <hyperlink r:id="rId95" location="Black_Hills" ref="C98"/>
    <hyperlink r:id="rId96" location="Riverton" ref="C99"/>
    <hyperlink r:id="rId97" location="Denver" ref="C100"/>
    <hyperlink r:id="rId98" location="Deming" ref="C101"/>
    <hyperlink r:id="rId99" location="Dallas" ref="C102"/>
    <hyperlink r:id="rId100" location="Alcatraz" ref="C103"/>
    <hyperlink r:id="rId101" location="Des_Moines" ref="C104"/>
    <hyperlink r:id="rId102" location="Montgomery" ref="C105"/>
    <hyperlink r:id="rId103" location="Lubbock" ref="C106"/>
    <hyperlink r:id="rId104" location="Alexandria" ref="C107"/>
    <hyperlink r:id="rId105" location="Kearney" ref="C108"/>
    <hyperlink r:id="rId106" location="Charlotte" ref="C109"/>
    <hyperlink r:id="rId107" location="Washington" ref="C110"/>
    <hyperlink r:id="rId108" location="Chicago" ref="C111"/>
    <hyperlink r:id="rId109" location="Desert_Sandstorm" ref="C112"/>
    <hyperlink r:id="rId110" location="Dunes_of_Daybreak" ref="C113"/>
    <hyperlink r:id="rId111" location="Wilderness_of_Death" ref="C114"/>
    <hyperlink r:id="rId112" location="Eastern_Village" ref="C115"/>
    <hyperlink r:id="rId113" location="Round_Table_Fortress" ref="C116"/>
    <hyperlink r:id="rId114" location="Evening_Bell_Mausoleum" ref="C117"/>
    <hyperlink r:id="rId115" location="Remnants_of_Western_Village" ref="C118"/>
    <hyperlink r:id="rId116" location="Atlas_Academy" ref="C119"/>
    <hyperlink r:id="rId117" location="Holy_City_Main_Entrance" ref="C120"/>
    <hyperlink r:id="rId118" location="Holy_City_Districts" ref="C121"/>
    <hyperlink r:id="rId119" location="Concealed_Village" ref="C122"/>
    <hyperlink r:id="rId120" location="Sovereign_Castle" ref="C123"/>
    <hyperlink r:id="rId121" location="Vast_Land_of_Nothingness" ref="C124"/>
    <hyperlink r:id="rId122" location="Great_Temple" ref="C125"/>
    <hyperlink r:id="rId123" location="Abolished_Metropolis_Babylon" ref="C126"/>
    <hyperlink r:id="rId124" location="Northern_Hill" ref="C127"/>
    <hyperlink r:id="rId125" location="Black_Cedar_Forest" ref="C128"/>
    <hyperlink r:id="rId126" location="Plateau" ref="C129"/>
    <hyperlink r:id="rId127" location="Marshland.2FBog" ref="C130"/>
    <hyperlink r:id="rId128" location="Ur" ref="C131"/>
    <hyperlink r:id="rId129" location="Eridu" ref="C132"/>
    <hyperlink r:id="rId130" location="Observatory" ref="C133"/>
    <hyperlink r:id="rId131" location="Phragmites_Prairie_.2F_Field_of_Reeds" ref="C134"/>
    <hyperlink r:id="rId132" location="Cuthah" ref="C135"/>
    <hyperlink r:id="rId133" location="Northern_Wall" ref="C136"/>
    <hyperlink r:id="rId134" location="Nippur" ref="C137"/>
    <hyperlink r:id="rId135" location="Mount_Ahv.C4.81z" ref="C138"/>
    <hyperlink r:id="rId136" location="Blood_Fort_Andromeda" ref="C139"/>
    <hyperlink r:id="rId137" location="Yoyogi_2-chome" ref="C140"/>
    <hyperlink r:id="rId138" location="Japan_National_Route_20" ref="C141"/>
    <hyperlink r:id="rId139" location="Shinjuku_Station" ref="C142"/>
    <hyperlink r:id="rId140" location="Shinjuku_4-chome" ref="C143"/>
    <hyperlink r:id="rId141" location="Kabukich.C5.8D" ref="C144"/>
    <hyperlink r:id="rId142" location="Barrel_Tower" ref="C145"/>
    <hyperlink r:id="rId143" location="Party_Hall" ref="C146"/>
    <hyperlink r:id="rId144" location="Tower.27s_Top_Floor" ref="C147"/>
    <hyperlink r:id="rId145" location="Shinjuku_Imperial_Garden" ref="C148"/>
    <hyperlink r:id="rId146" location="Shinjuku_2-chome" ref="C149"/>
    <hyperlink r:id="rId147" location="Underground_Plains" ref="C150"/>
    <hyperlink r:id="rId148" location="Camping_Ground" ref="C151"/>
    <hyperlink r:id="rId149" location="Riverside_Town" ref="C152"/>
    <hyperlink r:id="rId150" location="Peach_Blossom_Shangri-La" ref="C153"/>
    <hyperlink r:id="rId151" location="Ys" ref="C154"/>
    <hyperlink r:id="rId152" location="Northern_Cliffs" ref="C155"/>
    <hyperlink r:id="rId153" location="Nightless_City" ref="C156"/>
    <hyperlink r:id="rId154" location="Foothills_Jungle" ref="C157"/>
    <hyperlink r:id="rId155" location="Dragon_Palace" ref="C158"/>
    <hyperlink r:id="rId156" location="Great_Underground_River" ref="C159"/>
    <hyperlink r:id="rId157" location="El_Dorado" ref="C160"/>
    <hyperlink r:id="rId158" location="Chasm_in_the_Earth" ref="C161"/>
    <hyperlink r:id="rId159" location="Rice_Field" ref="C162"/>
    <hyperlink r:id="rId160" location="Village" ref="C163"/>
    <hyperlink r:id="rId161" location="Monastery" ref="C164"/>
    <hyperlink r:id="rId162" location="Castle_Town" ref="C165"/>
    <hyperlink r:id="rId163" location="Battlefield" ref="C166"/>
    <hyperlink r:id="rId164" location="Toke_Castle" ref="C167"/>
    <hyperlink r:id="rId165" location="Rear_Mountain" ref="C168"/>
    <hyperlink r:id="rId166" location="Arakawa_Prairie" ref="C169"/>
    <hyperlink r:id="rId167" location="Rear_Mountain" ref="C170"/>
    <hyperlink r:id="rId168" location="Quiet_Forest" ref="C171"/>
    <hyperlink r:id="rId169" location="Carter_House" ref="C172"/>
    <hyperlink r:id="rId170" location="Town_Hall" ref="C173"/>
    <hyperlink r:id="rId171" location="Quay" ref="C174"/>
    <hyperlink r:id="rId172" location="Whateley_House" ref="C175"/>
    <hyperlink r:id="rId173" location="Suburb_Mansion" ref="C176"/>
    <hyperlink r:id="rId174" location="Gallow_Hill" ref="C177"/>
    <hyperlink r:id="rId175" location="Meadows" ref="C178"/>
    <hyperlink r:id="rId176" location="Vacant_House" ref="C179"/>
    <hyperlink r:id="rId177" location="Refuge" ref="C180"/>
    <hyperlink r:id="rId178" location="Jail" ref="C181"/>
    <hyperlink r:id="rId179" location="Anchor_Point" ref="C182"/>
    <hyperlink r:id="rId180" location="Yaga_Smolensk" ref="C183"/>
    <hyperlink r:id="rId181" location="Icicles_Grotto" ref="C184"/>
    <hyperlink r:id="rId182" location="Rebellion_Army.27s_Stronghold" ref="C185"/>
    <hyperlink r:id="rId183" location="Yaga_Sychyovka" ref="C186"/>
    <hyperlink r:id="rId184" location="Devastated_Village" ref="C187"/>
    <hyperlink r:id="rId185" location="Yaga_Vyazma" ref="C188"/>
    <hyperlink r:id="rId186" location="Yaga_Demensk" ref="C189"/>
    <hyperlink r:id="rId187" location="Yaga_Tula" ref="C190"/>
    <hyperlink r:id="rId188" location="Trampled_Village" ref="C191"/>
    <hyperlink r:id="rId189" location="Yaga_Moscow" ref="C192"/>
    <hyperlink r:id="rId190" location="Great_Valley_Stronghold" ref="C193"/>
    <hyperlink r:id="rId191" location="Foundation_of_a_Giant_Tree" ref="C194"/>
    <hyperlink r:id="rId192" location="Yaga_Ryazan" ref="C195"/>
    <hyperlink r:id="rId193" location="Landing_Point" ref="C196"/>
    <hyperlink r:id="rId194" location="Knoll_of_Thin_Ice" ref="C197"/>
    <hyperlink r:id="rId195" location="Giants.27_Flower_Patio" ref="C198"/>
    <hyperlink r:id="rId196" location="23rd_Settlement" ref="C199"/>
    <hyperlink r:id="rId197" location="Heroes.27_Cellar" ref="C200"/>
    <hyperlink r:id="rId198" location="Castle_of_Ice_and_Snow" ref="C201"/>
    <hyperlink r:id="rId199" location="Pathway_Towards_The_Peak" ref="C202"/>
    <hyperlink r:id="rId200" location="Ablazed_Mansion" ref="C203"/>
    <hyperlink r:id="rId201" location="67th_Settlement" ref="C204"/>
    <hyperlink r:id="rId202" location="Northern_Boundary" ref="C205"/>
    <hyperlink r:id="rId203" location="Forgotten_Temple" ref="C206"/>
    <hyperlink r:id="rId204" location="Seeding_Point" ref="C207"/>
    <hyperlink r:id="rId205" location="Neighbouring_Village" ref="C208"/>
    <hyperlink r:id="rId206" location="Icy_Cold_Grotto" ref="C209"/>
    <hyperlink r:id="rId207" location="Akuta.27s_Encampment" ref="C210"/>
    <hyperlink r:id="rId208" location="Jing_Yangyuan" ref="C211"/>
    <hyperlink r:id="rId209" location="Shanyang_Knoll" ref="C212"/>
    <hyperlink r:id="rId210" location="Detention_Centre" ref="C213"/>
    <hyperlink r:id="rId211" location="Shiquan_Gorge" ref="C214"/>
    <hyperlink r:id="rId212" location="Dapingyu" ref="C215"/>
    <hyperlink r:id="rId213" location="Xianyang" ref="C216"/>
    <hyperlink r:id="rId214" location="Eight_Gates_Cave" ref="C217"/>
    <hyperlink r:id="rId215" location="Initiate_Point" ref="C218"/>
    <hyperlink r:id="rId216" location="Bich" ref="C219"/>
    <hyperlink r:id="rId217" location="Secluded_Grotto" ref="C220"/>
    <hyperlink r:id="rId218" location="Northern_Sacred_Mountain" ref="C221"/>
    <hyperlink r:id="rId219" location="Western_Fault" ref="C222"/>
    <hyperlink r:id="rId220" location="Dewar" ref="C223"/>
    <hyperlink r:id="rId221" location="Remains_of_the_Divine_Floating_Rock" ref="C224"/>
    <hyperlink r:id="rId222" location="Southern_Street" ref="C225"/>
    <hyperlink r:id="rId223" location="Infinitude_Territory" ref="C226"/>
    <hyperlink r:id="rId224" location="Eastern_Puspavatika" ref="C227"/>
    <hyperlink r:id="rId225" location="Sailing_Point" ref="C228"/>
    <hyperlink r:id="rId226" location="Hestia_Island" ref="C229"/>
    <hyperlink r:id="rId227" location="Hecate_Island" ref="C230"/>
    <hyperlink r:id="rId228" location="Deimos_Island" ref="C231"/>
    <hyperlink r:id="rId229" location="Astraea_Island" ref="C232"/>
    <hyperlink r:id="rId230" location="Tethys_Island" ref="C233"/>
    <hyperlink r:id="rId231" location="Eris_Island" ref="C234"/>
    <hyperlink r:id="rId232" location="Nemesis_Island" ref="C235"/>
    <hyperlink r:id="rId233" location="Thanatos_Island" ref="C236"/>
    <hyperlink r:id="rId234" location="Gliding_Point" ref="C237"/>
    <hyperlink r:id="rId235" location="Interstellar_City:_West" ref="C238"/>
    <hyperlink r:id="rId236" location="Interstellar_City:_South" ref="C239"/>
    <hyperlink r:id="rId237" location="Interstellar_City:_East" ref="C240"/>
    <hyperlink r:id="rId238" location="Grand_Workshop" ref="C241"/>
    <hyperlink r:id="rId239" location="God_Slayers_League_Base" ref="C242"/>
    <hyperlink r:id="rId240" location="Altar_District" ref="C243"/>
    <hyperlink r:id="rId241" location="Aerial_Garden" ref="C244"/>
    <hyperlink r:id="rId242" location="Machine_God.27s_Cloister" ref="C245"/>
    <hyperlink r:id="rId243" location="Grand_Altar" ref="C246"/>
    <hyperlink r:id="rId244" location="Underground_Organization_Region:_Outer_Circumference" ref="C247"/>
    <hyperlink r:id="rId245" location="J.C5.8D_Seven.2C_B.C5.8D_Four" ref="C248"/>
    <hyperlink r:id="rId246" location="J.C5.8D_Seven.2C_B.C5.8D_Two" ref="C249"/>
    <hyperlink r:id="rId247" location="J.C5.8D_Six.2C_Main_Street" ref="C250"/>
    <hyperlink r:id="rId248" location="Aristocrat.27s_Residence" ref="C251"/>
    <hyperlink r:id="rId249" location="Suzakumon" ref="C252"/>
    <hyperlink r:id="rId250" location="Heian_Imperial_Palace" ref="C253"/>
    <hyperlink r:id="rId251" location="Suzaku_Main_Street" ref="C254"/>
    <hyperlink r:id="rId252" location="Inari_Shrine" ref="C255"/>
    <hyperlink r:id="rId253" location="Imperial_Palace_Main_Street" ref="C256"/>
    <hyperlink r:id="rId254" location="Raik.C5.8D.27s_Residence" ref="C257"/>
    <hyperlink r:id="rId255" location="Goj.C5.8D_Bridge" ref="C258"/>
    <hyperlink r:id="rId256" location="Mount_.C5.8Ce" ref="C259"/>
    <hyperlink r:id="rId257" location="J.C5.8D_Three.2C_B.C5.8D_Three" ref="C260"/>
  </hyperlinks>
  <drawing r:id="rId258"/>
  <tableParts count="21">
    <tablePart r:id="rId280"/>
    <tablePart r:id="rId281"/>
    <tablePart r:id="rId282"/>
    <tablePart r:id="rId283"/>
    <tablePart r:id="rId284"/>
    <tablePart r:id="rId285"/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  <tablePart r:id="rId299"/>
    <tablePart r:id="rId30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75"/>
  <cols>
    <col customWidth="1" min="2" max="2" width="12.0"/>
    <col customWidth="1" min="3" max="3" width="3.71"/>
    <col customWidth="1" min="4" max="4" width="9.43"/>
    <col customWidth="1" min="5" max="7" width="11.57"/>
    <col customWidth="1" min="8" max="8" width="7.14"/>
    <col customWidth="1" min="9" max="9" width="3.29"/>
    <col customWidth="1" min="10" max="29" width="11.57"/>
  </cols>
  <sheetData>
    <row r="1">
      <c r="A1" s="375" t="str">
        <f>IFERROR(__xludf.DUMMYFUNCTION("IMPORTRANGE('Setup Sheet'!C3,'Setup Sheet'!C14&amp;""!""&amp;'Setup Sheet'!F14)"),"Item")</f>
        <v>Item</v>
      </c>
      <c r="B1" s="376"/>
      <c r="C1" s="377" t="str">
        <f>IFERROR(__xludf.DUMMYFUNCTION("""COMPUTED_VALUE"""),"No.")</f>
        <v>No.</v>
      </c>
      <c r="D1" s="378" t="str">
        <f>IFERROR(__xludf.DUMMYFUNCTION("""COMPUTED_VALUE"""),"Quest")</f>
        <v>Quest</v>
      </c>
      <c r="G1" s="376"/>
      <c r="H1" s="379" t="str">
        <f>IFERROR(__xludf.DUMMYFUNCTION("""COMPUTED_VALUE"""),"Runs")</f>
        <v>Runs</v>
      </c>
      <c r="I1" s="378" t="str">
        <f>IFERROR(__xludf.DUMMYFUNCTION("""COMPUTED_VALUE"""),"AP")</f>
        <v>AP</v>
      </c>
      <c r="J1" s="380" t="str">
        <f>IFERROR(__xludf.DUMMYFUNCTION("""COMPUTED_VALUE"""),"No Mona Lisa")</f>
        <v>No Mona Lisa</v>
      </c>
      <c r="K1" s="381"/>
      <c r="L1" s="380" t="str">
        <f>IFERROR(__xludf.DUMMYFUNCTION("""COMPUTED_VALUE"""),"1 MLB Mona Lisa")</f>
        <v>1 MLB Mona Lisa</v>
      </c>
      <c r="M1" s="381"/>
      <c r="N1" s="380" t="str">
        <f>IFERROR(__xludf.DUMMYFUNCTION("""COMPUTED_VALUE"""),"1 Support Bella Lisa")</f>
        <v>1 Support Bella Lisa</v>
      </c>
      <c r="O1" s="381"/>
      <c r="P1" s="380" t="str">
        <f>IFERROR(__xludf.DUMMYFUNCTION("""COMPUTED_VALUE"""),"2 MLB Mona Lisa")</f>
        <v>2 MLB Mona Lisa</v>
      </c>
      <c r="Q1" s="381"/>
      <c r="R1" s="380" t="str">
        <f>IFERROR(__xludf.DUMMYFUNCTION("""COMPUTED_VALUE"""),"1 Support BL+1 MLB ML")</f>
        <v>1 Support BL+1 MLB ML</v>
      </c>
      <c r="S1" s="382"/>
      <c r="T1" s="383"/>
      <c r="U1" s="383"/>
      <c r="V1" s="383"/>
      <c r="W1" s="383"/>
      <c r="X1" s="383"/>
      <c r="Y1" s="383"/>
      <c r="Z1" s="383"/>
      <c r="AA1" s="383"/>
      <c r="AB1" s="383"/>
      <c r="AC1" s="384"/>
    </row>
    <row r="2">
      <c r="B2" s="376"/>
      <c r="C2" s="385"/>
      <c r="D2" s="386"/>
      <c r="G2" s="376"/>
      <c r="H2" s="386"/>
      <c r="I2" s="386"/>
      <c r="J2" s="387" t="str">
        <f>IFERROR(__xludf.DUMMYFUNCTION("""COMPUTED_VALUE"""),"QP/AP")</f>
        <v>QP/AP</v>
      </c>
      <c r="K2" s="387" t="str">
        <f>IFERROR(__xludf.DUMMYFUNCTION("""COMPUTED_VALUE"""),"Average/Run")</f>
        <v>Average/Run</v>
      </c>
      <c r="L2" s="387" t="str">
        <f>IFERROR(__xludf.DUMMYFUNCTION("""COMPUTED_VALUE"""),"QP/AP")</f>
        <v>QP/AP</v>
      </c>
      <c r="M2" s="387" t="str">
        <f>IFERROR(__xludf.DUMMYFUNCTION("""COMPUTED_VALUE"""),"Average/Run")</f>
        <v>Average/Run</v>
      </c>
      <c r="N2" s="387" t="str">
        <f>IFERROR(__xludf.DUMMYFUNCTION("""COMPUTED_VALUE"""),"QP/AP")</f>
        <v>QP/AP</v>
      </c>
      <c r="O2" s="387" t="str">
        <f>IFERROR(__xludf.DUMMYFUNCTION("""COMPUTED_VALUE"""),"Average/Run")</f>
        <v>Average/Run</v>
      </c>
      <c r="P2" s="387" t="str">
        <f>IFERROR(__xludf.DUMMYFUNCTION("""COMPUTED_VALUE"""),"QP/AP")</f>
        <v>QP/AP</v>
      </c>
      <c r="Q2" s="387" t="str">
        <f>IFERROR(__xludf.DUMMYFUNCTION("""COMPUTED_VALUE"""),"Average/Run")</f>
        <v>Average/Run</v>
      </c>
      <c r="R2" s="387" t="str">
        <f>IFERROR(__xludf.DUMMYFUNCTION("""COMPUTED_VALUE"""),"QP/AP")</f>
        <v>QP/AP</v>
      </c>
      <c r="S2" s="388" t="str">
        <f>IFERROR(__xludf.DUMMYFUNCTION("""COMPUTED_VALUE"""),"Average/Run")</f>
        <v>Average/Run</v>
      </c>
      <c r="T2" s="389"/>
      <c r="U2" s="389"/>
      <c r="V2" s="389"/>
      <c r="W2" s="389"/>
      <c r="X2" s="389"/>
      <c r="Y2" s="389"/>
      <c r="Z2" s="389"/>
      <c r="AA2" s="389"/>
      <c r="AB2" s="389"/>
      <c r="AC2" s="390"/>
    </row>
    <row r="3">
      <c r="A3" s="391" t="str">
        <f>IFERROR(__xludf.DUMMYFUNCTION("""COMPUTED_VALUE"""),"")</f>
        <v/>
      </c>
      <c r="B3" s="392" t="str">
        <f>IFERROR(__xludf.DUMMYFUNCTION("""COMPUTED_VALUE"""),"QP")</f>
        <v>QP</v>
      </c>
      <c r="C3" s="393">
        <f>IFERROR(__xludf.DUMMYFUNCTION("""COMPUTED_VALUE"""),1.0)</f>
        <v>1</v>
      </c>
      <c r="D3" s="393" t="str">
        <f>IFERROR(__xludf.DUMMYFUNCTION("""COMPUTED_VALUE"""),"40AP Treasure Vault")</f>
        <v>40AP Treasure Vault</v>
      </c>
      <c r="H3" s="394">
        <f>IFERROR(__xludf.DUMMYFUNCTION("""COMPUTED_VALUE"""),3582.0)</f>
        <v>3582</v>
      </c>
      <c r="I3" s="395">
        <f>IFERROR(__xludf.DUMMYFUNCTION("""COMPUTED_VALUE"""),40.0)</f>
        <v>40</v>
      </c>
      <c r="J3" s="396">
        <f>IFERROR(__xludf.DUMMYFUNCTION("""COMPUTED_VALUE"""),30156.859296482417)</f>
        <v>30156.8593</v>
      </c>
      <c r="K3" s="397">
        <f>IFERROR(__xludf.DUMMYFUNCTION("""COMPUTED_VALUE"""),1206274.3718592967)</f>
        <v>1206274.372</v>
      </c>
      <c r="L3" s="396">
        <f>IFERROR(__xludf.DUMMYFUNCTION("""COMPUTED_VALUE"""),33156.54522613065)</f>
        <v>33156.54523</v>
      </c>
      <c r="M3" s="397">
        <f>IFERROR(__xludf.DUMMYFUNCTION("""COMPUTED_VALUE"""),1326261.809045226)</f>
        <v>1326261.809</v>
      </c>
      <c r="N3" s="396">
        <f>IFERROR(__xludf.DUMMYFUNCTION("""COMPUTED_VALUE"""),34680.38819095478)</f>
        <v>34680.38819</v>
      </c>
      <c r="O3" s="397">
        <f>IFERROR(__xludf.DUMMYFUNCTION("""COMPUTED_VALUE"""),1387215.5276381911)</f>
        <v>1387215.528</v>
      </c>
      <c r="P3" s="396">
        <f>IFERROR(__xludf.DUMMYFUNCTION("""COMPUTED_VALUE"""),36156.23115577889)</f>
        <v>36156.23116</v>
      </c>
      <c r="Q3" s="397">
        <f>IFERROR(__xludf.DUMMYFUNCTION("""COMPUTED_VALUE"""),1446249.2462311557)</f>
        <v>1446249.246</v>
      </c>
      <c r="R3" s="396">
        <f>IFERROR(__xludf.DUMMYFUNCTION("""COMPUTED_VALUE"""),37696.07412060302)</f>
        <v>37696.07412</v>
      </c>
      <c r="S3" s="397">
        <f>IFERROR(__xludf.DUMMYFUNCTION("""COMPUTED_VALUE"""),1507842.9648241207)</f>
        <v>1507842.965</v>
      </c>
      <c r="T3" s="389"/>
      <c r="U3" s="389"/>
      <c r="V3" s="389"/>
      <c r="W3" s="389"/>
      <c r="X3" s="389"/>
      <c r="Y3" s="389"/>
      <c r="Z3" s="389"/>
      <c r="AA3" s="389"/>
      <c r="AB3" s="389"/>
      <c r="AC3" s="390"/>
    </row>
    <row r="4">
      <c r="C4" s="398">
        <f>IFERROR(__xludf.DUMMYFUNCTION("""COMPUTED_VALUE"""),2.0)</f>
        <v>2</v>
      </c>
      <c r="D4" s="398" t="str">
        <f>IFERROR(__xludf.DUMMYFUNCTION("""COMPUTED_VALUE"""),"30AP Treasure Vault")</f>
        <v>30AP Treasure Vault</v>
      </c>
      <c r="H4" s="399">
        <f>IFERROR(__xludf.DUMMYFUNCTION("""COMPUTED_VALUE"""),19.0)</f>
        <v>19</v>
      </c>
      <c r="I4" s="400">
        <f>IFERROR(__xludf.DUMMYFUNCTION("""COMPUTED_VALUE"""),30.0)</f>
        <v>30</v>
      </c>
      <c r="J4" s="401">
        <f>IFERROR(__xludf.DUMMYFUNCTION("""COMPUTED_VALUE"""),16646.666666666664)</f>
        <v>16646.66667</v>
      </c>
      <c r="K4" s="402">
        <f>IFERROR(__xludf.DUMMYFUNCTION("""COMPUTED_VALUE"""),499399.99999999994)</f>
        <v>499400</v>
      </c>
      <c r="L4" s="401">
        <f>IFERROR(__xludf.DUMMYFUNCTION("""COMPUTED_VALUE"""),18296.666666666668)</f>
        <v>18296.66667</v>
      </c>
      <c r="M4" s="402">
        <f>IFERROR(__xludf.DUMMYFUNCTION("""COMPUTED_VALUE"""),548900.0)</f>
        <v>548900</v>
      </c>
      <c r="N4" s="401">
        <f>IFERROR(__xludf.DUMMYFUNCTION("""COMPUTED_VALUE"""),19143.666666666664)</f>
        <v>19143.66667</v>
      </c>
      <c r="O4" s="402">
        <f>IFERROR(__xludf.DUMMYFUNCTION("""COMPUTED_VALUE"""),574309.9999999999)</f>
        <v>574310</v>
      </c>
      <c r="P4" s="401">
        <f>IFERROR(__xludf.DUMMYFUNCTION("""COMPUTED_VALUE"""),19946.666666666664)</f>
        <v>19946.66667</v>
      </c>
      <c r="Q4" s="402">
        <f>IFERROR(__xludf.DUMMYFUNCTION("""COMPUTED_VALUE"""),598399.9999999999)</f>
        <v>598400</v>
      </c>
      <c r="R4" s="401">
        <f>IFERROR(__xludf.DUMMYFUNCTION("""COMPUTED_VALUE"""),20808.33333333333)</f>
        <v>20808.33333</v>
      </c>
      <c r="S4" s="402">
        <f>IFERROR(__xludf.DUMMYFUNCTION("""COMPUTED_VALUE"""),624249.9999999999)</f>
        <v>624250</v>
      </c>
      <c r="T4" s="389"/>
      <c r="U4" s="389"/>
      <c r="V4" s="389"/>
      <c r="W4" s="389"/>
      <c r="X4" s="389"/>
      <c r="Y4" s="389"/>
      <c r="Z4" s="389"/>
      <c r="AA4" s="389"/>
      <c r="AB4" s="389"/>
      <c r="AC4" s="390"/>
    </row>
    <row r="5">
      <c r="C5" s="403">
        <f>IFERROR(__xludf.DUMMYFUNCTION("""COMPUTED_VALUE"""),3.0)</f>
        <v>3</v>
      </c>
      <c r="D5" s="403" t="str">
        <f>IFERROR(__xludf.DUMMYFUNCTION("""COMPUTED_VALUE"""),"20AP Treasure Vault")</f>
        <v>20AP Treasure Vault</v>
      </c>
      <c r="H5" s="404">
        <f>IFERROR(__xludf.DUMMYFUNCTION("""COMPUTED_VALUE"""),20.0)</f>
        <v>20</v>
      </c>
      <c r="I5" s="405">
        <f>IFERROR(__xludf.DUMMYFUNCTION("""COMPUTED_VALUE"""),20.0)</f>
        <v>20</v>
      </c>
      <c r="J5" s="406">
        <f>IFERROR(__xludf.DUMMYFUNCTION("""COMPUTED_VALUE"""),10195.000000000002)</f>
        <v>10195</v>
      </c>
      <c r="K5" s="407">
        <f>IFERROR(__xludf.DUMMYFUNCTION("""COMPUTED_VALUE"""),203900.00000000003)</f>
        <v>203900</v>
      </c>
      <c r="L5" s="406">
        <f>IFERROR(__xludf.DUMMYFUNCTION("""COMPUTED_VALUE"""),11200.000000000002)</f>
        <v>11200</v>
      </c>
      <c r="M5" s="407">
        <f>IFERROR(__xludf.DUMMYFUNCTION("""COMPUTED_VALUE"""),224000.00000000003)</f>
        <v>224000</v>
      </c>
      <c r="N5" s="406">
        <f>IFERROR(__xludf.DUMMYFUNCTION("""COMPUTED_VALUE"""),11724.250000000002)</f>
        <v>11724.25</v>
      </c>
      <c r="O5" s="407">
        <f>IFERROR(__xludf.DUMMYFUNCTION("""COMPUTED_VALUE"""),234485.00000000003)</f>
        <v>234485</v>
      </c>
      <c r="P5" s="406">
        <f>IFERROR(__xludf.DUMMYFUNCTION("""COMPUTED_VALUE"""),12205.000000000002)</f>
        <v>12205</v>
      </c>
      <c r="Q5" s="407">
        <f>IFERROR(__xludf.DUMMYFUNCTION("""COMPUTED_VALUE"""),244100.00000000003)</f>
        <v>244100</v>
      </c>
      <c r="R5" s="406">
        <f>IFERROR(__xludf.DUMMYFUNCTION("""COMPUTED_VALUE"""),12743.750000000002)</f>
        <v>12743.75</v>
      </c>
      <c r="S5" s="407">
        <f>IFERROR(__xludf.DUMMYFUNCTION("""COMPUTED_VALUE"""),254875.00000000003)</f>
        <v>254875</v>
      </c>
      <c r="T5" s="389"/>
      <c r="U5" s="389"/>
      <c r="V5" s="389"/>
      <c r="W5" s="389"/>
      <c r="X5" s="389"/>
      <c r="Y5" s="389"/>
      <c r="Z5" s="389"/>
      <c r="AA5" s="389"/>
      <c r="AB5" s="389"/>
      <c r="AC5" s="390"/>
    </row>
    <row r="6">
      <c r="C6" s="408">
        <f>IFERROR(__xludf.DUMMYFUNCTION("""COMPUTED_VALUE"""),4.0)</f>
        <v>4</v>
      </c>
      <c r="D6" s="408" t="str">
        <f>IFERROR(__xludf.DUMMYFUNCTION("""COMPUTED_VALUE"""),"10AP Treasure Vault")</f>
        <v>10AP Treasure Vault</v>
      </c>
      <c r="H6" s="409">
        <f>IFERROR(__xludf.DUMMYFUNCTION("""COMPUTED_VALUE"""),53.0)</f>
        <v>53</v>
      </c>
      <c r="I6" s="410">
        <f>IFERROR(__xludf.DUMMYFUNCTION("""COMPUTED_VALUE"""),10.0)</f>
        <v>10</v>
      </c>
      <c r="J6" s="411">
        <f>IFERROR(__xludf.DUMMYFUNCTION("""COMPUTED_VALUE"""),8342.641509433965)</f>
        <v>8342.641509</v>
      </c>
      <c r="K6" s="412">
        <f>IFERROR(__xludf.DUMMYFUNCTION("""COMPUTED_VALUE"""),83426.41509433964)</f>
        <v>83426.41509</v>
      </c>
      <c r="L6" s="411">
        <f>IFERROR(__xludf.DUMMYFUNCTION("""COMPUTED_VALUE"""),9165.283018867927)</f>
        <v>9165.283019</v>
      </c>
      <c r="M6" s="412">
        <f>IFERROR(__xludf.DUMMYFUNCTION("""COMPUTED_VALUE"""),91652.83018867928)</f>
        <v>91652.83019</v>
      </c>
      <c r="N6" s="411">
        <f>IFERROR(__xludf.DUMMYFUNCTION("""COMPUTED_VALUE"""),9594.037735849057)</f>
        <v>9594.037736</v>
      </c>
      <c r="O6" s="412">
        <f>IFERROR(__xludf.DUMMYFUNCTION("""COMPUTED_VALUE"""),95940.37735849057)</f>
        <v>95940.37736</v>
      </c>
      <c r="P6" s="411">
        <f>IFERROR(__xludf.DUMMYFUNCTION("""COMPUTED_VALUE"""),9987.924528301886)</f>
        <v>9987.924528</v>
      </c>
      <c r="Q6" s="412">
        <f>IFERROR(__xludf.DUMMYFUNCTION("""COMPUTED_VALUE"""),99879.24528301887)</f>
        <v>99879.24528</v>
      </c>
      <c r="R6" s="411">
        <f>IFERROR(__xludf.DUMMYFUNCTION("""COMPUTED_VALUE"""),10428.301886792453)</f>
        <v>10428.30189</v>
      </c>
      <c r="S6" s="412">
        <f>IFERROR(__xludf.DUMMYFUNCTION("""COMPUTED_VALUE"""),104283.01886792453)</f>
        <v>104283.0189</v>
      </c>
      <c r="T6" s="389"/>
      <c r="U6" s="389"/>
      <c r="V6" s="389"/>
      <c r="W6" s="389"/>
      <c r="X6" s="389"/>
      <c r="Y6" s="389"/>
      <c r="Z6" s="389"/>
      <c r="AA6" s="389"/>
      <c r="AB6" s="389"/>
      <c r="AC6" s="390"/>
    </row>
    <row r="7">
      <c r="A7" s="413"/>
      <c r="B7" s="413"/>
      <c r="C7" s="414"/>
      <c r="D7" s="413"/>
      <c r="E7" s="413"/>
      <c r="F7" s="413"/>
      <c r="G7" s="413"/>
      <c r="H7" s="413"/>
      <c r="I7" s="413"/>
      <c r="J7" s="415"/>
      <c r="K7" s="416"/>
      <c r="L7" s="417"/>
      <c r="M7" s="416"/>
      <c r="N7" s="417"/>
      <c r="O7" s="416"/>
      <c r="P7" s="417"/>
      <c r="Q7" s="416"/>
      <c r="R7" s="417"/>
      <c r="S7" s="416"/>
      <c r="T7" s="389"/>
      <c r="U7" s="389"/>
      <c r="V7" s="389"/>
      <c r="W7" s="389"/>
      <c r="X7" s="389"/>
      <c r="Y7" s="389"/>
      <c r="Z7" s="389"/>
      <c r="AA7" s="389"/>
      <c r="AB7" s="389"/>
      <c r="AC7" s="390"/>
    </row>
    <row r="8">
      <c r="A8" s="381"/>
      <c r="B8" s="383"/>
      <c r="C8" s="383"/>
      <c r="D8" s="383"/>
      <c r="E8" s="383"/>
      <c r="F8" s="383"/>
      <c r="G8" s="383"/>
      <c r="H8" s="418"/>
      <c r="I8" s="418"/>
      <c r="J8" s="418"/>
      <c r="K8" s="418"/>
      <c r="L8" s="418"/>
      <c r="M8" s="383"/>
      <c r="N8" s="383"/>
      <c r="O8" s="383"/>
      <c r="P8" s="383"/>
      <c r="Q8" s="383"/>
      <c r="R8" s="389"/>
      <c r="S8" s="389"/>
      <c r="T8" s="389"/>
      <c r="U8" s="389"/>
      <c r="V8" s="389"/>
      <c r="W8" s="389"/>
      <c r="X8" s="389"/>
      <c r="Y8" s="389"/>
      <c r="Z8" s="389"/>
      <c r="AA8" s="389"/>
      <c r="AB8" s="389"/>
      <c r="AC8" s="390"/>
    </row>
    <row r="9">
      <c r="A9" s="381"/>
      <c r="B9" s="383"/>
      <c r="C9" s="383"/>
      <c r="D9" s="383"/>
      <c r="E9" s="383"/>
      <c r="F9" s="383"/>
      <c r="G9" s="384"/>
      <c r="H9" s="419" t="str">
        <f>IFERROR(__xludf.DUMMYFUNCTION("""COMPUTED_VALUE"""),"Extra QP Values")</f>
        <v>Extra QP Values</v>
      </c>
      <c r="I9" s="4"/>
      <c r="J9" s="5"/>
      <c r="K9" s="420" t="str">
        <f>IFERROR(__xludf.DUMMYFUNCTION("""COMPUTED_VALUE"""),"Base")</f>
        <v>Base</v>
      </c>
      <c r="L9" s="420" t="str">
        <f>IFERROR(__xludf.DUMMYFUNCTION("""COMPUTED_VALUE"""),"MLB")</f>
        <v>MLB</v>
      </c>
      <c r="M9" s="381"/>
      <c r="N9" s="383"/>
      <c r="O9" s="383"/>
      <c r="P9" s="389"/>
      <c r="Q9" s="389"/>
      <c r="R9" s="389"/>
      <c r="S9" s="389"/>
      <c r="T9" s="389"/>
      <c r="U9" s="389"/>
      <c r="V9" s="389"/>
      <c r="W9" s="389"/>
      <c r="X9" s="389"/>
      <c r="Y9" s="389"/>
      <c r="Z9" s="389"/>
      <c r="AA9" s="389"/>
      <c r="AB9" s="389"/>
      <c r="AC9" s="390"/>
    </row>
    <row r="10">
      <c r="A10" s="421"/>
      <c r="B10" s="389"/>
      <c r="C10" s="389"/>
      <c r="D10" s="389"/>
      <c r="E10" s="389"/>
      <c r="F10" s="389"/>
      <c r="G10" s="390"/>
      <c r="H10" s="419" t="str">
        <f>IFERROR(__xludf.DUMMYFUNCTION("""COMPUTED_VALUE"""),"Mona Lisa")</f>
        <v>Mona Lisa</v>
      </c>
      <c r="I10" s="4"/>
      <c r="J10" s="5"/>
      <c r="K10" s="422">
        <f>IFERROR(__xludf.DUMMYFUNCTION("""COMPUTED_VALUE"""),0.02)</f>
        <v>0.02</v>
      </c>
      <c r="L10" s="422">
        <f>IFERROR(__xludf.DUMMYFUNCTION("""COMPUTED_VALUE"""),0.1)</f>
        <v>0.1</v>
      </c>
      <c r="M10" s="421"/>
      <c r="N10" s="389"/>
      <c r="O10" s="389"/>
      <c r="P10" s="389"/>
      <c r="Q10" s="389"/>
      <c r="R10" s="389"/>
      <c r="S10" s="389"/>
      <c r="T10" s="389"/>
      <c r="U10" s="389"/>
      <c r="V10" s="389"/>
      <c r="W10" s="389"/>
      <c r="X10" s="389"/>
      <c r="Y10" s="389"/>
      <c r="Z10" s="389"/>
      <c r="AA10" s="389"/>
      <c r="AB10" s="389"/>
      <c r="AC10" s="390"/>
    </row>
    <row r="11">
      <c r="A11" s="421"/>
      <c r="B11" s="423" t="str">
        <f>IFERROR(__xludf.DUMMYFUNCTION("""COMPUTED_VALUE"""),"Submissions")</f>
        <v>Submissions</v>
      </c>
      <c r="H11" s="419" t="str">
        <f>IFERROR(__xludf.DUMMYFUNCTION("""COMPUTED_VALUE"""),"Bella Lisa")</f>
        <v>Bella Lisa</v>
      </c>
      <c r="I11" s="4"/>
      <c r="J11" s="5"/>
      <c r="K11" s="422">
        <f>IFERROR(__xludf.DUMMYFUNCTION("""COMPUTED_VALUE"""),0.01)</f>
        <v>0.01</v>
      </c>
      <c r="L11" s="422">
        <f>IFERROR(__xludf.DUMMYFUNCTION("""COMPUTED_VALUE"""),0.05)</f>
        <v>0.05</v>
      </c>
      <c r="M11" s="421"/>
      <c r="N11" s="389"/>
      <c r="O11" s="389"/>
      <c r="P11" s="389"/>
      <c r="Q11" s="389"/>
      <c r="R11" s="389"/>
      <c r="S11" s="389"/>
      <c r="T11" s="389"/>
      <c r="U11" s="389"/>
      <c r="V11" s="389"/>
      <c r="W11" s="389"/>
      <c r="X11" s="389"/>
      <c r="Y11" s="389"/>
      <c r="Z11" s="389"/>
      <c r="AA11" s="389"/>
      <c r="AB11" s="389"/>
      <c r="AC11" s="390"/>
    </row>
    <row r="12">
      <c r="A12" s="421"/>
      <c r="B12" s="384"/>
      <c r="C12" s="424"/>
      <c r="D12" s="424"/>
      <c r="E12" s="424"/>
      <c r="F12" s="424"/>
      <c r="G12" s="424"/>
      <c r="H12" s="419" t="str">
        <f>IFERROR(__xludf.DUMMYFUNCTION("""COMPUTED_VALUE"""),"Support Bella Lisa")</f>
        <v>Support Bella Lisa</v>
      </c>
      <c r="I12" s="4"/>
      <c r="J12" s="5"/>
      <c r="K12" s="422">
        <f>IFERROR(__xludf.DUMMYFUNCTION("""COMPUTED_VALUE"""),0.03)</f>
        <v>0.03</v>
      </c>
      <c r="L12" s="422">
        <f>IFERROR(__xludf.DUMMYFUNCTION("""COMPUTED_VALUE"""),0.15)</f>
        <v>0.15</v>
      </c>
      <c r="M12" s="421"/>
      <c r="N12" s="389"/>
      <c r="O12" s="389"/>
      <c r="P12" s="389"/>
      <c r="Q12" s="389"/>
      <c r="R12" s="389"/>
      <c r="S12" s="389"/>
      <c r="T12" s="389"/>
      <c r="U12" s="389"/>
      <c r="V12" s="389"/>
      <c r="W12" s="389"/>
      <c r="X12" s="389"/>
      <c r="Y12" s="389"/>
      <c r="Z12" s="389"/>
      <c r="AA12" s="389"/>
      <c r="AB12" s="389"/>
      <c r="AC12" s="390"/>
    </row>
    <row r="13">
      <c r="A13" s="421"/>
      <c r="B13" s="425"/>
      <c r="C13" s="425"/>
      <c r="D13" s="425"/>
      <c r="E13" s="425"/>
      <c r="F13" s="425"/>
      <c r="G13" s="425"/>
      <c r="H13" s="418"/>
      <c r="I13" s="418"/>
      <c r="J13" s="383"/>
      <c r="K13" s="383"/>
      <c r="L13" s="418"/>
      <c r="M13" s="425"/>
      <c r="N13" s="425"/>
      <c r="O13" s="425"/>
      <c r="P13" s="389"/>
      <c r="Q13" s="389"/>
      <c r="R13" s="425"/>
      <c r="S13" s="425"/>
      <c r="T13" s="425"/>
      <c r="U13" s="425"/>
      <c r="V13" s="389"/>
      <c r="W13" s="389"/>
      <c r="X13" s="425"/>
      <c r="Y13" s="425"/>
      <c r="Z13" s="425"/>
      <c r="AA13" s="425"/>
      <c r="AB13" s="389"/>
      <c r="AC13" s="390"/>
    </row>
    <row r="14">
      <c r="A14" s="426"/>
      <c r="B14" s="427" t="str">
        <f>IFERROR(__xludf.DUMMYFUNCTION("""COMPUTED_VALUE"""),"40AP Treasure Vault")</f>
        <v>40AP Treasure Vault</v>
      </c>
      <c r="C14" s="428"/>
      <c r="D14" s="428"/>
      <c r="E14" s="428"/>
      <c r="F14" s="428"/>
      <c r="G14" s="428"/>
      <c r="H14" s="428"/>
      <c r="I14" s="429"/>
      <c r="J14" s="421"/>
      <c r="K14" s="390"/>
      <c r="L14" s="427" t="str">
        <f>IFERROR(__xludf.DUMMYFUNCTION("""COMPUTED_VALUE"""),"30AP Treasure Vault")</f>
        <v>30AP Treasure Vault</v>
      </c>
      <c r="M14" s="428"/>
      <c r="N14" s="428"/>
      <c r="O14" s="429"/>
      <c r="P14" s="421"/>
      <c r="Q14" s="390"/>
      <c r="R14" s="427" t="str">
        <f>IFERROR(__xludf.DUMMYFUNCTION("""COMPUTED_VALUE"""),"20AP Treasure Vault")</f>
        <v>20AP Treasure Vault</v>
      </c>
      <c r="S14" s="428"/>
      <c r="T14" s="428"/>
      <c r="U14" s="429"/>
      <c r="V14" s="421"/>
      <c r="W14" s="390"/>
      <c r="X14" s="427" t="str">
        <f>IFERROR(__xludf.DUMMYFUNCTION("""COMPUTED_VALUE"""),"10AP Treasure Vault")</f>
        <v>10AP Treasure Vault</v>
      </c>
      <c r="Y14" s="428"/>
      <c r="Z14" s="428"/>
      <c r="AA14" s="429"/>
      <c r="AB14" s="421"/>
      <c r="AC14" s="390"/>
    </row>
    <row r="15">
      <c r="A15" s="430"/>
      <c r="B15" s="431"/>
      <c r="C15" s="10"/>
      <c r="D15" s="10"/>
      <c r="E15" s="10"/>
      <c r="F15" s="10"/>
      <c r="G15" s="10"/>
      <c r="H15" s="10"/>
      <c r="I15" s="8"/>
      <c r="J15" s="432"/>
      <c r="K15" s="390"/>
      <c r="L15" s="431"/>
      <c r="M15" s="10"/>
      <c r="N15" s="10"/>
      <c r="O15" s="8"/>
      <c r="P15" s="432"/>
      <c r="Q15" s="390"/>
      <c r="R15" s="431"/>
      <c r="S15" s="10"/>
      <c r="T15" s="10"/>
      <c r="U15" s="8"/>
      <c r="V15" s="432"/>
      <c r="W15" s="390"/>
      <c r="X15" s="431"/>
      <c r="Y15" s="10"/>
      <c r="Z15" s="10"/>
      <c r="AA15" s="8"/>
      <c r="AB15" s="432"/>
      <c r="AC15" s="390"/>
    </row>
    <row r="16">
      <c r="A16" s="433" t="str">
        <f>IFERROR(__xludf.DUMMYFUNCTION("""COMPUTED_VALUE"""),"Bonus-&gt;")</f>
        <v>Bonus-&gt;</v>
      </c>
      <c r="B16" s="434">
        <f>IFERROR(__xludf.DUMMYFUNCTION("""COMPUTED_VALUE"""),0.0)</f>
        <v>0</v>
      </c>
      <c r="C16" s="435">
        <f>IFERROR(__xludf.DUMMYFUNCTION("""COMPUTED_VALUE"""),0.1)</f>
        <v>0.1</v>
      </c>
      <c r="D16" s="436"/>
      <c r="E16" s="434">
        <f>IFERROR(__xludf.DUMMYFUNCTION("""COMPUTED_VALUE"""),0.15)</f>
        <v>0.15</v>
      </c>
      <c r="F16" s="434">
        <f>IFERROR(__xludf.DUMMYFUNCTION("""COMPUTED_VALUE"""),0.2)</f>
        <v>0.2</v>
      </c>
      <c r="G16" s="434">
        <f>IFERROR(__xludf.DUMMYFUNCTION("""COMPUTED_VALUE"""),0.25)</f>
        <v>0.25</v>
      </c>
      <c r="H16" s="437" t="str">
        <f>IFERROR(__xludf.DUMMYFUNCTION("""COMPUTED_VALUE"""),"Runs")</f>
        <v>Runs</v>
      </c>
      <c r="I16" s="436"/>
      <c r="J16" s="438" t="str">
        <f>IFERROR(__xludf.DUMMYFUNCTION("""COMPUTED_VALUE"""),"Percentage")</f>
        <v>Percentage</v>
      </c>
      <c r="K16" s="426"/>
      <c r="L16" s="434">
        <f>IFERROR(__xludf.DUMMYFUNCTION("""COMPUTED_VALUE"""),0.0)</f>
        <v>0</v>
      </c>
      <c r="M16" s="434">
        <f>IFERROR(__xludf.DUMMYFUNCTION("""COMPUTED_VALUE"""),0.1)</f>
        <v>0.1</v>
      </c>
      <c r="N16" s="434">
        <f>IFERROR(__xludf.DUMMYFUNCTION("""COMPUTED_VALUE"""),0.2)</f>
        <v>0.2</v>
      </c>
      <c r="O16" s="438" t="str">
        <f>IFERROR(__xludf.DUMMYFUNCTION("""COMPUTED_VALUE"""),"Runs")</f>
        <v>Runs</v>
      </c>
      <c r="P16" s="438" t="str">
        <f>IFERROR(__xludf.DUMMYFUNCTION("""COMPUTED_VALUE"""),"Percentage")</f>
        <v>Percentage</v>
      </c>
      <c r="Q16" s="426"/>
      <c r="R16" s="434">
        <f>IFERROR(__xludf.DUMMYFUNCTION("""COMPUTED_VALUE"""),0.0)</f>
        <v>0</v>
      </c>
      <c r="S16" s="434">
        <f>IFERROR(__xludf.DUMMYFUNCTION("""COMPUTED_VALUE"""),0.1)</f>
        <v>0.1</v>
      </c>
      <c r="T16" s="434">
        <f>IFERROR(__xludf.DUMMYFUNCTION("""COMPUTED_VALUE"""),0.2)</f>
        <v>0.2</v>
      </c>
      <c r="U16" s="438" t="str">
        <f>IFERROR(__xludf.DUMMYFUNCTION("""COMPUTED_VALUE"""),"Runs")</f>
        <v>Runs</v>
      </c>
      <c r="V16" s="438" t="str">
        <f>IFERROR(__xludf.DUMMYFUNCTION("""COMPUTED_VALUE"""),"Percentage")</f>
        <v>Percentage</v>
      </c>
      <c r="W16" s="426"/>
      <c r="X16" s="434">
        <f>IFERROR(__xludf.DUMMYFUNCTION("""COMPUTED_VALUE"""),0.0)</f>
        <v>0</v>
      </c>
      <c r="Y16" s="434">
        <f>IFERROR(__xludf.DUMMYFUNCTION("""COMPUTED_VALUE"""),0.1)</f>
        <v>0.1</v>
      </c>
      <c r="Z16" s="434">
        <f>IFERROR(__xludf.DUMMYFUNCTION("""COMPUTED_VALUE"""),0.2)</f>
        <v>0.2</v>
      </c>
      <c r="AA16" s="438" t="str">
        <f>IFERROR(__xludf.DUMMYFUNCTION("""COMPUTED_VALUE"""),"Runs")</f>
        <v>Runs</v>
      </c>
      <c r="AB16" s="438" t="str">
        <f>IFERROR(__xludf.DUMMYFUNCTION("""COMPUTED_VALUE"""),"Percentage")</f>
        <v>Percentage</v>
      </c>
      <c r="AC16" s="426"/>
    </row>
    <row r="17">
      <c r="A17" s="424"/>
      <c r="B17" s="439">
        <f>IFERROR(__xludf.DUMMYFUNCTION("""COMPUTED_VALUE"""),861.4)</f>
        <v>861.4</v>
      </c>
      <c r="C17" s="440">
        <f>IFERROR(__xludf.DUMMYFUNCTION("""COMPUTED_VALUE"""),946.9000000000001)</f>
        <v>946.9</v>
      </c>
      <c r="D17" s="441"/>
      <c r="E17" s="439">
        <f>IFERROR(__xludf.DUMMYFUNCTION("""COMPUTED_VALUE"""),990.6099999999999)</f>
        <v>990.61</v>
      </c>
      <c r="F17" s="439">
        <f>IFERROR(__xludf.DUMMYFUNCTION("""COMPUTED_VALUE"""),1032.4)</f>
        <v>1032.4</v>
      </c>
      <c r="G17" s="439">
        <f>IFERROR(__xludf.DUMMYFUNCTION("""COMPUTED_VALUE"""),1076.75)</f>
        <v>1076.75</v>
      </c>
      <c r="H17" s="442">
        <f>IFERROR(__xludf.DUMMYFUNCTION("""COMPUTED_VALUE"""),513.0)</f>
        <v>513</v>
      </c>
      <c r="I17" s="441"/>
      <c r="J17" s="443">
        <f>IFERROR(__xludf.DUMMYFUNCTION("""COMPUTED_VALUE"""),0.14321608040201006)</f>
        <v>0.1432160804</v>
      </c>
      <c r="K17" s="426"/>
      <c r="L17" s="439">
        <f>IFERROR(__xludf.DUMMYFUNCTION("""COMPUTED_VALUE"""),319.4)</f>
        <v>319.4</v>
      </c>
      <c r="M17" s="439">
        <f>IFERROR(__xludf.DUMMYFUNCTION("""COMPUTED_VALUE"""),350.9)</f>
        <v>350.9</v>
      </c>
      <c r="N17" s="439">
        <f>IFERROR(__xludf.DUMMYFUNCTION("""COMPUTED_VALUE"""),382.4)</f>
        <v>382.4</v>
      </c>
      <c r="O17" s="444">
        <f>IFERROR(__xludf.DUMMYFUNCTION("""COMPUTED_VALUE"""),2.0)</f>
        <v>2</v>
      </c>
      <c r="P17" s="443">
        <f>IFERROR(__xludf.DUMMYFUNCTION("""COMPUTED_VALUE"""),0.10526315789473684)</f>
        <v>0.1052631579</v>
      </c>
      <c r="Q17" s="426"/>
      <c r="R17" s="439">
        <f>IFERROR(__xludf.DUMMYFUNCTION("""COMPUTED_VALUE"""),147.9)</f>
        <v>147.9</v>
      </c>
      <c r="S17" s="439">
        <f>IFERROR(__xludf.DUMMYFUNCTION("""COMPUTED_VALUE"""),162.4)</f>
        <v>162.4</v>
      </c>
      <c r="T17" s="439">
        <f>IFERROR(__xludf.DUMMYFUNCTION("""COMPUTED_VALUE"""),176.9)</f>
        <v>176.9</v>
      </c>
      <c r="U17" s="444">
        <f>IFERROR(__xludf.DUMMYFUNCTION("""COMPUTED_VALUE"""),1.0)</f>
        <v>1</v>
      </c>
      <c r="V17" s="443">
        <f>IFERROR(__xludf.DUMMYFUNCTION("""COMPUTED_VALUE"""),0.05)</f>
        <v>0.05</v>
      </c>
      <c r="W17" s="426"/>
      <c r="X17" s="439">
        <f>IFERROR(__xludf.DUMMYFUNCTION("""COMPUTED_VALUE"""),66.4)</f>
        <v>66.4</v>
      </c>
      <c r="Y17" s="439">
        <f>IFERROR(__xludf.DUMMYFUNCTION("""COMPUTED_VALUE"""),72.9)</f>
        <v>72.9</v>
      </c>
      <c r="Z17" s="439">
        <f>IFERROR(__xludf.DUMMYFUNCTION("""COMPUTED_VALUE"""),79.4)</f>
        <v>79.4</v>
      </c>
      <c r="AA17" s="444">
        <f>IFERROR(__xludf.DUMMYFUNCTION("""COMPUTED_VALUE"""),9.0)</f>
        <v>9</v>
      </c>
      <c r="AB17" s="443">
        <f>IFERROR(__xludf.DUMMYFUNCTION("""COMPUTED_VALUE"""),0.16981132075471697)</f>
        <v>0.1698113208</v>
      </c>
      <c r="AC17" s="426"/>
    </row>
    <row r="18">
      <c r="A18" s="426"/>
      <c r="B18" s="445">
        <f>IFERROR(__xludf.DUMMYFUNCTION("""COMPUTED_VALUE"""),951.4)</f>
        <v>951.4</v>
      </c>
      <c r="C18" s="446">
        <f>IFERROR(__xludf.DUMMYFUNCTION("""COMPUTED_VALUE"""),1045.9)</f>
        <v>1045.9</v>
      </c>
      <c r="D18" s="447"/>
      <c r="E18" s="445">
        <f>IFERROR(__xludf.DUMMYFUNCTION("""COMPUTED_VALUE"""),1094.11)</f>
        <v>1094.11</v>
      </c>
      <c r="F18" s="445">
        <f>IFERROR(__xludf.DUMMYFUNCTION("""COMPUTED_VALUE"""),1140.4)</f>
        <v>1140.4</v>
      </c>
      <c r="G18" s="445">
        <f>IFERROR(__xludf.DUMMYFUNCTION("""COMPUTED_VALUE"""),1189.25)</f>
        <v>1189.25</v>
      </c>
      <c r="H18" s="448">
        <f>IFERROR(__xludf.DUMMYFUNCTION("""COMPUTED_VALUE"""),434.0)</f>
        <v>434</v>
      </c>
      <c r="I18" s="447"/>
      <c r="J18" s="449">
        <f>IFERROR(__xludf.DUMMYFUNCTION("""COMPUTED_VALUE"""),0.12116136236739251)</f>
        <v>0.1211613624</v>
      </c>
      <c r="K18" s="426"/>
      <c r="L18" s="445">
        <f>IFERROR(__xludf.DUMMYFUNCTION("""COMPUTED_VALUE"""),349.4)</f>
        <v>349.4</v>
      </c>
      <c r="M18" s="445">
        <f>IFERROR(__xludf.DUMMYFUNCTION("""COMPUTED_VALUE"""),383.90000000000003)</f>
        <v>383.9</v>
      </c>
      <c r="N18" s="445">
        <f>IFERROR(__xludf.DUMMYFUNCTION("""COMPUTED_VALUE"""),418.4)</f>
        <v>418.4</v>
      </c>
      <c r="O18" s="450">
        <f>IFERROR(__xludf.DUMMYFUNCTION("""COMPUTED_VALUE"""),0.0)</f>
        <v>0</v>
      </c>
      <c r="P18" s="449">
        <f>IFERROR(__xludf.DUMMYFUNCTION("""COMPUTED_VALUE"""),0.0)</f>
        <v>0</v>
      </c>
      <c r="Q18" s="426"/>
      <c r="R18" s="445">
        <f>IFERROR(__xludf.DUMMYFUNCTION("""COMPUTED_VALUE"""),157.9)</f>
        <v>157.9</v>
      </c>
      <c r="S18" s="445">
        <f>IFERROR(__xludf.DUMMYFUNCTION("""COMPUTED_VALUE"""),173.4)</f>
        <v>173.4</v>
      </c>
      <c r="T18" s="445">
        <f>IFERROR(__xludf.DUMMYFUNCTION("""COMPUTED_VALUE"""),188.9)</f>
        <v>188.9</v>
      </c>
      <c r="U18" s="450">
        <f>IFERROR(__xludf.DUMMYFUNCTION("""COMPUTED_VALUE"""),1.0)</f>
        <v>1</v>
      </c>
      <c r="V18" s="449">
        <f>IFERROR(__xludf.DUMMYFUNCTION("""COMPUTED_VALUE"""),0.05)</f>
        <v>0.05</v>
      </c>
      <c r="W18" s="426"/>
      <c r="X18" s="445">
        <f>IFERROR(__xludf.DUMMYFUNCTION("""COMPUTED_VALUE"""),76.4)</f>
        <v>76.4</v>
      </c>
      <c r="Y18" s="445">
        <f>IFERROR(__xludf.DUMMYFUNCTION("""COMPUTED_VALUE"""),83.9)</f>
        <v>83.9</v>
      </c>
      <c r="Z18" s="445">
        <f>IFERROR(__xludf.DUMMYFUNCTION("""COMPUTED_VALUE"""),91.4)</f>
        <v>91.4</v>
      </c>
      <c r="AA18" s="450">
        <f>IFERROR(__xludf.DUMMYFUNCTION("""COMPUTED_VALUE"""),9.0)</f>
        <v>9</v>
      </c>
      <c r="AB18" s="449">
        <f>IFERROR(__xludf.DUMMYFUNCTION("""COMPUTED_VALUE"""),0.16981132075471697)</f>
        <v>0.1698113208</v>
      </c>
      <c r="AC18" s="426"/>
    </row>
    <row r="19">
      <c r="A19" s="426"/>
      <c r="B19" s="439">
        <f>IFERROR(__xludf.DUMMYFUNCTION("""COMPUTED_VALUE"""),1041.4)</f>
        <v>1041.4</v>
      </c>
      <c r="C19" s="440">
        <f>IFERROR(__xludf.DUMMYFUNCTION("""COMPUTED_VALUE"""),1144.9)</f>
        <v>1144.9</v>
      </c>
      <c r="D19" s="441"/>
      <c r="E19" s="439">
        <f>IFERROR(__xludf.DUMMYFUNCTION("""COMPUTED_VALUE"""),1197.61)</f>
        <v>1197.61</v>
      </c>
      <c r="F19" s="439">
        <f>IFERROR(__xludf.DUMMYFUNCTION("""COMPUTED_VALUE"""),1248.4)</f>
        <v>1248.4</v>
      </c>
      <c r="G19" s="439">
        <f>IFERROR(__xludf.DUMMYFUNCTION("""COMPUTED_VALUE"""),1301.75)</f>
        <v>1301.75</v>
      </c>
      <c r="H19" s="442">
        <f>IFERROR(__xludf.DUMMYFUNCTION("""COMPUTED_VALUE"""),199.0)</f>
        <v>199</v>
      </c>
      <c r="I19" s="441"/>
      <c r="J19" s="443">
        <f>IFERROR(__xludf.DUMMYFUNCTION("""COMPUTED_VALUE"""),0.05555555555555555)</f>
        <v>0.05555555556</v>
      </c>
      <c r="K19" s="426"/>
      <c r="L19" s="439">
        <f>IFERROR(__xludf.DUMMYFUNCTION("""COMPUTED_VALUE"""),379.4)</f>
        <v>379.4</v>
      </c>
      <c r="M19" s="439">
        <f>IFERROR(__xludf.DUMMYFUNCTION("""COMPUTED_VALUE"""),416.90000000000003)</f>
        <v>416.9</v>
      </c>
      <c r="N19" s="439">
        <f>IFERROR(__xludf.DUMMYFUNCTION("""COMPUTED_VALUE"""),454.4)</f>
        <v>454.4</v>
      </c>
      <c r="O19" s="444">
        <f>IFERROR(__xludf.DUMMYFUNCTION("""COMPUTED_VALUE"""),2.0)</f>
        <v>2</v>
      </c>
      <c r="P19" s="443">
        <f>IFERROR(__xludf.DUMMYFUNCTION("""COMPUTED_VALUE"""),0.10526315789473684)</f>
        <v>0.1052631579</v>
      </c>
      <c r="Q19" s="426"/>
      <c r="R19" s="439">
        <f>IFERROR(__xludf.DUMMYFUNCTION("""COMPUTED_VALUE"""),167.9)</f>
        <v>167.9</v>
      </c>
      <c r="S19" s="439">
        <f>IFERROR(__xludf.DUMMYFUNCTION("""COMPUTED_VALUE"""),184.40000000000003)</f>
        <v>184.4</v>
      </c>
      <c r="T19" s="439">
        <f>IFERROR(__xludf.DUMMYFUNCTION("""COMPUTED_VALUE"""),200.9)</f>
        <v>200.9</v>
      </c>
      <c r="U19" s="444">
        <f>IFERROR(__xludf.DUMMYFUNCTION("""COMPUTED_VALUE"""),1.0)</f>
        <v>1</v>
      </c>
      <c r="V19" s="443">
        <f>IFERROR(__xludf.DUMMYFUNCTION("""COMPUTED_VALUE"""),0.05)</f>
        <v>0.05</v>
      </c>
      <c r="W19" s="426"/>
      <c r="X19" s="439">
        <f>IFERROR(__xludf.DUMMYFUNCTION("""COMPUTED_VALUE"""),86.4)</f>
        <v>86.4</v>
      </c>
      <c r="Y19" s="439">
        <f>IFERROR(__xludf.DUMMYFUNCTION("""COMPUTED_VALUE"""),94.90000000000002)</f>
        <v>94.9</v>
      </c>
      <c r="Z19" s="439">
        <f>IFERROR(__xludf.DUMMYFUNCTION("""COMPUTED_VALUE"""),103.4)</f>
        <v>103.4</v>
      </c>
      <c r="AA19" s="444">
        <f>IFERROR(__xludf.DUMMYFUNCTION("""COMPUTED_VALUE"""),8.0)</f>
        <v>8</v>
      </c>
      <c r="AB19" s="443">
        <f>IFERROR(__xludf.DUMMYFUNCTION("""COMPUTED_VALUE"""),0.1509433962264151)</f>
        <v>0.1509433962</v>
      </c>
      <c r="AC19" s="426"/>
    </row>
    <row r="20">
      <c r="A20" s="426"/>
      <c r="B20" s="445">
        <f>IFERROR(__xludf.DUMMYFUNCTION("""COMPUTED_VALUE"""),1131.4)</f>
        <v>1131.4</v>
      </c>
      <c r="C20" s="446">
        <f>IFERROR(__xludf.DUMMYFUNCTION("""COMPUTED_VALUE"""),1243.9)</f>
        <v>1243.9</v>
      </c>
      <c r="D20" s="447"/>
      <c r="E20" s="445">
        <f>IFERROR(__xludf.DUMMYFUNCTION("""COMPUTED_VALUE"""),1301.11)</f>
        <v>1301.11</v>
      </c>
      <c r="F20" s="445">
        <f>IFERROR(__xludf.DUMMYFUNCTION("""COMPUTED_VALUE"""),1356.4)</f>
        <v>1356.4</v>
      </c>
      <c r="G20" s="445">
        <f>IFERROR(__xludf.DUMMYFUNCTION("""COMPUTED_VALUE"""),1414.25)</f>
        <v>1414.25</v>
      </c>
      <c r="H20" s="448">
        <f>IFERROR(__xludf.DUMMYFUNCTION("""COMPUTED_VALUE"""),625.0)</f>
        <v>625</v>
      </c>
      <c r="I20" s="447"/>
      <c r="J20" s="449">
        <f>IFERROR(__xludf.DUMMYFUNCTION("""COMPUTED_VALUE"""),0.17448352875488554)</f>
        <v>0.1744835288</v>
      </c>
      <c r="K20" s="426"/>
      <c r="L20" s="445">
        <f>IFERROR(__xludf.DUMMYFUNCTION("""COMPUTED_VALUE"""),409.4)</f>
        <v>409.4</v>
      </c>
      <c r="M20" s="445">
        <f>IFERROR(__xludf.DUMMYFUNCTION("""COMPUTED_VALUE"""),449.90000000000003)</f>
        <v>449.9</v>
      </c>
      <c r="N20" s="445">
        <f>IFERROR(__xludf.DUMMYFUNCTION("""COMPUTED_VALUE"""),490.4)</f>
        <v>490.4</v>
      </c>
      <c r="O20" s="450">
        <f>IFERROR(__xludf.DUMMYFUNCTION("""COMPUTED_VALUE"""),3.0)</f>
        <v>3</v>
      </c>
      <c r="P20" s="449">
        <f>IFERROR(__xludf.DUMMYFUNCTION("""COMPUTED_VALUE"""),0.15789473684210525)</f>
        <v>0.1578947368</v>
      </c>
      <c r="Q20" s="426"/>
      <c r="R20" s="445">
        <f>IFERROR(__xludf.DUMMYFUNCTION("""COMPUTED_VALUE"""),177.9)</f>
        <v>177.9</v>
      </c>
      <c r="S20" s="445">
        <f>IFERROR(__xludf.DUMMYFUNCTION("""COMPUTED_VALUE"""),195.40000000000003)</f>
        <v>195.4</v>
      </c>
      <c r="T20" s="445">
        <f>IFERROR(__xludf.DUMMYFUNCTION("""COMPUTED_VALUE"""),212.9)</f>
        <v>212.9</v>
      </c>
      <c r="U20" s="450">
        <f>IFERROR(__xludf.DUMMYFUNCTION("""COMPUTED_VALUE"""),4.0)</f>
        <v>4</v>
      </c>
      <c r="V20" s="449">
        <f>IFERROR(__xludf.DUMMYFUNCTION("""COMPUTED_VALUE"""),0.2)</f>
        <v>0.2</v>
      </c>
      <c r="W20" s="426"/>
      <c r="X20" s="445">
        <f>IFERROR(__xludf.DUMMYFUNCTION("""COMPUTED_VALUE"""),96.4)</f>
        <v>96.4</v>
      </c>
      <c r="Y20" s="445">
        <f>IFERROR(__xludf.DUMMYFUNCTION("""COMPUTED_VALUE"""),105.90000000000002)</f>
        <v>105.9</v>
      </c>
      <c r="Z20" s="445">
        <f>IFERROR(__xludf.DUMMYFUNCTION("""COMPUTED_VALUE"""),115.4)</f>
        <v>115.4</v>
      </c>
      <c r="AA20" s="450">
        <f>IFERROR(__xludf.DUMMYFUNCTION("""COMPUTED_VALUE"""),5.0)</f>
        <v>5</v>
      </c>
      <c r="AB20" s="449">
        <f>IFERROR(__xludf.DUMMYFUNCTION("""COMPUTED_VALUE"""),0.09433962264150944)</f>
        <v>0.09433962264</v>
      </c>
      <c r="AC20" s="426"/>
    </row>
    <row r="21">
      <c r="A21" s="426"/>
      <c r="B21" s="439">
        <f>IFERROR(__xludf.DUMMYFUNCTION("""COMPUTED_VALUE"""),1221.4)</f>
        <v>1221.4</v>
      </c>
      <c r="C21" s="440">
        <f>IFERROR(__xludf.DUMMYFUNCTION("""COMPUTED_VALUE"""),1342.9)</f>
        <v>1342.9</v>
      </c>
      <c r="D21" s="441"/>
      <c r="E21" s="439">
        <f>IFERROR(__xludf.DUMMYFUNCTION("""COMPUTED_VALUE"""),1404.61)</f>
        <v>1404.61</v>
      </c>
      <c r="F21" s="439">
        <f>IFERROR(__xludf.DUMMYFUNCTION("""COMPUTED_VALUE"""),1464.4)</f>
        <v>1464.4</v>
      </c>
      <c r="G21" s="439">
        <f>IFERROR(__xludf.DUMMYFUNCTION("""COMPUTED_VALUE"""),1526.75)</f>
        <v>1526.75</v>
      </c>
      <c r="H21" s="442">
        <f>IFERROR(__xludf.DUMMYFUNCTION("""COMPUTED_VALUE"""),584.0)</f>
        <v>584</v>
      </c>
      <c r="I21" s="441"/>
      <c r="J21" s="443">
        <f>IFERROR(__xludf.DUMMYFUNCTION("""COMPUTED_VALUE"""),0.16303740926856505)</f>
        <v>0.1630374093</v>
      </c>
      <c r="K21" s="426"/>
      <c r="L21" s="439">
        <f>IFERROR(__xludf.DUMMYFUNCTION("""COMPUTED_VALUE"""),439.4)</f>
        <v>439.4</v>
      </c>
      <c r="M21" s="439">
        <f>IFERROR(__xludf.DUMMYFUNCTION("""COMPUTED_VALUE"""),482.90000000000003)</f>
        <v>482.9</v>
      </c>
      <c r="N21" s="439">
        <f>IFERROR(__xludf.DUMMYFUNCTION("""COMPUTED_VALUE"""),526.4)</f>
        <v>526.4</v>
      </c>
      <c r="O21" s="444">
        <f>IFERROR(__xludf.DUMMYFUNCTION("""COMPUTED_VALUE"""),0.0)</f>
        <v>0</v>
      </c>
      <c r="P21" s="443">
        <f>IFERROR(__xludf.DUMMYFUNCTION("""COMPUTED_VALUE"""),0.0)</f>
        <v>0</v>
      </c>
      <c r="Q21" s="426"/>
      <c r="R21" s="439">
        <f>IFERROR(__xludf.DUMMYFUNCTION("""COMPUTED_VALUE"""),187.9)</f>
        <v>187.9</v>
      </c>
      <c r="S21" s="439">
        <f>IFERROR(__xludf.DUMMYFUNCTION("""COMPUTED_VALUE"""),206.40000000000003)</f>
        <v>206.4</v>
      </c>
      <c r="T21" s="439">
        <f>IFERROR(__xludf.DUMMYFUNCTION("""COMPUTED_VALUE"""),224.9)</f>
        <v>224.9</v>
      </c>
      <c r="U21" s="444">
        <f>IFERROR(__xludf.DUMMYFUNCTION("""COMPUTED_VALUE"""),5.0)</f>
        <v>5</v>
      </c>
      <c r="V21" s="443">
        <f>IFERROR(__xludf.DUMMYFUNCTION("""COMPUTED_VALUE"""),0.25)</f>
        <v>0.25</v>
      </c>
      <c r="W21" s="426"/>
      <c r="X21" s="439">
        <f>IFERROR(__xludf.DUMMYFUNCTION("""COMPUTED_VALUE"""),106.4)</f>
        <v>106.4</v>
      </c>
      <c r="Y21" s="439">
        <f>IFERROR(__xludf.DUMMYFUNCTION("""COMPUTED_VALUE"""),116.90000000000002)</f>
        <v>116.9</v>
      </c>
      <c r="Z21" s="439">
        <f>IFERROR(__xludf.DUMMYFUNCTION("""COMPUTED_VALUE"""),127.4)</f>
        <v>127.4</v>
      </c>
      <c r="AA21" s="444">
        <f>IFERROR(__xludf.DUMMYFUNCTION("""COMPUTED_VALUE"""),13.0)</f>
        <v>13</v>
      </c>
      <c r="AB21" s="443">
        <f>IFERROR(__xludf.DUMMYFUNCTION("""COMPUTED_VALUE"""),0.24528301886792453)</f>
        <v>0.2452830189</v>
      </c>
      <c r="AC21" s="426"/>
    </row>
    <row r="22">
      <c r="A22" s="426"/>
      <c r="B22" s="445">
        <f>IFERROR(__xludf.DUMMYFUNCTION("""COMPUTED_VALUE"""),1311.4)</f>
        <v>1311.4</v>
      </c>
      <c r="C22" s="446">
        <f>IFERROR(__xludf.DUMMYFUNCTION("""COMPUTED_VALUE"""),1441.9000000000003)</f>
        <v>1441.9</v>
      </c>
      <c r="D22" s="447"/>
      <c r="E22" s="445">
        <f>IFERROR(__xludf.DUMMYFUNCTION("""COMPUTED_VALUE"""),1508.11)</f>
        <v>1508.11</v>
      </c>
      <c r="F22" s="445">
        <f>IFERROR(__xludf.DUMMYFUNCTION("""COMPUTED_VALUE"""),1572.4)</f>
        <v>1572.4</v>
      </c>
      <c r="G22" s="445">
        <f>IFERROR(__xludf.DUMMYFUNCTION("""COMPUTED_VALUE"""),1639.25)</f>
        <v>1639.25</v>
      </c>
      <c r="H22" s="448">
        <f>IFERROR(__xludf.DUMMYFUNCTION("""COMPUTED_VALUE"""),219.0)</f>
        <v>219</v>
      </c>
      <c r="I22" s="447"/>
      <c r="J22" s="449">
        <f>IFERROR(__xludf.DUMMYFUNCTION("""COMPUTED_VALUE"""),0.06113902847571189)</f>
        <v>0.06113902848</v>
      </c>
      <c r="K22" s="426"/>
      <c r="L22" s="445">
        <f>IFERROR(__xludf.DUMMYFUNCTION("""COMPUTED_VALUE"""),469.4)</f>
        <v>469.4</v>
      </c>
      <c r="M22" s="445">
        <f>IFERROR(__xludf.DUMMYFUNCTION("""COMPUTED_VALUE"""),515.9000000000001)</f>
        <v>515.9</v>
      </c>
      <c r="N22" s="445">
        <f>IFERROR(__xludf.DUMMYFUNCTION("""COMPUTED_VALUE"""),562.4)</f>
        <v>562.4</v>
      </c>
      <c r="O22" s="450">
        <f>IFERROR(__xludf.DUMMYFUNCTION("""COMPUTED_VALUE"""),4.0)</f>
        <v>4</v>
      </c>
      <c r="P22" s="449">
        <f>IFERROR(__xludf.DUMMYFUNCTION("""COMPUTED_VALUE"""),0.21052631578947367)</f>
        <v>0.2105263158</v>
      </c>
      <c r="Q22" s="426"/>
      <c r="R22" s="445">
        <f>IFERROR(__xludf.DUMMYFUNCTION("""COMPUTED_VALUE"""),197.9)</f>
        <v>197.9</v>
      </c>
      <c r="S22" s="445">
        <f>IFERROR(__xludf.DUMMYFUNCTION("""COMPUTED_VALUE"""),217.40000000000003)</f>
        <v>217.4</v>
      </c>
      <c r="T22" s="445">
        <f>IFERROR(__xludf.DUMMYFUNCTION("""COMPUTED_VALUE"""),236.9)</f>
        <v>236.9</v>
      </c>
      <c r="U22" s="450">
        <f>IFERROR(__xludf.DUMMYFUNCTION("""COMPUTED_VALUE"""),0.0)</f>
        <v>0</v>
      </c>
      <c r="V22" s="449">
        <f>IFERROR(__xludf.DUMMYFUNCTION("""COMPUTED_VALUE"""),0.0)</f>
        <v>0</v>
      </c>
      <c r="W22" s="426"/>
      <c r="X22" s="445">
        <f>IFERROR(__xludf.DUMMYFUNCTION("""COMPUTED_VALUE"""),116.4)</f>
        <v>116.4</v>
      </c>
      <c r="Y22" s="445">
        <f>IFERROR(__xludf.DUMMYFUNCTION("""COMPUTED_VALUE"""),127.90000000000002)</f>
        <v>127.9</v>
      </c>
      <c r="Z22" s="445">
        <f>IFERROR(__xludf.DUMMYFUNCTION("""COMPUTED_VALUE"""),139.4)</f>
        <v>139.4</v>
      </c>
      <c r="AA22" s="450">
        <f>IFERROR(__xludf.DUMMYFUNCTION("""COMPUTED_VALUE"""),2.0)</f>
        <v>2</v>
      </c>
      <c r="AB22" s="449">
        <f>IFERROR(__xludf.DUMMYFUNCTION("""COMPUTED_VALUE"""),0.03773584905660377)</f>
        <v>0.03773584906</v>
      </c>
      <c r="AC22" s="426"/>
    </row>
    <row r="23">
      <c r="A23" s="426"/>
      <c r="B23" s="439">
        <f>IFERROR(__xludf.DUMMYFUNCTION("""COMPUTED_VALUE"""),1401.4)</f>
        <v>1401.4</v>
      </c>
      <c r="C23" s="440">
        <f>IFERROR(__xludf.DUMMYFUNCTION("""COMPUTED_VALUE"""),1540.9000000000003)</f>
        <v>1540.9</v>
      </c>
      <c r="D23" s="441"/>
      <c r="E23" s="439">
        <f>IFERROR(__xludf.DUMMYFUNCTION("""COMPUTED_VALUE"""),1611.61)</f>
        <v>1611.61</v>
      </c>
      <c r="F23" s="439">
        <f>IFERROR(__xludf.DUMMYFUNCTION("""COMPUTED_VALUE"""),1680.4)</f>
        <v>1680.4</v>
      </c>
      <c r="G23" s="439">
        <f>IFERROR(__xludf.DUMMYFUNCTION("""COMPUTED_VALUE"""),1751.75)</f>
        <v>1751.75</v>
      </c>
      <c r="H23" s="442">
        <f>IFERROR(__xludf.DUMMYFUNCTION("""COMPUTED_VALUE"""),340.0)</f>
        <v>340</v>
      </c>
      <c r="I23" s="441"/>
      <c r="J23" s="443">
        <f>IFERROR(__xludf.DUMMYFUNCTION("""COMPUTED_VALUE"""),0.09491903964265773)</f>
        <v>0.09491903964</v>
      </c>
      <c r="K23" s="426"/>
      <c r="L23" s="439">
        <f>IFERROR(__xludf.DUMMYFUNCTION("""COMPUTED_VALUE"""),499.4)</f>
        <v>499.4</v>
      </c>
      <c r="M23" s="439">
        <f>IFERROR(__xludf.DUMMYFUNCTION("""COMPUTED_VALUE"""),548.9)</f>
        <v>548.9</v>
      </c>
      <c r="N23" s="439">
        <f>IFERROR(__xludf.DUMMYFUNCTION("""COMPUTED_VALUE"""),598.4)</f>
        <v>598.4</v>
      </c>
      <c r="O23" s="444">
        <f>IFERROR(__xludf.DUMMYFUNCTION("""COMPUTED_VALUE"""),2.0)</f>
        <v>2</v>
      </c>
      <c r="P23" s="443">
        <f>IFERROR(__xludf.DUMMYFUNCTION("""COMPUTED_VALUE"""),0.10526315789473684)</f>
        <v>0.1052631579</v>
      </c>
      <c r="Q23" s="426"/>
      <c r="R23" s="439">
        <f>IFERROR(__xludf.DUMMYFUNCTION("""COMPUTED_VALUE"""),207.9)</f>
        <v>207.9</v>
      </c>
      <c r="S23" s="439">
        <f>IFERROR(__xludf.DUMMYFUNCTION("""COMPUTED_VALUE"""),228.40000000000003)</f>
        <v>228.4</v>
      </c>
      <c r="T23" s="439">
        <f>IFERROR(__xludf.DUMMYFUNCTION("""COMPUTED_VALUE"""),248.9)</f>
        <v>248.9</v>
      </c>
      <c r="U23" s="444">
        <f>IFERROR(__xludf.DUMMYFUNCTION("""COMPUTED_VALUE"""),2.0)</f>
        <v>2</v>
      </c>
      <c r="V23" s="443">
        <f>IFERROR(__xludf.DUMMYFUNCTION("""COMPUTED_VALUE"""),0.1)</f>
        <v>0.1</v>
      </c>
      <c r="W23" s="426"/>
      <c r="X23" s="439">
        <f>IFERROR(__xludf.DUMMYFUNCTION("""COMPUTED_VALUE"""),126.4)</f>
        <v>126.4</v>
      </c>
      <c r="Y23" s="439">
        <f>IFERROR(__xludf.DUMMYFUNCTION("""COMPUTED_VALUE"""),138.9)</f>
        <v>138.9</v>
      </c>
      <c r="Z23" s="439">
        <f>IFERROR(__xludf.DUMMYFUNCTION("""COMPUTED_VALUE"""),151.4)</f>
        <v>151.4</v>
      </c>
      <c r="AA23" s="444">
        <f>IFERROR(__xludf.DUMMYFUNCTION("""COMPUTED_VALUE"""),3.0)</f>
        <v>3</v>
      </c>
      <c r="AB23" s="443">
        <f>IFERROR(__xludf.DUMMYFUNCTION("""COMPUTED_VALUE"""),0.05660377358490566)</f>
        <v>0.05660377358</v>
      </c>
      <c r="AC23" s="426"/>
    </row>
    <row r="24">
      <c r="A24" s="426"/>
      <c r="B24" s="445">
        <f>IFERROR(__xludf.DUMMYFUNCTION("""COMPUTED_VALUE"""),1491.4)</f>
        <v>1491.4</v>
      </c>
      <c r="C24" s="446">
        <f>IFERROR(__xludf.DUMMYFUNCTION("""COMPUTED_VALUE"""),1639.9000000000003)</f>
        <v>1639.9</v>
      </c>
      <c r="D24" s="447"/>
      <c r="E24" s="445">
        <f>IFERROR(__xludf.DUMMYFUNCTION("""COMPUTED_VALUE"""),1715.11)</f>
        <v>1715.11</v>
      </c>
      <c r="F24" s="445">
        <f>IFERROR(__xludf.DUMMYFUNCTION("""COMPUTED_VALUE"""),1788.4)</f>
        <v>1788.4</v>
      </c>
      <c r="G24" s="445">
        <f>IFERROR(__xludf.DUMMYFUNCTION("""COMPUTED_VALUE"""),1864.25)</f>
        <v>1864.25</v>
      </c>
      <c r="H24" s="448">
        <f>IFERROR(__xludf.DUMMYFUNCTION("""COMPUTED_VALUE"""),306.0)</f>
        <v>306</v>
      </c>
      <c r="I24" s="447"/>
      <c r="J24" s="449">
        <f>IFERROR(__xludf.DUMMYFUNCTION("""COMPUTED_VALUE"""),0.08542713567839195)</f>
        <v>0.08542713568</v>
      </c>
      <c r="K24" s="426"/>
      <c r="L24" s="445">
        <f>IFERROR(__xludf.DUMMYFUNCTION("""COMPUTED_VALUE"""),559.4)</f>
        <v>559.4</v>
      </c>
      <c r="M24" s="445">
        <f>IFERROR(__xludf.DUMMYFUNCTION("""COMPUTED_VALUE"""),614.9)</f>
        <v>614.9</v>
      </c>
      <c r="N24" s="445">
        <f>IFERROR(__xludf.DUMMYFUNCTION("""COMPUTED_VALUE"""),670.4)</f>
        <v>670.4</v>
      </c>
      <c r="O24" s="450">
        <f>IFERROR(__xludf.DUMMYFUNCTION("""COMPUTED_VALUE"""),1.0)</f>
        <v>1</v>
      </c>
      <c r="P24" s="449">
        <f>IFERROR(__xludf.DUMMYFUNCTION("""COMPUTED_VALUE"""),0.05263157894736842)</f>
        <v>0.05263157895</v>
      </c>
      <c r="Q24" s="426"/>
      <c r="R24" s="445">
        <f>IFERROR(__xludf.DUMMYFUNCTION("""COMPUTED_VALUE"""),217.9)</f>
        <v>217.9</v>
      </c>
      <c r="S24" s="445">
        <f>IFERROR(__xludf.DUMMYFUNCTION("""COMPUTED_VALUE"""),239.40000000000003)</f>
        <v>239.4</v>
      </c>
      <c r="T24" s="445">
        <f>IFERROR(__xludf.DUMMYFUNCTION("""COMPUTED_VALUE"""),260.9)</f>
        <v>260.9</v>
      </c>
      <c r="U24" s="450">
        <f>IFERROR(__xludf.DUMMYFUNCTION("""COMPUTED_VALUE"""),1.0)</f>
        <v>1</v>
      </c>
      <c r="V24" s="449">
        <f>IFERROR(__xludf.DUMMYFUNCTION("""COMPUTED_VALUE"""),0.05)</f>
        <v>0.05</v>
      </c>
      <c r="W24" s="426"/>
      <c r="X24" s="445">
        <f>IFERROR(__xludf.DUMMYFUNCTION("""COMPUTED_VALUE"""),136.4)</f>
        <v>136.4</v>
      </c>
      <c r="Y24" s="445">
        <f>IFERROR(__xludf.DUMMYFUNCTION("""COMPUTED_VALUE"""),149.9)</f>
        <v>149.9</v>
      </c>
      <c r="Z24" s="445">
        <f>IFERROR(__xludf.DUMMYFUNCTION("""COMPUTED_VALUE"""),163.4)</f>
        <v>163.4</v>
      </c>
      <c r="AA24" s="450">
        <f>IFERROR(__xludf.DUMMYFUNCTION("""COMPUTED_VALUE"""),3.0)</f>
        <v>3</v>
      </c>
      <c r="AB24" s="449">
        <f>IFERROR(__xludf.DUMMYFUNCTION("""COMPUTED_VALUE"""),0.05660377358490566)</f>
        <v>0.05660377358</v>
      </c>
      <c r="AC24" s="426"/>
    </row>
    <row r="25">
      <c r="A25" s="426"/>
      <c r="B25" s="439">
        <f>IFERROR(__xludf.DUMMYFUNCTION("""COMPUTED_VALUE"""),1581.4)</f>
        <v>1581.4</v>
      </c>
      <c r="C25" s="440">
        <f>IFERROR(__xludf.DUMMYFUNCTION("""COMPUTED_VALUE"""),1738.9000000000003)</f>
        <v>1738.9</v>
      </c>
      <c r="D25" s="441"/>
      <c r="E25" s="439">
        <f>IFERROR(__xludf.DUMMYFUNCTION("""COMPUTED_VALUE"""),1818.61)</f>
        <v>1818.61</v>
      </c>
      <c r="F25" s="439">
        <f>IFERROR(__xludf.DUMMYFUNCTION("""COMPUTED_VALUE"""),1896.4)</f>
        <v>1896.4</v>
      </c>
      <c r="G25" s="439">
        <f>IFERROR(__xludf.DUMMYFUNCTION("""COMPUTED_VALUE"""),1976.75)</f>
        <v>1976.75</v>
      </c>
      <c r="H25" s="442">
        <f>IFERROR(__xludf.DUMMYFUNCTION("""COMPUTED_VALUE"""),112.0)</f>
        <v>112</v>
      </c>
      <c r="I25" s="441"/>
      <c r="J25" s="443">
        <f>IFERROR(__xludf.DUMMYFUNCTION("""COMPUTED_VALUE"""),0.03126744835287549)</f>
        <v>0.03126744835</v>
      </c>
      <c r="K25" s="426"/>
      <c r="L25" s="439">
        <f>IFERROR(__xludf.DUMMYFUNCTION("""COMPUTED_VALUE"""),589.4)</f>
        <v>589.4</v>
      </c>
      <c r="M25" s="439">
        <f>IFERROR(__xludf.DUMMYFUNCTION("""COMPUTED_VALUE"""),647.9)</f>
        <v>647.9</v>
      </c>
      <c r="N25" s="439">
        <f>IFERROR(__xludf.DUMMYFUNCTION("""COMPUTED_VALUE"""),706.4)</f>
        <v>706.4</v>
      </c>
      <c r="O25" s="444">
        <f>IFERROR(__xludf.DUMMYFUNCTION("""COMPUTED_VALUE"""),0.0)</f>
        <v>0</v>
      </c>
      <c r="P25" s="443">
        <f>IFERROR(__xludf.DUMMYFUNCTION("""COMPUTED_VALUE"""),0.0)</f>
        <v>0</v>
      </c>
      <c r="Q25" s="426"/>
      <c r="R25" s="439">
        <f>IFERROR(__xludf.DUMMYFUNCTION("""COMPUTED_VALUE"""),227.9)</f>
        <v>227.9</v>
      </c>
      <c r="S25" s="439">
        <f>IFERROR(__xludf.DUMMYFUNCTION("""COMPUTED_VALUE"""),250.40000000000003)</f>
        <v>250.4</v>
      </c>
      <c r="T25" s="439">
        <f>IFERROR(__xludf.DUMMYFUNCTION("""COMPUTED_VALUE"""),272.9)</f>
        <v>272.9</v>
      </c>
      <c r="U25" s="444">
        <f>IFERROR(__xludf.DUMMYFUNCTION("""COMPUTED_VALUE"""),0.0)</f>
        <v>0</v>
      </c>
      <c r="V25" s="443">
        <f>IFERROR(__xludf.DUMMYFUNCTION("""COMPUTED_VALUE"""),0.0)</f>
        <v>0</v>
      </c>
      <c r="W25" s="426"/>
      <c r="X25" s="439">
        <f>IFERROR(__xludf.DUMMYFUNCTION("""COMPUTED_VALUE"""),146.4)</f>
        <v>146.4</v>
      </c>
      <c r="Y25" s="439">
        <f>IFERROR(__xludf.DUMMYFUNCTION("""COMPUTED_VALUE"""),160.9)</f>
        <v>160.9</v>
      </c>
      <c r="Z25" s="439">
        <f>IFERROR(__xludf.DUMMYFUNCTION("""COMPUTED_VALUE"""),175.4)</f>
        <v>175.4</v>
      </c>
      <c r="AA25" s="444">
        <f>IFERROR(__xludf.DUMMYFUNCTION("""COMPUTED_VALUE"""),0.0)</f>
        <v>0</v>
      </c>
      <c r="AB25" s="443">
        <f>IFERROR(__xludf.DUMMYFUNCTION("""COMPUTED_VALUE"""),0.0)</f>
        <v>0</v>
      </c>
      <c r="AC25" s="426"/>
    </row>
    <row r="26">
      <c r="A26" s="426"/>
      <c r="B26" s="445">
        <f>IFERROR(__xludf.DUMMYFUNCTION("""COMPUTED_VALUE"""),1671.4)</f>
        <v>1671.4</v>
      </c>
      <c r="C26" s="446">
        <f>IFERROR(__xludf.DUMMYFUNCTION("""COMPUTED_VALUE"""),1837.9000000000003)</f>
        <v>1837.9</v>
      </c>
      <c r="D26" s="447"/>
      <c r="E26" s="445">
        <f>IFERROR(__xludf.DUMMYFUNCTION("""COMPUTED_VALUE"""),1922.11)</f>
        <v>1922.11</v>
      </c>
      <c r="F26" s="445">
        <f>IFERROR(__xludf.DUMMYFUNCTION("""COMPUTED_VALUE"""),2004.4)</f>
        <v>2004.4</v>
      </c>
      <c r="G26" s="445">
        <f>IFERROR(__xludf.DUMMYFUNCTION("""COMPUTED_VALUE"""),2089.25)</f>
        <v>2089.25</v>
      </c>
      <c r="H26" s="448">
        <f>IFERROR(__xludf.DUMMYFUNCTION("""COMPUTED_VALUE"""),97.0)</f>
        <v>97</v>
      </c>
      <c r="I26" s="447"/>
      <c r="J26" s="449">
        <f>IFERROR(__xludf.DUMMYFUNCTION("""COMPUTED_VALUE"""),0.027079843662758236)</f>
        <v>0.02707984366</v>
      </c>
      <c r="K26" s="426"/>
      <c r="L26" s="445">
        <f>IFERROR(__xludf.DUMMYFUNCTION("""COMPUTED_VALUE"""),619.4)</f>
        <v>619.4</v>
      </c>
      <c r="M26" s="445">
        <f>IFERROR(__xludf.DUMMYFUNCTION("""COMPUTED_VALUE"""),680.9)</f>
        <v>680.9</v>
      </c>
      <c r="N26" s="445">
        <f>IFERROR(__xludf.DUMMYFUNCTION("""COMPUTED_VALUE"""),742.4)</f>
        <v>742.4</v>
      </c>
      <c r="O26" s="450">
        <f>IFERROR(__xludf.DUMMYFUNCTION("""COMPUTED_VALUE"""),0.0)</f>
        <v>0</v>
      </c>
      <c r="P26" s="449">
        <f>IFERROR(__xludf.DUMMYFUNCTION("""COMPUTED_VALUE"""),0.0)</f>
        <v>0</v>
      </c>
      <c r="Q26" s="426"/>
      <c r="R26" s="445">
        <f>IFERROR(__xludf.DUMMYFUNCTION("""COMPUTED_VALUE"""),237.9)</f>
        <v>237.9</v>
      </c>
      <c r="S26" s="445">
        <f>IFERROR(__xludf.DUMMYFUNCTION("""COMPUTED_VALUE"""),261.4)</f>
        <v>261.4</v>
      </c>
      <c r="T26" s="445">
        <f>IFERROR(__xludf.DUMMYFUNCTION("""COMPUTED_VALUE"""),284.9)</f>
        <v>284.9</v>
      </c>
      <c r="U26" s="450">
        <f>IFERROR(__xludf.DUMMYFUNCTION("""COMPUTED_VALUE"""),1.0)</f>
        <v>1</v>
      </c>
      <c r="V26" s="449">
        <f>IFERROR(__xludf.DUMMYFUNCTION("""COMPUTED_VALUE"""),0.05)</f>
        <v>0.05</v>
      </c>
      <c r="W26" s="426"/>
      <c r="X26" s="445">
        <f>IFERROR(__xludf.DUMMYFUNCTION("""COMPUTED_VALUE"""),156.4)</f>
        <v>156.4</v>
      </c>
      <c r="Y26" s="445">
        <f>IFERROR(__xludf.DUMMYFUNCTION("""COMPUTED_VALUE"""),171.9)</f>
        <v>171.9</v>
      </c>
      <c r="Z26" s="445">
        <f>IFERROR(__xludf.DUMMYFUNCTION("""COMPUTED_VALUE"""),187.4)</f>
        <v>187.4</v>
      </c>
      <c r="AA26" s="450">
        <f>IFERROR(__xludf.DUMMYFUNCTION("""COMPUTED_VALUE"""),1.0)</f>
        <v>1</v>
      </c>
      <c r="AB26" s="449">
        <f>IFERROR(__xludf.DUMMYFUNCTION("""COMPUTED_VALUE"""),0.018867924528301886)</f>
        <v>0.01886792453</v>
      </c>
      <c r="AC26" s="426"/>
    </row>
    <row r="27">
      <c r="A27" s="426"/>
      <c r="B27" s="439">
        <f>IFERROR(__xludf.DUMMYFUNCTION("""COMPUTED_VALUE"""),1761.4)</f>
        <v>1761.4</v>
      </c>
      <c r="C27" s="440">
        <f>IFERROR(__xludf.DUMMYFUNCTION("""COMPUTED_VALUE"""),1936.9000000000003)</f>
        <v>1936.9</v>
      </c>
      <c r="D27" s="441"/>
      <c r="E27" s="439">
        <f>IFERROR(__xludf.DUMMYFUNCTION("""COMPUTED_VALUE"""),2025.61)</f>
        <v>2025.61</v>
      </c>
      <c r="F27" s="439">
        <f>IFERROR(__xludf.DUMMYFUNCTION("""COMPUTED_VALUE"""),2112.4)</f>
        <v>2112.4</v>
      </c>
      <c r="G27" s="439">
        <f>IFERROR(__xludf.DUMMYFUNCTION("""COMPUTED_VALUE"""),2201.75)</f>
        <v>2201.75</v>
      </c>
      <c r="H27" s="442">
        <f>IFERROR(__xludf.DUMMYFUNCTION("""COMPUTED_VALUE"""),93.0)</f>
        <v>93</v>
      </c>
      <c r="I27" s="441"/>
      <c r="J27" s="443">
        <f>IFERROR(__xludf.DUMMYFUNCTION("""COMPUTED_VALUE"""),0.025963149078726967)</f>
        <v>0.02596314908</v>
      </c>
      <c r="K27" s="426"/>
      <c r="L27" s="439">
        <f>IFERROR(__xludf.DUMMYFUNCTION("""COMPUTED_VALUE"""),649.4)</f>
        <v>649.4</v>
      </c>
      <c r="M27" s="439">
        <f>IFERROR(__xludf.DUMMYFUNCTION("""COMPUTED_VALUE"""),713.9000000000001)</f>
        <v>713.9</v>
      </c>
      <c r="N27" s="439">
        <f>IFERROR(__xludf.DUMMYFUNCTION("""COMPUTED_VALUE"""),778.4)</f>
        <v>778.4</v>
      </c>
      <c r="O27" s="444">
        <f>IFERROR(__xludf.DUMMYFUNCTION("""COMPUTED_VALUE"""),1.0)</f>
        <v>1</v>
      </c>
      <c r="P27" s="443">
        <f>IFERROR(__xludf.DUMMYFUNCTION("""COMPUTED_VALUE"""),0.05263157894736842)</f>
        <v>0.05263157895</v>
      </c>
      <c r="Q27" s="426"/>
      <c r="R27" s="439">
        <f>IFERROR(__xludf.DUMMYFUNCTION("""COMPUTED_VALUE"""),247.9)</f>
        <v>247.9</v>
      </c>
      <c r="S27" s="439">
        <f>IFERROR(__xludf.DUMMYFUNCTION("""COMPUTED_VALUE"""),272.4)</f>
        <v>272.4</v>
      </c>
      <c r="T27" s="439">
        <f>IFERROR(__xludf.DUMMYFUNCTION("""COMPUTED_VALUE"""),296.9)</f>
        <v>296.9</v>
      </c>
      <c r="U27" s="444">
        <f>IFERROR(__xludf.DUMMYFUNCTION("""COMPUTED_VALUE"""),1.0)</f>
        <v>1</v>
      </c>
      <c r="V27" s="443">
        <f>IFERROR(__xludf.DUMMYFUNCTION("""COMPUTED_VALUE"""),0.05)</f>
        <v>0.05</v>
      </c>
      <c r="W27" s="426"/>
      <c r="X27" s="439">
        <f>IFERROR(__xludf.DUMMYFUNCTION("""COMPUTED_VALUE"""),166.4)</f>
        <v>166.4</v>
      </c>
      <c r="Y27" s="439">
        <f>IFERROR(__xludf.DUMMYFUNCTION("""COMPUTED_VALUE"""),182.90000000000003)</f>
        <v>182.9</v>
      </c>
      <c r="Z27" s="439">
        <f>IFERROR(__xludf.DUMMYFUNCTION("""COMPUTED_VALUE"""),199.4)</f>
        <v>199.4</v>
      </c>
      <c r="AA27" s="444">
        <f>IFERROR(__xludf.DUMMYFUNCTION("""COMPUTED_VALUE"""),0.0)</f>
        <v>0</v>
      </c>
      <c r="AB27" s="443">
        <f>IFERROR(__xludf.DUMMYFUNCTION("""COMPUTED_VALUE"""),0.0)</f>
        <v>0</v>
      </c>
      <c r="AC27" s="426"/>
    </row>
    <row r="28">
      <c r="A28" s="426"/>
      <c r="B28" s="445">
        <f>IFERROR(__xludf.DUMMYFUNCTION("""COMPUTED_VALUE"""),1851.4)</f>
        <v>1851.4</v>
      </c>
      <c r="C28" s="446">
        <f>IFERROR(__xludf.DUMMYFUNCTION("""COMPUTED_VALUE"""),2035.9000000000003)</f>
        <v>2035.9</v>
      </c>
      <c r="D28" s="447"/>
      <c r="E28" s="445">
        <f>IFERROR(__xludf.DUMMYFUNCTION("""COMPUTED_VALUE"""),2129.11)</f>
        <v>2129.11</v>
      </c>
      <c r="F28" s="445">
        <f>IFERROR(__xludf.DUMMYFUNCTION("""COMPUTED_VALUE"""),2220.4)</f>
        <v>2220.4</v>
      </c>
      <c r="G28" s="445">
        <f>IFERROR(__xludf.DUMMYFUNCTION("""COMPUTED_VALUE"""),2314.25)</f>
        <v>2314.25</v>
      </c>
      <c r="H28" s="448">
        <f>IFERROR(__xludf.DUMMYFUNCTION("""COMPUTED_VALUE"""),34.0)</f>
        <v>34</v>
      </c>
      <c r="I28" s="447"/>
      <c r="J28" s="449">
        <f>IFERROR(__xludf.DUMMYFUNCTION("""COMPUTED_VALUE"""),0.009491903964265773)</f>
        <v>0.009491903964</v>
      </c>
      <c r="K28" s="426"/>
      <c r="L28" s="445">
        <f>IFERROR(__xludf.DUMMYFUNCTION("""COMPUTED_VALUE"""),679.4)</f>
        <v>679.4</v>
      </c>
      <c r="M28" s="445">
        <f>IFERROR(__xludf.DUMMYFUNCTION("""COMPUTED_VALUE"""),746.9000000000001)</f>
        <v>746.9</v>
      </c>
      <c r="N28" s="445">
        <f>IFERROR(__xludf.DUMMYFUNCTION("""COMPUTED_VALUE"""),814.4)</f>
        <v>814.4</v>
      </c>
      <c r="O28" s="450">
        <f>IFERROR(__xludf.DUMMYFUNCTION("""COMPUTED_VALUE"""),3.0)</f>
        <v>3</v>
      </c>
      <c r="P28" s="449">
        <f>IFERROR(__xludf.DUMMYFUNCTION("""COMPUTED_VALUE"""),0.15789473684210525)</f>
        <v>0.1578947368</v>
      </c>
      <c r="Q28" s="426"/>
      <c r="R28" s="445">
        <f>IFERROR(__xludf.DUMMYFUNCTION("""COMPUTED_VALUE"""),257.9)</f>
        <v>257.9</v>
      </c>
      <c r="S28" s="445">
        <f>IFERROR(__xludf.DUMMYFUNCTION("""COMPUTED_VALUE"""),283.4)</f>
        <v>283.4</v>
      </c>
      <c r="T28" s="445">
        <f>IFERROR(__xludf.DUMMYFUNCTION("""COMPUTED_VALUE"""),308.9)</f>
        <v>308.9</v>
      </c>
      <c r="U28" s="450">
        <f>IFERROR(__xludf.DUMMYFUNCTION("""COMPUTED_VALUE"""),0.0)</f>
        <v>0</v>
      </c>
      <c r="V28" s="449">
        <f>IFERROR(__xludf.DUMMYFUNCTION("""COMPUTED_VALUE"""),0.0)</f>
        <v>0</v>
      </c>
      <c r="W28" s="426"/>
      <c r="X28" s="445">
        <f>IFERROR(__xludf.DUMMYFUNCTION("""COMPUTED_VALUE"""),176.4)</f>
        <v>176.4</v>
      </c>
      <c r="Y28" s="445">
        <f>IFERROR(__xludf.DUMMYFUNCTION("""COMPUTED_VALUE"""),193.90000000000003)</f>
        <v>193.9</v>
      </c>
      <c r="Z28" s="445">
        <f>IFERROR(__xludf.DUMMYFUNCTION("""COMPUTED_VALUE"""),211.4)</f>
        <v>211.4</v>
      </c>
      <c r="AA28" s="450">
        <f>IFERROR(__xludf.DUMMYFUNCTION("""COMPUTED_VALUE"""),0.0)</f>
        <v>0</v>
      </c>
      <c r="AB28" s="449">
        <f>IFERROR(__xludf.DUMMYFUNCTION("""COMPUTED_VALUE"""),0.0)</f>
        <v>0</v>
      </c>
      <c r="AC28" s="426"/>
    </row>
    <row r="29">
      <c r="A29" s="426"/>
      <c r="B29" s="439">
        <f>IFERROR(__xludf.DUMMYFUNCTION("""COMPUTED_VALUE"""),1941.4)</f>
        <v>1941.4</v>
      </c>
      <c r="C29" s="440">
        <f>IFERROR(__xludf.DUMMYFUNCTION("""COMPUTED_VALUE"""),2134.9)</f>
        <v>2134.9</v>
      </c>
      <c r="D29" s="441"/>
      <c r="E29" s="439">
        <f>IFERROR(__xludf.DUMMYFUNCTION("""COMPUTED_VALUE"""),2232.61)</f>
        <v>2232.61</v>
      </c>
      <c r="F29" s="439">
        <f>IFERROR(__xludf.DUMMYFUNCTION("""COMPUTED_VALUE"""),2328.4)</f>
        <v>2328.4</v>
      </c>
      <c r="G29" s="439">
        <f>IFERROR(__xludf.DUMMYFUNCTION("""COMPUTED_VALUE"""),2426.75)</f>
        <v>2426.75</v>
      </c>
      <c r="H29" s="442">
        <f>IFERROR(__xludf.DUMMYFUNCTION("""COMPUTED_VALUE"""),14.0)</f>
        <v>14</v>
      </c>
      <c r="I29" s="441"/>
      <c r="J29" s="443">
        <f>IFERROR(__xludf.DUMMYFUNCTION("""COMPUTED_VALUE"""),0.003908431044109436)</f>
        <v>0.003908431044</v>
      </c>
      <c r="K29" s="426"/>
      <c r="L29" s="439">
        <f>IFERROR(__xludf.DUMMYFUNCTION("""COMPUTED_VALUE"""),709.4)</f>
        <v>709.4</v>
      </c>
      <c r="M29" s="439">
        <f>IFERROR(__xludf.DUMMYFUNCTION("""COMPUTED_VALUE"""),779.9000000000001)</f>
        <v>779.9</v>
      </c>
      <c r="N29" s="439">
        <f>IFERROR(__xludf.DUMMYFUNCTION("""COMPUTED_VALUE"""),850.4)</f>
        <v>850.4</v>
      </c>
      <c r="O29" s="444">
        <f>IFERROR(__xludf.DUMMYFUNCTION("""COMPUTED_VALUE"""),0.0)</f>
        <v>0</v>
      </c>
      <c r="P29" s="443">
        <f>IFERROR(__xludf.DUMMYFUNCTION("""COMPUTED_VALUE"""),0.0)</f>
        <v>0</v>
      </c>
      <c r="Q29" s="426"/>
      <c r="R29" s="439">
        <f>IFERROR(__xludf.DUMMYFUNCTION("""COMPUTED_VALUE"""),267.9)</f>
        <v>267.9</v>
      </c>
      <c r="S29" s="439">
        <f>IFERROR(__xludf.DUMMYFUNCTION("""COMPUTED_VALUE"""),294.4)</f>
        <v>294.4</v>
      </c>
      <c r="T29" s="439">
        <f>IFERROR(__xludf.DUMMYFUNCTION("""COMPUTED_VALUE"""),320.9)</f>
        <v>320.9</v>
      </c>
      <c r="U29" s="444">
        <f>IFERROR(__xludf.DUMMYFUNCTION("""COMPUTED_VALUE"""),2.0)</f>
        <v>2</v>
      </c>
      <c r="V29" s="443">
        <f>IFERROR(__xludf.DUMMYFUNCTION("""COMPUTED_VALUE"""),0.1)</f>
        <v>0.1</v>
      </c>
      <c r="W29" s="426"/>
      <c r="X29" s="439">
        <f>IFERROR(__xludf.DUMMYFUNCTION("""COMPUTED_VALUE"""),186.4)</f>
        <v>186.4</v>
      </c>
      <c r="Y29" s="439">
        <f>IFERROR(__xludf.DUMMYFUNCTION("""COMPUTED_VALUE"""),204.90000000000003)</f>
        <v>204.9</v>
      </c>
      <c r="Z29" s="439">
        <f>IFERROR(__xludf.DUMMYFUNCTION("""COMPUTED_VALUE"""),223.4)</f>
        <v>223.4</v>
      </c>
      <c r="AA29" s="444">
        <f>IFERROR(__xludf.DUMMYFUNCTION("""COMPUTED_VALUE"""),0.0)</f>
        <v>0</v>
      </c>
      <c r="AB29" s="443">
        <f>IFERROR(__xludf.DUMMYFUNCTION("""COMPUTED_VALUE"""),0.0)</f>
        <v>0</v>
      </c>
      <c r="AC29" s="426"/>
    </row>
    <row r="30">
      <c r="A30" s="426"/>
      <c r="B30" s="445">
        <f>IFERROR(__xludf.DUMMYFUNCTION("""COMPUTED_VALUE"""),2031.4)</f>
        <v>2031.4</v>
      </c>
      <c r="C30" s="446">
        <f>IFERROR(__xludf.DUMMYFUNCTION("""COMPUTED_VALUE"""),2233.9)</f>
        <v>2233.9</v>
      </c>
      <c r="D30" s="447"/>
      <c r="E30" s="445">
        <f>IFERROR(__xludf.DUMMYFUNCTION("""COMPUTED_VALUE"""),2336.11)</f>
        <v>2336.11</v>
      </c>
      <c r="F30" s="445">
        <f>IFERROR(__xludf.DUMMYFUNCTION("""COMPUTED_VALUE"""),2436.4)</f>
        <v>2436.4</v>
      </c>
      <c r="G30" s="445">
        <f>IFERROR(__xludf.DUMMYFUNCTION("""COMPUTED_VALUE"""),2539.25)</f>
        <v>2539.25</v>
      </c>
      <c r="H30" s="448">
        <f>IFERROR(__xludf.DUMMYFUNCTION("""COMPUTED_VALUE"""),7.0)</f>
        <v>7</v>
      </c>
      <c r="I30" s="447"/>
      <c r="J30" s="449">
        <f>IFERROR(__xludf.DUMMYFUNCTION("""COMPUTED_VALUE"""),0.001954215522054718)</f>
        <v>0.001954215522</v>
      </c>
      <c r="K30" s="426"/>
      <c r="L30" s="445">
        <f>IFERROR(__xludf.DUMMYFUNCTION("""COMPUTED_VALUE"""),739.4)</f>
        <v>739.4</v>
      </c>
      <c r="M30" s="445">
        <f>IFERROR(__xludf.DUMMYFUNCTION("""COMPUTED_VALUE"""),812.9000000000001)</f>
        <v>812.9</v>
      </c>
      <c r="N30" s="445">
        <f>IFERROR(__xludf.DUMMYFUNCTION("""COMPUTED_VALUE"""),886.4)</f>
        <v>886.4</v>
      </c>
      <c r="O30" s="450">
        <f>IFERROR(__xludf.DUMMYFUNCTION("""COMPUTED_VALUE"""),1.0)</f>
        <v>1</v>
      </c>
      <c r="P30" s="449">
        <f>IFERROR(__xludf.DUMMYFUNCTION("""COMPUTED_VALUE"""),0.05263157894736842)</f>
        <v>0.05263157895</v>
      </c>
      <c r="Q30" s="426"/>
      <c r="R30" s="445">
        <f>IFERROR(__xludf.DUMMYFUNCTION("""COMPUTED_VALUE"""),277.9)</f>
        <v>277.9</v>
      </c>
      <c r="S30" s="445">
        <f>IFERROR(__xludf.DUMMYFUNCTION("""COMPUTED_VALUE"""),305.4)</f>
        <v>305.4</v>
      </c>
      <c r="T30" s="445">
        <f>IFERROR(__xludf.DUMMYFUNCTION("""COMPUTED_VALUE"""),332.9)</f>
        <v>332.9</v>
      </c>
      <c r="U30" s="450">
        <f>IFERROR(__xludf.DUMMYFUNCTION("""COMPUTED_VALUE"""),0.0)</f>
        <v>0</v>
      </c>
      <c r="V30" s="449">
        <f>IFERROR(__xludf.DUMMYFUNCTION("""COMPUTED_VALUE"""),0.0)</f>
        <v>0</v>
      </c>
      <c r="W30" s="426"/>
      <c r="X30" s="445">
        <f>IFERROR(__xludf.DUMMYFUNCTION("""COMPUTED_VALUE"""),196.4)</f>
        <v>196.4</v>
      </c>
      <c r="Y30" s="445">
        <f>IFERROR(__xludf.DUMMYFUNCTION("""COMPUTED_VALUE"""),215.90000000000003)</f>
        <v>215.9</v>
      </c>
      <c r="Z30" s="445">
        <f>IFERROR(__xludf.DUMMYFUNCTION("""COMPUTED_VALUE"""),235.4)</f>
        <v>235.4</v>
      </c>
      <c r="AA30" s="450">
        <f>IFERROR(__xludf.DUMMYFUNCTION("""COMPUTED_VALUE"""),0.0)</f>
        <v>0</v>
      </c>
      <c r="AB30" s="449">
        <f>IFERROR(__xludf.DUMMYFUNCTION("""COMPUTED_VALUE"""),0.0)</f>
        <v>0</v>
      </c>
      <c r="AC30" s="426"/>
    </row>
    <row r="31">
      <c r="A31" s="426"/>
      <c r="B31" s="439">
        <f>IFERROR(__xludf.DUMMYFUNCTION("""COMPUTED_VALUE"""),2121.4)</f>
        <v>2121.4</v>
      </c>
      <c r="C31" s="440">
        <f>IFERROR(__xludf.DUMMYFUNCTION("""COMPUTED_VALUE"""),2332.9)</f>
        <v>2332.9</v>
      </c>
      <c r="D31" s="441"/>
      <c r="E31" s="439">
        <f>IFERROR(__xludf.DUMMYFUNCTION("""COMPUTED_VALUE"""),2439.61)</f>
        <v>2439.61</v>
      </c>
      <c r="F31" s="439">
        <f>IFERROR(__xludf.DUMMYFUNCTION("""COMPUTED_VALUE"""),2544.4)</f>
        <v>2544.4</v>
      </c>
      <c r="G31" s="439">
        <f>IFERROR(__xludf.DUMMYFUNCTION("""COMPUTED_VALUE"""),2651.75)</f>
        <v>2651.75</v>
      </c>
      <c r="H31" s="442">
        <f>IFERROR(__xludf.DUMMYFUNCTION("""COMPUTED_VALUE"""),2.0)</f>
        <v>2</v>
      </c>
      <c r="I31" s="441"/>
      <c r="J31" s="443">
        <f>IFERROR(__xludf.DUMMYFUNCTION("""COMPUTED_VALUE"""),5.583472920156337E-4)</f>
        <v>0.000558347292</v>
      </c>
      <c r="K31" s="426"/>
      <c r="L31" s="439">
        <f>IFERROR(__xludf.DUMMYFUNCTION("""COMPUTED_VALUE"""),769.4)</f>
        <v>769.4</v>
      </c>
      <c r="M31" s="439">
        <f>IFERROR(__xludf.DUMMYFUNCTION("""COMPUTED_VALUE"""),845.9000000000001)</f>
        <v>845.9</v>
      </c>
      <c r="N31" s="439">
        <f>IFERROR(__xludf.DUMMYFUNCTION("""COMPUTED_VALUE"""),922.4)</f>
        <v>922.4</v>
      </c>
      <c r="O31" s="444">
        <f>IFERROR(__xludf.DUMMYFUNCTION("""COMPUTED_VALUE"""),0.0)</f>
        <v>0</v>
      </c>
      <c r="P31" s="443">
        <f>IFERROR(__xludf.DUMMYFUNCTION("""COMPUTED_VALUE"""),0.0)</f>
        <v>0</v>
      </c>
      <c r="Q31" s="426"/>
      <c r="R31" s="439">
        <f>IFERROR(__xludf.DUMMYFUNCTION("""COMPUTED_VALUE"""),287.9)</f>
        <v>287.9</v>
      </c>
      <c r="S31" s="439">
        <f>IFERROR(__xludf.DUMMYFUNCTION("""COMPUTED_VALUE"""),316.4)</f>
        <v>316.4</v>
      </c>
      <c r="T31" s="439">
        <f>IFERROR(__xludf.DUMMYFUNCTION("""COMPUTED_VALUE"""),344.9)</f>
        <v>344.9</v>
      </c>
      <c r="U31" s="444">
        <f>IFERROR(__xludf.DUMMYFUNCTION("""COMPUTED_VALUE"""),0.0)</f>
        <v>0</v>
      </c>
      <c r="V31" s="443">
        <f>IFERROR(__xludf.DUMMYFUNCTION("""COMPUTED_VALUE"""),0.0)</f>
        <v>0</v>
      </c>
      <c r="W31" s="426"/>
      <c r="X31" s="451"/>
      <c r="Y31" s="452"/>
      <c r="Z31" s="453"/>
      <c r="AA31" s="454"/>
      <c r="AB31" s="455"/>
      <c r="AC31" s="426"/>
    </row>
    <row r="32">
      <c r="A32" s="426"/>
      <c r="B32" s="445">
        <f>IFERROR(__xludf.DUMMYFUNCTION("""COMPUTED_VALUE"""),2211.4)</f>
        <v>2211.4</v>
      </c>
      <c r="C32" s="446">
        <f>IFERROR(__xludf.DUMMYFUNCTION("""COMPUTED_VALUE"""),2431.9)</f>
        <v>2431.9</v>
      </c>
      <c r="D32" s="447"/>
      <c r="E32" s="445">
        <f>IFERROR(__xludf.DUMMYFUNCTION("""COMPUTED_VALUE"""),2543.11)</f>
        <v>2543.11</v>
      </c>
      <c r="F32" s="445">
        <f>IFERROR(__xludf.DUMMYFUNCTION("""COMPUTED_VALUE"""),2652.4)</f>
        <v>2652.4</v>
      </c>
      <c r="G32" s="445">
        <f>IFERROR(__xludf.DUMMYFUNCTION("""COMPUTED_VALUE"""),2764.25)</f>
        <v>2764.25</v>
      </c>
      <c r="H32" s="448">
        <f>IFERROR(__xludf.DUMMYFUNCTION("""COMPUTED_VALUE"""),2.0)</f>
        <v>2</v>
      </c>
      <c r="I32" s="447"/>
      <c r="J32" s="449">
        <f>IFERROR(__xludf.DUMMYFUNCTION("""COMPUTED_VALUE"""),5.583472920156337E-4)</f>
        <v>0.000558347292</v>
      </c>
      <c r="K32" s="426"/>
      <c r="L32" s="445">
        <f>IFERROR(__xludf.DUMMYFUNCTION("""COMPUTED_VALUE"""),799.4)</f>
        <v>799.4</v>
      </c>
      <c r="M32" s="445">
        <f>IFERROR(__xludf.DUMMYFUNCTION("""COMPUTED_VALUE"""),878.9000000000001)</f>
        <v>878.9</v>
      </c>
      <c r="N32" s="445">
        <f>IFERROR(__xludf.DUMMYFUNCTION("""COMPUTED_VALUE"""),958.4)</f>
        <v>958.4</v>
      </c>
      <c r="O32" s="450">
        <f>IFERROR(__xludf.DUMMYFUNCTION("""COMPUTED_VALUE"""),0.0)</f>
        <v>0</v>
      </c>
      <c r="P32" s="449">
        <f>IFERROR(__xludf.DUMMYFUNCTION("""COMPUTED_VALUE"""),0.0)</f>
        <v>0</v>
      </c>
      <c r="Q32" s="426"/>
      <c r="R32" s="445">
        <f>IFERROR(__xludf.DUMMYFUNCTION("""COMPUTED_VALUE"""),297.9)</f>
        <v>297.9</v>
      </c>
      <c r="S32" s="445">
        <f>IFERROR(__xludf.DUMMYFUNCTION("""COMPUTED_VALUE"""),327.4)</f>
        <v>327.4</v>
      </c>
      <c r="T32" s="445">
        <f>IFERROR(__xludf.DUMMYFUNCTION("""COMPUTED_VALUE"""),356.9)</f>
        <v>356.9</v>
      </c>
      <c r="U32" s="450">
        <f>IFERROR(__xludf.DUMMYFUNCTION("""COMPUTED_VALUE"""),1.0)</f>
        <v>1</v>
      </c>
      <c r="V32" s="449">
        <f>IFERROR(__xludf.DUMMYFUNCTION("""COMPUTED_VALUE"""),0.05)</f>
        <v>0.05</v>
      </c>
      <c r="W32" s="426"/>
      <c r="X32" s="451"/>
      <c r="Y32" s="452"/>
      <c r="Z32" s="453"/>
      <c r="AA32" s="454"/>
      <c r="AB32" s="455"/>
      <c r="AC32" s="426"/>
    </row>
    <row r="33">
      <c r="A33" s="426"/>
      <c r="B33" s="439">
        <f>IFERROR(__xludf.DUMMYFUNCTION("""COMPUTED_VALUE"""),2301.4)</f>
        <v>2301.4</v>
      </c>
      <c r="C33" s="440">
        <f>IFERROR(__xludf.DUMMYFUNCTION("""COMPUTED_VALUE"""),2530.9)</f>
        <v>2530.9</v>
      </c>
      <c r="D33" s="441"/>
      <c r="E33" s="439">
        <f>IFERROR(__xludf.DUMMYFUNCTION("""COMPUTED_VALUE"""),2646.61)</f>
        <v>2646.61</v>
      </c>
      <c r="F33" s="439">
        <f>IFERROR(__xludf.DUMMYFUNCTION("""COMPUTED_VALUE"""),2760.4)</f>
        <v>2760.4</v>
      </c>
      <c r="G33" s="439">
        <f>IFERROR(__xludf.DUMMYFUNCTION("""COMPUTED_VALUE"""),2876.75)</f>
        <v>2876.75</v>
      </c>
      <c r="H33" s="442">
        <f>IFERROR(__xludf.DUMMYFUNCTION("""COMPUTED_VALUE"""),1.0)</f>
        <v>1</v>
      </c>
      <c r="I33" s="441"/>
      <c r="J33" s="443">
        <f>IFERROR(__xludf.DUMMYFUNCTION("""COMPUTED_VALUE"""),2.7917364600781687E-4)</f>
        <v>0.000279173646</v>
      </c>
      <c r="K33" s="426"/>
      <c r="L33" s="439">
        <f>IFERROR(__xludf.DUMMYFUNCTION("""COMPUTED_VALUE"""),829.4)</f>
        <v>829.4</v>
      </c>
      <c r="M33" s="439">
        <f>IFERROR(__xludf.DUMMYFUNCTION("""COMPUTED_VALUE"""),911.9000000000001)</f>
        <v>911.9</v>
      </c>
      <c r="N33" s="439">
        <f>IFERROR(__xludf.DUMMYFUNCTION("""COMPUTED_VALUE"""),994.4)</f>
        <v>994.4</v>
      </c>
      <c r="O33" s="444">
        <f>IFERROR(__xludf.DUMMYFUNCTION("""COMPUTED_VALUE"""),0.0)</f>
        <v>0</v>
      </c>
      <c r="P33" s="443">
        <f>IFERROR(__xludf.DUMMYFUNCTION("""COMPUTED_VALUE"""),0.0)</f>
        <v>0</v>
      </c>
      <c r="Q33" s="426"/>
      <c r="R33" s="439">
        <f>IFERROR(__xludf.DUMMYFUNCTION("""COMPUTED_VALUE"""),307.9)</f>
        <v>307.9</v>
      </c>
      <c r="S33" s="439">
        <f>IFERROR(__xludf.DUMMYFUNCTION("""COMPUTED_VALUE"""),338.4)</f>
        <v>338.4</v>
      </c>
      <c r="T33" s="439">
        <f>IFERROR(__xludf.DUMMYFUNCTION("""COMPUTED_VALUE"""),368.9)</f>
        <v>368.9</v>
      </c>
      <c r="U33" s="444">
        <f>IFERROR(__xludf.DUMMYFUNCTION("""COMPUTED_VALUE"""),0.0)</f>
        <v>0</v>
      </c>
      <c r="V33" s="443">
        <f>IFERROR(__xludf.DUMMYFUNCTION("""COMPUTED_VALUE"""),0.0)</f>
        <v>0</v>
      </c>
      <c r="W33" s="426"/>
      <c r="X33" s="451"/>
      <c r="Y33" s="452"/>
      <c r="Z33" s="453"/>
      <c r="AA33" s="454"/>
      <c r="AB33" s="455"/>
      <c r="AC33" s="426"/>
    </row>
    <row r="34">
      <c r="A34" s="426"/>
      <c r="B34" s="445">
        <f>IFERROR(__xludf.DUMMYFUNCTION("""COMPUTED_VALUE"""),2391.4)</f>
        <v>2391.4</v>
      </c>
      <c r="C34" s="446">
        <f>IFERROR(__xludf.DUMMYFUNCTION("""COMPUTED_VALUE"""),2629.9)</f>
        <v>2629.9</v>
      </c>
      <c r="D34" s="447"/>
      <c r="E34" s="445">
        <f>IFERROR(__xludf.DUMMYFUNCTION("""COMPUTED_VALUE"""),2750.1099999999997)</f>
        <v>2750.11</v>
      </c>
      <c r="F34" s="445">
        <f>IFERROR(__xludf.DUMMYFUNCTION("""COMPUTED_VALUE"""),2868.4)</f>
        <v>2868.4</v>
      </c>
      <c r="G34" s="445">
        <f>IFERROR(__xludf.DUMMYFUNCTION("""COMPUTED_VALUE"""),2989.25)</f>
        <v>2989.25</v>
      </c>
      <c r="H34" s="448">
        <f>IFERROR(__xludf.DUMMYFUNCTION("""COMPUTED_VALUE"""),0.0)</f>
        <v>0</v>
      </c>
      <c r="I34" s="447"/>
      <c r="J34" s="449">
        <f>IFERROR(__xludf.DUMMYFUNCTION("""COMPUTED_VALUE"""),0.0)</f>
        <v>0</v>
      </c>
      <c r="K34" s="426"/>
      <c r="L34" s="445">
        <f>IFERROR(__xludf.DUMMYFUNCTION("""COMPUTED_VALUE"""),859.4)</f>
        <v>859.4</v>
      </c>
      <c r="M34" s="445">
        <f>IFERROR(__xludf.DUMMYFUNCTION("""COMPUTED_VALUE"""),944.9000000000001)</f>
        <v>944.9</v>
      </c>
      <c r="N34" s="445">
        <f>IFERROR(__xludf.DUMMYFUNCTION("""COMPUTED_VALUE"""),1030.4)</f>
        <v>1030.4</v>
      </c>
      <c r="O34" s="450">
        <f>IFERROR(__xludf.DUMMYFUNCTION("""COMPUTED_VALUE"""),0.0)</f>
        <v>0</v>
      </c>
      <c r="P34" s="449">
        <f>IFERROR(__xludf.DUMMYFUNCTION("""COMPUTED_VALUE"""),0.0)</f>
        <v>0</v>
      </c>
      <c r="Q34" s="426"/>
      <c r="R34" s="445">
        <f>IFERROR(__xludf.DUMMYFUNCTION("""COMPUTED_VALUE"""),317.9)</f>
        <v>317.9</v>
      </c>
      <c r="S34" s="445">
        <f>IFERROR(__xludf.DUMMYFUNCTION("""COMPUTED_VALUE"""),349.4)</f>
        <v>349.4</v>
      </c>
      <c r="T34" s="445">
        <f>IFERROR(__xludf.DUMMYFUNCTION("""COMPUTED_VALUE"""),380.9)</f>
        <v>380.9</v>
      </c>
      <c r="U34" s="450">
        <f>IFERROR(__xludf.DUMMYFUNCTION("""COMPUTED_VALUE"""),0.0)</f>
        <v>0</v>
      </c>
      <c r="V34" s="449">
        <f>IFERROR(__xludf.DUMMYFUNCTION("""COMPUTED_VALUE"""),0.0)</f>
        <v>0</v>
      </c>
      <c r="W34" s="426"/>
      <c r="X34" s="451"/>
      <c r="Y34" s="452"/>
      <c r="Z34" s="453"/>
      <c r="AA34" s="454"/>
      <c r="AB34" s="455"/>
      <c r="AC34" s="426"/>
    </row>
    <row r="35">
      <c r="A35" s="426"/>
      <c r="B35" s="439">
        <f>IFERROR(__xludf.DUMMYFUNCTION("""COMPUTED_VALUE"""),2481.4)</f>
        <v>2481.4</v>
      </c>
      <c r="C35" s="440">
        <f>IFERROR(__xludf.DUMMYFUNCTION("""COMPUTED_VALUE"""),2728.9)</f>
        <v>2728.9</v>
      </c>
      <c r="D35" s="441"/>
      <c r="E35" s="439">
        <f>IFERROR(__xludf.DUMMYFUNCTION("""COMPUTED_VALUE"""),2853.6099999999997)</f>
        <v>2853.61</v>
      </c>
      <c r="F35" s="439">
        <f>IFERROR(__xludf.DUMMYFUNCTION("""COMPUTED_VALUE"""),2976.4)</f>
        <v>2976.4</v>
      </c>
      <c r="G35" s="439">
        <f>IFERROR(__xludf.DUMMYFUNCTION("""COMPUTED_VALUE"""),3101.75)</f>
        <v>3101.75</v>
      </c>
      <c r="H35" s="442">
        <f>IFERROR(__xludf.DUMMYFUNCTION("""COMPUTED_VALUE"""),0.0)</f>
        <v>0</v>
      </c>
      <c r="I35" s="441"/>
      <c r="J35" s="443">
        <f>IFERROR(__xludf.DUMMYFUNCTION("""COMPUTED_VALUE"""),0.0)</f>
        <v>0</v>
      </c>
      <c r="K35" s="426"/>
      <c r="L35" s="439">
        <f>IFERROR(__xludf.DUMMYFUNCTION("""COMPUTED_VALUE"""),889.4)</f>
        <v>889.4</v>
      </c>
      <c r="M35" s="439">
        <f>IFERROR(__xludf.DUMMYFUNCTION("""COMPUTED_VALUE"""),977.9000000000001)</f>
        <v>977.9</v>
      </c>
      <c r="N35" s="439">
        <f>IFERROR(__xludf.DUMMYFUNCTION("""COMPUTED_VALUE"""),1066.4)</f>
        <v>1066.4</v>
      </c>
      <c r="O35" s="444">
        <f>IFERROR(__xludf.DUMMYFUNCTION("""COMPUTED_VALUE"""),0.0)</f>
        <v>0</v>
      </c>
      <c r="P35" s="443">
        <f>IFERROR(__xludf.DUMMYFUNCTION("""COMPUTED_VALUE"""),0.0)</f>
        <v>0</v>
      </c>
      <c r="Q35" s="426"/>
      <c r="R35" s="439">
        <f>IFERROR(__xludf.DUMMYFUNCTION("""COMPUTED_VALUE"""),327.9)</f>
        <v>327.9</v>
      </c>
      <c r="S35" s="439">
        <f>IFERROR(__xludf.DUMMYFUNCTION("""COMPUTED_VALUE"""),360.40000000000003)</f>
        <v>360.4</v>
      </c>
      <c r="T35" s="439">
        <f>IFERROR(__xludf.DUMMYFUNCTION("""COMPUTED_VALUE"""),392.9)</f>
        <v>392.9</v>
      </c>
      <c r="U35" s="444">
        <f>IFERROR(__xludf.DUMMYFUNCTION("""COMPUTED_VALUE"""),0.0)</f>
        <v>0</v>
      </c>
      <c r="V35" s="443">
        <f>IFERROR(__xludf.DUMMYFUNCTION("""COMPUTED_VALUE"""),0.0)</f>
        <v>0</v>
      </c>
      <c r="W35" s="426"/>
      <c r="X35" s="451"/>
      <c r="Y35" s="452"/>
      <c r="Z35" s="453"/>
      <c r="AA35" s="454"/>
      <c r="AB35" s="455"/>
      <c r="AC35" s="426"/>
    </row>
    <row r="36">
      <c r="A36" s="426"/>
      <c r="B36" s="445">
        <f>IFERROR(__xludf.DUMMYFUNCTION("""COMPUTED_VALUE"""),2571.4)</f>
        <v>2571.4</v>
      </c>
      <c r="C36" s="446">
        <f>IFERROR(__xludf.DUMMYFUNCTION("""COMPUTED_VALUE"""),2827.9000000000005)</f>
        <v>2827.9</v>
      </c>
      <c r="D36" s="447"/>
      <c r="E36" s="445">
        <f>IFERROR(__xludf.DUMMYFUNCTION("""COMPUTED_VALUE"""),2957.1099999999997)</f>
        <v>2957.11</v>
      </c>
      <c r="F36" s="445">
        <f>IFERROR(__xludf.DUMMYFUNCTION("""COMPUTED_VALUE"""),3084.4)</f>
        <v>3084.4</v>
      </c>
      <c r="G36" s="445">
        <f>IFERROR(__xludf.DUMMYFUNCTION("""COMPUTED_VALUE"""),3214.25)</f>
        <v>3214.25</v>
      </c>
      <c r="H36" s="448">
        <f>IFERROR(__xludf.DUMMYFUNCTION("""COMPUTED_VALUE"""),0.0)</f>
        <v>0</v>
      </c>
      <c r="I36" s="447"/>
      <c r="J36" s="449">
        <f>IFERROR(__xludf.DUMMYFUNCTION("""COMPUTED_VALUE"""),0.0)</f>
        <v>0</v>
      </c>
      <c r="K36" s="426"/>
      <c r="L36" s="445">
        <f>IFERROR(__xludf.DUMMYFUNCTION("""COMPUTED_VALUE"""),919.4)</f>
        <v>919.4</v>
      </c>
      <c r="M36" s="445">
        <f>IFERROR(__xludf.DUMMYFUNCTION("""COMPUTED_VALUE"""),1010.9000000000001)</f>
        <v>1010.9</v>
      </c>
      <c r="N36" s="445">
        <f>IFERROR(__xludf.DUMMYFUNCTION("""COMPUTED_VALUE"""),1102.4)</f>
        <v>1102.4</v>
      </c>
      <c r="O36" s="450">
        <f>IFERROR(__xludf.DUMMYFUNCTION("""COMPUTED_VALUE"""),0.0)</f>
        <v>0</v>
      </c>
      <c r="P36" s="449">
        <f>IFERROR(__xludf.DUMMYFUNCTION("""COMPUTED_VALUE"""),0.0)</f>
        <v>0</v>
      </c>
      <c r="Q36" s="426"/>
      <c r="R36" s="445">
        <f>IFERROR(__xludf.DUMMYFUNCTION("""COMPUTED_VALUE"""),337.9)</f>
        <v>337.9</v>
      </c>
      <c r="S36" s="445">
        <f>IFERROR(__xludf.DUMMYFUNCTION("""COMPUTED_VALUE"""),371.40000000000003)</f>
        <v>371.4</v>
      </c>
      <c r="T36" s="445">
        <f>IFERROR(__xludf.DUMMYFUNCTION("""COMPUTED_VALUE"""),404.9)</f>
        <v>404.9</v>
      </c>
      <c r="U36" s="450">
        <f>IFERROR(__xludf.DUMMYFUNCTION("""COMPUTED_VALUE"""),0.0)</f>
        <v>0</v>
      </c>
      <c r="V36" s="449">
        <f>IFERROR(__xludf.DUMMYFUNCTION("""COMPUTED_VALUE"""),0.0)</f>
        <v>0</v>
      </c>
      <c r="W36" s="426"/>
      <c r="X36" s="451"/>
      <c r="Y36" s="452"/>
      <c r="Z36" s="453"/>
      <c r="AA36" s="454"/>
      <c r="AB36" s="455"/>
      <c r="AC36" s="426"/>
    </row>
    <row r="37">
      <c r="A37" s="426"/>
      <c r="B37" s="456"/>
      <c r="C37" s="457"/>
      <c r="D37" s="458"/>
      <c r="E37" s="456"/>
      <c r="F37" s="456"/>
      <c r="G37" s="456"/>
      <c r="H37" s="457"/>
      <c r="I37" s="458"/>
      <c r="J37" s="459"/>
      <c r="K37" s="426"/>
      <c r="L37" s="439">
        <f>IFERROR(__xludf.DUMMYFUNCTION("""COMPUTED_VALUE"""),949.4)</f>
        <v>949.4</v>
      </c>
      <c r="M37" s="439">
        <f>IFERROR(__xludf.DUMMYFUNCTION("""COMPUTED_VALUE"""),1043.9)</f>
        <v>1043.9</v>
      </c>
      <c r="N37" s="439">
        <f>IFERROR(__xludf.DUMMYFUNCTION("""COMPUTED_VALUE"""),1138.4)</f>
        <v>1138.4</v>
      </c>
      <c r="O37" s="444">
        <f>IFERROR(__xludf.DUMMYFUNCTION("""COMPUTED_VALUE"""),0.0)</f>
        <v>0</v>
      </c>
      <c r="P37" s="443">
        <f>IFERROR(__xludf.DUMMYFUNCTION("""COMPUTED_VALUE"""),0.0)</f>
        <v>0</v>
      </c>
      <c r="Q37" s="426"/>
      <c r="R37" s="439">
        <f>IFERROR(__xludf.DUMMYFUNCTION("""COMPUTED_VALUE"""),347.9)</f>
        <v>347.9</v>
      </c>
      <c r="S37" s="439">
        <f>IFERROR(__xludf.DUMMYFUNCTION("""COMPUTED_VALUE"""),382.40000000000003)</f>
        <v>382.4</v>
      </c>
      <c r="T37" s="439">
        <f>IFERROR(__xludf.DUMMYFUNCTION("""COMPUTED_VALUE"""),416.9)</f>
        <v>416.9</v>
      </c>
      <c r="U37" s="444">
        <f>IFERROR(__xludf.DUMMYFUNCTION("""COMPUTED_VALUE"""),0.0)</f>
        <v>0</v>
      </c>
      <c r="V37" s="443">
        <f>IFERROR(__xludf.DUMMYFUNCTION("""COMPUTED_VALUE"""),0.0)</f>
        <v>0</v>
      </c>
      <c r="W37" s="426"/>
      <c r="X37" s="451"/>
      <c r="Y37" s="452"/>
      <c r="Z37" s="453"/>
      <c r="AA37" s="454"/>
      <c r="AB37" s="455"/>
      <c r="AC37" s="426"/>
    </row>
    <row r="38">
      <c r="A38" s="426"/>
      <c r="B38" s="451"/>
      <c r="C38" s="451"/>
      <c r="D38" s="460"/>
      <c r="E38" s="451"/>
      <c r="F38" s="451"/>
      <c r="G38" s="451"/>
      <c r="H38" s="451"/>
      <c r="I38" s="460"/>
      <c r="J38" s="455"/>
      <c r="K38" s="426"/>
      <c r="L38" s="445">
        <f>IFERROR(__xludf.DUMMYFUNCTION("""COMPUTED_VALUE"""),979.4)</f>
        <v>979.4</v>
      </c>
      <c r="M38" s="445">
        <f>IFERROR(__xludf.DUMMYFUNCTION("""COMPUTED_VALUE"""),1076.9)</f>
        <v>1076.9</v>
      </c>
      <c r="N38" s="445">
        <f>IFERROR(__xludf.DUMMYFUNCTION("""COMPUTED_VALUE"""),1174.4)</f>
        <v>1174.4</v>
      </c>
      <c r="O38" s="450">
        <f>IFERROR(__xludf.DUMMYFUNCTION("""COMPUTED_VALUE"""),0.0)</f>
        <v>0</v>
      </c>
      <c r="P38" s="449">
        <f>IFERROR(__xludf.DUMMYFUNCTION("""COMPUTED_VALUE"""),0.0)</f>
        <v>0</v>
      </c>
      <c r="Q38" s="426"/>
      <c r="R38" s="445">
        <f>IFERROR(__xludf.DUMMYFUNCTION("""COMPUTED_VALUE"""),357.9)</f>
        <v>357.9</v>
      </c>
      <c r="S38" s="445">
        <f>IFERROR(__xludf.DUMMYFUNCTION("""COMPUTED_VALUE"""),393.40000000000003)</f>
        <v>393.4</v>
      </c>
      <c r="T38" s="445">
        <f>IFERROR(__xludf.DUMMYFUNCTION("""COMPUTED_VALUE"""),428.9)</f>
        <v>428.9</v>
      </c>
      <c r="U38" s="450">
        <f>IFERROR(__xludf.DUMMYFUNCTION("""COMPUTED_VALUE"""),0.0)</f>
        <v>0</v>
      </c>
      <c r="V38" s="449">
        <f>IFERROR(__xludf.DUMMYFUNCTION("""COMPUTED_VALUE"""),0.0)</f>
        <v>0</v>
      </c>
      <c r="W38" s="426"/>
      <c r="X38" s="451"/>
      <c r="Y38" s="452"/>
      <c r="Z38" s="453"/>
      <c r="AA38" s="454"/>
      <c r="AB38" s="455"/>
      <c r="AC38" s="426"/>
    </row>
    <row r="39">
      <c r="A39" s="426"/>
      <c r="B39" s="451"/>
      <c r="C39" s="451"/>
      <c r="D39" s="461"/>
      <c r="E39" s="451"/>
      <c r="F39" s="451"/>
      <c r="G39" s="451"/>
      <c r="H39" s="451"/>
      <c r="I39" s="461"/>
      <c r="J39" s="455"/>
      <c r="K39" s="426"/>
      <c r="L39" s="439">
        <f>IFERROR(__xludf.DUMMYFUNCTION("""COMPUTED_VALUE"""),1009.4)</f>
        <v>1009.4</v>
      </c>
      <c r="M39" s="439">
        <f>IFERROR(__xludf.DUMMYFUNCTION("""COMPUTED_VALUE"""),1109.9)</f>
        <v>1109.9</v>
      </c>
      <c r="N39" s="439">
        <f>IFERROR(__xludf.DUMMYFUNCTION("""COMPUTED_VALUE"""),1210.4)</f>
        <v>1210.4</v>
      </c>
      <c r="O39" s="444">
        <f>IFERROR(__xludf.DUMMYFUNCTION("""COMPUTED_VALUE"""),0.0)</f>
        <v>0</v>
      </c>
      <c r="P39" s="443">
        <f>IFERROR(__xludf.DUMMYFUNCTION("""COMPUTED_VALUE"""),0.0)</f>
        <v>0</v>
      </c>
      <c r="Q39" s="426"/>
      <c r="R39" s="439">
        <f>IFERROR(__xludf.DUMMYFUNCTION("""COMPUTED_VALUE"""),367.9)</f>
        <v>367.9</v>
      </c>
      <c r="S39" s="439">
        <f>IFERROR(__xludf.DUMMYFUNCTION("""COMPUTED_VALUE"""),404.40000000000003)</f>
        <v>404.4</v>
      </c>
      <c r="T39" s="439">
        <f>IFERROR(__xludf.DUMMYFUNCTION("""COMPUTED_VALUE"""),440.9)</f>
        <v>440.9</v>
      </c>
      <c r="U39" s="444">
        <f>IFERROR(__xludf.DUMMYFUNCTION("""COMPUTED_VALUE"""),0.0)</f>
        <v>0</v>
      </c>
      <c r="V39" s="443">
        <f>IFERROR(__xludf.DUMMYFUNCTION("""COMPUTED_VALUE"""),0.0)</f>
        <v>0</v>
      </c>
      <c r="W39" s="426"/>
      <c r="X39" s="451"/>
      <c r="Y39" s="452"/>
      <c r="Z39" s="453"/>
      <c r="AA39" s="454"/>
      <c r="AB39" s="455"/>
      <c r="AC39" s="426"/>
    </row>
    <row r="40">
      <c r="A40" s="426"/>
      <c r="B40" s="451"/>
      <c r="C40" s="451"/>
      <c r="D40" s="460"/>
      <c r="E40" s="451"/>
      <c r="F40" s="451"/>
      <c r="G40" s="451"/>
      <c r="H40" s="451"/>
      <c r="I40" s="460"/>
      <c r="J40" s="455"/>
      <c r="K40" s="426"/>
      <c r="L40" s="445">
        <f>IFERROR(__xludf.DUMMYFUNCTION("""COMPUTED_VALUE"""),1039.4)</f>
        <v>1039.4</v>
      </c>
      <c r="M40" s="445">
        <f>IFERROR(__xludf.DUMMYFUNCTION("""COMPUTED_VALUE"""),1142.9)</f>
        <v>1142.9</v>
      </c>
      <c r="N40" s="445">
        <f>IFERROR(__xludf.DUMMYFUNCTION("""COMPUTED_VALUE"""),1246.4)</f>
        <v>1246.4</v>
      </c>
      <c r="O40" s="450">
        <f>IFERROR(__xludf.DUMMYFUNCTION("""COMPUTED_VALUE"""),0.0)</f>
        <v>0</v>
      </c>
      <c r="P40" s="449">
        <f>IFERROR(__xludf.DUMMYFUNCTION("""COMPUTED_VALUE"""),0.0)</f>
        <v>0</v>
      </c>
      <c r="Q40" s="426"/>
      <c r="R40" s="445">
        <f>IFERROR(__xludf.DUMMYFUNCTION("""COMPUTED_VALUE"""),377.9)</f>
        <v>377.9</v>
      </c>
      <c r="S40" s="445">
        <f>IFERROR(__xludf.DUMMYFUNCTION("""COMPUTED_VALUE"""),415.40000000000003)</f>
        <v>415.4</v>
      </c>
      <c r="T40" s="445">
        <f>IFERROR(__xludf.DUMMYFUNCTION("""COMPUTED_VALUE"""),452.9)</f>
        <v>452.9</v>
      </c>
      <c r="U40" s="450">
        <f>IFERROR(__xludf.DUMMYFUNCTION("""COMPUTED_VALUE"""),0.0)</f>
        <v>0</v>
      </c>
      <c r="V40" s="449">
        <f>IFERROR(__xludf.DUMMYFUNCTION("""COMPUTED_VALUE"""),0.0)</f>
        <v>0</v>
      </c>
      <c r="W40" s="426"/>
      <c r="X40" s="451"/>
      <c r="Y40" s="452"/>
      <c r="Z40" s="453"/>
      <c r="AA40" s="454"/>
      <c r="AB40" s="455"/>
      <c r="AC40" s="426"/>
    </row>
    <row r="41">
      <c r="A41" s="426"/>
      <c r="B41" s="451"/>
      <c r="C41" s="451"/>
      <c r="D41" s="461"/>
      <c r="E41" s="451"/>
      <c r="F41" s="451"/>
      <c r="G41" s="451"/>
      <c r="H41" s="451"/>
      <c r="I41" s="461"/>
      <c r="J41" s="455"/>
      <c r="K41" s="426"/>
      <c r="L41" s="439">
        <f>IFERROR(__xludf.DUMMYFUNCTION("""COMPUTED_VALUE"""),1069.4)</f>
        <v>1069.4</v>
      </c>
      <c r="M41" s="439">
        <f>IFERROR(__xludf.DUMMYFUNCTION("""COMPUTED_VALUE"""),1175.9)</f>
        <v>1175.9</v>
      </c>
      <c r="N41" s="439">
        <f>IFERROR(__xludf.DUMMYFUNCTION("""COMPUTED_VALUE"""),1282.4)</f>
        <v>1282.4</v>
      </c>
      <c r="O41" s="444">
        <f>IFERROR(__xludf.DUMMYFUNCTION("""COMPUTED_VALUE"""),0.0)</f>
        <v>0</v>
      </c>
      <c r="P41" s="443">
        <f>IFERROR(__xludf.DUMMYFUNCTION("""COMPUTED_VALUE"""),0.0)</f>
        <v>0</v>
      </c>
      <c r="Q41" s="426"/>
      <c r="R41" s="439">
        <f>IFERROR(__xludf.DUMMYFUNCTION("""COMPUTED_VALUE"""),387.9)</f>
        <v>387.9</v>
      </c>
      <c r="S41" s="439">
        <f>IFERROR(__xludf.DUMMYFUNCTION("""COMPUTED_VALUE"""),426.40000000000003)</f>
        <v>426.4</v>
      </c>
      <c r="T41" s="439">
        <f>IFERROR(__xludf.DUMMYFUNCTION("""COMPUTED_VALUE"""),464.9)</f>
        <v>464.9</v>
      </c>
      <c r="U41" s="444">
        <f>IFERROR(__xludf.DUMMYFUNCTION("""COMPUTED_VALUE"""),0.0)</f>
        <v>0</v>
      </c>
      <c r="V41" s="443">
        <f>IFERROR(__xludf.DUMMYFUNCTION("""COMPUTED_VALUE"""),0.0)</f>
        <v>0</v>
      </c>
      <c r="W41" s="426"/>
      <c r="X41" s="451"/>
      <c r="Y41" s="452"/>
      <c r="Z41" s="453"/>
      <c r="AA41" s="454"/>
      <c r="AB41" s="455"/>
      <c r="AC41" s="426"/>
    </row>
    <row r="42">
      <c r="A42" s="426"/>
      <c r="B42" s="451"/>
      <c r="C42" s="451"/>
      <c r="D42" s="460"/>
      <c r="E42" s="451"/>
      <c r="F42" s="451"/>
      <c r="G42" s="451"/>
      <c r="H42" s="451"/>
      <c r="I42" s="460"/>
      <c r="J42" s="455"/>
      <c r="K42" s="426"/>
      <c r="L42" s="445">
        <f>IFERROR(__xludf.DUMMYFUNCTION("""COMPUTED_VALUE"""),1099.4)</f>
        <v>1099.4</v>
      </c>
      <c r="M42" s="445">
        <f>IFERROR(__xludf.DUMMYFUNCTION("""COMPUTED_VALUE"""),1208.9)</f>
        <v>1208.9</v>
      </c>
      <c r="N42" s="445">
        <f>IFERROR(__xludf.DUMMYFUNCTION("""COMPUTED_VALUE"""),1318.4)</f>
        <v>1318.4</v>
      </c>
      <c r="O42" s="450">
        <f>IFERROR(__xludf.DUMMYFUNCTION("""COMPUTED_VALUE"""),0.0)</f>
        <v>0</v>
      </c>
      <c r="P42" s="449">
        <f>IFERROR(__xludf.DUMMYFUNCTION("""COMPUTED_VALUE"""),0.0)</f>
        <v>0</v>
      </c>
      <c r="Q42" s="426"/>
      <c r="R42" s="445">
        <f>IFERROR(__xludf.DUMMYFUNCTION("""COMPUTED_VALUE"""),397.9)</f>
        <v>397.9</v>
      </c>
      <c r="S42" s="445">
        <f>IFERROR(__xludf.DUMMYFUNCTION("""COMPUTED_VALUE"""),437.40000000000003)</f>
        <v>437.4</v>
      </c>
      <c r="T42" s="445">
        <f>IFERROR(__xludf.DUMMYFUNCTION("""COMPUTED_VALUE"""),476.9)</f>
        <v>476.9</v>
      </c>
      <c r="U42" s="450">
        <f>IFERROR(__xludf.DUMMYFUNCTION("""COMPUTED_VALUE"""),0.0)</f>
        <v>0</v>
      </c>
      <c r="V42" s="449">
        <f>IFERROR(__xludf.DUMMYFUNCTION("""COMPUTED_VALUE"""),0.0)</f>
        <v>0</v>
      </c>
      <c r="W42" s="426"/>
      <c r="X42" s="451"/>
      <c r="Y42" s="452"/>
      <c r="Z42" s="453"/>
      <c r="AA42" s="454"/>
      <c r="AB42" s="455"/>
      <c r="AC42" s="426"/>
    </row>
    <row r="43">
      <c r="A43" s="426"/>
      <c r="B43" s="451"/>
      <c r="C43" s="451"/>
      <c r="D43" s="461"/>
      <c r="E43" s="451"/>
      <c r="F43" s="451"/>
      <c r="G43" s="451"/>
      <c r="H43" s="451"/>
      <c r="I43" s="461"/>
      <c r="J43" s="455"/>
      <c r="K43" s="426"/>
      <c r="L43" s="439">
        <f>IFERROR(__xludf.DUMMYFUNCTION("""COMPUTED_VALUE"""),1129.4)</f>
        <v>1129.4</v>
      </c>
      <c r="M43" s="439">
        <f>IFERROR(__xludf.DUMMYFUNCTION("""COMPUTED_VALUE"""),1241.9)</f>
        <v>1241.9</v>
      </c>
      <c r="N43" s="439">
        <f>IFERROR(__xludf.DUMMYFUNCTION("""COMPUTED_VALUE"""),1354.4)</f>
        <v>1354.4</v>
      </c>
      <c r="O43" s="444">
        <f>IFERROR(__xludf.DUMMYFUNCTION("""COMPUTED_VALUE"""),0.0)</f>
        <v>0</v>
      </c>
      <c r="P43" s="443">
        <f>IFERROR(__xludf.DUMMYFUNCTION("""COMPUTED_VALUE"""),0.0)</f>
        <v>0</v>
      </c>
      <c r="Q43" s="426"/>
      <c r="R43" s="439">
        <f>IFERROR(__xludf.DUMMYFUNCTION("""COMPUTED_VALUE"""),407.9)</f>
        <v>407.9</v>
      </c>
      <c r="S43" s="439">
        <f>IFERROR(__xludf.DUMMYFUNCTION("""COMPUTED_VALUE"""),448.40000000000003)</f>
        <v>448.4</v>
      </c>
      <c r="T43" s="439">
        <f>IFERROR(__xludf.DUMMYFUNCTION("""COMPUTED_VALUE"""),488.9)</f>
        <v>488.9</v>
      </c>
      <c r="U43" s="444">
        <f>IFERROR(__xludf.DUMMYFUNCTION("""COMPUTED_VALUE"""),0.0)</f>
        <v>0</v>
      </c>
      <c r="V43" s="443">
        <f>IFERROR(__xludf.DUMMYFUNCTION("""COMPUTED_VALUE"""),0.0)</f>
        <v>0</v>
      </c>
      <c r="W43" s="426"/>
      <c r="X43" s="451"/>
      <c r="Y43" s="452"/>
      <c r="Z43" s="453"/>
      <c r="AA43" s="454"/>
      <c r="AB43" s="455"/>
      <c r="AC43" s="426"/>
    </row>
    <row r="44">
      <c r="A44" s="426"/>
      <c r="B44" s="451"/>
      <c r="C44" s="451"/>
      <c r="D44" s="460"/>
      <c r="E44" s="451"/>
      <c r="F44" s="451"/>
      <c r="G44" s="451"/>
      <c r="H44" s="451"/>
      <c r="I44" s="460"/>
      <c r="J44" s="455"/>
      <c r="K44" s="426"/>
      <c r="L44" s="451"/>
      <c r="M44" s="452"/>
      <c r="N44" s="453"/>
      <c r="O44" s="454"/>
      <c r="P44" s="455"/>
      <c r="Q44" s="426"/>
      <c r="R44" s="445">
        <f>IFERROR(__xludf.DUMMYFUNCTION("""COMPUTED_VALUE"""),417.9)</f>
        <v>417.9</v>
      </c>
      <c r="S44" s="445">
        <f>IFERROR(__xludf.DUMMYFUNCTION("""COMPUTED_VALUE"""),459.40000000000003)</f>
        <v>459.4</v>
      </c>
      <c r="T44" s="445">
        <f>IFERROR(__xludf.DUMMYFUNCTION("""COMPUTED_VALUE"""),500.9)</f>
        <v>500.9</v>
      </c>
      <c r="U44" s="450">
        <f>IFERROR(__xludf.DUMMYFUNCTION("""COMPUTED_VALUE"""),0.0)</f>
        <v>0</v>
      </c>
      <c r="V44" s="449">
        <f>IFERROR(__xludf.DUMMYFUNCTION("""COMPUTED_VALUE"""),0.0)</f>
        <v>0</v>
      </c>
      <c r="W44" s="426"/>
      <c r="X44" s="451"/>
      <c r="Y44" s="452"/>
      <c r="Z44" s="453"/>
      <c r="AA44" s="454"/>
      <c r="AB44" s="455"/>
      <c r="AC44" s="426"/>
    </row>
    <row r="45">
      <c r="A45" s="426"/>
      <c r="B45" s="451"/>
      <c r="C45" s="451"/>
      <c r="D45" s="461"/>
      <c r="E45" s="451"/>
      <c r="F45" s="451"/>
      <c r="G45" s="451"/>
      <c r="H45" s="451"/>
      <c r="I45" s="461"/>
      <c r="J45" s="455"/>
      <c r="K45" s="426"/>
      <c r="L45" s="451"/>
      <c r="M45" s="452"/>
      <c r="N45" s="453"/>
      <c r="O45" s="454"/>
      <c r="P45" s="455"/>
      <c r="Q45" s="426"/>
      <c r="R45" s="439">
        <f>IFERROR(__xludf.DUMMYFUNCTION("""COMPUTED_VALUE"""),427.9)</f>
        <v>427.9</v>
      </c>
      <c r="S45" s="439">
        <f>IFERROR(__xludf.DUMMYFUNCTION("""COMPUTED_VALUE"""),470.40000000000003)</f>
        <v>470.4</v>
      </c>
      <c r="T45" s="439">
        <f>IFERROR(__xludf.DUMMYFUNCTION("""COMPUTED_VALUE"""),512.9)</f>
        <v>512.9</v>
      </c>
      <c r="U45" s="444">
        <f>IFERROR(__xludf.DUMMYFUNCTION("""COMPUTED_VALUE"""),0.0)</f>
        <v>0</v>
      </c>
      <c r="V45" s="443">
        <f>IFERROR(__xludf.DUMMYFUNCTION("""COMPUTED_VALUE"""),0.0)</f>
        <v>0</v>
      </c>
      <c r="W45" s="426"/>
      <c r="X45" s="451"/>
      <c r="Y45" s="452"/>
      <c r="Z45" s="453"/>
      <c r="AA45" s="454"/>
      <c r="AB45" s="455"/>
      <c r="AC45" s="426"/>
    </row>
    <row r="46">
      <c r="A46" s="426"/>
      <c r="B46" s="451"/>
      <c r="C46" s="451"/>
      <c r="D46" s="460"/>
      <c r="E46" s="451"/>
      <c r="F46" s="451"/>
      <c r="G46" s="451"/>
      <c r="H46" s="451"/>
      <c r="I46" s="460"/>
      <c r="J46" s="455"/>
      <c r="K46" s="426"/>
      <c r="L46" s="451"/>
      <c r="M46" s="452"/>
      <c r="N46" s="453"/>
      <c r="O46" s="454"/>
      <c r="P46" s="455"/>
      <c r="Q46" s="426"/>
      <c r="R46" s="445">
        <f>IFERROR(__xludf.DUMMYFUNCTION("""COMPUTED_VALUE"""),437.9)</f>
        <v>437.9</v>
      </c>
      <c r="S46" s="445">
        <f>IFERROR(__xludf.DUMMYFUNCTION("""COMPUTED_VALUE"""),481.40000000000003)</f>
        <v>481.4</v>
      </c>
      <c r="T46" s="445">
        <f>IFERROR(__xludf.DUMMYFUNCTION("""COMPUTED_VALUE"""),524.9)</f>
        <v>524.9</v>
      </c>
      <c r="U46" s="450">
        <f>IFERROR(__xludf.DUMMYFUNCTION("""COMPUTED_VALUE"""),0.0)</f>
        <v>0</v>
      </c>
      <c r="V46" s="449">
        <f>IFERROR(__xludf.DUMMYFUNCTION("""COMPUTED_VALUE"""),0.0)</f>
        <v>0</v>
      </c>
      <c r="W46" s="426"/>
      <c r="X46" s="462"/>
      <c r="Y46" s="463"/>
      <c r="Z46" s="464"/>
      <c r="AA46" s="465"/>
      <c r="AB46" s="466"/>
      <c r="AC46" s="426"/>
    </row>
    <row r="47">
      <c r="A47" s="426"/>
      <c r="B47" s="467" t="str">
        <f>IFERROR(__xludf.DUMMYFUNCTION("""COMPUTED_VALUE"""),"Sum -&gt;")</f>
        <v>Sum -&gt;</v>
      </c>
      <c r="C47" s="468"/>
      <c r="D47" s="468"/>
      <c r="E47" s="441"/>
      <c r="F47" s="469"/>
      <c r="G47" s="469"/>
      <c r="H47" s="442">
        <f>IFERROR(__xludf.DUMMYFUNCTION("""COMPUTED_VALUE"""),3582.0)</f>
        <v>3582</v>
      </c>
      <c r="I47" s="441"/>
      <c r="J47" s="443">
        <f>IFERROR(__xludf.DUMMYFUNCTION("""COMPUTED_VALUE"""),1.0000000000000002)</f>
        <v>1</v>
      </c>
      <c r="K47" s="426"/>
      <c r="L47" s="467" t="str">
        <f>IFERROR(__xludf.DUMMYFUNCTION("""COMPUTED_VALUE"""),"Sum -&gt;")</f>
        <v>Sum -&gt;</v>
      </c>
      <c r="M47" s="468"/>
      <c r="N47" s="441"/>
      <c r="O47" s="444">
        <f>IFERROR(__xludf.DUMMYFUNCTION("""COMPUTED_VALUE"""),19.0)</f>
        <v>19</v>
      </c>
      <c r="P47" s="443">
        <f>IFERROR(__xludf.DUMMYFUNCTION("""COMPUTED_VALUE"""),0.631578947368421)</f>
        <v>0.6315789474</v>
      </c>
      <c r="Q47" s="426"/>
      <c r="R47" s="467" t="str">
        <f>IFERROR(__xludf.DUMMYFUNCTION("""COMPUTED_VALUE"""),"Sum -&gt;")</f>
        <v>Sum -&gt;</v>
      </c>
      <c r="S47" s="468"/>
      <c r="T47" s="441"/>
      <c r="U47" s="444">
        <f>IFERROR(__xludf.DUMMYFUNCTION("""COMPUTED_VALUE"""),20.0)</f>
        <v>20</v>
      </c>
      <c r="V47" s="443">
        <f>IFERROR(__xludf.DUMMYFUNCTION("""COMPUTED_VALUE"""),1.0000000000000002)</f>
        <v>1</v>
      </c>
      <c r="W47" s="426"/>
      <c r="X47" s="467" t="str">
        <f>IFERROR(__xludf.DUMMYFUNCTION("""COMPUTED_VALUE"""),"Sum -&gt;")</f>
        <v>Sum -&gt;</v>
      </c>
      <c r="Y47" s="468"/>
      <c r="Z47" s="441"/>
      <c r="AA47" s="444">
        <f>IFERROR(__xludf.DUMMYFUNCTION("""COMPUTED_VALUE"""),53.0)</f>
        <v>53</v>
      </c>
      <c r="AB47" s="443">
        <f>IFERROR(__xludf.DUMMYFUNCTION("""COMPUTED_VALUE"""),1.0)</f>
        <v>1</v>
      </c>
      <c r="AC47" s="426"/>
    </row>
    <row r="48">
      <c r="A48" s="426"/>
      <c r="B48" s="445">
        <f>IFERROR(__xludf.DUMMYFUNCTION("""COMPUTED_VALUE"""),1206.2743718592967)</f>
        <v>1206.274372</v>
      </c>
      <c r="C48" s="446">
        <f>IFERROR(__xludf.DUMMYFUNCTION("""COMPUTED_VALUE"""),1326.261809045226)</f>
        <v>1326.261809</v>
      </c>
      <c r="D48" s="447"/>
      <c r="E48" s="445">
        <f>IFERROR(__xludf.DUMMYFUNCTION("""COMPUTED_VALUE"""),1387.2155276381911)</f>
        <v>1387.215528</v>
      </c>
      <c r="F48" s="445">
        <f>IFERROR(__xludf.DUMMYFUNCTION("""COMPUTED_VALUE"""),1446.2492462311557)</f>
        <v>1446.249246</v>
      </c>
      <c r="G48" s="445">
        <f>IFERROR(__xludf.DUMMYFUNCTION("""COMPUTED_VALUE"""),1507.8429648241208)</f>
        <v>1507.842965</v>
      </c>
      <c r="H48" s="470" t="str">
        <f>IFERROR(__xludf.DUMMYFUNCTION("""COMPUTED_VALUE"""),"&lt;- Average")</f>
        <v>&lt;- Average</v>
      </c>
      <c r="I48" s="471"/>
      <c r="J48" s="447"/>
      <c r="K48" s="426"/>
      <c r="L48" s="445">
        <f>IFERROR(__xludf.DUMMYFUNCTION("""COMPUTED_VALUE"""),499.3999999999999)</f>
        <v>499.4</v>
      </c>
      <c r="M48" s="445">
        <f>IFERROR(__xludf.DUMMYFUNCTION("""COMPUTED_VALUE"""),548.9)</f>
        <v>548.9</v>
      </c>
      <c r="N48" s="445">
        <f>IFERROR(__xludf.DUMMYFUNCTION("""COMPUTED_VALUE"""),598.3999999999999)</f>
        <v>598.4</v>
      </c>
      <c r="O48" s="470" t="str">
        <f>IFERROR(__xludf.DUMMYFUNCTION("""COMPUTED_VALUE"""),"&lt;- Average")</f>
        <v>&lt;- Average</v>
      </c>
      <c r="P48" s="447"/>
      <c r="Q48" s="426"/>
      <c r="R48" s="445">
        <f>IFERROR(__xludf.DUMMYFUNCTION("""COMPUTED_VALUE"""),203.90000000000003)</f>
        <v>203.9</v>
      </c>
      <c r="S48" s="445">
        <f>IFERROR(__xludf.DUMMYFUNCTION("""COMPUTED_VALUE"""),224.00000000000003)</f>
        <v>224</v>
      </c>
      <c r="T48" s="472">
        <f>IFERROR(__xludf.DUMMYFUNCTION("""COMPUTED_VALUE"""),244.10000000000002)</f>
        <v>244.1</v>
      </c>
      <c r="U48" s="470" t="str">
        <f>IFERROR(__xludf.DUMMYFUNCTION("""COMPUTED_VALUE"""),"&lt;- Average")</f>
        <v>&lt;- Average</v>
      </c>
      <c r="V48" s="447"/>
      <c r="W48" s="426"/>
      <c r="X48" s="445">
        <f>IFERROR(__xludf.DUMMYFUNCTION("""COMPUTED_VALUE"""),83.42641509433963)</f>
        <v>83.42641509</v>
      </c>
      <c r="Y48" s="445">
        <f>IFERROR(__xludf.DUMMYFUNCTION("""COMPUTED_VALUE"""),91.65283018867927)</f>
        <v>91.65283019</v>
      </c>
      <c r="Z48" s="472">
        <f>IFERROR(__xludf.DUMMYFUNCTION("""COMPUTED_VALUE"""),99.87924528301888)</f>
        <v>99.87924528</v>
      </c>
      <c r="AA48" s="470" t="str">
        <f>IFERROR(__xludf.DUMMYFUNCTION("""COMPUTED_VALUE"""),"&lt;- Average")</f>
        <v>&lt;- Average</v>
      </c>
      <c r="AB48" s="447"/>
      <c r="AC48" s="426"/>
    </row>
    <row r="49">
      <c r="A49" s="421"/>
      <c r="B49" s="383"/>
      <c r="C49" s="383"/>
      <c r="D49" s="383"/>
      <c r="E49" s="383"/>
      <c r="F49" s="383"/>
      <c r="G49" s="383"/>
      <c r="H49" s="383"/>
      <c r="I49" s="383"/>
      <c r="J49" s="383"/>
      <c r="K49" s="389"/>
      <c r="L49" s="383"/>
      <c r="M49" s="383"/>
      <c r="N49" s="383"/>
      <c r="O49" s="383"/>
      <c r="P49" s="383"/>
      <c r="Q49" s="389"/>
      <c r="R49" s="383"/>
      <c r="S49" s="383"/>
      <c r="T49" s="383"/>
      <c r="U49" s="383"/>
      <c r="V49" s="383"/>
      <c r="W49" s="389"/>
      <c r="X49" s="383"/>
      <c r="Y49" s="383"/>
      <c r="Z49" s="383"/>
      <c r="AA49" s="383"/>
      <c r="AB49" s="383"/>
      <c r="AC49" s="390"/>
    </row>
    <row r="50">
      <c r="A50" s="421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90"/>
    </row>
    <row r="51">
      <c r="A51" s="421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90"/>
    </row>
    <row r="52">
      <c r="A52" s="432"/>
      <c r="B52" s="425"/>
      <c r="C52" s="425"/>
      <c r="D52" s="425"/>
      <c r="E52" s="425"/>
      <c r="F52" s="425"/>
      <c r="G52" s="425"/>
      <c r="H52" s="425"/>
      <c r="I52" s="425"/>
      <c r="J52" s="425"/>
      <c r="K52" s="425"/>
      <c r="L52" s="425"/>
      <c r="M52" s="425"/>
      <c r="N52" s="425"/>
      <c r="O52" s="425"/>
      <c r="P52" s="425"/>
      <c r="Q52" s="425"/>
      <c r="R52" s="425"/>
      <c r="S52" s="425"/>
      <c r="T52" s="425"/>
      <c r="U52" s="425"/>
      <c r="V52" s="425"/>
      <c r="W52" s="425"/>
      <c r="X52" s="425"/>
      <c r="Y52" s="425"/>
      <c r="Z52" s="425"/>
      <c r="AA52" s="425"/>
      <c r="AB52" s="425"/>
      <c r="AC52" s="473"/>
    </row>
  </sheetData>
  <mergeCells count="103">
    <mergeCell ref="N1:O1"/>
    <mergeCell ref="P1:Q1"/>
    <mergeCell ref="R1:S1"/>
    <mergeCell ref="A3:A7"/>
    <mergeCell ref="B3:B7"/>
    <mergeCell ref="A1:B2"/>
    <mergeCell ref="C1:C2"/>
    <mergeCell ref="D1:G2"/>
    <mergeCell ref="H1:H2"/>
    <mergeCell ref="I1:I2"/>
    <mergeCell ref="J1:K1"/>
    <mergeCell ref="L1:M1"/>
    <mergeCell ref="N7:O7"/>
    <mergeCell ref="P7:Q7"/>
    <mergeCell ref="R7:S7"/>
    <mergeCell ref="D3:G3"/>
    <mergeCell ref="D4:G4"/>
    <mergeCell ref="D5:G5"/>
    <mergeCell ref="D6:G6"/>
    <mergeCell ref="C7:I7"/>
    <mergeCell ref="J7:K7"/>
    <mergeCell ref="L7:M7"/>
    <mergeCell ref="R14:U15"/>
    <mergeCell ref="X14:AA15"/>
    <mergeCell ref="H9:J9"/>
    <mergeCell ref="H10:J10"/>
    <mergeCell ref="B11:G12"/>
    <mergeCell ref="H11:J11"/>
    <mergeCell ref="H12:J12"/>
    <mergeCell ref="B14:I15"/>
    <mergeCell ref="L14:O15"/>
    <mergeCell ref="H41:I41"/>
    <mergeCell ref="H42:I42"/>
    <mergeCell ref="H34:I34"/>
    <mergeCell ref="H35:I35"/>
    <mergeCell ref="H36:I36"/>
    <mergeCell ref="H37:I37"/>
    <mergeCell ref="H38:I38"/>
    <mergeCell ref="H39:I39"/>
    <mergeCell ref="H40:I40"/>
    <mergeCell ref="H44:I44"/>
    <mergeCell ref="H45:I45"/>
    <mergeCell ref="H48:J48"/>
    <mergeCell ref="B47:E47"/>
    <mergeCell ref="H47:I47"/>
    <mergeCell ref="L47:N47"/>
    <mergeCell ref="R47:T47"/>
    <mergeCell ref="X47:Z47"/>
    <mergeCell ref="O48:P48"/>
    <mergeCell ref="U48:V48"/>
    <mergeCell ref="AA48:AB48"/>
    <mergeCell ref="C40:D40"/>
    <mergeCell ref="C41:D41"/>
    <mergeCell ref="C42:D42"/>
    <mergeCell ref="C43:D43"/>
    <mergeCell ref="H43:I43"/>
    <mergeCell ref="C44:D44"/>
    <mergeCell ref="C45:D45"/>
    <mergeCell ref="C16:D16"/>
    <mergeCell ref="H16:I16"/>
    <mergeCell ref="C17:D17"/>
    <mergeCell ref="H17:I17"/>
    <mergeCell ref="C18:D18"/>
    <mergeCell ref="H18:I18"/>
    <mergeCell ref="H19:I19"/>
    <mergeCell ref="C19:D19"/>
    <mergeCell ref="C20:D20"/>
    <mergeCell ref="C21:D21"/>
    <mergeCell ref="C22:D22"/>
    <mergeCell ref="C23:D23"/>
    <mergeCell ref="C24:D24"/>
    <mergeCell ref="C25:D25"/>
    <mergeCell ref="H20:I20"/>
    <mergeCell ref="H21:I21"/>
    <mergeCell ref="H22:I22"/>
    <mergeCell ref="H23:I23"/>
    <mergeCell ref="H24:I24"/>
    <mergeCell ref="H25:I25"/>
    <mergeCell ref="H26:I26"/>
    <mergeCell ref="C26:D26"/>
    <mergeCell ref="C27:D27"/>
    <mergeCell ref="C28:D28"/>
    <mergeCell ref="C29:D29"/>
    <mergeCell ref="C30:D30"/>
    <mergeCell ref="C31:D31"/>
    <mergeCell ref="C32:D32"/>
    <mergeCell ref="H27:I27"/>
    <mergeCell ref="H28:I28"/>
    <mergeCell ref="H29:I29"/>
    <mergeCell ref="H30:I30"/>
    <mergeCell ref="H31:I31"/>
    <mergeCell ref="H32:I32"/>
    <mergeCell ref="H33:I33"/>
    <mergeCell ref="C33:D33"/>
    <mergeCell ref="C34:D34"/>
    <mergeCell ref="C35:D35"/>
    <mergeCell ref="C36:D36"/>
    <mergeCell ref="C37:D37"/>
    <mergeCell ref="C38:D38"/>
    <mergeCell ref="C39:D39"/>
    <mergeCell ref="C46:D46"/>
    <mergeCell ref="H46:I46"/>
    <mergeCell ref="C48:D48"/>
  </mergeCells>
  <hyperlinks>
    <hyperlink r:id="rId1" location="gid=554442066" ref="B11"/>
  </hyperlinks>
  <drawing r:id="rId2"/>
</worksheet>
</file>